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macrosheets/sheet1.xml" ContentType="application/vnd.ms-excel.macro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omments5.xml" ContentType="application/vnd.openxmlformats-officedocument.spreadsheetml.comments+xml"/>
  <Override PartName="/xl/drawings/drawing3.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omments6.xml" ContentType="application/vnd.openxmlformats-officedocument.spreadsheetml.comments+xml"/>
  <Override PartName="/xl/drawings/drawing4.xml" ContentType="application/vnd.openxmlformats-officedocument.drawing+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drawings/drawing6.xml" ContentType="application/vnd.openxmlformats-officedocument.drawing+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8.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bookViews>
    <workbookView xWindow="525" yWindow="-15" windowWidth="19440" windowHeight="11760" tabRatio="829" activeTab="20"/>
  </bookViews>
  <sheets>
    <sheet name="T" sheetId="9" r:id="rId1"/>
    <sheet name="Manual" sheetId="10" r:id="rId2"/>
    <sheet name="InputY" sheetId="1" r:id="rId3"/>
    <sheet name="InputQ" sheetId="16" r:id="rId4"/>
    <sheet name="VVP1" sheetId="11" r:id="rId5"/>
    <sheet name="VVP2" sheetId="12" r:id="rId6"/>
    <sheet name="VVP3" sheetId="14" r:id="rId7"/>
    <sheet name="Q1" sheetId="17" r:id="rId8"/>
    <sheet name="Q2" sheetId="18" r:id="rId9"/>
    <sheet name="CarryOver" sheetId="26" r:id="rId10"/>
    <sheet name="IIPdev" sheetId="21" r:id="rId11"/>
    <sheet name="Labour1" sheetId="8" r:id="rId12"/>
    <sheet name="Labour2" sheetId="19" r:id="rId13"/>
    <sheet name="Sector1" sheetId="7" r:id="rId14"/>
    <sheet name="Sector2" sheetId="6" r:id="rId15"/>
    <sheet name="Sector3" sheetId="15" r:id="rId16"/>
    <sheet name="Macro1" sheetId="25" r:id="rId17"/>
    <sheet name="Transfer" sheetId="2" r:id="rId18"/>
    <sheet name="InputDFM" sheetId="27" r:id="rId19"/>
    <sheet name="Tables" sheetId="20" r:id="rId20"/>
    <sheet name="Transfer FDMS+ A" sheetId="23" r:id="rId21"/>
    <sheet name="Transfer FDMS+ Q" sheetId="24" r:id="rId22"/>
    <sheet name="Sheet1" sheetId="28" r:id="rId23"/>
  </sheets>
  <functionGroups builtInGroupCount="17"/>
  <externalReferences>
    <externalReference r:id="rId24"/>
  </externalReferences>
  <definedNames>
    <definedName name="_xlnm._FilterDatabase" localSheetId="2" hidden="1">InputY!$D$3:$E$503</definedName>
    <definedName name="_xlnm._FilterDatabase" localSheetId="20" hidden="1">'Transfer FDMS+ A'!$A$11:$AI$11</definedName>
    <definedName name="_MatMult_A" hidden="1">#REF!</definedName>
    <definedName name="_MatMult_AxB" localSheetId="20" hidden="1">#REF!</definedName>
    <definedName name="_MatMult_AxB" localSheetId="21" hidden="1">#REF!</definedName>
    <definedName name="_MatMult_AxB" hidden="1">#REF!</definedName>
    <definedName name="_MatMult_B" hidden="1">#REF!</definedName>
    <definedName name="Country">Transfer!$E$94</definedName>
    <definedName name="Currency">Transfer!$H$94</definedName>
    <definedName name="dfgsdfg" hidden="1">{"'15.01L'!$A$1:$I$62"}</definedName>
    <definedName name="dsfsdf" hidden="1">{"'15.01L'!$A$1:$I$62"}</definedName>
    <definedName name="fdms_web_query.cfm?cty_LT" localSheetId="18">InputDFM!$A$16:$N$55</definedName>
    <definedName name="HMTL_Ctl" localSheetId="17" hidden="1">{"'15.01L'!$A$1:$I$62"}</definedName>
    <definedName name="HMTL_Ctl" localSheetId="20" hidden="1">{"'15.01L'!$A$1:$I$62"}</definedName>
    <definedName name="HMTL_Ctl" localSheetId="21" hidden="1">{"'15.01L'!$A$1:$I$62"}</definedName>
    <definedName name="HMTL_Ctl" hidden="1">{"'15.01L'!$A$1:$I$62"}</definedName>
    <definedName name="HMTL_Ctl2" localSheetId="17" hidden="1">{"'15.01L'!$A$1:$I$62"}</definedName>
    <definedName name="HMTL_Ctl2" localSheetId="20" hidden="1">{"'15.01L'!$A$1:$I$62"}</definedName>
    <definedName name="HMTL_Ctl2" localSheetId="21" hidden="1">{"'15.01L'!$A$1:$I$62"}</definedName>
    <definedName name="HMTL_Ctl2" hidden="1">{"'15.01L'!$A$1:$I$62"}</definedName>
    <definedName name="HTML_CodePage" hidden="1">1252</definedName>
    <definedName name="HTML_Control" localSheetId="17" hidden="1">{"'15.01L'!$A$1:$I$62"}</definedName>
    <definedName name="HTML_Control" localSheetId="20" hidden="1">{"'15.01L'!$A$1:$I$62"}</definedName>
    <definedName name="HTML_Control" localSheetId="21" hidden="1">{"'15.01L'!$A$1:$I$62"}</definedName>
    <definedName name="HTML_Control" hidden="1">{"'15.01L'!$A$1:$I$62"}</definedName>
    <definedName name="HTML_Control1" localSheetId="17" hidden="1">{"'15.01L'!$A$1:$I$62"}</definedName>
    <definedName name="HTML_Control1" localSheetId="20" hidden="1">{"'15.01L'!$A$1:$I$62"}</definedName>
    <definedName name="HTML_Control1" localSheetId="21" hidden="1">{"'15.01L'!$A$1:$I$62"}</definedName>
    <definedName name="HTML_Control1" hidden="1">{"'15.01L'!$A$1:$I$62"}</definedName>
    <definedName name="HTML_Control2" localSheetId="17" hidden="1">{"'15.01L'!$A$1:$I$62"}</definedName>
    <definedName name="HTML_Control2" localSheetId="20" hidden="1">{"'15.01L'!$A$1:$I$62"}</definedName>
    <definedName name="HTML_Control2" localSheetId="21" hidden="1">{"'15.01L'!$A$1:$I$62"}</definedName>
    <definedName name="HTML_Control2" hidden="1">{"'15.01L'!$A$1:$I$62"}</definedName>
    <definedName name="HTML_Control22" localSheetId="17" hidden="1">{"'15.01L'!$A$1:$I$62"}</definedName>
    <definedName name="HTML_Control22" localSheetId="20" hidden="1">{"'15.01L'!$A$1:$I$62"}</definedName>
    <definedName name="HTML_Control22" localSheetId="21" hidden="1">{"'15.01L'!$A$1:$I$62"}</definedName>
    <definedName name="HTML_Control22" hidden="1">{"'15.01L'!$A$1:$I$62"}</definedName>
    <definedName name="HTML_Control3" localSheetId="17" hidden="1">{"'15.01L'!$A$1:$I$62"}</definedName>
    <definedName name="HTML_Control3" localSheetId="20" hidden="1">{"'15.01L'!$A$1:$I$62"}</definedName>
    <definedName name="HTML_Control3" localSheetId="21" hidden="1">{"'15.01L'!$A$1:$I$62"}</definedName>
    <definedName name="HTML_Control3" hidden="1">{"'15.01L'!$A$1:$I$62"}</definedName>
    <definedName name="HTML_Control33" localSheetId="17" hidden="1">{"'15.01L'!$A$1:$I$62"}</definedName>
    <definedName name="HTML_Control33" localSheetId="20" hidden="1">{"'15.01L'!$A$1:$I$62"}</definedName>
    <definedName name="HTML_Control33" localSheetId="21" hidden="1">{"'15.01L'!$A$1:$I$62"}</definedName>
    <definedName name="HTML_Control33" hidden="1">{"'15.01L'!$A$1:$I$62"}</definedName>
    <definedName name="HTML_Description" hidden="1">""</definedName>
    <definedName name="HTML_Email" hidden="1">""</definedName>
    <definedName name="HTML_Header" hidden="1">"15.01L"</definedName>
    <definedName name="HTML_LastUpdate" hidden="1">"19.11.98"</definedName>
    <definedName name="HTML_LineAfter" hidden="1">FALSE</definedName>
    <definedName name="HTML_LineBefore" hidden="1">FALSE</definedName>
    <definedName name="HTML_Name" hidden="1">"Weitzer &amp; Partner"</definedName>
    <definedName name="HTML_OBDlg2" hidden="1">TRUE</definedName>
    <definedName name="HTML_OBDlg4" hidden="1">TRUE</definedName>
    <definedName name="HTML_OS" hidden="1">0</definedName>
    <definedName name="HTML_PathFile" hidden="1">"C:\jb98\3d\daten\Kap15.ok\j-1501l.htm"</definedName>
    <definedName name="HTML_Title" hidden="1">"j-1501L"</definedName>
    <definedName name="Last_forecast_year">Transfer!$H$95</definedName>
    <definedName name="limcount" hidden="1">1</definedName>
    <definedName name="_xlnm.Print_Area" localSheetId="15">Sector3!$A$1:$N$489</definedName>
    <definedName name="_xlnm.Print_Area" localSheetId="19">Tables!$B$527:$N$543</definedName>
    <definedName name="qy_additional_impact.cfm?cty_LT" localSheetId="18">InputDFM!$A$10:$N$49</definedName>
    <definedName name="qy_additional_impact.cfm?cty_LT_1" localSheetId="18">InputDFM!$A$10:$N$49</definedName>
    <definedName name="qy_transfer_matrix.cfm?cty_LT" localSheetId="18">InputDFM!#REF!</definedName>
    <definedName name="qy_transfer_matrix.cfm?cty_LT_1" localSheetId="18">InputDFM!$A$8:$N$15</definedName>
    <definedName name="qy_transfer_matrix.cfm?cty_LT_2" localSheetId="18">InputDFM!$A$1:$N$8</definedName>
    <definedName name="reyherhefgf" hidden="1">{"'15.01L'!$A$1:$I$62"}</definedName>
    <definedName name="rtyertyerther" hidden="1">{"'15.01L'!$A$1:$I$62"}</definedName>
    <definedName name="rtyertyertyerthdfg" hidden="1">{"'15.01L'!$A$1:$I$62"}</definedName>
    <definedName name="sdfgsdfgdfg" hidden="1">{"'15.01L'!$A$1:$I$62"}</definedName>
    <definedName name="sfghertyertyerty" hidden="1">{"'15.01L'!$A$1:$I$62"}</definedName>
    <definedName name="Table_0">Tables!$B$9:$I$46</definedName>
    <definedName name="Table_1">Tables!$B$51:$K$78</definedName>
    <definedName name="Table_10">Tables!$B$400:$N$441</definedName>
    <definedName name="Table_10a">Tables!$B$446:$M$468</definedName>
    <definedName name="Table_10b">Tables!$B$473:$N$489</definedName>
    <definedName name="Table_11">Tables!$B$493:$M$519</definedName>
    <definedName name="Table_12">Tables!$B$527:$N$543</definedName>
    <definedName name="Table_2">Tables!$B$92:$Q$124</definedName>
    <definedName name="Table_3">Tables!$B$136:$K$156</definedName>
    <definedName name="Table_4">Tables!$B$166:$N$203</definedName>
    <definedName name="Table_5">Tables!$B$214:$I$261</definedName>
    <definedName name="Table_6">Tables!$B$269:$N$285</definedName>
    <definedName name="Table_7">Tables!$B$296:$M$318</definedName>
    <definedName name="Table_8">Tables!$B$329:$N$355</definedName>
    <definedName name="Table_9">Tables!$B$366:$N$390</definedName>
    <definedName name="wrtyer5y3e5rthgf" hidden="1">{"'15.01L'!$A$1:$I$62"}</definedName>
  </definedNames>
  <calcPr calcId="145621"/>
</workbook>
</file>

<file path=xl/calcChain.xml><?xml version="1.0" encoding="utf-8"?>
<calcChain xmlns="http://schemas.openxmlformats.org/spreadsheetml/2006/main">
  <c r="B116" i="23" l="1"/>
  <c r="A116" i="23"/>
  <c r="DM15" i="11" l="1"/>
  <c r="DM14" i="11"/>
  <c r="DM13" i="11"/>
  <c r="DM11" i="11"/>
  <c r="DM9" i="11"/>
  <c r="DM8" i="11"/>
  <c r="DM7" i="11"/>
  <c r="DH7" i="11"/>
  <c r="AC368" i="12" l="1"/>
  <c r="AC114" i="7"/>
  <c r="AC216" i="8" l="1"/>
  <c r="CT8" i="16" l="1"/>
  <c r="CT124" i="17" s="1"/>
  <c r="CS8" i="16"/>
  <c r="CS124" i="17" s="1"/>
  <c r="CR8" i="16"/>
  <c r="CR124" i="17" s="1"/>
  <c r="CQ8" i="16"/>
  <c r="CQ124" i="17" s="1"/>
  <c r="CQ7" i="16"/>
  <c r="CU307" i="17" l="1"/>
  <c r="CY4" i="17"/>
  <c r="DR105" i="11" l="1"/>
  <c r="DO11" i="11" l="1"/>
  <c r="AC124" i="12"/>
  <c r="AD87" i="12"/>
  <c r="DR8" i="11" l="1"/>
  <c r="CS307" i="17" l="1"/>
  <c r="CT307" i="17"/>
  <c r="CS306" i="17"/>
  <c r="CT306" i="17"/>
  <c r="CS305" i="17"/>
  <c r="CT305" i="17" s="1"/>
  <c r="CS304" i="17"/>
  <c r="CT304" i="17" s="1"/>
  <c r="CS303" i="17"/>
  <c r="CT303" i="17" s="1"/>
  <c r="AB130" i="12" l="1"/>
  <c r="AB124" i="12"/>
  <c r="U18" i="21" l="1"/>
  <c r="DQ32" i="11" l="1"/>
  <c r="AE122" i="7" l="1"/>
  <c r="G7" i="7" l="1"/>
  <c r="H7" i="7"/>
  <c r="I7" i="7" s="1"/>
  <c r="J7" i="7" s="1"/>
  <c r="K7" i="7" s="1"/>
  <c r="F8" i="7"/>
  <c r="F9" i="7"/>
  <c r="F10" i="7"/>
  <c r="F12" i="7"/>
  <c r="F13" i="7"/>
  <c r="F31" i="7" s="1"/>
  <c r="G16" i="7"/>
  <c r="H16" i="7"/>
  <c r="I16" i="7"/>
  <c r="J16" i="7" s="1"/>
  <c r="K16" i="7" s="1"/>
  <c r="F17" i="7"/>
  <c r="F18" i="7"/>
  <c r="F21" i="7"/>
  <c r="F22" i="7"/>
  <c r="G25" i="7"/>
  <c r="H25" i="7" s="1"/>
  <c r="I25" i="7" s="1"/>
  <c r="J25" i="7"/>
  <c r="K25" i="7"/>
  <c r="F27" i="7"/>
  <c r="F30" i="7"/>
  <c r="G33" i="7"/>
  <c r="H33" i="7" s="1"/>
  <c r="I33" i="7" s="1"/>
  <c r="J33" i="7"/>
  <c r="K33" i="7" s="1"/>
  <c r="G44" i="7"/>
  <c r="H44" i="7"/>
  <c r="I44" i="7"/>
  <c r="J44" i="7" s="1"/>
  <c r="K44" i="7" s="1"/>
  <c r="F45" i="7"/>
  <c r="F46" i="7"/>
  <c r="F47" i="7"/>
  <c r="F56" i="7" s="1"/>
  <c r="F49" i="7"/>
  <c r="F50" i="7"/>
  <c r="F59" i="7" s="1"/>
  <c r="G53" i="7"/>
  <c r="H53" i="7" s="1"/>
  <c r="I53" i="7" s="1"/>
  <c r="J53" i="7" s="1"/>
  <c r="K53" i="7" s="1"/>
  <c r="F54" i="7"/>
  <c r="F55" i="7"/>
  <c r="F58" i="7"/>
  <c r="G61" i="7"/>
  <c r="H61" i="7" s="1"/>
  <c r="I61" i="7"/>
  <c r="J61" i="7"/>
  <c r="K61" i="7" s="1"/>
  <c r="F63" i="7"/>
  <c r="F66" i="7"/>
  <c r="F67" i="7"/>
  <c r="G72" i="7"/>
  <c r="H72" i="7" s="1"/>
  <c r="I72" i="7"/>
  <c r="J72" i="7"/>
  <c r="K72" i="7" s="1"/>
  <c r="F73" i="7"/>
  <c r="F78" i="7"/>
  <c r="F83" i="7"/>
  <c r="G91" i="7"/>
  <c r="H91" i="7" s="1"/>
  <c r="I91" i="7" s="1"/>
  <c r="J91" i="7" s="1"/>
  <c r="K91" i="7" s="1"/>
  <c r="G97" i="7"/>
  <c r="H97" i="7"/>
  <c r="I97" i="7" s="1"/>
  <c r="J97" i="7" s="1"/>
  <c r="K97" i="7" s="1"/>
  <c r="G106" i="7"/>
  <c r="H106" i="7" s="1"/>
  <c r="I106" i="7" s="1"/>
  <c r="J106" i="7" s="1"/>
  <c r="K106" i="7"/>
  <c r="G117" i="7"/>
  <c r="H117" i="7" s="1"/>
  <c r="I117" i="7" s="1"/>
  <c r="J117" i="7" s="1"/>
  <c r="K117" i="7"/>
  <c r="G126" i="7"/>
  <c r="H126" i="7"/>
  <c r="I126" i="7"/>
  <c r="J126" i="7" s="1"/>
  <c r="K126" i="7" s="1"/>
  <c r="G135" i="7"/>
  <c r="H135" i="7" s="1"/>
  <c r="I135" i="7" s="1"/>
  <c r="J135" i="7" s="1"/>
  <c r="K135" i="7" s="1"/>
  <c r="F136" i="7"/>
  <c r="F137" i="7"/>
  <c r="F139" i="7"/>
  <c r="F142" i="7"/>
  <c r="F143" i="7"/>
  <c r="G146" i="7"/>
  <c r="H146" i="7" s="1"/>
  <c r="I146" i="7" s="1"/>
  <c r="J146" i="7"/>
  <c r="K146" i="7" s="1"/>
  <c r="G154" i="7"/>
  <c r="H154" i="7" s="1"/>
  <c r="I154" i="7"/>
  <c r="J154" i="7" s="1"/>
  <c r="K154" i="7" s="1"/>
  <c r="G162" i="7"/>
  <c r="H162" i="7" s="1"/>
  <c r="I162" i="7" s="1"/>
  <c r="J162" i="7"/>
  <c r="K162" i="7"/>
  <c r="G167" i="7"/>
  <c r="H167" i="7" s="1"/>
  <c r="I167" i="7" s="1"/>
  <c r="J167" i="7" s="1"/>
  <c r="K167" i="7" s="1"/>
  <c r="G172" i="7"/>
  <c r="H172" i="7" s="1"/>
  <c r="I172" i="7" s="1"/>
  <c r="J172" i="7"/>
  <c r="K172" i="7" s="1"/>
  <c r="G179" i="7"/>
  <c r="H179" i="7"/>
  <c r="I179" i="7" s="1"/>
  <c r="J179" i="7" s="1"/>
  <c r="K179" i="7" s="1"/>
  <c r="G185" i="7"/>
  <c r="H185" i="7"/>
  <c r="I185" i="7" s="1"/>
  <c r="J185" i="7" s="1"/>
  <c r="K185" i="7"/>
  <c r="G191" i="7"/>
  <c r="H191" i="7" s="1"/>
  <c r="I191" i="7" s="1"/>
  <c r="J191" i="7" s="1"/>
  <c r="K191" i="7" s="1"/>
  <c r="G200" i="7"/>
  <c r="H200" i="7" s="1"/>
  <c r="I200" i="7"/>
  <c r="J200" i="7"/>
  <c r="K200" i="7" s="1"/>
  <c r="F201" i="7"/>
  <c r="F202" i="7"/>
  <c r="F203" i="7"/>
  <c r="F205" i="7"/>
  <c r="G208" i="7"/>
  <c r="H208" i="7" s="1"/>
  <c r="I208" i="7" s="1"/>
  <c r="J208" i="7" s="1"/>
  <c r="K208" i="7"/>
  <c r="G215" i="7"/>
  <c r="H215" i="7" s="1"/>
  <c r="I215" i="7"/>
  <c r="J215" i="7" s="1"/>
  <c r="K215" i="7" s="1"/>
  <c r="G220" i="7"/>
  <c r="H220" i="7"/>
  <c r="I220" i="7"/>
  <c r="J220" i="7" s="1"/>
  <c r="K220" i="7" s="1"/>
  <c r="G227" i="7"/>
  <c r="H227" i="7" s="1"/>
  <c r="I227" i="7" s="1"/>
  <c r="J227" i="7" s="1"/>
  <c r="K227" i="7"/>
  <c r="G235" i="7"/>
  <c r="H235" i="7"/>
  <c r="I235" i="7" s="1"/>
  <c r="J235" i="7" s="1"/>
  <c r="K235" i="7" s="1"/>
  <c r="G243" i="7"/>
  <c r="H243" i="7" s="1"/>
  <c r="I243" i="7" s="1"/>
  <c r="J243" i="7" s="1"/>
  <c r="K243" i="7"/>
  <c r="G252" i="7"/>
  <c r="H252" i="7" s="1"/>
  <c r="I252" i="7" s="1"/>
  <c r="J252" i="7" s="1"/>
  <c r="K252" i="7" s="1"/>
  <c r="F253" i="7"/>
  <c r="F254" i="7"/>
  <c r="F256" i="7"/>
  <c r="F257" i="7"/>
  <c r="F259" i="7"/>
  <c r="G264" i="7"/>
  <c r="H264" i="7" s="1"/>
  <c r="I264" i="7" s="1"/>
  <c r="J264" i="7" s="1"/>
  <c r="K264" i="7" s="1"/>
  <c r="E273" i="7"/>
  <c r="G275" i="7"/>
  <c r="H275" i="7" s="1"/>
  <c r="I275" i="7" s="1"/>
  <c r="J275" i="7" s="1"/>
  <c r="K275" i="7" s="1"/>
  <c r="G278" i="7"/>
  <c r="H278" i="7"/>
  <c r="I278" i="7" s="1"/>
  <c r="J278" i="7" s="1"/>
  <c r="K278" i="7" s="1"/>
  <c r="G288" i="7"/>
  <c r="H288" i="7"/>
  <c r="I288" i="7" s="1"/>
  <c r="J288" i="7"/>
  <c r="K288" i="7" s="1"/>
  <c r="G297" i="7"/>
  <c r="H297" i="7" s="1"/>
  <c r="I297" i="7"/>
  <c r="J297" i="7" s="1"/>
  <c r="K297" i="7" s="1"/>
  <c r="F298" i="7"/>
  <c r="F299" i="7"/>
  <c r="F300" i="7"/>
  <c r="F302" i="7"/>
  <c r="G305" i="7"/>
  <c r="H305" i="7" s="1"/>
  <c r="I305" i="7" s="1"/>
  <c r="J305" i="7" s="1"/>
  <c r="K305" i="7"/>
  <c r="G312" i="7"/>
  <c r="H312" i="7" s="1"/>
  <c r="I312" i="7"/>
  <c r="J312" i="7" s="1"/>
  <c r="K312" i="7" s="1"/>
  <c r="G322" i="7"/>
  <c r="H322" i="7" s="1"/>
  <c r="I322" i="7" s="1"/>
  <c r="J322" i="7" s="1"/>
  <c r="K322" i="7" s="1"/>
  <c r="F323" i="7"/>
  <c r="F324" i="7"/>
  <c r="F325" i="7"/>
  <c r="F326" i="7"/>
  <c r="F327" i="7"/>
  <c r="F328" i="7"/>
  <c r="G332" i="7"/>
  <c r="H332" i="7"/>
  <c r="I332" i="7" s="1"/>
  <c r="J332" i="7"/>
  <c r="K332" i="7" s="1"/>
  <c r="G341" i="7"/>
  <c r="H341" i="7" s="1"/>
  <c r="I341" i="7"/>
  <c r="J341" i="7" s="1"/>
  <c r="K341" i="7"/>
  <c r="G353" i="7"/>
  <c r="H353" i="7" s="1"/>
  <c r="I353" i="7" s="1"/>
  <c r="J353" i="7" s="1"/>
  <c r="K353" i="7" s="1"/>
  <c r="G359" i="7"/>
  <c r="H359" i="7"/>
  <c r="I359" i="7" s="1"/>
  <c r="J359" i="7" s="1"/>
  <c r="K359" i="7" s="1"/>
  <c r="G365" i="7"/>
  <c r="H365" i="7" s="1"/>
  <c r="I365" i="7" s="1"/>
  <c r="J365" i="7"/>
  <c r="K365" i="7"/>
  <c r="G374" i="7"/>
  <c r="H374" i="7" s="1"/>
  <c r="I374" i="7"/>
  <c r="J374" i="7" s="1"/>
  <c r="K374" i="7" s="1"/>
  <c r="G380" i="7"/>
  <c r="H380" i="7"/>
  <c r="I380" i="7"/>
  <c r="J380" i="7" s="1"/>
  <c r="K380" i="7" s="1"/>
  <c r="G386" i="7"/>
  <c r="H386" i="7"/>
  <c r="I386" i="7" s="1"/>
  <c r="J386" i="7" s="1"/>
  <c r="K386" i="7" s="1"/>
  <c r="G395" i="7"/>
  <c r="H395" i="7" s="1"/>
  <c r="I395" i="7" s="1"/>
  <c r="J395" i="7" s="1"/>
  <c r="K395" i="7" s="1"/>
  <c r="F396" i="7"/>
  <c r="F397" i="7"/>
  <c r="F398" i="7"/>
  <c r="E399" i="7"/>
  <c r="G401" i="7"/>
  <c r="H401" i="7" s="1"/>
  <c r="I401" i="7"/>
  <c r="J401" i="7"/>
  <c r="K401" i="7" s="1"/>
  <c r="G407" i="7"/>
  <c r="H407" i="7"/>
  <c r="I407" i="7"/>
  <c r="J407" i="7" s="1"/>
  <c r="K407" i="7" s="1"/>
  <c r="G417" i="7"/>
  <c r="H417" i="7" s="1"/>
  <c r="I417" i="7" s="1"/>
  <c r="J417" i="7" s="1"/>
  <c r="K417" i="7" s="1"/>
  <c r="E418" i="7"/>
  <c r="E422" i="7"/>
  <c r="E436" i="7" s="1"/>
  <c r="E423" i="7"/>
  <c r="E437" i="7" s="1"/>
  <c r="E424" i="7"/>
  <c r="F424" i="7"/>
  <c r="E425" i="7"/>
  <c r="E439" i="7" s="1"/>
  <c r="F425" i="7"/>
  <c r="G431" i="7"/>
  <c r="H431" i="7"/>
  <c r="I431" i="7" s="1"/>
  <c r="J431" i="7" s="1"/>
  <c r="K431" i="7" s="1"/>
  <c r="E432" i="7"/>
  <c r="E433" i="7"/>
  <c r="E434" i="7"/>
  <c r="E438" i="7"/>
  <c r="E440" i="7"/>
  <c r="E441" i="7"/>
  <c r="G443" i="7"/>
  <c r="H443" i="7" s="1"/>
  <c r="I443" i="7" s="1"/>
  <c r="J443" i="7"/>
  <c r="K443" i="7"/>
  <c r="G457" i="7"/>
  <c r="H457" i="7"/>
  <c r="I457" i="7" s="1"/>
  <c r="J457" i="7" s="1"/>
  <c r="K457" i="7" s="1"/>
  <c r="G463" i="7"/>
  <c r="H463" i="7"/>
  <c r="I463" i="7" s="1"/>
  <c r="J463" i="7" s="1"/>
  <c r="K463" i="7" s="1"/>
  <c r="G469" i="7"/>
  <c r="H469" i="7" s="1"/>
  <c r="I469" i="7" s="1"/>
  <c r="J469" i="7"/>
  <c r="K469" i="7"/>
  <c r="G475" i="7"/>
  <c r="H475" i="7" s="1"/>
  <c r="I475" i="7"/>
  <c r="J475" i="7" s="1"/>
  <c r="K475" i="7" s="1"/>
  <c r="G481" i="7"/>
  <c r="H481" i="7" s="1"/>
  <c r="I481" i="7" s="1"/>
  <c r="J481" i="7" s="1"/>
  <c r="K481" i="7" s="1"/>
  <c r="F482" i="7"/>
  <c r="F484" i="7"/>
  <c r="F486" i="7"/>
  <c r="G493" i="7"/>
  <c r="H493" i="7" s="1"/>
  <c r="I493" i="7"/>
  <c r="J493" i="7"/>
  <c r="K493" i="7" s="1"/>
  <c r="G504" i="7"/>
  <c r="H504" i="7"/>
  <c r="I504" i="7"/>
  <c r="J504" i="7" s="1"/>
  <c r="K504" i="7" s="1"/>
  <c r="G518" i="7"/>
  <c r="H518" i="7" s="1"/>
  <c r="I518" i="7" s="1"/>
  <c r="J518" i="7"/>
  <c r="K518" i="7"/>
  <c r="F519" i="7"/>
  <c r="F520" i="7"/>
  <c r="F521" i="7"/>
  <c r="F761" i="7" s="1"/>
  <c r="G525" i="7"/>
  <c r="H525" i="7" s="1"/>
  <c r="I525" i="7"/>
  <c r="J525" i="7" s="1"/>
  <c r="K525" i="7" s="1"/>
  <c r="G531" i="7"/>
  <c r="H531" i="7"/>
  <c r="I531" i="7" s="1"/>
  <c r="J531" i="7" s="1"/>
  <c r="K531" i="7" s="1"/>
  <c r="G540" i="7"/>
  <c r="H540" i="7" s="1"/>
  <c r="I540" i="7" s="1"/>
  <c r="J540" i="7" s="1"/>
  <c r="K540" i="7" s="1"/>
  <c r="G547" i="7"/>
  <c r="H547" i="7" s="1"/>
  <c r="I547" i="7" s="1"/>
  <c r="J547" i="7" s="1"/>
  <c r="K547" i="7" s="1"/>
  <c r="G553" i="7"/>
  <c r="H553" i="7"/>
  <c r="I553" i="7" s="1"/>
  <c r="J553" i="7" s="1"/>
  <c r="K553" i="7" s="1"/>
  <c r="G562" i="7"/>
  <c r="H562" i="7"/>
  <c r="I562" i="7" s="1"/>
  <c r="J562" i="7" s="1"/>
  <c r="K562" i="7" s="1"/>
  <c r="G571" i="7"/>
  <c r="H571" i="7"/>
  <c r="I571" i="7"/>
  <c r="J571" i="7" s="1"/>
  <c r="K571" i="7"/>
  <c r="G577" i="7"/>
  <c r="H577" i="7"/>
  <c r="I577" i="7" s="1"/>
  <c r="J577" i="7"/>
  <c r="K577" i="7"/>
  <c r="G586" i="7"/>
  <c r="H586" i="7" s="1"/>
  <c r="I586" i="7" s="1"/>
  <c r="J586" i="7" s="1"/>
  <c r="K586" i="7"/>
  <c r="G591" i="7"/>
  <c r="H591" i="7" s="1"/>
  <c r="I591" i="7"/>
  <c r="J591" i="7" s="1"/>
  <c r="K591" i="7" s="1"/>
  <c r="G596" i="7"/>
  <c r="H596" i="7"/>
  <c r="I596" i="7"/>
  <c r="J596" i="7"/>
  <c r="K596" i="7" s="1"/>
  <c r="G601" i="7"/>
  <c r="H601" i="7"/>
  <c r="I601" i="7"/>
  <c r="J601" i="7"/>
  <c r="K601" i="7" s="1"/>
  <c r="E603" i="7"/>
  <c r="G609" i="7"/>
  <c r="H609" i="7"/>
  <c r="I609" i="7"/>
  <c r="J609" i="7" s="1"/>
  <c r="K609" i="7" s="1"/>
  <c r="G615" i="7"/>
  <c r="H615" i="7"/>
  <c r="I615" i="7" s="1"/>
  <c r="J615" i="7" s="1"/>
  <c r="K615" i="7" s="1"/>
  <c r="G623" i="7"/>
  <c r="H623" i="7" s="1"/>
  <c r="I623" i="7"/>
  <c r="J623" i="7"/>
  <c r="K623" i="7" s="1"/>
  <c r="G634" i="7"/>
  <c r="H634" i="7"/>
  <c r="I634" i="7"/>
  <c r="J634" i="7" s="1"/>
  <c r="K634" i="7" s="1"/>
  <c r="G644" i="7"/>
  <c r="H644" i="7" s="1"/>
  <c r="I644" i="7" s="1"/>
  <c r="J644" i="7" s="1"/>
  <c r="K644" i="7" s="1"/>
  <c r="G649" i="7"/>
  <c r="H649" i="7" s="1"/>
  <c r="I649" i="7" s="1"/>
  <c r="J649" i="7"/>
  <c r="K649" i="7" s="1"/>
  <c r="G653" i="7"/>
  <c r="H653" i="7"/>
  <c r="I653" i="7"/>
  <c r="J653" i="7" s="1"/>
  <c r="K653" i="7" s="1"/>
  <c r="F654" i="7"/>
  <c r="E662" i="7"/>
  <c r="F662" i="7"/>
  <c r="G667" i="7"/>
  <c r="H667" i="7"/>
  <c r="I667" i="7" s="1"/>
  <c r="J667" i="7" s="1"/>
  <c r="K667" i="7" s="1"/>
  <c r="E676" i="7"/>
  <c r="G680" i="7"/>
  <c r="H680" i="7"/>
  <c r="I680" i="7" s="1"/>
  <c r="J680" i="7" s="1"/>
  <c r="K680" i="7" s="1"/>
  <c r="G685" i="7"/>
  <c r="H685" i="7"/>
  <c r="I685" i="7" s="1"/>
  <c r="J685" i="7" s="1"/>
  <c r="K685" i="7"/>
  <c r="G690" i="7"/>
  <c r="H690" i="7" s="1"/>
  <c r="I690" i="7"/>
  <c r="J690" i="7" s="1"/>
  <c r="K690" i="7"/>
  <c r="E691" i="7"/>
  <c r="F691" i="7"/>
  <c r="E692" i="7"/>
  <c r="F692" i="7"/>
  <c r="G692" i="7"/>
  <c r="H692" i="7"/>
  <c r="I692" i="7"/>
  <c r="J692" i="7"/>
  <c r="K692" i="7"/>
  <c r="E693" i="7"/>
  <c r="F693" i="7"/>
  <c r="E694" i="7"/>
  <c r="F694" i="7"/>
  <c r="E695" i="7"/>
  <c r="F695" i="7"/>
  <c r="E696" i="7"/>
  <c r="E698" i="7"/>
  <c r="F698" i="7"/>
  <c r="G705" i="7"/>
  <c r="H705" i="7"/>
  <c r="I705" i="7" s="1"/>
  <c r="J705" i="7" s="1"/>
  <c r="K705" i="7" s="1"/>
  <c r="E706" i="7"/>
  <c r="F706" i="7"/>
  <c r="E707" i="7"/>
  <c r="F707" i="7"/>
  <c r="E708" i="7"/>
  <c r="F708" i="7"/>
  <c r="G711" i="7"/>
  <c r="H711" i="7"/>
  <c r="I711" i="7"/>
  <c r="J711" i="7" s="1"/>
  <c r="K711" i="7"/>
  <c r="E712" i="7"/>
  <c r="F712" i="7"/>
  <c r="E713" i="7"/>
  <c r="F713" i="7"/>
  <c r="E714" i="7"/>
  <c r="F714" i="7"/>
  <c r="G717" i="7"/>
  <c r="H717" i="7"/>
  <c r="I717" i="7" s="1"/>
  <c r="J717" i="7" s="1"/>
  <c r="K717" i="7" s="1"/>
  <c r="G722" i="7"/>
  <c r="H722" i="7" s="1"/>
  <c r="I722" i="7"/>
  <c r="J722" i="7" s="1"/>
  <c r="K722" i="7" s="1"/>
  <c r="G727" i="7"/>
  <c r="H727" i="7" s="1"/>
  <c r="I727" i="7" s="1"/>
  <c r="J727" i="7" s="1"/>
  <c r="K727" i="7" s="1"/>
  <c r="E728" i="7"/>
  <c r="F728" i="7"/>
  <c r="E729" i="7"/>
  <c r="F729" i="7"/>
  <c r="E730" i="7"/>
  <c r="F730" i="7"/>
  <c r="E731" i="7"/>
  <c r="F731" i="7"/>
  <c r="G734" i="7"/>
  <c r="H734" i="7"/>
  <c r="I734" i="7" s="1"/>
  <c r="J734" i="7" s="1"/>
  <c r="K734" i="7" s="1"/>
  <c r="G739" i="7"/>
  <c r="H739" i="7" s="1"/>
  <c r="I739" i="7" s="1"/>
  <c r="J739" i="7" s="1"/>
  <c r="K739" i="7" s="1"/>
  <c r="G744" i="7"/>
  <c r="H744" i="7"/>
  <c r="I744" i="7" s="1"/>
  <c r="J744" i="7" s="1"/>
  <c r="K744" i="7" s="1"/>
  <c r="G750" i="7"/>
  <c r="H750" i="7"/>
  <c r="I750" i="7" s="1"/>
  <c r="J750" i="7"/>
  <c r="K750" i="7"/>
  <c r="F752" i="7"/>
  <c r="G758" i="7"/>
  <c r="H758" i="7"/>
  <c r="I758" i="7" s="1"/>
  <c r="J758" i="7" s="1"/>
  <c r="K758" i="7" s="1"/>
  <c r="E759" i="7"/>
  <c r="F759" i="7"/>
  <c r="E760" i="7"/>
  <c r="F760" i="7"/>
  <c r="E761" i="7"/>
  <c r="F763" i="7"/>
  <c r="G767" i="7"/>
  <c r="H767" i="7"/>
  <c r="I767" i="7" s="1"/>
  <c r="J767" i="7" s="1"/>
  <c r="K767" i="7" s="1"/>
  <c r="E768" i="7"/>
  <c r="G770" i="7"/>
  <c r="H770" i="7"/>
  <c r="I770" i="7"/>
  <c r="J770" i="7"/>
  <c r="K770" i="7"/>
  <c r="E771" i="7"/>
  <c r="G776" i="7"/>
  <c r="H776" i="7" s="1"/>
  <c r="I776" i="7" s="1"/>
  <c r="J776" i="7" s="1"/>
  <c r="K776" i="7" s="1"/>
  <c r="G786" i="7"/>
  <c r="H786" i="7"/>
  <c r="I786" i="7" s="1"/>
  <c r="J786" i="7" s="1"/>
  <c r="K786" i="7" s="1"/>
  <c r="G794" i="7"/>
  <c r="H794" i="7"/>
  <c r="I794" i="7" s="1"/>
  <c r="J794" i="7" s="1"/>
  <c r="K794" i="7" s="1"/>
  <c r="F19" i="7" l="1"/>
  <c r="F28" i="7"/>
  <c r="F64" i="7"/>
  <c r="F26" i="7"/>
  <c r="F62" i="7"/>
  <c r="AE151" i="8" l="1"/>
  <c r="CW240" i="17" l="1"/>
  <c r="CR304" i="17" l="1"/>
  <c r="CR305" i="17"/>
  <c r="CR306" i="17"/>
  <c r="CR303" i="17"/>
  <c r="CR307" i="17" l="1"/>
  <c r="AB278" i="1" l="1"/>
  <c r="AB31" i="8" s="1"/>
  <c r="AC31" i="8" s="1"/>
  <c r="F278" i="1"/>
  <c r="EW96" i="6" l="1"/>
  <c r="EW95" i="6"/>
  <c r="EW93" i="6"/>
  <c r="EU93" i="6"/>
  <c r="ET93" i="6"/>
  <c r="ES93" i="6"/>
  <c r="EW92" i="6"/>
  <c r="EU92" i="6"/>
  <c r="ET92" i="6"/>
  <c r="ES92" i="6"/>
  <c r="EW90" i="6"/>
  <c r="EU90" i="6"/>
  <c r="ET90" i="6"/>
  <c r="ES90" i="6"/>
  <c r="EW88" i="6"/>
  <c r="EW87" i="6"/>
  <c r="EU87" i="6"/>
  <c r="ET87" i="6"/>
  <c r="ES87" i="6"/>
  <c r="EW86" i="6"/>
  <c r="EU86" i="6"/>
  <c r="ET86" i="6"/>
  <c r="ES86" i="6"/>
  <c r="EW85" i="6"/>
  <c r="EU85" i="6"/>
  <c r="EW83" i="6"/>
  <c r="EW82" i="6"/>
  <c r="EW80" i="6"/>
  <c r="EV80" i="6"/>
  <c r="EU80" i="6"/>
  <c r="EW78" i="6"/>
  <c r="EW76" i="6"/>
  <c r="EV76" i="6"/>
  <c r="EU76" i="6"/>
  <c r="EW75" i="6"/>
  <c r="EU75" i="6"/>
  <c r="ET75" i="6"/>
  <c r="ES75" i="6"/>
  <c r="EW74" i="6"/>
  <c r="EU74" i="6"/>
  <c r="ET74" i="6"/>
  <c r="ES74" i="6"/>
  <c r="EW72" i="6"/>
  <c r="EU72" i="6"/>
  <c r="ET72" i="6"/>
  <c r="EW71" i="6"/>
  <c r="EW70" i="6"/>
  <c r="EU70" i="6"/>
  <c r="ET70" i="6"/>
  <c r="ES70" i="6"/>
  <c r="EW68" i="6"/>
  <c r="EU68" i="6"/>
  <c r="ET68" i="6"/>
  <c r="ES68" i="6"/>
  <c r="EU66" i="6"/>
  <c r="ET66" i="6"/>
  <c r="EU65" i="6"/>
  <c r="ET65" i="6"/>
  <c r="EW64" i="6"/>
  <c r="EV64" i="6"/>
  <c r="EU64" i="6"/>
  <c r="ES64" i="6"/>
  <c r="EW63" i="6"/>
  <c r="EV63" i="6"/>
  <c r="EU63" i="6"/>
  <c r="ES63" i="6"/>
  <c r="EV62" i="6"/>
  <c r="EU62" i="6"/>
  <c r="EW61" i="6"/>
  <c r="EW59" i="6"/>
  <c r="EW58" i="6"/>
  <c r="EW57" i="6"/>
  <c r="EW56" i="6"/>
  <c r="EV56" i="6"/>
  <c r="EU56" i="6"/>
  <c r="ET56" i="6"/>
  <c r="EW55" i="6"/>
  <c r="EV55" i="6"/>
  <c r="EU55" i="6"/>
  <c r="ET55" i="6"/>
  <c r="EW54" i="6"/>
  <c r="EV54" i="6"/>
  <c r="EU54" i="6"/>
  <c r="ET54" i="6"/>
  <c r="ES2" i="6"/>
  <c r="DW114" i="11"/>
  <c r="DW107" i="11"/>
  <c r="DW105" i="11"/>
  <c r="DW99" i="11"/>
  <c r="DW92" i="11"/>
  <c r="DW90" i="11"/>
  <c r="DW84" i="11"/>
  <c r="DW79" i="11"/>
  <c r="DW69" i="11"/>
  <c r="DW54" i="11"/>
  <c r="DY50" i="11"/>
  <c r="DY8" i="11" s="1"/>
  <c r="DW50" i="11"/>
  <c r="AE16" i="12" s="1"/>
  <c r="DW45" i="11"/>
  <c r="DW39" i="11"/>
  <c r="DY7" i="11"/>
  <c r="DW33" i="11"/>
  <c r="EA32" i="11"/>
  <c r="DW20" i="11"/>
  <c r="DY11" i="11"/>
  <c r="DW11" i="11"/>
  <c r="DW8" i="11"/>
  <c r="DW7" i="11"/>
  <c r="DW5" i="11"/>
  <c r="CY275" i="17"/>
  <c r="DB262" i="17"/>
  <c r="DB267" i="17" s="1"/>
  <c r="DA262" i="17"/>
  <c r="DA267" i="17" s="1"/>
  <c r="CZ262" i="17"/>
  <c r="CZ267" i="17" s="1"/>
  <c r="CY262" i="17"/>
  <c r="CY267" i="17" s="1"/>
  <c r="CY253" i="17"/>
  <c r="CZ245" i="17"/>
  <c r="CY240" i="17"/>
  <c r="CY14" i="17" s="1"/>
  <c r="DB232" i="17"/>
  <c r="DB245" i="17" s="1"/>
  <c r="DA232" i="17"/>
  <c r="DA245" i="17" s="1"/>
  <c r="CZ232" i="17"/>
  <c r="CY232" i="17"/>
  <c r="CY245" i="17" s="1"/>
  <c r="CY218" i="17"/>
  <c r="DB205" i="17"/>
  <c r="DB210" i="17" s="1"/>
  <c r="DA205" i="17"/>
  <c r="DA210" i="17" s="1"/>
  <c r="CZ205" i="17"/>
  <c r="CZ210" i="17" s="1"/>
  <c r="CY205" i="17"/>
  <c r="CY210" i="17" s="1"/>
  <c r="CY196" i="17"/>
  <c r="DB183" i="17"/>
  <c r="DA183" i="17"/>
  <c r="CY183" i="17"/>
  <c r="CY12" i="17" s="1"/>
  <c r="DB175" i="17"/>
  <c r="DB188" i="17" s="1"/>
  <c r="DA175" i="17"/>
  <c r="DA188" i="17" s="1"/>
  <c r="CZ175" i="17"/>
  <c r="CZ188" i="17" s="1"/>
  <c r="CY175" i="17"/>
  <c r="CY188" i="17" s="1"/>
  <c r="CY161" i="17"/>
  <c r="DB148" i="17"/>
  <c r="DB153" i="17" s="1"/>
  <c r="DA148" i="17"/>
  <c r="DA153" i="17" s="1"/>
  <c r="CZ148" i="17"/>
  <c r="CZ153" i="17" s="1"/>
  <c r="CY148" i="17"/>
  <c r="CY153" i="17" s="1"/>
  <c r="CY139" i="17"/>
  <c r="DB128" i="17"/>
  <c r="DB133" i="17" s="1"/>
  <c r="DA128" i="17"/>
  <c r="DA133" i="17" s="1"/>
  <c r="CZ128" i="17"/>
  <c r="CZ133" i="17" s="1"/>
  <c r="CY128" i="17"/>
  <c r="CY133" i="17" s="1"/>
  <c r="CY122" i="17"/>
  <c r="DB114" i="17"/>
  <c r="DA114" i="17"/>
  <c r="CZ114" i="17"/>
  <c r="CY114" i="17"/>
  <c r="CY99" i="17"/>
  <c r="DB86" i="17"/>
  <c r="DB8" i="17" s="1"/>
  <c r="DA86" i="17"/>
  <c r="DA8" i="17" s="1"/>
  <c r="CZ86" i="17"/>
  <c r="CZ8" i="17" s="1"/>
  <c r="CY86" i="17"/>
  <c r="DB75" i="17"/>
  <c r="DB91" i="17" s="1"/>
  <c r="DA75" i="17"/>
  <c r="DA91" i="17" s="1"/>
  <c r="CZ75" i="17"/>
  <c r="CZ91" i="17" s="1"/>
  <c r="CY75" i="17"/>
  <c r="CY91" i="17" s="1"/>
  <c r="CY58" i="17"/>
  <c r="DB45" i="17"/>
  <c r="DB50" i="17" s="1"/>
  <c r="DA45" i="17"/>
  <c r="DA50" i="17" s="1"/>
  <c r="CZ45" i="17"/>
  <c r="CZ50" i="17" s="1"/>
  <c r="CY45" i="17"/>
  <c r="CY50" i="17" s="1"/>
  <c r="CY39" i="17"/>
  <c r="DB26" i="17"/>
  <c r="DB31" i="17" s="1"/>
  <c r="DA26" i="17"/>
  <c r="DA31" i="17" s="1"/>
  <c r="CZ26" i="17"/>
  <c r="CZ31" i="17" s="1"/>
  <c r="CY26" i="17"/>
  <c r="CY31" i="17" s="1"/>
  <c r="CY20" i="17"/>
  <c r="DB7" i="17"/>
  <c r="DA7" i="17"/>
  <c r="CZ7" i="17"/>
  <c r="CY7" i="17"/>
  <c r="DB6" i="17"/>
  <c r="DA6" i="17"/>
  <c r="CZ6" i="17"/>
  <c r="CY6" i="17"/>
  <c r="AE620" i="7"/>
  <c r="AE266" i="7"/>
  <c r="AE250" i="7"/>
  <c r="AE20" i="7"/>
  <c r="AE216" i="8"/>
  <c r="EW11" i="6" s="1"/>
  <c r="AE181" i="8"/>
  <c r="AE174" i="8"/>
  <c r="AE458" i="12"/>
  <c r="AE455" i="12"/>
  <c r="AE450" i="12"/>
  <c r="AE445" i="12"/>
  <c r="AE440" i="12"/>
  <c r="AE435" i="12"/>
  <c r="AE432" i="12"/>
  <c r="AE429" i="12"/>
  <c r="AE426" i="12"/>
  <c r="AE423" i="12"/>
  <c r="AE411" i="12"/>
  <c r="AE399" i="12"/>
  <c r="AE396" i="12"/>
  <c r="AE393" i="12"/>
  <c r="AE390" i="12"/>
  <c r="AE387" i="12"/>
  <c r="AE370" i="12"/>
  <c r="AE366" i="12"/>
  <c r="AE365" i="12"/>
  <c r="AE360" i="12"/>
  <c r="AE354" i="12"/>
  <c r="AE351" i="12"/>
  <c r="AE344" i="12"/>
  <c r="AE337" i="12"/>
  <c r="AE333" i="12"/>
  <c r="AE329" i="12"/>
  <c r="AE326" i="12"/>
  <c r="AE324" i="12"/>
  <c r="AE319" i="12"/>
  <c r="AE314" i="12"/>
  <c r="AE308" i="12"/>
  <c r="AE303" i="12"/>
  <c r="AE297" i="12"/>
  <c r="AE294" i="12"/>
  <c r="AE292" i="12"/>
  <c r="AE287" i="12"/>
  <c r="AE282" i="12"/>
  <c r="AE276" i="12"/>
  <c r="AE271" i="12"/>
  <c r="AE265" i="12"/>
  <c r="AE262" i="12"/>
  <c r="AE259" i="12"/>
  <c r="AE253" i="12"/>
  <c r="AE246" i="12"/>
  <c r="AE240" i="12"/>
  <c r="AE235" i="12"/>
  <c r="AE234" i="12"/>
  <c r="AE227" i="12"/>
  <c r="AE215" i="12"/>
  <c r="AE201" i="12"/>
  <c r="AE198" i="12"/>
  <c r="AE196" i="12"/>
  <c r="AE190" i="12"/>
  <c r="AE187" i="12"/>
  <c r="AE184" i="12"/>
  <c r="AE164" i="12"/>
  <c r="AE161" i="12"/>
  <c r="AE158" i="12"/>
  <c r="AE146" i="12"/>
  <c r="AE133" i="12"/>
  <c r="AE130" i="12"/>
  <c r="AE127" i="12"/>
  <c r="AE124" i="12"/>
  <c r="AE121" i="12"/>
  <c r="AE117" i="12"/>
  <c r="AE113" i="12"/>
  <c r="AE110" i="12"/>
  <c r="AE109" i="12"/>
  <c r="AE108" i="12"/>
  <c r="AE102" i="12"/>
  <c r="AE97" i="12"/>
  <c r="AE91" i="12"/>
  <c r="AE88" i="12"/>
  <c r="AE87" i="12"/>
  <c r="AE86" i="12"/>
  <c r="AE80" i="12"/>
  <c r="AE75" i="12"/>
  <c r="AE69" i="12"/>
  <c r="AE67" i="12"/>
  <c r="AE66" i="12"/>
  <c r="AE63" i="12"/>
  <c r="AE57" i="12"/>
  <c r="AE50" i="12"/>
  <c r="AE48" i="12"/>
  <c r="AE47" i="12"/>
  <c r="AE44" i="12"/>
  <c r="AE41" i="12"/>
  <c r="AE40" i="12"/>
  <c r="AE36" i="12"/>
  <c r="AE35" i="12"/>
  <c r="AE32" i="12"/>
  <c r="AE18" i="12"/>
  <c r="AE15" i="12"/>
  <c r="AE12" i="12"/>
  <c r="AE10" i="12"/>
  <c r="AE9" i="12"/>
  <c r="AE6" i="12"/>
  <c r="AE768" i="7" l="1"/>
  <c r="DA12" i="17"/>
  <c r="CY8" i="17"/>
  <c r="DB12" i="17"/>
  <c r="CZ183" i="17"/>
  <c r="CZ240" i="17"/>
  <c r="CZ14" i="17" s="1"/>
  <c r="DC70" i="16"/>
  <c r="DB70" i="16"/>
  <c r="DA70" i="16"/>
  <c r="CZ70" i="16"/>
  <c r="CY70" i="16"/>
  <c r="CX70" i="16"/>
  <c r="CW70" i="16"/>
  <c r="CV70" i="16"/>
  <c r="CU70" i="16"/>
  <c r="CT70" i="16"/>
  <c r="CS70" i="16"/>
  <c r="CR70" i="16"/>
  <c r="CQ70" i="16"/>
  <c r="CP70" i="16"/>
  <c r="CO70" i="16"/>
  <c r="CN70" i="16"/>
  <c r="CM70" i="16"/>
  <c r="CL70" i="16"/>
  <c r="CK70" i="16"/>
  <c r="CJ70" i="16"/>
  <c r="CI70" i="16"/>
  <c r="CH70" i="16"/>
  <c r="CG70" i="16"/>
  <c r="CF70" i="16"/>
  <c r="CE70" i="16"/>
  <c r="CD70" i="16"/>
  <c r="CC70" i="16"/>
  <c r="CB70" i="16"/>
  <c r="CA70" i="16"/>
  <c r="BZ70" i="16"/>
  <c r="BY70" i="16"/>
  <c r="BX70" i="16"/>
  <c r="BW70" i="16"/>
  <c r="BV70" i="16"/>
  <c r="BU70" i="16"/>
  <c r="BT70" i="16"/>
  <c r="BS70" i="16"/>
  <c r="BR70" i="16"/>
  <c r="BQ70" i="16"/>
  <c r="BP70" i="16"/>
  <c r="BO70" i="16"/>
  <c r="BN70" i="16"/>
  <c r="BM70" i="16"/>
  <c r="BL70" i="16"/>
  <c r="BK70" i="16"/>
  <c r="BJ70" i="16"/>
  <c r="BI70" i="16"/>
  <c r="BH70" i="16"/>
  <c r="BG70" i="16"/>
  <c r="BF70" i="16"/>
  <c r="BE70" i="16"/>
  <c r="BD70" i="16"/>
  <c r="BC70" i="16"/>
  <c r="BB70" i="16"/>
  <c r="BA70" i="16"/>
  <c r="AZ70" i="16"/>
  <c r="AY70" i="16"/>
  <c r="AX70" i="16"/>
  <c r="AW70" i="16"/>
  <c r="AV70" i="16"/>
  <c r="AU70" i="16"/>
  <c r="AT70" i="16"/>
  <c r="AS70" i="16"/>
  <c r="AR70" i="16"/>
  <c r="AQ70" i="16"/>
  <c r="AP70" i="16"/>
  <c r="AO70" i="16"/>
  <c r="AN70" i="16"/>
  <c r="AM70" i="16"/>
  <c r="AL70" i="16"/>
  <c r="AK70" i="16"/>
  <c r="AJ70" i="16"/>
  <c r="AI70" i="16"/>
  <c r="AH70" i="16"/>
  <c r="AG70" i="16"/>
  <c r="AF70" i="16"/>
  <c r="AE70" i="16"/>
  <c r="AD70" i="16"/>
  <c r="AC70" i="16"/>
  <c r="AB70" i="16"/>
  <c r="AA70" i="16"/>
  <c r="Z70" i="16"/>
  <c r="Y70" i="16"/>
  <c r="X70" i="16"/>
  <c r="W70" i="16"/>
  <c r="V70" i="16"/>
  <c r="U70" i="16"/>
  <c r="T70" i="16"/>
  <c r="S70" i="16"/>
  <c r="R70" i="16"/>
  <c r="Q70" i="16"/>
  <c r="P70" i="16"/>
  <c r="O70" i="16"/>
  <c r="N70" i="16"/>
  <c r="M70" i="16"/>
  <c r="L70" i="16"/>
  <c r="K70" i="16"/>
  <c r="J70" i="16"/>
  <c r="I70" i="16"/>
  <c r="H70" i="16"/>
  <c r="G70" i="16"/>
  <c r="F70" i="16"/>
  <c r="DC69" i="16"/>
  <c r="DB69" i="16"/>
  <c r="DA69" i="16"/>
  <c r="CZ69" i="16"/>
  <c r="CY69" i="16"/>
  <c r="CX69" i="16"/>
  <c r="CW69" i="16"/>
  <c r="CV69" i="16"/>
  <c r="CU69" i="16"/>
  <c r="CT69" i="16"/>
  <c r="CS69" i="16"/>
  <c r="CR69" i="16"/>
  <c r="CQ69" i="16"/>
  <c r="CP69" i="16"/>
  <c r="CO69" i="16"/>
  <c r="CN69" i="16"/>
  <c r="CM69" i="16"/>
  <c r="CL69" i="16"/>
  <c r="CK69" i="16"/>
  <c r="CJ69" i="16"/>
  <c r="CI69" i="16"/>
  <c r="CH69" i="16"/>
  <c r="CG69" i="16"/>
  <c r="CF69" i="16"/>
  <c r="CE69" i="16"/>
  <c r="CD69" i="16"/>
  <c r="CC69" i="16"/>
  <c r="CB69" i="16"/>
  <c r="CA69" i="16"/>
  <c r="BZ69" i="16"/>
  <c r="BY69" i="16"/>
  <c r="BX69" i="16"/>
  <c r="BW69" i="16"/>
  <c r="BV69" i="16"/>
  <c r="BU69" i="16"/>
  <c r="BT69" i="16"/>
  <c r="BS69" i="16"/>
  <c r="BR69" i="16"/>
  <c r="BQ69" i="16"/>
  <c r="BP69" i="16"/>
  <c r="BO69" i="16"/>
  <c r="BN69" i="16"/>
  <c r="BM69" i="16"/>
  <c r="BL69" i="16"/>
  <c r="BK69" i="16"/>
  <c r="BJ69" i="16"/>
  <c r="BI69" i="16"/>
  <c r="BH69" i="16"/>
  <c r="BG69" i="16"/>
  <c r="BF69" i="16"/>
  <c r="BE69" i="16"/>
  <c r="BD69" i="16"/>
  <c r="BC69" i="16"/>
  <c r="BB69" i="16"/>
  <c r="BA69" i="16"/>
  <c r="AZ69" i="16"/>
  <c r="AY69" i="16"/>
  <c r="AX69" i="16"/>
  <c r="AW69" i="16"/>
  <c r="AV69" i="16"/>
  <c r="AU69" i="16"/>
  <c r="AT69" i="16"/>
  <c r="AS69" i="16"/>
  <c r="AR69" i="16"/>
  <c r="AQ69" i="16"/>
  <c r="AP69" i="16"/>
  <c r="AO69" i="16"/>
  <c r="AN69" i="16"/>
  <c r="AM69" i="16"/>
  <c r="AL69" i="16"/>
  <c r="AK69" i="16"/>
  <c r="AJ69" i="16"/>
  <c r="AI69" i="16"/>
  <c r="AH69" i="16"/>
  <c r="AG69" i="16"/>
  <c r="AF69" i="16"/>
  <c r="AE69" i="16"/>
  <c r="AD69" i="16"/>
  <c r="AC69" i="16"/>
  <c r="AB69" i="16"/>
  <c r="AA69" i="16"/>
  <c r="Z69" i="16"/>
  <c r="Y69" i="16"/>
  <c r="X69" i="16"/>
  <c r="W69" i="16"/>
  <c r="V69" i="16"/>
  <c r="U69" i="16"/>
  <c r="T69" i="16"/>
  <c r="S69" i="16"/>
  <c r="R69" i="16"/>
  <c r="Q69" i="16"/>
  <c r="P69" i="16"/>
  <c r="O69" i="16"/>
  <c r="N69" i="16"/>
  <c r="M69" i="16"/>
  <c r="L69" i="16"/>
  <c r="K69" i="16"/>
  <c r="J69" i="16"/>
  <c r="I69" i="16"/>
  <c r="H69" i="16"/>
  <c r="G69" i="16"/>
  <c r="F69" i="16"/>
  <c r="DC68" i="16"/>
  <c r="DB68" i="16"/>
  <c r="DA68" i="16"/>
  <c r="CZ68" i="16"/>
  <c r="CY68" i="16"/>
  <c r="CX68" i="16"/>
  <c r="CW68" i="16"/>
  <c r="CV68" i="16"/>
  <c r="CU68" i="16"/>
  <c r="CT68" i="16"/>
  <c r="CS68" i="16"/>
  <c r="CR68" i="16"/>
  <c r="CQ68" i="16"/>
  <c r="CP68" i="16"/>
  <c r="CO68" i="16"/>
  <c r="CN68" i="16"/>
  <c r="CM68" i="16"/>
  <c r="CL68" i="16"/>
  <c r="CK68" i="16"/>
  <c r="CJ68" i="16"/>
  <c r="CI68" i="16"/>
  <c r="CH68" i="16"/>
  <c r="CG68" i="16"/>
  <c r="CF68" i="16"/>
  <c r="CE68" i="16"/>
  <c r="CD68" i="16"/>
  <c r="CC68" i="16"/>
  <c r="CB68" i="16"/>
  <c r="CA68" i="16"/>
  <c r="BZ68" i="16"/>
  <c r="BY68" i="16"/>
  <c r="BX68" i="16"/>
  <c r="BW68" i="16"/>
  <c r="BV68" i="16"/>
  <c r="BU68" i="16"/>
  <c r="BT68" i="16"/>
  <c r="BS68" i="16"/>
  <c r="BR68" i="16"/>
  <c r="BQ68" i="16"/>
  <c r="BP68" i="16"/>
  <c r="BO68" i="16"/>
  <c r="BN68" i="16"/>
  <c r="BM68" i="16"/>
  <c r="BL68" i="16"/>
  <c r="BK68" i="16"/>
  <c r="BJ68" i="16"/>
  <c r="BI68" i="16"/>
  <c r="BH68" i="16"/>
  <c r="BG68" i="16"/>
  <c r="BF68" i="16"/>
  <c r="BE68" i="16"/>
  <c r="BD68" i="16"/>
  <c r="BC68" i="16"/>
  <c r="BB68" i="16"/>
  <c r="BA68" i="16"/>
  <c r="AZ68" i="16"/>
  <c r="AY68" i="16"/>
  <c r="AX68" i="16"/>
  <c r="AW68" i="16"/>
  <c r="AV68" i="16"/>
  <c r="AU68" i="16"/>
  <c r="AT68" i="16"/>
  <c r="AS68" i="16"/>
  <c r="AR68" i="16"/>
  <c r="AQ68" i="16"/>
  <c r="AP68" i="16"/>
  <c r="AO68" i="16"/>
  <c r="AN68" i="16"/>
  <c r="AM68" i="16"/>
  <c r="AL68" i="16"/>
  <c r="AK68" i="16"/>
  <c r="AJ68" i="16"/>
  <c r="AI68" i="16"/>
  <c r="AH68" i="16"/>
  <c r="AG68" i="16"/>
  <c r="AF68" i="16"/>
  <c r="AE68" i="16"/>
  <c r="AD68" i="16"/>
  <c r="AC68" i="16"/>
  <c r="AB68" i="16"/>
  <c r="AA68" i="16"/>
  <c r="Z68" i="16"/>
  <c r="Y68" i="16"/>
  <c r="X68" i="16"/>
  <c r="W68" i="16"/>
  <c r="V68" i="16"/>
  <c r="U68" i="16"/>
  <c r="T68" i="16"/>
  <c r="S68" i="16"/>
  <c r="R68" i="16"/>
  <c r="Q68" i="16"/>
  <c r="P68" i="16"/>
  <c r="O68" i="16"/>
  <c r="N68" i="16"/>
  <c r="M68" i="16"/>
  <c r="L68" i="16"/>
  <c r="K68" i="16"/>
  <c r="J68" i="16"/>
  <c r="I68" i="16"/>
  <c r="H68" i="16"/>
  <c r="G68" i="16"/>
  <c r="F68" i="16"/>
  <c r="DC67" i="16"/>
  <c r="DB67" i="16"/>
  <c r="DA67" i="16"/>
  <c r="CZ67" i="16"/>
  <c r="CY67" i="16"/>
  <c r="CX67" i="16"/>
  <c r="CW67" i="16"/>
  <c r="CV67" i="16"/>
  <c r="CU67" i="16"/>
  <c r="CT67" i="16"/>
  <c r="CS67" i="16"/>
  <c r="CR67" i="16"/>
  <c r="CQ67" i="16"/>
  <c r="CP67" i="16"/>
  <c r="CO67" i="16"/>
  <c r="CN67" i="16"/>
  <c r="CM67" i="16"/>
  <c r="CL67" i="16"/>
  <c r="CK67" i="16"/>
  <c r="CJ67" i="16"/>
  <c r="CI67" i="16"/>
  <c r="CH67" i="16"/>
  <c r="CG67" i="16"/>
  <c r="CF67" i="16"/>
  <c r="CE67" i="16"/>
  <c r="CD67" i="16"/>
  <c r="CC67" i="16"/>
  <c r="CB67" i="16"/>
  <c r="CA67" i="16"/>
  <c r="BZ67" i="16"/>
  <c r="BY67" i="16"/>
  <c r="BX67" i="16"/>
  <c r="BW67" i="16"/>
  <c r="BV67" i="16"/>
  <c r="BU67" i="16"/>
  <c r="BT67" i="16"/>
  <c r="BS67" i="16"/>
  <c r="BR67" i="16"/>
  <c r="BQ67" i="16"/>
  <c r="BP67" i="16"/>
  <c r="BO67" i="16"/>
  <c r="BN67" i="16"/>
  <c r="BM67" i="16"/>
  <c r="BL67" i="16"/>
  <c r="BK67" i="16"/>
  <c r="BJ67" i="16"/>
  <c r="BI67" i="16"/>
  <c r="BH67" i="16"/>
  <c r="BG67" i="16"/>
  <c r="BF67" i="16"/>
  <c r="BE67" i="16"/>
  <c r="BD67" i="16"/>
  <c r="BC67" i="16"/>
  <c r="BB67" i="16"/>
  <c r="BA67" i="16"/>
  <c r="AZ67" i="16"/>
  <c r="AY67" i="16"/>
  <c r="AX67" i="16"/>
  <c r="AW67" i="16"/>
  <c r="AV67" i="16"/>
  <c r="AU67" i="16"/>
  <c r="AT67" i="16"/>
  <c r="AS67" i="16"/>
  <c r="AR67" i="16"/>
  <c r="AQ67" i="16"/>
  <c r="AP67" i="16"/>
  <c r="AO67" i="16"/>
  <c r="AN67" i="16"/>
  <c r="AM67" i="16"/>
  <c r="AL67" i="16"/>
  <c r="AK67" i="16"/>
  <c r="AJ67" i="16"/>
  <c r="AI67" i="16"/>
  <c r="AH67" i="16"/>
  <c r="AG67" i="16"/>
  <c r="AF67" i="16"/>
  <c r="AE67" i="16"/>
  <c r="AD67" i="16"/>
  <c r="AC67" i="16"/>
  <c r="AB67" i="16"/>
  <c r="AA67" i="16"/>
  <c r="Z67" i="16"/>
  <c r="Y67" i="16"/>
  <c r="X67" i="16"/>
  <c r="W67" i="16"/>
  <c r="V67" i="16"/>
  <c r="U67" i="16"/>
  <c r="T67" i="16"/>
  <c r="S67" i="16"/>
  <c r="R67" i="16"/>
  <c r="Q67" i="16"/>
  <c r="P67" i="16"/>
  <c r="O67" i="16"/>
  <c r="N67" i="16"/>
  <c r="M67" i="16"/>
  <c r="L67" i="16"/>
  <c r="K67" i="16"/>
  <c r="J67" i="16"/>
  <c r="I67" i="16"/>
  <c r="H67" i="16"/>
  <c r="G67" i="16"/>
  <c r="F67" i="16"/>
  <c r="DC66" i="16"/>
  <c r="DB66" i="16"/>
  <c r="DA66" i="16"/>
  <c r="CZ66" i="16"/>
  <c r="CY66" i="16"/>
  <c r="CX66" i="16"/>
  <c r="CW66" i="16"/>
  <c r="CV66" i="16"/>
  <c r="CU66" i="16"/>
  <c r="CT66" i="16"/>
  <c r="CS66" i="16"/>
  <c r="CR66" i="16"/>
  <c r="CQ66" i="16"/>
  <c r="CP66" i="16"/>
  <c r="CO66" i="16"/>
  <c r="CN66" i="16"/>
  <c r="CM66" i="16"/>
  <c r="CL66" i="16"/>
  <c r="CK66" i="16"/>
  <c r="CJ66" i="16"/>
  <c r="CI66" i="16"/>
  <c r="CH66" i="16"/>
  <c r="CG66" i="16"/>
  <c r="CF66" i="16"/>
  <c r="CE66" i="16"/>
  <c r="CD66" i="16"/>
  <c r="CC66" i="16"/>
  <c r="CB66" i="16"/>
  <c r="CA66" i="16"/>
  <c r="BZ66" i="16"/>
  <c r="BY66" i="16"/>
  <c r="BX66" i="16"/>
  <c r="BW66" i="16"/>
  <c r="BV66" i="16"/>
  <c r="BU66" i="16"/>
  <c r="BT66" i="16"/>
  <c r="BS66" i="16"/>
  <c r="BR66" i="16"/>
  <c r="BQ66" i="16"/>
  <c r="BP66" i="16"/>
  <c r="BO66" i="16"/>
  <c r="BN66" i="16"/>
  <c r="BM66" i="16"/>
  <c r="BL66" i="16"/>
  <c r="BK66" i="16"/>
  <c r="BJ66" i="16"/>
  <c r="BI66" i="16"/>
  <c r="BH66" i="16"/>
  <c r="BG66" i="16"/>
  <c r="BF66" i="16"/>
  <c r="BE66" i="16"/>
  <c r="BD66" i="16"/>
  <c r="BC66" i="16"/>
  <c r="BB66" i="16"/>
  <c r="BA66" i="16"/>
  <c r="AZ66" i="16"/>
  <c r="AY66" i="16"/>
  <c r="AX66" i="16"/>
  <c r="AW66" i="16"/>
  <c r="AV66" i="16"/>
  <c r="AU66" i="16"/>
  <c r="AT66" i="16"/>
  <c r="AS66" i="16"/>
  <c r="AR66" i="16"/>
  <c r="AQ66" i="16"/>
  <c r="AP66" i="16"/>
  <c r="AO66" i="16"/>
  <c r="AN66" i="16"/>
  <c r="AM66" i="16"/>
  <c r="AL66" i="16"/>
  <c r="AK66" i="16"/>
  <c r="AJ66" i="16"/>
  <c r="AI66" i="16"/>
  <c r="AH66" i="16"/>
  <c r="AG66" i="16"/>
  <c r="AF66" i="16"/>
  <c r="AE66" i="16"/>
  <c r="AD66" i="16"/>
  <c r="AC66" i="16"/>
  <c r="AB66" i="16"/>
  <c r="AA66" i="16"/>
  <c r="Z66" i="16"/>
  <c r="Y66" i="16"/>
  <c r="X66" i="16"/>
  <c r="W66" i="16"/>
  <c r="V66" i="16"/>
  <c r="U66" i="16"/>
  <c r="T66" i="16"/>
  <c r="S66" i="16"/>
  <c r="R66" i="16"/>
  <c r="Q66" i="16"/>
  <c r="P66" i="16"/>
  <c r="O66" i="16"/>
  <c r="N66" i="16"/>
  <c r="M66" i="16"/>
  <c r="L66" i="16"/>
  <c r="K66" i="16"/>
  <c r="J66" i="16"/>
  <c r="I66" i="16"/>
  <c r="H66" i="16"/>
  <c r="G66" i="16"/>
  <c r="F66" i="16"/>
  <c r="DC65" i="16"/>
  <c r="DB65" i="16"/>
  <c r="DA65" i="16"/>
  <c r="CZ65" i="16"/>
  <c r="CY65" i="16"/>
  <c r="CX65" i="16"/>
  <c r="CW65" i="16"/>
  <c r="CV65" i="16"/>
  <c r="CU65" i="16"/>
  <c r="CT65" i="16"/>
  <c r="CS65" i="16"/>
  <c r="CR65" i="16"/>
  <c r="CQ65" i="16"/>
  <c r="CP65" i="16"/>
  <c r="CO65" i="16"/>
  <c r="CN65" i="16"/>
  <c r="CM65" i="16"/>
  <c r="CL65" i="16"/>
  <c r="CK65" i="16"/>
  <c r="CJ65" i="16"/>
  <c r="CI65" i="16"/>
  <c r="CH65" i="16"/>
  <c r="CG65" i="16"/>
  <c r="CF65" i="16"/>
  <c r="CE65" i="16"/>
  <c r="CD65" i="16"/>
  <c r="CC65" i="16"/>
  <c r="CB65" i="16"/>
  <c r="CA65" i="16"/>
  <c r="BZ65" i="16"/>
  <c r="BY65" i="16"/>
  <c r="BX65" i="16"/>
  <c r="BW65" i="16"/>
  <c r="BV65" i="16"/>
  <c r="BU65" i="16"/>
  <c r="BT65" i="16"/>
  <c r="BS65" i="16"/>
  <c r="BR65" i="16"/>
  <c r="BQ65" i="16"/>
  <c r="BP65" i="16"/>
  <c r="BO65" i="16"/>
  <c r="BN65" i="16"/>
  <c r="BM65" i="16"/>
  <c r="BL65" i="16"/>
  <c r="BK65" i="16"/>
  <c r="BJ65" i="16"/>
  <c r="BI65" i="16"/>
  <c r="BH65" i="16"/>
  <c r="BG65" i="16"/>
  <c r="BF65" i="16"/>
  <c r="BE65" i="16"/>
  <c r="BD65" i="16"/>
  <c r="BC65" i="16"/>
  <c r="BB65" i="16"/>
  <c r="BA65" i="16"/>
  <c r="AZ65" i="16"/>
  <c r="AY65" i="16"/>
  <c r="AX65" i="16"/>
  <c r="AW65" i="16"/>
  <c r="AV65" i="16"/>
  <c r="AU65" i="16"/>
  <c r="AT65" i="16"/>
  <c r="AS65" i="16"/>
  <c r="AR65" i="16"/>
  <c r="AQ65" i="16"/>
  <c r="AP65" i="16"/>
  <c r="AO65" i="16"/>
  <c r="AN65" i="16"/>
  <c r="AM65" i="16"/>
  <c r="AL65" i="16"/>
  <c r="AK65" i="16"/>
  <c r="AJ65" i="16"/>
  <c r="AI65" i="16"/>
  <c r="AH65" i="16"/>
  <c r="AG65" i="16"/>
  <c r="AF65" i="16"/>
  <c r="AE65" i="16"/>
  <c r="AD65" i="16"/>
  <c r="AC65" i="16"/>
  <c r="AB65" i="16"/>
  <c r="AA65" i="16"/>
  <c r="Z65" i="16"/>
  <c r="Y65" i="16"/>
  <c r="X65" i="16"/>
  <c r="W65" i="16"/>
  <c r="V65" i="16"/>
  <c r="U65" i="16"/>
  <c r="T65" i="16"/>
  <c r="S65" i="16"/>
  <c r="R65" i="16"/>
  <c r="Q65" i="16"/>
  <c r="P65" i="16"/>
  <c r="O65" i="16"/>
  <c r="N65" i="16"/>
  <c r="M65" i="16"/>
  <c r="L65" i="16"/>
  <c r="K65" i="16"/>
  <c r="J65" i="16"/>
  <c r="I65" i="16"/>
  <c r="H65" i="16"/>
  <c r="G65" i="16"/>
  <c r="F65" i="16"/>
  <c r="DC64" i="16"/>
  <c r="DB64" i="16"/>
  <c r="DA64" i="16"/>
  <c r="CZ64" i="16"/>
  <c r="CY64" i="16"/>
  <c r="CX64" i="16"/>
  <c r="CW64" i="16"/>
  <c r="CV64" i="16"/>
  <c r="CU64" i="16"/>
  <c r="CT64" i="16"/>
  <c r="CS64" i="16"/>
  <c r="CR64" i="16"/>
  <c r="CQ64" i="16"/>
  <c r="CP64" i="16"/>
  <c r="CO64" i="16"/>
  <c r="CN64" i="16"/>
  <c r="CM64" i="16"/>
  <c r="CL64" i="16"/>
  <c r="CK64" i="16"/>
  <c r="CJ64" i="16"/>
  <c r="CI64" i="16"/>
  <c r="CH64" i="16"/>
  <c r="CG64" i="16"/>
  <c r="CF64" i="16"/>
  <c r="CE64" i="16"/>
  <c r="CD64" i="16"/>
  <c r="CC64" i="16"/>
  <c r="CB64" i="16"/>
  <c r="CA64" i="16"/>
  <c r="BZ64" i="16"/>
  <c r="BY64" i="16"/>
  <c r="BX64" i="16"/>
  <c r="BW64" i="16"/>
  <c r="BV64" i="16"/>
  <c r="BU64" i="16"/>
  <c r="BT64" i="16"/>
  <c r="BS64" i="16"/>
  <c r="BR64" i="16"/>
  <c r="BQ64" i="16"/>
  <c r="BP64" i="16"/>
  <c r="BO64" i="16"/>
  <c r="BN64" i="16"/>
  <c r="BM64" i="16"/>
  <c r="BL64" i="16"/>
  <c r="BK64" i="16"/>
  <c r="BJ64" i="16"/>
  <c r="BI64" i="16"/>
  <c r="BH64" i="16"/>
  <c r="BG64" i="16"/>
  <c r="BF64" i="16"/>
  <c r="BE64" i="16"/>
  <c r="BD64" i="16"/>
  <c r="BC64" i="16"/>
  <c r="BB64" i="16"/>
  <c r="BA64" i="16"/>
  <c r="AZ64" i="16"/>
  <c r="AY64" i="16"/>
  <c r="AX64" i="16"/>
  <c r="AW64" i="16"/>
  <c r="AV64" i="16"/>
  <c r="AU64" i="16"/>
  <c r="AT64" i="16"/>
  <c r="AS64" i="16"/>
  <c r="AR64" i="16"/>
  <c r="AQ64" i="16"/>
  <c r="AP64" i="16"/>
  <c r="AO64" i="16"/>
  <c r="AN64" i="16"/>
  <c r="AM64" i="16"/>
  <c r="AL64" i="16"/>
  <c r="AK64" i="16"/>
  <c r="AJ64" i="16"/>
  <c r="AI64" i="16"/>
  <c r="AH64" i="16"/>
  <c r="AG64" i="16"/>
  <c r="AF64" i="16"/>
  <c r="AE64" i="16"/>
  <c r="AD64" i="16"/>
  <c r="AC64" i="16"/>
  <c r="AB64" i="16"/>
  <c r="AA64" i="16"/>
  <c r="Z64" i="16"/>
  <c r="Y64" i="16"/>
  <c r="X64" i="16"/>
  <c r="W64" i="16"/>
  <c r="V64" i="16"/>
  <c r="U64" i="16"/>
  <c r="T64" i="16"/>
  <c r="S64" i="16"/>
  <c r="R64" i="16"/>
  <c r="Q64" i="16"/>
  <c r="P64" i="16"/>
  <c r="O64" i="16"/>
  <c r="N64" i="16"/>
  <c r="M64" i="16"/>
  <c r="L64" i="16"/>
  <c r="K64" i="16"/>
  <c r="J64" i="16"/>
  <c r="I64" i="16"/>
  <c r="H64" i="16"/>
  <c r="G64" i="16"/>
  <c r="F64" i="16"/>
  <c r="DC63" i="16"/>
  <c r="DB63" i="16"/>
  <c r="DA63" i="16"/>
  <c r="CZ63" i="16"/>
  <c r="CY63" i="16"/>
  <c r="CX63" i="16"/>
  <c r="CW63" i="16"/>
  <c r="CV63" i="16"/>
  <c r="CU63" i="16"/>
  <c r="CT63" i="16"/>
  <c r="CS63" i="16"/>
  <c r="CR63" i="16"/>
  <c r="CQ63" i="16"/>
  <c r="CP63" i="16"/>
  <c r="CO63" i="16"/>
  <c r="CN63" i="16"/>
  <c r="CM63" i="16"/>
  <c r="CL63" i="16"/>
  <c r="CK63" i="16"/>
  <c r="CJ63" i="16"/>
  <c r="CI63" i="16"/>
  <c r="CH63" i="16"/>
  <c r="CG63" i="16"/>
  <c r="CF63" i="16"/>
  <c r="CE63" i="16"/>
  <c r="CD63" i="16"/>
  <c r="CC63" i="16"/>
  <c r="CB63" i="16"/>
  <c r="CA63" i="16"/>
  <c r="BZ63" i="16"/>
  <c r="BY63" i="16"/>
  <c r="BX63" i="16"/>
  <c r="BW63" i="16"/>
  <c r="BV63" i="16"/>
  <c r="BU63" i="16"/>
  <c r="BT63" i="16"/>
  <c r="BS63" i="16"/>
  <c r="BR63" i="16"/>
  <c r="BQ63" i="16"/>
  <c r="BP63" i="16"/>
  <c r="BO63" i="16"/>
  <c r="BN63" i="16"/>
  <c r="BM63" i="16"/>
  <c r="BL63" i="16"/>
  <c r="BK63" i="16"/>
  <c r="BJ63" i="16"/>
  <c r="BI63" i="16"/>
  <c r="BH63" i="16"/>
  <c r="BG63" i="16"/>
  <c r="BF63" i="16"/>
  <c r="BE63" i="16"/>
  <c r="BD63" i="16"/>
  <c r="BC63" i="16"/>
  <c r="BB63" i="16"/>
  <c r="BA63" i="16"/>
  <c r="AZ63" i="16"/>
  <c r="AY63" i="16"/>
  <c r="AX63" i="16"/>
  <c r="AW63" i="16"/>
  <c r="AV63" i="16"/>
  <c r="AU63" i="16"/>
  <c r="AT63" i="16"/>
  <c r="AS63" i="16"/>
  <c r="AR63" i="16"/>
  <c r="AQ63" i="16"/>
  <c r="AP63" i="16"/>
  <c r="AO63" i="16"/>
  <c r="AN63" i="16"/>
  <c r="AM63" i="16"/>
  <c r="AL63" i="16"/>
  <c r="AK63" i="16"/>
  <c r="AJ63" i="16"/>
  <c r="AI63" i="16"/>
  <c r="AH63" i="16"/>
  <c r="AG63" i="16"/>
  <c r="AF63" i="16"/>
  <c r="AE63" i="16"/>
  <c r="AD63" i="16"/>
  <c r="AC63" i="16"/>
  <c r="AB63" i="16"/>
  <c r="AA63" i="16"/>
  <c r="Z63" i="16"/>
  <c r="Y63" i="16"/>
  <c r="X63" i="16"/>
  <c r="W63" i="16"/>
  <c r="V63" i="16"/>
  <c r="U63" i="16"/>
  <c r="T63" i="16"/>
  <c r="S63" i="16"/>
  <c r="R63" i="16"/>
  <c r="Q63" i="16"/>
  <c r="P63" i="16"/>
  <c r="O63" i="16"/>
  <c r="N63" i="16"/>
  <c r="M63" i="16"/>
  <c r="L63" i="16"/>
  <c r="K63" i="16"/>
  <c r="J63" i="16"/>
  <c r="I63" i="16"/>
  <c r="H63" i="16"/>
  <c r="G63" i="16"/>
  <c r="F63" i="16"/>
  <c r="DC62" i="16"/>
  <c r="DB62" i="16"/>
  <c r="DA62" i="16"/>
  <c r="CZ62" i="16"/>
  <c r="CY62" i="16"/>
  <c r="CX62" i="16"/>
  <c r="CW62" i="16"/>
  <c r="CV62" i="16"/>
  <c r="CU62" i="16"/>
  <c r="CT62" i="16"/>
  <c r="CS62" i="16"/>
  <c r="CR62" i="16"/>
  <c r="CQ62" i="16"/>
  <c r="CP62" i="16"/>
  <c r="CO62" i="16"/>
  <c r="CN62" i="16"/>
  <c r="CM62" i="16"/>
  <c r="CL62" i="16"/>
  <c r="CK62" i="16"/>
  <c r="CJ62" i="16"/>
  <c r="CI62" i="16"/>
  <c r="CH62" i="16"/>
  <c r="CG62" i="16"/>
  <c r="CF62" i="16"/>
  <c r="CE62" i="16"/>
  <c r="CD62" i="16"/>
  <c r="CC62" i="16"/>
  <c r="CB62" i="16"/>
  <c r="CA62" i="16"/>
  <c r="BZ62" i="16"/>
  <c r="BY62" i="16"/>
  <c r="BX62" i="16"/>
  <c r="BW62" i="16"/>
  <c r="BV62" i="16"/>
  <c r="BU62" i="16"/>
  <c r="BT62" i="16"/>
  <c r="BS62" i="16"/>
  <c r="BR62" i="16"/>
  <c r="BQ62" i="16"/>
  <c r="BP62" i="16"/>
  <c r="BO62" i="16"/>
  <c r="BN62" i="16"/>
  <c r="BM62" i="16"/>
  <c r="BL62" i="16"/>
  <c r="BK62" i="16"/>
  <c r="BJ62" i="16"/>
  <c r="BI62" i="16"/>
  <c r="BH62" i="16"/>
  <c r="BG62" i="16"/>
  <c r="BF62" i="16"/>
  <c r="BE62" i="16"/>
  <c r="BD62" i="16"/>
  <c r="BC62" i="16"/>
  <c r="BB62" i="16"/>
  <c r="BA62" i="16"/>
  <c r="AZ62" i="16"/>
  <c r="AY62" i="16"/>
  <c r="AX62" i="16"/>
  <c r="AW62" i="16"/>
  <c r="AV62" i="16"/>
  <c r="AU62" i="16"/>
  <c r="AT62" i="16"/>
  <c r="AS62" i="16"/>
  <c r="AR62" i="16"/>
  <c r="AQ62" i="16"/>
  <c r="AP62" i="16"/>
  <c r="AO62" i="16"/>
  <c r="AN62" i="16"/>
  <c r="AM62" i="16"/>
  <c r="AL62" i="16"/>
  <c r="AK62" i="16"/>
  <c r="AJ62" i="16"/>
  <c r="AI62" i="16"/>
  <c r="AH62" i="16"/>
  <c r="AG62" i="16"/>
  <c r="AF62" i="16"/>
  <c r="AE62" i="16"/>
  <c r="AD62" i="16"/>
  <c r="AC62" i="16"/>
  <c r="AB62" i="16"/>
  <c r="AA62" i="16"/>
  <c r="Z62" i="16"/>
  <c r="Y62" i="16"/>
  <c r="X62" i="16"/>
  <c r="W62" i="16"/>
  <c r="V62" i="16"/>
  <c r="U62" i="16"/>
  <c r="T62" i="16"/>
  <c r="S62" i="16"/>
  <c r="R62" i="16"/>
  <c r="Q62" i="16"/>
  <c r="P62" i="16"/>
  <c r="O62" i="16"/>
  <c r="N62" i="16"/>
  <c r="M62" i="16"/>
  <c r="L62" i="16"/>
  <c r="K62" i="16"/>
  <c r="J62" i="16"/>
  <c r="I62" i="16"/>
  <c r="H62" i="16"/>
  <c r="G62" i="16"/>
  <c r="F62" i="16"/>
  <c r="DC61" i="16"/>
  <c r="DB61" i="16"/>
  <c r="DA61" i="16"/>
  <c r="CZ61" i="16"/>
  <c r="CY61" i="16"/>
  <c r="CX61" i="16"/>
  <c r="CW61" i="16"/>
  <c r="CV61" i="16"/>
  <c r="CU61" i="16"/>
  <c r="CT61" i="16"/>
  <c r="CS61" i="16"/>
  <c r="CR61" i="16"/>
  <c r="CQ61" i="16"/>
  <c r="CP61" i="16"/>
  <c r="CO61" i="16"/>
  <c r="CN61" i="16"/>
  <c r="CM61" i="16"/>
  <c r="CL61" i="16"/>
  <c r="CK61" i="16"/>
  <c r="CJ61" i="16"/>
  <c r="CI61" i="16"/>
  <c r="CH61" i="16"/>
  <c r="CG61" i="16"/>
  <c r="CF61" i="16"/>
  <c r="CE61" i="16"/>
  <c r="CD61" i="16"/>
  <c r="CC61" i="16"/>
  <c r="CB61" i="16"/>
  <c r="CA61" i="16"/>
  <c r="BZ61" i="16"/>
  <c r="BY61" i="16"/>
  <c r="BX61" i="16"/>
  <c r="BW61" i="16"/>
  <c r="BV61" i="16"/>
  <c r="BU61" i="16"/>
  <c r="BT61" i="16"/>
  <c r="BS61" i="16"/>
  <c r="BR61" i="16"/>
  <c r="BQ61" i="16"/>
  <c r="BP61" i="16"/>
  <c r="BO61" i="16"/>
  <c r="BN61" i="16"/>
  <c r="BM61" i="16"/>
  <c r="BL61" i="16"/>
  <c r="BK61" i="16"/>
  <c r="BJ61" i="16"/>
  <c r="BI61" i="16"/>
  <c r="BH61" i="16"/>
  <c r="BG61" i="16"/>
  <c r="BF61" i="16"/>
  <c r="BE61" i="16"/>
  <c r="BD61" i="16"/>
  <c r="BC61" i="16"/>
  <c r="BB61" i="16"/>
  <c r="BA61" i="16"/>
  <c r="AZ61" i="16"/>
  <c r="AY61" i="16"/>
  <c r="AX61" i="16"/>
  <c r="AW61" i="16"/>
  <c r="AV61" i="16"/>
  <c r="AU61" i="16"/>
  <c r="AT61" i="16"/>
  <c r="AS61" i="16"/>
  <c r="AR61" i="16"/>
  <c r="AQ61" i="16"/>
  <c r="AP61" i="16"/>
  <c r="AO61" i="16"/>
  <c r="AN61" i="16"/>
  <c r="AM61" i="16"/>
  <c r="AL61" i="16"/>
  <c r="AK61" i="16"/>
  <c r="AJ61" i="16"/>
  <c r="AI61" i="16"/>
  <c r="AH61" i="16"/>
  <c r="AG61" i="16"/>
  <c r="AF61" i="16"/>
  <c r="AE61" i="16"/>
  <c r="AD61" i="16"/>
  <c r="AC61" i="16"/>
  <c r="AB61" i="16"/>
  <c r="AA61" i="16"/>
  <c r="Z61" i="16"/>
  <c r="Y61" i="16"/>
  <c r="X61" i="16"/>
  <c r="W61" i="16"/>
  <c r="V61" i="16"/>
  <c r="U61" i="16"/>
  <c r="T61" i="16"/>
  <c r="S61" i="16"/>
  <c r="R61" i="16"/>
  <c r="Q61" i="16"/>
  <c r="P61" i="16"/>
  <c r="O61" i="16"/>
  <c r="N61" i="16"/>
  <c r="M61" i="16"/>
  <c r="L61" i="16"/>
  <c r="K61" i="16"/>
  <c r="J61" i="16"/>
  <c r="I61" i="16"/>
  <c r="H61" i="16"/>
  <c r="G61" i="16"/>
  <c r="F61" i="16"/>
  <c r="DC60" i="16"/>
  <c r="DB60" i="16"/>
  <c r="DA60" i="16"/>
  <c r="CZ60" i="16"/>
  <c r="CY60" i="16"/>
  <c r="CX60" i="16"/>
  <c r="CW60" i="16"/>
  <c r="CV60" i="16"/>
  <c r="CU60" i="16"/>
  <c r="CT60" i="16"/>
  <c r="CS60" i="16"/>
  <c r="CR60" i="16"/>
  <c r="CQ60" i="16"/>
  <c r="CP60" i="16"/>
  <c r="CO60" i="16"/>
  <c r="CN60" i="16"/>
  <c r="CM60" i="16"/>
  <c r="CL60" i="16"/>
  <c r="CK60" i="16"/>
  <c r="CJ60" i="16"/>
  <c r="CI60" i="16"/>
  <c r="CH60" i="16"/>
  <c r="CG60" i="16"/>
  <c r="CF60" i="16"/>
  <c r="CE60" i="16"/>
  <c r="CD60" i="16"/>
  <c r="CC60" i="16"/>
  <c r="CB60" i="16"/>
  <c r="CA60" i="16"/>
  <c r="BZ60" i="16"/>
  <c r="BY60" i="16"/>
  <c r="BX60" i="16"/>
  <c r="BW60" i="16"/>
  <c r="BV60" i="16"/>
  <c r="BU60" i="16"/>
  <c r="BT60" i="16"/>
  <c r="BS60" i="16"/>
  <c r="BR60" i="16"/>
  <c r="BQ60" i="16"/>
  <c r="BP60" i="16"/>
  <c r="BO60" i="16"/>
  <c r="BN60" i="16"/>
  <c r="BM60" i="16"/>
  <c r="BL60" i="16"/>
  <c r="BK60" i="16"/>
  <c r="BJ60" i="16"/>
  <c r="BI60" i="16"/>
  <c r="BH60" i="16"/>
  <c r="BG60" i="16"/>
  <c r="BF60" i="16"/>
  <c r="BE60" i="16"/>
  <c r="BD60" i="16"/>
  <c r="BC60" i="16"/>
  <c r="BB60" i="16"/>
  <c r="BA60" i="16"/>
  <c r="AZ60" i="16"/>
  <c r="AY60" i="16"/>
  <c r="AX60" i="16"/>
  <c r="AW60" i="16"/>
  <c r="AV60" i="16"/>
  <c r="AU60" i="16"/>
  <c r="AT60" i="16"/>
  <c r="AS60" i="16"/>
  <c r="AR60" i="16"/>
  <c r="AQ60" i="16"/>
  <c r="AP60" i="16"/>
  <c r="AO60" i="16"/>
  <c r="AN60" i="16"/>
  <c r="AM60" i="16"/>
  <c r="AL60" i="16"/>
  <c r="AK60" i="16"/>
  <c r="AJ60" i="16"/>
  <c r="AI60" i="16"/>
  <c r="AH60" i="16"/>
  <c r="AG60" i="16"/>
  <c r="AF60" i="16"/>
  <c r="AE60" i="16"/>
  <c r="AD60" i="16"/>
  <c r="AC60" i="16"/>
  <c r="AB60" i="16"/>
  <c r="AA60" i="16"/>
  <c r="Z60" i="16"/>
  <c r="Y60" i="16"/>
  <c r="X60" i="16"/>
  <c r="W60" i="16"/>
  <c r="V60" i="16"/>
  <c r="U60" i="16"/>
  <c r="T60" i="16"/>
  <c r="S60" i="16"/>
  <c r="R60" i="16"/>
  <c r="Q60" i="16"/>
  <c r="P60" i="16"/>
  <c r="O60" i="16"/>
  <c r="N60" i="16"/>
  <c r="M60" i="16"/>
  <c r="L60" i="16"/>
  <c r="K60" i="16"/>
  <c r="J60" i="16"/>
  <c r="I60" i="16"/>
  <c r="H60" i="16"/>
  <c r="G60" i="16"/>
  <c r="F60" i="16"/>
  <c r="DC59" i="16"/>
  <c r="DB59" i="16"/>
  <c r="DA59" i="16"/>
  <c r="CZ59" i="16"/>
  <c r="CY59" i="16"/>
  <c r="CX59" i="16"/>
  <c r="CW59" i="16"/>
  <c r="CV59" i="16"/>
  <c r="CU59" i="16"/>
  <c r="CT59" i="16"/>
  <c r="CS59" i="16"/>
  <c r="CR59" i="16"/>
  <c r="CQ59" i="16"/>
  <c r="CP59" i="16"/>
  <c r="CO59" i="16"/>
  <c r="CN59" i="16"/>
  <c r="CM59" i="16"/>
  <c r="CL59" i="16"/>
  <c r="CK59" i="16"/>
  <c r="CJ59" i="16"/>
  <c r="CI59" i="16"/>
  <c r="CH59" i="16"/>
  <c r="CG59" i="16"/>
  <c r="CF59" i="16"/>
  <c r="CE59" i="16"/>
  <c r="CD59" i="16"/>
  <c r="CC59" i="16"/>
  <c r="CB59" i="16"/>
  <c r="CA59" i="16"/>
  <c r="BZ59" i="16"/>
  <c r="BY59" i="16"/>
  <c r="BX59" i="16"/>
  <c r="BW59" i="16"/>
  <c r="BV59" i="16"/>
  <c r="BU59" i="16"/>
  <c r="BT59" i="16"/>
  <c r="BS59" i="16"/>
  <c r="BR59" i="16"/>
  <c r="BQ59" i="16"/>
  <c r="BP59" i="16"/>
  <c r="BO59" i="16"/>
  <c r="BN59" i="16"/>
  <c r="BM59" i="16"/>
  <c r="BL59" i="16"/>
  <c r="BK59" i="16"/>
  <c r="BJ59" i="16"/>
  <c r="BI59" i="16"/>
  <c r="BH59" i="16"/>
  <c r="BG59" i="16"/>
  <c r="BF59" i="16"/>
  <c r="BE59" i="16"/>
  <c r="BD59" i="16"/>
  <c r="BC59" i="16"/>
  <c r="BB59" i="16"/>
  <c r="BA59" i="16"/>
  <c r="AZ59" i="16"/>
  <c r="AY59" i="16"/>
  <c r="AX59" i="16"/>
  <c r="AW59" i="16"/>
  <c r="AV59" i="16"/>
  <c r="AU59" i="16"/>
  <c r="AT59" i="16"/>
  <c r="AS59" i="16"/>
  <c r="AR59" i="16"/>
  <c r="AQ59" i="16"/>
  <c r="AP59" i="16"/>
  <c r="AO59" i="16"/>
  <c r="AN59" i="16"/>
  <c r="AM59" i="16"/>
  <c r="AL59" i="16"/>
  <c r="AK59" i="16"/>
  <c r="AJ59" i="16"/>
  <c r="AI59" i="16"/>
  <c r="AH59" i="16"/>
  <c r="AG59" i="16"/>
  <c r="AF59" i="16"/>
  <c r="AE59" i="16"/>
  <c r="AD59" i="16"/>
  <c r="AC59" i="16"/>
  <c r="AB59" i="16"/>
  <c r="AA59" i="16"/>
  <c r="Z59" i="16"/>
  <c r="Y59" i="16"/>
  <c r="X59" i="16"/>
  <c r="W59" i="16"/>
  <c r="V59" i="16"/>
  <c r="U59" i="16"/>
  <c r="T59" i="16"/>
  <c r="S59" i="16"/>
  <c r="R59" i="16"/>
  <c r="Q59" i="16"/>
  <c r="P59" i="16"/>
  <c r="O59" i="16"/>
  <c r="N59" i="16"/>
  <c r="M59" i="16"/>
  <c r="L59" i="16"/>
  <c r="K59" i="16"/>
  <c r="J59" i="16"/>
  <c r="I59" i="16"/>
  <c r="H59" i="16"/>
  <c r="G59" i="16"/>
  <c r="F59" i="16"/>
  <c r="DC58" i="16"/>
  <c r="DB58" i="16"/>
  <c r="DA58" i="16"/>
  <c r="CZ58" i="16"/>
  <c r="CY58" i="16"/>
  <c r="CX58" i="16"/>
  <c r="CW58" i="16"/>
  <c r="CV58" i="16"/>
  <c r="CU58" i="16"/>
  <c r="CT58" i="16"/>
  <c r="CS58" i="16"/>
  <c r="CR58" i="16"/>
  <c r="CQ58" i="16"/>
  <c r="CP58" i="16"/>
  <c r="CO58" i="16"/>
  <c r="CN58" i="16"/>
  <c r="CM58" i="16"/>
  <c r="CL58" i="16"/>
  <c r="CK58" i="16"/>
  <c r="CJ58" i="16"/>
  <c r="CI58" i="16"/>
  <c r="CH58" i="16"/>
  <c r="CG58" i="16"/>
  <c r="CF58" i="16"/>
  <c r="CE58" i="16"/>
  <c r="CD58" i="16"/>
  <c r="CC58" i="16"/>
  <c r="CB58" i="16"/>
  <c r="CA58" i="16"/>
  <c r="BZ58" i="16"/>
  <c r="BY58" i="16"/>
  <c r="BX58" i="16"/>
  <c r="BW58" i="16"/>
  <c r="BV58" i="16"/>
  <c r="BU58" i="16"/>
  <c r="BT58" i="16"/>
  <c r="BS58" i="16"/>
  <c r="BR58" i="16"/>
  <c r="BQ58" i="16"/>
  <c r="BP58" i="16"/>
  <c r="BO58" i="16"/>
  <c r="BN58" i="16"/>
  <c r="BM58" i="16"/>
  <c r="BL58" i="16"/>
  <c r="BK58" i="16"/>
  <c r="BJ58" i="16"/>
  <c r="BI58" i="16"/>
  <c r="BH58" i="16"/>
  <c r="BG58" i="16"/>
  <c r="BF58" i="16"/>
  <c r="BE58" i="16"/>
  <c r="BD58" i="16"/>
  <c r="BC58" i="16"/>
  <c r="BB58" i="16"/>
  <c r="BA58" i="16"/>
  <c r="AZ58" i="16"/>
  <c r="AY58" i="16"/>
  <c r="AX58" i="16"/>
  <c r="AW58" i="16"/>
  <c r="AV58" i="16"/>
  <c r="AU58" i="16"/>
  <c r="AT58" i="16"/>
  <c r="AS58" i="16"/>
  <c r="AR58" i="16"/>
  <c r="AQ58" i="16"/>
  <c r="AP58" i="16"/>
  <c r="AO58" i="16"/>
  <c r="AN58" i="16"/>
  <c r="AM58" i="16"/>
  <c r="AL58" i="16"/>
  <c r="AK58" i="16"/>
  <c r="AJ58" i="16"/>
  <c r="AI58" i="16"/>
  <c r="AH58" i="16"/>
  <c r="AG58" i="16"/>
  <c r="AF58" i="16"/>
  <c r="AE58" i="16"/>
  <c r="AD58" i="16"/>
  <c r="AC58" i="16"/>
  <c r="AB58" i="16"/>
  <c r="AA58" i="16"/>
  <c r="Z58" i="16"/>
  <c r="Y58" i="16"/>
  <c r="X58" i="16"/>
  <c r="W58" i="16"/>
  <c r="V58" i="16"/>
  <c r="U58" i="16"/>
  <c r="T58" i="16"/>
  <c r="S58" i="16"/>
  <c r="R58" i="16"/>
  <c r="Q58" i="16"/>
  <c r="P58" i="16"/>
  <c r="O58" i="16"/>
  <c r="N58" i="16"/>
  <c r="M58" i="16"/>
  <c r="L58" i="16"/>
  <c r="K58" i="16"/>
  <c r="J58" i="16"/>
  <c r="I58" i="16"/>
  <c r="H58" i="16"/>
  <c r="G58" i="16"/>
  <c r="F58" i="16"/>
  <c r="DC57" i="16"/>
  <c r="DB57" i="16"/>
  <c r="DA57" i="16"/>
  <c r="CZ57" i="16"/>
  <c r="CY57" i="16"/>
  <c r="CX57" i="16"/>
  <c r="CW57" i="16"/>
  <c r="CV57" i="16"/>
  <c r="CU57" i="16"/>
  <c r="CT57" i="16"/>
  <c r="CS57" i="16"/>
  <c r="CR57" i="16"/>
  <c r="CQ57" i="16"/>
  <c r="CP57" i="16"/>
  <c r="CO57" i="16"/>
  <c r="CN57" i="16"/>
  <c r="CM57" i="16"/>
  <c r="CL57" i="16"/>
  <c r="CK57" i="16"/>
  <c r="CJ57" i="16"/>
  <c r="CI57" i="16"/>
  <c r="CH57" i="16"/>
  <c r="CG57" i="16"/>
  <c r="CF57" i="16"/>
  <c r="CE57" i="16"/>
  <c r="CD57" i="16"/>
  <c r="CC57" i="16"/>
  <c r="CB57" i="16"/>
  <c r="CA57" i="16"/>
  <c r="BZ57" i="16"/>
  <c r="BY57" i="16"/>
  <c r="BX57" i="16"/>
  <c r="BW57" i="16"/>
  <c r="BV57" i="16"/>
  <c r="BU57" i="16"/>
  <c r="BT57" i="16"/>
  <c r="BS57" i="16"/>
  <c r="BR57" i="16"/>
  <c r="BQ57" i="16"/>
  <c r="BP57" i="16"/>
  <c r="BO57" i="16"/>
  <c r="BN57" i="16"/>
  <c r="BM57" i="16"/>
  <c r="BL57" i="16"/>
  <c r="BK57" i="16"/>
  <c r="BJ57" i="16"/>
  <c r="BI57" i="16"/>
  <c r="BH57" i="16"/>
  <c r="BG57" i="16"/>
  <c r="BF57" i="16"/>
  <c r="BE57" i="16"/>
  <c r="BD57" i="16"/>
  <c r="BC57" i="16"/>
  <c r="BB57" i="16"/>
  <c r="BA57" i="16"/>
  <c r="AZ57" i="16"/>
  <c r="AY57" i="16"/>
  <c r="AX57" i="16"/>
  <c r="AW57" i="16"/>
  <c r="AV57" i="16"/>
  <c r="AU57" i="16"/>
  <c r="AT57" i="16"/>
  <c r="AS57" i="16"/>
  <c r="AR57" i="16"/>
  <c r="AQ57" i="16"/>
  <c r="AP57" i="16"/>
  <c r="AO57" i="16"/>
  <c r="AN57" i="16"/>
  <c r="AM57" i="16"/>
  <c r="AL57" i="16"/>
  <c r="AK57" i="16"/>
  <c r="AJ57" i="16"/>
  <c r="AI57" i="16"/>
  <c r="AH57" i="16"/>
  <c r="AG57" i="16"/>
  <c r="AF57" i="16"/>
  <c r="AE57" i="16"/>
  <c r="AD57" i="16"/>
  <c r="AC57" i="16"/>
  <c r="AB57" i="16"/>
  <c r="AA57" i="16"/>
  <c r="Z57" i="16"/>
  <c r="Y57" i="16"/>
  <c r="X57" i="16"/>
  <c r="W57" i="16"/>
  <c r="V57" i="16"/>
  <c r="U57" i="16"/>
  <c r="T57" i="16"/>
  <c r="S57" i="16"/>
  <c r="R57" i="16"/>
  <c r="Q57" i="16"/>
  <c r="P57" i="16"/>
  <c r="O57" i="16"/>
  <c r="N57" i="16"/>
  <c r="M57" i="16"/>
  <c r="L57" i="16"/>
  <c r="K57" i="16"/>
  <c r="J57" i="16"/>
  <c r="I57" i="16"/>
  <c r="H57" i="16"/>
  <c r="G57" i="16"/>
  <c r="F57" i="16"/>
  <c r="DC56" i="16"/>
  <c r="DB56" i="16"/>
  <c r="DA56" i="16"/>
  <c r="CZ56" i="16"/>
  <c r="CY56" i="16"/>
  <c r="CX56" i="16"/>
  <c r="CW56" i="16"/>
  <c r="CV56" i="16"/>
  <c r="CU56" i="16"/>
  <c r="CT56" i="16"/>
  <c r="CS56" i="16"/>
  <c r="CR56" i="16"/>
  <c r="CQ56" i="16"/>
  <c r="CP56" i="16"/>
  <c r="CO56" i="16"/>
  <c r="CN56" i="16"/>
  <c r="CM56" i="16"/>
  <c r="CL56" i="16"/>
  <c r="CK56" i="16"/>
  <c r="CJ56" i="16"/>
  <c r="CI56" i="16"/>
  <c r="CH56" i="16"/>
  <c r="CG56" i="16"/>
  <c r="CF56" i="16"/>
  <c r="CE56" i="16"/>
  <c r="CD56" i="16"/>
  <c r="CC56" i="16"/>
  <c r="CB56" i="16"/>
  <c r="CA56" i="16"/>
  <c r="BZ56" i="16"/>
  <c r="BY56" i="16"/>
  <c r="BX56" i="16"/>
  <c r="BW56" i="16"/>
  <c r="BV56" i="16"/>
  <c r="BU56" i="16"/>
  <c r="BT56" i="16"/>
  <c r="BS56" i="16"/>
  <c r="BR56" i="16"/>
  <c r="BQ56" i="16"/>
  <c r="BP56" i="16"/>
  <c r="BO56" i="16"/>
  <c r="BN56" i="16"/>
  <c r="BM56" i="16"/>
  <c r="BL56" i="16"/>
  <c r="BK56" i="16"/>
  <c r="BJ56" i="16"/>
  <c r="BI56" i="16"/>
  <c r="BH56" i="16"/>
  <c r="BG56" i="16"/>
  <c r="BF56" i="16"/>
  <c r="BE56" i="16"/>
  <c r="BD56" i="16"/>
  <c r="BC56" i="16"/>
  <c r="BB56" i="16"/>
  <c r="BA56" i="16"/>
  <c r="AZ56" i="16"/>
  <c r="AY56" i="16"/>
  <c r="AX56" i="16"/>
  <c r="AW56" i="16"/>
  <c r="AV56" i="16"/>
  <c r="AU56" i="16"/>
  <c r="AT56" i="16"/>
  <c r="AS56" i="16"/>
  <c r="AR56" i="16"/>
  <c r="AQ56" i="16"/>
  <c r="AP56" i="16"/>
  <c r="AO56" i="16"/>
  <c r="AN56" i="16"/>
  <c r="AM56" i="16"/>
  <c r="AL56" i="16"/>
  <c r="AK56" i="16"/>
  <c r="AJ56" i="16"/>
  <c r="AI56" i="16"/>
  <c r="AH56" i="16"/>
  <c r="AG56" i="16"/>
  <c r="AF56" i="16"/>
  <c r="AE56" i="16"/>
  <c r="AD56" i="16"/>
  <c r="AC56" i="16"/>
  <c r="AB56" i="16"/>
  <c r="AA56" i="16"/>
  <c r="Z56" i="16"/>
  <c r="Y56" i="16"/>
  <c r="X56" i="16"/>
  <c r="W56" i="16"/>
  <c r="V56" i="16"/>
  <c r="U56" i="16"/>
  <c r="T56" i="16"/>
  <c r="S56" i="16"/>
  <c r="R56" i="16"/>
  <c r="Q56" i="16"/>
  <c r="P56" i="16"/>
  <c r="O56" i="16"/>
  <c r="N56" i="16"/>
  <c r="M56" i="16"/>
  <c r="L56" i="16"/>
  <c r="K56" i="16"/>
  <c r="J56" i="16"/>
  <c r="I56" i="16"/>
  <c r="H56" i="16"/>
  <c r="G56" i="16"/>
  <c r="F56" i="16"/>
  <c r="DC55" i="16"/>
  <c r="DB55" i="16"/>
  <c r="DA55" i="16"/>
  <c r="CZ55" i="16"/>
  <c r="CY55" i="16"/>
  <c r="CX55" i="16"/>
  <c r="CW55" i="16"/>
  <c r="CV55" i="16"/>
  <c r="CU55" i="16"/>
  <c r="CT55" i="16"/>
  <c r="CS55" i="16"/>
  <c r="CR55" i="16"/>
  <c r="CQ55" i="16"/>
  <c r="CP55" i="16"/>
  <c r="CO55" i="16"/>
  <c r="CN55" i="16"/>
  <c r="CM55" i="16"/>
  <c r="CL55" i="16"/>
  <c r="CK55" i="16"/>
  <c r="CJ55" i="16"/>
  <c r="CI55" i="16"/>
  <c r="CH55" i="16"/>
  <c r="CG55" i="16"/>
  <c r="CF55" i="16"/>
  <c r="CE55" i="16"/>
  <c r="CD55" i="16"/>
  <c r="CC55" i="16"/>
  <c r="CB55" i="16"/>
  <c r="CA55" i="16"/>
  <c r="BZ55" i="16"/>
  <c r="BY55" i="16"/>
  <c r="BX55" i="16"/>
  <c r="BW55" i="16"/>
  <c r="BV55" i="16"/>
  <c r="BU55" i="16"/>
  <c r="BT55" i="16"/>
  <c r="BS55" i="16"/>
  <c r="BR55" i="16"/>
  <c r="BQ55" i="16"/>
  <c r="BP55" i="16"/>
  <c r="BO55" i="16"/>
  <c r="BN55" i="16"/>
  <c r="BM55" i="16"/>
  <c r="BL55" i="16"/>
  <c r="BK55" i="16"/>
  <c r="BJ55" i="16"/>
  <c r="BI55" i="16"/>
  <c r="BH55" i="16"/>
  <c r="BG55" i="16"/>
  <c r="BF55" i="16"/>
  <c r="BE55" i="16"/>
  <c r="BD55" i="16"/>
  <c r="BC55" i="16"/>
  <c r="BB55" i="16"/>
  <c r="BA55" i="16"/>
  <c r="AZ55" i="16"/>
  <c r="AY55" i="16"/>
  <c r="AX55" i="16"/>
  <c r="AW55" i="16"/>
  <c r="AV55" i="16"/>
  <c r="AU55" i="16"/>
  <c r="AT55" i="16"/>
  <c r="AS55" i="16"/>
  <c r="AR55" i="16"/>
  <c r="AQ55" i="16"/>
  <c r="AP55" i="16"/>
  <c r="AO55" i="16"/>
  <c r="AN55" i="16"/>
  <c r="AM55" i="16"/>
  <c r="AL55" i="16"/>
  <c r="AK55" i="16"/>
  <c r="AJ55" i="16"/>
  <c r="AI55" i="16"/>
  <c r="AH55" i="16"/>
  <c r="AG55" i="16"/>
  <c r="AF55" i="16"/>
  <c r="AE55" i="16"/>
  <c r="AD55" i="16"/>
  <c r="AC55" i="16"/>
  <c r="AB55" i="16"/>
  <c r="AA55" i="16"/>
  <c r="Z55" i="16"/>
  <c r="Y55" i="16"/>
  <c r="X55" i="16"/>
  <c r="W55" i="16"/>
  <c r="V55" i="16"/>
  <c r="U55" i="16"/>
  <c r="T55" i="16"/>
  <c r="S55" i="16"/>
  <c r="R55" i="16"/>
  <c r="Q55" i="16"/>
  <c r="P55" i="16"/>
  <c r="O55" i="16"/>
  <c r="N55" i="16"/>
  <c r="M55" i="16"/>
  <c r="L55" i="16"/>
  <c r="K55" i="16"/>
  <c r="J55" i="16"/>
  <c r="I55" i="16"/>
  <c r="H55" i="16"/>
  <c r="G55" i="16"/>
  <c r="F55" i="16"/>
  <c r="DC54" i="16"/>
  <c r="DB54" i="16"/>
  <c r="DA54" i="16"/>
  <c r="CZ54" i="16"/>
  <c r="CY54" i="16"/>
  <c r="CX54" i="16"/>
  <c r="CW54" i="16"/>
  <c r="CV54" i="16"/>
  <c r="CU54" i="16"/>
  <c r="CT54" i="16"/>
  <c r="CS54" i="16"/>
  <c r="CR54" i="16"/>
  <c r="CQ54" i="16"/>
  <c r="CP54" i="16"/>
  <c r="CO54" i="16"/>
  <c r="CN54" i="16"/>
  <c r="CM54" i="16"/>
  <c r="CL54" i="16"/>
  <c r="CK54" i="16"/>
  <c r="CJ54" i="16"/>
  <c r="CI54" i="16"/>
  <c r="CH54" i="16"/>
  <c r="CG54" i="16"/>
  <c r="CF54" i="16"/>
  <c r="CE54" i="16"/>
  <c r="CD54" i="16"/>
  <c r="CC54" i="16"/>
  <c r="CB54" i="16"/>
  <c r="CA54" i="16"/>
  <c r="BZ54" i="16"/>
  <c r="BY54" i="16"/>
  <c r="BX54" i="16"/>
  <c r="BW54" i="16"/>
  <c r="BV54" i="16"/>
  <c r="BU54" i="16"/>
  <c r="BT54" i="16"/>
  <c r="BS54" i="16"/>
  <c r="BR54" i="16"/>
  <c r="BQ54" i="16"/>
  <c r="BP54" i="16"/>
  <c r="BO54" i="16"/>
  <c r="BN54" i="16"/>
  <c r="BM54" i="16"/>
  <c r="BL54" i="16"/>
  <c r="BK54" i="16"/>
  <c r="BJ54" i="16"/>
  <c r="BI54" i="16"/>
  <c r="BH54" i="16"/>
  <c r="BG54" i="16"/>
  <c r="BF54" i="16"/>
  <c r="BE54" i="16"/>
  <c r="BD54" i="16"/>
  <c r="BC54" i="16"/>
  <c r="BB54" i="16"/>
  <c r="BA54" i="16"/>
  <c r="AZ54" i="16"/>
  <c r="AY54" i="16"/>
  <c r="AX54" i="16"/>
  <c r="AW54" i="16"/>
  <c r="AV54" i="16"/>
  <c r="AU54" i="16"/>
  <c r="AT54" i="16"/>
  <c r="AS54" i="16"/>
  <c r="AR54" i="16"/>
  <c r="AQ54" i="16"/>
  <c r="AP54" i="16"/>
  <c r="AO54" i="16"/>
  <c r="AN54" i="16"/>
  <c r="AM54" i="16"/>
  <c r="AL54" i="16"/>
  <c r="AK54" i="16"/>
  <c r="AJ54" i="16"/>
  <c r="AI54" i="16"/>
  <c r="AH54" i="16"/>
  <c r="AG54" i="16"/>
  <c r="AF54" i="16"/>
  <c r="AE54" i="16"/>
  <c r="AD54" i="16"/>
  <c r="AC54" i="16"/>
  <c r="AB54" i="16"/>
  <c r="AA54" i="16"/>
  <c r="Z54" i="16"/>
  <c r="Y54" i="16"/>
  <c r="X54" i="16"/>
  <c r="W54" i="16"/>
  <c r="V54" i="16"/>
  <c r="U54" i="16"/>
  <c r="T54" i="16"/>
  <c r="S54" i="16"/>
  <c r="R54" i="16"/>
  <c r="Q54" i="16"/>
  <c r="P54" i="16"/>
  <c r="O54" i="16"/>
  <c r="N54" i="16"/>
  <c r="M54" i="16"/>
  <c r="L54" i="16"/>
  <c r="K54" i="16"/>
  <c r="J54" i="16"/>
  <c r="I54" i="16"/>
  <c r="H54" i="16"/>
  <c r="G54" i="16"/>
  <c r="F54" i="16"/>
  <c r="DC53" i="16"/>
  <c r="DB53" i="16"/>
  <c r="DA53" i="16"/>
  <c r="CZ53" i="16"/>
  <c r="CY53" i="16"/>
  <c r="CX53" i="16"/>
  <c r="CW53" i="16"/>
  <c r="CV53" i="16"/>
  <c r="CU53" i="16"/>
  <c r="CT53" i="16"/>
  <c r="CS53" i="16"/>
  <c r="CR53" i="16"/>
  <c r="CQ53" i="16"/>
  <c r="CP53" i="16"/>
  <c r="CO53" i="16"/>
  <c r="CN53" i="16"/>
  <c r="CM53" i="16"/>
  <c r="CL53" i="16"/>
  <c r="CK53" i="16"/>
  <c r="CJ53" i="16"/>
  <c r="CI53" i="16"/>
  <c r="CH53" i="16"/>
  <c r="CG53" i="16"/>
  <c r="CF53" i="16"/>
  <c r="CE53" i="16"/>
  <c r="CD53" i="16"/>
  <c r="CC53" i="16"/>
  <c r="CB53" i="16"/>
  <c r="CA53" i="16"/>
  <c r="BZ53" i="16"/>
  <c r="BY53" i="16"/>
  <c r="BX53" i="16"/>
  <c r="BW53" i="16"/>
  <c r="BV53" i="16"/>
  <c r="BU53" i="16"/>
  <c r="BT53" i="16"/>
  <c r="BS53" i="16"/>
  <c r="BR53" i="16"/>
  <c r="BQ53" i="16"/>
  <c r="BP53" i="16"/>
  <c r="BO53" i="16"/>
  <c r="BN53" i="16"/>
  <c r="BM53" i="16"/>
  <c r="BL53" i="16"/>
  <c r="BK53" i="16"/>
  <c r="BJ53" i="16"/>
  <c r="BI53" i="16"/>
  <c r="BH53" i="16"/>
  <c r="BG53" i="16"/>
  <c r="BF53" i="16"/>
  <c r="BE53" i="16"/>
  <c r="BD53" i="16"/>
  <c r="BC53" i="16"/>
  <c r="BB53" i="16"/>
  <c r="BA53" i="16"/>
  <c r="AZ53" i="16"/>
  <c r="AY53" i="16"/>
  <c r="AX53" i="16"/>
  <c r="AW53" i="16"/>
  <c r="AV53" i="16"/>
  <c r="AU53" i="16"/>
  <c r="AT53" i="16"/>
  <c r="AS53" i="16"/>
  <c r="AR53" i="16"/>
  <c r="AQ53" i="16"/>
  <c r="AP53" i="16"/>
  <c r="AO53" i="16"/>
  <c r="AN53" i="16"/>
  <c r="AM53" i="16"/>
  <c r="AL53" i="16"/>
  <c r="AK53" i="16"/>
  <c r="AJ53" i="16"/>
  <c r="AI53" i="16"/>
  <c r="AH53" i="16"/>
  <c r="AG53" i="16"/>
  <c r="AF53" i="16"/>
  <c r="AE53" i="16"/>
  <c r="AD53" i="16"/>
  <c r="AC53" i="16"/>
  <c r="AB53" i="16"/>
  <c r="AA53" i="16"/>
  <c r="Z53" i="16"/>
  <c r="Y53" i="16"/>
  <c r="X53" i="16"/>
  <c r="W53" i="16"/>
  <c r="V53" i="16"/>
  <c r="U53" i="16"/>
  <c r="T53" i="16"/>
  <c r="S53" i="16"/>
  <c r="R53" i="16"/>
  <c r="Q53" i="16"/>
  <c r="P53" i="16"/>
  <c r="O53" i="16"/>
  <c r="N53" i="16"/>
  <c r="M53" i="16"/>
  <c r="L53" i="16"/>
  <c r="K53" i="16"/>
  <c r="J53" i="16"/>
  <c r="I53" i="16"/>
  <c r="H53" i="16"/>
  <c r="G53" i="16"/>
  <c r="F53" i="16"/>
  <c r="DC51" i="16"/>
  <c r="DB51" i="16"/>
  <c r="DA51" i="16"/>
  <c r="CZ51" i="16"/>
  <c r="CY51" i="16"/>
  <c r="CX51" i="16"/>
  <c r="CW51" i="16"/>
  <c r="CV51" i="16"/>
  <c r="CU51" i="16"/>
  <c r="CT51" i="16"/>
  <c r="CS51" i="16"/>
  <c r="CR51" i="16"/>
  <c r="CQ51" i="16"/>
  <c r="CP51" i="16"/>
  <c r="CO51" i="16"/>
  <c r="CN51" i="16"/>
  <c r="CM51" i="16"/>
  <c r="CL51" i="16"/>
  <c r="CK51" i="16"/>
  <c r="CJ51" i="16"/>
  <c r="CI51" i="16"/>
  <c r="CH51" i="16"/>
  <c r="CG51" i="16"/>
  <c r="CF51" i="16"/>
  <c r="CE51" i="16"/>
  <c r="CD51" i="16"/>
  <c r="CC51" i="16"/>
  <c r="CB51" i="16"/>
  <c r="CA51" i="16"/>
  <c r="BZ51" i="16"/>
  <c r="BY51" i="16"/>
  <c r="BX51" i="16"/>
  <c r="BW51" i="16"/>
  <c r="BV51" i="16"/>
  <c r="BU51" i="16"/>
  <c r="BT51" i="16"/>
  <c r="BS51" i="16"/>
  <c r="BR51" i="16"/>
  <c r="BQ51" i="16"/>
  <c r="BP51" i="16"/>
  <c r="BO51" i="16"/>
  <c r="BN51" i="16"/>
  <c r="BM51" i="16"/>
  <c r="BL51" i="16"/>
  <c r="BK51" i="16"/>
  <c r="BJ51" i="16"/>
  <c r="BI51" i="16"/>
  <c r="BH51" i="16"/>
  <c r="BG51" i="16"/>
  <c r="BF51" i="16"/>
  <c r="BE51" i="16"/>
  <c r="BD51" i="16"/>
  <c r="BC51" i="16"/>
  <c r="BB51" i="16"/>
  <c r="BA51" i="16"/>
  <c r="AZ51" i="16"/>
  <c r="AY51" i="16"/>
  <c r="AX51" i="16"/>
  <c r="AW51" i="16"/>
  <c r="AV51" i="16"/>
  <c r="AU51" i="16"/>
  <c r="AT51" i="16"/>
  <c r="AS51" i="16"/>
  <c r="AR51" i="16"/>
  <c r="AQ51" i="16"/>
  <c r="AP51" i="16"/>
  <c r="AO51" i="16"/>
  <c r="AN51" i="16"/>
  <c r="AM51" i="16"/>
  <c r="AL51" i="16"/>
  <c r="AK51" i="16"/>
  <c r="AJ51" i="16"/>
  <c r="AI51" i="16"/>
  <c r="AH51" i="16"/>
  <c r="AG51" i="16"/>
  <c r="AF51" i="16"/>
  <c r="AE51" i="16"/>
  <c r="AD51" i="16"/>
  <c r="AC51" i="16"/>
  <c r="AB51" i="16"/>
  <c r="AA51" i="16"/>
  <c r="Z51" i="16"/>
  <c r="Y51" i="16"/>
  <c r="X51" i="16"/>
  <c r="W51" i="16"/>
  <c r="V51" i="16"/>
  <c r="U51" i="16"/>
  <c r="T51" i="16"/>
  <c r="S51" i="16"/>
  <c r="R51" i="16"/>
  <c r="Q51" i="16"/>
  <c r="P51" i="16"/>
  <c r="O51" i="16"/>
  <c r="N51" i="16"/>
  <c r="M51" i="16"/>
  <c r="L51" i="16"/>
  <c r="K51" i="16"/>
  <c r="J51" i="16"/>
  <c r="I51" i="16"/>
  <c r="H51" i="16"/>
  <c r="G51" i="16"/>
  <c r="F51" i="16"/>
  <c r="DC50" i="16"/>
  <c r="DB50" i="16"/>
  <c r="DA50" i="16"/>
  <c r="CZ50" i="16"/>
  <c r="CY50" i="16"/>
  <c r="CX50" i="16"/>
  <c r="CW50" i="16"/>
  <c r="CV50" i="16"/>
  <c r="CU50" i="16"/>
  <c r="CT50" i="16"/>
  <c r="CS50" i="16"/>
  <c r="CR50" i="16"/>
  <c r="CQ50" i="16"/>
  <c r="CP50" i="16"/>
  <c r="CO50" i="16"/>
  <c r="CN50" i="16"/>
  <c r="CM50" i="16"/>
  <c r="CL50" i="16"/>
  <c r="CK50" i="16"/>
  <c r="CJ50" i="16"/>
  <c r="CI50" i="16"/>
  <c r="CH50" i="16"/>
  <c r="CG50" i="16"/>
  <c r="CF50" i="16"/>
  <c r="CE50" i="16"/>
  <c r="CD50" i="16"/>
  <c r="CC50" i="16"/>
  <c r="CB50" i="16"/>
  <c r="CA50" i="16"/>
  <c r="BZ50" i="16"/>
  <c r="BY50" i="16"/>
  <c r="BX50" i="16"/>
  <c r="BW50" i="16"/>
  <c r="BV50" i="16"/>
  <c r="BU50" i="16"/>
  <c r="BT50" i="16"/>
  <c r="BS50" i="16"/>
  <c r="BR50" i="16"/>
  <c r="BQ50" i="16"/>
  <c r="BP50" i="16"/>
  <c r="BO50" i="16"/>
  <c r="BN50" i="16"/>
  <c r="BM50" i="16"/>
  <c r="BL50" i="16"/>
  <c r="BK50" i="16"/>
  <c r="BJ50" i="16"/>
  <c r="BI50" i="16"/>
  <c r="BH50" i="16"/>
  <c r="BG50" i="16"/>
  <c r="BF50" i="16"/>
  <c r="BE50" i="16"/>
  <c r="BD50" i="16"/>
  <c r="BC50" i="16"/>
  <c r="BB50" i="16"/>
  <c r="BA50" i="16"/>
  <c r="AZ50" i="16"/>
  <c r="AY50" i="16"/>
  <c r="AX50" i="16"/>
  <c r="AW50" i="16"/>
  <c r="AV50" i="16"/>
  <c r="AU50" i="16"/>
  <c r="AT50" i="16"/>
  <c r="AS50" i="16"/>
  <c r="AR50" i="16"/>
  <c r="AQ50" i="16"/>
  <c r="AP50" i="16"/>
  <c r="AO50" i="16"/>
  <c r="AN50" i="16"/>
  <c r="AM50" i="16"/>
  <c r="AL50" i="16"/>
  <c r="AK50" i="16"/>
  <c r="AJ50" i="16"/>
  <c r="AI50" i="16"/>
  <c r="AH50" i="16"/>
  <c r="AG50" i="16"/>
  <c r="AF50" i="16"/>
  <c r="AE50" i="16"/>
  <c r="AD50" i="16"/>
  <c r="AC50" i="16"/>
  <c r="AB50" i="16"/>
  <c r="AA50" i="16"/>
  <c r="Z50" i="16"/>
  <c r="Y50" i="16"/>
  <c r="X50" i="16"/>
  <c r="W50" i="16"/>
  <c r="V50" i="16"/>
  <c r="U50" i="16"/>
  <c r="T50" i="16"/>
  <c r="S50" i="16"/>
  <c r="R50" i="16"/>
  <c r="Q50" i="16"/>
  <c r="P50" i="16"/>
  <c r="O50" i="16"/>
  <c r="N50" i="16"/>
  <c r="M50" i="16"/>
  <c r="L50" i="16"/>
  <c r="K50" i="16"/>
  <c r="J50" i="16"/>
  <c r="I50" i="16"/>
  <c r="H50" i="16"/>
  <c r="G50" i="16"/>
  <c r="F50" i="16"/>
  <c r="DC49" i="16"/>
  <c r="DB49" i="16"/>
  <c r="DA49" i="16"/>
  <c r="CZ49" i="16"/>
  <c r="CY49" i="16"/>
  <c r="CX49" i="16"/>
  <c r="CW49" i="16"/>
  <c r="CV49" i="16"/>
  <c r="CU49" i="16"/>
  <c r="CT49" i="16"/>
  <c r="CS49" i="16"/>
  <c r="CR49" i="16"/>
  <c r="CQ49" i="16"/>
  <c r="CP49" i="16"/>
  <c r="CO49" i="16"/>
  <c r="CN49" i="16"/>
  <c r="CM49" i="16"/>
  <c r="CL49" i="16"/>
  <c r="CK49" i="16"/>
  <c r="CJ49" i="16"/>
  <c r="CI49" i="16"/>
  <c r="CH49" i="16"/>
  <c r="CG49" i="16"/>
  <c r="CF49" i="16"/>
  <c r="CE49" i="16"/>
  <c r="CD49" i="16"/>
  <c r="CC49" i="16"/>
  <c r="CB49" i="16"/>
  <c r="CA49" i="16"/>
  <c r="BZ49" i="16"/>
  <c r="BY49" i="16"/>
  <c r="BX49" i="16"/>
  <c r="BW49" i="16"/>
  <c r="BV49" i="16"/>
  <c r="BU49" i="16"/>
  <c r="BT49" i="16"/>
  <c r="BS49" i="16"/>
  <c r="BR49" i="16"/>
  <c r="BQ49" i="16"/>
  <c r="BP49" i="16"/>
  <c r="BO49" i="16"/>
  <c r="BN49" i="16"/>
  <c r="BM49" i="16"/>
  <c r="BL49" i="16"/>
  <c r="BK49" i="16"/>
  <c r="BJ49" i="16"/>
  <c r="BI49" i="16"/>
  <c r="BH49" i="16"/>
  <c r="BG49" i="16"/>
  <c r="BF49" i="16"/>
  <c r="BE49" i="16"/>
  <c r="BD49" i="16"/>
  <c r="BC49" i="16"/>
  <c r="BB49" i="16"/>
  <c r="BA49" i="16"/>
  <c r="AZ49" i="16"/>
  <c r="AY49" i="16"/>
  <c r="AX49" i="16"/>
  <c r="AW49" i="16"/>
  <c r="AV49" i="16"/>
  <c r="AU49" i="16"/>
  <c r="AT49" i="16"/>
  <c r="AS49" i="16"/>
  <c r="AR49" i="16"/>
  <c r="AQ49" i="16"/>
  <c r="AP49" i="16"/>
  <c r="AO49" i="16"/>
  <c r="AN49" i="16"/>
  <c r="AM49" i="16"/>
  <c r="AL49" i="16"/>
  <c r="AK49" i="16"/>
  <c r="AJ49" i="16"/>
  <c r="AI49" i="16"/>
  <c r="AH49" i="16"/>
  <c r="AG49" i="16"/>
  <c r="AF49" i="16"/>
  <c r="AE49" i="16"/>
  <c r="AD49" i="16"/>
  <c r="AC49" i="16"/>
  <c r="AB49" i="16"/>
  <c r="AA49" i="16"/>
  <c r="Z49" i="16"/>
  <c r="Y49" i="16"/>
  <c r="X49" i="16"/>
  <c r="W49" i="16"/>
  <c r="V49" i="16"/>
  <c r="U49" i="16"/>
  <c r="T49" i="16"/>
  <c r="S49" i="16"/>
  <c r="R49" i="16"/>
  <c r="Q49" i="16"/>
  <c r="P49" i="16"/>
  <c r="O49" i="16"/>
  <c r="N49" i="16"/>
  <c r="M49" i="16"/>
  <c r="L49" i="16"/>
  <c r="K49" i="16"/>
  <c r="J49" i="16"/>
  <c r="I49" i="16"/>
  <c r="H49" i="16"/>
  <c r="G49" i="16"/>
  <c r="F49" i="16"/>
  <c r="DC48" i="16"/>
  <c r="DB48" i="16"/>
  <c r="DA48" i="16"/>
  <c r="CZ48" i="16"/>
  <c r="CY48" i="16"/>
  <c r="CX48" i="16"/>
  <c r="CW48" i="16"/>
  <c r="CV48" i="16"/>
  <c r="CU48" i="16"/>
  <c r="CT48" i="16"/>
  <c r="CS48" i="16"/>
  <c r="CR48" i="16"/>
  <c r="CQ48" i="16"/>
  <c r="CP48" i="16"/>
  <c r="CO48" i="16"/>
  <c r="CN48" i="16"/>
  <c r="CM48" i="16"/>
  <c r="CL48" i="16"/>
  <c r="CK48" i="16"/>
  <c r="CJ48" i="16"/>
  <c r="CI48" i="16"/>
  <c r="CH48" i="16"/>
  <c r="CG48" i="16"/>
  <c r="CF48" i="16"/>
  <c r="CE48" i="16"/>
  <c r="CD48" i="16"/>
  <c r="CC48" i="16"/>
  <c r="CB48" i="16"/>
  <c r="CA48" i="16"/>
  <c r="BZ48" i="16"/>
  <c r="BY48" i="16"/>
  <c r="BX48" i="16"/>
  <c r="BW48" i="16"/>
  <c r="BV48" i="16"/>
  <c r="BU48" i="16"/>
  <c r="BT48" i="16"/>
  <c r="BS48" i="16"/>
  <c r="BR48" i="16"/>
  <c r="BQ48" i="16"/>
  <c r="BP48" i="16"/>
  <c r="BO48" i="16"/>
  <c r="BN48" i="16"/>
  <c r="BM48" i="16"/>
  <c r="BL48" i="16"/>
  <c r="BK48" i="16"/>
  <c r="BJ48" i="16"/>
  <c r="BI48" i="16"/>
  <c r="BH48" i="16"/>
  <c r="BG48" i="16"/>
  <c r="BF48" i="16"/>
  <c r="BE48" i="16"/>
  <c r="BD48" i="16"/>
  <c r="BC48" i="16"/>
  <c r="BB48" i="16"/>
  <c r="BA48" i="16"/>
  <c r="AZ48" i="16"/>
  <c r="AY48" i="16"/>
  <c r="AX48" i="16"/>
  <c r="AW48" i="16"/>
  <c r="AV48" i="16"/>
  <c r="AU48" i="16"/>
  <c r="AT48" i="16"/>
  <c r="AS48" i="16"/>
  <c r="AR48" i="16"/>
  <c r="AQ48" i="16"/>
  <c r="AP48" i="16"/>
  <c r="AO48" i="16"/>
  <c r="AN48" i="16"/>
  <c r="AM48" i="16"/>
  <c r="AL48" i="16"/>
  <c r="AK48" i="16"/>
  <c r="AJ48" i="16"/>
  <c r="AI48" i="16"/>
  <c r="AH48" i="16"/>
  <c r="AG48" i="16"/>
  <c r="AF48" i="16"/>
  <c r="AE48" i="16"/>
  <c r="AD48" i="16"/>
  <c r="AC48" i="16"/>
  <c r="AB48" i="16"/>
  <c r="AA48" i="16"/>
  <c r="Z48" i="16"/>
  <c r="Y48" i="16"/>
  <c r="X48" i="16"/>
  <c r="W48" i="16"/>
  <c r="V48" i="16"/>
  <c r="U48" i="16"/>
  <c r="T48" i="16"/>
  <c r="S48" i="16"/>
  <c r="R48" i="16"/>
  <c r="Q48" i="16"/>
  <c r="P48" i="16"/>
  <c r="O48" i="16"/>
  <c r="N48" i="16"/>
  <c r="M48" i="16"/>
  <c r="L48" i="16"/>
  <c r="K48" i="16"/>
  <c r="J48" i="16"/>
  <c r="I48" i="16"/>
  <c r="H48" i="16"/>
  <c r="G48" i="16"/>
  <c r="F48" i="16"/>
  <c r="DC47" i="16"/>
  <c r="DB47" i="16"/>
  <c r="DA47" i="16"/>
  <c r="CZ47" i="16"/>
  <c r="CY47" i="16"/>
  <c r="CX47" i="16"/>
  <c r="CW47" i="16"/>
  <c r="CV47" i="16"/>
  <c r="CU47" i="16"/>
  <c r="CT47" i="16"/>
  <c r="CS47" i="16"/>
  <c r="CR47" i="16"/>
  <c r="CQ47" i="16"/>
  <c r="CP47" i="16"/>
  <c r="CO47" i="16"/>
  <c r="CN47" i="16"/>
  <c r="CM47" i="16"/>
  <c r="CL47" i="16"/>
  <c r="CK47" i="16"/>
  <c r="CJ47" i="16"/>
  <c r="CI47" i="16"/>
  <c r="CH47" i="16"/>
  <c r="CG47" i="16"/>
  <c r="CF47" i="16"/>
  <c r="CE47" i="16"/>
  <c r="CD47" i="16"/>
  <c r="CC47" i="16"/>
  <c r="CB47" i="16"/>
  <c r="CA47" i="16"/>
  <c r="BZ47" i="16"/>
  <c r="BY47" i="16"/>
  <c r="BX47" i="16"/>
  <c r="BW47" i="16"/>
  <c r="BV47" i="16"/>
  <c r="BU47" i="16"/>
  <c r="BT47" i="16"/>
  <c r="BS47" i="16"/>
  <c r="BR47" i="16"/>
  <c r="BQ47" i="16"/>
  <c r="BP47" i="16"/>
  <c r="BO47" i="16"/>
  <c r="BN47" i="16"/>
  <c r="BM47" i="16"/>
  <c r="BL47" i="16"/>
  <c r="BK47" i="16"/>
  <c r="BJ47" i="16"/>
  <c r="BI47" i="16"/>
  <c r="BH47" i="16"/>
  <c r="BG47" i="16"/>
  <c r="BF47" i="16"/>
  <c r="BE47" i="16"/>
  <c r="BD47" i="16"/>
  <c r="BC47" i="16"/>
  <c r="BB47" i="16"/>
  <c r="BA47" i="16"/>
  <c r="AZ47" i="16"/>
  <c r="AY47" i="16"/>
  <c r="AX47" i="16"/>
  <c r="AW47" i="16"/>
  <c r="AV47" i="16"/>
  <c r="AU47" i="16"/>
  <c r="AT47" i="16"/>
  <c r="AS47" i="16"/>
  <c r="AR47" i="16"/>
  <c r="AQ47" i="16"/>
  <c r="AP47" i="16"/>
  <c r="AO47" i="16"/>
  <c r="AN47" i="16"/>
  <c r="AM47" i="16"/>
  <c r="AL47" i="16"/>
  <c r="AK47" i="16"/>
  <c r="AJ47" i="16"/>
  <c r="AI47" i="16"/>
  <c r="AH47" i="16"/>
  <c r="AG47" i="16"/>
  <c r="AF47" i="16"/>
  <c r="AE47" i="16"/>
  <c r="AD47" i="16"/>
  <c r="AC47" i="16"/>
  <c r="AB47" i="16"/>
  <c r="AA47" i="16"/>
  <c r="Z47" i="16"/>
  <c r="Y47" i="16"/>
  <c r="X47" i="16"/>
  <c r="W47" i="16"/>
  <c r="V47" i="16"/>
  <c r="U47" i="16"/>
  <c r="T47" i="16"/>
  <c r="S47" i="16"/>
  <c r="R47" i="16"/>
  <c r="Q47" i="16"/>
  <c r="P47" i="16"/>
  <c r="O47" i="16"/>
  <c r="N47" i="16"/>
  <c r="M47" i="16"/>
  <c r="L47" i="16"/>
  <c r="K47" i="16"/>
  <c r="J47" i="16"/>
  <c r="I47" i="16"/>
  <c r="H47" i="16"/>
  <c r="G47" i="16"/>
  <c r="F47" i="16"/>
  <c r="DC46" i="16"/>
  <c r="DB46" i="16"/>
  <c r="DA46" i="16"/>
  <c r="CZ46" i="16"/>
  <c r="CY46" i="16"/>
  <c r="CX46" i="16"/>
  <c r="CW46" i="16"/>
  <c r="CV46" i="16"/>
  <c r="CU46" i="16"/>
  <c r="CT46" i="16"/>
  <c r="CS46" i="16"/>
  <c r="CR46" i="16"/>
  <c r="CQ46" i="16"/>
  <c r="CP46" i="16"/>
  <c r="CO46" i="16"/>
  <c r="CN46" i="16"/>
  <c r="CM46" i="16"/>
  <c r="CL46" i="16"/>
  <c r="CK46" i="16"/>
  <c r="CJ46" i="16"/>
  <c r="CI46" i="16"/>
  <c r="CH46" i="16"/>
  <c r="CG46" i="16"/>
  <c r="CF46" i="16"/>
  <c r="CE46" i="16"/>
  <c r="CD46" i="16"/>
  <c r="CC46" i="16"/>
  <c r="CB46" i="16"/>
  <c r="CA46" i="16"/>
  <c r="BZ46" i="16"/>
  <c r="BY46" i="16"/>
  <c r="BX46" i="16"/>
  <c r="BW46" i="16"/>
  <c r="BV46" i="16"/>
  <c r="BU46" i="16"/>
  <c r="BT46" i="16"/>
  <c r="BS46" i="16"/>
  <c r="BR46" i="16"/>
  <c r="BQ46" i="16"/>
  <c r="BP46" i="16"/>
  <c r="BO46" i="16"/>
  <c r="BN46" i="16"/>
  <c r="BM46" i="16"/>
  <c r="BL46" i="16"/>
  <c r="BK46" i="16"/>
  <c r="BJ46" i="16"/>
  <c r="BI46" i="16"/>
  <c r="BH46" i="16"/>
  <c r="BG46" i="16"/>
  <c r="BF46" i="16"/>
  <c r="BE46" i="16"/>
  <c r="BD46" i="16"/>
  <c r="BC46" i="16"/>
  <c r="BB46" i="16"/>
  <c r="BA46" i="16"/>
  <c r="AZ46" i="16"/>
  <c r="AY46" i="16"/>
  <c r="AX46" i="16"/>
  <c r="AW46" i="16"/>
  <c r="AV46" i="16"/>
  <c r="AU46" i="16"/>
  <c r="AT46" i="16"/>
  <c r="AS46" i="16"/>
  <c r="AR46" i="16"/>
  <c r="AQ46" i="16"/>
  <c r="AP46" i="16"/>
  <c r="AO46" i="16"/>
  <c r="AN46" i="16"/>
  <c r="AM46" i="16"/>
  <c r="AL46" i="16"/>
  <c r="AK46" i="16"/>
  <c r="AJ46" i="16"/>
  <c r="AI46" i="16"/>
  <c r="AH46" i="16"/>
  <c r="AG46" i="16"/>
  <c r="AF46" i="16"/>
  <c r="AE46" i="16"/>
  <c r="AD46" i="16"/>
  <c r="AC46" i="16"/>
  <c r="AB46" i="16"/>
  <c r="AA46" i="16"/>
  <c r="Z46" i="16"/>
  <c r="Y46" i="16"/>
  <c r="X46" i="16"/>
  <c r="W46" i="16"/>
  <c r="V46" i="16"/>
  <c r="U46" i="16"/>
  <c r="T46" i="16"/>
  <c r="S46" i="16"/>
  <c r="R46" i="16"/>
  <c r="Q46" i="16"/>
  <c r="P46" i="16"/>
  <c r="O46" i="16"/>
  <c r="N46" i="16"/>
  <c r="M46" i="16"/>
  <c r="L46" i="16"/>
  <c r="K46" i="16"/>
  <c r="J46" i="16"/>
  <c r="I46" i="16"/>
  <c r="H46" i="16"/>
  <c r="G46" i="16"/>
  <c r="F46" i="16"/>
  <c r="DC45" i="16"/>
  <c r="DB45" i="16"/>
  <c r="DA45" i="16"/>
  <c r="CZ45" i="16"/>
  <c r="CY45" i="16"/>
  <c r="CX45" i="16"/>
  <c r="CW45" i="16"/>
  <c r="CV45" i="16"/>
  <c r="CU45" i="16"/>
  <c r="CT45" i="16"/>
  <c r="CS45" i="16"/>
  <c r="CR45" i="16"/>
  <c r="CQ45" i="16"/>
  <c r="CP45" i="16"/>
  <c r="CO45" i="16"/>
  <c r="CN45" i="16"/>
  <c r="CM45" i="16"/>
  <c r="CL45" i="16"/>
  <c r="CK45" i="16"/>
  <c r="CJ45" i="16"/>
  <c r="CI45" i="16"/>
  <c r="CH45" i="16"/>
  <c r="CG45" i="16"/>
  <c r="CF45" i="16"/>
  <c r="CE45" i="16"/>
  <c r="CD45" i="16"/>
  <c r="CC45" i="16"/>
  <c r="CB45" i="16"/>
  <c r="CA45" i="16"/>
  <c r="BZ45" i="16"/>
  <c r="BY45" i="16"/>
  <c r="BX45" i="16"/>
  <c r="BW45" i="16"/>
  <c r="BV45" i="16"/>
  <c r="BU45" i="16"/>
  <c r="BT45" i="16"/>
  <c r="BS45" i="16"/>
  <c r="BR45" i="16"/>
  <c r="BQ45" i="16"/>
  <c r="BP45" i="16"/>
  <c r="BO45" i="16"/>
  <c r="BN45" i="16"/>
  <c r="BM45" i="16"/>
  <c r="BL45" i="16"/>
  <c r="BK45" i="16"/>
  <c r="BJ45" i="16"/>
  <c r="BI45" i="16"/>
  <c r="BH45" i="16"/>
  <c r="BG45" i="16"/>
  <c r="BF45" i="16"/>
  <c r="BE45" i="16"/>
  <c r="BD45" i="16"/>
  <c r="BC45" i="16"/>
  <c r="BB45" i="16"/>
  <c r="BA45" i="16"/>
  <c r="AZ45" i="16"/>
  <c r="AY45" i="16"/>
  <c r="AX45" i="16"/>
  <c r="AW45" i="16"/>
  <c r="AV45" i="16"/>
  <c r="AU45" i="16"/>
  <c r="AT45" i="16"/>
  <c r="AS45" i="16"/>
  <c r="AR45" i="16"/>
  <c r="AQ45" i="16"/>
  <c r="AP45" i="16"/>
  <c r="AO45" i="16"/>
  <c r="AN45" i="16"/>
  <c r="AM45" i="16"/>
  <c r="AL45" i="16"/>
  <c r="AK45" i="16"/>
  <c r="AJ45" i="16"/>
  <c r="AI45" i="16"/>
  <c r="AH45" i="16"/>
  <c r="AG45" i="16"/>
  <c r="AF45" i="16"/>
  <c r="AE45" i="16"/>
  <c r="AD45" i="16"/>
  <c r="AC45" i="16"/>
  <c r="AB45" i="16"/>
  <c r="AA45" i="16"/>
  <c r="Z45" i="16"/>
  <c r="Y45" i="16"/>
  <c r="X45" i="16"/>
  <c r="W45" i="16"/>
  <c r="V45" i="16"/>
  <c r="U45" i="16"/>
  <c r="T45" i="16"/>
  <c r="S45" i="16"/>
  <c r="R45" i="16"/>
  <c r="Q45" i="16"/>
  <c r="P45" i="16"/>
  <c r="O45" i="16"/>
  <c r="N45" i="16"/>
  <c r="M45" i="16"/>
  <c r="L45" i="16"/>
  <c r="K45" i="16"/>
  <c r="J45" i="16"/>
  <c r="I45" i="16"/>
  <c r="H45" i="16"/>
  <c r="G45" i="16"/>
  <c r="F45" i="16"/>
  <c r="DC44" i="16"/>
  <c r="DB44" i="16"/>
  <c r="DA44" i="16"/>
  <c r="CZ44" i="16"/>
  <c r="CY44" i="16"/>
  <c r="CX44" i="16"/>
  <c r="CW44" i="16"/>
  <c r="CV44" i="16"/>
  <c r="CU44" i="16"/>
  <c r="CT44" i="16"/>
  <c r="CS44" i="16"/>
  <c r="CR44" i="16"/>
  <c r="CQ44" i="16"/>
  <c r="CP44" i="16"/>
  <c r="CO44" i="16"/>
  <c r="CN44" i="16"/>
  <c r="CM44" i="16"/>
  <c r="CL44" i="16"/>
  <c r="CK44" i="16"/>
  <c r="CJ44" i="16"/>
  <c r="CI44" i="16"/>
  <c r="CH44" i="16"/>
  <c r="CG44" i="16"/>
  <c r="CF44" i="16"/>
  <c r="CE44" i="16"/>
  <c r="CD44" i="16"/>
  <c r="CC44" i="16"/>
  <c r="CB44" i="16"/>
  <c r="CA44" i="16"/>
  <c r="BZ44" i="16"/>
  <c r="BY44" i="16"/>
  <c r="BX44" i="16"/>
  <c r="BW44" i="16"/>
  <c r="BV44" i="16"/>
  <c r="BU44" i="16"/>
  <c r="BT44" i="16"/>
  <c r="BS44" i="16"/>
  <c r="BR44" i="16"/>
  <c r="BQ44" i="16"/>
  <c r="BP44" i="16"/>
  <c r="BO44" i="16"/>
  <c r="BN44" i="16"/>
  <c r="BM44" i="16"/>
  <c r="BL44" i="16"/>
  <c r="BK44" i="16"/>
  <c r="BJ44" i="16"/>
  <c r="BI44" i="16"/>
  <c r="BH44" i="16"/>
  <c r="BG44" i="16"/>
  <c r="BF44" i="16"/>
  <c r="BE44" i="16"/>
  <c r="BD44" i="16"/>
  <c r="BC44" i="16"/>
  <c r="BB44" i="16"/>
  <c r="BA44" i="16"/>
  <c r="AZ44" i="16"/>
  <c r="AY44" i="16"/>
  <c r="AX44" i="16"/>
  <c r="AW44" i="16"/>
  <c r="AV44" i="16"/>
  <c r="AU44" i="16"/>
  <c r="AT44" i="16"/>
  <c r="AS44" i="16"/>
  <c r="AR44" i="16"/>
  <c r="AQ44" i="16"/>
  <c r="AP44" i="16"/>
  <c r="AO44" i="16"/>
  <c r="AN44" i="16"/>
  <c r="AM44" i="16"/>
  <c r="AL44" i="16"/>
  <c r="AK44" i="16"/>
  <c r="AJ44" i="16"/>
  <c r="AI44" i="16"/>
  <c r="AH44" i="16"/>
  <c r="AG44" i="16"/>
  <c r="AF44" i="16"/>
  <c r="AE44" i="16"/>
  <c r="AD44" i="16"/>
  <c r="AC44" i="16"/>
  <c r="AB44" i="16"/>
  <c r="AA44" i="16"/>
  <c r="Z44" i="16"/>
  <c r="Y44" i="16"/>
  <c r="X44" i="16"/>
  <c r="W44" i="16"/>
  <c r="V44" i="16"/>
  <c r="U44" i="16"/>
  <c r="T44" i="16"/>
  <c r="S44" i="16"/>
  <c r="R44" i="16"/>
  <c r="Q44" i="16"/>
  <c r="P44" i="16"/>
  <c r="O44" i="16"/>
  <c r="N44" i="16"/>
  <c r="M44" i="16"/>
  <c r="L44" i="16"/>
  <c r="K44" i="16"/>
  <c r="J44" i="16"/>
  <c r="I44" i="16"/>
  <c r="H44" i="16"/>
  <c r="G44" i="16"/>
  <c r="F44" i="16"/>
  <c r="DC43" i="16"/>
  <c r="DB43" i="16"/>
  <c r="DA43" i="16"/>
  <c r="CZ43" i="16"/>
  <c r="CY43" i="16"/>
  <c r="CX43" i="16"/>
  <c r="CW43" i="16"/>
  <c r="CV43" i="16"/>
  <c r="CU43" i="16"/>
  <c r="CT43" i="16"/>
  <c r="CS43" i="16"/>
  <c r="CR43" i="16"/>
  <c r="CQ43" i="16"/>
  <c r="CP43" i="16"/>
  <c r="CO43" i="16"/>
  <c r="CN43" i="16"/>
  <c r="CM43" i="16"/>
  <c r="CL43" i="16"/>
  <c r="CK43" i="16"/>
  <c r="CJ43" i="16"/>
  <c r="CI43" i="16"/>
  <c r="CH43" i="16"/>
  <c r="CG43" i="16"/>
  <c r="CF43" i="16"/>
  <c r="CE43" i="16"/>
  <c r="CD43" i="16"/>
  <c r="CC43" i="16"/>
  <c r="CB43" i="16"/>
  <c r="CA43" i="16"/>
  <c r="BZ43" i="16"/>
  <c r="BY43" i="16"/>
  <c r="BX43" i="16"/>
  <c r="BW43" i="16"/>
  <c r="BV43" i="16"/>
  <c r="BU43" i="16"/>
  <c r="BT43" i="16"/>
  <c r="BS43" i="16"/>
  <c r="BR43" i="16"/>
  <c r="BQ43" i="16"/>
  <c r="BP43" i="16"/>
  <c r="BO43" i="16"/>
  <c r="BN43" i="16"/>
  <c r="BM43" i="16"/>
  <c r="BL43" i="16"/>
  <c r="BK43" i="16"/>
  <c r="BJ43" i="16"/>
  <c r="BI43" i="16"/>
  <c r="BH43" i="16"/>
  <c r="BG43" i="16"/>
  <c r="BF43" i="16"/>
  <c r="BE43" i="16"/>
  <c r="BD43" i="16"/>
  <c r="BC43" i="16"/>
  <c r="BB43" i="16"/>
  <c r="BA43" i="16"/>
  <c r="AZ43" i="16"/>
  <c r="AY43" i="16"/>
  <c r="AX43" i="16"/>
  <c r="AW43" i="16"/>
  <c r="AV43" i="16"/>
  <c r="AU43" i="16"/>
  <c r="AT43" i="16"/>
  <c r="AS43" i="16"/>
  <c r="AR43" i="16"/>
  <c r="AQ43" i="16"/>
  <c r="AP43" i="16"/>
  <c r="AO43" i="16"/>
  <c r="AN43" i="16"/>
  <c r="AM43" i="16"/>
  <c r="AL43" i="16"/>
  <c r="AK43" i="16"/>
  <c r="AJ43" i="16"/>
  <c r="AI43" i="16"/>
  <c r="AH43" i="16"/>
  <c r="AG43" i="16"/>
  <c r="AF43" i="16"/>
  <c r="AE43" i="16"/>
  <c r="AD43" i="16"/>
  <c r="AC43" i="16"/>
  <c r="AB43" i="16"/>
  <c r="AA43" i="16"/>
  <c r="Z43" i="16"/>
  <c r="Y43" i="16"/>
  <c r="X43" i="16"/>
  <c r="W43" i="16"/>
  <c r="V43" i="16"/>
  <c r="U43" i="16"/>
  <c r="T43" i="16"/>
  <c r="S43" i="16"/>
  <c r="R43" i="16"/>
  <c r="Q43" i="16"/>
  <c r="P43" i="16"/>
  <c r="O43" i="16"/>
  <c r="N43" i="16"/>
  <c r="M43" i="16"/>
  <c r="L43" i="16"/>
  <c r="K43" i="16"/>
  <c r="J43" i="16"/>
  <c r="I43" i="16"/>
  <c r="H43" i="16"/>
  <c r="G43" i="16"/>
  <c r="F43" i="16"/>
  <c r="DC42" i="16"/>
  <c r="DB42" i="16"/>
  <c r="DA42" i="16"/>
  <c r="CZ42" i="16"/>
  <c r="CY42" i="16"/>
  <c r="CX42" i="16"/>
  <c r="CW42" i="16"/>
  <c r="CV42" i="16"/>
  <c r="CU42" i="16"/>
  <c r="CT42" i="16"/>
  <c r="CS42" i="16"/>
  <c r="CR42" i="16"/>
  <c r="CQ42" i="16"/>
  <c r="CP42" i="16"/>
  <c r="CO42" i="16"/>
  <c r="CN42" i="16"/>
  <c r="CM42" i="16"/>
  <c r="CL42" i="16"/>
  <c r="CK42" i="16"/>
  <c r="CJ42" i="16"/>
  <c r="CI42" i="16"/>
  <c r="CH42" i="16"/>
  <c r="CG42" i="16"/>
  <c r="CF42" i="16"/>
  <c r="CE42" i="16"/>
  <c r="CD42" i="16"/>
  <c r="CC42" i="16"/>
  <c r="CB42" i="16"/>
  <c r="CA42" i="16"/>
  <c r="BZ42" i="16"/>
  <c r="BY42" i="16"/>
  <c r="BX42" i="16"/>
  <c r="BW42" i="16"/>
  <c r="BV42" i="16"/>
  <c r="BU42" i="16"/>
  <c r="BT42" i="16"/>
  <c r="BS42" i="16"/>
  <c r="BR42" i="16"/>
  <c r="BQ42" i="16"/>
  <c r="BP42" i="16"/>
  <c r="BO42" i="16"/>
  <c r="BN42" i="16"/>
  <c r="BM42" i="16"/>
  <c r="BL42" i="16"/>
  <c r="BK42" i="16"/>
  <c r="BJ42" i="16"/>
  <c r="BI42" i="16"/>
  <c r="BH42" i="16"/>
  <c r="BG42" i="16"/>
  <c r="BF42" i="16"/>
  <c r="BE42" i="16"/>
  <c r="BD42" i="16"/>
  <c r="BC42" i="16"/>
  <c r="BB42" i="16"/>
  <c r="BA42" i="16"/>
  <c r="AZ42" i="16"/>
  <c r="AY42" i="16"/>
  <c r="AX42" i="16"/>
  <c r="AW42" i="16"/>
  <c r="AV42" i="16"/>
  <c r="AU42" i="16"/>
  <c r="AT42" i="16"/>
  <c r="AS42" i="16"/>
  <c r="AR42" i="16"/>
  <c r="AQ42" i="16"/>
  <c r="AP42" i="16"/>
  <c r="AO42" i="16"/>
  <c r="AN42" i="16"/>
  <c r="AM42" i="16"/>
  <c r="AL42" i="16"/>
  <c r="AK42" i="16"/>
  <c r="AJ42" i="16"/>
  <c r="AI42" i="16"/>
  <c r="AH42" i="16"/>
  <c r="AG42" i="16"/>
  <c r="AF42" i="16"/>
  <c r="AE42" i="16"/>
  <c r="AD42" i="16"/>
  <c r="AC42" i="16"/>
  <c r="AB42" i="16"/>
  <c r="AA42" i="16"/>
  <c r="Z42" i="16"/>
  <c r="Y42" i="16"/>
  <c r="X42" i="16"/>
  <c r="W42" i="16"/>
  <c r="V42" i="16"/>
  <c r="U42" i="16"/>
  <c r="T42" i="16"/>
  <c r="S42" i="16"/>
  <c r="R42" i="16"/>
  <c r="Q42" i="16"/>
  <c r="P42" i="16"/>
  <c r="O42" i="16"/>
  <c r="N42" i="16"/>
  <c r="M42" i="16"/>
  <c r="L42" i="16"/>
  <c r="K42" i="16"/>
  <c r="J42" i="16"/>
  <c r="I42" i="16"/>
  <c r="H42" i="16"/>
  <c r="G42" i="16"/>
  <c r="F42" i="16"/>
  <c r="DC41" i="16"/>
  <c r="DB41" i="16"/>
  <c r="DA41" i="16"/>
  <c r="CZ41" i="16"/>
  <c r="CY41" i="16"/>
  <c r="CX41" i="16"/>
  <c r="CW41" i="16"/>
  <c r="CV41" i="16"/>
  <c r="CU41" i="16"/>
  <c r="CT41" i="16"/>
  <c r="CS41" i="16"/>
  <c r="CR41" i="16"/>
  <c r="CQ41" i="16"/>
  <c r="CP41" i="16"/>
  <c r="CO41" i="16"/>
  <c r="CN41" i="16"/>
  <c r="CM41" i="16"/>
  <c r="CL41" i="16"/>
  <c r="CK41" i="16"/>
  <c r="CJ41" i="16"/>
  <c r="CI41" i="16"/>
  <c r="CH41" i="16"/>
  <c r="CG41" i="16"/>
  <c r="CF41" i="16"/>
  <c r="CE41" i="16"/>
  <c r="CD41" i="16"/>
  <c r="CC41" i="16"/>
  <c r="CB41" i="16"/>
  <c r="CA41" i="16"/>
  <c r="BZ41" i="16"/>
  <c r="BY41" i="16"/>
  <c r="BX41" i="16"/>
  <c r="BW41" i="16"/>
  <c r="BV41" i="16"/>
  <c r="BU41" i="16"/>
  <c r="BT41" i="16"/>
  <c r="BS41" i="16"/>
  <c r="BR41" i="16"/>
  <c r="BQ41" i="16"/>
  <c r="BP41" i="16"/>
  <c r="BO41" i="16"/>
  <c r="BN41" i="16"/>
  <c r="BM41" i="16"/>
  <c r="BL41" i="16"/>
  <c r="BK41" i="16"/>
  <c r="BJ41" i="16"/>
  <c r="BI41" i="16"/>
  <c r="BH41" i="16"/>
  <c r="BG41" i="16"/>
  <c r="BF41" i="16"/>
  <c r="BE41" i="16"/>
  <c r="BD41" i="16"/>
  <c r="BC41" i="16"/>
  <c r="BB41" i="16"/>
  <c r="BA41" i="16"/>
  <c r="AZ41" i="16"/>
  <c r="AY41" i="16"/>
  <c r="AX41" i="16"/>
  <c r="AW41" i="16"/>
  <c r="AV41" i="16"/>
  <c r="AU41" i="16"/>
  <c r="AT41" i="16"/>
  <c r="AS41" i="16"/>
  <c r="AR41" i="16"/>
  <c r="AQ41" i="16"/>
  <c r="AP41" i="16"/>
  <c r="AO41" i="16"/>
  <c r="AN41" i="16"/>
  <c r="AM41" i="16"/>
  <c r="AL41" i="16"/>
  <c r="AK41" i="16"/>
  <c r="AJ41" i="16"/>
  <c r="AI41" i="16"/>
  <c r="AH41" i="16"/>
  <c r="AG41" i="16"/>
  <c r="AF41" i="16"/>
  <c r="AE41" i="16"/>
  <c r="AD41" i="16"/>
  <c r="AC41" i="16"/>
  <c r="AB41" i="16"/>
  <c r="AA41" i="16"/>
  <c r="Z41" i="16"/>
  <c r="Y41" i="16"/>
  <c r="X41" i="16"/>
  <c r="W41" i="16"/>
  <c r="V41" i="16"/>
  <c r="U41" i="16"/>
  <c r="T41" i="16"/>
  <c r="S41" i="16"/>
  <c r="R41" i="16"/>
  <c r="Q41" i="16"/>
  <c r="P41" i="16"/>
  <c r="O41" i="16"/>
  <c r="N41" i="16"/>
  <c r="M41" i="16"/>
  <c r="L41" i="16"/>
  <c r="K41" i="16"/>
  <c r="J41" i="16"/>
  <c r="I41" i="16"/>
  <c r="H41" i="16"/>
  <c r="G41" i="16"/>
  <c r="F41" i="16"/>
  <c r="DC40" i="16"/>
  <c r="DB40" i="16"/>
  <c r="DA40" i="16"/>
  <c r="CZ40" i="16"/>
  <c r="CY40" i="16"/>
  <c r="CX40" i="16"/>
  <c r="CW40" i="16"/>
  <c r="CV40" i="16"/>
  <c r="CU40" i="16"/>
  <c r="CT40" i="16"/>
  <c r="CS40" i="16"/>
  <c r="CR40" i="16"/>
  <c r="CQ40" i="16"/>
  <c r="CP40" i="16"/>
  <c r="CO40" i="16"/>
  <c r="CN40" i="16"/>
  <c r="CM40" i="16"/>
  <c r="CL40" i="16"/>
  <c r="CK40" i="16"/>
  <c r="CJ40" i="16"/>
  <c r="CI40" i="16"/>
  <c r="CH40" i="16"/>
  <c r="CG40" i="16"/>
  <c r="CF40" i="16"/>
  <c r="CE40" i="16"/>
  <c r="CD40" i="16"/>
  <c r="CC40" i="16"/>
  <c r="CB40" i="16"/>
  <c r="CA40" i="16"/>
  <c r="BZ40" i="16"/>
  <c r="BY40" i="16"/>
  <c r="BX40" i="16"/>
  <c r="BW40" i="16"/>
  <c r="BV40" i="16"/>
  <c r="BU40" i="16"/>
  <c r="BT40" i="16"/>
  <c r="BS40" i="16"/>
  <c r="BR40" i="16"/>
  <c r="BQ40" i="16"/>
  <c r="BP40" i="16"/>
  <c r="BO40" i="16"/>
  <c r="BN40" i="16"/>
  <c r="BM40" i="16"/>
  <c r="BL40" i="16"/>
  <c r="BK40" i="16"/>
  <c r="BJ40" i="16"/>
  <c r="BI40" i="16"/>
  <c r="BH40" i="16"/>
  <c r="BG40" i="16"/>
  <c r="BF40" i="16"/>
  <c r="BE40" i="16"/>
  <c r="BD40" i="16"/>
  <c r="BC40" i="16"/>
  <c r="BB40" i="16"/>
  <c r="BA40" i="16"/>
  <c r="AZ40" i="16"/>
  <c r="AY40" i="16"/>
  <c r="AX40" i="16"/>
  <c r="AW40" i="16"/>
  <c r="AV40" i="16"/>
  <c r="AU40" i="16"/>
  <c r="AT40" i="16"/>
  <c r="AS40" i="16"/>
  <c r="AR40" i="16"/>
  <c r="AQ40" i="16"/>
  <c r="AP40" i="16"/>
  <c r="AO40" i="16"/>
  <c r="AN40" i="16"/>
  <c r="AM40" i="16"/>
  <c r="AL40" i="16"/>
  <c r="AK40" i="16"/>
  <c r="AJ40" i="16"/>
  <c r="AI40" i="16"/>
  <c r="AH40" i="16"/>
  <c r="AG40" i="16"/>
  <c r="AF40" i="16"/>
  <c r="AE40" i="16"/>
  <c r="AD40" i="16"/>
  <c r="AC40" i="16"/>
  <c r="AB40" i="16"/>
  <c r="AA40" i="16"/>
  <c r="Z40" i="16"/>
  <c r="Y40" i="16"/>
  <c r="X40" i="16"/>
  <c r="W40" i="16"/>
  <c r="V40" i="16"/>
  <c r="U40" i="16"/>
  <c r="T40" i="16"/>
  <c r="S40" i="16"/>
  <c r="R40" i="16"/>
  <c r="Q40" i="16"/>
  <c r="P40" i="16"/>
  <c r="O40" i="16"/>
  <c r="N40" i="16"/>
  <c r="M40" i="16"/>
  <c r="L40" i="16"/>
  <c r="K40" i="16"/>
  <c r="J40" i="16"/>
  <c r="I40" i="16"/>
  <c r="H40" i="16"/>
  <c r="G40" i="16"/>
  <c r="F40" i="16"/>
  <c r="DC39" i="16"/>
  <c r="DB39" i="16"/>
  <c r="DA39" i="16"/>
  <c r="CZ39" i="16"/>
  <c r="CY39" i="16"/>
  <c r="CX39" i="16"/>
  <c r="CW39" i="16"/>
  <c r="CV39" i="16"/>
  <c r="CU39" i="16"/>
  <c r="CT39" i="16"/>
  <c r="CS39" i="16"/>
  <c r="CR39" i="16"/>
  <c r="CQ39" i="16"/>
  <c r="CP39" i="16"/>
  <c r="CO39" i="16"/>
  <c r="CN39" i="16"/>
  <c r="CM39" i="16"/>
  <c r="CL39" i="16"/>
  <c r="CK39" i="16"/>
  <c r="CJ39" i="16"/>
  <c r="CI39" i="16"/>
  <c r="CH39" i="16"/>
  <c r="CG39" i="16"/>
  <c r="CF39" i="16"/>
  <c r="CE39" i="16"/>
  <c r="CD39" i="16"/>
  <c r="CC39" i="16"/>
  <c r="CB39" i="16"/>
  <c r="CA39" i="16"/>
  <c r="BZ39" i="16"/>
  <c r="BY39" i="16"/>
  <c r="BX39" i="16"/>
  <c r="BW39" i="16"/>
  <c r="BV39" i="16"/>
  <c r="BU39" i="16"/>
  <c r="BT39" i="16"/>
  <c r="BS39" i="16"/>
  <c r="BR39" i="16"/>
  <c r="BQ39" i="16"/>
  <c r="BP39" i="16"/>
  <c r="BO39" i="16"/>
  <c r="BN39" i="16"/>
  <c r="BM39" i="16"/>
  <c r="BL39" i="16"/>
  <c r="BK39" i="16"/>
  <c r="BJ39" i="16"/>
  <c r="BI39" i="16"/>
  <c r="BH39" i="16"/>
  <c r="BG39" i="16"/>
  <c r="BF39" i="16"/>
  <c r="BE39" i="16"/>
  <c r="BD39" i="16"/>
  <c r="BC39" i="16"/>
  <c r="BB39" i="16"/>
  <c r="BA39" i="16"/>
  <c r="AZ39" i="16"/>
  <c r="AY39" i="16"/>
  <c r="AX39" i="16"/>
  <c r="AW39" i="16"/>
  <c r="AV39" i="16"/>
  <c r="AU39" i="16"/>
  <c r="AT39" i="16"/>
  <c r="AS39" i="16"/>
  <c r="AR39" i="16"/>
  <c r="AQ39" i="16"/>
  <c r="AP39" i="16"/>
  <c r="AO39" i="16"/>
  <c r="AN39" i="16"/>
  <c r="AM39" i="16"/>
  <c r="AL39" i="16"/>
  <c r="AK39" i="16"/>
  <c r="AJ39" i="16"/>
  <c r="AI39" i="16"/>
  <c r="AH39" i="16"/>
  <c r="AG39" i="16"/>
  <c r="AF39" i="16"/>
  <c r="AE39" i="16"/>
  <c r="AD39" i="16"/>
  <c r="AC39" i="16"/>
  <c r="AB39" i="16"/>
  <c r="AA39" i="16"/>
  <c r="Z39" i="16"/>
  <c r="Y39" i="16"/>
  <c r="X39" i="16"/>
  <c r="W39" i="16"/>
  <c r="V39" i="16"/>
  <c r="U39" i="16"/>
  <c r="T39" i="16"/>
  <c r="S39" i="16"/>
  <c r="R39" i="16"/>
  <c r="Q39" i="16"/>
  <c r="P39" i="16"/>
  <c r="O39" i="16"/>
  <c r="N39" i="16"/>
  <c r="M39" i="16"/>
  <c r="L39" i="16"/>
  <c r="K39" i="16"/>
  <c r="J39" i="16"/>
  <c r="I39" i="16"/>
  <c r="H39" i="16"/>
  <c r="G39" i="16"/>
  <c r="F39" i="16"/>
  <c r="DC38" i="16"/>
  <c r="DB38" i="16"/>
  <c r="DA38" i="16"/>
  <c r="CZ38" i="16"/>
  <c r="CY38" i="16"/>
  <c r="CX38" i="16"/>
  <c r="CW38" i="16"/>
  <c r="CV38" i="16"/>
  <c r="CU38" i="16"/>
  <c r="CT38" i="16"/>
  <c r="CS38" i="16"/>
  <c r="CR38" i="16"/>
  <c r="CQ38" i="16"/>
  <c r="CP38" i="16"/>
  <c r="CO38" i="16"/>
  <c r="CN38" i="16"/>
  <c r="CM38" i="16"/>
  <c r="CL38" i="16"/>
  <c r="CK38" i="16"/>
  <c r="CJ38" i="16"/>
  <c r="CI38" i="16"/>
  <c r="CH38" i="16"/>
  <c r="CG38" i="16"/>
  <c r="CF38" i="16"/>
  <c r="CE38" i="16"/>
  <c r="CD38" i="16"/>
  <c r="CC38" i="16"/>
  <c r="CB38" i="16"/>
  <c r="CA38" i="16"/>
  <c r="BZ38" i="16"/>
  <c r="BY38" i="16"/>
  <c r="BX38" i="16"/>
  <c r="BW38" i="16"/>
  <c r="BV38" i="16"/>
  <c r="BU38" i="16"/>
  <c r="BT38" i="16"/>
  <c r="BS38" i="16"/>
  <c r="BR38" i="16"/>
  <c r="BQ38" i="16"/>
  <c r="BP38" i="16"/>
  <c r="BO38" i="16"/>
  <c r="BN38" i="16"/>
  <c r="BM38" i="16"/>
  <c r="BL38" i="16"/>
  <c r="BK38" i="16"/>
  <c r="BJ38" i="16"/>
  <c r="BI38" i="16"/>
  <c r="BH38" i="16"/>
  <c r="BG38" i="16"/>
  <c r="BF38" i="16"/>
  <c r="BE38" i="16"/>
  <c r="BD38" i="16"/>
  <c r="BC38" i="16"/>
  <c r="BB38" i="16"/>
  <c r="BA38" i="16"/>
  <c r="AZ38" i="16"/>
  <c r="AY38" i="16"/>
  <c r="AX38" i="16"/>
  <c r="AW38" i="16"/>
  <c r="AV38" i="16"/>
  <c r="AU38" i="16"/>
  <c r="AT38" i="16"/>
  <c r="AS38" i="16"/>
  <c r="AR38" i="16"/>
  <c r="AQ38" i="16"/>
  <c r="AP38" i="16"/>
  <c r="AO38" i="16"/>
  <c r="AN38" i="16"/>
  <c r="AM38" i="16"/>
  <c r="AL38" i="16"/>
  <c r="AK38" i="16"/>
  <c r="AJ38" i="16"/>
  <c r="AI38" i="16"/>
  <c r="AH38" i="16"/>
  <c r="AG38" i="16"/>
  <c r="AF38" i="16"/>
  <c r="AE38" i="16"/>
  <c r="AD38" i="16"/>
  <c r="AC38" i="16"/>
  <c r="AB38" i="16"/>
  <c r="AA38" i="16"/>
  <c r="Z38" i="16"/>
  <c r="Y38" i="16"/>
  <c r="X38" i="16"/>
  <c r="W38" i="16"/>
  <c r="V38" i="16"/>
  <c r="U38" i="16"/>
  <c r="T38" i="16"/>
  <c r="S38" i="16"/>
  <c r="R38" i="16"/>
  <c r="Q38" i="16"/>
  <c r="P38" i="16"/>
  <c r="O38" i="16"/>
  <c r="N38" i="16"/>
  <c r="M38" i="16"/>
  <c r="L38" i="16"/>
  <c r="K38" i="16"/>
  <c r="J38" i="16"/>
  <c r="I38" i="16"/>
  <c r="H38" i="16"/>
  <c r="G38" i="16"/>
  <c r="F38" i="16"/>
  <c r="DC37" i="16"/>
  <c r="DB37" i="16"/>
  <c r="DA37" i="16"/>
  <c r="CZ37" i="16"/>
  <c r="CY37" i="16"/>
  <c r="CX37" i="16"/>
  <c r="CW37" i="16"/>
  <c r="CV37" i="16"/>
  <c r="CU37" i="16"/>
  <c r="CT37" i="16"/>
  <c r="CS37" i="16"/>
  <c r="CR37" i="16"/>
  <c r="CQ37" i="16"/>
  <c r="CP37" i="16"/>
  <c r="CO37" i="16"/>
  <c r="CN37" i="16"/>
  <c r="CM37" i="16"/>
  <c r="CL37" i="16"/>
  <c r="CK37" i="16"/>
  <c r="CJ37" i="16"/>
  <c r="CI37" i="16"/>
  <c r="CH37" i="16"/>
  <c r="CG37" i="16"/>
  <c r="CF37" i="16"/>
  <c r="CE37" i="16"/>
  <c r="CD37" i="16"/>
  <c r="CC37" i="16"/>
  <c r="CB37" i="16"/>
  <c r="CA37" i="16"/>
  <c r="BZ37" i="16"/>
  <c r="BY37" i="16"/>
  <c r="BX37" i="16"/>
  <c r="BW37" i="16"/>
  <c r="BV37" i="16"/>
  <c r="BU37" i="16"/>
  <c r="BT37" i="16"/>
  <c r="BS37" i="16"/>
  <c r="BR37" i="16"/>
  <c r="BQ37" i="16"/>
  <c r="BP37" i="16"/>
  <c r="BO37" i="16"/>
  <c r="BN37" i="16"/>
  <c r="BM37" i="16"/>
  <c r="BL37" i="16"/>
  <c r="BK37" i="16"/>
  <c r="BJ37" i="16"/>
  <c r="BI37" i="16"/>
  <c r="BH37" i="16"/>
  <c r="BG37" i="16"/>
  <c r="BF37" i="16"/>
  <c r="BE37" i="16"/>
  <c r="BD37" i="16"/>
  <c r="BC37" i="16"/>
  <c r="BB37" i="16"/>
  <c r="BA37" i="16"/>
  <c r="AZ37" i="16"/>
  <c r="AY37" i="16"/>
  <c r="AX37" i="16"/>
  <c r="AW37" i="16"/>
  <c r="AV37" i="16"/>
  <c r="AU37" i="16"/>
  <c r="AT37" i="16"/>
  <c r="AS37" i="16"/>
  <c r="AR37" i="16"/>
  <c r="AQ37" i="16"/>
  <c r="AP37" i="16"/>
  <c r="AO37" i="16"/>
  <c r="AN37" i="16"/>
  <c r="AM37" i="16"/>
  <c r="AL37" i="16"/>
  <c r="AK37" i="16"/>
  <c r="AJ37" i="16"/>
  <c r="AI37" i="16"/>
  <c r="AH37" i="16"/>
  <c r="AG37" i="16"/>
  <c r="AF37" i="16"/>
  <c r="AE37" i="16"/>
  <c r="AD37" i="16"/>
  <c r="AC37" i="16"/>
  <c r="AB37" i="16"/>
  <c r="AA37" i="16"/>
  <c r="Z37" i="16"/>
  <c r="Y37" i="16"/>
  <c r="X37" i="16"/>
  <c r="W37" i="16"/>
  <c r="V37" i="16"/>
  <c r="U37" i="16"/>
  <c r="T37" i="16"/>
  <c r="S37" i="16"/>
  <c r="R37" i="16"/>
  <c r="Q37" i="16"/>
  <c r="P37" i="16"/>
  <c r="O37" i="16"/>
  <c r="N37" i="16"/>
  <c r="M37" i="16"/>
  <c r="L37" i="16"/>
  <c r="K37" i="16"/>
  <c r="J37" i="16"/>
  <c r="I37" i="16"/>
  <c r="H37" i="16"/>
  <c r="G37" i="16"/>
  <c r="F37" i="16"/>
  <c r="DC36" i="16"/>
  <c r="DB36" i="16"/>
  <c r="DA36" i="16"/>
  <c r="CZ36" i="16"/>
  <c r="CY36" i="16"/>
  <c r="CX36" i="16"/>
  <c r="CW36" i="16"/>
  <c r="CV36" i="16"/>
  <c r="CU36" i="16"/>
  <c r="CT36" i="16"/>
  <c r="CS36" i="16"/>
  <c r="CR36" i="16"/>
  <c r="CQ36" i="16"/>
  <c r="CP36" i="16"/>
  <c r="CO36" i="16"/>
  <c r="CN36" i="16"/>
  <c r="CM36" i="16"/>
  <c r="CL36" i="16"/>
  <c r="CK36" i="16"/>
  <c r="CJ36" i="16"/>
  <c r="CI36" i="16"/>
  <c r="CH36" i="16"/>
  <c r="CG36" i="16"/>
  <c r="CF36" i="16"/>
  <c r="CE36" i="16"/>
  <c r="CD36" i="16"/>
  <c r="CC36" i="16"/>
  <c r="CB36" i="16"/>
  <c r="CA36" i="16"/>
  <c r="BZ36" i="16"/>
  <c r="BY36" i="16"/>
  <c r="BX36" i="16"/>
  <c r="BW36" i="16"/>
  <c r="BV36" i="16"/>
  <c r="BU36" i="16"/>
  <c r="BT36" i="16"/>
  <c r="BS36" i="16"/>
  <c r="BR36" i="16"/>
  <c r="BQ36" i="16"/>
  <c r="BP36" i="16"/>
  <c r="BO36" i="16"/>
  <c r="BN36" i="16"/>
  <c r="BM36" i="16"/>
  <c r="BL36" i="16"/>
  <c r="BK36" i="16"/>
  <c r="BJ36" i="16"/>
  <c r="BI36" i="16"/>
  <c r="BH36" i="16"/>
  <c r="BG36" i="16"/>
  <c r="BF36" i="16"/>
  <c r="BE36" i="16"/>
  <c r="BD36" i="16"/>
  <c r="BC36" i="16"/>
  <c r="BB36" i="16"/>
  <c r="BA36" i="16"/>
  <c r="AZ36" i="16"/>
  <c r="AY36" i="16"/>
  <c r="AX36" i="16"/>
  <c r="AW36" i="16"/>
  <c r="AV36" i="16"/>
  <c r="AU36" i="16"/>
  <c r="AT36" i="16"/>
  <c r="AS36" i="16"/>
  <c r="AR36" i="16"/>
  <c r="AQ36" i="16"/>
  <c r="AP36" i="16"/>
  <c r="AO36" i="16"/>
  <c r="AN36" i="16"/>
  <c r="AM36" i="16"/>
  <c r="AL36" i="16"/>
  <c r="AK36" i="16"/>
  <c r="AJ36" i="16"/>
  <c r="AI36" i="16"/>
  <c r="AH36" i="16"/>
  <c r="AG36" i="16"/>
  <c r="AF36" i="16"/>
  <c r="AE36" i="16"/>
  <c r="AD36" i="16"/>
  <c r="AC36" i="16"/>
  <c r="AB36" i="16"/>
  <c r="AA36" i="16"/>
  <c r="Z36" i="16"/>
  <c r="Y36" i="16"/>
  <c r="X36" i="16"/>
  <c r="W36" i="16"/>
  <c r="V36" i="16"/>
  <c r="U36" i="16"/>
  <c r="T36" i="16"/>
  <c r="S36" i="16"/>
  <c r="R36" i="16"/>
  <c r="Q36" i="16"/>
  <c r="P36" i="16"/>
  <c r="O36" i="16"/>
  <c r="N36" i="16"/>
  <c r="M36" i="16"/>
  <c r="L36" i="16"/>
  <c r="K36" i="16"/>
  <c r="J36" i="16"/>
  <c r="I36" i="16"/>
  <c r="H36" i="16"/>
  <c r="G36" i="16"/>
  <c r="F36" i="16"/>
  <c r="DC35" i="16"/>
  <c r="DB35" i="16"/>
  <c r="DA35" i="16"/>
  <c r="CZ35" i="16"/>
  <c r="CY35" i="16"/>
  <c r="CX35" i="16"/>
  <c r="CW35" i="16"/>
  <c r="CV35" i="16"/>
  <c r="CU35" i="16"/>
  <c r="CT35" i="16"/>
  <c r="CS35" i="16"/>
  <c r="CR35" i="16"/>
  <c r="CQ35" i="16"/>
  <c r="CP35" i="16"/>
  <c r="CO35" i="16"/>
  <c r="CN35" i="16"/>
  <c r="CM35" i="16"/>
  <c r="CL35" i="16"/>
  <c r="CK35" i="16"/>
  <c r="CJ35" i="16"/>
  <c r="CI35" i="16"/>
  <c r="CH35" i="16"/>
  <c r="CG35" i="16"/>
  <c r="CF35" i="16"/>
  <c r="CE35" i="16"/>
  <c r="CD35" i="16"/>
  <c r="CC35" i="16"/>
  <c r="CB35" i="16"/>
  <c r="CA35" i="16"/>
  <c r="BZ35" i="16"/>
  <c r="BY35" i="16"/>
  <c r="BX35" i="16"/>
  <c r="BW35" i="16"/>
  <c r="BV35" i="16"/>
  <c r="BU35" i="16"/>
  <c r="BT35" i="16"/>
  <c r="BS35" i="16"/>
  <c r="BR35" i="16"/>
  <c r="BQ35" i="16"/>
  <c r="BP35" i="16"/>
  <c r="BO35" i="16"/>
  <c r="BN35" i="16"/>
  <c r="BM35" i="16"/>
  <c r="BL35" i="16"/>
  <c r="BK35" i="16"/>
  <c r="BJ35" i="16"/>
  <c r="BI35" i="16"/>
  <c r="BH35" i="16"/>
  <c r="BG35" i="16"/>
  <c r="BF35" i="16"/>
  <c r="BE35" i="16"/>
  <c r="BD35" i="16"/>
  <c r="BC35" i="16"/>
  <c r="BB35" i="16"/>
  <c r="BA35" i="16"/>
  <c r="AZ35" i="16"/>
  <c r="AY35" i="16"/>
  <c r="AX35" i="16"/>
  <c r="AW35" i="16"/>
  <c r="AV35" i="16"/>
  <c r="AU35" i="16"/>
  <c r="AT35" i="16"/>
  <c r="AS35" i="16"/>
  <c r="AR35" i="16"/>
  <c r="AQ35" i="16"/>
  <c r="AP35" i="16"/>
  <c r="AO35" i="16"/>
  <c r="AN35" i="16"/>
  <c r="AM35" i="16"/>
  <c r="AL35" i="16"/>
  <c r="AK35" i="16"/>
  <c r="AJ35" i="16"/>
  <c r="AI35" i="16"/>
  <c r="AH35" i="16"/>
  <c r="AG35" i="16"/>
  <c r="AF35" i="16"/>
  <c r="AE35" i="16"/>
  <c r="AD35" i="16"/>
  <c r="AC35" i="16"/>
  <c r="AB35" i="16"/>
  <c r="AA35" i="16"/>
  <c r="Z35" i="16"/>
  <c r="Y35" i="16"/>
  <c r="X35" i="16"/>
  <c r="W35" i="16"/>
  <c r="V35" i="16"/>
  <c r="U35" i="16"/>
  <c r="T35" i="16"/>
  <c r="S35" i="16"/>
  <c r="R35" i="16"/>
  <c r="Q35" i="16"/>
  <c r="P35" i="16"/>
  <c r="O35" i="16"/>
  <c r="N35" i="16"/>
  <c r="M35" i="16"/>
  <c r="L35" i="16"/>
  <c r="K35" i="16"/>
  <c r="J35" i="16"/>
  <c r="I35" i="16"/>
  <c r="H35" i="16"/>
  <c r="G35" i="16"/>
  <c r="F35" i="16"/>
  <c r="DC34" i="16"/>
  <c r="DB34" i="16"/>
  <c r="DA34" i="16"/>
  <c r="CZ34" i="16"/>
  <c r="CY34" i="16"/>
  <c r="CX34" i="16"/>
  <c r="CW34" i="16"/>
  <c r="CV34" i="16"/>
  <c r="CU34" i="16"/>
  <c r="CT34" i="16"/>
  <c r="CS34" i="16"/>
  <c r="CR34" i="16"/>
  <c r="CQ34" i="16"/>
  <c r="CP34" i="16"/>
  <c r="CO34" i="16"/>
  <c r="CN34" i="16"/>
  <c r="CM34" i="16"/>
  <c r="CL34" i="16"/>
  <c r="CK34" i="16"/>
  <c r="CJ34" i="16"/>
  <c r="CI34" i="16"/>
  <c r="CH34" i="16"/>
  <c r="CG34" i="16"/>
  <c r="CF34" i="16"/>
  <c r="CE34" i="16"/>
  <c r="CD34" i="16"/>
  <c r="CC34" i="16"/>
  <c r="CB34" i="16"/>
  <c r="CA34" i="16"/>
  <c r="BZ34" i="16"/>
  <c r="BY34" i="16"/>
  <c r="BX34" i="16"/>
  <c r="BW34" i="16"/>
  <c r="BV34" i="16"/>
  <c r="BU34" i="16"/>
  <c r="BT34" i="16"/>
  <c r="BS34" i="16"/>
  <c r="BR34" i="16"/>
  <c r="BQ34" i="16"/>
  <c r="BP34" i="16"/>
  <c r="BO34" i="16"/>
  <c r="BN34" i="16"/>
  <c r="BM34" i="16"/>
  <c r="BL34" i="16"/>
  <c r="BK34" i="16"/>
  <c r="BJ34" i="16"/>
  <c r="BI34" i="16"/>
  <c r="BH34" i="16"/>
  <c r="BG34" i="16"/>
  <c r="BF34" i="16"/>
  <c r="BE34" i="16"/>
  <c r="BD34" i="16"/>
  <c r="BC34" i="16"/>
  <c r="BB34" i="16"/>
  <c r="BA34" i="16"/>
  <c r="AZ34" i="16"/>
  <c r="AY34" i="16"/>
  <c r="AX34" i="16"/>
  <c r="AW34" i="16"/>
  <c r="AV34" i="16"/>
  <c r="AU34" i="16"/>
  <c r="AT34" i="16"/>
  <c r="AS34" i="16"/>
  <c r="AR34" i="16"/>
  <c r="AQ34" i="16"/>
  <c r="AP34" i="16"/>
  <c r="AO34" i="16"/>
  <c r="AN34" i="16"/>
  <c r="AM34" i="16"/>
  <c r="AL34" i="16"/>
  <c r="AK34" i="16"/>
  <c r="AJ34" i="16"/>
  <c r="AI34" i="16"/>
  <c r="AH34" i="16"/>
  <c r="AG34" i="16"/>
  <c r="AF34" i="16"/>
  <c r="AE34" i="16"/>
  <c r="AD34" i="16"/>
  <c r="AC34" i="16"/>
  <c r="AB34" i="16"/>
  <c r="AA34" i="16"/>
  <c r="Z34" i="16"/>
  <c r="Y34" i="16"/>
  <c r="X34" i="16"/>
  <c r="W34" i="16"/>
  <c r="V34" i="16"/>
  <c r="U34" i="16"/>
  <c r="T34" i="16"/>
  <c r="S34" i="16"/>
  <c r="R34" i="16"/>
  <c r="Q34" i="16"/>
  <c r="P34" i="16"/>
  <c r="O34" i="16"/>
  <c r="N34" i="16"/>
  <c r="M34" i="16"/>
  <c r="L34" i="16"/>
  <c r="K34" i="16"/>
  <c r="J34" i="16"/>
  <c r="I34" i="16"/>
  <c r="H34" i="16"/>
  <c r="G34" i="16"/>
  <c r="F34" i="16"/>
  <c r="DC32" i="16"/>
  <c r="DB32" i="16"/>
  <c r="DA32" i="16"/>
  <c r="CZ32" i="16"/>
  <c r="CY32" i="16"/>
  <c r="CX32" i="16"/>
  <c r="CW32" i="16"/>
  <c r="CV32" i="16"/>
  <c r="CU32" i="16"/>
  <c r="CT32" i="16"/>
  <c r="CS32" i="16"/>
  <c r="CR32" i="16"/>
  <c r="CQ32" i="16"/>
  <c r="CP32" i="16"/>
  <c r="CO32" i="16"/>
  <c r="CN32" i="16"/>
  <c r="CM32" i="16"/>
  <c r="CL32" i="16"/>
  <c r="CK32" i="16"/>
  <c r="CJ32" i="16"/>
  <c r="CI32" i="16"/>
  <c r="CH32" i="16"/>
  <c r="CG32" i="16"/>
  <c r="CF32" i="16"/>
  <c r="CE32" i="16"/>
  <c r="CD32" i="16"/>
  <c r="CC32" i="16"/>
  <c r="CB32" i="16"/>
  <c r="CA32" i="16"/>
  <c r="BZ32" i="16"/>
  <c r="BY32" i="16"/>
  <c r="BX32" i="16"/>
  <c r="BW32" i="16"/>
  <c r="BV32" i="16"/>
  <c r="BU32" i="16"/>
  <c r="BT32" i="16"/>
  <c r="BS32" i="16"/>
  <c r="BR32" i="16"/>
  <c r="BQ32" i="16"/>
  <c r="BP32" i="16"/>
  <c r="BO32" i="16"/>
  <c r="BN32" i="16"/>
  <c r="BM32" i="16"/>
  <c r="BL32" i="16"/>
  <c r="BK32" i="16"/>
  <c r="BJ32" i="16"/>
  <c r="BI32" i="16"/>
  <c r="BH32" i="16"/>
  <c r="BG32" i="16"/>
  <c r="BF32" i="16"/>
  <c r="BE32" i="16"/>
  <c r="BD32" i="16"/>
  <c r="BC32" i="16"/>
  <c r="BB32" i="16"/>
  <c r="BA32" i="16"/>
  <c r="AZ32" i="16"/>
  <c r="AY32" i="16"/>
  <c r="AX32" i="16"/>
  <c r="AW32" i="16"/>
  <c r="AV32" i="16"/>
  <c r="AU32" i="16"/>
  <c r="AT32" i="16"/>
  <c r="AS32" i="16"/>
  <c r="AR32" i="16"/>
  <c r="AQ32" i="16"/>
  <c r="AP32" i="16"/>
  <c r="AO32" i="16"/>
  <c r="AN32" i="16"/>
  <c r="AM32" i="16"/>
  <c r="AL32" i="16"/>
  <c r="AK32" i="16"/>
  <c r="AJ32" i="16"/>
  <c r="AI32" i="16"/>
  <c r="AH32" i="16"/>
  <c r="AG32" i="16"/>
  <c r="AF32" i="16"/>
  <c r="AE32" i="16"/>
  <c r="AD32" i="16"/>
  <c r="AC32" i="16"/>
  <c r="AB32" i="16"/>
  <c r="AA32" i="16"/>
  <c r="Z32" i="16"/>
  <c r="Y32" i="16"/>
  <c r="X32" i="16"/>
  <c r="W32" i="16"/>
  <c r="V32" i="16"/>
  <c r="U32" i="16"/>
  <c r="T32" i="16"/>
  <c r="S32" i="16"/>
  <c r="R32" i="16"/>
  <c r="Q32" i="16"/>
  <c r="P32" i="16"/>
  <c r="O32" i="16"/>
  <c r="N32" i="16"/>
  <c r="M32" i="16"/>
  <c r="L32" i="16"/>
  <c r="K32" i="16"/>
  <c r="J32" i="16"/>
  <c r="I32" i="16"/>
  <c r="H32" i="16"/>
  <c r="G32" i="16"/>
  <c r="F32" i="16"/>
  <c r="DC31" i="16"/>
  <c r="DB31" i="16"/>
  <c r="DA31" i="16"/>
  <c r="CZ31" i="16"/>
  <c r="CY31" i="16"/>
  <c r="CX31" i="16"/>
  <c r="CW31" i="16"/>
  <c r="CV31" i="16"/>
  <c r="CU31" i="16"/>
  <c r="CT31" i="16"/>
  <c r="CS31" i="16"/>
  <c r="CR31" i="16"/>
  <c r="CQ31" i="16"/>
  <c r="CP31" i="16"/>
  <c r="CO31" i="16"/>
  <c r="CN31" i="16"/>
  <c r="CM31" i="16"/>
  <c r="CL31" i="16"/>
  <c r="CK31" i="16"/>
  <c r="CJ31" i="16"/>
  <c r="CI31" i="16"/>
  <c r="CH31" i="16"/>
  <c r="CG31" i="16"/>
  <c r="CF31" i="16"/>
  <c r="CE31" i="16"/>
  <c r="CD31" i="16"/>
  <c r="CC31" i="16"/>
  <c r="CB31" i="16"/>
  <c r="CA31" i="16"/>
  <c r="BZ31" i="16"/>
  <c r="BY31" i="16"/>
  <c r="BX31" i="16"/>
  <c r="BW31" i="16"/>
  <c r="BV31" i="16"/>
  <c r="BU31" i="16"/>
  <c r="BT31" i="16"/>
  <c r="BS31" i="16"/>
  <c r="BR31" i="16"/>
  <c r="BQ31" i="16"/>
  <c r="BP31" i="16"/>
  <c r="BO31" i="16"/>
  <c r="BN31" i="16"/>
  <c r="BM31" i="16"/>
  <c r="BL31" i="16"/>
  <c r="BK31" i="16"/>
  <c r="BJ31" i="16"/>
  <c r="BI31" i="16"/>
  <c r="BH31" i="16"/>
  <c r="BG31" i="16"/>
  <c r="BF31" i="16"/>
  <c r="BE31" i="16"/>
  <c r="BD31" i="16"/>
  <c r="BC31" i="16"/>
  <c r="BB31" i="16"/>
  <c r="BA31" i="16"/>
  <c r="AZ31" i="16"/>
  <c r="AY31" i="16"/>
  <c r="AX31" i="16"/>
  <c r="AW31" i="16"/>
  <c r="AV31" i="16"/>
  <c r="AU31" i="16"/>
  <c r="AT31" i="16"/>
  <c r="AS31" i="16"/>
  <c r="AR31" i="16"/>
  <c r="AQ31" i="16"/>
  <c r="AP31" i="16"/>
  <c r="AO31" i="16"/>
  <c r="AN31" i="16"/>
  <c r="AM31" i="16"/>
  <c r="AL31" i="16"/>
  <c r="AK31" i="16"/>
  <c r="AJ31" i="16"/>
  <c r="AI31" i="16"/>
  <c r="AH31" i="16"/>
  <c r="AG31" i="16"/>
  <c r="AF31" i="16"/>
  <c r="AE31" i="16"/>
  <c r="AD31" i="16"/>
  <c r="AC31" i="16"/>
  <c r="AB31" i="16"/>
  <c r="AA31" i="16"/>
  <c r="Z31" i="16"/>
  <c r="Y31" i="16"/>
  <c r="X31" i="16"/>
  <c r="W31" i="16"/>
  <c r="V31" i="16"/>
  <c r="U31" i="16"/>
  <c r="T31" i="16"/>
  <c r="S31" i="16"/>
  <c r="R31" i="16"/>
  <c r="Q31" i="16"/>
  <c r="P31" i="16"/>
  <c r="O31" i="16"/>
  <c r="N31" i="16"/>
  <c r="M31" i="16"/>
  <c r="L31" i="16"/>
  <c r="K31" i="16"/>
  <c r="J31" i="16"/>
  <c r="I31" i="16"/>
  <c r="H31" i="16"/>
  <c r="G31" i="16"/>
  <c r="F31" i="16"/>
  <c r="DC30" i="16"/>
  <c r="DB30" i="16"/>
  <c r="DA30" i="16"/>
  <c r="CZ30" i="16"/>
  <c r="CY30" i="16"/>
  <c r="CX30" i="16"/>
  <c r="CW30" i="16"/>
  <c r="CV30" i="16"/>
  <c r="CU30" i="16"/>
  <c r="CT30" i="16"/>
  <c r="CS30" i="16"/>
  <c r="CR30" i="16"/>
  <c r="CQ30" i="16"/>
  <c r="CP30" i="16"/>
  <c r="CO30" i="16"/>
  <c r="CN30" i="16"/>
  <c r="CM30" i="16"/>
  <c r="CL30" i="16"/>
  <c r="CK30" i="16"/>
  <c r="CJ30" i="16"/>
  <c r="CI30" i="16"/>
  <c r="CH30" i="16"/>
  <c r="CG30" i="16"/>
  <c r="CF30" i="16"/>
  <c r="CE30" i="16"/>
  <c r="CD30" i="16"/>
  <c r="CC30" i="16"/>
  <c r="CB30" i="16"/>
  <c r="CA30" i="16"/>
  <c r="BZ30" i="16"/>
  <c r="BY30" i="16"/>
  <c r="BX30" i="16"/>
  <c r="BW30" i="16"/>
  <c r="BV30" i="16"/>
  <c r="BU30" i="16"/>
  <c r="BT30" i="16"/>
  <c r="BS30" i="16"/>
  <c r="BR30" i="16"/>
  <c r="BQ30" i="16"/>
  <c r="BP30" i="16"/>
  <c r="BO30" i="16"/>
  <c r="BN30" i="16"/>
  <c r="BM30" i="16"/>
  <c r="BL30" i="16"/>
  <c r="BK30" i="16"/>
  <c r="BJ30" i="16"/>
  <c r="BI30" i="16"/>
  <c r="BH30" i="16"/>
  <c r="BG30" i="16"/>
  <c r="BF30" i="16"/>
  <c r="BE30" i="16"/>
  <c r="BD30" i="16"/>
  <c r="BC30" i="16"/>
  <c r="BB30" i="16"/>
  <c r="BA30" i="16"/>
  <c r="AZ30" i="16"/>
  <c r="AY30" i="16"/>
  <c r="AX30" i="16"/>
  <c r="AW30" i="16"/>
  <c r="AV30" i="16"/>
  <c r="AU30" i="16"/>
  <c r="AT30" i="16"/>
  <c r="AS30" i="16"/>
  <c r="AR30" i="16"/>
  <c r="AQ30" i="16"/>
  <c r="AP30" i="16"/>
  <c r="AO30" i="16"/>
  <c r="AN30" i="16"/>
  <c r="AM30" i="16"/>
  <c r="AL30" i="16"/>
  <c r="AK30" i="16"/>
  <c r="AJ30" i="16"/>
  <c r="AI30" i="16"/>
  <c r="AH30" i="16"/>
  <c r="AG30" i="16"/>
  <c r="AF30" i="16"/>
  <c r="AE30" i="16"/>
  <c r="AD30" i="16"/>
  <c r="AC30" i="16"/>
  <c r="AB30" i="16"/>
  <c r="AA30" i="16"/>
  <c r="Z30" i="16"/>
  <c r="Y30" i="16"/>
  <c r="X30" i="16"/>
  <c r="W30" i="16"/>
  <c r="V30" i="16"/>
  <c r="U30" i="16"/>
  <c r="T30" i="16"/>
  <c r="S30" i="16"/>
  <c r="R30" i="16"/>
  <c r="Q30" i="16"/>
  <c r="P30" i="16"/>
  <c r="O30" i="16"/>
  <c r="N30" i="16"/>
  <c r="M30" i="16"/>
  <c r="L30" i="16"/>
  <c r="K30" i="16"/>
  <c r="J30" i="16"/>
  <c r="I30" i="16"/>
  <c r="H30" i="16"/>
  <c r="G30" i="16"/>
  <c r="F30" i="16"/>
  <c r="DC29" i="16"/>
  <c r="DB29" i="16"/>
  <c r="DA29" i="16"/>
  <c r="CZ29" i="16"/>
  <c r="CY29" i="16"/>
  <c r="CX29" i="16"/>
  <c r="CW29" i="16"/>
  <c r="CV29" i="16"/>
  <c r="CU29" i="16"/>
  <c r="CT29" i="16"/>
  <c r="CS29" i="16"/>
  <c r="CR29" i="16"/>
  <c r="CQ29" i="16"/>
  <c r="CP29" i="16"/>
  <c r="CO29" i="16"/>
  <c r="CN29" i="16"/>
  <c r="CM29" i="16"/>
  <c r="CL29" i="16"/>
  <c r="CK29" i="16"/>
  <c r="CJ29" i="16"/>
  <c r="CI29" i="16"/>
  <c r="CH29" i="16"/>
  <c r="CG29" i="16"/>
  <c r="CF29" i="16"/>
  <c r="CE29" i="16"/>
  <c r="CD29" i="16"/>
  <c r="CC29" i="16"/>
  <c r="CB29" i="16"/>
  <c r="CA29" i="16"/>
  <c r="BZ29" i="16"/>
  <c r="BY29" i="16"/>
  <c r="BX29" i="16"/>
  <c r="BW29" i="16"/>
  <c r="BV29" i="16"/>
  <c r="BU29" i="16"/>
  <c r="BT29" i="16"/>
  <c r="BS29" i="16"/>
  <c r="BR29" i="16"/>
  <c r="BQ29" i="16"/>
  <c r="BP29" i="16"/>
  <c r="BO29" i="16"/>
  <c r="BN29" i="16"/>
  <c r="BM29" i="16"/>
  <c r="BL29" i="16"/>
  <c r="BK29" i="16"/>
  <c r="BJ29" i="16"/>
  <c r="BI29" i="16"/>
  <c r="BH29" i="16"/>
  <c r="BG29" i="16"/>
  <c r="BF29" i="16"/>
  <c r="BE29" i="16"/>
  <c r="BD29" i="16"/>
  <c r="BC29" i="16"/>
  <c r="BB29" i="16"/>
  <c r="BA29" i="16"/>
  <c r="AZ29" i="16"/>
  <c r="AY29" i="16"/>
  <c r="AX29" i="16"/>
  <c r="AW29" i="16"/>
  <c r="AV29" i="16"/>
  <c r="AU29" i="16"/>
  <c r="AT29" i="16"/>
  <c r="AS29" i="16"/>
  <c r="AR29" i="16"/>
  <c r="AQ29" i="16"/>
  <c r="AP29" i="16"/>
  <c r="AO29" i="16"/>
  <c r="AN29" i="16"/>
  <c r="AM29" i="16"/>
  <c r="AL29" i="16"/>
  <c r="AK29" i="16"/>
  <c r="AJ29" i="16"/>
  <c r="AI29" i="16"/>
  <c r="AH29" i="16"/>
  <c r="AG29" i="16"/>
  <c r="AF29" i="16"/>
  <c r="AE29" i="16"/>
  <c r="AD29" i="16"/>
  <c r="AC29" i="16"/>
  <c r="AB29" i="16"/>
  <c r="AA29" i="16"/>
  <c r="Z29" i="16"/>
  <c r="Y29" i="16"/>
  <c r="X29" i="16"/>
  <c r="W29" i="16"/>
  <c r="V29" i="16"/>
  <c r="U29" i="16"/>
  <c r="T29" i="16"/>
  <c r="S29" i="16"/>
  <c r="R29" i="16"/>
  <c r="Q29" i="16"/>
  <c r="P29" i="16"/>
  <c r="O29" i="16"/>
  <c r="N29" i="16"/>
  <c r="M29" i="16"/>
  <c r="L29" i="16"/>
  <c r="K29" i="16"/>
  <c r="J29" i="16"/>
  <c r="I29" i="16"/>
  <c r="H29" i="16"/>
  <c r="G29" i="16"/>
  <c r="F29" i="16"/>
  <c r="DC28" i="16"/>
  <c r="DB28" i="16"/>
  <c r="DA28" i="16"/>
  <c r="CZ28" i="16"/>
  <c r="CY28" i="16"/>
  <c r="CX28" i="16"/>
  <c r="CW28" i="16"/>
  <c r="CV28" i="16"/>
  <c r="CU28" i="16"/>
  <c r="CT28" i="16"/>
  <c r="CS28" i="16"/>
  <c r="CR28" i="16"/>
  <c r="CQ28" i="16"/>
  <c r="CP28" i="16"/>
  <c r="CO28" i="16"/>
  <c r="CN28" i="16"/>
  <c r="CM28" i="16"/>
  <c r="CL28" i="16"/>
  <c r="CK28" i="16"/>
  <c r="CJ28" i="16"/>
  <c r="CI28" i="16"/>
  <c r="CH28" i="16"/>
  <c r="CG28" i="16"/>
  <c r="CF28" i="16"/>
  <c r="CE28" i="16"/>
  <c r="CD28" i="16"/>
  <c r="CC28" i="16"/>
  <c r="CB28" i="16"/>
  <c r="CA28" i="16"/>
  <c r="BZ28" i="16"/>
  <c r="BY28" i="16"/>
  <c r="BX28" i="16"/>
  <c r="BW28" i="16"/>
  <c r="BV28" i="16"/>
  <c r="BU28" i="16"/>
  <c r="BT28" i="16"/>
  <c r="BS28" i="16"/>
  <c r="BR28" i="16"/>
  <c r="BQ28" i="16"/>
  <c r="BP28" i="16"/>
  <c r="BO28" i="16"/>
  <c r="BN28" i="16"/>
  <c r="BM28" i="16"/>
  <c r="BL28" i="16"/>
  <c r="BK28" i="16"/>
  <c r="BJ28" i="16"/>
  <c r="BI28" i="16"/>
  <c r="BH28" i="16"/>
  <c r="BG28" i="16"/>
  <c r="BF28" i="16"/>
  <c r="BE28" i="16"/>
  <c r="BD28" i="16"/>
  <c r="BC28" i="16"/>
  <c r="BB28" i="16"/>
  <c r="BA28" i="16"/>
  <c r="AZ28" i="16"/>
  <c r="AY28" i="16"/>
  <c r="AX28" i="16"/>
  <c r="AW28" i="16"/>
  <c r="AV28" i="16"/>
  <c r="AU28" i="16"/>
  <c r="AT28" i="16"/>
  <c r="AS28" i="16"/>
  <c r="AR28" i="16"/>
  <c r="AQ28" i="16"/>
  <c r="AP28" i="16"/>
  <c r="AO28" i="16"/>
  <c r="AN28" i="16"/>
  <c r="AM28" i="16"/>
  <c r="AL28" i="16"/>
  <c r="AK28" i="16"/>
  <c r="AJ28" i="16"/>
  <c r="AI28" i="16"/>
  <c r="AH28" i="16"/>
  <c r="AG28" i="16"/>
  <c r="AF28" i="16"/>
  <c r="AE28" i="16"/>
  <c r="AD28" i="16"/>
  <c r="AC28" i="16"/>
  <c r="AB28" i="16"/>
  <c r="AA28" i="16"/>
  <c r="Z28" i="16"/>
  <c r="Y28" i="16"/>
  <c r="X28" i="16"/>
  <c r="W28" i="16"/>
  <c r="V28" i="16"/>
  <c r="U28" i="16"/>
  <c r="T28" i="16"/>
  <c r="S28" i="16"/>
  <c r="R28" i="16"/>
  <c r="Q28" i="16"/>
  <c r="P28" i="16"/>
  <c r="O28" i="16"/>
  <c r="N28" i="16"/>
  <c r="M28" i="16"/>
  <c r="L28" i="16"/>
  <c r="K28" i="16"/>
  <c r="J28" i="16"/>
  <c r="I28" i="16"/>
  <c r="H28" i="16"/>
  <c r="G28" i="16"/>
  <c r="F28" i="16"/>
  <c r="DC27" i="16"/>
  <c r="DB27" i="16"/>
  <c r="DA27" i="16"/>
  <c r="CZ27" i="16"/>
  <c r="CY27" i="16"/>
  <c r="CX27" i="16"/>
  <c r="CW27" i="16"/>
  <c r="CV27" i="16"/>
  <c r="CU27" i="16"/>
  <c r="CT27" i="16"/>
  <c r="CS27" i="16"/>
  <c r="CR27" i="16"/>
  <c r="CQ27" i="16"/>
  <c r="CP27" i="16"/>
  <c r="CO27" i="16"/>
  <c r="CN27" i="16"/>
  <c r="CM27" i="16"/>
  <c r="CL27" i="16"/>
  <c r="CK27" i="16"/>
  <c r="CJ27" i="16"/>
  <c r="CI27" i="16"/>
  <c r="CH27" i="16"/>
  <c r="CG27" i="16"/>
  <c r="CF27" i="16"/>
  <c r="CE27" i="16"/>
  <c r="CD27" i="16"/>
  <c r="CC27" i="16"/>
  <c r="CB27" i="16"/>
  <c r="CA27" i="16"/>
  <c r="BZ27" i="16"/>
  <c r="BY27" i="16"/>
  <c r="BX27" i="16"/>
  <c r="BW27" i="16"/>
  <c r="BV27" i="16"/>
  <c r="BU27" i="16"/>
  <c r="BT27" i="16"/>
  <c r="BS27" i="16"/>
  <c r="BR27" i="16"/>
  <c r="BQ27" i="16"/>
  <c r="BP27" i="16"/>
  <c r="BO27" i="16"/>
  <c r="BN27" i="16"/>
  <c r="BM27" i="16"/>
  <c r="BL27" i="16"/>
  <c r="BK27" i="16"/>
  <c r="BJ27" i="16"/>
  <c r="BI27" i="16"/>
  <c r="BH27" i="16"/>
  <c r="BG27" i="16"/>
  <c r="BF27" i="16"/>
  <c r="BE27" i="16"/>
  <c r="BD27" i="16"/>
  <c r="BC27" i="16"/>
  <c r="BB27" i="16"/>
  <c r="BA27" i="16"/>
  <c r="AZ27" i="16"/>
  <c r="AY27" i="16"/>
  <c r="AX27" i="16"/>
  <c r="AW27" i="16"/>
  <c r="AV27" i="16"/>
  <c r="AU27" i="16"/>
  <c r="AT27" i="16"/>
  <c r="AS27" i="16"/>
  <c r="AR27" i="16"/>
  <c r="AQ27" i="16"/>
  <c r="AP27" i="16"/>
  <c r="AO27" i="16"/>
  <c r="AN27" i="16"/>
  <c r="AM27" i="16"/>
  <c r="AL27" i="16"/>
  <c r="AK27" i="16"/>
  <c r="AJ27" i="16"/>
  <c r="AI27" i="16"/>
  <c r="AH27" i="16"/>
  <c r="AG27" i="16"/>
  <c r="AF27" i="16"/>
  <c r="AE27" i="16"/>
  <c r="AD27" i="16"/>
  <c r="AC27" i="16"/>
  <c r="AB27" i="16"/>
  <c r="AA27" i="16"/>
  <c r="Z27" i="16"/>
  <c r="Y27" i="16"/>
  <c r="X27" i="16"/>
  <c r="W27" i="16"/>
  <c r="V27" i="16"/>
  <c r="U27" i="16"/>
  <c r="T27" i="16"/>
  <c r="S27" i="16"/>
  <c r="R27" i="16"/>
  <c r="Q27" i="16"/>
  <c r="P27" i="16"/>
  <c r="O27" i="16"/>
  <c r="N27" i="16"/>
  <c r="M27" i="16"/>
  <c r="L27" i="16"/>
  <c r="K27" i="16"/>
  <c r="J27" i="16"/>
  <c r="I27" i="16"/>
  <c r="H27" i="16"/>
  <c r="G27" i="16"/>
  <c r="F27" i="16"/>
  <c r="DC26" i="16"/>
  <c r="DB26" i="16"/>
  <c r="DA26" i="16"/>
  <c r="CZ26" i="16"/>
  <c r="CY26" i="16"/>
  <c r="CX26" i="16"/>
  <c r="CW26" i="16"/>
  <c r="CV26" i="16"/>
  <c r="CU26" i="16"/>
  <c r="CT26" i="16"/>
  <c r="CS26" i="16"/>
  <c r="CR26" i="16"/>
  <c r="CQ26" i="16"/>
  <c r="CP26" i="16"/>
  <c r="CO26" i="16"/>
  <c r="CN26" i="16"/>
  <c r="CM26" i="16"/>
  <c r="CL26" i="16"/>
  <c r="CK26" i="16"/>
  <c r="CJ26" i="16"/>
  <c r="CI26" i="16"/>
  <c r="CH26" i="16"/>
  <c r="CG26" i="16"/>
  <c r="CF26" i="16"/>
  <c r="CE26" i="16"/>
  <c r="CD26" i="16"/>
  <c r="CC26" i="16"/>
  <c r="CB26" i="16"/>
  <c r="CA26" i="16"/>
  <c r="BZ26" i="16"/>
  <c r="BY26" i="16"/>
  <c r="BX26" i="16"/>
  <c r="BW26" i="16"/>
  <c r="BV26" i="16"/>
  <c r="BU26" i="16"/>
  <c r="BT26" i="16"/>
  <c r="BS26" i="16"/>
  <c r="BR26" i="16"/>
  <c r="BQ26" i="16"/>
  <c r="BP26" i="16"/>
  <c r="BO26" i="16"/>
  <c r="BN26" i="16"/>
  <c r="BM26" i="16"/>
  <c r="BL26" i="16"/>
  <c r="BK26" i="16"/>
  <c r="BJ26" i="16"/>
  <c r="BI26" i="16"/>
  <c r="BH26" i="16"/>
  <c r="BG26" i="16"/>
  <c r="BF26" i="16"/>
  <c r="BE26" i="16"/>
  <c r="BD26" i="16"/>
  <c r="BC26" i="16"/>
  <c r="BB26" i="16"/>
  <c r="BA26" i="16"/>
  <c r="AZ26" i="16"/>
  <c r="AY26" i="16"/>
  <c r="AX26" i="16"/>
  <c r="AW26" i="16"/>
  <c r="AV26" i="16"/>
  <c r="AU26" i="16"/>
  <c r="AT26" i="16"/>
  <c r="AS26" i="16"/>
  <c r="AR26" i="16"/>
  <c r="AQ26" i="16"/>
  <c r="AP26" i="16"/>
  <c r="AO26" i="16"/>
  <c r="AN26" i="16"/>
  <c r="AM26" i="16"/>
  <c r="AL26" i="16"/>
  <c r="AK26" i="16"/>
  <c r="AJ26" i="16"/>
  <c r="AI26" i="16"/>
  <c r="AH26" i="16"/>
  <c r="AG26" i="16"/>
  <c r="AF26" i="16"/>
  <c r="AE26" i="16"/>
  <c r="AD26" i="16"/>
  <c r="AC26" i="16"/>
  <c r="AB26" i="16"/>
  <c r="AA26" i="16"/>
  <c r="Z26" i="16"/>
  <c r="Y26" i="16"/>
  <c r="X26" i="16"/>
  <c r="W26" i="16"/>
  <c r="V26" i="16"/>
  <c r="U26" i="16"/>
  <c r="T26" i="16"/>
  <c r="S26" i="16"/>
  <c r="R26" i="16"/>
  <c r="Q26" i="16"/>
  <c r="P26" i="16"/>
  <c r="O26" i="16"/>
  <c r="N26" i="16"/>
  <c r="M26" i="16"/>
  <c r="L26" i="16"/>
  <c r="K26" i="16"/>
  <c r="J26" i="16"/>
  <c r="I26" i="16"/>
  <c r="H26" i="16"/>
  <c r="G26" i="16"/>
  <c r="F26" i="16"/>
  <c r="DC23" i="16"/>
  <c r="DB23" i="16"/>
  <c r="DA23" i="16"/>
  <c r="CZ23" i="16"/>
  <c r="CY23" i="16"/>
  <c r="CX23" i="16"/>
  <c r="CW23" i="16"/>
  <c r="CV23" i="16"/>
  <c r="CU23" i="16"/>
  <c r="CT23" i="16"/>
  <c r="CS23" i="16"/>
  <c r="CR23" i="16"/>
  <c r="CQ23" i="16"/>
  <c r="CP23" i="16"/>
  <c r="CO23" i="16"/>
  <c r="CN23" i="16"/>
  <c r="CM23" i="16"/>
  <c r="CL23" i="16"/>
  <c r="CK23" i="16"/>
  <c r="CJ23" i="16"/>
  <c r="CI23" i="16"/>
  <c r="CH23" i="16"/>
  <c r="CG23" i="16"/>
  <c r="CF23" i="16"/>
  <c r="CE23" i="16"/>
  <c r="CD23" i="16"/>
  <c r="CC23" i="16"/>
  <c r="CB23" i="16"/>
  <c r="CA23" i="16"/>
  <c r="BZ23" i="16"/>
  <c r="BY23" i="16"/>
  <c r="BX23" i="16"/>
  <c r="BW23" i="16"/>
  <c r="BV23" i="16"/>
  <c r="BU23" i="16"/>
  <c r="BT23" i="16"/>
  <c r="BS23" i="16"/>
  <c r="BR23" i="16"/>
  <c r="BQ23" i="16"/>
  <c r="BP23" i="16"/>
  <c r="BO23" i="16"/>
  <c r="BN23" i="16"/>
  <c r="BM23" i="16"/>
  <c r="BL23" i="16"/>
  <c r="BK23" i="16"/>
  <c r="BJ23" i="16"/>
  <c r="BI23" i="16"/>
  <c r="BH23" i="16"/>
  <c r="BG23" i="16"/>
  <c r="BF23" i="16"/>
  <c r="BE23" i="16"/>
  <c r="BD23" i="16"/>
  <c r="BC23" i="16"/>
  <c r="BB23" i="16"/>
  <c r="BA23" i="16"/>
  <c r="AZ23" i="16"/>
  <c r="AY23" i="16"/>
  <c r="AX23" i="16"/>
  <c r="AW23" i="16"/>
  <c r="AV23" i="16"/>
  <c r="AU23" i="16"/>
  <c r="AT23" i="16"/>
  <c r="AS23" i="16"/>
  <c r="AR23" i="16"/>
  <c r="AQ23" i="16"/>
  <c r="AP23" i="16"/>
  <c r="AO23" i="16"/>
  <c r="AN23" i="16"/>
  <c r="AM23" i="16"/>
  <c r="AL23" i="16"/>
  <c r="AK23" i="16"/>
  <c r="AJ23" i="16"/>
  <c r="AI23" i="16"/>
  <c r="AH23" i="16"/>
  <c r="AG23" i="16"/>
  <c r="AF23" i="16"/>
  <c r="AE23" i="16"/>
  <c r="AD23" i="16"/>
  <c r="AC23" i="16"/>
  <c r="AB23" i="16"/>
  <c r="AA23" i="16"/>
  <c r="Z23" i="16"/>
  <c r="Y23" i="16"/>
  <c r="X23" i="16"/>
  <c r="W23" i="16"/>
  <c r="V23" i="16"/>
  <c r="U23" i="16"/>
  <c r="T23" i="16"/>
  <c r="S23" i="16"/>
  <c r="R23" i="16"/>
  <c r="Q23" i="16"/>
  <c r="P23" i="16"/>
  <c r="O23" i="16"/>
  <c r="N23" i="16"/>
  <c r="M23" i="16"/>
  <c r="L23" i="16"/>
  <c r="K23" i="16"/>
  <c r="J23" i="16"/>
  <c r="I23" i="16"/>
  <c r="H23" i="16"/>
  <c r="G23" i="16"/>
  <c r="F23" i="16"/>
  <c r="DC22" i="16"/>
  <c r="DB22" i="16"/>
  <c r="DA22" i="16"/>
  <c r="CZ22" i="16"/>
  <c r="CY22" i="16"/>
  <c r="CX22" i="16"/>
  <c r="CW22" i="16"/>
  <c r="CV22" i="16"/>
  <c r="CU22" i="16"/>
  <c r="CT22" i="16"/>
  <c r="CT281" i="17" s="1"/>
  <c r="CS22" i="16"/>
  <c r="CS281" i="17" s="1"/>
  <c r="CR22" i="16"/>
  <c r="CR281" i="17" s="1"/>
  <c r="CQ22" i="16"/>
  <c r="CQ281" i="17" s="1"/>
  <c r="CP22" i="16"/>
  <c r="CO22" i="16"/>
  <c r="CN22" i="16"/>
  <c r="CM22" i="16"/>
  <c r="CL22" i="16"/>
  <c r="CK22" i="16"/>
  <c r="CJ22" i="16"/>
  <c r="CI22" i="16"/>
  <c r="CH22" i="16"/>
  <c r="CG22" i="16"/>
  <c r="CF22" i="16"/>
  <c r="CE22" i="16"/>
  <c r="CD22" i="16"/>
  <c r="CC22" i="16"/>
  <c r="CB22" i="16"/>
  <c r="CA22" i="16"/>
  <c r="BZ22" i="16"/>
  <c r="BY22" i="16"/>
  <c r="BX22" i="16"/>
  <c r="BW22" i="16"/>
  <c r="BV22" i="16"/>
  <c r="BU22" i="16"/>
  <c r="BT22" i="16"/>
  <c r="BS22" i="16"/>
  <c r="BR22" i="16"/>
  <c r="BQ22" i="16"/>
  <c r="BP22" i="16"/>
  <c r="BO22" i="16"/>
  <c r="BN22" i="16"/>
  <c r="BM22" i="16"/>
  <c r="BL22" i="16"/>
  <c r="BK22" i="16"/>
  <c r="BJ22" i="16"/>
  <c r="BI22" i="16"/>
  <c r="BH22" i="16"/>
  <c r="BG22" i="16"/>
  <c r="BF22" i="16"/>
  <c r="BE22" i="16"/>
  <c r="BD22" i="16"/>
  <c r="BC22" i="16"/>
  <c r="BB22" i="16"/>
  <c r="BA22" i="16"/>
  <c r="AZ22" i="16"/>
  <c r="AY22" i="16"/>
  <c r="AX22" i="16"/>
  <c r="AW22" i="16"/>
  <c r="AV22" i="16"/>
  <c r="AU22" i="16"/>
  <c r="AT22" i="16"/>
  <c r="AS22" i="16"/>
  <c r="AR22" i="16"/>
  <c r="AQ22" i="16"/>
  <c r="AP22" i="16"/>
  <c r="AO22" i="16"/>
  <c r="AN22" i="16"/>
  <c r="AM22" i="16"/>
  <c r="AL22" i="16"/>
  <c r="AK22" i="16"/>
  <c r="AJ22" i="16"/>
  <c r="AI22" i="16"/>
  <c r="AH22" i="16"/>
  <c r="AG22" i="16"/>
  <c r="AF22" i="16"/>
  <c r="AE22" i="16"/>
  <c r="AD22" i="16"/>
  <c r="AC22" i="16"/>
  <c r="AB22" i="16"/>
  <c r="AA22" i="16"/>
  <c r="Z22" i="16"/>
  <c r="Y22" i="16"/>
  <c r="X22" i="16"/>
  <c r="W22" i="16"/>
  <c r="V22" i="16"/>
  <c r="U22" i="16"/>
  <c r="T22" i="16"/>
  <c r="S22" i="16"/>
  <c r="R22" i="16"/>
  <c r="Q22" i="16"/>
  <c r="P22" i="16"/>
  <c r="O22" i="16"/>
  <c r="N22" i="16"/>
  <c r="M22" i="16"/>
  <c r="L22" i="16"/>
  <c r="K22" i="16"/>
  <c r="J22" i="16"/>
  <c r="I22" i="16"/>
  <c r="H22" i="16"/>
  <c r="G22" i="16"/>
  <c r="F22" i="16"/>
  <c r="DC21" i="16"/>
  <c r="DB21" i="16"/>
  <c r="DA21" i="16"/>
  <c r="CZ21" i="16"/>
  <c r="CY21" i="16"/>
  <c r="CX21" i="16"/>
  <c r="CW21" i="16"/>
  <c r="CV21" i="16"/>
  <c r="CU21" i="16"/>
  <c r="CT21" i="16"/>
  <c r="CT280" i="17" s="1"/>
  <c r="CS21" i="16"/>
  <c r="CS280" i="17" s="1"/>
  <c r="CR21" i="16"/>
  <c r="CR280" i="17" s="1"/>
  <c r="CQ21" i="16"/>
  <c r="CQ280" i="17" s="1"/>
  <c r="CP21" i="16"/>
  <c r="CO21" i="16"/>
  <c r="CN21" i="16"/>
  <c r="CM21" i="16"/>
  <c r="CL21" i="16"/>
  <c r="CK21" i="16"/>
  <c r="CJ21" i="16"/>
  <c r="CI21" i="16"/>
  <c r="CH21" i="16"/>
  <c r="CG21" i="16"/>
  <c r="CF21" i="16"/>
  <c r="CE21" i="16"/>
  <c r="CD21" i="16"/>
  <c r="CC21" i="16"/>
  <c r="CB21" i="16"/>
  <c r="CA21" i="16"/>
  <c r="BZ21" i="16"/>
  <c r="BY21" i="16"/>
  <c r="BX21" i="16"/>
  <c r="BW21" i="16"/>
  <c r="BV21" i="16"/>
  <c r="BU21" i="16"/>
  <c r="BT21" i="16"/>
  <c r="BS21" i="16"/>
  <c r="BR21" i="16"/>
  <c r="BQ21" i="16"/>
  <c r="BP21" i="16"/>
  <c r="BO21" i="16"/>
  <c r="BN21" i="16"/>
  <c r="BM21" i="16"/>
  <c r="BL21" i="16"/>
  <c r="BK21" i="16"/>
  <c r="BJ21" i="16"/>
  <c r="BI21" i="16"/>
  <c r="BH21" i="16"/>
  <c r="BG21" i="16"/>
  <c r="BF21" i="16"/>
  <c r="BE21" i="16"/>
  <c r="BD21" i="16"/>
  <c r="BC21" i="16"/>
  <c r="BB21" i="16"/>
  <c r="BA21" i="16"/>
  <c r="AZ21" i="16"/>
  <c r="AY21" i="16"/>
  <c r="AX21" i="16"/>
  <c r="AW21" i="16"/>
  <c r="AV21" i="16"/>
  <c r="AU21" i="16"/>
  <c r="AT21" i="16"/>
  <c r="AS21" i="16"/>
  <c r="AR21" i="16"/>
  <c r="AQ21" i="16"/>
  <c r="AP21" i="16"/>
  <c r="AO21" i="16"/>
  <c r="AN21" i="16"/>
  <c r="AM21" i="16"/>
  <c r="AL21" i="16"/>
  <c r="AK21" i="16"/>
  <c r="AJ21" i="16"/>
  <c r="AI21" i="16"/>
  <c r="AH21" i="16"/>
  <c r="AG21" i="16"/>
  <c r="AF21" i="16"/>
  <c r="AE21" i="16"/>
  <c r="AD21" i="16"/>
  <c r="AC21" i="16"/>
  <c r="AB21" i="16"/>
  <c r="AA21" i="16"/>
  <c r="Z21" i="16"/>
  <c r="Y21" i="16"/>
  <c r="X21" i="16"/>
  <c r="W21" i="16"/>
  <c r="V21" i="16"/>
  <c r="U21" i="16"/>
  <c r="T21" i="16"/>
  <c r="S21" i="16"/>
  <c r="R21" i="16"/>
  <c r="Q21" i="16"/>
  <c r="P21" i="16"/>
  <c r="O21" i="16"/>
  <c r="N21" i="16"/>
  <c r="M21" i="16"/>
  <c r="L21" i="16"/>
  <c r="K21" i="16"/>
  <c r="J21" i="16"/>
  <c r="I21" i="16"/>
  <c r="H21" i="16"/>
  <c r="G21" i="16"/>
  <c r="F21" i="16"/>
  <c r="DC20" i="16"/>
  <c r="DB20" i="16"/>
  <c r="DA20" i="16"/>
  <c r="CZ20" i="16"/>
  <c r="CY20" i="16"/>
  <c r="CX20" i="16"/>
  <c r="CW20" i="16"/>
  <c r="CV20" i="16"/>
  <c r="CU20" i="16"/>
  <c r="CT20" i="16"/>
  <c r="CT279" i="17" s="1"/>
  <c r="CS20" i="16"/>
  <c r="CS279" i="17" s="1"/>
  <c r="CR20" i="16"/>
  <c r="CR279" i="17" s="1"/>
  <c r="CQ20" i="16"/>
  <c r="CQ279" i="17" s="1"/>
  <c r="CP20" i="16"/>
  <c r="CO20" i="16"/>
  <c r="CN20" i="16"/>
  <c r="CM20" i="16"/>
  <c r="CL20" i="16"/>
  <c r="CK20" i="16"/>
  <c r="CJ20" i="16"/>
  <c r="CI20" i="16"/>
  <c r="CH20" i="16"/>
  <c r="CG20" i="16"/>
  <c r="CF20" i="16"/>
  <c r="CE20" i="16"/>
  <c r="CD20" i="16"/>
  <c r="CC20" i="16"/>
  <c r="CB20" i="16"/>
  <c r="CA20" i="16"/>
  <c r="BZ20" i="16"/>
  <c r="BY20" i="16"/>
  <c r="BX20" i="16"/>
  <c r="BW20" i="16"/>
  <c r="BV20" i="16"/>
  <c r="BU20" i="16"/>
  <c r="BT20" i="16"/>
  <c r="BS20" i="16"/>
  <c r="BR20" i="16"/>
  <c r="BQ20" i="16"/>
  <c r="BP20" i="16"/>
  <c r="BO20" i="16"/>
  <c r="BN20" i="16"/>
  <c r="BM20" i="16"/>
  <c r="BL20" i="16"/>
  <c r="BK20" i="16"/>
  <c r="BJ20" i="16"/>
  <c r="BI20" i="16"/>
  <c r="BH20" i="16"/>
  <c r="BG20" i="16"/>
  <c r="BF20" i="16"/>
  <c r="BE20" i="16"/>
  <c r="BD20" i="16"/>
  <c r="BC20" i="16"/>
  <c r="BB20" i="16"/>
  <c r="BA20" i="16"/>
  <c r="AZ20" i="16"/>
  <c r="AY20" i="16"/>
  <c r="AX20" i="16"/>
  <c r="AW20" i="16"/>
  <c r="AV20" i="16"/>
  <c r="AU20" i="16"/>
  <c r="AT20" i="16"/>
  <c r="AS20" i="16"/>
  <c r="AR20" i="16"/>
  <c r="AQ20" i="16"/>
  <c r="AP20" i="16"/>
  <c r="AO20" i="16"/>
  <c r="AN20" i="16"/>
  <c r="AM20" i="16"/>
  <c r="AL20" i="16"/>
  <c r="AK20" i="16"/>
  <c r="AJ20" i="16"/>
  <c r="AI20" i="16"/>
  <c r="AH20" i="16"/>
  <c r="AG20" i="16"/>
  <c r="AF20" i="16"/>
  <c r="AE20" i="16"/>
  <c r="AD20" i="16"/>
  <c r="AC20" i="16"/>
  <c r="AB20" i="16"/>
  <c r="AA20" i="16"/>
  <c r="Z20" i="16"/>
  <c r="Y20" i="16"/>
  <c r="X20" i="16"/>
  <c r="W20" i="16"/>
  <c r="V20" i="16"/>
  <c r="U20" i="16"/>
  <c r="T20" i="16"/>
  <c r="S20" i="16"/>
  <c r="R20" i="16"/>
  <c r="Q20" i="16"/>
  <c r="P20" i="16"/>
  <c r="O20" i="16"/>
  <c r="N20" i="16"/>
  <c r="M20" i="16"/>
  <c r="L20" i="16"/>
  <c r="K20" i="16"/>
  <c r="J20" i="16"/>
  <c r="I20" i="16"/>
  <c r="H20" i="16"/>
  <c r="G20" i="16"/>
  <c r="F20" i="16"/>
  <c r="DC19" i="16"/>
  <c r="DB19" i="16"/>
  <c r="DA19" i="16"/>
  <c r="CZ19" i="16"/>
  <c r="CY19" i="16"/>
  <c r="CX19" i="16"/>
  <c r="CW19" i="16"/>
  <c r="CV19" i="16"/>
  <c r="CU19" i="16"/>
  <c r="CT19" i="16"/>
  <c r="CT278" i="17" s="1"/>
  <c r="CS19" i="16"/>
  <c r="CS278" i="17" s="1"/>
  <c r="CR19" i="16"/>
  <c r="CR278" i="17" s="1"/>
  <c r="CQ19" i="16"/>
  <c r="CQ278" i="17" s="1"/>
  <c r="CP19" i="16"/>
  <c r="CO19" i="16"/>
  <c r="CN19" i="16"/>
  <c r="CM19" i="16"/>
  <c r="CL19" i="16"/>
  <c r="CK19" i="16"/>
  <c r="CJ19" i="16"/>
  <c r="CI19" i="16"/>
  <c r="CH19" i="16"/>
  <c r="CG19" i="16"/>
  <c r="CF19" i="16"/>
  <c r="CE19" i="16"/>
  <c r="CD19" i="16"/>
  <c r="CC19" i="16"/>
  <c r="CB19" i="16"/>
  <c r="CA19" i="16"/>
  <c r="BZ19" i="16"/>
  <c r="BY19" i="16"/>
  <c r="BX19" i="16"/>
  <c r="BW19" i="16"/>
  <c r="BV19" i="16"/>
  <c r="BU19" i="16"/>
  <c r="BT19" i="16"/>
  <c r="BS19" i="16"/>
  <c r="BR19" i="16"/>
  <c r="BQ19" i="16"/>
  <c r="BP19" i="16"/>
  <c r="BO19" i="16"/>
  <c r="BN19" i="16"/>
  <c r="BM19" i="16"/>
  <c r="BL19" i="16"/>
  <c r="BK19" i="16"/>
  <c r="BJ19" i="16"/>
  <c r="BI19" i="16"/>
  <c r="BH19" i="16"/>
  <c r="BG19" i="16"/>
  <c r="BF19" i="16"/>
  <c r="BE19" i="16"/>
  <c r="BD19" i="16"/>
  <c r="BC19" i="16"/>
  <c r="BB19" i="16"/>
  <c r="BA19" i="16"/>
  <c r="AZ19" i="16"/>
  <c r="AY19" i="16"/>
  <c r="AX19" i="16"/>
  <c r="AW19" i="16"/>
  <c r="AV19" i="16"/>
  <c r="AU19" i="16"/>
  <c r="AT19" i="16"/>
  <c r="AS19" i="16"/>
  <c r="AR19" i="16"/>
  <c r="AQ19" i="16"/>
  <c r="AP19" i="16"/>
  <c r="AO19" i="16"/>
  <c r="AN19" i="16"/>
  <c r="AM19" i="16"/>
  <c r="AL19" i="16"/>
  <c r="AK19" i="16"/>
  <c r="AJ19" i="16"/>
  <c r="AI19" i="16"/>
  <c r="AH19" i="16"/>
  <c r="AG19" i="16"/>
  <c r="AF19" i="16"/>
  <c r="AE19" i="16"/>
  <c r="AD19" i="16"/>
  <c r="AC19" i="16"/>
  <c r="AB19" i="16"/>
  <c r="AA19" i="16"/>
  <c r="Z19" i="16"/>
  <c r="Y19" i="16"/>
  <c r="X19" i="16"/>
  <c r="W19" i="16"/>
  <c r="V19" i="16"/>
  <c r="U19" i="16"/>
  <c r="T19" i="16"/>
  <c r="S19" i="16"/>
  <c r="R19" i="16"/>
  <c r="Q19" i="16"/>
  <c r="P19" i="16"/>
  <c r="O19" i="16"/>
  <c r="N19" i="16"/>
  <c r="M19" i="16"/>
  <c r="L19" i="16"/>
  <c r="K19" i="16"/>
  <c r="J19" i="16"/>
  <c r="I19" i="16"/>
  <c r="H19" i="16"/>
  <c r="G19" i="16"/>
  <c r="F19" i="16"/>
  <c r="DC18" i="16"/>
  <c r="DB18" i="16"/>
  <c r="DA18" i="16"/>
  <c r="CZ18" i="16"/>
  <c r="CY18" i="16"/>
  <c r="CX18" i="16"/>
  <c r="CW18" i="16"/>
  <c r="CV18" i="16"/>
  <c r="CU18" i="16"/>
  <c r="CT18" i="16"/>
  <c r="CT277" i="17" s="1"/>
  <c r="CS18" i="16"/>
  <c r="CS277" i="17" s="1"/>
  <c r="CR18" i="16"/>
  <c r="CR277" i="17" s="1"/>
  <c r="CQ18" i="16"/>
  <c r="CQ277" i="17" s="1"/>
  <c r="CU277" i="17" s="1"/>
  <c r="CP18" i="16"/>
  <c r="CO18" i="16"/>
  <c r="CN18" i="16"/>
  <c r="CM18" i="16"/>
  <c r="CL18" i="16"/>
  <c r="CK18" i="16"/>
  <c r="CJ18" i="16"/>
  <c r="CI18" i="16"/>
  <c r="CH18" i="16"/>
  <c r="CG18" i="16"/>
  <c r="CF18" i="16"/>
  <c r="CE18" i="16"/>
  <c r="CD18" i="16"/>
  <c r="CC18" i="16"/>
  <c r="CB18" i="16"/>
  <c r="CA18" i="16"/>
  <c r="BZ18" i="16"/>
  <c r="BY18" i="16"/>
  <c r="BX18" i="16"/>
  <c r="BW18" i="16"/>
  <c r="BV18" i="16"/>
  <c r="BU18" i="16"/>
  <c r="BT18" i="16"/>
  <c r="BS18" i="16"/>
  <c r="BR18" i="16"/>
  <c r="BQ18" i="16"/>
  <c r="BP18" i="16"/>
  <c r="BO18" i="16"/>
  <c r="BN18" i="16"/>
  <c r="BM18" i="16"/>
  <c r="BL18" i="16"/>
  <c r="BK18" i="16"/>
  <c r="BJ18" i="16"/>
  <c r="BI18" i="16"/>
  <c r="BH18" i="16"/>
  <c r="BG18" i="16"/>
  <c r="BF18" i="16"/>
  <c r="BE18" i="16"/>
  <c r="BD18" i="16"/>
  <c r="BC18" i="16"/>
  <c r="BB18" i="16"/>
  <c r="BA18" i="16"/>
  <c r="AZ18" i="16"/>
  <c r="AY18" i="16"/>
  <c r="AX18" i="16"/>
  <c r="AW18" i="16"/>
  <c r="AV18" i="16"/>
  <c r="AU18" i="16"/>
  <c r="AT18" i="16"/>
  <c r="AS18" i="16"/>
  <c r="AR18" i="16"/>
  <c r="AQ18" i="16"/>
  <c r="AP18" i="16"/>
  <c r="AO18" i="16"/>
  <c r="AN18" i="16"/>
  <c r="AM18" i="16"/>
  <c r="AL18" i="16"/>
  <c r="AK18" i="16"/>
  <c r="AJ18" i="16"/>
  <c r="AI18" i="16"/>
  <c r="AH18" i="16"/>
  <c r="AG18" i="16"/>
  <c r="AF18" i="16"/>
  <c r="AE18" i="16"/>
  <c r="AD18" i="16"/>
  <c r="AC18" i="16"/>
  <c r="AB18" i="16"/>
  <c r="AA18" i="16"/>
  <c r="Z18" i="16"/>
  <c r="Y18" i="16"/>
  <c r="X18" i="16"/>
  <c r="W18" i="16"/>
  <c r="V18" i="16"/>
  <c r="U18" i="16"/>
  <c r="T18" i="16"/>
  <c r="S18" i="16"/>
  <c r="R18" i="16"/>
  <c r="Q18" i="16"/>
  <c r="P18" i="16"/>
  <c r="O18" i="16"/>
  <c r="N18" i="16"/>
  <c r="M18" i="16"/>
  <c r="L18" i="16"/>
  <c r="K18" i="16"/>
  <c r="J18" i="16"/>
  <c r="I18" i="16"/>
  <c r="H18" i="16"/>
  <c r="G18" i="16"/>
  <c r="F18" i="16"/>
  <c r="DC17" i="16"/>
  <c r="DB17" i="16"/>
  <c r="DA17" i="16"/>
  <c r="CZ17" i="16"/>
  <c r="CY17" i="16"/>
  <c r="CX17" i="16"/>
  <c r="CW17" i="16"/>
  <c r="CV17" i="16"/>
  <c r="CU17" i="16"/>
  <c r="CT17" i="16"/>
  <c r="CS17" i="16"/>
  <c r="CR17" i="16"/>
  <c r="CQ17" i="16"/>
  <c r="CP17" i="16"/>
  <c r="CO17" i="16"/>
  <c r="CN17" i="16"/>
  <c r="CM17" i="16"/>
  <c r="CL17" i="16"/>
  <c r="CK17" i="16"/>
  <c r="CJ17" i="16"/>
  <c r="CI17" i="16"/>
  <c r="CH17" i="16"/>
  <c r="CG17" i="16"/>
  <c r="CF17" i="16"/>
  <c r="CE17" i="16"/>
  <c r="CD17" i="16"/>
  <c r="CC17" i="16"/>
  <c r="CB17" i="16"/>
  <c r="CA17" i="16"/>
  <c r="BZ17" i="16"/>
  <c r="BY17" i="16"/>
  <c r="BX17" i="16"/>
  <c r="BW17" i="16"/>
  <c r="BV17" i="16"/>
  <c r="BU17" i="16"/>
  <c r="BT17" i="16"/>
  <c r="BS17" i="16"/>
  <c r="BR17" i="16"/>
  <c r="BQ17" i="16"/>
  <c r="BP17" i="16"/>
  <c r="BO17" i="16"/>
  <c r="BN17" i="16"/>
  <c r="BM17" i="16"/>
  <c r="BL17" i="16"/>
  <c r="BK17" i="16"/>
  <c r="BJ17" i="16"/>
  <c r="BI17" i="16"/>
  <c r="BH17" i="16"/>
  <c r="BG17" i="16"/>
  <c r="BF17" i="16"/>
  <c r="BE17" i="16"/>
  <c r="BD17" i="16"/>
  <c r="BC17" i="16"/>
  <c r="BB17" i="16"/>
  <c r="BA17" i="16"/>
  <c r="AZ17" i="16"/>
  <c r="AY17" i="16"/>
  <c r="AX17" i="16"/>
  <c r="AW17" i="16"/>
  <c r="AV17" i="16"/>
  <c r="AU17" i="16"/>
  <c r="AT17" i="16"/>
  <c r="AS17" i="16"/>
  <c r="AR17" i="16"/>
  <c r="AQ17" i="16"/>
  <c r="AP17" i="16"/>
  <c r="AO17" i="16"/>
  <c r="AN17" i="16"/>
  <c r="AM17" i="16"/>
  <c r="AL17" i="16"/>
  <c r="AK17" i="16"/>
  <c r="AJ17" i="16"/>
  <c r="AI17" i="16"/>
  <c r="AH17" i="16"/>
  <c r="AG17" i="16"/>
  <c r="AF17" i="16"/>
  <c r="AE17" i="16"/>
  <c r="AD17" i="16"/>
  <c r="AC17" i="16"/>
  <c r="AB17" i="16"/>
  <c r="AA17" i="16"/>
  <c r="Z17" i="16"/>
  <c r="Y17" i="16"/>
  <c r="X17" i="16"/>
  <c r="W17" i="16"/>
  <c r="V17" i="16"/>
  <c r="U17" i="16"/>
  <c r="T17" i="16"/>
  <c r="S17" i="16"/>
  <c r="R17" i="16"/>
  <c r="Q17" i="16"/>
  <c r="P17" i="16"/>
  <c r="O17" i="16"/>
  <c r="N17" i="16"/>
  <c r="M17" i="16"/>
  <c r="L17" i="16"/>
  <c r="K17" i="16"/>
  <c r="J17" i="16"/>
  <c r="I17" i="16"/>
  <c r="H17" i="16"/>
  <c r="G17" i="16"/>
  <c r="F17" i="16"/>
  <c r="DC15" i="16"/>
  <c r="DB15" i="16"/>
  <c r="DA15" i="16"/>
  <c r="CZ15" i="16"/>
  <c r="CY15" i="16"/>
  <c r="CX15" i="16"/>
  <c r="CW15" i="16"/>
  <c r="CV15" i="16"/>
  <c r="CU15" i="16"/>
  <c r="CT15" i="16"/>
  <c r="CT258" i="17" s="1"/>
  <c r="CS15" i="16"/>
  <c r="CS258" i="17" s="1"/>
  <c r="CR15" i="16"/>
  <c r="CR258" i="17" s="1"/>
  <c r="CQ15" i="16"/>
  <c r="CQ258" i="17" s="1"/>
  <c r="CP15" i="16"/>
  <c r="CO15" i="16"/>
  <c r="CN15" i="16"/>
  <c r="CM15" i="16"/>
  <c r="CL15" i="16"/>
  <c r="CK15" i="16"/>
  <c r="CJ15" i="16"/>
  <c r="CI15" i="16"/>
  <c r="CH15" i="16"/>
  <c r="CG15" i="16"/>
  <c r="CF15" i="16"/>
  <c r="CE15" i="16"/>
  <c r="CD15" i="16"/>
  <c r="CC15" i="16"/>
  <c r="CB15" i="16"/>
  <c r="CA15" i="16"/>
  <c r="BZ15" i="16"/>
  <c r="BY15" i="16"/>
  <c r="BX15" i="16"/>
  <c r="BW15" i="16"/>
  <c r="BV15" i="16"/>
  <c r="BU15" i="16"/>
  <c r="BT15" i="16"/>
  <c r="BS15" i="16"/>
  <c r="BR15" i="16"/>
  <c r="BQ15" i="16"/>
  <c r="BP15" i="16"/>
  <c r="BO15" i="16"/>
  <c r="BN15" i="16"/>
  <c r="BM15" i="16"/>
  <c r="BL15" i="16"/>
  <c r="BK15" i="16"/>
  <c r="BJ15" i="16"/>
  <c r="BI15" i="16"/>
  <c r="BH15" i="16"/>
  <c r="BG15" i="16"/>
  <c r="BF15" i="16"/>
  <c r="BE15" i="16"/>
  <c r="BD15" i="16"/>
  <c r="BC15" i="16"/>
  <c r="BB15" i="16"/>
  <c r="BA15" i="16"/>
  <c r="AZ15" i="16"/>
  <c r="AY15" i="16"/>
  <c r="AX15" i="16"/>
  <c r="AW15" i="16"/>
  <c r="AV15" i="16"/>
  <c r="AU15" i="16"/>
  <c r="AT15" i="16"/>
  <c r="AS15" i="16"/>
  <c r="AR15" i="16"/>
  <c r="AQ15" i="16"/>
  <c r="AP15" i="16"/>
  <c r="AO15" i="16"/>
  <c r="AN15" i="16"/>
  <c r="AM15" i="16"/>
  <c r="AL15" i="16"/>
  <c r="AK15" i="16"/>
  <c r="AJ15" i="16"/>
  <c r="AI15" i="16"/>
  <c r="AH15" i="16"/>
  <c r="AG15" i="16"/>
  <c r="AF15" i="16"/>
  <c r="AE15" i="16"/>
  <c r="AD15" i="16"/>
  <c r="AC15" i="16"/>
  <c r="AB15" i="16"/>
  <c r="AA15" i="16"/>
  <c r="Z15" i="16"/>
  <c r="Y15" i="16"/>
  <c r="X15" i="16"/>
  <c r="W15" i="16"/>
  <c r="V15" i="16"/>
  <c r="U15" i="16"/>
  <c r="T15" i="16"/>
  <c r="S15" i="16"/>
  <c r="R15" i="16"/>
  <c r="Q15" i="16"/>
  <c r="P15" i="16"/>
  <c r="O15" i="16"/>
  <c r="N15" i="16"/>
  <c r="M15" i="16"/>
  <c r="L15" i="16"/>
  <c r="K15" i="16"/>
  <c r="J15" i="16"/>
  <c r="I15" i="16"/>
  <c r="H15" i="16"/>
  <c r="G15" i="16"/>
  <c r="F15" i="16"/>
  <c r="DC13" i="16"/>
  <c r="DB13" i="16"/>
  <c r="DA13" i="16"/>
  <c r="CZ13" i="16"/>
  <c r="CY13" i="16"/>
  <c r="CX13" i="16"/>
  <c r="CW13" i="16"/>
  <c r="CV13" i="16"/>
  <c r="CU13" i="16"/>
  <c r="CT13" i="16"/>
  <c r="CT201" i="17" s="1"/>
  <c r="CS13" i="16"/>
  <c r="CS201" i="17" s="1"/>
  <c r="CR13" i="16"/>
  <c r="CR201" i="17" s="1"/>
  <c r="CQ13" i="16"/>
  <c r="CQ201" i="17" s="1"/>
  <c r="CP13" i="16"/>
  <c r="CO13" i="16"/>
  <c r="CN13" i="16"/>
  <c r="CM13" i="16"/>
  <c r="CL13" i="16"/>
  <c r="CK13" i="16"/>
  <c r="CJ13" i="16"/>
  <c r="CI13" i="16"/>
  <c r="CH13" i="16"/>
  <c r="CG13" i="16"/>
  <c r="CF13" i="16"/>
  <c r="CE13" i="16"/>
  <c r="CD13" i="16"/>
  <c r="CC13" i="16"/>
  <c r="CB13" i="16"/>
  <c r="CA13" i="16"/>
  <c r="BZ13" i="16"/>
  <c r="BY13" i="16"/>
  <c r="BX13" i="16"/>
  <c r="BW13" i="16"/>
  <c r="BV13" i="16"/>
  <c r="BU13" i="16"/>
  <c r="BT13" i="16"/>
  <c r="BS13" i="16"/>
  <c r="BR13" i="16"/>
  <c r="BQ13" i="16"/>
  <c r="BP13" i="16"/>
  <c r="BO13" i="16"/>
  <c r="BN13" i="16"/>
  <c r="BM13" i="16"/>
  <c r="BL13" i="16"/>
  <c r="BK13" i="16"/>
  <c r="BJ13" i="16"/>
  <c r="BI13" i="16"/>
  <c r="BH13" i="16"/>
  <c r="BG13" i="16"/>
  <c r="BF13" i="16"/>
  <c r="BE13" i="16"/>
  <c r="BD13" i="16"/>
  <c r="BC13" i="16"/>
  <c r="BB13" i="16"/>
  <c r="BA13" i="16"/>
  <c r="AZ13" i="16"/>
  <c r="AY13" i="16"/>
  <c r="AX13" i="16"/>
  <c r="AW13" i="16"/>
  <c r="AV13" i="16"/>
  <c r="AU13" i="16"/>
  <c r="AT13" i="16"/>
  <c r="AS13" i="16"/>
  <c r="AR13" i="16"/>
  <c r="AQ13" i="16"/>
  <c r="AP13" i="16"/>
  <c r="AO13" i="16"/>
  <c r="AN13" i="16"/>
  <c r="AM13" i="16"/>
  <c r="AL13" i="16"/>
  <c r="AK13" i="16"/>
  <c r="AJ13" i="16"/>
  <c r="AI13" i="16"/>
  <c r="AH13" i="16"/>
  <c r="AG13" i="16"/>
  <c r="AF13" i="16"/>
  <c r="AE13" i="16"/>
  <c r="AD13" i="16"/>
  <c r="AC13" i="16"/>
  <c r="AB13" i="16"/>
  <c r="AA13" i="16"/>
  <c r="Z13" i="16"/>
  <c r="Y13" i="16"/>
  <c r="X13" i="16"/>
  <c r="W13" i="16"/>
  <c r="V13" i="16"/>
  <c r="U13" i="16"/>
  <c r="T13" i="16"/>
  <c r="S13" i="16"/>
  <c r="R13" i="16"/>
  <c r="Q13" i="16"/>
  <c r="P13" i="16"/>
  <c r="O13" i="16"/>
  <c r="N13" i="16"/>
  <c r="M13" i="16"/>
  <c r="L13" i="16"/>
  <c r="K13" i="16"/>
  <c r="J13" i="16"/>
  <c r="I13" i="16"/>
  <c r="H13" i="16"/>
  <c r="G13" i="16"/>
  <c r="F13" i="16"/>
  <c r="DC12" i="16"/>
  <c r="DB12" i="16"/>
  <c r="DA12" i="16"/>
  <c r="CZ12" i="16"/>
  <c r="CY12" i="16"/>
  <c r="CX12" i="16"/>
  <c r="CW12" i="16"/>
  <c r="CV12" i="16"/>
  <c r="CU12" i="16"/>
  <c r="CT12" i="16"/>
  <c r="CT144" i="17" s="1"/>
  <c r="CS12" i="16"/>
  <c r="CS144" i="17" s="1"/>
  <c r="CR12" i="16"/>
  <c r="CR144" i="17" s="1"/>
  <c r="CQ12" i="16"/>
  <c r="CQ144" i="17" s="1"/>
  <c r="CP12" i="16"/>
  <c r="CO12" i="16"/>
  <c r="CN12" i="16"/>
  <c r="CM12" i="16"/>
  <c r="CL12" i="16"/>
  <c r="CK12" i="16"/>
  <c r="CJ12" i="16"/>
  <c r="CI12" i="16"/>
  <c r="CH12" i="16"/>
  <c r="CG12" i="16"/>
  <c r="CF12" i="16"/>
  <c r="CE12" i="16"/>
  <c r="CD12" i="16"/>
  <c r="CC12" i="16"/>
  <c r="CB12" i="16"/>
  <c r="CA12" i="16"/>
  <c r="BZ12" i="16"/>
  <c r="BY12" i="16"/>
  <c r="BX12" i="16"/>
  <c r="BW12" i="16"/>
  <c r="BV12" i="16"/>
  <c r="BU12" i="16"/>
  <c r="BT12" i="16"/>
  <c r="BS12" i="16"/>
  <c r="BR12" i="16"/>
  <c r="BQ12" i="16"/>
  <c r="BP12" i="16"/>
  <c r="BO12" i="16"/>
  <c r="BN12" i="16"/>
  <c r="BM12" i="16"/>
  <c r="BL12" i="16"/>
  <c r="BK12" i="16"/>
  <c r="BJ12" i="16"/>
  <c r="BI12" i="16"/>
  <c r="BH12" i="16"/>
  <c r="BG12" i="16"/>
  <c r="BF12" i="16"/>
  <c r="BE12" i="16"/>
  <c r="BD12" i="16"/>
  <c r="BC12" i="16"/>
  <c r="BB12" i="16"/>
  <c r="BA12" i="16"/>
  <c r="AZ12" i="16"/>
  <c r="AY12" i="16"/>
  <c r="AX12" i="16"/>
  <c r="AW12" i="16"/>
  <c r="AV12" i="16"/>
  <c r="AU12" i="16"/>
  <c r="AT12" i="16"/>
  <c r="AS12" i="16"/>
  <c r="AR12" i="16"/>
  <c r="AQ12" i="16"/>
  <c r="AP12" i="16"/>
  <c r="AO12" i="16"/>
  <c r="AN12" i="16"/>
  <c r="AM12" i="16"/>
  <c r="AL12" i="16"/>
  <c r="AK12" i="16"/>
  <c r="AJ12" i="16"/>
  <c r="AI12" i="16"/>
  <c r="AH12" i="16"/>
  <c r="AG12" i="16"/>
  <c r="AF12" i="16"/>
  <c r="AE12" i="16"/>
  <c r="AD12" i="16"/>
  <c r="AC12" i="16"/>
  <c r="AB12" i="16"/>
  <c r="AA12" i="16"/>
  <c r="Z12" i="16"/>
  <c r="Y12" i="16"/>
  <c r="X12" i="16"/>
  <c r="W12" i="16"/>
  <c r="V12" i="16"/>
  <c r="U12" i="16"/>
  <c r="T12" i="16"/>
  <c r="S12" i="16"/>
  <c r="R12" i="16"/>
  <c r="Q12" i="16"/>
  <c r="P12" i="16"/>
  <c r="O12" i="16"/>
  <c r="N12" i="16"/>
  <c r="M12" i="16"/>
  <c r="L12" i="16"/>
  <c r="K12" i="16"/>
  <c r="J12" i="16"/>
  <c r="I12" i="16"/>
  <c r="H12" i="16"/>
  <c r="G12" i="16"/>
  <c r="F12" i="16"/>
  <c r="DC11" i="16"/>
  <c r="DB11" i="16"/>
  <c r="DA11" i="16"/>
  <c r="CZ11" i="16"/>
  <c r="CY11" i="16"/>
  <c r="CX11" i="16"/>
  <c r="CW11" i="16"/>
  <c r="CV11" i="16"/>
  <c r="CU11" i="16"/>
  <c r="CT11" i="16"/>
  <c r="CT105" i="17" s="1"/>
  <c r="CS11" i="16"/>
  <c r="CS105" i="17" s="1"/>
  <c r="CR11" i="16"/>
  <c r="CR105" i="17" s="1"/>
  <c r="CQ11" i="16"/>
  <c r="CQ105" i="17" s="1"/>
  <c r="CP11" i="16"/>
  <c r="CO11" i="16"/>
  <c r="CN11" i="16"/>
  <c r="CM11" i="16"/>
  <c r="CL11" i="16"/>
  <c r="CK11" i="16"/>
  <c r="CJ11" i="16"/>
  <c r="CI11" i="16"/>
  <c r="CH11" i="16"/>
  <c r="CG11" i="16"/>
  <c r="CF11" i="16"/>
  <c r="CE11" i="16"/>
  <c r="CD11" i="16"/>
  <c r="CC11" i="16"/>
  <c r="CB11" i="16"/>
  <c r="CA11" i="16"/>
  <c r="BZ11" i="16"/>
  <c r="BY11" i="16"/>
  <c r="BX11" i="16"/>
  <c r="BW11" i="16"/>
  <c r="BV11" i="16"/>
  <c r="BU11" i="16"/>
  <c r="BT11" i="16"/>
  <c r="BS11" i="16"/>
  <c r="BR11" i="16"/>
  <c r="BQ11" i="16"/>
  <c r="BP11" i="16"/>
  <c r="BO11" i="16"/>
  <c r="BN11" i="16"/>
  <c r="BM11" i="16"/>
  <c r="BL11" i="16"/>
  <c r="BK11" i="16"/>
  <c r="BJ11" i="16"/>
  <c r="BI11" i="16"/>
  <c r="BH11" i="16"/>
  <c r="BG11" i="16"/>
  <c r="BF11" i="16"/>
  <c r="BE11" i="16"/>
  <c r="BD11" i="16"/>
  <c r="BC11" i="16"/>
  <c r="BB11" i="16"/>
  <c r="BA11" i="16"/>
  <c r="AZ11" i="16"/>
  <c r="AY11" i="16"/>
  <c r="AX11" i="16"/>
  <c r="AW11" i="16"/>
  <c r="AV11" i="16"/>
  <c r="AU11" i="16"/>
  <c r="AT11" i="16"/>
  <c r="AS11" i="16"/>
  <c r="AR11" i="16"/>
  <c r="AQ11" i="16"/>
  <c r="AP11" i="16"/>
  <c r="AO11" i="16"/>
  <c r="AN11" i="16"/>
  <c r="AM11" i="16"/>
  <c r="AL11" i="16"/>
  <c r="AK11" i="16"/>
  <c r="AJ11" i="16"/>
  <c r="AI11" i="16"/>
  <c r="AH11" i="16"/>
  <c r="AG11" i="16"/>
  <c r="AF11" i="16"/>
  <c r="AE11" i="16"/>
  <c r="AD11" i="16"/>
  <c r="AC11" i="16"/>
  <c r="AB11" i="16"/>
  <c r="AA11" i="16"/>
  <c r="Z11" i="16"/>
  <c r="Y11" i="16"/>
  <c r="X11" i="16"/>
  <c r="W11" i="16"/>
  <c r="V11" i="16"/>
  <c r="U11" i="16"/>
  <c r="T11" i="16"/>
  <c r="S11" i="16"/>
  <c r="R11" i="16"/>
  <c r="Q11" i="16"/>
  <c r="P11" i="16"/>
  <c r="O11" i="16"/>
  <c r="N11" i="16"/>
  <c r="M11" i="16"/>
  <c r="L11" i="16"/>
  <c r="K11" i="16"/>
  <c r="J11" i="16"/>
  <c r="I11" i="16"/>
  <c r="H11" i="16"/>
  <c r="G11" i="16"/>
  <c r="F11" i="16"/>
  <c r="DC10" i="16"/>
  <c r="DB10" i="16"/>
  <c r="DA10" i="16"/>
  <c r="CZ10" i="16"/>
  <c r="CY10" i="16"/>
  <c r="CX10" i="16"/>
  <c r="CW10" i="16"/>
  <c r="CV10" i="16"/>
  <c r="CU10" i="16"/>
  <c r="CT10" i="16"/>
  <c r="CT228" i="17" s="1"/>
  <c r="CS10" i="16"/>
  <c r="CS228" i="17" s="1"/>
  <c r="CR10" i="16"/>
  <c r="CR228" i="17" s="1"/>
  <c r="CQ10" i="16"/>
  <c r="CQ228" i="17" s="1"/>
  <c r="CP10" i="16"/>
  <c r="CO10" i="16"/>
  <c r="CN10" i="16"/>
  <c r="CM10" i="16"/>
  <c r="CL10" i="16"/>
  <c r="CK10" i="16"/>
  <c r="CJ10" i="16"/>
  <c r="CI10" i="16"/>
  <c r="CH10" i="16"/>
  <c r="CG10" i="16"/>
  <c r="CF10" i="16"/>
  <c r="CE10" i="16"/>
  <c r="CD10" i="16"/>
  <c r="CC10" i="16"/>
  <c r="CB10" i="16"/>
  <c r="CA10" i="16"/>
  <c r="BZ10" i="16"/>
  <c r="BY10" i="16"/>
  <c r="BX10" i="16"/>
  <c r="BW10" i="16"/>
  <c r="BV10" i="16"/>
  <c r="BU10" i="16"/>
  <c r="BT10" i="16"/>
  <c r="BS10" i="16"/>
  <c r="BR10" i="16"/>
  <c r="BQ10" i="16"/>
  <c r="BP10" i="16"/>
  <c r="BO10" i="16"/>
  <c r="BN10" i="16"/>
  <c r="BM10" i="16"/>
  <c r="BL10" i="16"/>
  <c r="BK10" i="16"/>
  <c r="BJ10" i="16"/>
  <c r="BI10" i="16"/>
  <c r="BH10" i="16"/>
  <c r="BG10" i="16"/>
  <c r="BF10" i="16"/>
  <c r="BE10" i="16"/>
  <c r="BD10" i="16"/>
  <c r="BC10" i="16"/>
  <c r="BB10" i="16"/>
  <c r="BA10" i="16"/>
  <c r="AZ10" i="16"/>
  <c r="AY10" i="16"/>
  <c r="AX10" i="16"/>
  <c r="AW10" i="16"/>
  <c r="AV10" i="16"/>
  <c r="AU10" i="16"/>
  <c r="AT10" i="16"/>
  <c r="AS10" i="16"/>
  <c r="AR10" i="16"/>
  <c r="AQ10" i="16"/>
  <c r="AP10" i="16"/>
  <c r="AO10" i="16"/>
  <c r="AN10" i="16"/>
  <c r="AM10" i="16"/>
  <c r="AL10" i="16"/>
  <c r="AK10" i="16"/>
  <c r="AJ10" i="16"/>
  <c r="AI10" i="16"/>
  <c r="AH10" i="16"/>
  <c r="AG10" i="16"/>
  <c r="AF10" i="16"/>
  <c r="AE10" i="16"/>
  <c r="AD10" i="16"/>
  <c r="AC10" i="16"/>
  <c r="AB10" i="16"/>
  <c r="AA10" i="16"/>
  <c r="Z10" i="16"/>
  <c r="Y10" i="16"/>
  <c r="X10" i="16"/>
  <c r="W10" i="16"/>
  <c r="V10" i="16"/>
  <c r="U10" i="16"/>
  <c r="T10" i="16"/>
  <c r="S10" i="16"/>
  <c r="R10" i="16"/>
  <c r="Q10" i="16"/>
  <c r="P10" i="16"/>
  <c r="O10" i="16"/>
  <c r="N10" i="16"/>
  <c r="M10" i="16"/>
  <c r="L10" i="16"/>
  <c r="K10" i="16"/>
  <c r="J10" i="16"/>
  <c r="I10" i="16"/>
  <c r="H10" i="16"/>
  <c r="G10" i="16"/>
  <c r="F10" i="16"/>
  <c r="DC9" i="16"/>
  <c r="DB9" i="16"/>
  <c r="DA9" i="16"/>
  <c r="CZ9" i="16"/>
  <c r="CY9" i="16"/>
  <c r="CX9" i="16"/>
  <c r="CW9" i="16"/>
  <c r="CV9" i="16"/>
  <c r="CU9" i="16"/>
  <c r="CT9" i="16"/>
  <c r="CT171" i="17" s="1"/>
  <c r="CS9" i="16"/>
  <c r="CS171" i="17" s="1"/>
  <c r="CR9" i="16"/>
  <c r="CR171" i="17" s="1"/>
  <c r="CQ9" i="16"/>
  <c r="CQ171" i="17" s="1"/>
  <c r="CP9" i="16"/>
  <c r="CO9" i="16"/>
  <c r="CN9" i="16"/>
  <c r="CM9" i="16"/>
  <c r="CL9" i="16"/>
  <c r="CK9" i="16"/>
  <c r="CJ9" i="16"/>
  <c r="CI9" i="16"/>
  <c r="CH9" i="16"/>
  <c r="CG9" i="16"/>
  <c r="CF9" i="16"/>
  <c r="CE9" i="16"/>
  <c r="CD9" i="16"/>
  <c r="CC9" i="16"/>
  <c r="CB9" i="16"/>
  <c r="CA9" i="16"/>
  <c r="BZ9" i="16"/>
  <c r="BY9" i="16"/>
  <c r="BX9" i="16"/>
  <c r="BW9" i="16"/>
  <c r="BV9" i="16"/>
  <c r="BU9" i="16"/>
  <c r="BT9" i="16"/>
  <c r="BS9" i="16"/>
  <c r="BR9" i="16"/>
  <c r="BQ9" i="16"/>
  <c r="BP9" i="16"/>
  <c r="BO9" i="16"/>
  <c r="BN9" i="16"/>
  <c r="BM9" i="16"/>
  <c r="BL9" i="16"/>
  <c r="BK9" i="16"/>
  <c r="BJ9" i="16"/>
  <c r="BI9" i="16"/>
  <c r="BH9" i="16"/>
  <c r="BG9" i="16"/>
  <c r="BF9" i="16"/>
  <c r="BE9" i="16"/>
  <c r="BD9" i="16"/>
  <c r="BC9" i="16"/>
  <c r="BB9" i="16"/>
  <c r="BA9" i="16"/>
  <c r="AZ9" i="16"/>
  <c r="AY9" i="16"/>
  <c r="AX9" i="16"/>
  <c r="AW9" i="16"/>
  <c r="AV9" i="16"/>
  <c r="AU9" i="16"/>
  <c r="AT9" i="16"/>
  <c r="AS9" i="16"/>
  <c r="AR9" i="16"/>
  <c r="AQ9" i="16"/>
  <c r="AP9" i="16"/>
  <c r="AO9" i="16"/>
  <c r="AN9" i="16"/>
  <c r="AM9" i="16"/>
  <c r="AL9" i="16"/>
  <c r="AK9" i="16"/>
  <c r="AJ9" i="16"/>
  <c r="AI9" i="16"/>
  <c r="AH9" i="16"/>
  <c r="AG9" i="16"/>
  <c r="AF9" i="16"/>
  <c r="AE9" i="16"/>
  <c r="AD9" i="16"/>
  <c r="AC9" i="16"/>
  <c r="AB9" i="16"/>
  <c r="AA9" i="16"/>
  <c r="Z9" i="16"/>
  <c r="Y9" i="16"/>
  <c r="X9" i="16"/>
  <c r="W9" i="16"/>
  <c r="V9" i="16"/>
  <c r="U9" i="16"/>
  <c r="T9" i="16"/>
  <c r="S9" i="16"/>
  <c r="R9" i="16"/>
  <c r="Q9" i="16"/>
  <c r="P9" i="16"/>
  <c r="O9" i="16"/>
  <c r="N9" i="16"/>
  <c r="M9" i="16"/>
  <c r="L9" i="16"/>
  <c r="K9" i="16"/>
  <c r="J9" i="16"/>
  <c r="I9" i="16"/>
  <c r="H9" i="16"/>
  <c r="G9" i="16"/>
  <c r="F9" i="16"/>
  <c r="CP8" i="16"/>
  <c r="CO8" i="16"/>
  <c r="CN8" i="16"/>
  <c r="CM8" i="16"/>
  <c r="CL8" i="16"/>
  <c r="CK8" i="16"/>
  <c r="CJ8" i="16"/>
  <c r="CI8" i="16"/>
  <c r="CH8" i="16"/>
  <c r="CG8" i="16"/>
  <c r="CF8" i="16"/>
  <c r="CE8" i="16"/>
  <c r="CD8" i="16"/>
  <c r="CC8" i="16"/>
  <c r="CB8" i="16"/>
  <c r="CA8" i="16"/>
  <c r="BZ8" i="16"/>
  <c r="BY8" i="16"/>
  <c r="BX8" i="16"/>
  <c r="BW8" i="16"/>
  <c r="BV8" i="16"/>
  <c r="BU8" i="16"/>
  <c r="BT8" i="16"/>
  <c r="BS8" i="16"/>
  <c r="BR8" i="16"/>
  <c r="BQ8" i="16"/>
  <c r="BP8" i="16"/>
  <c r="BO8" i="16"/>
  <c r="BN8" i="16"/>
  <c r="BM8" i="16"/>
  <c r="BL8" i="16"/>
  <c r="BK8" i="16"/>
  <c r="BJ8" i="16"/>
  <c r="BI8" i="16"/>
  <c r="BH8" i="16"/>
  <c r="BG8" i="16"/>
  <c r="BF8" i="16"/>
  <c r="BE8" i="16"/>
  <c r="BD8" i="16"/>
  <c r="BC8" i="16"/>
  <c r="BB8" i="16"/>
  <c r="BA8" i="16"/>
  <c r="AZ8" i="16"/>
  <c r="AY8" i="16"/>
  <c r="AX8" i="16"/>
  <c r="AW8" i="16"/>
  <c r="AV8" i="16"/>
  <c r="AU8" i="16"/>
  <c r="AT8" i="16"/>
  <c r="AS8" i="16"/>
  <c r="AR8" i="16"/>
  <c r="AQ8" i="16"/>
  <c r="AP8" i="16"/>
  <c r="AO8" i="16"/>
  <c r="AN8" i="16"/>
  <c r="AM8" i="16"/>
  <c r="AL8" i="16"/>
  <c r="AK8" i="16"/>
  <c r="AJ8" i="16"/>
  <c r="AI8" i="16"/>
  <c r="AH8" i="16"/>
  <c r="AG8" i="16"/>
  <c r="AF8" i="16"/>
  <c r="AE8" i="16"/>
  <c r="AD8" i="16"/>
  <c r="AC8" i="16"/>
  <c r="AB8" i="16"/>
  <c r="AA8" i="16"/>
  <c r="Z8" i="16"/>
  <c r="Y8" i="16"/>
  <c r="X8" i="16"/>
  <c r="W8" i="16"/>
  <c r="V8" i="16"/>
  <c r="U8" i="16"/>
  <c r="T8" i="16"/>
  <c r="S8" i="16"/>
  <c r="R8" i="16"/>
  <c r="Q8" i="16"/>
  <c r="P8" i="16"/>
  <c r="O8" i="16"/>
  <c r="N8" i="16"/>
  <c r="M8" i="16"/>
  <c r="L8" i="16"/>
  <c r="K8" i="16"/>
  <c r="J8" i="16"/>
  <c r="I8" i="16"/>
  <c r="H8" i="16"/>
  <c r="G8" i="16"/>
  <c r="F8" i="16"/>
  <c r="DC7" i="16"/>
  <c r="DB7" i="16"/>
  <c r="DA7" i="16"/>
  <c r="CZ7" i="16"/>
  <c r="CY7" i="16"/>
  <c r="CX7" i="16"/>
  <c r="CW7" i="16"/>
  <c r="CV7" i="16"/>
  <c r="CU7" i="16"/>
  <c r="CT7" i="16"/>
  <c r="CT71" i="17" s="1"/>
  <c r="CS7" i="16"/>
  <c r="CS71" i="17" s="1"/>
  <c r="CR7" i="16"/>
  <c r="CR71" i="17" s="1"/>
  <c r="CQ71" i="17"/>
  <c r="CP7" i="16"/>
  <c r="CO7" i="16"/>
  <c r="CN7" i="16"/>
  <c r="CM7" i="16"/>
  <c r="CL7" i="16"/>
  <c r="CK7" i="16"/>
  <c r="CJ7" i="16"/>
  <c r="CI7" i="16"/>
  <c r="CH7" i="16"/>
  <c r="CG7" i="16"/>
  <c r="CF7" i="16"/>
  <c r="CE7" i="16"/>
  <c r="CD7" i="16"/>
  <c r="CC7" i="16"/>
  <c r="CB7" i="16"/>
  <c r="CA7" i="16"/>
  <c r="BZ7" i="16"/>
  <c r="BY7" i="16"/>
  <c r="BX7" i="16"/>
  <c r="BW7" i="16"/>
  <c r="BV7" i="16"/>
  <c r="BU7" i="16"/>
  <c r="BT7" i="16"/>
  <c r="BS7" i="16"/>
  <c r="BR7" i="16"/>
  <c r="BQ7" i="16"/>
  <c r="BP7" i="16"/>
  <c r="BO7" i="16"/>
  <c r="BN7" i="16"/>
  <c r="BM7" i="16"/>
  <c r="BL7" i="16"/>
  <c r="BK7" i="16"/>
  <c r="BJ7" i="16"/>
  <c r="BI7" i="16"/>
  <c r="BH7" i="16"/>
  <c r="BG7" i="16"/>
  <c r="BF7" i="16"/>
  <c r="BE7" i="16"/>
  <c r="BD7" i="16"/>
  <c r="BC7" i="16"/>
  <c r="BB7" i="16"/>
  <c r="BA7" i="16"/>
  <c r="AZ7" i="16"/>
  <c r="AY7" i="16"/>
  <c r="AX7" i="16"/>
  <c r="AW7" i="16"/>
  <c r="AV7" i="16"/>
  <c r="AU7" i="16"/>
  <c r="AT7" i="16"/>
  <c r="AS7" i="16"/>
  <c r="AR7" i="16"/>
  <c r="AQ7" i="16"/>
  <c r="AP7" i="16"/>
  <c r="AO7" i="16"/>
  <c r="AN7" i="16"/>
  <c r="AM7" i="16"/>
  <c r="AL7" i="16"/>
  <c r="AK7" i="16"/>
  <c r="AJ7" i="16"/>
  <c r="AI7" i="16"/>
  <c r="AH7" i="16"/>
  <c r="AG7" i="16"/>
  <c r="AF7" i="16"/>
  <c r="AE7" i="16"/>
  <c r="AD7" i="16"/>
  <c r="AC7" i="16"/>
  <c r="AB7" i="16"/>
  <c r="AA7" i="16"/>
  <c r="Z7" i="16"/>
  <c r="Y7" i="16"/>
  <c r="X7" i="16"/>
  <c r="W7" i="16"/>
  <c r="V7" i="16"/>
  <c r="U7" i="16"/>
  <c r="T7" i="16"/>
  <c r="S7" i="16"/>
  <c r="R7" i="16"/>
  <c r="Q7" i="16"/>
  <c r="P7" i="16"/>
  <c r="O7" i="16"/>
  <c r="N7" i="16"/>
  <c r="M7" i="16"/>
  <c r="L7" i="16"/>
  <c r="K7" i="16"/>
  <c r="J7" i="16"/>
  <c r="I7" i="16"/>
  <c r="H7" i="16"/>
  <c r="G7" i="16"/>
  <c r="F7" i="16"/>
  <c r="DC6" i="16"/>
  <c r="DB6" i="16"/>
  <c r="DA6" i="16"/>
  <c r="CZ6" i="16"/>
  <c r="CY6" i="16"/>
  <c r="CX6" i="16"/>
  <c r="CW6" i="16"/>
  <c r="CV6" i="16"/>
  <c r="CU6" i="16"/>
  <c r="CT6" i="16"/>
  <c r="CT41" i="17" s="1"/>
  <c r="CS6" i="16"/>
  <c r="CS41" i="17" s="1"/>
  <c r="CR6" i="16"/>
  <c r="CR41" i="17" s="1"/>
  <c r="CQ6" i="16"/>
  <c r="CQ41" i="17" s="1"/>
  <c r="CP6" i="16"/>
  <c r="CO6" i="16"/>
  <c r="CN6" i="16"/>
  <c r="CM6" i="16"/>
  <c r="CL6" i="16"/>
  <c r="CK6" i="16"/>
  <c r="CJ6" i="16"/>
  <c r="CI6" i="16"/>
  <c r="CH6" i="16"/>
  <c r="CG6" i="16"/>
  <c r="CF6" i="16"/>
  <c r="CE6" i="16"/>
  <c r="CD6" i="16"/>
  <c r="CC6" i="16"/>
  <c r="CB6" i="16"/>
  <c r="CA6" i="16"/>
  <c r="BZ6" i="16"/>
  <c r="BY6" i="16"/>
  <c r="BX6" i="16"/>
  <c r="BW6" i="16"/>
  <c r="BV6" i="16"/>
  <c r="BU6" i="16"/>
  <c r="BT6" i="16"/>
  <c r="BS6" i="16"/>
  <c r="BR6" i="16"/>
  <c r="BQ6" i="16"/>
  <c r="BP6" i="16"/>
  <c r="BO6" i="16"/>
  <c r="BN6" i="16"/>
  <c r="BM6" i="16"/>
  <c r="BL6" i="16"/>
  <c r="BK6" i="16"/>
  <c r="BJ6" i="16"/>
  <c r="BI6" i="16"/>
  <c r="BH6" i="16"/>
  <c r="BG6" i="16"/>
  <c r="BF6" i="16"/>
  <c r="BE6" i="16"/>
  <c r="BD6" i="16"/>
  <c r="BC6" i="16"/>
  <c r="BB6" i="16"/>
  <c r="BA6" i="16"/>
  <c r="AZ6" i="16"/>
  <c r="AY6" i="16"/>
  <c r="AX6" i="16"/>
  <c r="AW6" i="16"/>
  <c r="AV6" i="16"/>
  <c r="AU6" i="16"/>
  <c r="AT6" i="16"/>
  <c r="AS6" i="16"/>
  <c r="AR6" i="16"/>
  <c r="AQ6" i="16"/>
  <c r="AP6" i="16"/>
  <c r="AO6" i="16"/>
  <c r="AN6" i="16"/>
  <c r="AM6" i="16"/>
  <c r="AL6" i="16"/>
  <c r="AK6" i="16"/>
  <c r="AJ6" i="16"/>
  <c r="AI6" i="16"/>
  <c r="AH6" i="16"/>
  <c r="AG6" i="16"/>
  <c r="AF6" i="16"/>
  <c r="AE6" i="16"/>
  <c r="AD6" i="16"/>
  <c r="AC6" i="16"/>
  <c r="AB6" i="16"/>
  <c r="AA6" i="16"/>
  <c r="Z6" i="16"/>
  <c r="Y6" i="16"/>
  <c r="X6" i="16"/>
  <c r="W6" i="16"/>
  <c r="V6" i="16"/>
  <c r="U6" i="16"/>
  <c r="T6" i="16"/>
  <c r="S6" i="16"/>
  <c r="R6" i="16"/>
  <c r="Q6" i="16"/>
  <c r="P6" i="16"/>
  <c r="O6" i="16"/>
  <c r="N6" i="16"/>
  <c r="M6" i="16"/>
  <c r="L6" i="16"/>
  <c r="K6" i="16"/>
  <c r="J6" i="16"/>
  <c r="I6" i="16"/>
  <c r="H6" i="16"/>
  <c r="G6" i="16"/>
  <c r="F6" i="16"/>
  <c r="DC5" i="16"/>
  <c r="DB5" i="16"/>
  <c r="DA5" i="16"/>
  <c r="CZ5" i="16"/>
  <c r="CY5" i="16"/>
  <c r="CX5" i="16"/>
  <c r="CW5" i="16"/>
  <c r="CV5" i="16"/>
  <c r="CU5" i="16"/>
  <c r="CT5" i="16"/>
  <c r="CT22" i="17" s="1"/>
  <c r="CS5" i="16"/>
  <c r="CS22" i="17" s="1"/>
  <c r="CR5" i="16"/>
  <c r="CR22" i="17" s="1"/>
  <c r="CQ5" i="16"/>
  <c r="CQ22" i="17" s="1"/>
  <c r="CP5" i="16"/>
  <c r="CO5" i="16"/>
  <c r="CN5" i="16"/>
  <c r="CM5" i="16"/>
  <c r="CL5" i="16"/>
  <c r="CK5" i="16"/>
  <c r="CJ5" i="16"/>
  <c r="CI5" i="16"/>
  <c r="CH5" i="16"/>
  <c r="CG5" i="16"/>
  <c r="CF5" i="16"/>
  <c r="CE5" i="16"/>
  <c r="CD5" i="16"/>
  <c r="CC5" i="16"/>
  <c r="CB5" i="16"/>
  <c r="CA5" i="16"/>
  <c r="BZ5" i="16"/>
  <c r="BY5" i="16"/>
  <c r="BX5" i="16"/>
  <c r="BW5" i="16"/>
  <c r="BV5" i="16"/>
  <c r="BU5" i="16"/>
  <c r="BT5" i="16"/>
  <c r="BS5" i="16"/>
  <c r="BR5" i="16"/>
  <c r="BQ5" i="16"/>
  <c r="BP5" i="16"/>
  <c r="BO5" i="16"/>
  <c r="BN5" i="16"/>
  <c r="BM5" i="16"/>
  <c r="BL5" i="16"/>
  <c r="BK5" i="16"/>
  <c r="BJ5" i="16"/>
  <c r="BI5" i="16"/>
  <c r="BH5" i="16"/>
  <c r="BG5" i="16"/>
  <c r="BF5" i="16"/>
  <c r="BE5" i="16"/>
  <c r="BD5" i="16"/>
  <c r="BC5" i="16"/>
  <c r="BB5" i="16"/>
  <c r="BA5" i="16"/>
  <c r="AZ5" i="16"/>
  <c r="AY5" i="16"/>
  <c r="AX5" i="16"/>
  <c r="AW5" i="16"/>
  <c r="AV5" i="16"/>
  <c r="AU5" i="16"/>
  <c r="AT5" i="16"/>
  <c r="AS5" i="16"/>
  <c r="AR5" i="16"/>
  <c r="AQ5" i="16"/>
  <c r="AP5" i="16"/>
  <c r="AO5" i="16"/>
  <c r="AN5" i="16"/>
  <c r="AM5" i="16"/>
  <c r="AL5" i="16"/>
  <c r="AK5" i="16"/>
  <c r="AJ5" i="16"/>
  <c r="AI5" i="16"/>
  <c r="AH5" i="16"/>
  <c r="AG5" i="16"/>
  <c r="AF5" i="16"/>
  <c r="AE5" i="16"/>
  <c r="AD5" i="16"/>
  <c r="AC5" i="16"/>
  <c r="AB5" i="16"/>
  <c r="AA5" i="16"/>
  <c r="Z5" i="16"/>
  <c r="Y5" i="16"/>
  <c r="X5" i="16"/>
  <c r="W5" i="16"/>
  <c r="V5" i="16"/>
  <c r="U5" i="16"/>
  <c r="T5" i="16"/>
  <c r="S5" i="16"/>
  <c r="R5" i="16"/>
  <c r="Q5" i="16"/>
  <c r="P5" i="16"/>
  <c r="O5" i="16"/>
  <c r="N5" i="16"/>
  <c r="M5" i="16"/>
  <c r="L5" i="16"/>
  <c r="K5" i="16"/>
  <c r="J5" i="16"/>
  <c r="I5" i="16"/>
  <c r="H5" i="16"/>
  <c r="G5" i="16"/>
  <c r="F5" i="16"/>
  <c r="AF286" i="1"/>
  <c r="AE286" i="1"/>
  <c r="AD286" i="1"/>
  <c r="AC286" i="1"/>
  <c r="AB286" i="1"/>
  <c r="AB141" i="7" s="1"/>
  <c r="AA286" i="1"/>
  <c r="Z286" i="1"/>
  <c r="Y286" i="1"/>
  <c r="X286" i="1"/>
  <c r="W286" i="1"/>
  <c r="V286" i="1"/>
  <c r="U286" i="1"/>
  <c r="T286" i="1"/>
  <c r="S286" i="1"/>
  <c r="R286" i="1"/>
  <c r="Q286" i="1"/>
  <c r="P286" i="1"/>
  <c r="O286" i="1"/>
  <c r="N286" i="1"/>
  <c r="M286" i="1"/>
  <c r="L286" i="1"/>
  <c r="K286" i="1"/>
  <c r="J286" i="1"/>
  <c r="I286" i="1"/>
  <c r="H286" i="1"/>
  <c r="G286" i="1"/>
  <c r="F286" i="1"/>
  <c r="AF285" i="1"/>
  <c r="AE285" i="1"/>
  <c r="AD285" i="1"/>
  <c r="AC285" i="1"/>
  <c r="AB285" i="1"/>
  <c r="AB140" i="7" s="1"/>
  <c r="AA285" i="1"/>
  <c r="Z285" i="1"/>
  <c r="Y285" i="1"/>
  <c r="X285" i="1"/>
  <c r="W285" i="1"/>
  <c r="V285" i="1"/>
  <c r="U285" i="1"/>
  <c r="T285" i="1"/>
  <c r="S285" i="1"/>
  <c r="R285" i="1"/>
  <c r="Q285" i="1"/>
  <c r="P285" i="1"/>
  <c r="O285" i="1"/>
  <c r="N285" i="1"/>
  <c r="M285" i="1"/>
  <c r="L285" i="1"/>
  <c r="K285" i="1"/>
  <c r="J285" i="1"/>
  <c r="I285" i="1"/>
  <c r="H285" i="1"/>
  <c r="G285" i="1"/>
  <c r="F285" i="1"/>
  <c r="AF279" i="1"/>
  <c r="AE279" i="1"/>
  <c r="AD279" i="1"/>
  <c r="AC279" i="1"/>
  <c r="AB279" i="1"/>
  <c r="AB134" i="8" s="1"/>
  <c r="AB113" i="8" s="1"/>
  <c r="AA279" i="1"/>
  <c r="Z279" i="1"/>
  <c r="Y279" i="1"/>
  <c r="X279" i="1"/>
  <c r="W279" i="1"/>
  <c r="V279" i="1"/>
  <c r="U279" i="1"/>
  <c r="T279" i="1"/>
  <c r="S279" i="1"/>
  <c r="R279" i="1"/>
  <c r="Q279" i="1"/>
  <c r="P279" i="1"/>
  <c r="O279" i="1"/>
  <c r="N279" i="1"/>
  <c r="M279" i="1"/>
  <c r="L279" i="1"/>
  <c r="K279" i="1"/>
  <c r="J279" i="1"/>
  <c r="I279" i="1"/>
  <c r="H279" i="1"/>
  <c r="G279" i="1"/>
  <c r="F279" i="1"/>
  <c r="AF278" i="1"/>
  <c r="AE278" i="1"/>
  <c r="AD278" i="1"/>
  <c r="AC278" i="1"/>
  <c r="AA278" i="1"/>
  <c r="Z278" i="1"/>
  <c r="Y278" i="1"/>
  <c r="X278" i="1"/>
  <c r="W278" i="1"/>
  <c r="V278" i="1"/>
  <c r="U278" i="1"/>
  <c r="T278" i="1"/>
  <c r="S278" i="1"/>
  <c r="R278" i="1"/>
  <c r="Q278" i="1"/>
  <c r="P278" i="1"/>
  <c r="O278" i="1"/>
  <c r="N278" i="1"/>
  <c r="M278" i="1"/>
  <c r="L278" i="1"/>
  <c r="K278" i="1"/>
  <c r="J278" i="1"/>
  <c r="I278" i="1"/>
  <c r="H278" i="1"/>
  <c r="G278" i="1"/>
  <c r="AF277" i="1"/>
  <c r="AE277" i="1"/>
  <c r="AD277" i="1"/>
  <c r="AC277" i="1"/>
  <c r="AB277" i="1"/>
  <c r="AA277" i="1"/>
  <c r="Z277" i="1"/>
  <c r="Y277" i="1"/>
  <c r="X277" i="1"/>
  <c r="W277" i="1"/>
  <c r="V277" i="1"/>
  <c r="U277" i="1"/>
  <c r="T277" i="1"/>
  <c r="S277" i="1"/>
  <c r="R277" i="1"/>
  <c r="Q277" i="1"/>
  <c r="P277" i="1"/>
  <c r="O277" i="1"/>
  <c r="N277" i="1"/>
  <c r="M277" i="1"/>
  <c r="L277" i="1"/>
  <c r="K277" i="1"/>
  <c r="J277" i="1"/>
  <c r="I277" i="1"/>
  <c r="H277" i="1"/>
  <c r="G277" i="1"/>
  <c r="F277" i="1"/>
  <c r="AF276" i="1"/>
  <c r="AE276" i="1"/>
  <c r="AD276" i="1"/>
  <c r="AC276" i="1"/>
  <c r="AB276" i="1"/>
  <c r="AA276" i="1"/>
  <c r="Z276" i="1"/>
  <c r="Y276" i="1"/>
  <c r="X276" i="1"/>
  <c r="W276" i="1"/>
  <c r="V276" i="1"/>
  <c r="U276" i="1"/>
  <c r="T276" i="1"/>
  <c r="S276" i="1"/>
  <c r="R276" i="1"/>
  <c r="Q276" i="1"/>
  <c r="P276" i="1"/>
  <c r="O276" i="1"/>
  <c r="N276" i="1"/>
  <c r="M276" i="1"/>
  <c r="L276" i="1"/>
  <c r="K276" i="1"/>
  <c r="J276" i="1"/>
  <c r="I276" i="1"/>
  <c r="H276" i="1"/>
  <c r="G276" i="1"/>
  <c r="F276" i="1"/>
  <c r="AF274" i="1"/>
  <c r="AE274" i="1"/>
  <c r="AD274" i="1"/>
  <c r="AC274" i="1"/>
  <c r="AB274" i="1"/>
  <c r="AA274" i="1"/>
  <c r="Z274" i="1"/>
  <c r="Y274" i="1"/>
  <c r="X274" i="1"/>
  <c r="W274" i="1"/>
  <c r="V274" i="1"/>
  <c r="U274" i="1"/>
  <c r="T274" i="1"/>
  <c r="S274" i="1"/>
  <c r="R274" i="1"/>
  <c r="Q274" i="1"/>
  <c r="P274" i="1"/>
  <c r="O274" i="1"/>
  <c r="N274" i="1"/>
  <c r="M274" i="1"/>
  <c r="L274" i="1"/>
  <c r="K274" i="1"/>
  <c r="J274" i="1"/>
  <c r="I274" i="1"/>
  <c r="H274" i="1"/>
  <c r="G274" i="1"/>
  <c r="F274" i="1"/>
  <c r="AF273" i="1"/>
  <c r="AE273" i="1"/>
  <c r="AD273" i="1"/>
  <c r="AC273" i="1"/>
  <c r="AB273" i="1"/>
  <c r="AA273" i="1"/>
  <c r="Z273" i="1"/>
  <c r="Y273" i="1"/>
  <c r="X273" i="1"/>
  <c r="W273" i="1"/>
  <c r="V273" i="1"/>
  <c r="U273" i="1"/>
  <c r="T273" i="1"/>
  <c r="S273" i="1"/>
  <c r="R273" i="1"/>
  <c r="Q273" i="1"/>
  <c r="P273" i="1"/>
  <c r="O273" i="1"/>
  <c r="N273" i="1"/>
  <c r="M273" i="1"/>
  <c r="L273" i="1"/>
  <c r="K273" i="1"/>
  <c r="J273" i="1"/>
  <c r="I273" i="1"/>
  <c r="H273" i="1"/>
  <c r="G273" i="1"/>
  <c r="F273" i="1"/>
  <c r="AF272" i="1"/>
  <c r="AE272" i="1"/>
  <c r="AD272" i="1"/>
  <c r="AC272" i="1"/>
  <c r="AB272" i="1"/>
  <c r="AA272" i="1"/>
  <c r="Z272" i="1"/>
  <c r="Y272" i="1"/>
  <c r="X272" i="1"/>
  <c r="W272" i="1"/>
  <c r="V272" i="1"/>
  <c r="U272" i="1"/>
  <c r="T272" i="1"/>
  <c r="S272" i="1"/>
  <c r="R272" i="1"/>
  <c r="Q272" i="1"/>
  <c r="P272" i="1"/>
  <c r="O272" i="1"/>
  <c r="N272" i="1"/>
  <c r="M272" i="1"/>
  <c r="L272" i="1"/>
  <c r="K272" i="1"/>
  <c r="J272" i="1"/>
  <c r="I272" i="1"/>
  <c r="H272" i="1"/>
  <c r="G272" i="1"/>
  <c r="F272" i="1"/>
  <c r="AF271" i="1"/>
  <c r="AE271" i="1"/>
  <c r="AD271" i="1"/>
  <c r="AC271" i="1"/>
  <c r="AB271" i="1"/>
  <c r="AA271" i="1"/>
  <c r="Z271" i="1"/>
  <c r="Y271" i="1"/>
  <c r="X271" i="1"/>
  <c r="W271" i="1"/>
  <c r="V271" i="1"/>
  <c r="U271" i="1"/>
  <c r="T271" i="1"/>
  <c r="S271" i="1"/>
  <c r="R271" i="1"/>
  <c r="Q271" i="1"/>
  <c r="P271" i="1"/>
  <c r="O271" i="1"/>
  <c r="N271" i="1"/>
  <c r="M271" i="1"/>
  <c r="L271" i="1"/>
  <c r="K271" i="1"/>
  <c r="J271" i="1"/>
  <c r="I271" i="1"/>
  <c r="H271" i="1"/>
  <c r="G271" i="1"/>
  <c r="F271" i="1"/>
  <c r="AF270" i="1"/>
  <c r="AE270" i="1"/>
  <c r="AD270" i="1"/>
  <c r="AC270" i="1"/>
  <c r="AB270" i="1"/>
  <c r="AA270" i="1"/>
  <c r="Z270" i="1"/>
  <c r="Y270" i="1"/>
  <c r="X270" i="1"/>
  <c r="W270" i="1"/>
  <c r="V270" i="1"/>
  <c r="U270" i="1"/>
  <c r="T270" i="1"/>
  <c r="S270" i="1"/>
  <c r="R270" i="1"/>
  <c r="Q270" i="1"/>
  <c r="P270" i="1"/>
  <c r="O270" i="1"/>
  <c r="N270" i="1"/>
  <c r="M270" i="1"/>
  <c r="L270" i="1"/>
  <c r="K270" i="1"/>
  <c r="J270" i="1"/>
  <c r="I270" i="1"/>
  <c r="H270" i="1"/>
  <c r="G270" i="1"/>
  <c r="F270" i="1"/>
  <c r="AF268" i="1"/>
  <c r="AE268" i="1"/>
  <c r="AD268" i="1"/>
  <c r="AC268" i="1"/>
  <c r="AB268" i="1"/>
  <c r="AB342" i="12" s="1"/>
  <c r="AA268" i="1"/>
  <c r="Z268" i="1"/>
  <c r="Y268" i="1"/>
  <c r="X268" i="1"/>
  <c r="W268" i="1"/>
  <c r="V268" i="1"/>
  <c r="U268" i="1"/>
  <c r="T268" i="1"/>
  <c r="S268" i="1"/>
  <c r="R268" i="1"/>
  <c r="Q268" i="1"/>
  <c r="P268" i="1"/>
  <c r="O268" i="1"/>
  <c r="N268" i="1"/>
  <c r="M268" i="1"/>
  <c r="L268" i="1"/>
  <c r="K268" i="1"/>
  <c r="J268" i="1"/>
  <c r="I268" i="1"/>
  <c r="H268" i="1"/>
  <c r="G268" i="1"/>
  <c r="F268" i="1"/>
  <c r="AF267" i="1"/>
  <c r="AE267" i="1"/>
  <c r="AD267" i="1"/>
  <c r="AC267" i="1"/>
  <c r="AC363" i="12" s="1"/>
  <c r="AB267" i="1"/>
  <c r="AA267" i="1"/>
  <c r="Z267" i="1"/>
  <c r="Y267" i="1"/>
  <c r="X267" i="1"/>
  <c r="W267" i="1"/>
  <c r="V267" i="1"/>
  <c r="U267" i="1"/>
  <c r="T267" i="1"/>
  <c r="S267" i="1"/>
  <c r="R267" i="1"/>
  <c r="Q267" i="1"/>
  <c r="P267" i="1"/>
  <c r="O267" i="1"/>
  <c r="N267" i="1"/>
  <c r="M267" i="1"/>
  <c r="L267" i="1"/>
  <c r="K267" i="1"/>
  <c r="J267" i="1"/>
  <c r="I267" i="1"/>
  <c r="H267" i="1"/>
  <c r="G267" i="1"/>
  <c r="F267" i="1"/>
  <c r="AF266" i="1"/>
  <c r="AE266" i="1"/>
  <c r="AD266" i="1"/>
  <c r="AC266" i="1"/>
  <c r="AB266" i="1"/>
  <c r="AB362" i="12" s="1"/>
  <c r="AA266" i="1"/>
  <c r="Z266" i="1"/>
  <c r="Y266" i="1"/>
  <c r="X266" i="1"/>
  <c r="W266" i="1"/>
  <c r="V266" i="1"/>
  <c r="U266" i="1"/>
  <c r="T266" i="1"/>
  <c r="S266" i="1"/>
  <c r="R266" i="1"/>
  <c r="Q266" i="1"/>
  <c r="P266" i="1"/>
  <c r="O266" i="1"/>
  <c r="N266" i="1"/>
  <c r="M266" i="1"/>
  <c r="L266" i="1"/>
  <c r="K266" i="1"/>
  <c r="J266" i="1"/>
  <c r="I266" i="1"/>
  <c r="H266" i="1"/>
  <c r="G266" i="1"/>
  <c r="F266" i="1"/>
  <c r="AF262" i="1"/>
  <c r="AE262" i="1"/>
  <c r="AD262" i="1"/>
  <c r="AC262" i="1"/>
  <c r="AC321" i="12" s="1"/>
  <c r="AB262" i="1"/>
  <c r="AB321" i="12" s="1"/>
  <c r="AA262" i="1"/>
  <c r="Z262" i="1"/>
  <c r="Y262" i="1"/>
  <c r="X262" i="1"/>
  <c r="W262" i="1"/>
  <c r="V262" i="1"/>
  <c r="U262" i="1"/>
  <c r="T262" i="1"/>
  <c r="S262" i="1"/>
  <c r="R262" i="1"/>
  <c r="Q262" i="1"/>
  <c r="P262" i="1"/>
  <c r="O262" i="1"/>
  <c r="N262" i="1"/>
  <c r="M262" i="1"/>
  <c r="L262" i="1"/>
  <c r="K262" i="1"/>
  <c r="J262" i="1"/>
  <c r="I262" i="1"/>
  <c r="H262" i="1"/>
  <c r="G262" i="1"/>
  <c r="F262" i="1"/>
  <c r="AF261" i="1"/>
  <c r="AE261" i="1"/>
  <c r="AD261" i="1"/>
  <c r="AC261" i="1"/>
  <c r="AC320" i="12" s="1"/>
  <c r="AB261" i="1"/>
  <c r="AB320" i="12" s="1"/>
  <c r="AA261" i="1"/>
  <c r="Z261" i="1"/>
  <c r="Y261" i="1"/>
  <c r="X261" i="1"/>
  <c r="W261" i="1"/>
  <c r="V261" i="1"/>
  <c r="U261" i="1"/>
  <c r="T261" i="1"/>
  <c r="S261" i="1"/>
  <c r="R261" i="1"/>
  <c r="Q261" i="1"/>
  <c r="P261" i="1"/>
  <c r="O261" i="1"/>
  <c r="N261" i="1"/>
  <c r="M261" i="1"/>
  <c r="L261" i="1"/>
  <c r="K261" i="1"/>
  <c r="J261" i="1"/>
  <c r="I261" i="1"/>
  <c r="H261" i="1"/>
  <c r="G261" i="1"/>
  <c r="F261" i="1"/>
  <c r="AF260" i="1"/>
  <c r="AE260" i="1"/>
  <c r="AD260" i="1"/>
  <c r="AC260" i="1"/>
  <c r="AC289" i="12" s="1"/>
  <c r="AB260" i="1"/>
  <c r="AB289" i="12" s="1"/>
  <c r="DK95" i="11" s="1"/>
  <c r="AA260" i="1"/>
  <c r="Z260" i="1"/>
  <c r="Y260" i="1"/>
  <c r="X260" i="1"/>
  <c r="W260" i="1"/>
  <c r="V260" i="1"/>
  <c r="U260" i="1"/>
  <c r="T260" i="1"/>
  <c r="S260" i="1"/>
  <c r="R260" i="1"/>
  <c r="Q260" i="1"/>
  <c r="P260" i="1"/>
  <c r="O260" i="1"/>
  <c r="N260" i="1"/>
  <c r="M260" i="1"/>
  <c r="L260" i="1"/>
  <c r="K260" i="1"/>
  <c r="J260" i="1"/>
  <c r="I260" i="1"/>
  <c r="H260" i="1"/>
  <c r="G260" i="1"/>
  <c r="F260" i="1"/>
  <c r="AF259" i="1"/>
  <c r="AE259" i="1"/>
  <c r="AD259" i="1"/>
  <c r="AC259" i="1"/>
  <c r="AC288" i="12" s="1"/>
  <c r="AB259" i="1"/>
  <c r="AB288" i="12" s="1"/>
  <c r="DK94" i="11" s="1"/>
  <c r="AA259" i="1"/>
  <c r="Z259" i="1"/>
  <c r="Y259" i="1"/>
  <c r="X259" i="1"/>
  <c r="W259" i="1"/>
  <c r="V259" i="1"/>
  <c r="U259" i="1"/>
  <c r="T259" i="1"/>
  <c r="S259" i="1"/>
  <c r="R259" i="1"/>
  <c r="Q259" i="1"/>
  <c r="P259" i="1"/>
  <c r="O259" i="1"/>
  <c r="N259" i="1"/>
  <c r="M259" i="1"/>
  <c r="L259" i="1"/>
  <c r="K259" i="1"/>
  <c r="J259" i="1"/>
  <c r="I259" i="1"/>
  <c r="H259" i="1"/>
  <c r="G259" i="1"/>
  <c r="F259" i="1"/>
  <c r="AF257" i="1"/>
  <c r="AE257" i="1"/>
  <c r="AD257" i="1"/>
  <c r="AC257" i="1"/>
  <c r="AB257" i="1"/>
  <c r="AA257" i="1"/>
  <c r="Z257" i="1"/>
  <c r="Y257" i="1"/>
  <c r="X257" i="1"/>
  <c r="W257" i="1"/>
  <c r="V257" i="1"/>
  <c r="U257" i="1"/>
  <c r="T257" i="1"/>
  <c r="S257" i="1"/>
  <c r="R257" i="1"/>
  <c r="Q257" i="1"/>
  <c r="P257" i="1"/>
  <c r="O257" i="1"/>
  <c r="N257" i="1"/>
  <c r="M257" i="1"/>
  <c r="L257" i="1"/>
  <c r="K257" i="1"/>
  <c r="K522" i="7" s="1"/>
  <c r="J257" i="1"/>
  <c r="J522" i="7" s="1"/>
  <c r="I257" i="1"/>
  <c r="I522" i="7" s="1"/>
  <c r="H257" i="1"/>
  <c r="H522" i="7" s="1"/>
  <c r="G257" i="1"/>
  <c r="G522" i="7" s="1"/>
  <c r="F257" i="1"/>
  <c r="AF256" i="1"/>
  <c r="AE256" i="1"/>
  <c r="AD256" i="1"/>
  <c r="AC256" i="1"/>
  <c r="AB256" i="1"/>
  <c r="AA256" i="1"/>
  <c r="Z256" i="1"/>
  <c r="Y256" i="1"/>
  <c r="X256" i="1"/>
  <c r="W256" i="1"/>
  <c r="V256" i="1"/>
  <c r="U256" i="1"/>
  <c r="T256" i="1"/>
  <c r="S256" i="1"/>
  <c r="R256" i="1"/>
  <c r="Q256" i="1"/>
  <c r="P256" i="1"/>
  <c r="O256" i="1"/>
  <c r="N256" i="1"/>
  <c r="M256" i="1"/>
  <c r="L256" i="1"/>
  <c r="K256" i="1"/>
  <c r="K490" i="7" s="1"/>
  <c r="J256" i="1"/>
  <c r="J490" i="7" s="1"/>
  <c r="I256" i="1"/>
  <c r="I490" i="7" s="1"/>
  <c r="H256" i="1"/>
  <c r="H490" i="7" s="1"/>
  <c r="G256" i="1"/>
  <c r="G490" i="7" s="1"/>
  <c r="F256" i="1"/>
  <c r="AF253" i="1"/>
  <c r="AE253" i="1"/>
  <c r="AD253" i="1"/>
  <c r="AC253" i="1"/>
  <c r="AB253" i="1"/>
  <c r="AA253" i="1"/>
  <c r="Z253" i="1"/>
  <c r="Y253" i="1"/>
  <c r="X253" i="1"/>
  <c r="W253" i="1"/>
  <c r="V253" i="1"/>
  <c r="U253" i="1"/>
  <c r="T253" i="1"/>
  <c r="S253" i="1"/>
  <c r="R253" i="1"/>
  <c r="Q253" i="1"/>
  <c r="P253" i="1"/>
  <c r="O253" i="1"/>
  <c r="N253" i="1"/>
  <c r="M253" i="1"/>
  <c r="L253" i="1"/>
  <c r="K253" i="1"/>
  <c r="J253" i="1"/>
  <c r="I253" i="1"/>
  <c r="H253" i="1"/>
  <c r="G253" i="1"/>
  <c r="F253" i="1"/>
  <c r="AF252" i="1"/>
  <c r="AE252" i="1"/>
  <c r="AD252" i="1"/>
  <c r="AC252" i="1"/>
  <c r="AB252" i="1"/>
  <c r="AA252" i="1"/>
  <c r="Z252" i="1"/>
  <c r="Y252" i="1"/>
  <c r="X252" i="1"/>
  <c r="W252" i="1"/>
  <c r="V252" i="1"/>
  <c r="U252" i="1"/>
  <c r="T252" i="1"/>
  <c r="S252" i="1"/>
  <c r="R252" i="1"/>
  <c r="Q252" i="1"/>
  <c r="P252" i="1"/>
  <c r="O252" i="1"/>
  <c r="N252" i="1"/>
  <c r="M252" i="1"/>
  <c r="L252" i="1"/>
  <c r="K252" i="1"/>
  <c r="J252" i="1"/>
  <c r="I252" i="1"/>
  <c r="H252" i="1"/>
  <c r="G252" i="1"/>
  <c r="F252" i="1"/>
  <c r="AF249" i="1"/>
  <c r="AE249" i="1"/>
  <c r="AD249" i="1"/>
  <c r="AC249" i="1"/>
  <c r="AB249" i="1"/>
  <c r="AA249" i="1"/>
  <c r="Z249" i="1"/>
  <c r="Y249" i="1"/>
  <c r="X249" i="1"/>
  <c r="W249" i="1"/>
  <c r="V249" i="1"/>
  <c r="U249" i="1"/>
  <c r="T249" i="1"/>
  <c r="S249" i="1"/>
  <c r="R249" i="1"/>
  <c r="Q249" i="1"/>
  <c r="P249" i="1"/>
  <c r="O249" i="1"/>
  <c r="N249" i="1"/>
  <c r="M249" i="1"/>
  <c r="L249" i="1"/>
  <c r="K249" i="1"/>
  <c r="J249" i="1"/>
  <c r="I249" i="1"/>
  <c r="H249" i="1"/>
  <c r="G249" i="1"/>
  <c r="F249" i="1"/>
  <c r="AF248" i="1"/>
  <c r="AE248" i="1"/>
  <c r="AD248" i="1"/>
  <c r="AC248" i="1"/>
  <c r="AB248" i="1"/>
  <c r="AA248" i="1"/>
  <c r="Z248" i="1"/>
  <c r="Y248" i="1"/>
  <c r="X248" i="1"/>
  <c r="W248" i="1"/>
  <c r="V248" i="1"/>
  <c r="U248" i="1"/>
  <c r="T248" i="1"/>
  <c r="S248" i="1"/>
  <c r="R248" i="1"/>
  <c r="Q248" i="1"/>
  <c r="P248" i="1"/>
  <c r="O248" i="1"/>
  <c r="N248" i="1"/>
  <c r="M248" i="1"/>
  <c r="L248" i="1"/>
  <c r="K248" i="1"/>
  <c r="J248" i="1"/>
  <c r="I248" i="1"/>
  <c r="H248" i="1"/>
  <c r="G248" i="1"/>
  <c r="F248" i="1"/>
  <c r="AF245" i="1"/>
  <c r="AE245" i="1"/>
  <c r="AD245" i="1"/>
  <c r="AC245" i="1"/>
  <c r="AB245" i="1"/>
  <c r="AA245" i="1"/>
  <c r="Z245" i="1"/>
  <c r="Y245" i="1"/>
  <c r="X245" i="1"/>
  <c r="W245" i="1"/>
  <c r="V245" i="1"/>
  <c r="U245" i="1"/>
  <c r="T245" i="1"/>
  <c r="S245" i="1"/>
  <c r="R245" i="1"/>
  <c r="Q245" i="1"/>
  <c r="P245" i="1"/>
  <c r="O245" i="1"/>
  <c r="N245" i="1"/>
  <c r="M245" i="1"/>
  <c r="L245" i="1"/>
  <c r="K245" i="1"/>
  <c r="J245" i="1"/>
  <c r="I245" i="1"/>
  <c r="H245" i="1"/>
  <c r="G245" i="1"/>
  <c r="F245" i="1"/>
  <c r="AF244" i="1"/>
  <c r="AE244" i="1"/>
  <c r="AD244" i="1"/>
  <c r="AC244" i="1"/>
  <c r="AB244" i="1"/>
  <c r="AA244" i="1"/>
  <c r="Z244" i="1"/>
  <c r="Y244" i="1"/>
  <c r="X244" i="1"/>
  <c r="W244" i="1"/>
  <c r="V244" i="1"/>
  <c r="U244" i="1"/>
  <c r="T244" i="1"/>
  <c r="S244" i="1"/>
  <c r="R244" i="1"/>
  <c r="Q244" i="1"/>
  <c r="P244" i="1"/>
  <c r="O244" i="1"/>
  <c r="N244" i="1"/>
  <c r="M244" i="1"/>
  <c r="L244" i="1"/>
  <c r="K244" i="1"/>
  <c r="J244" i="1"/>
  <c r="I244" i="1"/>
  <c r="H244" i="1"/>
  <c r="G244" i="1"/>
  <c r="F244" i="1"/>
  <c r="AF241" i="1"/>
  <c r="AE241" i="1"/>
  <c r="AD241" i="1"/>
  <c r="AC241" i="1"/>
  <c r="AB241" i="1"/>
  <c r="AA241" i="1"/>
  <c r="Z241" i="1"/>
  <c r="Y241" i="1"/>
  <c r="X241" i="1"/>
  <c r="W241" i="1"/>
  <c r="V241" i="1"/>
  <c r="U241" i="1"/>
  <c r="T241" i="1"/>
  <c r="S241" i="1"/>
  <c r="R241" i="1"/>
  <c r="Q241" i="1"/>
  <c r="P241" i="1"/>
  <c r="O241" i="1"/>
  <c r="N241" i="1"/>
  <c r="M241" i="1"/>
  <c r="L241" i="1"/>
  <c r="K241" i="1"/>
  <c r="J241" i="1"/>
  <c r="I241" i="1"/>
  <c r="H241" i="1"/>
  <c r="G241" i="1"/>
  <c r="F241" i="1"/>
  <c r="AF240" i="1"/>
  <c r="AE240" i="1"/>
  <c r="AD240" i="1"/>
  <c r="AC240" i="1"/>
  <c r="AB240" i="1"/>
  <c r="AA240" i="1"/>
  <c r="Z240" i="1"/>
  <c r="Y240" i="1"/>
  <c r="X240" i="1"/>
  <c r="W240" i="1"/>
  <c r="V240" i="1"/>
  <c r="U240" i="1"/>
  <c r="T240" i="1"/>
  <c r="S240" i="1"/>
  <c r="R240" i="1"/>
  <c r="Q240" i="1"/>
  <c r="P240" i="1"/>
  <c r="O240" i="1"/>
  <c r="N240" i="1"/>
  <c r="M240" i="1"/>
  <c r="L240" i="1"/>
  <c r="K240" i="1"/>
  <c r="J240" i="1"/>
  <c r="I240" i="1"/>
  <c r="H240" i="1"/>
  <c r="G240" i="1"/>
  <c r="F240" i="1"/>
  <c r="AF238" i="1"/>
  <c r="AE238" i="1"/>
  <c r="AD238" i="1"/>
  <c r="AC238" i="1"/>
  <c r="AB238" i="1"/>
  <c r="AB142" i="7" s="1"/>
  <c r="AA238" i="1"/>
  <c r="Z238" i="1"/>
  <c r="Y238" i="1"/>
  <c r="X238" i="1"/>
  <c r="W238" i="1"/>
  <c r="V238" i="1"/>
  <c r="U238" i="1"/>
  <c r="T238" i="1"/>
  <c r="S238" i="1"/>
  <c r="R238" i="1"/>
  <c r="Q238" i="1"/>
  <c r="P238" i="1"/>
  <c r="O238" i="1"/>
  <c r="N238" i="1"/>
  <c r="M238" i="1"/>
  <c r="L238" i="1"/>
  <c r="K238" i="1"/>
  <c r="K142" i="7" s="1"/>
  <c r="J238" i="1"/>
  <c r="J142" i="7" s="1"/>
  <c r="I238" i="1"/>
  <c r="I142" i="7" s="1"/>
  <c r="H238" i="1"/>
  <c r="H142" i="7" s="1"/>
  <c r="G238" i="1"/>
  <c r="G142" i="7" s="1"/>
  <c r="F238" i="1"/>
  <c r="AF235" i="1"/>
  <c r="AE235" i="1"/>
  <c r="AD235" i="1"/>
  <c r="AC235" i="1"/>
  <c r="AB235" i="1"/>
  <c r="AB49" i="7" s="1"/>
  <c r="AC49" i="7" s="1"/>
  <c r="AA235" i="1"/>
  <c r="Z235" i="1"/>
  <c r="Y235" i="1"/>
  <c r="X235" i="1"/>
  <c r="W235" i="1"/>
  <c r="V235" i="1"/>
  <c r="U235" i="1"/>
  <c r="T235" i="1"/>
  <c r="S235" i="1"/>
  <c r="R235" i="1"/>
  <c r="Q235" i="1"/>
  <c r="P235" i="1"/>
  <c r="O235" i="1"/>
  <c r="N235" i="1"/>
  <c r="M235" i="1"/>
  <c r="L235" i="1"/>
  <c r="K235" i="1"/>
  <c r="K49" i="7" s="1"/>
  <c r="J235" i="1"/>
  <c r="J49" i="7" s="1"/>
  <c r="I235" i="1"/>
  <c r="I49" i="7" s="1"/>
  <c r="H235" i="1"/>
  <c r="H49" i="7" s="1"/>
  <c r="G235" i="1"/>
  <c r="G49" i="7" s="1"/>
  <c r="F235" i="1"/>
  <c r="AF233" i="1"/>
  <c r="AE233" i="1"/>
  <c r="AD233" i="1"/>
  <c r="AC233" i="1"/>
  <c r="AB233" i="1"/>
  <c r="AB12" i="7" s="1"/>
  <c r="AC12" i="7" s="1"/>
  <c r="AA233" i="1"/>
  <c r="Z233" i="1"/>
  <c r="Y233" i="1"/>
  <c r="X233" i="1"/>
  <c r="W233" i="1"/>
  <c r="V233" i="1"/>
  <c r="U233" i="1"/>
  <c r="T233" i="1"/>
  <c r="S233" i="1"/>
  <c r="R233" i="1"/>
  <c r="Q233" i="1"/>
  <c r="P233" i="1"/>
  <c r="O233" i="1"/>
  <c r="N233" i="1"/>
  <c r="M233" i="1"/>
  <c r="L233" i="1"/>
  <c r="K233" i="1"/>
  <c r="J233" i="1"/>
  <c r="I233" i="1"/>
  <c r="H233" i="1"/>
  <c r="G233" i="1"/>
  <c r="F233" i="1"/>
  <c r="AF230" i="1"/>
  <c r="AE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AF229" i="1"/>
  <c r="AE229" i="1"/>
  <c r="AD229" i="1"/>
  <c r="AC229" i="1"/>
  <c r="AB229" i="1"/>
  <c r="AA229" i="1"/>
  <c r="Z229" i="1"/>
  <c r="Y229" i="1"/>
  <c r="X229" i="1"/>
  <c r="W229" i="1"/>
  <c r="V229" i="1"/>
  <c r="U229" i="1"/>
  <c r="T229" i="1"/>
  <c r="S229" i="1"/>
  <c r="R229" i="1"/>
  <c r="Q229" i="1"/>
  <c r="P229" i="1"/>
  <c r="O229" i="1"/>
  <c r="N229" i="1"/>
  <c r="M229" i="1"/>
  <c r="L229" i="1"/>
  <c r="K229" i="1"/>
  <c r="J229" i="1"/>
  <c r="I229" i="1"/>
  <c r="H229" i="1"/>
  <c r="G229" i="1"/>
  <c r="F229" i="1"/>
  <c r="AF228" i="1"/>
  <c r="AE228" i="1"/>
  <c r="AD228" i="1"/>
  <c r="AC228" i="1"/>
  <c r="AB228" i="1"/>
  <c r="AB135" i="8" s="1"/>
  <c r="AA228" i="1"/>
  <c r="Z228" i="1"/>
  <c r="Y228" i="1"/>
  <c r="X228" i="1"/>
  <c r="W228" i="1"/>
  <c r="V228" i="1"/>
  <c r="U228" i="1"/>
  <c r="T228" i="1"/>
  <c r="S228" i="1"/>
  <c r="R228" i="1"/>
  <c r="Q228" i="1"/>
  <c r="P228" i="1"/>
  <c r="O228" i="1"/>
  <c r="N228" i="1"/>
  <c r="M228" i="1"/>
  <c r="L228" i="1"/>
  <c r="K228" i="1"/>
  <c r="J228" i="1"/>
  <c r="I228" i="1"/>
  <c r="H228" i="1"/>
  <c r="G228" i="1"/>
  <c r="F228" i="1"/>
  <c r="AF224" i="1"/>
  <c r="AE224" i="1"/>
  <c r="AD224" i="1"/>
  <c r="AC224" i="1"/>
  <c r="AC90" i="8" s="1"/>
  <c r="AB224" i="1"/>
  <c r="AA224" i="1"/>
  <c r="Z224" i="1"/>
  <c r="Y224" i="1"/>
  <c r="X224" i="1"/>
  <c r="W224" i="1"/>
  <c r="V224" i="1"/>
  <c r="U224" i="1"/>
  <c r="T224" i="1"/>
  <c r="S224" i="1"/>
  <c r="R224" i="1"/>
  <c r="Q224" i="1"/>
  <c r="P224" i="1"/>
  <c r="O224" i="1"/>
  <c r="N224" i="1"/>
  <c r="M224" i="1"/>
  <c r="L224" i="1"/>
  <c r="K224" i="1"/>
  <c r="J224" i="1"/>
  <c r="I224" i="1"/>
  <c r="H224" i="1"/>
  <c r="G224" i="1"/>
  <c r="F224"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F218" i="1"/>
  <c r="F217" i="1"/>
  <c r="AF216" i="1"/>
  <c r="AE216" i="1"/>
  <c r="AD216" i="1"/>
  <c r="AC216" i="1"/>
  <c r="AB216" i="1"/>
  <c r="AB45" i="12" s="1"/>
  <c r="AA216" i="1"/>
  <c r="Z216" i="1"/>
  <c r="Y216" i="1"/>
  <c r="X216" i="1"/>
  <c r="W216" i="1"/>
  <c r="V216" i="1"/>
  <c r="U216" i="1"/>
  <c r="T216" i="1"/>
  <c r="S216" i="1"/>
  <c r="R216" i="1"/>
  <c r="Q216" i="1"/>
  <c r="P216" i="1"/>
  <c r="O216" i="1"/>
  <c r="N216" i="1"/>
  <c r="M216" i="1"/>
  <c r="L216" i="1"/>
  <c r="K216" i="1"/>
  <c r="J216" i="1"/>
  <c r="I216" i="1"/>
  <c r="H216" i="1"/>
  <c r="G216" i="1"/>
  <c r="F216" i="1"/>
  <c r="AF208" i="1"/>
  <c r="AE208" i="1"/>
  <c r="AD208" i="1"/>
  <c r="AC208" i="1"/>
  <c r="AB208" i="1"/>
  <c r="AA208" i="1"/>
  <c r="Z208" i="1"/>
  <c r="Y208" i="1"/>
  <c r="X208" i="1"/>
  <c r="W208" i="1"/>
  <c r="V208" i="1"/>
  <c r="U208" i="1"/>
  <c r="T208" i="1"/>
  <c r="S208" i="1"/>
  <c r="R208" i="1"/>
  <c r="Q208" i="1"/>
  <c r="P208" i="1"/>
  <c r="O208" i="1"/>
  <c r="N208" i="1"/>
  <c r="M208" i="1"/>
  <c r="L208" i="1"/>
  <c r="K208" i="1"/>
  <c r="J208" i="1"/>
  <c r="I208" i="1"/>
  <c r="H208" i="1"/>
  <c r="G208" i="1"/>
  <c r="F208" i="1"/>
  <c r="AF207" i="1"/>
  <c r="AE207" i="1"/>
  <c r="AD207" i="1"/>
  <c r="AC207" i="1"/>
  <c r="AB207" i="1"/>
  <c r="AA207" i="1"/>
  <c r="Z207" i="1"/>
  <c r="Y207" i="1"/>
  <c r="X207" i="1"/>
  <c r="W207" i="1"/>
  <c r="V207" i="1"/>
  <c r="U207" i="1"/>
  <c r="T207" i="1"/>
  <c r="S207" i="1"/>
  <c r="R207" i="1"/>
  <c r="Q207" i="1"/>
  <c r="P207" i="1"/>
  <c r="O207" i="1"/>
  <c r="N207" i="1"/>
  <c r="M207" i="1"/>
  <c r="L207" i="1"/>
  <c r="K207" i="1"/>
  <c r="J207" i="1"/>
  <c r="I207" i="1"/>
  <c r="H207" i="1"/>
  <c r="G207" i="1"/>
  <c r="F207" i="1"/>
  <c r="AF206" i="1"/>
  <c r="AE206" i="1"/>
  <c r="AD206" i="1"/>
  <c r="AC206" i="1"/>
  <c r="AB206" i="1"/>
  <c r="AB228" i="12" s="1"/>
  <c r="DK72" i="11" s="1"/>
  <c r="DP72" i="11" s="1"/>
  <c r="AA206" i="1"/>
  <c r="Z206" i="1"/>
  <c r="Y206" i="1"/>
  <c r="X206" i="1"/>
  <c r="W206" i="1"/>
  <c r="V206" i="1"/>
  <c r="U206" i="1"/>
  <c r="T206" i="1"/>
  <c r="S206" i="1"/>
  <c r="R206" i="1"/>
  <c r="Q206" i="1"/>
  <c r="P206" i="1"/>
  <c r="O206" i="1"/>
  <c r="N206" i="1"/>
  <c r="M206" i="1"/>
  <c r="L206" i="1"/>
  <c r="K206" i="1"/>
  <c r="J206" i="1"/>
  <c r="I206" i="1"/>
  <c r="H206" i="1"/>
  <c r="G206" i="1"/>
  <c r="F206" i="1"/>
  <c r="AF205" i="1"/>
  <c r="AE205" i="1"/>
  <c r="AD205" i="1"/>
  <c r="AC205" i="1"/>
  <c r="AB205" i="1"/>
  <c r="AB519" i="7" s="1"/>
  <c r="AA205" i="1"/>
  <c r="Z205" i="1"/>
  <c r="Y205" i="1"/>
  <c r="X205" i="1"/>
  <c r="W205" i="1"/>
  <c r="V205" i="1"/>
  <c r="U205" i="1"/>
  <c r="T205" i="1"/>
  <c r="S205" i="1"/>
  <c r="R205" i="1"/>
  <c r="Q205" i="1"/>
  <c r="P205" i="1"/>
  <c r="O205" i="1"/>
  <c r="N205" i="1"/>
  <c r="M205" i="1"/>
  <c r="L205" i="1"/>
  <c r="K205" i="1"/>
  <c r="K519" i="7" s="1"/>
  <c r="J205" i="1"/>
  <c r="J519" i="7" s="1"/>
  <c r="I205" i="1"/>
  <c r="I519" i="7" s="1"/>
  <c r="H205" i="1"/>
  <c r="H519" i="7" s="1"/>
  <c r="G205" i="1"/>
  <c r="G519" i="7" s="1"/>
  <c r="F205" i="1"/>
  <c r="AF202" i="1"/>
  <c r="AE202" i="1"/>
  <c r="AD202" i="1"/>
  <c r="AC202" i="1"/>
  <c r="AB202" i="1"/>
  <c r="AA202" i="1"/>
  <c r="Z202" i="1"/>
  <c r="Y202" i="1"/>
  <c r="X202" i="1"/>
  <c r="W202" i="1"/>
  <c r="V202" i="1"/>
  <c r="U202" i="1"/>
  <c r="T202" i="1"/>
  <c r="S202" i="1"/>
  <c r="R202" i="1"/>
  <c r="Q202" i="1"/>
  <c r="P202" i="1"/>
  <c r="O202" i="1"/>
  <c r="N202" i="1"/>
  <c r="M202" i="1"/>
  <c r="L202" i="1"/>
  <c r="K202" i="1"/>
  <c r="J202" i="1"/>
  <c r="I202" i="1"/>
  <c r="H202" i="1"/>
  <c r="G202" i="1"/>
  <c r="F202" i="1"/>
  <c r="AF201" i="1"/>
  <c r="AE201" i="1"/>
  <c r="AD201" i="1"/>
  <c r="AC201" i="1"/>
  <c r="AB201" i="1"/>
  <c r="AA201" i="1"/>
  <c r="Z201" i="1"/>
  <c r="Y201" i="1"/>
  <c r="X201" i="1"/>
  <c r="W201" i="1"/>
  <c r="V201" i="1"/>
  <c r="U201" i="1"/>
  <c r="T201" i="1"/>
  <c r="S201" i="1"/>
  <c r="R201" i="1"/>
  <c r="Q201" i="1"/>
  <c r="P201" i="1"/>
  <c r="O201" i="1"/>
  <c r="N201" i="1"/>
  <c r="M201" i="1"/>
  <c r="L201" i="1"/>
  <c r="K201" i="1"/>
  <c r="J201" i="1"/>
  <c r="I201" i="1"/>
  <c r="H201" i="1"/>
  <c r="G201" i="1"/>
  <c r="F201" i="1"/>
  <c r="AF200" i="1"/>
  <c r="AE200" i="1"/>
  <c r="AD200" i="1"/>
  <c r="AC200" i="1"/>
  <c r="AB200" i="1"/>
  <c r="AB396" i="7" s="1"/>
  <c r="AA200" i="1"/>
  <c r="Z200" i="1"/>
  <c r="Y200" i="1"/>
  <c r="X200" i="1"/>
  <c r="W200" i="1"/>
  <c r="V200" i="1"/>
  <c r="U200" i="1"/>
  <c r="T200" i="1"/>
  <c r="S200" i="1"/>
  <c r="R200" i="1"/>
  <c r="Q200" i="1"/>
  <c r="P200" i="1"/>
  <c r="O200" i="1"/>
  <c r="N200" i="1"/>
  <c r="M200" i="1"/>
  <c r="L200" i="1"/>
  <c r="K200" i="1"/>
  <c r="K396" i="7" s="1"/>
  <c r="J200" i="1"/>
  <c r="J396" i="7" s="1"/>
  <c r="I200" i="1"/>
  <c r="I396" i="7" s="1"/>
  <c r="H200" i="1"/>
  <c r="H396" i="7" s="1"/>
  <c r="G200" i="1"/>
  <c r="G396" i="7" s="1"/>
  <c r="F200" i="1"/>
  <c r="AF198" i="1"/>
  <c r="AE198" i="1"/>
  <c r="AD198" i="1"/>
  <c r="AC198" i="1"/>
  <c r="AB198" i="1"/>
  <c r="AB323" i="7" s="1"/>
  <c r="AA198" i="1"/>
  <c r="Z198" i="1"/>
  <c r="Y198" i="1"/>
  <c r="X198" i="1"/>
  <c r="W198" i="1"/>
  <c r="V198" i="1"/>
  <c r="U198" i="1"/>
  <c r="T198" i="1"/>
  <c r="S198" i="1"/>
  <c r="R198" i="1"/>
  <c r="Q198" i="1"/>
  <c r="P198" i="1"/>
  <c r="O198" i="1"/>
  <c r="N198" i="1"/>
  <c r="M198" i="1"/>
  <c r="L198" i="1"/>
  <c r="K198" i="1"/>
  <c r="K323" i="7" s="1"/>
  <c r="J198" i="1"/>
  <c r="J323" i="7" s="1"/>
  <c r="I198" i="1"/>
  <c r="I323" i="7" s="1"/>
  <c r="H198" i="1"/>
  <c r="H323" i="7" s="1"/>
  <c r="G198" i="1"/>
  <c r="G323" i="7" s="1"/>
  <c r="F198" i="1"/>
  <c r="AF197" i="1"/>
  <c r="AE197" i="1"/>
  <c r="AD197" i="1"/>
  <c r="AC197" i="1"/>
  <c r="AB197" i="1"/>
  <c r="AB324" i="7" s="1"/>
  <c r="AA197" i="1"/>
  <c r="Z197" i="1"/>
  <c r="Y197" i="1"/>
  <c r="X197" i="1"/>
  <c r="W197" i="1"/>
  <c r="V197" i="1"/>
  <c r="U197" i="1"/>
  <c r="T197" i="1"/>
  <c r="S197" i="1"/>
  <c r="R197" i="1"/>
  <c r="Q197" i="1"/>
  <c r="P197" i="1"/>
  <c r="O197" i="1"/>
  <c r="N197" i="1"/>
  <c r="M197" i="1"/>
  <c r="L197" i="1"/>
  <c r="K197" i="1"/>
  <c r="K324" i="7" s="1"/>
  <c r="J197" i="1"/>
  <c r="J324" i="7" s="1"/>
  <c r="I197" i="1"/>
  <c r="I324" i="7" s="1"/>
  <c r="H197" i="1"/>
  <c r="H324" i="7" s="1"/>
  <c r="G197" i="1"/>
  <c r="G324" i="7" s="1"/>
  <c r="F197" i="1"/>
  <c r="AF195" i="1"/>
  <c r="AE195" i="1"/>
  <c r="AD195" i="1"/>
  <c r="AC195" i="1"/>
  <c r="AB195" i="1"/>
  <c r="AB298" i="7" s="1"/>
  <c r="AA195" i="1"/>
  <c r="Z195" i="1"/>
  <c r="Y195" i="1"/>
  <c r="X195" i="1"/>
  <c r="W195" i="1"/>
  <c r="V195" i="1"/>
  <c r="U195" i="1"/>
  <c r="T195" i="1"/>
  <c r="S195" i="1"/>
  <c r="R195" i="1"/>
  <c r="Q195" i="1"/>
  <c r="P195" i="1"/>
  <c r="O195" i="1"/>
  <c r="N195" i="1"/>
  <c r="M195" i="1"/>
  <c r="L195" i="1"/>
  <c r="K195" i="1"/>
  <c r="K298" i="7" s="1"/>
  <c r="J195" i="1"/>
  <c r="J298" i="7" s="1"/>
  <c r="I195" i="1"/>
  <c r="I298" i="7" s="1"/>
  <c r="H195" i="1"/>
  <c r="H298" i="7" s="1"/>
  <c r="G195" i="1"/>
  <c r="G298" i="7" s="1"/>
  <c r="F195" i="1"/>
  <c r="AF194" i="1"/>
  <c r="AE194" i="1"/>
  <c r="AD194" i="1"/>
  <c r="AC194" i="1"/>
  <c r="AB194" i="1"/>
  <c r="AB259" i="7" s="1"/>
  <c r="AA194" i="1"/>
  <c r="Z194" i="1"/>
  <c r="Y194" i="1"/>
  <c r="X194" i="1"/>
  <c r="W194" i="1"/>
  <c r="V194" i="1"/>
  <c r="U194" i="1"/>
  <c r="T194" i="1"/>
  <c r="S194" i="1"/>
  <c r="R194" i="1"/>
  <c r="Q194" i="1"/>
  <c r="P194" i="1"/>
  <c r="O194" i="1"/>
  <c r="N194" i="1"/>
  <c r="M194" i="1"/>
  <c r="L194" i="1"/>
  <c r="K194" i="1"/>
  <c r="K259" i="7" s="1"/>
  <c r="J194" i="1"/>
  <c r="J259" i="7" s="1"/>
  <c r="I194" i="1"/>
  <c r="I259" i="7" s="1"/>
  <c r="H194" i="1"/>
  <c r="H259" i="7" s="1"/>
  <c r="G194" i="1"/>
  <c r="G259" i="7" s="1"/>
  <c r="F194" i="1"/>
  <c r="AF193" i="1"/>
  <c r="AE193" i="1"/>
  <c r="AD193" i="1"/>
  <c r="AC193" i="1"/>
  <c r="AB193" i="1"/>
  <c r="AB302" i="7" s="1"/>
  <c r="AA193" i="1"/>
  <c r="Z193" i="1"/>
  <c r="Y193" i="1"/>
  <c r="X193" i="1"/>
  <c r="W193" i="1"/>
  <c r="V193" i="1"/>
  <c r="U193" i="1"/>
  <c r="T193" i="1"/>
  <c r="S193" i="1"/>
  <c r="R193" i="1"/>
  <c r="Q193" i="1"/>
  <c r="P193" i="1"/>
  <c r="O193" i="1"/>
  <c r="N193" i="1"/>
  <c r="M193" i="1"/>
  <c r="L193" i="1"/>
  <c r="K193" i="1"/>
  <c r="K302" i="7" s="1"/>
  <c r="J193" i="1"/>
  <c r="J302" i="7" s="1"/>
  <c r="I193" i="1"/>
  <c r="I302" i="7" s="1"/>
  <c r="H193" i="1"/>
  <c r="H302" i="7" s="1"/>
  <c r="G193" i="1"/>
  <c r="G302" i="7" s="1"/>
  <c r="F193" i="1"/>
  <c r="AF192" i="1"/>
  <c r="AE192" i="1"/>
  <c r="AD192" i="1"/>
  <c r="AC192" i="1"/>
  <c r="AB192" i="1"/>
  <c r="AB256" i="7" s="1"/>
  <c r="AA192" i="1"/>
  <c r="Z192" i="1"/>
  <c r="Y192" i="1"/>
  <c r="X192" i="1"/>
  <c r="W192" i="1"/>
  <c r="V192" i="1"/>
  <c r="U192" i="1"/>
  <c r="T192" i="1"/>
  <c r="S192" i="1"/>
  <c r="R192" i="1"/>
  <c r="Q192" i="1"/>
  <c r="P192" i="1"/>
  <c r="O192" i="1"/>
  <c r="N192" i="1"/>
  <c r="M192" i="1"/>
  <c r="L192" i="1"/>
  <c r="K192" i="1"/>
  <c r="K256" i="7" s="1"/>
  <c r="J192" i="1"/>
  <c r="J256" i="7" s="1"/>
  <c r="I192" i="1"/>
  <c r="I256" i="7" s="1"/>
  <c r="H192" i="1"/>
  <c r="H256" i="7" s="1"/>
  <c r="G192" i="1"/>
  <c r="G256" i="7" s="1"/>
  <c r="F192" i="1"/>
  <c r="AF191" i="1"/>
  <c r="AE191" i="1"/>
  <c r="AD191" i="1"/>
  <c r="AC191" i="1"/>
  <c r="AB191" i="1"/>
  <c r="AB201" i="7" s="1"/>
  <c r="AA191" i="1"/>
  <c r="Z191" i="1"/>
  <c r="Y191" i="1"/>
  <c r="X191" i="1"/>
  <c r="W191" i="1"/>
  <c r="V191" i="1"/>
  <c r="U191" i="1"/>
  <c r="T191" i="1"/>
  <c r="S191" i="1"/>
  <c r="R191" i="1"/>
  <c r="Q191" i="1"/>
  <c r="P191" i="1"/>
  <c r="O191" i="1"/>
  <c r="N191" i="1"/>
  <c r="M191" i="1"/>
  <c r="L191" i="1"/>
  <c r="K191" i="1"/>
  <c r="K201" i="7" s="1"/>
  <c r="J191" i="1"/>
  <c r="J201" i="7" s="1"/>
  <c r="I191" i="1"/>
  <c r="I201" i="7" s="1"/>
  <c r="H191" i="1"/>
  <c r="H201" i="7" s="1"/>
  <c r="G191" i="1"/>
  <c r="G201" i="7" s="1"/>
  <c r="F191" i="1"/>
  <c r="AF188" i="1"/>
  <c r="AE188" i="1"/>
  <c r="AD188" i="1"/>
  <c r="AC188" i="1"/>
  <c r="AB188" i="1"/>
  <c r="AA188" i="1"/>
  <c r="Z188" i="1"/>
  <c r="Y188" i="1"/>
  <c r="X188" i="1"/>
  <c r="W188" i="1"/>
  <c r="V188" i="1"/>
  <c r="U188" i="1"/>
  <c r="T188" i="1"/>
  <c r="S188" i="1"/>
  <c r="R188" i="1"/>
  <c r="Q188" i="1"/>
  <c r="P188" i="1"/>
  <c r="O188" i="1"/>
  <c r="N188" i="1"/>
  <c r="M188" i="1"/>
  <c r="L188" i="1"/>
  <c r="K188" i="1"/>
  <c r="J188" i="1"/>
  <c r="I188" i="1"/>
  <c r="H188" i="1"/>
  <c r="G188" i="1"/>
  <c r="F188" i="1"/>
  <c r="AF187" i="1"/>
  <c r="AE187" i="1"/>
  <c r="AD187" i="1"/>
  <c r="AC187" i="1"/>
  <c r="AB187" i="1"/>
  <c r="AA187" i="1"/>
  <c r="Z187" i="1"/>
  <c r="Y187" i="1"/>
  <c r="X187" i="1"/>
  <c r="W187" i="1"/>
  <c r="V187" i="1"/>
  <c r="U187" i="1"/>
  <c r="T187" i="1"/>
  <c r="S187" i="1"/>
  <c r="R187" i="1"/>
  <c r="Q187" i="1"/>
  <c r="P187" i="1"/>
  <c r="O187" i="1"/>
  <c r="N187" i="1"/>
  <c r="M187" i="1"/>
  <c r="L187" i="1"/>
  <c r="K187" i="1"/>
  <c r="J187" i="1"/>
  <c r="I187" i="1"/>
  <c r="H187" i="1"/>
  <c r="G187" i="1"/>
  <c r="F187" i="1"/>
  <c r="AF186" i="1"/>
  <c r="AE186" i="1"/>
  <c r="AD186" i="1"/>
  <c r="AC186" i="1"/>
  <c r="AB186" i="1"/>
  <c r="AB209" i="8" s="1"/>
  <c r="AC209" i="8" s="1"/>
  <c r="AA186" i="1"/>
  <c r="Z186" i="1"/>
  <c r="Y186" i="1"/>
  <c r="X186" i="1"/>
  <c r="W186" i="1"/>
  <c r="V186" i="1"/>
  <c r="U186" i="1"/>
  <c r="T186" i="1"/>
  <c r="S186" i="1"/>
  <c r="R186" i="1"/>
  <c r="Q186" i="1"/>
  <c r="P186" i="1"/>
  <c r="O186" i="1"/>
  <c r="N186" i="1"/>
  <c r="M186" i="1"/>
  <c r="L186" i="1"/>
  <c r="K186" i="1"/>
  <c r="J186" i="1"/>
  <c r="I186" i="1"/>
  <c r="H186" i="1"/>
  <c r="G186" i="1"/>
  <c r="F186" i="1"/>
  <c r="AF185" i="1"/>
  <c r="AE185" i="1"/>
  <c r="AD185" i="1"/>
  <c r="AC185" i="1"/>
  <c r="AB185" i="1"/>
  <c r="AB137" i="8" s="1"/>
  <c r="AA185" i="1"/>
  <c r="Z185" i="1"/>
  <c r="Y185" i="1"/>
  <c r="X185" i="1"/>
  <c r="W185" i="1"/>
  <c r="V185" i="1"/>
  <c r="V137" i="8" s="1"/>
  <c r="U185" i="1"/>
  <c r="T185" i="1"/>
  <c r="S185" i="1"/>
  <c r="R185" i="1"/>
  <c r="Q185" i="1"/>
  <c r="P185" i="1"/>
  <c r="O185" i="1"/>
  <c r="N185" i="1"/>
  <c r="M185" i="1"/>
  <c r="L185" i="1"/>
  <c r="K185" i="1"/>
  <c r="J185" i="1"/>
  <c r="I185" i="1"/>
  <c r="H185" i="1"/>
  <c r="G185" i="1"/>
  <c r="F185" i="1"/>
  <c r="AF184" i="1"/>
  <c r="AE184" i="1"/>
  <c r="AD184" i="1"/>
  <c r="AC184" i="1"/>
  <c r="AB184" i="1"/>
  <c r="AB217" i="8" s="1"/>
  <c r="AA184" i="1"/>
  <c r="Z184" i="1"/>
  <c r="Y184" i="1"/>
  <c r="X184" i="1"/>
  <c r="W184" i="1"/>
  <c r="V184" i="1"/>
  <c r="U184" i="1"/>
  <c r="T184" i="1"/>
  <c r="S184" i="1"/>
  <c r="R184" i="1"/>
  <c r="Q184" i="1"/>
  <c r="P184" i="1"/>
  <c r="O184" i="1"/>
  <c r="N184" i="1"/>
  <c r="M184" i="1"/>
  <c r="L184" i="1"/>
  <c r="K184" i="1"/>
  <c r="J184" i="1"/>
  <c r="I184" i="1"/>
  <c r="H184" i="1"/>
  <c r="G184" i="1"/>
  <c r="F184" i="1"/>
  <c r="AF182" i="1"/>
  <c r="AE182" i="1"/>
  <c r="AD182" i="1"/>
  <c r="AC182" i="1"/>
  <c r="AB182" i="1"/>
  <c r="AB46" i="7" s="1"/>
  <c r="AC46" i="7" s="1"/>
  <c r="AA182" i="1"/>
  <c r="Z182" i="1"/>
  <c r="Y182" i="1"/>
  <c r="X182" i="1"/>
  <c r="W182" i="1"/>
  <c r="V182" i="1"/>
  <c r="U182" i="1"/>
  <c r="T182" i="1"/>
  <c r="S182" i="1"/>
  <c r="R182" i="1"/>
  <c r="Q182" i="1"/>
  <c r="P182" i="1"/>
  <c r="O182" i="1"/>
  <c r="N182" i="1"/>
  <c r="M182" i="1"/>
  <c r="L182" i="1"/>
  <c r="K182" i="1"/>
  <c r="K46" i="7" s="1"/>
  <c r="J182" i="1"/>
  <c r="J46" i="7" s="1"/>
  <c r="I182" i="1"/>
  <c r="I46" i="7" s="1"/>
  <c r="H182" i="1"/>
  <c r="H46" i="7" s="1"/>
  <c r="G182" i="1"/>
  <c r="G46" i="7" s="1"/>
  <c r="F182" i="1"/>
  <c r="AF181" i="1"/>
  <c r="AE181" i="1"/>
  <c r="AD181" i="1"/>
  <c r="AC181" i="1"/>
  <c r="AB181" i="1"/>
  <c r="AB9" i="7" s="1"/>
  <c r="AA181" i="1"/>
  <c r="Z181" i="1"/>
  <c r="Y181" i="1"/>
  <c r="X181" i="1"/>
  <c r="W181" i="1"/>
  <c r="V181" i="1"/>
  <c r="U181" i="1"/>
  <c r="T181" i="1"/>
  <c r="S181" i="1"/>
  <c r="R181" i="1"/>
  <c r="Q181" i="1"/>
  <c r="P181" i="1"/>
  <c r="O181" i="1"/>
  <c r="N181" i="1"/>
  <c r="M181" i="1"/>
  <c r="L181" i="1"/>
  <c r="K181" i="1"/>
  <c r="K9" i="7" s="1"/>
  <c r="J181" i="1"/>
  <c r="J9" i="7" s="1"/>
  <c r="I181" i="1"/>
  <c r="I9" i="7" s="1"/>
  <c r="H181" i="1"/>
  <c r="H9" i="7" s="1"/>
  <c r="G181" i="1"/>
  <c r="G9" i="7" s="1"/>
  <c r="F181" i="1"/>
  <c r="AF180" i="1"/>
  <c r="AE180" i="1"/>
  <c r="AD180" i="1"/>
  <c r="AC180" i="1"/>
  <c r="AB180" i="1"/>
  <c r="AB73" i="7" s="1"/>
  <c r="AA180" i="1"/>
  <c r="Z180" i="1"/>
  <c r="Y180" i="1"/>
  <c r="X180" i="1"/>
  <c r="W180" i="1"/>
  <c r="V180" i="1"/>
  <c r="U180" i="1"/>
  <c r="T180" i="1"/>
  <c r="S180" i="1"/>
  <c r="R180" i="1"/>
  <c r="Q180" i="1"/>
  <c r="P180" i="1"/>
  <c r="O180" i="1"/>
  <c r="N180" i="1"/>
  <c r="M180" i="1"/>
  <c r="L180" i="1"/>
  <c r="K180" i="1"/>
  <c r="K73" i="7" s="1"/>
  <c r="J180" i="1"/>
  <c r="J73" i="7" s="1"/>
  <c r="I180" i="1"/>
  <c r="I73" i="7" s="1"/>
  <c r="H180" i="1"/>
  <c r="H73" i="7" s="1"/>
  <c r="G180" i="1"/>
  <c r="G73" i="7" s="1"/>
  <c r="F180" i="1"/>
  <c r="AF135" i="1"/>
  <c r="AE135" i="1"/>
  <c r="AD135" i="1"/>
  <c r="AC135" i="1"/>
  <c r="AB135" i="1"/>
  <c r="AA135" i="1"/>
  <c r="Z135" i="1"/>
  <c r="Y135" i="1"/>
  <c r="X135" i="1"/>
  <c r="W135" i="1"/>
  <c r="V135" i="1"/>
  <c r="U135" i="1"/>
  <c r="T135" i="1"/>
  <c r="S135" i="1"/>
  <c r="R135" i="1"/>
  <c r="Q135" i="1"/>
  <c r="P135" i="1"/>
  <c r="O135" i="1"/>
  <c r="N135" i="1"/>
  <c r="M135" i="1"/>
  <c r="L135" i="1"/>
  <c r="K135" i="1"/>
  <c r="J135" i="1"/>
  <c r="I135" i="1"/>
  <c r="H135" i="1"/>
  <c r="G135" i="1"/>
  <c r="F135" i="1"/>
  <c r="AF134" i="1"/>
  <c r="AE134" i="1"/>
  <c r="AD134" i="1"/>
  <c r="AC134" i="1"/>
  <c r="AB134" i="1"/>
  <c r="AA134" i="1"/>
  <c r="Z134" i="1"/>
  <c r="Y134" i="1"/>
  <c r="X134" i="1"/>
  <c r="W134" i="1"/>
  <c r="V134" i="1"/>
  <c r="U134" i="1"/>
  <c r="T134" i="1"/>
  <c r="S134" i="1"/>
  <c r="R134" i="1"/>
  <c r="Q134" i="1"/>
  <c r="P134" i="1"/>
  <c r="O134" i="1"/>
  <c r="N134" i="1"/>
  <c r="M134" i="1"/>
  <c r="L134" i="1"/>
  <c r="K134" i="1"/>
  <c r="J134" i="1"/>
  <c r="I134" i="1"/>
  <c r="H134" i="1"/>
  <c r="G134" i="1"/>
  <c r="F134" i="1"/>
  <c r="AF133" i="1"/>
  <c r="AE133" i="1"/>
  <c r="AD133" i="1"/>
  <c r="AC133" i="1"/>
  <c r="AB133" i="1"/>
  <c r="AB230" i="12" s="1"/>
  <c r="AA133" i="1"/>
  <c r="AA230" i="12" s="1"/>
  <c r="Z133" i="1"/>
  <c r="Z230" i="12" s="1"/>
  <c r="Y133" i="1"/>
  <c r="Y230" i="12" s="1"/>
  <c r="X133" i="1"/>
  <c r="W133" i="1"/>
  <c r="V133" i="1"/>
  <c r="U133" i="1"/>
  <c r="T133" i="1"/>
  <c r="S133" i="1"/>
  <c r="R133" i="1"/>
  <c r="Q133" i="1"/>
  <c r="P133" i="1"/>
  <c r="O133" i="1"/>
  <c r="N133" i="1"/>
  <c r="M133" i="1"/>
  <c r="L133" i="1"/>
  <c r="K133" i="1"/>
  <c r="J133" i="1"/>
  <c r="I133" i="1"/>
  <c r="H133" i="1"/>
  <c r="G133" i="1"/>
  <c r="F133" i="1"/>
  <c r="AF132" i="1"/>
  <c r="AE132" i="1"/>
  <c r="AD132" i="1"/>
  <c r="AC132" i="1"/>
  <c r="AB132" i="1"/>
  <c r="AB520" i="7" s="1"/>
  <c r="AA132" i="1"/>
  <c r="Z132" i="1"/>
  <c r="Y132" i="1"/>
  <c r="X132" i="1"/>
  <c r="W132" i="1"/>
  <c r="V132" i="1"/>
  <c r="U132" i="1"/>
  <c r="T132" i="1"/>
  <c r="S132" i="1"/>
  <c r="R132" i="1"/>
  <c r="Q132" i="1"/>
  <c r="P132" i="1"/>
  <c r="O132" i="1"/>
  <c r="N132" i="1"/>
  <c r="M132" i="1"/>
  <c r="L132" i="1"/>
  <c r="K132" i="1"/>
  <c r="K520" i="7" s="1"/>
  <c r="J132" i="1"/>
  <c r="J520" i="7" s="1"/>
  <c r="I132" i="1"/>
  <c r="I520" i="7" s="1"/>
  <c r="H132" i="1"/>
  <c r="H520" i="7" s="1"/>
  <c r="G132" i="1"/>
  <c r="G520" i="7" s="1"/>
  <c r="F132" i="1"/>
  <c r="AF129" i="1"/>
  <c r="AE129" i="1"/>
  <c r="AD129" i="1"/>
  <c r="AC129" i="1"/>
  <c r="AB129" i="1"/>
  <c r="AA129" i="1"/>
  <c r="Z129" i="1"/>
  <c r="Y129" i="1"/>
  <c r="X129" i="1"/>
  <c r="W129" i="1"/>
  <c r="V129" i="1"/>
  <c r="U129" i="1"/>
  <c r="T129" i="1"/>
  <c r="S129" i="1"/>
  <c r="R129" i="1"/>
  <c r="Q129" i="1"/>
  <c r="P129" i="1"/>
  <c r="O129" i="1"/>
  <c r="N129" i="1"/>
  <c r="M129" i="1"/>
  <c r="L129" i="1"/>
  <c r="K129" i="1"/>
  <c r="J129" i="1"/>
  <c r="I129" i="1"/>
  <c r="H129" i="1"/>
  <c r="G129" i="1"/>
  <c r="F129" i="1"/>
  <c r="AF128" i="1"/>
  <c r="AE128" i="1"/>
  <c r="AD128" i="1"/>
  <c r="AC128" i="1"/>
  <c r="AB128" i="1"/>
  <c r="AA128" i="1"/>
  <c r="Z128" i="1"/>
  <c r="Y128" i="1"/>
  <c r="X128" i="1"/>
  <c r="W128" i="1"/>
  <c r="V128" i="1"/>
  <c r="U128" i="1"/>
  <c r="T128" i="1"/>
  <c r="S128" i="1"/>
  <c r="R128" i="1"/>
  <c r="Q128" i="1"/>
  <c r="P128" i="1"/>
  <c r="O128" i="1"/>
  <c r="N128" i="1"/>
  <c r="M128" i="1"/>
  <c r="L128" i="1"/>
  <c r="K128" i="1"/>
  <c r="J128" i="1"/>
  <c r="I128" i="1"/>
  <c r="H128" i="1"/>
  <c r="G128" i="1"/>
  <c r="F128" i="1"/>
  <c r="AF127" i="1"/>
  <c r="AE127" i="1"/>
  <c r="AD127" i="1"/>
  <c r="AC127" i="1"/>
  <c r="AB127" i="1"/>
  <c r="AB397" i="7" s="1"/>
  <c r="AA127" i="1"/>
  <c r="Z127" i="1"/>
  <c r="Y127" i="1"/>
  <c r="X127" i="1"/>
  <c r="W127" i="1"/>
  <c r="V127" i="1"/>
  <c r="U127" i="1"/>
  <c r="T127" i="1"/>
  <c r="S127" i="1"/>
  <c r="R127" i="1"/>
  <c r="Q127" i="1"/>
  <c r="P127" i="1"/>
  <c r="O127" i="1"/>
  <c r="N127" i="1"/>
  <c r="M127" i="1"/>
  <c r="L127" i="1"/>
  <c r="K127" i="1"/>
  <c r="K397" i="7" s="1"/>
  <c r="J127" i="1"/>
  <c r="J397" i="7" s="1"/>
  <c r="I127" i="1"/>
  <c r="I397" i="7" s="1"/>
  <c r="H127" i="1"/>
  <c r="H397" i="7" s="1"/>
  <c r="G127" i="1"/>
  <c r="G397" i="7" s="1"/>
  <c r="F127" i="1"/>
  <c r="AF125" i="1"/>
  <c r="AE125" i="1"/>
  <c r="AD125" i="1"/>
  <c r="AC125" i="1"/>
  <c r="AB125" i="1"/>
  <c r="AB325" i="7" s="1"/>
  <c r="AA125" i="1"/>
  <c r="Z125" i="1"/>
  <c r="Y125" i="1"/>
  <c r="X125" i="1"/>
  <c r="W125" i="1"/>
  <c r="V125" i="1"/>
  <c r="U125" i="1"/>
  <c r="T125" i="1"/>
  <c r="S125" i="1"/>
  <c r="R125" i="1"/>
  <c r="Q125" i="1"/>
  <c r="P125" i="1"/>
  <c r="O125" i="1"/>
  <c r="N125" i="1"/>
  <c r="M125" i="1"/>
  <c r="L125" i="1"/>
  <c r="K125" i="1"/>
  <c r="K325" i="7" s="1"/>
  <c r="J125" i="1"/>
  <c r="J325" i="7" s="1"/>
  <c r="I125" i="1"/>
  <c r="I325" i="7" s="1"/>
  <c r="H125" i="1"/>
  <c r="H325" i="7" s="1"/>
  <c r="G125" i="1"/>
  <c r="G325" i="7" s="1"/>
  <c r="F125" i="1"/>
  <c r="AF124" i="1"/>
  <c r="AE124" i="1"/>
  <c r="AD124" i="1"/>
  <c r="AC124" i="1"/>
  <c r="AB124" i="1"/>
  <c r="AB326" i="7" s="1"/>
  <c r="AA124" i="1"/>
  <c r="Z124" i="1"/>
  <c r="Y124" i="1"/>
  <c r="X124" i="1"/>
  <c r="W124" i="1"/>
  <c r="V124" i="1"/>
  <c r="U124" i="1"/>
  <c r="T124" i="1"/>
  <c r="S124" i="1"/>
  <c r="R124" i="1"/>
  <c r="Q124" i="1"/>
  <c r="P124" i="1"/>
  <c r="O124" i="1"/>
  <c r="N124" i="1"/>
  <c r="M124" i="1"/>
  <c r="L124" i="1"/>
  <c r="K124" i="1"/>
  <c r="K326" i="7" s="1"/>
  <c r="J124" i="1"/>
  <c r="J326" i="7" s="1"/>
  <c r="I124" i="1"/>
  <c r="I326" i="7" s="1"/>
  <c r="H124" i="1"/>
  <c r="H326" i="7" s="1"/>
  <c r="G124" i="1"/>
  <c r="G326" i="7" s="1"/>
  <c r="F124" i="1"/>
  <c r="AF123" i="1"/>
  <c r="AE123" i="1"/>
  <c r="AD123" i="1"/>
  <c r="AC123" i="1"/>
  <c r="AB123" i="1"/>
  <c r="AB299" i="7" s="1"/>
  <c r="AA123" i="1"/>
  <c r="Z123" i="1"/>
  <c r="Y123" i="1"/>
  <c r="X123" i="1"/>
  <c r="W123" i="1"/>
  <c r="V123" i="1"/>
  <c r="U123" i="1"/>
  <c r="T123" i="1"/>
  <c r="S123" i="1"/>
  <c r="R123" i="1"/>
  <c r="Q123" i="1"/>
  <c r="P123" i="1"/>
  <c r="O123" i="1"/>
  <c r="N123" i="1"/>
  <c r="M123" i="1"/>
  <c r="L123" i="1"/>
  <c r="K123" i="1"/>
  <c r="K299" i="7" s="1"/>
  <c r="J123" i="1"/>
  <c r="J299" i="7" s="1"/>
  <c r="I123" i="1"/>
  <c r="I299" i="7" s="1"/>
  <c r="H123" i="1"/>
  <c r="H299" i="7" s="1"/>
  <c r="G123" i="1"/>
  <c r="G299" i="7" s="1"/>
  <c r="F123" i="1"/>
  <c r="AF122" i="1"/>
  <c r="AE122" i="1"/>
  <c r="AD122" i="1"/>
  <c r="AC122" i="1"/>
  <c r="AB122" i="1"/>
  <c r="AB257" i="7" s="1"/>
  <c r="AA122" i="1"/>
  <c r="Z122" i="1"/>
  <c r="Y122" i="1"/>
  <c r="X122" i="1"/>
  <c r="W122" i="1"/>
  <c r="V122" i="1"/>
  <c r="U122" i="1"/>
  <c r="T122" i="1"/>
  <c r="S122" i="1"/>
  <c r="R122" i="1"/>
  <c r="Q122" i="1"/>
  <c r="P122" i="1"/>
  <c r="O122" i="1"/>
  <c r="N122" i="1"/>
  <c r="M122" i="1"/>
  <c r="L122" i="1"/>
  <c r="K122" i="1"/>
  <c r="K257" i="7" s="1"/>
  <c r="J122" i="1"/>
  <c r="J257" i="7" s="1"/>
  <c r="I122" i="1"/>
  <c r="I257" i="7" s="1"/>
  <c r="H122" i="1"/>
  <c r="H257" i="7" s="1"/>
  <c r="G122" i="1"/>
  <c r="G257" i="7" s="1"/>
  <c r="F122" i="1"/>
  <c r="AF121" i="1"/>
  <c r="AE121" i="1"/>
  <c r="AD121" i="1"/>
  <c r="AC121" i="1"/>
  <c r="AB121" i="1"/>
  <c r="AB202" i="7" s="1"/>
  <c r="AA121" i="1"/>
  <c r="Z121" i="1"/>
  <c r="Y121" i="1"/>
  <c r="X121" i="1"/>
  <c r="W121" i="1"/>
  <c r="V121" i="1"/>
  <c r="U121" i="1"/>
  <c r="T121" i="1"/>
  <c r="S121" i="1"/>
  <c r="R121" i="1"/>
  <c r="Q121" i="1"/>
  <c r="P121" i="1"/>
  <c r="O121" i="1"/>
  <c r="N121" i="1"/>
  <c r="M121" i="1"/>
  <c r="L121" i="1"/>
  <c r="K121" i="1"/>
  <c r="K202" i="7" s="1"/>
  <c r="J121" i="1"/>
  <c r="J202" i="7" s="1"/>
  <c r="I121" i="1"/>
  <c r="I202" i="7" s="1"/>
  <c r="H121" i="1"/>
  <c r="H202" i="7" s="1"/>
  <c r="G121" i="1"/>
  <c r="G202" i="7" s="1"/>
  <c r="F121" i="1"/>
  <c r="AF118" i="1"/>
  <c r="AE118" i="1"/>
  <c r="AD118" i="1"/>
  <c r="AC118" i="1"/>
  <c r="AB118" i="1"/>
  <c r="AA118" i="1"/>
  <c r="Z118" i="1"/>
  <c r="Y118" i="1"/>
  <c r="X118" i="1"/>
  <c r="W118" i="1"/>
  <c r="V118" i="1"/>
  <c r="U118" i="1"/>
  <c r="T118" i="1"/>
  <c r="S118" i="1"/>
  <c r="R118" i="1"/>
  <c r="Q118" i="1"/>
  <c r="P118" i="1"/>
  <c r="O118" i="1"/>
  <c r="N118" i="1"/>
  <c r="M118" i="1"/>
  <c r="L118" i="1"/>
  <c r="K118" i="1"/>
  <c r="J118" i="1"/>
  <c r="I118" i="1"/>
  <c r="H118" i="1"/>
  <c r="G118" i="1"/>
  <c r="F118" i="1"/>
  <c r="AF117" i="1"/>
  <c r="AE117" i="1"/>
  <c r="AD117" i="1"/>
  <c r="AC117" i="1"/>
  <c r="AB117" i="1"/>
  <c r="AA117" i="1"/>
  <c r="Z117" i="1"/>
  <c r="Y117" i="1"/>
  <c r="X117" i="1"/>
  <c r="W117" i="1"/>
  <c r="V117" i="1"/>
  <c r="U117" i="1"/>
  <c r="T117" i="1"/>
  <c r="S117" i="1"/>
  <c r="R117" i="1"/>
  <c r="Q117" i="1"/>
  <c r="P117" i="1"/>
  <c r="O117" i="1"/>
  <c r="N117" i="1"/>
  <c r="M117" i="1"/>
  <c r="L117" i="1"/>
  <c r="K117" i="1"/>
  <c r="J117" i="1"/>
  <c r="I117" i="1"/>
  <c r="H117" i="1"/>
  <c r="G117" i="1"/>
  <c r="F117" i="1"/>
  <c r="AF116" i="1"/>
  <c r="AE116" i="1"/>
  <c r="AD116" i="1"/>
  <c r="AC116" i="1"/>
  <c r="AB116" i="1"/>
  <c r="AB210" i="8" s="1"/>
  <c r="AA116" i="1"/>
  <c r="Z116" i="1"/>
  <c r="Y116" i="1"/>
  <c r="X116" i="1"/>
  <c r="W116" i="1"/>
  <c r="V116" i="1"/>
  <c r="U116" i="1"/>
  <c r="T116" i="1"/>
  <c r="S116" i="1"/>
  <c r="R116" i="1"/>
  <c r="Q116" i="1"/>
  <c r="P116" i="1"/>
  <c r="O116" i="1"/>
  <c r="N116" i="1"/>
  <c r="M116" i="1"/>
  <c r="L116" i="1"/>
  <c r="K116" i="1"/>
  <c r="J116" i="1"/>
  <c r="I116" i="1"/>
  <c r="H116" i="1"/>
  <c r="G116" i="1"/>
  <c r="F116" i="1"/>
  <c r="AF115" i="1"/>
  <c r="AE115" i="1"/>
  <c r="AD115" i="1"/>
  <c r="AC115" i="1"/>
  <c r="AB115" i="1"/>
  <c r="AB47" i="7" s="1"/>
  <c r="AA115" i="1"/>
  <c r="Z115" i="1"/>
  <c r="Y115" i="1"/>
  <c r="X115" i="1"/>
  <c r="W115" i="1"/>
  <c r="V115" i="1"/>
  <c r="U115" i="1"/>
  <c r="T115" i="1"/>
  <c r="S115" i="1"/>
  <c r="R115" i="1"/>
  <c r="Q115" i="1"/>
  <c r="P115" i="1"/>
  <c r="O115" i="1"/>
  <c r="N115" i="1"/>
  <c r="M115" i="1"/>
  <c r="L115" i="1"/>
  <c r="K115" i="1"/>
  <c r="K47" i="7" s="1"/>
  <c r="J115" i="1"/>
  <c r="J47" i="7" s="1"/>
  <c r="I115" i="1"/>
  <c r="I47" i="7" s="1"/>
  <c r="H115" i="1"/>
  <c r="H47" i="7" s="1"/>
  <c r="G115" i="1"/>
  <c r="G47" i="7" s="1"/>
  <c r="F115" i="1"/>
  <c r="AF114" i="1"/>
  <c r="AE114" i="1"/>
  <c r="AD114" i="1"/>
  <c r="AC114" i="1"/>
  <c r="AB114" i="1"/>
  <c r="AB10" i="7" s="1"/>
  <c r="AC10" i="7" s="1"/>
  <c r="AA114" i="1"/>
  <c r="Z114" i="1"/>
  <c r="Y114" i="1"/>
  <c r="X114" i="1"/>
  <c r="W114" i="1"/>
  <c r="V114" i="1"/>
  <c r="U114" i="1"/>
  <c r="T114" i="1"/>
  <c r="S114" i="1"/>
  <c r="R114" i="1"/>
  <c r="Q114" i="1"/>
  <c r="P114" i="1"/>
  <c r="O114" i="1"/>
  <c r="N114" i="1"/>
  <c r="M114" i="1"/>
  <c r="L114" i="1"/>
  <c r="K114" i="1"/>
  <c r="K10" i="7" s="1"/>
  <c r="J114" i="1"/>
  <c r="J10" i="7" s="1"/>
  <c r="I114" i="1"/>
  <c r="I10" i="7" s="1"/>
  <c r="H114" i="1"/>
  <c r="H10" i="7" s="1"/>
  <c r="G114" i="1"/>
  <c r="G10" i="7" s="1"/>
  <c r="F114" i="1"/>
  <c r="AF113" i="1"/>
  <c r="AE113" i="1"/>
  <c r="AD113" i="1"/>
  <c r="AC113" i="1"/>
  <c r="AB113" i="1"/>
  <c r="AB78" i="7" s="1"/>
  <c r="AA113" i="1"/>
  <c r="Z113" i="1"/>
  <c r="Y113" i="1"/>
  <c r="X113" i="1"/>
  <c r="W113" i="1"/>
  <c r="V113" i="1"/>
  <c r="U113" i="1"/>
  <c r="T113" i="1"/>
  <c r="S113" i="1"/>
  <c r="R113" i="1"/>
  <c r="Q113" i="1"/>
  <c r="P113" i="1"/>
  <c r="O113" i="1"/>
  <c r="N113" i="1"/>
  <c r="M113" i="1"/>
  <c r="L113" i="1"/>
  <c r="K113" i="1"/>
  <c r="K78" i="7" s="1"/>
  <c r="J113" i="1"/>
  <c r="J78" i="7" s="1"/>
  <c r="I113" i="1"/>
  <c r="I78" i="7" s="1"/>
  <c r="H113" i="1"/>
  <c r="H78" i="7" s="1"/>
  <c r="G113" i="1"/>
  <c r="G78" i="7" s="1"/>
  <c r="F113" i="1"/>
  <c r="AF178" i="1"/>
  <c r="AE178" i="1"/>
  <c r="AD178" i="1"/>
  <c r="AC178" i="1"/>
  <c r="AB178" i="1"/>
  <c r="AA178" i="1"/>
  <c r="Z178" i="1"/>
  <c r="Y178" i="1"/>
  <c r="X178" i="1"/>
  <c r="W178" i="1"/>
  <c r="V178" i="1"/>
  <c r="U178" i="1"/>
  <c r="T178" i="1"/>
  <c r="S178" i="1"/>
  <c r="R178" i="1"/>
  <c r="Q178" i="1"/>
  <c r="P178" i="1"/>
  <c r="O178" i="1"/>
  <c r="N178" i="1"/>
  <c r="M178" i="1"/>
  <c r="L178" i="1"/>
  <c r="K178" i="1"/>
  <c r="K165" i="7" s="1"/>
  <c r="J178" i="1"/>
  <c r="J165" i="7" s="1"/>
  <c r="I178" i="1"/>
  <c r="I165" i="7" s="1"/>
  <c r="H178" i="1"/>
  <c r="H165" i="7" s="1"/>
  <c r="G178" i="1"/>
  <c r="G165" i="7" s="1"/>
  <c r="F178" i="1"/>
  <c r="AF177" i="1"/>
  <c r="AE177" i="1"/>
  <c r="AD177" i="1"/>
  <c r="AC177" i="1"/>
  <c r="AB177" i="1"/>
  <c r="AB631" i="7" s="1"/>
  <c r="AA177" i="1"/>
  <c r="AA631" i="7" s="1"/>
  <c r="Z177" i="1"/>
  <c r="Z631" i="7" s="1"/>
  <c r="Y177" i="1"/>
  <c r="Y631" i="7" s="1"/>
  <c r="X177" i="1"/>
  <c r="X631" i="7" s="1"/>
  <c r="W177" i="1"/>
  <c r="V177" i="1"/>
  <c r="U177" i="1"/>
  <c r="T177" i="1"/>
  <c r="S177" i="1"/>
  <c r="R177" i="1"/>
  <c r="Q177" i="1"/>
  <c r="P177" i="1"/>
  <c r="O177" i="1"/>
  <c r="N177" i="1"/>
  <c r="M177" i="1"/>
  <c r="L177" i="1"/>
  <c r="K177" i="1"/>
  <c r="K631" i="7" s="1"/>
  <c r="J177" i="1"/>
  <c r="J631" i="7" s="1"/>
  <c r="I177" i="1"/>
  <c r="I631" i="7" s="1"/>
  <c r="H177" i="1"/>
  <c r="H631" i="7" s="1"/>
  <c r="G177" i="1"/>
  <c r="G631" i="7" s="1"/>
  <c r="F177" i="1"/>
  <c r="AF176" i="1"/>
  <c r="AE176" i="1"/>
  <c r="AD176" i="1"/>
  <c r="AC176" i="1"/>
  <c r="AB176" i="1"/>
  <c r="AB664" i="7" s="1"/>
  <c r="AA176" i="1"/>
  <c r="Z176" i="1"/>
  <c r="Y176" i="1"/>
  <c r="X176" i="1"/>
  <c r="W176" i="1"/>
  <c r="V176" i="1"/>
  <c r="U176" i="1"/>
  <c r="T176" i="1"/>
  <c r="S176" i="1"/>
  <c r="R176" i="1"/>
  <c r="Q176" i="1"/>
  <c r="P176" i="1"/>
  <c r="O176" i="1"/>
  <c r="N176" i="1"/>
  <c r="M176" i="1"/>
  <c r="L176" i="1"/>
  <c r="K176" i="1"/>
  <c r="K664" i="7" s="1"/>
  <c r="J176" i="1"/>
  <c r="J664" i="7" s="1"/>
  <c r="I176" i="1"/>
  <c r="I664" i="7" s="1"/>
  <c r="H176" i="1"/>
  <c r="H664" i="7" s="1"/>
  <c r="G176" i="1"/>
  <c r="G664" i="7" s="1"/>
  <c r="F176" i="1"/>
  <c r="AF175" i="1"/>
  <c r="AE175" i="1"/>
  <c r="AD175" i="1"/>
  <c r="AC175" i="1"/>
  <c r="AB175" i="1"/>
  <c r="AB605" i="7" s="1"/>
  <c r="AA175" i="1"/>
  <c r="Z175" i="1"/>
  <c r="Y175" i="1"/>
  <c r="X175" i="1"/>
  <c r="W175" i="1"/>
  <c r="V175" i="1"/>
  <c r="U175" i="1"/>
  <c r="T175" i="1"/>
  <c r="S175" i="1"/>
  <c r="R175" i="1"/>
  <c r="Q175" i="1"/>
  <c r="P175" i="1"/>
  <c r="O175" i="1"/>
  <c r="N175" i="1"/>
  <c r="M175" i="1"/>
  <c r="L175" i="1"/>
  <c r="K175" i="1"/>
  <c r="K605" i="7" s="1"/>
  <c r="J175" i="1"/>
  <c r="J605" i="7" s="1"/>
  <c r="I175" i="1"/>
  <c r="I605" i="7" s="1"/>
  <c r="H175" i="1"/>
  <c r="H605" i="7" s="1"/>
  <c r="G175" i="1"/>
  <c r="G605" i="7" s="1"/>
  <c r="F175" i="1"/>
  <c r="AF174" i="1"/>
  <c r="AE174" i="1"/>
  <c r="AD174" i="1"/>
  <c r="AC174" i="1"/>
  <c r="AB174" i="1"/>
  <c r="AB801" i="7" s="1"/>
  <c r="AA174" i="1"/>
  <c r="Z174" i="1"/>
  <c r="Y174" i="1"/>
  <c r="X174" i="1"/>
  <c r="W174" i="1"/>
  <c r="V174" i="1"/>
  <c r="U174" i="1"/>
  <c r="T174" i="1"/>
  <c r="S174" i="1"/>
  <c r="R174" i="1"/>
  <c r="Q174" i="1"/>
  <c r="P174" i="1"/>
  <c r="O174" i="1"/>
  <c r="N174" i="1"/>
  <c r="M174" i="1"/>
  <c r="L174" i="1"/>
  <c r="K174" i="1"/>
  <c r="K801" i="7" s="1"/>
  <c r="J174" i="1"/>
  <c r="J801" i="7" s="1"/>
  <c r="I174" i="1"/>
  <c r="I801" i="7" s="1"/>
  <c r="H174" i="1"/>
  <c r="H801" i="7" s="1"/>
  <c r="G174" i="1"/>
  <c r="G801" i="7" s="1"/>
  <c r="AF173" i="1"/>
  <c r="AE173" i="1"/>
  <c r="AD173" i="1"/>
  <c r="AC173" i="1"/>
  <c r="AB173" i="1"/>
  <c r="AB521" i="7" s="1"/>
  <c r="AA173" i="1"/>
  <c r="Z173" i="1"/>
  <c r="Y173" i="1"/>
  <c r="X173" i="1"/>
  <c r="W173" i="1"/>
  <c r="V173" i="1"/>
  <c r="U173" i="1"/>
  <c r="T173" i="1"/>
  <c r="S173" i="1"/>
  <c r="R173" i="1"/>
  <c r="Q173" i="1"/>
  <c r="P173" i="1"/>
  <c r="O173" i="1"/>
  <c r="N173" i="1"/>
  <c r="M173" i="1"/>
  <c r="L173" i="1"/>
  <c r="K173" i="1"/>
  <c r="K521" i="7" s="1"/>
  <c r="J173" i="1"/>
  <c r="J521" i="7" s="1"/>
  <c r="I173" i="1"/>
  <c r="I521" i="7" s="1"/>
  <c r="H173" i="1"/>
  <c r="H521" i="7" s="1"/>
  <c r="G173" i="1"/>
  <c r="G521" i="7" s="1"/>
  <c r="F173" i="1"/>
  <c r="AF172" i="1"/>
  <c r="AE172" i="1"/>
  <c r="AD172" i="1"/>
  <c r="AC172" i="1"/>
  <c r="AB172" i="1"/>
  <c r="AB543" i="7" s="1"/>
  <c r="AA172" i="1"/>
  <c r="Z172" i="1"/>
  <c r="Y172" i="1"/>
  <c r="X172" i="1"/>
  <c r="W172" i="1"/>
  <c r="V172" i="1"/>
  <c r="U172" i="1"/>
  <c r="T172" i="1"/>
  <c r="S172" i="1"/>
  <c r="R172" i="1"/>
  <c r="Q172" i="1"/>
  <c r="P172" i="1"/>
  <c r="O172" i="1"/>
  <c r="N172" i="1"/>
  <c r="M172" i="1"/>
  <c r="L172" i="1"/>
  <c r="K172" i="1"/>
  <c r="K543" i="7" s="1"/>
  <c r="J172" i="1"/>
  <c r="J543" i="7" s="1"/>
  <c r="I172" i="1"/>
  <c r="I543" i="7" s="1"/>
  <c r="H172" i="1"/>
  <c r="H543" i="7" s="1"/>
  <c r="G172" i="1"/>
  <c r="G543" i="7" s="1"/>
  <c r="F172" i="1"/>
  <c r="AF171" i="1"/>
  <c r="AE171" i="1"/>
  <c r="AD171" i="1"/>
  <c r="AC171" i="1"/>
  <c r="AB171" i="1"/>
  <c r="AB229" i="12" s="1"/>
  <c r="AA171" i="1"/>
  <c r="AA229" i="12" s="1"/>
  <c r="DF71" i="11" s="1"/>
  <c r="Z171" i="1"/>
  <c r="Y171" i="1"/>
  <c r="Y229" i="12" s="1"/>
  <c r="X171" i="1"/>
  <c r="W171" i="1"/>
  <c r="V171" i="1"/>
  <c r="U171" i="1"/>
  <c r="T171" i="1"/>
  <c r="S171" i="1"/>
  <c r="R171" i="1"/>
  <c r="Q171" i="1"/>
  <c r="P171" i="1"/>
  <c r="O171" i="1"/>
  <c r="N171" i="1"/>
  <c r="M171" i="1"/>
  <c r="L171" i="1"/>
  <c r="K171" i="1"/>
  <c r="J171" i="1"/>
  <c r="I171" i="1"/>
  <c r="H171" i="1"/>
  <c r="G171" i="1"/>
  <c r="F171" i="1"/>
  <c r="AF170" i="1"/>
  <c r="AE170" i="1"/>
  <c r="AD170" i="1"/>
  <c r="AC170" i="1"/>
  <c r="AB170" i="1"/>
  <c r="AB800" i="7" s="1"/>
  <c r="AA170" i="1"/>
  <c r="Z170" i="1"/>
  <c r="Y170" i="1"/>
  <c r="X170" i="1"/>
  <c r="W170" i="1"/>
  <c r="V170" i="1"/>
  <c r="U170" i="1"/>
  <c r="T170" i="1"/>
  <c r="S170" i="1"/>
  <c r="R170" i="1"/>
  <c r="Q170" i="1"/>
  <c r="P170" i="1"/>
  <c r="O170" i="1"/>
  <c r="N170" i="1"/>
  <c r="M170" i="1"/>
  <c r="L170" i="1"/>
  <c r="K170" i="1"/>
  <c r="K800" i="7" s="1"/>
  <c r="J170" i="1"/>
  <c r="J800" i="7" s="1"/>
  <c r="I170" i="1"/>
  <c r="I800" i="7" s="1"/>
  <c r="H170" i="1"/>
  <c r="H800" i="7" s="1"/>
  <c r="G170" i="1"/>
  <c r="G800" i="7" s="1"/>
  <c r="AF169" i="1"/>
  <c r="AE169" i="1"/>
  <c r="AD169" i="1"/>
  <c r="AC169" i="1"/>
  <c r="AB169" i="1"/>
  <c r="AA169" i="1"/>
  <c r="Z169" i="1"/>
  <c r="Y169" i="1"/>
  <c r="X169" i="1"/>
  <c r="W169" i="1"/>
  <c r="V169" i="1"/>
  <c r="U169" i="1"/>
  <c r="T169" i="1"/>
  <c r="S169" i="1"/>
  <c r="R169" i="1"/>
  <c r="Q169" i="1"/>
  <c r="P169" i="1"/>
  <c r="O169" i="1"/>
  <c r="N169" i="1"/>
  <c r="M169" i="1"/>
  <c r="L169" i="1"/>
  <c r="K169" i="1"/>
  <c r="K483" i="7" s="1"/>
  <c r="J169" i="1"/>
  <c r="J483" i="7" s="1"/>
  <c r="I169" i="1"/>
  <c r="I483" i="7" s="1"/>
  <c r="H169" i="1"/>
  <c r="H483" i="7" s="1"/>
  <c r="G169" i="1"/>
  <c r="G483" i="7" s="1"/>
  <c r="F169" i="1"/>
  <c r="AF168" i="1"/>
  <c r="AE168" i="1"/>
  <c r="AD168" i="1"/>
  <c r="AC168" i="1"/>
  <c r="AB168" i="1"/>
  <c r="AB486" i="7" s="1"/>
  <c r="AA168" i="1"/>
  <c r="Z168" i="1"/>
  <c r="Y168" i="1"/>
  <c r="X168" i="1"/>
  <c r="W168" i="1"/>
  <c r="V168" i="1"/>
  <c r="U168" i="1"/>
  <c r="T168" i="1"/>
  <c r="S168" i="1"/>
  <c r="R168" i="1"/>
  <c r="Q168" i="1"/>
  <c r="P168" i="1"/>
  <c r="O168" i="1"/>
  <c r="N168" i="1"/>
  <c r="M168" i="1"/>
  <c r="L168" i="1"/>
  <c r="K168" i="1"/>
  <c r="K486" i="7" s="1"/>
  <c r="J168" i="1"/>
  <c r="J486" i="7" s="1"/>
  <c r="I168" i="1"/>
  <c r="I486" i="7" s="1"/>
  <c r="H168" i="1"/>
  <c r="H486" i="7" s="1"/>
  <c r="G168" i="1"/>
  <c r="G486" i="7" s="1"/>
  <c r="F168" i="1"/>
  <c r="AF167" i="1"/>
  <c r="AE167" i="1"/>
  <c r="AD167" i="1"/>
  <c r="AC167" i="1"/>
  <c r="AB167" i="1"/>
  <c r="AA167" i="1"/>
  <c r="Z167" i="1"/>
  <c r="Y167" i="1"/>
  <c r="X167" i="1"/>
  <c r="W167" i="1"/>
  <c r="V167" i="1"/>
  <c r="U167" i="1"/>
  <c r="T167" i="1"/>
  <c r="S167" i="1"/>
  <c r="R167" i="1"/>
  <c r="Q167" i="1"/>
  <c r="P167" i="1"/>
  <c r="O167" i="1"/>
  <c r="N167" i="1"/>
  <c r="M167" i="1"/>
  <c r="L167" i="1"/>
  <c r="K167" i="1"/>
  <c r="K482" i="7" s="1"/>
  <c r="J167" i="1"/>
  <c r="J482" i="7" s="1"/>
  <c r="I167" i="1"/>
  <c r="I482" i="7" s="1"/>
  <c r="H167" i="1"/>
  <c r="H482" i="7" s="1"/>
  <c r="G167" i="1"/>
  <c r="G482" i="7" s="1"/>
  <c r="F167" i="1"/>
  <c r="AF166" i="1"/>
  <c r="AE166" i="1"/>
  <c r="AD166" i="1"/>
  <c r="AC166" i="1"/>
  <c r="AB166" i="1"/>
  <c r="AA166" i="1"/>
  <c r="Z166" i="1"/>
  <c r="Y166" i="1"/>
  <c r="X166" i="1"/>
  <c r="W166" i="1"/>
  <c r="V166" i="1"/>
  <c r="U166" i="1"/>
  <c r="T166" i="1"/>
  <c r="S166" i="1"/>
  <c r="R166" i="1"/>
  <c r="Q166" i="1"/>
  <c r="P166" i="1"/>
  <c r="O166" i="1"/>
  <c r="N166" i="1"/>
  <c r="M166" i="1"/>
  <c r="L166" i="1"/>
  <c r="K166" i="1"/>
  <c r="K485" i="7" s="1"/>
  <c r="J166" i="1"/>
  <c r="J485" i="7" s="1"/>
  <c r="I166" i="1"/>
  <c r="I485" i="7" s="1"/>
  <c r="H166" i="1"/>
  <c r="H485" i="7" s="1"/>
  <c r="G166" i="1"/>
  <c r="G485" i="7" s="1"/>
  <c r="F166" i="1"/>
  <c r="AF165" i="1"/>
  <c r="AE165" i="1"/>
  <c r="AD165" i="1"/>
  <c r="AC165" i="1"/>
  <c r="AB165" i="1"/>
  <c r="AA165" i="1"/>
  <c r="Z165" i="1"/>
  <c r="Y165" i="1"/>
  <c r="X165" i="1"/>
  <c r="W165" i="1"/>
  <c r="V165" i="1"/>
  <c r="U165" i="1"/>
  <c r="T165" i="1"/>
  <c r="S165" i="1"/>
  <c r="R165" i="1"/>
  <c r="Q165" i="1"/>
  <c r="P165" i="1"/>
  <c r="O165" i="1"/>
  <c r="N165" i="1"/>
  <c r="M165" i="1"/>
  <c r="L165" i="1"/>
  <c r="K165" i="1"/>
  <c r="K398" i="7" s="1"/>
  <c r="J165" i="1"/>
  <c r="J398" i="7" s="1"/>
  <c r="I165" i="1"/>
  <c r="I398" i="7" s="1"/>
  <c r="H165" i="1"/>
  <c r="H398" i="7" s="1"/>
  <c r="G165" i="1"/>
  <c r="G398" i="7" s="1"/>
  <c r="F165" i="1"/>
  <c r="AF163" i="1"/>
  <c r="AE163" i="1"/>
  <c r="AD163" i="1"/>
  <c r="AC163" i="1"/>
  <c r="AB163" i="1"/>
  <c r="AA163" i="1"/>
  <c r="Z163" i="1"/>
  <c r="Y163" i="1"/>
  <c r="X163" i="1"/>
  <c r="W163" i="1"/>
  <c r="V163" i="1"/>
  <c r="U163" i="1"/>
  <c r="T163" i="1"/>
  <c r="S163" i="1"/>
  <c r="R163" i="1"/>
  <c r="Q163" i="1"/>
  <c r="P163" i="1"/>
  <c r="O163" i="1"/>
  <c r="N163" i="1"/>
  <c r="M163" i="1"/>
  <c r="L163" i="1"/>
  <c r="K163" i="1"/>
  <c r="K327" i="7" s="1"/>
  <c r="J163" i="1"/>
  <c r="J327" i="7" s="1"/>
  <c r="I163" i="1"/>
  <c r="I327" i="7" s="1"/>
  <c r="H163" i="1"/>
  <c r="H327" i="7" s="1"/>
  <c r="G163" i="1"/>
  <c r="G327" i="7" s="1"/>
  <c r="F163" i="1"/>
  <c r="AF162" i="1"/>
  <c r="AE162" i="1"/>
  <c r="AD162" i="1"/>
  <c r="AC162" i="1"/>
  <c r="AB162" i="1"/>
  <c r="AA162" i="1"/>
  <c r="Z162" i="1"/>
  <c r="Y162" i="1"/>
  <c r="X162" i="1"/>
  <c r="W162" i="1"/>
  <c r="V162" i="1"/>
  <c r="U162" i="1"/>
  <c r="T162" i="1"/>
  <c r="S162" i="1"/>
  <c r="R162" i="1"/>
  <c r="Q162" i="1"/>
  <c r="P162" i="1"/>
  <c r="O162" i="1"/>
  <c r="N162" i="1"/>
  <c r="M162" i="1"/>
  <c r="L162" i="1"/>
  <c r="K162" i="1"/>
  <c r="K420" i="7" s="1"/>
  <c r="J162" i="1"/>
  <c r="J420" i="7" s="1"/>
  <c r="I162" i="1"/>
  <c r="I420" i="7" s="1"/>
  <c r="H162" i="1"/>
  <c r="H420" i="7" s="1"/>
  <c r="G162" i="1"/>
  <c r="G420" i="7" s="1"/>
  <c r="F162" i="1"/>
  <c r="AF161" i="1"/>
  <c r="AE161" i="1"/>
  <c r="AD161" i="1"/>
  <c r="AC161" i="1"/>
  <c r="AB161" i="1"/>
  <c r="AA161" i="1"/>
  <c r="Z161" i="1"/>
  <c r="Y161" i="1"/>
  <c r="X161" i="1"/>
  <c r="W161" i="1"/>
  <c r="V161" i="1"/>
  <c r="U161" i="1"/>
  <c r="T161" i="1"/>
  <c r="S161" i="1"/>
  <c r="R161" i="1"/>
  <c r="Q161" i="1"/>
  <c r="P161" i="1"/>
  <c r="O161" i="1"/>
  <c r="N161" i="1"/>
  <c r="M161" i="1"/>
  <c r="L161" i="1"/>
  <c r="K161" i="1"/>
  <c r="K328" i="7" s="1"/>
  <c r="J161" i="1"/>
  <c r="J328" i="7" s="1"/>
  <c r="I161" i="1"/>
  <c r="I328" i="7" s="1"/>
  <c r="H161" i="1"/>
  <c r="H328" i="7" s="1"/>
  <c r="G161" i="1"/>
  <c r="G328" i="7" s="1"/>
  <c r="F161" i="1"/>
  <c r="AF160" i="1"/>
  <c r="AE160" i="1"/>
  <c r="AD160" i="1"/>
  <c r="AC160" i="1"/>
  <c r="AB160" i="1"/>
  <c r="AB300" i="7" s="1"/>
  <c r="AC300" i="7" s="1"/>
  <c r="AA160" i="1"/>
  <c r="Z160" i="1"/>
  <c r="Y160" i="1"/>
  <c r="X160" i="1"/>
  <c r="W160" i="1"/>
  <c r="V160" i="1"/>
  <c r="U160" i="1"/>
  <c r="T160" i="1"/>
  <c r="S160" i="1"/>
  <c r="R160" i="1"/>
  <c r="Q160" i="1"/>
  <c r="P160" i="1"/>
  <c r="O160" i="1"/>
  <c r="N160" i="1"/>
  <c r="M160" i="1"/>
  <c r="L160" i="1"/>
  <c r="K160" i="1"/>
  <c r="K300" i="7" s="1"/>
  <c r="J160" i="1"/>
  <c r="J300" i="7" s="1"/>
  <c r="I160" i="1"/>
  <c r="I300" i="7" s="1"/>
  <c r="H160" i="1"/>
  <c r="H300" i="7" s="1"/>
  <c r="G160" i="1"/>
  <c r="G300" i="7" s="1"/>
  <c r="F160" i="1"/>
  <c r="AF159" i="1"/>
  <c r="AE159" i="1"/>
  <c r="AD159" i="1"/>
  <c r="AC159" i="1"/>
  <c r="AB159" i="1"/>
  <c r="AA159" i="1"/>
  <c r="Z159" i="1"/>
  <c r="Y159" i="1"/>
  <c r="X159" i="1"/>
  <c r="W159" i="1"/>
  <c r="V159" i="1"/>
  <c r="U159" i="1"/>
  <c r="T159" i="1"/>
  <c r="S159" i="1"/>
  <c r="R159" i="1"/>
  <c r="Q159" i="1"/>
  <c r="P159" i="1"/>
  <c r="O159" i="1"/>
  <c r="N159" i="1"/>
  <c r="M159" i="1"/>
  <c r="L159" i="1"/>
  <c r="K159" i="1"/>
  <c r="K253" i="7" s="1"/>
  <c r="J159" i="1"/>
  <c r="J253" i="7" s="1"/>
  <c r="I159" i="1"/>
  <c r="I253" i="7" s="1"/>
  <c r="H159" i="1"/>
  <c r="H253" i="7" s="1"/>
  <c r="G159" i="1"/>
  <c r="G253" i="7" s="1"/>
  <c r="F159" i="1"/>
  <c r="AF158" i="1"/>
  <c r="AE158" i="1"/>
  <c r="AD158" i="1"/>
  <c r="AC158" i="1"/>
  <c r="AB158" i="1"/>
  <c r="AA158" i="1"/>
  <c r="Z158" i="1"/>
  <c r="Y158" i="1"/>
  <c r="X158" i="1"/>
  <c r="W158" i="1"/>
  <c r="V158" i="1"/>
  <c r="U158" i="1"/>
  <c r="T158" i="1"/>
  <c r="S158" i="1"/>
  <c r="R158" i="1"/>
  <c r="Q158" i="1"/>
  <c r="P158" i="1"/>
  <c r="O158" i="1"/>
  <c r="N158" i="1"/>
  <c r="M158" i="1"/>
  <c r="L158" i="1"/>
  <c r="K158" i="1"/>
  <c r="K254" i="7" s="1"/>
  <c r="J158" i="1"/>
  <c r="J254" i="7" s="1"/>
  <c r="I158" i="1"/>
  <c r="I254" i="7" s="1"/>
  <c r="H158" i="1"/>
  <c r="H254" i="7" s="1"/>
  <c r="G158" i="1"/>
  <c r="G254" i="7" s="1"/>
  <c r="F158" i="1"/>
  <c r="AF157" i="1"/>
  <c r="AE157" i="1"/>
  <c r="AD157" i="1"/>
  <c r="AC157" i="1"/>
  <c r="AB157" i="1"/>
  <c r="AA157" i="1"/>
  <c r="Z157" i="1"/>
  <c r="Y157" i="1"/>
  <c r="X157" i="1"/>
  <c r="W157" i="1"/>
  <c r="V157" i="1"/>
  <c r="U157" i="1"/>
  <c r="T157" i="1"/>
  <c r="S157" i="1"/>
  <c r="R157" i="1"/>
  <c r="Q157" i="1"/>
  <c r="P157" i="1"/>
  <c r="O157" i="1"/>
  <c r="N157" i="1"/>
  <c r="M157" i="1"/>
  <c r="L157" i="1"/>
  <c r="K157" i="1"/>
  <c r="K203" i="7" s="1"/>
  <c r="J157" i="1"/>
  <c r="J203" i="7" s="1"/>
  <c r="I157" i="1"/>
  <c r="I203" i="7" s="1"/>
  <c r="H157" i="1"/>
  <c r="H203" i="7" s="1"/>
  <c r="G157" i="1"/>
  <c r="G203" i="7" s="1"/>
  <c r="F157" i="1"/>
  <c r="AF156" i="1"/>
  <c r="AE156" i="1"/>
  <c r="AD156" i="1"/>
  <c r="AC156" i="1"/>
  <c r="AB156" i="1"/>
  <c r="AA156" i="1"/>
  <c r="Z156" i="1"/>
  <c r="Y156" i="1"/>
  <c r="X156" i="1"/>
  <c r="W156" i="1"/>
  <c r="V156" i="1"/>
  <c r="U156" i="1"/>
  <c r="T156" i="1"/>
  <c r="S156" i="1"/>
  <c r="R156" i="1"/>
  <c r="Q156" i="1"/>
  <c r="P156" i="1"/>
  <c r="O156" i="1"/>
  <c r="N156" i="1"/>
  <c r="M156" i="1"/>
  <c r="L156" i="1"/>
  <c r="K156" i="1"/>
  <c r="K205" i="7" s="1"/>
  <c r="J156" i="1"/>
  <c r="J205" i="7" s="1"/>
  <c r="I156" i="1"/>
  <c r="I205" i="7" s="1"/>
  <c r="H156" i="1"/>
  <c r="H205" i="7" s="1"/>
  <c r="G156" i="1"/>
  <c r="G205" i="7" s="1"/>
  <c r="F156" i="1"/>
  <c r="AF153" i="1"/>
  <c r="AE153" i="1"/>
  <c r="AD153" i="1"/>
  <c r="AC153" i="1"/>
  <c r="AB153" i="1"/>
  <c r="AA153" i="1"/>
  <c r="Z153" i="1"/>
  <c r="Y153" i="1"/>
  <c r="X153" i="1"/>
  <c r="W153" i="1"/>
  <c r="V153" i="1"/>
  <c r="U153" i="1"/>
  <c r="T153" i="1"/>
  <c r="S153" i="1"/>
  <c r="R153" i="1"/>
  <c r="Q153" i="1"/>
  <c r="P153" i="1"/>
  <c r="O153" i="1"/>
  <c r="N153" i="1"/>
  <c r="M153" i="1"/>
  <c r="L153" i="1"/>
  <c r="K153" i="1"/>
  <c r="K139" i="7" s="1"/>
  <c r="J153" i="1"/>
  <c r="J139" i="7" s="1"/>
  <c r="I153" i="1"/>
  <c r="I139" i="7" s="1"/>
  <c r="H153" i="1"/>
  <c r="H139" i="7" s="1"/>
  <c r="G153" i="1"/>
  <c r="G139" i="7" s="1"/>
  <c r="F153" i="1"/>
  <c r="AF152" i="1"/>
  <c r="AE152" i="1"/>
  <c r="AD152" i="1"/>
  <c r="AC152" i="1"/>
  <c r="AB152" i="1"/>
  <c r="AA152" i="1"/>
  <c r="Z152" i="1"/>
  <c r="Y152" i="1"/>
  <c r="X152" i="1"/>
  <c r="W152" i="1"/>
  <c r="V152" i="1"/>
  <c r="U152" i="1"/>
  <c r="T152" i="1"/>
  <c r="S152" i="1"/>
  <c r="R152" i="1"/>
  <c r="Q152" i="1"/>
  <c r="P152" i="1"/>
  <c r="O152" i="1"/>
  <c r="N152" i="1"/>
  <c r="M152" i="1"/>
  <c r="L152" i="1"/>
  <c r="K152" i="1"/>
  <c r="J152" i="1"/>
  <c r="I152" i="1"/>
  <c r="H152" i="1"/>
  <c r="G152" i="1"/>
  <c r="F152" i="1"/>
  <c r="AF151" i="1"/>
  <c r="AE151" i="1"/>
  <c r="AD151" i="1"/>
  <c r="AC151" i="1"/>
  <c r="AB151" i="1"/>
  <c r="AA151" i="1"/>
  <c r="Z151" i="1"/>
  <c r="Y151" i="1"/>
  <c r="X151" i="1"/>
  <c r="W151" i="1"/>
  <c r="V151" i="1"/>
  <c r="U151" i="1"/>
  <c r="T151" i="1"/>
  <c r="S151" i="1"/>
  <c r="R151" i="1"/>
  <c r="Q151" i="1"/>
  <c r="P151" i="1"/>
  <c r="O151" i="1"/>
  <c r="N151" i="1"/>
  <c r="M151" i="1"/>
  <c r="L151" i="1"/>
  <c r="K151" i="1"/>
  <c r="K137" i="7" s="1"/>
  <c r="J151" i="1"/>
  <c r="J137" i="7" s="1"/>
  <c r="I151" i="1"/>
  <c r="I137" i="7" s="1"/>
  <c r="H151" i="1"/>
  <c r="H137" i="7" s="1"/>
  <c r="G151" i="1"/>
  <c r="G137" i="7" s="1"/>
  <c r="F151" i="1"/>
  <c r="AF149" i="1"/>
  <c r="AE149" i="1"/>
  <c r="AD149" i="1"/>
  <c r="AC149" i="1"/>
  <c r="AB149" i="1"/>
  <c r="AB48" i="7" s="1"/>
  <c r="AA149" i="1"/>
  <c r="Z149" i="1"/>
  <c r="Y149" i="1"/>
  <c r="X149" i="1"/>
  <c r="W149" i="1"/>
  <c r="V149" i="1"/>
  <c r="U149" i="1"/>
  <c r="T149" i="1"/>
  <c r="S149" i="1"/>
  <c r="R149" i="1"/>
  <c r="Q149" i="1"/>
  <c r="P149" i="1"/>
  <c r="O149" i="1"/>
  <c r="N149" i="1"/>
  <c r="M149" i="1"/>
  <c r="L149" i="1"/>
  <c r="K149" i="1"/>
  <c r="K48" i="7" s="1"/>
  <c r="J149" i="1"/>
  <c r="J48" i="7" s="1"/>
  <c r="I149" i="1"/>
  <c r="I48" i="7" s="1"/>
  <c r="H149" i="1"/>
  <c r="H48" i="7" s="1"/>
  <c r="G149" i="1"/>
  <c r="G48" i="7" s="1"/>
  <c r="F149" i="1"/>
  <c r="AF148" i="1"/>
  <c r="AE148" i="1"/>
  <c r="AD148" i="1"/>
  <c r="AC148" i="1"/>
  <c r="AB148" i="1"/>
  <c r="AB11" i="7" s="1"/>
  <c r="AC11" i="7" s="1"/>
  <c r="AA148" i="1"/>
  <c r="Z148" i="1"/>
  <c r="Y148" i="1"/>
  <c r="X148" i="1"/>
  <c r="W148" i="1"/>
  <c r="V148" i="1"/>
  <c r="U148" i="1"/>
  <c r="T148" i="1"/>
  <c r="S148" i="1"/>
  <c r="R148" i="1"/>
  <c r="Q148" i="1"/>
  <c r="P148" i="1"/>
  <c r="O148" i="1"/>
  <c r="N148" i="1"/>
  <c r="M148" i="1"/>
  <c r="L148" i="1"/>
  <c r="K148" i="1"/>
  <c r="K11" i="7" s="1"/>
  <c r="J148" i="1"/>
  <c r="J11" i="7" s="1"/>
  <c r="I148" i="1"/>
  <c r="I11" i="7" s="1"/>
  <c r="H148" i="1"/>
  <c r="H11" i="7" s="1"/>
  <c r="G148" i="1"/>
  <c r="G11" i="7" s="1"/>
  <c r="F148" i="1"/>
  <c r="AF147" i="1"/>
  <c r="AE147" i="1"/>
  <c r="AD147" i="1"/>
  <c r="AC147" i="1"/>
  <c r="AB147" i="1"/>
  <c r="AB50" i="7" s="1"/>
  <c r="AA147" i="1"/>
  <c r="Z147" i="1"/>
  <c r="Y147" i="1"/>
  <c r="X147" i="1"/>
  <c r="W147" i="1"/>
  <c r="V147" i="1"/>
  <c r="U147" i="1"/>
  <c r="T147" i="1"/>
  <c r="S147" i="1"/>
  <c r="R147" i="1"/>
  <c r="Q147" i="1"/>
  <c r="P147" i="1"/>
  <c r="O147" i="1"/>
  <c r="N147" i="1"/>
  <c r="M147" i="1"/>
  <c r="L147" i="1"/>
  <c r="K147" i="1"/>
  <c r="K50" i="7" s="1"/>
  <c r="J147" i="1"/>
  <c r="J50" i="7" s="1"/>
  <c r="I147" i="1"/>
  <c r="I50" i="7" s="1"/>
  <c r="H147" i="1"/>
  <c r="H50" i="7" s="1"/>
  <c r="G147" i="1"/>
  <c r="G50" i="7" s="1"/>
  <c r="F147" i="1"/>
  <c r="AF146" i="1"/>
  <c r="AE146" i="1"/>
  <c r="AD146" i="1"/>
  <c r="AC146" i="1"/>
  <c r="AB146" i="1"/>
  <c r="AB13" i="7" s="1"/>
  <c r="AA146" i="1"/>
  <c r="Z146" i="1"/>
  <c r="Y146" i="1"/>
  <c r="X146" i="1"/>
  <c r="W146" i="1"/>
  <c r="V146" i="1"/>
  <c r="U146" i="1"/>
  <c r="T146" i="1"/>
  <c r="S146" i="1"/>
  <c r="R146" i="1"/>
  <c r="Q146" i="1"/>
  <c r="P146" i="1"/>
  <c r="O146" i="1"/>
  <c r="N146" i="1"/>
  <c r="M146" i="1"/>
  <c r="L146" i="1"/>
  <c r="K146" i="1"/>
  <c r="K13" i="7" s="1"/>
  <c r="J146" i="1"/>
  <c r="J13" i="7" s="1"/>
  <c r="I146" i="1"/>
  <c r="I13" i="7" s="1"/>
  <c r="H146" i="1"/>
  <c r="H13" i="7" s="1"/>
  <c r="G146" i="1"/>
  <c r="G13" i="7" s="1"/>
  <c r="F146" i="1"/>
  <c r="AF145" i="1"/>
  <c r="AE145" i="1"/>
  <c r="AD145" i="1"/>
  <c r="AC145" i="1"/>
  <c r="AB145" i="1"/>
  <c r="AA145" i="1"/>
  <c r="Z145" i="1"/>
  <c r="Y145" i="1"/>
  <c r="X145" i="1"/>
  <c r="W145" i="1"/>
  <c r="V145" i="1"/>
  <c r="U145" i="1"/>
  <c r="T145" i="1"/>
  <c r="S145" i="1"/>
  <c r="R145" i="1"/>
  <c r="Q145" i="1"/>
  <c r="P145" i="1"/>
  <c r="O145" i="1"/>
  <c r="N145" i="1"/>
  <c r="M145" i="1"/>
  <c r="L145" i="1"/>
  <c r="K145" i="1"/>
  <c r="J145" i="1"/>
  <c r="I145" i="1"/>
  <c r="H145" i="1"/>
  <c r="G145" i="1"/>
  <c r="F145" i="1"/>
  <c r="AF144" i="1"/>
  <c r="AE144" i="1"/>
  <c r="AD144" i="1"/>
  <c r="AC144" i="1"/>
  <c r="AB144" i="1"/>
  <c r="AA144" i="1"/>
  <c r="Z144" i="1"/>
  <c r="Y144" i="1"/>
  <c r="X144" i="1"/>
  <c r="W144" i="1"/>
  <c r="V144" i="1"/>
  <c r="U144" i="1"/>
  <c r="T144" i="1"/>
  <c r="S144" i="1"/>
  <c r="R144" i="1"/>
  <c r="Q144" i="1"/>
  <c r="P144" i="1"/>
  <c r="O144" i="1"/>
  <c r="N144" i="1"/>
  <c r="M144" i="1"/>
  <c r="L144" i="1"/>
  <c r="K144" i="1"/>
  <c r="K422" i="7" s="1"/>
  <c r="J144" i="1"/>
  <c r="J422" i="7" s="1"/>
  <c r="I144" i="1"/>
  <c r="I422" i="7" s="1"/>
  <c r="H144" i="1"/>
  <c r="H422" i="7" s="1"/>
  <c r="G144" i="1"/>
  <c r="G422" i="7" s="1"/>
  <c r="F144" i="1"/>
  <c r="AF143" i="1"/>
  <c r="AE143" i="1"/>
  <c r="AD143" i="1"/>
  <c r="AC143" i="1"/>
  <c r="AB143" i="1"/>
  <c r="AB83" i="7" s="1"/>
  <c r="AA143" i="1"/>
  <c r="Z143" i="1"/>
  <c r="Y143" i="1"/>
  <c r="X143" i="1"/>
  <c r="W143" i="1"/>
  <c r="V143" i="1"/>
  <c r="U143" i="1"/>
  <c r="T143" i="1"/>
  <c r="S143" i="1"/>
  <c r="R143" i="1"/>
  <c r="Q143" i="1"/>
  <c r="P143" i="1"/>
  <c r="O143" i="1"/>
  <c r="N143" i="1"/>
  <c r="M143" i="1"/>
  <c r="L143" i="1"/>
  <c r="K143" i="1"/>
  <c r="K83" i="7" s="1"/>
  <c r="J143" i="1"/>
  <c r="J83" i="7" s="1"/>
  <c r="I143" i="1"/>
  <c r="I83" i="7" s="1"/>
  <c r="H143" i="1"/>
  <c r="H83" i="7" s="1"/>
  <c r="G143" i="1"/>
  <c r="G83" i="7" s="1"/>
  <c r="F143" i="1"/>
  <c r="AF142" i="1"/>
  <c r="AE142" i="1"/>
  <c r="AD142" i="1"/>
  <c r="AC142" i="1"/>
  <c r="AB142" i="1"/>
  <c r="AA142" i="1"/>
  <c r="Z142" i="1"/>
  <c r="Y142" i="1"/>
  <c r="X142" i="1"/>
  <c r="W142" i="1"/>
  <c r="V142" i="1"/>
  <c r="U142" i="1"/>
  <c r="T142" i="1"/>
  <c r="S142" i="1"/>
  <c r="R142" i="1"/>
  <c r="Q142" i="1"/>
  <c r="P142" i="1"/>
  <c r="O142" i="1"/>
  <c r="N142" i="1"/>
  <c r="M142" i="1"/>
  <c r="L142" i="1"/>
  <c r="K142" i="1"/>
  <c r="K419" i="7" s="1"/>
  <c r="J142" i="1"/>
  <c r="J419" i="7" s="1"/>
  <c r="I142" i="1"/>
  <c r="I419" i="7" s="1"/>
  <c r="H142" i="1"/>
  <c r="H419" i="7" s="1"/>
  <c r="G142" i="1"/>
  <c r="G419" i="7" s="1"/>
  <c r="F142" i="1"/>
  <c r="AF139" i="1"/>
  <c r="AE139" i="1"/>
  <c r="AD139" i="1"/>
  <c r="AC139" i="1"/>
  <c r="AB139" i="1"/>
  <c r="AA139" i="1"/>
  <c r="Z139" i="1"/>
  <c r="Y139" i="1"/>
  <c r="X139" i="1"/>
  <c r="W139" i="1"/>
  <c r="V139" i="1"/>
  <c r="U139" i="1"/>
  <c r="T139" i="1"/>
  <c r="S139" i="1"/>
  <c r="R139" i="1"/>
  <c r="Q139" i="1"/>
  <c r="P139" i="1"/>
  <c r="O139" i="1"/>
  <c r="N139" i="1"/>
  <c r="M139" i="1"/>
  <c r="L139" i="1"/>
  <c r="K139" i="1"/>
  <c r="J139" i="1"/>
  <c r="I139" i="1"/>
  <c r="H139" i="1"/>
  <c r="G139" i="1"/>
  <c r="F139" i="1"/>
  <c r="AF138" i="1"/>
  <c r="AE138" i="1"/>
  <c r="AD138" i="1"/>
  <c r="AC138" i="1"/>
  <c r="AB138" i="1"/>
  <c r="AA138" i="1"/>
  <c r="Z138" i="1"/>
  <c r="Y138" i="1"/>
  <c r="X138" i="1"/>
  <c r="W138" i="1"/>
  <c r="V138" i="1"/>
  <c r="U138" i="1"/>
  <c r="T138" i="1"/>
  <c r="S138" i="1"/>
  <c r="R138" i="1"/>
  <c r="Q138" i="1"/>
  <c r="P138" i="1"/>
  <c r="O138" i="1"/>
  <c r="N138" i="1"/>
  <c r="M138" i="1"/>
  <c r="L138" i="1"/>
  <c r="K138" i="1"/>
  <c r="J138" i="1"/>
  <c r="I138" i="1"/>
  <c r="H138" i="1"/>
  <c r="G138" i="1"/>
  <c r="F138" i="1"/>
  <c r="AF64" i="1"/>
  <c r="AE64" i="1"/>
  <c r="AD64" i="1"/>
  <c r="AC64" i="1"/>
  <c r="AB64" i="1"/>
  <c r="AA64" i="1"/>
  <c r="Z64" i="1"/>
  <c r="Y64" i="1"/>
  <c r="X64" i="1"/>
  <c r="W64" i="1"/>
  <c r="V64" i="1"/>
  <c r="U64" i="1"/>
  <c r="T64" i="1"/>
  <c r="S64" i="1"/>
  <c r="R64" i="1"/>
  <c r="Q64" i="1"/>
  <c r="P64" i="1"/>
  <c r="O64" i="1"/>
  <c r="N64" i="1"/>
  <c r="M64" i="1"/>
  <c r="L64" i="1"/>
  <c r="K64" i="1"/>
  <c r="K427" i="7" s="1"/>
  <c r="J64" i="1"/>
  <c r="J427" i="7" s="1"/>
  <c r="I64" i="1"/>
  <c r="I427" i="7" s="1"/>
  <c r="H64" i="1"/>
  <c r="H427" i="7" s="1"/>
  <c r="G64" i="1"/>
  <c r="G427" i="7" s="1"/>
  <c r="F64" i="1"/>
  <c r="AF61" i="1"/>
  <c r="AE61" i="1"/>
  <c r="AD61" i="1"/>
  <c r="AC61" i="1"/>
  <c r="AB61" i="1"/>
  <c r="AA61" i="1"/>
  <c r="Z61" i="1"/>
  <c r="Y61" i="1"/>
  <c r="X61" i="1"/>
  <c r="W61" i="1"/>
  <c r="V61" i="1"/>
  <c r="U61" i="1"/>
  <c r="T61" i="1"/>
  <c r="S61" i="1"/>
  <c r="R61" i="1"/>
  <c r="Q61" i="1"/>
  <c r="P61" i="1"/>
  <c r="O61" i="1"/>
  <c r="N61" i="1"/>
  <c r="M61" i="1"/>
  <c r="L61" i="1"/>
  <c r="K61" i="1"/>
  <c r="J61" i="1"/>
  <c r="I61" i="1"/>
  <c r="H61" i="1"/>
  <c r="F61" i="1"/>
  <c r="AF106" i="1"/>
  <c r="AE106" i="1"/>
  <c r="AD106" i="1"/>
  <c r="AC106" i="1"/>
  <c r="AB106" i="1"/>
  <c r="AA106" i="1"/>
  <c r="Z106" i="1"/>
  <c r="Y106" i="1"/>
  <c r="X106" i="1"/>
  <c r="W106" i="1"/>
  <c r="V106" i="1"/>
  <c r="U106" i="1"/>
  <c r="T106" i="1"/>
  <c r="S106" i="1"/>
  <c r="R106" i="1"/>
  <c r="Q106" i="1"/>
  <c r="P106" i="1"/>
  <c r="O106" i="1"/>
  <c r="N106" i="1"/>
  <c r="M106" i="1"/>
  <c r="L106" i="1"/>
  <c r="K106" i="1"/>
  <c r="K114" i="7" s="1"/>
  <c r="J106" i="1"/>
  <c r="J114" i="7" s="1"/>
  <c r="I106" i="1"/>
  <c r="I114" i="7" s="1"/>
  <c r="H106" i="1"/>
  <c r="H114" i="7" s="1"/>
  <c r="G106" i="1"/>
  <c r="G114" i="7" s="1"/>
  <c r="F106" i="1"/>
  <c r="AF104" i="1"/>
  <c r="AE104" i="1"/>
  <c r="AD104" i="1"/>
  <c r="AC104" i="1"/>
  <c r="AC45" i="7" s="1"/>
  <c r="AB104" i="1"/>
  <c r="AA104" i="1"/>
  <c r="Z104" i="1"/>
  <c r="Y104" i="1"/>
  <c r="X104" i="1"/>
  <c r="W104" i="1"/>
  <c r="V104" i="1"/>
  <c r="U104" i="1"/>
  <c r="T104" i="1"/>
  <c r="S104" i="1"/>
  <c r="R104" i="1"/>
  <c r="Q104" i="1"/>
  <c r="P104" i="1"/>
  <c r="O104" i="1"/>
  <c r="N104" i="1"/>
  <c r="M104" i="1"/>
  <c r="L104" i="1"/>
  <c r="K104" i="1"/>
  <c r="K45" i="7" s="1"/>
  <c r="J104" i="1"/>
  <c r="J45" i="7" s="1"/>
  <c r="I104" i="1"/>
  <c r="I45" i="7" s="1"/>
  <c r="H104" i="1"/>
  <c r="H45" i="7" s="1"/>
  <c r="G104" i="1"/>
  <c r="G45" i="7" s="1"/>
  <c r="F104" i="1"/>
  <c r="AF103" i="1"/>
  <c r="AE103" i="1"/>
  <c r="AD103" i="1"/>
  <c r="AC103" i="1"/>
  <c r="AC8" i="7" s="1"/>
  <c r="AB103" i="1"/>
  <c r="AB8" i="7" s="1"/>
  <c r="AA103" i="1"/>
  <c r="Z103" i="1"/>
  <c r="Y103" i="1"/>
  <c r="X103" i="1"/>
  <c r="W103" i="1"/>
  <c r="V103" i="1"/>
  <c r="U103" i="1"/>
  <c r="T103" i="1"/>
  <c r="S103" i="1"/>
  <c r="R103" i="1"/>
  <c r="Q103" i="1"/>
  <c r="P103" i="1"/>
  <c r="O103" i="1"/>
  <c r="N103" i="1"/>
  <c r="M103" i="1"/>
  <c r="L103" i="1"/>
  <c r="K103" i="1"/>
  <c r="K8" i="7" s="1"/>
  <c r="J103" i="1"/>
  <c r="J8" i="7" s="1"/>
  <c r="I103" i="1"/>
  <c r="I8" i="7" s="1"/>
  <c r="H103" i="1"/>
  <c r="H8" i="7" s="1"/>
  <c r="G103" i="1"/>
  <c r="G8" i="7" s="1"/>
  <c r="F103" i="1"/>
  <c r="AF101" i="1"/>
  <c r="AE101" i="1"/>
  <c r="AD101" i="1"/>
  <c r="AC101" i="1"/>
  <c r="AC214" i="8" s="1"/>
  <c r="AC217" i="8" s="1"/>
  <c r="AB101" i="1"/>
  <c r="AB214" i="8" s="1"/>
  <c r="AA101" i="1"/>
  <c r="Z101" i="1"/>
  <c r="Y101" i="1"/>
  <c r="X101" i="1"/>
  <c r="W101" i="1"/>
  <c r="V101" i="1"/>
  <c r="U101" i="1"/>
  <c r="T101" i="1"/>
  <c r="S101" i="1"/>
  <c r="R101" i="1"/>
  <c r="Q101" i="1"/>
  <c r="P101" i="1"/>
  <c r="O101" i="1"/>
  <c r="N101" i="1"/>
  <c r="M101" i="1"/>
  <c r="L101" i="1"/>
  <c r="K101" i="1"/>
  <c r="J101" i="1"/>
  <c r="I101" i="1"/>
  <c r="H101" i="1"/>
  <c r="G101" i="1"/>
  <c r="F101" i="1"/>
  <c r="AF100" i="1"/>
  <c r="AE100" i="1"/>
  <c r="AD100" i="1"/>
  <c r="AC100" i="1"/>
  <c r="AC88" i="7" s="1"/>
  <c r="DP119" i="11" s="1"/>
  <c r="AB100" i="1"/>
  <c r="AB88" i="7" s="1"/>
  <c r="AA100" i="1"/>
  <c r="Z100" i="1"/>
  <c r="Y100" i="1"/>
  <c r="X100" i="1"/>
  <c r="W100" i="1"/>
  <c r="V100" i="1"/>
  <c r="U100" i="1"/>
  <c r="T100" i="1"/>
  <c r="S100" i="1"/>
  <c r="R100" i="1"/>
  <c r="Q100" i="1"/>
  <c r="P100" i="1"/>
  <c r="O100" i="1"/>
  <c r="N100" i="1"/>
  <c r="M100" i="1"/>
  <c r="L100" i="1"/>
  <c r="K100" i="1"/>
  <c r="K88" i="7" s="1"/>
  <c r="J100" i="1"/>
  <c r="J88" i="7" s="1"/>
  <c r="I100" i="1"/>
  <c r="I88" i="7" s="1"/>
  <c r="H100" i="1"/>
  <c r="H88" i="7" s="1"/>
  <c r="G100" i="1"/>
  <c r="G88" i="7" s="1"/>
  <c r="G101" i="7" s="1"/>
  <c r="F100" i="1"/>
  <c r="AF98" i="1"/>
  <c r="AE98" i="1"/>
  <c r="AD98" i="1"/>
  <c r="AC98" i="1"/>
  <c r="AB98" i="1"/>
  <c r="AB341" i="12" s="1"/>
  <c r="AA98" i="1"/>
  <c r="Z98" i="1"/>
  <c r="Y98" i="1"/>
  <c r="X98" i="1"/>
  <c r="W98" i="1"/>
  <c r="V98" i="1"/>
  <c r="U98" i="1"/>
  <c r="T98" i="1"/>
  <c r="S98" i="1"/>
  <c r="R98" i="1"/>
  <c r="Q98" i="1"/>
  <c r="P98" i="1"/>
  <c r="O98" i="1"/>
  <c r="N98" i="1"/>
  <c r="M98" i="1"/>
  <c r="L98" i="1"/>
  <c r="K98" i="1"/>
  <c r="J98" i="1"/>
  <c r="I98" i="1"/>
  <c r="H98" i="1"/>
  <c r="G98" i="1"/>
  <c r="F98" i="1"/>
  <c r="AF96" i="1"/>
  <c r="AE96" i="1"/>
  <c r="AD96" i="1"/>
  <c r="AC96" i="1"/>
  <c r="AB96" i="1"/>
  <c r="AA96" i="1"/>
  <c r="Z96" i="1"/>
  <c r="Y96" i="1"/>
  <c r="X96" i="1"/>
  <c r="W96" i="1"/>
  <c r="V96" i="1"/>
  <c r="U96" i="1"/>
  <c r="T96" i="1"/>
  <c r="S96" i="1"/>
  <c r="R96" i="1"/>
  <c r="Q96" i="1"/>
  <c r="P96" i="1"/>
  <c r="O96" i="1"/>
  <c r="N96" i="1"/>
  <c r="M96" i="1"/>
  <c r="L96" i="1"/>
  <c r="K96" i="1"/>
  <c r="J96" i="1"/>
  <c r="I96" i="1"/>
  <c r="H96" i="1"/>
  <c r="G96" i="1"/>
  <c r="F96" i="1"/>
  <c r="AF95" i="1"/>
  <c r="AE95" i="1"/>
  <c r="AD95" i="1"/>
  <c r="AC95" i="1"/>
  <c r="AB95" i="1"/>
  <c r="AA95" i="1"/>
  <c r="Z95" i="1"/>
  <c r="Y95" i="1"/>
  <c r="X95" i="1"/>
  <c r="W95" i="1"/>
  <c r="V95" i="1"/>
  <c r="U95" i="1"/>
  <c r="T95" i="1"/>
  <c r="S95" i="1"/>
  <c r="R95" i="1"/>
  <c r="Q95" i="1"/>
  <c r="P95" i="1"/>
  <c r="O95" i="1"/>
  <c r="N95" i="1"/>
  <c r="M95" i="1"/>
  <c r="L95" i="1"/>
  <c r="K95" i="1"/>
  <c r="J95" i="1"/>
  <c r="I95" i="1"/>
  <c r="H95" i="1"/>
  <c r="G95" i="1"/>
  <c r="F95" i="1"/>
  <c r="AF94" i="1"/>
  <c r="AE94" i="1"/>
  <c r="AD94" i="1"/>
  <c r="AC94" i="1"/>
  <c r="AB94" i="1"/>
  <c r="AA94" i="1"/>
  <c r="Z94" i="1"/>
  <c r="Y94" i="1"/>
  <c r="X94" i="1"/>
  <c r="W94" i="1"/>
  <c r="V94" i="1"/>
  <c r="U94" i="1"/>
  <c r="T94" i="1"/>
  <c r="S94" i="1"/>
  <c r="R94" i="1"/>
  <c r="Q94" i="1"/>
  <c r="P94" i="1"/>
  <c r="O94" i="1"/>
  <c r="N94" i="1"/>
  <c r="M94" i="1"/>
  <c r="L94" i="1"/>
  <c r="K94" i="1"/>
  <c r="J94" i="1"/>
  <c r="I94" i="1"/>
  <c r="H94" i="1"/>
  <c r="G94" i="1"/>
  <c r="F94" i="1"/>
  <c r="AF93" i="1"/>
  <c r="AE93" i="1"/>
  <c r="AD93" i="1"/>
  <c r="AC93" i="1"/>
  <c r="AC311" i="12" s="1"/>
  <c r="AB93" i="1"/>
  <c r="AA93" i="1"/>
  <c r="Z93" i="1"/>
  <c r="Y93" i="1"/>
  <c r="X93" i="1"/>
  <c r="W93" i="1"/>
  <c r="V93" i="1"/>
  <c r="U93" i="1"/>
  <c r="T93" i="1"/>
  <c r="S93" i="1"/>
  <c r="R93" i="1"/>
  <c r="Q93" i="1"/>
  <c r="P93" i="1"/>
  <c r="O93" i="1"/>
  <c r="N93" i="1"/>
  <c r="M93" i="1"/>
  <c r="L93" i="1"/>
  <c r="K93" i="1"/>
  <c r="J93" i="1"/>
  <c r="I93" i="1"/>
  <c r="H93" i="1"/>
  <c r="G93" i="1"/>
  <c r="F93" i="1"/>
  <c r="AF92" i="1"/>
  <c r="AE92" i="1"/>
  <c r="AD92" i="1"/>
  <c r="AC92" i="1"/>
  <c r="AC309" i="12" s="1"/>
  <c r="AB92" i="1"/>
  <c r="AA92" i="1"/>
  <c r="Z92" i="1"/>
  <c r="Y92" i="1"/>
  <c r="X92" i="1"/>
  <c r="W92" i="1"/>
  <c r="V92" i="1"/>
  <c r="U92" i="1"/>
  <c r="T92" i="1"/>
  <c r="S92" i="1"/>
  <c r="R92" i="1"/>
  <c r="Q92" i="1"/>
  <c r="P92" i="1"/>
  <c r="O92" i="1"/>
  <c r="N92" i="1"/>
  <c r="M92" i="1"/>
  <c r="L92" i="1"/>
  <c r="K92" i="1"/>
  <c r="J92" i="1"/>
  <c r="I92" i="1"/>
  <c r="H92" i="1"/>
  <c r="G92" i="1"/>
  <c r="F92" i="1"/>
  <c r="AF91" i="1"/>
  <c r="AE91" i="1"/>
  <c r="AD91" i="1"/>
  <c r="AC91" i="1"/>
  <c r="AC310" i="12" s="1"/>
  <c r="AB91" i="1"/>
  <c r="AA91" i="1"/>
  <c r="Z91" i="1"/>
  <c r="Y91" i="1"/>
  <c r="X91" i="1"/>
  <c r="W91" i="1"/>
  <c r="V91" i="1"/>
  <c r="U91" i="1"/>
  <c r="T91" i="1"/>
  <c r="S91" i="1"/>
  <c r="R91" i="1"/>
  <c r="Q91" i="1"/>
  <c r="P91" i="1"/>
  <c r="O91" i="1"/>
  <c r="N91" i="1"/>
  <c r="M91" i="1"/>
  <c r="L91" i="1"/>
  <c r="K91" i="1"/>
  <c r="J91" i="1"/>
  <c r="I91" i="1"/>
  <c r="H91" i="1"/>
  <c r="G91" i="1"/>
  <c r="F91" i="1"/>
  <c r="AF89" i="1"/>
  <c r="AE89" i="1"/>
  <c r="AD89" i="1"/>
  <c r="AC89" i="1"/>
  <c r="AC279" i="12" s="1"/>
  <c r="AB89" i="1"/>
  <c r="AB279" i="12" s="1"/>
  <c r="AA89" i="1"/>
  <c r="Z89" i="1"/>
  <c r="Y89" i="1"/>
  <c r="X89" i="1"/>
  <c r="W89" i="1"/>
  <c r="V89" i="1"/>
  <c r="U89" i="1"/>
  <c r="T89" i="1"/>
  <c r="S89" i="1"/>
  <c r="R89" i="1"/>
  <c r="Q89" i="1"/>
  <c r="P89" i="1"/>
  <c r="O89" i="1"/>
  <c r="N89" i="1"/>
  <c r="M89" i="1"/>
  <c r="L89" i="1"/>
  <c r="K89" i="1"/>
  <c r="J89" i="1"/>
  <c r="I89" i="1"/>
  <c r="H89" i="1"/>
  <c r="G89" i="1"/>
  <c r="F89" i="1"/>
  <c r="AF88" i="1"/>
  <c r="AE88" i="1"/>
  <c r="AD88" i="1"/>
  <c r="AC88" i="1"/>
  <c r="AC277" i="12" s="1"/>
  <c r="AB88" i="1"/>
  <c r="AB277" i="12" s="1"/>
  <c r="AA88" i="1"/>
  <c r="Z88" i="1"/>
  <c r="Y88" i="1"/>
  <c r="X88" i="1"/>
  <c r="W88" i="1"/>
  <c r="V88" i="1"/>
  <c r="U88" i="1"/>
  <c r="T88" i="1"/>
  <c r="S88" i="1"/>
  <c r="R88" i="1"/>
  <c r="Q88" i="1"/>
  <c r="P88" i="1"/>
  <c r="O88" i="1"/>
  <c r="N88" i="1"/>
  <c r="M88" i="1"/>
  <c r="L88" i="1"/>
  <c r="K88" i="1"/>
  <c r="J88" i="1"/>
  <c r="I88" i="1"/>
  <c r="H88" i="1"/>
  <c r="G88" i="1"/>
  <c r="F88" i="1"/>
  <c r="AF87" i="1"/>
  <c r="AE87" i="1"/>
  <c r="AD87" i="1"/>
  <c r="AC87" i="1"/>
  <c r="AC278" i="12" s="1"/>
  <c r="AB87" i="1"/>
  <c r="AB278" i="12" s="1"/>
  <c r="AA87" i="1"/>
  <c r="Z87" i="1"/>
  <c r="Y87" i="1"/>
  <c r="X87" i="1"/>
  <c r="W87" i="1"/>
  <c r="V87" i="1"/>
  <c r="U87" i="1"/>
  <c r="T87" i="1"/>
  <c r="S87" i="1"/>
  <c r="R87" i="1"/>
  <c r="Q87" i="1"/>
  <c r="P87" i="1"/>
  <c r="O87" i="1"/>
  <c r="N87" i="1"/>
  <c r="M87" i="1"/>
  <c r="L87" i="1"/>
  <c r="K87" i="1"/>
  <c r="J87" i="1"/>
  <c r="I87" i="1"/>
  <c r="H87" i="1"/>
  <c r="G87" i="1"/>
  <c r="F87" i="1"/>
  <c r="AF86" i="1"/>
  <c r="AE86" i="1"/>
  <c r="AD86" i="1"/>
  <c r="AC86" i="1"/>
  <c r="AB86" i="1"/>
  <c r="AB797" i="7" s="1"/>
  <c r="AA86" i="1"/>
  <c r="Z86" i="1"/>
  <c r="Y86" i="1"/>
  <c r="X86" i="1"/>
  <c r="W86" i="1"/>
  <c r="V86" i="1"/>
  <c r="U86" i="1"/>
  <c r="T86" i="1"/>
  <c r="S86" i="1"/>
  <c r="R86" i="1"/>
  <c r="Q86" i="1"/>
  <c r="P86" i="1"/>
  <c r="O86" i="1"/>
  <c r="N86" i="1"/>
  <c r="M86" i="1"/>
  <c r="L86" i="1"/>
  <c r="K86" i="1"/>
  <c r="K797" i="7" s="1"/>
  <c r="J86" i="1"/>
  <c r="J797" i="7" s="1"/>
  <c r="I86" i="1"/>
  <c r="I797" i="7" s="1"/>
  <c r="H86" i="1"/>
  <c r="H797" i="7" s="1"/>
  <c r="G86" i="1"/>
  <c r="G797" i="7" s="1"/>
  <c r="F86" i="1"/>
  <c r="AF85" i="1"/>
  <c r="AE85" i="1"/>
  <c r="AD85" i="1"/>
  <c r="AC85" i="1"/>
  <c r="AB85" i="1"/>
  <c r="AB566" i="7" s="1"/>
  <c r="AA85" i="1"/>
  <c r="AA566" i="7" s="1"/>
  <c r="Z85" i="1"/>
  <c r="Y85" i="1"/>
  <c r="X85" i="1"/>
  <c r="W85" i="1"/>
  <c r="V85" i="1"/>
  <c r="U85" i="1"/>
  <c r="T85" i="1"/>
  <c r="S85" i="1"/>
  <c r="R85" i="1"/>
  <c r="Q85" i="1"/>
  <c r="P85" i="1"/>
  <c r="O85" i="1"/>
  <c r="N85" i="1"/>
  <c r="M85" i="1"/>
  <c r="L85" i="1"/>
  <c r="K85" i="1"/>
  <c r="K566" i="7" s="1"/>
  <c r="J85" i="1"/>
  <c r="J566" i="7" s="1"/>
  <c r="I85" i="1"/>
  <c r="I566" i="7" s="1"/>
  <c r="H85" i="1"/>
  <c r="H566" i="7" s="1"/>
  <c r="G85" i="1"/>
  <c r="G566" i="7" s="1"/>
  <c r="F85" i="1"/>
  <c r="AF83" i="1"/>
  <c r="AE83" i="1"/>
  <c r="AD83" i="1"/>
  <c r="AC83" i="1"/>
  <c r="AB83" i="1"/>
  <c r="AA83" i="1"/>
  <c r="Z83" i="1"/>
  <c r="Y83" i="1"/>
  <c r="X83" i="1"/>
  <c r="W83" i="1"/>
  <c r="V83" i="1"/>
  <c r="U83" i="1"/>
  <c r="T83" i="1"/>
  <c r="S83" i="1"/>
  <c r="R83" i="1"/>
  <c r="Q83" i="1"/>
  <c r="P83" i="1"/>
  <c r="O83" i="1"/>
  <c r="N83" i="1"/>
  <c r="M83" i="1"/>
  <c r="L83" i="1"/>
  <c r="K83" i="1"/>
  <c r="J83" i="1"/>
  <c r="I83" i="1"/>
  <c r="H83" i="1"/>
  <c r="G83" i="1"/>
  <c r="F83" i="1"/>
  <c r="AF82" i="1"/>
  <c r="AE82" i="1"/>
  <c r="AD82" i="1"/>
  <c r="AC82" i="1"/>
  <c r="AB82" i="1"/>
  <c r="AA82" i="1"/>
  <c r="Z82" i="1"/>
  <c r="Y82" i="1"/>
  <c r="X82" i="1"/>
  <c r="W82" i="1"/>
  <c r="V82" i="1"/>
  <c r="U82" i="1"/>
  <c r="T82" i="1"/>
  <c r="S82" i="1"/>
  <c r="R82" i="1"/>
  <c r="Q82" i="1"/>
  <c r="P82" i="1"/>
  <c r="O82" i="1"/>
  <c r="N82" i="1"/>
  <c r="M82" i="1"/>
  <c r="L82" i="1"/>
  <c r="K82" i="1"/>
  <c r="J82" i="1"/>
  <c r="I82" i="1"/>
  <c r="H82" i="1"/>
  <c r="G82" i="1"/>
  <c r="F82" i="1"/>
  <c r="AF81" i="1"/>
  <c r="AE81" i="1"/>
  <c r="AD81" i="1"/>
  <c r="AC81" i="1"/>
  <c r="AB81" i="1"/>
  <c r="AA81" i="1"/>
  <c r="Z81" i="1"/>
  <c r="Y81" i="1"/>
  <c r="X81" i="1"/>
  <c r="W81" i="1"/>
  <c r="V81" i="1"/>
  <c r="U81" i="1"/>
  <c r="T81" i="1"/>
  <c r="S81" i="1"/>
  <c r="R81" i="1"/>
  <c r="Q81" i="1"/>
  <c r="P81" i="1"/>
  <c r="O81" i="1"/>
  <c r="N81" i="1"/>
  <c r="M81" i="1"/>
  <c r="L81" i="1"/>
  <c r="K81" i="1"/>
  <c r="J81" i="1"/>
  <c r="I81" i="1"/>
  <c r="H81" i="1"/>
  <c r="G81" i="1"/>
  <c r="F81" i="1"/>
  <c r="AF79" i="1"/>
  <c r="AE79" i="1"/>
  <c r="AD79" i="1"/>
  <c r="AC79" i="1"/>
  <c r="AB79" i="1"/>
  <c r="AA79" i="1"/>
  <c r="Z79" i="1"/>
  <c r="Y79" i="1"/>
  <c r="X79" i="1"/>
  <c r="W79" i="1"/>
  <c r="V79" i="1"/>
  <c r="U79" i="1"/>
  <c r="T79" i="1"/>
  <c r="S79" i="1"/>
  <c r="R79" i="1"/>
  <c r="Q79" i="1"/>
  <c r="P79" i="1"/>
  <c r="O79" i="1"/>
  <c r="N79" i="1"/>
  <c r="M79" i="1"/>
  <c r="L79" i="1"/>
  <c r="K79" i="1"/>
  <c r="K544" i="7" s="1"/>
  <c r="J79" i="1"/>
  <c r="J544" i="7" s="1"/>
  <c r="I79" i="1"/>
  <c r="I544" i="7" s="1"/>
  <c r="H79" i="1"/>
  <c r="H544" i="7" s="1"/>
  <c r="G79" i="1"/>
  <c r="G544" i="7" s="1"/>
  <c r="F79" i="1"/>
  <c r="AF78" i="1"/>
  <c r="AE78" i="1"/>
  <c r="AD78" i="1"/>
  <c r="AC78" i="1"/>
  <c r="AC212" i="12" s="1"/>
  <c r="AB78" i="1"/>
  <c r="AA78" i="1"/>
  <c r="Z78" i="1"/>
  <c r="Y78" i="1"/>
  <c r="X78" i="1"/>
  <c r="W78" i="1"/>
  <c r="V78" i="1"/>
  <c r="U78" i="1"/>
  <c r="T78" i="1"/>
  <c r="S78" i="1"/>
  <c r="R78" i="1"/>
  <c r="Q78" i="1"/>
  <c r="P78" i="1"/>
  <c r="O78" i="1"/>
  <c r="N78" i="1"/>
  <c r="M78" i="1"/>
  <c r="L78" i="1"/>
  <c r="K78" i="1"/>
  <c r="J78" i="1"/>
  <c r="I78" i="1"/>
  <c r="H78" i="1"/>
  <c r="G78" i="1"/>
  <c r="F78" i="1"/>
  <c r="AF76" i="1"/>
  <c r="AE76" i="1"/>
  <c r="AD76" i="1"/>
  <c r="AC76" i="1"/>
  <c r="AB76" i="1"/>
  <c r="AA76" i="1"/>
  <c r="Z76" i="1"/>
  <c r="Y76" i="1"/>
  <c r="X76" i="1"/>
  <c r="W76" i="1"/>
  <c r="V76" i="1"/>
  <c r="U76" i="1"/>
  <c r="T76" i="1"/>
  <c r="S76" i="1"/>
  <c r="R76" i="1"/>
  <c r="Q76" i="1"/>
  <c r="P76" i="1"/>
  <c r="O76" i="1"/>
  <c r="N76" i="1"/>
  <c r="M76" i="1"/>
  <c r="L76" i="1"/>
  <c r="K76" i="1"/>
  <c r="J76" i="1"/>
  <c r="I76" i="1"/>
  <c r="H76" i="1"/>
  <c r="G76" i="1"/>
  <c r="F76" i="1"/>
  <c r="AF75" i="1"/>
  <c r="AE75" i="1"/>
  <c r="AD75" i="1"/>
  <c r="AC75" i="1"/>
  <c r="AB75" i="1"/>
  <c r="AA75" i="1"/>
  <c r="Z75" i="1"/>
  <c r="Y75" i="1"/>
  <c r="X75" i="1"/>
  <c r="W75" i="1"/>
  <c r="V75" i="1"/>
  <c r="U75" i="1"/>
  <c r="T75" i="1"/>
  <c r="S75" i="1"/>
  <c r="R75" i="1"/>
  <c r="Q75" i="1"/>
  <c r="P75" i="1"/>
  <c r="O75" i="1"/>
  <c r="N75" i="1"/>
  <c r="M75" i="1"/>
  <c r="L75" i="1"/>
  <c r="K75" i="1"/>
  <c r="J75" i="1"/>
  <c r="I75" i="1"/>
  <c r="H75" i="1"/>
  <c r="G75" i="1"/>
  <c r="F75" i="1"/>
  <c r="AF74" i="1"/>
  <c r="AE74" i="1"/>
  <c r="AD74" i="1"/>
  <c r="AC74" i="1"/>
  <c r="AC206" i="12" s="1"/>
  <c r="AB74" i="1"/>
  <c r="AA74" i="1"/>
  <c r="Z74" i="1"/>
  <c r="Y74" i="1"/>
  <c r="X74" i="1"/>
  <c r="W74" i="1"/>
  <c r="V74" i="1"/>
  <c r="U74" i="1"/>
  <c r="T74" i="1"/>
  <c r="S74" i="1"/>
  <c r="R74" i="1"/>
  <c r="Q74" i="1"/>
  <c r="P74" i="1"/>
  <c r="O74" i="1"/>
  <c r="N74" i="1"/>
  <c r="M74" i="1"/>
  <c r="L74" i="1"/>
  <c r="K74" i="1"/>
  <c r="J74" i="1"/>
  <c r="I74" i="1"/>
  <c r="H74" i="1"/>
  <c r="G74" i="1"/>
  <c r="F74" i="1"/>
  <c r="AF73" i="1"/>
  <c r="AE73" i="1"/>
  <c r="AD73" i="1"/>
  <c r="AC73" i="1"/>
  <c r="AC210" i="12" s="1"/>
  <c r="AB73" i="1"/>
  <c r="AA73" i="1"/>
  <c r="Z73" i="1"/>
  <c r="Y73" i="1"/>
  <c r="X73" i="1"/>
  <c r="W73" i="1"/>
  <c r="V73" i="1"/>
  <c r="U73" i="1"/>
  <c r="T73" i="1"/>
  <c r="S73" i="1"/>
  <c r="R73" i="1"/>
  <c r="Q73" i="1"/>
  <c r="P73" i="1"/>
  <c r="O73" i="1"/>
  <c r="N73" i="1"/>
  <c r="M73" i="1"/>
  <c r="L73" i="1"/>
  <c r="K73" i="1"/>
  <c r="J73" i="1"/>
  <c r="I73" i="1"/>
  <c r="H73" i="1"/>
  <c r="G73" i="1"/>
  <c r="F73" i="1"/>
  <c r="AF70" i="1"/>
  <c r="AE70" i="1"/>
  <c r="AD70" i="1"/>
  <c r="AC70" i="1"/>
  <c r="AC205" i="12" s="1"/>
  <c r="AB70" i="1"/>
  <c r="AA70" i="1"/>
  <c r="Z70" i="1"/>
  <c r="Y70" i="1"/>
  <c r="X70" i="1"/>
  <c r="W70" i="1"/>
  <c r="V70" i="1"/>
  <c r="U70" i="1"/>
  <c r="T70" i="1"/>
  <c r="S70" i="1"/>
  <c r="R70" i="1"/>
  <c r="Q70" i="1"/>
  <c r="P70" i="1"/>
  <c r="O70" i="1"/>
  <c r="N70" i="1"/>
  <c r="M70" i="1"/>
  <c r="L70" i="1"/>
  <c r="K70" i="1"/>
  <c r="J70" i="1"/>
  <c r="I70" i="1"/>
  <c r="H70" i="1"/>
  <c r="G70" i="1"/>
  <c r="F70" i="1"/>
  <c r="AF68" i="1"/>
  <c r="AE68" i="1"/>
  <c r="AD68" i="1"/>
  <c r="AC68" i="1"/>
  <c r="AC204" i="12" s="1"/>
  <c r="AB68" i="1"/>
  <c r="AA68" i="1"/>
  <c r="Z68" i="1"/>
  <c r="Y68" i="1"/>
  <c r="X68" i="1"/>
  <c r="W68" i="1"/>
  <c r="V68" i="1"/>
  <c r="U68" i="1"/>
  <c r="T68" i="1"/>
  <c r="S68" i="1"/>
  <c r="R68" i="1"/>
  <c r="Q68" i="1"/>
  <c r="P68" i="1"/>
  <c r="O68" i="1"/>
  <c r="N68" i="1"/>
  <c r="M68" i="1"/>
  <c r="L68" i="1"/>
  <c r="K68" i="1"/>
  <c r="J68" i="1"/>
  <c r="I68" i="1"/>
  <c r="H68" i="1"/>
  <c r="G68" i="1"/>
  <c r="F68" i="1"/>
  <c r="AF65" i="1"/>
  <c r="AE65" i="1"/>
  <c r="AD65" i="1"/>
  <c r="AC65" i="1"/>
  <c r="AC191" i="12" s="1"/>
  <c r="AB65" i="1"/>
  <c r="AA65" i="1"/>
  <c r="Z65" i="1"/>
  <c r="Y65" i="1"/>
  <c r="X65" i="1"/>
  <c r="W65" i="1"/>
  <c r="V65" i="1"/>
  <c r="U65" i="1"/>
  <c r="T65" i="1"/>
  <c r="S65" i="1"/>
  <c r="R65" i="1"/>
  <c r="Q65" i="1"/>
  <c r="P65" i="1"/>
  <c r="O65" i="1"/>
  <c r="N65" i="1"/>
  <c r="M65" i="1"/>
  <c r="L65" i="1"/>
  <c r="K65" i="1"/>
  <c r="J65" i="1"/>
  <c r="I65" i="1"/>
  <c r="H65" i="1"/>
  <c r="G65" i="1"/>
  <c r="F65" i="1"/>
  <c r="AF63" i="1"/>
  <c r="AE63" i="1"/>
  <c r="AD63" i="1"/>
  <c r="AC63" i="1"/>
  <c r="AC193" i="12" s="1"/>
  <c r="AB63" i="1"/>
  <c r="AA63" i="1"/>
  <c r="Z63" i="1"/>
  <c r="Y63" i="1"/>
  <c r="X63" i="1"/>
  <c r="W63" i="1"/>
  <c r="V63" i="1"/>
  <c r="U63" i="1"/>
  <c r="T63" i="1"/>
  <c r="S63" i="1"/>
  <c r="R63" i="1"/>
  <c r="Q63" i="1"/>
  <c r="P63" i="1"/>
  <c r="O63" i="1"/>
  <c r="N63" i="1"/>
  <c r="M63" i="1"/>
  <c r="L63" i="1"/>
  <c r="K63" i="1"/>
  <c r="J63" i="1"/>
  <c r="I63" i="1"/>
  <c r="H63" i="1"/>
  <c r="G63" i="1"/>
  <c r="F63" i="1"/>
  <c r="AF62" i="1"/>
  <c r="AE62" i="1"/>
  <c r="AD62" i="1"/>
  <c r="AC62" i="1"/>
  <c r="AC192" i="12" s="1"/>
  <c r="AB62" i="1"/>
  <c r="AA62" i="1"/>
  <c r="Z62" i="1"/>
  <c r="Y62" i="1"/>
  <c r="X62" i="1"/>
  <c r="W62" i="1"/>
  <c r="V62" i="1"/>
  <c r="U62" i="1"/>
  <c r="T62" i="1"/>
  <c r="S62" i="1"/>
  <c r="R62" i="1"/>
  <c r="Q62" i="1"/>
  <c r="P62" i="1"/>
  <c r="O62" i="1"/>
  <c r="N62" i="1"/>
  <c r="M62" i="1"/>
  <c r="L62" i="1"/>
  <c r="K62" i="1"/>
  <c r="J62" i="1"/>
  <c r="I62" i="1"/>
  <c r="H62" i="1"/>
  <c r="G62" i="1"/>
  <c r="F62" i="1"/>
  <c r="G61" i="1"/>
  <c r="AF60" i="1"/>
  <c r="AE60" i="1"/>
  <c r="AD60" i="1"/>
  <c r="AC60" i="1"/>
  <c r="AC185" i="12" s="1"/>
  <c r="AB60" i="1"/>
  <c r="AA60" i="1"/>
  <c r="Z60" i="1"/>
  <c r="Y60" i="1"/>
  <c r="X60" i="1"/>
  <c r="W60" i="1"/>
  <c r="V60" i="1"/>
  <c r="U60" i="1"/>
  <c r="T60" i="1"/>
  <c r="S60" i="1"/>
  <c r="R60" i="1"/>
  <c r="Q60" i="1"/>
  <c r="P60" i="1"/>
  <c r="O60" i="1"/>
  <c r="N60" i="1"/>
  <c r="M60" i="1"/>
  <c r="L60" i="1"/>
  <c r="K60" i="1"/>
  <c r="J60" i="1"/>
  <c r="I60" i="1"/>
  <c r="H60" i="1"/>
  <c r="G60" i="1"/>
  <c r="F60" i="1"/>
  <c r="AF55" i="1"/>
  <c r="AE55" i="1"/>
  <c r="AD55" i="1"/>
  <c r="AC55" i="1"/>
  <c r="AC125" i="12" s="1"/>
  <c r="AB55" i="1"/>
  <c r="AA55" i="1"/>
  <c r="Z55" i="1"/>
  <c r="Y55" i="1"/>
  <c r="X55" i="1"/>
  <c r="W55" i="1"/>
  <c r="V55" i="1"/>
  <c r="U55" i="1"/>
  <c r="T55" i="1"/>
  <c r="S55" i="1"/>
  <c r="R55" i="1"/>
  <c r="Q55" i="1"/>
  <c r="P55" i="1"/>
  <c r="O55" i="1"/>
  <c r="N55" i="1"/>
  <c r="M55" i="1"/>
  <c r="L55" i="1"/>
  <c r="K55" i="1"/>
  <c r="J55" i="1"/>
  <c r="I55" i="1"/>
  <c r="H55" i="1"/>
  <c r="G55" i="1"/>
  <c r="F55" i="1"/>
  <c r="AF53" i="1"/>
  <c r="AE53" i="1"/>
  <c r="AD53" i="1"/>
  <c r="AC53" i="1"/>
  <c r="AC159" i="12" s="1"/>
  <c r="AB53" i="1"/>
  <c r="AA53" i="1"/>
  <c r="Z53" i="1"/>
  <c r="Y53" i="1"/>
  <c r="X53" i="1"/>
  <c r="W53" i="1"/>
  <c r="V53" i="1"/>
  <c r="U53" i="1"/>
  <c r="T53" i="1"/>
  <c r="S53" i="1"/>
  <c r="R53" i="1"/>
  <c r="Q53" i="1"/>
  <c r="P53" i="1"/>
  <c r="O53" i="1"/>
  <c r="N53" i="1"/>
  <c r="M53" i="1"/>
  <c r="L53" i="1"/>
  <c r="K53" i="1"/>
  <c r="J53" i="1"/>
  <c r="I53" i="1"/>
  <c r="H53" i="1"/>
  <c r="G53" i="1"/>
  <c r="F53" i="1"/>
  <c r="AF51" i="1"/>
  <c r="AE51" i="1"/>
  <c r="AD51" i="1"/>
  <c r="AC51" i="1"/>
  <c r="AC105" i="12" s="1"/>
  <c r="AB51" i="1"/>
  <c r="AA51" i="1"/>
  <c r="Z51" i="1"/>
  <c r="Y51" i="1"/>
  <c r="X51" i="1"/>
  <c r="W51" i="1"/>
  <c r="V51" i="1"/>
  <c r="U51" i="1"/>
  <c r="T51" i="1"/>
  <c r="S51" i="1"/>
  <c r="R51" i="1"/>
  <c r="Q51" i="1"/>
  <c r="P51" i="1"/>
  <c r="O51" i="1"/>
  <c r="N51" i="1"/>
  <c r="M51" i="1"/>
  <c r="L51" i="1"/>
  <c r="K51" i="1"/>
  <c r="J51" i="1"/>
  <c r="I51" i="1"/>
  <c r="H51" i="1"/>
  <c r="G51" i="1"/>
  <c r="F51" i="1"/>
  <c r="AF50" i="1"/>
  <c r="AE50" i="1"/>
  <c r="AD50" i="1"/>
  <c r="AC50" i="1"/>
  <c r="AC103" i="12" s="1"/>
  <c r="AB50" i="1"/>
  <c r="AA50" i="1"/>
  <c r="Z50" i="1"/>
  <c r="Y50" i="1"/>
  <c r="X50" i="1"/>
  <c r="W50" i="1"/>
  <c r="V50" i="1"/>
  <c r="U50" i="1"/>
  <c r="T50" i="1"/>
  <c r="S50" i="1"/>
  <c r="R50" i="1"/>
  <c r="Q50" i="1"/>
  <c r="P50" i="1"/>
  <c r="O50" i="1"/>
  <c r="N50" i="1"/>
  <c r="M50" i="1"/>
  <c r="L50" i="1"/>
  <c r="K50" i="1"/>
  <c r="J50" i="1"/>
  <c r="I50" i="1"/>
  <c r="H50" i="1"/>
  <c r="G50" i="1"/>
  <c r="F50" i="1"/>
  <c r="AF49" i="1"/>
  <c r="AE49" i="1"/>
  <c r="AD49" i="1"/>
  <c r="AC49" i="1"/>
  <c r="AC104" i="12" s="1"/>
  <c r="AB49" i="1"/>
  <c r="AA49" i="1"/>
  <c r="Z49" i="1"/>
  <c r="Y49" i="1"/>
  <c r="X49" i="1"/>
  <c r="W49" i="1"/>
  <c r="V49" i="1"/>
  <c r="U49" i="1"/>
  <c r="T49" i="1"/>
  <c r="S49" i="1"/>
  <c r="R49" i="1"/>
  <c r="Q49" i="1"/>
  <c r="P49" i="1"/>
  <c r="O49" i="1"/>
  <c r="N49" i="1"/>
  <c r="M49" i="1"/>
  <c r="L49" i="1"/>
  <c r="K49" i="1"/>
  <c r="J49" i="1"/>
  <c r="I49" i="1"/>
  <c r="H49" i="1"/>
  <c r="G49" i="1"/>
  <c r="F49" i="1"/>
  <c r="AF47" i="1"/>
  <c r="AE47" i="1"/>
  <c r="AD47" i="1"/>
  <c r="AC47" i="1"/>
  <c r="AC83" i="12" s="1"/>
  <c r="AB47" i="1"/>
  <c r="AA47" i="1"/>
  <c r="Z47" i="1"/>
  <c r="Y47" i="1"/>
  <c r="X47" i="1"/>
  <c r="W47" i="1"/>
  <c r="V47" i="1"/>
  <c r="U47" i="1"/>
  <c r="T47" i="1"/>
  <c r="S47" i="1"/>
  <c r="R47" i="1"/>
  <c r="Q47" i="1"/>
  <c r="P47" i="1"/>
  <c r="O47" i="1"/>
  <c r="N47" i="1"/>
  <c r="M47" i="1"/>
  <c r="L47" i="1"/>
  <c r="K47" i="1"/>
  <c r="J47" i="1"/>
  <c r="I47" i="1"/>
  <c r="H47" i="1"/>
  <c r="G47" i="1"/>
  <c r="F47" i="1"/>
  <c r="AF46" i="1"/>
  <c r="AE46" i="1"/>
  <c r="AD46" i="1"/>
  <c r="AC46" i="1"/>
  <c r="AC81" i="12" s="1"/>
  <c r="AB46" i="1"/>
  <c r="AA46" i="1"/>
  <c r="Z46" i="1"/>
  <c r="Y46" i="1"/>
  <c r="X46" i="1"/>
  <c r="W46" i="1"/>
  <c r="V46" i="1"/>
  <c r="U46" i="1"/>
  <c r="T46" i="1"/>
  <c r="S46" i="1"/>
  <c r="R46" i="1"/>
  <c r="Q46" i="1"/>
  <c r="P46" i="1"/>
  <c r="O46" i="1"/>
  <c r="N46" i="1"/>
  <c r="M46" i="1"/>
  <c r="L46" i="1"/>
  <c r="K46" i="1"/>
  <c r="J46" i="1"/>
  <c r="I46" i="1"/>
  <c r="H46" i="1"/>
  <c r="G46" i="1"/>
  <c r="F46" i="1"/>
  <c r="AF45" i="1"/>
  <c r="AE45" i="1"/>
  <c r="AD45" i="1"/>
  <c r="AC45" i="1"/>
  <c r="AC82" i="12" s="1"/>
  <c r="AB45" i="1"/>
  <c r="AA45" i="1"/>
  <c r="Z45" i="1"/>
  <c r="Y45" i="1"/>
  <c r="X45" i="1"/>
  <c r="W45" i="1"/>
  <c r="V45" i="1"/>
  <c r="U45" i="1"/>
  <c r="T45" i="1"/>
  <c r="S45" i="1"/>
  <c r="R45" i="1"/>
  <c r="Q45" i="1"/>
  <c r="P45" i="1"/>
  <c r="O45" i="1"/>
  <c r="N45" i="1"/>
  <c r="M45" i="1"/>
  <c r="L45" i="1"/>
  <c r="K45" i="1"/>
  <c r="J45" i="1"/>
  <c r="I45" i="1"/>
  <c r="H45" i="1"/>
  <c r="G45" i="1"/>
  <c r="F45" i="1"/>
  <c r="AF43" i="1"/>
  <c r="AE43" i="1"/>
  <c r="AD43" i="1"/>
  <c r="AC43" i="1"/>
  <c r="AC94" i="12" s="1"/>
  <c r="AB43" i="1"/>
  <c r="AA43" i="1"/>
  <c r="Z43" i="1"/>
  <c r="Y43" i="1"/>
  <c r="X43" i="1"/>
  <c r="W43" i="1"/>
  <c r="V43" i="1"/>
  <c r="U43" i="1"/>
  <c r="T43" i="1"/>
  <c r="S43" i="1"/>
  <c r="R43" i="1"/>
  <c r="Q43" i="1"/>
  <c r="P43" i="1"/>
  <c r="O43" i="1"/>
  <c r="N43" i="1"/>
  <c r="M43" i="1"/>
  <c r="L43" i="1"/>
  <c r="K43" i="1"/>
  <c r="J43" i="1"/>
  <c r="I43" i="1"/>
  <c r="H43" i="1"/>
  <c r="G43" i="1"/>
  <c r="F43" i="1"/>
  <c r="AF42" i="1"/>
  <c r="AE42" i="1"/>
  <c r="AD42" i="1"/>
  <c r="AC42" i="1"/>
  <c r="AB42" i="1"/>
  <c r="AA42" i="1"/>
  <c r="Z42" i="1"/>
  <c r="Y42" i="1"/>
  <c r="X42" i="1"/>
  <c r="W42" i="1"/>
  <c r="V42" i="1"/>
  <c r="U42" i="1"/>
  <c r="T42" i="1"/>
  <c r="S42" i="1"/>
  <c r="R42" i="1"/>
  <c r="Q42" i="1"/>
  <c r="P42" i="1"/>
  <c r="O42" i="1"/>
  <c r="N42" i="1"/>
  <c r="M42" i="1"/>
  <c r="L42" i="1"/>
  <c r="K42" i="1"/>
  <c r="J42" i="1"/>
  <c r="I42" i="1"/>
  <c r="H42" i="1"/>
  <c r="G42" i="1"/>
  <c r="F42" i="1"/>
  <c r="AF41" i="1"/>
  <c r="AE41" i="1"/>
  <c r="AD41" i="1"/>
  <c r="AC41" i="1"/>
  <c r="AC54" i="12" s="1"/>
  <c r="AB41" i="1"/>
  <c r="AA41" i="1"/>
  <c r="Z41" i="1"/>
  <c r="Y41" i="1"/>
  <c r="X41" i="1"/>
  <c r="W41" i="1"/>
  <c r="V41" i="1"/>
  <c r="U41" i="1"/>
  <c r="T41" i="1"/>
  <c r="S41" i="1"/>
  <c r="R41" i="1"/>
  <c r="Q41" i="1"/>
  <c r="P41" i="1"/>
  <c r="O41" i="1"/>
  <c r="N41" i="1"/>
  <c r="M41" i="1"/>
  <c r="L41" i="1"/>
  <c r="K41" i="1"/>
  <c r="J41" i="1"/>
  <c r="I41" i="1"/>
  <c r="H41" i="1"/>
  <c r="G41" i="1"/>
  <c r="F41" i="1"/>
  <c r="AF39" i="1"/>
  <c r="AE39" i="1"/>
  <c r="AD39" i="1"/>
  <c r="AC39" i="1"/>
  <c r="AC64" i="12" s="1"/>
  <c r="AB39" i="1"/>
  <c r="AA39" i="1"/>
  <c r="Z39" i="1"/>
  <c r="Y39" i="1"/>
  <c r="X39" i="1"/>
  <c r="W39" i="1"/>
  <c r="V39" i="1"/>
  <c r="U39" i="1"/>
  <c r="T39" i="1"/>
  <c r="S39" i="1"/>
  <c r="R39" i="1"/>
  <c r="Q39" i="1"/>
  <c r="P39" i="1"/>
  <c r="O39" i="1"/>
  <c r="N39" i="1"/>
  <c r="M39" i="1"/>
  <c r="L39" i="1"/>
  <c r="K39" i="1"/>
  <c r="J39" i="1"/>
  <c r="I39" i="1"/>
  <c r="H39" i="1"/>
  <c r="G39" i="1"/>
  <c r="F39" i="1"/>
  <c r="AF38" i="1"/>
  <c r="AE38" i="1"/>
  <c r="AD38" i="1"/>
  <c r="AC38" i="1"/>
  <c r="AC29" i="12" s="1"/>
  <c r="AB38" i="1"/>
  <c r="AA38" i="1"/>
  <c r="Z38" i="1"/>
  <c r="Y38" i="1"/>
  <c r="X38" i="1"/>
  <c r="W38" i="1"/>
  <c r="V38" i="1"/>
  <c r="U38" i="1"/>
  <c r="T38" i="1"/>
  <c r="S38" i="1"/>
  <c r="R38" i="1"/>
  <c r="Q38" i="1"/>
  <c r="P38" i="1"/>
  <c r="O38" i="1"/>
  <c r="N38" i="1"/>
  <c r="M38" i="1"/>
  <c r="L38" i="1"/>
  <c r="K38" i="1"/>
  <c r="J38" i="1"/>
  <c r="I38" i="1"/>
  <c r="H38" i="1"/>
  <c r="G38" i="1"/>
  <c r="F38" i="1"/>
  <c r="AF35" i="1"/>
  <c r="AE35" i="1"/>
  <c r="AD35" i="1"/>
  <c r="AC35" i="1"/>
  <c r="AB35" i="1"/>
  <c r="AA35" i="1"/>
  <c r="Z35" i="1"/>
  <c r="Y35" i="1"/>
  <c r="X35" i="1"/>
  <c r="W35" i="1"/>
  <c r="V35" i="1"/>
  <c r="U35" i="1"/>
  <c r="T35" i="1"/>
  <c r="S35" i="1"/>
  <c r="R35" i="1"/>
  <c r="Q35" i="1"/>
  <c r="P35" i="1"/>
  <c r="O35" i="1"/>
  <c r="N35" i="1"/>
  <c r="M35" i="1"/>
  <c r="L35" i="1"/>
  <c r="K35" i="1"/>
  <c r="J35" i="1"/>
  <c r="I35" i="1"/>
  <c r="H35" i="1"/>
  <c r="G35" i="1"/>
  <c r="F35"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AF32" i="1"/>
  <c r="AE32" i="1"/>
  <c r="AD32" i="1"/>
  <c r="AC32" i="1"/>
  <c r="AC27" i="12" s="1"/>
  <c r="AB32" i="1"/>
  <c r="AA32" i="1"/>
  <c r="Z32" i="1"/>
  <c r="Y32" i="1"/>
  <c r="X32" i="1"/>
  <c r="W32" i="1"/>
  <c r="V32" i="1"/>
  <c r="U32" i="1"/>
  <c r="T32" i="1"/>
  <c r="S32" i="1"/>
  <c r="R32" i="1"/>
  <c r="Q32" i="1"/>
  <c r="P32" i="1"/>
  <c r="O32" i="1"/>
  <c r="N32" i="1"/>
  <c r="M32" i="1"/>
  <c r="L32" i="1"/>
  <c r="K32" i="1"/>
  <c r="J32" i="1"/>
  <c r="I32" i="1"/>
  <c r="H32" i="1"/>
  <c r="G32" i="1"/>
  <c r="F32" i="1"/>
  <c r="AF28" i="1"/>
  <c r="AE28" i="1"/>
  <c r="AD28" i="1"/>
  <c r="AC28" i="1"/>
  <c r="AC23" i="12" s="1"/>
  <c r="AB28" i="1"/>
  <c r="AA28" i="1"/>
  <c r="Z28" i="1"/>
  <c r="Y28" i="1"/>
  <c r="X28" i="1"/>
  <c r="W28" i="1"/>
  <c r="V28" i="1"/>
  <c r="U28" i="1"/>
  <c r="T28" i="1"/>
  <c r="S28" i="1"/>
  <c r="R28" i="1"/>
  <c r="Q28" i="1"/>
  <c r="P28" i="1"/>
  <c r="O28" i="1"/>
  <c r="N28" i="1"/>
  <c r="M28" i="1"/>
  <c r="L28" i="1"/>
  <c r="K28" i="1"/>
  <c r="J28" i="1"/>
  <c r="I28" i="1"/>
  <c r="H28" i="1"/>
  <c r="G28" i="1"/>
  <c r="F28" i="1"/>
  <c r="AF27" i="1"/>
  <c r="AE27" i="1"/>
  <c r="AD27" i="1"/>
  <c r="AC27" i="1"/>
  <c r="AC22" i="12" s="1"/>
  <c r="AB27" i="1"/>
  <c r="AA27" i="1"/>
  <c r="Z27" i="1"/>
  <c r="Y27" i="1"/>
  <c r="X27" i="1"/>
  <c r="W27" i="1"/>
  <c r="V27" i="1"/>
  <c r="U27" i="1"/>
  <c r="T27" i="1"/>
  <c r="S27" i="1"/>
  <c r="R27" i="1"/>
  <c r="Q27" i="1"/>
  <c r="P27" i="1"/>
  <c r="O27" i="1"/>
  <c r="N27" i="1"/>
  <c r="M27" i="1"/>
  <c r="L27" i="1"/>
  <c r="K27" i="1"/>
  <c r="J27" i="1"/>
  <c r="I27" i="1"/>
  <c r="H27" i="1"/>
  <c r="G27" i="1"/>
  <c r="F27" i="1"/>
  <c r="AF26" i="1"/>
  <c r="AE26" i="1"/>
  <c r="AD26" i="1"/>
  <c r="AC26" i="1"/>
  <c r="AC21" i="12" s="1"/>
  <c r="AB26" i="1"/>
  <c r="AA26" i="1"/>
  <c r="Z26" i="1"/>
  <c r="Y26" i="1"/>
  <c r="X26" i="1"/>
  <c r="W26" i="1"/>
  <c r="V26" i="1"/>
  <c r="U26" i="1"/>
  <c r="T26" i="1"/>
  <c r="S26" i="1"/>
  <c r="R26" i="1"/>
  <c r="Q26" i="1"/>
  <c r="P26" i="1"/>
  <c r="O26" i="1"/>
  <c r="N26" i="1"/>
  <c r="M26" i="1"/>
  <c r="L26" i="1"/>
  <c r="K26" i="1"/>
  <c r="J26" i="1"/>
  <c r="I26" i="1"/>
  <c r="H26" i="1"/>
  <c r="G26" i="1"/>
  <c r="F26" i="1"/>
  <c r="AF22" i="1"/>
  <c r="AE22" i="1"/>
  <c r="AD22" i="1"/>
  <c r="AC22" i="1"/>
  <c r="AC13" i="12" s="1"/>
  <c r="AB22" i="1"/>
  <c r="AA22" i="1"/>
  <c r="Z22" i="1"/>
  <c r="Y22" i="1"/>
  <c r="X22" i="1"/>
  <c r="W22" i="1"/>
  <c r="V22" i="1"/>
  <c r="U22" i="1"/>
  <c r="T22" i="1"/>
  <c r="S22" i="1"/>
  <c r="R22" i="1"/>
  <c r="Q22" i="1"/>
  <c r="P22" i="1"/>
  <c r="O22" i="1"/>
  <c r="N22" i="1"/>
  <c r="M22" i="1"/>
  <c r="L22" i="1"/>
  <c r="K22" i="1"/>
  <c r="J22" i="1"/>
  <c r="I22" i="1"/>
  <c r="H22" i="1"/>
  <c r="G22" i="1"/>
  <c r="F22" i="1"/>
  <c r="AF19" i="1"/>
  <c r="AE19" i="1"/>
  <c r="AD19" i="1"/>
  <c r="AC19" i="1"/>
  <c r="AC7" i="12" s="1"/>
  <c r="AB19" i="1"/>
  <c r="AA19" i="1"/>
  <c r="Z19" i="1"/>
  <c r="Y19" i="1"/>
  <c r="X19" i="1"/>
  <c r="W19" i="1"/>
  <c r="V19" i="1"/>
  <c r="U19" i="1"/>
  <c r="T19" i="1"/>
  <c r="S19" i="1"/>
  <c r="R19" i="1"/>
  <c r="Q19" i="1"/>
  <c r="P19" i="1"/>
  <c r="O19" i="1"/>
  <c r="N19" i="1"/>
  <c r="M19" i="1"/>
  <c r="L19" i="1"/>
  <c r="K19" i="1"/>
  <c r="J19" i="1"/>
  <c r="I19" i="1"/>
  <c r="H19" i="1"/>
  <c r="G19" i="1"/>
  <c r="F19" i="1"/>
  <c r="AF222" i="1"/>
  <c r="AE222" i="1"/>
  <c r="AD222" i="1"/>
  <c r="AC222" i="1"/>
  <c r="AC36" i="8" s="1"/>
  <c r="AB222" i="1"/>
  <c r="AB36" i="8" s="1"/>
  <c r="AA222" i="1"/>
  <c r="Z222" i="1"/>
  <c r="Y222" i="1"/>
  <c r="X222" i="1"/>
  <c r="W222" i="1"/>
  <c r="V222" i="1"/>
  <c r="U222" i="1"/>
  <c r="T222" i="1"/>
  <c r="S222" i="1"/>
  <c r="R222" i="1"/>
  <c r="Q222" i="1"/>
  <c r="P222" i="1"/>
  <c r="O222" i="1"/>
  <c r="N222" i="1"/>
  <c r="M222" i="1"/>
  <c r="L222" i="1"/>
  <c r="K222" i="1"/>
  <c r="J222" i="1"/>
  <c r="I222" i="1"/>
  <c r="H222" i="1"/>
  <c r="G222" i="1"/>
  <c r="F222" i="1"/>
  <c r="AF17" i="1"/>
  <c r="AE17" i="1"/>
  <c r="AD17" i="1"/>
  <c r="AC17" i="1"/>
  <c r="AC38" i="8" s="1"/>
  <c r="AB17" i="1"/>
  <c r="AA17" i="1"/>
  <c r="Z17" i="1"/>
  <c r="Y17" i="1"/>
  <c r="X17" i="1"/>
  <c r="W17" i="1"/>
  <c r="V17" i="1"/>
  <c r="U17" i="1"/>
  <c r="T17" i="1"/>
  <c r="S17" i="1"/>
  <c r="R17" i="1"/>
  <c r="Q17" i="1"/>
  <c r="P17" i="1"/>
  <c r="O17" i="1"/>
  <c r="N17" i="1"/>
  <c r="M17" i="1"/>
  <c r="L17" i="1"/>
  <c r="K17" i="1"/>
  <c r="J17" i="1"/>
  <c r="I17" i="1"/>
  <c r="H17" i="1"/>
  <c r="G17" i="1"/>
  <c r="F17" i="1"/>
  <c r="AF8" i="1"/>
  <c r="AE8" i="1"/>
  <c r="AD8" i="1"/>
  <c r="AC8" i="1"/>
  <c r="AC32" i="8" s="1"/>
  <c r="AB8" i="1"/>
  <c r="AA8" i="1"/>
  <c r="Z8" i="1"/>
  <c r="Y8" i="1"/>
  <c r="X8" i="1"/>
  <c r="W8" i="1"/>
  <c r="V8" i="1"/>
  <c r="U8" i="1"/>
  <c r="T8" i="1"/>
  <c r="S8" i="1"/>
  <c r="R8" i="1"/>
  <c r="Q8" i="1"/>
  <c r="P8" i="1"/>
  <c r="O8" i="1"/>
  <c r="N8" i="1"/>
  <c r="M8" i="1"/>
  <c r="L8" i="1"/>
  <c r="K8" i="1"/>
  <c r="J8" i="1"/>
  <c r="I8" i="1"/>
  <c r="H8" i="1"/>
  <c r="G8" i="1"/>
  <c r="F8" i="1"/>
  <c r="AF7" i="1"/>
  <c r="AE7" i="1"/>
  <c r="AD7" i="1"/>
  <c r="AC7" i="1"/>
  <c r="AC34" i="8" s="1"/>
  <c r="AB7" i="1"/>
  <c r="AA7" i="1"/>
  <c r="Z7" i="1"/>
  <c r="Y7" i="1"/>
  <c r="X7" i="1"/>
  <c r="W7" i="1"/>
  <c r="V7" i="1"/>
  <c r="U7" i="1"/>
  <c r="T7" i="1"/>
  <c r="S7" i="1"/>
  <c r="R7" i="1"/>
  <c r="Q7" i="1"/>
  <c r="P7" i="1"/>
  <c r="O7" i="1"/>
  <c r="N7" i="1"/>
  <c r="M7" i="1"/>
  <c r="L7" i="1"/>
  <c r="K7" i="1"/>
  <c r="J7" i="1"/>
  <c r="I7" i="1"/>
  <c r="H7" i="1"/>
  <c r="G7" i="1"/>
  <c r="F7" i="1"/>
  <c r="AF6" i="1"/>
  <c r="AE6" i="1"/>
  <c r="AD6" i="1"/>
  <c r="AC6" i="1"/>
  <c r="AB6" i="1"/>
  <c r="AB10" i="8" s="1"/>
  <c r="AC10" i="8" s="1"/>
  <c r="AA6" i="1"/>
  <c r="Z6" i="1"/>
  <c r="Y6" i="1"/>
  <c r="X6" i="1"/>
  <c r="W6" i="1"/>
  <c r="V6" i="1"/>
  <c r="U6" i="1"/>
  <c r="T6" i="1"/>
  <c r="S6" i="1"/>
  <c r="R6" i="1"/>
  <c r="Q6" i="1"/>
  <c r="P6" i="1"/>
  <c r="O6" i="1"/>
  <c r="N6" i="1"/>
  <c r="M6" i="1"/>
  <c r="L6" i="1"/>
  <c r="K6" i="1"/>
  <c r="J6" i="1"/>
  <c r="I6" i="1"/>
  <c r="H6" i="1"/>
  <c r="G6" i="1"/>
  <c r="F6" i="1"/>
  <c r="AF5" i="1"/>
  <c r="AE5" i="1"/>
  <c r="AD5" i="1"/>
  <c r="AC5" i="1"/>
  <c r="AB5" i="1"/>
  <c r="AB7" i="8" s="1"/>
  <c r="AC7" i="8" s="1"/>
  <c r="AA5" i="1"/>
  <c r="Z5" i="1"/>
  <c r="Y5" i="1"/>
  <c r="X5" i="1"/>
  <c r="W5" i="1"/>
  <c r="V5" i="1"/>
  <c r="U5" i="1"/>
  <c r="T5" i="1"/>
  <c r="S5" i="1"/>
  <c r="R5" i="1"/>
  <c r="Q5" i="1"/>
  <c r="P5" i="1"/>
  <c r="O5" i="1"/>
  <c r="N5" i="1"/>
  <c r="M5" i="1"/>
  <c r="L5" i="1"/>
  <c r="K5" i="1"/>
  <c r="J5" i="1"/>
  <c r="I5" i="1"/>
  <c r="H5" i="1"/>
  <c r="G5" i="1"/>
  <c r="F5" i="1"/>
  <c r="AF4" i="1"/>
  <c r="AE4" i="1"/>
  <c r="AD4" i="1"/>
  <c r="AC4" i="1"/>
  <c r="AB4" i="1"/>
  <c r="AB5" i="8" s="1"/>
  <c r="AC5" i="8" s="1"/>
  <c r="AA4" i="1"/>
  <c r="Z4" i="1"/>
  <c r="Y4" i="1"/>
  <c r="X4" i="1"/>
  <c r="W4" i="1"/>
  <c r="V4" i="1"/>
  <c r="U4" i="1"/>
  <c r="T4" i="1"/>
  <c r="S4" i="1"/>
  <c r="R4" i="1"/>
  <c r="Q4" i="1"/>
  <c r="P4" i="1"/>
  <c r="O4" i="1"/>
  <c r="N4" i="1"/>
  <c r="M4" i="1"/>
  <c r="L4" i="1"/>
  <c r="K4" i="1"/>
  <c r="J4" i="1"/>
  <c r="I4" i="1"/>
  <c r="H4" i="1"/>
  <c r="G4" i="1"/>
  <c r="F4" i="1"/>
  <c r="CS149" i="17" l="1"/>
  <c r="AC33" i="8"/>
  <c r="AD27" i="8"/>
  <c r="AG31" i="8"/>
  <c r="DP117" i="11"/>
  <c r="AC17" i="7"/>
  <c r="AC35" i="8"/>
  <c r="CU71" i="17"/>
  <c r="CT87" i="17"/>
  <c r="CT149" i="17"/>
  <c r="CU171" i="17"/>
  <c r="CT184" i="17"/>
  <c r="CT110" i="17"/>
  <c r="CT23" i="17"/>
  <c r="CT46" i="17"/>
  <c r="CU22" i="17"/>
  <c r="CT27" i="17"/>
  <c r="AC388" i="12"/>
  <c r="CT263" i="17"/>
  <c r="CU228" i="17"/>
  <c r="CT241" i="17"/>
  <c r="CT240" i="17" s="1"/>
  <c r="AC326" i="12"/>
  <c r="DP63" i="11"/>
  <c r="AC294" i="12"/>
  <c r="DP95" i="11"/>
  <c r="DQ95" i="11" s="1"/>
  <c r="DP58" i="11"/>
  <c r="DP102" i="11"/>
  <c r="AD81" i="12"/>
  <c r="AC231" i="12"/>
  <c r="AC249" i="12"/>
  <c r="DP118" i="11"/>
  <c r="DP60" i="11"/>
  <c r="AC299" i="12"/>
  <c r="AC285" i="12"/>
  <c r="AC322" i="12"/>
  <c r="AC325" i="12"/>
  <c r="AC248" i="12"/>
  <c r="DP50" i="11"/>
  <c r="AC283" i="12"/>
  <c r="DP86" i="11"/>
  <c r="DP35" i="11"/>
  <c r="AC361" i="12"/>
  <c r="AC247" i="12"/>
  <c r="DP48" i="11"/>
  <c r="DP59" i="11"/>
  <c r="AC284" i="12"/>
  <c r="DP87" i="11"/>
  <c r="DP101" i="11"/>
  <c r="AC290" i="12"/>
  <c r="DP94" i="11"/>
  <c r="DQ94" i="11" s="1"/>
  <c r="AC293" i="12"/>
  <c r="CS263" i="17"/>
  <c r="AB136" i="8"/>
  <c r="AB133" i="8"/>
  <c r="AB166" i="8"/>
  <c r="AB108" i="7"/>
  <c r="CR149" i="17"/>
  <c r="CS241" i="17"/>
  <c r="CS46" i="17"/>
  <c r="CS184" i="17"/>
  <c r="CS110" i="17"/>
  <c r="CS27" i="17"/>
  <c r="CS87" i="17"/>
  <c r="CQ250" i="17"/>
  <c r="CR250" i="17"/>
  <c r="CR263" i="17"/>
  <c r="AB107" i="7"/>
  <c r="AC107" i="7" s="1"/>
  <c r="DK71" i="11"/>
  <c r="AB236" i="12"/>
  <c r="AB168" i="8"/>
  <c r="AB522" i="7"/>
  <c r="H575" i="7"/>
  <c r="G51" i="7"/>
  <c r="G85" i="7"/>
  <c r="G100" i="7"/>
  <c r="I425" i="7"/>
  <c r="I745" i="7"/>
  <c r="J211" i="7"/>
  <c r="J753" i="7"/>
  <c r="I657" i="7"/>
  <c r="I308" i="7"/>
  <c r="H754" i="7"/>
  <c r="H337" i="7"/>
  <c r="J761" i="7"/>
  <c r="J528" i="7"/>
  <c r="I93" i="7"/>
  <c r="I99" i="7"/>
  <c r="K210" i="7"/>
  <c r="I730" i="7"/>
  <c r="I307" i="7"/>
  <c r="H403" i="7"/>
  <c r="K523" i="7"/>
  <c r="K741" i="7"/>
  <c r="K527" i="7"/>
  <c r="K92" i="7"/>
  <c r="K98" i="7"/>
  <c r="K89" i="7"/>
  <c r="H18" i="7"/>
  <c r="H75" i="7"/>
  <c r="K209" i="7"/>
  <c r="J712" i="7"/>
  <c r="J271" i="7"/>
  <c r="I333" i="7"/>
  <c r="I714" i="7"/>
  <c r="I526" i="7"/>
  <c r="I724" i="7"/>
  <c r="I523" i="7"/>
  <c r="K151" i="7"/>
  <c r="K771" i="7"/>
  <c r="I529" i="7"/>
  <c r="I788" i="7"/>
  <c r="J17" i="7"/>
  <c r="J14" i="7"/>
  <c r="H124" i="7"/>
  <c r="K441" i="7"/>
  <c r="K85" i="7"/>
  <c r="K100" i="7"/>
  <c r="K94" i="7"/>
  <c r="J34" i="7"/>
  <c r="J624" i="7"/>
  <c r="J691" i="7"/>
  <c r="J22" i="7"/>
  <c r="K659" i="7"/>
  <c r="K59" i="7"/>
  <c r="I693" i="7"/>
  <c r="I625" i="7"/>
  <c r="I213" i="7"/>
  <c r="K266" i="7"/>
  <c r="G656" i="7"/>
  <c r="J487" i="7"/>
  <c r="J484" i="7"/>
  <c r="J630" i="7"/>
  <c r="J497" i="7"/>
  <c r="K695" i="7"/>
  <c r="K494" i="7"/>
  <c r="I495" i="7"/>
  <c r="I696" i="7"/>
  <c r="I550" i="7"/>
  <c r="I760" i="7"/>
  <c r="G731" i="7"/>
  <c r="G741" i="7"/>
  <c r="G98" i="7"/>
  <c r="G89" i="7"/>
  <c r="G713" i="7"/>
  <c r="G771" i="7"/>
  <c r="I575" i="7"/>
  <c r="G14" i="7"/>
  <c r="I124" i="7"/>
  <c r="K433" i="7"/>
  <c r="K655" i="7"/>
  <c r="G691" i="7"/>
  <c r="G34" i="7"/>
  <c r="G624" i="7"/>
  <c r="I20" i="7"/>
  <c r="I751" i="7"/>
  <c r="I424" i="7"/>
  <c r="I85" i="7"/>
  <c r="K148" i="7"/>
  <c r="K746" i="7"/>
  <c r="I658" i="7"/>
  <c r="I150" i="7"/>
  <c r="I163" i="7"/>
  <c r="J625" i="7"/>
  <c r="J693" i="7"/>
  <c r="J213" i="7"/>
  <c r="K211" i="7"/>
  <c r="K753" i="7"/>
  <c r="I255" i="7"/>
  <c r="I265" i="7"/>
  <c r="I694" i="7"/>
  <c r="K338" i="7"/>
  <c r="K747" i="7"/>
  <c r="I337" i="7"/>
  <c r="I754" i="7"/>
  <c r="K484" i="7"/>
  <c r="K630" i="7"/>
  <c r="K497" i="7"/>
  <c r="K487" i="7"/>
  <c r="I759" i="7"/>
  <c r="I498" i="7"/>
  <c r="J760" i="7"/>
  <c r="J550" i="7"/>
  <c r="G761" i="7"/>
  <c r="J606" i="7"/>
  <c r="K602" i="7"/>
  <c r="H210" i="7"/>
  <c r="G729" i="7"/>
  <c r="H89" i="7"/>
  <c r="H98" i="7"/>
  <c r="H92" i="7"/>
  <c r="I18" i="7"/>
  <c r="I75" i="7"/>
  <c r="H209" i="7"/>
  <c r="K399" i="7"/>
  <c r="K402" i="7"/>
  <c r="J526" i="7"/>
  <c r="J523" i="7"/>
  <c r="J724" i="7"/>
  <c r="I502" i="7"/>
  <c r="I787" i="7"/>
  <c r="J101" i="7"/>
  <c r="J95" i="7"/>
  <c r="H17" i="7"/>
  <c r="H14" i="7"/>
  <c r="I54" i="7"/>
  <c r="I51" i="7"/>
  <c r="J124" i="7"/>
  <c r="I441" i="7"/>
  <c r="H655" i="7"/>
  <c r="H433" i="7"/>
  <c r="I94" i="7"/>
  <c r="I100" i="7"/>
  <c r="J112" i="7"/>
  <c r="J436" i="7"/>
  <c r="H34" i="7"/>
  <c r="H624" i="7"/>
  <c r="H691" i="7"/>
  <c r="H22" i="7"/>
  <c r="I659" i="7"/>
  <c r="I59" i="7"/>
  <c r="J751" i="7"/>
  <c r="J20" i="7"/>
  <c r="J424" i="7"/>
  <c r="J85" i="7"/>
  <c r="G745" i="7"/>
  <c r="G425" i="7"/>
  <c r="K425" i="7"/>
  <c r="K745" i="7"/>
  <c r="H148" i="7"/>
  <c r="H746" i="7"/>
  <c r="J163" i="7"/>
  <c r="J658" i="7"/>
  <c r="J150" i="7"/>
  <c r="G625" i="7"/>
  <c r="G693" i="7"/>
  <c r="K213" i="7"/>
  <c r="K693" i="7"/>
  <c r="K625" i="7"/>
  <c r="H753" i="7"/>
  <c r="H211" i="7"/>
  <c r="J266" i="7"/>
  <c r="I266" i="7"/>
  <c r="J265" i="7"/>
  <c r="J694" i="7"/>
  <c r="J255" i="7"/>
  <c r="G657" i="7"/>
  <c r="K308" i="7"/>
  <c r="K657" i="7"/>
  <c r="H747" i="7"/>
  <c r="H338" i="7"/>
  <c r="I656" i="7"/>
  <c r="I434" i="7"/>
  <c r="J337" i="7"/>
  <c r="J754" i="7"/>
  <c r="G755" i="7"/>
  <c r="K404" i="7"/>
  <c r="K755" i="7"/>
  <c r="H630" i="7"/>
  <c r="H484" i="7"/>
  <c r="H487" i="7"/>
  <c r="I695" i="7"/>
  <c r="I494" i="7"/>
  <c r="J498" i="7"/>
  <c r="J759" i="7"/>
  <c r="G696" i="7"/>
  <c r="K495" i="7"/>
  <c r="K696" i="7"/>
  <c r="G760" i="7"/>
  <c r="K550" i="7"/>
  <c r="K760" i="7"/>
  <c r="H761" i="7"/>
  <c r="H528" i="7"/>
  <c r="H602" i="7"/>
  <c r="K606" i="7"/>
  <c r="J174" i="7"/>
  <c r="J170" i="7"/>
  <c r="G99" i="7"/>
  <c r="K99" i="7"/>
  <c r="K93" i="7"/>
  <c r="H19" i="7"/>
  <c r="I56" i="7"/>
  <c r="I210" i="7"/>
  <c r="J728" i="7"/>
  <c r="J269" i="7"/>
  <c r="G730" i="7"/>
  <c r="K307" i="7"/>
  <c r="K730" i="7"/>
  <c r="H729" i="7"/>
  <c r="H336" i="7"/>
  <c r="I335" i="7"/>
  <c r="I731" i="7"/>
  <c r="J403" i="7"/>
  <c r="I741" i="7"/>
  <c r="I527" i="7"/>
  <c r="I98" i="7"/>
  <c r="I89" i="7"/>
  <c r="I92" i="7"/>
  <c r="J75" i="7"/>
  <c r="J18" i="7"/>
  <c r="I209" i="7"/>
  <c r="J268" i="7"/>
  <c r="J706" i="7"/>
  <c r="G707" i="7"/>
  <c r="K310" i="7"/>
  <c r="K707" i="7"/>
  <c r="H712" i="7"/>
  <c r="I713" i="7"/>
  <c r="I306" i="7"/>
  <c r="J708" i="7"/>
  <c r="J334" i="7"/>
  <c r="G714" i="7"/>
  <c r="K333" i="7"/>
  <c r="K714" i="7"/>
  <c r="H399" i="7"/>
  <c r="H402" i="7"/>
  <c r="G523" i="7"/>
  <c r="G724" i="7"/>
  <c r="K724" i="7"/>
  <c r="K526" i="7"/>
  <c r="H769" i="7"/>
  <c r="H58" i="7"/>
  <c r="I771" i="7"/>
  <c r="J502" i="7"/>
  <c r="J787" i="7"/>
  <c r="G788" i="7"/>
  <c r="K529" i="7"/>
  <c r="K788" i="7"/>
  <c r="H551" i="7"/>
  <c r="H95" i="7"/>
  <c r="H101" i="7"/>
  <c r="K54" i="7"/>
  <c r="K51" i="7"/>
  <c r="J655" i="7"/>
  <c r="J433" i="7"/>
  <c r="H436" i="7"/>
  <c r="H112" i="7"/>
  <c r="G659" i="7"/>
  <c r="H20" i="7"/>
  <c r="H85" i="7"/>
  <c r="H424" i="7"/>
  <c r="H751" i="7"/>
  <c r="J148" i="7"/>
  <c r="J746" i="7"/>
  <c r="H658" i="7"/>
  <c r="H150" i="7"/>
  <c r="H163" i="7"/>
  <c r="H266" i="7"/>
  <c r="H255" i="7"/>
  <c r="H694" i="7"/>
  <c r="H265" i="7"/>
  <c r="J747" i="7"/>
  <c r="J338" i="7"/>
  <c r="K434" i="7"/>
  <c r="K656" i="7"/>
  <c r="I404" i="7"/>
  <c r="I755" i="7"/>
  <c r="H494" i="7"/>
  <c r="G695" i="7"/>
  <c r="H759" i="7"/>
  <c r="H498" i="7"/>
  <c r="J602" i="7"/>
  <c r="I606" i="7"/>
  <c r="H170" i="7"/>
  <c r="H174" i="7"/>
  <c r="J19" i="7"/>
  <c r="J80" i="7"/>
  <c r="K56" i="7"/>
  <c r="H728" i="7"/>
  <c r="H269" i="7"/>
  <c r="J729" i="7"/>
  <c r="J336" i="7"/>
  <c r="K335" i="7"/>
  <c r="K731" i="7"/>
  <c r="H268" i="7"/>
  <c r="H706" i="7"/>
  <c r="I707" i="7"/>
  <c r="I310" i="7"/>
  <c r="K713" i="7"/>
  <c r="K306" i="7"/>
  <c r="H334" i="7"/>
  <c r="H708" i="7"/>
  <c r="J399" i="7"/>
  <c r="J402" i="7"/>
  <c r="J769" i="7"/>
  <c r="H787" i="7"/>
  <c r="H502" i="7"/>
  <c r="J551" i="7"/>
  <c r="I551" i="7"/>
  <c r="I101" i="7"/>
  <c r="I95" i="7"/>
  <c r="K17" i="7"/>
  <c r="K14" i="7"/>
  <c r="H54" i="7"/>
  <c r="H51" i="7"/>
  <c r="H441" i="7"/>
  <c r="G655" i="7"/>
  <c r="H94" i="7"/>
  <c r="H100" i="7"/>
  <c r="I112" i="7"/>
  <c r="I436" i="7"/>
  <c r="K34" i="7"/>
  <c r="K691" i="7"/>
  <c r="K22" i="7"/>
  <c r="K624" i="7"/>
  <c r="H59" i="7"/>
  <c r="H659" i="7"/>
  <c r="J745" i="7"/>
  <c r="J425" i="7"/>
  <c r="G746" i="7"/>
  <c r="G753" i="7"/>
  <c r="J308" i="7"/>
  <c r="J657" i="7"/>
  <c r="G747" i="7"/>
  <c r="H434" i="7"/>
  <c r="H656" i="7"/>
  <c r="J404" i="7"/>
  <c r="J755" i="7"/>
  <c r="H497" i="7"/>
  <c r="G484" i="7"/>
  <c r="G630" i="7"/>
  <c r="G487" i="7"/>
  <c r="H695" i="7"/>
  <c r="J495" i="7"/>
  <c r="J696" i="7"/>
  <c r="K761" i="7"/>
  <c r="K528" i="7"/>
  <c r="I170" i="7"/>
  <c r="J93" i="7"/>
  <c r="J99" i="7"/>
  <c r="G80" i="7"/>
  <c r="K80" i="7"/>
  <c r="K19" i="7"/>
  <c r="H56" i="7"/>
  <c r="I269" i="7"/>
  <c r="I728" i="7"/>
  <c r="J307" i="7"/>
  <c r="J730" i="7"/>
  <c r="K336" i="7"/>
  <c r="K729" i="7"/>
  <c r="H731" i="7"/>
  <c r="H335" i="7"/>
  <c r="I403" i="7"/>
  <c r="H527" i="7"/>
  <c r="H741" i="7"/>
  <c r="I268" i="7"/>
  <c r="I706" i="7"/>
  <c r="J310" i="7"/>
  <c r="J707" i="7"/>
  <c r="H271" i="7"/>
  <c r="G712" i="7"/>
  <c r="K712" i="7"/>
  <c r="K271" i="7"/>
  <c r="H713" i="7"/>
  <c r="H306" i="7"/>
  <c r="I334" i="7"/>
  <c r="I708" i="7"/>
  <c r="J714" i="7"/>
  <c r="J333" i="7"/>
  <c r="G399" i="7"/>
  <c r="G769" i="7"/>
  <c r="K58" i="7"/>
  <c r="K769" i="7"/>
  <c r="I151" i="7"/>
  <c r="H771" i="7"/>
  <c r="H151" i="7"/>
  <c r="J788" i="7"/>
  <c r="J529" i="7"/>
  <c r="J575" i="7"/>
  <c r="K551" i="7"/>
  <c r="K575" i="7"/>
  <c r="K101" i="7"/>
  <c r="K95" i="7"/>
  <c r="I17" i="7"/>
  <c r="I14" i="7"/>
  <c r="J54" i="7"/>
  <c r="J51" i="7"/>
  <c r="K124" i="7"/>
  <c r="J441" i="7"/>
  <c r="I433" i="7"/>
  <c r="I655" i="7"/>
  <c r="J94" i="7"/>
  <c r="J100" i="7"/>
  <c r="G112" i="7"/>
  <c r="K112" i="7"/>
  <c r="K436" i="7"/>
  <c r="I22" i="7"/>
  <c r="I34" i="7"/>
  <c r="I624" i="7"/>
  <c r="I691" i="7"/>
  <c r="J59" i="7"/>
  <c r="J659" i="7"/>
  <c r="G424" i="7"/>
  <c r="G751" i="7"/>
  <c r="K424" i="7"/>
  <c r="K751" i="7"/>
  <c r="K20" i="7"/>
  <c r="H425" i="7"/>
  <c r="H745" i="7"/>
  <c r="I746" i="7"/>
  <c r="I148" i="7"/>
  <c r="G163" i="7"/>
  <c r="G164" i="7" s="1"/>
  <c r="G588" i="7" s="1"/>
  <c r="G658" i="7"/>
  <c r="K150" i="7"/>
  <c r="K163" i="7"/>
  <c r="K658" i="7"/>
  <c r="H213" i="7"/>
  <c r="H625" i="7"/>
  <c r="H693" i="7"/>
  <c r="I211" i="7"/>
  <c r="I753" i="7"/>
  <c r="G255" i="7"/>
  <c r="G694" i="7"/>
  <c r="K694" i="7"/>
  <c r="K265" i="7"/>
  <c r="K255" i="7"/>
  <c r="H308" i="7"/>
  <c r="H657" i="7"/>
  <c r="I747" i="7"/>
  <c r="I338" i="7"/>
  <c r="J656" i="7"/>
  <c r="J434" i="7"/>
  <c r="G754" i="7"/>
  <c r="K337" i="7"/>
  <c r="K754" i="7"/>
  <c r="H755" i="7"/>
  <c r="H404" i="7"/>
  <c r="I487" i="7"/>
  <c r="I630" i="7"/>
  <c r="I484" i="7"/>
  <c r="I497" i="7"/>
  <c r="J695" i="7"/>
  <c r="J494" i="7"/>
  <c r="G759" i="7"/>
  <c r="K759" i="7"/>
  <c r="K498" i="7"/>
  <c r="H696" i="7"/>
  <c r="H495" i="7"/>
  <c r="H760" i="7"/>
  <c r="H550" i="7"/>
  <c r="I761" i="7"/>
  <c r="I528" i="7"/>
  <c r="I174" i="7"/>
  <c r="I602" i="7"/>
  <c r="H606" i="7"/>
  <c r="K174" i="7"/>
  <c r="K170" i="7"/>
  <c r="H80" i="7"/>
  <c r="H99" i="7"/>
  <c r="H93" i="7"/>
  <c r="I80" i="7"/>
  <c r="I19" i="7"/>
  <c r="J56" i="7"/>
  <c r="J210" i="7"/>
  <c r="G728" i="7"/>
  <c r="K269" i="7"/>
  <c r="K728" i="7"/>
  <c r="H307" i="7"/>
  <c r="H730" i="7"/>
  <c r="I729" i="7"/>
  <c r="I336" i="7"/>
  <c r="J335" i="7"/>
  <c r="J731" i="7"/>
  <c r="K403" i="7"/>
  <c r="J527" i="7"/>
  <c r="J741" i="7"/>
  <c r="J92" i="7"/>
  <c r="J89" i="7"/>
  <c r="J98" i="7"/>
  <c r="G75" i="7"/>
  <c r="K75" i="7"/>
  <c r="K18" i="7"/>
  <c r="J209" i="7"/>
  <c r="G706" i="7"/>
  <c r="K706" i="7"/>
  <c r="K268" i="7"/>
  <c r="H310" i="7"/>
  <c r="H707" i="7"/>
  <c r="I271" i="7"/>
  <c r="I712" i="7"/>
  <c r="J306" i="7"/>
  <c r="J713" i="7"/>
  <c r="G708" i="7"/>
  <c r="K334" i="7"/>
  <c r="K708" i="7"/>
  <c r="H714" i="7"/>
  <c r="H333" i="7"/>
  <c r="I402" i="7"/>
  <c r="I399" i="7"/>
  <c r="H526" i="7"/>
  <c r="H523" i="7"/>
  <c r="H724" i="7"/>
  <c r="J58" i="7"/>
  <c r="I769" i="7"/>
  <c r="I58" i="7"/>
  <c r="J771" i="7"/>
  <c r="J151" i="7"/>
  <c r="G787" i="7"/>
  <c r="K502" i="7"/>
  <c r="K787" i="7"/>
  <c r="H529" i="7"/>
  <c r="H788" i="7"/>
  <c r="AB322" i="12"/>
  <c r="AB290" i="12"/>
  <c r="CR110" i="17"/>
  <c r="CR87" i="17"/>
  <c r="CR241" i="17"/>
  <c r="CR184" i="17"/>
  <c r="CR27" i="17"/>
  <c r="CR46" i="17"/>
  <c r="CZ12" i="17"/>
  <c r="DA240" i="17"/>
  <c r="DA14" i="17" s="1"/>
  <c r="DP103" i="11" l="1"/>
  <c r="DP47" i="11"/>
  <c r="DP49" i="11" s="1"/>
  <c r="AC327" i="12"/>
  <c r="AC295" i="12"/>
  <c r="AC250" i="12"/>
  <c r="DP88" i="11"/>
  <c r="DI71" i="11"/>
  <c r="DH71" i="11" s="1"/>
  <c r="AB48" i="12" s="1"/>
  <c r="J697" i="7"/>
  <c r="I122" i="7"/>
  <c r="K709" i="7"/>
  <c r="H789" i="7"/>
  <c r="H790" i="7" s="1"/>
  <c r="H791" i="7" s="1"/>
  <c r="G789" i="7"/>
  <c r="G790" i="7" s="1"/>
  <c r="G791" i="7" s="1"/>
  <c r="K762" i="7"/>
  <c r="G709" i="7"/>
  <c r="K732" i="7"/>
  <c r="G748" i="7"/>
  <c r="G628" i="7" s="1"/>
  <c r="K789" i="7"/>
  <c r="K790" i="7" s="1"/>
  <c r="K791" i="7" s="1"/>
  <c r="K122" i="7"/>
  <c r="H122" i="7"/>
  <c r="J789" i="7"/>
  <c r="J790" i="7" s="1"/>
  <c r="J791" i="7" s="1"/>
  <c r="K663" i="7"/>
  <c r="H168" i="7"/>
  <c r="H173" i="7"/>
  <c r="H164" i="7"/>
  <c r="J626" i="7"/>
  <c r="J267" i="7"/>
  <c r="K781" i="7"/>
  <c r="K405" i="7"/>
  <c r="K499" i="7"/>
  <c r="J496" i="7"/>
  <c r="I499" i="7"/>
  <c r="H499" i="7"/>
  <c r="G732" i="7"/>
  <c r="I781" i="7"/>
  <c r="I405" i="7"/>
  <c r="I35" i="7"/>
  <c r="H438" i="7"/>
  <c r="I789" i="7"/>
  <c r="I790" i="7" s="1"/>
  <c r="I791" i="7" s="1"/>
  <c r="K168" i="7"/>
  <c r="K173" i="7"/>
  <c r="K164" i="7"/>
  <c r="G626" i="7"/>
  <c r="G781" i="7"/>
  <c r="J715" i="7"/>
  <c r="H626" i="7"/>
  <c r="H267" i="7"/>
  <c r="H496" i="7"/>
  <c r="K438" i="7"/>
  <c r="J438" i="7"/>
  <c r="H697" i="7"/>
  <c r="J499" i="7"/>
  <c r="I439" i="7"/>
  <c r="J439" i="7"/>
  <c r="I732" i="7"/>
  <c r="I496" i="7"/>
  <c r="H439" i="7"/>
  <c r="J748" i="7"/>
  <c r="J628" i="7" s="1"/>
  <c r="K697" i="7"/>
  <c r="H732" i="7"/>
  <c r="K715" i="7"/>
  <c r="G715" i="7"/>
  <c r="I715" i="7"/>
  <c r="J762" i="7"/>
  <c r="J173" i="7"/>
  <c r="J164" i="7"/>
  <c r="J168" i="7"/>
  <c r="K748" i="7"/>
  <c r="K628" i="7" s="1"/>
  <c r="I762" i="7"/>
  <c r="I267" i="7"/>
  <c r="I626" i="7"/>
  <c r="G697" i="7"/>
  <c r="G762" i="7"/>
  <c r="I748" i="7"/>
  <c r="I628" i="7" s="1"/>
  <c r="K626" i="7"/>
  <c r="K267" i="7"/>
  <c r="I709" i="7"/>
  <c r="J732" i="7"/>
  <c r="K35" i="7"/>
  <c r="J781" i="7"/>
  <c r="J405" i="7"/>
  <c r="H709" i="7"/>
  <c r="H781" i="7"/>
  <c r="H405" i="7"/>
  <c r="H715" i="7"/>
  <c r="J709" i="7"/>
  <c r="H762" i="7"/>
  <c r="I697" i="7"/>
  <c r="H748" i="7"/>
  <c r="H628" i="7" s="1"/>
  <c r="K439" i="7"/>
  <c r="H35" i="7"/>
  <c r="J122" i="7"/>
  <c r="K496" i="7"/>
  <c r="I173" i="7"/>
  <c r="I168" i="7"/>
  <c r="I164" i="7"/>
  <c r="I438" i="7"/>
  <c r="J35" i="7"/>
  <c r="DB240" i="17"/>
  <c r="DB14" i="17" s="1"/>
  <c r="AD250" i="7"/>
  <c r="I663" i="7" l="1"/>
  <c r="J663" i="7"/>
  <c r="G663" i="7"/>
  <c r="J588" i="7"/>
  <c r="J169" i="7"/>
  <c r="H663" i="7"/>
  <c r="H588" i="7"/>
  <c r="H169" i="7"/>
  <c r="K588" i="7"/>
  <c r="K169" i="7"/>
  <c r="I169" i="7"/>
  <c r="I588" i="7"/>
  <c r="T10" i="24"/>
  <c r="S10" i="24"/>
  <c r="R10" i="24"/>
  <c r="Q10" i="24"/>
  <c r="P10" i="24"/>
  <c r="O10" i="24"/>
  <c r="N10" i="24"/>
  <c r="M10" i="24"/>
  <c r="L10" i="24"/>
  <c r="K10" i="24"/>
  <c r="J10" i="24"/>
  <c r="I10" i="24"/>
  <c r="Q9" i="24"/>
  <c r="P9" i="24"/>
  <c r="O9" i="24"/>
  <c r="N9" i="24"/>
  <c r="M9" i="24"/>
  <c r="L9" i="24"/>
  <c r="K9" i="24"/>
  <c r="J9" i="24"/>
  <c r="I9" i="24"/>
  <c r="H9" i="24"/>
  <c r="G9" i="24"/>
  <c r="F9" i="24"/>
  <c r="G7" i="24"/>
  <c r="B28" i="24" s="1"/>
  <c r="B160" i="23"/>
  <c r="A160" i="23"/>
  <c r="B159" i="23"/>
  <c r="A159" i="23"/>
  <c r="B158" i="23"/>
  <c r="A158" i="23"/>
  <c r="B157" i="23"/>
  <c r="A157" i="23"/>
  <c r="B156" i="23"/>
  <c r="A156" i="23"/>
  <c r="B155" i="23"/>
  <c r="A155" i="23"/>
  <c r="B154" i="23"/>
  <c r="A154" i="23"/>
  <c r="B153" i="23"/>
  <c r="A153" i="23"/>
  <c r="B152" i="23"/>
  <c r="A152" i="23"/>
  <c r="B151" i="23"/>
  <c r="A151" i="23"/>
  <c r="B150" i="23"/>
  <c r="A150" i="23"/>
  <c r="B149" i="23"/>
  <c r="A149" i="23"/>
  <c r="B148" i="23"/>
  <c r="A148" i="23"/>
  <c r="B147" i="23"/>
  <c r="A147" i="23"/>
  <c r="B146" i="23"/>
  <c r="A146" i="23"/>
  <c r="B145" i="23"/>
  <c r="A145" i="23"/>
  <c r="B144" i="23"/>
  <c r="A144" i="23"/>
  <c r="B143" i="23"/>
  <c r="A143" i="23"/>
  <c r="B142" i="23"/>
  <c r="A142" i="23"/>
  <c r="B141" i="23"/>
  <c r="A141" i="23"/>
  <c r="B140" i="23"/>
  <c r="A140" i="23"/>
  <c r="B139" i="23"/>
  <c r="A139" i="23"/>
  <c r="B138" i="23"/>
  <c r="A138" i="23"/>
  <c r="B137" i="23"/>
  <c r="A137" i="23"/>
  <c r="B136" i="23"/>
  <c r="A136" i="23"/>
  <c r="B135" i="23"/>
  <c r="A135" i="23"/>
  <c r="B134" i="23"/>
  <c r="A134" i="23"/>
  <c r="B133" i="23"/>
  <c r="A133" i="23"/>
  <c r="B132" i="23"/>
  <c r="A132" i="23"/>
  <c r="B131" i="23"/>
  <c r="A131" i="23"/>
  <c r="B130" i="23"/>
  <c r="A130" i="23"/>
  <c r="B129" i="23"/>
  <c r="A129" i="23"/>
  <c r="B128" i="23"/>
  <c r="A128" i="23"/>
  <c r="B127" i="23"/>
  <c r="A127" i="23"/>
  <c r="B126" i="23"/>
  <c r="A126" i="23"/>
  <c r="B125" i="23"/>
  <c r="A125" i="23"/>
  <c r="B124" i="23"/>
  <c r="A124" i="23"/>
  <c r="B123" i="23"/>
  <c r="A123" i="23"/>
  <c r="B122" i="23"/>
  <c r="A122" i="23"/>
  <c r="B121" i="23"/>
  <c r="A121" i="23"/>
  <c r="B120" i="23"/>
  <c r="A120" i="23"/>
  <c r="B119" i="23"/>
  <c r="A119" i="23"/>
  <c r="B118" i="23"/>
  <c r="A118" i="23"/>
  <c r="B117" i="23"/>
  <c r="A117" i="23"/>
  <c r="B115" i="23"/>
  <c r="A115" i="23"/>
  <c r="B114" i="23"/>
  <c r="A114" i="23"/>
  <c r="B113" i="23"/>
  <c r="A113" i="23"/>
  <c r="B112" i="23"/>
  <c r="A112" i="23"/>
  <c r="B111" i="23"/>
  <c r="A111" i="23"/>
  <c r="B110" i="23"/>
  <c r="A110" i="23"/>
  <c r="B109" i="23"/>
  <c r="A109" i="23"/>
  <c r="B108" i="23"/>
  <c r="A108" i="23"/>
  <c r="B107" i="23"/>
  <c r="A107" i="23"/>
  <c r="B106" i="23"/>
  <c r="A106" i="23"/>
  <c r="B105" i="23"/>
  <c r="A105" i="23"/>
  <c r="B104" i="23"/>
  <c r="A104" i="23"/>
  <c r="B103" i="23"/>
  <c r="A103" i="23"/>
  <c r="B102" i="23"/>
  <c r="A102" i="23"/>
  <c r="B101" i="23"/>
  <c r="A101" i="23"/>
  <c r="B100" i="23"/>
  <c r="A100" i="23"/>
  <c r="B99" i="23"/>
  <c r="A99" i="23"/>
  <c r="B98" i="23"/>
  <c r="A98" i="23"/>
  <c r="B97" i="23"/>
  <c r="A97" i="23"/>
  <c r="B96" i="23"/>
  <c r="A96" i="23"/>
  <c r="B95" i="23"/>
  <c r="A95" i="23"/>
  <c r="B94" i="23"/>
  <c r="A94" i="23"/>
  <c r="B93" i="23"/>
  <c r="A93" i="23"/>
  <c r="B92" i="23"/>
  <c r="A92" i="23"/>
  <c r="B91" i="23"/>
  <c r="A91" i="23"/>
  <c r="B90" i="23"/>
  <c r="A90" i="23"/>
  <c r="B89" i="23"/>
  <c r="A89" i="23"/>
  <c r="B88" i="23"/>
  <c r="A88" i="23"/>
  <c r="B87" i="23"/>
  <c r="A87" i="23"/>
  <c r="B86" i="23"/>
  <c r="A86" i="23"/>
  <c r="B85" i="23"/>
  <c r="A85" i="23"/>
  <c r="B84" i="23"/>
  <c r="A84" i="23"/>
  <c r="B83" i="23"/>
  <c r="A83" i="23"/>
  <c r="B82" i="23"/>
  <c r="A82" i="23"/>
  <c r="B81" i="23"/>
  <c r="A81" i="23"/>
  <c r="B80" i="23"/>
  <c r="A80" i="23"/>
  <c r="B79" i="23"/>
  <c r="A79" i="23"/>
  <c r="B78" i="23"/>
  <c r="A78" i="23"/>
  <c r="B77" i="23"/>
  <c r="A77" i="23"/>
  <c r="B76" i="23"/>
  <c r="A76" i="23"/>
  <c r="B75" i="23"/>
  <c r="A75" i="23"/>
  <c r="B74" i="23"/>
  <c r="A74" i="23"/>
  <c r="B73" i="23"/>
  <c r="A73" i="23"/>
  <c r="B72" i="23"/>
  <c r="A72" i="23"/>
  <c r="B71" i="23"/>
  <c r="A71" i="23"/>
  <c r="B70" i="23"/>
  <c r="A70" i="23"/>
  <c r="B69" i="23"/>
  <c r="A69" i="23"/>
  <c r="B68" i="23"/>
  <c r="A68" i="23"/>
  <c r="B67" i="23"/>
  <c r="A67" i="23"/>
  <c r="B66" i="23"/>
  <c r="A66" i="23"/>
  <c r="B65" i="23"/>
  <c r="A65" i="23"/>
  <c r="B64" i="23"/>
  <c r="A64" i="23"/>
  <c r="B63" i="23"/>
  <c r="A63" i="23"/>
  <c r="B62" i="23"/>
  <c r="A62" i="23"/>
  <c r="B61" i="23"/>
  <c r="A61" i="23"/>
  <c r="B60" i="23"/>
  <c r="A60" i="23"/>
  <c r="B59" i="23"/>
  <c r="A59" i="23"/>
  <c r="B58" i="23"/>
  <c r="A58" i="23"/>
  <c r="B57" i="23"/>
  <c r="A57" i="23"/>
  <c r="B56" i="23"/>
  <c r="A56" i="23"/>
  <c r="B55" i="23"/>
  <c r="A55" i="23"/>
  <c r="B54" i="23"/>
  <c r="A54" i="23"/>
  <c r="B53" i="23"/>
  <c r="A53" i="23"/>
  <c r="B52" i="23"/>
  <c r="A52" i="23"/>
  <c r="B51" i="23"/>
  <c r="A51" i="23"/>
  <c r="B50" i="23"/>
  <c r="A50" i="23"/>
  <c r="B49" i="23"/>
  <c r="A49" i="23"/>
  <c r="B48" i="23"/>
  <c r="A48" i="23"/>
  <c r="B47" i="23"/>
  <c r="A47" i="23"/>
  <c r="B46" i="23"/>
  <c r="A46" i="23"/>
  <c r="B45" i="23"/>
  <c r="A45" i="23"/>
  <c r="B44" i="23"/>
  <c r="A44" i="23"/>
  <c r="B43" i="23"/>
  <c r="A43" i="23"/>
  <c r="B42" i="23"/>
  <c r="A42" i="23"/>
  <c r="B41" i="23"/>
  <c r="A41" i="23"/>
  <c r="B40" i="23"/>
  <c r="A40" i="23"/>
  <c r="B39" i="23"/>
  <c r="A39" i="23"/>
  <c r="B38" i="23"/>
  <c r="A38" i="23"/>
  <c r="B37" i="23"/>
  <c r="A37" i="23"/>
  <c r="B36" i="23"/>
  <c r="A36" i="23"/>
  <c r="B35" i="23"/>
  <c r="A35" i="23"/>
  <c r="B34" i="23"/>
  <c r="A34" i="23"/>
  <c r="B33" i="23"/>
  <c r="A33" i="23"/>
  <c r="B32" i="23"/>
  <c r="A32" i="23"/>
  <c r="B31" i="23"/>
  <c r="A31" i="23"/>
  <c r="B30" i="23"/>
  <c r="A30" i="23"/>
  <c r="B29" i="23"/>
  <c r="A29" i="23"/>
  <c r="B28" i="23"/>
  <c r="A28" i="23"/>
  <c r="B27" i="23"/>
  <c r="A27" i="23"/>
  <c r="B26" i="23"/>
  <c r="A26" i="23"/>
  <c r="B25" i="23"/>
  <c r="A25" i="23"/>
  <c r="B24" i="23"/>
  <c r="A24" i="23"/>
  <c r="B23" i="23"/>
  <c r="A23" i="23"/>
  <c r="B22" i="23"/>
  <c r="A22" i="23"/>
  <c r="B21" i="23"/>
  <c r="A21" i="23"/>
  <c r="B20" i="23"/>
  <c r="A20" i="23"/>
  <c r="B19" i="23"/>
  <c r="A19" i="23"/>
  <c r="B18" i="23"/>
  <c r="A18" i="23"/>
  <c r="B17" i="23"/>
  <c r="A17" i="23"/>
  <c r="B16" i="23"/>
  <c r="A16" i="23"/>
  <c r="B15" i="23"/>
  <c r="A15" i="23"/>
  <c r="B14" i="23"/>
  <c r="A14" i="23"/>
  <c r="B13" i="23"/>
  <c r="A13" i="23"/>
  <c r="B12" i="23"/>
  <c r="A12" i="23"/>
  <c r="I11" i="23"/>
  <c r="J11" i="23" s="1"/>
  <c r="I9" i="23"/>
  <c r="J9" i="23" s="1"/>
  <c r="K9" i="23" s="1"/>
  <c r="L9" i="23" s="1"/>
  <c r="M9" i="23" s="1"/>
  <c r="N9" i="23" s="1"/>
  <c r="O9" i="23" s="1"/>
  <c r="P9" i="23" s="1"/>
  <c r="Q9" i="23" s="1"/>
  <c r="R9" i="23" s="1"/>
  <c r="S9" i="23" s="1"/>
  <c r="T9" i="23" s="1"/>
  <c r="U9" i="23" s="1"/>
  <c r="V9" i="23" s="1"/>
  <c r="W9" i="23" s="1"/>
  <c r="X9" i="23" s="1"/>
  <c r="Y9" i="23" s="1"/>
  <c r="Z9" i="23" s="1"/>
  <c r="AA9" i="23" s="1"/>
  <c r="AB9" i="23" s="1"/>
  <c r="AC9" i="23" s="1"/>
  <c r="AD9" i="23" s="1"/>
  <c r="AE9" i="23" s="1"/>
  <c r="G6" i="24"/>
  <c r="J5" i="23"/>
  <c r="G5" i="24" s="1"/>
  <c r="AU543" i="20"/>
  <c r="AD543" i="20"/>
  <c r="M543" i="20"/>
  <c r="AT542" i="20"/>
  <c r="AR542" i="20"/>
  <c r="AP542" i="20"/>
  <c r="AN542" i="20"/>
  <c r="AU541" i="20"/>
  <c r="AT541" i="20"/>
  <c r="AS541" i="20"/>
  <c r="AR541" i="20"/>
  <c r="AQ541" i="20"/>
  <c r="AP541" i="20"/>
  <c r="AO541" i="20"/>
  <c r="AN541" i="20"/>
  <c r="AM541" i="20"/>
  <c r="AU540" i="20"/>
  <c r="AT540" i="20"/>
  <c r="AS540" i="20"/>
  <c r="AR540" i="20"/>
  <c r="AQ540" i="20"/>
  <c r="AP540" i="20"/>
  <c r="AO540" i="20"/>
  <c r="AN540" i="20"/>
  <c r="AM540" i="20"/>
  <c r="AU539" i="20"/>
  <c r="AT539" i="20"/>
  <c r="AS539" i="20"/>
  <c r="AR539" i="20"/>
  <c r="AQ539" i="20"/>
  <c r="AP539" i="20"/>
  <c r="AO539" i="20"/>
  <c r="AN539" i="20"/>
  <c r="AM539" i="20"/>
  <c r="AU537" i="20"/>
  <c r="AT537" i="20"/>
  <c r="AS537" i="20"/>
  <c r="AR537" i="20"/>
  <c r="AQ537" i="20"/>
  <c r="AP537" i="20"/>
  <c r="AO537" i="20"/>
  <c r="AN537" i="20"/>
  <c r="AM537" i="20"/>
  <c r="AU536" i="20"/>
  <c r="AT536" i="20"/>
  <c r="AS536" i="20"/>
  <c r="AR536" i="20"/>
  <c r="AQ536" i="20"/>
  <c r="AP536" i="20"/>
  <c r="AO536" i="20"/>
  <c r="AN536" i="20"/>
  <c r="AM536" i="20"/>
  <c r="AU535" i="20"/>
  <c r="AT535" i="20"/>
  <c r="AS535" i="20"/>
  <c r="AR535" i="20"/>
  <c r="AQ535" i="20"/>
  <c r="AP535" i="20"/>
  <c r="AO535" i="20"/>
  <c r="AN535" i="20"/>
  <c r="AM535" i="20"/>
  <c r="AM532" i="20"/>
  <c r="AP532" i="20" s="1"/>
  <c r="AR532" i="20" s="1"/>
  <c r="AT532" i="20" s="1"/>
  <c r="V532" i="20"/>
  <c r="Y532" i="20" s="1"/>
  <c r="AA532" i="20" s="1"/>
  <c r="AC532" i="20" s="1"/>
  <c r="AT531" i="20"/>
  <c r="AK531" i="20"/>
  <c r="AC531" i="20"/>
  <c r="T531" i="20"/>
  <c r="L531" i="20"/>
  <c r="C531" i="20"/>
  <c r="AK530" i="20"/>
  <c r="W530" i="20"/>
  <c r="T530" i="20"/>
  <c r="C530" i="20"/>
  <c r="AT519" i="20"/>
  <c r="AC519" i="20"/>
  <c r="L519" i="20"/>
  <c r="AS518" i="20"/>
  <c r="AQ518" i="20"/>
  <c r="AO518" i="20"/>
  <c r="AM518" i="20"/>
  <c r="AS517" i="20"/>
  <c r="AQ517" i="20"/>
  <c r="AO517" i="20"/>
  <c r="AM517" i="20"/>
  <c r="AS516" i="20"/>
  <c r="AQ516" i="20"/>
  <c r="AO516" i="20"/>
  <c r="AM516" i="20"/>
  <c r="AS515" i="20"/>
  <c r="AQ515" i="20"/>
  <c r="AO515" i="20"/>
  <c r="AM515" i="20"/>
  <c r="AS514" i="20"/>
  <c r="AQ514" i="20"/>
  <c r="AO514" i="20"/>
  <c r="AM514" i="20"/>
  <c r="AS513" i="20"/>
  <c r="AQ513" i="20"/>
  <c r="AO513" i="20"/>
  <c r="AM513" i="20"/>
  <c r="AS512" i="20"/>
  <c r="AQ512" i="20"/>
  <c r="AO512" i="20"/>
  <c r="AM512" i="20"/>
  <c r="AS511" i="20"/>
  <c r="AQ511" i="20"/>
  <c r="AO511" i="20"/>
  <c r="AM511" i="20"/>
  <c r="AS510" i="20"/>
  <c r="AQ510" i="20"/>
  <c r="AO510" i="20"/>
  <c r="AM510" i="20"/>
  <c r="AS509" i="20"/>
  <c r="AQ509" i="20"/>
  <c r="AO509" i="20"/>
  <c r="AM509" i="20"/>
  <c r="AS508" i="20"/>
  <c r="AQ508" i="20"/>
  <c r="AO508" i="20"/>
  <c r="AM508" i="20"/>
  <c r="AS507" i="20"/>
  <c r="AQ507" i="20"/>
  <c r="AO507" i="20"/>
  <c r="AM507" i="20"/>
  <c r="AS506" i="20"/>
  <c r="AQ506" i="20"/>
  <c r="AO506" i="20"/>
  <c r="AM506" i="20"/>
  <c r="AT505" i="20"/>
  <c r="AS505" i="20"/>
  <c r="AR505" i="20"/>
  <c r="AQ505" i="20"/>
  <c r="AP505" i="20"/>
  <c r="AO505" i="20"/>
  <c r="AN505" i="20"/>
  <c r="AM505" i="20"/>
  <c r="AT504" i="20"/>
  <c r="AS504" i="20"/>
  <c r="AR504" i="20"/>
  <c r="AQ504" i="20"/>
  <c r="AP504" i="20"/>
  <c r="AO504" i="20"/>
  <c r="AN504" i="20"/>
  <c r="AM504" i="20"/>
  <c r="AS503" i="20"/>
  <c r="AQ503" i="20"/>
  <c r="AO503" i="20"/>
  <c r="AM503" i="20"/>
  <c r="AS502" i="20"/>
  <c r="AQ502" i="20"/>
  <c r="AO502" i="20"/>
  <c r="AM502" i="20"/>
  <c r="AT501" i="20"/>
  <c r="AS501" i="20"/>
  <c r="AR501" i="20"/>
  <c r="AQ501" i="20"/>
  <c r="AP501" i="20"/>
  <c r="AO501" i="20"/>
  <c r="AN501" i="20"/>
  <c r="AM501" i="20"/>
  <c r="AT500" i="20"/>
  <c r="AS500" i="20"/>
  <c r="AR500" i="20"/>
  <c r="AQ500" i="20"/>
  <c r="AP500" i="20"/>
  <c r="AO500" i="20"/>
  <c r="AN500" i="20"/>
  <c r="AM500" i="20"/>
  <c r="AM498" i="20"/>
  <c r="AO498" i="20" s="1"/>
  <c r="AQ498" i="20" s="1"/>
  <c r="AS498" i="20" s="1"/>
  <c r="V498" i="20"/>
  <c r="X498" i="20" s="1"/>
  <c r="Z498" i="20" s="1"/>
  <c r="AB498" i="20" s="1"/>
  <c r="AS497" i="20"/>
  <c r="AB497" i="20"/>
  <c r="K497" i="20"/>
  <c r="AK496" i="20"/>
  <c r="W496" i="20"/>
  <c r="T496" i="20"/>
  <c r="C496" i="20"/>
  <c r="AK495" i="20"/>
  <c r="T495" i="20"/>
  <c r="C495" i="20"/>
  <c r="AU489" i="20"/>
  <c r="AD489" i="20"/>
  <c r="M489" i="20"/>
  <c r="AU488" i="20"/>
  <c r="AT488" i="20"/>
  <c r="AS488" i="20"/>
  <c r="AR488" i="20"/>
  <c r="AQ488" i="20"/>
  <c r="AP488" i="20"/>
  <c r="AO488" i="20"/>
  <c r="AN488" i="20"/>
  <c r="AU487" i="20"/>
  <c r="AT487" i="20"/>
  <c r="AS487" i="20"/>
  <c r="AR487" i="20"/>
  <c r="AQ487" i="20"/>
  <c r="AP487" i="20"/>
  <c r="AO487" i="20"/>
  <c r="AN487" i="20"/>
  <c r="AU486" i="20"/>
  <c r="AT486" i="20"/>
  <c r="AS486" i="20"/>
  <c r="AR486" i="20"/>
  <c r="AQ486" i="20"/>
  <c r="AP486" i="20"/>
  <c r="AO486" i="20"/>
  <c r="AN486" i="20"/>
  <c r="AU485" i="20"/>
  <c r="AT485" i="20"/>
  <c r="AS485" i="20"/>
  <c r="AR485" i="20"/>
  <c r="AQ485" i="20"/>
  <c r="AP485" i="20"/>
  <c r="AO485" i="20"/>
  <c r="AN485" i="20"/>
  <c r="AU484" i="20"/>
  <c r="AT484" i="20"/>
  <c r="AS484" i="20"/>
  <c r="AR484" i="20"/>
  <c r="AQ484" i="20"/>
  <c r="AP484" i="20"/>
  <c r="AO484" i="20"/>
  <c r="AN484" i="20"/>
  <c r="AU483" i="20"/>
  <c r="AT483" i="20"/>
  <c r="AS483" i="20"/>
  <c r="AR483" i="20"/>
  <c r="AQ483" i="20"/>
  <c r="AP483" i="20"/>
  <c r="AO483" i="20"/>
  <c r="AN483" i="20"/>
  <c r="AU482" i="20"/>
  <c r="AT482" i="20"/>
  <c r="AS482" i="20"/>
  <c r="AR482" i="20"/>
  <c r="AQ482" i="20"/>
  <c r="AP482" i="20"/>
  <c r="AO482" i="20"/>
  <c r="AN482" i="20"/>
  <c r="AU481" i="20"/>
  <c r="AT481" i="20"/>
  <c r="AS481" i="20"/>
  <c r="AR481" i="20"/>
  <c r="AQ481" i="20"/>
  <c r="AP481" i="20"/>
  <c r="AO481" i="20"/>
  <c r="AN481" i="20"/>
  <c r="AU480" i="20"/>
  <c r="AT480" i="20"/>
  <c r="AS480" i="20"/>
  <c r="AR480" i="20"/>
  <c r="AQ480" i="20"/>
  <c r="AP480" i="20"/>
  <c r="AO480" i="20"/>
  <c r="AN480" i="20"/>
  <c r="AT478" i="20"/>
  <c r="AR478" i="20"/>
  <c r="AP478" i="20"/>
  <c r="AC478" i="20"/>
  <c r="AA478" i="20"/>
  <c r="Y478" i="20"/>
  <c r="AT477" i="20"/>
  <c r="AC477" i="20"/>
  <c r="L477" i="20"/>
  <c r="AK476" i="20"/>
  <c r="W476" i="20"/>
  <c r="T476" i="20"/>
  <c r="C476" i="20"/>
  <c r="AK475" i="20"/>
  <c r="T475" i="20"/>
  <c r="C475" i="20"/>
  <c r="AT468" i="20"/>
  <c r="AC468" i="20"/>
  <c r="L468" i="20"/>
  <c r="AS467" i="20"/>
  <c r="AQ467" i="20"/>
  <c r="AO467" i="20"/>
  <c r="AC467" i="20"/>
  <c r="AA467" i="20"/>
  <c r="Y467" i="20"/>
  <c r="AS466" i="20"/>
  <c r="AQ466" i="20"/>
  <c r="AO466" i="20"/>
  <c r="AC466" i="20"/>
  <c r="AA466" i="20"/>
  <c r="Y466" i="20"/>
  <c r="AO465" i="20"/>
  <c r="AC465" i="20"/>
  <c r="AB465" i="20"/>
  <c r="AA465" i="20"/>
  <c r="Z465" i="20"/>
  <c r="Y465" i="20"/>
  <c r="AS464" i="20"/>
  <c r="AQ464" i="20"/>
  <c r="AO464" i="20"/>
  <c r="AC464" i="20"/>
  <c r="AA464" i="20"/>
  <c r="Y464" i="20"/>
  <c r="AO463" i="20"/>
  <c r="AC463" i="20"/>
  <c r="AB463" i="20"/>
  <c r="AA463" i="20"/>
  <c r="Z463" i="20"/>
  <c r="Y463" i="20"/>
  <c r="G463" i="20"/>
  <c r="X463" i="20" s="1"/>
  <c r="AS461" i="20"/>
  <c r="AQ461" i="20"/>
  <c r="AO461" i="20"/>
  <c r="AC461" i="20"/>
  <c r="AA461" i="20"/>
  <c r="Y461" i="20"/>
  <c r="AS460" i="20"/>
  <c r="AQ460" i="20"/>
  <c r="AO460" i="20"/>
  <c r="AC460" i="20"/>
  <c r="AA460" i="20"/>
  <c r="Y460" i="20"/>
  <c r="AO459" i="20"/>
  <c r="AC459" i="20"/>
  <c r="AB459" i="20"/>
  <c r="AA459" i="20"/>
  <c r="Z459" i="20"/>
  <c r="Y459" i="20"/>
  <c r="AS458" i="20"/>
  <c r="AQ458" i="20"/>
  <c r="AO458" i="20"/>
  <c r="AC458" i="20"/>
  <c r="AA458" i="20"/>
  <c r="Y458" i="20"/>
  <c r="AO457" i="20"/>
  <c r="AC457" i="20"/>
  <c r="AB457" i="20"/>
  <c r="AA457" i="20"/>
  <c r="Z457" i="20"/>
  <c r="Y457" i="20"/>
  <c r="G457" i="20"/>
  <c r="AS455" i="20"/>
  <c r="AQ455" i="20"/>
  <c r="AO455" i="20"/>
  <c r="AC455" i="20"/>
  <c r="AA455" i="20"/>
  <c r="Y455" i="20"/>
  <c r="AS454" i="20"/>
  <c r="AQ454" i="20"/>
  <c r="AO454" i="20"/>
  <c r="AC454" i="20"/>
  <c r="AA454" i="20"/>
  <c r="Y454" i="20"/>
  <c r="AO453" i="20"/>
  <c r="AC453" i="20"/>
  <c r="AB453" i="20"/>
  <c r="AA453" i="20"/>
  <c r="Z453" i="20"/>
  <c r="Y453" i="20"/>
  <c r="AS452" i="20"/>
  <c r="AQ452" i="20"/>
  <c r="AO452" i="20"/>
  <c r="AC452" i="20"/>
  <c r="AA452" i="20"/>
  <c r="Y452" i="20"/>
  <c r="AO451" i="20"/>
  <c r="AC451" i="20"/>
  <c r="AB451" i="20"/>
  <c r="AA451" i="20"/>
  <c r="Z451" i="20"/>
  <c r="Y451" i="20"/>
  <c r="G451" i="20"/>
  <c r="AO450" i="20"/>
  <c r="X450" i="20"/>
  <c r="X456" i="20" s="1"/>
  <c r="X462" i="20" s="1"/>
  <c r="AS449" i="20"/>
  <c r="AB449" i="20"/>
  <c r="W449" i="20"/>
  <c r="K449" i="20"/>
  <c r="AK448" i="20"/>
  <c r="T448" i="20"/>
  <c r="C448" i="20"/>
  <c r="AU441" i="20"/>
  <c r="AD441" i="20"/>
  <c r="M441" i="20"/>
  <c r="AU440" i="20"/>
  <c r="AT440" i="20"/>
  <c r="AS440" i="20"/>
  <c r="AR440" i="20"/>
  <c r="AQ440" i="20"/>
  <c r="AP440" i="20"/>
  <c r="AO440" i="20"/>
  <c r="AN440" i="20"/>
  <c r="AU439" i="20"/>
  <c r="AT439" i="20"/>
  <c r="AS439" i="20"/>
  <c r="AR439" i="20"/>
  <c r="AQ439" i="20"/>
  <c r="AP439" i="20"/>
  <c r="AO439" i="20"/>
  <c r="AN439" i="20"/>
  <c r="AU438" i="20"/>
  <c r="AT438" i="20"/>
  <c r="AS438" i="20"/>
  <c r="AR438" i="20"/>
  <c r="AQ438" i="20"/>
  <c r="AP438" i="20"/>
  <c r="AO438" i="20"/>
  <c r="AN438" i="20"/>
  <c r="AU436" i="20"/>
  <c r="AS436" i="20"/>
  <c r="AQ436" i="20"/>
  <c r="AO436" i="20"/>
  <c r="AC436" i="20"/>
  <c r="AA436" i="20"/>
  <c r="Y436" i="20"/>
  <c r="W436" i="20"/>
  <c r="AU435" i="20"/>
  <c r="AT435" i="20"/>
  <c r="AS435" i="20"/>
  <c r="AR435" i="20"/>
  <c r="AQ435" i="20"/>
  <c r="AP435" i="20"/>
  <c r="AO435" i="20"/>
  <c r="AN435" i="20"/>
  <c r="AU433" i="20"/>
  <c r="AT433" i="20"/>
  <c r="AS433" i="20"/>
  <c r="AR433" i="20"/>
  <c r="AQ433" i="20"/>
  <c r="AP433" i="20"/>
  <c r="AO433" i="20"/>
  <c r="AN433" i="20"/>
  <c r="AU432" i="20"/>
  <c r="AT432" i="20"/>
  <c r="AS432" i="20"/>
  <c r="AR432" i="20"/>
  <c r="AQ432" i="20"/>
  <c r="AP432" i="20"/>
  <c r="AO432" i="20"/>
  <c r="AN432" i="20"/>
  <c r="AU431" i="20"/>
  <c r="AT431" i="20"/>
  <c r="AS431" i="20"/>
  <c r="AR431" i="20"/>
  <c r="AQ431" i="20"/>
  <c r="AP431" i="20"/>
  <c r="AO431" i="20"/>
  <c r="AN431" i="20"/>
  <c r="AU430" i="20"/>
  <c r="AT430" i="20"/>
  <c r="AS430" i="20"/>
  <c r="AR430" i="20"/>
  <c r="AQ430" i="20"/>
  <c r="AP430" i="20"/>
  <c r="AO430" i="20"/>
  <c r="AN430" i="20"/>
  <c r="AU429" i="20"/>
  <c r="AT429" i="20"/>
  <c r="AS429" i="20"/>
  <c r="AR429" i="20"/>
  <c r="AQ429" i="20"/>
  <c r="AP429" i="20"/>
  <c r="AO429" i="20"/>
  <c r="AN429" i="20"/>
  <c r="AU427" i="20"/>
  <c r="AT427" i="20"/>
  <c r="AS427" i="20"/>
  <c r="AR427" i="20"/>
  <c r="AQ427" i="20"/>
  <c r="AP427" i="20"/>
  <c r="AO427" i="20"/>
  <c r="AN427" i="20"/>
  <c r="AU426" i="20"/>
  <c r="AT426" i="20"/>
  <c r="AS426" i="20"/>
  <c r="AR426" i="20"/>
  <c r="AQ426" i="20"/>
  <c r="AP426" i="20"/>
  <c r="AO426" i="20"/>
  <c r="AN426" i="20"/>
  <c r="AU425" i="20"/>
  <c r="AT425" i="20"/>
  <c r="AS425" i="20"/>
  <c r="AR425" i="20"/>
  <c r="AQ425" i="20"/>
  <c r="AP425" i="20"/>
  <c r="AO425" i="20"/>
  <c r="AN425" i="20"/>
  <c r="AT424" i="20"/>
  <c r="AR424" i="20"/>
  <c r="AP424" i="20"/>
  <c r="AN424" i="20"/>
  <c r="AD424" i="20"/>
  <c r="AB424" i="20"/>
  <c r="Z424" i="20"/>
  <c r="X424" i="20"/>
  <c r="AU423" i="20"/>
  <c r="AT423" i="20"/>
  <c r="AS423" i="20"/>
  <c r="AR423" i="20"/>
  <c r="AQ423" i="20"/>
  <c r="AP423" i="20"/>
  <c r="AO423" i="20"/>
  <c r="AN423" i="20"/>
  <c r="AU422" i="20"/>
  <c r="AT422" i="20"/>
  <c r="AS422" i="20"/>
  <c r="AR422" i="20"/>
  <c r="AQ422" i="20"/>
  <c r="AP422" i="20"/>
  <c r="AO422" i="20"/>
  <c r="AN422" i="20"/>
  <c r="AU421" i="20"/>
  <c r="AT421" i="20"/>
  <c r="AS421" i="20"/>
  <c r="AR421" i="20"/>
  <c r="AQ421" i="20"/>
  <c r="AP421" i="20"/>
  <c r="AO421" i="20"/>
  <c r="AN421" i="20"/>
  <c r="AU420" i="20"/>
  <c r="AT420" i="20"/>
  <c r="AS420" i="20"/>
  <c r="AR420" i="20"/>
  <c r="AQ420" i="20"/>
  <c r="AP420" i="20"/>
  <c r="AO420" i="20"/>
  <c r="AN420" i="20"/>
  <c r="AU419" i="20"/>
  <c r="AT419" i="20"/>
  <c r="AS419" i="20"/>
  <c r="AR419" i="20"/>
  <c r="AQ419" i="20"/>
  <c r="AP419" i="20"/>
  <c r="AO419" i="20"/>
  <c r="AN419" i="20"/>
  <c r="AU418" i="20"/>
  <c r="AT418" i="20"/>
  <c r="AS418" i="20"/>
  <c r="AR418" i="20"/>
  <c r="AQ418" i="20"/>
  <c r="AP418" i="20"/>
  <c r="AO418" i="20"/>
  <c r="AN418" i="20"/>
  <c r="AU417" i="20"/>
  <c r="AT417" i="20"/>
  <c r="AS417" i="20"/>
  <c r="AR417" i="20"/>
  <c r="AQ417" i="20"/>
  <c r="AP417" i="20"/>
  <c r="AO417" i="20"/>
  <c r="AN417" i="20"/>
  <c r="AU416" i="20"/>
  <c r="AT416" i="20"/>
  <c r="AS416" i="20"/>
  <c r="AR416" i="20"/>
  <c r="AQ416" i="20"/>
  <c r="AP416" i="20"/>
  <c r="AO416" i="20"/>
  <c r="AN416" i="20"/>
  <c r="AU415" i="20"/>
  <c r="AT415" i="20"/>
  <c r="AS415" i="20"/>
  <c r="AR415" i="20"/>
  <c r="AQ415" i="20"/>
  <c r="AP415" i="20"/>
  <c r="AO415" i="20"/>
  <c r="AN415" i="20"/>
  <c r="AU414" i="20"/>
  <c r="AT414" i="20"/>
  <c r="AS414" i="20"/>
  <c r="AR414" i="20"/>
  <c r="AQ414" i="20"/>
  <c r="AP414" i="20"/>
  <c r="AO414" i="20"/>
  <c r="AN414" i="20"/>
  <c r="AU413" i="20"/>
  <c r="AT413" i="20"/>
  <c r="AS413" i="20"/>
  <c r="AR413" i="20"/>
  <c r="AQ413" i="20"/>
  <c r="AP413" i="20"/>
  <c r="AO413" i="20"/>
  <c r="AN413" i="20"/>
  <c r="AU412" i="20"/>
  <c r="AT412" i="20"/>
  <c r="AS412" i="20"/>
  <c r="AR412" i="20"/>
  <c r="AQ412" i="20"/>
  <c r="AP412" i="20"/>
  <c r="AO412" i="20"/>
  <c r="AN412" i="20"/>
  <c r="AU411" i="20"/>
  <c r="AT411" i="20"/>
  <c r="AS411" i="20"/>
  <c r="AR411" i="20"/>
  <c r="AQ411" i="20"/>
  <c r="AP411" i="20"/>
  <c r="AO411" i="20"/>
  <c r="AN411" i="20"/>
  <c r="AU410" i="20"/>
  <c r="AT410" i="20"/>
  <c r="AS410" i="20"/>
  <c r="AR410" i="20"/>
  <c r="AQ410" i="20"/>
  <c r="AP410" i="20"/>
  <c r="AO410" i="20"/>
  <c r="AN410" i="20"/>
  <c r="AU409" i="20"/>
  <c r="AT409" i="20"/>
  <c r="AS409" i="20"/>
  <c r="AR409" i="20"/>
  <c r="AQ409" i="20"/>
  <c r="AP409" i="20"/>
  <c r="AO409" i="20"/>
  <c r="AN409" i="20"/>
  <c r="AU408" i="20"/>
  <c r="AT408" i="20"/>
  <c r="AS408" i="20"/>
  <c r="AR408" i="20"/>
  <c r="AQ408" i="20"/>
  <c r="AP408" i="20"/>
  <c r="AO408" i="20"/>
  <c r="AN408" i="20"/>
  <c r="AU407" i="20"/>
  <c r="AT407" i="20"/>
  <c r="AS407" i="20"/>
  <c r="AR407" i="20"/>
  <c r="AQ407" i="20"/>
  <c r="AP407" i="20"/>
  <c r="AO407" i="20"/>
  <c r="AN407" i="20"/>
  <c r="W405" i="20"/>
  <c r="Y405" i="20" s="1"/>
  <c r="AA405" i="20" s="1"/>
  <c r="AC405" i="20" s="1"/>
  <c r="AT404" i="20"/>
  <c r="AC404" i="20"/>
  <c r="L404" i="20"/>
  <c r="AK403" i="20"/>
  <c r="W403" i="20"/>
  <c r="T403" i="20"/>
  <c r="C403" i="20"/>
  <c r="AK402" i="20"/>
  <c r="T402" i="20"/>
  <c r="C402" i="20"/>
  <c r="AU390" i="20"/>
  <c r="AD390" i="20"/>
  <c r="M390" i="20"/>
  <c r="AT389" i="20"/>
  <c r="AR389" i="20"/>
  <c r="AP389" i="20"/>
  <c r="AN389" i="20"/>
  <c r="AT388" i="20"/>
  <c r="AR388" i="20"/>
  <c r="AP388" i="20"/>
  <c r="AN388" i="20"/>
  <c r="AU387" i="20"/>
  <c r="AT387" i="20"/>
  <c r="AS387" i="20"/>
  <c r="AR387" i="20"/>
  <c r="AQ387" i="20"/>
  <c r="AP387" i="20"/>
  <c r="AO387" i="20"/>
  <c r="AN387" i="20"/>
  <c r="AU386" i="20"/>
  <c r="AT386" i="20"/>
  <c r="AS386" i="20"/>
  <c r="AR386" i="20"/>
  <c r="AQ386" i="20"/>
  <c r="AP386" i="20"/>
  <c r="AO386" i="20"/>
  <c r="AN386" i="20"/>
  <c r="AT385" i="20"/>
  <c r="AR385" i="20"/>
  <c r="AP385" i="20"/>
  <c r="AN385" i="20"/>
  <c r="AU384" i="20"/>
  <c r="AT384" i="20"/>
  <c r="AS384" i="20"/>
  <c r="AR384" i="20"/>
  <c r="AQ384" i="20"/>
  <c r="AP384" i="20"/>
  <c r="AO384" i="20"/>
  <c r="AN384" i="20"/>
  <c r="AT383" i="20"/>
  <c r="AR383" i="20"/>
  <c r="AP383" i="20"/>
  <c r="AN383" i="20"/>
  <c r="AU382" i="20"/>
  <c r="AT382" i="20"/>
  <c r="AS382" i="20"/>
  <c r="AR382" i="20"/>
  <c r="AQ382" i="20"/>
  <c r="AP382" i="20"/>
  <c r="AO382" i="20"/>
  <c r="AN382" i="20"/>
  <c r="AU381" i="20"/>
  <c r="AT381" i="20"/>
  <c r="AS381" i="20"/>
  <c r="AR381" i="20"/>
  <c r="AQ381" i="20"/>
  <c r="AP381" i="20"/>
  <c r="AO381" i="20"/>
  <c r="AN381" i="20"/>
  <c r="AU380" i="20"/>
  <c r="AT380" i="20"/>
  <c r="AS380" i="20"/>
  <c r="AR380" i="20"/>
  <c r="AQ380" i="20"/>
  <c r="AP380" i="20"/>
  <c r="AO380" i="20"/>
  <c r="AN380" i="20"/>
  <c r="AU379" i="20"/>
  <c r="AT379" i="20"/>
  <c r="AS379" i="20"/>
  <c r="AR379" i="20"/>
  <c r="AQ379" i="20"/>
  <c r="AP379" i="20"/>
  <c r="AO379" i="20"/>
  <c r="AN379" i="20"/>
  <c r="AU378" i="20"/>
  <c r="AT378" i="20"/>
  <c r="AS378" i="20"/>
  <c r="AR378" i="20"/>
  <c r="AQ378" i="20"/>
  <c r="AP378" i="20"/>
  <c r="AO378" i="20"/>
  <c r="AN378" i="20"/>
  <c r="AU377" i="20"/>
  <c r="AT377" i="20"/>
  <c r="AS377" i="20"/>
  <c r="AR377" i="20"/>
  <c r="AQ377" i="20"/>
  <c r="AP377" i="20"/>
  <c r="AO377" i="20"/>
  <c r="AN377" i="20"/>
  <c r="AU376" i="20"/>
  <c r="AT376" i="20"/>
  <c r="AS376" i="20"/>
  <c r="AR376" i="20"/>
  <c r="AQ376" i="20"/>
  <c r="AP376" i="20"/>
  <c r="AO376" i="20"/>
  <c r="AN376" i="20"/>
  <c r="AU375" i="20"/>
  <c r="AT375" i="20"/>
  <c r="AS375" i="20"/>
  <c r="AR375" i="20"/>
  <c r="AQ375" i="20"/>
  <c r="AP375" i="20"/>
  <c r="AO375" i="20"/>
  <c r="AN375" i="20"/>
  <c r="AN373" i="20"/>
  <c r="AP373" i="20" s="1"/>
  <c r="AR373" i="20" s="1"/>
  <c r="AT373" i="20" s="1"/>
  <c r="W373" i="20"/>
  <c r="Y373" i="20" s="1"/>
  <c r="AA373" i="20" s="1"/>
  <c r="AC373" i="20" s="1"/>
  <c r="AT372" i="20"/>
  <c r="AC372" i="20"/>
  <c r="L372" i="20"/>
  <c r="AK371" i="20"/>
  <c r="W371" i="20"/>
  <c r="T371" i="20"/>
  <c r="C371" i="20"/>
  <c r="AK370" i="20"/>
  <c r="T370" i="20"/>
  <c r="C370" i="20"/>
  <c r="AU355" i="20"/>
  <c r="AD355" i="20"/>
  <c r="M355" i="20"/>
  <c r="AT354" i="20"/>
  <c r="AR354" i="20"/>
  <c r="AP354" i="20"/>
  <c r="AN354" i="20"/>
  <c r="AU353" i="20"/>
  <c r="AT353" i="20"/>
  <c r="AS353" i="20"/>
  <c r="AR353" i="20"/>
  <c r="AQ353" i="20"/>
  <c r="AP353" i="20"/>
  <c r="AO353" i="20"/>
  <c r="AN353" i="20"/>
  <c r="AU352" i="20"/>
  <c r="AT352" i="20"/>
  <c r="AS352" i="20"/>
  <c r="AR352" i="20"/>
  <c r="AQ352" i="20"/>
  <c r="AP352" i="20"/>
  <c r="AO352" i="20"/>
  <c r="AN352" i="20"/>
  <c r="AU351" i="20"/>
  <c r="AT351" i="20"/>
  <c r="AS351" i="20"/>
  <c r="AR351" i="20"/>
  <c r="AQ351" i="20"/>
  <c r="AP351" i="20"/>
  <c r="AO351" i="20"/>
  <c r="AN351" i="20"/>
  <c r="AT350" i="20"/>
  <c r="AR350" i="20"/>
  <c r="AP350" i="20"/>
  <c r="AN350" i="20"/>
  <c r="AU349" i="20"/>
  <c r="AT349" i="20"/>
  <c r="AS349" i="20"/>
  <c r="AR349" i="20"/>
  <c r="AQ349" i="20"/>
  <c r="AP349" i="20"/>
  <c r="AO349" i="20"/>
  <c r="AN349" i="20"/>
  <c r="AU348" i="20"/>
  <c r="AT348" i="20"/>
  <c r="AS348" i="20"/>
  <c r="AR348" i="20"/>
  <c r="AQ348" i="20"/>
  <c r="AP348" i="20"/>
  <c r="AO348" i="20"/>
  <c r="AN348" i="20"/>
  <c r="AU347" i="20"/>
  <c r="AT347" i="20"/>
  <c r="AS347" i="20"/>
  <c r="AR347" i="20"/>
  <c r="AQ347" i="20"/>
  <c r="AP347" i="20"/>
  <c r="AO347" i="20"/>
  <c r="AN347" i="20"/>
  <c r="AU346" i="20"/>
  <c r="AT346" i="20"/>
  <c r="AS346" i="20"/>
  <c r="AR346" i="20"/>
  <c r="AQ346" i="20"/>
  <c r="AP346" i="20"/>
  <c r="AO346" i="20"/>
  <c r="AN346" i="20"/>
  <c r="AU345" i="20"/>
  <c r="AT345" i="20"/>
  <c r="AS345" i="20"/>
  <c r="AR345" i="20"/>
  <c r="AQ345" i="20"/>
  <c r="AP345" i="20"/>
  <c r="AO345" i="20"/>
  <c r="AN345" i="20"/>
  <c r="AU344" i="20"/>
  <c r="AT344" i="20"/>
  <c r="AS344" i="20"/>
  <c r="AR344" i="20"/>
  <c r="AQ344" i="20"/>
  <c r="AP344" i="20"/>
  <c r="AO344" i="20"/>
  <c r="AN344" i="20"/>
  <c r="AU343" i="20"/>
  <c r="AT343" i="20"/>
  <c r="AS343" i="20"/>
  <c r="AR343" i="20"/>
  <c r="AQ343" i="20"/>
  <c r="AP343" i="20"/>
  <c r="AO343" i="20"/>
  <c r="AN343" i="20"/>
  <c r="AU342" i="20"/>
  <c r="AT342" i="20"/>
  <c r="AS342" i="20"/>
  <c r="AR342" i="20"/>
  <c r="AQ342" i="20"/>
  <c r="AP342" i="20"/>
  <c r="AO342" i="20"/>
  <c r="AN342" i="20"/>
  <c r="AU341" i="20"/>
  <c r="AT341" i="20"/>
  <c r="AS341" i="20"/>
  <c r="AR341" i="20"/>
  <c r="AQ341" i="20"/>
  <c r="AP341" i="20"/>
  <c r="AO341" i="20"/>
  <c r="AN341" i="20"/>
  <c r="AU340" i="20"/>
  <c r="AT340" i="20"/>
  <c r="AS340" i="20"/>
  <c r="AR340" i="20"/>
  <c r="AQ340" i="20"/>
  <c r="AP340" i="20"/>
  <c r="AO340" i="20"/>
  <c r="AN340" i="20"/>
  <c r="AU339" i="20"/>
  <c r="AT339" i="20"/>
  <c r="AS339" i="20"/>
  <c r="AR339" i="20"/>
  <c r="AQ339" i="20"/>
  <c r="AP339" i="20"/>
  <c r="AO339" i="20"/>
  <c r="AN339" i="20"/>
  <c r="AU338" i="20"/>
  <c r="AT338" i="20"/>
  <c r="AS338" i="20"/>
  <c r="AR338" i="20"/>
  <c r="AQ338" i="20"/>
  <c r="AP338" i="20"/>
  <c r="AO338" i="20"/>
  <c r="AN338" i="20"/>
  <c r="AN336" i="20"/>
  <c r="AP336" i="20" s="1"/>
  <c r="AR336" i="20" s="1"/>
  <c r="AT336" i="20" s="1"/>
  <c r="W336" i="20"/>
  <c r="Y336" i="20" s="1"/>
  <c r="AA336" i="20" s="1"/>
  <c r="AC336" i="20" s="1"/>
  <c r="AT335" i="20"/>
  <c r="AC335" i="20"/>
  <c r="L335" i="20"/>
  <c r="AK334" i="20"/>
  <c r="W334" i="20"/>
  <c r="T334" i="20"/>
  <c r="C334" i="20"/>
  <c r="AK333" i="20"/>
  <c r="T333" i="20"/>
  <c r="C333" i="20"/>
  <c r="AT318" i="20"/>
  <c r="AC318" i="20"/>
  <c r="L318" i="20"/>
  <c r="AS312" i="20"/>
  <c r="AQ312" i="20"/>
  <c r="AO312" i="20"/>
  <c r="AM312" i="20"/>
  <c r="AT311" i="20"/>
  <c r="AS311" i="20"/>
  <c r="AR311" i="20"/>
  <c r="AQ311" i="20"/>
  <c r="AP311" i="20"/>
  <c r="AO311" i="20"/>
  <c r="AN311" i="20"/>
  <c r="AM311" i="20"/>
  <c r="AS310" i="20"/>
  <c r="AQ310" i="20"/>
  <c r="AO310" i="20"/>
  <c r="AM310" i="20"/>
  <c r="AT309" i="20"/>
  <c r="AS309" i="20"/>
  <c r="AR309" i="20"/>
  <c r="AQ309" i="20"/>
  <c r="AP309" i="20"/>
  <c r="AO309" i="20"/>
  <c r="AN309" i="20"/>
  <c r="AM309" i="20"/>
  <c r="AT308" i="20"/>
  <c r="AS308" i="20"/>
  <c r="AR308" i="20"/>
  <c r="AQ308" i="20"/>
  <c r="AP308" i="20"/>
  <c r="AO308" i="20"/>
  <c r="AN308" i="20"/>
  <c r="AM308" i="20"/>
  <c r="AT307" i="20"/>
  <c r="AS307" i="20"/>
  <c r="AR307" i="20"/>
  <c r="AQ307" i="20"/>
  <c r="AP307" i="20"/>
  <c r="AO307" i="20"/>
  <c r="AN307" i="20"/>
  <c r="AM307" i="20"/>
  <c r="AS306" i="20"/>
  <c r="AQ306" i="20"/>
  <c r="AO306" i="20"/>
  <c r="AM306" i="20"/>
  <c r="AT305" i="20"/>
  <c r="AS305" i="20"/>
  <c r="AR305" i="20"/>
  <c r="AQ305" i="20"/>
  <c r="AP305" i="20"/>
  <c r="AO305" i="20"/>
  <c r="AN305" i="20"/>
  <c r="AM305" i="20"/>
  <c r="AT304" i="20"/>
  <c r="AS304" i="20"/>
  <c r="AR304" i="20"/>
  <c r="AQ304" i="20"/>
  <c r="AP304" i="20"/>
  <c r="AO304" i="20"/>
  <c r="AN304" i="20"/>
  <c r="AM304" i="20"/>
  <c r="AT303" i="20"/>
  <c r="AS303" i="20"/>
  <c r="AR303" i="20"/>
  <c r="AQ303" i="20"/>
  <c r="AP303" i="20"/>
  <c r="AO303" i="20"/>
  <c r="AN303" i="20"/>
  <c r="AM303" i="20"/>
  <c r="Y303" i="20"/>
  <c r="AM301" i="20"/>
  <c r="AO301" i="20" s="1"/>
  <c r="AQ301" i="20" s="1"/>
  <c r="AS301" i="20" s="1"/>
  <c r="V301" i="20"/>
  <c r="X301" i="20" s="1"/>
  <c r="Z301" i="20" s="1"/>
  <c r="AB301" i="20" s="1"/>
  <c r="AS300" i="20"/>
  <c r="AB300" i="20"/>
  <c r="K300" i="20"/>
  <c r="AK299" i="20"/>
  <c r="W299" i="20"/>
  <c r="T299" i="20"/>
  <c r="C299" i="20"/>
  <c r="AU285" i="20"/>
  <c r="AD285" i="20"/>
  <c r="M285" i="20"/>
  <c r="AU284" i="20"/>
  <c r="AT284" i="20"/>
  <c r="AS284" i="20"/>
  <c r="AR284" i="20"/>
  <c r="AQ284" i="20"/>
  <c r="AP284" i="20"/>
  <c r="AO284" i="20"/>
  <c r="AN284" i="20"/>
  <c r="AU283" i="20"/>
  <c r="AT283" i="20"/>
  <c r="AS283" i="20"/>
  <c r="AR283" i="20"/>
  <c r="AQ283" i="20"/>
  <c r="AP283" i="20"/>
  <c r="AO283" i="20"/>
  <c r="AN283" i="20"/>
  <c r="AK283" i="20"/>
  <c r="T283" i="20"/>
  <c r="C283" i="20"/>
  <c r="AU282" i="20"/>
  <c r="AT282" i="20"/>
  <c r="AS282" i="20"/>
  <c r="AR282" i="20"/>
  <c r="AQ282" i="20"/>
  <c r="AP282" i="20"/>
  <c r="AO282" i="20"/>
  <c r="AN282" i="20"/>
  <c r="AK282" i="20"/>
  <c r="T282" i="20"/>
  <c r="C282" i="20"/>
  <c r="AU281" i="20"/>
  <c r="AT281" i="20"/>
  <c r="AS281" i="20"/>
  <c r="AR281" i="20"/>
  <c r="AQ281" i="20"/>
  <c r="AP281" i="20"/>
  <c r="AO281" i="20"/>
  <c r="AN281" i="20"/>
  <c r="AK281" i="20"/>
  <c r="T281" i="20"/>
  <c r="C281" i="20"/>
  <c r="AU280" i="20"/>
  <c r="AT280" i="20"/>
  <c r="AS280" i="20"/>
  <c r="AR280" i="20"/>
  <c r="AQ280" i="20"/>
  <c r="AP280" i="20"/>
  <c r="AO280" i="20"/>
  <c r="AN280" i="20"/>
  <c r="AK280" i="20"/>
  <c r="T280" i="20"/>
  <c r="C280" i="20"/>
  <c r="AU279" i="20"/>
  <c r="AT279" i="20"/>
  <c r="AS279" i="20"/>
  <c r="AR279" i="20"/>
  <c r="AQ279" i="20"/>
  <c r="AP279" i="20"/>
  <c r="AO279" i="20"/>
  <c r="AN279" i="20"/>
  <c r="AK279" i="20"/>
  <c r="T279" i="20"/>
  <c r="C279" i="20"/>
  <c r="AU278" i="20"/>
  <c r="AT278" i="20"/>
  <c r="AS278" i="20"/>
  <c r="AR278" i="20"/>
  <c r="AQ278" i="20"/>
  <c r="AP278" i="20"/>
  <c r="AO278" i="20"/>
  <c r="AN278" i="20"/>
  <c r="AN275" i="20"/>
  <c r="AP275" i="20" s="1"/>
  <c r="AR275" i="20" s="1"/>
  <c r="AT275" i="20" s="1"/>
  <c r="W275" i="20"/>
  <c r="Y275" i="20" s="1"/>
  <c r="AA275" i="20" s="1"/>
  <c r="AC275" i="20" s="1"/>
  <c r="AT274" i="20"/>
  <c r="AC274" i="20"/>
  <c r="L274" i="20"/>
  <c r="AK273" i="20"/>
  <c r="W273" i="20"/>
  <c r="T273" i="20"/>
  <c r="C273" i="20"/>
  <c r="AK272" i="20"/>
  <c r="T272" i="20"/>
  <c r="C272" i="20"/>
  <c r="AP261" i="20"/>
  <c r="Y261" i="20"/>
  <c r="H261" i="20"/>
  <c r="AP259" i="20"/>
  <c r="AO259" i="20"/>
  <c r="AN259" i="20"/>
  <c r="AM259" i="20"/>
  <c r="AP258" i="20"/>
  <c r="AO258" i="20"/>
  <c r="AN258" i="20"/>
  <c r="AM258" i="20"/>
  <c r="AP257" i="20"/>
  <c r="AO257" i="20"/>
  <c r="AN257" i="20"/>
  <c r="AM257" i="20"/>
  <c r="AP256" i="20"/>
  <c r="AO256" i="20"/>
  <c r="AN256" i="20"/>
  <c r="AM256" i="20"/>
  <c r="AP255" i="20"/>
  <c r="AO255" i="20"/>
  <c r="AN255" i="20"/>
  <c r="AM255" i="20"/>
  <c r="AP254" i="20"/>
  <c r="AO254" i="20"/>
  <c r="AN254" i="20"/>
  <c r="AM254" i="20"/>
  <c r="AP253" i="20"/>
  <c r="AO253" i="20"/>
  <c r="AN253" i="20"/>
  <c r="AM253" i="20"/>
  <c r="Y249" i="20"/>
  <c r="X249" i="20"/>
  <c r="W249" i="20"/>
  <c r="V249" i="20"/>
  <c r="AP248" i="20"/>
  <c r="AO248" i="20"/>
  <c r="AN248" i="20"/>
  <c r="AM248" i="20"/>
  <c r="AP247" i="20"/>
  <c r="AO247" i="20"/>
  <c r="AN247" i="20"/>
  <c r="AM247" i="20"/>
  <c r="AP246" i="20"/>
  <c r="AO246" i="20"/>
  <c r="AN246" i="20"/>
  <c r="AM246" i="20"/>
  <c r="AP245" i="20"/>
  <c r="AO245" i="20"/>
  <c r="AN245" i="20"/>
  <c r="AM245" i="20"/>
  <c r="AP244" i="20"/>
  <c r="AO244" i="20"/>
  <c r="AN244" i="20"/>
  <c r="AM244" i="20"/>
  <c r="AP243" i="20"/>
  <c r="AO243" i="20"/>
  <c r="AN243" i="20"/>
  <c r="AM243" i="20"/>
  <c r="AP242" i="20"/>
  <c r="AO242" i="20"/>
  <c r="AN242" i="20"/>
  <c r="AM242" i="20"/>
  <c r="AP239" i="20"/>
  <c r="AO239" i="20"/>
  <c r="AN239" i="20"/>
  <c r="AM239" i="20"/>
  <c r="AP238" i="20"/>
  <c r="AO238" i="20"/>
  <c r="AN238" i="20"/>
  <c r="AM238" i="20"/>
  <c r="AP237" i="20"/>
  <c r="AO237" i="20"/>
  <c r="AN237" i="20"/>
  <c r="AM237" i="20"/>
  <c r="AP236" i="20"/>
  <c r="AO236" i="20"/>
  <c r="AN236" i="20"/>
  <c r="AM236" i="20"/>
  <c r="AP235" i="20"/>
  <c r="AO235" i="20"/>
  <c r="AN235" i="20"/>
  <c r="AM235" i="20"/>
  <c r="AP234" i="20"/>
  <c r="AO234" i="20"/>
  <c r="AN234" i="20"/>
  <c r="AM234" i="20"/>
  <c r="AP233" i="20"/>
  <c r="AO233" i="20"/>
  <c r="AN233" i="20"/>
  <c r="AM233" i="20"/>
  <c r="AP232" i="20"/>
  <c r="AO232" i="20"/>
  <c r="AN232" i="20"/>
  <c r="AM232" i="20"/>
  <c r="AP231" i="20"/>
  <c r="AO231" i="20"/>
  <c r="AN231" i="20"/>
  <c r="AM231" i="20"/>
  <c r="AP230" i="20"/>
  <c r="AO230" i="20"/>
  <c r="AN230" i="20"/>
  <c r="AM230" i="20"/>
  <c r="AP229" i="20"/>
  <c r="AO229" i="20"/>
  <c r="AN229" i="20"/>
  <c r="AM229" i="20"/>
  <c r="AP228" i="20"/>
  <c r="AO228" i="20"/>
  <c r="AN228" i="20"/>
  <c r="AM228" i="20"/>
  <c r="AP226" i="20"/>
  <c r="AO226" i="20"/>
  <c r="AN226" i="20"/>
  <c r="AM226" i="20"/>
  <c r="AP225" i="20"/>
  <c r="AO225" i="20"/>
  <c r="AN225" i="20"/>
  <c r="AM225" i="20"/>
  <c r="AP224" i="20"/>
  <c r="AO224" i="20"/>
  <c r="AN224" i="20"/>
  <c r="AM224" i="20"/>
  <c r="AP223" i="20"/>
  <c r="AO223" i="20"/>
  <c r="AN223" i="20"/>
  <c r="AM223" i="20"/>
  <c r="AP222" i="20"/>
  <c r="AO222" i="20"/>
  <c r="AN222" i="20"/>
  <c r="AM222" i="20"/>
  <c r="AP221" i="20"/>
  <c r="AO221" i="20"/>
  <c r="AN221" i="20"/>
  <c r="AM221" i="20"/>
  <c r="V219" i="20"/>
  <c r="W219" i="20" s="1"/>
  <c r="X219" i="20" s="1"/>
  <c r="Y219" i="20" s="1"/>
  <c r="AO218" i="20"/>
  <c r="X218" i="20"/>
  <c r="G218" i="20"/>
  <c r="AK217" i="20"/>
  <c r="V217" i="20"/>
  <c r="T217" i="20"/>
  <c r="C217" i="20"/>
  <c r="AK216" i="20"/>
  <c r="T216" i="20"/>
  <c r="C216" i="20"/>
  <c r="AU203" i="20"/>
  <c r="AD203" i="20"/>
  <c r="M203" i="20"/>
  <c r="AU201" i="20"/>
  <c r="AT201" i="20"/>
  <c r="AS201" i="20"/>
  <c r="AR201" i="20"/>
  <c r="AQ201" i="20"/>
  <c r="AP201" i="20"/>
  <c r="AO201" i="20"/>
  <c r="AN201" i="20"/>
  <c r="AU200" i="20"/>
  <c r="AT200" i="20"/>
  <c r="AS200" i="20"/>
  <c r="AR200" i="20"/>
  <c r="AQ200" i="20"/>
  <c r="AP200" i="20"/>
  <c r="AO200" i="20"/>
  <c r="AN200" i="20"/>
  <c r="AU199" i="20"/>
  <c r="AT199" i="20"/>
  <c r="AS199" i="20"/>
  <c r="AR199" i="20"/>
  <c r="AQ199" i="20"/>
  <c r="AP199" i="20"/>
  <c r="AO199" i="20"/>
  <c r="AN199" i="20"/>
  <c r="AU198" i="20"/>
  <c r="AT198" i="20"/>
  <c r="AS198" i="20"/>
  <c r="AR198" i="20"/>
  <c r="AQ198" i="20"/>
  <c r="AP198" i="20"/>
  <c r="AO198" i="20"/>
  <c r="AN198" i="20"/>
  <c r="AU197" i="20"/>
  <c r="AT197" i="20"/>
  <c r="AS197" i="20"/>
  <c r="AR197" i="20"/>
  <c r="AQ197" i="20"/>
  <c r="AP197" i="20"/>
  <c r="AO197" i="20"/>
  <c r="AN197" i="20"/>
  <c r="AU196" i="20"/>
  <c r="AT196" i="20"/>
  <c r="AS196" i="20"/>
  <c r="AR196" i="20"/>
  <c r="AQ196" i="20"/>
  <c r="AP196" i="20"/>
  <c r="AO196" i="20"/>
  <c r="AN196" i="20"/>
  <c r="AU195" i="20"/>
  <c r="AT195" i="20"/>
  <c r="AS195" i="20"/>
  <c r="AR195" i="20"/>
  <c r="AQ195" i="20"/>
  <c r="AP195" i="20"/>
  <c r="AO195" i="20"/>
  <c r="AN195" i="20"/>
  <c r="AU194" i="20"/>
  <c r="AT194" i="20"/>
  <c r="AS194" i="20"/>
  <c r="AR194" i="20"/>
  <c r="AQ194" i="20"/>
  <c r="AP194" i="20"/>
  <c r="AO194" i="20"/>
  <c r="AN194" i="20"/>
  <c r="AU192" i="20"/>
  <c r="AT192" i="20"/>
  <c r="AS192" i="20"/>
  <c r="AR192" i="20"/>
  <c r="AQ192" i="20"/>
  <c r="AP192" i="20"/>
  <c r="AO192" i="20"/>
  <c r="AN192" i="20"/>
  <c r="AT191" i="20"/>
  <c r="AR191" i="20"/>
  <c r="AP191" i="20"/>
  <c r="AN191" i="20"/>
  <c r="AD191" i="20"/>
  <c r="AB191" i="20"/>
  <c r="Z191" i="20"/>
  <c r="X191" i="20"/>
  <c r="AT190" i="20"/>
  <c r="AR190" i="20"/>
  <c r="AP190" i="20"/>
  <c r="AN190" i="20"/>
  <c r="AD190" i="20"/>
  <c r="AB190" i="20"/>
  <c r="Z190" i="20"/>
  <c r="X190" i="20"/>
  <c r="AT189" i="20"/>
  <c r="AR189" i="20"/>
  <c r="AP189" i="20"/>
  <c r="AN189" i="20"/>
  <c r="AD189" i="20"/>
  <c r="AB189" i="20"/>
  <c r="Z189" i="20"/>
  <c r="X189" i="20"/>
  <c r="AT188" i="20"/>
  <c r="AR188" i="20"/>
  <c r="AP188" i="20"/>
  <c r="AN188" i="20"/>
  <c r="AD188" i="20"/>
  <c r="AB188" i="20"/>
  <c r="Z188" i="20"/>
  <c r="X188" i="20"/>
  <c r="AU187" i="20"/>
  <c r="AT187" i="20"/>
  <c r="AS187" i="20"/>
  <c r="AR187" i="20"/>
  <c r="AQ187" i="20"/>
  <c r="AP187" i="20"/>
  <c r="AO187" i="20"/>
  <c r="AN187" i="20"/>
  <c r="AU186" i="20"/>
  <c r="AT186" i="20"/>
  <c r="AS186" i="20"/>
  <c r="AR186" i="20"/>
  <c r="AQ186" i="20"/>
  <c r="AP186" i="20"/>
  <c r="AO186" i="20"/>
  <c r="AN186" i="20"/>
  <c r="AU185" i="20"/>
  <c r="AT185" i="20"/>
  <c r="AS185" i="20"/>
  <c r="AR185" i="20"/>
  <c r="AQ185" i="20"/>
  <c r="AP185" i="20"/>
  <c r="AO185" i="20"/>
  <c r="AN185" i="20"/>
  <c r="AU184" i="20"/>
  <c r="AT184" i="20"/>
  <c r="AS184" i="20"/>
  <c r="AR184" i="20"/>
  <c r="AQ184" i="20"/>
  <c r="AP184" i="20"/>
  <c r="AO184" i="20"/>
  <c r="AN184" i="20"/>
  <c r="AU183" i="20"/>
  <c r="AT183" i="20"/>
  <c r="AS183" i="20"/>
  <c r="AR183" i="20"/>
  <c r="AQ183" i="20"/>
  <c r="AP183" i="20"/>
  <c r="AO183" i="20"/>
  <c r="AN183" i="20"/>
  <c r="AU182" i="20"/>
  <c r="AT182" i="20"/>
  <c r="AS182" i="20"/>
  <c r="AR182" i="20"/>
  <c r="AQ182" i="20"/>
  <c r="AP182" i="20"/>
  <c r="AO182" i="20"/>
  <c r="AN182" i="20"/>
  <c r="AU181" i="20"/>
  <c r="AT181" i="20"/>
  <c r="AS181" i="20"/>
  <c r="AR181" i="20"/>
  <c r="AQ181" i="20"/>
  <c r="AP181" i="20"/>
  <c r="AO181" i="20"/>
  <c r="AN181" i="20"/>
  <c r="AU180" i="20"/>
  <c r="AT180" i="20"/>
  <c r="AS180" i="20"/>
  <c r="AR180" i="20"/>
  <c r="AQ180" i="20"/>
  <c r="AP180" i="20"/>
  <c r="AO180" i="20"/>
  <c r="AN180" i="20"/>
  <c r="AU179" i="20"/>
  <c r="AT179" i="20"/>
  <c r="AS179" i="20"/>
  <c r="AR179" i="20"/>
  <c r="AQ179" i="20"/>
  <c r="AP179" i="20"/>
  <c r="AO179" i="20"/>
  <c r="AN179" i="20"/>
  <c r="AT178" i="20"/>
  <c r="AR178" i="20"/>
  <c r="AP178" i="20"/>
  <c r="AN178" i="20"/>
  <c r="AD178" i="20"/>
  <c r="AB178" i="20"/>
  <c r="Z178" i="20"/>
  <c r="X178" i="20"/>
  <c r="AU177" i="20"/>
  <c r="AT177" i="20"/>
  <c r="AS177" i="20"/>
  <c r="AR177" i="20"/>
  <c r="AQ177" i="20"/>
  <c r="AP177" i="20"/>
  <c r="AO177" i="20"/>
  <c r="AN177" i="20"/>
  <c r="AU176" i="20"/>
  <c r="AT176" i="20"/>
  <c r="AS176" i="20"/>
  <c r="AR176" i="20"/>
  <c r="AQ176" i="20"/>
  <c r="AP176" i="20"/>
  <c r="AO176" i="20"/>
  <c r="AN176" i="20"/>
  <c r="AU175" i="20"/>
  <c r="AT175" i="20"/>
  <c r="AS175" i="20"/>
  <c r="AR175" i="20"/>
  <c r="AQ175" i="20"/>
  <c r="AP175" i="20"/>
  <c r="AO175" i="20"/>
  <c r="AN175" i="20"/>
  <c r="AU174" i="20"/>
  <c r="AT174" i="20"/>
  <c r="AS174" i="20"/>
  <c r="AR174" i="20"/>
  <c r="AQ174" i="20"/>
  <c r="AP174" i="20"/>
  <c r="AO174" i="20"/>
  <c r="AN174" i="20"/>
  <c r="AN172" i="20"/>
  <c r="AP172" i="20" s="1"/>
  <c r="AR172" i="20" s="1"/>
  <c r="AT172" i="20" s="1"/>
  <c r="W172" i="20"/>
  <c r="Y172" i="20" s="1"/>
  <c r="AA172" i="20" s="1"/>
  <c r="AC172" i="20" s="1"/>
  <c r="AT170" i="20"/>
  <c r="AC170" i="20"/>
  <c r="L170" i="20"/>
  <c r="AK169" i="20"/>
  <c r="X169" i="20"/>
  <c r="T169" i="20"/>
  <c r="C169" i="20"/>
  <c r="AK168" i="20"/>
  <c r="T168" i="20"/>
  <c r="C168" i="20"/>
  <c r="AR156" i="20"/>
  <c r="AA156" i="20"/>
  <c r="J156" i="20"/>
  <c r="AR154" i="20"/>
  <c r="AQ154" i="20"/>
  <c r="AP154" i="20"/>
  <c r="AO154" i="20"/>
  <c r="W154" i="20"/>
  <c r="AR153" i="20"/>
  <c r="AQ153" i="20"/>
  <c r="AP153" i="20"/>
  <c r="AO153" i="20"/>
  <c r="W153" i="20"/>
  <c r="AR152" i="20"/>
  <c r="AQ152" i="20"/>
  <c r="AP152" i="20"/>
  <c r="AO152" i="20"/>
  <c r="W152" i="20"/>
  <c r="AR151" i="20"/>
  <c r="AQ151" i="20"/>
  <c r="AP151" i="20"/>
  <c r="AO151" i="20"/>
  <c r="W151" i="20"/>
  <c r="AR150" i="20"/>
  <c r="AQ150" i="20"/>
  <c r="AP150" i="20"/>
  <c r="AO150" i="20"/>
  <c r="W150" i="20"/>
  <c r="AR149" i="20"/>
  <c r="AQ149" i="20"/>
  <c r="AP149" i="20"/>
  <c r="AO149" i="20"/>
  <c r="W149" i="20"/>
  <c r="AR147" i="20"/>
  <c r="AQ147" i="20"/>
  <c r="AP147" i="20"/>
  <c r="AO147" i="20"/>
  <c r="W147" i="20"/>
  <c r="AR146" i="20"/>
  <c r="AQ146" i="20"/>
  <c r="AP146" i="20"/>
  <c r="AO146" i="20"/>
  <c r="W146" i="20"/>
  <c r="AN143" i="20"/>
  <c r="AP143" i="20" s="1"/>
  <c r="AQ143" i="20" s="1"/>
  <c r="AR143" i="20" s="1"/>
  <c r="W143" i="20"/>
  <c r="Y143" i="20" s="1"/>
  <c r="Z143" i="20" s="1"/>
  <c r="AA143" i="20" s="1"/>
  <c r="AQ142" i="20"/>
  <c r="Z142" i="20"/>
  <c r="I142" i="20"/>
  <c r="AK140" i="20"/>
  <c r="X140" i="20"/>
  <c r="T140" i="20"/>
  <c r="C140" i="20"/>
  <c r="AK139" i="20"/>
  <c r="T139" i="20"/>
  <c r="C139" i="20"/>
  <c r="AX124" i="20"/>
  <c r="AG124" i="20"/>
  <c r="P124" i="20"/>
  <c r="AX123" i="20"/>
  <c r="AW123" i="20"/>
  <c r="AV123" i="20"/>
  <c r="AU123" i="20"/>
  <c r="AT123" i="20"/>
  <c r="AS123" i="20"/>
  <c r="AR123" i="20"/>
  <c r="AQ123" i="20"/>
  <c r="AP123" i="20"/>
  <c r="AO123" i="20"/>
  <c r="AN123" i="20"/>
  <c r="AM123" i="20"/>
  <c r="AX122" i="20"/>
  <c r="AW122" i="20"/>
  <c r="AV122" i="20"/>
  <c r="AU122" i="20"/>
  <c r="AT122" i="20"/>
  <c r="AS122" i="20"/>
  <c r="AR122" i="20"/>
  <c r="AQ122" i="20"/>
  <c r="AP122" i="20"/>
  <c r="AO122" i="20"/>
  <c r="AN122" i="20"/>
  <c r="AM122" i="20"/>
  <c r="AX121" i="20"/>
  <c r="AW121" i="20"/>
  <c r="AV121" i="20"/>
  <c r="AU121" i="20"/>
  <c r="AT121" i="20"/>
  <c r="AS121" i="20"/>
  <c r="AR121" i="20"/>
  <c r="AQ121" i="20"/>
  <c r="AP121" i="20"/>
  <c r="AO121" i="20"/>
  <c r="AN121" i="20"/>
  <c r="AM121" i="20"/>
  <c r="AX120" i="20"/>
  <c r="AW120" i="20"/>
  <c r="AV120" i="20"/>
  <c r="AU120" i="20"/>
  <c r="AT120" i="20"/>
  <c r="AS120" i="20"/>
  <c r="AR120" i="20"/>
  <c r="AQ120" i="20"/>
  <c r="AP120" i="20"/>
  <c r="AO120" i="20"/>
  <c r="AN120" i="20"/>
  <c r="AM120" i="20"/>
  <c r="AX119" i="20"/>
  <c r="AW119" i="20"/>
  <c r="AV119" i="20"/>
  <c r="AU119" i="20"/>
  <c r="AT119" i="20"/>
  <c r="AS119" i="20"/>
  <c r="AR119" i="20"/>
  <c r="AQ119" i="20"/>
  <c r="AP119" i="20"/>
  <c r="AO119" i="20"/>
  <c r="AN119" i="20"/>
  <c r="AM119" i="20"/>
  <c r="AX118" i="20"/>
  <c r="AW118" i="20"/>
  <c r="AV118" i="20"/>
  <c r="AU118" i="20"/>
  <c r="AT118" i="20"/>
  <c r="AS118" i="20"/>
  <c r="AR118" i="20"/>
  <c r="AQ118" i="20"/>
  <c r="AP118" i="20"/>
  <c r="AO118" i="20"/>
  <c r="AN118" i="20"/>
  <c r="AM118" i="20"/>
  <c r="AX117" i="20"/>
  <c r="AW117" i="20"/>
  <c r="AV117" i="20"/>
  <c r="AU117" i="20"/>
  <c r="AT117" i="20"/>
  <c r="AS117" i="20"/>
  <c r="AR117" i="20"/>
  <c r="AQ117" i="20"/>
  <c r="AP117" i="20"/>
  <c r="AO117" i="20"/>
  <c r="AN117" i="20"/>
  <c r="AM117" i="20"/>
  <c r="AX113" i="20"/>
  <c r="AW113" i="20"/>
  <c r="AV113" i="20"/>
  <c r="AU113" i="20"/>
  <c r="AT113" i="20"/>
  <c r="AS113" i="20"/>
  <c r="AR113" i="20"/>
  <c r="AQ113" i="20"/>
  <c r="AP113" i="20"/>
  <c r="AO113" i="20"/>
  <c r="AN113" i="20"/>
  <c r="AM113" i="20"/>
  <c r="AX112" i="20"/>
  <c r="AW112" i="20"/>
  <c r="AV112" i="20"/>
  <c r="AU112" i="20"/>
  <c r="AT112" i="20"/>
  <c r="AS112" i="20"/>
  <c r="AR112" i="20"/>
  <c r="AQ112" i="20"/>
  <c r="AP112" i="20"/>
  <c r="AO112" i="20"/>
  <c r="AN112" i="20"/>
  <c r="AM112" i="20"/>
  <c r="AX111" i="20"/>
  <c r="AW111" i="20"/>
  <c r="AV111" i="20"/>
  <c r="AU111" i="20"/>
  <c r="AT111" i="20"/>
  <c r="AS111" i="20"/>
  <c r="AR111" i="20"/>
  <c r="AQ111" i="20"/>
  <c r="AP111" i="20"/>
  <c r="AO111" i="20"/>
  <c r="AN111" i="20"/>
  <c r="AM111" i="20"/>
  <c r="AX110" i="20"/>
  <c r="AW110" i="20"/>
  <c r="AV110" i="20"/>
  <c r="AU110" i="20"/>
  <c r="AT110" i="20"/>
  <c r="AS110" i="20"/>
  <c r="AR110" i="20"/>
  <c r="AQ110" i="20"/>
  <c r="AP110" i="20"/>
  <c r="AO110" i="20"/>
  <c r="AN110" i="20"/>
  <c r="AM110" i="20"/>
  <c r="AX109" i="20"/>
  <c r="AW109" i="20"/>
  <c r="AV109" i="20"/>
  <c r="AU109" i="20"/>
  <c r="AT109" i="20"/>
  <c r="AS109" i="20"/>
  <c r="AR109" i="20"/>
  <c r="AQ109" i="20"/>
  <c r="AP109" i="20"/>
  <c r="AO109" i="20"/>
  <c r="AN109" i="20"/>
  <c r="AM109" i="20"/>
  <c r="AX107" i="20"/>
  <c r="AW107" i="20"/>
  <c r="AV107" i="20"/>
  <c r="AU107" i="20"/>
  <c r="AT107" i="20"/>
  <c r="AS107" i="20"/>
  <c r="AR107" i="20"/>
  <c r="AQ107" i="20"/>
  <c r="AP107" i="20"/>
  <c r="AO107" i="20"/>
  <c r="AN107" i="20"/>
  <c r="AM107" i="20"/>
  <c r="AX106" i="20"/>
  <c r="AW106" i="20"/>
  <c r="AV106" i="20"/>
  <c r="AU106" i="20"/>
  <c r="AT106" i="20"/>
  <c r="AS106" i="20"/>
  <c r="AR106" i="20"/>
  <c r="AQ106" i="20"/>
  <c r="AP106" i="20"/>
  <c r="AO106" i="20"/>
  <c r="AN106" i="20"/>
  <c r="AM106" i="20"/>
  <c r="AX105" i="20"/>
  <c r="AW105" i="20"/>
  <c r="AV105" i="20"/>
  <c r="AU105" i="20"/>
  <c r="AT105" i="20"/>
  <c r="AS105" i="20"/>
  <c r="AR105" i="20"/>
  <c r="AQ105" i="20"/>
  <c r="AP105" i="20"/>
  <c r="AO105" i="20"/>
  <c r="AN105" i="20"/>
  <c r="AM105" i="20"/>
  <c r="AX104" i="20"/>
  <c r="AW104" i="20"/>
  <c r="AV104" i="20"/>
  <c r="AU104" i="20"/>
  <c r="AT104" i="20"/>
  <c r="AS104" i="20"/>
  <c r="AR104" i="20"/>
  <c r="AQ104" i="20"/>
  <c r="AP104" i="20"/>
  <c r="AO104" i="20"/>
  <c r="AN104" i="20"/>
  <c r="AM104" i="20"/>
  <c r="AX103" i="20"/>
  <c r="AW103" i="20"/>
  <c r="AV103" i="20"/>
  <c r="AU103" i="20"/>
  <c r="AT103" i="20"/>
  <c r="AS103" i="20"/>
  <c r="AR103" i="20"/>
  <c r="AQ103" i="20"/>
  <c r="AP103" i="20"/>
  <c r="AO103" i="20"/>
  <c r="AN103" i="20"/>
  <c r="AM103" i="20"/>
  <c r="AM99" i="20"/>
  <c r="AQ99" i="20" s="1"/>
  <c r="AU99" i="20" s="1"/>
  <c r="V99" i="20"/>
  <c r="Z99" i="20" s="1"/>
  <c r="AD99" i="20" s="1"/>
  <c r="AW98" i="20"/>
  <c r="AF98" i="20"/>
  <c r="O98" i="20"/>
  <c r="AK96" i="20"/>
  <c r="X96" i="20"/>
  <c r="T96" i="20"/>
  <c r="C96" i="20"/>
  <c r="AK95" i="20"/>
  <c r="T95" i="20"/>
  <c r="C95" i="20"/>
  <c r="AR78" i="20"/>
  <c r="AA78" i="20"/>
  <c r="J78" i="20"/>
  <c r="AR77" i="20"/>
  <c r="AQ77" i="20"/>
  <c r="AP77" i="20"/>
  <c r="AO77" i="20"/>
  <c r="W77" i="20"/>
  <c r="AR76" i="20"/>
  <c r="AQ76" i="20"/>
  <c r="AP76" i="20"/>
  <c r="AO76" i="20"/>
  <c r="W76" i="20"/>
  <c r="AR75" i="20"/>
  <c r="AQ75" i="20"/>
  <c r="AP75" i="20"/>
  <c r="AO75" i="20"/>
  <c r="W75" i="20"/>
  <c r="AR73" i="20"/>
  <c r="AQ73" i="20"/>
  <c r="AP73" i="20"/>
  <c r="AO73" i="20"/>
  <c r="W73" i="20"/>
  <c r="AR72" i="20"/>
  <c r="AQ72" i="20"/>
  <c r="AP72" i="20"/>
  <c r="AO72" i="20"/>
  <c r="W72" i="20"/>
  <c r="AR71" i="20"/>
  <c r="AQ71" i="20"/>
  <c r="AP71" i="20"/>
  <c r="AO71" i="20"/>
  <c r="W71" i="20"/>
  <c r="AR70" i="20"/>
  <c r="AQ70" i="20"/>
  <c r="AP70" i="20"/>
  <c r="AO70" i="20"/>
  <c r="W70" i="20"/>
  <c r="AR69" i="20"/>
  <c r="AQ69" i="20"/>
  <c r="AP69" i="20"/>
  <c r="AO69" i="20"/>
  <c r="W69" i="20"/>
  <c r="AR68" i="20"/>
  <c r="AQ68" i="20"/>
  <c r="AP68" i="20"/>
  <c r="AO68" i="20"/>
  <c r="W68" i="20"/>
  <c r="AR67" i="20"/>
  <c r="AQ67" i="20"/>
  <c r="AP67" i="20"/>
  <c r="AO67" i="20"/>
  <c r="W67" i="20"/>
  <c r="AR66" i="20"/>
  <c r="AQ66" i="20"/>
  <c r="AP66" i="20"/>
  <c r="AO66" i="20"/>
  <c r="W66" i="20"/>
  <c r="AR65" i="20"/>
  <c r="AQ65" i="20"/>
  <c r="AP65" i="20"/>
  <c r="AO65" i="20"/>
  <c r="W65" i="20"/>
  <c r="AR63" i="20"/>
  <c r="AQ63" i="20"/>
  <c r="AP63" i="20"/>
  <c r="AO63" i="20"/>
  <c r="W63" i="20"/>
  <c r="AR62" i="20"/>
  <c r="AQ62" i="20"/>
  <c r="AP62" i="20"/>
  <c r="AO62" i="20"/>
  <c r="W62" i="20"/>
  <c r="AR61" i="20"/>
  <c r="AQ61" i="20"/>
  <c r="AP61" i="20"/>
  <c r="AO61" i="20"/>
  <c r="W61" i="20"/>
  <c r="AR60" i="20"/>
  <c r="AQ60" i="20"/>
  <c r="AP60" i="20"/>
  <c r="AO60" i="20"/>
  <c r="W60" i="20"/>
  <c r="AN58" i="20"/>
  <c r="AP58" i="20" s="1"/>
  <c r="AQ58" i="20" s="1"/>
  <c r="AR58" i="20" s="1"/>
  <c r="W58" i="20"/>
  <c r="Y58" i="20" s="1"/>
  <c r="Z58" i="20" s="1"/>
  <c r="AA58" i="20" s="1"/>
  <c r="AQ57" i="20"/>
  <c r="Z57" i="20"/>
  <c r="I57" i="20"/>
  <c r="AK55" i="20"/>
  <c r="X55" i="20"/>
  <c r="T55" i="20"/>
  <c r="C55" i="20"/>
  <c r="AK54" i="20"/>
  <c r="T54" i="20"/>
  <c r="C54" i="20"/>
  <c r="AP46" i="20"/>
  <c r="Y46" i="20"/>
  <c r="H46" i="20"/>
  <c r="AP45" i="20"/>
  <c r="AO45" i="20"/>
  <c r="AN45" i="20"/>
  <c r="AM45" i="20"/>
  <c r="AP43" i="20"/>
  <c r="AO43" i="20"/>
  <c r="AN43" i="20"/>
  <c r="AM43" i="20"/>
  <c r="AP41" i="20"/>
  <c r="AO41" i="20"/>
  <c r="AN41" i="20"/>
  <c r="AM41" i="20"/>
  <c r="AP40" i="20"/>
  <c r="AO40" i="20"/>
  <c r="AN40" i="20"/>
  <c r="AM40" i="20"/>
  <c r="AP38" i="20"/>
  <c r="AO38" i="20"/>
  <c r="AN38" i="20"/>
  <c r="AM38" i="20"/>
  <c r="AP37" i="20"/>
  <c r="AO37" i="20"/>
  <c r="AN37" i="20"/>
  <c r="AM37" i="20"/>
  <c r="AP35" i="20"/>
  <c r="AO35" i="20"/>
  <c r="AN35" i="20"/>
  <c r="AM35" i="20"/>
  <c r="AP34" i="20"/>
  <c r="AO34" i="20"/>
  <c r="AN34" i="20"/>
  <c r="AM34" i="20"/>
  <c r="AP33" i="20"/>
  <c r="AO33" i="20"/>
  <c r="AN33" i="20"/>
  <c r="AM33" i="20"/>
  <c r="AP31" i="20"/>
  <c r="AO31" i="20"/>
  <c r="AN31" i="20"/>
  <c r="AM31" i="20"/>
  <c r="AP29" i="20"/>
  <c r="AO29" i="20"/>
  <c r="AN29" i="20"/>
  <c r="AM29" i="20"/>
  <c r="AP28" i="20"/>
  <c r="AO28" i="20"/>
  <c r="AN28" i="20"/>
  <c r="AM28" i="20"/>
  <c r="AP27" i="20"/>
  <c r="AO27" i="20"/>
  <c r="AN27" i="20"/>
  <c r="AM27" i="20"/>
  <c r="AM16" i="20"/>
  <c r="AN16" i="20" s="1"/>
  <c r="AO16" i="20" s="1"/>
  <c r="AP16" i="20" s="1"/>
  <c r="V16" i="20"/>
  <c r="W16" i="20" s="1"/>
  <c r="X16" i="20" s="1"/>
  <c r="Y16" i="20" s="1"/>
  <c r="E16" i="20"/>
  <c r="E498" i="20" s="1"/>
  <c r="G498" i="20" s="1"/>
  <c r="I498" i="20" s="1"/>
  <c r="K498" i="20" s="1"/>
  <c r="AO15" i="20"/>
  <c r="X15" i="20"/>
  <c r="G15" i="20"/>
  <c r="AK13" i="20"/>
  <c r="V13" i="20"/>
  <c r="T13" i="20"/>
  <c r="C13" i="20"/>
  <c r="AK12" i="20"/>
  <c r="T12" i="20"/>
  <c r="C12" i="20"/>
  <c r="AK10" i="20"/>
  <c r="T10" i="20"/>
  <c r="C10" i="20"/>
  <c r="W6" i="20"/>
  <c r="W5" i="20"/>
  <c r="W4" i="20"/>
  <c r="T4" i="20"/>
  <c r="W3" i="20"/>
  <c r="W2" i="20"/>
  <c r="AG323" i="2"/>
  <c r="AF323" i="2"/>
  <c r="AE323" i="2"/>
  <c r="AD323" i="2"/>
  <c r="AC323" i="2"/>
  <c r="AG322" i="2"/>
  <c r="AF322" i="2"/>
  <c r="AE322" i="2"/>
  <c r="AD322" i="2"/>
  <c r="AC322" i="2"/>
  <c r="AG321" i="2"/>
  <c r="AF321" i="2"/>
  <c r="AE321" i="2"/>
  <c r="AD321" i="2"/>
  <c r="AC321" i="2"/>
  <c r="AG320" i="2"/>
  <c r="AF320" i="2"/>
  <c r="AE320" i="2"/>
  <c r="AD320" i="2"/>
  <c r="AC320" i="2"/>
  <c r="AG319" i="2"/>
  <c r="AF319" i="2"/>
  <c r="AE319" i="2"/>
  <c r="AD319" i="2"/>
  <c r="AC319" i="2"/>
  <c r="AG318" i="2"/>
  <c r="AF318" i="2"/>
  <c r="AE318" i="2"/>
  <c r="AD318" i="2"/>
  <c r="AC318" i="2"/>
  <c r="AG317" i="2"/>
  <c r="AF317" i="2"/>
  <c r="AE317" i="2"/>
  <c r="AD317" i="2"/>
  <c r="AC317" i="2"/>
  <c r="AG316" i="2"/>
  <c r="AF316" i="2"/>
  <c r="AE316" i="2"/>
  <c r="AD316" i="2"/>
  <c r="AC316" i="2"/>
  <c r="AG315" i="2"/>
  <c r="AF315" i="2"/>
  <c r="AE315" i="2"/>
  <c r="AD315" i="2"/>
  <c r="AC315" i="2"/>
  <c r="AG314" i="2"/>
  <c r="AF314" i="2"/>
  <c r="AE314" i="2"/>
  <c r="AD314" i="2"/>
  <c r="AC314" i="2"/>
  <c r="AG313" i="2"/>
  <c r="AF313" i="2"/>
  <c r="AE313" i="2"/>
  <c r="AD313" i="2"/>
  <c r="AC313" i="2"/>
  <c r="AG312" i="2"/>
  <c r="AF312" i="2"/>
  <c r="AE312" i="2"/>
  <c r="AD312" i="2"/>
  <c r="AC312" i="2"/>
  <c r="AG311" i="2"/>
  <c r="AF311" i="2"/>
  <c r="AE311" i="2"/>
  <c r="AD311" i="2"/>
  <c r="AC311" i="2"/>
  <c r="AG310" i="2"/>
  <c r="AF310" i="2"/>
  <c r="AE310" i="2"/>
  <c r="AD310" i="2"/>
  <c r="AC310" i="2"/>
  <c r="AG309" i="2"/>
  <c r="AF309" i="2"/>
  <c r="AE309" i="2"/>
  <c r="AD309" i="2"/>
  <c r="AC309" i="2"/>
  <c r="AG308" i="2"/>
  <c r="AF308" i="2"/>
  <c r="AE308" i="2"/>
  <c r="AD308" i="2"/>
  <c r="AC308" i="2"/>
  <c r="AG307" i="2"/>
  <c r="AF307" i="2"/>
  <c r="AE307" i="2"/>
  <c r="AD307" i="2"/>
  <c r="AC307" i="2"/>
  <c r="AG306" i="2"/>
  <c r="AF306" i="2"/>
  <c r="AE306" i="2"/>
  <c r="AD306" i="2"/>
  <c r="AC306" i="2"/>
  <c r="AG305" i="2"/>
  <c r="AF305" i="2"/>
  <c r="AE305" i="2"/>
  <c r="AD305" i="2"/>
  <c r="AC305" i="2"/>
  <c r="AG302" i="2"/>
  <c r="AF302" i="2"/>
  <c r="AE302" i="2"/>
  <c r="AD302" i="2"/>
  <c r="AC302" i="2"/>
  <c r="AB302" i="2"/>
  <c r="G302" i="2"/>
  <c r="F302" i="2"/>
  <c r="E302" i="2"/>
  <c r="D302" i="2"/>
  <c r="C302" i="2"/>
  <c r="B302" i="2"/>
  <c r="AG301" i="2"/>
  <c r="AF301" i="2"/>
  <c r="AE301" i="2"/>
  <c r="AD301" i="2"/>
  <c r="AC301" i="2"/>
  <c r="AB301" i="2"/>
  <c r="B301" i="2"/>
  <c r="AG300" i="2"/>
  <c r="AF300" i="2"/>
  <c r="AE300" i="2"/>
  <c r="AD300" i="2"/>
  <c r="AC300" i="2"/>
  <c r="AB300" i="2"/>
  <c r="G300" i="2"/>
  <c r="F300" i="2"/>
  <c r="E300" i="2"/>
  <c r="D300" i="2"/>
  <c r="C300" i="2"/>
  <c r="B300" i="2"/>
  <c r="AG299" i="2"/>
  <c r="AF299" i="2"/>
  <c r="AE299" i="2"/>
  <c r="AD299" i="2"/>
  <c r="AC299" i="2"/>
  <c r="AB299" i="2"/>
  <c r="B299" i="2"/>
  <c r="AG298" i="2"/>
  <c r="AF298" i="2"/>
  <c r="AE298" i="2"/>
  <c r="AD298" i="2"/>
  <c r="AC298" i="2"/>
  <c r="AB298" i="2"/>
  <c r="G298" i="2"/>
  <c r="F298" i="2"/>
  <c r="E298" i="2"/>
  <c r="D298" i="2"/>
  <c r="C298" i="2"/>
  <c r="B298" i="2"/>
  <c r="AG297" i="2"/>
  <c r="AF297" i="2"/>
  <c r="AE297" i="2"/>
  <c r="AD297" i="2"/>
  <c r="AC297" i="2"/>
  <c r="AB297" i="2"/>
  <c r="G297" i="2"/>
  <c r="F297" i="2"/>
  <c r="E297" i="2"/>
  <c r="D297" i="2"/>
  <c r="C297" i="2"/>
  <c r="B297" i="2"/>
  <c r="AG296" i="2"/>
  <c r="AF296" i="2"/>
  <c r="AE296" i="2"/>
  <c r="AD296" i="2"/>
  <c r="AC296" i="2"/>
  <c r="AB296" i="2"/>
  <c r="B296" i="2"/>
  <c r="AG295" i="2"/>
  <c r="AF295" i="2"/>
  <c r="AE295" i="2"/>
  <c r="AD295" i="2"/>
  <c r="AC295" i="2"/>
  <c r="AB295" i="2"/>
  <c r="B295" i="2"/>
  <c r="AG294" i="2"/>
  <c r="AF294" i="2"/>
  <c r="AE294" i="2"/>
  <c r="AD294" i="2"/>
  <c r="AC294" i="2"/>
  <c r="AB294" i="2"/>
  <c r="B294" i="2"/>
  <c r="AG293" i="2"/>
  <c r="AF293" i="2"/>
  <c r="AE293" i="2"/>
  <c r="AD293" i="2"/>
  <c r="AC293" i="2"/>
  <c r="AB293" i="2"/>
  <c r="B293" i="2"/>
  <c r="AG292" i="2"/>
  <c r="AF292" i="2"/>
  <c r="AE292" i="2"/>
  <c r="AD292" i="2"/>
  <c r="AC292" i="2"/>
  <c r="AB292" i="2"/>
  <c r="B292" i="2"/>
  <c r="AG291" i="2"/>
  <c r="AF291" i="2"/>
  <c r="AE291" i="2"/>
  <c r="AD291" i="2"/>
  <c r="AC291" i="2"/>
  <c r="AB291" i="2"/>
  <c r="B291" i="2"/>
  <c r="AG290" i="2"/>
  <c r="AF290" i="2"/>
  <c r="AE290" i="2"/>
  <c r="AD290" i="2"/>
  <c r="AC290" i="2"/>
  <c r="AB290" i="2"/>
  <c r="B290" i="2"/>
  <c r="AG289" i="2"/>
  <c r="AF289" i="2"/>
  <c r="AE289" i="2"/>
  <c r="AD289" i="2"/>
  <c r="AC289" i="2"/>
  <c r="AB289" i="2"/>
  <c r="B289" i="2"/>
  <c r="AG288" i="2"/>
  <c r="AF288" i="2"/>
  <c r="AE288" i="2"/>
  <c r="AD288" i="2"/>
  <c r="AC288" i="2"/>
  <c r="AB288" i="2"/>
  <c r="B288" i="2"/>
  <c r="AG287" i="2"/>
  <c r="AF287" i="2"/>
  <c r="AE287" i="2"/>
  <c r="AD287" i="2"/>
  <c r="AC287" i="2"/>
  <c r="AB287" i="2"/>
  <c r="B287" i="2"/>
  <c r="AG286" i="2"/>
  <c r="AF286" i="2"/>
  <c r="AE286" i="2"/>
  <c r="AD286" i="2"/>
  <c r="AC286" i="2"/>
  <c r="AB286" i="2"/>
  <c r="B286" i="2"/>
  <c r="AG285" i="2"/>
  <c r="AF285" i="2"/>
  <c r="AE285" i="2"/>
  <c r="AD285" i="2"/>
  <c r="AC285" i="2"/>
  <c r="AB285" i="2"/>
  <c r="B285" i="2"/>
  <c r="AG284" i="2"/>
  <c r="AF284" i="2"/>
  <c r="AE284" i="2"/>
  <c r="AD284" i="2"/>
  <c r="AC284" i="2"/>
  <c r="AB284" i="2"/>
  <c r="B284" i="2"/>
  <c r="BF280" i="2"/>
  <c r="BE280" i="2"/>
  <c r="BD280" i="2"/>
  <c r="BC280" i="2"/>
  <c r="BB280" i="2"/>
  <c r="BA280" i="2"/>
  <c r="AZ280" i="2"/>
  <c r="AY280" i="2"/>
  <c r="AX280" i="2"/>
  <c r="AW280" i="2"/>
  <c r="AV280" i="2"/>
  <c r="AU280" i="2"/>
  <c r="AT280" i="2"/>
  <c r="AO280" i="2"/>
  <c r="AN280" i="2"/>
  <c r="AM280" i="2"/>
  <c r="AL280" i="2"/>
  <c r="AK280" i="2"/>
  <c r="AJ280" i="2"/>
  <c r="AI280" i="2"/>
  <c r="AH280" i="2"/>
  <c r="AG280" i="2"/>
  <c r="AF280" i="2"/>
  <c r="AE280" i="2"/>
  <c r="AD280" i="2"/>
  <c r="AC280" i="2"/>
  <c r="AB280" i="2"/>
  <c r="C280" i="2"/>
  <c r="BF279" i="2"/>
  <c r="BE279" i="2"/>
  <c r="BD279" i="2"/>
  <c r="BC279" i="2"/>
  <c r="BB279" i="2"/>
  <c r="BA279" i="2"/>
  <c r="AZ279" i="2"/>
  <c r="AY279" i="2"/>
  <c r="AX279" i="2"/>
  <c r="AW279" i="2"/>
  <c r="AV279" i="2"/>
  <c r="AU279" i="2"/>
  <c r="AT279" i="2"/>
  <c r="AO279" i="2"/>
  <c r="AN279" i="2"/>
  <c r="AM279" i="2"/>
  <c r="AL279" i="2"/>
  <c r="AK279" i="2"/>
  <c r="AJ279" i="2"/>
  <c r="AI279" i="2"/>
  <c r="AH279" i="2"/>
  <c r="AG279" i="2"/>
  <c r="AF279" i="2"/>
  <c r="AE279" i="2"/>
  <c r="AD279" i="2"/>
  <c r="AC279" i="2"/>
  <c r="AB279" i="2"/>
  <c r="BF278" i="2"/>
  <c r="BE278" i="2"/>
  <c r="BD278" i="2"/>
  <c r="BC278" i="2"/>
  <c r="BB278" i="2"/>
  <c r="BA278" i="2"/>
  <c r="AZ278" i="2"/>
  <c r="AY278" i="2"/>
  <c r="AX278" i="2"/>
  <c r="AW278" i="2"/>
  <c r="AV278" i="2"/>
  <c r="AU278" i="2"/>
  <c r="AT278" i="2"/>
  <c r="AO278" i="2"/>
  <c r="AN278" i="2"/>
  <c r="AM278" i="2"/>
  <c r="AL278" i="2"/>
  <c r="AK278" i="2"/>
  <c r="AJ278" i="2"/>
  <c r="AI278" i="2"/>
  <c r="AH278" i="2"/>
  <c r="AG278" i="2"/>
  <c r="AF278" i="2"/>
  <c r="AE278" i="2"/>
  <c r="AD278" i="2"/>
  <c r="AC278" i="2"/>
  <c r="AB278" i="2"/>
  <c r="BF277" i="2"/>
  <c r="BE277" i="2"/>
  <c r="BD277" i="2"/>
  <c r="BC277" i="2"/>
  <c r="BB277" i="2"/>
  <c r="BA277" i="2"/>
  <c r="AZ277" i="2"/>
  <c r="AY277" i="2"/>
  <c r="AO277" i="2"/>
  <c r="AN277" i="2"/>
  <c r="AM277" i="2"/>
  <c r="AL277" i="2"/>
  <c r="AK277" i="2"/>
  <c r="AJ277" i="2"/>
  <c r="AI277" i="2"/>
  <c r="AH277" i="2"/>
  <c r="AG277" i="2"/>
  <c r="AF277" i="2"/>
  <c r="AE277" i="2"/>
  <c r="AD277" i="2"/>
  <c r="AC277" i="2"/>
  <c r="AB277" i="2"/>
  <c r="BF276" i="2"/>
  <c r="BE276" i="2"/>
  <c r="BD276" i="2"/>
  <c r="BC276" i="2"/>
  <c r="BB276" i="2"/>
  <c r="BA276" i="2"/>
  <c r="AZ276" i="2"/>
  <c r="AY276" i="2"/>
  <c r="AO276" i="2"/>
  <c r="AN276" i="2"/>
  <c r="AM276" i="2"/>
  <c r="AL276" i="2"/>
  <c r="AK276" i="2"/>
  <c r="AJ276" i="2"/>
  <c r="AI276" i="2"/>
  <c r="AH276" i="2"/>
  <c r="AG276" i="2"/>
  <c r="AF276" i="2"/>
  <c r="AE276" i="2"/>
  <c r="AD276" i="2"/>
  <c r="AC276" i="2"/>
  <c r="AB276" i="2"/>
  <c r="BF275" i="2"/>
  <c r="BE275" i="2"/>
  <c r="BD275" i="2"/>
  <c r="BC275" i="2"/>
  <c r="BB275" i="2"/>
  <c r="BA275" i="2"/>
  <c r="AZ275" i="2"/>
  <c r="AY275" i="2"/>
  <c r="AO275" i="2"/>
  <c r="AN275" i="2"/>
  <c r="AM275" i="2"/>
  <c r="AL275" i="2"/>
  <c r="AK275" i="2"/>
  <c r="AJ275" i="2"/>
  <c r="AI275" i="2"/>
  <c r="AH275" i="2"/>
  <c r="AG275" i="2"/>
  <c r="AF275" i="2"/>
  <c r="AE275" i="2"/>
  <c r="AD275" i="2"/>
  <c r="AC275" i="2"/>
  <c r="AB275" i="2"/>
  <c r="BF274" i="2"/>
  <c r="BE274" i="2"/>
  <c r="BD274" i="2"/>
  <c r="BC274" i="2"/>
  <c r="BB274" i="2"/>
  <c r="BA274" i="2"/>
  <c r="AZ274" i="2"/>
  <c r="AY274" i="2"/>
  <c r="AO274" i="2"/>
  <c r="AN274" i="2"/>
  <c r="AM274" i="2"/>
  <c r="AL274" i="2"/>
  <c r="AK274" i="2"/>
  <c r="AJ274" i="2"/>
  <c r="AI274" i="2"/>
  <c r="AH274" i="2"/>
  <c r="AG274" i="2"/>
  <c r="AF274" i="2"/>
  <c r="AE274" i="2"/>
  <c r="AD274" i="2"/>
  <c r="AC274" i="2"/>
  <c r="AB274" i="2"/>
  <c r="BF273" i="2"/>
  <c r="BE273" i="2"/>
  <c r="BD273" i="2"/>
  <c r="BC273" i="2"/>
  <c r="BB273" i="2"/>
  <c r="BA273" i="2"/>
  <c r="AZ273" i="2"/>
  <c r="AY273" i="2"/>
  <c r="AO273" i="2"/>
  <c r="AN273" i="2"/>
  <c r="AM273" i="2"/>
  <c r="AL273" i="2"/>
  <c r="AK273" i="2"/>
  <c r="AJ273" i="2"/>
  <c r="AI273" i="2"/>
  <c r="AH273" i="2"/>
  <c r="AG273" i="2"/>
  <c r="AF273" i="2"/>
  <c r="AE273" i="2"/>
  <c r="AD273" i="2"/>
  <c r="AC273" i="2"/>
  <c r="AB273" i="2"/>
  <c r="BF272" i="2"/>
  <c r="BE272" i="2"/>
  <c r="BD272" i="2"/>
  <c r="BC272" i="2"/>
  <c r="BB272" i="2"/>
  <c r="BA272" i="2"/>
  <c r="AZ272" i="2"/>
  <c r="AY272" i="2"/>
  <c r="AO272" i="2"/>
  <c r="AN272" i="2"/>
  <c r="AM272" i="2"/>
  <c r="AL272" i="2"/>
  <c r="AK272" i="2"/>
  <c r="AJ272" i="2"/>
  <c r="AI272" i="2"/>
  <c r="AH272" i="2"/>
  <c r="AG272" i="2"/>
  <c r="AF272" i="2"/>
  <c r="AE272" i="2"/>
  <c r="AD272" i="2"/>
  <c r="AC272" i="2"/>
  <c r="AB272" i="2"/>
  <c r="AT271" i="2"/>
  <c r="AO271" i="2"/>
  <c r="AN271" i="2"/>
  <c r="AM271" i="2"/>
  <c r="AL271" i="2"/>
  <c r="AK271" i="2"/>
  <c r="AJ271" i="2"/>
  <c r="AI271" i="2"/>
  <c r="AH271" i="2"/>
  <c r="AG271" i="2"/>
  <c r="AF271" i="2"/>
  <c r="AE271" i="2"/>
  <c r="AD271" i="2"/>
  <c r="AC271" i="2"/>
  <c r="AB271" i="2"/>
  <c r="O271" i="2"/>
  <c r="P122" i="20" s="1"/>
  <c r="AG122" i="20" s="1"/>
  <c r="N271" i="2"/>
  <c r="O122" i="20" s="1"/>
  <c r="AF122" i="20" s="1"/>
  <c r="M271" i="2"/>
  <c r="N122" i="20" s="1"/>
  <c r="AE122" i="20" s="1"/>
  <c r="L271" i="2"/>
  <c r="M122" i="20" s="1"/>
  <c r="AD122" i="20" s="1"/>
  <c r="K271" i="2"/>
  <c r="L122" i="20" s="1"/>
  <c r="AC122" i="20" s="1"/>
  <c r="J271" i="2"/>
  <c r="K122" i="20" s="1"/>
  <c r="AB122" i="20" s="1"/>
  <c r="I271" i="2"/>
  <c r="J122" i="20" s="1"/>
  <c r="AA122" i="20" s="1"/>
  <c r="H271" i="2"/>
  <c r="I122" i="20" s="1"/>
  <c r="Z122" i="20" s="1"/>
  <c r="AT270" i="2"/>
  <c r="AO270" i="2"/>
  <c r="AN270" i="2"/>
  <c r="AM270" i="2"/>
  <c r="AL270" i="2"/>
  <c r="AK270" i="2"/>
  <c r="AJ270" i="2"/>
  <c r="AI270" i="2"/>
  <c r="AH270" i="2"/>
  <c r="AG270" i="2"/>
  <c r="AF270" i="2"/>
  <c r="AE270" i="2"/>
  <c r="AD270" i="2"/>
  <c r="AC270" i="2"/>
  <c r="AB270" i="2"/>
  <c r="O270" i="2"/>
  <c r="P121" i="20" s="1"/>
  <c r="AG121" i="20" s="1"/>
  <c r="N270" i="2"/>
  <c r="O121" i="20" s="1"/>
  <c r="AF121" i="20" s="1"/>
  <c r="M270" i="2"/>
  <c r="N121" i="20" s="1"/>
  <c r="AE121" i="20" s="1"/>
  <c r="L270" i="2"/>
  <c r="M121" i="20" s="1"/>
  <c r="AD121" i="20" s="1"/>
  <c r="K270" i="2"/>
  <c r="L121" i="20" s="1"/>
  <c r="AC121" i="20" s="1"/>
  <c r="J270" i="2"/>
  <c r="K121" i="20" s="1"/>
  <c r="AB121" i="20" s="1"/>
  <c r="I270" i="2"/>
  <c r="J121" i="20" s="1"/>
  <c r="AA121" i="20" s="1"/>
  <c r="H270" i="2"/>
  <c r="I121" i="20" s="1"/>
  <c r="Z121" i="20" s="1"/>
  <c r="AT269" i="2"/>
  <c r="AO269" i="2"/>
  <c r="AN269" i="2"/>
  <c r="AM269" i="2"/>
  <c r="AL269" i="2"/>
  <c r="AK269" i="2"/>
  <c r="AJ269" i="2"/>
  <c r="AI269" i="2"/>
  <c r="AH269" i="2"/>
  <c r="AG269" i="2"/>
  <c r="AF269" i="2"/>
  <c r="AE269" i="2"/>
  <c r="AD269" i="2"/>
  <c r="AC269" i="2"/>
  <c r="AB269" i="2"/>
  <c r="O269" i="2"/>
  <c r="P120" i="20" s="1"/>
  <c r="AG120" i="20" s="1"/>
  <c r="N269" i="2"/>
  <c r="O120" i="20" s="1"/>
  <c r="AF120" i="20" s="1"/>
  <c r="M269" i="2"/>
  <c r="N120" i="20" s="1"/>
  <c r="AE120" i="20" s="1"/>
  <c r="L269" i="2"/>
  <c r="M120" i="20" s="1"/>
  <c r="AD120" i="20" s="1"/>
  <c r="K269" i="2"/>
  <c r="L120" i="20" s="1"/>
  <c r="AC120" i="20" s="1"/>
  <c r="J269" i="2"/>
  <c r="K120" i="20" s="1"/>
  <c r="AB120" i="20" s="1"/>
  <c r="I269" i="2"/>
  <c r="J120" i="20" s="1"/>
  <c r="AA120" i="20" s="1"/>
  <c r="H269" i="2"/>
  <c r="I120" i="20" s="1"/>
  <c r="Z120" i="20" s="1"/>
  <c r="AT268" i="2"/>
  <c r="AO268" i="2"/>
  <c r="AN268" i="2"/>
  <c r="AM268" i="2"/>
  <c r="AL268" i="2"/>
  <c r="AK268" i="2"/>
  <c r="AJ268" i="2"/>
  <c r="AI268" i="2"/>
  <c r="AH268" i="2"/>
  <c r="AG268" i="2"/>
  <c r="AF268" i="2"/>
  <c r="AE268" i="2"/>
  <c r="AD268" i="2"/>
  <c r="AC268" i="2"/>
  <c r="AB268" i="2"/>
  <c r="O268" i="2"/>
  <c r="P119" i="20" s="1"/>
  <c r="AG119" i="20" s="1"/>
  <c r="N268" i="2"/>
  <c r="O119" i="20" s="1"/>
  <c r="AF119" i="20" s="1"/>
  <c r="M268" i="2"/>
  <c r="N119" i="20" s="1"/>
  <c r="AE119" i="20" s="1"/>
  <c r="L268" i="2"/>
  <c r="M119" i="20" s="1"/>
  <c r="AD119" i="20" s="1"/>
  <c r="K268" i="2"/>
  <c r="L119" i="20" s="1"/>
  <c r="AC119" i="20" s="1"/>
  <c r="J268" i="2"/>
  <c r="K119" i="20" s="1"/>
  <c r="AB119" i="20" s="1"/>
  <c r="I268" i="2"/>
  <c r="J119" i="20" s="1"/>
  <c r="AA119" i="20" s="1"/>
  <c r="H268" i="2"/>
  <c r="I119" i="20" s="1"/>
  <c r="Z119" i="20" s="1"/>
  <c r="AT267" i="2"/>
  <c r="AO267" i="2"/>
  <c r="AN267" i="2"/>
  <c r="AM267" i="2"/>
  <c r="AL267" i="2"/>
  <c r="AK267" i="2"/>
  <c r="AJ267" i="2"/>
  <c r="AI267" i="2"/>
  <c r="AH267" i="2"/>
  <c r="AG267" i="2"/>
  <c r="AF267" i="2"/>
  <c r="AE267" i="2"/>
  <c r="AD267" i="2"/>
  <c r="AC267" i="2"/>
  <c r="AB267" i="2"/>
  <c r="O267" i="2"/>
  <c r="P118" i="20" s="1"/>
  <c r="AG118" i="20" s="1"/>
  <c r="N267" i="2"/>
  <c r="O118" i="20" s="1"/>
  <c r="AF118" i="20" s="1"/>
  <c r="M267" i="2"/>
  <c r="N118" i="20" s="1"/>
  <c r="AE118" i="20" s="1"/>
  <c r="L267" i="2"/>
  <c r="M118" i="20" s="1"/>
  <c r="AD118" i="20" s="1"/>
  <c r="K267" i="2"/>
  <c r="L118" i="20" s="1"/>
  <c r="AC118" i="20" s="1"/>
  <c r="J267" i="2"/>
  <c r="K118" i="20" s="1"/>
  <c r="AB118" i="20" s="1"/>
  <c r="I267" i="2"/>
  <c r="J118" i="20" s="1"/>
  <c r="AA118" i="20" s="1"/>
  <c r="H267" i="2"/>
  <c r="I118" i="20" s="1"/>
  <c r="Z118" i="20" s="1"/>
  <c r="AT266" i="2"/>
  <c r="AO266" i="2"/>
  <c r="AN266" i="2"/>
  <c r="AM266" i="2"/>
  <c r="AL266" i="2"/>
  <c r="AK266" i="2"/>
  <c r="AJ266" i="2"/>
  <c r="AI266" i="2"/>
  <c r="AH266" i="2"/>
  <c r="AG266" i="2"/>
  <c r="AF266" i="2"/>
  <c r="AE266" i="2"/>
  <c r="AD266" i="2"/>
  <c r="AC266" i="2"/>
  <c r="AB266" i="2"/>
  <c r="BF265" i="2"/>
  <c r="BE265" i="2"/>
  <c r="BD265" i="2"/>
  <c r="BC265" i="2"/>
  <c r="BB265" i="2"/>
  <c r="BA265" i="2"/>
  <c r="AZ265" i="2"/>
  <c r="AY265" i="2"/>
  <c r="AO265" i="2"/>
  <c r="AN265" i="2"/>
  <c r="AM265" i="2"/>
  <c r="AL265" i="2"/>
  <c r="AK265" i="2"/>
  <c r="AJ265" i="2"/>
  <c r="AI265" i="2"/>
  <c r="AH265" i="2"/>
  <c r="AG265" i="2"/>
  <c r="AF265" i="2"/>
  <c r="AE265" i="2"/>
  <c r="AD265" i="2"/>
  <c r="AC265" i="2"/>
  <c r="AB265" i="2"/>
  <c r="BF264" i="2"/>
  <c r="BE264" i="2"/>
  <c r="BD264" i="2"/>
  <c r="BC264" i="2"/>
  <c r="BB264" i="2"/>
  <c r="BA264" i="2"/>
  <c r="AZ264" i="2"/>
  <c r="AY264" i="2"/>
  <c r="AO264" i="2"/>
  <c r="AN264" i="2"/>
  <c r="AM264" i="2"/>
  <c r="AL264" i="2"/>
  <c r="AK264" i="2"/>
  <c r="AJ264" i="2"/>
  <c r="AI264" i="2"/>
  <c r="AH264" i="2"/>
  <c r="AG264" i="2"/>
  <c r="AF264" i="2"/>
  <c r="AE264" i="2"/>
  <c r="AD264" i="2"/>
  <c r="AC264" i="2"/>
  <c r="AB264" i="2"/>
  <c r="BF263" i="2"/>
  <c r="BE263" i="2"/>
  <c r="BD263" i="2"/>
  <c r="BC263" i="2"/>
  <c r="BB263" i="2"/>
  <c r="BA263" i="2"/>
  <c r="AZ263" i="2"/>
  <c r="AY263" i="2"/>
  <c r="AO263" i="2"/>
  <c r="AN263" i="2"/>
  <c r="AM263" i="2"/>
  <c r="AL263" i="2"/>
  <c r="AK263" i="2"/>
  <c r="AJ263" i="2"/>
  <c r="AI263" i="2"/>
  <c r="AH263" i="2"/>
  <c r="AG263" i="2"/>
  <c r="AF263" i="2"/>
  <c r="AE263" i="2"/>
  <c r="AD263" i="2"/>
  <c r="AC263" i="2"/>
  <c r="AB263" i="2"/>
  <c r="BF262" i="2"/>
  <c r="BE262" i="2"/>
  <c r="BD262" i="2"/>
  <c r="BC262" i="2"/>
  <c r="BB262" i="2"/>
  <c r="BA262" i="2"/>
  <c r="AZ262" i="2"/>
  <c r="AY262" i="2"/>
  <c r="AO262" i="2"/>
  <c r="AN262" i="2"/>
  <c r="AM262" i="2"/>
  <c r="AL262" i="2"/>
  <c r="AK262" i="2"/>
  <c r="AJ262" i="2"/>
  <c r="AI262" i="2"/>
  <c r="AH262" i="2"/>
  <c r="AG262" i="2"/>
  <c r="AF262" i="2"/>
  <c r="AE262" i="2"/>
  <c r="AD262" i="2"/>
  <c r="AC262" i="2"/>
  <c r="AB262" i="2"/>
  <c r="BF261" i="2"/>
  <c r="BE261" i="2"/>
  <c r="BD261" i="2"/>
  <c r="BC261" i="2"/>
  <c r="BB261" i="2"/>
  <c r="BA261" i="2"/>
  <c r="AZ261" i="2"/>
  <c r="AY261" i="2"/>
  <c r="AO261" i="2"/>
  <c r="AN261" i="2"/>
  <c r="AM261" i="2"/>
  <c r="AL261" i="2"/>
  <c r="AK261" i="2"/>
  <c r="AJ261" i="2"/>
  <c r="AI261" i="2"/>
  <c r="AH261" i="2"/>
  <c r="AG261" i="2"/>
  <c r="AF261" i="2"/>
  <c r="AE261" i="2"/>
  <c r="AD261" i="2"/>
  <c r="AC261" i="2"/>
  <c r="AB261" i="2"/>
  <c r="BF260" i="2"/>
  <c r="BE260" i="2"/>
  <c r="BD260" i="2"/>
  <c r="BC260" i="2"/>
  <c r="BB260" i="2"/>
  <c r="BA260" i="2"/>
  <c r="AZ260" i="2"/>
  <c r="AY260" i="2"/>
  <c r="AX260" i="2"/>
  <c r="AW260" i="2"/>
  <c r="AV260" i="2"/>
  <c r="AU260" i="2"/>
  <c r="AO260" i="2"/>
  <c r="AN260" i="2"/>
  <c r="AM260" i="2"/>
  <c r="AL260" i="2"/>
  <c r="AK260" i="2"/>
  <c r="AJ260" i="2"/>
  <c r="AI260" i="2"/>
  <c r="AH260" i="2"/>
  <c r="AG260" i="2"/>
  <c r="AF260" i="2"/>
  <c r="AE260" i="2"/>
  <c r="AD260" i="2"/>
  <c r="AC260" i="2"/>
  <c r="AB260" i="2"/>
  <c r="BF259" i="2"/>
  <c r="BE259" i="2"/>
  <c r="BD259" i="2"/>
  <c r="BC259" i="2"/>
  <c r="BB259" i="2"/>
  <c r="BA259" i="2"/>
  <c r="AZ259" i="2"/>
  <c r="AY259" i="2"/>
  <c r="AX259" i="2"/>
  <c r="AW259" i="2"/>
  <c r="AV259" i="2"/>
  <c r="AU259" i="2"/>
  <c r="AO259" i="2"/>
  <c r="AN259" i="2"/>
  <c r="AM259" i="2"/>
  <c r="AL259" i="2"/>
  <c r="AK259" i="2"/>
  <c r="AJ259" i="2"/>
  <c r="AI259" i="2"/>
  <c r="AH259" i="2"/>
  <c r="AG259" i="2"/>
  <c r="AF259" i="2"/>
  <c r="AE259" i="2"/>
  <c r="AD259" i="2"/>
  <c r="AC259" i="2"/>
  <c r="AB259" i="2"/>
  <c r="BF258" i="2"/>
  <c r="BE258" i="2"/>
  <c r="BD258" i="2"/>
  <c r="BC258" i="2"/>
  <c r="BB258" i="2"/>
  <c r="BA258" i="2"/>
  <c r="AZ258" i="2"/>
  <c r="AY258" i="2"/>
  <c r="AX258" i="2"/>
  <c r="AW258" i="2"/>
  <c r="AV258" i="2"/>
  <c r="AU258" i="2"/>
  <c r="AO258" i="2"/>
  <c r="AN258" i="2"/>
  <c r="AM258" i="2"/>
  <c r="AL258" i="2"/>
  <c r="AK258" i="2"/>
  <c r="AJ258" i="2"/>
  <c r="AI258" i="2"/>
  <c r="AH258" i="2"/>
  <c r="AG258" i="2"/>
  <c r="AF258" i="2"/>
  <c r="AE258" i="2"/>
  <c r="AD258" i="2"/>
  <c r="AC258" i="2"/>
  <c r="AB258" i="2"/>
  <c r="BF257" i="2"/>
  <c r="BE257" i="2"/>
  <c r="BD257" i="2"/>
  <c r="BC257" i="2"/>
  <c r="BB257" i="2"/>
  <c r="BA257" i="2"/>
  <c r="AZ257" i="2"/>
  <c r="AY257" i="2"/>
  <c r="AX257" i="2"/>
  <c r="AW257" i="2"/>
  <c r="AV257" i="2"/>
  <c r="AU257" i="2"/>
  <c r="AT257" i="2"/>
  <c r="AO257" i="2"/>
  <c r="AN257" i="2"/>
  <c r="AM257" i="2"/>
  <c r="AL257" i="2"/>
  <c r="AK257" i="2"/>
  <c r="AJ257" i="2"/>
  <c r="AI257" i="2"/>
  <c r="AH257" i="2"/>
  <c r="AG257" i="2"/>
  <c r="AF257" i="2"/>
  <c r="AE257" i="2"/>
  <c r="AD257" i="2"/>
  <c r="AC257" i="2"/>
  <c r="AB257" i="2"/>
  <c r="BF256" i="2"/>
  <c r="BE256" i="2"/>
  <c r="BD256" i="2"/>
  <c r="BC256" i="2"/>
  <c r="BB256" i="2"/>
  <c r="BA256" i="2"/>
  <c r="AZ256" i="2"/>
  <c r="AY256" i="2"/>
  <c r="AO256" i="2"/>
  <c r="AN256" i="2"/>
  <c r="AM256" i="2"/>
  <c r="AL256" i="2"/>
  <c r="AK256" i="2"/>
  <c r="AJ256" i="2"/>
  <c r="AI256" i="2"/>
  <c r="AH256" i="2"/>
  <c r="AG256" i="2"/>
  <c r="AF256" i="2"/>
  <c r="AE256" i="2"/>
  <c r="AD256" i="2"/>
  <c r="AC256" i="2"/>
  <c r="AB256" i="2"/>
  <c r="BF255" i="2"/>
  <c r="BE255" i="2"/>
  <c r="BD255" i="2"/>
  <c r="BC255" i="2"/>
  <c r="BB255" i="2"/>
  <c r="BA255" i="2"/>
  <c r="AZ255" i="2"/>
  <c r="AY255" i="2"/>
  <c r="AO255" i="2"/>
  <c r="AN255" i="2"/>
  <c r="AM255" i="2"/>
  <c r="AL255" i="2"/>
  <c r="AK255" i="2"/>
  <c r="AJ255" i="2"/>
  <c r="AI255" i="2"/>
  <c r="AH255" i="2"/>
  <c r="AG255" i="2"/>
  <c r="AF255" i="2"/>
  <c r="AE255" i="2"/>
  <c r="AD255" i="2"/>
  <c r="AC255" i="2"/>
  <c r="AB255" i="2"/>
  <c r="BF254" i="2"/>
  <c r="BE254" i="2"/>
  <c r="BD254" i="2"/>
  <c r="BC254" i="2"/>
  <c r="BB254" i="2"/>
  <c r="BA254" i="2"/>
  <c r="AZ254" i="2"/>
  <c r="AY254" i="2"/>
  <c r="AO254" i="2"/>
  <c r="AN254" i="2"/>
  <c r="AM254" i="2"/>
  <c r="AL254" i="2"/>
  <c r="AK254" i="2"/>
  <c r="AJ254" i="2"/>
  <c r="AI254" i="2"/>
  <c r="AH254" i="2"/>
  <c r="AG254" i="2"/>
  <c r="AF254" i="2"/>
  <c r="AE254" i="2"/>
  <c r="AD254" i="2"/>
  <c r="AC254" i="2"/>
  <c r="AB254" i="2"/>
  <c r="BF253" i="2"/>
  <c r="BE253" i="2"/>
  <c r="BD253" i="2"/>
  <c r="BC253" i="2"/>
  <c r="BB253" i="2"/>
  <c r="BA253" i="2"/>
  <c r="AZ253" i="2"/>
  <c r="AY253" i="2"/>
  <c r="AO253" i="2"/>
  <c r="AN253" i="2"/>
  <c r="AM253" i="2"/>
  <c r="AL253" i="2"/>
  <c r="AK253" i="2"/>
  <c r="AJ253" i="2"/>
  <c r="AI253" i="2"/>
  <c r="AH253" i="2"/>
  <c r="AG253" i="2"/>
  <c r="AF253" i="2"/>
  <c r="AE253" i="2"/>
  <c r="AD253" i="2"/>
  <c r="AC253" i="2"/>
  <c r="AB253" i="2"/>
  <c r="BF252" i="2"/>
  <c r="BE252" i="2"/>
  <c r="BD252" i="2"/>
  <c r="BC252" i="2"/>
  <c r="BB252" i="2"/>
  <c r="BA252" i="2"/>
  <c r="AZ252" i="2"/>
  <c r="AY252" i="2"/>
  <c r="AO252" i="2"/>
  <c r="AN252" i="2"/>
  <c r="AM252" i="2"/>
  <c r="AL252" i="2"/>
  <c r="AK252" i="2"/>
  <c r="AJ252" i="2"/>
  <c r="AI252" i="2"/>
  <c r="AH252" i="2"/>
  <c r="AG252" i="2"/>
  <c r="AF252" i="2"/>
  <c r="AE252" i="2"/>
  <c r="AD252" i="2"/>
  <c r="AC252" i="2"/>
  <c r="AB252" i="2"/>
  <c r="BF251" i="2"/>
  <c r="BE251" i="2"/>
  <c r="BD251" i="2"/>
  <c r="BC251" i="2"/>
  <c r="BB251" i="2"/>
  <c r="BA251" i="2"/>
  <c r="AZ251" i="2"/>
  <c r="AY251" i="2"/>
  <c r="AX251" i="2"/>
  <c r="AW251" i="2"/>
  <c r="AV251" i="2"/>
  <c r="AU251" i="2"/>
  <c r="AT251" i="2"/>
  <c r="AO251" i="2"/>
  <c r="AN251" i="2"/>
  <c r="AM251" i="2"/>
  <c r="AL251" i="2"/>
  <c r="AK251" i="2"/>
  <c r="AJ251" i="2"/>
  <c r="AI251" i="2"/>
  <c r="AH251" i="2"/>
  <c r="AG251" i="2"/>
  <c r="AF251" i="2"/>
  <c r="AE251" i="2"/>
  <c r="AD251" i="2"/>
  <c r="AC251" i="2"/>
  <c r="AB251" i="2"/>
  <c r="BF250" i="2"/>
  <c r="BE250" i="2"/>
  <c r="BD250" i="2"/>
  <c r="BC250" i="2"/>
  <c r="BB250" i="2"/>
  <c r="BA250" i="2"/>
  <c r="AZ250" i="2"/>
  <c r="AY250" i="2"/>
  <c r="AO250" i="2"/>
  <c r="AN250" i="2"/>
  <c r="AM250" i="2"/>
  <c r="AL250" i="2"/>
  <c r="AK250" i="2"/>
  <c r="AJ250" i="2"/>
  <c r="AI250" i="2"/>
  <c r="AH250" i="2"/>
  <c r="AG250" i="2"/>
  <c r="AF250" i="2"/>
  <c r="AE250" i="2"/>
  <c r="AD250" i="2"/>
  <c r="AC250" i="2"/>
  <c r="AB250" i="2"/>
  <c r="BF249" i="2"/>
  <c r="BE249" i="2"/>
  <c r="BD249" i="2"/>
  <c r="BC249" i="2"/>
  <c r="BB249" i="2"/>
  <c r="BA249" i="2"/>
  <c r="AZ249" i="2"/>
  <c r="AY249" i="2"/>
  <c r="AO249" i="2"/>
  <c r="AN249" i="2"/>
  <c r="AM249" i="2"/>
  <c r="AL249" i="2"/>
  <c r="AK249" i="2"/>
  <c r="AJ249" i="2"/>
  <c r="AI249" i="2"/>
  <c r="AH249" i="2"/>
  <c r="AG249" i="2"/>
  <c r="AF249" i="2"/>
  <c r="AE249" i="2"/>
  <c r="AD249" i="2"/>
  <c r="AC249" i="2"/>
  <c r="AB249" i="2"/>
  <c r="BF248" i="2"/>
  <c r="BE248" i="2"/>
  <c r="BD248" i="2"/>
  <c r="BC248" i="2"/>
  <c r="BB248" i="2"/>
  <c r="BA248" i="2"/>
  <c r="AZ248" i="2"/>
  <c r="AY248" i="2"/>
  <c r="AO248" i="2"/>
  <c r="AN248" i="2"/>
  <c r="AM248" i="2"/>
  <c r="AL248" i="2"/>
  <c r="AK248" i="2"/>
  <c r="AJ248" i="2"/>
  <c r="AI248" i="2"/>
  <c r="AH248" i="2"/>
  <c r="AG248" i="2"/>
  <c r="AF248" i="2"/>
  <c r="AE248" i="2"/>
  <c r="AD248" i="2"/>
  <c r="AC248" i="2"/>
  <c r="AB248" i="2"/>
  <c r="BF247" i="2"/>
  <c r="BE247" i="2"/>
  <c r="BD247" i="2"/>
  <c r="BC247" i="2"/>
  <c r="BB247" i="2"/>
  <c r="BA247" i="2"/>
  <c r="AZ247" i="2"/>
  <c r="AY247" i="2"/>
  <c r="AO247" i="2"/>
  <c r="AN247" i="2"/>
  <c r="AM247" i="2"/>
  <c r="AL247" i="2"/>
  <c r="AK247" i="2"/>
  <c r="AJ247" i="2"/>
  <c r="AI247" i="2"/>
  <c r="AH247" i="2"/>
  <c r="AG247" i="2"/>
  <c r="AF247" i="2"/>
  <c r="AE247" i="2"/>
  <c r="AD247" i="2"/>
  <c r="AC247" i="2"/>
  <c r="AB247" i="2"/>
  <c r="BF246" i="2"/>
  <c r="BE246" i="2"/>
  <c r="BD246" i="2"/>
  <c r="BC246" i="2"/>
  <c r="BB246" i="2"/>
  <c r="BA246" i="2"/>
  <c r="AZ246" i="2"/>
  <c r="AY246" i="2"/>
  <c r="AO246" i="2"/>
  <c r="AN246" i="2"/>
  <c r="AM246" i="2"/>
  <c r="AL246" i="2"/>
  <c r="AK246" i="2"/>
  <c r="AJ246" i="2"/>
  <c r="AI246" i="2"/>
  <c r="AH246" i="2"/>
  <c r="AG246" i="2"/>
  <c r="AF246" i="2"/>
  <c r="AE246" i="2"/>
  <c r="AD246" i="2"/>
  <c r="AC246" i="2"/>
  <c r="AB246" i="2"/>
  <c r="BF245" i="2"/>
  <c r="BE245" i="2"/>
  <c r="BD245" i="2"/>
  <c r="BC245" i="2"/>
  <c r="BB245" i="2"/>
  <c r="BA245" i="2"/>
  <c r="AZ245" i="2"/>
  <c r="AY245" i="2"/>
  <c r="AO245" i="2"/>
  <c r="AN245" i="2"/>
  <c r="AM245" i="2"/>
  <c r="AL245" i="2"/>
  <c r="AK245" i="2"/>
  <c r="AJ245" i="2"/>
  <c r="AI245" i="2"/>
  <c r="AH245" i="2"/>
  <c r="AG245" i="2"/>
  <c r="AF245" i="2"/>
  <c r="AE245" i="2"/>
  <c r="AD245" i="2"/>
  <c r="AC245" i="2"/>
  <c r="AB245" i="2"/>
  <c r="BF244" i="2"/>
  <c r="BE244" i="2"/>
  <c r="BD244" i="2"/>
  <c r="BC244" i="2"/>
  <c r="BB244" i="2"/>
  <c r="BA244" i="2"/>
  <c r="AZ244" i="2"/>
  <c r="AY244" i="2"/>
  <c r="AO244" i="2"/>
  <c r="AN244" i="2"/>
  <c r="AM244" i="2"/>
  <c r="AL244" i="2"/>
  <c r="AK244" i="2"/>
  <c r="AJ244" i="2"/>
  <c r="AI244" i="2"/>
  <c r="AH244" i="2"/>
  <c r="AG244" i="2"/>
  <c r="AF244" i="2"/>
  <c r="AE244" i="2"/>
  <c r="AD244" i="2"/>
  <c r="AC244" i="2"/>
  <c r="AB244" i="2"/>
  <c r="BF243" i="2"/>
  <c r="BE243" i="2"/>
  <c r="BD243" i="2"/>
  <c r="BC243" i="2"/>
  <c r="BB243" i="2"/>
  <c r="BA243" i="2"/>
  <c r="AZ243" i="2"/>
  <c r="AY243" i="2"/>
  <c r="AO243" i="2"/>
  <c r="AN243" i="2"/>
  <c r="AM243" i="2"/>
  <c r="AL243" i="2"/>
  <c r="AK243" i="2"/>
  <c r="AJ243" i="2"/>
  <c r="AI243" i="2"/>
  <c r="AH243" i="2"/>
  <c r="AG243" i="2"/>
  <c r="AF243" i="2"/>
  <c r="AE243" i="2"/>
  <c r="AD243" i="2"/>
  <c r="AC243" i="2"/>
  <c r="AB243" i="2"/>
  <c r="BF242" i="2"/>
  <c r="BE242" i="2"/>
  <c r="BD242" i="2"/>
  <c r="BC242" i="2"/>
  <c r="BB242" i="2"/>
  <c r="BA242" i="2"/>
  <c r="AZ242" i="2"/>
  <c r="AY242" i="2"/>
  <c r="AO242" i="2"/>
  <c r="AN242" i="2"/>
  <c r="AM242" i="2"/>
  <c r="AL242" i="2"/>
  <c r="AK242" i="2"/>
  <c r="AJ242" i="2"/>
  <c r="AI242" i="2"/>
  <c r="AH242" i="2"/>
  <c r="AG242" i="2"/>
  <c r="AF242" i="2"/>
  <c r="AE242" i="2"/>
  <c r="AD242" i="2"/>
  <c r="AC242" i="2"/>
  <c r="AB242" i="2"/>
  <c r="BF241" i="2"/>
  <c r="BE241" i="2"/>
  <c r="BD241" i="2"/>
  <c r="BC241" i="2"/>
  <c r="BB241" i="2"/>
  <c r="BA241" i="2"/>
  <c r="AZ241" i="2"/>
  <c r="AY241" i="2"/>
  <c r="AO241" i="2"/>
  <c r="AN241" i="2"/>
  <c r="AM241" i="2"/>
  <c r="AL241" i="2"/>
  <c r="AK241" i="2"/>
  <c r="AJ241" i="2"/>
  <c r="AI241" i="2"/>
  <c r="AH241" i="2"/>
  <c r="AG241" i="2"/>
  <c r="AF241" i="2"/>
  <c r="AE241" i="2"/>
  <c r="AD241" i="2"/>
  <c r="AC241" i="2"/>
  <c r="AB241" i="2"/>
  <c r="BF240" i="2"/>
  <c r="BE240" i="2"/>
  <c r="BD240" i="2"/>
  <c r="BC240" i="2"/>
  <c r="BB240" i="2"/>
  <c r="BA240" i="2"/>
  <c r="AZ240" i="2"/>
  <c r="AY240" i="2"/>
  <c r="AO240" i="2"/>
  <c r="AN240" i="2"/>
  <c r="AM240" i="2"/>
  <c r="AL240" i="2"/>
  <c r="AK240" i="2"/>
  <c r="AJ240" i="2"/>
  <c r="AI240" i="2"/>
  <c r="AH240" i="2"/>
  <c r="AG240" i="2"/>
  <c r="AF240" i="2"/>
  <c r="AE240" i="2"/>
  <c r="AD240" i="2"/>
  <c r="AC240" i="2"/>
  <c r="AB240" i="2"/>
  <c r="BF239" i="2"/>
  <c r="BE239" i="2"/>
  <c r="BD239" i="2"/>
  <c r="BC239" i="2"/>
  <c r="BB239" i="2"/>
  <c r="BA239" i="2"/>
  <c r="AZ239" i="2"/>
  <c r="AY239" i="2"/>
  <c r="AX239" i="2"/>
  <c r="AW239" i="2"/>
  <c r="AV239" i="2"/>
  <c r="AU239" i="2"/>
  <c r="AT239" i="2"/>
  <c r="AO239" i="2"/>
  <c r="AN239" i="2"/>
  <c r="AM239" i="2"/>
  <c r="AL239" i="2"/>
  <c r="AK239" i="2"/>
  <c r="AJ239" i="2"/>
  <c r="AI239" i="2"/>
  <c r="AH239" i="2"/>
  <c r="AG239" i="2"/>
  <c r="AF239" i="2"/>
  <c r="AE239" i="2"/>
  <c r="AD239" i="2"/>
  <c r="AC239" i="2"/>
  <c r="AB239" i="2"/>
  <c r="BF238" i="2"/>
  <c r="BE238" i="2"/>
  <c r="BD238" i="2"/>
  <c r="BC238" i="2"/>
  <c r="BB238" i="2"/>
  <c r="BA238" i="2"/>
  <c r="AZ238" i="2"/>
  <c r="AY238" i="2"/>
  <c r="AX238" i="2"/>
  <c r="AW238" i="2"/>
  <c r="AV238" i="2"/>
  <c r="AU238" i="2"/>
  <c r="AT238" i="2"/>
  <c r="AO238" i="2"/>
  <c r="AN238" i="2"/>
  <c r="AM238" i="2"/>
  <c r="AL238" i="2"/>
  <c r="AK238" i="2"/>
  <c r="AJ238" i="2"/>
  <c r="AI238" i="2"/>
  <c r="AH238" i="2"/>
  <c r="AG238" i="2"/>
  <c r="AF238" i="2"/>
  <c r="AE238" i="2"/>
  <c r="AD238" i="2"/>
  <c r="AC238" i="2"/>
  <c r="AB238" i="2"/>
  <c r="BF237" i="2"/>
  <c r="BE237" i="2"/>
  <c r="BD237" i="2"/>
  <c r="BC237" i="2"/>
  <c r="BB237" i="2"/>
  <c r="BA237" i="2"/>
  <c r="AZ237" i="2"/>
  <c r="AY237" i="2"/>
  <c r="AO237" i="2"/>
  <c r="AN237" i="2"/>
  <c r="AM237" i="2"/>
  <c r="AL237" i="2"/>
  <c r="AK237" i="2"/>
  <c r="AJ237" i="2"/>
  <c r="AI237" i="2"/>
  <c r="AH237" i="2"/>
  <c r="AG237" i="2"/>
  <c r="AF237" i="2"/>
  <c r="AE237" i="2"/>
  <c r="AD237" i="2"/>
  <c r="AC237" i="2"/>
  <c r="AB237" i="2"/>
  <c r="BF236" i="2"/>
  <c r="BE236" i="2"/>
  <c r="BD236" i="2"/>
  <c r="BC236" i="2"/>
  <c r="BB236" i="2"/>
  <c r="BA236" i="2"/>
  <c r="AZ236" i="2"/>
  <c r="AY236" i="2"/>
  <c r="AO236" i="2"/>
  <c r="AN236" i="2"/>
  <c r="AM236" i="2"/>
  <c r="AL236" i="2"/>
  <c r="AK236" i="2"/>
  <c r="AJ236" i="2"/>
  <c r="AI236" i="2"/>
  <c r="AH236" i="2"/>
  <c r="AG236" i="2"/>
  <c r="AF236" i="2"/>
  <c r="AE236" i="2"/>
  <c r="AD236" i="2"/>
  <c r="AC236" i="2"/>
  <c r="AB236" i="2"/>
  <c r="BF235" i="2"/>
  <c r="BE235" i="2"/>
  <c r="BD235" i="2"/>
  <c r="BC235" i="2"/>
  <c r="BB235" i="2"/>
  <c r="BA235" i="2"/>
  <c r="AZ235" i="2"/>
  <c r="AY235" i="2"/>
  <c r="AO235" i="2"/>
  <c r="AN235" i="2"/>
  <c r="AM235" i="2"/>
  <c r="AL235" i="2"/>
  <c r="AK235" i="2"/>
  <c r="AJ235" i="2"/>
  <c r="AI235" i="2"/>
  <c r="AH235" i="2"/>
  <c r="AG235" i="2"/>
  <c r="AF235" i="2"/>
  <c r="AE235" i="2"/>
  <c r="AD235" i="2"/>
  <c r="AC235" i="2"/>
  <c r="AB235" i="2"/>
  <c r="BF234" i="2"/>
  <c r="BE234" i="2"/>
  <c r="BD234" i="2"/>
  <c r="BC234" i="2"/>
  <c r="BB234" i="2"/>
  <c r="BA234" i="2"/>
  <c r="AZ234" i="2"/>
  <c r="AY234" i="2"/>
  <c r="AO234" i="2"/>
  <c r="AN234" i="2"/>
  <c r="AM234" i="2"/>
  <c r="AL234" i="2"/>
  <c r="AK234" i="2"/>
  <c r="AJ234" i="2"/>
  <c r="AI234" i="2"/>
  <c r="AH234" i="2"/>
  <c r="AG234" i="2"/>
  <c r="AF234" i="2"/>
  <c r="AE234" i="2"/>
  <c r="AD234" i="2"/>
  <c r="AC234" i="2"/>
  <c r="AB234" i="2"/>
  <c r="BF233" i="2"/>
  <c r="BE233" i="2"/>
  <c r="BD233" i="2"/>
  <c r="BC233" i="2"/>
  <c r="BB233" i="2"/>
  <c r="BA233" i="2"/>
  <c r="AZ233" i="2"/>
  <c r="AY233" i="2"/>
  <c r="AO233" i="2"/>
  <c r="AN233" i="2"/>
  <c r="AM233" i="2"/>
  <c r="AL233" i="2"/>
  <c r="AK233" i="2"/>
  <c r="AJ233" i="2"/>
  <c r="AI233" i="2"/>
  <c r="AH233" i="2"/>
  <c r="AG233" i="2"/>
  <c r="AF233" i="2"/>
  <c r="AE233" i="2"/>
  <c r="AD233" i="2"/>
  <c r="AC233" i="2"/>
  <c r="AB233" i="2"/>
  <c r="BF232" i="2"/>
  <c r="BE232" i="2"/>
  <c r="BD232" i="2"/>
  <c r="BC232" i="2"/>
  <c r="BB232" i="2"/>
  <c r="BA232" i="2"/>
  <c r="AZ232" i="2"/>
  <c r="AY232" i="2"/>
  <c r="AO232" i="2"/>
  <c r="AN232" i="2"/>
  <c r="AM232" i="2"/>
  <c r="AL232" i="2"/>
  <c r="AK232" i="2"/>
  <c r="AJ232" i="2"/>
  <c r="AI232" i="2"/>
  <c r="AH232" i="2"/>
  <c r="AG232" i="2"/>
  <c r="AF232" i="2"/>
  <c r="AE232" i="2"/>
  <c r="AD232" i="2"/>
  <c r="AC232" i="2"/>
  <c r="AB232" i="2"/>
  <c r="BF231" i="2"/>
  <c r="BE231" i="2"/>
  <c r="BD231" i="2"/>
  <c r="BC231" i="2"/>
  <c r="BB231" i="2"/>
  <c r="BA231" i="2"/>
  <c r="AZ231" i="2"/>
  <c r="AY231" i="2"/>
  <c r="AO231" i="2"/>
  <c r="AN231" i="2"/>
  <c r="AM231" i="2"/>
  <c r="AL231" i="2"/>
  <c r="AK231" i="2"/>
  <c r="AJ231" i="2"/>
  <c r="AI231" i="2"/>
  <c r="AH231" i="2"/>
  <c r="AG231" i="2"/>
  <c r="AF231" i="2"/>
  <c r="AE231" i="2"/>
  <c r="AD231" i="2"/>
  <c r="AC231" i="2"/>
  <c r="AB231" i="2"/>
  <c r="BF230" i="2"/>
  <c r="BE230" i="2"/>
  <c r="BD230" i="2"/>
  <c r="BC230" i="2"/>
  <c r="BB230" i="2"/>
  <c r="BA230" i="2"/>
  <c r="AZ230" i="2"/>
  <c r="AY230" i="2"/>
  <c r="AO230" i="2"/>
  <c r="AN230" i="2"/>
  <c r="AM230" i="2"/>
  <c r="AL230" i="2"/>
  <c r="AK230" i="2"/>
  <c r="AJ230" i="2"/>
  <c r="AI230" i="2"/>
  <c r="AH230" i="2"/>
  <c r="AG230" i="2"/>
  <c r="AF230" i="2"/>
  <c r="AE230" i="2"/>
  <c r="AD230" i="2"/>
  <c r="AC230" i="2"/>
  <c r="AB230" i="2"/>
  <c r="BF229" i="2"/>
  <c r="BE229" i="2"/>
  <c r="BD229" i="2"/>
  <c r="BC229" i="2"/>
  <c r="BB229" i="2"/>
  <c r="BA229" i="2"/>
  <c r="AZ229" i="2"/>
  <c r="AY229" i="2"/>
  <c r="AO229" i="2"/>
  <c r="AN229" i="2"/>
  <c r="AM229" i="2"/>
  <c r="AL229" i="2"/>
  <c r="AK229" i="2"/>
  <c r="AJ229" i="2"/>
  <c r="AI229" i="2"/>
  <c r="AH229" i="2"/>
  <c r="AG229" i="2"/>
  <c r="AF229" i="2"/>
  <c r="AE229" i="2"/>
  <c r="AD229" i="2"/>
  <c r="AC229" i="2"/>
  <c r="AB229" i="2"/>
  <c r="BF228" i="2"/>
  <c r="BE228" i="2"/>
  <c r="BD228" i="2"/>
  <c r="BC228" i="2"/>
  <c r="BB228" i="2"/>
  <c r="BA228" i="2"/>
  <c r="AZ228" i="2"/>
  <c r="AY228" i="2"/>
  <c r="AO228" i="2"/>
  <c r="AN228" i="2"/>
  <c r="AM228" i="2"/>
  <c r="AL228" i="2"/>
  <c r="AK228" i="2"/>
  <c r="AJ228" i="2"/>
  <c r="AI228" i="2"/>
  <c r="AH228" i="2"/>
  <c r="AG228" i="2"/>
  <c r="AF228" i="2"/>
  <c r="AE228" i="2"/>
  <c r="AD228" i="2"/>
  <c r="AC228" i="2"/>
  <c r="AB228" i="2"/>
  <c r="BF227" i="2"/>
  <c r="BE227" i="2"/>
  <c r="BD227" i="2"/>
  <c r="BC227" i="2"/>
  <c r="BB227" i="2"/>
  <c r="BA227" i="2"/>
  <c r="AZ227" i="2"/>
  <c r="AY227" i="2"/>
  <c r="AO227" i="2"/>
  <c r="AN227" i="2"/>
  <c r="AM227" i="2"/>
  <c r="AL227" i="2"/>
  <c r="AK227" i="2"/>
  <c r="AJ227" i="2"/>
  <c r="AI227" i="2"/>
  <c r="AH227" i="2"/>
  <c r="AG227" i="2"/>
  <c r="AF227" i="2"/>
  <c r="AE227" i="2"/>
  <c r="AD227" i="2"/>
  <c r="AC227" i="2"/>
  <c r="AB227" i="2"/>
  <c r="BF226" i="2"/>
  <c r="BE226" i="2"/>
  <c r="BD226" i="2"/>
  <c r="BC226" i="2"/>
  <c r="BB226" i="2"/>
  <c r="BA226" i="2"/>
  <c r="AZ226" i="2"/>
  <c r="AY226" i="2"/>
  <c r="AO226" i="2"/>
  <c r="AN226" i="2"/>
  <c r="AM226" i="2"/>
  <c r="AL226" i="2"/>
  <c r="AK226" i="2"/>
  <c r="AJ226" i="2"/>
  <c r="AI226" i="2"/>
  <c r="AH226" i="2"/>
  <c r="AG226" i="2"/>
  <c r="AF226" i="2"/>
  <c r="AE226" i="2"/>
  <c r="AD226" i="2"/>
  <c r="AC226" i="2"/>
  <c r="AB226" i="2"/>
  <c r="BF225" i="2"/>
  <c r="BE225" i="2"/>
  <c r="BD225" i="2"/>
  <c r="BC225" i="2"/>
  <c r="BB225" i="2"/>
  <c r="BA225" i="2"/>
  <c r="AZ225" i="2"/>
  <c r="AY225" i="2"/>
  <c r="AO225" i="2"/>
  <c r="AN225" i="2"/>
  <c r="AM225" i="2"/>
  <c r="AL225" i="2"/>
  <c r="AK225" i="2"/>
  <c r="AJ225" i="2"/>
  <c r="AI225" i="2"/>
  <c r="AH225" i="2"/>
  <c r="AG225" i="2"/>
  <c r="AF225" i="2"/>
  <c r="AE225" i="2"/>
  <c r="AD225" i="2"/>
  <c r="AC225" i="2"/>
  <c r="AB225" i="2"/>
  <c r="BF224" i="2"/>
  <c r="BE224" i="2"/>
  <c r="BD224" i="2"/>
  <c r="BC224" i="2"/>
  <c r="BB224" i="2"/>
  <c r="BA224" i="2"/>
  <c r="AZ224" i="2"/>
  <c r="AY224" i="2"/>
  <c r="AO224" i="2"/>
  <c r="AN224" i="2"/>
  <c r="AM224" i="2"/>
  <c r="AL224" i="2"/>
  <c r="AK224" i="2"/>
  <c r="AJ224" i="2"/>
  <c r="AI224" i="2"/>
  <c r="AH224" i="2"/>
  <c r="AG224" i="2"/>
  <c r="AF224" i="2"/>
  <c r="AE224" i="2"/>
  <c r="AD224" i="2"/>
  <c r="AC224" i="2"/>
  <c r="AB224" i="2"/>
  <c r="BF223" i="2"/>
  <c r="BE223" i="2"/>
  <c r="BD223" i="2"/>
  <c r="BC223" i="2"/>
  <c r="BB223" i="2"/>
  <c r="BA223" i="2"/>
  <c r="AZ223" i="2"/>
  <c r="AY223" i="2"/>
  <c r="AO223" i="2"/>
  <c r="AN223" i="2"/>
  <c r="AM223" i="2"/>
  <c r="AL223" i="2"/>
  <c r="AK223" i="2"/>
  <c r="AJ223" i="2"/>
  <c r="AI223" i="2"/>
  <c r="AH223" i="2"/>
  <c r="AG223" i="2"/>
  <c r="AF223" i="2"/>
  <c r="AE223" i="2"/>
  <c r="AD223" i="2"/>
  <c r="AC223" i="2"/>
  <c r="AB223" i="2"/>
  <c r="BF222" i="2"/>
  <c r="BE222" i="2"/>
  <c r="BD222" i="2"/>
  <c r="BC222" i="2"/>
  <c r="BB222" i="2"/>
  <c r="BA222" i="2"/>
  <c r="AZ222" i="2"/>
  <c r="AY222" i="2"/>
  <c r="AO222" i="2"/>
  <c r="AN222" i="2"/>
  <c r="AM222" i="2"/>
  <c r="AL222" i="2"/>
  <c r="AK222" i="2"/>
  <c r="AJ222" i="2"/>
  <c r="AI222" i="2"/>
  <c r="AH222" i="2"/>
  <c r="AG222" i="2"/>
  <c r="AF222" i="2"/>
  <c r="AE222" i="2"/>
  <c r="AD222" i="2"/>
  <c r="AC222" i="2"/>
  <c r="AB222" i="2"/>
  <c r="BF221" i="2"/>
  <c r="BE221" i="2"/>
  <c r="BD221" i="2"/>
  <c r="BC221" i="2"/>
  <c r="BB221" i="2"/>
  <c r="BA221" i="2"/>
  <c r="AZ221" i="2"/>
  <c r="AY221" i="2"/>
  <c r="AO221" i="2"/>
  <c r="AN221" i="2"/>
  <c r="AM221" i="2"/>
  <c r="AL221" i="2"/>
  <c r="AK221" i="2"/>
  <c r="AJ221" i="2"/>
  <c r="AI221" i="2"/>
  <c r="AH221" i="2"/>
  <c r="AG221" i="2"/>
  <c r="AF221" i="2"/>
  <c r="AE221" i="2"/>
  <c r="AD221" i="2"/>
  <c r="AC221" i="2"/>
  <c r="AB221" i="2"/>
  <c r="BF220" i="2"/>
  <c r="BE220" i="2"/>
  <c r="BD220" i="2"/>
  <c r="BC220" i="2"/>
  <c r="BB220" i="2"/>
  <c r="BA220" i="2"/>
  <c r="AZ220" i="2"/>
  <c r="AY220" i="2"/>
  <c r="AO220" i="2"/>
  <c r="AN220" i="2"/>
  <c r="AM220" i="2"/>
  <c r="AL220" i="2"/>
  <c r="AK220" i="2"/>
  <c r="AJ220" i="2"/>
  <c r="AI220" i="2"/>
  <c r="AH220" i="2"/>
  <c r="AG220" i="2"/>
  <c r="AF220" i="2"/>
  <c r="AE220" i="2"/>
  <c r="AD220" i="2"/>
  <c r="AC220" i="2"/>
  <c r="AB220" i="2"/>
  <c r="BF219" i="2"/>
  <c r="BE219" i="2"/>
  <c r="BD219" i="2"/>
  <c r="BC219" i="2"/>
  <c r="BB219" i="2"/>
  <c r="BA219" i="2"/>
  <c r="AZ219" i="2"/>
  <c r="AY219" i="2"/>
  <c r="AO219" i="2"/>
  <c r="AN219" i="2"/>
  <c r="AM219" i="2"/>
  <c r="AL219" i="2"/>
  <c r="AK219" i="2"/>
  <c r="AJ219" i="2"/>
  <c r="AI219" i="2"/>
  <c r="AH219" i="2"/>
  <c r="AG219" i="2"/>
  <c r="AF219" i="2"/>
  <c r="AE219" i="2"/>
  <c r="AD219" i="2"/>
  <c r="AC219" i="2"/>
  <c r="AB219" i="2"/>
  <c r="BF218" i="2"/>
  <c r="BE218" i="2"/>
  <c r="BD218" i="2"/>
  <c r="BC218" i="2"/>
  <c r="BB218" i="2"/>
  <c r="BA218" i="2"/>
  <c r="AZ218" i="2"/>
  <c r="AY218" i="2"/>
  <c r="AO218" i="2"/>
  <c r="AN218" i="2"/>
  <c r="AM218" i="2"/>
  <c r="AL218" i="2"/>
  <c r="AK218" i="2"/>
  <c r="AJ218" i="2"/>
  <c r="AI218" i="2"/>
  <c r="AH218" i="2"/>
  <c r="AG218" i="2"/>
  <c r="AF218" i="2"/>
  <c r="AE218" i="2"/>
  <c r="AD218" i="2"/>
  <c r="AC218" i="2"/>
  <c r="AB218" i="2"/>
  <c r="BF217" i="2"/>
  <c r="BE217" i="2"/>
  <c r="BD217" i="2"/>
  <c r="BC217" i="2"/>
  <c r="BB217" i="2"/>
  <c r="BA217" i="2"/>
  <c r="AZ217" i="2"/>
  <c r="AY217" i="2"/>
  <c r="AO217" i="2"/>
  <c r="AN217" i="2"/>
  <c r="AM217" i="2"/>
  <c r="AL217" i="2"/>
  <c r="AK217" i="2"/>
  <c r="AJ217" i="2"/>
  <c r="AI217" i="2"/>
  <c r="AH217" i="2"/>
  <c r="AG217" i="2"/>
  <c r="AF217" i="2"/>
  <c r="AE217" i="2"/>
  <c r="AD217" i="2"/>
  <c r="AC217" i="2"/>
  <c r="AB217" i="2"/>
  <c r="BF216" i="2"/>
  <c r="BE216" i="2"/>
  <c r="BD216" i="2"/>
  <c r="BC216" i="2"/>
  <c r="BB216" i="2"/>
  <c r="BA216" i="2"/>
  <c r="AZ216" i="2"/>
  <c r="AY216" i="2"/>
  <c r="AO216" i="2"/>
  <c r="AN216" i="2"/>
  <c r="AM216" i="2"/>
  <c r="AL216" i="2"/>
  <c r="AK216" i="2"/>
  <c r="AJ216" i="2"/>
  <c r="AI216" i="2"/>
  <c r="AH216" i="2"/>
  <c r="AG216" i="2"/>
  <c r="AF216" i="2"/>
  <c r="AE216" i="2"/>
  <c r="AD216" i="2"/>
  <c r="AC216" i="2"/>
  <c r="AB216" i="2"/>
  <c r="BF215" i="2"/>
  <c r="BE215" i="2"/>
  <c r="BD215" i="2"/>
  <c r="BC215" i="2"/>
  <c r="BB215" i="2"/>
  <c r="BA215" i="2"/>
  <c r="AZ215" i="2"/>
  <c r="AY215" i="2"/>
  <c r="AO215" i="2"/>
  <c r="AN215" i="2"/>
  <c r="AM215" i="2"/>
  <c r="AL215" i="2"/>
  <c r="AK215" i="2"/>
  <c r="AJ215" i="2"/>
  <c r="AI215" i="2"/>
  <c r="AH215" i="2"/>
  <c r="AG215" i="2"/>
  <c r="AF215" i="2"/>
  <c r="AE215" i="2"/>
  <c r="AD215" i="2"/>
  <c r="AC215" i="2"/>
  <c r="AB215" i="2"/>
  <c r="BF214" i="2"/>
  <c r="BE214" i="2"/>
  <c r="BD214" i="2"/>
  <c r="BC214" i="2"/>
  <c r="BB214" i="2"/>
  <c r="BA214" i="2"/>
  <c r="AZ214" i="2"/>
  <c r="AY214" i="2"/>
  <c r="AO214" i="2"/>
  <c r="AN214" i="2"/>
  <c r="AM214" i="2"/>
  <c r="AL214" i="2"/>
  <c r="AK214" i="2"/>
  <c r="AJ214" i="2"/>
  <c r="AI214" i="2"/>
  <c r="AH214" i="2"/>
  <c r="AG214" i="2"/>
  <c r="AF214" i="2"/>
  <c r="AE214" i="2"/>
  <c r="AD214" i="2"/>
  <c r="AC214" i="2"/>
  <c r="AB214" i="2"/>
  <c r="BF213" i="2"/>
  <c r="BE213" i="2"/>
  <c r="BD213" i="2"/>
  <c r="BC213" i="2"/>
  <c r="BB213" i="2"/>
  <c r="BA213" i="2"/>
  <c r="AZ213" i="2"/>
  <c r="AY213" i="2"/>
  <c r="AO213" i="2"/>
  <c r="AN213" i="2"/>
  <c r="AM213" i="2"/>
  <c r="AL213" i="2"/>
  <c r="AK213" i="2"/>
  <c r="AJ213" i="2"/>
  <c r="AI213" i="2"/>
  <c r="AH213" i="2"/>
  <c r="AG213" i="2"/>
  <c r="AF213" i="2"/>
  <c r="AE213" i="2"/>
  <c r="AD213" i="2"/>
  <c r="AC213" i="2"/>
  <c r="AB213" i="2"/>
  <c r="BF212" i="2"/>
  <c r="BE212" i="2"/>
  <c r="BD212" i="2"/>
  <c r="BC212" i="2"/>
  <c r="BB212" i="2"/>
  <c r="BA212" i="2"/>
  <c r="AZ212" i="2"/>
  <c r="AY212" i="2"/>
  <c r="AX212" i="2"/>
  <c r="AW212" i="2"/>
  <c r="AV212" i="2"/>
  <c r="AU212" i="2"/>
  <c r="AT212" i="2"/>
  <c r="AO212" i="2"/>
  <c r="AN212" i="2"/>
  <c r="AM212" i="2"/>
  <c r="AL212" i="2"/>
  <c r="AK212" i="2"/>
  <c r="AJ212" i="2"/>
  <c r="AI212" i="2"/>
  <c r="AH212" i="2"/>
  <c r="AG212" i="2"/>
  <c r="AF212" i="2"/>
  <c r="AE212" i="2"/>
  <c r="AD212" i="2"/>
  <c r="AC212" i="2"/>
  <c r="AB212" i="2"/>
  <c r="BF211" i="2"/>
  <c r="BE211" i="2"/>
  <c r="BD211" i="2"/>
  <c r="BC211" i="2"/>
  <c r="BB211" i="2"/>
  <c r="BA211" i="2"/>
  <c r="AZ211" i="2"/>
  <c r="AY211" i="2"/>
  <c r="AX211" i="2"/>
  <c r="AW211" i="2"/>
  <c r="AV211" i="2"/>
  <c r="AU211" i="2"/>
  <c r="AT211" i="2"/>
  <c r="AO211" i="2"/>
  <c r="AN211" i="2"/>
  <c r="AM211" i="2"/>
  <c r="AL211" i="2"/>
  <c r="AK211" i="2"/>
  <c r="AJ211" i="2"/>
  <c r="AI211" i="2"/>
  <c r="AH211" i="2"/>
  <c r="AG211" i="2"/>
  <c r="AF211" i="2"/>
  <c r="AE211" i="2"/>
  <c r="AD211" i="2"/>
  <c r="AC211" i="2"/>
  <c r="AB211" i="2"/>
  <c r="BF210" i="2"/>
  <c r="BE210" i="2"/>
  <c r="BD210" i="2"/>
  <c r="BC210" i="2"/>
  <c r="BB210" i="2"/>
  <c r="BA210" i="2"/>
  <c r="AZ210" i="2"/>
  <c r="AY210" i="2"/>
  <c r="AO210" i="2"/>
  <c r="AN210" i="2"/>
  <c r="AM210" i="2"/>
  <c r="AL210" i="2"/>
  <c r="AK210" i="2"/>
  <c r="AJ210" i="2"/>
  <c r="AI210" i="2"/>
  <c r="AH210" i="2"/>
  <c r="AG210" i="2"/>
  <c r="AF210" i="2"/>
  <c r="AE210" i="2"/>
  <c r="AD210" i="2"/>
  <c r="AC210" i="2"/>
  <c r="AB210" i="2"/>
  <c r="BF209" i="2"/>
  <c r="BE209" i="2"/>
  <c r="BD209" i="2"/>
  <c r="BC209" i="2"/>
  <c r="BB209" i="2"/>
  <c r="BA209" i="2"/>
  <c r="AZ209" i="2"/>
  <c r="AY209" i="2"/>
  <c r="AO209" i="2"/>
  <c r="AN209" i="2"/>
  <c r="AM209" i="2"/>
  <c r="AL209" i="2"/>
  <c r="AK209" i="2"/>
  <c r="AJ209" i="2"/>
  <c r="AI209" i="2"/>
  <c r="AH209" i="2"/>
  <c r="AG209" i="2"/>
  <c r="AF209" i="2"/>
  <c r="AE209" i="2"/>
  <c r="AD209" i="2"/>
  <c r="AC209" i="2"/>
  <c r="AB209" i="2"/>
  <c r="BF208" i="2"/>
  <c r="BE208" i="2"/>
  <c r="BD208" i="2"/>
  <c r="BC208" i="2"/>
  <c r="BB208" i="2"/>
  <c r="BA208" i="2"/>
  <c r="AZ208" i="2"/>
  <c r="AY208" i="2"/>
  <c r="AO208" i="2"/>
  <c r="AN208" i="2"/>
  <c r="AM208" i="2"/>
  <c r="AL208" i="2"/>
  <c r="AK208" i="2"/>
  <c r="AJ208" i="2"/>
  <c r="AI208" i="2"/>
  <c r="AH208" i="2"/>
  <c r="AG208" i="2"/>
  <c r="AF208" i="2"/>
  <c r="AE208" i="2"/>
  <c r="AD208" i="2"/>
  <c r="AC208" i="2"/>
  <c r="AB208" i="2"/>
  <c r="BF207" i="2"/>
  <c r="BE207" i="2"/>
  <c r="BD207" i="2"/>
  <c r="BC207" i="2"/>
  <c r="BB207" i="2"/>
  <c r="BA207" i="2"/>
  <c r="AZ207" i="2"/>
  <c r="AY207" i="2"/>
  <c r="AO207" i="2"/>
  <c r="AN207" i="2"/>
  <c r="AM207" i="2"/>
  <c r="AL207" i="2"/>
  <c r="AK207" i="2"/>
  <c r="AJ207" i="2"/>
  <c r="AI207" i="2"/>
  <c r="AH207" i="2"/>
  <c r="AG207" i="2"/>
  <c r="AF207" i="2"/>
  <c r="AE207" i="2"/>
  <c r="AD207" i="2"/>
  <c r="AC207" i="2"/>
  <c r="AB207" i="2"/>
  <c r="BF206" i="2"/>
  <c r="BE206" i="2"/>
  <c r="BD206" i="2"/>
  <c r="BC206" i="2"/>
  <c r="BB206" i="2"/>
  <c r="BA206" i="2"/>
  <c r="AZ206" i="2"/>
  <c r="AY206" i="2"/>
  <c r="AO206" i="2"/>
  <c r="AN206" i="2"/>
  <c r="AM206" i="2"/>
  <c r="AL206" i="2"/>
  <c r="AK206" i="2"/>
  <c r="AJ206" i="2"/>
  <c r="AI206" i="2"/>
  <c r="AH206" i="2"/>
  <c r="AG206" i="2"/>
  <c r="AF206" i="2"/>
  <c r="AE206" i="2"/>
  <c r="AD206" i="2"/>
  <c r="AC206" i="2"/>
  <c r="AB206" i="2"/>
  <c r="BF205" i="2"/>
  <c r="BE205" i="2"/>
  <c r="BD205" i="2"/>
  <c r="BC205" i="2"/>
  <c r="BB205" i="2"/>
  <c r="BA205" i="2"/>
  <c r="AZ205" i="2"/>
  <c r="AY205" i="2"/>
  <c r="AO205" i="2"/>
  <c r="AN205" i="2"/>
  <c r="AM205" i="2"/>
  <c r="AL205" i="2"/>
  <c r="AK205" i="2"/>
  <c r="AJ205" i="2"/>
  <c r="AI205" i="2"/>
  <c r="AH205" i="2"/>
  <c r="AG205" i="2"/>
  <c r="AF205" i="2"/>
  <c r="AE205" i="2"/>
  <c r="AD205" i="2"/>
  <c r="AC205" i="2"/>
  <c r="AB205" i="2"/>
  <c r="BF204" i="2"/>
  <c r="BE204" i="2"/>
  <c r="BD204" i="2"/>
  <c r="BC204" i="2"/>
  <c r="BB204" i="2"/>
  <c r="BA204" i="2"/>
  <c r="AZ204" i="2"/>
  <c r="AY204" i="2"/>
  <c r="AO204" i="2"/>
  <c r="AN204" i="2"/>
  <c r="AM204" i="2"/>
  <c r="AL204" i="2"/>
  <c r="AK204" i="2"/>
  <c r="AJ204" i="2"/>
  <c r="AI204" i="2"/>
  <c r="AH204" i="2"/>
  <c r="AG204" i="2"/>
  <c r="AF204" i="2"/>
  <c r="AE204" i="2"/>
  <c r="AD204" i="2"/>
  <c r="AC204" i="2"/>
  <c r="AB204" i="2"/>
  <c r="BF203" i="2"/>
  <c r="BE203" i="2"/>
  <c r="BD203" i="2"/>
  <c r="BC203" i="2"/>
  <c r="BB203" i="2"/>
  <c r="BA203" i="2"/>
  <c r="AZ203" i="2"/>
  <c r="AY203" i="2"/>
  <c r="AO203" i="2"/>
  <c r="AN203" i="2"/>
  <c r="AM203" i="2"/>
  <c r="AL203" i="2"/>
  <c r="AK203" i="2"/>
  <c r="AJ203" i="2"/>
  <c r="AI203" i="2"/>
  <c r="AH203" i="2"/>
  <c r="AG203" i="2"/>
  <c r="AF203" i="2"/>
  <c r="AE203" i="2"/>
  <c r="AD203" i="2"/>
  <c r="AC203" i="2"/>
  <c r="AB203" i="2"/>
  <c r="BF202" i="2"/>
  <c r="BE202" i="2"/>
  <c r="BD202" i="2"/>
  <c r="BC202" i="2"/>
  <c r="BB202" i="2"/>
  <c r="BA202" i="2"/>
  <c r="AZ202" i="2"/>
  <c r="AY202" i="2"/>
  <c r="AO202" i="2"/>
  <c r="AN202" i="2"/>
  <c r="AM202" i="2"/>
  <c r="AL202" i="2"/>
  <c r="AK202" i="2"/>
  <c r="AJ202" i="2"/>
  <c r="AI202" i="2"/>
  <c r="AH202" i="2"/>
  <c r="AG202" i="2"/>
  <c r="AF202" i="2"/>
  <c r="AE202" i="2"/>
  <c r="AD202" i="2"/>
  <c r="AC202" i="2"/>
  <c r="AB202" i="2"/>
  <c r="BF201" i="2"/>
  <c r="BE201" i="2"/>
  <c r="BD201" i="2"/>
  <c r="BC201" i="2"/>
  <c r="BB201" i="2"/>
  <c r="BA201" i="2"/>
  <c r="AZ201" i="2"/>
  <c r="AY201" i="2"/>
  <c r="AO201" i="2"/>
  <c r="AN201" i="2"/>
  <c r="AM201" i="2"/>
  <c r="AL201" i="2"/>
  <c r="AK201" i="2"/>
  <c r="AJ201" i="2"/>
  <c r="AI201" i="2"/>
  <c r="AH201" i="2"/>
  <c r="AG201" i="2"/>
  <c r="AF201" i="2"/>
  <c r="AE201" i="2"/>
  <c r="AD201" i="2"/>
  <c r="AC201" i="2"/>
  <c r="AB201" i="2"/>
  <c r="BF200" i="2"/>
  <c r="BE200" i="2"/>
  <c r="BD200" i="2"/>
  <c r="BC200" i="2"/>
  <c r="BB200" i="2"/>
  <c r="BA200" i="2"/>
  <c r="AZ200" i="2"/>
  <c r="AY200" i="2"/>
  <c r="AO200" i="2"/>
  <c r="AN200" i="2"/>
  <c r="AM200" i="2"/>
  <c r="AL200" i="2"/>
  <c r="AK200" i="2"/>
  <c r="AJ200" i="2"/>
  <c r="AI200" i="2"/>
  <c r="AH200" i="2"/>
  <c r="AG200" i="2"/>
  <c r="AF200" i="2"/>
  <c r="AE200" i="2"/>
  <c r="AD200" i="2"/>
  <c r="AC200" i="2"/>
  <c r="AB200" i="2"/>
  <c r="BF199" i="2"/>
  <c r="BE199" i="2"/>
  <c r="BD199" i="2"/>
  <c r="BC199" i="2"/>
  <c r="BB199" i="2"/>
  <c r="BA199" i="2"/>
  <c r="AZ199" i="2"/>
  <c r="AY199" i="2"/>
  <c r="AX199" i="2"/>
  <c r="AW199" i="2"/>
  <c r="AV199" i="2"/>
  <c r="AU199" i="2"/>
  <c r="AT199" i="2"/>
  <c r="AO199" i="2"/>
  <c r="AN199" i="2"/>
  <c r="AM199" i="2"/>
  <c r="AL199" i="2"/>
  <c r="AK199" i="2"/>
  <c r="AJ199" i="2"/>
  <c r="AI199" i="2"/>
  <c r="AH199" i="2"/>
  <c r="AG199" i="2"/>
  <c r="AF199" i="2"/>
  <c r="AE199" i="2"/>
  <c r="AD199" i="2"/>
  <c r="AC199" i="2"/>
  <c r="AB199" i="2"/>
  <c r="BF198" i="2"/>
  <c r="BE198" i="2"/>
  <c r="BD198" i="2"/>
  <c r="BC198" i="2"/>
  <c r="BB198" i="2"/>
  <c r="BA198" i="2"/>
  <c r="AZ198" i="2"/>
  <c r="AY198" i="2"/>
  <c r="AX198" i="2"/>
  <c r="AW198" i="2"/>
  <c r="AV198" i="2"/>
  <c r="AU198" i="2"/>
  <c r="AT198" i="2"/>
  <c r="AO198" i="2"/>
  <c r="AN198" i="2"/>
  <c r="AM198" i="2"/>
  <c r="AL198" i="2"/>
  <c r="AK198" i="2"/>
  <c r="AJ198" i="2"/>
  <c r="AI198" i="2"/>
  <c r="AH198" i="2"/>
  <c r="AG198" i="2"/>
  <c r="AF198" i="2"/>
  <c r="AE198" i="2"/>
  <c r="AD198" i="2"/>
  <c r="AC198" i="2"/>
  <c r="AB198" i="2"/>
  <c r="BF197" i="2"/>
  <c r="BE197" i="2"/>
  <c r="BD197" i="2"/>
  <c r="BC197" i="2"/>
  <c r="BB197" i="2"/>
  <c r="BA197" i="2"/>
  <c r="AZ197" i="2"/>
  <c r="AY197" i="2"/>
  <c r="AO197" i="2"/>
  <c r="AN197" i="2"/>
  <c r="AM197" i="2"/>
  <c r="AL197" i="2"/>
  <c r="AK197" i="2"/>
  <c r="AJ197" i="2"/>
  <c r="AI197" i="2"/>
  <c r="AH197" i="2"/>
  <c r="AG197" i="2"/>
  <c r="AF197" i="2"/>
  <c r="AE197" i="2"/>
  <c r="AD197" i="2"/>
  <c r="AC197" i="2"/>
  <c r="AB197" i="2"/>
  <c r="BF196" i="2"/>
  <c r="BE196" i="2"/>
  <c r="BD196" i="2"/>
  <c r="BC196" i="2"/>
  <c r="BB196" i="2"/>
  <c r="BA196" i="2"/>
  <c r="AZ196" i="2"/>
  <c r="AY196" i="2"/>
  <c r="AO196" i="2"/>
  <c r="AN196" i="2"/>
  <c r="AM196" i="2"/>
  <c r="AL196" i="2"/>
  <c r="AK196" i="2"/>
  <c r="AJ196" i="2"/>
  <c r="AI196" i="2"/>
  <c r="AH196" i="2"/>
  <c r="AG196" i="2"/>
  <c r="AF196" i="2"/>
  <c r="AE196" i="2"/>
  <c r="AD196" i="2"/>
  <c r="AC196" i="2"/>
  <c r="AB196" i="2"/>
  <c r="BF195" i="2"/>
  <c r="BE195" i="2"/>
  <c r="BD195" i="2"/>
  <c r="BC195" i="2"/>
  <c r="BB195" i="2"/>
  <c r="BA195" i="2"/>
  <c r="AZ195" i="2"/>
  <c r="AY195" i="2"/>
  <c r="AO195" i="2"/>
  <c r="AN195" i="2"/>
  <c r="AM195" i="2"/>
  <c r="AL195" i="2"/>
  <c r="AK195" i="2"/>
  <c r="AJ195" i="2"/>
  <c r="AI195" i="2"/>
  <c r="AH195" i="2"/>
  <c r="AG195" i="2"/>
  <c r="AF195" i="2"/>
  <c r="AE195" i="2"/>
  <c r="AD195" i="2"/>
  <c r="AC195" i="2"/>
  <c r="AB195" i="2"/>
  <c r="BF194" i="2"/>
  <c r="BE194" i="2"/>
  <c r="BD194" i="2"/>
  <c r="BC194" i="2"/>
  <c r="BB194" i="2"/>
  <c r="BA194" i="2"/>
  <c r="AZ194" i="2"/>
  <c r="AY194" i="2"/>
  <c r="AO194" i="2"/>
  <c r="AN194" i="2"/>
  <c r="AM194" i="2"/>
  <c r="AL194" i="2"/>
  <c r="AK194" i="2"/>
  <c r="AJ194" i="2"/>
  <c r="AI194" i="2"/>
  <c r="AH194" i="2"/>
  <c r="AG194" i="2"/>
  <c r="AF194" i="2"/>
  <c r="AE194" i="2"/>
  <c r="AD194" i="2"/>
  <c r="AC194" i="2"/>
  <c r="AB194" i="2"/>
  <c r="BF193" i="2"/>
  <c r="BE193" i="2"/>
  <c r="BD193" i="2"/>
  <c r="BC193" i="2"/>
  <c r="BB193" i="2"/>
  <c r="BA193" i="2"/>
  <c r="AZ193" i="2"/>
  <c r="AY193" i="2"/>
  <c r="AO193" i="2"/>
  <c r="AN193" i="2"/>
  <c r="AM193" i="2"/>
  <c r="AL193" i="2"/>
  <c r="AK193" i="2"/>
  <c r="AJ193" i="2"/>
  <c r="AI193" i="2"/>
  <c r="AH193" i="2"/>
  <c r="AG193" i="2"/>
  <c r="AF193" i="2"/>
  <c r="AE193" i="2"/>
  <c r="AD193" i="2"/>
  <c r="AC193" i="2"/>
  <c r="AB193" i="2"/>
  <c r="BF192" i="2"/>
  <c r="BE192" i="2"/>
  <c r="BD192" i="2"/>
  <c r="BC192" i="2"/>
  <c r="BB192" i="2"/>
  <c r="BA192" i="2"/>
  <c r="AZ192" i="2"/>
  <c r="AY192" i="2"/>
  <c r="AO192" i="2"/>
  <c r="AN192" i="2"/>
  <c r="AM192" i="2"/>
  <c r="AL192" i="2"/>
  <c r="AK192" i="2"/>
  <c r="AJ192" i="2"/>
  <c r="AI192" i="2"/>
  <c r="AH192" i="2"/>
  <c r="AG192" i="2"/>
  <c r="AF192" i="2"/>
  <c r="AE192" i="2"/>
  <c r="AD192" i="2"/>
  <c r="AC192" i="2"/>
  <c r="AB192" i="2"/>
  <c r="BF191" i="2"/>
  <c r="BE191" i="2"/>
  <c r="BD191" i="2"/>
  <c r="BC191" i="2"/>
  <c r="BB191" i="2"/>
  <c r="BA191" i="2"/>
  <c r="AZ191" i="2"/>
  <c r="AY191" i="2"/>
  <c r="AO191" i="2"/>
  <c r="AN191" i="2"/>
  <c r="AM191" i="2"/>
  <c r="AL191" i="2"/>
  <c r="AK191" i="2"/>
  <c r="AJ191" i="2"/>
  <c r="AI191" i="2"/>
  <c r="AH191" i="2"/>
  <c r="AG191" i="2"/>
  <c r="AF191" i="2"/>
  <c r="AE191" i="2"/>
  <c r="AD191" i="2"/>
  <c r="AC191" i="2"/>
  <c r="AB191" i="2"/>
  <c r="BF190" i="2"/>
  <c r="BE190" i="2"/>
  <c r="BD190" i="2"/>
  <c r="BC190" i="2"/>
  <c r="BB190" i="2"/>
  <c r="BA190" i="2"/>
  <c r="AZ190" i="2"/>
  <c r="AY190" i="2"/>
  <c r="AO190" i="2"/>
  <c r="AN190" i="2"/>
  <c r="AM190" i="2"/>
  <c r="AL190" i="2"/>
  <c r="AK190" i="2"/>
  <c r="AJ190" i="2"/>
  <c r="AI190" i="2"/>
  <c r="AH190" i="2"/>
  <c r="AG190" i="2"/>
  <c r="AF190" i="2"/>
  <c r="AE190" i="2"/>
  <c r="AD190" i="2"/>
  <c r="AC190" i="2"/>
  <c r="AB190" i="2"/>
  <c r="BF189" i="2"/>
  <c r="BE189" i="2"/>
  <c r="BD189" i="2"/>
  <c r="BC189" i="2"/>
  <c r="BB189" i="2"/>
  <c r="BA189" i="2"/>
  <c r="AZ189" i="2"/>
  <c r="AY189" i="2"/>
  <c r="AO189" i="2"/>
  <c r="AN189" i="2"/>
  <c r="AM189" i="2"/>
  <c r="AL189" i="2"/>
  <c r="AK189" i="2"/>
  <c r="AJ189" i="2"/>
  <c r="AI189" i="2"/>
  <c r="AH189" i="2"/>
  <c r="AG189" i="2"/>
  <c r="AF189" i="2"/>
  <c r="AE189" i="2"/>
  <c r="AD189" i="2"/>
  <c r="AC189" i="2"/>
  <c r="AB189" i="2"/>
  <c r="BF188" i="2"/>
  <c r="BE188" i="2"/>
  <c r="BD188" i="2"/>
  <c r="BC188" i="2"/>
  <c r="BB188" i="2"/>
  <c r="BA188" i="2"/>
  <c r="AZ188" i="2"/>
  <c r="AY188" i="2"/>
  <c r="AO188" i="2"/>
  <c r="AN188" i="2"/>
  <c r="AM188" i="2"/>
  <c r="AL188" i="2"/>
  <c r="AK188" i="2"/>
  <c r="AJ188" i="2"/>
  <c r="AI188" i="2"/>
  <c r="AH188" i="2"/>
  <c r="AG188" i="2"/>
  <c r="AF188" i="2"/>
  <c r="AE188" i="2"/>
  <c r="AD188" i="2"/>
  <c r="AC188" i="2"/>
  <c r="AB188" i="2"/>
  <c r="BF187" i="2"/>
  <c r="BE187" i="2"/>
  <c r="BD187" i="2"/>
  <c r="BC187" i="2"/>
  <c r="BB187" i="2"/>
  <c r="BA187" i="2"/>
  <c r="AZ187" i="2"/>
  <c r="AY187" i="2"/>
  <c r="AO187" i="2"/>
  <c r="AN187" i="2"/>
  <c r="AM187" i="2"/>
  <c r="AL187" i="2"/>
  <c r="AK187" i="2"/>
  <c r="AJ187" i="2"/>
  <c r="AI187" i="2"/>
  <c r="AH187" i="2"/>
  <c r="AG187" i="2"/>
  <c r="AF187" i="2"/>
  <c r="AE187" i="2"/>
  <c r="AD187" i="2"/>
  <c r="AC187" i="2"/>
  <c r="AB187" i="2"/>
  <c r="BF186" i="2"/>
  <c r="BE186" i="2"/>
  <c r="BD186" i="2"/>
  <c r="BC186" i="2"/>
  <c r="BB186" i="2"/>
  <c r="BA186" i="2"/>
  <c r="AZ186" i="2"/>
  <c r="AY186" i="2"/>
  <c r="AX186" i="2"/>
  <c r="AW186" i="2"/>
  <c r="AV186" i="2"/>
  <c r="AU186" i="2"/>
  <c r="AT186" i="2"/>
  <c r="AO186" i="2"/>
  <c r="AN186" i="2"/>
  <c r="AM186" i="2"/>
  <c r="AL186" i="2"/>
  <c r="AK186" i="2"/>
  <c r="AJ186" i="2"/>
  <c r="AI186" i="2"/>
  <c r="AH186" i="2"/>
  <c r="AG186" i="2"/>
  <c r="AF186" i="2"/>
  <c r="AE186" i="2"/>
  <c r="AD186" i="2"/>
  <c r="AC186" i="2"/>
  <c r="AB186" i="2"/>
  <c r="BF185" i="2"/>
  <c r="BE185" i="2"/>
  <c r="BD185" i="2"/>
  <c r="BC185" i="2"/>
  <c r="BB185" i="2"/>
  <c r="BA185" i="2"/>
  <c r="AZ185" i="2"/>
  <c r="AY185" i="2"/>
  <c r="AO185" i="2"/>
  <c r="AN185" i="2"/>
  <c r="AM185" i="2"/>
  <c r="AL185" i="2"/>
  <c r="AK185" i="2"/>
  <c r="AJ185" i="2"/>
  <c r="AI185" i="2"/>
  <c r="AH185" i="2"/>
  <c r="AG185" i="2"/>
  <c r="AF185" i="2"/>
  <c r="AE185" i="2"/>
  <c r="AD185" i="2"/>
  <c r="AC185" i="2"/>
  <c r="AB185" i="2"/>
  <c r="BF184" i="2"/>
  <c r="BE184" i="2"/>
  <c r="BD184" i="2"/>
  <c r="BC184" i="2"/>
  <c r="BB184" i="2"/>
  <c r="BA184" i="2"/>
  <c r="AZ184" i="2"/>
  <c r="AY184" i="2"/>
  <c r="AX184" i="2"/>
  <c r="AW184" i="2"/>
  <c r="AV184" i="2"/>
  <c r="AU184" i="2"/>
  <c r="AT184" i="2"/>
  <c r="AO184" i="2"/>
  <c r="AN184" i="2"/>
  <c r="AM184" i="2"/>
  <c r="AL184" i="2"/>
  <c r="AK184" i="2"/>
  <c r="AJ184" i="2"/>
  <c r="AI184" i="2"/>
  <c r="AH184" i="2"/>
  <c r="AG184" i="2"/>
  <c r="AF184" i="2"/>
  <c r="AE184" i="2"/>
  <c r="AD184" i="2"/>
  <c r="AC184" i="2"/>
  <c r="AB184" i="2"/>
  <c r="BF183" i="2"/>
  <c r="BE183" i="2"/>
  <c r="BD183" i="2"/>
  <c r="BC183" i="2"/>
  <c r="BB183" i="2"/>
  <c r="BA183" i="2"/>
  <c r="AZ183" i="2"/>
  <c r="AY183" i="2"/>
  <c r="AO183" i="2"/>
  <c r="AN183" i="2"/>
  <c r="AM183" i="2"/>
  <c r="AL183" i="2"/>
  <c r="AK183" i="2"/>
  <c r="AJ183" i="2"/>
  <c r="AI183" i="2"/>
  <c r="AH183" i="2"/>
  <c r="AG183" i="2"/>
  <c r="AF183" i="2"/>
  <c r="AE183" i="2"/>
  <c r="AD183" i="2"/>
  <c r="AC183" i="2"/>
  <c r="AB183" i="2"/>
  <c r="BF182" i="2"/>
  <c r="BE182" i="2"/>
  <c r="BD182" i="2"/>
  <c r="BC182" i="2"/>
  <c r="BB182" i="2"/>
  <c r="BA182" i="2"/>
  <c r="AZ182" i="2"/>
  <c r="AY182" i="2"/>
  <c r="AX182" i="2"/>
  <c r="AW182" i="2"/>
  <c r="AV182" i="2"/>
  <c r="AU182" i="2"/>
  <c r="AT182" i="2"/>
  <c r="AO182" i="2"/>
  <c r="AN182" i="2"/>
  <c r="AM182" i="2"/>
  <c r="AL182" i="2"/>
  <c r="AK182" i="2"/>
  <c r="AJ182" i="2"/>
  <c r="AI182" i="2"/>
  <c r="AH182" i="2"/>
  <c r="AG182" i="2"/>
  <c r="AF182" i="2"/>
  <c r="AE182" i="2"/>
  <c r="AD182" i="2"/>
  <c r="AC182" i="2"/>
  <c r="AB182" i="2"/>
  <c r="BF181" i="2"/>
  <c r="BE181" i="2"/>
  <c r="BD181" i="2"/>
  <c r="BC181" i="2"/>
  <c r="BB181" i="2"/>
  <c r="BA181" i="2"/>
  <c r="AZ181" i="2"/>
  <c r="AY181" i="2"/>
  <c r="AX181" i="2"/>
  <c r="AW181" i="2"/>
  <c r="AV181" i="2"/>
  <c r="AU181" i="2"/>
  <c r="AT181" i="2"/>
  <c r="AO181" i="2"/>
  <c r="AN181" i="2"/>
  <c r="AM181" i="2"/>
  <c r="AL181" i="2"/>
  <c r="AK181" i="2"/>
  <c r="AJ181" i="2"/>
  <c r="AI181" i="2"/>
  <c r="AH181" i="2"/>
  <c r="AG181" i="2"/>
  <c r="AF181" i="2"/>
  <c r="AE181" i="2"/>
  <c r="AD181" i="2"/>
  <c r="AC181" i="2"/>
  <c r="AB181" i="2"/>
  <c r="BF180" i="2"/>
  <c r="BE180" i="2"/>
  <c r="BD180" i="2"/>
  <c r="BC180" i="2"/>
  <c r="BB180" i="2"/>
  <c r="BA180" i="2"/>
  <c r="AZ180" i="2"/>
  <c r="AY180" i="2"/>
  <c r="AX180" i="2"/>
  <c r="AW180" i="2"/>
  <c r="AV180" i="2"/>
  <c r="AU180" i="2"/>
  <c r="AT180" i="2"/>
  <c r="AO180" i="2"/>
  <c r="AN180" i="2"/>
  <c r="AM180" i="2"/>
  <c r="AL180" i="2"/>
  <c r="AK180" i="2"/>
  <c r="AJ180" i="2"/>
  <c r="AI180" i="2"/>
  <c r="AH180" i="2"/>
  <c r="AG180" i="2"/>
  <c r="AF180" i="2"/>
  <c r="AE180" i="2"/>
  <c r="AD180" i="2"/>
  <c r="AC180" i="2"/>
  <c r="AB180" i="2"/>
  <c r="BF179" i="2"/>
  <c r="BE179" i="2"/>
  <c r="BD179" i="2"/>
  <c r="BC179" i="2"/>
  <c r="BB179" i="2"/>
  <c r="BA179" i="2"/>
  <c r="AZ179" i="2"/>
  <c r="AY179" i="2"/>
  <c r="AO179" i="2"/>
  <c r="AN179" i="2"/>
  <c r="AM179" i="2"/>
  <c r="AL179" i="2"/>
  <c r="AK179" i="2"/>
  <c r="AJ179" i="2"/>
  <c r="AI179" i="2"/>
  <c r="AH179" i="2"/>
  <c r="AG179" i="2"/>
  <c r="AF179" i="2"/>
  <c r="AE179" i="2"/>
  <c r="AD179" i="2"/>
  <c r="AC179" i="2"/>
  <c r="AB179" i="2"/>
  <c r="BF178" i="2"/>
  <c r="BE178" i="2"/>
  <c r="BD178" i="2"/>
  <c r="BC178" i="2"/>
  <c r="BB178" i="2"/>
  <c r="BA178" i="2"/>
  <c r="AZ178" i="2"/>
  <c r="AY178" i="2"/>
  <c r="AO178" i="2"/>
  <c r="AN178" i="2"/>
  <c r="AM178" i="2"/>
  <c r="AL178" i="2"/>
  <c r="AK178" i="2"/>
  <c r="AJ178" i="2"/>
  <c r="AI178" i="2"/>
  <c r="AH178" i="2"/>
  <c r="AG178" i="2"/>
  <c r="AF178" i="2"/>
  <c r="AE178" i="2"/>
  <c r="AD178" i="2"/>
  <c r="AC178" i="2"/>
  <c r="AB178" i="2"/>
  <c r="BF177" i="2"/>
  <c r="BE177" i="2"/>
  <c r="BD177" i="2"/>
  <c r="BC177" i="2"/>
  <c r="BB177" i="2"/>
  <c r="BA177" i="2"/>
  <c r="AZ177" i="2"/>
  <c r="AY177" i="2"/>
  <c r="AO177" i="2"/>
  <c r="AN177" i="2"/>
  <c r="AM177" i="2"/>
  <c r="AL177" i="2"/>
  <c r="AK177" i="2"/>
  <c r="AJ177" i="2"/>
  <c r="AI177" i="2"/>
  <c r="AH177" i="2"/>
  <c r="AG177" i="2"/>
  <c r="AF177" i="2"/>
  <c r="AE177" i="2"/>
  <c r="AD177" i="2"/>
  <c r="AC177" i="2"/>
  <c r="AB177" i="2"/>
  <c r="BF176" i="2"/>
  <c r="BE176" i="2"/>
  <c r="BD176" i="2"/>
  <c r="BC176" i="2"/>
  <c r="BB176" i="2"/>
  <c r="BA176" i="2"/>
  <c r="AZ176" i="2"/>
  <c r="AY176" i="2"/>
  <c r="AO176" i="2"/>
  <c r="AN176" i="2"/>
  <c r="AM176" i="2"/>
  <c r="AL176" i="2"/>
  <c r="AK176" i="2"/>
  <c r="AJ176" i="2"/>
  <c r="AI176" i="2"/>
  <c r="AH176" i="2"/>
  <c r="AG176" i="2"/>
  <c r="AF176" i="2"/>
  <c r="AE176" i="2"/>
  <c r="AD176" i="2"/>
  <c r="AC176" i="2"/>
  <c r="AB176" i="2"/>
  <c r="BF175" i="2"/>
  <c r="BE175" i="2"/>
  <c r="BD175" i="2"/>
  <c r="BC175" i="2"/>
  <c r="BB175" i="2"/>
  <c r="BA175" i="2"/>
  <c r="AZ175" i="2"/>
  <c r="AY175" i="2"/>
  <c r="AO175" i="2"/>
  <c r="AN175" i="2"/>
  <c r="AM175" i="2"/>
  <c r="AL175" i="2"/>
  <c r="AK175" i="2"/>
  <c r="AJ175" i="2"/>
  <c r="AI175" i="2"/>
  <c r="AH175" i="2"/>
  <c r="AG175" i="2"/>
  <c r="AF175" i="2"/>
  <c r="AE175" i="2"/>
  <c r="AD175" i="2"/>
  <c r="AC175" i="2"/>
  <c r="AB175" i="2"/>
  <c r="BF174" i="2"/>
  <c r="BE174" i="2"/>
  <c r="BD174" i="2"/>
  <c r="BC174" i="2"/>
  <c r="BB174" i="2"/>
  <c r="BA174" i="2"/>
  <c r="AZ174" i="2"/>
  <c r="AY174" i="2"/>
  <c r="AX174" i="2"/>
  <c r="AW174" i="2"/>
  <c r="AV174" i="2"/>
  <c r="AU174" i="2"/>
  <c r="AT174" i="2"/>
  <c r="AO174" i="2"/>
  <c r="AN174" i="2"/>
  <c r="AM174" i="2"/>
  <c r="AL174" i="2"/>
  <c r="AK174" i="2"/>
  <c r="AJ174" i="2"/>
  <c r="AI174" i="2"/>
  <c r="AH174" i="2"/>
  <c r="AG174" i="2"/>
  <c r="AF174" i="2"/>
  <c r="AE174" i="2"/>
  <c r="AD174" i="2"/>
  <c r="AC174" i="2"/>
  <c r="AB174" i="2"/>
  <c r="BF173" i="2"/>
  <c r="BE173" i="2"/>
  <c r="BD173" i="2"/>
  <c r="BC173" i="2"/>
  <c r="BB173" i="2"/>
  <c r="BA173" i="2"/>
  <c r="AZ173" i="2"/>
  <c r="AY173" i="2"/>
  <c r="AX173" i="2"/>
  <c r="AW173" i="2"/>
  <c r="AV173" i="2"/>
  <c r="AU173" i="2"/>
  <c r="AT173" i="2"/>
  <c r="AO173" i="2"/>
  <c r="AN173" i="2"/>
  <c r="AM173" i="2"/>
  <c r="AL173" i="2"/>
  <c r="AK173" i="2"/>
  <c r="AJ173" i="2"/>
  <c r="AI173" i="2"/>
  <c r="AH173" i="2"/>
  <c r="AG173" i="2"/>
  <c r="AF173" i="2"/>
  <c r="AE173" i="2"/>
  <c r="AD173" i="2"/>
  <c r="AC173" i="2"/>
  <c r="AB173" i="2"/>
  <c r="BF172" i="2"/>
  <c r="BE172" i="2"/>
  <c r="BD172" i="2"/>
  <c r="BC172" i="2"/>
  <c r="BB172" i="2"/>
  <c r="BA172" i="2"/>
  <c r="AZ172" i="2"/>
  <c r="AY172" i="2"/>
  <c r="AX172" i="2"/>
  <c r="AW172" i="2"/>
  <c r="AV172" i="2"/>
  <c r="AU172" i="2"/>
  <c r="AT172" i="2"/>
  <c r="AO172" i="2"/>
  <c r="AN172" i="2"/>
  <c r="AM172" i="2"/>
  <c r="AL172" i="2"/>
  <c r="AK172" i="2"/>
  <c r="AJ172" i="2"/>
  <c r="AI172" i="2"/>
  <c r="AH172" i="2"/>
  <c r="AG172" i="2"/>
  <c r="AF172" i="2"/>
  <c r="AE172" i="2"/>
  <c r="AD172" i="2"/>
  <c r="AC172" i="2"/>
  <c r="AB172" i="2"/>
  <c r="BF171" i="2"/>
  <c r="BE171" i="2"/>
  <c r="BD171" i="2"/>
  <c r="BC171" i="2"/>
  <c r="BB171" i="2"/>
  <c r="BA171" i="2"/>
  <c r="AZ171" i="2"/>
  <c r="AY171" i="2"/>
  <c r="AX171" i="2"/>
  <c r="AW171" i="2"/>
  <c r="AV171" i="2"/>
  <c r="AU171" i="2"/>
  <c r="AT171" i="2"/>
  <c r="AO171" i="2"/>
  <c r="AN171" i="2"/>
  <c r="AM171" i="2"/>
  <c r="AL171" i="2"/>
  <c r="AK171" i="2"/>
  <c r="AJ171" i="2"/>
  <c r="AI171" i="2"/>
  <c r="AH171" i="2"/>
  <c r="AG171" i="2"/>
  <c r="AF171" i="2"/>
  <c r="AE171" i="2"/>
  <c r="AD171" i="2"/>
  <c r="AC171" i="2"/>
  <c r="AB171" i="2"/>
  <c r="BF170" i="2"/>
  <c r="BE170" i="2"/>
  <c r="BD170" i="2"/>
  <c r="BC170" i="2"/>
  <c r="BB170" i="2"/>
  <c r="BA170" i="2"/>
  <c r="AZ170" i="2"/>
  <c r="AY170" i="2"/>
  <c r="AX170" i="2"/>
  <c r="AW170" i="2"/>
  <c r="AV170" i="2"/>
  <c r="AU170" i="2"/>
  <c r="AT170" i="2"/>
  <c r="AO170" i="2"/>
  <c r="AN170" i="2"/>
  <c r="AM170" i="2"/>
  <c r="AL170" i="2"/>
  <c r="AK170" i="2"/>
  <c r="AJ170" i="2"/>
  <c r="AI170" i="2"/>
  <c r="AH170" i="2"/>
  <c r="AG170" i="2"/>
  <c r="AF170" i="2"/>
  <c r="AE170" i="2"/>
  <c r="AD170" i="2"/>
  <c r="AC170" i="2"/>
  <c r="AB170" i="2"/>
  <c r="BF169" i="2"/>
  <c r="BE169" i="2"/>
  <c r="BD169" i="2"/>
  <c r="BC169" i="2"/>
  <c r="BB169" i="2"/>
  <c r="BA169" i="2"/>
  <c r="AZ169" i="2"/>
  <c r="AY169" i="2"/>
  <c r="AX169" i="2"/>
  <c r="AW169" i="2"/>
  <c r="AV169" i="2"/>
  <c r="AU169" i="2"/>
  <c r="AT169" i="2"/>
  <c r="AO169" i="2"/>
  <c r="AN169" i="2"/>
  <c r="AM169" i="2"/>
  <c r="AL169" i="2"/>
  <c r="AK169" i="2"/>
  <c r="AJ169" i="2"/>
  <c r="AI169" i="2"/>
  <c r="AH169" i="2"/>
  <c r="AG169" i="2"/>
  <c r="AF169" i="2"/>
  <c r="AE169" i="2"/>
  <c r="AD169" i="2"/>
  <c r="AC169" i="2"/>
  <c r="AB169" i="2"/>
  <c r="BF168" i="2"/>
  <c r="BE168" i="2"/>
  <c r="BD168" i="2"/>
  <c r="BC168" i="2"/>
  <c r="BB168" i="2"/>
  <c r="BA168" i="2"/>
  <c r="AZ168" i="2"/>
  <c r="AY168" i="2"/>
  <c r="AX168" i="2"/>
  <c r="AW168" i="2"/>
  <c r="AV168" i="2"/>
  <c r="AU168" i="2"/>
  <c r="AT168" i="2"/>
  <c r="AO168" i="2"/>
  <c r="AN168" i="2"/>
  <c r="AM168" i="2"/>
  <c r="AL168" i="2"/>
  <c r="AK168" i="2"/>
  <c r="AJ168" i="2"/>
  <c r="AI168" i="2"/>
  <c r="AH168" i="2"/>
  <c r="AG168" i="2"/>
  <c r="AF168" i="2"/>
  <c r="AE168" i="2"/>
  <c r="AD168" i="2"/>
  <c r="AC168" i="2"/>
  <c r="AB168" i="2"/>
  <c r="BF167" i="2"/>
  <c r="BE167" i="2"/>
  <c r="BD167" i="2"/>
  <c r="BC167" i="2"/>
  <c r="BB167" i="2"/>
  <c r="BA167" i="2"/>
  <c r="AZ167" i="2"/>
  <c r="AY167" i="2"/>
  <c r="AX167" i="2"/>
  <c r="AW167" i="2"/>
  <c r="AV167" i="2"/>
  <c r="AU167" i="2"/>
  <c r="AT167" i="2"/>
  <c r="AO167" i="2"/>
  <c r="AN167" i="2"/>
  <c r="AM167" i="2"/>
  <c r="AL167" i="2"/>
  <c r="AK167" i="2"/>
  <c r="AJ167" i="2"/>
  <c r="AI167" i="2"/>
  <c r="AH167" i="2"/>
  <c r="AG167" i="2"/>
  <c r="AF167" i="2"/>
  <c r="AE167" i="2"/>
  <c r="AD167" i="2"/>
  <c r="AC167" i="2"/>
  <c r="AB167" i="2"/>
  <c r="BF166" i="2"/>
  <c r="BE166" i="2"/>
  <c r="BD166" i="2"/>
  <c r="BC166" i="2"/>
  <c r="BB166" i="2"/>
  <c r="BA166" i="2"/>
  <c r="AZ166" i="2"/>
  <c r="AY166" i="2"/>
  <c r="AX166" i="2"/>
  <c r="AW166" i="2"/>
  <c r="AV166" i="2"/>
  <c r="AU166" i="2"/>
  <c r="AT166" i="2"/>
  <c r="AO166" i="2"/>
  <c r="AN166" i="2"/>
  <c r="AM166" i="2"/>
  <c r="AL166" i="2"/>
  <c r="AK166" i="2"/>
  <c r="AJ166" i="2"/>
  <c r="AI166" i="2"/>
  <c r="AH166" i="2"/>
  <c r="AG166" i="2"/>
  <c r="AF166" i="2"/>
  <c r="AE166" i="2"/>
  <c r="AD166" i="2"/>
  <c r="AC166" i="2"/>
  <c r="AB166" i="2"/>
  <c r="BF165" i="2"/>
  <c r="BE165" i="2"/>
  <c r="BD165" i="2"/>
  <c r="BC165" i="2"/>
  <c r="BB165" i="2"/>
  <c r="BA165" i="2"/>
  <c r="AZ165" i="2"/>
  <c r="AY165" i="2"/>
  <c r="AX165" i="2"/>
  <c r="AW165" i="2"/>
  <c r="AV165" i="2"/>
  <c r="AU165" i="2"/>
  <c r="AT165" i="2"/>
  <c r="AO165" i="2"/>
  <c r="AN165" i="2"/>
  <c r="AM165" i="2"/>
  <c r="AL165" i="2"/>
  <c r="AK165" i="2"/>
  <c r="AJ165" i="2"/>
  <c r="AI165" i="2"/>
  <c r="AH165" i="2"/>
  <c r="AG165" i="2"/>
  <c r="AF165" i="2"/>
  <c r="AE165" i="2"/>
  <c r="AD165" i="2"/>
  <c r="AC165" i="2"/>
  <c r="AB165" i="2"/>
  <c r="BF164" i="2"/>
  <c r="BE164" i="2"/>
  <c r="BD164" i="2"/>
  <c r="BC164" i="2"/>
  <c r="BB164" i="2"/>
  <c r="BA164" i="2"/>
  <c r="AZ164" i="2"/>
  <c r="AY164" i="2"/>
  <c r="AX164" i="2"/>
  <c r="AW164" i="2"/>
  <c r="AV164" i="2"/>
  <c r="AU164" i="2"/>
  <c r="AT164" i="2"/>
  <c r="AO164" i="2"/>
  <c r="AN164" i="2"/>
  <c r="AM164" i="2"/>
  <c r="AL164" i="2"/>
  <c r="AK164" i="2"/>
  <c r="AJ164" i="2"/>
  <c r="AI164" i="2"/>
  <c r="AH164" i="2"/>
  <c r="AG164" i="2"/>
  <c r="AF164" i="2"/>
  <c r="AE164" i="2"/>
  <c r="AD164" i="2"/>
  <c r="AC164" i="2"/>
  <c r="AB164" i="2"/>
  <c r="BF163" i="2"/>
  <c r="BE163" i="2"/>
  <c r="BD163" i="2"/>
  <c r="BC163" i="2"/>
  <c r="BB163" i="2"/>
  <c r="BA163" i="2"/>
  <c r="AZ163" i="2"/>
  <c r="AY163" i="2"/>
  <c r="AO163" i="2"/>
  <c r="AN163" i="2"/>
  <c r="AM163" i="2"/>
  <c r="AL163" i="2"/>
  <c r="AK163" i="2"/>
  <c r="AJ163" i="2"/>
  <c r="AI163" i="2"/>
  <c r="AH163" i="2"/>
  <c r="AG163" i="2"/>
  <c r="AF163" i="2"/>
  <c r="AE163" i="2"/>
  <c r="AD163" i="2"/>
  <c r="AC163" i="2"/>
  <c r="AB163" i="2"/>
  <c r="BF162" i="2"/>
  <c r="BE162" i="2"/>
  <c r="BD162" i="2"/>
  <c r="BC162" i="2"/>
  <c r="BB162" i="2"/>
  <c r="BA162" i="2"/>
  <c r="AZ162" i="2"/>
  <c r="AY162" i="2"/>
  <c r="AO162" i="2"/>
  <c r="AN162" i="2"/>
  <c r="AM162" i="2"/>
  <c r="AL162" i="2"/>
  <c r="AK162" i="2"/>
  <c r="AJ162" i="2"/>
  <c r="AI162" i="2"/>
  <c r="AH162" i="2"/>
  <c r="AG162" i="2"/>
  <c r="AF162" i="2"/>
  <c r="AE162" i="2"/>
  <c r="AD162" i="2"/>
  <c r="AC162" i="2"/>
  <c r="AB162" i="2"/>
  <c r="BF161" i="2"/>
  <c r="BE161" i="2"/>
  <c r="BD161" i="2"/>
  <c r="BC161" i="2"/>
  <c r="BB161" i="2"/>
  <c r="BA161" i="2"/>
  <c r="AZ161" i="2"/>
  <c r="AY161" i="2"/>
  <c r="AO161" i="2"/>
  <c r="AN161" i="2"/>
  <c r="AM161" i="2"/>
  <c r="AL161" i="2"/>
  <c r="AK161" i="2"/>
  <c r="AJ161" i="2"/>
  <c r="AI161" i="2"/>
  <c r="AH161" i="2"/>
  <c r="AG161" i="2"/>
  <c r="AF161" i="2"/>
  <c r="AE161" i="2"/>
  <c r="AD161" i="2"/>
  <c r="AC161" i="2"/>
  <c r="AB161" i="2"/>
  <c r="BF160" i="2"/>
  <c r="BE160" i="2"/>
  <c r="BD160" i="2"/>
  <c r="BC160" i="2"/>
  <c r="BB160" i="2"/>
  <c r="BA160" i="2"/>
  <c r="AZ160" i="2"/>
  <c r="AY160" i="2"/>
  <c r="AX160" i="2"/>
  <c r="AW160" i="2"/>
  <c r="AV160" i="2"/>
  <c r="AU160" i="2"/>
  <c r="AT160" i="2"/>
  <c r="AO160" i="2"/>
  <c r="AN160" i="2"/>
  <c r="AM160" i="2"/>
  <c r="AL160" i="2"/>
  <c r="AK160" i="2"/>
  <c r="AJ160" i="2"/>
  <c r="AI160" i="2"/>
  <c r="AH160" i="2"/>
  <c r="AG160" i="2"/>
  <c r="AF160" i="2"/>
  <c r="AE160" i="2"/>
  <c r="AD160" i="2"/>
  <c r="AC160" i="2"/>
  <c r="AB160" i="2"/>
  <c r="BF159" i="2"/>
  <c r="BE159" i="2"/>
  <c r="BD159" i="2"/>
  <c r="BC159" i="2"/>
  <c r="BB159" i="2"/>
  <c r="BA159" i="2"/>
  <c r="AZ159" i="2"/>
  <c r="AY159" i="2"/>
  <c r="AO159" i="2"/>
  <c r="AN159" i="2"/>
  <c r="AM159" i="2"/>
  <c r="AL159" i="2"/>
  <c r="AK159" i="2"/>
  <c r="AJ159" i="2"/>
  <c r="AI159" i="2"/>
  <c r="AH159" i="2"/>
  <c r="AG159" i="2"/>
  <c r="AF159" i="2"/>
  <c r="AE159" i="2"/>
  <c r="AD159" i="2"/>
  <c r="AC159" i="2"/>
  <c r="AB159" i="2"/>
  <c r="BF158" i="2"/>
  <c r="BE158" i="2"/>
  <c r="BD158" i="2"/>
  <c r="BC158" i="2"/>
  <c r="BB158" i="2"/>
  <c r="BA158" i="2"/>
  <c r="AZ158" i="2"/>
  <c r="AY158" i="2"/>
  <c r="AO158" i="2"/>
  <c r="AN158" i="2"/>
  <c r="AM158" i="2"/>
  <c r="AL158" i="2"/>
  <c r="AK158" i="2"/>
  <c r="AJ158" i="2"/>
  <c r="AI158" i="2"/>
  <c r="AH158" i="2"/>
  <c r="AG158" i="2"/>
  <c r="AF158" i="2"/>
  <c r="AE158" i="2"/>
  <c r="AD158" i="2"/>
  <c r="AC158" i="2"/>
  <c r="AB158" i="2"/>
  <c r="BF157" i="2"/>
  <c r="BE157" i="2"/>
  <c r="BD157" i="2"/>
  <c r="BC157" i="2"/>
  <c r="BB157" i="2"/>
  <c r="BA157" i="2"/>
  <c r="AZ157" i="2"/>
  <c r="AY157" i="2"/>
  <c r="AO157" i="2"/>
  <c r="AN157" i="2"/>
  <c r="AM157" i="2"/>
  <c r="AL157" i="2"/>
  <c r="AK157" i="2"/>
  <c r="AJ157" i="2"/>
  <c r="AI157" i="2"/>
  <c r="AH157" i="2"/>
  <c r="AG157" i="2"/>
  <c r="AF157" i="2"/>
  <c r="AE157" i="2"/>
  <c r="AD157" i="2"/>
  <c r="AC157" i="2"/>
  <c r="AB157" i="2"/>
  <c r="BF156" i="2"/>
  <c r="BE156" i="2"/>
  <c r="BD156" i="2"/>
  <c r="BC156" i="2"/>
  <c r="BB156" i="2"/>
  <c r="BA156" i="2"/>
  <c r="AZ156" i="2"/>
  <c r="AY156" i="2"/>
  <c r="AX156" i="2"/>
  <c r="AW156" i="2"/>
  <c r="AV156" i="2"/>
  <c r="AU156" i="2"/>
  <c r="AT156" i="2"/>
  <c r="AO156" i="2"/>
  <c r="AN156" i="2"/>
  <c r="AM156" i="2"/>
  <c r="AL156" i="2"/>
  <c r="AK156" i="2"/>
  <c r="AJ156" i="2"/>
  <c r="AI156" i="2"/>
  <c r="AH156" i="2"/>
  <c r="AG156" i="2"/>
  <c r="AF156" i="2"/>
  <c r="AE156" i="2"/>
  <c r="AD156" i="2"/>
  <c r="AC156" i="2"/>
  <c r="AB156" i="2"/>
  <c r="BF155" i="2"/>
  <c r="BE155" i="2"/>
  <c r="BD155" i="2"/>
  <c r="BC155" i="2"/>
  <c r="BB155" i="2"/>
  <c r="BA155" i="2"/>
  <c r="AZ155" i="2"/>
  <c r="AY155" i="2"/>
  <c r="AO155" i="2"/>
  <c r="AN155" i="2"/>
  <c r="AM155" i="2"/>
  <c r="AL155" i="2"/>
  <c r="AK155" i="2"/>
  <c r="AJ155" i="2"/>
  <c r="AI155" i="2"/>
  <c r="AH155" i="2"/>
  <c r="AG155" i="2"/>
  <c r="AF155" i="2"/>
  <c r="AE155" i="2"/>
  <c r="AD155" i="2"/>
  <c r="AC155" i="2"/>
  <c r="AB155" i="2"/>
  <c r="BF154" i="2"/>
  <c r="BE154" i="2"/>
  <c r="BD154" i="2"/>
  <c r="BC154" i="2"/>
  <c r="BB154" i="2"/>
  <c r="BA154" i="2"/>
  <c r="AZ154" i="2"/>
  <c r="AY154" i="2"/>
  <c r="AO154" i="2"/>
  <c r="AN154" i="2"/>
  <c r="AM154" i="2"/>
  <c r="AL154" i="2"/>
  <c r="AK154" i="2"/>
  <c r="AJ154" i="2"/>
  <c r="AI154" i="2"/>
  <c r="AH154" i="2"/>
  <c r="AG154" i="2"/>
  <c r="AF154" i="2"/>
  <c r="AE154" i="2"/>
  <c r="AD154" i="2"/>
  <c r="AC154" i="2"/>
  <c r="AB154" i="2"/>
  <c r="BF153" i="2"/>
  <c r="BE153" i="2"/>
  <c r="BD153" i="2"/>
  <c r="BC153" i="2"/>
  <c r="BB153" i="2"/>
  <c r="BA153" i="2"/>
  <c r="AZ153" i="2"/>
  <c r="AY153" i="2"/>
  <c r="AX153" i="2"/>
  <c r="AW153" i="2"/>
  <c r="AV153" i="2"/>
  <c r="AU153" i="2"/>
  <c r="AT153" i="2"/>
  <c r="AO153" i="2"/>
  <c r="AN153" i="2"/>
  <c r="AM153" i="2"/>
  <c r="AL153" i="2"/>
  <c r="AK153" i="2"/>
  <c r="AJ153" i="2"/>
  <c r="AI153" i="2"/>
  <c r="AH153" i="2"/>
  <c r="AG153" i="2"/>
  <c r="AF153" i="2"/>
  <c r="AE153" i="2"/>
  <c r="AD153" i="2"/>
  <c r="AC153" i="2"/>
  <c r="AB153" i="2"/>
  <c r="BF152" i="2"/>
  <c r="BE152" i="2"/>
  <c r="BD152" i="2"/>
  <c r="BC152" i="2"/>
  <c r="BB152" i="2"/>
  <c r="BA152" i="2"/>
  <c r="AZ152" i="2"/>
  <c r="AY152" i="2"/>
  <c r="AX152" i="2"/>
  <c r="AW152" i="2"/>
  <c r="AV152" i="2"/>
  <c r="AU152" i="2"/>
  <c r="AT152" i="2"/>
  <c r="AO152" i="2"/>
  <c r="AN152" i="2"/>
  <c r="AM152" i="2"/>
  <c r="AL152" i="2"/>
  <c r="AK152" i="2"/>
  <c r="AJ152" i="2"/>
  <c r="AI152" i="2"/>
  <c r="AH152" i="2"/>
  <c r="AG152" i="2"/>
  <c r="AF152" i="2"/>
  <c r="AE152" i="2"/>
  <c r="AD152" i="2"/>
  <c r="AC152" i="2"/>
  <c r="AB152" i="2"/>
  <c r="BF151" i="2"/>
  <c r="BE151" i="2"/>
  <c r="BD151" i="2"/>
  <c r="BC151" i="2"/>
  <c r="BB151" i="2"/>
  <c r="BA151" i="2"/>
  <c r="AZ151" i="2"/>
  <c r="AY151" i="2"/>
  <c r="AO151" i="2"/>
  <c r="AN151" i="2"/>
  <c r="AM151" i="2"/>
  <c r="AL151" i="2"/>
  <c r="AK151" i="2"/>
  <c r="AJ151" i="2"/>
  <c r="AI151" i="2"/>
  <c r="AH151" i="2"/>
  <c r="AG151" i="2"/>
  <c r="AF151" i="2"/>
  <c r="AE151" i="2"/>
  <c r="AD151" i="2"/>
  <c r="AC151" i="2"/>
  <c r="AB151" i="2"/>
  <c r="BF150" i="2"/>
  <c r="BE150" i="2"/>
  <c r="BD150" i="2"/>
  <c r="BC150" i="2"/>
  <c r="BB150" i="2"/>
  <c r="BA150" i="2"/>
  <c r="AZ150" i="2"/>
  <c r="AY150" i="2"/>
  <c r="AO150" i="2"/>
  <c r="AN150" i="2"/>
  <c r="AM150" i="2"/>
  <c r="AL150" i="2"/>
  <c r="AK150" i="2"/>
  <c r="AJ150" i="2"/>
  <c r="AI150" i="2"/>
  <c r="AH150" i="2"/>
  <c r="AG150" i="2"/>
  <c r="AF150" i="2"/>
  <c r="AE150" i="2"/>
  <c r="AD150" i="2"/>
  <c r="AC150" i="2"/>
  <c r="AB150" i="2"/>
  <c r="BF149" i="2"/>
  <c r="BE149" i="2"/>
  <c r="BD149" i="2"/>
  <c r="BC149" i="2"/>
  <c r="BB149" i="2"/>
  <c r="BA149" i="2"/>
  <c r="AZ149" i="2"/>
  <c r="AY149" i="2"/>
  <c r="AX149" i="2"/>
  <c r="AW149" i="2"/>
  <c r="AV149" i="2"/>
  <c r="AU149" i="2"/>
  <c r="AT149" i="2"/>
  <c r="AO149" i="2"/>
  <c r="AN149" i="2"/>
  <c r="AM149" i="2"/>
  <c r="AL149" i="2"/>
  <c r="AK149" i="2"/>
  <c r="AJ149" i="2"/>
  <c r="AI149" i="2"/>
  <c r="AH149" i="2"/>
  <c r="AG149" i="2"/>
  <c r="AF149" i="2"/>
  <c r="AE149" i="2"/>
  <c r="AD149" i="2"/>
  <c r="AC149" i="2"/>
  <c r="AB149" i="2"/>
  <c r="BF148" i="2"/>
  <c r="BE148" i="2"/>
  <c r="BD148" i="2"/>
  <c r="BC148" i="2"/>
  <c r="BB148" i="2"/>
  <c r="BA148" i="2"/>
  <c r="AZ148" i="2"/>
  <c r="AY148" i="2"/>
  <c r="AX148" i="2"/>
  <c r="AW148" i="2"/>
  <c r="AV148" i="2"/>
  <c r="AU148" i="2"/>
  <c r="AT148" i="2"/>
  <c r="AO148" i="2"/>
  <c r="AN148" i="2"/>
  <c r="AM148" i="2"/>
  <c r="AL148" i="2"/>
  <c r="AK148" i="2"/>
  <c r="AJ148" i="2"/>
  <c r="AI148" i="2"/>
  <c r="AH148" i="2"/>
  <c r="AG148" i="2"/>
  <c r="AF148" i="2"/>
  <c r="AE148" i="2"/>
  <c r="AD148" i="2"/>
  <c r="AC148" i="2"/>
  <c r="AB148" i="2"/>
  <c r="BF147" i="2"/>
  <c r="BE147" i="2"/>
  <c r="BD147" i="2"/>
  <c r="BC147" i="2"/>
  <c r="BB147" i="2"/>
  <c r="BA147" i="2"/>
  <c r="AZ147" i="2"/>
  <c r="AY147" i="2"/>
  <c r="AO147" i="2"/>
  <c r="AN147" i="2"/>
  <c r="AM147" i="2"/>
  <c r="AL147" i="2"/>
  <c r="AK147" i="2"/>
  <c r="AJ147" i="2"/>
  <c r="AI147" i="2"/>
  <c r="AH147" i="2"/>
  <c r="AG147" i="2"/>
  <c r="AF147" i="2"/>
  <c r="AE147" i="2"/>
  <c r="AD147" i="2"/>
  <c r="AC147" i="2"/>
  <c r="AB147" i="2"/>
  <c r="BF146" i="2"/>
  <c r="BE146" i="2"/>
  <c r="BD146" i="2"/>
  <c r="BC146" i="2"/>
  <c r="BB146" i="2"/>
  <c r="BA146" i="2"/>
  <c r="AZ146" i="2"/>
  <c r="AY146" i="2"/>
  <c r="AO146" i="2"/>
  <c r="AN146" i="2"/>
  <c r="AM146" i="2"/>
  <c r="AL146" i="2"/>
  <c r="AK146" i="2"/>
  <c r="AJ146" i="2"/>
  <c r="AI146" i="2"/>
  <c r="AH146" i="2"/>
  <c r="AG146" i="2"/>
  <c r="AF146" i="2"/>
  <c r="AE146" i="2"/>
  <c r="AD146" i="2"/>
  <c r="AC146" i="2"/>
  <c r="AB146" i="2"/>
  <c r="BF145" i="2"/>
  <c r="BE145" i="2"/>
  <c r="BD145" i="2"/>
  <c r="BC145" i="2"/>
  <c r="BB145" i="2"/>
  <c r="BA145" i="2"/>
  <c r="AZ145" i="2"/>
  <c r="AY145" i="2"/>
  <c r="AO145" i="2"/>
  <c r="AN145" i="2"/>
  <c r="AM145" i="2"/>
  <c r="AL145" i="2"/>
  <c r="AK145" i="2"/>
  <c r="AJ145" i="2"/>
  <c r="AI145" i="2"/>
  <c r="AH145" i="2"/>
  <c r="AG145" i="2"/>
  <c r="AF145" i="2"/>
  <c r="AE145" i="2"/>
  <c r="AD145" i="2"/>
  <c r="AC145" i="2"/>
  <c r="AB145" i="2"/>
  <c r="BF144" i="2"/>
  <c r="BE144" i="2"/>
  <c r="BD144" i="2"/>
  <c r="BC144" i="2"/>
  <c r="BB144" i="2"/>
  <c r="BA144" i="2"/>
  <c r="AZ144" i="2"/>
  <c r="AY144" i="2"/>
  <c r="AO144" i="2"/>
  <c r="AN144" i="2"/>
  <c r="AM144" i="2"/>
  <c r="AL144" i="2"/>
  <c r="AK144" i="2"/>
  <c r="AJ144" i="2"/>
  <c r="AI144" i="2"/>
  <c r="AH144" i="2"/>
  <c r="AG144" i="2"/>
  <c r="AF144" i="2"/>
  <c r="AE144" i="2"/>
  <c r="AD144" i="2"/>
  <c r="AC144" i="2"/>
  <c r="AB144" i="2"/>
  <c r="BF143" i="2"/>
  <c r="BE143" i="2"/>
  <c r="BD143" i="2"/>
  <c r="BC143" i="2"/>
  <c r="BB143" i="2"/>
  <c r="BA143" i="2"/>
  <c r="AZ143" i="2"/>
  <c r="AY143" i="2"/>
  <c r="AO143" i="2"/>
  <c r="AN143" i="2"/>
  <c r="AM143" i="2"/>
  <c r="AL143" i="2"/>
  <c r="AK143" i="2"/>
  <c r="AJ143" i="2"/>
  <c r="AI143" i="2"/>
  <c r="AH143" i="2"/>
  <c r="AG143" i="2"/>
  <c r="AF143" i="2"/>
  <c r="AE143" i="2"/>
  <c r="AD143" i="2"/>
  <c r="AC143" i="2"/>
  <c r="AB143" i="2"/>
  <c r="BF142" i="2"/>
  <c r="BE142" i="2"/>
  <c r="BD142" i="2"/>
  <c r="BC142" i="2"/>
  <c r="BB142" i="2"/>
  <c r="BA142" i="2"/>
  <c r="AZ142" i="2"/>
  <c r="AY142" i="2"/>
  <c r="AO142" i="2"/>
  <c r="AN142" i="2"/>
  <c r="AM142" i="2"/>
  <c r="AL142" i="2"/>
  <c r="AK142" i="2"/>
  <c r="AJ142" i="2"/>
  <c r="AI142" i="2"/>
  <c r="AH142" i="2"/>
  <c r="AG142" i="2"/>
  <c r="AF142" i="2"/>
  <c r="AE142" i="2"/>
  <c r="AD142" i="2"/>
  <c r="AC142" i="2"/>
  <c r="AB142" i="2"/>
  <c r="BF141" i="2"/>
  <c r="BE141" i="2"/>
  <c r="BD141" i="2"/>
  <c r="BC141" i="2"/>
  <c r="BB141" i="2"/>
  <c r="BA141" i="2"/>
  <c r="AZ141" i="2"/>
  <c r="AY141" i="2"/>
  <c r="AO141" i="2"/>
  <c r="AN141" i="2"/>
  <c r="AM141" i="2"/>
  <c r="AL141" i="2"/>
  <c r="AK141" i="2"/>
  <c r="AJ141" i="2"/>
  <c r="AI141" i="2"/>
  <c r="AH141" i="2"/>
  <c r="AG141" i="2"/>
  <c r="AF141" i="2"/>
  <c r="AE141" i="2"/>
  <c r="AD141" i="2"/>
  <c r="AC141" i="2"/>
  <c r="AB141" i="2"/>
  <c r="BF140" i="2"/>
  <c r="BE140" i="2"/>
  <c r="BD140" i="2"/>
  <c r="BC140" i="2"/>
  <c r="BB140" i="2"/>
  <c r="BA140" i="2"/>
  <c r="AZ140" i="2"/>
  <c r="AY140" i="2"/>
  <c r="AO140" i="2"/>
  <c r="AN140" i="2"/>
  <c r="AM140" i="2"/>
  <c r="AL140" i="2"/>
  <c r="AK140" i="2"/>
  <c r="AJ140" i="2"/>
  <c r="AI140" i="2"/>
  <c r="AH140" i="2"/>
  <c r="AG140" i="2"/>
  <c r="AF140" i="2"/>
  <c r="AE140" i="2"/>
  <c r="AD140" i="2"/>
  <c r="AC140" i="2"/>
  <c r="AB140" i="2"/>
  <c r="BF139" i="2"/>
  <c r="BE139" i="2"/>
  <c r="BD139" i="2"/>
  <c r="BC139" i="2"/>
  <c r="BB139" i="2"/>
  <c r="BA139" i="2"/>
  <c r="AZ139" i="2"/>
  <c r="AY139" i="2"/>
  <c r="AO139" i="2"/>
  <c r="AN139" i="2"/>
  <c r="AM139" i="2"/>
  <c r="AL139" i="2"/>
  <c r="AK139" i="2"/>
  <c r="AJ139" i="2"/>
  <c r="AI139" i="2"/>
  <c r="AH139" i="2"/>
  <c r="AG139" i="2"/>
  <c r="AF139" i="2"/>
  <c r="AE139" i="2"/>
  <c r="AD139" i="2"/>
  <c r="AC139" i="2"/>
  <c r="AB139" i="2"/>
  <c r="BF138" i="2"/>
  <c r="BE138" i="2"/>
  <c r="BD138" i="2"/>
  <c r="BC138" i="2"/>
  <c r="BB138" i="2"/>
  <c r="BA138" i="2"/>
  <c r="AZ138" i="2"/>
  <c r="AY138" i="2"/>
  <c r="AO138" i="2"/>
  <c r="AN138" i="2"/>
  <c r="AM138" i="2"/>
  <c r="AL138" i="2"/>
  <c r="AK138" i="2"/>
  <c r="AJ138" i="2"/>
  <c r="AI138" i="2"/>
  <c r="AH138" i="2"/>
  <c r="AG138" i="2"/>
  <c r="AF138" i="2"/>
  <c r="AE138" i="2"/>
  <c r="AD138" i="2"/>
  <c r="AC138" i="2"/>
  <c r="AB138" i="2"/>
  <c r="BF137" i="2"/>
  <c r="BE137" i="2"/>
  <c r="BD137" i="2"/>
  <c r="BC137" i="2"/>
  <c r="BB137" i="2"/>
  <c r="BA137" i="2"/>
  <c r="AZ137" i="2"/>
  <c r="AY137" i="2"/>
  <c r="AO137" i="2"/>
  <c r="AN137" i="2"/>
  <c r="AM137" i="2"/>
  <c r="AL137" i="2"/>
  <c r="AK137" i="2"/>
  <c r="AJ137" i="2"/>
  <c r="AI137" i="2"/>
  <c r="AH137" i="2"/>
  <c r="AG137" i="2"/>
  <c r="AF137" i="2"/>
  <c r="AE137" i="2"/>
  <c r="AD137" i="2"/>
  <c r="AC137" i="2"/>
  <c r="AB137" i="2"/>
  <c r="BF136" i="2"/>
  <c r="BE136" i="2"/>
  <c r="BD136" i="2"/>
  <c r="BC136" i="2"/>
  <c r="BB136" i="2"/>
  <c r="BA136" i="2"/>
  <c r="AZ136" i="2"/>
  <c r="AY136" i="2"/>
  <c r="AO136" i="2"/>
  <c r="AN136" i="2"/>
  <c r="AM136" i="2"/>
  <c r="AL136" i="2"/>
  <c r="AK136" i="2"/>
  <c r="AJ136" i="2"/>
  <c r="AI136" i="2"/>
  <c r="AH136" i="2"/>
  <c r="AG136" i="2"/>
  <c r="AF136" i="2"/>
  <c r="AE136" i="2"/>
  <c r="AD136" i="2"/>
  <c r="AC136" i="2"/>
  <c r="AB136" i="2"/>
  <c r="BF135" i="2"/>
  <c r="BE135" i="2"/>
  <c r="BD135" i="2"/>
  <c r="BC135" i="2"/>
  <c r="BB135" i="2"/>
  <c r="BA135" i="2"/>
  <c r="AZ135" i="2"/>
  <c r="AY135" i="2"/>
  <c r="AX135" i="2"/>
  <c r="AW135" i="2"/>
  <c r="AV135" i="2"/>
  <c r="AU135" i="2"/>
  <c r="AT135" i="2"/>
  <c r="AO135" i="2"/>
  <c r="AN135" i="2"/>
  <c r="AM135" i="2"/>
  <c r="AL135" i="2"/>
  <c r="AK135" i="2"/>
  <c r="AJ135" i="2"/>
  <c r="AI135" i="2"/>
  <c r="AH135" i="2"/>
  <c r="AG135" i="2"/>
  <c r="AF135" i="2"/>
  <c r="AE135" i="2"/>
  <c r="AD135" i="2"/>
  <c r="AC135" i="2"/>
  <c r="AB135" i="2"/>
  <c r="BF134" i="2"/>
  <c r="BE134" i="2"/>
  <c r="BD134" i="2"/>
  <c r="BC134" i="2"/>
  <c r="BB134" i="2"/>
  <c r="BA134" i="2"/>
  <c r="AZ134" i="2"/>
  <c r="AY134" i="2"/>
  <c r="AX134" i="2"/>
  <c r="AW134" i="2"/>
  <c r="AV134" i="2"/>
  <c r="AU134" i="2"/>
  <c r="AT134" i="2"/>
  <c r="AO134" i="2"/>
  <c r="AN134" i="2"/>
  <c r="AM134" i="2"/>
  <c r="AL134" i="2"/>
  <c r="AK134" i="2"/>
  <c r="AJ134" i="2"/>
  <c r="AI134" i="2"/>
  <c r="AH134" i="2"/>
  <c r="AG134" i="2"/>
  <c r="AF134" i="2"/>
  <c r="AE134" i="2"/>
  <c r="AD134" i="2"/>
  <c r="AC134" i="2"/>
  <c r="AB134" i="2"/>
  <c r="BF133" i="2"/>
  <c r="BE133" i="2"/>
  <c r="BD133" i="2"/>
  <c r="BC133" i="2"/>
  <c r="BB133" i="2"/>
  <c r="BA133" i="2"/>
  <c r="AZ133" i="2"/>
  <c r="AY133" i="2"/>
  <c r="AO133" i="2"/>
  <c r="AN133" i="2"/>
  <c r="AM133" i="2"/>
  <c r="AL133" i="2"/>
  <c r="AK133" i="2"/>
  <c r="AJ133" i="2"/>
  <c r="AI133" i="2"/>
  <c r="AH133" i="2"/>
  <c r="AG133" i="2"/>
  <c r="AF133" i="2"/>
  <c r="AE133" i="2"/>
  <c r="AD133" i="2"/>
  <c r="AC133" i="2"/>
  <c r="AB133" i="2"/>
  <c r="BF132" i="2"/>
  <c r="BE132" i="2"/>
  <c r="BD132" i="2"/>
  <c r="BC132" i="2"/>
  <c r="BB132" i="2"/>
  <c r="BA132" i="2"/>
  <c r="AZ132" i="2"/>
  <c r="AY132" i="2"/>
  <c r="AX132" i="2"/>
  <c r="AW132" i="2"/>
  <c r="AV132" i="2"/>
  <c r="AU132" i="2"/>
  <c r="AT132" i="2"/>
  <c r="AO132" i="2"/>
  <c r="AN132" i="2"/>
  <c r="AM132" i="2"/>
  <c r="AL132" i="2"/>
  <c r="AK132" i="2"/>
  <c r="AJ132" i="2"/>
  <c r="AI132" i="2"/>
  <c r="AH132" i="2"/>
  <c r="AG132" i="2"/>
  <c r="AF132" i="2"/>
  <c r="AE132" i="2"/>
  <c r="AD132" i="2"/>
  <c r="AC132" i="2"/>
  <c r="AB132" i="2"/>
  <c r="BF131" i="2"/>
  <c r="BE131" i="2"/>
  <c r="BD131" i="2"/>
  <c r="BC131" i="2"/>
  <c r="BB131" i="2"/>
  <c r="BA131" i="2"/>
  <c r="AZ131" i="2"/>
  <c r="AY131" i="2"/>
  <c r="AO131" i="2"/>
  <c r="AN131" i="2"/>
  <c r="AM131" i="2"/>
  <c r="AL131" i="2"/>
  <c r="AK131" i="2"/>
  <c r="AJ131" i="2"/>
  <c r="AI131" i="2"/>
  <c r="AH131" i="2"/>
  <c r="AG131" i="2"/>
  <c r="AF131" i="2"/>
  <c r="AE131" i="2"/>
  <c r="AD131" i="2"/>
  <c r="AC131" i="2"/>
  <c r="AB131" i="2"/>
  <c r="BF130" i="2"/>
  <c r="BE130" i="2"/>
  <c r="BD130" i="2"/>
  <c r="BC130" i="2"/>
  <c r="BB130" i="2"/>
  <c r="BA130" i="2"/>
  <c r="AZ130" i="2"/>
  <c r="AY130" i="2"/>
  <c r="AX130" i="2"/>
  <c r="AW130" i="2"/>
  <c r="AV130" i="2"/>
  <c r="AU130" i="2"/>
  <c r="AT130" i="2"/>
  <c r="AO130" i="2"/>
  <c r="AN130" i="2"/>
  <c r="AM130" i="2"/>
  <c r="AL130" i="2"/>
  <c r="AK130" i="2"/>
  <c r="AJ130" i="2"/>
  <c r="AI130" i="2"/>
  <c r="AH130" i="2"/>
  <c r="AG130" i="2"/>
  <c r="AF130" i="2"/>
  <c r="AE130" i="2"/>
  <c r="AD130" i="2"/>
  <c r="AC130" i="2"/>
  <c r="AB130" i="2"/>
  <c r="BF129" i="2"/>
  <c r="BE129" i="2"/>
  <c r="BD129" i="2"/>
  <c r="BC129" i="2"/>
  <c r="BB129" i="2"/>
  <c r="BA129" i="2"/>
  <c r="AZ129" i="2"/>
  <c r="AY129" i="2"/>
  <c r="AX129" i="2"/>
  <c r="AW129" i="2"/>
  <c r="AV129" i="2"/>
  <c r="AU129" i="2"/>
  <c r="AT129" i="2"/>
  <c r="AO129" i="2"/>
  <c r="AN129" i="2"/>
  <c r="AM129" i="2"/>
  <c r="AL129" i="2"/>
  <c r="AK129" i="2"/>
  <c r="AJ129" i="2"/>
  <c r="AI129" i="2"/>
  <c r="AH129" i="2"/>
  <c r="AG129" i="2"/>
  <c r="AF129" i="2"/>
  <c r="AE129" i="2"/>
  <c r="AD129" i="2"/>
  <c r="AC129" i="2"/>
  <c r="AB129" i="2"/>
  <c r="BF128" i="2"/>
  <c r="BE128" i="2"/>
  <c r="BD128" i="2"/>
  <c r="BC128" i="2"/>
  <c r="BB128" i="2"/>
  <c r="BA128" i="2"/>
  <c r="AZ128" i="2"/>
  <c r="AY128" i="2"/>
  <c r="AO128" i="2"/>
  <c r="AN128" i="2"/>
  <c r="AM128" i="2"/>
  <c r="AL128" i="2"/>
  <c r="AK128" i="2"/>
  <c r="AJ128" i="2"/>
  <c r="AI128" i="2"/>
  <c r="AH128" i="2"/>
  <c r="AG128" i="2"/>
  <c r="AF128" i="2"/>
  <c r="AE128" i="2"/>
  <c r="AD128" i="2"/>
  <c r="AC128" i="2"/>
  <c r="AB128" i="2"/>
  <c r="BF127" i="2"/>
  <c r="BE127" i="2"/>
  <c r="BD127" i="2"/>
  <c r="BC127" i="2"/>
  <c r="BB127" i="2"/>
  <c r="BA127" i="2"/>
  <c r="AZ127" i="2"/>
  <c r="AY127" i="2"/>
  <c r="AX127" i="2"/>
  <c r="AW127" i="2"/>
  <c r="AV127" i="2"/>
  <c r="AU127" i="2"/>
  <c r="AT127" i="2"/>
  <c r="AO127" i="2"/>
  <c r="AN127" i="2"/>
  <c r="AM127" i="2"/>
  <c r="AL127" i="2"/>
  <c r="AK127" i="2"/>
  <c r="AJ127" i="2"/>
  <c r="AI127" i="2"/>
  <c r="AH127" i="2"/>
  <c r="AG127" i="2"/>
  <c r="AF127" i="2"/>
  <c r="AE127" i="2"/>
  <c r="AD127" i="2"/>
  <c r="AC127" i="2"/>
  <c r="AB127" i="2"/>
  <c r="BF126" i="2"/>
  <c r="BE126" i="2"/>
  <c r="BD126" i="2"/>
  <c r="BC126" i="2"/>
  <c r="BB126" i="2"/>
  <c r="BA126" i="2"/>
  <c r="AZ126" i="2"/>
  <c r="AY126" i="2"/>
  <c r="AX126" i="2"/>
  <c r="AW126" i="2"/>
  <c r="AV126" i="2"/>
  <c r="AU126" i="2"/>
  <c r="AT126" i="2"/>
  <c r="AO126" i="2"/>
  <c r="AN126" i="2"/>
  <c r="AM126" i="2"/>
  <c r="AL126" i="2"/>
  <c r="AK126" i="2"/>
  <c r="AJ126" i="2"/>
  <c r="AI126" i="2"/>
  <c r="AH126" i="2"/>
  <c r="AG126" i="2"/>
  <c r="AF126" i="2"/>
  <c r="AE126" i="2"/>
  <c r="AD126" i="2"/>
  <c r="AC126" i="2"/>
  <c r="AB126" i="2"/>
  <c r="AT125" i="2"/>
  <c r="AO125" i="2"/>
  <c r="AN125" i="2"/>
  <c r="AM125" i="2"/>
  <c r="AL125" i="2"/>
  <c r="AK125" i="2"/>
  <c r="AJ125" i="2"/>
  <c r="AI125" i="2"/>
  <c r="AH125" i="2"/>
  <c r="AG125" i="2"/>
  <c r="AF125" i="2"/>
  <c r="AE125" i="2"/>
  <c r="AD125" i="2"/>
  <c r="AC125" i="2"/>
  <c r="AB125" i="2"/>
  <c r="AT124" i="2"/>
  <c r="AO124" i="2"/>
  <c r="AN124" i="2"/>
  <c r="AM124" i="2"/>
  <c r="AL124" i="2"/>
  <c r="AK124" i="2"/>
  <c r="AJ124" i="2"/>
  <c r="AI124" i="2"/>
  <c r="AH124" i="2"/>
  <c r="AG124" i="2"/>
  <c r="AF124" i="2"/>
  <c r="AE124" i="2"/>
  <c r="AD124" i="2"/>
  <c r="AC124" i="2"/>
  <c r="AB124" i="2"/>
  <c r="AT123" i="2"/>
  <c r="AO123" i="2"/>
  <c r="AN123" i="2"/>
  <c r="AM123" i="2"/>
  <c r="AL123" i="2"/>
  <c r="AK123" i="2"/>
  <c r="AJ123" i="2"/>
  <c r="AI123" i="2"/>
  <c r="AH123" i="2"/>
  <c r="AG123" i="2"/>
  <c r="AF123" i="2"/>
  <c r="AE123" i="2"/>
  <c r="AD123" i="2"/>
  <c r="AC123" i="2"/>
  <c r="AB123" i="2"/>
  <c r="AT122" i="2"/>
  <c r="AO122" i="2"/>
  <c r="AN122" i="2"/>
  <c r="AM122" i="2"/>
  <c r="AL122" i="2"/>
  <c r="AK122" i="2"/>
  <c r="AJ122" i="2"/>
  <c r="AI122" i="2"/>
  <c r="AH122" i="2"/>
  <c r="AG122" i="2"/>
  <c r="AF122" i="2"/>
  <c r="AE122" i="2"/>
  <c r="AD122" i="2"/>
  <c r="AC122" i="2"/>
  <c r="AB122" i="2"/>
  <c r="AT121" i="2"/>
  <c r="AO121" i="2"/>
  <c r="AN121" i="2"/>
  <c r="AM121" i="2"/>
  <c r="AL121" i="2"/>
  <c r="AK121" i="2"/>
  <c r="AJ121" i="2"/>
  <c r="AI121" i="2"/>
  <c r="AH121" i="2"/>
  <c r="AG121" i="2"/>
  <c r="AF121" i="2"/>
  <c r="AE121" i="2"/>
  <c r="AD121" i="2"/>
  <c r="AC121" i="2"/>
  <c r="AB121" i="2"/>
  <c r="AT120" i="2"/>
  <c r="AO120" i="2"/>
  <c r="AN120" i="2"/>
  <c r="AM120" i="2"/>
  <c r="AL120" i="2"/>
  <c r="AK120" i="2"/>
  <c r="AJ120" i="2"/>
  <c r="AI120" i="2"/>
  <c r="AH120" i="2"/>
  <c r="AG120" i="2"/>
  <c r="AF120" i="2"/>
  <c r="AE120" i="2"/>
  <c r="AD120" i="2"/>
  <c r="AC120" i="2"/>
  <c r="AB120" i="2"/>
  <c r="AT119" i="2"/>
  <c r="AO119" i="2"/>
  <c r="AN119" i="2"/>
  <c r="AM119" i="2"/>
  <c r="AL119" i="2"/>
  <c r="AK119" i="2"/>
  <c r="AJ119" i="2"/>
  <c r="AI119" i="2"/>
  <c r="AH119" i="2"/>
  <c r="AG119" i="2"/>
  <c r="AF119" i="2"/>
  <c r="AE119" i="2"/>
  <c r="AD119" i="2"/>
  <c r="AC119" i="2"/>
  <c r="AB119" i="2"/>
  <c r="AT118" i="2"/>
  <c r="AO118" i="2"/>
  <c r="AN118" i="2"/>
  <c r="AM118" i="2"/>
  <c r="AL118" i="2"/>
  <c r="AK118" i="2"/>
  <c r="AJ118" i="2"/>
  <c r="AI118" i="2"/>
  <c r="AH118" i="2"/>
  <c r="AG118" i="2"/>
  <c r="AF118" i="2"/>
  <c r="AE118" i="2"/>
  <c r="AD118" i="2"/>
  <c r="AC118" i="2"/>
  <c r="AB118" i="2"/>
  <c r="AT117" i="2"/>
  <c r="AO117" i="2"/>
  <c r="AN117" i="2"/>
  <c r="AM117" i="2"/>
  <c r="AL117" i="2"/>
  <c r="AK117" i="2"/>
  <c r="AJ117" i="2"/>
  <c r="AI117" i="2"/>
  <c r="AH117" i="2"/>
  <c r="AG117" i="2"/>
  <c r="AF117" i="2"/>
  <c r="AE117" i="2"/>
  <c r="AD117" i="2"/>
  <c r="AC117" i="2"/>
  <c r="AB117" i="2"/>
  <c r="AT116" i="2"/>
  <c r="AO116" i="2"/>
  <c r="AN116" i="2"/>
  <c r="AM116" i="2"/>
  <c r="AL116" i="2"/>
  <c r="AK116" i="2"/>
  <c r="AJ116" i="2"/>
  <c r="AI116" i="2"/>
  <c r="AH116" i="2"/>
  <c r="AG116" i="2"/>
  <c r="AF116" i="2"/>
  <c r="AE116" i="2"/>
  <c r="AD116" i="2"/>
  <c r="AC116" i="2"/>
  <c r="AB116" i="2"/>
  <c r="AT115" i="2"/>
  <c r="AO115" i="2"/>
  <c r="AN115" i="2"/>
  <c r="AM115" i="2"/>
  <c r="AL115" i="2"/>
  <c r="AK115" i="2"/>
  <c r="AJ115" i="2"/>
  <c r="AI115" i="2"/>
  <c r="AH115" i="2"/>
  <c r="AG115" i="2"/>
  <c r="AF115" i="2"/>
  <c r="AE115" i="2"/>
  <c r="AD115" i="2"/>
  <c r="AC115" i="2"/>
  <c r="AB115" i="2"/>
  <c r="BF114" i="2"/>
  <c r="BE114" i="2"/>
  <c r="BD114" i="2"/>
  <c r="BC114" i="2"/>
  <c r="BB114" i="2"/>
  <c r="BA114" i="2"/>
  <c r="AZ114" i="2"/>
  <c r="AY114" i="2"/>
  <c r="AX114" i="2"/>
  <c r="AW114" i="2"/>
  <c r="AV114" i="2"/>
  <c r="AU114" i="2"/>
  <c r="AT114" i="2"/>
  <c r="AO114" i="2"/>
  <c r="AN114" i="2"/>
  <c r="AM114" i="2"/>
  <c r="AL114" i="2"/>
  <c r="AK114" i="2"/>
  <c r="AJ114" i="2"/>
  <c r="AI114" i="2"/>
  <c r="AH114" i="2"/>
  <c r="AG114" i="2"/>
  <c r="AF114" i="2"/>
  <c r="AE114" i="2"/>
  <c r="AD114" i="2"/>
  <c r="AC114" i="2"/>
  <c r="AB114" i="2"/>
  <c r="BF113" i="2"/>
  <c r="BE113" i="2"/>
  <c r="BD113" i="2"/>
  <c r="BC113" i="2"/>
  <c r="BB113" i="2"/>
  <c r="BA113" i="2"/>
  <c r="AZ113" i="2"/>
  <c r="AY113" i="2"/>
  <c r="AX113" i="2"/>
  <c r="AW113" i="2"/>
  <c r="AV113" i="2"/>
  <c r="AU113" i="2"/>
  <c r="AT113" i="2"/>
  <c r="AO113" i="2"/>
  <c r="AN113" i="2"/>
  <c r="AM113" i="2"/>
  <c r="AL113" i="2"/>
  <c r="AK113" i="2"/>
  <c r="AJ113" i="2"/>
  <c r="AI113" i="2"/>
  <c r="AH113" i="2"/>
  <c r="AG113" i="2"/>
  <c r="AF113" i="2"/>
  <c r="AE113" i="2"/>
  <c r="AD113" i="2"/>
  <c r="AC113" i="2"/>
  <c r="AB113" i="2"/>
  <c r="BF112" i="2"/>
  <c r="BE112" i="2"/>
  <c r="BD112" i="2"/>
  <c r="BC112" i="2"/>
  <c r="BB112" i="2"/>
  <c r="BA112" i="2"/>
  <c r="AZ112" i="2"/>
  <c r="AY112" i="2"/>
  <c r="AO112" i="2"/>
  <c r="AN112" i="2"/>
  <c r="AM112" i="2"/>
  <c r="AL112" i="2"/>
  <c r="AK112" i="2"/>
  <c r="AJ112" i="2"/>
  <c r="AI112" i="2"/>
  <c r="AH112" i="2"/>
  <c r="AG112" i="2"/>
  <c r="AF112" i="2"/>
  <c r="AE112" i="2"/>
  <c r="AD112" i="2"/>
  <c r="AC112" i="2"/>
  <c r="AB112" i="2"/>
  <c r="BF111" i="2"/>
  <c r="BE111" i="2"/>
  <c r="BD111" i="2"/>
  <c r="BC111" i="2"/>
  <c r="BB111" i="2"/>
  <c r="BA111" i="2"/>
  <c r="AZ111" i="2"/>
  <c r="AY111" i="2"/>
  <c r="AO111" i="2"/>
  <c r="AN111" i="2"/>
  <c r="AM111" i="2"/>
  <c r="AL111" i="2"/>
  <c r="AK111" i="2"/>
  <c r="AJ111" i="2"/>
  <c r="AI111" i="2"/>
  <c r="AH111" i="2"/>
  <c r="AG111" i="2"/>
  <c r="AF111" i="2"/>
  <c r="AE111" i="2"/>
  <c r="AD111" i="2"/>
  <c r="AC111" i="2"/>
  <c r="AB111" i="2"/>
  <c r="BF110" i="2"/>
  <c r="BE110" i="2"/>
  <c r="BD110" i="2"/>
  <c r="BC110" i="2"/>
  <c r="BB110" i="2"/>
  <c r="BA110" i="2"/>
  <c r="AZ110" i="2"/>
  <c r="AY110" i="2"/>
  <c r="AO110" i="2"/>
  <c r="AN110" i="2"/>
  <c r="AM110" i="2"/>
  <c r="AL110" i="2"/>
  <c r="AK110" i="2"/>
  <c r="AJ110" i="2"/>
  <c r="AI110" i="2"/>
  <c r="AH110" i="2"/>
  <c r="AG110" i="2"/>
  <c r="AF110" i="2"/>
  <c r="AE110" i="2"/>
  <c r="AD110" i="2"/>
  <c r="AC110" i="2"/>
  <c r="AB110" i="2"/>
  <c r="BF109" i="2"/>
  <c r="BE109" i="2"/>
  <c r="BD109" i="2"/>
  <c r="BC109" i="2"/>
  <c r="BB109" i="2"/>
  <c r="BA109" i="2"/>
  <c r="AZ109" i="2"/>
  <c r="AY109" i="2"/>
  <c r="AO109" i="2"/>
  <c r="AN109" i="2"/>
  <c r="AM109" i="2"/>
  <c r="AL109" i="2"/>
  <c r="AK109" i="2"/>
  <c r="AJ109" i="2"/>
  <c r="AI109" i="2"/>
  <c r="AH109" i="2"/>
  <c r="AG109" i="2"/>
  <c r="AF109" i="2"/>
  <c r="AE109" i="2"/>
  <c r="AD109" i="2"/>
  <c r="AC109" i="2"/>
  <c r="AB109" i="2"/>
  <c r="BF108" i="2"/>
  <c r="BE108" i="2"/>
  <c r="BD108" i="2"/>
  <c r="BC108" i="2"/>
  <c r="BB108" i="2"/>
  <c r="BA108" i="2"/>
  <c r="AZ108" i="2"/>
  <c r="AY108" i="2"/>
  <c r="AO108" i="2"/>
  <c r="AN108" i="2"/>
  <c r="AM108" i="2"/>
  <c r="AL108" i="2"/>
  <c r="AK108" i="2"/>
  <c r="AJ108" i="2"/>
  <c r="AI108" i="2"/>
  <c r="AH108" i="2"/>
  <c r="AG108" i="2"/>
  <c r="AF108" i="2"/>
  <c r="AE108" i="2"/>
  <c r="AD108" i="2"/>
  <c r="AC108" i="2"/>
  <c r="AB108" i="2"/>
  <c r="BF107" i="2"/>
  <c r="BE107" i="2"/>
  <c r="BD107" i="2"/>
  <c r="BC107" i="2"/>
  <c r="BB107" i="2"/>
  <c r="BA107" i="2"/>
  <c r="AZ107" i="2"/>
  <c r="AY107" i="2"/>
  <c r="AO107" i="2"/>
  <c r="AN107" i="2"/>
  <c r="AM107" i="2"/>
  <c r="AL107" i="2"/>
  <c r="AK107" i="2"/>
  <c r="AJ107" i="2"/>
  <c r="AI107" i="2"/>
  <c r="AH107" i="2"/>
  <c r="AG107" i="2"/>
  <c r="AF107" i="2"/>
  <c r="AE107" i="2"/>
  <c r="AD107" i="2"/>
  <c r="AC107" i="2"/>
  <c r="AB107" i="2"/>
  <c r="BF106" i="2"/>
  <c r="BE106" i="2"/>
  <c r="BD106" i="2"/>
  <c r="BC106" i="2"/>
  <c r="BB106" i="2"/>
  <c r="BA106" i="2"/>
  <c r="AZ106" i="2"/>
  <c r="AY106" i="2"/>
  <c r="AO106" i="2"/>
  <c r="AN106" i="2"/>
  <c r="AM106" i="2"/>
  <c r="AL106" i="2"/>
  <c r="AK106" i="2"/>
  <c r="AJ106" i="2"/>
  <c r="AI106" i="2"/>
  <c r="AH106" i="2"/>
  <c r="AG106" i="2"/>
  <c r="AF106" i="2"/>
  <c r="AE106" i="2"/>
  <c r="AD106" i="2"/>
  <c r="AC106" i="2"/>
  <c r="AB106" i="2"/>
  <c r="BF105" i="2"/>
  <c r="BE105" i="2"/>
  <c r="BD105" i="2"/>
  <c r="BC105" i="2"/>
  <c r="BB105" i="2"/>
  <c r="BA105" i="2"/>
  <c r="AZ105" i="2"/>
  <c r="AY105" i="2"/>
  <c r="AO105" i="2"/>
  <c r="AN105" i="2"/>
  <c r="AM105" i="2"/>
  <c r="AL105" i="2"/>
  <c r="AK105" i="2"/>
  <c r="AJ105" i="2"/>
  <c r="AI105" i="2"/>
  <c r="AH105" i="2"/>
  <c r="AG105" i="2"/>
  <c r="AF105" i="2"/>
  <c r="AE105" i="2"/>
  <c r="AD105" i="2"/>
  <c r="AC105" i="2"/>
  <c r="AB105" i="2"/>
  <c r="BF104" i="2"/>
  <c r="BE104" i="2"/>
  <c r="BD104" i="2"/>
  <c r="BC104" i="2"/>
  <c r="BB104" i="2"/>
  <c r="BA104" i="2"/>
  <c r="AZ104" i="2"/>
  <c r="AY104" i="2"/>
  <c r="AO104" i="2"/>
  <c r="AN104" i="2"/>
  <c r="AM104" i="2"/>
  <c r="AL104" i="2"/>
  <c r="AK104" i="2"/>
  <c r="AJ104" i="2"/>
  <c r="AI104" i="2"/>
  <c r="AH104" i="2"/>
  <c r="AG104" i="2"/>
  <c r="AF104" i="2"/>
  <c r="AE104" i="2"/>
  <c r="AD104" i="2"/>
  <c r="AC104" i="2"/>
  <c r="AB104" i="2"/>
  <c r="BF103" i="2"/>
  <c r="BE103" i="2"/>
  <c r="BD103" i="2"/>
  <c r="BC103" i="2"/>
  <c r="BB103" i="2"/>
  <c r="BA103" i="2"/>
  <c r="AZ103" i="2"/>
  <c r="AY103" i="2"/>
  <c r="AO103" i="2"/>
  <c r="AN103" i="2"/>
  <c r="AM103" i="2"/>
  <c r="AL103" i="2"/>
  <c r="AK103" i="2"/>
  <c r="AJ103" i="2"/>
  <c r="AI103" i="2"/>
  <c r="AH103" i="2"/>
  <c r="AG103" i="2"/>
  <c r="AF103" i="2"/>
  <c r="AE103" i="2"/>
  <c r="AD103" i="2"/>
  <c r="AC103" i="2"/>
  <c r="AB103" i="2"/>
  <c r="BF102" i="2"/>
  <c r="BE102" i="2"/>
  <c r="BD102" i="2"/>
  <c r="BC102" i="2"/>
  <c r="BB102" i="2"/>
  <c r="BA102" i="2"/>
  <c r="AZ102" i="2"/>
  <c r="AY102" i="2"/>
  <c r="AO102" i="2"/>
  <c r="AN102" i="2"/>
  <c r="AM102" i="2"/>
  <c r="AL102" i="2"/>
  <c r="AK102" i="2"/>
  <c r="AJ102" i="2"/>
  <c r="AI102" i="2"/>
  <c r="AH102" i="2"/>
  <c r="AG102" i="2"/>
  <c r="AF102" i="2"/>
  <c r="AE102" i="2"/>
  <c r="AD102" i="2"/>
  <c r="AC102" i="2"/>
  <c r="AB102" i="2"/>
  <c r="BF101" i="2"/>
  <c r="BE101" i="2"/>
  <c r="BD101" i="2"/>
  <c r="BC101" i="2"/>
  <c r="BB101" i="2"/>
  <c r="BA101" i="2"/>
  <c r="AZ101" i="2"/>
  <c r="AY101" i="2"/>
  <c r="AO101" i="2"/>
  <c r="AN101" i="2"/>
  <c r="AM101" i="2"/>
  <c r="AL101" i="2"/>
  <c r="AK101" i="2"/>
  <c r="AJ101" i="2"/>
  <c r="AI101" i="2"/>
  <c r="AH101" i="2"/>
  <c r="AG101" i="2"/>
  <c r="AF101" i="2"/>
  <c r="AE101" i="2"/>
  <c r="AD101" i="2"/>
  <c r="AC101" i="2"/>
  <c r="AB101" i="2"/>
  <c r="AC100" i="2"/>
  <c r="AD100" i="2" s="1"/>
  <c r="AE100" i="2" s="1"/>
  <c r="AF100" i="2" s="1"/>
  <c r="AG100" i="2" s="1"/>
  <c r="C100" i="2"/>
  <c r="C256" i="2" s="1"/>
  <c r="AT256" i="2" s="1"/>
  <c r="AO99" i="2"/>
  <c r="AN99" i="2"/>
  <c r="AM99" i="2"/>
  <c r="AL99" i="2"/>
  <c r="AK99" i="2"/>
  <c r="AJ99" i="2"/>
  <c r="AI99" i="2"/>
  <c r="AH99" i="2"/>
  <c r="AG99" i="2"/>
  <c r="AF99" i="2"/>
  <c r="AE99" i="2"/>
  <c r="AD99" i="2"/>
  <c r="O99" i="2"/>
  <c r="N99" i="2"/>
  <c r="M99" i="2"/>
  <c r="L99" i="2"/>
  <c r="K99" i="2"/>
  <c r="J99" i="2"/>
  <c r="I99" i="2"/>
  <c r="H99" i="2"/>
  <c r="G99" i="2"/>
  <c r="F99" i="2"/>
  <c r="E99" i="2"/>
  <c r="D99" i="2"/>
  <c r="AO98" i="2"/>
  <c r="AN98" i="2"/>
  <c r="AM98" i="2"/>
  <c r="AL98" i="2"/>
  <c r="AK98" i="2"/>
  <c r="AJ98" i="2"/>
  <c r="AI98" i="2"/>
  <c r="AH98" i="2"/>
  <c r="AG98" i="2"/>
  <c r="AF98" i="2"/>
  <c r="AE98" i="2"/>
  <c r="AD98" i="2"/>
  <c r="O98" i="2"/>
  <c r="N98" i="2"/>
  <c r="M98" i="2"/>
  <c r="L98" i="2"/>
  <c r="K98" i="2"/>
  <c r="J98" i="2"/>
  <c r="I98" i="2"/>
  <c r="H98" i="2"/>
  <c r="G98" i="2"/>
  <c r="F98" i="2"/>
  <c r="E98" i="2"/>
  <c r="D98" i="2"/>
  <c r="EQ96" i="6"/>
  <c r="EK96" i="6"/>
  <c r="EE96" i="6"/>
  <c r="DY96" i="6"/>
  <c r="DS96" i="6"/>
  <c r="DM96" i="6"/>
  <c r="DG96" i="6"/>
  <c r="DA96" i="6"/>
  <c r="CU96" i="6"/>
  <c r="CO96" i="6"/>
  <c r="CI96" i="6"/>
  <c r="CC96" i="6"/>
  <c r="BW96" i="6"/>
  <c r="BQ96" i="6"/>
  <c r="BK96" i="6"/>
  <c r="BE96" i="6"/>
  <c r="AY96" i="6"/>
  <c r="AS96" i="6"/>
  <c r="AM96" i="6"/>
  <c r="AG96" i="6"/>
  <c r="AA96" i="6"/>
  <c r="U96" i="6"/>
  <c r="O96" i="6"/>
  <c r="EQ95" i="6"/>
  <c r="EK95" i="6"/>
  <c r="EE95" i="6"/>
  <c r="DY95" i="6"/>
  <c r="DS95" i="6"/>
  <c r="DM95" i="6"/>
  <c r="DG95" i="6"/>
  <c r="DA95" i="6"/>
  <c r="CU95" i="6"/>
  <c r="CO95" i="6"/>
  <c r="CI95" i="6"/>
  <c r="CC95" i="6"/>
  <c r="BW95" i="6"/>
  <c r="BQ95" i="6"/>
  <c r="BK95" i="6"/>
  <c r="BE95" i="6"/>
  <c r="AY95" i="6"/>
  <c r="AS95" i="6"/>
  <c r="AM95" i="6"/>
  <c r="AG95" i="6"/>
  <c r="AA95" i="6"/>
  <c r="U95" i="6"/>
  <c r="O95" i="6"/>
  <c r="EQ93" i="6"/>
  <c r="EO93" i="6"/>
  <c r="EN93" i="6"/>
  <c r="EM93" i="6"/>
  <c r="EK93" i="6"/>
  <c r="EI93" i="6"/>
  <c r="EH93" i="6"/>
  <c r="EG93" i="6"/>
  <c r="EE93" i="6"/>
  <c r="EC93" i="6"/>
  <c r="EB93" i="6"/>
  <c r="EA93" i="6"/>
  <c r="DY93" i="6"/>
  <c r="DW93" i="6"/>
  <c r="DV93" i="6"/>
  <c r="DU93" i="6"/>
  <c r="DS93" i="6"/>
  <c r="DQ93" i="6"/>
  <c r="DP93" i="6"/>
  <c r="DO93" i="6"/>
  <c r="DM93" i="6"/>
  <c r="DK93" i="6"/>
  <c r="DJ93" i="6"/>
  <c r="DI93" i="6"/>
  <c r="DG93" i="6"/>
  <c r="DE93" i="6"/>
  <c r="DD93" i="6"/>
  <c r="DC93" i="6"/>
  <c r="DA93" i="6"/>
  <c r="CY93" i="6"/>
  <c r="CX93" i="6"/>
  <c r="CW93" i="6"/>
  <c r="CU93" i="6"/>
  <c r="CS93" i="6"/>
  <c r="CR93" i="6"/>
  <c r="CQ93" i="6"/>
  <c r="CO93" i="6"/>
  <c r="CM93" i="6"/>
  <c r="CL93" i="6"/>
  <c r="CK93" i="6"/>
  <c r="CI93" i="6"/>
  <c r="CG93" i="6"/>
  <c r="CF93" i="6"/>
  <c r="CE93" i="6"/>
  <c r="CC93" i="6"/>
  <c r="CA93" i="6"/>
  <c r="BZ93" i="6"/>
  <c r="BY93" i="6"/>
  <c r="BW93" i="6"/>
  <c r="BU93" i="6"/>
  <c r="BT93" i="6"/>
  <c r="BS93" i="6"/>
  <c r="BQ93" i="6"/>
  <c r="BO93" i="6"/>
  <c r="BN93" i="6"/>
  <c r="BM93" i="6"/>
  <c r="BK93" i="6"/>
  <c r="BI93" i="6"/>
  <c r="BH93" i="6"/>
  <c r="BG93" i="6"/>
  <c r="BE93" i="6"/>
  <c r="BC93" i="6"/>
  <c r="BB93" i="6"/>
  <c r="BA93" i="6"/>
  <c r="AY93" i="6"/>
  <c r="AW93" i="6"/>
  <c r="AV93" i="6"/>
  <c r="AU93" i="6"/>
  <c r="AS93" i="6"/>
  <c r="AQ93" i="6"/>
  <c r="AP93" i="6"/>
  <c r="AO93" i="6"/>
  <c r="AM93" i="6"/>
  <c r="AK93" i="6"/>
  <c r="AJ93" i="6"/>
  <c r="AI93" i="6"/>
  <c r="AG93" i="6"/>
  <c r="AE93" i="6"/>
  <c r="AD93" i="6"/>
  <c r="AC93" i="6"/>
  <c r="AA93" i="6"/>
  <c r="Y93" i="6"/>
  <c r="X93" i="6"/>
  <c r="W93" i="6"/>
  <c r="U93" i="6"/>
  <c r="S93" i="6"/>
  <c r="R93" i="6"/>
  <c r="Q93" i="6"/>
  <c r="O93" i="6"/>
  <c r="M93" i="6"/>
  <c r="L93" i="6"/>
  <c r="K93" i="6"/>
  <c r="EQ92" i="6"/>
  <c r="EO92" i="6"/>
  <c r="EN92" i="6"/>
  <c r="EM92" i="6"/>
  <c r="EK92" i="6"/>
  <c r="EI92" i="6"/>
  <c r="EH92" i="6"/>
  <c r="EG92" i="6"/>
  <c r="EE92" i="6"/>
  <c r="EC92" i="6"/>
  <c r="EB92" i="6"/>
  <c r="EA92" i="6"/>
  <c r="DY92" i="6"/>
  <c r="DW92" i="6"/>
  <c r="DV92" i="6"/>
  <c r="DU92" i="6"/>
  <c r="DS92" i="6"/>
  <c r="DQ92" i="6"/>
  <c r="DP92" i="6"/>
  <c r="DO92" i="6"/>
  <c r="DM92" i="6"/>
  <c r="DK92" i="6"/>
  <c r="DJ92" i="6"/>
  <c r="DI92" i="6"/>
  <c r="DG92" i="6"/>
  <c r="DE92" i="6"/>
  <c r="DD92" i="6"/>
  <c r="DC92" i="6"/>
  <c r="DA92" i="6"/>
  <c r="CY92" i="6"/>
  <c r="CX92" i="6"/>
  <c r="CW92" i="6"/>
  <c r="CU92" i="6"/>
  <c r="CS92" i="6"/>
  <c r="CR92" i="6"/>
  <c r="CQ92" i="6"/>
  <c r="CO92" i="6"/>
  <c r="CM92" i="6"/>
  <c r="CL92" i="6"/>
  <c r="CK92" i="6"/>
  <c r="CI92" i="6"/>
  <c r="CG92" i="6"/>
  <c r="CF92" i="6"/>
  <c r="CE92" i="6"/>
  <c r="CC92" i="6"/>
  <c r="CA92" i="6"/>
  <c r="BZ92" i="6"/>
  <c r="BY92" i="6"/>
  <c r="BW92" i="6"/>
  <c r="BU92" i="6"/>
  <c r="BT92" i="6"/>
  <c r="BS92" i="6"/>
  <c r="BQ92" i="6"/>
  <c r="BO92" i="6"/>
  <c r="BN92" i="6"/>
  <c r="BM92" i="6"/>
  <c r="BK92" i="6"/>
  <c r="BI92" i="6"/>
  <c r="BH92" i="6"/>
  <c r="BG92" i="6"/>
  <c r="BE92" i="6"/>
  <c r="BC92" i="6"/>
  <c r="BB92" i="6"/>
  <c r="BA92" i="6"/>
  <c r="AY92" i="6"/>
  <c r="AW92" i="6"/>
  <c r="AV92" i="6"/>
  <c r="AU92" i="6"/>
  <c r="AS92" i="6"/>
  <c r="AQ92" i="6"/>
  <c r="AP92" i="6"/>
  <c r="AO92" i="6"/>
  <c r="AM92" i="6"/>
  <c r="AK92" i="6"/>
  <c r="AJ92" i="6"/>
  <c r="AI92" i="6"/>
  <c r="AG92" i="6"/>
  <c r="AE92" i="6"/>
  <c r="AD92" i="6"/>
  <c r="AC92" i="6"/>
  <c r="AA92" i="6"/>
  <c r="Y92" i="6"/>
  <c r="X92" i="6"/>
  <c r="W92" i="6"/>
  <c r="U92" i="6"/>
  <c r="S92" i="6"/>
  <c r="R92" i="6"/>
  <c r="Q92" i="6"/>
  <c r="O92" i="6"/>
  <c r="M92" i="6"/>
  <c r="L92" i="6"/>
  <c r="K92" i="6"/>
  <c r="EQ90" i="6"/>
  <c r="EO90" i="6"/>
  <c r="EN90" i="6"/>
  <c r="EM90" i="6"/>
  <c r="EK90" i="6"/>
  <c r="EI90" i="6"/>
  <c r="EH90" i="6"/>
  <c r="EG90" i="6"/>
  <c r="EE90" i="6"/>
  <c r="EC90" i="6"/>
  <c r="EB90" i="6"/>
  <c r="EA90" i="6"/>
  <c r="DY90" i="6"/>
  <c r="DW90" i="6"/>
  <c r="DV90" i="6"/>
  <c r="DU90" i="6"/>
  <c r="DS90" i="6"/>
  <c r="DQ90" i="6"/>
  <c r="DP90" i="6"/>
  <c r="DO90" i="6"/>
  <c r="DM90" i="6"/>
  <c r="DK90" i="6"/>
  <c r="DJ90" i="6"/>
  <c r="DI90" i="6"/>
  <c r="DG90" i="6"/>
  <c r="DE90" i="6"/>
  <c r="DD90" i="6"/>
  <c r="DC90" i="6"/>
  <c r="DA90" i="6"/>
  <c r="CY90" i="6"/>
  <c r="CX90" i="6"/>
  <c r="CW90" i="6"/>
  <c r="CU90" i="6"/>
  <c r="CS90" i="6"/>
  <c r="CR90" i="6"/>
  <c r="CQ90" i="6"/>
  <c r="CO90" i="6"/>
  <c r="CM90" i="6"/>
  <c r="CL90" i="6"/>
  <c r="CK90" i="6"/>
  <c r="CI90" i="6"/>
  <c r="CG90" i="6"/>
  <c r="CF90" i="6"/>
  <c r="CE90" i="6"/>
  <c r="CC90" i="6"/>
  <c r="CA90" i="6"/>
  <c r="BZ90" i="6"/>
  <c r="BY90" i="6"/>
  <c r="BW90" i="6"/>
  <c r="BU90" i="6"/>
  <c r="BT90" i="6"/>
  <c r="BS90" i="6"/>
  <c r="BQ90" i="6"/>
  <c r="BO90" i="6"/>
  <c r="BN90" i="6"/>
  <c r="BM90" i="6"/>
  <c r="BK90" i="6"/>
  <c r="BI90" i="6"/>
  <c r="BH90" i="6"/>
  <c r="BG90" i="6"/>
  <c r="BE90" i="6"/>
  <c r="BC90" i="6"/>
  <c r="BB90" i="6"/>
  <c r="BA90" i="6"/>
  <c r="AY90" i="6"/>
  <c r="AW90" i="6"/>
  <c r="AV90" i="6"/>
  <c r="AU90" i="6"/>
  <c r="AS90" i="6"/>
  <c r="AQ90" i="6"/>
  <c r="AP90" i="6"/>
  <c r="AO90" i="6"/>
  <c r="AM90" i="6"/>
  <c r="AK90" i="6"/>
  <c r="AJ90" i="6"/>
  <c r="AI90" i="6"/>
  <c r="AG90" i="6"/>
  <c r="AE90" i="6"/>
  <c r="AD90" i="6"/>
  <c r="AC90" i="6"/>
  <c r="AA90" i="6"/>
  <c r="Y90" i="6"/>
  <c r="X90" i="6"/>
  <c r="W90" i="6"/>
  <c r="U90" i="6"/>
  <c r="S90" i="6"/>
  <c r="R90" i="6"/>
  <c r="Q90" i="6"/>
  <c r="O90" i="6"/>
  <c r="M90" i="6"/>
  <c r="L90" i="6"/>
  <c r="K90" i="6"/>
  <c r="EQ88" i="6"/>
  <c r="EK88" i="6"/>
  <c r="EE88" i="6"/>
  <c r="DY88" i="6"/>
  <c r="DS88" i="6"/>
  <c r="DM88" i="6"/>
  <c r="DG88" i="6"/>
  <c r="DA88" i="6"/>
  <c r="CU88" i="6"/>
  <c r="CO88" i="6"/>
  <c r="CI88" i="6"/>
  <c r="CC88" i="6"/>
  <c r="BW88" i="6"/>
  <c r="BQ88" i="6"/>
  <c r="BK88" i="6"/>
  <c r="BE88" i="6"/>
  <c r="AY88" i="6"/>
  <c r="AS88" i="6"/>
  <c r="AM88" i="6"/>
  <c r="AG88" i="6"/>
  <c r="AA88" i="6"/>
  <c r="U88" i="6"/>
  <c r="O88" i="6"/>
  <c r="EQ87" i="6"/>
  <c r="EO87" i="6"/>
  <c r="EN87" i="6"/>
  <c r="EM87" i="6"/>
  <c r="EK87" i="6"/>
  <c r="EI87" i="6"/>
  <c r="EH87" i="6"/>
  <c r="EG87" i="6"/>
  <c r="EE87" i="6"/>
  <c r="EC87" i="6"/>
  <c r="EB87" i="6"/>
  <c r="EA87" i="6"/>
  <c r="DY87" i="6"/>
  <c r="DW87" i="6"/>
  <c r="DV87" i="6"/>
  <c r="DU87" i="6"/>
  <c r="DS87" i="6"/>
  <c r="DQ87" i="6"/>
  <c r="DP87" i="6"/>
  <c r="DO87" i="6"/>
  <c r="DM87" i="6"/>
  <c r="DK87" i="6"/>
  <c r="DJ87" i="6"/>
  <c r="DI87" i="6"/>
  <c r="DG87" i="6"/>
  <c r="DE87" i="6"/>
  <c r="DD87" i="6"/>
  <c r="DC87" i="6"/>
  <c r="DA87" i="6"/>
  <c r="CY87" i="6"/>
  <c r="CX87" i="6"/>
  <c r="CW87" i="6"/>
  <c r="CU87" i="6"/>
  <c r="CS87" i="6"/>
  <c r="CR87" i="6"/>
  <c r="CQ87" i="6"/>
  <c r="CO87" i="6"/>
  <c r="CM87" i="6"/>
  <c r="CL87" i="6"/>
  <c r="CK87" i="6"/>
  <c r="CI87" i="6"/>
  <c r="CG87" i="6"/>
  <c r="CF87" i="6"/>
  <c r="CE87" i="6"/>
  <c r="CC87" i="6"/>
  <c r="CA87" i="6"/>
  <c r="BZ87" i="6"/>
  <c r="BY87" i="6"/>
  <c r="BW87" i="6"/>
  <c r="BU87" i="6"/>
  <c r="BT87" i="6"/>
  <c r="BS87" i="6"/>
  <c r="BQ87" i="6"/>
  <c r="BO87" i="6"/>
  <c r="BN87" i="6"/>
  <c r="BM87" i="6"/>
  <c r="BK87" i="6"/>
  <c r="BI87" i="6"/>
  <c r="BH87" i="6"/>
  <c r="BG87" i="6"/>
  <c r="BE87" i="6"/>
  <c r="BC87" i="6"/>
  <c r="BB87" i="6"/>
  <c r="BA87" i="6"/>
  <c r="AY87" i="6"/>
  <c r="AW87" i="6"/>
  <c r="AV87" i="6"/>
  <c r="AU87" i="6"/>
  <c r="AS87" i="6"/>
  <c r="AQ87" i="6"/>
  <c r="AP87" i="6"/>
  <c r="AO87" i="6"/>
  <c r="AM87" i="6"/>
  <c r="AK87" i="6"/>
  <c r="AJ87" i="6"/>
  <c r="AI87" i="6"/>
  <c r="AG87" i="6"/>
  <c r="AE87" i="6"/>
  <c r="AD87" i="6"/>
  <c r="AC87" i="6"/>
  <c r="AA87" i="6"/>
  <c r="Y87" i="6"/>
  <c r="X87" i="6"/>
  <c r="W87" i="6"/>
  <c r="U87" i="6"/>
  <c r="S87" i="6"/>
  <c r="R87" i="6"/>
  <c r="Q87" i="6"/>
  <c r="O87" i="6"/>
  <c r="M87" i="6"/>
  <c r="L87" i="6"/>
  <c r="K87" i="6"/>
  <c r="EQ86" i="6"/>
  <c r="EO86" i="6"/>
  <c r="EN86" i="6"/>
  <c r="EM86" i="6"/>
  <c r="EK86" i="6"/>
  <c r="EI86" i="6"/>
  <c r="EH86" i="6"/>
  <c r="EG86" i="6"/>
  <c r="EE86" i="6"/>
  <c r="EC86" i="6"/>
  <c r="EB86" i="6"/>
  <c r="EA86" i="6"/>
  <c r="DY86" i="6"/>
  <c r="DW86" i="6"/>
  <c r="DV86" i="6"/>
  <c r="DU86" i="6"/>
  <c r="DS86" i="6"/>
  <c r="DQ86" i="6"/>
  <c r="DP86" i="6"/>
  <c r="DO86" i="6"/>
  <c r="DM86" i="6"/>
  <c r="DK86" i="6"/>
  <c r="DJ86" i="6"/>
  <c r="DI86" i="6"/>
  <c r="DG86" i="6"/>
  <c r="DE86" i="6"/>
  <c r="DD86" i="6"/>
  <c r="DC86" i="6"/>
  <c r="DA86" i="6"/>
  <c r="CY86" i="6"/>
  <c r="CX86" i="6"/>
  <c r="CW86" i="6"/>
  <c r="CU86" i="6"/>
  <c r="CS86" i="6"/>
  <c r="CR86" i="6"/>
  <c r="CQ86" i="6"/>
  <c r="CO86" i="6"/>
  <c r="CM86" i="6"/>
  <c r="CL86" i="6"/>
  <c r="CK86" i="6"/>
  <c r="CI86" i="6"/>
  <c r="CG86" i="6"/>
  <c r="CF86" i="6"/>
  <c r="CE86" i="6"/>
  <c r="CC86" i="6"/>
  <c r="CA86" i="6"/>
  <c r="BZ86" i="6"/>
  <c r="BY86" i="6"/>
  <c r="BW86" i="6"/>
  <c r="BU86" i="6"/>
  <c r="BT86" i="6"/>
  <c r="BS86" i="6"/>
  <c r="BQ86" i="6"/>
  <c r="BO86" i="6"/>
  <c r="BN86" i="6"/>
  <c r="BM86" i="6"/>
  <c r="BK86" i="6"/>
  <c r="BI86" i="6"/>
  <c r="BH86" i="6"/>
  <c r="BG86" i="6"/>
  <c r="BE86" i="6"/>
  <c r="BC86" i="6"/>
  <c r="BB86" i="6"/>
  <c r="BA86" i="6"/>
  <c r="AY86" i="6"/>
  <c r="AW86" i="6"/>
  <c r="AV86" i="6"/>
  <c r="AU86" i="6"/>
  <c r="AS86" i="6"/>
  <c r="AQ86" i="6"/>
  <c r="AP86" i="6"/>
  <c r="AO86" i="6"/>
  <c r="AM86" i="6"/>
  <c r="AK86" i="6"/>
  <c r="AJ86" i="6"/>
  <c r="AI86" i="6"/>
  <c r="AG86" i="6"/>
  <c r="AE86" i="6"/>
  <c r="AD86" i="6"/>
  <c r="AC86" i="6"/>
  <c r="AA86" i="6"/>
  <c r="Y86" i="6"/>
  <c r="X86" i="6"/>
  <c r="W86" i="6"/>
  <c r="U86" i="6"/>
  <c r="S86" i="6"/>
  <c r="R86" i="6"/>
  <c r="Q86" i="6"/>
  <c r="O86" i="6"/>
  <c r="M86" i="6"/>
  <c r="L86" i="6"/>
  <c r="K86" i="6"/>
  <c r="EQ85" i="6"/>
  <c r="EO85" i="6"/>
  <c r="EK85" i="6"/>
  <c r="EI85" i="6"/>
  <c r="EE85" i="6"/>
  <c r="EC85" i="6"/>
  <c r="DY85" i="6"/>
  <c r="DW85" i="6"/>
  <c r="DS85" i="6"/>
  <c r="DQ85" i="6"/>
  <c r="DM85" i="6"/>
  <c r="DK85" i="6"/>
  <c r="DG85" i="6"/>
  <c r="DE85" i="6"/>
  <c r="DA85" i="6"/>
  <c r="CY85" i="6"/>
  <c r="CU85" i="6"/>
  <c r="CS85" i="6"/>
  <c r="CO85" i="6"/>
  <c r="CM85" i="6"/>
  <c r="CI85" i="6"/>
  <c r="CG85" i="6"/>
  <c r="CC85" i="6"/>
  <c r="CA85" i="6"/>
  <c r="BW85" i="6"/>
  <c r="BU85" i="6"/>
  <c r="BQ85" i="6"/>
  <c r="BO85" i="6"/>
  <c r="BK85" i="6"/>
  <c r="BI85" i="6"/>
  <c r="BE85" i="6"/>
  <c r="BC85" i="6"/>
  <c r="AY85" i="6"/>
  <c r="AW85" i="6"/>
  <c r="AS85" i="6"/>
  <c r="AQ85" i="6"/>
  <c r="AM85" i="6"/>
  <c r="AK85" i="6"/>
  <c r="AG85" i="6"/>
  <c r="AE85" i="6"/>
  <c r="AA85" i="6"/>
  <c r="Y85" i="6"/>
  <c r="U85" i="6"/>
  <c r="S85" i="6"/>
  <c r="O85" i="6"/>
  <c r="M85" i="6"/>
  <c r="EQ83" i="6"/>
  <c r="EK83" i="6"/>
  <c r="EE83" i="6"/>
  <c r="DY83" i="6"/>
  <c r="DS83" i="6"/>
  <c r="DM83" i="6"/>
  <c r="DG83" i="6"/>
  <c r="DA83" i="6"/>
  <c r="CU83" i="6"/>
  <c r="CO83" i="6"/>
  <c r="CI83" i="6"/>
  <c r="CC83" i="6"/>
  <c r="BW83" i="6"/>
  <c r="BQ83" i="6"/>
  <c r="BK83" i="6"/>
  <c r="BE83" i="6"/>
  <c r="AY83" i="6"/>
  <c r="AS83" i="6"/>
  <c r="AM83" i="6"/>
  <c r="AG83" i="6"/>
  <c r="AA83" i="6"/>
  <c r="U83" i="6"/>
  <c r="O83" i="6"/>
  <c r="EQ82" i="6"/>
  <c r="EK82" i="6"/>
  <c r="EE82" i="6"/>
  <c r="DY82" i="6"/>
  <c r="DS82" i="6"/>
  <c r="DM82" i="6"/>
  <c r="DG82" i="6"/>
  <c r="DA82" i="6"/>
  <c r="CU82" i="6"/>
  <c r="CO82" i="6"/>
  <c r="CI82" i="6"/>
  <c r="CC82" i="6"/>
  <c r="BW82" i="6"/>
  <c r="BQ82" i="6"/>
  <c r="BK82" i="6"/>
  <c r="BE82" i="6"/>
  <c r="AY82" i="6"/>
  <c r="AS82" i="6"/>
  <c r="AM82" i="6"/>
  <c r="AG82" i="6"/>
  <c r="AA82" i="6"/>
  <c r="U82" i="6"/>
  <c r="O82" i="6"/>
  <c r="EQ80" i="6"/>
  <c r="EP80" i="6"/>
  <c r="EO80" i="6"/>
  <c r="EK80" i="6"/>
  <c r="EJ80" i="6"/>
  <c r="EI80" i="6"/>
  <c r="EE80" i="6"/>
  <c r="ED80" i="6"/>
  <c r="EC80" i="6"/>
  <c r="DY80" i="6"/>
  <c r="DX80" i="6"/>
  <c r="DW80" i="6"/>
  <c r="DS80" i="6"/>
  <c r="DR80" i="6"/>
  <c r="DQ80" i="6"/>
  <c r="DM80" i="6"/>
  <c r="DL80" i="6"/>
  <c r="DK80" i="6"/>
  <c r="DG80" i="6"/>
  <c r="DF80" i="6"/>
  <c r="DE80" i="6"/>
  <c r="DA80" i="6"/>
  <c r="CZ80" i="6"/>
  <c r="CY80" i="6"/>
  <c r="CU80" i="6"/>
  <c r="CT80" i="6"/>
  <c r="CS80" i="6"/>
  <c r="CO80" i="6"/>
  <c r="CN80" i="6"/>
  <c r="CM80" i="6"/>
  <c r="CI80" i="6"/>
  <c r="CH80" i="6"/>
  <c r="CG80" i="6"/>
  <c r="CC80" i="6"/>
  <c r="CB80" i="6"/>
  <c r="CA80" i="6"/>
  <c r="BW80" i="6"/>
  <c r="BV80" i="6"/>
  <c r="BU80" i="6"/>
  <c r="BQ80" i="6"/>
  <c r="BP80" i="6"/>
  <c r="BO80" i="6"/>
  <c r="BK80" i="6"/>
  <c r="BJ80" i="6"/>
  <c r="BI80" i="6"/>
  <c r="BE80" i="6"/>
  <c r="BD80" i="6"/>
  <c r="BC80" i="6"/>
  <c r="AY80" i="6"/>
  <c r="AX80" i="6"/>
  <c r="AW80" i="6"/>
  <c r="AS80" i="6"/>
  <c r="AR80" i="6"/>
  <c r="AQ80" i="6"/>
  <c r="AM80" i="6"/>
  <c r="AL80" i="6"/>
  <c r="AK80" i="6"/>
  <c r="AG80" i="6"/>
  <c r="AF80" i="6"/>
  <c r="AE80" i="6"/>
  <c r="AA80" i="6"/>
  <c r="Z80" i="6"/>
  <c r="Y80" i="6"/>
  <c r="U80" i="6"/>
  <c r="T80" i="6"/>
  <c r="S80" i="6"/>
  <c r="O80" i="6"/>
  <c r="N80" i="6"/>
  <c r="M80" i="6"/>
  <c r="EQ78" i="6"/>
  <c r="EK78" i="6"/>
  <c r="EE78" i="6"/>
  <c r="DY78" i="6"/>
  <c r="DS78" i="6"/>
  <c r="DM78" i="6"/>
  <c r="DG78" i="6"/>
  <c r="DA78" i="6"/>
  <c r="CU78" i="6"/>
  <c r="CO78" i="6"/>
  <c r="CI78" i="6"/>
  <c r="CC78" i="6"/>
  <c r="BW78" i="6"/>
  <c r="BQ78" i="6"/>
  <c r="BK78" i="6"/>
  <c r="BE78" i="6"/>
  <c r="AY78" i="6"/>
  <c r="AS78" i="6"/>
  <c r="AM78" i="6"/>
  <c r="AG78" i="6"/>
  <c r="AA78" i="6"/>
  <c r="U78" i="6"/>
  <c r="O78" i="6"/>
  <c r="EQ76" i="6"/>
  <c r="EP76" i="6"/>
  <c r="EO76" i="6"/>
  <c r="EK76" i="6"/>
  <c r="EJ76" i="6"/>
  <c r="EI76" i="6"/>
  <c r="EE76" i="6"/>
  <c r="ED76" i="6"/>
  <c r="EC76" i="6"/>
  <c r="DY76" i="6"/>
  <c r="DX76" i="6"/>
  <c r="DW76" i="6"/>
  <c r="DS76" i="6"/>
  <c r="DR76" i="6"/>
  <c r="DQ76" i="6"/>
  <c r="DM76" i="6"/>
  <c r="DL76" i="6"/>
  <c r="DK76" i="6"/>
  <c r="DG76" i="6"/>
  <c r="DF76" i="6"/>
  <c r="DE76" i="6"/>
  <c r="DA76" i="6"/>
  <c r="CZ76" i="6"/>
  <c r="CY76" i="6"/>
  <c r="CU76" i="6"/>
  <c r="CT76" i="6"/>
  <c r="CS76" i="6"/>
  <c r="CO76" i="6"/>
  <c r="CN76" i="6"/>
  <c r="CM76" i="6"/>
  <c r="CI76" i="6"/>
  <c r="CH76" i="6"/>
  <c r="CG76" i="6"/>
  <c r="CC76" i="6"/>
  <c r="CB76" i="6"/>
  <c r="CA76" i="6"/>
  <c r="BW76" i="6"/>
  <c r="BV76" i="6"/>
  <c r="BU76" i="6"/>
  <c r="BQ76" i="6"/>
  <c r="BP76" i="6"/>
  <c r="BO76" i="6"/>
  <c r="BK76" i="6"/>
  <c r="BJ76" i="6"/>
  <c r="BI76" i="6"/>
  <c r="BE76" i="6"/>
  <c r="BD76" i="6"/>
  <c r="BC76" i="6"/>
  <c r="AY76" i="6"/>
  <c r="AX76" i="6"/>
  <c r="AW76" i="6"/>
  <c r="AS76" i="6"/>
  <c r="AR76" i="6"/>
  <c r="AQ76" i="6"/>
  <c r="AM76" i="6"/>
  <c r="AL76" i="6"/>
  <c r="AK76" i="6"/>
  <c r="AG76" i="6"/>
  <c r="AF76" i="6"/>
  <c r="AE76" i="6"/>
  <c r="AA76" i="6"/>
  <c r="Z76" i="6"/>
  <c r="Y76" i="6"/>
  <c r="U76" i="6"/>
  <c r="T76" i="6"/>
  <c r="S76" i="6"/>
  <c r="O76" i="6"/>
  <c r="N76" i="6"/>
  <c r="M76" i="6"/>
  <c r="EQ75" i="6"/>
  <c r="EO75" i="6"/>
  <c r="EN75" i="6"/>
  <c r="EM75" i="6"/>
  <c r="EK75" i="6"/>
  <c r="EI75" i="6"/>
  <c r="EH75" i="6"/>
  <c r="EG75" i="6"/>
  <c r="EE75" i="6"/>
  <c r="EC75" i="6"/>
  <c r="EB75" i="6"/>
  <c r="EA75" i="6"/>
  <c r="DY75" i="6"/>
  <c r="DW75" i="6"/>
  <c r="DV75" i="6"/>
  <c r="DU75" i="6"/>
  <c r="DS75" i="6"/>
  <c r="DQ75" i="6"/>
  <c r="DP75" i="6"/>
  <c r="DO75" i="6"/>
  <c r="DM75" i="6"/>
  <c r="DK75" i="6"/>
  <c r="DJ75" i="6"/>
  <c r="DI75" i="6"/>
  <c r="DG75" i="6"/>
  <c r="DE75" i="6"/>
  <c r="DD75" i="6"/>
  <c r="DC75" i="6"/>
  <c r="DA75" i="6"/>
  <c r="CY75" i="6"/>
  <c r="CX75" i="6"/>
  <c r="CW75" i="6"/>
  <c r="CU75" i="6"/>
  <c r="CS75" i="6"/>
  <c r="CR75" i="6"/>
  <c r="CQ75" i="6"/>
  <c r="CO75" i="6"/>
  <c r="CM75" i="6"/>
  <c r="CL75" i="6"/>
  <c r="CK75" i="6"/>
  <c r="CI75" i="6"/>
  <c r="CG75" i="6"/>
  <c r="CF75" i="6"/>
  <c r="CE75" i="6"/>
  <c r="CC75" i="6"/>
  <c r="CA75" i="6"/>
  <c r="BZ75" i="6"/>
  <c r="BY75" i="6"/>
  <c r="BW75" i="6"/>
  <c r="BU75" i="6"/>
  <c r="BT75" i="6"/>
  <c r="BS75" i="6"/>
  <c r="BQ75" i="6"/>
  <c r="BO75" i="6"/>
  <c r="BN75" i="6"/>
  <c r="BM75" i="6"/>
  <c r="BK75" i="6"/>
  <c r="BI75" i="6"/>
  <c r="BH75" i="6"/>
  <c r="BG75" i="6"/>
  <c r="BE75" i="6"/>
  <c r="BC75" i="6"/>
  <c r="BB75" i="6"/>
  <c r="BA75" i="6"/>
  <c r="AY75" i="6"/>
  <c r="AW75" i="6"/>
  <c r="AV75" i="6"/>
  <c r="AU75" i="6"/>
  <c r="AS75" i="6"/>
  <c r="AQ75" i="6"/>
  <c r="AP75" i="6"/>
  <c r="AO75" i="6"/>
  <c r="AM75" i="6"/>
  <c r="AK75" i="6"/>
  <c r="AJ75" i="6"/>
  <c r="AI75" i="6"/>
  <c r="AG75" i="6"/>
  <c r="AE75" i="6"/>
  <c r="AD75" i="6"/>
  <c r="AC75" i="6"/>
  <c r="AA75" i="6"/>
  <c r="Y75" i="6"/>
  <c r="X75" i="6"/>
  <c r="W75" i="6"/>
  <c r="U75" i="6"/>
  <c r="S75" i="6"/>
  <c r="R75" i="6"/>
  <c r="Q75" i="6"/>
  <c r="O75" i="6"/>
  <c r="M75" i="6"/>
  <c r="L75" i="6"/>
  <c r="K75" i="6"/>
  <c r="EQ74" i="6"/>
  <c r="EO74" i="6"/>
  <c r="EN74" i="6"/>
  <c r="EM74" i="6"/>
  <c r="EK74" i="6"/>
  <c r="EI74" i="6"/>
  <c r="EH74" i="6"/>
  <c r="EG74" i="6"/>
  <c r="EE74" i="6"/>
  <c r="EC74" i="6"/>
  <c r="EB74" i="6"/>
  <c r="EA74" i="6"/>
  <c r="DY74" i="6"/>
  <c r="DW74" i="6"/>
  <c r="DV74" i="6"/>
  <c r="DU74" i="6"/>
  <c r="DS74" i="6"/>
  <c r="DQ74" i="6"/>
  <c r="DP74" i="6"/>
  <c r="DO74" i="6"/>
  <c r="DM74" i="6"/>
  <c r="DK74" i="6"/>
  <c r="DJ74" i="6"/>
  <c r="DI74" i="6"/>
  <c r="DG74" i="6"/>
  <c r="DE74" i="6"/>
  <c r="DD74" i="6"/>
  <c r="DC74" i="6"/>
  <c r="DA74" i="6"/>
  <c r="CY74" i="6"/>
  <c r="CX74" i="6"/>
  <c r="CW74" i="6"/>
  <c r="CU74" i="6"/>
  <c r="CS74" i="6"/>
  <c r="CR74" i="6"/>
  <c r="CQ74" i="6"/>
  <c r="CO74" i="6"/>
  <c r="CM74" i="6"/>
  <c r="CL74" i="6"/>
  <c r="CK74" i="6"/>
  <c r="CI74" i="6"/>
  <c r="CG74" i="6"/>
  <c r="CF74" i="6"/>
  <c r="CE74" i="6"/>
  <c r="CC74" i="6"/>
  <c r="CA74" i="6"/>
  <c r="BZ74" i="6"/>
  <c r="BY74" i="6"/>
  <c r="BW74" i="6"/>
  <c r="BU74" i="6"/>
  <c r="BT74" i="6"/>
  <c r="BS74" i="6"/>
  <c r="BQ74" i="6"/>
  <c r="BO74" i="6"/>
  <c r="BN74" i="6"/>
  <c r="BM74" i="6"/>
  <c r="BK74" i="6"/>
  <c r="BI74" i="6"/>
  <c r="BH74" i="6"/>
  <c r="BG74" i="6"/>
  <c r="BE74" i="6"/>
  <c r="BC74" i="6"/>
  <c r="BB74" i="6"/>
  <c r="BA74" i="6"/>
  <c r="AY74" i="6"/>
  <c r="AW74" i="6"/>
  <c r="AV74" i="6"/>
  <c r="AU74" i="6"/>
  <c r="AS74" i="6"/>
  <c r="AQ74" i="6"/>
  <c r="AP74" i="6"/>
  <c r="AO74" i="6"/>
  <c r="AM74" i="6"/>
  <c r="AK74" i="6"/>
  <c r="AJ74" i="6"/>
  <c r="AI74" i="6"/>
  <c r="AG74" i="6"/>
  <c r="AE74" i="6"/>
  <c r="AD74" i="6"/>
  <c r="AC74" i="6"/>
  <c r="AA74" i="6"/>
  <c r="Y74" i="6"/>
  <c r="X74" i="6"/>
  <c r="W74" i="6"/>
  <c r="U74" i="6"/>
  <c r="S74" i="6"/>
  <c r="R74" i="6"/>
  <c r="Q74" i="6"/>
  <c r="O74" i="6"/>
  <c r="M74" i="6"/>
  <c r="L74" i="6"/>
  <c r="K74" i="6"/>
  <c r="EQ72" i="6"/>
  <c r="EO72" i="6"/>
  <c r="EN72" i="6"/>
  <c r="EK72" i="6"/>
  <c r="EI72" i="6"/>
  <c r="EH72" i="6"/>
  <c r="EE72" i="6"/>
  <c r="EC72" i="6"/>
  <c r="EB72" i="6"/>
  <c r="DY72" i="6"/>
  <c r="DW72" i="6"/>
  <c r="DV72" i="6"/>
  <c r="DS72" i="6"/>
  <c r="DQ72" i="6"/>
  <c r="DP72" i="6"/>
  <c r="DM72" i="6"/>
  <c r="DK72" i="6"/>
  <c r="DJ72" i="6"/>
  <c r="DG72" i="6"/>
  <c r="DE72" i="6"/>
  <c r="DD72" i="6"/>
  <c r="DA72" i="6"/>
  <c r="CY72" i="6"/>
  <c r="CX72" i="6"/>
  <c r="CU72" i="6"/>
  <c r="CS72" i="6"/>
  <c r="CR72" i="6"/>
  <c r="CO72" i="6"/>
  <c r="CM72" i="6"/>
  <c r="CL72" i="6"/>
  <c r="CI72" i="6"/>
  <c r="CG72" i="6"/>
  <c r="CF72" i="6"/>
  <c r="CC72" i="6"/>
  <c r="CA72" i="6"/>
  <c r="BZ72" i="6"/>
  <c r="BW72" i="6"/>
  <c r="BU72" i="6"/>
  <c r="BT72" i="6"/>
  <c r="BQ72" i="6"/>
  <c r="BO72" i="6"/>
  <c r="BN72" i="6"/>
  <c r="BK72" i="6"/>
  <c r="BI72" i="6"/>
  <c r="BH72" i="6"/>
  <c r="BE72" i="6"/>
  <c r="BC72" i="6"/>
  <c r="BB72" i="6"/>
  <c r="AY72" i="6"/>
  <c r="AW72" i="6"/>
  <c r="AV72" i="6"/>
  <c r="AS72" i="6"/>
  <c r="AQ72" i="6"/>
  <c r="AP72" i="6"/>
  <c r="AM72" i="6"/>
  <c r="AK72" i="6"/>
  <c r="AJ72" i="6"/>
  <c r="AG72" i="6"/>
  <c r="AE72" i="6"/>
  <c r="AD72" i="6"/>
  <c r="AA72" i="6"/>
  <c r="Y72" i="6"/>
  <c r="X72" i="6"/>
  <c r="U72" i="6"/>
  <c r="S72" i="6"/>
  <c r="R72" i="6"/>
  <c r="O72" i="6"/>
  <c r="M72" i="6"/>
  <c r="L72" i="6"/>
  <c r="EQ71" i="6"/>
  <c r="EK71" i="6"/>
  <c r="EE71" i="6"/>
  <c r="DY71" i="6"/>
  <c r="DS71" i="6"/>
  <c r="DM71" i="6"/>
  <c r="DG71" i="6"/>
  <c r="DA71" i="6"/>
  <c r="CU71" i="6"/>
  <c r="CO71" i="6"/>
  <c r="CI71" i="6"/>
  <c r="CC71" i="6"/>
  <c r="BW71" i="6"/>
  <c r="BQ71" i="6"/>
  <c r="BK71" i="6"/>
  <c r="BE71" i="6"/>
  <c r="AY71" i="6"/>
  <c r="AS71" i="6"/>
  <c r="AM71" i="6"/>
  <c r="AG71" i="6"/>
  <c r="AA71" i="6"/>
  <c r="U71" i="6"/>
  <c r="O71" i="6"/>
  <c r="EQ70" i="6"/>
  <c r="EO70" i="6"/>
  <c r="EN70" i="6"/>
  <c r="EM70" i="6"/>
  <c r="EK70" i="6"/>
  <c r="EI70" i="6"/>
  <c r="EH70" i="6"/>
  <c r="EG70" i="6"/>
  <c r="EE70" i="6"/>
  <c r="EC70" i="6"/>
  <c r="EB70" i="6"/>
  <c r="EA70" i="6"/>
  <c r="DY70" i="6"/>
  <c r="DW70" i="6"/>
  <c r="DV70" i="6"/>
  <c r="DU70" i="6"/>
  <c r="DS70" i="6"/>
  <c r="DQ70" i="6"/>
  <c r="DP70" i="6"/>
  <c r="DO70" i="6"/>
  <c r="DM70" i="6"/>
  <c r="DK70" i="6"/>
  <c r="DJ70" i="6"/>
  <c r="DI70" i="6"/>
  <c r="DG70" i="6"/>
  <c r="DE70" i="6"/>
  <c r="DD70" i="6"/>
  <c r="DC70" i="6"/>
  <c r="DA70" i="6"/>
  <c r="CY70" i="6"/>
  <c r="CX70" i="6"/>
  <c r="CW70" i="6"/>
  <c r="CU70" i="6"/>
  <c r="CS70" i="6"/>
  <c r="CR70" i="6"/>
  <c r="CQ70" i="6"/>
  <c r="CO70" i="6"/>
  <c r="CM70" i="6"/>
  <c r="CL70" i="6"/>
  <c r="CK70" i="6"/>
  <c r="CI70" i="6"/>
  <c r="CG70" i="6"/>
  <c r="CF70" i="6"/>
  <c r="CE70" i="6"/>
  <c r="CC70" i="6"/>
  <c r="CA70" i="6"/>
  <c r="BZ70" i="6"/>
  <c r="BY70" i="6"/>
  <c r="BW70" i="6"/>
  <c r="BU70" i="6"/>
  <c r="BT70" i="6"/>
  <c r="BS70" i="6"/>
  <c r="BQ70" i="6"/>
  <c r="BO70" i="6"/>
  <c r="BN70" i="6"/>
  <c r="BM70" i="6"/>
  <c r="BK70" i="6"/>
  <c r="BI70" i="6"/>
  <c r="BH70" i="6"/>
  <c r="BG70" i="6"/>
  <c r="BE70" i="6"/>
  <c r="BC70" i="6"/>
  <c r="BB70" i="6"/>
  <c r="BA70" i="6"/>
  <c r="AY70" i="6"/>
  <c r="AW70" i="6"/>
  <c r="AV70" i="6"/>
  <c r="AU70" i="6"/>
  <c r="AS70" i="6"/>
  <c r="AQ70" i="6"/>
  <c r="AP70" i="6"/>
  <c r="AO70" i="6"/>
  <c r="AM70" i="6"/>
  <c r="AK70" i="6"/>
  <c r="AJ70" i="6"/>
  <c r="AI70" i="6"/>
  <c r="AG70" i="6"/>
  <c r="AE70" i="6"/>
  <c r="AD70" i="6"/>
  <c r="AC70" i="6"/>
  <c r="AA70" i="6"/>
  <c r="Y70" i="6"/>
  <c r="X70" i="6"/>
  <c r="W70" i="6"/>
  <c r="U70" i="6"/>
  <c r="S70" i="6"/>
  <c r="R70" i="6"/>
  <c r="Q70" i="6"/>
  <c r="O70" i="6"/>
  <c r="M70" i="6"/>
  <c r="L70" i="6"/>
  <c r="K70" i="6"/>
  <c r="EQ68" i="6"/>
  <c r="EO68" i="6"/>
  <c r="EN68" i="6"/>
  <c r="EM68" i="6"/>
  <c r="EK68" i="6"/>
  <c r="EI68" i="6"/>
  <c r="EH68" i="6"/>
  <c r="EG68" i="6"/>
  <c r="EE68" i="6"/>
  <c r="EC68" i="6"/>
  <c r="EB68" i="6"/>
  <c r="EA68" i="6"/>
  <c r="DY68" i="6"/>
  <c r="DW68" i="6"/>
  <c r="DV68" i="6"/>
  <c r="DU68" i="6"/>
  <c r="DS68" i="6"/>
  <c r="DQ68" i="6"/>
  <c r="DP68" i="6"/>
  <c r="DO68" i="6"/>
  <c r="DM68" i="6"/>
  <c r="DK68" i="6"/>
  <c r="DJ68" i="6"/>
  <c r="DI68" i="6"/>
  <c r="DG68" i="6"/>
  <c r="DE68" i="6"/>
  <c r="DD68" i="6"/>
  <c r="DC68" i="6"/>
  <c r="DA68" i="6"/>
  <c r="CY68" i="6"/>
  <c r="CX68" i="6"/>
  <c r="CW68" i="6"/>
  <c r="CU68" i="6"/>
  <c r="CS68" i="6"/>
  <c r="CR68" i="6"/>
  <c r="CQ68" i="6"/>
  <c r="CO68" i="6"/>
  <c r="CM68" i="6"/>
  <c r="CL68" i="6"/>
  <c r="CK68" i="6"/>
  <c r="CI68" i="6"/>
  <c r="CG68" i="6"/>
  <c r="CF68" i="6"/>
  <c r="CE68" i="6"/>
  <c r="CC68" i="6"/>
  <c r="CA68" i="6"/>
  <c r="BZ68" i="6"/>
  <c r="BY68" i="6"/>
  <c r="BW68" i="6"/>
  <c r="BU68" i="6"/>
  <c r="BT68" i="6"/>
  <c r="BS68" i="6"/>
  <c r="BQ68" i="6"/>
  <c r="BO68" i="6"/>
  <c r="BN68" i="6"/>
  <c r="BM68" i="6"/>
  <c r="BK68" i="6"/>
  <c r="BI68" i="6"/>
  <c r="BH68" i="6"/>
  <c r="BG68" i="6"/>
  <c r="BE68" i="6"/>
  <c r="BC68" i="6"/>
  <c r="BB68" i="6"/>
  <c r="BA68" i="6"/>
  <c r="AY68" i="6"/>
  <c r="AW68" i="6"/>
  <c r="AV68" i="6"/>
  <c r="AU68" i="6"/>
  <c r="AS68" i="6"/>
  <c r="AQ68" i="6"/>
  <c r="AP68" i="6"/>
  <c r="AO68" i="6"/>
  <c r="AM68" i="6"/>
  <c r="AK68" i="6"/>
  <c r="AJ68" i="6"/>
  <c r="AI68" i="6"/>
  <c r="AG68" i="6"/>
  <c r="AE68" i="6"/>
  <c r="AD68" i="6"/>
  <c r="AC68" i="6"/>
  <c r="AA68" i="6"/>
  <c r="Y68" i="6"/>
  <c r="X68" i="6"/>
  <c r="W68" i="6"/>
  <c r="U68" i="6"/>
  <c r="S68" i="6"/>
  <c r="R68" i="6"/>
  <c r="Q68" i="6"/>
  <c r="O68" i="6"/>
  <c r="M68" i="6"/>
  <c r="L68" i="6"/>
  <c r="K68" i="6"/>
  <c r="EO66" i="6"/>
  <c r="EN66" i="6"/>
  <c r="EI66" i="6"/>
  <c r="EH66" i="6"/>
  <c r="EC66" i="6"/>
  <c r="EB66" i="6"/>
  <c r="DW66" i="6"/>
  <c r="DV66" i="6"/>
  <c r="DQ66" i="6"/>
  <c r="DP66" i="6"/>
  <c r="DK66" i="6"/>
  <c r="DJ66" i="6"/>
  <c r="DE66" i="6"/>
  <c r="DD66" i="6"/>
  <c r="CY66" i="6"/>
  <c r="CX66" i="6"/>
  <c r="CS66" i="6"/>
  <c r="CR66" i="6"/>
  <c r="CM66" i="6"/>
  <c r="CL66" i="6"/>
  <c r="CG66" i="6"/>
  <c r="CF66" i="6"/>
  <c r="CA66" i="6"/>
  <c r="BZ66" i="6"/>
  <c r="BU66" i="6"/>
  <c r="BT66" i="6"/>
  <c r="BO66" i="6"/>
  <c r="BN66" i="6"/>
  <c r="BI66" i="6"/>
  <c r="BH66" i="6"/>
  <c r="BC66" i="6"/>
  <c r="BB66" i="6"/>
  <c r="AW66" i="6"/>
  <c r="AV66" i="6"/>
  <c r="AQ66" i="6"/>
  <c r="AP66" i="6"/>
  <c r="AK66" i="6"/>
  <c r="AJ66" i="6"/>
  <c r="AE66" i="6"/>
  <c r="AD66" i="6"/>
  <c r="Y66" i="6"/>
  <c r="X66" i="6"/>
  <c r="S66" i="6"/>
  <c r="R66" i="6"/>
  <c r="M66" i="6"/>
  <c r="L66" i="6"/>
  <c r="EO65" i="6"/>
  <c r="EN65" i="6"/>
  <c r="EI65" i="6"/>
  <c r="EH65" i="6"/>
  <c r="EC65" i="6"/>
  <c r="EB65" i="6"/>
  <c r="DW65" i="6"/>
  <c r="DV65" i="6"/>
  <c r="DQ65" i="6"/>
  <c r="DP65" i="6"/>
  <c r="DK65" i="6"/>
  <c r="DJ65" i="6"/>
  <c r="DE65" i="6"/>
  <c r="DD65" i="6"/>
  <c r="CY65" i="6"/>
  <c r="CX65" i="6"/>
  <c r="CS65" i="6"/>
  <c r="CR65" i="6"/>
  <c r="CM65" i="6"/>
  <c r="CL65" i="6"/>
  <c r="CG65" i="6"/>
  <c r="CF65" i="6"/>
  <c r="CA65" i="6"/>
  <c r="BZ65" i="6"/>
  <c r="BU65" i="6"/>
  <c r="BT65" i="6"/>
  <c r="BO65" i="6"/>
  <c r="BN65" i="6"/>
  <c r="BI65" i="6"/>
  <c r="BH65" i="6"/>
  <c r="BC65" i="6"/>
  <c r="BB65" i="6"/>
  <c r="AW65" i="6"/>
  <c r="AV65" i="6"/>
  <c r="AQ65" i="6"/>
  <c r="AP65" i="6"/>
  <c r="AK65" i="6"/>
  <c r="AJ65" i="6"/>
  <c r="AE65" i="6"/>
  <c r="AD65" i="6"/>
  <c r="Y65" i="6"/>
  <c r="X65" i="6"/>
  <c r="S65" i="6"/>
  <c r="R65" i="6"/>
  <c r="M65" i="6"/>
  <c r="L65" i="6"/>
  <c r="EQ64" i="6"/>
  <c r="EP64" i="6"/>
  <c r="EO64" i="6"/>
  <c r="EM64" i="6"/>
  <c r="EK64" i="6"/>
  <c r="EJ64" i="6"/>
  <c r="EI64" i="6"/>
  <c r="EG64" i="6"/>
  <c r="EE64" i="6"/>
  <c r="ED64" i="6"/>
  <c r="EC64" i="6"/>
  <c r="EA64" i="6"/>
  <c r="DY64" i="6"/>
  <c r="DX64" i="6"/>
  <c r="DW64" i="6"/>
  <c r="DU64" i="6"/>
  <c r="DS64" i="6"/>
  <c r="DR64" i="6"/>
  <c r="DQ64" i="6"/>
  <c r="DO64" i="6"/>
  <c r="DM64" i="6"/>
  <c r="DL64" i="6"/>
  <c r="DK64" i="6"/>
  <c r="DI64" i="6"/>
  <c r="DG64" i="6"/>
  <c r="DF64" i="6"/>
  <c r="DE64" i="6"/>
  <c r="DC64" i="6"/>
  <c r="DA64" i="6"/>
  <c r="CZ64" i="6"/>
  <c r="CY64" i="6"/>
  <c r="CW64" i="6"/>
  <c r="CU64" i="6"/>
  <c r="CT64" i="6"/>
  <c r="CS64" i="6"/>
  <c r="CQ64" i="6"/>
  <c r="CO64" i="6"/>
  <c r="CN64" i="6"/>
  <c r="CM64" i="6"/>
  <c r="CK64" i="6"/>
  <c r="CI64" i="6"/>
  <c r="CH64" i="6"/>
  <c r="CG64" i="6"/>
  <c r="CE64" i="6"/>
  <c r="CC64" i="6"/>
  <c r="CB64" i="6"/>
  <c r="CA64" i="6"/>
  <c r="BY64" i="6"/>
  <c r="BW64" i="6"/>
  <c r="BV64" i="6"/>
  <c r="BU64" i="6"/>
  <c r="BS64" i="6"/>
  <c r="BQ64" i="6"/>
  <c r="BP64" i="6"/>
  <c r="BO64" i="6"/>
  <c r="BM64" i="6"/>
  <c r="BK64" i="6"/>
  <c r="BJ64" i="6"/>
  <c r="BI64" i="6"/>
  <c r="BG64" i="6"/>
  <c r="BE64" i="6"/>
  <c r="BD64" i="6"/>
  <c r="BC64" i="6"/>
  <c r="BA64" i="6"/>
  <c r="AY64" i="6"/>
  <c r="AX64" i="6"/>
  <c r="AW64" i="6"/>
  <c r="AU64" i="6"/>
  <c r="AS64" i="6"/>
  <c r="AR64" i="6"/>
  <c r="AQ64" i="6"/>
  <c r="AO64" i="6"/>
  <c r="AM64" i="6"/>
  <c r="AL64" i="6"/>
  <c r="AK64" i="6"/>
  <c r="AI64" i="6"/>
  <c r="AG64" i="6"/>
  <c r="AF64" i="6"/>
  <c r="AE64" i="6"/>
  <c r="AC64" i="6"/>
  <c r="AA64" i="6"/>
  <c r="Z64" i="6"/>
  <c r="Y64" i="6"/>
  <c r="W64" i="6"/>
  <c r="U64" i="6"/>
  <c r="T64" i="6"/>
  <c r="S64" i="6"/>
  <c r="Q64" i="6"/>
  <c r="O64" i="6"/>
  <c r="N64" i="6"/>
  <c r="M64" i="6"/>
  <c r="K64" i="6"/>
  <c r="EQ63" i="6"/>
  <c r="EP63" i="6"/>
  <c r="EO63" i="6"/>
  <c r="EM63" i="6"/>
  <c r="EK63" i="6"/>
  <c r="EJ63" i="6"/>
  <c r="EI63" i="6"/>
  <c r="EG63" i="6"/>
  <c r="EE63" i="6"/>
  <c r="ED63" i="6"/>
  <c r="EC63" i="6"/>
  <c r="EA63" i="6"/>
  <c r="DY63" i="6"/>
  <c r="DX63" i="6"/>
  <c r="DW63" i="6"/>
  <c r="DU63" i="6"/>
  <c r="DS63" i="6"/>
  <c r="DR63" i="6"/>
  <c r="DQ63" i="6"/>
  <c r="DO63" i="6"/>
  <c r="DM63" i="6"/>
  <c r="DL63" i="6"/>
  <c r="DK63" i="6"/>
  <c r="DI63" i="6"/>
  <c r="DG63" i="6"/>
  <c r="DF63" i="6"/>
  <c r="DE63" i="6"/>
  <c r="DC63" i="6"/>
  <c r="DA63" i="6"/>
  <c r="CZ63" i="6"/>
  <c r="CY63" i="6"/>
  <c r="CW63" i="6"/>
  <c r="CU63" i="6"/>
  <c r="CT63" i="6"/>
  <c r="CS63" i="6"/>
  <c r="CQ63" i="6"/>
  <c r="CO63" i="6"/>
  <c r="CN63" i="6"/>
  <c r="CM63" i="6"/>
  <c r="CK63" i="6"/>
  <c r="CI63" i="6"/>
  <c r="CH63" i="6"/>
  <c r="CG63" i="6"/>
  <c r="CE63" i="6"/>
  <c r="CC63" i="6"/>
  <c r="CB63" i="6"/>
  <c r="CA63" i="6"/>
  <c r="BY63" i="6"/>
  <c r="BW63" i="6"/>
  <c r="BV63" i="6"/>
  <c r="BU63" i="6"/>
  <c r="BS63" i="6"/>
  <c r="BQ63" i="6"/>
  <c r="BP63" i="6"/>
  <c r="BO63" i="6"/>
  <c r="BM63" i="6"/>
  <c r="BK63" i="6"/>
  <c r="BJ63" i="6"/>
  <c r="BI63" i="6"/>
  <c r="BG63" i="6"/>
  <c r="BE63" i="6"/>
  <c r="BD63" i="6"/>
  <c r="BC63" i="6"/>
  <c r="BA63" i="6"/>
  <c r="AY63" i="6"/>
  <c r="AX63" i="6"/>
  <c r="AW63" i="6"/>
  <c r="AU63" i="6"/>
  <c r="AS63" i="6"/>
  <c r="AR63" i="6"/>
  <c r="AQ63" i="6"/>
  <c r="AO63" i="6"/>
  <c r="AM63" i="6"/>
  <c r="AL63" i="6"/>
  <c r="AK63" i="6"/>
  <c r="AI63" i="6"/>
  <c r="AG63" i="6"/>
  <c r="AF63" i="6"/>
  <c r="AE63" i="6"/>
  <c r="AC63" i="6"/>
  <c r="AA63" i="6"/>
  <c r="Z63" i="6"/>
  <c r="Y63" i="6"/>
  <c r="W63" i="6"/>
  <c r="U63" i="6"/>
  <c r="T63" i="6"/>
  <c r="S63" i="6"/>
  <c r="Q63" i="6"/>
  <c r="O63" i="6"/>
  <c r="N63" i="6"/>
  <c r="M63" i="6"/>
  <c r="K63" i="6"/>
  <c r="EP62" i="6"/>
  <c r="EO62" i="6"/>
  <c r="EJ62" i="6"/>
  <c r="EI62" i="6"/>
  <c r="ED62" i="6"/>
  <c r="EC62" i="6"/>
  <c r="DX62" i="6"/>
  <c r="DW62" i="6"/>
  <c r="DR62" i="6"/>
  <c r="DQ62" i="6"/>
  <c r="DL62" i="6"/>
  <c r="DK62" i="6"/>
  <c r="DF62" i="6"/>
  <c r="DE62" i="6"/>
  <c r="CZ62" i="6"/>
  <c r="CY62" i="6"/>
  <c r="CT62" i="6"/>
  <c r="CS62" i="6"/>
  <c r="CN62" i="6"/>
  <c r="CM62" i="6"/>
  <c r="CH62" i="6"/>
  <c r="CG62" i="6"/>
  <c r="CB62" i="6"/>
  <c r="CA62" i="6"/>
  <c r="BV62" i="6"/>
  <c r="BU62" i="6"/>
  <c r="BP62" i="6"/>
  <c r="BO62" i="6"/>
  <c r="BJ62" i="6"/>
  <c r="BI62" i="6"/>
  <c r="BD62" i="6"/>
  <c r="BC62" i="6"/>
  <c r="AX62" i="6"/>
  <c r="AW62" i="6"/>
  <c r="AR62" i="6"/>
  <c r="AQ62" i="6"/>
  <c r="AL62" i="6"/>
  <c r="AK62" i="6"/>
  <c r="AF62" i="6"/>
  <c r="AE62" i="6"/>
  <c r="Z62" i="6"/>
  <c r="Y62" i="6"/>
  <c r="T62" i="6"/>
  <c r="S62" i="6"/>
  <c r="N62" i="6"/>
  <c r="M62" i="6"/>
  <c r="EQ61" i="6"/>
  <c r="EK61" i="6"/>
  <c r="EE61" i="6"/>
  <c r="DY61" i="6"/>
  <c r="DM61" i="6"/>
  <c r="DG61" i="6"/>
  <c r="DA61" i="6"/>
  <c r="CU61" i="6"/>
  <c r="CO61" i="6"/>
  <c r="CI61" i="6"/>
  <c r="CC61" i="6"/>
  <c r="BW61" i="6"/>
  <c r="BQ61" i="6"/>
  <c r="BK61" i="6"/>
  <c r="BE61" i="6"/>
  <c r="AY61" i="6"/>
  <c r="AS61" i="6"/>
  <c r="AM61" i="6"/>
  <c r="AG61" i="6"/>
  <c r="AA61" i="6"/>
  <c r="U61" i="6"/>
  <c r="O61" i="6"/>
  <c r="EQ59" i="6"/>
  <c r="EK59" i="6"/>
  <c r="EE59" i="6"/>
  <c r="DY59" i="6"/>
  <c r="DS59" i="6"/>
  <c r="DM59" i="6"/>
  <c r="DG59" i="6"/>
  <c r="DA59" i="6"/>
  <c r="CU59" i="6"/>
  <c r="CO59" i="6"/>
  <c r="CI59" i="6"/>
  <c r="CC59" i="6"/>
  <c r="BW59" i="6"/>
  <c r="BQ59" i="6"/>
  <c r="BK59" i="6"/>
  <c r="BE59" i="6"/>
  <c r="AY59" i="6"/>
  <c r="AS59" i="6"/>
  <c r="AM59" i="6"/>
  <c r="AG59" i="6"/>
  <c r="AA59" i="6"/>
  <c r="U59" i="6"/>
  <c r="O59" i="6"/>
  <c r="EQ58" i="6"/>
  <c r="EK58" i="6"/>
  <c r="EE58" i="6"/>
  <c r="DY58" i="6"/>
  <c r="DS58" i="6"/>
  <c r="DM58" i="6"/>
  <c r="DG58" i="6"/>
  <c r="DA58" i="6"/>
  <c r="CU58" i="6"/>
  <c r="CO58" i="6"/>
  <c r="CI58" i="6"/>
  <c r="CC58" i="6"/>
  <c r="BW58" i="6"/>
  <c r="BQ58" i="6"/>
  <c r="BK58" i="6"/>
  <c r="BE58" i="6"/>
  <c r="AY58" i="6"/>
  <c r="AS58" i="6"/>
  <c r="AM58" i="6"/>
  <c r="AG58" i="6"/>
  <c r="AA58" i="6"/>
  <c r="U58" i="6"/>
  <c r="O58" i="6"/>
  <c r="EQ57" i="6"/>
  <c r="EK57" i="6"/>
  <c r="EE57" i="6"/>
  <c r="DY57" i="6"/>
  <c r="DS57" i="6"/>
  <c r="DM57" i="6"/>
  <c r="DG57" i="6"/>
  <c r="DA57" i="6"/>
  <c r="CU57" i="6"/>
  <c r="CO57" i="6"/>
  <c r="CI57" i="6"/>
  <c r="CC57" i="6"/>
  <c r="BW57" i="6"/>
  <c r="BQ57" i="6"/>
  <c r="BK57" i="6"/>
  <c r="BE57" i="6"/>
  <c r="AY57" i="6"/>
  <c r="AS57" i="6"/>
  <c r="AM57" i="6"/>
  <c r="AG57" i="6"/>
  <c r="AA57" i="6"/>
  <c r="U57" i="6"/>
  <c r="O57" i="6"/>
  <c r="EQ56" i="6"/>
  <c r="EP56" i="6"/>
  <c r="EO56" i="6"/>
  <c r="EN56" i="6"/>
  <c r="EK56" i="6"/>
  <c r="EJ56" i="6"/>
  <c r="EI56" i="6"/>
  <c r="EH56" i="6"/>
  <c r="EE56" i="6"/>
  <c r="ED56" i="6"/>
  <c r="EC56" i="6"/>
  <c r="EB56" i="6"/>
  <c r="DY56" i="6"/>
  <c r="DX56" i="6"/>
  <c r="DW56" i="6"/>
  <c r="DV56" i="6"/>
  <c r="DS56" i="6"/>
  <c r="DR56" i="6"/>
  <c r="DQ56" i="6"/>
  <c r="DP56" i="6"/>
  <c r="DM56" i="6"/>
  <c r="DL56" i="6"/>
  <c r="DK56" i="6"/>
  <c r="DJ56" i="6"/>
  <c r="DG56" i="6"/>
  <c r="DF56" i="6"/>
  <c r="DE56" i="6"/>
  <c r="DD56" i="6"/>
  <c r="DA56" i="6"/>
  <c r="CZ56" i="6"/>
  <c r="CY56" i="6"/>
  <c r="CX56" i="6"/>
  <c r="CU56" i="6"/>
  <c r="CT56" i="6"/>
  <c r="CS56" i="6"/>
  <c r="CR56" i="6"/>
  <c r="CO56" i="6"/>
  <c r="CN56" i="6"/>
  <c r="CM56" i="6"/>
  <c r="CL56" i="6"/>
  <c r="CI56" i="6"/>
  <c r="CH56" i="6"/>
  <c r="CG56" i="6"/>
  <c r="CF56" i="6"/>
  <c r="CC56" i="6"/>
  <c r="CB56" i="6"/>
  <c r="CA56" i="6"/>
  <c r="BZ56" i="6"/>
  <c r="BW56" i="6"/>
  <c r="BV56" i="6"/>
  <c r="BU56" i="6"/>
  <c r="BT56" i="6"/>
  <c r="BQ56" i="6"/>
  <c r="BP56" i="6"/>
  <c r="BO56" i="6"/>
  <c r="BN56" i="6"/>
  <c r="BK56" i="6"/>
  <c r="BJ56" i="6"/>
  <c r="BI56" i="6"/>
  <c r="BH56" i="6"/>
  <c r="BE56" i="6"/>
  <c r="BD56" i="6"/>
  <c r="BC56" i="6"/>
  <c r="BB56" i="6"/>
  <c r="AY56" i="6"/>
  <c r="AX56" i="6"/>
  <c r="AW56" i="6"/>
  <c r="AV56" i="6"/>
  <c r="AS56" i="6"/>
  <c r="AR56" i="6"/>
  <c r="AQ56" i="6"/>
  <c r="AP56" i="6"/>
  <c r="AM56" i="6"/>
  <c r="AL56" i="6"/>
  <c r="AK56" i="6"/>
  <c r="AJ56" i="6"/>
  <c r="AG56" i="6"/>
  <c r="AF56" i="6"/>
  <c r="AE56" i="6"/>
  <c r="AD56" i="6"/>
  <c r="AA56" i="6"/>
  <c r="Z56" i="6"/>
  <c r="Y56" i="6"/>
  <c r="X56" i="6"/>
  <c r="U56" i="6"/>
  <c r="T56" i="6"/>
  <c r="S56" i="6"/>
  <c r="R56" i="6"/>
  <c r="O56" i="6"/>
  <c r="N56" i="6"/>
  <c r="M56" i="6"/>
  <c r="L56" i="6"/>
  <c r="EQ55" i="6"/>
  <c r="EP55" i="6"/>
  <c r="EO55" i="6"/>
  <c r="EN55" i="6"/>
  <c r="EK55" i="6"/>
  <c r="EJ55" i="6"/>
  <c r="EI55" i="6"/>
  <c r="EH55" i="6"/>
  <c r="EE55" i="6"/>
  <c r="ED55" i="6"/>
  <c r="EC55" i="6"/>
  <c r="EB55" i="6"/>
  <c r="DY55" i="6"/>
  <c r="DX55" i="6"/>
  <c r="DW55" i="6"/>
  <c r="DV55" i="6"/>
  <c r="DS55" i="6"/>
  <c r="DR55" i="6"/>
  <c r="DQ55" i="6"/>
  <c r="DP55" i="6"/>
  <c r="DM55" i="6"/>
  <c r="DL55" i="6"/>
  <c r="DK55" i="6"/>
  <c r="DJ55" i="6"/>
  <c r="DG55" i="6"/>
  <c r="DF55" i="6"/>
  <c r="DE55" i="6"/>
  <c r="DD55" i="6"/>
  <c r="DA55" i="6"/>
  <c r="CZ55" i="6"/>
  <c r="CY55" i="6"/>
  <c r="CX55" i="6"/>
  <c r="CU55" i="6"/>
  <c r="CT55" i="6"/>
  <c r="CS55" i="6"/>
  <c r="CR55" i="6"/>
  <c r="CO55" i="6"/>
  <c r="CN55" i="6"/>
  <c r="CM55" i="6"/>
  <c r="CL55" i="6"/>
  <c r="CI55" i="6"/>
  <c r="CH55" i="6"/>
  <c r="CG55" i="6"/>
  <c r="CF55" i="6"/>
  <c r="CC55" i="6"/>
  <c r="CB55" i="6"/>
  <c r="CA55" i="6"/>
  <c r="BZ55" i="6"/>
  <c r="BW55" i="6"/>
  <c r="BV55" i="6"/>
  <c r="BU55" i="6"/>
  <c r="BT55" i="6"/>
  <c r="BQ55" i="6"/>
  <c r="BP55" i="6"/>
  <c r="BO55" i="6"/>
  <c r="BN55" i="6"/>
  <c r="BK55" i="6"/>
  <c r="BJ55" i="6"/>
  <c r="BI55" i="6"/>
  <c r="BH55" i="6"/>
  <c r="BE55" i="6"/>
  <c r="BD55" i="6"/>
  <c r="BC55" i="6"/>
  <c r="BB55" i="6"/>
  <c r="AY55" i="6"/>
  <c r="AX55" i="6"/>
  <c r="AW55" i="6"/>
  <c r="AV55" i="6"/>
  <c r="AS55" i="6"/>
  <c r="AR55" i="6"/>
  <c r="AQ55" i="6"/>
  <c r="AP55" i="6"/>
  <c r="AM55" i="6"/>
  <c r="AL55" i="6"/>
  <c r="AK55" i="6"/>
  <c r="AJ55" i="6"/>
  <c r="AG55" i="6"/>
  <c r="AF55" i="6"/>
  <c r="AE55" i="6"/>
  <c r="AD55" i="6"/>
  <c r="AA55" i="6"/>
  <c r="Z55" i="6"/>
  <c r="Y55" i="6"/>
  <c r="X55" i="6"/>
  <c r="U55" i="6"/>
  <c r="T55" i="6"/>
  <c r="S55" i="6"/>
  <c r="R55" i="6"/>
  <c r="O55" i="6"/>
  <c r="N55" i="6"/>
  <c r="M55" i="6"/>
  <c r="L55" i="6"/>
  <c r="EQ54" i="6"/>
  <c r="EP54" i="6"/>
  <c r="EO54" i="6"/>
  <c r="EN54" i="6"/>
  <c r="EK54" i="6"/>
  <c r="EJ54" i="6"/>
  <c r="EI54" i="6"/>
  <c r="EH54" i="6"/>
  <c r="EE54" i="6"/>
  <c r="ED54" i="6"/>
  <c r="EC54" i="6"/>
  <c r="EB54" i="6"/>
  <c r="DY54" i="6"/>
  <c r="DX54" i="6"/>
  <c r="DW54" i="6"/>
  <c r="DV54" i="6"/>
  <c r="DS54" i="6"/>
  <c r="DR54" i="6"/>
  <c r="DQ54" i="6"/>
  <c r="DP54" i="6"/>
  <c r="DM54" i="6"/>
  <c r="DL54" i="6"/>
  <c r="DK54" i="6"/>
  <c r="DJ54" i="6"/>
  <c r="DG54" i="6"/>
  <c r="DF54" i="6"/>
  <c r="DE54" i="6"/>
  <c r="DD54" i="6"/>
  <c r="DA54" i="6"/>
  <c r="CZ54" i="6"/>
  <c r="CY54" i="6"/>
  <c r="CX54" i="6"/>
  <c r="CU54" i="6"/>
  <c r="CT54" i="6"/>
  <c r="CS54" i="6"/>
  <c r="CR54" i="6"/>
  <c r="CO54" i="6"/>
  <c r="CN54" i="6"/>
  <c r="CM54" i="6"/>
  <c r="CL54" i="6"/>
  <c r="CI54" i="6"/>
  <c r="CH54" i="6"/>
  <c r="CG54" i="6"/>
  <c r="CF54" i="6"/>
  <c r="CC54" i="6"/>
  <c r="CB54" i="6"/>
  <c r="CA54" i="6"/>
  <c r="BZ54" i="6"/>
  <c r="BW54" i="6"/>
  <c r="BV54" i="6"/>
  <c r="BU54" i="6"/>
  <c r="BT54" i="6"/>
  <c r="BQ54" i="6"/>
  <c r="BP54" i="6"/>
  <c r="BO54" i="6"/>
  <c r="BN54" i="6"/>
  <c r="BK54" i="6"/>
  <c r="BJ54" i="6"/>
  <c r="BI54" i="6"/>
  <c r="BH54" i="6"/>
  <c r="BE54" i="6"/>
  <c r="BD54" i="6"/>
  <c r="BC54" i="6"/>
  <c r="BB54" i="6"/>
  <c r="AY54" i="6"/>
  <c r="AX54" i="6"/>
  <c r="AW54" i="6"/>
  <c r="AV54" i="6"/>
  <c r="AS54" i="6"/>
  <c r="AR54" i="6"/>
  <c r="AQ54" i="6"/>
  <c r="AP54" i="6"/>
  <c r="AM54" i="6"/>
  <c r="AL54" i="6"/>
  <c r="AK54" i="6"/>
  <c r="AJ54" i="6"/>
  <c r="AG54" i="6"/>
  <c r="AF54" i="6"/>
  <c r="AE54" i="6"/>
  <c r="AD54" i="6"/>
  <c r="AA54" i="6"/>
  <c r="Z54" i="6"/>
  <c r="Y54" i="6"/>
  <c r="X54" i="6"/>
  <c r="U54" i="6"/>
  <c r="T54" i="6"/>
  <c r="S54" i="6"/>
  <c r="R54" i="6"/>
  <c r="O54" i="6"/>
  <c r="N54" i="6"/>
  <c r="M54" i="6"/>
  <c r="L54" i="6"/>
  <c r="BE16" i="6"/>
  <c r="AY16" i="6"/>
  <c r="AS16" i="6"/>
  <c r="AM16" i="6"/>
  <c r="AG16" i="6"/>
  <c r="AA16" i="6"/>
  <c r="U16" i="6"/>
  <c r="O16" i="6"/>
  <c r="I16" i="6"/>
  <c r="EM2" i="6"/>
  <c r="EG2" i="6"/>
  <c r="EA2" i="6"/>
  <c r="DU2" i="6"/>
  <c r="DO2" i="6"/>
  <c r="DI2" i="6"/>
  <c r="DC2" i="6"/>
  <c r="CW2" i="6"/>
  <c r="CQ2" i="6"/>
  <c r="CK2" i="6"/>
  <c r="CE2" i="6"/>
  <c r="BY2" i="6"/>
  <c r="BS2" i="6"/>
  <c r="BM2" i="6"/>
  <c r="BG2" i="6"/>
  <c r="BA2" i="6"/>
  <c r="AU2" i="6"/>
  <c r="AO2" i="6"/>
  <c r="AI2" i="6"/>
  <c r="AC2" i="6"/>
  <c r="W2" i="6"/>
  <c r="Q2" i="6"/>
  <c r="K2" i="6"/>
  <c r="E2" i="6"/>
  <c r="E51" i="6" s="1"/>
  <c r="K51" i="6" s="1"/>
  <c r="Q51" i="6" s="1"/>
  <c r="W51" i="6" s="1"/>
  <c r="AC51" i="6" s="1"/>
  <c r="AI51" i="6" s="1"/>
  <c r="AO51" i="6" s="1"/>
  <c r="AU51" i="6" s="1"/>
  <c r="BA51" i="6" s="1"/>
  <c r="BG51" i="6" s="1"/>
  <c r="BM51" i="6" s="1"/>
  <c r="BS51" i="6" s="1"/>
  <c r="BY51" i="6" s="1"/>
  <c r="CE51" i="6" s="1"/>
  <c r="CK51" i="6" s="1"/>
  <c r="CQ51" i="6" s="1"/>
  <c r="CW51" i="6" s="1"/>
  <c r="DC51" i="6" s="1"/>
  <c r="DI51" i="6" s="1"/>
  <c r="DO51" i="6" s="1"/>
  <c r="DU51" i="6" s="1"/>
  <c r="EA51" i="6" s="1"/>
  <c r="EG51" i="6" s="1"/>
  <c r="EM51" i="6" s="1"/>
  <c r="ES51" i="6" s="1"/>
  <c r="Q794" i="7"/>
  <c r="R794" i="7" s="1"/>
  <c r="S794" i="7" s="1"/>
  <c r="T794" i="7" s="1"/>
  <c r="U794" i="7" s="1"/>
  <c r="V794" i="7" s="1"/>
  <c r="W794" i="7" s="1"/>
  <c r="X794" i="7" s="1"/>
  <c r="Y794" i="7" s="1"/>
  <c r="Z794" i="7" s="1"/>
  <c r="AA794" i="7" s="1"/>
  <c r="AB794" i="7" s="1"/>
  <c r="AC794" i="7" s="1"/>
  <c r="AD794" i="7" s="1"/>
  <c r="AE794" i="7" s="1"/>
  <c r="M794" i="7"/>
  <c r="N794" i="7" s="1"/>
  <c r="O794" i="7" s="1"/>
  <c r="P794" i="7" s="1"/>
  <c r="L794" i="7"/>
  <c r="A790" i="7"/>
  <c r="M786" i="7"/>
  <c r="N786" i="7" s="1"/>
  <c r="O786" i="7" s="1"/>
  <c r="P786" i="7" s="1"/>
  <c r="Q786" i="7" s="1"/>
  <c r="R786" i="7" s="1"/>
  <c r="S786" i="7" s="1"/>
  <c r="T786" i="7" s="1"/>
  <c r="U786" i="7" s="1"/>
  <c r="V786" i="7" s="1"/>
  <c r="W786" i="7" s="1"/>
  <c r="X786" i="7" s="1"/>
  <c r="Y786" i="7" s="1"/>
  <c r="Z786" i="7" s="1"/>
  <c r="AA786" i="7" s="1"/>
  <c r="AB786" i="7" s="1"/>
  <c r="AC786" i="7" s="1"/>
  <c r="AD786" i="7" s="1"/>
  <c r="AE786" i="7" s="1"/>
  <c r="L786" i="7"/>
  <c r="A783" i="7"/>
  <c r="Q776" i="7"/>
  <c r="R776" i="7" s="1"/>
  <c r="S776" i="7" s="1"/>
  <c r="T776" i="7" s="1"/>
  <c r="U776" i="7" s="1"/>
  <c r="V776" i="7" s="1"/>
  <c r="W776" i="7" s="1"/>
  <c r="X776" i="7" s="1"/>
  <c r="Y776" i="7" s="1"/>
  <c r="Z776" i="7" s="1"/>
  <c r="AA776" i="7" s="1"/>
  <c r="AB776" i="7" s="1"/>
  <c r="AC776" i="7" s="1"/>
  <c r="AD776" i="7" s="1"/>
  <c r="AE776" i="7" s="1"/>
  <c r="M776" i="7"/>
  <c r="N776" i="7" s="1"/>
  <c r="O776" i="7" s="1"/>
  <c r="P776" i="7" s="1"/>
  <c r="L776" i="7"/>
  <c r="A773" i="7"/>
  <c r="O770" i="7"/>
  <c r="N770" i="7"/>
  <c r="M770" i="7"/>
  <c r="L770" i="7"/>
  <c r="M767" i="7"/>
  <c r="N767" i="7" s="1"/>
  <c r="O767" i="7" s="1"/>
  <c r="P767" i="7" s="1"/>
  <c r="Q767" i="7" s="1"/>
  <c r="R767" i="7" s="1"/>
  <c r="S767" i="7" s="1"/>
  <c r="T767" i="7" s="1"/>
  <c r="U767" i="7" s="1"/>
  <c r="V767" i="7" s="1"/>
  <c r="W767" i="7" s="1"/>
  <c r="X767" i="7" s="1"/>
  <c r="Y767" i="7" s="1"/>
  <c r="Z767" i="7" s="1"/>
  <c r="AA767" i="7" s="1"/>
  <c r="AB767" i="7" s="1"/>
  <c r="AC767" i="7" s="1"/>
  <c r="AD767" i="7" s="1"/>
  <c r="AE767" i="7" s="1"/>
  <c r="L767" i="7"/>
  <c r="M758" i="7"/>
  <c r="N758" i="7" s="1"/>
  <c r="O758" i="7" s="1"/>
  <c r="P758" i="7" s="1"/>
  <c r="Q758" i="7" s="1"/>
  <c r="R758" i="7" s="1"/>
  <c r="S758" i="7" s="1"/>
  <c r="T758" i="7" s="1"/>
  <c r="U758" i="7" s="1"/>
  <c r="V758" i="7" s="1"/>
  <c r="W758" i="7" s="1"/>
  <c r="X758" i="7" s="1"/>
  <c r="Y758" i="7" s="1"/>
  <c r="Z758" i="7" s="1"/>
  <c r="AA758" i="7" s="1"/>
  <c r="AB758" i="7" s="1"/>
  <c r="AC758" i="7" s="1"/>
  <c r="AD758" i="7" s="1"/>
  <c r="AE758" i="7" s="1"/>
  <c r="L758" i="7"/>
  <c r="L750" i="7"/>
  <c r="M750" i="7" s="1"/>
  <c r="N750" i="7" s="1"/>
  <c r="O750" i="7" s="1"/>
  <c r="P750" i="7" s="1"/>
  <c r="Q750" i="7" s="1"/>
  <c r="R750" i="7" s="1"/>
  <c r="S750" i="7" s="1"/>
  <c r="T750" i="7" s="1"/>
  <c r="U750" i="7" s="1"/>
  <c r="V750" i="7" s="1"/>
  <c r="W750" i="7" s="1"/>
  <c r="X750" i="7" s="1"/>
  <c r="Y750" i="7" s="1"/>
  <c r="Z750" i="7" s="1"/>
  <c r="AA750" i="7" s="1"/>
  <c r="AB750" i="7" s="1"/>
  <c r="AC750" i="7" s="1"/>
  <c r="AD750" i="7" s="1"/>
  <c r="AE750" i="7" s="1"/>
  <c r="O744" i="7"/>
  <c r="P744" i="7" s="1"/>
  <c r="Q744" i="7" s="1"/>
  <c r="R744" i="7" s="1"/>
  <c r="S744" i="7" s="1"/>
  <c r="T744" i="7" s="1"/>
  <c r="U744" i="7" s="1"/>
  <c r="V744" i="7" s="1"/>
  <c r="W744" i="7" s="1"/>
  <c r="X744" i="7" s="1"/>
  <c r="Y744" i="7" s="1"/>
  <c r="Z744" i="7" s="1"/>
  <c r="AA744" i="7" s="1"/>
  <c r="AB744" i="7" s="1"/>
  <c r="AC744" i="7" s="1"/>
  <c r="AD744" i="7" s="1"/>
  <c r="AE744" i="7" s="1"/>
  <c r="L744" i="7"/>
  <c r="M744" i="7" s="1"/>
  <c r="N744" i="7" s="1"/>
  <c r="M739" i="7"/>
  <c r="N739" i="7" s="1"/>
  <c r="O739" i="7" s="1"/>
  <c r="P739" i="7" s="1"/>
  <c r="Q739" i="7" s="1"/>
  <c r="R739" i="7" s="1"/>
  <c r="S739" i="7" s="1"/>
  <c r="T739" i="7" s="1"/>
  <c r="U739" i="7" s="1"/>
  <c r="V739" i="7" s="1"/>
  <c r="W739" i="7" s="1"/>
  <c r="X739" i="7" s="1"/>
  <c r="Y739" i="7" s="1"/>
  <c r="Z739" i="7" s="1"/>
  <c r="AA739" i="7" s="1"/>
  <c r="AB739" i="7" s="1"/>
  <c r="AC739" i="7" s="1"/>
  <c r="AD739" i="7" s="1"/>
  <c r="AE739" i="7" s="1"/>
  <c r="L739" i="7"/>
  <c r="M734" i="7"/>
  <c r="N734" i="7" s="1"/>
  <c r="O734" i="7" s="1"/>
  <c r="P734" i="7" s="1"/>
  <c r="Q734" i="7" s="1"/>
  <c r="R734" i="7" s="1"/>
  <c r="S734" i="7" s="1"/>
  <c r="T734" i="7" s="1"/>
  <c r="U734" i="7" s="1"/>
  <c r="V734" i="7" s="1"/>
  <c r="W734" i="7" s="1"/>
  <c r="X734" i="7" s="1"/>
  <c r="Y734" i="7" s="1"/>
  <c r="Z734" i="7" s="1"/>
  <c r="AA734" i="7" s="1"/>
  <c r="AB734" i="7" s="1"/>
  <c r="AC734" i="7" s="1"/>
  <c r="AD734" i="7" s="1"/>
  <c r="AE734" i="7" s="1"/>
  <c r="L734" i="7"/>
  <c r="L727" i="7"/>
  <c r="M727" i="7" s="1"/>
  <c r="N727" i="7" s="1"/>
  <c r="O727" i="7" s="1"/>
  <c r="P727" i="7" s="1"/>
  <c r="Q727" i="7" s="1"/>
  <c r="R727" i="7" s="1"/>
  <c r="S727" i="7" s="1"/>
  <c r="T727" i="7" s="1"/>
  <c r="U727" i="7" s="1"/>
  <c r="V727" i="7" s="1"/>
  <c r="W727" i="7" s="1"/>
  <c r="X727" i="7" s="1"/>
  <c r="Y727" i="7" s="1"/>
  <c r="Z727" i="7" s="1"/>
  <c r="AA727" i="7" s="1"/>
  <c r="AB727" i="7" s="1"/>
  <c r="AC727" i="7" s="1"/>
  <c r="AD727" i="7" s="1"/>
  <c r="AE727" i="7" s="1"/>
  <c r="O722" i="7"/>
  <c r="P722" i="7" s="1"/>
  <c r="Q722" i="7" s="1"/>
  <c r="R722" i="7" s="1"/>
  <c r="S722" i="7" s="1"/>
  <c r="T722" i="7" s="1"/>
  <c r="U722" i="7" s="1"/>
  <c r="V722" i="7" s="1"/>
  <c r="W722" i="7" s="1"/>
  <c r="X722" i="7" s="1"/>
  <c r="Y722" i="7" s="1"/>
  <c r="Z722" i="7" s="1"/>
  <c r="AA722" i="7" s="1"/>
  <c r="AB722" i="7" s="1"/>
  <c r="AC722" i="7" s="1"/>
  <c r="AD722" i="7" s="1"/>
  <c r="AE722" i="7" s="1"/>
  <c r="L722" i="7"/>
  <c r="M722" i="7" s="1"/>
  <c r="N722" i="7" s="1"/>
  <c r="M717" i="7"/>
  <c r="N717" i="7" s="1"/>
  <c r="O717" i="7" s="1"/>
  <c r="P717" i="7" s="1"/>
  <c r="Q717" i="7" s="1"/>
  <c r="R717" i="7" s="1"/>
  <c r="S717" i="7" s="1"/>
  <c r="T717" i="7" s="1"/>
  <c r="U717" i="7" s="1"/>
  <c r="V717" i="7" s="1"/>
  <c r="W717" i="7" s="1"/>
  <c r="X717" i="7" s="1"/>
  <c r="Y717" i="7" s="1"/>
  <c r="Z717" i="7" s="1"/>
  <c r="AA717" i="7" s="1"/>
  <c r="AB717" i="7" s="1"/>
  <c r="AC717" i="7" s="1"/>
  <c r="AD717" i="7" s="1"/>
  <c r="AE717" i="7" s="1"/>
  <c r="L717" i="7"/>
  <c r="M711" i="7"/>
  <c r="N711" i="7" s="1"/>
  <c r="O711" i="7" s="1"/>
  <c r="P711" i="7" s="1"/>
  <c r="Q711" i="7" s="1"/>
  <c r="R711" i="7" s="1"/>
  <c r="S711" i="7" s="1"/>
  <c r="T711" i="7" s="1"/>
  <c r="U711" i="7" s="1"/>
  <c r="V711" i="7" s="1"/>
  <c r="W711" i="7" s="1"/>
  <c r="X711" i="7" s="1"/>
  <c r="Y711" i="7" s="1"/>
  <c r="Z711" i="7" s="1"/>
  <c r="AA711" i="7" s="1"/>
  <c r="AB711" i="7" s="1"/>
  <c r="AC711" i="7" s="1"/>
  <c r="AD711" i="7" s="1"/>
  <c r="AE711" i="7" s="1"/>
  <c r="L711" i="7"/>
  <c r="L705" i="7"/>
  <c r="M705" i="7" s="1"/>
  <c r="N705" i="7" s="1"/>
  <c r="O705" i="7" s="1"/>
  <c r="P705" i="7" s="1"/>
  <c r="Q705" i="7" s="1"/>
  <c r="R705" i="7" s="1"/>
  <c r="S705" i="7" s="1"/>
  <c r="T705" i="7" s="1"/>
  <c r="U705" i="7" s="1"/>
  <c r="V705" i="7" s="1"/>
  <c r="W705" i="7" s="1"/>
  <c r="X705" i="7" s="1"/>
  <c r="Y705" i="7" s="1"/>
  <c r="Z705" i="7" s="1"/>
  <c r="AA705" i="7" s="1"/>
  <c r="AB705" i="7" s="1"/>
  <c r="AC705" i="7" s="1"/>
  <c r="AD705" i="7" s="1"/>
  <c r="AE705" i="7" s="1"/>
  <c r="O692" i="7"/>
  <c r="N692" i="7"/>
  <c r="M692" i="7"/>
  <c r="L692" i="7"/>
  <c r="O690" i="7"/>
  <c r="P690" i="7" s="1"/>
  <c r="Q690" i="7" s="1"/>
  <c r="R690" i="7" s="1"/>
  <c r="S690" i="7" s="1"/>
  <c r="T690" i="7" s="1"/>
  <c r="U690" i="7" s="1"/>
  <c r="V690" i="7" s="1"/>
  <c r="W690" i="7" s="1"/>
  <c r="X690" i="7" s="1"/>
  <c r="Y690" i="7" s="1"/>
  <c r="Z690" i="7" s="1"/>
  <c r="AA690" i="7" s="1"/>
  <c r="AB690" i="7" s="1"/>
  <c r="AC690" i="7" s="1"/>
  <c r="AD690" i="7" s="1"/>
  <c r="AE690" i="7" s="1"/>
  <c r="L690" i="7"/>
  <c r="M690" i="7" s="1"/>
  <c r="N690" i="7" s="1"/>
  <c r="M685" i="7"/>
  <c r="N685" i="7" s="1"/>
  <c r="O685" i="7" s="1"/>
  <c r="P685" i="7" s="1"/>
  <c r="Q685" i="7" s="1"/>
  <c r="R685" i="7" s="1"/>
  <c r="S685" i="7" s="1"/>
  <c r="T685" i="7" s="1"/>
  <c r="U685" i="7" s="1"/>
  <c r="V685" i="7" s="1"/>
  <c r="W685" i="7" s="1"/>
  <c r="X685" i="7" s="1"/>
  <c r="Y685" i="7" s="1"/>
  <c r="Z685" i="7" s="1"/>
  <c r="AA685" i="7" s="1"/>
  <c r="AB685" i="7" s="1"/>
  <c r="AC685" i="7" s="1"/>
  <c r="AD685" i="7" s="1"/>
  <c r="AE685" i="7" s="1"/>
  <c r="L685" i="7"/>
  <c r="M680" i="7"/>
  <c r="N680" i="7" s="1"/>
  <c r="O680" i="7" s="1"/>
  <c r="P680" i="7" s="1"/>
  <c r="Q680" i="7" s="1"/>
  <c r="R680" i="7" s="1"/>
  <c r="S680" i="7" s="1"/>
  <c r="T680" i="7" s="1"/>
  <c r="U680" i="7" s="1"/>
  <c r="V680" i="7" s="1"/>
  <c r="W680" i="7" s="1"/>
  <c r="X680" i="7" s="1"/>
  <c r="Y680" i="7" s="1"/>
  <c r="Z680" i="7" s="1"/>
  <c r="AA680" i="7" s="1"/>
  <c r="AB680" i="7" s="1"/>
  <c r="AC680" i="7" s="1"/>
  <c r="AD680" i="7" s="1"/>
  <c r="AE680" i="7" s="1"/>
  <c r="L680" i="7"/>
  <c r="AF676" i="7"/>
  <c r="P667" i="7"/>
  <c r="Q667" i="7" s="1"/>
  <c r="R667" i="7" s="1"/>
  <c r="S667" i="7" s="1"/>
  <c r="T667" i="7" s="1"/>
  <c r="U667" i="7" s="1"/>
  <c r="V667" i="7" s="1"/>
  <c r="W667" i="7" s="1"/>
  <c r="X667" i="7" s="1"/>
  <c r="Y667" i="7" s="1"/>
  <c r="Z667" i="7" s="1"/>
  <c r="AA667" i="7" s="1"/>
  <c r="AB667" i="7" s="1"/>
  <c r="AC667" i="7" s="1"/>
  <c r="AD667" i="7" s="1"/>
  <c r="AE667" i="7" s="1"/>
  <c r="L667" i="7"/>
  <c r="M667" i="7" s="1"/>
  <c r="N667" i="7" s="1"/>
  <c r="O667" i="7" s="1"/>
  <c r="A664" i="7"/>
  <c r="Q653" i="7"/>
  <c r="R653" i="7" s="1"/>
  <c r="S653" i="7" s="1"/>
  <c r="T653" i="7" s="1"/>
  <c r="U653" i="7" s="1"/>
  <c r="V653" i="7" s="1"/>
  <c r="W653" i="7" s="1"/>
  <c r="X653" i="7" s="1"/>
  <c r="Y653" i="7" s="1"/>
  <c r="Z653" i="7" s="1"/>
  <c r="AA653" i="7" s="1"/>
  <c r="AB653" i="7" s="1"/>
  <c r="AC653" i="7" s="1"/>
  <c r="AD653" i="7" s="1"/>
  <c r="AE653" i="7" s="1"/>
  <c r="M653" i="7"/>
  <c r="N653" i="7" s="1"/>
  <c r="O653" i="7" s="1"/>
  <c r="P653" i="7" s="1"/>
  <c r="L653" i="7"/>
  <c r="P649" i="7"/>
  <c r="Q649" i="7" s="1"/>
  <c r="R649" i="7" s="1"/>
  <c r="S649" i="7" s="1"/>
  <c r="T649" i="7" s="1"/>
  <c r="U649" i="7" s="1"/>
  <c r="V649" i="7" s="1"/>
  <c r="W649" i="7" s="1"/>
  <c r="X649" i="7" s="1"/>
  <c r="Y649" i="7" s="1"/>
  <c r="Z649" i="7" s="1"/>
  <c r="AA649" i="7" s="1"/>
  <c r="AB649" i="7" s="1"/>
  <c r="AC649" i="7" s="1"/>
  <c r="AD649" i="7" s="1"/>
  <c r="AE649" i="7" s="1"/>
  <c r="L649" i="7"/>
  <c r="M649" i="7" s="1"/>
  <c r="N649" i="7" s="1"/>
  <c r="O649" i="7" s="1"/>
  <c r="L644" i="7"/>
  <c r="M644" i="7" s="1"/>
  <c r="N644" i="7" s="1"/>
  <c r="O644" i="7" s="1"/>
  <c r="P644" i="7" s="1"/>
  <c r="Q644" i="7" s="1"/>
  <c r="R644" i="7" s="1"/>
  <c r="S644" i="7" s="1"/>
  <c r="T644" i="7" s="1"/>
  <c r="U644" i="7" s="1"/>
  <c r="V644" i="7" s="1"/>
  <c r="W644" i="7" s="1"/>
  <c r="X644" i="7" s="1"/>
  <c r="Y644" i="7" s="1"/>
  <c r="Z644" i="7" s="1"/>
  <c r="AA644" i="7" s="1"/>
  <c r="AB644" i="7" s="1"/>
  <c r="AC644" i="7" s="1"/>
  <c r="AD644" i="7" s="1"/>
  <c r="AE644" i="7" s="1"/>
  <c r="Q634" i="7"/>
  <c r="R634" i="7" s="1"/>
  <c r="S634" i="7" s="1"/>
  <c r="T634" i="7" s="1"/>
  <c r="U634" i="7" s="1"/>
  <c r="V634" i="7" s="1"/>
  <c r="W634" i="7" s="1"/>
  <c r="X634" i="7" s="1"/>
  <c r="Y634" i="7" s="1"/>
  <c r="Z634" i="7" s="1"/>
  <c r="AA634" i="7" s="1"/>
  <c r="AB634" i="7" s="1"/>
  <c r="AC634" i="7" s="1"/>
  <c r="AD634" i="7" s="1"/>
  <c r="AE634" i="7" s="1"/>
  <c r="M634" i="7"/>
  <c r="N634" i="7" s="1"/>
  <c r="O634" i="7" s="1"/>
  <c r="P634" i="7" s="1"/>
  <c r="L634" i="7"/>
  <c r="A631" i="7"/>
  <c r="M623" i="7"/>
  <c r="N623" i="7" s="1"/>
  <c r="O623" i="7" s="1"/>
  <c r="P623" i="7" s="1"/>
  <c r="Q623" i="7" s="1"/>
  <c r="R623" i="7" s="1"/>
  <c r="S623" i="7" s="1"/>
  <c r="T623" i="7" s="1"/>
  <c r="U623" i="7" s="1"/>
  <c r="V623" i="7" s="1"/>
  <c r="W623" i="7" s="1"/>
  <c r="X623" i="7" s="1"/>
  <c r="Y623" i="7" s="1"/>
  <c r="Z623" i="7" s="1"/>
  <c r="AA623" i="7" s="1"/>
  <c r="AB623" i="7" s="1"/>
  <c r="AC623" i="7" s="1"/>
  <c r="AD623" i="7" s="1"/>
  <c r="AE623" i="7" s="1"/>
  <c r="L623" i="7"/>
  <c r="AD620" i="7"/>
  <c r="AC620" i="7"/>
  <c r="AB620" i="7"/>
  <c r="AA620" i="7"/>
  <c r="Z620" i="7"/>
  <c r="Y620" i="7"/>
  <c r="X620" i="7"/>
  <c r="W620" i="7"/>
  <c r="V620" i="7"/>
  <c r="U620" i="7"/>
  <c r="T620" i="7"/>
  <c r="A618" i="7"/>
  <c r="A616" i="7"/>
  <c r="Q615" i="7"/>
  <c r="R615" i="7" s="1"/>
  <c r="S615" i="7" s="1"/>
  <c r="T615" i="7" s="1"/>
  <c r="U615" i="7" s="1"/>
  <c r="V615" i="7" s="1"/>
  <c r="W615" i="7" s="1"/>
  <c r="X615" i="7" s="1"/>
  <c r="Y615" i="7" s="1"/>
  <c r="Z615" i="7" s="1"/>
  <c r="AA615" i="7" s="1"/>
  <c r="AB615" i="7" s="1"/>
  <c r="AC615" i="7" s="1"/>
  <c r="AD615" i="7" s="1"/>
  <c r="AE615" i="7" s="1"/>
  <c r="M615" i="7"/>
  <c r="N615" i="7" s="1"/>
  <c r="O615" i="7" s="1"/>
  <c r="P615" i="7" s="1"/>
  <c r="L615" i="7"/>
  <c r="AF614" i="7"/>
  <c r="M609" i="7"/>
  <c r="N609" i="7" s="1"/>
  <c r="O609" i="7" s="1"/>
  <c r="P609" i="7" s="1"/>
  <c r="Q609" i="7" s="1"/>
  <c r="R609" i="7" s="1"/>
  <c r="S609" i="7" s="1"/>
  <c r="T609" i="7" s="1"/>
  <c r="U609" i="7" s="1"/>
  <c r="V609" i="7" s="1"/>
  <c r="W609" i="7" s="1"/>
  <c r="X609" i="7" s="1"/>
  <c r="Y609" i="7" s="1"/>
  <c r="Z609" i="7" s="1"/>
  <c r="AA609" i="7" s="1"/>
  <c r="AB609" i="7" s="1"/>
  <c r="AC609" i="7" s="1"/>
  <c r="AD609" i="7" s="1"/>
  <c r="AE609" i="7" s="1"/>
  <c r="L609" i="7"/>
  <c r="A605" i="7"/>
  <c r="Q601" i="7"/>
  <c r="R601" i="7" s="1"/>
  <c r="S601" i="7" s="1"/>
  <c r="T601" i="7" s="1"/>
  <c r="U601" i="7" s="1"/>
  <c r="V601" i="7" s="1"/>
  <c r="W601" i="7" s="1"/>
  <c r="X601" i="7" s="1"/>
  <c r="Y601" i="7" s="1"/>
  <c r="Z601" i="7" s="1"/>
  <c r="AA601" i="7" s="1"/>
  <c r="AB601" i="7" s="1"/>
  <c r="AC601" i="7" s="1"/>
  <c r="AD601" i="7" s="1"/>
  <c r="AE601" i="7" s="1"/>
  <c r="M601" i="7"/>
  <c r="N601" i="7" s="1"/>
  <c r="O601" i="7" s="1"/>
  <c r="P601" i="7" s="1"/>
  <c r="L601" i="7"/>
  <c r="Q596" i="7"/>
  <c r="R596" i="7" s="1"/>
  <c r="S596" i="7" s="1"/>
  <c r="T596" i="7" s="1"/>
  <c r="U596" i="7" s="1"/>
  <c r="V596" i="7" s="1"/>
  <c r="W596" i="7" s="1"/>
  <c r="X596" i="7" s="1"/>
  <c r="Y596" i="7" s="1"/>
  <c r="Z596" i="7" s="1"/>
  <c r="AA596" i="7" s="1"/>
  <c r="AB596" i="7" s="1"/>
  <c r="AC596" i="7" s="1"/>
  <c r="AD596" i="7" s="1"/>
  <c r="AE596" i="7" s="1"/>
  <c r="M596" i="7"/>
  <c r="N596" i="7" s="1"/>
  <c r="O596" i="7" s="1"/>
  <c r="P596" i="7" s="1"/>
  <c r="L596" i="7"/>
  <c r="P591" i="7"/>
  <c r="Q591" i="7" s="1"/>
  <c r="R591" i="7" s="1"/>
  <c r="S591" i="7" s="1"/>
  <c r="T591" i="7" s="1"/>
  <c r="U591" i="7" s="1"/>
  <c r="V591" i="7" s="1"/>
  <c r="W591" i="7" s="1"/>
  <c r="X591" i="7" s="1"/>
  <c r="Y591" i="7" s="1"/>
  <c r="Z591" i="7" s="1"/>
  <c r="AA591" i="7" s="1"/>
  <c r="AB591" i="7" s="1"/>
  <c r="AC591" i="7" s="1"/>
  <c r="AD591" i="7" s="1"/>
  <c r="AE591" i="7" s="1"/>
  <c r="L591" i="7"/>
  <c r="M591" i="7" s="1"/>
  <c r="N591" i="7" s="1"/>
  <c r="O591" i="7" s="1"/>
  <c r="L586" i="7"/>
  <c r="M586" i="7" s="1"/>
  <c r="N586" i="7" s="1"/>
  <c r="O586" i="7" s="1"/>
  <c r="P586" i="7" s="1"/>
  <c r="Q586" i="7" s="1"/>
  <c r="R586" i="7" s="1"/>
  <c r="S586" i="7" s="1"/>
  <c r="T586" i="7" s="1"/>
  <c r="U586" i="7" s="1"/>
  <c r="V586" i="7" s="1"/>
  <c r="W586" i="7" s="1"/>
  <c r="X586" i="7" s="1"/>
  <c r="Y586" i="7" s="1"/>
  <c r="Z586" i="7" s="1"/>
  <c r="AA586" i="7" s="1"/>
  <c r="AB586" i="7" s="1"/>
  <c r="AC586" i="7" s="1"/>
  <c r="AD586" i="7" s="1"/>
  <c r="AE586" i="7" s="1"/>
  <c r="Q577" i="7"/>
  <c r="R577" i="7" s="1"/>
  <c r="S577" i="7" s="1"/>
  <c r="T577" i="7" s="1"/>
  <c r="U577" i="7" s="1"/>
  <c r="V577" i="7" s="1"/>
  <c r="W577" i="7" s="1"/>
  <c r="X577" i="7" s="1"/>
  <c r="Y577" i="7" s="1"/>
  <c r="Z577" i="7" s="1"/>
  <c r="AA577" i="7" s="1"/>
  <c r="AB577" i="7" s="1"/>
  <c r="AC577" i="7" s="1"/>
  <c r="AD577" i="7" s="1"/>
  <c r="AE577" i="7" s="1"/>
  <c r="M577" i="7"/>
  <c r="N577" i="7" s="1"/>
  <c r="O577" i="7" s="1"/>
  <c r="P577" i="7" s="1"/>
  <c r="L577" i="7"/>
  <c r="Q571" i="7"/>
  <c r="R571" i="7" s="1"/>
  <c r="S571" i="7" s="1"/>
  <c r="T571" i="7" s="1"/>
  <c r="U571" i="7" s="1"/>
  <c r="V571" i="7" s="1"/>
  <c r="W571" i="7" s="1"/>
  <c r="X571" i="7" s="1"/>
  <c r="Y571" i="7" s="1"/>
  <c r="Z571" i="7" s="1"/>
  <c r="AA571" i="7" s="1"/>
  <c r="AB571" i="7" s="1"/>
  <c r="AC571" i="7" s="1"/>
  <c r="AD571" i="7" s="1"/>
  <c r="AE571" i="7" s="1"/>
  <c r="M571" i="7"/>
  <c r="N571" i="7" s="1"/>
  <c r="O571" i="7" s="1"/>
  <c r="P571" i="7" s="1"/>
  <c r="L571" i="7"/>
  <c r="A566" i="7"/>
  <c r="L562" i="7"/>
  <c r="M562" i="7" s="1"/>
  <c r="N562" i="7" s="1"/>
  <c r="O562" i="7" s="1"/>
  <c r="P562" i="7" s="1"/>
  <c r="Q562" i="7" s="1"/>
  <c r="R562" i="7" s="1"/>
  <c r="S562" i="7" s="1"/>
  <c r="T562" i="7" s="1"/>
  <c r="U562" i="7" s="1"/>
  <c r="V562" i="7" s="1"/>
  <c r="W562" i="7" s="1"/>
  <c r="X562" i="7" s="1"/>
  <c r="Y562" i="7" s="1"/>
  <c r="Z562" i="7" s="1"/>
  <c r="AA562" i="7" s="1"/>
  <c r="AB562" i="7" s="1"/>
  <c r="AC562" i="7" s="1"/>
  <c r="AD562" i="7" s="1"/>
  <c r="AE562" i="7" s="1"/>
  <c r="O553" i="7"/>
  <c r="P553" i="7" s="1"/>
  <c r="Q553" i="7" s="1"/>
  <c r="R553" i="7" s="1"/>
  <c r="S553" i="7" s="1"/>
  <c r="T553" i="7" s="1"/>
  <c r="U553" i="7" s="1"/>
  <c r="V553" i="7" s="1"/>
  <c r="W553" i="7" s="1"/>
  <c r="X553" i="7" s="1"/>
  <c r="Y553" i="7" s="1"/>
  <c r="Z553" i="7" s="1"/>
  <c r="AA553" i="7" s="1"/>
  <c r="AB553" i="7" s="1"/>
  <c r="AC553" i="7" s="1"/>
  <c r="AD553" i="7" s="1"/>
  <c r="AE553" i="7" s="1"/>
  <c r="L553" i="7"/>
  <c r="M553" i="7" s="1"/>
  <c r="N553" i="7" s="1"/>
  <c r="N547" i="7"/>
  <c r="O547" i="7" s="1"/>
  <c r="P547" i="7" s="1"/>
  <c r="Q547" i="7" s="1"/>
  <c r="R547" i="7" s="1"/>
  <c r="S547" i="7" s="1"/>
  <c r="T547" i="7" s="1"/>
  <c r="U547" i="7" s="1"/>
  <c r="V547" i="7" s="1"/>
  <c r="W547" i="7" s="1"/>
  <c r="X547" i="7" s="1"/>
  <c r="Y547" i="7" s="1"/>
  <c r="Z547" i="7" s="1"/>
  <c r="AA547" i="7" s="1"/>
  <c r="AB547" i="7" s="1"/>
  <c r="AC547" i="7" s="1"/>
  <c r="AD547" i="7" s="1"/>
  <c r="AE547" i="7" s="1"/>
  <c r="L547" i="7"/>
  <c r="M547" i="7" s="1"/>
  <c r="A544" i="7"/>
  <c r="A543" i="7"/>
  <c r="A542" i="7"/>
  <c r="A541" i="7"/>
  <c r="N540" i="7"/>
  <c r="O540" i="7" s="1"/>
  <c r="P540" i="7" s="1"/>
  <c r="Q540" i="7" s="1"/>
  <c r="R540" i="7" s="1"/>
  <c r="S540" i="7" s="1"/>
  <c r="T540" i="7" s="1"/>
  <c r="U540" i="7" s="1"/>
  <c r="V540" i="7" s="1"/>
  <c r="W540" i="7" s="1"/>
  <c r="X540" i="7" s="1"/>
  <c r="Y540" i="7" s="1"/>
  <c r="Z540" i="7" s="1"/>
  <c r="AA540" i="7" s="1"/>
  <c r="AB540" i="7" s="1"/>
  <c r="AC540" i="7" s="1"/>
  <c r="AD540" i="7" s="1"/>
  <c r="AE540" i="7" s="1"/>
  <c r="M540" i="7"/>
  <c r="L540" i="7"/>
  <c r="P531" i="7"/>
  <c r="Q531" i="7" s="1"/>
  <c r="R531" i="7" s="1"/>
  <c r="S531" i="7" s="1"/>
  <c r="T531" i="7" s="1"/>
  <c r="U531" i="7" s="1"/>
  <c r="V531" i="7" s="1"/>
  <c r="W531" i="7" s="1"/>
  <c r="X531" i="7" s="1"/>
  <c r="Y531" i="7" s="1"/>
  <c r="Z531" i="7" s="1"/>
  <c r="AA531" i="7" s="1"/>
  <c r="AB531" i="7" s="1"/>
  <c r="AC531" i="7" s="1"/>
  <c r="AD531" i="7" s="1"/>
  <c r="AE531" i="7" s="1"/>
  <c r="L531" i="7"/>
  <c r="M531" i="7" s="1"/>
  <c r="N531" i="7" s="1"/>
  <c r="O531" i="7" s="1"/>
  <c r="L525" i="7"/>
  <c r="M525" i="7" s="1"/>
  <c r="N525" i="7" s="1"/>
  <c r="O525" i="7" s="1"/>
  <c r="P525" i="7" s="1"/>
  <c r="Q525" i="7" s="1"/>
  <c r="R525" i="7" s="1"/>
  <c r="S525" i="7" s="1"/>
  <c r="T525" i="7" s="1"/>
  <c r="U525" i="7" s="1"/>
  <c r="V525" i="7" s="1"/>
  <c r="W525" i="7" s="1"/>
  <c r="X525" i="7" s="1"/>
  <c r="Y525" i="7" s="1"/>
  <c r="Z525" i="7" s="1"/>
  <c r="AA525" i="7" s="1"/>
  <c r="AB525" i="7" s="1"/>
  <c r="AC525" i="7" s="1"/>
  <c r="AD525" i="7" s="1"/>
  <c r="AE525" i="7" s="1"/>
  <c r="A522" i="7"/>
  <c r="A521" i="7"/>
  <c r="A520" i="7"/>
  <c r="A519" i="7"/>
  <c r="O518" i="7"/>
  <c r="P518" i="7" s="1"/>
  <c r="Q518" i="7" s="1"/>
  <c r="R518" i="7" s="1"/>
  <c r="S518" i="7" s="1"/>
  <c r="T518" i="7" s="1"/>
  <c r="U518" i="7" s="1"/>
  <c r="V518" i="7" s="1"/>
  <c r="W518" i="7" s="1"/>
  <c r="X518" i="7" s="1"/>
  <c r="Y518" i="7" s="1"/>
  <c r="Z518" i="7" s="1"/>
  <c r="AA518" i="7" s="1"/>
  <c r="AB518" i="7" s="1"/>
  <c r="AC518" i="7" s="1"/>
  <c r="AD518" i="7" s="1"/>
  <c r="AE518" i="7" s="1"/>
  <c r="L518" i="7"/>
  <c r="M518" i="7" s="1"/>
  <c r="N518" i="7" s="1"/>
  <c r="M504" i="7"/>
  <c r="N504" i="7" s="1"/>
  <c r="O504" i="7" s="1"/>
  <c r="P504" i="7" s="1"/>
  <c r="Q504" i="7" s="1"/>
  <c r="R504" i="7" s="1"/>
  <c r="S504" i="7" s="1"/>
  <c r="T504" i="7" s="1"/>
  <c r="U504" i="7" s="1"/>
  <c r="V504" i="7" s="1"/>
  <c r="W504" i="7" s="1"/>
  <c r="X504" i="7" s="1"/>
  <c r="Y504" i="7" s="1"/>
  <c r="Z504" i="7" s="1"/>
  <c r="AA504" i="7" s="1"/>
  <c r="AB504" i="7" s="1"/>
  <c r="AC504" i="7" s="1"/>
  <c r="AD504" i="7" s="1"/>
  <c r="AE504" i="7" s="1"/>
  <c r="L504" i="7"/>
  <c r="M493" i="7"/>
  <c r="N493" i="7" s="1"/>
  <c r="O493" i="7" s="1"/>
  <c r="P493" i="7" s="1"/>
  <c r="Q493" i="7" s="1"/>
  <c r="R493" i="7" s="1"/>
  <c r="S493" i="7" s="1"/>
  <c r="T493" i="7" s="1"/>
  <c r="U493" i="7" s="1"/>
  <c r="V493" i="7" s="1"/>
  <c r="W493" i="7" s="1"/>
  <c r="X493" i="7" s="1"/>
  <c r="Y493" i="7" s="1"/>
  <c r="Z493" i="7" s="1"/>
  <c r="AA493" i="7" s="1"/>
  <c r="AB493" i="7" s="1"/>
  <c r="AC493" i="7" s="1"/>
  <c r="AD493" i="7" s="1"/>
  <c r="AE493" i="7" s="1"/>
  <c r="L493" i="7"/>
  <c r="A490" i="7"/>
  <c r="A489" i="7"/>
  <c r="A488" i="7"/>
  <c r="A486" i="7"/>
  <c r="A485" i="7"/>
  <c r="A483" i="7"/>
  <c r="A482" i="7"/>
  <c r="O481" i="7"/>
  <c r="P481" i="7" s="1"/>
  <c r="Q481" i="7" s="1"/>
  <c r="R481" i="7" s="1"/>
  <c r="S481" i="7" s="1"/>
  <c r="T481" i="7" s="1"/>
  <c r="U481" i="7" s="1"/>
  <c r="V481" i="7" s="1"/>
  <c r="W481" i="7" s="1"/>
  <c r="X481" i="7" s="1"/>
  <c r="Y481" i="7" s="1"/>
  <c r="Z481" i="7" s="1"/>
  <c r="AA481" i="7" s="1"/>
  <c r="AB481" i="7" s="1"/>
  <c r="AC481" i="7" s="1"/>
  <c r="AD481" i="7" s="1"/>
  <c r="AE481" i="7" s="1"/>
  <c r="L481" i="7"/>
  <c r="M481" i="7" s="1"/>
  <c r="N481" i="7" s="1"/>
  <c r="AB479" i="7"/>
  <c r="R475" i="7"/>
  <c r="S475" i="7" s="1"/>
  <c r="T475" i="7" s="1"/>
  <c r="U475" i="7" s="1"/>
  <c r="V475" i="7" s="1"/>
  <c r="W475" i="7" s="1"/>
  <c r="X475" i="7" s="1"/>
  <c r="Y475" i="7" s="1"/>
  <c r="Z475" i="7" s="1"/>
  <c r="AA475" i="7" s="1"/>
  <c r="AB475" i="7" s="1"/>
  <c r="AC475" i="7" s="1"/>
  <c r="AD475" i="7" s="1"/>
  <c r="AE475" i="7" s="1"/>
  <c r="N475" i="7"/>
  <c r="O475" i="7" s="1"/>
  <c r="P475" i="7" s="1"/>
  <c r="Q475" i="7" s="1"/>
  <c r="L475" i="7"/>
  <c r="M475" i="7" s="1"/>
  <c r="R469" i="7"/>
  <c r="S469" i="7" s="1"/>
  <c r="T469" i="7" s="1"/>
  <c r="U469" i="7" s="1"/>
  <c r="V469" i="7" s="1"/>
  <c r="W469" i="7" s="1"/>
  <c r="X469" i="7" s="1"/>
  <c r="Y469" i="7" s="1"/>
  <c r="Z469" i="7" s="1"/>
  <c r="AA469" i="7" s="1"/>
  <c r="AB469" i="7" s="1"/>
  <c r="AC469" i="7" s="1"/>
  <c r="AD469" i="7" s="1"/>
  <c r="AE469" i="7" s="1"/>
  <c r="N469" i="7"/>
  <c r="O469" i="7" s="1"/>
  <c r="P469" i="7" s="1"/>
  <c r="Q469" i="7" s="1"/>
  <c r="M469" i="7"/>
  <c r="L469" i="7"/>
  <c r="L463" i="7"/>
  <c r="M463" i="7" s="1"/>
  <c r="N463" i="7" s="1"/>
  <c r="O463" i="7" s="1"/>
  <c r="P463" i="7" s="1"/>
  <c r="Q463" i="7" s="1"/>
  <c r="R463" i="7" s="1"/>
  <c r="S463" i="7" s="1"/>
  <c r="T463" i="7" s="1"/>
  <c r="U463" i="7" s="1"/>
  <c r="V463" i="7" s="1"/>
  <c r="W463" i="7" s="1"/>
  <c r="X463" i="7" s="1"/>
  <c r="Y463" i="7" s="1"/>
  <c r="Z463" i="7" s="1"/>
  <c r="AA463" i="7" s="1"/>
  <c r="AB463" i="7" s="1"/>
  <c r="AC463" i="7" s="1"/>
  <c r="AD463" i="7" s="1"/>
  <c r="AE463" i="7" s="1"/>
  <c r="O457" i="7"/>
  <c r="P457" i="7" s="1"/>
  <c r="Q457" i="7" s="1"/>
  <c r="R457" i="7" s="1"/>
  <c r="S457" i="7" s="1"/>
  <c r="T457" i="7" s="1"/>
  <c r="U457" i="7" s="1"/>
  <c r="V457" i="7" s="1"/>
  <c r="W457" i="7" s="1"/>
  <c r="X457" i="7" s="1"/>
  <c r="Y457" i="7" s="1"/>
  <c r="Z457" i="7" s="1"/>
  <c r="AA457" i="7" s="1"/>
  <c r="AB457" i="7" s="1"/>
  <c r="AC457" i="7" s="1"/>
  <c r="AD457" i="7" s="1"/>
  <c r="AE457" i="7" s="1"/>
  <c r="L457" i="7"/>
  <c r="M457" i="7" s="1"/>
  <c r="N457" i="7" s="1"/>
  <c r="N443" i="7"/>
  <c r="O443" i="7" s="1"/>
  <c r="P443" i="7" s="1"/>
  <c r="Q443" i="7" s="1"/>
  <c r="R443" i="7" s="1"/>
  <c r="S443" i="7" s="1"/>
  <c r="T443" i="7" s="1"/>
  <c r="U443" i="7" s="1"/>
  <c r="V443" i="7" s="1"/>
  <c r="W443" i="7" s="1"/>
  <c r="X443" i="7" s="1"/>
  <c r="Y443" i="7" s="1"/>
  <c r="Z443" i="7" s="1"/>
  <c r="AA443" i="7" s="1"/>
  <c r="AB443" i="7" s="1"/>
  <c r="AC443" i="7" s="1"/>
  <c r="AD443" i="7" s="1"/>
  <c r="AE443" i="7" s="1"/>
  <c r="L443" i="7"/>
  <c r="M443" i="7" s="1"/>
  <c r="N431" i="7"/>
  <c r="O431" i="7" s="1"/>
  <c r="P431" i="7" s="1"/>
  <c r="Q431" i="7" s="1"/>
  <c r="R431" i="7" s="1"/>
  <c r="S431" i="7" s="1"/>
  <c r="T431" i="7" s="1"/>
  <c r="U431" i="7" s="1"/>
  <c r="V431" i="7" s="1"/>
  <c r="W431" i="7" s="1"/>
  <c r="X431" i="7" s="1"/>
  <c r="Y431" i="7" s="1"/>
  <c r="Z431" i="7" s="1"/>
  <c r="AA431" i="7" s="1"/>
  <c r="AB431" i="7" s="1"/>
  <c r="AC431" i="7" s="1"/>
  <c r="AD431" i="7" s="1"/>
  <c r="AE431" i="7" s="1"/>
  <c r="M431" i="7"/>
  <c r="L431" i="7"/>
  <c r="A426" i="7"/>
  <c r="A422" i="7"/>
  <c r="A420" i="7"/>
  <c r="A419" i="7"/>
  <c r="P417" i="7"/>
  <c r="Q417" i="7" s="1"/>
  <c r="R417" i="7" s="1"/>
  <c r="S417" i="7" s="1"/>
  <c r="T417" i="7" s="1"/>
  <c r="U417" i="7" s="1"/>
  <c r="V417" i="7" s="1"/>
  <c r="W417" i="7" s="1"/>
  <c r="X417" i="7" s="1"/>
  <c r="Y417" i="7" s="1"/>
  <c r="Z417" i="7" s="1"/>
  <c r="AA417" i="7" s="1"/>
  <c r="AB417" i="7" s="1"/>
  <c r="AC417" i="7" s="1"/>
  <c r="AD417" i="7" s="1"/>
  <c r="AE417" i="7" s="1"/>
  <c r="L417" i="7"/>
  <c r="M417" i="7" s="1"/>
  <c r="N417" i="7" s="1"/>
  <c r="O417" i="7" s="1"/>
  <c r="S407" i="7"/>
  <c r="T407" i="7" s="1"/>
  <c r="U407" i="7" s="1"/>
  <c r="V407" i="7" s="1"/>
  <c r="W407" i="7" s="1"/>
  <c r="X407" i="7" s="1"/>
  <c r="Y407" i="7" s="1"/>
  <c r="Z407" i="7" s="1"/>
  <c r="AA407" i="7" s="1"/>
  <c r="AB407" i="7" s="1"/>
  <c r="AC407" i="7" s="1"/>
  <c r="AD407" i="7" s="1"/>
  <c r="AE407" i="7" s="1"/>
  <c r="O407" i="7"/>
  <c r="P407" i="7" s="1"/>
  <c r="Q407" i="7" s="1"/>
  <c r="R407" i="7" s="1"/>
  <c r="L407" i="7"/>
  <c r="M407" i="7" s="1"/>
  <c r="N407" i="7" s="1"/>
  <c r="R401" i="7"/>
  <c r="S401" i="7" s="1"/>
  <c r="T401" i="7" s="1"/>
  <c r="U401" i="7" s="1"/>
  <c r="V401" i="7" s="1"/>
  <c r="W401" i="7" s="1"/>
  <c r="X401" i="7" s="1"/>
  <c r="Y401" i="7" s="1"/>
  <c r="Z401" i="7" s="1"/>
  <c r="AA401" i="7" s="1"/>
  <c r="AB401" i="7" s="1"/>
  <c r="AC401" i="7" s="1"/>
  <c r="AD401" i="7" s="1"/>
  <c r="AE401" i="7" s="1"/>
  <c r="N401" i="7"/>
  <c r="O401" i="7" s="1"/>
  <c r="P401" i="7" s="1"/>
  <c r="Q401" i="7" s="1"/>
  <c r="L401" i="7"/>
  <c r="M401" i="7" s="1"/>
  <c r="A398" i="7"/>
  <c r="A397" i="7"/>
  <c r="A396" i="7"/>
  <c r="L395" i="7"/>
  <c r="M395" i="7" s="1"/>
  <c r="N395" i="7" s="1"/>
  <c r="O395" i="7" s="1"/>
  <c r="P395" i="7" s="1"/>
  <c r="Q395" i="7" s="1"/>
  <c r="R395" i="7" s="1"/>
  <c r="S395" i="7" s="1"/>
  <c r="T395" i="7" s="1"/>
  <c r="U395" i="7" s="1"/>
  <c r="V395" i="7" s="1"/>
  <c r="W395" i="7" s="1"/>
  <c r="X395" i="7" s="1"/>
  <c r="Y395" i="7" s="1"/>
  <c r="Z395" i="7" s="1"/>
  <c r="AA395" i="7" s="1"/>
  <c r="AB395" i="7" s="1"/>
  <c r="AC395" i="7" s="1"/>
  <c r="AD395" i="7" s="1"/>
  <c r="AE395" i="7" s="1"/>
  <c r="O386" i="7"/>
  <c r="P386" i="7" s="1"/>
  <c r="Q386" i="7" s="1"/>
  <c r="R386" i="7" s="1"/>
  <c r="S386" i="7" s="1"/>
  <c r="T386" i="7" s="1"/>
  <c r="U386" i="7" s="1"/>
  <c r="V386" i="7" s="1"/>
  <c r="W386" i="7" s="1"/>
  <c r="X386" i="7" s="1"/>
  <c r="Y386" i="7" s="1"/>
  <c r="Z386" i="7" s="1"/>
  <c r="AA386" i="7" s="1"/>
  <c r="AB386" i="7" s="1"/>
  <c r="AC386" i="7" s="1"/>
  <c r="AD386" i="7" s="1"/>
  <c r="AE386" i="7" s="1"/>
  <c r="L386" i="7"/>
  <c r="M386" i="7" s="1"/>
  <c r="N386" i="7" s="1"/>
  <c r="N380" i="7"/>
  <c r="O380" i="7" s="1"/>
  <c r="P380" i="7" s="1"/>
  <c r="Q380" i="7" s="1"/>
  <c r="R380" i="7" s="1"/>
  <c r="S380" i="7" s="1"/>
  <c r="T380" i="7" s="1"/>
  <c r="U380" i="7" s="1"/>
  <c r="V380" i="7" s="1"/>
  <c r="W380" i="7" s="1"/>
  <c r="X380" i="7" s="1"/>
  <c r="Y380" i="7" s="1"/>
  <c r="Z380" i="7" s="1"/>
  <c r="AA380" i="7" s="1"/>
  <c r="AB380" i="7" s="1"/>
  <c r="AC380" i="7" s="1"/>
  <c r="AD380" i="7" s="1"/>
  <c r="AE380" i="7" s="1"/>
  <c r="L380" i="7"/>
  <c r="M380" i="7" s="1"/>
  <c r="N374" i="7"/>
  <c r="O374" i="7" s="1"/>
  <c r="P374" i="7" s="1"/>
  <c r="Q374" i="7" s="1"/>
  <c r="R374" i="7" s="1"/>
  <c r="S374" i="7" s="1"/>
  <c r="T374" i="7" s="1"/>
  <c r="U374" i="7" s="1"/>
  <c r="V374" i="7" s="1"/>
  <c r="W374" i="7" s="1"/>
  <c r="X374" i="7" s="1"/>
  <c r="Y374" i="7" s="1"/>
  <c r="Z374" i="7" s="1"/>
  <c r="AA374" i="7" s="1"/>
  <c r="AB374" i="7" s="1"/>
  <c r="AC374" i="7" s="1"/>
  <c r="AD374" i="7" s="1"/>
  <c r="AE374" i="7" s="1"/>
  <c r="M374" i="7"/>
  <c r="L374" i="7"/>
  <c r="P365" i="7"/>
  <c r="Q365" i="7" s="1"/>
  <c r="R365" i="7" s="1"/>
  <c r="S365" i="7" s="1"/>
  <c r="T365" i="7" s="1"/>
  <c r="U365" i="7" s="1"/>
  <c r="V365" i="7" s="1"/>
  <c r="W365" i="7" s="1"/>
  <c r="X365" i="7" s="1"/>
  <c r="Y365" i="7" s="1"/>
  <c r="Z365" i="7" s="1"/>
  <c r="AA365" i="7" s="1"/>
  <c r="AB365" i="7" s="1"/>
  <c r="AC365" i="7" s="1"/>
  <c r="AD365" i="7" s="1"/>
  <c r="AE365" i="7" s="1"/>
  <c r="L365" i="7"/>
  <c r="M365" i="7" s="1"/>
  <c r="N365" i="7" s="1"/>
  <c r="O365" i="7" s="1"/>
  <c r="S359" i="7"/>
  <c r="T359" i="7" s="1"/>
  <c r="U359" i="7" s="1"/>
  <c r="V359" i="7" s="1"/>
  <c r="W359" i="7" s="1"/>
  <c r="X359" i="7" s="1"/>
  <c r="Y359" i="7" s="1"/>
  <c r="Z359" i="7" s="1"/>
  <c r="AA359" i="7" s="1"/>
  <c r="AB359" i="7" s="1"/>
  <c r="AC359" i="7" s="1"/>
  <c r="AD359" i="7" s="1"/>
  <c r="AE359" i="7" s="1"/>
  <c r="O359" i="7"/>
  <c r="P359" i="7" s="1"/>
  <c r="Q359" i="7" s="1"/>
  <c r="R359" i="7" s="1"/>
  <c r="L359" i="7"/>
  <c r="M359" i="7" s="1"/>
  <c r="N359" i="7" s="1"/>
  <c r="R353" i="7"/>
  <c r="S353" i="7" s="1"/>
  <c r="T353" i="7" s="1"/>
  <c r="U353" i="7" s="1"/>
  <c r="V353" i="7" s="1"/>
  <c r="W353" i="7" s="1"/>
  <c r="X353" i="7" s="1"/>
  <c r="Y353" i="7" s="1"/>
  <c r="Z353" i="7" s="1"/>
  <c r="AA353" i="7" s="1"/>
  <c r="AB353" i="7" s="1"/>
  <c r="AC353" i="7" s="1"/>
  <c r="AD353" i="7" s="1"/>
  <c r="AE353" i="7" s="1"/>
  <c r="N353" i="7"/>
  <c r="O353" i="7" s="1"/>
  <c r="P353" i="7" s="1"/>
  <c r="Q353" i="7" s="1"/>
  <c r="L353" i="7"/>
  <c r="M353" i="7" s="1"/>
  <c r="R341" i="7"/>
  <c r="S341" i="7" s="1"/>
  <c r="T341" i="7" s="1"/>
  <c r="U341" i="7" s="1"/>
  <c r="V341" i="7" s="1"/>
  <c r="W341" i="7" s="1"/>
  <c r="X341" i="7" s="1"/>
  <c r="Y341" i="7" s="1"/>
  <c r="Z341" i="7" s="1"/>
  <c r="AA341" i="7" s="1"/>
  <c r="AB341" i="7" s="1"/>
  <c r="AC341" i="7" s="1"/>
  <c r="AD341" i="7" s="1"/>
  <c r="AE341" i="7" s="1"/>
  <c r="N341" i="7"/>
  <c r="O341" i="7" s="1"/>
  <c r="P341" i="7" s="1"/>
  <c r="Q341" i="7" s="1"/>
  <c r="M341" i="7"/>
  <c r="L341" i="7"/>
  <c r="L332" i="7"/>
  <c r="M332" i="7" s="1"/>
  <c r="N332" i="7" s="1"/>
  <c r="O332" i="7" s="1"/>
  <c r="P332" i="7" s="1"/>
  <c r="Q332" i="7" s="1"/>
  <c r="R332" i="7" s="1"/>
  <c r="S332" i="7" s="1"/>
  <c r="T332" i="7" s="1"/>
  <c r="U332" i="7" s="1"/>
  <c r="V332" i="7" s="1"/>
  <c r="W332" i="7" s="1"/>
  <c r="X332" i="7" s="1"/>
  <c r="Y332" i="7" s="1"/>
  <c r="Z332" i="7" s="1"/>
  <c r="AA332" i="7" s="1"/>
  <c r="AB332" i="7" s="1"/>
  <c r="AC332" i="7" s="1"/>
  <c r="AD332" i="7" s="1"/>
  <c r="AE332" i="7" s="1"/>
  <c r="A329" i="7"/>
  <c r="A328" i="7"/>
  <c r="A327" i="7"/>
  <c r="A326" i="7"/>
  <c r="A325" i="7"/>
  <c r="A324" i="7"/>
  <c r="A323" i="7"/>
  <c r="N322" i="7"/>
  <c r="O322" i="7" s="1"/>
  <c r="P322" i="7" s="1"/>
  <c r="Q322" i="7" s="1"/>
  <c r="R322" i="7" s="1"/>
  <c r="S322" i="7" s="1"/>
  <c r="T322" i="7" s="1"/>
  <c r="U322" i="7" s="1"/>
  <c r="V322" i="7" s="1"/>
  <c r="W322" i="7" s="1"/>
  <c r="X322" i="7" s="1"/>
  <c r="Y322" i="7" s="1"/>
  <c r="Z322" i="7" s="1"/>
  <c r="AA322" i="7" s="1"/>
  <c r="AB322" i="7" s="1"/>
  <c r="AC322" i="7" s="1"/>
  <c r="AD322" i="7" s="1"/>
  <c r="AE322" i="7" s="1"/>
  <c r="L322" i="7"/>
  <c r="M322" i="7" s="1"/>
  <c r="N312" i="7"/>
  <c r="O312" i="7" s="1"/>
  <c r="P312" i="7" s="1"/>
  <c r="Q312" i="7" s="1"/>
  <c r="R312" i="7" s="1"/>
  <c r="S312" i="7" s="1"/>
  <c r="T312" i="7" s="1"/>
  <c r="U312" i="7" s="1"/>
  <c r="V312" i="7" s="1"/>
  <c r="W312" i="7" s="1"/>
  <c r="X312" i="7" s="1"/>
  <c r="Y312" i="7" s="1"/>
  <c r="Z312" i="7" s="1"/>
  <c r="AA312" i="7" s="1"/>
  <c r="AB312" i="7" s="1"/>
  <c r="AC312" i="7" s="1"/>
  <c r="AD312" i="7" s="1"/>
  <c r="AE312" i="7" s="1"/>
  <c r="M312" i="7"/>
  <c r="L312" i="7"/>
  <c r="P305" i="7"/>
  <c r="Q305" i="7" s="1"/>
  <c r="R305" i="7" s="1"/>
  <c r="S305" i="7" s="1"/>
  <c r="T305" i="7" s="1"/>
  <c r="U305" i="7" s="1"/>
  <c r="V305" i="7" s="1"/>
  <c r="W305" i="7" s="1"/>
  <c r="X305" i="7" s="1"/>
  <c r="Y305" i="7" s="1"/>
  <c r="Z305" i="7" s="1"/>
  <c r="AA305" i="7" s="1"/>
  <c r="AB305" i="7" s="1"/>
  <c r="AC305" i="7" s="1"/>
  <c r="AD305" i="7" s="1"/>
  <c r="AE305" i="7" s="1"/>
  <c r="L305" i="7"/>
  <c r="M305" i="7" s="1"/>
  <c r="N305" i="7" s="1"/>
  <c r="O305" i="7" s="1"/>
  <c r="A302" i="7"/>
  <c r="A301" i="7"/>
  <c r="A300" i="7"/>
  <c r="A299" i="7"/>
  <c r="A298" i="7"/>
  <c r="Q297" i="7"/>
  <c r="R297" i="7" s="1"/>
  <c r="S297" i="7" s="1"/>
  <c r="T297" i="7" s="1"/>
  <c r="U297" i="7" s="1"/>
  <c r="V297" i="7" s="1"/>
  <c r="W297" i="7" s="1"/>
  <c r="X297" i="7" s="1"/>
  <c r="Y297" i="7" s="1"/>
  <c r="Z297" i="7" s="1"/>
  <c r="AA297" i="7" s="1"/>
  <c r="AB297" i="7" s="1"/>
  <c r="AC297" i="7" s="1"/>
  <c r="AD297" i="7" s="1"/>
  <c r="AE297" i="7" s="1"/>
  <c r="M297" i="7"/>
  <c r="N297" i="7" s="1"/>
  <c r="O297" i="7" s="1"/>
  <c r="P297" i="7" s="1"/>
  <c r="L297" i="7"/>
  <c r="P288" i="7"/>
  <c r="Q288" i="7" s="1"/>
  <c r="R288" i="7" s="1"/>
  <c r="S288" i="7" s="1"/>
  <c r="T288" i="7" s="1"/>
  <c r="U288" i="7" s="1"/>
  <c r="V288" i="7" s="1"/>
  <c r="W288" i="7" s="1"/>
  <c r="X288" i="7" s="1"/>
  <c r="Y288" i="7" s="1"/>
  <c r="Z288" i="7" s="1"/>
  <c r="AA288" i="7" s="1"/>
  <c r="AB288" i="7" s="1"/>
  <c r="AC288" i="7" s="1"/>
  <c r="AD288" i="7" s="1"/>
  <c r="AE288" i="7" s="1"/>
  <c r="L288" i="7"/>
  <c r="M288" i="7" s="1"/>
  <c r="N288" i="7" s="1"/>
  <c r="O288" i="7" s="1"/>
  <c r="L278" i="7"/>
  <c r="M278" i="7" s="1"/>
  <c r="N278" i="7" s="1"/>
  <c r="O278" i="7" s="1"/>
  <c r="P278" i="7" s="1"/>
  <c r="Q278" i="7" s="1"/>
  <c r="R278" i="7" s="1"/>
  <c r="S278" i="7" s="1"/>
  <c r="T278" i="7" s="1"/>
  <c r="U278" i="7" s="1"/>
  <c r="V278" i="7" s="1"/>
  <c r="W278" i="7" s="1"/>
  <c r="X278" i="7" s="1"/>
  <c r="Y278" i="7" s="1"/>
  <c r="Z278" i="7" s="1"/>
  <c r="AA278" i="7" s="1"/>
  <c r="AB278" i="7" s="1"/>
  <c r="AC278" i="7" s="1"/>
  <c r="AD278" i="7" s="1"/>
  <c r="AE278" i="7" s="1"/>
  <c r="Q275" i="7"/>
  <c r="R275" i="7" s="1"/>
  <c r="S275" i="7" s="1"/>
  <c r="T275" i="7" s="1"/>
  <c r="U275" i="7" s="1"/>
  <c r="V275" i="7" s="1"/>
  <c r="W275" i="7" s="1"/>
  <c r="X275" i="7" s="1"/>
  <c r="Y275" i="7" s="1"/>
  <c r="Z275" i="7" s="1"/>
  <c r="AA275" i="7" s="1"/>
  <c r="AB275" i="7" s="1"/>
  <c r="AC275" i="7" s="1"/>
  <c r="AD275" i="7" s="1"/>
  <c r="AE275" i="7" s="1"/>
  <c r="M275" i="7"/>
  <c r="N275" i="7" s="1"/>
  <c r="O275" i="7" s="1"/>
  <c r="P275" i="7" s="1"/>
  <c r="L275" i="7"/>
  <c r="AD266" i="7"/>
  <c r="AC266" i="7"/>
  <c r="R264" i="7"/>
  <c r="S264" i="7" s="1"/>
  <c r="T264" i="7" s="1"/>
  <c r="U264" i="7" s="1"/>
  <c r="V264" i="7" s="1"/>
  <c r="W264" i="7" s="1"/>
  <c r="X264" i="7" s="1"/>
  <c r="Y264" i="7" s="1"/>
  <c r="Z264" i="7" s="1"/>
  <c r="AA264" i="7" s="1"/>
  <c r="AB264" i="7" s="1"/>
  <c r="AC264" i="7" s="1"/>
  <c r="AD264" i="7" s="1"/>
  <c r="AE264" i="7" s="1"/>
  <c r="N264" i="7"/>
  <c r="O264" i="7" s="1"/>
  <c r="P264" i="7" s="1"/>
  <c r="Q264" i="7" s="1"/>
  <c r="L264" i="7"/>
  <c r="M264" i="7" s="1"/>
  <c r="A259" i="7"/>
  <c r="A258" i="7"/>
  <c r="A257" i="7"/>
  <c r="A256" i="7"/>
  <c r="A254" i="7"/>
  <c r="A253" i="7"/>
  <c r="P252" i="7"/>
  <c r="Q252" i="7" s="1"/>
  <c r="R252" i="7" s="1"/>
  <c r="S252" i="7" s="1"/>
  <c r="T252" i="7" s="1"/>
  <c r="U252" i="7" s="1"/>
  <c r="V252" i="7" s="1"/>
  <c r="W252" i="7" s="1"/>
  <c r="X252" i="7" s="1"/>
  <c r="Y252" i="7" s="1"/>
  <c r="Z252" i="7" s="1"/>
  <c r="AA252" i="7" s="1"/>
  <c r="AB252" i="7" s="1"/>
  <c r="AC252" i="7" s="1"/>
  <c r="AD252" i="7" s="1"/>
  <c r="AE252" i="7" s="1"/>
  <c r="L252" i="7"/>
  <c r="M252" i="7" s="1"/>
  <c r="N252" i="7" s="1"/>
  <c r="O252" i="7" s="1"/>
  <c r="L243" i="7"/>
  <c r="M243" i="7" s="1"/>
  <c r="N243" i="7" s="1"/>
  <c r="O243" i="7" s="1"/>
  <c r="P243" i="7" s="1"/>
  <c r="Q243" i="7" s="1"/>
  <c r="R243" i="7" s="1"/>
  <c r="S243" i="7" s="1"/>
  <c r="T243" i="7" s="1"/>
  <c r="U243" i="7" s="1"/>
  <c r="V243" i="7" s="1"/>
  <c r="W243" i="7" s="1"/>
  <c r="X243" i="7" s="1"/>
  <c r="Y243" i="7" s="1"/>
  <c r="Z243" i="7" s="1"/>
  <c r="AA243" i="7" s="1"/>
  <c r="AB243" i="7" s="1"/>
  <c r="AC243" i="7" s="1"/>
  <c r="AD243" i="7" s="1"/>
  <c r="AE243" i="7" s="1"/>
  <c r="Q235" i="7"/>
  <c r="R235" i="7" s="1"/>
  <c r="S235" i="7" s="1"/>
  <c r="T235" i="7" s="1"/>
  <c r="U235" i="7" s="1"/>
  <c r="V235" i="7" s="1"/>
  <c r="W235" i="7" s="1"/>
  <c r="X235" i="7" s="1"/>
  <c r="Y235" i="7" s="1"/>
  <c r="Z235" i="7" s="1"/>
  <c r="AA235" i="7" s="1"/>
  <c r="AB235" i="7" s="1"/>
  <c r="AC235" i="7" s="1"/>
  <c r="AD235" i="7" s="1"/>
  <c r="AE235" i="7" s="1"/>
  <c r="M235" i="7"/>
  <c r="N235" i="7" s="1"/>
  <c r="O235" i="7" s="1"/>
  <c r="P235" i="7" s="1"/>
  <c r="L235" i="7"/>
  <c r="Q227" i="7"/>
  <c r="R227" i="7" s="1"/>
  <c r="S227" i="7" s="1"/>
  <c r="T227" i="7" s="1"/>
  <c r="U227" i="7" s="1"/>
  <c r="V227" i="7" s="1"/>
  <c r="W227" i="7" s="1"/>
  <c r="X227" i="7" s="1"/>
  <c r="Y227" i="7" s="1"/>
  <c r="Z227" i="7" s="1"/>
  <c r="AA227" i="7" s="1"/>
  <c r="AB227" i="7" s="1"/>
  <c r="AC227" i="7" s="1"/>
  <c r="AD227" i="7" s="1"/>
  <c r="AE227" i="7" s="1"/>
  <c r="M227" i="7"/>
  <c r="N227" i="7" s="1"/>
  <c r="O227" i="7" s="1"/>
  <c r="P227" i="7" s="1"/>
  <c r="L227" i="7"/>
  <c r="P220" i="7"/>
  <c r="Q220" i="7" s="1"/>
  <c r="R220" i="7" s="1"/>
  <c r="S220" i="7" s="1"/>
  <c r="T220" i="7" s="1"/>
  <c r="U220" i="7" s="1"/>
  <c r="V220" i="7" s="1"/>
  <c r="W220" i="7" s="1"/>
  <c r="X220" i="7" s="1"/>
  <c r="Y220" i="7" s="1"/>
  <c r="Z220" i="7" s="1"/>
  <c r="AA220" i="7" s="1"/>
  <c r="AB220" i="7" s="1"/>
  <c r="AC220" i="7" s="1"/>
  <c r="AD220" i="7" s="1"/>
  <c r="AE220" i="7" s="1"/>
  <c r="L220" i="7"/>
  <c r="M220" i="7" s="1"/>
  <c r="N220" i="7" s="1"/>
  <c r="O220" i="7" s="1"/>
  <c r="L215" i="7"/>
  <c r="M215" i="7" s="1"/>
  <c r="N215" i="7" s="1"/>
  <c r="O215" i="7" s="1"/>
  <c r="P215" i="7" s="1"/>
  <c r="Q215" i="7" s="1"/>
  <c r="R215" i="7" s="1"/>
  <c r="S215" i="7" s="1"/>
  <c r="T215" i="7" s="1"/>
  <c r="U215" i="7" s="1"/>
  <c r="V215" i="7" s="1"/>
  <c r="W215" i="7" s="1"/>
  <c r="X215" i="7" s="1"/>
  <c r="Y215" i="7" s="1"/>
  <c r="Z215" i="7" s="1"/>
  <c r="AA215" i="7" s="1"/>
  <c r="AB215" i="7" s="1"/>
  <c r="AC215" i="7" s="1"/>
  <c r="AD215" i="7" s="1"/>
  <c r="AE215" i="7" s="1"/>
  <c r="Q208" i="7"/>
  <c r="R208" i="7" s="1"/>
  <c r="S208" i="7" s="1"/>
  <c r="T208" i="7" s="1"/>
  <c r="U208" i="7" s="1"/>
  <c r="V208" i="7" s="1"/>
  <c r="W208" i="7" s="1"/>
  <c r="X208" i="7" s="1"/>
  <c r="Y208" i="7" s="1"/>
  <c r="Z208" i="7" s="1"/>
  <c r="AA208" i="7" s="1"/>
  <c r="AB208" i="7" s="1"/>
  <c r="AC208" i="7" s="1"/>
  <c r="AD208" i="7" s="1"/>
  <c r="AE208" i="7" s="1"/>
  <c r="M208" i="7"/>
  <c r="N208" i="7" s="1"/>
  <c r="O208" i="7" s="1"/>
  <c r="P208" i="7" s="1"/>
  <c r="L208" i="7"/>
  <c r="A205" i="7"/>
  <c r="A204" i="7"/>
  <c r="A203" i="7"/>
  <c r="A202" i="7"/>
  <c r="A201" i="7"/>
  <c r="M200" i="7"/>
  <c r="N200" i="7" s="1"/>
  <c r="O200" i="7" s="1"/>
  <c r="P200" i="7" s="1"/>
  <c r="Q200" i="7" s="1"/>
  <c r="R200" i="7" s="1"/>
  <c r="S200" i="7" s="1"/>
  <c r="T200" i="7" s="1"/>
  <c r="U200" i="7" s="1"/>
  <c r="V200" i="7" s="1"/>
  <c r="W200" i="7" s="1"/>
  <c r="X200" i="7" s="1"/>
  <c r="Y200" i="7" s="1"/>
  <c r="Z200" i="7" s="1"/>
  <c r="AA200" i="7" s="1"/>
  <c r="AB200" i="7" s="1"/>
  <c r="AC200" i="7" s="1"/>
  <c r="AD200" i="7" s="1"/>
  <c r="AE200" i="7" s="1"/>
  <c r="L200" i="7"/>
  <c r="M191" i="7"/>
  <c r="N191" i="7" s="1"/>
  <c r="O191" i="7" s="1"/>
  <c r="P191" i="7" s="1"/>
  <c r="Q191" i="7" s="1"/>
  <c r="R191" i="7" s="1"/>
  <c r="S191" i="7" s="1"/>
  <c r="T191" i="7" s="1"/>
  <c r="U191" i="7" s="1"/>
  <c r="V191" i="7" s="1"/>
  <c r="W191" i="7" s="1"/>
  <c r="X191" i="7" s="1"/>
  <c r="Y191" i="7" s="1"/>
  <c r="Z191" i="7" s="1"/>
  <c r="AA191" i="7" s="1"/>
  <c r="AB191" i="7" s="1"/>
  <c r="AC191" i="7" s="1"/>
  <c r="AD191" i="7" s="1"/>
  <c r="AE191" i="7" s="1"/>
  <c r="L191" i="7"/>
  <c r="M185" i="7"/>
  <c r="N185" i="7" s="1"/>
  <c r="O185" i="7" s="1"/>
  <c r="P185" i="7" s="1"/>
  <c r="Q185" i="7" s="1"/>
  <c r="R185" i="7" s="1"/>
  <c r="S185" i="7" s="1"/>
  <c r="T185" i="7" s="1"/>
  <c r="U185" i="7" s="1"/>
  <c r="V185" i="7" s="1"/>
  <c r="W185" i="7" s="1"/>
  <c r="X185" i="7" s="1"/>
  <c r="Y185" i="7" s="1"/>
  <c r="Z185" i="7" s="1"/>
  <c r="AA185" i="7" s="1"/>
  <c r="AB185" i="7" s="1"/>
  <c r="AC185" i="7" s="1"/>
  <c r="AD185" i="7" s="1"/>
  <c r="AE185" i="7" s="1"/>
  <c r="L185" i="7"/>
  <c r="N179" i="7"/>
  <c r="O179" i="7" s="1"/>
  <c r="P179" i="7" s="1"/>
  <c r="Q179" i="7" s="1"/>
  <c r="R179" i="7" s="1"/>
  <c r="S179" i="7" s="1"/>
  <c r="T179" i="7" s="1"/>
  <c r="U179" i="7" s="1"/>
  <c r="V179" i="7" s="1"/>
  <c r="W179" i="7" s="1"/>
  <c r="X179" i="7" s="1"/>
  <c r="Y179" i="7" s="1"/>
  <c r="Z179" i="7" s="1"/>
  <c r="AA179" i="7" s="1"/>
  <c r="AB179" i="7" s="1"/>
  <c r="AC179" i="7" s="1"/>
  <c r="AD179" i="7" s="1"/>
  <c r="AE179" i="7" s="1"/>
  <c r="L179" i="7"/>
  <c r="M179" i="7" s="1"/>
  <c r="M172" i="7"/>
  <c r="N172" i="7" s="1"/>
  <c r="O172" i="7" s="1"/>
  <c r="P172" i="7" s="1"/>
  <c r="Q172" i="7" s="1"/>
  <c r="R172" i="7" s="1"/>
  <c r="S172" i="7" s="1"/>
  <c r="T172" i="7" s="1"/>
  <c r="U172" i="7" s="1"/>
  <c r="V172" i="7" s="1"/>
  <c r="W172" i="7" s="1"/>
  <c r="X172" i="7" s="1"/>
  <c r="Y172" i="7" s="1"/>
  <c r="Z172" i="7" s="1"/>
  <c r="AA172" i="7" s="1"/>
  <c r="AB172" i="7" s="1"/>
  <c r="AC172" i="7" s="1"/>
  <c r="AD172" i="7" s="1"/>
  <c r="AE172" i="7" s="1"/>
  <c r="L172" i="7"/>
  <c r="N167" i="7"/>
  <c r="O167" i="7" s="1"/>
  <c r="P167" i="7" s="1"/>
  <c r="Q167" i="7" s="1"/>
  <c r="R167" i="7" s="1"/>
  <c r="S167" i="7" s="1"/>
  <c r="T167" i="7" s="1"/>
  <c r="U167" i="7" s="1"/>
  <c r="V167" i="7" s="1"/>
  <c r="W167" i="7" s="1"/>
  <c r="X167" i="7" s="1"/>
  <c r="Y167" i="7" s="1"/>
  <c r="Z167" i="7" s="1"/>
  <c r="AA167" i="7" s="1"/>
  <c r="AB167" i="7" s="1"/>
  <c r="AC167" i="7" s="1"/>
  <c r="AD167" i="7" s="1"/>
  <c r="AE167" i="7" s="1"/>
  <c r="L167" i="7"/>
  <c r="M167" i="7" s="1"/>
  <c r="A165" i="7"/>
  <c r="L162" i="7"/>
  <c r="M162" i="7" s="1"/>
  <c r="N162" i="7" s="1"/>
  <c r="O162" i="7" s="1"/>
  <c r="P162" i="7" s="1"/>
  <c r="Q162" i="7" s="1"/>
  <c r="R162" i="7" s="1"/>
  <c r="S162" i="7" s="1"/>
  <c r="T162" i="7" s="1"/>
  <c r="U162" i="7" s="1"/>
  <c r="V162" i="7" s="1"/>
  <c r="W162" i="7" s="1"/>
  <c r="X162" i="7" s="1"/>
  <c r="Y162" i="7" s="1"/>
  <c r="Z162" i="7" s="1"/>
  <c r="AA162" i="7" s="1"/>
  <c r="AB162" i="7" s="1"/>
  <c r="AC162" i="7" s="1"/>
  <c r="AD162" i="7" s="1"/>
  <c r="AE162" i="7" s="1"/>
  <c r="O154" i="7"/>
  <c r="P154" i="7" s="1"/>
  <c r="Q154" i="7" s="1"/>
  <c r="R154" i="7" s="1"/>
  <c r="S154" i="7" s="1"/>
  <c r="T154" i="7" s="1"/>
  <c r="U154" i="7" s="1"/>
  <c r="V154" i="7" s="1"/>
  <c r="W154" i="7" s="1"/>
  <c r="X154" i="7" s="1"/>
  <c r="Y154" i="7" s="1"/>
  <c r="Z154" i="7" s="1"/>
  <c r="AA154" i="7" s="1"/>
  <c r="AB154" i="7" s="1"/>
  <c r="AC154" i="7" s="1"/>
  <c r="AD154" i="7" s="1"/>
  <c r="AE154" i="7" s="1"/>
  <c r="M154" i="7"/>
  <c r="N154" i="7" s="1"/>
  <c r="L154" i="7"/>
  <c r="L146" i="7"/>
  <c r="M146" i="7" s="1"/>
  <c r="N146" i="7" s="1"/>
  <c r="O146" i="7" s="1"/>
  <c r="P146" i="7" s="1"/>
  <c r="Q146" i="7" s="1"/>
  <c r="R146" i="7" s="1"/>
  <c r="S146" i="7" s="1"/>
  <c r="T146" i="7" s="1"/>
  <c r="U146" i="7" s="1"/>
  <c r="V146" i="7" s="1"/>
  <c r="W146" i="7" s="1"/>
  <c r="X146" i="7" s="1"/>
  <c r="Y146" i="7" s="1"/>
  <c r="Z146" i="7" s="1"/>
  <c r="AA146" i="7" s="1"/>
  <c r="AB146" i="7" s="1"/>
  <c r="AC146" i="7" s="1"/>
  <c r="AD146" i="7" s="1"/>
  <c r="AE146" i="7" s="1"/>
  <c r="A143" i="7"/>
  <c r="A142" i="7"/>
  <c r="A139" i="7"/>
  <c r="A138" i="7"/>
  <c r="A137" i="7"/>
  <c r="A136" i="7"/>
  <c r="O135" i="7"/>
  <c r="P135" i="7" s="1"/>
  <c r="Q135" i="7" s="1"/>
  <c r="R135" i="7" s="1"/>
  <c r="S135" i="7" s="1"/>
  <c r="T135" i="7" s="1"/>
  <c r="U135" i="7" s="1"/>
  <c r="V135" i="7" s="1"/>
  <c r="W135" i="7" s="1"/>
  <c r="X135" i="7" s="1"/>
  <c r="Y135" i="7" s="1"/>
  <c r="Z135" i="7" s="1"/>
  <c r="AA135" i="7" s="1"/>
  <c r="AB135" i="7" s="1"/>
  <c r="AC135" i="7" s="1"/>
  <c r="AD135" i="7" s="1"/>
  <c r="AE135" i="7" s="1"/>
  <c r="M135" i="7"/>
  <c r="N135" i="7" s="1"/>
  <c r="L135" i="7"/>
  <c r="L126" i="7"/>
  <c r="M126" i="7" s="1"/>
  <c r="N126" i="7" s="1"/>
  <c r="O126" i="7" s="1"/>
  <c r="P126" i="7" s="1"/>
  <c r="Q126" i="7" s="1"/>
  <c r="R126" i="7" s="1"/>
  <c r="S126" i="7" s="1"/>
  <c r="T126" i="7" s="1"/>
  <c r="U126" i="7" s="1"/>
  <c r="V126" i="7" s="1"/>
  <c r="W126" i="7" s="1"/>
  <c r="X126" i="7" s="1"/>
  <c r="Y126" i="7" s="1"/>
  <c r="Z126" i="7" s="1"/>
  <c r="AA126" i="7" s="1"/>
  <c r="AB126" i="7" s="1"/>
  <c r="AC126" i="7" s="1"/>
  <c r="AD126" i="7" s="1"/>
  <c r="AE126" i="7" s="1"/>
  <c r="AD122" i="7"/>
  <c r="AC122" i="7"/>
  <c r="O117" i="7"/>
  <c r="P117" i="7" s="1"/>
  <c r="Q117" i="7" s="1"/>
  <c r="R117" i="7" s="1"/>
  <c r="S117" i="7" s="1"/>
  <c r="T117" i="7" s="1"/>
  <c r="U117" i="7" s="1"/>
  <c r="V117" i="7" s="1"/>
  <c r="W117" i="7" s="1"/>
  <c r="X117" i="7" s="1"/>
  <c r="Y117" i="7" s="1"/>
  <c r="Z117" i="7" s="1"/>
  <c r="AA117" i="7" s="1"/>
  <c r="AB117" i="7" s="1"/>
  <c r="AC117" i="7" s="1"/>
  <c r="AD117" i="7" s="1"/>
  <c r="AE117" i="7" s="1"/>
  <c r="M117" i="7"/>
  <c r="N117" i="7" s="1"/>
  <c r="L117" i="7"/>
  <c r="A114" i="7"/>
  <c r="M106" i="7"/>
  <c r="N106" i="7" s="1"/>
  <c r="O106" i="7" s="1"/>
  <c r="P106" i="7" s="1"/>
  <c r="Q106" i="7" s="1"/>
  <c r="R106" i="7" s="1"/>
  <c r="S106" i="7" s="1"/>
  <c r="T106" i="7" s="1"/>
  <c r="U106" i="7" s="1"/>
  <c r="V106" i="7" s="1"/>
  <c r="W106" i="7" s="1"/>
  <c r="X106" i="7" s="1"/>
  <c r="Y106" i="7" s="1"/>
  <c r="Z106" i="7" s="1"/>
  <c r="AA106" i="7" s="1"/>
  <c r="AB106" i="7" s="1"/>
  <c r="AC106" i="7" s="1"/>
  <c r="AD106" i="7" s="1"/>
  <c r="AE106" i="7" s="1"/>
  <c r="L106" i="7"/>
  <c r="L97" i="7"/>
  <c r="M97" i="7" s="1"/>
  <c r="N97" i="7" s="1"/>
  <c r="O97" i="7" s="1"/>
  <c r="P97" i="7" s="1"/>
  <c r="Q97" i="7" s="1"/>
  <c r="R97" i="7" s="1"/>
  <c r="S97" i="7" s="1"/>
  <c r="T97" i="7" s="1"/>
  <c r="U97" i="7" s="1"/>
  <c r="V97" i="7" s="1"/>
  <c r="W97" i="7" s="1"/>
  <c r="X97" i="7" s="1"/>
  <c r="Y97" i="7" s="1"/>
  <c r="Z97" i="7" s="1"/>
  <c r="AA97" i="7" s="1"/>
  <c r="AB97" i="7" s="1"/>
  <c r="AC97" i="7" s="1"/>
  <c r="AD97" i="7" s="1"/>
  <c r="AE97" i="7" s="1"/>
  <c r="M91" i="7"/>
  <c r="N91" i="7" s="1"/>
  <c r="O91" i="7" s="1"/>
  <c r="P91" i="7" s="1"/>
  <c r="Q91" i="7" s="1"/>
  <c r="R91" i="7" s="1"/>
  <c r="S91" i="7" s="1"/>
  <c r="T91" i="7" s="1"/>
  <c r="U91" i="7" s="1"/>
  <c r="V91" i="7" s="1"/>
  <c r="W91" i="7" s="1"/>
  <c r="X91" i="7" s="1"/>
  <c r="Y91" i="7" s="1"/>
  <c r="Z91" i="7" s="1"/>
  <c r="AA91" i="7" s="1"/>
  <c r="AB91" i="7" s="1"/>
  <c r="AC91" i="7" s="1"/>
  <c r="AD91" i="7" s="1"/>
  <c r="AE91" i="7" s="1"/>
  <c r="L91" i="7"/>
  <c r="A88" i="7"/>
  <c r="A83" i="7"/>
  <c r="A78" i="7"/>
  <c r="A73" i="7"/>
  <c r="L72" i="7"/>
  <c r="M72" i="7" s="1"/>
  <c r="N72" i="7" s="1"/>
  <c r="O72" i="7" s="1"/>
  <c r="P72" i="7" s="1"/>
  <c r="Q72" i="7" s="1"/>
  <c r="R72" i="7" s="1"/>
  <c r="S72" i="7" s="1"/>
  <c r="T72" i="7" s="1"/>
  <c r="U72" i="7" s="1"/>
  <c r="V72" i="7" s="1"/>
  <c r="W72" i="7" s="1"/>
  <c r="X72" i="7" s="1"/>
  <c r="Y72" i="7" s="1"/>
  <c r="Z72" i="7" s="1"/>
  <c r="AA72" i="7" s="1"/>
  <c r="AB72" i="7" s="1"/>
  <c r="AC72" i="7" s="1"/>
  <c r="AD72" i="7" s="1"/>
  <c r="AE72" i="7" s="1"/>
  <c r="M61" i="7"/>
  <c r="N61" i="7" s="1"/>
  <c r="O61" i="7" s="1"/>
  <c r="P61" i="7" s="1"/>
  <c r="Q61" i="7" s="1"/>
  <c r="R61" i="7" s="1"/>
  <c r="S61" i="7" s="1"/>
  <c r="T61" i="7" s="1"/>
  <c r="U61" i="7" s="1"/>
  <c r="V61" i="7" s="1"/>
  <c r="W61" i="7" s="1"/>
  <c r="X61" i="7" s="1"/>
  <c r="Y61" i="7" s="1"/>
  <c r="Z61" i="7" s="1"/>
  <c r="AA61" i="7" s="1"/>
  <c r="AB61" i="7" s="1"/>
  <c r="AC61" i="7" s="1"/>
  <c r="AD61" i="7" s="1"/>
  <c r="AE61" i="7" s="1"/>
  <c r="L61" i="7"/>
  <c r="L53" i="7"/>
  <c r="M53" i="7" s="1"/>
  <c r="N53" i="7" s="1"/>
  <c r="O53" i="7" s="1"/>
  <c r="P53" i="7" s="1"/>
  <c r="Q53" i="7" s="1"/>
  <c r="R53" i="7" s="1"/>
  <c r="S53" i="7" s="1"/>
  <c r="T53" i="7" s="1"/>
  <c r="U53" i="7" s="1"/>
  <c r="V53" i="7" s="1"/>
  <c r="W53" i="7" s="1"/>
  <c r="X53" i="7" s="1"/>
  <c r="Y53" i="7" s="1"/>
  <c r="Z53" i="7" s="1"/>
  <c r="AA53" i="7" s="1"/>
  <c r="AB53" i="7" s="1"/>
  <c r="AC53" i="7" s="1"/>
  <c r="AD53" i="7" s="1"/>
  <c r="AE53" i="7" s="1"/>
  <c r="A50" i="7"/>
  <c r="A49" i="7"/>
  <c r="A48" i="7"/>
  <c r="A47" i="7"/>
  <c r="A46" i="7"/>
  <c r="A45" i="7"/>
  <c r="M44" i="7"/>
  <c r="N44" i="7" s="1"/>
  <c r="O44" i="7" s="1"/>
  <c r="P44" i="7" s="1"/>
  <c r="Q44" i="7" s="1"/>
  <c r="R44" i="7" s="1"/>
  <c r="S44" i="7" s="1"/>
  <c r="T44" i="7" s="1"/>
  <c r="U44" i="7" s="1"/>
  <c r="V44" i="7" s="1"/>
  <c r="W44" i="7" s="1"/>
  <c r="X44" i="7" s="1"/>
  <c r="Y44" i="7" s="1"/>
  <c r="Z44" i="7" s="1"/>
  <c r="AA44" i="7" s="1"/>
  <c r="AB44" i="7" s="1"/>
  <c r="AC44" i="7" s="1"/>
  <c r="AD44" i="7" s="1"/>
  <c r="AE44" i="7" s="1"/>
  <c r="L44" i="7"/>
  <c r="L33" i="7"/>
  <c r="M33" i="7" s="1"/>
  <c r="N33" i="7" s="1"/>
  <c r="O33" i="7" s="1"/>
  <c r="P33" i="7" s="1"/>
  <c r="Q33" i="7" s="1"/>
  <c r="R33" i="7" s="1"/>
  <c r="S33" i="7" s="1"/>
  <c r="T33" i="7" s="1"/>
  <c r="U33" i="7" s="1"/>
  <c r="V33" i="7" s="1"/>
  <c r="W33" i="7" s="1"/>
  <c r="X33" i="7" s="1"/>
  <c r="Y33" i="7" s="1"/>
  <c r="Z33" i="7" s="1"/>
  <c r="AA33" i="7" s="1"/>
  <c r="AB33" i="7" s="1"/>
  <c r="AC33" i="7" s="1"/>
  <c r="AD33" i="7" s="1"/>
  <c r="AE33" i="7" s="1"/>
  <c r="M25" i="7"/>
  <c r="N25" i="7" s="1"/>
  <c r="O25" i="7" s="1"/>
  <c r="P25" i="7" s="1"/>
  <c r="Q25" i="7" s="1"/>
  <c r="R25" i="7" s="1"/>
  <c r="S25" i="7" s="1"/>
  <c r="T25" i="7" s="1"/>
  <c r="U25" i="7" s="1"/>
  <c r="V25" i="7" s="1"/>
  <c r="W25" i="7" s="1"/>
  <c r="X25" i="7" s="1"/>
  <c r="Y25" i="7" s="1"/>
  <c r="Z25" i="7" s="1"/>
  <c r="AA25" i="7" s="1"/>
  <c r="AB25" i="7" s="1"/>
  <c r="AC25" i="7" s="1"/>
  <c r="AD25" i="7" s="1"/>
  <c r="AE25" i="7" s="1"/>
  <c r="L25" i="7"/>
  <c r="AD20" i="7"/>
  <c r="AC20" i="7"/>
  <c r="L16" i="7"/>
  <c r="M16" i="7" s="1"/>
  <c r="N16" i="7" s="1"/>
  <c r="O16" i="7" s="1"/>
  <c r="P16" i="7" s="1"/>
  <c r="Q16" i="7" s="1"/>
  <c r="R16" i="7" s="1"/>
  <c r="S16" i="7" s="1"/>
  <c r="T16" i="7" s="1"/>
  <c r="U16" i="7" s="1"/>
  <c r="V16" i="7" s="1"/>
  <c r="W16" i="7" s="1"/>
  <c r="X16" i="7" s="1"/>
  <c r="Y16" i="7" s="1"/>
  <c r="Z16" i="7" s="1"/>
  <c r="AA16" i="7" s="1"/>
  <c r="AB16" i="7" s="1"/>
  <c r="AC16" i="7" s="1"/>
  <c r="AD16" i="7" s="1"/>
  <c r="AE16" i="7" s="1"/>
  <c r="A13" i="7"/>
  <c r="A12" i="7"/>
  <c r="A11" i="7"/>
  <c r="A10" i="7"/>
  <c r="A9" i="7"/>
  <c r="A8" i="7"/>
  <c r="M7" i="7"/>
  <c r="N7" i="7" s="1"/>
  <c r="O7" i="7" s="1"/>
  <c r="P7" i="7" s="1"/>
  <c r="Q7" i="7" s="1"/>
  <c r="R7" i="7" s="1"/>
  <c r="S7" i="7" s="1"/>
  <c r="T7" i="7" s="1"/>
  <c r="U7" i="7" s="1"/>
  <c r="V7" i="7" s="1"/>
  <c r="W7" i="7" s="1"/>
  <c r="X7" i="7" s="1"/>
  <c r="Y7" i="7" s="1"/>
  <c r="Z7" i="7" s="1"/>
  <c r="AA7" i="7" s="1"/>
  <c r="AB7" i="7" s="1"/>
  <c r="AC7" i="7" s="1"/>
  <c r="AD7" i="7" s="1"/>
  <c r="AE7" i="7" s="1"/>
  <c r="L7" i="7"/>
  <c r="F254" i="8"/>
  <c r="E254" i="8"/>
  <c r="E253" i="8"/>
  <c r="G252" i="8"/>
  <c r="H252" i="8" s="1"/>
  <c r="I252" i="8" s="1"/>
  <c r="J252" i="8" s="1"/>
  <c r="K252" i="8" s="1"/>
  <c r="L252" i="8" s="1"/>
  <c r="M252" i="8" s="1"/>
  <c r="N252" i="8" s="1"/>
  <c r="O252" i="8" s="1"/>
  <c r="P252" i="8" s="1"/>
  <c r="Q252" i="8" s="1"/>
  <c r="R252" i="8" s="1"/>
  <c r="S252" i="8" s="1"/>
  <c r="T252" i="8" s="1"/>
  <c r="U252" i="8" s="1"/>
  <c r="V252" i="8" s="1"/>
  <c r="W252" i="8" s="1"/>
  <c r="X252" i="8" s="1"/>
  <c r="Y252" i="8" s="1"/>
  <c r="Z252" i="8" s="1"/>
  <c r="AA252" i="8" s="1"/>
  <c r="AB252" i="8" s="1"/>
  <c r="AC252" i="8" s="1"/>
  <c r="AD252" i="8" s="1"/>
  <c r="AE252" i="8" s="1"/>
  <c r="F249" i="8"/>
  <c r="E249" i="8"/>
  <c r="F248" i="8"/>
  <c r="E248" i="8"/>
  <c r="G247" i="8"/>
  <c r="H247" i="8" s="1"/>
  <c r="I247" i="8" s="1"/>
  <c r="J247" i="8" s="1"/>
  <c r="K247" i="8" s="1"/>
  <c r="L247" i="8" s="1"/>
  <c r="M247" i="8" s="1"/>
  <c r="N247" i="8" s="1"/>
  <c r="O247" i="8" s="1"/>
  <c r="P247" i="8" s="1"/>
  <c r="Q247" i="8" s="1"/>
  <c r="R247" i="8" s="1"/>
  <c r="S247" i="8" s="1"/>
  <c r="T247" i="8" s="1"/>
  <c r="U247" i="8" s="1"/>
  <c r="V247" i="8" s="1"/>
  <c r="W247" i="8" s="1"/>
  <c r="X247" i="8" s="1"/>
  <c r="Y247" i="8" s="1"/>
  <c r="Z247" i="8" s="1"/>
  <c r="AA247" i="8" s="1"/>
  <c r="AB247" i="8" s="1"/>
  <c r="AC247" i="8" s="1"/>
  <c r="AD247" i="8" s="1"/>
  <c r="AE247" i="8" s="1"/>
  <c r="F243" i="8"/>
  <c r="I242" i="8"/>
  <c r="J242" i="8" s="1"/>
  <c r="K242" i="8" s="1"/>
  <c r="L242" i="8" s="1"/>
  <c r="M242" i="8" s="1"/>
  <c r="N242" i="8" s="1"/>
  <c r="O242" i="8" s="1"/>
  <c r="P242" i="8" s="1"/>
  <c r="Q242" i="8" s="1"/>
  <c r="R242" i="8" s="1"/>
  <c r="S242" i="8" s="1"/>
  <c r="T242" i="8" s="1"/>
  <c r="U242" i="8" s="1"/>
  <c r="V242" i="8" s="1"/>
  <c r="W242" i="8" s="1"/>
  <c r="X242" i="8" s="1"/>
  <c r="Y242" i="8" s="1"/>
  <c r="Z242" i="8" s="1"/>
  <c r="AA242" i="8" s="1"/>
  <c r="AB242" i="8" s="1"/>
  <c r="AC242" i="8" s="1"/>
  <c r="AD242" i="8" s="1"/>
  <c r="AE242" i="8" s="1"/>
  <c r="H242" i="8"/>
  <c r="G242" i="8"/>
  <c r="G236" i="8"/>
  <c r="H236" i="8" s="1"/>
  <c r="I236" i="8" s="1"/>
  <c r="J236" i="8" s="1"/>
  <c r="K236" i="8" s="1"/>
  <c r="L236" i="8" s="1"/>
  <c r="M236" i="8" s="1"/>
  <c r="N236" i="8" s="1"/>
  <c r="O236" i="8" s="1"/>
  <c r="P236" i="8" s="1"/>
  <c r="Q236" i="8" s="1"/>
  <c r="R236" i="8" s="1"/>
  <c r="S236" i="8" s="1"/>
  <c r="T236" i="8" s="1"/>
  <c r="U236" i="8" s="1"/>
  <c r="V236" i="8" s="1"/>
  <c r="W236" i="8" s="1"/>
  <c r="X236" i="8" s="1"/>
  <c r="Y236" i="8" s="1"/>
  <c r="Z236" i="8" s="1"/>
  <c r="AA236" i="8" s="1"/>
  <c r="AB236" i="8" s="1"/>
  <c r="AC236" i="8" s="1"/>
  <c r="AD236" i="8" s="1"/>
  <c r="AE236" i="8" s="1"/>
  <c r="H228" i="8"/>
  <c r="I228" i="8" s="1"/>
  <c r="J228" i="8" s="1"/>
  <c r="K228" i="8" s="1"/>
  <c r="L228" i="8" s="1"/>
  <c r="M228" i="8" s="1"/>
  <c r="N228" i="8" s="1"/>
  <c r="O228" i="8" s="1"/>
  <c r="P228" i="8" s="1"/>
  <c r="Q228" i="8" s="1"/>
  <c r="R228" i="8" s="1"/>
  <c r="S228" i="8" s="1"/>
  <c r="T228" i="8" s="1"/>
  <c r="U228" i="8" s="1"/>
  <c r="V228" i="8" s="1"/>
  <c r="W228" i="8" s="1"/>
  <c r="X228" i="8" s="1"/>
  <c r="Y228" i="8" s="1"/>
  <c r="Z228" i="8" s="1"/>
  <c r="AA228" i="8" s="1"/>
  <c r="AB228" i="8" s="1"/>
  <c r="AC228" i="8" s="1"/>
  <c r="AD228" i="8" s="1"/>
  <c r="AE228" i="8" s="1"/>
  <c r="G228" i="8"/>
  <c r="I220" i="8"/>
  <c r="J220" i="8" s="1"/>
  <c r="K220" i="8" s="1"/>
  <c r="L220" i="8" s="1"/>
  <c r="M220" i="8" s="1"/>
  <c r="N220" i="8" s="1"/>
  <c r="O220" i="8" s="1"/>
  <c r="P220" i="8" s="1"/>
  <c r="Q220" i="8" s="1"/>
  <c r="R220" i="8" s="1"/>
  <c r="S220" i="8" s="1"/>
  <c r="T220" i="8" s="1"/>
  <c r="U220" i="8" s="1"/>
  <c r="V220" i="8" s="1"/>
  <c r="W220" i="8" s="1"/>
  <c r="X220" i="8" s="1"/>
  <c r="Y220" i="8" s="1"/>
  <c r="Z220" i="8" s="1"/>
  <c r="AA220" i="8" s="1"/>
  <c r="AB220" i="8" s="1"/>
  <c r="AC220" i="8" s="1"/>
  <c r="AD220" i="8" s="1"/>
  <c r="AE220" i="8" s="1"/>
  <c r="H220" i="8"/>
  <c r="G220" i="8"/>
  <c r="F217" i="8"/>
  <c r="A217" i="8"/>
  <c r="AD216" i="8"/>
  <c r="EK11" i="6"/>
  <c r="A216" i="8"/>
  <c r="A214" i="8"/>
  <c r="F211" i="8"/>
  <c r="A211" i="8"/>
  <c r="F210" i="8"/>
  <c r="A210" i="8"/>
  <c r="F209" i="8"/>
  <c r="A209" i="8"/>
  <c r="L208" i="8"/>
  <c r="M208" i="8" s="1"/>
  <c r="N208" i="8" s="1"/>
  <c r="O208" i="8" s="1"/>
  <c r="P208" i="8" s="1"/>
  <c r="Q208" i="8" s="1"/>
  <c r="R208" i="8" s="1"/>
  <c r="S208" i="8" s="1"/>
  <c r="T208" i="8" s="1"/>
  <c r="U208" i="8" s="1"/>
  <c r="V208" i="8" s="1"/>
  <c r="W208" i="8" s="1"/>
  <c r="X208" i="8" s="1"/>
  <c r="Y208" i="8" s="1"/>
  <c r="Z208" i="8" s="1"/>
  <c r="AA208" i="8" s="1"/>
  <c r="AB208" i="8" s="1"/>
  <c r="AC208" i="8" s="1"/>
  <c r="AD208" i="8" s="1"/>
  <c r="AE208" i="8" s="1"/>
  <c r="I208" i="8"/>
  <c r="J208" i="8" s="1"/>
  <c r="K208" i="8" s="1"/>
  <c r="H208" i="8"/>
  <c r="G208" i="8"/>
  <c r="M201" i="8"/>
  <c r="N201" i="8" s="1"/>
  <c r="O201" i="8" s="1"/>
  <c r="P201" i="8" s="1"/>
  <c r="Q201" i="8" s="1"/>
  <c r="R201" i="8" s="1"/>
  <c r="S201" i="8" s="1"/>
  <c r="T201" i="8" s="1"/>
  <c r="U201" i="8" s="1"/>
  <c r="V201" i="8" s="1"/>
  <c r="W201" i="8" s="1"/>
  <c r="X201" i="8" s="1"/>
  <c r="Y201" i="8" s="1"/>
  <c r="Z201" i="8" s="1"/>
  <c r="AA201" i="8" s="1"/>
  <c r="AB201" i="8" s="1"/>
  <c r="AC201" i="8" s="1"/>
  <c r="AD201" i="8" s="1"/>
  <c r="AE201" i="8" s="1"/>
  <c r="L201" i="8"/>
  <c r="H201" i="8"/>
  <c r="I201" i="8" s="1"/>
  <c r="J201" i="8" s="1"/>
  <c r="K201" i="8" s="1"/>
  <c r="G201" i="8"/>
  <c r="M194" i="8"/>
  <c r="N194" i="8" s="1"/>
  <c r="O194" i="8" s="1"/>
  <c r="P194" i="8" s="1"/>
  <c r="Q194" i="8" s="1"/>
  <c r="R194" i="8" s="1"/>
  <c r="S194" i="8" s="1"/>
  <c r="T194" i="8" s="1"/>
  <c r="U194" i="8" s="1"/>
  <c r="V194" i="8" s="1"/>
  <c r="W194" i="8" s="1"/>
  <c r="X194" i="8" s="1"/>
  <c r="Y194" i="8" s="1"/>
  <c r="Z194" i="8" s="1"/>
  <c r="AA194" i="8" s="1"/>
  <c r="AB194" i="8" s="1"/>
  <c r="AC194" i="8" s="1"/>
  <c r="AD194" i="8" s="1"/>
  <c r="AE194" i="8" s="1"/>
  <c r="H194" i="8"/>
  <c r="I194" i="8" s="1"/>
  <c r="J194" i="8" s="1"/>
  <c r="K194" i="8" s="1"/>
  <c r="L194" i="8" s="1"/>
  <c r="G194" i="8"/>
  <c r="G187" i="8"/>
  <c r="H187" i="8" s="1"/>
  <c r="I187" i="8" s="1"/>
  <c r="J187" i="8" s="1"/>
  <c r="K187" i="8" s="1"/>
  <c r="L187" i="8" s="1"/>
  <c r="M187" i="8" s="1"/>
  <c r="N187" i="8" s="1"/>
  <c r="O187" i="8" s="1"/>
  <c r="P187" i="8" s="1"/>
  <c r="Q187" i="8" s="1"/>
  <c r="R187" i="8" s="1"/>
  <c r="S187" i="8" s="1"/>
  <c r="T187" i="8" s="1"/>
  <c r="U187" i="8" s="1"/>
  <c r="V187" i="8" s="1"/>
  <c r="W187" i="8" s="1"/>
  <c r="X187" i="8" s="1"/>
  <c r="Y187" i="8" s="1"/>
  <c r="Z187" i="8" s="1"/>
  <c r="AA187" i="8" s="1"/>
  <c r="AB187" i="8" s="1"/>
  <c r="AC187" i="8" s="1"/>
  <c r="AD187" i="8" s="1"/>
  <c r="AE187" i="8" s="1"/>
  <c r="AC181" i="8"/>
  <c r="G177" i="8"/>
  <c r="H177" i="8" s="1"/>
  <c r="I177" i="8" s="1"/>
  <c r="J177" i="8" s="1"/>
  <c r="K177" i="8" s="1"/>
  <c r="L177" i="8" s="1"/>
  <c r="M177" i="8" s="1"/>
  <c r="N177" i="8" s="1"/>
  <c r="O177" i="8" s="1"/>
  <c r="P177" i="8" s="1"/>
  <c r="Q177" i="8" s="1"/>
  <c r="R177" i="8" s="1"/>
  <c r="S177" i="8" s="1"/>
  <c r="T177" i="8" s="1"/>
  <c r="U177" i="8" s="1"/>
  <c r="V177" i="8" s="1"/>
  <c r="W177" i="8" s="1"/>
  <c r="X177" i="8" s="1"/>
  <c r="Y177" i="8" s="1"/>
  <c r="Z177" i="8" s="1"/>
  <c r="AA177" i="8" s="1"/>
  <c r="AB177" i="8" s="1"/>
  <c r="AC177" i="8" s="1"/>
  <c r="AD177" i="8" s="1"/>
  <c r="AE177" i="8" s="1"/>
  <c r="AD174" i="8"/>
  <c r="AA174" i="8"/>
  <c r="Z174" i="8"/>
  <c r="Y174" i="8"/>
  <c r="X174" i="8"/>
  <c r="W174" i="8"/>
  <c r="G170" i="8"/>
  <c r="H170" i="8" s="1"/>
  <c r="I170" i="8" s="1"/>
  <c r="J170" i="8" s="1"/>
  <c r="K170" i="8" s="1"/>
  <c r="L170" i="8" s="1"/>
  <c r="M170" i="8" s="1"/>
  <c r="N170" i="8" s="1"/>
  <c r="O170" i="8" s="1"/>
  <c r="P170" i="8" s="1"/>
  <c r="Q170" i="8" s="1"/>
  <c r="R170" i="8" s="1"/>
  <c r="S170" i="8" s="1"/>
  <c r="T170" i="8" s="1"/>
  <c r="U170" i="8" s="1"/>
  <c r="V170" i="8" s="1"/>
  <c r="W170" i="8" s="1"/>
  <c r="X170" i="8" s="1"/>
  <c r="Y170" i="8" s="1"/>
  <c r="Z170" i="8" s="1"/>
  <c r="AA170" i="8" s="1"/>
  <c r="AB170" i="8" s="1"/>
  <c r="AC170" i="8" s="1"/>
  <c r="AD170" i="8" s="1"/>
  <c r="AE170" i="8" s="1"/>
  <c r="L163" i="8"/>
  <c r="M163" i="8" s="1"/>
  <c r="N163" i="8" s="1"/>
  <c r="O163" i="8" s="1"/>
  <c r="P163" i="8" s="1"/>
  <c r="Q163" i="8" s="1"/>
  <c r="R163" i="8" s="1"/>
  <c r="S163" i="8" s="1"/>
  <c r="T163" i="8" s="1"/>
  <c r="U163" i="8" s="1"/>
  <c r="V163" i="8" s="1"/>
  <c r="W163" i="8" s="1"/>
  <c r="X163" i="8" s="1"/>
  <c r="Y163" i="8" s="1"/>
  <c r="Z163" i="8" s="1"/>
  <c r="AA163" i="8" s="1"/>
  <c r="AB163" i="8" s="1"/>
  <c r="AC163" i="8" s="1"/>
  <c r="AD163" i="8" s="1"/>
  <c r="AE163" i="8" s="1"/>
  <c r="G163" i="8"/>
  <c r="H163" i="8" s="1"/>
  <c r="I163" i="8" s="1"/>
  <c r="J163" i="8" s="1"/>
  <c r="K163" i="8" s="1"/>
  <c r="G156" i="8"/>
  <c r="H156" i="8" s="1"/>
  <c r="I156" i="8" s="1"/>
  <c r="J156" i="8" s="1"/>
  <c r="K156" i="8" s="1"/>
  <c r="L156" i="8" s="1"/>
  <c r="M156" i="8" s="1"/>
  <c r="N156" i="8" s="1"/>
  <c r="O156" i="8" s="1"/>
  <c r="P156" i="8" s="1"/>
  <c r="Q156" i="8" s="1"/>
  <c r="R156" i="8" s="1"/>
  <c r="S156" i="8" s="1"/>
  <c r="T156" i="8" s="1"/>
  <c r="U156" i="8" s="1"/>
  <c r="V156" i="8" s="1"/>
  <c r="W156" i="8" s="1"/>
  <c r="X156" i="8" s="1"/>
  <c r="Y156" i="8" s="1"/>
  <c r="Z156" i="8" s="1"/>
  <c r="AA156" i="8" s="1"/>
  <c r="AB156" i="8" s="1"/>
  <c r="AC156" i="8" s="1"/>
  <c r="AD156" i="8" s="1"/>
  <c r="AE156" i="8" s="1"/>
  <c r="Q149" i="8"/>
  <c r="R149" i="8" s="1"/>
  <c r="S149" i="8" s="1"/>
  <c r="T149" i="8" s="1"/>
  <c r="U149" i="8" s="1"/>
  <c r="V149" i="8" s="1"/>
  <c r="W149" i="8" s="1"/>
  <c r="X149" i="8" s="1"/>
  <c r="Y149" i="8" s="1"/>
  <c r="Z149" i="8" s="1"/>
  <c r="AA149" i="8" s="1"/>
  <c r="AB149" i="8" s="1"/>
  <c r="AC149" i="8" s="1"/>
  <c r="AD149" i="8" s="1"/>
  <c r="AE149" i="8" s="1"/>
  <c r="I149" i="8"/>
  <c r="J149" i="8" s="1"/>
  <c r="K149" i="8" s="1"/>
  <c r="L149" i="8" s="1"/>
  <c r="M149" i="8" s="1"/>
  <c r="N149" i="8" s="1"/>
  <c r="O149" i="8" s="1"/>
  <c r="P149" i="8" s="1"/>
  <c r="H149" i="8"/>
  <c r="G149" i="8"/>
  <c r="H142" i="8"/>
  <c r="I142" i="8" s="1"/>
  <c r="J142" i="8" s="1"/>
  <c r="K142" i="8" s="1"/>
  <c r="L142" i="8" s="1"/>
  <c r="M142" i="8" s="1"/>
  <c r="N142" i="8" s="1"/>
  <c r="O142" i="8" s="1"/>
  <c r="P142" i="8" s="1"/>
  <c r="Q142" i="8" s="1"/>
  <c r="R142" i="8" s="1"/>
  <c r="S142" i="8" s="1"/>
  <c r="T142" i="8" s="1"/>
  <c r="U142" i="8" s="1"/>
  <c r="V142" i="8" s="1"/>
  <c r="W142" i="8" s="1"/>
  <c r="X142" i="8" s="1"/>
  <c r="Y142" i="8" s="1"/>
  <c r="Z142" i="8" s="1"/>
  <c r="AA142" i="8" s="1"/>
  <c r="AB142" i="8" s="1"/>
  <c r="AC142" i="8" s="1"/>
  <c r="AD142" i="8" s="1"/>
  <c r="AE142" i="8" s="1"/>
  <c r="G142" i="8"/>
  <c r="A137" i="8"/>
  <c r="A135" i="8"/>
  <c r="Z132" i="8"/>
  <c r="AA132" i="8" s="1"/>
  <c r="AB132" i="8" s="1"/>
  <c r="AC132" i="8" s="1"/>
  <c r="AD132" i="8" s="1"/>
  <c r="AE132" i="8" s="1"/>
  <c r="R132" i="8"/>
  <c r="S132" i="8" s="1"/>
  <c r="T132" i="8" s="1"/>
  <c r="U132" i="8" s="1"/>
  <c r="V132" i="8" s="1"/>
  <c r="W132" i="8" s="1"/>
  <c r="X132" i="8" s="1"/>
  <c r="Y132" i="8" s="1"/>
  <c r="J132" i="8"/>
  <c r="K132" i="8" s="1"/>
  <c r="L132" i="8" s="1"/>
  <c r="M132" i="8" s="1"/>
  <c r="N132" i="8" s="1"/>
  <c r="O132" i="8" s="1"/>
  <c r="P132" i="8" s="1"/>
  <c r="Q132" i="8" s="1"/>
  <c r="G132" i="8"/>
  <c r="H132" i="8" s="1"/>
  <c r="I132" i="8" s="1"/>
  <c r="I118" i="8"/>
  <c r="J118" i="8" s="1"/>
  <c r="G118" i="8"/>
  <c r="H118" i="8" s="1"/>
  <c r="I111" i="8"/>
  <c r="J111" i="8" s="1"/>
  <c r="K111" i="8" s="1"/>
  <c r="L111" i="8" s="1"/>
  <c r="M111" i="8" s="1"/>
  <c r="N111" i="8" s="1"/>
  <c r="O111" i="8" s="1"/>
  <c r="P111" i="8" s="1"/>
  <c r="Q111" i="8" s="1"/>
  <c r="R111" i="8" s="1"/>
  <c r="S111" i="8" s="1"/>
  <c r="T111" i="8" s="1"/>
  <c r="U111" i="8" s="1"/>
  <c r="V111" i="8" s="1"/>
  <c r="W111" i="8" s="1"/>
  <c r="X111" i="8" s="1"/>
  <c r="Y111" i="8" s="1"/>
  <c r="Z111" i="8" s="1"/>
  <c r="AA111" i="8" s="1"/>
  <c r="AB111" i="8" s="1"/>
  <c r="AC111" i="8" s="1"/>
  <c r="AD111" i="8" s="1"/>
  <c r="AE111" i="8" s="1"/>
  <c r="G111" i="8"/>
  <c r="H111" i="8" s="1"/>
  <c r="E106" i="8"/>
  <c r="E105" i="8"/>
  <c r="H104" i="8"/>
  <c r="I104" i="8" s="1"/>
  <c r="J104" i="8" s="1"/>
  <c r="K104" i="8" s="1"/>
  <c r="L104" i="8" s="1"/>
  <c r="M104" i="8" s="1"/>
  <c r="N104" i="8" s="1"/>
  <c r="O104" i="8" s="1"/>
  <c r="P104" i="8" s="1"/>
  <c r="Q104" i="8" s="1"/>
  <c r="R104" i="8" s="1"/>
  <c r="S104" i="8" s="1"/>
  <c r="T104" i="8" s="1"/>
  <c r="U104" i="8" s="1"/>
  <c r="V104" i="8" s="1"/>
  <c r="W104" i="8" s="1"/>
  <c r="X104" i="8" s="1"/>
  <c r="Y104" i="8" s="1"/>
  <c r="Z104" i="8" s="1"/>
  <c r="AA104" i="8" s="1"/>
  <c r="AB104" i="8" s="1"/>
  <c r="AC104" i="8" s="1"/>
  <c r="AD104" i="8" s="1"/>
  <c r="AE104" i="8" s="1"/>
  <c r="G104" i="8"/>
  <c r="S101" i="8"/>
  <c r="S106" i="8" s="1"/>
  <c r="R101" i="8"/>
  <c r="R106" i="8" s="1"/>
  <c r="Q101" i="8"/>
  <c r="P101" i="8"/>
  <c r="O101" i="8"/>
  <c r="O106" i="8" s="1"/>
  <c r="N101" i="8"/>
  <c r="N106" i="8" s="1"/>
  <c r="M101" i="8"/>
  <c r="L101" i="8"/>
  <c r="K101" i="8"/>
  <c r="K106" i="8" s="1"/>
  <c r="J101" i="8"/>
  <c r="J106" i="8" s="1"/>
  <c r="I101" i="8"/>
  <c r="H101" i="8"/>
  <c r="G101" i="8"/>
  <c r="F101" i="8"/>
  <c r="F106" i="8" s="1"/>
  <c r="A101" i="8"/>
  <c r="V99" i="8"/>
  <c r="W99" i="8" s="1"/>
  <c r="X99" i="8" s="1"/>
  <c r="Y99" i="8" s="1"/>
  <c r="Z99" i="8" s="1"/>
  <c r="AA99" i="8" s="1"/>
  <c r="AB99" i="8" s="1"/>
  <c r="AC99" i="8" s="1"/>
  <c r="AD99" i="8" s="1"/>
  <c r="AE99" i="8" s="1"/>
  <c r="S99" i="8"/>
  <c r="T99" i="8" s="1"/>
  <c r="U99" i="8" s="1"/>
  <c r="R99" i="8"/>
  <c r="R105" i="8" s="1"/>
  <c r="Q99" i="8"/>
  <c r="P99" i="8"/>
  <c r="P105" i="8" s="1"/>
  <c r="O99" i="8"/>
  <c r="N99" i="8"/>
  <c r="N105" i="8" s="1"/>
  <c r="M99" i="8"/>
  <c r="L99" i="8"/>
  <c r="L105" i="8" s="1"/>
  <c r="K99" i="8"/>
  <c r="J99" i="8"/>
  <c r="J105" i="8" s="1"/>
  <c r="I99" i="8"/>
  <c r="H99" i="8"/>
  <c r="I105" i="8" s="1"/>
  <c r="G99" i="8"/>
  <c r="F99" i="8"/>
  <c r="F105" i="8" s="1"/>
  <c r="A99" i="8"/>
  <c r="P98" i="8"/>
  <c r="Q98" i="8" s="1"/>
  <c r="R98" i="8" s="1"/>
  <c r="S98" i="8" s="1"/>
  <c r="T98" i="8" s="1"/>
  <c r="U98" i="8" s="1"/>
  <c r="V98" i="8" s="1"/>
  <c r="W98" i="8" s="1"/>
  <c r="X98" i="8" s="1"/>
  <c r="Y98" i="8" s="1"/>
  <c r="Z98" i="8" s="1"/>
  <c r="AA98" i="8" s="1"/>
  <c r="AB98" i="8" s="1"/>
  <c r="AC98" i="8" s="1"/>
  <c r="AD98" i="8" s="1"/>
  <c r="AE98" i="8" s="1"/>
  <c r="L98" i="8"/>
  <c r="M98" i="8" s="1"/>
  <c r="N98" i="8" s="1"/>
  <c r="O98" i="8" s="1"/>
  <c r="H98" i="8"/>
  <c r="I98" i="8" s="1"/>
  <c r="J98" i="8" s="1"/>
  <c r="K98" i="8" s="1"/>
  <c r="G98" i="8"/>
  <c r="E93" i="8"/>
  <c r="G92" i="8"/>
  <c r="H92" i="8" s="1"/>
  <c r="I92" i="8" s="1"/>
  <c r="J92" i="8" s="1"/>
  <c r="K92" i="8" s="1"/>
  <c r="L92" i="8" s="1"/>
  <c r="M92" i="8" s="1"/>
  <c r="N92" i="8" s="1"/>
  <c r="O92" i="8" s="1"/>
  <c r="P92" i="8" s="1"/>
  <c r="Q92" i="8" s="1"/>
  <c r="R92" i="8" s="1"/>
  <c r="S92" i="8" s="1"/>
  <c r="T92" i="8" s="1"/>
  <c r="U92" i="8" s="1"/>
  <c r="V92" i="8" s="1"/>
  <c r="W92" i="8" s="1"/>
  <c r="X92" i="8" s="1"/>
  <c r="Y92" i="8" s="1"/>
  <c r="Z92" i="8" s="1"/>
  <c r="AA92" i="8" s="1"/>
  <c r="AB92" i="8" s="1"/>
  <c r="AC92" i="8" s="1"/>
  <c r="AD92" i="8" s="1"/>
  <c r="AE92" i="8" s="1"/>
  <c r="F90" i="8"/>
  <c r="F93" i="8" s="1"/>
  <c r="A90" i="8"/>
  <c r="H89" i="8"/>
  <c r="I89" i="8" s="1"/>
  <c r="J89" i="8" s="1"/>
  <c r="K89" i="8" s="1"/>
  <c r="L89" i="8" s="1"/>
  <c r="M89" i="8" s="1"/>
  <c r="N89" i="8" s="1"/>
  <c r="O89" i="8" s="1"/>
  <c r="P89" i="8" s="1"/>
  <c r="Q89" i="8" s="1"/>
  <c r="R89" i="8" s="1"/>
  <c r="S89" i="8" s="1"/>
  <c r="T89" i="8" s="1"/>
  <c r="U89" i="8" s="1"/>
  <c r="V89" i="8" s="1"/>
  <c r="W89" i="8" s="1"/>
  <c r="X89" i="8" s="1"/>
  <c r="Y89" i="8" s="1"/>
  <c r="Z89" i="8" s="1"/>
  <c r="AA89" i="8" s="1"/>
  <c r="AB89" i="8" s="1"/>
  <c r="AC89" i="8" s="1"/>
  <c r="AD89" i="8" s="1"/>
  <c r="AE89" i="8" s="1"/>
  <c r="G89" i="8"/>
  <c r="H81" i="8"/>
  <c r="I81" i="8" s="1"/>
  <c r="J81" i="8" s="1"/>
  <c r="K81" i="8" s="1"/>
  <c r="L81" i="8" s="1"/>
  <c r="M81" i="8" s="1"/>
  <c r="N81" i="8" s="1"/>
  <c r="O81" i="8" s="1"/>
  <c r="P81" i="8" s="1"/>
  <c r="Q81" i="8" s="1"/>
  <c r="R81" i="8" s="1"/>
  <c r="S81" i="8" s="1"/>
  <c r="T81" i="8" s="1"/>
  <c r="U81" i="8" s="1"/>
  <c r="V81" i="8" s="1"/>
  <c r="W81" i="8" s="1"/>
  <c r="X81" i="8" s="1"/>
  <c r="Y81" i="8" s="1"/>
  <c r="Z81" i="8" s="1"/>
  <c r="AA81" i="8" s="1"/>
  <c r="AB81" i="8" s="1"/>
  <c r="AC81" i="8" s="1"/>
  <c r="AD81" i="8" s="1"/>
  <c r="AE81" i="8" s="1"/>
  <c r="G81" i="8"/>
  <c r="E78" i="8"/>
  <c r="M76" i="8"/>
  <c r="N76" i="8" s="1"/>
  <c r="O76" i="8" s="1"/>
  <c r="P76" i="8" s="1"/>
  <c r="Q76" i="8" s="1"/>
  <c r="R76" i="8" s="1"/>
  <c r="S76" i="8" s="1"/>
  <c r="T76" i="8" s="1"/>
  <c r="U76" i="8" s="1"/>
  <c r="V76" i="8" s="1"/>
  <c r="W76" i="8" s="1"/>
  <c r="X76" i="8" s="1"/>
  <c r="Y76" i="8" s="1"/>
  <c r="Z76" i="8" s="1"/>
  <c r="AA76" i="8" s="1"/>
  <c r="AB76" i="8" s="1"/>
  <c r="AC76" i="8" s="1"/>
  <c r="AD76" i="8" s="1"/>
  <c r="AE76" i="8" s="1"/>
  <c r="I76" i="8"/>
  <c r="J76" i="8" s="1"/>
  <c r="K76" i="8" s="1"/>
  <c r="L76" i="8" s="1"/>
  <c r="H76" i="8"/>
  <c r="G76" i="8"/>
  <c r="G68" i="8"/>
  <c r="H68" i="8" s="1"/>
  <c r="I68" i="8" s="1"/>
  <c r="J68" i="8" s="1"/>
  <c r="K68" i="8" s="1"/>
  <c r="L68" i="8" s="1"/>
  <c r="M68" i="8" s="1"/>
  <c r="N68" i="8" s="1"/>
  <c r="O68" i="8" s="1"/>
  <c r="P68" i="8" s="1"/>
  <c r="Q68" i="8" s="1"/>
  <c r="R68" i="8" s="1"/>
  <c r="S68" i="8" s="1"/>
  <c r="T68" i="8" s="1"/>
  <c r="U68" i="8" s="1"/>
  <c r="V68" i="8" s="1"/>
  <c r="W68" i="8" s="1"/>
  <c r="X68" i="8" s="1"/>
  <c r="Y68" i="8" s="1"/>
  <c r="Z68" i="8" s="1"/>
  <c r="AA68" i="8" s="1"/>
  <c r="AB68" i="8" s="1"/>
  <c r="AC68" i="8" s="1"/>
  <c r="AD68" i="8" s="1"/>
  <c r="AE68" i="8" s="1"/>
  <c r="H57" i="8"/>
  <c r="I57" i="8" s="1"/>
  <c r="J57" i="8" s="1"/>
  <c r="K57" i="8" s="1"/>
  <c r="L57" i="8" s="1"/>
  <c r="M57" i="8" s="1"/>
  <c r="N57" i="8" s="1"/>
  <c r="O57" i="8" s="1"/>
  <c r="P57" i="8" s="1"/>
  <c r="Q57" i="8" s="1"/>
  <c r="R57" i="8" s="1"/>
  <c r="S57" i="8" s="1"/>
  <c r="T57" i="8" s="1"/>
  <c r="U57" i="8" s="1"/>
  <c r="V57" i="8" s="1"/>
  <c r="W57" i="8" s="1"/>
  <c r="X57" i="8" s="1"/>
  <c r="Y57" i="8" s="1"/>
  <c r="Z57" i="8" s="1"/>
  <c r="AA57" i="8" s="1"/>
  <c r="AB57" i="8" s="1"/>
  <c r="AC57" i="8" s="1"/>
  <c r="AD57" i="8" s="1"/>
  <c r="AE57" i="8" s="1"/>
  <c r="G57" i="8"/>
  <c r="E57" i="8"/>
  <c r="G46" i="8"/>
  <c r="H46" i="8" s="1"/>
  <c r="I46" i="8" s="1"/>
  <c r="J46" i="8" s="1"/>
  <c r="K46" i="8" s="1"/>
  <c r="L46" i="8" s="1"/>
  <c r="M46" i="8" s="1"/>
  <c r="N46" i="8" s="1"/>
  <c r="O46" i="8" s="1"/>
  <c r="P46" i="8" s="1"/>
  <c r="Q46" i="8" s="1"/>
  <c r="R46" i="8" s="1"/>
  <c r="S46" i="8" s="1"/>
  <c r="T46" i="8" s="1"/>
  <c r="U46" i="8" s="1"/>
  <c r="V46" i="8" s="1"/>
  <c r="W46" i="8" s="1"/>
  <c r="X46" i="8" s="1"/>
  <c r="Y46" i="8" s="1"/>
  <c r="Z46" i="8" s="1"/>
  <c r="AA46" i="8" s="1"/>
  <c r="AB46" i="8" s="1"/>
  <c r="AC46" i="8" s="1"/>
  <c r="AD46" i="8" s="1"/>
  <c r="AE46" i="8" s="1"/>
  <c r="F40" i="8"/>
  <c r="A40" i="8"/>
  <c r="A38" i="8"/>
  <c r="F36" i="8"/>
  <c r="A36" i="8"/>
  <c r="F34" i="8"/>
  <c r="A34" i="8"/>
  <c r="F32" i="8"/>
  <c r="A32" i="8"/>
  <c r="A31" i="8"/>
  <c r="H29" i="8"/>
  <c r="I29" i="8" s="1"/>
  <c r="J29" i="8" s="1"/>
  <c r="K29" i="8" s="1"/>
  <c r="L29" i="8" s="1"/>
  <c r="M29" i="8" s="1"/>
  <c r="N29" i="8" s="1"/>
  <c r="O29" i="8" s="1"/>
  <c r="P29" i="8" s="1"/>
  <c r="Q29" i="8" s="1"/>
  <c r="R29" i="8" s="1"/>
  <c r="S29" i="8" s="1"/>
  <c r="T29" i="8" s="1"/>
  <c r="U29" i="8" s="1"/>
  <c r="V29" i="8" s="1"/>
  <c r="W29" i="8" s="1"/>
  <c r="X29" i="8" s="1"/>
  <c r="Y29" i="8" s="1"/>
  <c r="Z29" i="8" s="1"/>
  <c r="AA29" i="8" s="1"/>
  <c r="AB29" i="8" s="1"/>
  <c r="AC29" i="8" s="1"/>
  <c r="AD29" i="8" s="1"/>
  <c r="AE29" i="8" s="1"/>
  <c r="G29" i="8"/>
  <c r="F24" i="8"/>
  <c r="K20" i="8"/>
  <c r="L20" i="8" s="1"/>
  <c r="M20" i="8" s="1"/>
  <c r="N20" i="8" s="1"/>
  <c r="O20" i="8" s="1"/>
  <c r="P20" i="8" s="1"/>
  <c r="Q20" i="8" s="1"/>
  <c r="R20" i="8" s="1"/>
  <c r="S20" i="8" s="1"/>
  <c r="T20" i="8" s="1"/>
  <c r="U20" i="8" s="1"/>
  <c r="V20" i="8" s="1"/>
  <c r="W20" i="8" s="1"/>
  <c r="X20" i="8" s="1"/>
  <c r="Y20" i="8" s="1"/>
  <c r="Z20" i="8" s="1"/>
  <c r="AA20" i="8" s="1"/>
  <c r="AB20" i="8" s="1"/>
  <c r="AC20" i="8" s="1"/>
  <c r="AD20" i="8" s="1"/>
  <c r="AE20" i="8" s="1"/>
  <c r="H20" i="8"/>
  <c r="I20" i="8" s="1"/>
  <c r="J20" i="8" s="1"/>
  <c r="G20" i="8"/>
  <c r="F18" i="8"/>
  <c r="F15" i="8"/>
  <c r="G14" i="8"/>
  <c r="H14" i="8" s="1"/>
  <c r="I14" i="8" s="1"/>
  <c r="J14" i="8" s="1"/>
  <c r="K14" i="8" s="1"/>
  <c r="L14" i="8" s="1"/>
  <c r="M14" i="8" s="1"/>
  <c r="N14" i="8" s="1"/>
  <c r="O14" i="8" s="1"/>
  <c r="P14" i="8" s="1"/>
  <c r="Q14" i="8" s="1"/>
  <c r="R14" i="8" s="1"/>
  <c r="S14" i="8" s="1"/>
  <c r="T14" i="8" s="1"/>
  <c r="U14" i="8" s="1"/>
  <c r="V14" i="8" s="1"/>
  <c r="W14" i="8" s="1"/>
  <c r="X14" i="8" s="1"/>
  <c r="Y14" i="8" s="1"/>
  <c r="Z14" i="8" s="1"/>
  <c r="AA14" i="8" s="1"/>
  <c r="AB14" i="8" s="1"/>
  <c r="AC14" i="8" s="1"/>
  <c r="AD14" i="8" s="1"/>
  <c r="AE14" i="8" s="1"/>
  <c r="F10" i="8"/>
  <c r="A10" i="8"/>
  <c r="F7" i="8"/>
  <c r="F16" i="8" s="1"/>
  <c r="A7" i="8"/>
  <c r="F5" i="8"/>
  <c r="F21" i="8" s="1"/>
  <c r="A5" i="8"/>
  <c r="L4" i="8"/>
  <c r="M4" i="8" s="1"/>
  <c r="N4" i="8" s="1"/>
  <c r="O4" i="8" s="1"/>
  <c r="P4" i="8" s="1"/>
  <c r="Q4" i="8" s="1"/>
  <c r="R4" i="8" s="1"/>
  <c r="S4" i="8" s="1"/>
  <c r="T4" i="8" s="1"/>
  <c r="U4" i="8" s="1"/>
  <c r="V4" i="8" s="1"/>
  <c r="W4" i="8" s="1"/>
  <c r="X4" i="8" s="1"/>
  <c r="Y4" i="8" s="1"/>
  <c r="Z4" i="8" s="1"/>
  <c r="AA4" i="8" s="1"/>
  <c r="AB4" i="8" s="1"/>
  <c r="AC4" i="8" s="1"/>
  <c r="AD4" i="8" s="1"/>
  <c r="AE4" i="8" s="1"/>
  <c r="I4" i="8"/>
  <c r="J4" i="8" s="1"/>
  <c r="K4" i="8" s="1"/>
  <c r="H4" i="8"/>
  <c r="G4" i="8"/>
  <c r="O66" i="21"/>
  <c r="N66" i="21"/>
  <c r="M66" i="21"/>
  <c r="L66" i="21"/>
  <c r="K66" i="21"/>
  <c r="J66" i="21"/>
  <c r="I66" i="21"/>
  <c r="T56" i="21"/>
  <c r="S56" i="21"/>
  <c r="R56" i="21"/>
  <c r="Q56" i="21"/>
  <c r="P56" i="21"/>
  <c r="O56" i="21"/>
  <c r="N56" i="21"/>
  <c r="M56" i="21"/>
  <c r="L56" i="21"/>
  <c r="K56" i="21"/>
  <c r="J56" i="21"/>
  <c r="I56" i="21"/>
  <c r="H56" i="21"/>
  <c r="G56" i="21"/>
  <c r="F56" i="21"/>
  <c r="E56" i="21"/>
  <c r="D56" i="21"/>
  <c r="T55" i="21"/>
  <c r="S55" i="21"/>
  <c r="R55" i="21"/>
  <c r="Q55" i="21"/>
  <c r="P55" i="21"/>
  <c r="O44" i="21"/>
  <c r="N44" i="21"/>
  <c r="M44" i="21"/>
  <c r="L44" i="21"/>
  <c r="K44" i="21"/>
  <c r="J44" i="21"/>
  <c r="I44" i="21"/>
  <c r="H44" i="21"/>
  <c r="T43" i="21"/>
  <c r="S43" i="21"/>
  <c r="R43" i="21"/>
  <c r="Q43" i="21"/>
  <c r="P43" i="21"/>
  <c r="O43" i="21"/>
  <c r="N43" i="21"/>
  <c r="M43" i="21"/>
  <c r="L43" i="21"/>
  <c r="K43" i="21"/>
  <c r="J43" i="21"/>
  <c r="I43" i="21"/>
  <c r="H43" i="21"/>
  <c r="T42" i="21"/>
  <c r="S42" i="21"/>
  <c r="R42" i="21"/>
  <c r="Q42" i="21"/>
  <c r="P42" i="21"/>
  <c r="O42" i="21"/>
  <c r="N42" i="21"/>
  <c r="M42" i="21"/>
  <c r="L42" i="21"/>
  <c r="K42" i="21"/>
  <c r="J42" i="21"/>
  <c r="I42" i="21"/>
  <c r="H42" i="21"/>
  <c r="T41" i="21"/>
  <c r="S41" i="21"/>
  <c r="R41" i="21"/>
  <c r="Q41" i="21"/>
  <c r="P41" i="21"/>
  <c r="O41" i="21"/>
  <c r="N41" i="21"/>
  <c r="M41" i="21"/>
  <c r="L41" i="21"/>
  <c r="K41" i="21"/>
  <c r="J41" i="21"/>
  <c r="I41" i="21"/>
  <c r="H41" i="21"/>
  <c r="O40" i="21"/>
  <c r="N40" i="21"/>
  <c r="M40" i="21"/>
  <c r="L40" i="21"/>
  <c r="K40" i="21"/>
  <c r="J40" i="21"/>
  <c r="I40" i="21"/>
  <c r="H40" i="21"/>
  <c r="T39" i="21"/>
  <c r="S39" i="21"/>
  <c r="R39" i="21"/>
  <c r="Q39" i="21"/>
  <c r="P39" i="21"/>
  <c r="O39" i="21"/>
  <c r="N39" i="21"/>
  <c r="M39" i="21"/>
  <c r="L39" i="21"/>
  <c r="K39" i="21"/>
  <c r="J39" i="21"/>
  <c r="I39" i="21"/>
  <c r="H39" i="21"/>
  <c r="T38" i="21"/>
  <c r="S38" i="21"/>
  <c r="R38" i="21"/>
  <c r="Q38" i="21"/>
  <c r="P38" i="21"/>
  <c r="O38" i="21"/>
  <c r="N38" i="21"/>
  <c r="M38" i="21"/>
  <c r="L38" i="21"/>
  <c r="K38" i="21"/>
  <c r="J38" i="21"/>
  <c r="I38" i="21"/>
  <c r="H38" i="21"/>
  <c r="T37" i="21"/>
  <c r="S37" i="21"/>
  <c r="R37" i="21"/>
  <c r="Q37" i="21"/>
  <c r="P37" i="21"/>
  <c r="O37" i="21"/>
  <c r="N37" i="21"/>
  <c r="M37" i="21"/>
  <c r="L37" i="21"/>
  <c r="K37" i="21"/>
  <c r="J37" i="21"/>
  <c r="I37" i="21"/>
  <c r="H37" i="21"/>
  <c r="G37" i="21"/>
  <c r="F37" i="21"/>
  <c r="E37" i="21"/>
  <c r="D37" i="21"/>
  <c r="T34" i="21"/>
  <c r="S34" i="21"/>
  <c r="R34" i="21"/>
  <c r="Q34" i="21"/>
  <c r="P34" i="21"/>
  <c r="O34" i="21"/>
  <c r="N34" i="21"/>
  <c r="M34" i="21"/>
  <c r="L34" i="21"/>
  <c r="K34" i="21"/>
  <c r="J34" i="21"/>
  <c r="I34" i="21"/>
  <c r="H34" i="21"/>
  <c r="T32" i="21"/>
  <c r="S32" i="21"/>
  <c r="R32" i="21"/>
  <c r="Q32" i="21"/>
  <c r="P32" i="21"/>
  <c r="O32" i="21"/>
  <c r="N32" i="21"/>
  <c r="M32" i="21"/>
  <c r="L32" i="21"/>
  <c r="K32" i="21"/>
  <c r="J32" i="21"/>
  <c r="I32" i="21"/>
  <c r="H32" i="21"/>
  <c r="G32" i="21"/>
  <c r="F32" i="21"/>
  <c r="E32" i="21"/>
  <c r="D32" i="21"/>
  <c r="T18" i="21"/>
  <c r="CJ42" i="26"/>
  <c r="CI42" i="26"/>
  <c r="CH42" i="26"/>
  <c r="CE42" i="26"/>
  <c r="CD42" i="26"/>
  <c r="CC42" i="26"/>
  <c r="CB42" i="26"/>
  <c r="CA42" i="26"/>
  <c r="BZ42" i="26"/>
  <c r="BY42" i="26"/>
  <c r="BX42" i="26"/>
  <c r="CJ41" i="26"/>
  <c r="CI41" i="26"/>
  <c r="CH41" i="26"/>
  <c r="CE41" i="26"/>
  <c r="CD41" i="26"/>
  <c r="CC41" i="26"/>
  <c r="CB41" i="26"/>
  <c r="CA41" i="26"/>
  <c r="BZ41" i="26"/>
  <c r="BY41" i="26"/>
  <c r="BX41" i="26"/>
  <c r="CJ40" i="26"/>
  <c r="CI40" i="26"/>
  <c r="CH40" i="26"/>
  <c r="CE40" i="26"/>
  <c r="CD40" i="26"/>
  <c r="CC40" i="26"/>
  <c r="CB40" i="26"/>
  <c r="CA40" i="26"/>
  <c r="BZ40" i="26"/>
  <c r="BY40" i="26"/>
  <c r="BX40" i="26"/>
  <c r="CJ39" i="26"/>
  <c r="CI39" i="26"/>
  <c r="CH39" i="26"/>
  <c r="CE39" i="26"/>
  <c r="CD39" i="26"/>
  <c r="CC39" i="26"/>
  <c r="CB39" i="26"/>
  <c r="CA39" i="26"/>
  <c r="BZ39" i="26"/>
  <c r="BY39" i="26"/>
  <c r="BX39" i="26"/>
  <c r="CJ38" i="26"/>
  <c r="CI38" i="26"/>
  <c r="CH38" i="26"/>
  <c r="CE38" i="26"/>
  <c r="CD38" i="26"/>
  <c r="CC38" i="26"/>
  <c r="CB38" i="26"/>
  <c r="CA38" i="26"/>
  <c r="BZ38" i="26"/>
  <c r="BY38" i="26"/>
  <c r="BX38" i="26"/>
  <c r="CJ37" i="26"/>
  <c r="CI37" i="26"/>
  <c r="CH37" i="26"/>
  <c r="CE37" i="26"/>
  <c r="CD37" i="26"/>
  <c r="CC37" i="26"/>
  <c r="CB37" i="26"/>
  <c r="CA37" i="26"/>
  <c r="BZ37" i="26"/>
  <c r="BY37" i="26"/>
  <c r="BX37" i="26"/>
  <c r="CJ36" i="26"/>
  <c r="CI36" i="26"/>
  <c r="CH36" i="26"/>
  <c r="CE36" i="26"/>
  <c r="CD36" i="26"/>
  <c r="CC36" i="26"/>
  <c r="CB36" i="26"/>
  <c r="CA36" i="26"/>
  <c r="BZ36" i="26"/>
  <c r="BY36" i="26"/>
  <c r="BX36" i="26"/>
  <c r="CJ35" i="26"/>
  <c r="CI35" i="26"/>
  <c r="CH35" i="26"/>
  <c r="CE35" i="26"/>
  <c r="CD35" i="26"/>
  <c r="CC35" i="26"/>
  <c r="CB35" i="26"/>
  <c r="CA35" i="26"/>
  <c r="BZ35" i="26"/>
  <c r="BY35" i="26"/>
  <c r="BX35" i="26"/>
  <c r="CJ34" i="26"/>
  <c r="CI34" i="26"/>
  <c r="CH34" i="26"/>
  <c r="CE34" i="26"/>
  <c r="CD34" i="26"/>
  <c r="CC34" i="26"/>
  <c r="CB34" i="26"/>
  <c r="CA34" i="26"/>
  <c r="BZ34" i="26"/>
  <c r="BY34" i="26"/>
  <c r="BX34" i="26"/>
  <c r="CJ33" i="26"/>
  <c r="CI33" i="26"/>
  <c r="CH33" i="26"/>
  <c r="CE33" i="26"/>
  <c r="CD33" i="26"/>
  <c r="CC33" i="26"/>
  <c r="CB33" i="26"/>
  <c r="CA33" i="26"/>
  <c r="BZ33" i="26"/>
  <c r="BY33" i="26"/>
  <c r="BX33" i="26"/>
  <c r="CJ27" i="26"/>
  <c r="CI27" i="26"/>
  <c r="CH27" i="26"/>
  <c r="CJ26" i="26"/>
  <c r="CI26" i="26"/>
  <c r="CH26" i="26"/>
  <c r="CJ25" i="26"/>
  <c r="CI25" i="26"/>
  <c r="CH25" i="26"/>
  <c r="CJ24" i="26"/>
  <c r="CI24" i="26"/>
  <c r="CH24" i="26"/>
  <c r="CJ23" i="26"/>
  <c r="CI23" i="26"/>
  <c r="CH23" i="26"/>
  <c r="CJ22" i="26"/>
  <c r="CI22" i="26"/>
  <c r="CH22" i="26"/>
  <c r="CJ21" i="26"/>
  <c r="CI21" i="26"/>
  <c r="CH21" i="26"/>
  <c r="CJ20" i="26"/>
  <c r="CI20" i="26"/>
  <c r="CH20" i="26"/>
  <c r="CJ19" i="26"/>
  <c r="CI19" i="26"/>
  <c r="CH19" i="26"/>
  <c r="CJ18" i="26"/>
  <c r="CI18" i="26"/>
  <c r="CH18" i="26"/>
  <c r="CJ13" i="26"/>
  <c r="CI13" i="26"/>
  <c r="CH13" i="26"/>
  <c r="CJ12" i="26"/>
  <c r="CI12" i="26"/>
  <c r="CH12" i="26"/>
  <c r="CJ11" i="26"/>
  <c r="CI11" i="26"/>
  <c r="CH11" i="26"/>
  <c r="CJ10" i="26"/>
  <c r="CI10" i="26"/>
  <c r="CH10" i="26"/>
  <c r="CJ9" i="26"/>
  <c r="CI9" i="26"/>
  <c r="CH9" i="26"/>
  <c r="CJ8" i="26"/>
  <c r="CI8" i="26"/>
  <c r="CH8" i="26"/>
  <c r="CJ7" i="26"/>
  <c r="CI7" i="26"/>
  <c r="CH7" i="26"/>
  <c r="CJ6" i="26"/>
  <c r="CI6" i="26"/>
  <c r="CH6" i="26"/>
  <c r="CJ5" i="26"/>
  <c r="CI5" i="26"/>
  <c r="CH5" i="26"/>
  <c r="CJ4" i="26"/>
  <c r="CI4" i="26"/>
  <c r="CH4" i="26"/>
  <c r="E336" i="17"/>
  <c r="E335" i="17"/>
  <c r="E327" i="17"/>
  <c r="E326" i="17"/>
  <c r="CM308" i="17"/>
  <c r="CI308" i="17"/>
  <c r="CE308" i="17"/>
  <c r="E308" i="17"/>
  <c r="E317" i="17" s="1"/>
  <c r="CQ308" i="17"/>
  <c r="E307" i="17"/>
  <c r="E315" i="17" s="1"/>
  <c r="A307" i="17"/>
  <c r="CO306" i="17"/>
  <c r="CP306" i="17" s="1"/>
  <c r="CN306" i="17"/>
  <c r="CJ306" i="17"/>
  <c r="CK306" i="17" s="1"/>
  <c r="CL306" i="17" s="1"/>
  <c r="CG306" i="17"/>
  <c r="CH306" i="17" s="1"/>
  <c r="CF306" i="17"/>
  <c r="A306" i="17"/>
  <c r="CN305" i="17"/>
  <c r="CO305" i="17" s="1"/>
  <c r="CP305" i="17" s="1"/>
  <c r="CK305" i="17"/>
  <c r="CL305" i="17" s="1"/>
  <c r="CJ305" i="17"/>
  <c r="CF305" i="17"/>
  <c r="CG305" i="17" s="1"/>
  <c r="CH305" i="17" s="1"/>
  <c r="A305" i="17"/>
  <c r="CO304" i="17"/>
  <c r="CP304" i="17" s="1"/>
  <c r="CN304" i="17"/>
  <c r="CJ304" i="17"/>
  <c r="CK304" i="17" s="1"/>
  <c r="CL304" i="17" s="1"/>
  <c r="CG304" i="17"/>
  <c r="CH304" i="17" s="1"/>
  <c r="CF304" i="17"/>
  <c r="E304" i="17"/>
  <c r="E312" i="17" s="1"/>
  <c r="A304" i="17"/>
  <c r="CN303" i="17"/>
  <c r="CO303" i="17" s="1"/>
  <c r="CK303" i="17"/>
  <c r="CJ303" i="17"/>
  <c r="CJ307" i="17" s="1"/>
  <c r="CF303" i="17"/>
  <c r="CG303" i="17" s="1"/>
  <c r="E303" i="17"/>
  <c r="E311" i="17" s="1"/>
  <c r="A303" i="17"/>
  <c r="AP298" i="17"/>
  <c r="AP295" i="17"/>
  <c r="A286" i="17"/>
  <c r="A283" i="17"/>
  <c r="A281" i="17"/>
  <c r="A280" i="17"/>
  <c r="A279" i="17"/>
  <c r="A278" i="17"/>
  <c r="A277" i="17"/>
  <c r="CU275" i="17"/>
  <c r="CQ275" i="17"/>
  <c r="CM275" i="17"/>
  <c r="CI275" i="17"/>
  <c r="CE275" i="17"/>
  <c r="CA275" i="17"/>
  <c r="BW275" i="17"/>
  <c r="BS275" i="17"/>
  <c r="BO275" i="17"/>
  <c r="BK275" i="17"/>
  <c r="BG275" i="17"/>
  <c r="BC275" i="17"/>
  <c r="AY275" i="17"/>
  <c r="AU275" i="17"/>
  <c r="AQ275" i="17"/>
  <c r="AM275" i="17"/>
  <c r="AI275" i="17"/>
  <c r="AE275" i="17"/>
  <c r="AA275" i="17"/>
  <c r="W275" i="17"/>
  <c r="S275" i="17"/>
  <c r="O275" i="17"/>
  <c r="K275" i="17"/>
  <c r="G275" i="17"/>
  <c r="E263" i="17"/>
  <c r="CX262" i="17"/>
  <c r="CX267" i="17" s="1"/>
  <c r="CW262" i="17"/>
  <c r="CW267" i="17" s="1"/>
  <c r="CV262" i="17"/>
  <c r="CV267" i="17" s="1"/>
  <c r="CU262" i="17"/>
  <c r="CU267" i="17" s="1"/>
  <c r="CT262" i="17"/>
  <c r="CT267" i="17" s="1"/>
  <c r="CS262" i="17"/>
  <c r="CS267" i="17" s="1"/>
  <c r="CR262" i="17"/>
  <c r="CR267" i="17" s="1"/>
  <c r="CQ262" i="17"/>
  <c r="CQ267" i="17" s="1"/>
  <c r="CP262" i="17"/>
  <c r="CP267" i="17" s="1"/>
  <c r="CO262" i="17"/>
  <c r="CO267" i="17" s="1"/>
  <c r="CN262" i="17"/>
  <c r="CN267" i="17" s="1"/>
  <c r="CM262" i="17"/>
  <c r="CM267" i="17" s="1"/>
  <c r="CL262" i="17"/>
  <c r="CL267" i="17" s="1"/>
  <c r="CK262" i="17"/>
  <c r="CK267" i="17" s="1"/>
  <c r="CJ262" i="17"/>
  <c r="CJ267" i="17" s="1"/>
  <c r="CI262" i="17"/>
  <c r="CI267" i="17" s="1"/>
  <c r="CH262" i="17"/>
  <c r="CH267" i="17" s="1"/>
  <c r="CG262" i="17"/>
  <c r="CG267" i="17" s="1"/>
  <c r="CF262" i="17"/>
  <c r="CF267" i="17" s="1"/>
  <c r="CE262" i="17"/>
  <c r="CE267" i="17" s="1"/>
  <c r="CD262" i="17"/>
  <c r="CD267" i="17" s="1"/>
  <c r="CC262" i="17"/>
  <c r="CC267" i="17" s="1"/>
  <c r="CB262" i="17"/>
  <c r="CB267" i="17" s="1"/>
  <c r="CA262" i="17"/>
  <c r="CA267" i="17" s="1"/>
  <c r="BZ262" i="17"/>
  <c r="BZ267" i="17" s="1"/>
  <c r="BY262" i="17"/>
  <c r="BY267" i="17" s="1"/>
  <c r="BX262" i="17"/>
  <c r="BX267" i="17" s="1"/>
  <c r="BW262" i="17"/>
  <c r="BW267" i="17" s="1"/>
  <c r="BV262" i="17"/>
  <c r="BV267" i="17" s="1"/>
  <c r="BU262" i="17"/>
  <c r="BU267" i="17" s="1"/>
  <c r="BT262" i="17"/>
  <c r="BT267" i="17" s="1"/>
  <c r="BS262" i="17"/>
  <c r="BS267" i="17" s="1"/>
  <c r="BR262" i="17"/>
  <c r="BR267" i="17" s="1"/>
  <c r="BQ262" i="17"/>
  <c r="BQ267" i="17" s="1"/>
  <c r="BP262" i="17"/>
  <c r="BP267" i="17" s="1"/>
  <c r="BO262" i="17"/>
  <c r="BO267" i="17" s="1"/>
  <c r="BN262" i="17"/>
  <c r="BN267" i="17" s="1"/>
  <c r="BM262" i="17"/>
  <c r="BM267" i="17" s="1"/>
  <c r="BL262" i="17"/>
  <c r="BL267" i="17" s="1"/>
  <c r="BK262" i="17"/>
  <c r="BK267" i="17" s="1"/>
  <c r="BJ262" i="17"/>
  <c r="BJ267" i="17" s="1"/>
  <c r="BI262" i="17"/>
  <c r="BI267" i="17" s="1"/>
  <c r="BH262" i="17"/>
  <c r="BH267" i="17" s="1"/>
  <c r="BG262" i="17"/>
  <c r="BG267" i="17" s="1"/>
  <c r="BF262" i="17"/>
  <c r="BF267" i="17" s="1"/>
  <c r="BE262" i="17"/>
  <c r="BE267" i="17" s="1"/>
  <c r="BD262" i="17"/>
  <c r="BD267" i="17" s="1"/>
  <c r="BC262" i="17"/>
  <c r="BC267" i="17" s="1"/>
  <c r="BB262" i="17"/>
  <c r="BB267" i="17" s="1"/>
  <c r="BA262" i="17"/>
  <c r="BA267" i="17" s="1"/>
  <c r="AZ262" i="17"/>
  <c r="AZ267" i="17" s="1"/>
  <c r="AY262" i="17"/>
  <c r="AY267" i="17" s="1"/>
  <c r="AX262" i="17"/>
  <c r="AX267" i="17" s="1"/>
  <c r="AW262" i="17"/>
  <c r="AW267" i="17" s="1"/>
  <c r="AV262" i="17"/>
  <c r="AV267" i="17" s="1"/>
  <c r="AU262" i="17"/>
  <c r="AU267" i="17" s="1"/>
  <c r="AT262" i="17"/>
  <c r="AT267" i="17" s="1"/>
  <c r="AS262" i="17"/>
  <c r="AS267" i="17" s="1"/>
  <c r="AR262" i="17"/>
  <c r="AR267" i="17" s="1"/>
  <c r="AQ262" i="17"/>
  <c r="AQ267" i="17" s="1"/>
  <c r="AP262" i="17"/>
  <c r="AP267" i="17" s="1"/>
  <c r="AO262" i="17"/>
  <c r="AO267" i="17" s="1"/>
  <c r="AN262" i="17"/>
  <c r="AN267" i="17" s="1"/>
  <c r="AM262" i="17"/>
  <c r="AM267" i="17" s="1"/>
  <c r="AL262" i="17"/>
  <c r="AL267" i="17" s="1"/>
  <c r="AK262" i="17"/>
  <c r="AK267" i="17" s="1"/>
  <c r="AJ262" i="17"/>
  <c r="AJ267" i="17" s="1"/>
  <c r="AI262" i="17"/>
  <c r="AI267" i="17" s="1"/>
  <c r="AH262" i="17"/>
  <c r="AH267" i="17" s="1"/>
  <c r="AG262" i="17"/>
  <c r="AG267" i="17" s="1"/>
  <c r="AF262" i="17"/>
  <c r="AF267" i="17" s="1"/>
  <c r="AE262" i="17"/>
  <c r="AE267" i="17" s="1"/>
  <c r="AD262" i="17"/>
  <c r="AD267" i="17" s="1"/>
  <c r="AC262" i="17"/>
  <c r="AC267" i="17" s="1"/>
  <c r="AB262" i="17"/>
  <c r="AB267" i="17" s="1"/>
  <c r="AA262" i="17"/>
  <c r="AA267" i="17" s="1"/>
  <c r="Z262" i="17"/>
  <c r="Z267" i="17" s="1"/>
  <c r="Y262" i="17"/>
  <c r="Y267" i="17" s="1"/>
  <c r="X262" i="17"/>
  <c r="X267" i="17" s="1"/>
  <c r="W262" i="17"/>
  <c r="W267" i="17" s="1"/>
  <c r="V262" i="17"/>
  <c r="V267" i="17" s="1"/>
  <c r="U262" i="17"/>
  <c r="U267" i="17" s="1"/>
  <c r="T262" i="17"/>
  <c r="T267" i="17" s="1"/>
  <c r="S262" i="17"/>
  <c r="S267" i="17" s="1"/>
  <c r="R262" i="17"/>
  <c r="R267" i="17" s="1"/>
  <c r="Q262" i="17"/>
  <c r="Q267" i="17" s="1"/>
  <c r="P262" i="17"/>
  <c r="P267" i="17" s="1"/>
  <c r="O262" i="17"/>
  <c r="O267" i="17" s="1"/>
  <c r="N262" i="17"/>
  <c r="N267" i="17" s="1"/>
  <c r="M262" i="17"/>
  <c r="M267" i="17" s="1"/>
  <c r="L262" i="17"/>
  <c r="L267" i="17" s="1"/>
  <c r="K262" i="17"/>
  <c r="K267" i="17" s="1"/>
  <c r="J262" i="17"/>
  <c r="J267" i="17" s="1"/>
  <c r="I262" i="17"/>
  <c r="I267" i="17" s="1"/>
  <c r="H262" i="17"/>
  <c r="H267" i="17" s="1"/>
  <c r="G262" i="17"/>
  <c r="G267" i="17" s="1"/>
  <c r="A258" i="17"/>
  <c r="E255" i="17"/>
  <c r="CU253" i="17"/>
  <c r="CQ253" i="17"/>
  <c r="CM253" i="17"/>
  <c r="CI253" i="17"/>
  <c r="CE253" i="17"/>
  <c r="CA253" i="17"/>
  <c r="BW253" i="17"/>
  <c r="BS253" i="17"/>
  <c r="BO253" i="17"/>
  <c r="BK253" i="17"/>
  <c r="BG253" i="17"/>
  <c r="BC253" i="17"/>
  <c r="AY253" i="17"/>
  <c r="AU253" i="17"/>
  <c r="AQ253" i="17"/>
  <c r="AM253" i="17"/>
  <c r="AI253" i="17"/>
  <c r="AE253" i="17"/>
  <c r="AA253" i="17"/>
  <c r="W253" i="17"/>
  <c r="S253" i="17"/>
  <c r="O253" i="17"/>
  <c r="K253" i="17"/>
  <c r="G253" i="17"/>
  <c r="CU240" i="17"/>
  <c r="CU14" i="17" s="1"/>
  <c r="L123" i="2" s="1"/>
  <c r="M112" i="20" s="1"/>
  <c r="AD112" i="20" s="1"/>
  <c r="CT14" i="17"/>
  <c r="CS240" i="17"/>
  <c r="CS14" i="17" s="1"/>
  <c r="CR240" i="17"/>
  <c r="CR14" i="17" s="1"/>
  <c r="CX232" i="17"/>
  <c r="CX245" i="17" s="1"/>
  <c r="CW232" i="17"/>
  <c r="CW245" i="17" s="1"/>
  <c r="CV232" i="17"/>
  <c r="CV245" i="17" s="1"/>
  <c r="CU232" i="17"/>
  <c r="CU245" i="17" s="1"/>
  <c r="CT232" i="17"/>
  <c r="CT245" i="17" s="1"/>
  <c r="CS232" i="17"/>
  <c r="CS245" i="17" s="1"/>
  <c r="CR232" i="17"/>
  <c r="CR245" i="17" s="1"/>
  <c r="CQ232" i="17"/>
  <c r="CQ245" i="17" s="1"/>
  <c r="CP232" i="17"/>
  <c r="CP245" i="17" s="1"/>
  <c r="CO232" i="17"/>
  <c r="CO245" i="17" s="1"/>
  <c r="CN232" i="17"/>
  <c r="CN245" i="17" s="1"/>
  <c r="CM232" i="17"/>
  <c r="CM245" i="17" s="1"/>
  <c r="CL232" i="17"/>
  <c r="CL245" i="17" s="1"/>
  <c r="CK232" i="17"/>
  <c r="CK245" i="17" s="1"/>
  <c r="CJ232" i="17"/>
  <c r="CJ245" i="17" s="1"/>
  <c r="CI232" i="17"/>
  <c r="CI245" i="17" s="1"/>
  <c r="CH232" i="17"/>
  <c r="CH245" i="17" s="1"/>
  <c r="CG232" i="17"/>
  <c r="CG245" i="17" s="1"/>
  <c r="CF232" i="17"/>
  <c r="CF245" i="17" s="1"/>
  <c r="CE232" i="17"/>
  <c r="CE245" i="17" s="1"/>
  <c r="CD232" i="17"/>
  <c r="CD245" i="17" s="1"/>
  <c r="CC232" i="17"/>
  <c r="CC245" i="17" s="1"/>
  <c r="CB232" i="17"/>
  <c r="CB245" i="17" s="1"/>
  <c r="CA232" i="17"/>
  <c r="CA245" i="17" s="1"/>
  <c r="BZ232" i="17"/>
  <c r="BZ245" i="17" s="1"/>
  <c r="BY232" i="17"/>
  <c r="BY245" i="17" s="1"/>
  <c r="BX232" i="17"/>
  <c r="BX245" i="17" s="1"/>
  <c r="BW232" i="17"/>
  <c r="BW245" i="17" s="1"/>
  <c r="BV232" i="17"/>
  <c r="BV245" i="17" s="1"/>
  <c r="BU232" i="17"/>
  <c r="BU245" i="17" s="1"/>
  <c r="BT232" i="17"/>
  <c r="BT245" i="17" s="1"/>
  <c r="BS232" i="17"/>
  <c r="BS245" i="17" s="1"/>
  <c r="BR232" i="17"/>
  <c r="BR245" i="17" s="1"/>
  <c r="BQ232" i="17"/>
  <c r="BQ245" i="17" s="1"/>
  <c r="BP232" i="17"/>
  <c r="BP245" i="17" s="1"/>
  <c r="BO232" i="17"/>
  <c r="BO245" i="17" s="1"/>
  <c r="BN232" i="17"/>
  <c r="BN245" i="17" s="1"/>
  <c r="BM232" i="17"/>
  <c r="BM245" i="17" s="1"/>
  <c r="BL232" i="17"/>
  <c r="BL245" i="17" s="1"/>
  <c r="BK232" i="17"/>
  <c r="BK245" i="17" s="1"/>
  <c r="BJ232" i="17"/>
  <c r="BJ245" i="17" s="1"/>
  <c r="BI232" i="17"/>
  <c r="BI245" i="17" s="1"/>
  <c r="BH232" i="17"/>
  <c r="BH245" i="17" s="1"/>
  <c r="BG232" i="17"/>
  <c r="BG245" i="17" s="1"/>
  <c r="BF232" i="17"/>
  <c r="BF245" i="17" s="1"/>
  <c r="BE232" i="17"/>
  <c r="BE245" i="17" s="1"/>
  <c r="BD232" i="17"/>
  <c r="BD245" i="17" s="1"/>
  <c r="BC232" i="17"/>
  <c r="BC245" i="17" s="1"/>
  <c r="BB232" i="17"/>
  <c r="BB245" i="17" s="1"/>
  <c r="BA232" i="17"/>
  <c r="BA245" i="17" s="1"/>
  <c r="AZ232" i="17"/>
  <c r="AZ245" i="17" s="1"/>
  <c r="AY232" i="17"/>
  <c r="AY245" i="17" s="1"/>
  <c r="AX232" i="17"/>
  <c r="AX245" i="17" s="1"/>
  <c r="AW232" i="17"/>
  <c r="AW245" i="17" s="1"/>
  <c r="AV232" i="17"/>
  <c r="AV245" i="17" s="1"/>
  <c r="AU232" i="17"/>
  <c r="AU245" i="17" s="1"/>
  <c r="AT232" i="17"/>
  <c r="AT245" i="17" s="1"/>
  <c r="AS232" i="17"/>
  <c r="AS245" i="17" s="1"/>
  <c r="AR232" i="17"/>
  <c r="AR245" i="17" s="1"/>
  <c r="AQ232" i="17"/>
  <c r="AQ245" i="17" s="1"/>
  <c r="AP232" i="17"/>
  <c r="AP245" i="17" s="1"/>
  <c r="AO232" i="17"/>
  <c r="AO245" i="17" s="1"/>
  <c r="AN232" i="17"/>
  <c r="AN245" i="17" s="1"/>
  <c r="AM232" i="17"/>
  <c r="AM245" i="17" s="1"/>
  <c r="AL232" i="17"/>
  <c r="AL245" i="17" s="1"/>
  <c r="AK232" i="17"/>
  <c r="AK245" i="17" s="1"/>
  <c r="AJ232" i="17"/>
  <c r="AJ245" i="17" s="1"/>
  <c r="AI232" i="17"/>
  <c r="AI245" i="17" s="1"/>
  <c r="AH232" i="17"/>
  <c r="AH245" i="17" s="1"/>
  <c r="AG232" i="17"/>
  <c r="AG245" i="17" s="1"/>
  <c r="AF232" i="17"/>
  <c r="AF245" i="17" s="1"/>
  <c r="AE232" i="17"/>
  <c r="AE245" i="17" s="1"/>
  <c r="AD232" i="17"/>
  <c r="AD245" i="17" s="1"/>
  <c r="AC232" i="17"/>
  <c r="AC245" i="17" s="1"/>
  <c r="AB232" i="17"/>
  <c r="AB245" i="17" s="1"/>
  <c r="AA232" i="17"/>
  <c r="AA245" i="17" s="1"/>
  <c r="Z232" i="17"/>
  <c r="Z245" i="17" s="1"/>
  <c r="Y232" i="17"/>
  <c r="Y245" i="17" s="1"/>
  <c r="X232" i="17"/>
  <c r="X245" i="17" s="1"/>
  <c r="W232" i="17"/>
  <c r="W245" i="17" s="1"/>
  <c r="V232" i="17"/>
  <c r="V245" i="17" s="1"/>
  <c r="U232" i="17"/>
  <c r="U245" i="17" s="1"/>
  <c r="T232" i="17"/>
  <c r="T245" i="17" s="1"/>
  <c r="S232" i="17"/>
  <c r="S245" i="17" s="1"/>
  <c r="R232" i="17"/>
  <c r="R245" i="17" s="1"/>
  <c r="Q232" i="17"/>
  <c r="Q245" i="17" s="1"/>
  <c r="P232" i="17"/>
  <c r="P245" i="17" s="1"/>
  <c r="O232" i="17"/>
  <c r="O245" i="17" s="1"/>
  <c r="N232" i="17"/>
  <c r="N245" i="17" s="1"/>
  <c r="M232" i="17"/>
  <c r="M245" i="17" s="1"/>
  <c r="L232" i="17"/>
  <c r="L245" i="17" s="1"/>
  <c r="K232" i="17"/>
  <c r="K245" i="17" s="1"/>
  <c r="J232" i="17"/>
  <c r="J245" i="17" s="1"/>
  <c r="I232" i="17"/>
  <c r="I245" i="17" s="1"/>
  <c r="H232" i="17"/>
  <c r="H245" i="17" s="1"/>
  <c r="G232" i="17"/>
  <c r="G245" i="17" s="1"/>
  <c r="A228" i="17"/>
  <c r="A227" i="17"/>
  <c r="A223" i="17"/>
  <c r="A220" i="17"/>
  <c r="CU218" i="17"/>
  <c r="CQ218" i="17"/>
  <c r="CM218" i="17"/>
  <c r="CI218" i="17"/>
  <c r="CE218" i="17"/>
  <c r="CA218" i="17"/>
  <c r="BW218" i="17"/>
  <c r="BS218" i="17"/>
  <c r="BO218" i="17"/>
  <c r="BK218" i="17"/>
  <c r="BG218" i="17"/>
  <c r="BC218" i="17"/>
  <c r="AY218" i="17"/>
  <c r="AU218" i="17"/>
  <c r="AQ218" i="17"/>
  <c r="AM218" i="17"/>
  <c r="AI218" i="17"/>
  <c r="AE218" i="17"/>
  <c r="AA218" i="17"/>
  <c r="W218" i="17"/>
  <c r="S218" i="17"/>
  <c r="O218" i="17"/>
  <c r="K218" i="17"/>
  <c r="G218" i="17"/>
  <c r="E206" i="17"/>
  <c r="CX205" i="17"/>
  <c r="CX210" i="17" s="1"/>
  <c r="CW205" i="17"/>
  <c r="CW210" i="17" s="1"/>
  <c r="CV205" i="17"/>
  <c r="CV210" i="17" s="1"/>
  <c r="CU205" i="17"/>
  <c r="CU210" i="17" s="1"/>
  <c r="CT205" i="17"/>
  <c r="CT210" i="17" s="1"/>
  <c r="CS205" i="17"/>
  <c r="CS210" i="17" s="1"/>
  <c r="CR205" i="17"/>
  <c r="CR210" i="17" s="1"/>
  <c r="CQ205" i="17"/>
  <c r="CQ210" i="17" s="1"/>
  <c r="CP205" i="17"/>
  <c r="CP210" i="17" s="1"/>
  <c r="CO205" i="17"/>
  <c r="CO210" i="17" s="1"/>
  <c r="CN205" i="17"/>
  <c r="CN210" i="17" s="1"/>
  <c r="CM205" i="17"/>
  <c r="CM210" i="17" s="1"/>
  <c r="CL205" i="17"/>
  <c r="CL210" i="17" s="1"/>
  <c r="CK205" i="17"/>
  <c r="CK210" i="17" s="1"/>
  <c r="CJ205" i="17"/>
  <c r="CJ210" i="17" s="1"/>
  <c r="CI205" i="17"/>
  <c r="CI210" i="17" s="1"/>
  <c r="CH205" i="17"/>
  <c r="CH210" i="17" s="1"/>
  <c r="CG205" i="17"/>
  <c r="CG210" i="17" s="1"/>
  <c r="CF205" i="17"/>
  <c r="CF210" i="17" s="1"/>
  <c r="CE205" i="17"/>
  <c r="CE210" i="17" s="1"/>
  <c r="CD205" i="17"/>
  <c r="CD210" i="17" s="1"/>
  <c r="CC205" i="17"/>
  <c r="CC210" i="17" s="1"/>
  <c r="CB205" i="17"/>
  <c r="CB210" i="17" s="1"/>
  <c r="CA205" i="17"/>
  <c r="CA210" i="17" s="1"/>
  <c r="BZ205" i="17"/>
  <c r="BZ210" i="17" s="1"/>
  <c r="BY205" i="17"/>
  <c r="BY210" i="17" s="1"/>
  <c r="BX205" i="17"/>
  <c r="BX210" i="17" s="1"/>
  <c r="BW205" i="17"/>
  <c r="BW210" i="17" s="1"/>
  <c r="BV205" i="17"/>
  <c r="BV210" i="17" s="1"/>
  <c r="BU205" i="17"/>
  <c r="BU210" i="17" s="1"/>
  <c r="BT205" i="17"/>
  <c r="BT210" i="17" s="1"/>
  <c r="BS205" i="17"/>
  <c r="BS210" i="17" s="1"/>
  <c r="BR205" i="17"/>
  <c r="BR210" i="17" s="1"/>
  <c r="BQ205" i="17"/>
  <c r="BQ210" i="17" s="1"/>
  <c r="BP205" i="17"/>
  <c r="BP210" i="17" s="1"/>
  <c r="BO205" i="17"/>
  <c r="BO210" i="17" s="1"/>
  <c r="BN205" i="17"/>
  <c r="BN210" i="17" s="1"/>
  <c r="BM205" i="17"/>
  <c r="BM210" i="17" s="1"/>
  <c r="BL205" i="17"/>
  <c r="BL210" i="17" s="1"/>
  <c r="BK205" i="17"/>
  <c r="BK210" i="17" s="1"/>
  <c r="BJ205" i="17"/>
  <c r="BJ210" i="17" s="1"/>
  <c r="BI205" i="17"/>
  <c r="BI210" i="17" s="1"/>
  <c r="BH205" i="17"/>
  <c r="BH210" i="17" s="1"/>
  <c r="BG205" i="17"/>
  <c r="BG210" i="17" s="1"/>
  <c r="BF205" i="17"/>
  <c r="BF210" i="17" s="1"/>
  <c r="BE205" i="17"/>
  <c r="BE210" i="17" s="1"/>
  <c r="BD205" i="17"/>
  <c r="BD210" i="17" s="1"/>
  <c r="BC205" i="17"/>
  <c r="BC210" i="17" s="1"/>
  <c r="BB205" i="17"/>
  <c r="BB210" i="17" s="1"/>
  <c r="BA205" i="17"/>
  <c r="BA210" i="17" s="1"/>
  <c r="AZ205" i="17"/>
  <c r="AZ210" i="17" s="1"/>
  <c r="AY205" i="17"/>
  <c r="AY210" i="17" s="1"/>
  <c r="AX205" i="17"/>
  <c r="AX210" i="17" s="1"/>
  <c r="AW205" i="17"/>
  <c r="AW210" i="17" s="1"/>
  <c r="AV205" i="17"/>
  <c r="AV210" i="17" s="1"/>
  <c r="AU205" i="17"/>
  <c r="AU210" i="17" s="1"/>
  <c r="AT205" i="17"/>
  <c r="AT210" i="17" s="1"/>
  <c r="AS205" i="17"/>
  <c r="AS210" i="17" s="1"/>
  <c r="AR205" i="17"/>
  <c r="AR210" i="17" s="1"/>
  <c r="AQ205" i="17"/>
  <c r="AQ210" i="17" s="1"/>
  <c r="AP205" i="17"/>
  <c r="AP210" i="17" s="1"/>
  <c r="AO205" i="17"/>
  <c r="AO210" i="17" s="1"/>
  <c r="AN205" i="17"/>
  <c r="AN210" i="17" s="1"/>
  <c r="AM205" i="17"/>
  <c r="AM210" i="17" s="1"/>
  <c r="AL205" i="17"/>
  <c r="AL210" i="17" s="1"/>
  <c r="AK205" i="17"/>
  <c r="AK210" i="17" s="1"/>
  <c r="AJ205" i="17"/>
  <c r="AJ210" i="17" s="1"/>
  <c r="AI205" i="17"/>
  <c r="AI210" i="17" s="1"/>
  <c r="AH205" i="17"/>
  <c r="AH210" i="17" s="1"/>
  <c r="AG205" i="17"/>
  <c r="AG210" i="17" s="1"/>
  <c r="AF205" i="17"/>
  <c r="AF210" i="17" s="1"/>
  <c r="AE205" i="17"/>
  <c r="AE210" i="17" s="1"/>
  <c r="AD205" i="17"/>
  <c r="AD210" i="17" s="1"/>
  <c r="AC205" i="17"/>
  <c r="AC210" i="17" s="1"/>
  <c r="AB205" i="17"/>
  <c r="AB210" i="17" s="1"/>
  <c r="AA205" i="17"/>
  <c r="AA210" i="17" s="1"/>
  <c r="Z205" i="17"/>
  <c r="Z210" i="17" s="1"/>
  <c r="Y205" i="17"/>
  <c r="Y210" i="17" s="1"/>
  <c r="X205" i="17"/>
  <c r="X210" i="17" s="1"/>
  <c r="W205" i="17"/>
  <c r="W210" i="17" s="1"/>
  <c r="V205" i="17"/>
  <c r="V210" i="17" s="1"/>
  <c r="U205" i="17"/>
  <c r="U210" i="17" s="1"/>
  <c r="T205" i="17"/>
  <c r="T210" i="17" s="1"/>
  <c r="S205" i="17"/>
  <c r="S210" i="17" s="1"/>
  <c r="R205" i="17"/>
  <c r="R210" i="17" s="1"/>
  <c r="Q205" i="17"/>
  <c r="Q210" i="17" s="1"/>
  <c r="P205" i="17"/>
  <c r="P210" i="17" s="1"/>
  <c r="O205" i="17"/>
  <c r="O210" i="17" s="1"/>
  <c r="N205" i="17"/>
  <c r="N210" i="17" s="1"/>
  <c r="M205" i="17"/>
  <c r="M210" i="17" s="1"/>
  <c r="L205" i="17"/>
  <c r="L210" i="17" s="1"/>
  <c r="K205" i="17"/>
  <c r="K210" i="17" s="1"/>
  <c r="J205" i="17"/>
  <c r="J210" i="17" s="1"/>
  <c r="I205" i="17"/>
  <c r="I210" i="17" s="1"/>
  <c r="H205" i="17"/>
  <c r="H210" i="17" s="1"/>
  <c r="G205" i="17"/>
  <c r="G210" i="17" s="1"/>
  <c r="A201" i="17"/>
  <c r="E199" i="17"/>
  <c r="E198" i="17"/>
  <c r="CU196" i="17"/>
  <c r="CQ196" i="17"/>
  <c r="CM196" i="17"/>
  <c r="CI196" i="17"/>
  <c r="CE196" i="17"/>
  <c r="CA196" i="17"/>
  <c r="BW196" i="17"/>
  <c r="BS196" i="17"/>
  <c r="BO196" i="17"/>
  <c r="BK196" i="17"/>
  <c r="BG196" i="17"/>
  <c r="BC196" i="17"/>
  <c r="AY196" i="17"/>
  <c r="AU196" i="17"/>
  <c r="AQ196" i="17"/>
  <c r="AM196" i="17"/>
  <c r="AI196" i="17"/>
  <c r="AE196" i="17"/>
  <c r="AA196" i="17"/>
  <c r="W196" i="17"/>
  <c r="S196" i="17"/>
  <c r="O196" i="17"/>
  <c r="K196" i="17"/>
  <c r="G196" i="17"/>
  <c r="CV183" i="17"/>
  <c r="CU183" i="17"/>
  <c r="CT183" i="17"/>
  <c r="CR183" i="17"/>
  <c r="CX175" i="17"/>
  <c r="CX188" i="17" s="1"/>
  <c r="CW175" i="17"/>
  <c r="CW188" i="17" s="1"/>
  <c r="CV175" i="17"/>
  <c r="CV188" i="17" s="1"/>
  <c r="CU175" i="17"/>
  <c r="CU188" i="17" s="1"/>
  <c r="CT175" i="17"/>
  <c r="CT188" i="17" s="1"/>
  <c r="CS175" i="17"/>
  <c r="CS188" i="17" s="1"/>
  <c r="CR175" i="17"/>
  <c r="CR188" i="17" s="1"/>
  <c r="CQ175" i="17"/>
  <c r="CQ188" i="17" s="1"/>
  <c r="CP175" i="17"/>
  <c r="CP188" i="17" s="1"/>
  <c r="CO175" i="17"/>
  <c r="CO188" i="17" s="1"/>
  <c r="CN175" i="17"/>
  <c r="CN188" i="17" s="1"/>
  <c r="CM175" i="17"/>
  <c r="CM188" i="17" s="1"/>
  <c r="CL175" i="17"/>
  <c r="CL188" i="17" s="1"/>
  <c r="CK175" i="17"/>
  <c r="CK188" i="17" s="1"/>
  <c r="CJ175" i="17"/>
  <c r="CJ188" i="17" s="1"/>
  <c r="CI175" i="17"/>
  <c r="CI188" i="17" s="1"/>
  <c r="CH175" i="17"/>
  <c r="CH188" i="17" s="1"/>
  <c r="CG175" i="17"/>
  <c r="CG188" i="17" s="1"/>
  <c r="CF175" i="17"/>
  <c r="CF188" i="17" s="1"/>
  <c r="CE175" i="17"/>
  <c r="CE188" i="17" s="1"/>
  <c r="CD175" i="17"/>
  <c r="CD188" i="17" s="1"/>
  <c r="CC175" i="17"/>
  <c r="CC188" i="17" s="1"/>
  <c r="CB175" i="17"/>
  <c r="CB188" i="17" s="1"/>
  <c r="CA175" i="17"/>
  <c r="CA188" i="17" s="1"/>
  <c r="BZ175" i="17"/>
  <c r="BZ188" i="17" s="1"/>
  <c r="BY175" i="17"/>
  <c r="BY188" i="17" s="1"/>
  <c r="BX175" i="17"/>
  <c r="BX188" i="17" s="1"/>
  <c r="BW175" i="17"/>
  <c r="BW188" i="17" s="1"/>
  <c r="BV175" i="17"/>
  <c r="BV188" i="17" s="1"/>
  <c r="BU175" i="17"/>
  <c r="BU188" i="17" s="1"/>
  <c r="BT175" i="17"/>
  <c r="BT188" i="17" s="1"/>
  <c r="BS175" i="17"/>
  <c r="BS188" i="17" s="1"/>
  <c r="BR175" i="17"/>
  <c r="BR188" i="17" s="1"/>
  <c r="BQ175" i="17"/>
  <c r="BQ188" i="17" s="1"/>
  <c r="BP175" i="17"/>
  <c r="BP188" i="17" s="1"/>
  <c r="BO175" i="17"/>
  <c r="BO188" i="17" s="1"/>
  <c r="BN175" i="17"/>
  <c r="BN188" i="17" s="1"/>
  <c r="BM175" i="17"/>
  <c r="BM188" i="17" s="1"/>
  <c r="BL175" i="17"/>
  <c r="BL188" i="17" s="1"/>
  <c r="BK175" i="17"/>
  <c r="BK188" i="17" s="1"/>
  <c r="BJ175" i="17"/>
  <c r="BJ188" i="17" s="1"/>
  <c r="BI175" i="17"/>
  <c r="BI188" i="17" s="1"/>
  <c r="BH175" i="17"/>
  <c r="BH188" i="17" s="1"/>
  <c r="BG175" i="17"/>
  <c r="BG188" i="17" s="1"/>
  <c r="BF175" i="17"/>
  <c r="BF188" i="17" s="1"/>
  <c r="BE175" i="17"/>
  <c r="BE188" i="17" s="1"/>
  <c r="BD175" i="17"/>
  <c r="BD188" i="17" s="1"/>
  <c r="BC175" i="17"/>
  <c r="BC188" i="17" s="1"/>
  <c r="BB175" i="17"/>
  <c r="BB188" i="17" s="1"/>
  <c r="BA175" i="17"/>
  <c r="BA188" i="17" s="1"/>
  <c r="AZ175" i="17"/>
  <c r="AZ188" i="17" s="1"/>
  <c r="AY175" i="17"/>
  <c r="AY188" i="17" s="1"/>
  <c r="AX175" i="17"/>
  <c r="AX188" i="17" s="1"/>
  <c r="AW175" i="17"/>
  <c r="AW188" i="17" s="1"/>
  <c r="AV175" i="17"/>
  <c r="AV188" i="17" s="1"/>
  <c r="AU175" i="17"/>
  <c r="AU188" i="17" s="1"/>
  <c r="AT175" i="17"/>
  <c r="AT188" i="17" s="1"/>
  <c r="AS175" i="17"/>
  <c r="AS188" i="17" s="1"/>
  <c r="AR175" i="17"/>
  <c r="AR188" i="17" s="1"/>
  <c r="AQ175" i="17"/>
  <c r="AQ188" i="17" s="1"/>
  <c r="AP175" i="17"/>
  <c r="AP188" i="17" s="1"/>
  <c r="AO175" i="17"/>
  <c r="AO188" i="17" s="1"/>
  <c r="AN175" i="17"/>
  <c r="AN188" i="17" s="1"/>
  <c r="AM175" i="17"/>
  <c r="AM188" i="17" s="1"/>
  <c r="AL175" i="17"/>
  <c r="AL188" i="17" s="1"/>
  <c r="AK175" i="17"/>
  <c r="AK188" i="17" s="1"/>
  <c r="AJ175" i="17"/>
  <c r="AJ188" i="17" s="1"/>
  <c r="AI175" i="17"/>
  <c r="AI188" i="17" s="1"/>
  <c r="AH175" i="17"/>
  <c r="AH188" i="17" s="1"/>
  <c r="AG175" i="17"/>
  <c r="AG188" i="17" s="1"/>
  <c r="AF175" i="17"/>
  <c r="AF188" i="17" s="1"/>
  <c r="AE175" i="17"/>
  <c r="AE188" i="17" s="1"/>
  <c r="AD175" i="17"/>
  <c r="AD188" i="17" s="1"/>
  <c r="AC175" i="17"/>
  <c r="AC188" i="17" s="1"/>
  <c r="AB175" i="17"/>
  <c r="AB188" i="17" s="1"/>
  <c r="AA175" i="17"/>
  <c r="AA188" i="17" s="1"/>
  <c r="Z175" i="17"/>
  <c r="Z188" i="17" s="1"/>
  <c r="Y175" i="17"/>
  <c r="Y188" i="17" s="1"/>
  <c r="X175" i="17"/>
  <c r="X188" i="17" s="1"/>
  <c r="W175" i="17"/>
  <c r="W188" i="17" s="1"/>
  <c r="V175" i="17"/>
  <c r="V188" i="17" s="1"/>
  <c r="U175" i="17"/>
  <c r="U188" i="17" s="1"/>
  <c r="T175" i="17"/>
  <c r="T188" i="17" s="1"/>
  <c r="S175" i="17"/>
  <c r="S188" i="17" s="1"/>
  <c r="R175" i="17"/>
  <c r="R188" i="17" s="1"/>
  <c r="Q175" i="17"/>
  <c r="Q188" i="17" s="1"/>
  <c r="P175" i="17"/>
  <c r="P188" i="17" s="1"/>
  <c r="O175" i="17"/>
  <c r="O188" i="17" s="1"/>
  <c r="N175" i="17"/>
  <c r="N188" i="17" s="1"/>
  <c r="M175" i="17"/>
  <c r="M188" i="17" s="1"/>
  <c r="L175" i="17"/>
  <c r="L188" i="17" s="1"/>
  <c r="K175" i="17"/>
  <c r="K188" i="17" s="1"/>
  <c r="J175" i="17"/>
  <c r="J188" i="17" s="1"/>
  <c r="I175" i="17"/>
  <c r="I188" i="17" s="1"/>
  <c r="H175" i="17"/>
  <c r="H188" i="17" s="1"/>
  <c r="G175" i="17"/>
  <c r="G188" i="17" s="1"/>
  <c r="A171" i="17"/>
  <c r="A170" i="17"/>
  <c r="A166" i="17"/>
  <c r="A163" i="17"/>
  <c r="CU161" i="17"/>
  <c r="CQ161" i="17"/>
  <c r="CM161" i="17"/>
  <c r="CI161" i="17"/>
  <c r="CE161" i="17"/>
  <c r="CA161" i="17"/>
  <c r="BW161" i="17"/>
  <c r="BS161" i="17"/>
  <c r="BO161" i="17"/>
  <c r="BK161" i="17"/>
  <c r="BG161" i="17"/>
  <c r="BC161" i="17"/>
  <c r="AY161" i="17"/>
  <c r="AU161" i="17"/>
  <c r="AQ161" i="17"/>
  <c r="AM161" i="17"/>
  <c r="AI161" i="17"/>
  <c r="AE161" i="17"/>
  <c r="AA161" i="17"/>
  <c r="W161" i="17"/>
  <c r="S161" i="17"/>
  <c r="O161" i="17"/>
  <c r="K161" i="17"/>
  <c r="G161" i="17"/>
  <c r="CX148" i="17"/>
  <c r="CX153" i="17" s="1"/>
  <c r="CW148" i="17"/>
  <c r="CW153" i="17" s="1"/>
  <c r="CV148" i="17"/>
  <c r="CV153" i="17" s="1"/>
  <c r="CU148" i="17"/>
  <c r="CU153" i="17" s="1"/>
  <c r="CT148" i="17"/>
  <c r="CT153" i="17" s="1"/>
  <c r="CS148" i="17"/>
  <c r="CS153" i="17" s="1"/>
  <c r="CR148" i="17"/>
  <c r="CR153" i="17" s="1"/>
  <c r="CQ148" i="17"/>
  <c r="CQ153" i="17" s="1"/>
  <c r="CP148" i="17"/>
  <c r="CP153" i="17" s="1"/>
  <c r="CO148" i="17"/>
  <c r="CO153" i="17" s="1"/>
  <c r="CN148" i="17"/>
  <c r="CN153" i="17" s="1"/>
  <c r="CM148" i="17"/>
  <c r="CM153" i="17" s="1"/>
  <c r="CL148" i="17"/>
  <c r="CL153" i="17" s="1"/>
  <c r="CK148" i="17"/>
  <c r="CK153" i="17" s="1"/>
  <c r="CJ148" i="17"/>
  <c r="CJ153" i="17" s="1"/>
  <c r="CI148" i="17"/>
  <c r="CI153" i="17" s="1"/>
  <c r="CH148" i="17"/>
  <c r="CH153" i="17" s="1"/>
  <c r="CG148" i="17"/>
  <c r="CG153" i="17" s="1"/>
  <c r="CF148" i="17"/>
  <c r="CF153" i="17" s="1"/>
  <c r="CE148" i="17"/>
  <c r="CE153" i="17" s="1"/>
  <c r="CD148" i="17"/>
  <c r="CD153" i="17" s="1"/>
  <c r="CC148" i="17"/>
  <c r="CC153" i="17" s="1"/>
  <c r="CB148" i="17"/>
  <c r="CB153" i="17" s="1"/>
  <c r="CA148" i="17"/>
  <c r="CA153" i="17" s="1"/>
  <c r="BZ148" i="17"/>
  <c r="BZ153" i="17" s="1"/>
  <c r="BY148" i="17"/>
  <c r="BY153" i="17" s="1"/>
  <c r="BX148" i="17"/>
  <c r="BX153" i="17" s="1"/>
  <c r="BW148" i="17"/>
  <c r="BW153" i="17" s="1"/>
  <c r="BV148" i="17"/>
  <c r="BV153" i="17" s="1"/>
  <c r="BU148" i="17"/>
  <c r="BU153" i="17" s="1"/>
  <c r="BT148" i="17"/>
  <c r="BT153" i="17" s="1"/>
  <c r="BS148" i="17"/>
  <c r="BS153" i="17" s="1"/>
  <c r="BR148" i="17"/>
  <c r="BR153" i="17" s="1"/>
  <c r="BQ148" i="17"/>
  <c r="BQ153" i="17" s="1"/>
  <c r="BP148" i="17"/>
  <c r="BP153" i="17" s="1"/>
  <c r="BO148" i="17"/>
  <c r="BO153" i="17" s="1"/>
  <c r="BN148" i="17"/>
  <c r="BN153" i="17" s="1"/>
  <c r="BM148" i="17"/>
  <c r="BM153" i="17" s="1"/>
  <c r="BL148" i="17"/>
  <c r="BL153" i="17" s="1"/>
  <c r="BK148" i="17"/>
  <c r="BK153" i="17" s="1"/>
  <c r="BJ148" i="17"/>
  <c r="BJ153" i="17" s="1"/>
  <c r="BI148" i="17"/>
  <c r="BI153" i="17" s="1"/>
  <c r="BH148" i="17"/>
  <c r="BH153" i="17" s="1"/>
  <c r="BG148" i="17"/>
  <c r="BG153" i="17" s="1"/>
  <c r="BF148" i="17"/>
  <c r="BF153" i="17" s="1"/>
  <c r="BE148" i="17"/>
  <c r="BE153" i="17" s="1"/>
  <c r="BD148" i="17"/>
  <c r="BD153" i="17" s="1"/>
  <c r="BC148" i="17"/>
  <c r="BC153" i="17" s="1"/>
  <c r="BB148" i="17"/>
  <c r="BB153" i="17" s="1"/>
  <c r="BA148" i="17"/>
  <c r="BA153" i="17" s="1"/>
  <c r="AZ148" i="17"/>
  <c r="AZ153" i="17" s="1"/>
  <c r="AY148" i="17"/>
  <c r="AY153" i="17" s="1"/>
  <c r="AX148" i="17"/>
  <c r="AX153" i="17" s="1"/>
  <c r="AW148" i="17"/>
  <c r="AW153" i="17" s="1"/>
  <c r="AV148" i="17"/>
  <c r="AV153" i="17" s="1"/>
  <c r="AU148" i="17"/>
  <c r="AU153" i="17" s="1"/>
  <c r="AT148" i="17"/>
  <c r="AT153" i="17" s="1"/>
  <c r="AS148" i="17"/>
  <c r="AS153" i="17" s="1"/>
  <c r="AR148" i="17"/>
  <c r="AR153" i="17" s="1"/>
  <c r="AQ148" i="17"/>
  <c r="AQ153" i="17" s="1"/>
  <c r="AP148" i="17"/>
  <c r="AP153" i="17" s="1"/>
  <c r="AO148" i="17"/>
  <c r="AO153" i="17" s="1"/>
  <c r="AN148" i="17"/>
  <c r="AN153" i="17" s="1"/>
  <c r="AM148" i="17"/>
  <c r="AM153" i="17" s="1"/>
  <c r="AL148" i="17"/>
  <c r="AL153" i="17" s="1"/>
  <c r="AK148" i="17"/>
  <c r="AK153" i="17" s="1"/>
  <c r="AJ148" i="17"/>
  <c r="AJ153" i="17" s="1"/>
  <c r="AI148" i="17"/>
  <c r="AI153" i="17" s="1"/>
  <c r="AH148" i="17"/>
  <c r="AH153" i="17" s="1"/>
  <c r="AG148" i="17"/>
  <c r="AG153" i="17" s="1"/>
  <c r="AF148" i="17"/>
  <c r="AF153" i="17" s="1"/>
  <c r="AE148" i="17"/>
  <c r="AE153" i="17" s="1"/>
  <c r="AD148" i="17"/>
  <c r="AD153" i="17" s="1"/>
  <c r="AC148" i="17"/>
  <c r="AC153" i="17" s="1"/>
  <c r="AB148" i="17"/>
  <c r="AB153" i="17" s="1"/>
  <c r="AA148" i="17"/>
  <c r="AA153" i="17" s="1"/>
  <c r="Z148" i="17"/>
  <c r="Z153" i="17" s="1"/>
  <c r="Y148" i="17"/>
  <c r="Y153" i="17" s="1"/>
  <c r="X148" i="17"/>
  <c r="X153" i="17" s="1"/>
  <c r="W148" i="17"/>
  <c r="W153" i="17" s="1"/>
  <c r="V148" i="17"/>
  <c r="V153" i="17" s="1"/>
  <c r="U148" i="17"/>
  <c r="U153" i="17" s="1"/>
  <c r="T148" i="17"/>
  <c r="T153" i="17" s="1"/>
  <c r="S148" i="17"/>
  <c r="S153" i="17" s="1"/>
  <c r="R148" i="17"/>
  <c r="R153" i="17" s="1"/>
  <c r="Q148" i="17"/>
  <c r="Q153" i="17" s="1"/>
  <c r="P148" i="17"/>
  <c r="P153" i="17" s="1"/>
  <c r="O148" i="17"/>
  <c r="O153" i="17" s="1"/>
  <c r="N148" i="17"/>
  <c r="N153" i="17" s="1"/>
  <c r="M148" i="17"/>
  <c r="M153" i="17" s="1"/>
  <c r="L148" i="17"/>
  <c r="L153" i="17" s="1"/>
  <c r="K148" i="17"/>
  <c r="K153" i="17" s="1"/>
  <c r="J148" i="17"/>
  <c r="J153" i="17" s="1"/>
  <c r="I148" i="17"/>
  <c r="I153" i="17" s="1"/>
  <c r="H148" i="17"/>
  <c r="H153" i="17" s="1"/>
  <c r="G148" i="17"/>
  <c r="G153" i="17" s="1"/>
  <c r="A144" i="17"/>
  <c r="E142" i="17"/>
  <c r="CU139" i="17"/>
  <c r="CQ139" i="17"/>
  <c r="CM139" i="17"/>
  <c r="CI139" i="17"/>
  <c r="CE139" i="17"/>
  <c r="CA139" i="17"/>
  <c r="BW139" i="17"/>
  <c r="BS139" i="17"/>
  <c r="BO139" i="17"/>
  <c r="BK139" i="17"/>
  <c r="BG139" i="17"/>
  <c r="BC139" i="17"/>
  <c r="AY139" i="17"/>
  <c r="AU139" i="17"/>
  <c r="AQ139" i="17"/>
  <c r="AM139" i="17"/>
  <c r="AI139" i="17"/>
  <c r="AE139" i="17"/>
  <c r="AA139" i="17"/>
  <c r="W139" i="17"/>
  <c r="S139" i="17"/>
  <c r="O139" i="17"/>
  <c r="K139" i="17"/>
  <c r="G139" i="17"/>
  <c r="E129" i="17"/>
  <c r="CX128" i="17"/>
  <c r="CX133" i="17" s="1"/>
  <c r="CW128" i="17"/>
  <c r="CW133" i="17" s="1"/>
  <c r="CV128" i="17"/>
  <c r="CV133" i="17" s="1"/>
  <c r="CU128" i="17"/>
  <c r="CU133" i="17" s="1"/>
  <c r="CT128" i="17"/>
  <c r="CT133" i="17" s="1"/>
  <c r="CS128" i="17"/>
  <c r="CS133" i="17" s="1"/>
  <c r="CR128" i="17"/>
  <c r="CR133" i="17" s="1"/>
  <c r="CQ128" i="17"/>
  <c r="CQ133" i="17" s="1"/>
  <c r="CP128" i="17"/>
  <c r="CP133" i="17" s="1"/>
  <c r="CO128" i="17"/>
  <c r="CO133" i="17" s="1"/>
  <c r="CN128" i="17"/>
  <c r="CN133" i="17" s="1"/>
  <c r="CM128" i="17"/>
  <c r="CM133" i="17" s="1"/>
  <c r="CL128" i="17"/>
  <c r="CL133" i="17" s="1"/>
  <c r="CK128" i="17"/>
  <c r="CK133" i="17" s="1"/>
  <c r="CJ128" i="17"/>
  <c r="CJ133" i="17" s="1"/>
  <c r="CI128" i="17"/>
  <c r="CI133" i="17" s="1"/>
  <c r="CH128" i="17"/>
  <c r="CH133" i="17" s="1"/>
  <c r="CG128" i="17"/>
  <c r="CG133" i="17" s="1"/>
  <c r="CF128" i="17"/>
  <c r="CF133" i="17" s="1"/>
  <c r="CE128" i="17"/>
  <c r="CE133" i="17" s="1"/>
  <c r="CD128" i="17"/>
  <c r="CD133" i="17" s="1"/>
  <c r="CC128" i="17"/>
  <c r="CC133" i="17" s="1"/>
  <c r="CB128" i="17"/>
  <c r="CB133" i="17" s="1"/>
  <c r="CA128" i="17"/>
  <c r="CA133" i="17" s="1"/>
  <c r="BZ128" i="17"/>
  <c r="BZ133" i="17" s="1"/>
  <c r="BY128" i="17"/>
  <c r="BY133" i="17" s="1"/>
  <c r="BX128" i="17"/>
  <c r="BX133" i="17" s="1"/>
  <c r="BW128" i="17"/>
  <c r="BW133" i="17" s="1"/>
  <c r="BV128" i="17"/>
  <c r="BV133" i="17" s="1"/>
  <c r="BU128" i="17"/>
  <c r="BU133" i="17" s="1"/>
  <c r="BT128" i="17"/>
  <c r="BT133" i="17" s="1"/>
  <c r="BS128" i="17"/>
  <c r="BS133" i="17" s="1"/>
  <c r="BR128" i="17"/>
  <c r="BR133" i="17" s="1"/>
  <c r="BQ128" i="17"/>
  <c r="BQ133" i="17" s="1"/>
  <c r="BP128" i="17"/>
  <c r="BP133" i="17" s="1"/>
  <c r="BO128" i="17"/>
  <c r="BO133" i="17" s="1"/>
  <c r="BN128" i="17"/>
  <c r="BN133" i="17" s="1"/>
  <c r="BM128" i="17"/>
  <c r="BM133" i="17" s="1"/>
  <c r="BL128" i="17"/>
  <c r="BL133" i="17" s="1"/>
  <c r="BK128" i="17"/>
  <c r="BK133" i="17" s="1"/>
  <c r="BJ128" i="17"/>
  <c r="BJ133" i="17" s="1"/>
  <c r="BI128" i="17"/>
  <c r="BI133" i="17" s="1"/>
  <c r="BH128" i="17"/>
  <c r="BH133" i="17" s="1"/>
  <c r="BG128" i="17"/>
  <c r="BG133" i="17" s="1"/>
  <c r="BF128" i="17"/>
  <c r="BF133" i="17" s="1"/>
  <c r="BE128" i="17"/>
  <c r="BE133" i="17" s="1"/>
  <c r="BD128" i="17"/>
  <c r="BD133" i="17" s="1"/>
  <c r="BC128" i="17"/>
  <c r="BC133" i="17" s="1"/>
  <c r="BB128" i="17"/>
  <c r="BB133" i="17" s="1"/>
  <c r="BA128" i="17"/>
  <c r="BA133" i="17" s="1"/>
  <c r="AZ128" i="17"/>
  <c r="AZ133" i="17" s="1"/>
  <c r="AY128" i="17"/>
  <c r="AY133" i="17" s="1"/>
  <c r="AX128" i="17"/>
  <c r="AX133" i="17" s="1"/>
  <c r="AW128" i="17"/>
  <c r="AW133" i="17" s="1"/>
  <c r="AV128" i="17"/>
  <c r="AV133" i="17" s="1"/>
  <c r="AU128" i="17"/>
  <c r="AU133" i="17" s="1"/>
  <c r="AT128" i="17"/>
  <c r="AT133" i="17" s="1"/>
  <c r="AS128" i="17"/>
  <c r="AS133" i="17" s="1"/>
  <c r="AR128" i="17"/>
  <c r="AR133" i="17" s="1"/>
  <c r="AQ128" i="17"/>
  <c r="AQ133" i="17" s="1"/>
  <c r="AP128" i="17"/>
  <c r="AP133" i="17" s="1"/>
  <c r="AO128" i="17"/>
  <c r="AO133" i="17" s="1"/>
  <c r="AN128" i="17"/>
  <c r="AN133" i="17" s="1"/>
  <c r="AM128" i="17"/>
  <c r="AM133" i="17" s="1"/>
  <c r="AL128" i="17"/>
  <c r="AL133" i="17" s="1"/>
  <c r="AK128" i="17"/>
  <c r="AK133" i="17" s="1"/>
  <c r="AJ128" i="17"/>
  <c r="AJ133" i="17" s="1"/>
  <c r="AI128" i="17"/>
  <c r="AI133" i="17" s="1"/>
  <c r="AH128" i="17"/>
  <c r="AH133" i="17" s="1"/>
  <c r="AG128" i="17"/>
  <c r="AG133" i="17" s="1"/>
  <c r="AF128" i="17"/>
  <c r="AF133" i="17" s="1"/>
  <c r="AE128" i="17"/>
  <c r="AE133" i="17" s="1"/>
  <c r="AD128" i="17"/>
  <c r="AD133" i="17" s="1"/>
  <c r="AC128" i="17"/>
  <c r="AC133" i="17" s="1"/>
  <c r="AB128" i="17"/>
  <c r="AB133" i="17" s="1"/>
  <c r="AA128" i="17"/>
  <c r="AA133" i="17" s="1"/>
  <c r="Z128" i="17"/>
  <c r="Z133" i="17" s="1"/>
  <c r="Y128" i="17"/>
  <c r="Y133" i="17" s="1"/>
  <c r="X128" i="17"/>
  <c r="X133" i="17" s="1"/>
  <c r="W128" i="17"/>
  <c r="W133" i="17" s="1"/>
  <c r="V128" i="17"/>
  <c r="V133" i="17" s="1"/>
  <c r="U128" i="17"/>
  <c r="U133" i="17" s="1"/>
  <c r="T128" i="17"/>
  <c r="T133" i="17" s="1"/>
  <c r="S128" i="17"/>
  <c r="S133" i="17" s="1"/>
  <c r="R128" i="17"/>
  <c r="R133" i="17" s="1"/>
  <c r="Q128" i="17"/>
  <c r="Q133" i="17" s="1"/>
  <c r="P128" i="17"/>
  <c r="P133" i="17" s="1"/>
  <c r="O128" i="17"/>
  <c r="O133" i="17" s="1"/>
  <c r="N128" i="17"/>
  <c r="N133" i="17" s="1"/>
  <c r="M128" i="17"/>
  <c r="M133" i="17" s="1"/>
  <c r="L128" i="17"/>
  <c r="L133" i="17" s="1"/>
  <c r="K128" i="17"/>
  <c r="K133" i="17" s="1"/>
  <c r="J128" i="17"/>
  <c r="J133" i="17" s="1"/>
  <c r="I128" i="17"/>
  <c r="I133" i="17" s="1"/>
  <c r="H128" i="17"/>
  <c r="H133" i="17" s="1"/>
  <c r="G128" i="17"/>
  <c r="G133" i="17" s="1"/>
  <c r="A124" i="17"/>
  <c r="CU122" i="17"/>
  <c r="CQ122" i="17"/>
  <c r="CM122" i="17"/>
  <c r="CI122" i="17"/>
  <c r="CE122" i="17"/>
  <c r="CA122" i="17"/>
  <c r="BW122" i="17"/>
  <c r="BS122" i="17"/>
  <c r="BO122" i="17"/>
  <c r="BK122" i="17"/>
  <c r="BG122" i="17"/>
  <c r="BC122" i="17"/>
  <c r="AY122" i="17"/>
  <c r="AU122" i="17"/>
  <c r="AQ122" i="17"/>
  <c r="AM122" i="17"/>
  <c r="AI122" i="17"/>
  <c r="AE122" i="17"/>
  <c r="AA122" i="17"/>
  <c r="W122" i="17"/>
  <c r="S122" i="17"/>
  <c r="O122" i="17"/>
  <c r="K122" i="17"/>
  <c r="G122" i="17"/>
  <c r="CX114" i="17"/>
  <c r="CW114" i="17"/>
  <c r="CV114" i="17"/>
  <c r="CU114" i="17"/>
  <c r="CT114" i="17"/>
  <c r="CS114" i="17"/>
  <c r="CR114" i="17"/>
  <c r="CQ114" i="17"/>
  <c r="CP114" i="17"/>
  <c r="CO114" i="17"/>
  <c r="CN114" i="17"/>
  <c r="CM114" i="17"/>
  <c r="CL114" i="17"/>
  <c r="CK114" i="17"/>
  <c r="CJ114" i="17"/>
  <c r="CI114" i="17"/>
  <c r="CH114" i="17"/>
  <c r="CG114" i="17"/>
  <c r="CF114" i="17"/>
  <c r="CE114" i="17"/>
  <c r="CD114" i="17"/>
  <c r="CC114" i="17"/>
  <c r="CB114" i="17"/>
  <c r="CA114" i="17"/>
  <c r="BZ114" i="17"/>
  <c r="BY114" i="17"/>
  <c r="BX114" i="17"/>
  <c r="BW114" i="17"/>
  <c r="BV114" i="17"/>
  <c r="BU114" i="17"/>
  <c r="BT114" i="17"/>
  <c r="BS114" i="17"/>
  <c r="BR114" i="17"/>
  <c r="BQ114" i="17"/>
  <c r="BP114" i="17"/>
  <c r="BO114" i="17"/>
  <c r="BN114" i="17"/>
  <c r="BM114" i="17"/>
  <c r="BL114" i="17"/>
  <c r="BK114" i="17"/>
  <c r="BJ114" i="17"/>
  <c r="BI114" i="17"/>
  <c r="BH114" i="17"/>
  <c r="BG114" i="17"/>
  <c r="BF114" i="17"/>
  <c r="BE114" i="17"/>
  <c r="BD114" i="17"/>
  <c r="BC114" i="17"/>
  <c r="BB114" i="17"/>
  <c r="BA114" i="17"/>
  <c r="AZ114" i="17"/>
  <c r="AY114" i="17"/>
  <c r="AX114" i="17"/>
  <c r="AW114" i="17"/>
  <c r="AV114" i="17"/>
  <c r="AU114" i="17"/>
  <c r="AT114" i="17"/>
  <c r="AS114" i="17"/>
  <c r="AR114" i="17"/>
  <c r="AQ114" i="17"/>
  <c r="AP114" i="17"/>
  <c r="AO114" i="17"/>
  <c r="AN114" i="17"/>
  <c r="AM114" i="17"/>
  <c r="AL114" i="17"/>
  <c r="AK114" i="17"/>
  <c r="AJ114" i="17"/>
  <c r="AI114" i="17"/>
  <c r="AH114" i="17"/>
  <c r="AG114" i="17"/>
  <c r="AF114" i="17"/>
  <c r="AE114" i="17"/>
  <c r="AD114" i="17"/>
  <c r="AC114" i="17"/>
  <c r="AB114" i="17"/>
  <c r="AA114" i="17"/>
  <c r="Z114" i="17"/>
  <c r="Y114" i="17"/>
  <c r="X114" i="17"/>
  <c r="W114" i="17"/>
  <c r="V114" i="17"/>
  <c r="U114" i="17"/>
  <c r="T114" i="17"/>
  <c r="S114" i="17"/>
  <c r="R114" i="17"/>
  <c r="Q114" i="17"/>
  <c r="P114" i="17"/>
  <c r="O114" i="17"/>
  <c r="N114" i="17"/>
  <c r="M114" i="17"/>
  <c r="L114" i="17"/>
  <c r="K114" i="17"/>
  <c r="J114" i="17"/>
  <c r="I114" i="17"/>
  <c r="H114" i="17"/>
  <c r="G114" i="17"/>
  <c r="E105" i="17"/>
  <c r="E141" i="17" s="1"/>
  <c r="A105" i="17"/>
  <c r="E103" i="17"/>
  <c r="E102" i="17"/>
  <c r="E101" i="17"/>
  <c r="CU99" i="17"/>
  <c r="CQ99" i="17"/>
  <c r="CM99" i="17"/>
  <c r="CI99" i="17"/>
  <c r="CE99" i="17"/>
  <c r="CA99" i="17"/>
  <c r="BW99" i="17"/>
  <c r="BS99" i="17"/>
  <c r="BO99" i="17"/>
  <c r="BK99" i="17"/>
  <c r="BG99" i="17"/>
  <c r="BC99" i="17"/>
  <c r="AY99" i="17"/>
  <c r="AU99" i="17"/>
  <c r="AQ99" i="17"/>
  <c r="AM99" i="17"/>
  <c r="AI99" i="17"/>
  <c r="AE99" i="17"/>
  <c r="AA99" i="17"/>
  <c r="W99" i="17"/>
  <c r="S99" i="17"/>
  <c r="O99" i="17"/>
  <c r="K99" i="17"/>
  <c r="G99" i="17"/>
  <c r="CP95" i="17"/>
  <c r="CX86" i="17"/>
  <c r="CX8" i="17" s="1"/>
  <c r="O117" i="2" s="1"/>
  <c r="P105" i="20" s="1"/>
  <c r="AG105" i="20" s="1"/>
  <c r="CW86" i="17"/>
  <c r="CW8" i="17" s="1"/>
  <c r="N117" i="2" s="1"/>
  <c r="CV86" i="17"/>
  <c r="CV8" i="17" s="1"/>
  <c r="M117" i="2" s="1"/>
  <c r="N105" i="20" s="1"/>
  <c r="AE105" i="20" s="1"/>
  <c r="CU86" i="17"/>
  <c r="CS86" i="17"/>
  <c r="CS8" i="17" s="1"/>
  <c r="CR86" i="17"/>
  <c r="CR8" i="17" s="1"/>
  <c r="CX75" i="17"/>
  <c r="CX91" i="17" s="1"/>
  <c r="CW75" i="17"/>
  <c r="CW91" i="17" s="1"/>
  <c r="CV75" i="17"/>
  <c r="CV91" i="17" s="1"/>
  <c r="CU75" i="17"/>
  <c r="CU91" i="17" s="1"/>
  <c r="CT75" i="17"/>
  <c r="CT91" i="17" s="1"/>
  <c r="CS75" i="17"/>
  <c r="CS91" i="17" s="1"/>
  <c r="CR75" i="17"/>
  <c r="CR91" i="17" s="1"/>
  <c r="CQ75" i="17"/>
  <c r="CQ91" i="17" s="1"/>
  <c r="CP75" i="17"/>
  <c r="CP91" i="17" s="1"/>
  <c r="CO75" i="17"/>
  <c r="CO91" i="17" s="1"/>
  <c r="CN75" i="17"/>
  <c r="CN91" i="17" s="1"/>
  <c r="CM75" i="17"/>
  <c r="CM91" i="17" s="1"/>
  <c r="CL75" i="17"/>
  <c r="CL91" i="17" s="1"/>
  <c r="CK75" i="17"/>
  <c r="CK91" i="17" s="1"/>
  <c r="CJ75" i="17"/>
  <c r="CJ91" i="17" s="1"/>
  <c r="CI75" i="17"/>
  <c r="CI91" i="17" s="1"/>
  <c r="CH75" i="17"/>
  <c r="CH91" i="17" s="1"/>
  <c r="CG75" i="17"/>
  <c r="CG91" i="17" s="1"/>
  <c r="CF75" i="17"/>
  <c r="CF91" i="17" s="1"/>
  <c r="CE75" i="17"/>
  <c r="CE91" i="17" s="1"/>
  <c r="CD75" i="17"/>
  <c r="CD91" i="17" s="1"/>
  <c r="CC75" i="17"/>
  <c r="CC91" i="17" s="1"/>
  <c r="CB75" i="17"/>
  <c r="CB91" i="17" s="1"/>
  <c r="CA75" i="17"/>
  <c r="CA91" i="17" s="1"/>
  <c r="BZ75" i="17"/>
  <c r="BZ91" i="17" s="1"/>
  <c r="BY75" i="17"/>
  <c r="BY91" i="17" s="1"/>
  <c r="BX75" i="17"/>
  <c r="BX91" i="17" s="1"/>
  <c r="BW75" i="17"/>
  <c r="BW91" i="17" s="1"/>
  <c r="BV75" i="17"/>
  <c r="BV91" i="17" s="1"/>
  <c r="BU75" i="17"/>
  <c r="BU91" i="17" s="1"/>
  <c r="BT75" i="17"/>
  <c r="BT91" i="17" s="1"/>
  <c r="BS75" i="17"/>
  <c r="BS91" i="17" s="1"/>
  <c r="BR75" i="17"/>
  <c r="BR91" i="17" s="1"/>
  <c r="BQ75" i="17"/>
  <c r="BQ91" i="17" s="1"/>
  <c r="BP75" i="17"/>
  <c r="BP91" i="17" s="1"/>
  <c r="BO75" i="17"/>
  <c r="BO91" i="17" s="1"/>
  <c r="BN75" i="17"/>
  <c r="BN91" i="17" s="1"/>
  <c r="BM75" i="17"/>
  <c r="BM91" i="17" s="1"/>
  <c r="BL75" i="17"/>
  <c r="BL91" i="17" s="1"/>
  <c r="BK75" i="17"/>
  <c r="BK91" i="17" s="1"/>
  <c r="BJ75" i="17"/>
  <c r="BJ91" i="17" s="1"/>
  <c r="BI75" i="17"/>
  <c r="BI91" i="17" s="1"/>
  <c r="BH75" i="17"/>
  <c r="BH91" i="17" s="1"/>
  <c r="BG75" i="17"/>
  <c r="BG91" i="17" s="1"/>
  <c r="BF75" i="17"/>
  <c r="BF91" i="17" s="1"/>
  <c r="BE75" i="17"/>
  <c r="BE91" i="17" s="1"/>
  <c r="BD75" i="17"/>
  <c r="BD91" i="17" s="1"/>
  <c r="BC75" i="17"/>
  <c r="BC91" i="17" s="1"/>
  <c r="BB75" i="17"/>
  <c r="BB91" i="17" s="1"/>
  <c r="BA75" i="17"/>
  <c r="BA91" i="17" s="1"/>
  <c r="AZ75" i="17"/>
  <c r="AZ91" i="17" s="1"/>
  <c r="AY75" i="17"/>
  <c r="AY91" i="17" s="1"/>
  <c r="AX75" i="17"/>
  <c r="AX91" i="17" s="1"/>
  <c r="AW75" i="17"/>
  <c r="AW91" i="17" s="1"/>
  <c r="AV75" i="17"/>
  <c r="AV91" i="17" s="1"/>
  <c r="AU75" i="17"/>
  <c r="AU91" i="17" s="1"/>
  <c r="AT75" i="17"/>
  <c r="AT91" i="17" s="1"/>
  <c r="AS75" i="17"/>
  <c r="AS91" i="17" s="1"/>
  <c r="AR75" i="17"/>
  <c r="AR91" i="17" s="1"/>
  <c r="AQ75" i="17"/>
  <c r="AQ91" i="17" s="1"/>
  <c r="AP75" i="17"/>
  <c r="AP91" i="17" s="1"/>
  <c r="AO75" i="17"/>
  <c r="AO91" i="17" s="1"/>
  <c r="AN75" i="17"/>
  <c r="AN91" i="17" s="1"/>
  <c r="AM75" i="17"/>
  <c r="AM91" i="17" s="1"/>
  <c r="AL75" i="17"/>
  <c r="AL91" i="17" s="1"/>
  <c r="AK75" i="17"/>
  <c r="AK91" i="17" s="1"/>
  <c r="AJ75" i="17"/>
  <c r="AJ91" i="17" s="1"/>
  <c r="AI75" i="17"/>
  <c r="AI91" i="17" s="1"/>
  <c r="AH75" i="17"/>
  <c r="AH91" i="17" s="1"/>
  <c r="AG75" i="17"/>
  <c r="AG91" i="17" s="1"/>
  <c r="AF75" i="17"/>
  <c r="AF91" i="17" s="1"/>
  <c r="AE75" i="17"/>
  <c r="AE91" i="17" s="1"/>
  <c r="AD75" i="17"/>
  <c r="AD91" i="17" s="1"/>
  <c r="AC75" i="17"/>
  <c r="AC91" i="17" s="1"/>
  <c r="AB75" i="17"/>
  <c r="AB91" i="17" s="1"/>
  <c r="AA75" i="17"/>
  <c r="AA91" i="17" s="1"/>
  <c r="Z75" i="17"/>
  <c r="Z91" i="17" s="1"/>
  <c r="Y75" i="17"/>
  <c r="Y91" i="17" s="1"/>
  <c r="X75" i="17"/>
  <c r="X91" i="17" s="1"/>
  <c r="W75" i="17"/>
  <c r="W91" i="17" s="1"/>
  <c r="V75" i="17"/>
  <c r="V91" i="17" s="1"/>
  <c r="U75" i="17"/>
  <c r="U91" i="17" s="1"/>
  <c r="T75" i="17"/>
  <c r="T91" i="17" s="1"/>
  <c r="S75" i="17"/>
  <c r="S91" i="17" s="1"/>
  <c r="R75" i="17"/>
  <c r="R91" i="17" s="1"/>
  <c r="Q75" i="17"/>
  <c r="Q91" i="17" s="1"/>
  <c r="P75" i="17"/>
  <c r="P91" i="17" s="1"/>
  <c r="O75" i="17"/>
  <c r="O91" i="17" s="1"/>
  <c r="N75" i="17"/>
  <c r="N91" i="17" s="1"/>
  <c r="M75" i="17"/>
  <c r="M91" i="17" s="1"/>
  <c r="L75" i="17"/>
  <c r="L91" i="17" s="1"/>
  <c r="K75" i="17"/>
  <c r="K91" i="17" s="1"/>
  <c r="J75" i="17"/>
  <c r="J91" i="17" s="1"/>
  <c r="I75" i="17"/>
  <c r="I91" i="17" s="1"/>
  <c r="H75" i="17"/>
  <c r="H91" i="17" s="1"/>
  <c r="G75" i="17"/>
  <c r="G91" i="17" s="1"/>
  <c r="A71" i="17"/>
  <c r="A70" i="17"/>
  <c r="A66" i="17"/>
  <c r="A63" i="17"/>
  <c r="A60" i="17"/>
  <c r="CU58" i="17"/>
  <c r="CQ58" i="17"/>
  <c r="CM58" i="17"/>
  <c r="CI58" i="17"/>
  <c r="CE58" i="17"/>
  <c r="CA58" i="17"/>
  <c r="BW58" i="17"/>
  <c r="BS58" i="17"/>
  <c r="BO58" i="17"/>
  <c r="BK58" i="17"/>
  <c r="BG58" i="17"/>
  <c r="BC58" i="17"/>
  <c r="AY58" i="17"/>
  <c r="AU58" i="17"/>
  <c r="AQ58" i="17"/>
  <c r="AM58" i="17"/>
  <c r="AI58" i="17"/>
  <c r="AE58" i="17"/>
  <c r="AA58" i="17"/>
  <c r="W58" i="17"/>
  <c r="S58" i="17"/>
  <c r="O58" i="17"/>
  <c r="K58" i="17"/>
  <c r="G58" i="17"/>
  <c r="E46" i="17"/>
  <c r="CX45" i="17"/>
  <c r="CX50" i="17" s="1"/>
  <c r="CW45" i="17"/>
  <c r="CW50" i="17" s="1"/>
  <c r="CV45" i="17"/>
  <c r="CV50" i="17" s="1"/>
  <c r="CU45" i="17"/>
  <c r="CU50" i="17" s="1"/>
  <c r="CT45" i="17"/>
  <c r="CT50" i="17" s="1"/>
  <c r="CS45" i="17"/>
  <c r="CS50" i="17" s="1"/>
  <c r="CR45" i="17"/>
  <c r="CR50" i="17" s="1"/>
  <c r="CQ45" i="17"/>
  <c r="CQ50" i="17" s="1"/>
  <c r="CP45" i="17"/>
  <c r="CP50" i="17" s="1"/>
  <c r="CO45" i="17"/>
  <c r="CO50" i="17" s="1"/>
  <c r="CN45" i="17"/>
  <c r="CN50" i="17" s="1"/>
  <c r="CM45" i="17"/>
  <c r="CM50" i="17" s="1"/>
  <c r="CL45" i="17"/>
  <c r="CL50" i="17" s="1"/>
  <c r="CK45" i="17"/>
  <c r="CK50" i="17" s="1"/>
  <c r="CJ45" i="17"/>
  <c r="CJ50" i="17" s="1"/>
  <c r="CI45" i="17"/>
  <c r="CI50" i="17" s="1"/>
  <c r="CH45" i="17"/>
  <c r="CH50" i="17" s="1"/>
  <c r="CG45" i="17"/>
  <c r="CG50" i="17" s="1"/>
  <c r="CF45" i="17"/>
  <c r="CF50" i="17" s="1"/>
  <c r="CE45" i="17"/>
  <c r="CE50" i="17" s="1"/>
  <c r="CD45" i="17"/>
  <c r="CD50" i="17" s="1"/>
  <c r="CC45" i="17"/>
  <c r="CC50" i="17" s="1"/>
  <c r="CB45" i="17"/>
  <c r="CB50" i="17" s="1"/>
  <c r="CA45" i="17"/>
  <c r="CA50" i="17" s="1"/>
  <c r="BZ45" i="17"/>
  <c r="BZ50" i="17" s="1"/>
  <c r="BY45" i="17"/>
  <c r="BY50" i="17" s="1"/>
  <c r="BX45" i="17"/>
  <c r="BX50" i="17" s="1"/>
  <c r="BW45" i="17"/>
  <c r="BW50" i="17" s="1"/>
  <c r="BV45" i="17"/>
  <c r="BV50" i="17" s="1"/>
  <c r="BU45" i="17"/>
  <c r="BU50" i="17" s="1"/>
  <c r="BT45" i="17"/>
  <c r="BT50" i="17" s="1"/>
  <c r="BS45" i="17"/>
  <c r="BS50" i="17" s="1"/>
  <c r="BR45" i="17"/>
  <c r="BR50" i="17" s="1"/>
  <c r="BQ45" i="17"/>
  <c r="BQ50" i="17" s="1"/>
  <c r="BP45" i="17"/>
  <c r="BP50" i="17" s="1"/>
  <c r="BO45" i="17"/>
  <c r="BO50" i="17" s="1"/>
  <c r="BN45" i="17"/>
  <c r="BN50" i="17" s="1"/>
  <c r="BM45" i="17"/>
  <c r="BM50" i="17" s="1"/>
  <c r="BL45" i="17"/>
  <c r="BL50" i="17" s="1"/>
  <c r="BK45" i="17"/>
  <c r="BK50" i="17" s="1"/>
  <c r="BJ45" i="17"/>
  <c r="BJ50" i="17" s="1"/>
  <c r="BI45" i="17"/>
  <c r="BI50" i="17" s="1"/>
  <c r="BH45" i="17"/>
  <c r="BH50" i="17" s="1"/>
  <c r="BG45" i="17"/>
  <c r="BG50" i="17" s="1"/>
  <c r="BF45" i="17"/>
  <c r="BF50" i="17" s="1"/>
  <c r="BE45" i="17"/>
  <c r="BE50" i="17" s="1"/>
  <c r="BD45" i="17"/>
  <c r="BD50" i="17" s="1"/>
  <c r="BC45" i="17"/>
  <c r="BC50" i="17" s="1"/>
  <c r="BB45" i="17"/>
  <c r="BB50" i="17" s="1"/>
  <c r="BA45" i="17"/>
  <c r="BA50" i="17" s="1"/>
  <c r="AZ45" i="17"/>
  <c r="AZ50" i="17" s="1"/>
  <c r="AY45" i="17"/>
  <c r="AY50" i="17" s="1"/>
  <c r="AX45" i="17"/>
  <c r="AX50" i="17" s="1"/>
  <c r="AW45" i="17"/>
  <c r="AW50" i="17" s="1"/>
  <c r="AV45" i="17"/>
  <c r="AV50" i="17" s="1"/>
  <c r="AU45" i="17"/>
  <c r="AU50" i="17" s="1"/>
  <c r="AT45" i="17"/>
  <c r="AT50" i="17" s="1"/>
  <c r="AS45" i="17"/>
  <c r="AS50" i="17" s="1"/>
  <c r="AR45" i="17"/>
  <c r="AR50" i="17" s="1"/>
  <c r="AQ45" i="17"/>
  <c r="AQ50" i="17" s="1"/>
  <c r="AP45" i="17"/>
  <c r="AP50" i="17" s="1"/>
  <c r="AO45" i="17"/>
  <c r="AO50" i="17" s="1"/>
  <c r="AN45" i="17"/>
  <c r="AN50" i="17" s="1"/>
  <c r="AM45" i="17"/>
  <c r="AM50" i="17" s="1"/>
  <c r="AL45" i="17"/>
  <c r="AL50" i="17" s="1"/>
  <c r="AK45" i="17"/>
  <c r="AK50" i="17" s="1"/>
  <c r="AJ45" i="17"/>
  <c r="AJ50" i="17" s="1"/>
  <c r="AI45" i="17"/>
  <c r="AI50" i="17" s="1"/>
  <c r="AH45" i="17"/>
  <c r="AH50" i="17" s="1"/>
  <c r="AG45" i="17"/>
  <c r="AG50" i="17" s="1"/>
  <c r="AF45" i="17"/>
  <c r="AF50" i="17" s="1"/>
  <c r="AE45" i="17"/>
  <c r="AE50" i="17" s="1"/>
  <c r="AD45" i="17"/>
  <c r="AD50" i="17" s="1"/>
  <c r="AC45" i="17"/>
  <c r="AC50" i="17" s="1"/>
  <c r="AB45" i="17"/>
  <c r="AB50" i="17" s="1"/>
  <c r="AA45" i="17"/>
  <c r="AA50" i="17" s="1"/>
  <c r="Z45" i="17"/>
  <c r="Z50" i="17" s="1"/>
  <c r="Y45" i="17"/>
  <c r="Y50" i="17" s="1"/>
  <c r="X45" i="17"/>
  <c r="X50" i="17" s="1"/>
  <c r="W45" i="17"/>
  <c r="W50" i="17" s="1"/>
  <c r="V45" i="17"/>
  <c r="V50" i="17" s="1"/>
  <c r="U45" i="17"/>
  <c r="U50" i="17" s="1"/>
  <c r="T45" i="17"/>
  <c r="T50" i="17" s="1"/>
  <c r="S45" i="17"/>
  <c r="S50" i="17" s="1"/>
  <c r="R45" i="17"/>
  <c r="R50" i="17" s="1"/>
  <c r="Q45" i="17"/>
  <c r="Q50" i="17" s="1"/>
  <c r="P45" i="17"/>
  <c r="P50" i="17" s="1"/>
  <c r="O45" i="17"/>
  <c r="O50" i="17" s="1"/>
  <c r="N45" i="17"/>
  <c r="N50" i="17" s="1"/>
  <c r="M45" i="17"/>
  <c r="M50" i="17" s="1"/>
  <c r="L45" i="17"/>
  <c r="L50" i="17" s="1"/>
  <c r="K45" i="17"/>
  <c r="K50" i="17" s="1"/>
  <c r="J45" i="17"/>
  <c r="J50" i="17" s="1"/>
  <c r="I45" i="17"/>
  <c r="I50" i="17" s="1"/>
  <c r="H45" i="17"/>
  <c r="H50" i="17" s="1"/>
  <c r="G45" i="17"/>
  <c r="G50" i="17" s="1"/>
  <c r="A41" i="17"/>
  <c r="CU39" i="17"/>
  <c r="CQ39" i="17"/>
  <c r="CM39" i="17"/>
  <c r="CI39" i="17"/>
  <c r="CE39" i="17"/>
  <c r="CA39" i="17"/>
  <c r="BW39" i="17"/>
  <c r="BS39" i="17"/>
  <c r="BO39" i="17"/>
  <c r="BK39" i="17"/>
  <c r="BG39" i="17"/>
  <c r="BC39" i="17"/>
  <c r="AY39" i="17"/>
  <c r="AU39" i="17"/>
  <c r="AQ39" i="17"/>
  <c r="AM39" i="17"/>
  <c r="AI39" i="17"/>
  <c r="AE39" i="17"/>
  <c r="AA39" i="17"/>
  <c r="W39" i="17"/>
  <c r="S39" i="17"/>
  <c r="O39" i="17"/>
  <c r="K39" i="17"/>
  <c r="G39" i="17"/>
  <c r="E27" i="17"/>
  <c r="CX26" i="17"/>
  <c r="CX31" i="17" s="1"/>
  <c r="CW26" i="17"/>
  <c r="CW31" i="17" s="1"/>
  <c r="CV26" i="17"/>
  <c r="CV31" i="17" s="1"/>
  <c r="CU26" i="17"/>
  <c r="CU31" i="17" s="1"/>
  <c r="CT26" i="17"/>
  <c r="CT31" i="17" s="1"/>
  <c r="CS26" i="17"/>
  <c r="CS31" i="17" s="1"/>
  <c r="CR26" i="17"/>
  <c r="CR31" i="17" s="1"/>
  <c r="CQ26" i="17"/>
  <c r="CQ31" i="17" s="1"/>
  <c r="CP26" i="17"/>
  <c r="CP31" i="17" s="1"/>
  <c r="CO26" i="17"/>
  <c r="CO31" i="17" s="1"/>
  <c r="CN26" i="17"/>
  <c r="CN31" i="17" s="1"/>
  <c r="CM26" i="17"/>
  <c r="CM31" i="17" s="1"/>
  <c r="CL26" i="17"/>
  <c r="CL31" i="17" s="1"/>
  <c r="CK26" i="17"/>
  <c r="CK31" i="17" s="1"/>
  <c r="CJ26" i="17"/>
  <c r="CJ31" i="17" s="1"/>
  <c r="CI26" i="17"/>
  <c r="CI31" i="17" s="1"/>
  <c r="CH26" i="17"/>
  <c r="CH31" i="17" s="1"/>
  <c r="CG26" i="17"/>
  <c r="CG31" i="17" s="1"/>
  <c r="CF26" i="17"/>
  <c r="CF31" i="17" s="1"/>
  <c r="CE26" i="17"/>
  <c r="CE31" i="17" s="1"/>
  <c r="CD26" i="17"/>
  <c r="CD31" i="17" s="1"/>
  <c r="CC26" i="17"/>
  <c r="CC31" i="17" s="1"/>
  <c r="CB26" i="17"/>
  <c r="CB31" i="17" s="1"/>
  <c r="CA26" i="17"/>
  <c r="CA31" i="17" s="1"/>
  <c r="BZ26" i="17"/>
  <c r="BZ31" i="17" s="1"/>
  <c r="BY26" i="17"/>
  <c r="BY31" i="17" s="1"/>
  <c r="BX26" i="17"/>
  <c r="BX31" i="17" s="1"/>
  <c r="BW26" i="17"/>
  <c r="BW31" i="17" s="1"/>
  <c r="BV26" i="17"/>
  <c r="BV31" i="17" s="1"/>
  <c r="BU26" i="17"/>
  <c r="BU31" i="17" s="1"/>
  <c r="BT26" i="17"/>
  <c r="BT31" i="17" s="1"/>
  <c r="BS26" i="17"/>
  <c r="BS31" i="17" s="1"/>
  <c r="BR26" i="17"/>
  <c r="BR31" i="17" s="1"/>
  <c r="BQ26" i="17"/>
  <c r="BQ31" i="17" s="1"/>
  <c r="BP26" i="17"/>
  <c r="BP31" i="17" s="1"/>
  <c r="BO26" i="17"/>
  <c r="BO31" i="17" s="1"/>
  <c r="BN26" i="17"/>
  <c r="BN31" i="17" s="1"/>
  <c r="BM26" i="17"/>
  <c r="BM31" i="17" s="1"/>
  <c r="BL26" i="17"/>
  <c r="BL31" i="17" s="1"/>
  <c r="BK26" i="17"/>
  <c r="BK31" i="17" s="1"/>
  <c r="BJ26" i="17"/>
  <c r="BJ31" i="17" s="1"/>
  <c r="BI26" i="17"/>
  <c r="BI31" i="17" s="1"/>
  <c r="BH26" i="17"/>
  <c r="BH31" i="17" s="1"/>
  <c r="BG26" i="17"/>
  <c r="BG31" i="17" s="1"/>
  <c r="BF26" i="17"/>
  <c r="BF31" i="17" s="1"/>
  <c r="BE26" i="17"/>
  <c r="BE31" i="17" s="1"/>
  <c r="BD26" i="17"/>
  <c r="BD31" i="17" s="1"/>
  <c r="BC26" i="17"/>
  <c r="BC31" i="17" s="1"/>
  <c r="BB26" i="17"/>
  <c r="BB31" i="17" s="1"/>
  <c r="BA26" i="17"/>
  <c r="BA31" i="17" s="1"/>
  <c r="AZ26" i="17"/>
  <c r="AZ31" i="17" s="1"/>
  <c r="AY26" i="17"/>
  <c r="AY31" i="17" s="1"/>
  <c r="AX26" i="17"/>
  <c r="AX31" i="17" s="1"/>
  <c r="AW26" i="17"/>
  <c r="AW31" i="17" s="1"/>
  <c r="AV26" i="17"/>
  <c r="AV31" i="17" s="1"/>
  <c r="AU26" i="17"/>
  <c r="AU31" i="17" s="1"/>
  <c r="AT26" i="17"/>
  <c r="AT31" i="17" s="1"/>
  <c r="AS26" i="17"/>
  <c r="AS31" i="17" s="1"/>
  <c r="AR26" i="17"/>
  <c r="AR31" i="17" s="1"/>
  <c r="AQ26" i="17"/>
  <c r="AQ31" i="17" s="1"/>
  <c r="AP26" i="17"/>
  <c r="AP31" i="17" s="1"/>
  <c r="AO26" i="17"/>
  <c r="AO31" i="17" s="1"/>
  <c r="AN26" i="17"/>
  <c r="AN31" i="17" s="1"/>
  <c r="AM26" i="17"/>
  <c r="AM31" i="17" s="1"/>
  <c r="AL26" i="17"/>
  <c r="AL31" i="17" s="1"/>
  <c r="AK26" i="17"/>
  <c r="AK31" i="17" s="1"/>
  <c r="AJ26" i="17"/>
  <c r="AJ31" i="17" s="1"/>
  <c r="AI26" i="17"/>
  <c r="AI31" i="17" s="1"/>
  <c r="AH26" i="17"/>
  <c r="AH31" i="17" s="1"/>
  <c r="AG26" i="17"/>
  <c r="AG31" i="17" s="1"/>
  <c r="AF26" i="17"/>
  <c r="AF31" i="17" s="1"/>
  <c r="AE26" i="17"/>
  <c r="AE31" i="17" s="1"/>
  <c r="AD26" i="17"/>
  <c r="AD31" i="17" s="1"/>
  <c r="AC26" i="17"/>
  <c r="AC31" i="17" s="1"/>
  <c r="AB26" i="17"/>
  <c r="AB31" i="17" s="1"/>
  <c r="AA26" i="17"/>
  <c r="AA31" i="17" s="1"/>
  <c r="Z26" i="17"/>
  <c r="Z31" i="17" s="1"/>
  <c r="Y26" i="17"/>
  <c r="Y31" i="17" s="1"/>
  <c r="X26" i="17"/>
  <c r="X31" i="17" s="1"/>
  <c r="W26" i="17"/>
  <c r="W31" i="17" s="1"/>
  <c r="V26" i="17"/>
  <c r="V31" i="17" s="1"/>
  <c r="U26" i="17"/>
  <c r="U31" i="17" s="1"/>
  <c r="T26" i="17"/>
  <c r="T31" i="17" s="1"/>
  <c r="S26" i="17"/>
  <c r="S31" i="17" s="1"/>
  <c r="R26" i="17"/>
  <c r="R31" i="17" s="1"/>
  <c r="Q26" i="17"/>
  <c r="Q31" i="17" s="1"/>
  <c r="P26" i="17"/>
  <c r="P31" i="17" s="1"/>
  <c r="O26" i="17"/>
  <c r="O31" i="17" s="1"/>
  <c r="N26" i="17"/>
  <c r="N31" i="17" s="1"/>
  <c r="M26" i="17"/>
  <c r="M31" i="17" s="1"/>
  <c r="L26" i="17"/>
  <c r="L31" i="17" s="1"/>
  <c r="K26" i="17"/>
  <c r="K31" i="17" s="1"/>
  <c r="J26" i="17"/>
  <c r="J31" i="17" s="1"/>
  <c r="I26" i="17"/>
  <c r="I31" i="17" s="1"/>
  <c r="H26" i="17"/>
  <c r="H31" i="17" s="1"/>
  <c r="G26" i="17"/>
  <c r="G31" i="17" s="1"/>
  <c r="A22" i="17"/>
  <c r="CU20" i="17"/>
  <c r="CQ20" i="17"/>
  <c r="CM20" i="17"/>
  <c r="CI20" i="17"/>
  <c r="CE20" i="17"/>
  <c r="CA20" i="17"/>
  <c r="BW20" i="17"/>
  <c r="BS20" i="17"/>
  <c r="BO20" i="17"/>
  <c r="BK20" i="17"/>
  <c r="BG20" i="17"/>
  <c r="BC20" i="17"/>
  <c r="AY20" i="17"/>
  <c r="AU20" i="17"/>
  <c r="AQ20" i="17"/>
  <c r="AM20" i="17"/>
  <c r="AI20" i="17"/>
  <c r="AE20" i="17"/>
  <c r="AA20" i="17"/>
  <c r="W20" i="17"/>
  <c r="S20" i="17"/>
  <c r="O20" i="17"/>
  <c r="K20" i="17"/>
  <c r="G20" i="17"/>
  <c r="CV7" i="17"/>
  <c r="M116" i="2" s="1"/>
  <c r="CU7" i="17"/>
  <c r="L116" i="2" s="1"/>
  <c r="M104" i="20" s="1"/>
  <c r="AD104" i="20" s="1"/>
  <c r="CR7" i="17"/>
  <c r="CX6" i="17"/>
  <c r="O115" i="2" s="1"/>
  <c r="P103" i="20" s="1"/>
  <c r="AG103" i="20" s="1"/>
  <c r="CW6" i="17"/>
  <c r="N115" i="2" s="1"/>
  <c r="CV6" i="17"/>
  <c r="M115" i="2" s="1"/>
  <c r="N103" i="20" s="1"/>
  <c r="AE103" i="20" s="1"/>
  <c r="CU6" i="17"/>
  <c r="L115" i="2" s="1"/>
  <c r="CT6" i="17"/>
  <c r="CR6" i="17"/>
  <c r="CU4" i="17"/>
  <c r="CQ4" i="17"/>
  <c r="CM4" i="17"/>
  <c r="CI4" i="17"/>
  <c r="CE4" i="17"/>
  <c r="CA4" i="17"/>
  <c r="BW4" i="17"/>
  <c r="BS4" i="17"/>
  <c r="BO4" i="17"/>
  <c r="BK4" i="17"/>
  <c r="BG4" i="17"/>
  <c r="BC4" i="17"/>
  <c r="AY4" i="17"/>
  <c r="AU4" i="17"/>
  <c r="AQ4" i="17"/>
  <c r="AM4" i="17"/>
  <c r="AI4" i="17"/>
  <c r="AE4" i="17"/>
  <c r="AA4" i="17"/>
  <c r="W4" i="17"/>
  <c r="S4" i="17"/>
  <c r="O4" i="17"/>
  <c r="K4" i="17"/>
  <c r="G4" i="17"/>
  <c r="AD458" i="12"/>
  <c r="AC458" i="12"/>
  <c r="AB458" i="12"/>
  <c r="AA458" i="12"/>
  <c r="Z458" i="12"/>
  <c r="Y458" i="12"/>
  <c r="X458" i="12"/>
  <c r="W458" i="12"/>
  <c r="V458" i="12"/>
  <c r="U458" i="12"/>
  <c r="T458" i="12"/>
  <c r="S458" i="12"/>
  <c r="R458" i="12"/>
  <c r="Q458" i="12"/>
  <c r="P458" i="12"/>
  <c r="O458" i="12"/>
  <c r="N458" i="12"/>
  <c r="M458" i="12"/>
  <c r="L458" i="12"/>
  <c r="K458" i="12"/>
  <c r="J458" i="12"/>
  <c r="I458" i="12"/>
  <c r="H458" i="12"/>
  <c r="G458" i="12"/>
  <c r="AD455" i="12"/>
  <c r="AC455" i="12"/>
  <c r="AB455" i="12"/>
  <c r="AA455" i="12"/>
  <c r="Z455" i="12"/>
  <c r="Y455" i="12"/>
  <c r="X455" i="12"/>
  <c r="W455" i="12"/>
  <c r="V455" i="12"/>
  <c r="U455" i="12"/>
  <c r="T455" i="12"/>
  <c r="S455" i="12"/>
  <c r="R455" i="12"/>
  <c r="Q455" i="12"/>
  <c r="P455" i="12"/>
  <c r="O455" i="12"/>
  <c r="N455" i="12"/>
  <c r="M455" i="12"/>
  <c r="L455" i="12"/>
  <c r="K455" i="12"/>
  <c r="J455" i="12"/>
  <c r="I455" i="12"/>
  <c r="H455" i="12"/>
  <c r="G455" i="12"/>
  <c r="AD450" i="12"/>
  <c r="AC450" i="12"/>
  <c r="AB450" i="12"/>
  <c r="AA450" i="12"/>
  <c r="Z450" i="12"/>
  <c r="Y450" i="12"/>
  <c r="X450" i="12"/>
  <c r="W450" i="12"/>
  <c r="V450" i="12"/>
  <c r="U450" i="12"/>
  <c r="T450" i="12"/>
  <c r="S450" i="12"/>
  <c r="R450" i="12"/>
  <c r="Q450" i="12"/>
  <c r="P450" i="12"/>
  <c r="O450" i="12"/>
  <c r="N450" i="12"/>
  <c r="M450" i="12"/>
  <c r="L450" i="12"/>
  <c r="K450" i="12"/>
  <c r="J450" i="12"/>
  <c r="I450" i="12"/>
  <c r="H450" i="12"/>
  <c r="G450" i="12"/>
  <c r="AD445" i="12"/>
  <c r="AC445" i="12"/>
  <c r="AB445" i="12"/>
  <c r="AA445" i="12"/>
  <c r="Z445" i="12"/>
  <c r="Y445" i="12"/>
  <c r="X445" i="12"/>
  <c r="W445" i="12"/>
  <c r="V445" i="12"/>
  <c r="U445" i="12"/>
  <c r="T445" i="12"/>
  <c r="S445" i="12"/>
  <c r="R445" i="12"/>
  <c r="Q445" i="12"/>
  <c r="P445" i="12"/>
  <c r="O445" i="12"/>
  <c r="N445" i="12"/>
  <c r="M445" i="12"/>
  <c r="L445" i="12"/>
  <c r="K445" i="12"/>
  <c r="J445" i="12"/>
  <c r="I445" i="12"/>
  <c r="H445" i="12"/>
  <c r="G445" i="12"/>
  <c r="AD440" i="12"/>
  <c r="AC440" i="12"/>
  <c r="AB440" i="12"/>
  <c r="AA440" i="12"/>
  <c r="Z440" i="12"/>
  <c r="Y440" i="12"/>
  <c r="X440" i="12"/>
  <c r="W440" i="12"/>
  <c r="V440" i="12"/>
  <c r="U440" i="12"/>
  <c r="T440" i="12"/>
  <c r="S440" i="12"/>
  <c r="R440" i="12"/>
  <c r="Q440" i="12"/>
  <c r="P440" i="12"/>
  <c r="O440" i="12"/>
  <c r="N440" i="12"/>
  <c r="M440" i="12"/>
  <c r="L440" i="12"/>
  <c r="K440" i="12"/>
  <c r="J440" i="12"/>
  <c r="I440" i="12"/>
  <c r="H440" i="12"/>
  <c r="G440" i="12"/>
  <c r="AD435" i="12"/>
  <c r="AC435" i="12"/>
  <c r="AB435" i="12"/>
  <c r="AA435" i="12"/>
  <c r="Z435" i="12"/>
  <c r="Y435" i="12"/>
  <c r="X435" i="12"/>
  <c r="W435" i="12"/>
  <c r="V435" i="12"/>
  <c r="U435" i="12"/>
  <c r="T435" i="12"/>
  <c r="S435" i="12"/>
  <c r="R435" i="12"/>
  <c r="Q435" i="12"/>
  <c r="P435" i="12"/>
  <c r="O435" i="12"/>
  <c r="N435" i="12"/>
  <c r="M435" i="12"/>
  <c r="L435" i="12"/>
  <c r="K435" i="12"/>
  <c r="J435" i="12"/>
  <c r="I435" i="12"/>
  <c r="H435" i="12"/>
  <c r="G435" i="12"/>
  <c r="AD432" i="12"/>
  <c r="AC432" i="12"/>
  <c r="AB432" i="12"/>
  <c r="AA432" i="12"/>
  <c r="Z432" i="12"/>
  <c r="Y432" i="12"/>
  <c r="X432" i="12"/>
  <c r="W432" i="12"/>
  <c r="V432" i="12"/>
  <c r="U432" i="12"/>
  <c r="T432" i="12"/>
  <c r="S432" i="12"/>
  <c r="R432" i="12"/>
  <c r="Q432" i="12"/>
  <c r="P432" i="12"/>
  <c r="O432" i="12"/>
  <c r="N432" i="12"/>
  <c r="M432" i="12"/>
  <c r="L432" i="12"/>
  <c r="K432" i="12"/>
  <c r="J432" i="12"/>
  <c r="I432" i="12"/>
  <c r="H432" i="12"/>
  <c r="G432" i="12"/>
  <c r="AD429" i="12"/>
  <c r="AC429" i="12"/>
  <c r="AB429" i="12"/>
  <c r="AA429" i="12"/>
  <c r="Z429" i="12"/>
  <c r="Y429" i="12"/>
  <c r="X429" i="12"/>
  <c r="W429" i="12"/>
  <c r="V429" i="12"/>
  <c r="U429" i="12"/>
  <c r="T429" i="12"/>
  <c r="S429" i="12"/>
  <c r="R429" i="12"/>
  <c r="Q429" i="12"/>
  <c r="P429" i="12"/>
  <c r="O429" i="12"/>
  <c r="N429" i="12"/>
  <c r="M429" i="12"/>
  <c r="L429" i="12"/>
  <c r="K429" i="12"/>
  <c r="J429" i="12"/>
  <c r="I429" i="12"/>
  <c r="H429" i="12"/>
  <c r="G429" i="12"/>
  <c r="AD426" i="12"/>
  <c r="AC426" i="12"/>
  <c r="AB426" i="12"/>
  <c r="AA426" i="12"/>
  <c r="Z426" i="12"/>
  <c r="Y426" i="12"/>
  <c r="X426" i="12"/>
  <c r="W426" i="12"/>
  <c r="V426" i="12"/>
  <c r="U426" i="12"/>
  <c r="T426" i="12"/>
  <c r="S426" i="12"/>
  <c r="R426" i="12"/>
  <c r="Q426" i="12"/>
  <c r="P426" i="12"/>
  <c r="O426" i="12"/>
  <c r="N426" i="12"/>
  <c r="M426" i="12"/>
  <c r="L426" i="12"/>
  <c r="K426" i="12"/>
  <c r="J426" i="12"/>
  <c r="I426" i="12"/>
  <c r="H426" i="12"/>
  <c r="G426" i="12"/>
  <c r="AD423" i="12"/>
  <c r="AC423" i="12"/>
  <c r="AB423" i="12"/>
  <c r="AA423" i="12"/>
  <c r="Z423" i="12"/>
  <c r="Y423" i="12"/>
  <c r="X423" i="12"/>
  <c r="W423" i="12"/>
  <c r="V423" i="12"/>
  <c r="U423" i="12"/>
  <c r="T423" i="12"/>
  <c r="S423" i="12"/>
  <c r="R423" i="12"/>
  <c r="Q423" i="12"/>
  <c r="P423" i="12"/>
  <c r="O423" i="12"/>
  <c r="N423" i="12"/>
  <c r="M423" i="12"/>
  <c r="L423" i="12"/>
  <c r="K423" i="12"/>
  <c r="J423" i="12"/>
  <c r="I423" i="12"/>
  <c r="H423" i="12"/>
  <c r="G423" i="12"/>
  <c r="AD411" i="12"/>
  <c r="AC411" i="12"/>
  <c r="AB411" i="12"/>
  <c r="AA411" i="12"/>
  <c r="Z411" i="12"/>
  <c r="Y411" i="12"/>
  <c r="X411" i="12"/>
  <c r="W411" i="12"/>
  <c r="V411" i="12"/>
  <c r="U411" i="12"/>
  <c r="T411" i="12"/>
  <c r="S411" i="12"/>
  <c r="R411" i="12"/>
  <c r="Q411" i="12"/>
  <c r="P411" i="12"/>
  <c r="O411" i="12"/>
  <c r="N411" i="12"/>
  <c r="M411" i="12"/>
  <c r="L411" i="12"/>
  <c r="K411" i="12"/>
  <c r="J411" i="12"/>
  <c r="I411" i="12"/>
  <c r="H411" i="12"/>
  <c r="G411" i="12"/>
  <c r="AD399" i="12"/>
  <c r="AC399" i="12"/>
  <c r="AB399" i="12"/>
  <c r="AA399" i="12"/>
  <c r="Z399" i="12"/>
  <c r="Y399" i="12"/>
  <c r="X399" i="12"/>
  <c r="W399" i="12"/>
  <c r="V399" i="12"/>
  <c r="U399" i="12"/>
  <c r="T399" i="12"/>
  <c r="S399" i="12"/>
  <c r="R399" i="12"/>
  <c r="Q399" i="12"/>
  <c r="P399" i="12"/>
  <c r="O399" i="12"/>
  <c r="N399" i="12"/>
  <c r="M399" i="12"/>
  <c r="L399" i="12"/>
  <c r="K399" i="12"/>
  <c r="J399" i="12"/>
  <c r="I399" i="12"/>
  <c r="H399" i="12"/>
  <c r="G399" i="12"/>
  <c r="AD396" i="12"/>
  <c r="AC396" i="12"/>
  <c r="AB396" i="12"/>
  <c r="AA396" i="12"/>
  <c r="Z396" i="12"/>
  <c r="Y396" i="12"/>
  <c r="X396" i="12"/>
  <c r="W396" i="12"/>
  <c r="V396" i="12"/>
  <c r="U396" i="12"/>
  <c r="T396" i="12"/>
  <c r="S396" i="12"/>
  <c r="R396" i="12"/>
  <c r="Q396" i="12"/>
  <c r="P396" i="12"/>
  <c r="O396" i="12"/>
  <c r="N396" i="12"/>
  <c r="M396" i="12"/>
  <c r="L396" i="12"/>
  <c r="K396" i="12"/>
  <c r="J396" i="12"/>
  <c r="I396" i="12"/>
  <c r="H396" i="12"/>
  <c r="G396" i="12"/>
  <c r="AD393" i="12"/>
  <c r="AC393" i="12"/>
  <c r="AB393" i="12"/>
  <c r="AA393" i="12"/>
  <c r="Z393" i="12"/>
  <c r="Y393" i="12"/>
  <c r="X393" i="12"/>
  <c r="W393" i="12"/>
  <c r="V393" i="12"/>
  <c r="U393" i="12"/>
  <c r="T393" i="12"/>
  <c r="S393" i="12"/>
  <c r="R393" i="12"/>
  <c r="Q393" i="12"/>
  <c r="P393" i="12"/>
  <c r="O393" i="12"/>
  <c r="N393" i="12"/>
  <c r="M393" i="12"/>
  <c r="L393" i="12"/>
  <c r="K393" i="12"/>
  <c r="J393" i="12"/>
  <c r="I393" i="12"/>
  <c r="H393" i="12"/>
  <c r="G393" i="12"/>
  <c r="AD390" i="12"/>
  <c r="AC390" i="12"/>
  <c r="AB390" i="12"/>
  <c r="AA390" i="12"/>
  <c r="Z390" i="12"/>
  <c r="Y390" i="12"/>
  <c r="X390" i="12"/>
  <c r="W390" i="12"/>
  <c r="V390" i="12"/>
  <c r="U390" i="12"/>
  <c r="T390" i="12"/>
  <c r="S390" i="12"/>
  <c r="R390" i="12"/>
  <c r="Q390" i="12"/>
  <c r="P390" i="12"/>
  <c r="O390" i="12"/>
  <c r="N390" i="12"/>
  <c r="M390" i="12"/>
  <c r="L390" i="12"/>
  <c r="K390" i="12"/>
  <c r="J390" i="12"/>
  <c r="I390" i="12"/>
  <c r="H390" i="12"/>
  <c r="G390" i="12"/>
  <c r="AD387" i="12"/>
  <c r="AC387" i="12"/>
  <c r="AB387" i="12"/>
  <c r="AA387" i="12"/>
  <c r="Z387" i="12"/>
  <c r="Y387" i="12"/>
  <c r="X387" i="12"/>
  <c r="W387" i="12"/>
  <c r="V387" i="12"/>
  <c r="U387" i="12"/>
  <c r="T387" i="12"/>
  <c r="S387" i="12"/>
  <c r="R387" i="12"/>
  <c r="Q387" i="12"/>
  <c r="P387" i="12"/>
  <c r="O387" i="12"/>
  <c r="N387" i="12"/>
  <c r="M387" i="12"/>
  <c r="L387" i="12"/>
  <c r="K387" i="12"/>
  <c r="J387" i="12"/>
  <c r="I387" i="12"/>
  <c r="H387" i="12"/>
  <c r="G387" i="12"/>
  <c r="H377" i="12"/>
  <c r="I377" i="12" s="1"/>
  <c r="J377" i="12" s="1"/>
  <c r="K377" i="12" s="1"/>
  <c r="L377" i="12" s="1"/>
  <c r="M377" i="12" s="1"/>
  <c r="N377" i="12" s="1"/>
  <c r="O377" i="12" s="1"/>
  <c r="P377" i="12" s="1"/>
  <c r="Q377" i="12" s="1"/>
  <c r="R377" i="12" s="1"/>
  <c r="S377" i="12" s="1"/>
  <c r="T377" i="12" s="1"/>
  <c r="U377" i="12" s="1"/>
  <c r="V377" i="12" s="1"/>
  <c r="W377" i="12" s="1"/>
  <c r="X377" i="12" s="1"/>
  <c r="Y377" i="12" s="1"/>
  <c r="Z377" i="12" s="1"/>
  <c r="AA377" i="12" s="1"/>
  <c r="AB377" i="12" s="1"/>
  <c r="AC377" i="12" s="1"/>
  <c r="AD377" i="12" s="1"/>
  <c r="AE377" i="12" s="1"/>
  <c r="G377" i="12"/>
  <c r="AB374" i="12"/>
  <c r="AA374" i="12"/>
  <c r="Z374" i="12"/>
  <c r="AB373" i="12"/>
  <c r="AA373" i="12"/>
  <c r="Z373" i="12"/>
  <c r="AB372" i="12"/>
  <c r="AA372" i="12"/>
  <c r="Z372" i="12"/>
  <c r="AD370" i="12"/>
  <c r="AC370" i="12"/>
  <c r="AB370" i="12"/>
  <c r="AA370" i="12"/>
  <c r="Z370" i="12"/>
  <c r="Y370" i="12"/>
  <c r="X370" i="12"/>
  <c r="W370" i="12"/>
  <c r="V370" i="12"/>
  <c r="U370" i="12"/>
  <c r="T370" i="12"/>
  <c r="S370" i="12"/>
  <c r="R370" i="12"/>
  <c r="Q370" i="12"/>
  <c r="P370" i="12"/>
  <c r="O370" i="12"/>
  <c r="N370" i="12"/>
  <c r="M370" i="12"/>
  <c r="L370" i="12"/>
  <c r="K370" i="12"/>
  <c r="J370" i="12"/>
  <c r="I370" i="12"/>
  <c r="H370" i="12"/>
  <c r="G370" i="12"/>
  <c r="AD365" i="12"/>
  <c r="AC365" i="12"/>
  <c r="AB365" i="12"/>
  <c r="AA365" i="12"/>
  <c r="Z365" i="12"/>
  <c r="Y365" i="12"/>
  <c r="X365" i="12"/>
  <c r="W365" i="12"/>
  <c r="V365" i="12"/>
  <c r="U365" i="12"/>
  <c r="T365" i="12"/>
  <c r="S365" i="12"/>
  <c r="R365" i="12"/>
  <c r="Q365" i="12"/>
  <c r="P365" i="12"/>
  <c r="O365" i="12"/>
  <c r="N365" i="12"/>
  <c r="M365" i="12"/>
  <c r="L365" i="12"/>
  <c r="K365" i="12"/>
  <c r="J365" i="12"/>
  <c r="I365" i="12"/>
  <c r="H365" i="12"/>
  <c r="G365" i="12"/>
  <c r="A363" i="12"/>
  <c r="A362" i="12"/>
  <c r="AD360" i="12"/>
  <c r="AC360" i="12"/>
  <c r="AB360" i="12"/>
  <c r="AA360" i="12"/>
  <c r="Z360" i="12"/>
  <c r="Y360" i="12"/>
  <c r="X360" i="12"/>
  <c r="W360" i="12"/>
  <c r="V360" i="12"/>
  <c r="U360" i="12"/>
  <c r="T360" i="12"/>
  <c r="S360" i="12"/>
  <c r="R360" i="12"/>
  <c r="Q360" i="12"/>
  <c r="P360" i="12"/>
  <c r="O360" i="12"/>
  <c r="N360" i="12"/>
  <c r="M360" i="12"/>
  <c r="L360" i="12"/>
  <c r="K360" i="12"/>
  <c r="J360" i="12"/>
  <c r="I360" i="12"/>
  <c r="H360" i="12"/>
  <c r="G360" i="12"/>
  <c r="AD354" i="12"/>
  <c r="AC354" i="12"/>
  <c r="AB354" i="12"/>
  <c r="AA354" i="12"/>
  <c r="Z354" i="12"/>
  <c r="Y354" i="12"/>
  <c r="X354" i="12"/>
  <c r="W354" i="12"/>
  <c r="V354" i="12"/>
  <c r="U354" i="12"/>
  <c r="T354" i="12"/>
  <c r="S354" i="12"/>
  <c r="R354" i="12"/>
  <c r="Q354" i="12"/>
  <c r="P354" i="12"/>
  <c r="O354" i="12"/>
  <c r="N354" i="12"/>
  <c r="M354" i="12"/>
  <c r="L354" i="12"/>
  <c r="K354" i="12"/>
  <c r="J354" i="12"/>
  <c r="I354" i="12"/>
  <c r="H354" i="12"/>
  <c r="G354" i="12"/>
  <c r="AD351" i="12"/>
  <c r="AC351" i="12"/>
  <c r="AB351" i="12"/>
  <c r="AA351" i="12"/>
  <c r="Z351" i="12"/>
  <c r="Y351" i="12"/>
  <c r="X351" i="12"/>
  <c r="W351" i="12"/>
  <c r="V351" i="12"/>
  <c r="U351" i="12"/>
  <c r="T351" i="12"/>
  <c r="S351" i="12"/>
  <c r="R351" i="12"/>
  <c r="Q351" i="12"/>
  <c r="P351" i="12"/>
  <c r="O351" i="12"/>
  <c r="N351" i="12"/>
  <c r="M351" i="12"/>
  <c r="L351" i="12"/>
  <c r="K351" i="12"/>
  <c r="J351" i="12"/>
  <c r="I351" i="12"/>
  <c r="H351" i="12"/>
  <c r="G351" i="12"/>
  <c r="AD344" i="12"/>
  <c r="AC344" i="12"/>
  <c r="AB344" i="12"/>
  <c r="AA344" i="12"/>
  <c r="Z344" i="12"/>
  <c r="Y344" i="12"/>
  <c r="X344" i="12"/>
  <c r="W344" i="12"/>
  <c r="V344" i="12"/>
  <c r="U344" i="12"/>
  <c r="T344" i="12"/>
  <c r="S344" i="12"/>
  <c r="R344" i="12"/>
  <c r="Q344" i="12"/>
  <c r="P344" i="12"/>
  <c r="O344" i="12"/>
  <c r="N344" i="12"/>
  <c r="M344" i="12"/>
  <c r="L344" i="12"/>
  <c r="K344" i="12"/>
  <c r="J344" i="12"/>
  <c r="I344" i="12"/>
  <c r="H344" i="12"/>
  <c r="G344" i="12"/>
  <c r="A342" i="12"/>
  <c r="A341" i="12"/>
  <c r="AD337" i="12"/>
  <c r="AC337" i="12"/>
  <c r="AB337" i="12"/>
  <c r="AA337" i="12"/>
  <c r="Z337" i="12"/>
  <c r="Y337" i="12"/>
  <c r="X337" i="12"/>
  <c r="W337" i="12"/>
  <c r="V337" i="12"/>
  <c r="U337" i="12"/>
  <c r="T337" i="12"/>
  <c r="S337" i="12"/>
  <c r="R337" i="12"/>
  <c r="Q337" i="12"/>
  <c r="P337" i="12"/>
  <c r="O337" i="12"/>
  <c r="N337" i="12"/>
  <c r="M337" i="12"/>
  <c r="L337" i="12"/>
  <c r="K337" i="12"/>
  <c r="J337" i="12"/>
  <c r="I337" i="12"/>
  <c r="H337" i="12"/>
  <c r="G337" i="12"/>
  <c r="AD333" i="12"/>
  <c r="AC333" i="12"/>
  <c r="AB333" i="12"/>
  <c r="AA333" i="12"/>
  <c r="Z333" i="12"/>
  <c r="Y333" i="12"/>
  <c r="X333" i="12"/>
  <c r="W333" i="12"/>
  <c r="V333" i="12"/>
  <c r="U333" i="12"/>
  <c r="T333" i="12"/>
  <c r="S333" i="12"/>
  <c r="R333" i="12"/>
  <c r="Q333" i="12"/>
  <c r="P333" i="12"/>
  <c r="O333" i="12"/>
  <c r="N333" i="12"/>
  <c r="M333" i="12"/>
  <c r="L333" i="12"/>
  <c r="K333" i="12"/>
  <c r="J333" i="12"/>
  <c r="I333" i="12"/>
  <c r="H333" i="12"/>
  <c r="G333" i="12"/>
  <c r="AD329" i="12"/>
  <c r="AC329" i="12"/>
  <c r="AB329" i="12"/>
  <c r="AA329" i="12"/>
  <c r="Z329" i="12"/>
  <c r="Y329" i="12"/>
  <c r="X329" i="12"/>
  <c r="W329" i="12"/>
  <c r="V329" i="12"/>
  <c r="U329" i="12"/>
  <c r="T329" i="12"/>
  <c r="S329" i="12"/>
  <c r="R329" i="12"/>
  <c r="Q329" i="12"/>
  <c r="P329" i="12"/>
  <c r="O329" i="12"/>
  <c r="N329" i="12"/>
  <c r="M329" i="12"/>
  <c r="L329" i="12"/>
  <c r="K329" i="12"/>
  <c r="J329" i="12"/>
  <c r="I329" i="12"/>
  <c r="H329" i="12"/>
  <c r="G329" i="12"/>
  <c r="AD326" i="12"/>
  <c r="AD324" i="12"/>
  <c r="AC324" i="12"/>
  <c r="AB324" i="12"/>
  <c r="AA324" i="12"/>
  <c r="Z324" i="12"/>
  <c r="Y324" i="12"/>
  <c r="X324" i="12"/>
  <c r="W324" i="12"/>
  <c r="V324" i="12"/>
  <c r="U324" i="12"/>
  <c r="T324" i="12"/>
  <c r="S324" i="12"/>
  <c r="R324" i="12"/>
  <c r="Q324" i="12"/>
  <c r="P324" i="12"/>
  <c r="O324" i="12"/>
  <c r="N324" i="12"/>
  <c r="M324" i="12"/>
  <c r="L324" i="12"/>
  <c r="K324" i="12"/>
  <c r="J324" i="12"/>
  <c r="I324" i="12"/>
  <c r="H324" i="12"/>
  <c r="G324" i="12"/>
  <c r="A321" i="12"/>
  <c r="A320" i="12"/>
  <c r="AD319" i="12"/>
  <c r="AC319" i="12"/>
  <c r="AB319" i="12"/>
  <c r="AA319" i="12"/>
  <c r="Z319" i="12"/>
  <c r="Y319" i="12"/>
  <c r="X319" i="12"/>
  <c r="W319" i="12"/>
  <c r="V319" i="12"/>
  <c r="U319" i="12"/>
  <c r="T319" i="12"/>
  <c r="S319" i="12"/>
  <c r="R319" i="12"/>
  <c r="Q319" i="12"/>
  <c r="P319" i="12"/>
  <c r="O319" i="12"/>
  <c r="N319" i="12"/>
  <c r="M319" i="12"/>
  <c r="L319" i="12"/>
  <c r="K319" i="12"/>
  <c r="J319" i="12"/>
  <c r="I319" i="12"/>
  <c r="H319" i="12"/>
  <c r="G319" i="12"/>
  <c r="AD314" i="12"/>
  <c r="AC314" i="12"/>
  <c r="AB314" i="12"/>
  <c r="AA314" i="12"/>
  <c r="Z314" i="12"/>
  <c r="Y314" i="12"/>
  <c r="X314" i="12"/>
  <c r="W314" i="12"/>
  <c r="V314" i="12"/>
  <c r="U314" i="12"/>
  <c r="T314" i="12"/>
  <c r="S314" i="12"/>
  <c r="R314" i="12"/>
  <c r="Q314" i="12"/>
  <c r="P314" i="12"/>
  <c r="O314" i="12"/>
  <c r="N314" i="12"/>
  <c r="M314" i="12"/>
  <c r="L314" i="12"/>
  <c r="K314" i="12"/>
  <c r="J314" i="12"/>
  <c r="I314" i="12"/>
  <c r="H314" i="12"/>
  <c r="G314" i="12"/>
  <c r="A311" i="12"/>
  <c r="A310" i="12"/>
  <c r="A309" i="12"/>
  <c r="AD308" i="12"/>
  <c r="AC308" i="12"/>
  <c r="AB308" i="12"/>
  <c r="AA308" i="12"/>
  <c r="Z308" i="12"/>
  <c r="Y308" i="12"/>
  <c r="X308" i="12"/>
  <c r="W308" i="12"/>
  <c r="V308" i="12"/>
  <c r="U308" i="12"/>
  <c r="T308" i="12"/>
  <c r="S308" i="12"/>
  <c r="R308" i="12"/>
  <c r="Q308" i="12"/>
  <c r="P308" i="12"/>
  <c r="O308" i="12"/>
  <c r="N308" i="12"/>
  <c r="M308" i="12"/>
  <c r="L308" i="12"/>
  <c r="K308" i="12"/>
  <c r="J308" i="12"/>
  <c r="I308" i="12"/>
  <c r="H308" i="12"/>
  <c r="G308" i="12"/>
  <c r="AD303" i="12"/>
  <c r="AC303" i="12"/>
  <c r="AB303" i="12"/>
  <c r="AA303" i="12"/>
  <c r="Z303" i="12"/>
  <c r="Y303" i="12"/>
  <c r="X303" i="12"/>
  <c r="W303" i="12"/>
  <c r="V303" i="12"/>
  <c r="U303" i="12"/>
  <c r="T303" i="12"/>
  <c r="S303" i="12"/>
  <c r="R303" i="12"/>
  <c r="Q303" i="12"/>
  <c r="P303" i="12"/>
  <c r="O303" i="12"/>
  <c r="N303" i="12"/>
  <c r="M303" i="12"/>
  <c r="L303" i="12"/>
  <c r="K303" i="12"/>
  <c r="J303" i="12"/>
  <c r="I303" i="12"/>
  <c r="H303" i="12"/>
  <c r="G303" i="12"/>
  <c r="A300" i="12"/>
  <c r="AD297" i="12"/>
  <c r="AC297" i="12"/>
  <c r="AB297" i="12"/>
  <c r="AA297" i="12"/>
  <c r="Z297" i="12"/>
  <c r="Y297" i="12"/>
  <c r="X297" i="12"/>
  <c r="W297" i="12"/>
  <c r="V297" i="12"/>
  <c r="U297" i="12"/>
  <c r="T297" i="12"/>
  <c r="S297" i="12"/>
  <c r="R297" i="12"/>
  <c r="Q297" i="12"/>
  <c r="P297" i="12"/>
  <c r="O297" i="12"/>
  <c r="N297" i="12"/>
  <c r="M297" i="12"/>
  <c r="L297" i="12"/>
  <c r="K297" i="12"/>
  <c r="J297" i="12"/>
  <c r="I297" i="12"/>
  <c r="H297" i="12"/>
  <c r="G297" i="12"/>
  <c r="AD294" i="12"/>
  <c r="AD292" i="12"/>
  <c r="AC292" i="12"/>
  <c r="AB292" i="12"/>
  <c r="AA292" i="12"/>
  <c r="Z292" i="12"/>
  <c r="Y292" i="12"/>
  <c r="X292" i="12"/>
  <c r="W292" i="12"/>
  <c r="V292" i="12"/>
  <c r="U292" i="12"/>
  <c r="T292" i="12"/>
  <c r="S292" i="12"/>
  <c r="R292" i="12"/>
  <c r="Q292" i="12"/>
  <c r="P292" i="12"/>
  <c r="O292" i="12"/>
  <c r="N292" i="12"/>
  <c r="M292" i="12"/>
  <c r="L292" i="12"/>
  <c r="K292" i="12"/>
  <c r="J292" i="12"/>
  <c r="I292" i="12"/>
  <c r="H292" i="12"/>
  <c r="G292" i="12"/>
  <c r="A289" i="12"/>
  <c r="A288" i="12"/>
  <c r="AD287" i="12"/>
  <c r="AC287" i="12"/>
  <c r="AB287" i="12"/>
  <c r="AA287" i="12"/>
  <c r="Z287" i="12"/>
  <c r="Y287" i="12"/>
  <c r="X287" i="12"/>
  <c r="W287" i="12"/>
  <c r="V287" i="12"/>
  <c r="U287" i="12"/>
  <c r="T287" i="12"/>
  <c r="S287" i="12"/>
  <c r="R287" i="12"/>
  <c r="Q287" i="12"/>
  <c r="P287" i="12"/>
  <c r="O287" i="12"/>
  <c r="N287" i="12"/>
  <c r="M287" i="12"/>
  <c r="L287" i="12"/>
  <c r="K287" i="12"/>
  <c r="J287" i="12"/>
  <c r="I287" i="12"/>
  <c r="H287" i="12"/>
  <c r="G287" i="12"/>
  <c r="AD282" i="12"/>
  <c r="AC282" i="12"/>
  <c r="AB282" i="12"/>
  <c r="AA282" i="12"/>
  <c r="Z282" i="12"/>
  <c r="Y282" i="12"/>
  <c r="X282" i="12"/>
  <c r="W282" i="12"/>
  <c r="V282" i="12"/>
  <c r="U282" i="12"/>
  <c r="T282" i="12"/>
  <c r="S282" i="12"/>
  <c r="R282" i="12"/>
  <c r="Q282" i="12"/>
  <c r="P282" i="12"/>
  <c r="O282" i="12"/>
  <c r="N282" i="12"/>
  <c r="M282" i="12"/>
  <c r="L282" i="12"/>
  <c r="K282" i="12"/>
  <c r="J282" i="12"/>
  <c r="I282" i="12"/>
  <c r="H282" i="12"/>
  <c r="G282" i="12"/>
  <c r="A279" i="12"/>
  <c r="A278" i="12"/>
  <c r="A277" i="12"/>
  <c r="AD276" i="12"/>
  <c r="AC276" i="12"/>
  <c r="AB276" i="12"/>
  <c r="AA276" i="12"/>
  <c r="Z276" i="12"/>
  <c r="Y276" i="12"/>
  <c r="X276" i="12"/>
  <c r="W276" i="12"/>
  <c r="V276" i="12"/>
  <c r="U276" i="12"/>
  <c r="T276" i="12"/>
  <c r="S276" i="12"/>
  <c r="R276" i="12"/>
  <c r="Q276" i="12"/>
  <c r="P276" i="12"/>
  <c r="O276" i="12"/>
  <c r="N276" i="12"/>
  <c r="M276" i="12"/>
  <c r="L276" i="12"/>
  <c r="K276" i="12"/>
  <c r="J276" i="12"/>
  <c r="I276" i="12"/>
  <c r="H276" i="12"/>
  <c r="G276" i="12"/>
  <c r="AD271" i="12"/>
  <c r="AC271" i="12"/>
  <c r="AB271" i="12"/>
  <c r="AA271" i="12"/>
  <c r="Z271" i="12"/>
  <c r="Y271" i="12"/>
  <c r="X271" i="12"/>
  <c r="W271" i="12"/>
  <c r="V271" i="12"/>
  <c r="U271" i="12"/>
  <c r="T271" i="12"/>
  <c r="S271" i="12"/>
  <c r="R271" i="12"/>
  <c r="Q271" i="12"/>
  <c r="P271" i="12"/>
  <c r="O271" i="12"/>
  <c r="N271" i="12"/>
  <c r="M271" i="12"/>
  <c r="L271" i="12"/>
  <c r="K271" i="12"/>
  <c r="J271" i="12"/>
  <c r="I271" i="12"/>
  <c r="H271" i="12"/>
  <c r="G271" i="12"/>
  <c r="A268" i="12"/>
  <c r="AD265" i="12"/>
  <c r="AC265" i="12"/>
  <c r="AB265" i="12"/>
  <c r="AA265" i="12"/>
  <c r="Z265" i="12"/>
  <c r="Y265" i="12"/>
  <c r="X265" i="12"/>
  <c r="W265" i="12"/>
  <c r="V265" i="12"/>
  <c r="U265" i="12"/>
  <c r="T265" i="12"/>
  <c r="S265" i="12"/>
  <c r="R265" i="12"/>
  <c r="Q265" i="12"/>
  <c r="P265" i="12"/>
  <c r="O265" i="12"/>
  <c r="N265" i="12"/>
  <c r="M265" i="12"/>
  <c r="L265" i="12"/>
  <c r="K265" i="12"/>
  <c r="J265" i="12"/>
  <c r="I265" i="12"/>
  <c r="H265" i="12"/>
  <c r="G265" i="12"/>
  <c r="AD262" i="12"/>
  <c r="AC262" i="12"/>
  <c r="AB262" i="12"/>
  <c r="AA262" i="12"/>
  <c r="Z262" i="12"/>
  <c r="Y262" i="12"/>
  <c r="X262" i="12"/>
  <c r="W262" i="12"/>
  <c r="V262" i="12"/>
  <c r="U262" i="12"/>
  <c r="T262" i="12"/>
  <c r="S262" i="12"/>
  <c r="R262" i="12"/>
  <c r="Q262" i="12"/>
  <c r="P262" i="12"/>
  <c r="O262" i="12"/>
  <c r="N262" i="12"/>
  <c r="M262" i="12"/>
  <c r="L262" i="12"/>
  <c r="K262" i="12"/>
  <c r="J262" i="12"/>
  <c r="I262" i="12"/>
  <c r="H262" i="12"/>
  <c r="G262" i="12"/>
  <c r="A260" i="12"/>
  <c r="AD259" i="12"/>
  <c r="AC259" i="12"/>
  <c r="AB259" i="12"/>
  <c r="AA259" i="12"/>
  <c r="Z259" i="12"/>
  <c r="Y259" i="12"/>
  <c r="X259" i="12"/>
  <c r="W259" i="12"/>
  <c r="V259" i="12"/>
  <c r="U259" i="12"/>
  <c r="T259" i="12"/>
  <c r="S259" i="12"/>
  <c r="R259" i="12"/>
  <c r="Q259" i="12"/>
  <c r="P259" i="12"/>
  <c r="O259" i="12"/>
  <c r="N259" i="12"/>
  <c r="M259" i="12"/>
  <c r="L259" i="12"/>
  <c r="K259" i="12"/>
  <c r="J259" i="12"/>
  <c r="I259" i="12"/>
  <c r="H259" i="12"/>
  <c r="G259" i="12"/>
  <c r="AD253" i="12"/>
  <c r="AC253" i="12"/>
  <c r="AB253" i="12"/>
  <c r="AA253" i="12"/>
  <c r="Z253" i="12"/>
  <c r="Y253" i="12"/>
  <c r="X253" i="12"/>
  <c r="W253" i="12"/>
  <c r="V253" i="12"/>
  <c r="U253" i="12"/>
  <c r="T253" i="12"/>
  <c r="S253" i="12"/>
  <c r="R253" i="12"/>
  <c r="Q253" i="12"/>
  <c r="P253" i="12"/>
  <c r="O253" i="12"/>
  <c r="N253" i="12"/>
  <c r="M253" i="12"/>
  <c r="L253" i="12"/>
  <c r="K253" i="12"/>
  <c r="J253" i="12"/>
  <c r="I253" i="12"/>
  <c r="H253" i="12"/>
  <c r="G253" i="12"/>
  <c r="A250" i="12"/>
  <c r="AD246" i="12"/>
  <c r="AC246" i="12"/>
  <c r="AB246" i="12"/>
  <c r="AA246" i="12"/>
  <c r="Z246" i="12"/>
  <c r="Y246" i="12"/>
  <c r="X246" i="12"/>
  <c r="W246" i="12"/>
  <c r="V246" i="12"/>
  <c r="U246" i="12"/>
  <c r="T246" i="12"/>
  <c r="S246" i="12"/>
  <c r="R246" i="12"/>
  <c r="Q246" i="12"/>
  <c r="P246" i="12"/>
  <c r="O246" i="12"/>
  <c r="N246" i="12"/>
  <c r="M246" i="12"/>
  <c r="L246" i="12"/>
  <c r="K246" i="12"/>
  <c r="J246" i="12"/>
  <c r="I246" i="12"/>
  <c r="H246" i="12"/>
  <c r="G246" i="12"/>
  <c r="AD240" i="12"/>
  <c r="AC240" i="12"/>
  <c r="AB240" i="12"/>
  <c r="AA240" i="12"/>
  <c r="Z240" i="12"/>
  <c r="Y240" i="12"/>
  <c r="X240" i="12"/>
  <c r="W240" i="12"/>
  <c r="V240" i="12"/>
  <c r="U240" i="12"/>
  <c r="T240" i="12"/>
  <c r="S240" i="12"/>
  <c r="R240" i="12"/>
  <c r="Q240" i="12"/>
  <c r="P240" i="12"/>
  <c r="O240" i="12"/>
  <c r="N240" i="12"/>
  <c r="M240" i="12"/>
  <c r="L240" i="12"/>
  <c r="K240" i="12"/>
  <c r="J240" i="12"/>
  <c r="I240" i="12"/>
  <c r="H240" i="12"/>
  <c r="G240" i="12"/>
  <c r="AD235" i="12"/>
  <c r="AD234" i="12"/>
  <c r="AC234" i="12"/>
  <c r="AB234" i="12"/>
  <c r="AA234" i="12"/>
  <c r="Z234" i="12"/>
  <c r="Y234" i="12"/>
  <c r="X234" i="12"/>
  <c r="W234" i="12"/>
  <c r="V234" i="12"/>
  <c r="U234" i="12"/>
  <c r="T234" i="12"/>
  <c r="S234" i="12"/>
  <c r="R234" i="12"/>
  <c r="Q234" i="12"/>
  <c r="P234" i="12"/>
  <c r="O234" i="12"/>
  <c r="N234" i="12"/>
  <c r="M234" i="12"/>
  <c r="L234" i="12"/>
  <c r="K234" i="12"/>
  <c r="J234" i="12"/>
  <c r="I234" i="12"/>
  <c r="H234" i="12"/>
  <c r="G234" i="12"/>
  <c r="A230" i="12"/>
  <c r="A229" i="12"/>
  <c r="A228" i="12"/>
  <c r="AD227" i="12"/>
  <c r="AC227" i="12"/>
  <c r="AB227" i="12"/>
  <c r="AA227" i="12"/>
  <c r="Z227" i="12"/>
  <c r="Y227" i="12"/>
  <c r="X227" i="12"/>
  <c r="W227" i="12"/>
  <c r="V227" i="12"/>
  <c r="U227" i="12"/>
  <c r="T227" i="12"/>
  <c r="S227" i="12"/>
  <c r="R227" i="12"/>
  <c r="Q227" i="12"/>
  <c r="P227" i="12"/>
  <c r="O227" i="12"/>
  <c r="N227" i="12"/>
  <c r="M227" i="12"/>
  <c r="L227" i="12"/>
  <c r="K227" i="12"/>
  <c r="J227" i="12"/>
  <c r="I227" i="12"/>
  <c r="H227" i="12"/>
  <c r="G227" i="12"/>
  <c r="AD215" i="12"/>
  <c r="AC215" i="12"/>
  <c r="AB215" i="12"/>
  <c r="AA215" i="12"/>
  <c r="Z215" i="12"/>
  <c r="Y215" i="12"/>
  <c r="X215" i="12"/>
  <c r="W215" i="12"/>
  <c r="V215" i="12"/>
  <c r="U215" i="12"/>
  <c r="T215" i="12"/>
  <c r="S215" i="12"/>
  <c r="R215" i="12"/>
  <c r="Q215" i="12"/>
  <c r="P215" i="12"/>
  <c r="O215" i="12"/>
  <c r="N215" i="12"/>
  <c r="M215" i="12"/>
  <c r="L215" i="12"/>
  <c r="K215" i="12"/>
  <c r="J215" i="12"/>
  <c r="I215" i="12"/>
  <c r="H215" i="12"/>
  <c r="G215" i="12"/>
  <c r="A212" i="12"/>
  <c r="A211" i="12"/>
  <c r="A210" i="12"/>
  <c r="A206" i="12"/>
  <c r="A205" i="12"/>
  <c r="A204" i="12"/>
  <c r="AD201" i="12"/>
  <c r="AC201" i="12"/>
  <c r="AB201" i="12"/>
  <c r="AA201" i="12"/>
  <c r="Z201" i="12"/>
  <c r="Y201" i="12"/>
  <c r="X201" i="12"/>
  <c r="W201" i="12"/>
  <c r="V201" i="12"/>
  <c r="U201" i="12"/>
  <c r="T201" i="12"/>
  <c r="S201" i="12"/>
  <c r="R201" i="12"/>
  <c r="Q201" i="12"/>
  <c r="P201" i="12"/>
  <c r="O201" i="12"/>
  <c r="N201" i="12"/>
  <c r="M201" i="12"/>
  <c r="L201" i="12"/>
  <c r="K201" i="12"/>
  <c r="J201" i="12"/>
  <c r="I201" i="12"/>
  <c r="H201" i="12"/>
  <c r="G201" i="12"/>
  <c r="AD198" i="12"/>
  <c r="AD196" i="12"/>
  <c r="AC196" i="12"/>
  <c r="AB196" i="12"/>
  <c r="AA196" i="12"/>
  <c r="Z196" i="12"/>
  <c r="Y196" i="12"/>
  <c r="X196" i="12"/>
  <c r="W196" i="12"/>
  <c r="V196" i="12"/>
  <c r="U196" i="12"/>
  <c r="T196" i="12"/>
  <c r="S196" i="12"/>
  <c r="R196" i="12"/>
  <c r="Q196" i="12"/>
  <c r="P196" i="12"/>
  <c r="O196" i="12"/>
  <c r="N196" i="12"/>
  <c r="M196" i="12"/>
  <c r="L196" i="12"/>
  <c r="K196" i="12"/>
  <c r="J196" i="12"/>
  <c r="I196" i="12"/>
  <c r="H196" i="12"/>
  <c r="G196" i="12"/>
  <c r="A193" i="12"/>
  <c r="A192" i="12"/>
  <c r="A191" i="12"/>
  <c r="AD190" i="12"/>
  <c r="AC190" i="12"/>
  <c r="AB190" i="12"/>
  <c r="AA190" i="12"/>
  <c r="Z190" i="12"/>
  <c r="Y190" i="12"/>
  <c r="X190" i="12"/>
  <c r="W190" i="12"/>
  <c r="V190" i="12"/>
  <c r="U190" i="12"/>
  <c r="T190" i="12"/>
  <c r="S190" i="12"/>
  <c r="R190" i="12"/>
  <c r="Q190" i="12"/>
  <c r="P190" i="12"/>
  <c r="O190" i="12"/>
  <c r="N190" i="12"/>
  <c r="M190" i="12"/>
  <c r="L190" i="12"/>
  <c r="K190" i="12"/>
  <c r="J190" i="12"/>
  <c r="I190" i="12"/>
  <c r="H190" i="12"/>
  <c r="G190" i="12"/>
  <c r="AD187" i="12"/>
  <c r="AC187" i="12"/>
  <c r="AB187" i="12"/>
  <c r="AA187" i="12"/>
  <c r="Z187" i="12"/>
  <c r="Y187" i="12"/>
  <c r="X187" i="12"/>
  <c r="W187" i="12"/>
  <c r="V187" i="12"/>
  <c r="U187" i="12"/>
  <c r="T187" i="12"/>
  <c r="S187" i="12"/>
  <c r="R187" i="12"/>
  <c r="Q187" i="12"/>
  <c r="P187" i="12"/>
  <c r="O187" i="12"/>
  <c r="N187" i="12"/>
  <c r="M187" i="12"/>
  <c r="L187" i="12"/>
  <c r="K187" i="12"/>
  <c r="J187" i="12"/>
  <c r="I187" i="12"/>
  <c r="H187" i="12"/>
  <c r="G187" i="12"/>
  <c r="A185" i="12"/>
  <c r="AD184" i="12"/>
  <c r="AC184" i="12"/>
  <c r="AB184" i="12"/>
  <c r="AA184" i="12"/>
  <c r="Z184" i="12"/>
  <c r="Y184" i="12"/>
  <c r="X184" i="12"/>
  <c r="W184" i="12"/>
  <c r="V184" i="12"/>
  <c r="U184" i="12"/>
  <c r="T184" i="12"/>
  <c r="S184" i="12"/>
  <c r="R184" i="12"/>
  <c r="Q184" i="12"/>
  <c r="P184" i="12"/>
  <c r="O184" i="12"/>
  <c r="N184" i="12"/>
  <c r="M184" i="12"/>
  <c r="L184" i="12"/>
  <c r="K184" i="12"/>
  <c r="J184" i="12"/>
  <c r="I184" i="12"/>
  <c r="H184" i="12"/>
  <c r="G184" i="12"/>
  <c r="E179" i="12"/>
  <c r="E178" i="12"/>
  <c r="K177" i="12"/>
  <c r="J177" i="12"/>
  <c r="I177" i="12"/>
  <c r="H177" i="12"/>
  <c r="E177" i="12"/>
  <c r="E176" i="12"/>
  <c r="E175" i="12"/>
  <c r="E174" i="12"/>
  <c r="E173" i="12"/>
  <c r="E172" i="12"/>
  <c r="E171" i="12"/>
  <c r="E170" i="12"/>
  <c r="E169" i="12"/>
  <c r="E168" i="12"/>
  <c r="E167" i="12"/>
  <c r="E166" i="12"/>
  <c r="E165" i="12"/>
  <c r="AD164" i="12"/>
  <c r="AC164" i="12"/>
  <c r="AB164" i="12"/>
  <c r="AA164" i="12"/>
  <c r="Z164" i="12"/>
  <c r="Y164" i="12"/>
  <c r="X164" i="12"/>
  <c r="W164" i="12"/>
  <c r="V164" i="12"/>
  <c r="U164" i="12"/>
  <c r="T164" i="12"/>
  <c r="S164" i="12"/>
  <c r="R164" i="12"/>
  <c r="Q164" i="12"/>
  <c r="P164" i="12"/>
  <c r="O164" i="12"/>
  <c r="N164" i="12"/>
  <c r="M164" i="12"/>
  <c r="L164" i="12"/>
  <c r="K164" i="12"/>
  <c r="J164" i="12"/>
  <c r="I164" i="12"/>
  <c r="H164" i="12"/>
  <c r="G164" i="12"/>
  <c r="AD161" i="12"/>
  <c r="AC161" i="12"/>
  <c r="AB161" i="12"/>
  <c r="AA161" i="12"/>
  <c r="Z161" i="12"/>
  <c r="Y161" i="12"/>
  <c r="X161" i="12"/>
  <c r="W161" i="12"/>
  <c r="V161" i="12"/>
  <c r="U161" i="12"/>
  <c r="T161" i="12"/>
  <c r="S161" i="12"/>
  <c r="R161" i="12"/>
  <c r="Q161" i="12"/>
  <c r="P161" i="12"/>
  <c r="O161" i="12"/>
  <c r="N161" i="12"/>
  <c r="M161" i="12"/>
  <c r="L161" i="12"/>
  <c r="K161" i="12"/>
  <c r="J161" i="12"/>
  <c r="I161" i="12"/>
  <c r="H161" i="12"/>
  <c r="G161" i="12"/>
  <c r="A159" i="12"/>
  <c r="AD158" i="12"/>
  <c r="AC158" i="12"/>
  <c r="AB158" i="12"/>
  <c r="AA158" i="12"/>
  <c r="Z158" i="12"/>
  <c r="Y158" i="12"/>
  <c r="X158" i="12"/>
  <c r="W158" i="12"/>
  <c r="V158" i="12"/>
  <c r="U158" i="12"/>
  <c r="T158" i="12"/>
  <c r="S158" i="12"/>
  <c r="R158" i="12"/>
  <c r="Q158" i="12"/>
  <c r="P158" i="12"/>
  <c r="O158" i="12"/>
  <c r="N158" i="12"/>
  <c r="M158" i="12"/>
  <c r="L158" i="12"/>
  <c r="K158" i="12"/>
  <c r="J158" i="12"/>
  <c r="I158" i="12"/>
  <c r="H158" i="12"/>
  <c r="G158" i="12"/>
  <c r="AD146" i="12"/>
  <c r="AC146" i="12"/>
  <c r="AB146" i="12"/>
  <c r="AA146" i="12"/>
  <c r="Z146" i="12"/>
  <c r="Y146" i="12"/>
  <c r="X146" i="12"/>
  <c r="W146" i="12"/>
  <c r="V146" i="12"/>
  <c r="U146" i="12"/>
  <c r="T146" i="12"/>
  <c r="S146" i="12"/>
  <c r="R146" i="12"/>
  <c r="Q146" i="12"/>
  <c r="P146" i="12"/>
  <c r="O146" i="12"/>
  <c r="N146" i="12"/>
  <c r="M146" i="12"/>
  <c r="L146" i="12"/>
  <c r="K146" i="12"/>
  <c r="J146" i="12"/>
  <c r="I146" i="12"/>
  <c r="H146" i="12"/>
  <c r="G146" i="12"/>
  <c r="AD133" i="12"/>
  <c r="AC133" i="12"/>
  <c r="AB133" i="12"/>
  <c r="AA133" i="12"/>
  <c r="Z133" i="12"/>
  <c r="Y133" i="12"/>
  <c r="X133" i="12"/>
  <c r="W133" i="12"/>
  <c r="V133" i="12"/>
  <c r="U133" i="12"/>
  <c r="T133" i="12"/>
  <c r="S133" i="12"/>
  <c r="R133" i="12"/>
  <c r="Q133" i="12"/>
  <c r="P133" i="12"/>
  <c r="O133" i="12"/>
  <c r="N133" i="12"/>
  <c r="M133" i="12"/>
  <c r="L133" i="12"/>
  <c r="K133" i="12"/>
  <c r="J133" i="12"/>
  <c r="I133" i="12"/>
  <c r="H133" i="12"/>
  <c r="G133" i="12"/>
  <c r="AD130" i="12"/>
  <c r="AA130" i="12"/>
  <c r="Z130" i="12"/>
  <c r="Y130" i="12"/>
  <c r="X130" i="12"/>
  <c r="W130" i="12"/>
  <c r="V130" i="12"/>
  <c r="U130" i="12"/>
  <c r="T130" i="12"/>
  <c r="S130" i="12"/>
  <c r="R130" i="12"/>
  <c r="Q130" i="12"/>
  <c r="P130" i="12"/>
  <c r="O130" i="12"/>
  <c r="N130" i="12"/>
  <c r="M130" i="12"/>
  <c r="L130" i="12"/>
  <c r="K130" i="12"/>
  <c r="J130" i="12"/>
  <c r="I130" i="12"/>
  <c r="H130" i="12"/>
  <c r="AD127" i="12"/>
  <c r="AC127" i="12"/>
  <c r="AB127" i="12"/>
  <c r="AA127" i="12"/>
  <c r="Z127" i="12"/>
  <c r="Y127" i="12"/>
  <c r="X127" i="12"/>
  <c r="W127" i="12"/>
  <c r="V127" i="12"/>
  <c r="U127" i="12"/>
  <c r="T127" i="12"/>
  <c r="S127" i="12"/>
  <c r="R127" i="12"/>
  <c r="Q127" i="12"/>
  <c r="P127" i="12"/>
  <c r="O127" i="12"/>
  <c r="N127" i="12"/>
  <c r="M127" i="12"/>
  <c r="L127" i="12"/>
  <c r="K127" i="12"/>
  <c r="J127" i="12"/>
  <c r="I127" i="12"/>
  <c r="H127" i="12"/>
  <c r="G127" i="12"/>
  <c r="A125" i="12"/>
  <c r="AD124" i="12"/>
  <c r="AA124" i="12"/>
  <c r="Z124" i="12"/>
  <c r="Y124" i="12"/>
  <c r="X124" i="12"/>
  <c r="W124" i="12"/>
  <c r="V124" i="12"/>
  <c r="U124" i="12"/>
  <c r="T124" i="12"/>
  <c r="S124" i="12"/>
  <c r="R124" i="12"/>
  <c r="Q124" i="12"/>
  <c r="P124" i="12"/>
  <c r="O124" i="12"/>
  <c r="N124" i="12"/>
  <c r="M124" i="12"/>
  <c r="L124" i="12"/>
  <c r="K124" i="12"/>
  <c r="J124" i="12"/>
  <c r="I124" i="12"/>
  <c r="H124" i="12"/>
  <c r="G124" i="12"/>
  <c r="AD121" i="12"/>
  <c r="AC121" i="12"/>
  <c r="AB121" i="12"/>
  <c r="AA121" i="12"/>
  <c r="Z121" i="12"/>
  <c r="Y121" i="12"/>
  <c r="X121" i="12"/>
  <c r="W121" i="12"/>
  <c r="V121" i="12"/>
  <c r="U121" i="12"/>
  <c r="T121" i="12"/>
  <c r="S121" i="12"/>
  <c r="R121" i="12"/>
  <c r="Q121" i="12"/>
  <c r="P121" i="12"/>
  <c r="O121" i="12"/>
  <c r="N121" i="12"/>
  <c r="M121" i="12"/>
  <c r="L121" i="12"/>
  <c r="K121" i="12"/>
  <c r="J121" i="12"/>
  <c r="I121" i="12"/>
  <c r="H121" i="12"/>
  <c r="G121" i="12"/>
  <c r="AD117" i="12"/>
  <c r="AC117" i="12"/>
  <c r="AB117" i="12"/>
  <c r="AA117" i="12"/>
  <c r="Z117" i="12"/>
  <c r="Y117" i="12"/>
  <c r="X117" i="12"/>
  <c r="W117" i="12"/>
  <c r="V117" i="12"/>
  <c r="U117" i="12"/>
  <c r="T117" i="12"/>
  <c r="S117" i="12"/>
  <c r="R117" i="12"/>
  <c r="Q117" i="12"/>
  <c r="P117" i="12"/>
  <c r="O117" i="12"/>
  <c r="N117" i="12"/>
  <c r="M117" i="12"/>
  <c r="L117" i="12"/>
  <c r="K117" i="12"/>
  <c r="J117" i="12"/>
  <c r="I117" i="12"/>
  <c r="H117" i="12"/>
  <c r="G117" i="12"/>
  <c r="AD113" i="12"/>
  <c r="AC113" i="12"/>
  <c r="AB113" i="12"/>
  <c r="AA113" i="12"/>
  <c r="Z113" i="12"/>
  <c r="Y113" i="12"/>
  <c r="X113" i="12"/>
  <c r="W113" i="12"/>
  <c r="V113" i="12"/>
  <c r="U113" i="12"/>
  <c r="T113" i="12"/>
  <c r="S113" i="12"/>
  <c r="R113" i="12"/>
  <c r="Q113" i="12"/>
  <c r="P113" i="12"/>
  <c r="O113" i="12"/>
  <c r="N113" i="12"/>
  <c r="M113" i="12"/>
  <c r="L113" i="12"/>
  <c r="K113" i="12"/>
  <c r="J113" i="12"/>
  <c r="I113" i="12"/>
  <c r="H113" i="12"/>
  <c r="G113" i="12"/>
  <c r="AD110" i="12"/>
  <c r="AD109" i="12"/>
  <c r="AD103" i="12" s="1"/>
  <c r="AD108" i="12"/>
  <c r="AC108" i="12"/>
  <c r="AB108" i="12"/>
  <c r="AA108" i="12"/>
  <c r="Z108" i="12"/>
  <c r="Y108" i="12"/>
  <c r="X108" i="12"/>
  <c r="W108" i="12"/>
  <c r="V108" i="12"/>
  <c r="U108" i="12"/>
  <c r="T108" i="12"/>
  <c r="S108" i="12"/>
  <c r="R108" i="12"/>
  <c r="Q108" i="12"/>
  <c r="P108" i="12"/>
  <c r="O108" i="12"/>
  <c r="N108" i="12"/>
  <c r="M108" i="12"/>
  <c r="L108" i="12"/>
  <c r="K108" i="12"/>
  <c r="J108" i="12"/>
  <c r="I108" i="12"/>
  <c r="H108" i="12"/>
  <c r="G108" i="12"/>
  <c r="A105" i="12"/>
  <c r="A104" i="12"/>
  <c r="A103" i="12"/>
  <c r="AD102" i="12"/>
  <c r="AC102" i="12"/>
  <c r="AB102" i="12"/>
  <c r="AA102" i="12"/>
  <c r="Z102" i="12"/>
  <c r="Y102" i="12"/>
  <c r="X102" i="12"/>
  <c r="W102" i="12"/>
  <c r="V102" i="12"/>
  <c r="U102" i="12"/>
  <c r="T102" i="12"/>
  <c r="S102" i="12"/>
  <c r="R102" i="12"/>
  <c r="Q102" i="12"/>
  <c r="P102" i="12"/>
  <c r="O102" i="12"/>
  <c r="N102" i="12"/>
  <c r="M102" i="12"/>
  <c r="L102" i="12"/>
  <c r="K102" i="12"/>
  <c r="J102" i="12"/>
  <c r="I102" i="12"/>
  <c r="H102" i="12"/>
  <c r="G102" i="12"/>
  <c r="AD97" i="12"/>
  <c r="AC97" i="12"/>
  <c r="AB97" i="12"/>
  <c r="AA97" i="12"/>
  <c r="Z97" i="12"/>
  <c r="Y97" i="12"/>
  <c r="X97" i="12"/>
  <c r="W97" i="12"/>
  <c r="V97" i="12"/>
  <c r="U97" i="12"/>
  <c r="T97" i="12"/>
  <c r="S97" i="12"/>
  <c r="R97" i="12"/>
  <c r="Q97" i="12"/>
  <c r="P97" i="12"/>
  <c r="O97" i="12"/>
  <c r="N97" i="12"/>
  <c r="M97" i="12"/>
  <c r="L97" i="12"/>
  <c r="K97" i="12"/>
  <c r="J97" i="12"/>
  <c r="I97" i="12"/>
  <c r="H97" i="12"/>
  <c r="G97" i="12"/>
  <c r="A94" i="12"/>
  <c r="AD91" i="12"/>
  <c r="AC91" i="12"/>
  <c r="AB91" i="12"/>
  <c r="AA91" i="12"/>
  <c r="Z91" i="12"/>
  <c r="Y91" i="12"/>
  <c r="X91" i="12"/>
  <c r="W91" i="12"/>
  <c r="V91" i="12"/>
  <c r="U91" i="12"/>
  <c r="T91" i="12"/>
  <c r="S91" i="12"/>
  <c r="R91" i="12"/>
  <c r="Q91" i="12"/>
  <c r="P91" i="12"/>
  <c r="O91" i="12"/>
  <c r="N91" i="12"/>
  <c r="M91" i="12"/>
  <c r="L91" i="12"/>
  <c r="K91" i="12"/>
  <c r="J91" i="12"/>
  <c r="I91" i="12"/>
  <c r="H91" i="12"/>
  <c r="G91" i="12"/>
  <c r="AD88" i="12"/>
  <c r="AD86" i="12"/>
  <c r="AC86" i="12"/>
  <c r="AB86" i="12"/>
  <c r="AA86" i="12"/>
  <c r="Z86" i="12"/>
  <c r="Y86" i="12"/>
  <c r="X86" i="12"/>
  <c r="W86" i="12"/>
  <c r="V86" i="12"/>
  <c r="U86" i="12"/>
  <c r="T86" i="12"/>
  <c r="S86" i="12"/>
  <c r="R86" i="12"/>
  <c r="Q86" i="12"/>
  <c r="P86" i="12"/>
  <c r="O86" i="12"/>
  <c r="N86" i="12"/>
  <c r="M86" i="12"/>
  <c r="L86" i="12"/>
  <c r="K86" i="12"/>
  <c r="J86" i="12"/>
  <c r="I86" i="12"/>
  <c r="H86" i="12"/>
  <c r="G86" i="12"/>
  <c r="A83" i="12"/>
  <c r="A82" i="12"/>
  <c r="A81" i="12"/>
  <c r="AD80" i="12"/>
  <c r="AC80" i="12"/>
  <c r="AB80" i="12"/>
  <c r="AA80" i="12"/>
  <c r="Z80" i="12"/>
  <c r="Y80" i="12"/>
  <c r="X80" i="12"/>
  <c r="W80" i="12"/>
  <c r="V80" i="12"/>
  <c r="U80" i="12"/>
  <c r="T80" i="12"/>
  <c r="S80" i="12"/>
  <c r="R80" i="12"/>
  <c r="Q80" i="12"/>
  <c r="P80" i="12"/>
  <c r="O80" i="12"/>
  <c r="N80" i="12"/>
  <c r="M80" i="12"/>
  <c r="L80" i="12"/>
  <c r="K80" i="12"/>
  <c r="J80" i="12"/>
  <c r="I80" i="12"/>
  <c r="H80" i="12"/>
  <c r="G80" i="12"/>
  <c r="AD75" i="12"/>
  <c r="AC75" i="12"/>
  <c r="AB75" i="12"/>
  <c r="AA75" i="12"/>
  <c r="Z75" i="12"/>
  <c r="Y75" i="12"/>
  <c r="X75" i="12"/>
  <c r="W75" i="12"/>
  <c r="V75" i="12"/>
  <c r="U75" i="12"/>
  <c r="T75" i="12"/>
  <c r="S75" i="12"/>
  <c r="R75" i="12"/>
  <c r="Q75" i="12"/>
  <c r="P75" i="12"/>
  <c r="O75" i="12"/>
  <c r="N75" i="12"/>
  <c r="M75" i="12"/>
  <c r="L75" i="12"/>
  <c r="K75" i="12"/>
  <c r="J75" i="12"/>
  <c r="I75" i="12"/>
  <c r="H75" i="12"/>
  <c r="G75" i="12"/>
  <c r="A72" i="12"/>
  <c r="AD69" i="12"/>
  <c r="AC69" i="12"/>
  <c r="AB69" i="12"/>
  <c r="AA69" i="12"/>
  <c r="Z69" i="12"/>
  <c r="Y69" i="12"/>
  <c r="X69" i="12"/>
  <c r="W69" i="12"/>
  <c r="V69" i="12"/>
  <c r="U69" i="12"/>
  <c r="T69" i="12"/>
  <c r="S69" i="12"/>
  <c r="R69" i="12"/>
  <c r="Q69" i="12"/>
  <c r="P69" i="12"/>
  <c r="O69" i="12"/>
  <c r="N69" i="12"/>
  <c r="M69" i="12"/>
  <c r="L69" i="12"/>
  <c r="K69" i="12"/>
  <c r="J69" i="12"/>
  <c r="I69" i="12"/>
  <c r="H69" i="12"/>
  <c r="G69" i="12"/>
  <c r="AD67" i="12"/>
  <c r="AD66" i="12"/>
  <c r="AC66" i="12"/>
  <c r="AB66" i="12"/>
  <c r="AA66" i="12"/>
  <c r="Z66" i="12"/>
  <c r="Y66" i="12"/>
  <c r="X66" i="12"/>
  <c r="W66" i="12"/>
  <c r="V66" i="12"/>
  <c r="U66" i="12"/>
  <c r="T66" i="12"/>
  <c r="S66" i="12"/>
  <c r="R66" i="12"/>
  <c r="Q66" i="12"/>
  <c r="P66" i="12"/>
  <c r="O66" i="12"/>
  <c r="N66" i="12"/>
  <c r="M66" i="12"/>
  <c r="L66" i="12"/>
  <c r="K66" i="12"/>
  <c r="J66" i="12"/>
  <c r="I66" i="12"/>
  <c r="H66" i="12"/>
  <c r="G66" i="12"/>
  <c r="A64" i="12"/>
  <c r="AD63" i="12"/>
  <c r="AC63" i="12"/>
  <c r="AB63" i="12"/>
  <c r="AA63" i="12"/>
  <c r="Z63" i="12"/>
  <c r="Y63" i="12"/>
  <c r="X63" i="12"/>
  <c r="W63" i="12"/>
  <c r="V63" i="12"/>
  <c r="U63" i="12"/>
  <c r="T63" i="12"/>
  <c r="S63" i="12"/>
  <c r="R63" i="12"/>
  <c r="Q63" i="12"/>
  <c r="P63" i="12"/>
  <c r="O63" i="12"/>
  <c r="N63" i="12"/>
  <c r="M63" i="12"/>
  <c r="L63" i="12"/>
  <c r="K63" i="12"/>
  <c r="J63" i="12"/>
  <c r="I63" i="12"/>
  <c r="H63" i="12"/>
  <c r="G63" i="12"/>
  <c r="AD57" i="12"/>
  <c r="AC57" i="12"/>
  <c r="AB57" i="12"/>
  <c r="AA57" i="12"/>
  <c r="Z57" i="12"/>
  <c r="Y57" i="12"/>
  <c r="X57" i="12"/>
  <c r="W57" i="12"/>
  <c r="V57" i="12"/>
  <c r="U57" i="12"/>
  <c r="T57" i="12"/>
  <c r="S57" i="12"/>
  <c r="R57" i="12"/>
  <c r="Q57" i="12"/>
  <c r="P57" i="12"/>
  <c r="O57" i="12"/>
  <c r="N57" i="12"/>
  <c r="M57" i="12"/>
  <c r="L57" i="12"/>
  <c r="K57" i="12"/>
  <c r="J57" i="12"/>
  <c r="I57" i="12"/>
  <c r="H57" i="12"/>
  <c r="G57" i="12"/>
  <c r="A54" i="12"/>
  <c r="AD50" i="12"/>
  <c r="AC50" i="12"/>
  <c r="AB50" i="12"/>
  <c r="AA50" i="12"/>
  <c r="Z50" i="12"/>
  <c r="Y50" i="12"/>
  <c r="X50" i="12"/>
  <c r="W50" i="12"/>
  <c r="V50" i="12"/>
  <c r="U50" i="12"/>
  <c r="T50" i="12"/>
  <c r="S50" i="12"/>
  <c r="R50" i="12"/>
  <c r="Q50" i="12"/>
  <c r="P50" i="12"/>
  <c r="O50" i="12"/>
  <c r="N50" i="12"/>
  <c r="M50" i="12"/>
  <c r="L50" i="12"/>
  <c r="K50" i="12"/>
  <c r="J50" i="12"/>
  <c r="I50" i="12"/>
  <c r="H50" i="12"/>
  <c r="G50" i="12"/>
  <c r="AD48" i="12"/>
  <c r="K48" i="12"/>
  <c r="J48" i="12"/>
  <c r="I48" i="12"/>
  <c r="H48" i="12"/>
  <c r="G48" i="12"/>
  <c r="AD47" i="12"/>
  <c r="AC47" i="12"/>
  <c r="AB47" i="12"/>
  <c r="AA47" i="12"/>
  <c r="Z47" i="12"/>
  <c r="Y47" i="12"/>
  <c r="X47" i="12"/>
  <c r="W47" i="12"/>
  <c r="V47" i="12"/>
  <c r="U47" i="12"/>
  <c r="T47" i="12"/>
  <c r="S47" i="12"/>
  <c r="R47" i="12"/>
  <c r="Q47" i="12"/>
  <c r="P47" i="12"/>
  <c r="O47" i="12"/>
  <c r="N47" i="12"/>
  <c r="M47" i="12"/>
  <c r="L47" i="12"/>
  <c r="K47" i="12"/>
  <c r="J47" i="12"/>
  <c r="I47" i="12"/>
  <c r="H47" i="12"/>
  <c r="G47" i="12"/>
  <c r="A45" i="12"/>
  <c r="AD44" i="12"/>
  <c r="AC44" i="12"/>
  <c r="AB44" i="12"/>
  <c r="AA44" i="12"/>
  <c r="Z44" i="12"/>
  <c r="Y44" i="12"/>
  <c r="X44" i="12"/>
  <c r="W44" i="12"/>
  <c r="V44" i="12"/>
  <c r="U44" i="12"/>
  <c r="T44" i="12"/>
  <c r="S44" i="12"/>
  <c r="R44" i="12"/>
  <c r="Q44" i="12"/>
  <c r="P44" i="12"/>
  <c r="O44" i="12"/>
  <c r="N44" i="12"/>
  <c r="M44" i="12"/>
  <c r="L44" i="12"/>
  <c r="K44" i="12"/>
  <c r="J44" i="12"/>
  <c r="I44" i="12"/>
  <c r="H44" i="12"/>
  <c r="G44" i="12"/>
  <c r="AD41" i="12"/>
  <c r="AD40" i="12"/>
  <c r="AD36" i="12"/>
  <c r="AD35" i="12"/>
  <c r="AD32" i="12"/>
  <c r="AC32" i="12"/>
  <c r="AB32" i="12"/>
  <c r="AA32" i="12"/>
  <c r="Z32" i="12"/>
  <c r="Y32" i="12"/>
  <c r="X32" i="12"/>
  <c r="W32" i="12"/>
  <c r="V32" i="12"/>
  <c r="U32" i="12"/>
  <c r="T32" i="12"/>
  <c r="S32" i="12"/>
  <c r="R32" i="12"/>
  <c r="Q32" i="12"/>
  <c r="P32" i="12"/>
  <c r="O32" i="12"/>
  <c r="N32" i="12"/>
  <c r="M32" i="12"/>
  <c r="L32" i="12"/>
  <c r="K32" i="12"/>
  <c r="J32" i="12"/>
  <c r="I32" i="12"/>
  <c r="H32" i="12"/>
  <c r="G32" i="12"/>
  <c r="A29" i="12"/>
  <c r="A28" i="12"/>
  <c r="A27" i="12"/>
  <c r="A23" i="12"/>
  <c r="A22" i="12"/>
  <c r="A21" i="12"/>
  <c r="AD18" i="12"/>
  <c r="AC18" i="12"/>
  <c r="AB18" i="12"/>
  <c r="AA18" i="12"/>
  <c r="Z18" i="12"/>
  <c r="Y18" i="12"/>
  <c r="X18" i="12"/>
  <c r="W18" i="12"/>
  <c r="V18" i="12"/>
  <c r="U18" i="12"/>
  <c r="T18" i="12"/>
  <c r="S18" i="12"/>
  <c r="R18" i="12"/>
  <c r="Q18" i="12"/>
  <c r="P18" i="12"/>
  <c r="O18" i="12"/>
  <c r="N18" i="12"/>
  <c r="M18" i="12"/>
  <c r="L18" i="12"/>
  <c r="K18" i="12"/>
  <c r="J18" i="12"/>
  <c r="I18" i="12"/>
  <c r="H18" i="12"/>
  <c r="G18" i="12"/>
  <c r="AD15" i="12"/>
  <c r="AC15" i="12"/>
  <c r="AB15" i="12"/>
  <c r="AA15" i="12"/>
  <c r="Z15" i="12"/>
  <c r="Y15" i="12"/>
  <c r="X15" i="12"/>
  <c r="W15" i="12"/>
  <c r="V15" i="12"/>
  <c r="U15" i="12"/>
  <c r="T15" i="12"/>
  <c r="S15" i="12"/>
  <c r="R15" i="12"/>
  <c r="Q15" i="12"/>
  <c r="P15" i="12"/>
  <c r="O15" i="12"/>
  <c r="N15" i="12"/>
  <c r="M15" i="12"/>
  <c r="L15" i="12"/>
  <c r="K15" i="12"/>
  <c r="J15" i="12"/>
  <c r="I15" i="12"/>
  <c r="H15" i="12"/>
  <c r="G15" i="12"/>
  <c r="A13" i="12"/>
  <c r="AD12" i="12"/>
  <c r="AC12" i="12"/>
  <c r="AB12" i="12"/>
  <c r="AA12" i="12"/>
  <c r="Z12" i="12"/>
  <c r="Y12" i="12"/>
  <c r="X12" i="12"/>
  <c r="W12" i="12"/>
  <c r="V12" i="12"/>
  <c r="U12" i="12"/>
  <c r="T12" i="12"/>
  <c r="S12" i="12"/>
  <c r="R12" i="12"/>
  <c r="Q12" i="12"/>
  <c r="P12" i="12"/>
  <c r="O12" i="12"/>
  <c r="N12" i="12"/>
  <c r="M12" i="12"/>
  <c r="L12" i="12"/>
  <c r="K12" i="12"/>
  <c r="J12" i="12"/>
  <c r="I12" i="12"/>
  <c r="H12" i="12"/>
  <c r="G12" i="12"/>
  <c r="AD10" i="12"/>
  <c r="AD9" i="12"/>
  <c r="AC9" i="12"/>
  <c r="AB9" i="12"/>
  <c r="AA9" i="12"/>
  <c r="Z9" i="12"/>
  <c r="Y9" i="12"/>
  <c r="X9" i="12"/>
  <c r="W9" i="12"/>
  <c r="V9" i="12"/>
  <c r="U9" i="12"/>
  <c r="T9" i="12"/>
  <c r="S9" i="12"/>
  <c r="R9" i="12"/>
  <c r="Q9" i="12"/>
  <c r="P9" i="12"/>
  <c r="O9" i="12"/>
  <c r="N9" i="12"/>
  <c r="M9" i="12"/>
  <c r="L9" i="12"/>
  <c r="K9" i="12"/>
  <c r="J9" i="12"/>
  <c r="I9" i="12"/>
  <c r="H9" i="12"/>
  <c r="G9" i="12"/>
  <c r="A7" i="12"/>
  <c r="AD6" i="12"/>
  <c r="AC6" i="12"/>
  <c r="AB6" i="12"/>
  <c r="AA6" i="12"/>
  <c r="Z6" i="12"/>
  <c r="Y6" i="12"/>
  <c r="X6" i="12"/>
  <c r="W6" i="12"/>
  <c r="V6" i="12"/>
  <c r="U6" i="12"/>
  <c r="T6" i="12"/>
  <c r="S6" i="12"/>
  <c r="R6" i="12"/>
  <c r="Q6" i="12"/>
  <c r="P6" i="12"/>
  <c r="O6" i="12"/>
  <c r="N6" i="12"/>
  <c r="M6" i="12"/>
  <c r="L6" i="12"/>
  <c r="K6" i="12"/>
  <c r="J6" i="12"/>
  <c r="I6" i="12"/>
  <c r="H6" i="12"/>
  <c r="G6" i="12"/>
  <c r="DR114" i="11"/>
  <c r="DM114" i="11"/>
  <c r="DH114" i="11"/>
  <c r="DC114" i="11"/>
  <c r="CX114" i="11"/>
  <c r="CS114" i="11"/>
  <c r="CN114" i="11"/>
  <c r="CI114" i="11"/>
  <c r="CD114" i="11"/>
  <c r="BY114" i="11"/>
  <c r="BT114" i="11"/>
  <c r="BO114" i="11"/>
  <c r="BJ114" i="11"/>
  <c r="BE114" i="11"/>
  <c r="AZ114" i="11"/>
  <c r="AU114" i="11"/>
  <c r="AP114" i="11"/>
  <c r="AK114" i="11"/>
  <c r="AF114" i="11"/>
  <c r="AA114" i="11"/>
  <c r="V114" i="11"/>
  <c r="Q114" i="11"/>
  <c r="L114" i="11"/>
  <c r="G114" i="11"/>
  <c r="DR107" i="11"/>
  <c r="DM107" i="11"/>
  <c r="DH107" i="11"/>
  <c r="DC107" i="11"/>
  <c r="CX107" i="11"/>
  <c r="CS107" i="11"/>
  <c r="CN107" i="11"/>
  <c r="CI107" i="11"/>
  <c r="CD107" i="11"/>
  <c r="BY107" i="11"/>
  <c r="BT107" i="11"/>
  <c r="BO107" i="11"/>
  <c r="BJ107" i="11"/>
  <c r="BE107" i="11"/>
  <c r="AZ107" i="11"/>
  <c r="AU107" i="11"/>
  <c r="AP107" i="11"/>
  <c r="AK107" i="11"/>
  <c r="AF107" i="11"/>
  <c r="AA107" i="11"/>
  <c r="V107" i="11"/>
  <c r="Q107" i="11"/>
  <c r="L107" i="11"/>
  <c r="G107" i="11"/>
  <c r="DR99" i="11"/>
  <c r="DM99" i="11"/>
  <c r="DH99" i="11"/>
  <c r="DC99" i="11"/>
  <c r="CX99" i="11"/>
  <c r="CS99" i="11"/>
  <c r="CN99" i="11"/>
  <c r="CI99" i="11"/>
  <c r="CD99" i="11"/>
  <c r="BY99" i="11"/>
  <c r="BT99" i="11"/>
  <c r="BO99" i="11"/>
  <c r="BJ99" i="11"/>
  <c r="BE99" i="11"/>
  <c r="AZ99" i="11"/>
  <c r="AU99" i="11"/>
  <c r="AP99" i="11"/>
  <c r="AK99" i="11"/>
  <c r="AF99" i="11"/>
  <c r="AA99" i="11"/>
  <c r="V99" i="11"/>
  <c r="Q99" i="11"/>
  <c r="L99" i="11"/>
  <c r="G99" i="11"/>
  <c r="DR92" i="11"/>
  <c r="DM92" i="11"/>
  <c r="DH92" i="11"/>
  <c r="DC92" i="11"/>
  <c r="CX92" i="11"/>
  <c r="CS92" i="11"/>
  <c r="CN92" i="11"/>
  <c r="CI92" i="11"/>
  <c r="CD92" i="11"/>
  <c r="BY92" i="11"/>
  <c r="BT92" i="11"/>
  <c r="BO92" i="11"/>
  <c r="BJ92" i="11"/>
  <c r="BE92" i="11"/>
  <c r="AZ92" i="11"/>
  <c r="AU92" i="11"/>
  <c r="AP92" i="11"/>
  <c r="AK92" i="11"/>
  <c r="AF92" i="11"/>
  <c r="AA92" i="11"/>
  <c r="V92" i="11"/>
  <c r="Q92" i="11"/>
  <c r="L92" i="11"/>
  <c r="G92" i="11"/>
  <c r="DR90" i="11"/>
  <c r="DR84" i="11"/>
  <c r="DM84" i="11"/>
  <c r="DH84" i="11"/>
  <c r="DC84" i="11"/>
  <c r="CX84" i="11"/>
  <c r="CS84" i="11"/>
  <c r="CN84" i="11"/>
  <c r="CI84" i="11"/>
  <c r="CD84" i="11"/>
  <c r="BY84" i="11"/>
  <c r="BT84" i="11"/>
  <c r="BO84" i="11"/>
  <c r="BJ84" i="11"/>
  <c r="BE84" i="11"/>
  <c r="AZ84" i="11"/>
  <c r="AU84" i="11"/>
  <c r="AP84" i="11"/>
  <c r="AK84" i="11"/>
  <c r="AF84" i="11"/>
  <c r="AA84" i="11"/>
  <c r="V84" i="11"/>
  <c r="Q84" i="11"/>
  <c r="L84" i="11"/>
  <c r="G84" i="11"/>
  <c r="DR79" i="11"/>
  <c r="DM79" i="11"/>
  <c r="DH79" i="11"/>
  <c r="DC79" i="11"/>
  <c r="CX79" i="11"/>
  <c r="CS79" i="11"/>
  <c r="CN79" i="11"/>
  <c r="CI79" i="11"/>
  <c r="CD79" i="11"/>
  <c r="BY79" i="11"/>
  <c r="BT79" i="11"/>
  <c r="BO79" i="11"/>
  <c r="BJ79" i="11"/>
  <c r="BE79" i="11"/>
  <c r="AZ79" i="11"/>
  <c r="AU79" i="11"/>
  <c r="AP79" i="11"/>
  <c r="AK79" i="11"/>
  <c r="AF79" i="11"/>
  <c r="AA79" i="11"/>
  <c r="V79" i="11"/>
  <c r="Q79" i="11"/>
  <c r="L79" i="11"/>
  <c r="G79" i="11"/>
  <c r="Y76" i="11"/>
  <c r="T76" i="11"/>
  <c r="O76" i="11"/>
  <c r="Z74" i="11"/>
  <c r="Y74" i="11"/>
  <c r="U74" i="11"/>
  <c r="T74" i="11"/>
  <c r="P74" i="11"/>
  <c r="O74" i="11"/>
  <c r="K74" i="11"/>
  <c r="J74" i="11"/>
  <c r="I74" i="11"/>
  <c r="Z73" i="11"/>
  <c r="U73" i="11"/>
  <c r="P73" i="11"/>
  <c r="Z72" i="11"/>
  <c r="U72" i="11"/>
  <c r="P72" i="11"/>
  <c r="AB71" i="11"/>
  <c r="Z71" i="11"/>
  <c r="X71" i="11"/>
  <c r="W71" i="11"/>
  <c r="U71" i="11"/>
  <c r="S71" i="11"/>
  <c r="R71" i="11"/>
  <c r="P71" i="11"/>
  <c r="N71" i="11"/>
  <c r="M71" i="11"/>
  <c r="DR69" i="11"/>
  <c r="DM69" i="11"/>
  <c r="DH69" i="11"/>
  <c r="DC69" i="11"/>
  <c r="CX69" i="11"/>
  <c r="CS69" i="11"/>
  <c r="CN69" i="11"/>
  <c r="CI69" i="11"/>
  <c r="CD69" i="11"/>
  <c r="BY69" i="11"/>
  <c r="BT69" i="11"/>
  <c r="BO69" i="11"/>
  <c r="BJ69" i="11"/>
  <c r="BE69" i="11"/>
  <c r="AZ69" i="11"/>
  <c r="AU69" i="11"/>
  <c r="AP69" i="11"/>
  <c r="AK69" i="11"/>
  <c r="AF69" i="11"/>
  <c r="AA69" i="11"/>
  <c r="V69" i="11"/>
  <c r="Q69" i="11"/>
  <c r="L69" i="11"/>
  <c r="G69" i="11"/>
  <c r="DR54" i="11"/>
  <c r="DM54" i="11"/>
  <c r="DH54" i="11"/>
  <c r="DC54" i="11"/>
  <c r="CX54" i="11"/>
  <c r="CS54" i="11"/>
  <c r="CN54" i="11"/>
  <c r="CI54" i="11"/>
  <c r="CD54" i="11"/>
  <c r="BY54" i="11"/>
  <c r="BT54" i="11"/>
  <c r="BO54" i="11"/>
  <c r="BJ54" i="11"/>
  <c r="BE54" i="11"/>
  <c r="AZ54" i="11"/>
  <c r="AU54" i="11"/>
  <c r="AP54" i="11"/>
  <c r="AK54" i="11"/>
  <c r="AF54" i="11"/>
  <c r="AA54" i="11"/>
  <c r="V54" i="11"/>
  <c r="Q54" i="11"/>
  <c r="L54" i="11"/>
  <c r="G54" i="11"/>
  <c r="DT50" i="11"/>
  <c r="DR50" i="11"/>
  <c r="AD16" i="12" s="1"/>
  <c r="DR45" i="11"/>
  <c r="DM45" i="11"/>
  <c r="DH45" i="11"/>
  <c r="DC45" i="11"/>
  <c r="CX45" i="11"/>
  <c r="CS45" i="11"/>
  <c r="CN45" i="11"/>
  <c r="CI45" i="11"/>
  <c r="CD45" i="11"/>
  <c r="BY45" i="11"/>
  <c r="BT45" i="11"/>
  <c r="BO45" i="11"/>
  <c r="BJ45" i="11"/>
  <c r="BE45" i="11"/>
  <c r="AZ45" i="11"/>
  <c r="AU45" i="11"/>
  <c r="AP45" i="11"/>
  <c r="AK45" i="11"/>
  <c r="AF45" i="11"/>
  <c r="AA45" i="11"/>
  <c r="V45" i="11"/>
  <c r="Q45" i="11"/>
  <c r="L45" i="11"/>
  <c r="G45" i="11"/>
  <c r="DR39" i="11"/>
  <c r="DM39" i="11"/>
  <c r="DH39" i="11"/>
  <c r="DC39" i="11"/>
  <c r="CX39" i="11"/>
  <c r="CS39" i="11"/>
  <c r="CN39" i="11"/>
  <c r="CI39" i="11"/>
  <c r="CD39" i="11"/>
  <c r="BY39" i="11"/>
  <c r="BT39" i="11"/>
  <c r="BO39" i="11"/>
  <c r="BJ39" i="11"/>
  <c r="BE39" i="11"/>
  <c r="AZ39" i="11"/>
  <c r="AU39" i="11"/>
  <c r="AP39" i="11"/>
  <c r="AK39" i="11"/>
  <c r="AF39" i="11"/>
  <c r="AA39" i="11"/>
  <c r="V39" i="11"/>
  <c r="Q39" i="11"/>
  <c r="L39" i="11"/>
  <c r="G39" i="11"/>
  <c r="DR33" i="11"/>
  <c r="DM33" i="11"/>
  <c r="DH33" i="11"/>
  <c r="DC33" i="11"/>
  <c r="CX33" i="11"/>
  <c r="CS33" i="11"/>
  <c r="CN33" i="11"/>
  <c r="CI33" i="11"/>
  <c r="CD33" i="11"/>
  <c r="BY33" i="11"/>
  <c r="BT33" i="11"/>
  <c r="BO33" i="11"/>
  <c r="BJ33" i="11"/>
  <c r="BE33" i="11"/>
  <c r="AZ33" i="11"/>
  <c r="AU33" i="11"/>
  <c r="AP33" i="11"/>
  <c r="AK33" i="11"/>
  <c r="AF33" i="11"/>
  <c r="AA33" i="11"/>
  <c r="V33" i="11"/>
  <c r="Q33" i="11"/>
  <c r="L33" i="11"/>
  <c r="G33" i="11"/>
  <c r="DV32" i="11"/>
  <c r="DR20" i="11"/>
  <c r="DM20" i="11"/>
  <c r="DH20" i="11"/>
  <c r="DC20" i="11"/>
  <c r="CX20" i="11"/>
  <c r="CS20" i="11"/>
  <c r="CN20" i="11"/>
  <c r="CI20" i="11"/>
  <c r="CD20" i="11"/>
  <c r="BY20" i="11"/>
  <c r="BT20" i="11"/>
  <c r="BO20" i="11"/>
  <c r="BJ20" i="11"/>
  <c r="BE20" i="11"/>
  <c r="AZ20" i="11"/>
  <c r="AU20" i="11"/>
  <c r="AP20" i="11"/>
  <c r="AK20" i="11"/>
  <c r="AF20" i="11"/>
  <c r="AA20" i="11"/>
  <c r="V20" i="11"/>
  <c r="Q20" i="11"/>
  <c r="L20" i="11"/>
  <c r="G20" i="11"/>
  <c r="DT11" i="11"/>
  <c r="DR11" i="11"/>
  <c r="DT8" i="11"/>
  <c r="DR7" i="11"/>
  <c r="DR5" i="11"/>
  <c r="DM5" i="11"/>
  <c r="DH5" i="11"/>
  <c r="DC5" i="11"/>
  <c r="CX5" i="11"/>
  <c r="CS5" i="11"/>
  <c r="CN5" i="11"/>
  <c r="CI5" i="11"/>
  <c r="CD5" i="11"/>
  <c r="BY5" i="11"/>
  <c r="BT5" i="11"/>
  <c r="BO5" i="11"/>
  <c r="BJ5" i="11"/>
  <c r="BE5" i="11"/>
  <c r="AZ5" i="11"/>
  <c r="AU5" i="11"/>
  <c r="AP5" i="11"/>
  <c r="AK5" i="11"/>
  <c r="AF5" i="11"/>
  <c r="AA5" i="11"/>
  <c r="V5" i="11"/>
  <c r="Q5" i="11"/>
  <c r="L5" i="11"/>
  <c r="G5" i="11"/>
  <c r="D4" i="11"/>
  <c r="BJ223" i="17"/>
  <c r="BI223" i="17"/>
  <c r="BH223" i="17"/>
  <c r="BG223" i="17"/>
  <c r="BF223" i="17"/>
  <c r="BE223" i="17"/>
  <c r="BD223" i="17"/>
  <c r="BC223" i="17"/>
  <c r="BB223" i="17"/>
  <c r="BA223" i="17"/>
  <c r="AZ223" i="17"/>
  <c r="AY223" i="17"/>
  <c r="AX223" i="17"/>
  <c r="AW223" i="17"/>
  <c r="AV223" i="17"/>
  <c r="AU223" i="17"/>
  <c r="AT223" i="17"/>
  <c r="AS223" i="17"/>
  <c r="AR223" i="17"/>
  <c r="AQ223" i="17"/>
  <c r="AP223" i="17"/>
  <c r="AO223" i="17"/>
  <c r="AN223" i="17"/>
  <c r="AM223" i="17"/>
  <c r="AL223" i="17"/>
  <c r="AK223" i="17"/>
  <c r="AJ223" i="17"/>
  <c r="AI223" i="17"/>
  <c r="AH223" i="17"/>
  <c r="AG223" i="17"/>
  <c r="AF223" i="17"/>
  <c r="AE223" i="17"/>
  <c r="AD223" i="17"/>
  <c r="AC223" i="17"/>
  <c r="AB223" i="17"/>
  <c r="AA223" i="17"/>
  <c r="Z223" i="17"/>
  <c r="Y223" i="17"/>
  <c r="X223" i="17"/>
  <c r="W223" i="17"/>
  <c r="V223" i="17"/>
  <c r="U223" i="17"/>
  <c r="T223" i="17"/>
  <c r="S223" i="17"/>
  <c r="R223" i="17"/>
  <c r="Q223" i="17"/>
  <c r="P223" i="17"/>
  <c r="O223" i="17"/>
  <c r="N223" i="17"/>
  <c r="M223" i="17"/>
  <c r="L223" i="17"/>
  <c r="K223" i="17"/>
  <c r="J223" i="17"/>
  <c r="I223" i="17"/>
  <c r="H223" i="17"/>
  <c r="G223" i="17"/>
  <c r="J224" i="17" s="1"/>
  <c r="BJ220" i="17"/>
  <c r="BI220" i="17"/>
  <c r="BH220" i="17"/>
  <c r="BG220" i="17"/>
  <c r="BF220" i="17"/>
  <c r="BE220" i="17"/>
  <c r="BD220" i="17"/>
  <c r="BC220" i="17"/>
  <c r="BB220" i="17"/>
  <c r="BA220" i="17"/>
  <c r="AZ220" i="17"/>
  <c r="AY220" i="17"/>
  <c r="AX220" i="17"/>
  <c r="AW220" i="17"/>
  <c r="AV220" i="17"/>
  <c r="AU220" i="17"/>
  <c r="AT220" i="17"/>
  <c r="AS220" i="17"/>
  <c r="AR220" i="17"/>
  <c r="AQ220" i="17"/>
  <c r="AP220" i="17"/>
  <c r="AO220" i="17"/>
  <c r="AN220" i="17"/>
  <c r="AM220" i="17"/>
  <c r="AL220" i="17"/>
  <c r="AK220" i="17"/>
  <c r="AJ220" i="17"/>
  <c r="AI220" i="17"/>
  <c r="AH220" i="17"/>
  <c r="AG220" i="17"/>
  <c r="AF220" i="17"/>
  <c r="AE220" i="17"/>
  <c r="AD220" i="17"/>
  <c r="AC220" i="17"/>
  <c r="AB220" i="17"/>
  <c r="AA220" i="17"/>
  <c r="Z220" i="17"/>
  <c r="Y220" i="17"/>
  <c r="X220" i="17"/>
  <c r="W220" i="17"/>
  <c r="V220" i="17"/>
  <c r="U220" i="17"/>
  <c r="T220" i="17"/>
  <c r="S220" i="17"/>
  <c r="R220" i="17"/>
  <c r="Q220" i="17"/>
  <c r="P220" i="17"/>
  <c r="O220" i="17"/>
  <c r="N220" i="17"/>
  <c r="M220" i="17"/>
  <c r="L220" i="17"/>
  <c r="K220" i="17"/>
  <c r="J220" i="17"/>
  <c r="I220" i="17"/>
  <c r="H220" i="17"/>
  <c r="G220" i="17"/>
  <c r="J221" i="17" s="1"/>
  <c r="BJ66" i="17"/>
  <c r="BI66" i="17"/>
  <c r="BH66" i="17"/>
  <c r="BG66" i="17"/>
  <c r="BF66" i="17"/>
  <c r="BE66" i="17"/>
  <c r="BD66" i="17"/>
  <c r="BC66" i="17"/>
  <c r="BB66" i="17"/>
  <c r="BA66" i="17"/>
  <c r="AZ66" i="17"/>
  <c r="AY66" i="17"/>
  <c r="AX66" i="17"/>
  <c r="AW66" i="17"/>
  <c r="AV66" i="17"/>
  <c r="AU66" i="17"/>
  <c r="AT66" i="17"/>
  <c r="AS66" i="17"/>
  <c r="AR66" i="17"/>
  <c r="AQ66" i="17"/>
  <c r="AP66" i="17"/>
  <c r="AO66" i="17"/>
  <c r="AN66" i="17"/>
  <c r="AM66" i="17"/>
  <c r="AL66" i="17"/>
  <c r="AK66" i="17"/>
  <c r="AJ66" i="17"/>
  <c r="AI66" i="17"/>
  <c r="AH66" i="17"/>
  <c r="AG66" i="17"/>
  <c r="AF66" i="17"/>
  <c r="AE66" i="17"/>
  <c r="AD66" i="17"/>
  <c r="AC66" i="17"/>
  <c r="AB66" i="17"/>
  <c r="AA66" i="17"/>
  <c r="Z66" i="17"/>
  <c r="Y66" i="17"/>
  <c r="X66" i="17"/>
  <c r="W66" i="17"/>
  <c r="V66" i="17"/>
  <c r="U66" i="17"/>
  <c r="T66" i="17"/>
  <c r="S66" i="17"/>
  <c r="R66" i="17"/>
  <c r="Q66" i="17"/>
  <c r="P66" i="17"/>
  <c r="O66" i="17"/>
  <c r="N66" i="17"/>
  <c r="M66" i="17"/>
  <c r="L66" i="17"/>
  <c r="K66" i="17"/>
  <c r="J66" i="17"/>
  <c r="I66" i="17"/>
  <c r="H66" i="17"/>
  <c r="G66" i="17"/>
  <c r="J67" i="17" s="1"/>
  <c r="BJ63" i="17"/>
  <c r="BI63" i="17"/>
  <c r="BH63" i="17"/>
  <c r="BG63" i="17"/>
  <c r="BF63" i="17"/>
  <c r="BE63" i="17"/>
  <c r="BD63" i="17"/>
  <c r="BC63" i="17"/>
  <c r="BB63" i="17"/>
  <c r="BA63" i="17"/>
  <c r="AZ63" i="17"/>
  <c r="AY63" i="17"/>
  <c r="AX63" i="17"/>
  <c r="AW63" i="17"/>
  <c r="AV63" i="17"/>
  <c r="AU63" i="17"/>
  <c r="AT63" i="17"/>
  <c r="AS63" i="17"/>
  <c r="AR63" i="17"/>
  <c r="AQ63" i="17"/>
  <c r="AP63" i="17"/>
  <c r="AO63" i="17"/>
  <c r="AN63" i="17"/>
  <c r="AM63" i="17"/>
  <c r="AL63" i="17"/>
  <c r="AK63" i="17"/>
  <c r="AJ63" i="17"/>
  <c r="AI63" i="17"/>
  <c r="AH63" i="17"/>
  <c r="AG63" i="17"/>
  <c r="AF63" i="17"/>
  <c r="AE63" i="17"/>
  <c r="AD63" i="17"/>
  <c r="AC63" i="17"/>
  <c r="AB63" i="17"/>
  <c r="AA63" i="17"/>
  <c r="Z63" i="17"/>
  <c r="Y63" i="17"/>
  <c r="X63" i="17"/>
  <c r="W63" i="17"/>
  <c r="V63" i="17"/>
  <c r="U63" i="17"/>
  <c r="T63" i="17"/>
  <c r="S63" i="17"/>
  <c r="R63" i="17"/>
  <c r="Q63" i="17"/>
  <c r="P63" i="17"/>
  <c r="O63" i="17"/>
  <c r="N63" i="17"/>
  <c r="M63" i="17"/>
  <c r="L63" i="17"/>
  <c r="K63" i="17"/>
  <c r="J63" i="17"/>
  <c r="I63" i="17"/>
  <c r="H63" i="17"/>
  <c r="G63" i="17"/>
  <c r="J64" i="17" s="1"/>
  <c r="BJ60" i="17"/>
  <c r="BI60" i="17"/>
  <c r="BH60" i="17"/>
  <c r="BG60" i="17"/>
  <c r="BF60" i="17"/>
  <c r="BE60" i="17"/>
  <c r="BD60" i="17"/>
  <c r="BC60" i="17"/>
  <c r="BB60" i="17"/>
  <c r="BA60" i="17"/>
  <c r="AZ60" i="17"/>
  <c r="AY60" i="17"/>
  <c r="AX60" i="17"/>
  <c r="AW60" i="17"/>
  <c r="AV60" i="17"/>
  <c r="AU60" i="17"/>
  <c r="AT60" i="17"/>
  <c r="AS60" i="17"/>
  <c r="AR60" i="17"/>
  <c r="AQ60" i="17"/>
  <c r="AP60" i="17"/>
  <c r="AO60" i="17"/>
  <c r="AN60" i="17"/>
  <c r="AM60" i="17"/>
  <c r="AL60" i="17"/>
  <c r="AK60" i="17"/>
  <c r="AJ60" i="17"/>
  <c r="AI60" i="17"/>
  <c r="AH60" i="17"/>
  <c r="AG60" i="17"/>
  <c r="AF60" i="17"/>
  <c r="AE60" i="17"/>
  <c r="AD60" i="17"/>
  <c r="AC60" i="17"/>
  <c r="AB60" i="17"/>
  <c r="AA60" i="17"/>
  <c r="Z60" i="17"/>
  <c r="Y60" i="17"/>
  <c r="X60" i="17"/>
  <c r="W60" i="17"/>
  <c r="V60" i="17"/>
  <c r="U60" i="17"/>
  <c r="T60" i="17"/>
  <c r="S60" i="17"/>
  <c r="R60" i="17"/>
  <c r="Q60" i="17"/>
  <c r="P60" i="17"/>
  <c r="O60" i="17"/>
  <c r="N60" i="17"/>
  <c r="M60" i="17"/>
  <c r="L60" i="17"/>
  <c r="K60" i="17"/>
  <c r="J60" i="17"/>
  <c r="I60" i="17"/>
  <c r="H60" i="17"/>
  <c r="G60" i="17"/>
  <c r="J61" i="17" s="1"/>
  <c r="CF166" i="17"/>
  <c r="CE166" i="17"/>
  <c r="CD166" i="17"/>
  <c r="CC166" i="17"/>
  <c r="CB166" i="17"/>
  <c r="CA166" i="17"/>
  <c r="BZ166" i="17"/>
  <c r="BY166" i="17"/>
  <c r="BX166" i="17"/>
  <c r="BW166" i="17"/>
  <c r="BV166" i="17"/>
  <c r="BU166" i="17"/>
  <c r="BT166" i="17"/>
  <c r="BS166" i="17"/>
  <c r="BR166" i="17"/>
  <c r="BQ166" i="17"/>
  <c r="BP166" i="17"/>
  <c r="BO166" i="17"/>
  <c r="BN166" i="17"/>
  <c r="BM166" i="17"/>
  <c r="BL166" i="17"/>
  <c r="BK166" i="17"/>
  <c r="BJ166" i="17"/>
  <c r="BI166" i="17"/>
  <c r="BH166" i="17"/>
  <c r="BG166" i="17"/>
  <c r="BF166" i="17"/>
  <c r="BE166" i="17"/>
  <c r="BD166" i="17"/>
  <c r="BC166" i="17"/>
  <c r="BB166" i="17"/>
  <c r="BA166" i="17"/>
  <c r="AZ166" i="17"/>
  <c r="AY166" i="17"/>
  <c r="AX166" i="17"/>
  <c r="AW166" i="17"/>
  <c r="AV166" i="17"/>
  <c r="AU166" i="17"/>
  <c r="AT166" i="17"/>
  <c r="AS166" i="17"/>
  <c r="AR166" i="17"/>
  <c r="AQ166" i="17"/>
  <c r="AP166" i="17"/>
  <c r="AO166" i="17"/>
  <c r="AN166" i="17"/>
  <c r="AM166" i="17"/>
  <c r="AL166" i="17"/>
  <c r="AK166" i="17"/>
  <c r="AJ166" i="17"/>
  <c r="AI166" i="17"/>
  <c r="AH166" i="17"/>
  <c r="AG166" i="17"/>
  <c r="AF166" i="17"/>
  <c r="AE166" i="17"/>
  <c r="AD166" i="17"/>
  <c r="AC166" i="17"/>
  <c r="AB166" i="17"/>
  <c r="AA166" i="17"/>
  <c r="Z166" i="17"/>
  <c r="Y166" i="17"/>
  <c r="X166" i="17"/>
  <c r="W166" i="17"/>
  <c r="V166" i="17"/>
  <c r="U166" i="17"/>
  <c r="T166" i="17"/>
  <c r="S166" i="17"/>
  <c r="R166" i="17"/>
  <c r="Q166" i="17"/>
  <c r="P166" i="17"/>
  <c r="O166" i="17"/>
  <c r="N166" i="17"/>
  <c r="M166" i="17"/>
  <c r="L166" i="17"/>
  <c r="K166" i="17"/>
  <c r="J166" i="17"/>
  <c r="I166" i="17"/>
  <c r="H166" i="17"/>
  <c r="G166" i="17"/>
  <c r="CF163" i="17"/>
  <c r="CE163" i="17"/>
  <c r="CD163" i="17"/>
  <c r="CC163" i="17"/>
  <c r="CB163" i="17"/>
  <c r="CA163" i="17"/>
  <c r="BZ163" i="17"/>
  <c r="BY163" i="17"/>
  <c r="BX163" i="17"/>
  <c r="BW163" i="17"/>
  <c r="BV163" i="17"/>
  <c r="BU163" i="17"/>
  <c r="BT163" i="17"/>
  <c r="BS163" i="17"/>
  <c r="BR163" i="17"/>
  <c r="BQ163" i="17"/>
  <c r="BP163" i="17"/>
  <c r="BO163" i="17"/>
  <c r="BN163" i="17"/>
  <c r="BM163" i="17"/>
  <c r="BL163" i="17"/>
  <c r="BK163" i="17"/>
  <c r="BJ163" i="17"/>
  <c r="BI163" i="17"/>
  <c r="BH163" i="17"/>
  <c r="BG163" i="17"/>
  <c r="BF163" i="17"/>
  <c r="BE163" i="17"/>
  <c r="BD163" i="17"/>
  <c r="BC163" i="17"/>
  <c r="BB163" i="17"/>
  <c r="BA163" i="17"/>
  <c r="AZ163" i="17"/>
  <c r="AY163" i="17"/>
  <c r="AX163" i="17"/>
  <c r="AW163" i="17"/>
  <c r="AV163" i="17"/>
  <c r="AU163" i="17"/>
  <c r="AT163" i="17"/>
  <c r="AS163" i="17"/>
  <c r="AR163" i="17"/>
  <c r="AQ163" i="17"/>
  <c r="AP163" i="17"/>
  <c r="AO163" i="17"/>
  <c r="AN163" i="17"/>
  <c r="AM163" i="17"/>
  <c r="AL163" i="17"/>
  <c r="AK163" i="17"/>
  <c r="AJ163" i="17"/>
  <c r="AI163" i="17"/>
  <c r="AH163" i="17"/>
  <c r="AG163" i="17"/>
  <c r="AF163" i="17"/>
  <c r="AE163" i="17"/>
  <c r="AD163" i="17"/>
  <c r="AC163" i="17"/>
  <c r="AB163" i="17"/>
  <c r="AA163" i="17"/>
  <c r="Z163" i="17"/>
  <c r="Y163" i="17"/>
  <c r="X163" i="17"/>
  <c r="W163" i="17"/>
  <c r="V163" i="17"/>
  <c r="U163" i="17"/>
  <c r="T163" i="17"/>
  <c r="S163" i="17"/>
  <c r="R163" i="17"/>
  <c r="Q163" i="17"/>
  <c r="P163" i="17"/>
  <c r="O163" i="17"/>
  <c r="N163" i="17"/>
  <c r="M163" i="17"/>
  <c r="L163" i="17"/>
  <c r="K163" i="17"/>
  <c r="J163" i="17"/>
  <c r="I163" i="17"/>
  <c r="H163" i="17"/>
  <c r="G163" i="17"/>
  <c r="BI286" i="17"/>
  <c r="BH286" i="17"/>
  <c r="BG286" i="17"/>
  <c r="BF286" i="17"/>
  <c r="BE286" i="17"/>
  <c r="BD286" i="17"/>
  <c r="BC286" i="17"/>
  <c r="BB286" i="17"/>
  <c r="BA286" i="17"/>
  <c r="AZ286" i="17"/>
  <c r="AY286" i="17"/>
  <c r="AX286" i="17"/>
  <c r="AW286" i="17"/>
  <c r="AV286" i="17"/>
  <c r="AU286" i="17"/>
  <c r="AT286" i="17"/>
  <c r="AS286" i="17"/>
  <c r="AR286" i="17"/>
  <c r="AQ286" i="17"/>
  <c r="AP286" i="17"/>
  <c r="AO286" i="17"/>
  <c r="AN286" i="17"/>
  <c r="AM286" i="17"/>
  <c r="AL286" i="17"/>
  <c r="AK286" i="17"/>
  <c r="AJ286" i="17"/>
  <c r="AI286" i="17"/>
  <c r="AH286" i="17"/>
  <c r="AG286" i="17"/>
  <c r="AF286" i="17"/>
  <c r="AE286" i="17"/>
  <c r="AD286" i="17"/>
  <c r="AC286" i="17"/>
  <c r="AB286" i="17"/>
  <c r="AA286" i="17"/>
  <c r="Z286" i="17"/>
  <c r="Y286" i="17"/>
  <c r="X286" i="17"/>
  <c r="W286" i="17"/>
  <c r="V286" i="17"/>
  <c r="U286" i="17"/>
  <c r="T286" i="17"/>
  <c r="S286" i="17"/>
  <c r="R286" i="17"/>
  <c r="Q286" i="17"/>
  <c r="P286" i="17"/>
  <c r="O286" i="17"/>
  <c r="N286" i="17"/>
  <c r="M286" i="17"/>
  <c r="L286" i="17"/>
  <c r="K286" i="17"/>
  <c r="J286" i="17"/>
  <c r="I286" i="17"/>
  <c r="H286" i="17"/>
  <c r="G286" i="17"/>
  <c r="CP281" i="17"/>
  <c r="CT315" i="17" s="1"/>
  <c r="CO281" i="17"/>
  <c r="CS315" i="17" s="1"/>
  <c r="CN281" i="17"/>
  <c r="CR315" i="17" s="1"/>
  <c r="CM281" i="17"/>
  <c r="CQ315" i="17" s="1"/>
  <c r="CL281" i="17"/>
  <c r="CK281" i="17"/>
  <c r="CJ281" i="17"/>
  <c r="CI281" i="17"/>
  <c r="CH281" i="17"/>
  <c r="CG281" i="17"/>
  <c r="CF281" i="17"/>
  <c r="CE281" i="17"/>
  <c r="CD281" i="17"/>
  <c r="CC281" i="17"/>
  <c r="CB281" i="17"/>
  <c r="CA281" i="17"/>
  <c r="BZ281" i="17"/>
  <c r="BY281" i="17"/>
  <c r="BX281" i="17"/>
  <c r="BW281" i="17"/>
  <c r="BV281" i="17"/>
  <c r="BU281" i="17"/>
  <c r="BT281" i="17"/>
  <c r="BS281" i="17"/>
  <c r="BR281" i="17"/>
  <c r="BQ281" i="17"/>
  <c r="BP281" i="17"/>
  <c r="BO281" i="17"/>
  <c r="BN281" i="17"/>
  <c r="BM281" i="17"/>
  <c r="BL281" i="17"/>
  <c r="BK281" i="17"/>
  <c r="BJ281" i="17"/>
  <c r="BI281" i="17"/>
  <c r="BH281" i="17"/>
  <c r="BG281" i="17"/>
  <c r="BF281" i="17"/>
  <c r="BE281" i="17"/>
  <c r="BD281" i="17"/>
  <c r="BC281" i="17"/>
  <c r="BB281" i="17"/>
  <c r="BA281" i="17"/>
  <c r="AZ281" i="17"/>
  <c r="AY281" i="17"/>
  <c r="AX281" i="17"/>
  <c r="AW281" i="17"/>
  <c r="AV281" i="17"/>
  <c r="AU281" i="17"/>
  <c r="AT281" i="17"/>
  <c r="AS281" i="17"/>
  <c r="AR281" i="17"/>
  <c r="AQ281" i="17"/>
  <c r="AP281" i="17"/>
  <c r="AO281" i="17"/>
  <c r="AN281" i="17"/>
  <c r="AM281" i="17"/>
  <c r="AL281" i="17"/>
  <c r="AK281" i="17"/>
  <c r="AJ281" i="17"/>
  <c r="AI281" i="17"/>
  <c r="AH281" i="17"/>
  <c r="AG281" i="17"/>
  <c r="AF281" i="17"/>
  <c r="AE281" i="17"/>
  <c r="AD281" i="17"/>
  <c r="AC281" i="17"/>
  <c r="AB281" i="17"/>
  <c r="AA281" i="17"/>
  <c r="Z281" i="17"/>
  <c r="Y281" i="17"/>
  <c r="X281" i="17"/>
  <c r="W281" i="17"/>
  <c r="V281" i="17"/>
  <c r="U281" i="17"/>
  <c r="T281" i="17"/>
  <c r="S281" i="17"/>
  <c r="R281" i="17"/>
  <c r="Q281" i="17"/>
  <c r="P281" i="17"/>
  <c r="O281" i="17"/>
  <c r="N281" i="17"/>
  <c r="M281" i="17"/>
  <c r="L281" i="17"/>
  <c r="K281" i="17"/>
  <c r="J281" i="17"/>
  <c r="I281" i="17"/>
  <c r="H281" i="17"/>
  <c r="G281" i="17"/>
  <c r="CP280" i="17"/>
  <c r="CT314" i="17" s="1"/>
  <c r="CO280" i="17"/>
  <c r="CS314" i="17" s="1"/>
  <c r="CN280" i="17"/>
  <c r="CR314" i="17" s="1"/>
  <c r="CM280" i="17"/>
  <c r="CQ314" i="17" s="1"/>
  <c r="CL280" i="17"/>
  <c r="CK280" i="17"/>
  <c r="CJ280" i="17"/>
  <c r="CI280" i="17"/>
  <c r="CH280" i="17"/>
  <c r="CG280" i="17"/>
  <c r="CF280" i="17"/>
  <c r="CE280" i="17"/>
  <c r="CD280" i="17"/>
  <c r="CC280" i="17"/>
  <c r="CB280" i="17"/>
  <c r="CA280" i="17"/>
  <c r="BZ280" i="17"/>
  <c r="BY280" i="17"/>
  <c r="BX280" i="17"/>
  <c r="BW280" i="17"/>
  <c r="BV280" i="17"/>
  <c r="BU280" i="17"/>
  <c r="BT280" i="17"/>
  <c r="BS280" i="17"/>
  <c r="BR280" i="17"/>
  <c r="BQ280" i="17"/>
  <c r="BP280" i="17"/>
  <c r="BO280" i="17"/>
  <c r="BN280" i="17"/>
  <c r="BM280" i="17"/>
  <c r="BL280" i="17"/>
  <c r="BK280" i="17"/>
  <c r="BJ280" i="17"/>
  <c r="BI280" i="17"/>
  <c r="BH280" i="17"/>
  <c r="BG280" i="17"/>
  <c r="BF280" i="17"/>
  <c r="BE280" i="17"/>
  <c r="BD280" i="17"/>
  <c r="BC280" i="17"/>
  <c r="BB280" i="17"/>
  <c r="BA280" i="17"/>
  <c r="AZ280" i="17"/>
  <c r="AY280" i="17"/>
  <c r="AX280" i="17"/>
  <c r="AW280" i="17"/>
  <c r="AV280" i="17"/>
  <c r="AU280" i="17"/>
  <c r="AT280" i="17"/>
  <c r="AS280" i="17"/>
  <c r="AR280" i="17"/>
  <c r="AQ280" i="17"/>
  <c r="AP280" i="17"/>
  <c r="AO280" i="17"/>
  <c r="AN280" i="17"/>
  <c r="AM280" i="17"/>
  <c r="AL280" i="17"/>
  <c r="AK280" i="17"/>
  <c r="AJ280" i="17"/>
  <c r="AI280" i="17"/>
  <c r="AH280" i="17"/>
  <c r="AG280" i="17"/>
  <c r="AF280" i="17"/>
  <c r="AE280" i="17"/>
  <c r="AD280" i="17"/>
  <c r="AC280" i="17"/>
  <c r="AB280" i="17"/>
  <c r="AA280" i="17"/>
  <c r="Z280" i="17"/>
  <c r="Y280" i="17"/>
  <c r="X280" i="17"/>
  <c r="W280" i="17"/>
  <c r="V280" i="17"/>
  <c r="U280" i="17"/>
  <c r="T280" i="17"/>
  <c r="S280" i="17"/>
  <c r="R280" i="17"/>
  <c r="Q280" i="17"/>
  <c r="P280" i="17"/>
  <c r="O280" i="17"/>
  <c r="N280" i="17"/>
  <c r="M280" i="17"/>
  <c r="L280" i="17"/>
  <c r="K280" i="17"/>
  <c r="J280" i="17"/>
  <c r="I280" i="17"/>
  <c r="H280" i="17"/>
  <c r="G280" i="17"/>
  <c r="CP279" i="17"/>
  <c r="CT313" i="17" s="1"/>
  <c r="CO279" i="17"/>
  <c r="CS313" i="17" s="1"/>
  <c r="CN279" i="17"/>
  <c r="CR313" i="17" s="1"/>
  <c r="CM279" i="17"/>
  <c r="CQ313" i="17" s="1"/>
  <c r="CL279" i="17"/>
  <c r="CK279" i="17"/>
  <c r="CJ279" i="17"/>
  <c r="CI279" i="17"/>
  <c r="CH279" i="17"/>
  <c r="CG279" i="17"/>
  <c r="CF279" i="17"/>
  <c r="CE279" i="17"/>
  <c r="CD279" i="17"/>
  <c r="CC279" i="17"/>
  <c r="CB279" i="17"/>
  <c r="CA279" i="17"/>
  <c r="BZ279" i="17"/>
  <c r="BY279" i="17"/>
  <c r="BX279" i="17"/>
  <c r="BW279" i="17"/>
  <c r="BV279" i="17"/>
  <c r="BU279" i="17"/>
  <c r="BT279" i="17"/>
  <c r="BS279" i="17"/>
  <c r="BR279" i="17"/>
  <c r="BQ279" i="17"/>
  <c r="BP279" i="17"/>
  <c r="BO279" i="17"/>
  <c r="BN279" i="17"/>
  <c r="BM279" i="17"/>
  <c r="BL279" i="17"/>
  <c r="BK279" i="17"/>
  <c r="BJ279" i="17"/>
  <c r="BI279" i="17"/>
  <c r="BH279" i="17"/>
  <c r="BG279" i="17"/>
  <c r="BF279" i="17"/>
  <c r="BE279" i="17"/>
  <c r="BD279" i="17"/>
  <c r="BC279" i="17"/>
  <c r="BB279" i="17"/>
  <c r="BA279" i="17"/>
  <c r="AZ279" i="17"/>
  <c r="AY279" i="17"/>
  <c r="AX279" i="17"/>
  <c r="AW279" i="17"/>
  <c r="AV279" i="17"/>
  <c r="AU279" i="17"/>
  <c r="AT279" i="17"/>
  <c r="AS279" i="17"/>
  <c r="AR279" i="17"/>
  <c r="AQ279" i="17"/>
  <c r="AP279" i="17"/>
  <c r="AO279" i="17"/>
  <c r="AN279" i="17"/>
  <c r="AM279" i="17"/>
  <c r="AL279" i="17"/>
  <c r="AK279" i="17"/>
  <c r="AJ279" i="17"/>
  <c r="AI279" i="17"/>
  <c r="AH279" i="17"/>
  <c r="AG279" i="17"/>
  <c r="AF279" i="17"/>
  <c r="AE279" i="17"/>
  <c r="AD279" i="17"/>
  <c r="AC279" i="17"/>
  <c r="AB279" i="17"/>
  <c r="AA279" i="17"/>
  <c r="Z279" i="17"/>
  <c r="Y279" i="17"/>
  <c r="X279" i="17"/>
  <c r="W279" i="17"/>
  <c r="V279" i="17"/>
  <c r="U279" i="17"/>
  <c r="T279" i="17"/>
  <c r="S279" i="17"/>
  <c r="R279" i="17"/>
  <c r="Q279" i="17"/>
  <c r="P279" i="17"/>
  <c r="O279" i="17"/>
  <c r="N279" i="17"/>
  <c r="M279" i="17"/>
  <c r="L279" i="17"/>
  <c r="K279" i="17"/>
  <c r="J279" i="17"/>
  <c r="I279" i="17"/>
  <c r="H279" i="17"/>
  <c r="G279" i="17"/>
  <c r="CP278" i="17"/>
  <c r="CT312" i="17" s="1"/>
  <c r="CO278" i="17"/>
  <c r="CS312" i="17" s="1"/>
  <c r="CN278" i="17"/>
  <c r="CR312" i="17" s="1"/>
  <c r="CM278" i="17"/>
  <c r="CQ312" i="17" s="1"/>
  <c r="CL278" i="17"/>
  <c r="CK278" i="17"/>
  <c r="CJ278" i="17"/>
  <c r="CI278" i="17"/>
  <c r="CH278" i="17"/>
  <c r="CG278" i="17"/>
  <c r="CF278" i="17"/>
  <c r="CE278" i="17"/>
  <c r="CD278" i="17"/>
  <c r="CC278" i="17"/>
  <c r="CB278" i="17"/>
  <c r="CA278" i="17"/>
  <c r="BZ278" i="17"/>
  <c r="BY278" i="17"/>
  <c r="BX278" i="17"/>
  <c r="BW278" i="17"/>
  <c r="BV278" i="17"/>
  <c r="BU278" i="17"/>
  <c r="BT278" i="17"/>
  <c r="BS278" i="17"/>
  <c r="BR278" i="17"/>
  <c r="BQ278" i="17"/>
  <c r="BP278" i="17"/>
  <c r="BO278" i="17"/>
  <c r="BN278" i="17"/>
  <c r="BM278" i="17"/>
  <c r="BL278" i="17"/>
  <c r="BK278" i="17"/>
  <c r="BJ278" i="17"/>
  <c r="BI278" i="17"/>
  <c r="BH278" i="17"/>
  <c r="BG278" i="17"/>
  <c r="BF278" i="17"/>
  <c r="BE278" i="17"/>
  <c r="BD278" i="17"/>
  <c r="BC278" i="17"/>
  <c r="BB278" i="17"/>
  <c r="BA278" i="17"/>
  <c r="AZ278" i="17"/>
  <c r="AY278" i="17"/>
  <c r="AX278" i="17"/>
  <c r="AW278" i="17"/>
  <c r="AV278" i="17"/>
  <c r="AU278" i="17"/>
  <c r="AT278" i="17"/>
  <c r="AS278" i="17"/>
  <c r="AR278" i="17"/>
  <c r="AQ278" i="17"/>
  <c r="AP278" i="17"/>
  <c r="AO278" i="17"/>
  <c r="AN278" i="17"/>
  <c r="AM278" i="17"/>
  <c r="AL278" i="17"/>
  <c r="AK278" i="17"/>
  <c r="AJ278" i="17"/>
  <c r="AI278" i="17"/>
  <c r="AH278" i="17"/>
  <c r="AG278" i="17"/>
  <c r="AF278" i="17"/>
  <c r="AE278" i="17"/>
  <c r="AD278" i="17"/>
  <c r="AC278" i="17"/>
  <c r="AB278" i="17"/>
  <c r="AA278" i="17"/>
  <c r="Z278" i="17"/>
  <c r="Y278" i="17"/>
  <c r="X278" i="17"/>
  <c r="W278" i="17"/>
  <c r="V278" i="17"/>
  <c r="U278" i="17"/>
  <c r="T278" i="17"/>
  <c r="S278" i="17"/>
  <c r="R278" i="17"/>
  <c r="Q278" i="17"/>
  <c r="P278" i="17"/>
  <c r="O278" i="17"/>
  <c r="N278" i="17"/>
  <c r="M278" i="17"/>
  <c r="L278" i="17"/>
  <c r="K278" i="17"/>
  <c r="CP277" i="17"/>
  <c r="CT311" i="17" s="1"/>
  <c r="CO277" i="17"/>
  <c r="CS311" i="17" s="1"/>
  <c r="CN277" i="17"/>
  <c r="CR311" i="17" s="1"/>
  <c r="CM277" i="17"/>
  <c r="CQ311" i="17" s="1"/>
  <c r="CL277" i="17"/>
  <c r="CK277" i="17"/>
  <c r="CJ277" i="17"/>
  <c r="CI277" i="17"/>
  <c r="CH277" i="17"/>
  <c r="CG277" i="17"/>
  <c r="CF277" i="17"/>
  <c r="CE277" i="17"/>
  <c r="CD277" i="17"/>
  <c r="CC277" i="17"/>
  <c r="CB277" i="17"/>
  <c r="CA277" i="17"/>
  <c r="BZ277" i="17"/>
  <c r="BY277" i="17"/>
  <c r="BX277" i="17"/>
  <c r="BW277" i="17"/>
  <c r="BV277" i="17"/>
  <c r="BU277" i="17"/>
  <c r="BT277" i="17"/>
  <c r="BS277" i="17"/>
  <c r="BR277" i="17"/>
  <c r="BQ277" i="17"/>
  <c r="BP277" i="17"/>
  <c r="BO277" i="17"/>
  <c r="BN277" i="17"/>
  <c r="BM277" i="17"/>
  <c r="BL277" i="17"/>
  <c r="BK277" i="17"/>
  <c r="BJ277" i="17"/>
  <c r="BI277" i="17"/>
  <c r="BH277" i="17"/>
  <c r="BG277" i="17"/>
  <c r="BF277" i="17"/>
  <c r="BE277" i="17"/>
  <c r="BD277" i="17"/>
  <c r="BC277" i="17"/>
  <c r="BB277" i="17"/>
  <c r="BA277" i="17"/>
  <c r="AZ277" i="17"/>
  <c r="AY277" i="17"/>
  <c r="AX277" i="17"/>
  <c r="AW277" i="17"/>
  <c r="AV277" i="17"/>
  <c r="AU277" i="17"/>
  <c r="AT277" i="17"/>
  <c r="AS277" i="17"/>
  <c r="AR277" i="17"/>
  <c r="AQ277" i="17"/>
  <c r="AP277" i="17"/>
  <c r="AO277" i="17"/>
  <c r="AN277" i="17"/>
  <c r="AM277" i="17"/>
  <c r="AL277" i="17"/>
  <c r="AK277" i="17"/>
  <c r="AJ277" i="17"/>
  <c r="AI277" i="17"/>
  <c r="AH277" i="17"/>
  <c r="AG277" i="17"/>
  <c r="AF277" i="17"/>
  <c r="AE277" i="17"/>
  <c r="AD277" i="17"/>
  <c r="AC277" i="17"/>
  <c r="AB277" i="17"/>
  <c r="AA277" i="17"/>
  <c r="Z277" i="17"/>
  <c r="Y277" i="17"/>
  <c r="X277" i="17"/>
  <c r="W277" i="17"/>
  <c r="V277" i="17"/>
  <c r="U277" i="17"/>
  <c r="T277" i="17"/>
  <c r="S277" i="17"/>
  <c r="R277" i="17"/>
  <c r="Q277" i="17"/>
  <c r="P277" i="17"/>
  <c r="O277" i="17"/>
  <c r="N277" i="17"/>
  <c r="M277" i="17"/>
  <c r="L277" i="17"/>
  <c r="K277" i="17"/>
  <c r="J277" i="17"/>
  <c r="I277" i="17"/>
  <c r="H277" i="17"/>
  <c r="G277" i="17"/>
  <c r="BI283" i="17"/>
  <c r="BH283" i="17"/>
  <c r="BG283" i="17"/>
  <c r="BF283" i="17"/>
  <c r="BE283" i="17"/>
  <c r="BD283" i="17"/>
  <c r="BC283" i="17"/>
  <c r="BB283" i="17"/>
  <c r="BA283" i="17"/>
  <c r="AZ283" i="17"/>
  <c r="AY283" i="17"/>
  <c r="AX283" i="17"/>
  <c r="AW283" i="17"/>
  <c r="AV283" i="17"/>
  <c r="AU283" i="17"/>
  <c r="AT283" i="17"/>
  <c r="AS283" i="17"/>
  <c r="AR283" i="17"/>
  <c r="AQ283" i="17"/>
  <c r="AP283" i="17"/>
  <c r="AO283" i="17"/>
  <c r="AN283" i="17"/>
  <c r="AM283" i="17"/>
  <c r="AL283" i="17"/>
  <c r="AK283" i="17"/>
  <c r="AJ283" i="17"/>
  <c r="AI283" i="17"/>
  <c r="AH283" i="17"/>
  <c r="AG283" i="17"/>
  <c r="AF283" i="17"/>
  <c r="AE283" i="17"/>
  <c r="AD283" i="17"/>
  <c r="AC283" i="17"/>
  <c r="AB283" i="17"/>
  <c r="AA283" i="17"/>
  <c r="Z283" i="17"/>
  <c r="Y283" i="17"/>
  <c r="X283" i="17"/>
  <c r="W283" i="17"/>
  <c r="V283" i="17"/>
  <c r="U283" i="17"/>
  <c r="T283" i="17"/>
  <c r="S283" i="17"/>
  <c r="R283" i="17"/>
  <c r="Q283" i="17"/>
  <c r="P283" i="17"/>
  <c r="O283" i="17"/>
  <c r="N283" i="17"/>
  <c r="M283" i="17"/>
  <c r="L283" i="17"/>
  <c r="K283" i="17"/>
  <c r="J283" i="17"/>
  <c r="I283" i="17"/>
  <c r="H283" i="17"/>
  <c r="G283" i="17"/>
  <c r="CP258" i="17"/>
  <c r="CQ263" i="17" s="1"/>
  <c r="CO258" i="17"/>
  <c r="CN258" i="17"/>
  <c r="CM258" i="17"/>
  <c r="CL258" i="17"/>
  <c r="CK258" i="17"/>
  <c r="CJ258" i="17"/>
  <c r="CI258" i="17"/>
  <c r="CH258" i="17"/>
  <c r="CG258" i="17"/>
  <c r="CF258" i="17"/>
  <c r="CE258" i="17"/>
  <c r="CD258" i="17"/>
  <c r="CC258" i="17"/>
  <c r="CB258" i="17"/>
  <c r="CA258" i="17"/>
  <c r="BZ258" i="17"/>
  <c r="BY258" i="17"/>
  <c r="BX258" i="17"/>
  <c r="BW258" i="17"/>
  <c r="BV258" i="17"/>
  <c r="BU258" i="17"/>
  <c r="BT258" i="17"/>
  <c r="BS258" i="17"/>
  <c r="BR258" i="17"/>
  <c r="BQ258" i="17"/>
  <c r="BP258" i="17"/>
  <c r="BO258" i="17"/>
  <c r="BN258" i="17"/>
  <c r="BM258" i="17"/>
  <c r="BL258" i="17"/>
  <c r="BK258" i="17"/>
  <c r="BJ258" i="17"/>
  <c r="BI258" i="17"/>
  <c r="BH258" i="17"/>
  <c r="BG258" i="17"/>
  <c r="BF258" i="17"/>
  <c r="BE258" i="17"/>
  <c r="BD258" i="17"/>
  <c r="BC258" i="17"/>
  <c r="BB258" i="17"/>
  <c r="BA258" i="17"/>
  <c r="AZ258" i="17"/>
  <c r="AY258" i="17"/>
  <c r="AX258" i="17"/>
  <c r="AW258" i="17"/>
  <c r="AV258" i="17"/>
  <c r="AU258" i="17"/>
  <c r="AT258" i="17"/>
  <c r="AS258" i="17"/>
  <c r="AR258" i="17"/>
  <c r="AQ258" i="17"/>
  <c r="AP258" i="17"/>
  <c r="AO258" i="17"/>
  <c r="AN258" i="17"/>
  <c r="AM258" i="17"/>
  <c r="AL258" i="17"/>
  <c r="AK258" i="17"/>
  <c r="AJ258" i="17"/>
  <c r="AI258" i="17"/>
  <c r="AH258" i="17"/>
  <c r="AG258" i="17"/>
  <c r="AF258" i="17"/>
  <c r="AE258" i="17"/>
  <c r="AD258" i="17"/>
  <c r="AC258" i="17"/>
  <c r="AB258" i="17"/>
  <c r="AA258" i="17"/>
  <c r="Z258" i="17"/>
  <c r="Y258" i="17"/>
  <c r="X258" i="17"/>
  <c r="W258" i="17"/>
  <c r="V258" i="17"/>
  <c r="U258" i="17"/>
  <c r="T258" i="17"/>
  <c r="S258" i="17"/>
  <c r="R258" i="17"/>
  <c r="Q258" i="17"/>
  <c r="P258" i="17"/>
  <c r="O258" i="17"/>
  <c r="N258" i="17"/>
  <c r="M258" i="17"/>
  <c r="L258" i="17"/>
  <c r="K258" i="17"/>
  <c r="J258" i="17"/>
  <c r="I258" i="17"/>
  <c r="H258" i="17"/>
  <c r="G258" i="17"/>
  <c r="CP201" i="17"/>
  <c r="CO201" i="17"/>
  <c r="CN201" i="17"/>
  <c r="CM201" i="17"/>
  <c r="CL201" i="17"/>
  <c r="CK201" i="17"/>
  <c r="CJ201" i="17"/>
  <c r="CI201" i="17"/>
  <c r="CH201" i="17"/>
  <c r="CG201" i="17"/>
  <c r="CF201" i="17"/>
  <c r="CE201" i="17"/>
  <c r="CD201" i="17"/>
  <c r="CC201" i="17"/>
  <c r="CB201" i="17"/>
  <c r="CA201" i="17"/>
  <c r="BZ201" i="17"/>
  <c r="BY201" i="17"/>
  <c r="BX201" i="17"/>
  <c r="BW201" i="17"/>
  <c r="BV201" i="17"/>
  <c r="BU201" i="17"/>
  <c r="BT201" i="17"/>
  <c r="BS201" i="17"/>
  <c r="BR201" i="17"/>
  <c r="BQ201" i="17"/>
  <c r="BP201" i="17"/>
  <c r="BO201" i="17"/>
  <c r="BN201" i="17"/>
  <c r="BM201" i="17"/>
  <c r="BL201" i="17"/>
  <c r="BK201" i="17"/>
  <c r="BJ201" i="17"/>
  <c r="BI201" i="17"/>
  <c r="BH201" i="17"/>
  <c r="BG201" i="17"/>
  <c r="BF201" i="17"/>
  <c r="BE201" i="17"/>
  <c r="BD201" i="17"/>
  <c r="BC201" i="17"/>
  <c r="BB201" i="17"/>
  <c r="BA201" i="17"/>
  <c r="AZ201" i="17"/>
  <c r="AY201" i="17"/>
  <c r="AX201" i="17"/>
  <c r="AW201" i="17"/>
  <c r="AV201" i="17"/>
  <c r="AU201" i="17"/>
  <c r="AT201" i="17"/>
  <c r="AS201" i="17"/>
  <c r="AR201" i="17"/>
  <c r="AQ201" i="17"/>
  <c r="AP201" i="17"/>
  <c r="AO201" i="17"/>
  <c r="AN201" i="17"/>
  <c r="AM201" i="17"/>
  <c r="AL201" i="17"/>
  <c r="AK201" i="17"/>
  <c r="AJ201" i="17"/>
  <c r="AI201" i="17"/>
  <c r="AH201" i="17"/>
  <c r="AG201" i="17"/>
  <c r="AF201" i="17"/>
  <c r="AE201" i="17"/>
  <c r="AD201" i="17"/>
  <c r="AC201" i="17"/>
  <c r="AB201" i="17"/>
  <c r="AA201" i="17"/>
  <c r="Z201" i="17"/>
  <c r="Y201" i="17"/>
  <c r="X201" i="17"/>
  <c r="W201" i="17"/>
  <c r="V201" i="17"/>
  <c r="U201" i="17"/>
  <c r="T201" i="17"/>
  <c r="S201" i="17"/>
  <c r="R201" i="17"/>
  <c r="Q201" i="17"/>
  <c r="P201" i="17"/>
  <c r="O201" i="17"/>
  <c r="N201" i="17"/>
  <c r="M201" i="17"/>
  <c r="L201" i="17"/>
  <c r="K201" i="17"/>
  <c r="J201" i="17"/>
  <c r="I201" i="17"/>
  <c r="H201" i="17"/>
  <c r="G201" i="17"/>
  <c r="CP144" i="17"/>
  <c r="CQ149" i="17" s="1"/>
  <c r="CO144" i="17"/>
  <c r="CN144" i="17"/>
  <c r="CM144" i="17"/>
  <c r="CL144" i="17"/>
  <c r="CK144" i="17"/>
  <c r="CJ144" i="17"/>
  <c r="CI144" i="17"/>
  <c r="CH144" i="17"/>
  <c r="CG144" i="17"/>
  <c r="CF144" i="17"/>
  <c r="CE144" i="17"/>
  <c r="CD144" i="17"/>
  <c r="CC144" i="17"/>
  <c r="CB144" i="17"/>
  <c r="CA144" i="17"/>
  <c r="BZ144" i="17"/>
  <c r="BY144" i="17"/>
  <c r="BX144" i="17"/>
  <c r="BW144" i="17"/>
  <c r="BV144" i="17"/>
  <c r="BU144" i="17"/>
  <c r="BT144" i="17"/>
  <c r="BS144" i="17"/>
  <c r="BR144" i="17"/>
  <c r="BQ144" i="17"/>
  <c r="BP144" i="17"/>
  <c r="BO144" i="17"/>
  <c r="BN144" i="17"/>
  <c r="BM144" i="17"/>
  <c r="BL144" i="17"/>
  <c r="BK144" i="17"/>
  <c r="BJ144" i="17"/>
  <c r="BI144" i="17"/>
  <c r="BH144" i="17"/>
  <c r="BG144" i="17"/>
  <c r="BF144" i="17"/>
  <c r="BE144" i="17"/>
  <c r="BD144" i="17"/>
  <c r="BC144" i="17"/>
  <c r="BB144" i="17"/>
  <c r="BA144" i="17"/>
  <c r="AZ144" i="17"/>
  <c r="AY144" i="17"/>
  <c r="AX144" i="17"/>
  <c r="AW144" i="17"/>
  <c r="AV144" i="17"/>
  <c r="AU144" i="17"/>
  <c r="AT144" i="17"/>
  <c r="AS144" i="17"/>
  <c r="AR144" i="17"/>
  <c r="AQ144" i="17"/>
  <c r="AP144" i="17"/>
  <c r="AO144" i="17"/>
  <c r="AN144" i="17"/>
  <c r="AM144" i="17"/>
  <c r="AL144" i="17"/>
  <c r="AK144" i="17"/>
  <c r="AJ144" i="17"/>
  <c r="AI144" i="17"/>
  <c r="AH144" i="17"/>
  <c r="AG144" i="17"/>
  <c r="AF144" i="17"/>
  <c r="AE144" i="17"/>
  <c r="AD144" i="17"/>
  <c r="AC144" i="17"/>
  <c r="AB144" i="17"/>
  <c r="AA144" i="17"/>
  <c r="Z144" i="17"/>
  <c r="Y144" i="17"/>
  <c r="X144" i="17"/>
  <c r="W144" i="17"/>
  <c r="V144" i="17"/>
  <c r="U144" i="17"/>
  <c r="T144" i="17"/>
  <c r="S144" i="17"/>
  <c r="R144" i="17"/>
  <c r="Q144" i="17"/>
  <c r="P144" i="17"/>
  <c r="O144" i="17"/>
  <c r="N144" i="17"/>
  <c r="M144" i="17"/>
  <c r="L144" i="17"/>
  <c r="K144" i="17"/>
  <c r="J144" i="17"/>
  <c r="I144" i="17"/>
  <c r="H144" i="17"/>
  <c r="G144" i="17"/>
  <c r="CP105" i="17"/>
  <c r="CQ110" i="17" s="1"/>
  <c r="CO105" i="17"/>
  <c r="CN105" i="17"/>
  <c r="CM105" i="17"/>
  <c r="CL105" i="17"/>
  <c r="CK105" i="17"/>
  <c r="CJ105" i="17"/>
  <c r="CI105" i="17"/>
  <c r="CH105" i="17"/>
  <c r="CG105" i="17"/>
  <c r="CF105" i="17"/>
  <c r="CE105" i="17"/>
  <c r="CD105" i="17"/>
  <c r="CC105" i="17"/>
  <c r="CB105" i="17"/>
  <c r="CA105" i="17"/>
  <c r="BZ105" i="17"/>
  <c r="BY105" i="17"/>
  <c r="BX105" i="17"/>
  <c r="BW105" i="17"/>
  <c r="BV105" i="17"/>
  <c r="BU105" i="17"/>
  <c r="BT105" i="17"/>
  <c r="BS105" i="17"/>
  <c r="BR105" i="17"/>
  <c r="BQ105" i="17"/>
  <c r="BP105" i="17"/>
  <c r="BO105" i="17"/>
  <c r="BN105" i="17"/>
  <c r="BM105" i="17"/>
  <c r="BL105" i="17"/>
  <c r="BK105" i="17"/>
  <c r="BJ105" i="17"/>
  <c r="BI105" i="17"/>
  <c r="BH105" i="17"/>
  <c r="BG105" i="17"/>
  <c r="BF105" i="17"/>
  <c r="BE105" i="17"/>
  <c r="BD105" i="17"/>
  <c r="BC105" i="17"/>
  <c r="BB105" i="17"/>
  <c r="BA105" i="17"/>
  <c r="AZ105" i="17"/>
  <c r="AY105" i="17"/>
  <c r="AX105" i="17"/>
  <c r="AW105" i="17"/>
  <c r="AV105" i="17"/>
  <c r="AU105" i="17"/>
  <c r="AT105" i="17"/>
  <c r="AS105" i="17"/>
  <c r="AR105" i="17"/>
  <c r="AQ105" i="17"/>
  <c r="AP105" i="17"/>
  <c r="AO105" i="17"/>
  <c r="AN105" i="17"/>
  <c r="AM105" i="17"/>
  <c r="AL105" i="17"/>
  <c r="AK105" i="17"/>
  <c r="AJ105" i="17"/>
  <c r="AI105" i="17"/>
  <c r="AH105" i="17"/>
  <c r="AG105" i="17"/>
  <c r="AF105" i="17"/>
  <c r="AE105" i="17"/>
  <c r="AD105" i="17"/>
  <c r="AC105" i="17"/>
  <c r="AB105" i="17"/>
  <c r="AA105" i="17"/>
  <c r="Z105" i="17"/>
  <c r="Y105" i="17"/>
  <c r="X105" i="17"/>
  <c r="W105" i="17"/>
  <c r="V105" i="17"/>
  <c r="U105" i="17"/>
  <c r="T105" i="17"/>
  <c r="S105" i="17"/>
  <c r="R105" i="17"/>
  <c r="Q105" i="17"/>
  <c r="P105" i="17"/>
  <c r="O105" i="17"/>
  <c r="N105" i="17"/>
  <c r="M105" i="17"/>
  <c r="L105" i="17"/>
  <c r="K105" i="17"/>
  <c r="J105" i="17"/>
  <c r="I105" i="17"/>
  <c r="H105" i="17"/>
  <c r="G105" i="17"/>
  <c r="CP228" i="17"/>
  <c r="CQ241" i="17" s="1"/>
  <c r="CO228" i="17"/>
  <c r="CN228" i="17"/>
  <c r="CM228" i="17"/>
  <c r="CL228" i="17"/>
  <c r="CK228" i="17"/>
  <c r="CJ228" i="17"/>
  <c r="CI228" i="17"/>
  <c r="CH228" i="17"/>
  <c r="CG228" i="17"/>
  <c r="CF228" i="17"/>
  <c r="CE228" i="17"/>
  <c r="CD228" i="17"/>
  <c r="CC228" i="17"/>
  <c r="CB228" i="17"/>
  <c r="CA228" i="17"/>
  <c r="BZ228" i="17"/>
  <c r="BY228" i="17"/>
  <c r="BX228" i="17"/>
  <c r="BW228" i="17"/>
  <c r="BV228" i="17"/>
  <c r="BU228" i="17"/>
  <c r="BT228" i="17"/>
  <c r="BS228" i="17"/>
  <c r="BR228" i="17"/>
  <c r="BQ228" i="17"/>
  <c r="BP228" i="17"/>
  <c r="BO228" i="17"/>
  <c r="BN228" i="17"/>
  <c r="BM228" i="17"/>
  <c r="BL228" i="17"/>
  <c r="BK228" i="17"/>
  <c r="CP171" i="17"/>
  <c r="CQ184" i="17" s="1"/>
  <c r="CQ183" i="17" s="1"/>
  <c r="CO171" i="17"/>
  <c r="CN171" i="17"/>
  <c r="CM171" i="17"/>
  <c r="CL171" i="17"/>
  <c r="CK171" i="17"/>
  <c r="CJ171" i="17"/>
  <c r="CI171" i="17"/>
  <c r="CH171" i="17"/>
  <c r="CG171" i="17"/>
  <c r="CF171" i="17"/>
  <c r="CE171" i="17"/>
  <c r="CD171" i="17"/>
  <c r="CC171" i="17"/>
  <c r="CB171" i="17"/>
  <c r="CA171" i="17"/>
  <c r="BZ171" i="17"/>
  <c r="BY171" i="17"/>
  <c r="BX171" i="17"/>
  <c r="BW171" i="17"/>
  <c r="BV171" i="17"/>
  <c r="BU171" i="17"/>
  <c r="BT171" i="17"/>
  <c r="BS171" i="17"/>
  <c r="BR171" i="17"/>
  <c r="BQ171" i="17"/>
  <c r="BP171" i="17"/>
  <c r="BO171" i="17"/>
  <c r="BN171" i="17"/>
  <c r="BM171" i="17"/>
  <c r="BL171" i="17"/>
  <c r="BK171" i="17"/>
  <c r="CP124" i="17"/>
  <c r="CO124" i="17"/>
  <c r="CN124" i="17"/>
  <c r="CM124" i="17"/>
  <c r="CL124" i="17"/>
  <c r="CK124" i="17"/>
  <c r="CJ124" i="17"/>
  <c r="CI124" i="17"/>
  <c r="CH124" i="17"/>
  <c r="CG124" i="17"/>
  <c r="CF124" i="17"/>
  <c r="CE124" i="17"/>
  <c r="CD124" i="17"/>
  <c r="CC124" i="17"/>
  <c r="CB124" i="17"/>
  <c r="CA124" i="17"/>
  <c r="BZ124" i="17"/>
  <c r="BY124" i="17"/>
  <c r="BX124" i="17"/>
  <c r="BW124" i="17"/>
  <c r="BV124" i="17"/>
  <c r="BU124" i="17"/>
  <c r="BT124" i="17"/>
  <c r="BS124" i="17"/>
  <c r="BR124" i="17"/>
  <c r="BQ124" i="17"/>
  <c r="BP124" i="17"/>
  <c r="BO124" i="17"/>
  <c r="BN124" i="17"/>
  <c r="BM124" i="17"/>
  <c r="BL124" i="17"/>
  <c r="BK124" i="17"/>
  <c r="BJ124" i="17"/>
  <c r="BI124" i="17"/>
  <c r="BH124" i="17"/>
  <c r="BG124" i="17"/>
  <c r="BF124" i="17"/>
  <c r="BE124" i="17"/>
  <c r="BD124" i="17"/>
  <c r="BC124" i="17"/>
  <c r="BB124" i="17"/>
  <c r="BA124" i="17"/>
  <c r="AZ124" i="17"/>
  <c r="AY124" i="17"/>
  <c r="AX124" i="17"/>
  <c r="AW124" i="17"/>
  <c r="AV124" i="17"/>
  <c r="AU124" i="17"/>
  <c r="AT124" i="17"/>
  <c r="AS124" i="17"/>
  <c r="AR124" i="17"/>
  <c r="AQ124" i="17"/>
  <c r="AP124" i="17"/>
  <c r="AO124" i="17"/>
  <c r="AN124" i="17"/>
  <c r="AM124" i="17"/>
  <c r="AL124" i="17"/>
  <c r="AK124" i="17"/>
  <c r="AJ124" i="17"/>
  <c r="AI124" i="17"/>
  <c r="AH124" i="17"/>
  <c r="AG124" i="17"/>
  <c r="AF124" i="17"/>
  <c r="AE124" i="17"/>
  <c r="AD124" i="17"/>
  <c r="AC124" i="17"/>
  <c r="AB124" i="17"/>
  <c r="AA124" i="17"/>
  <c r="Z124" i="17"/>
  <c r="Y124" i="17"/>
  <c r="X124" i="17"/>
  <c r="W124" i="17"/>
  <c r="V124" i="17"/>
  <c r="U124" i="17"/>
  <c r="T124" i="17"/>
  <c r="S124" i="17"/>
  <c r="R124" i="17"/>
  <c r="Q124" i="17"/>
  <c r="P124" i="17"/>
  <c r="O124" i="17"/>
  <c r="N124" i="17"/>
  <c r="M124" i="17"/>
  <c r="L124" i="17"/>
  <c r="K124" i="17"/>
  <c r="J124" i="17"/>
  <c r="I124" i="17"/>
  <c r="H124" i="17"/>
  <c r="G124" i="17"/>
  <c r="CP71" i="17"/>
  <c r="CQ87" i="17" s="1"/>
  <c r="CQ86" i="17" s="1"/>
  <c r="CQ8" i="17" s="1"/>
  <c r="CO71" i="17"/>
  <c r="CN71" i="17"/>
  <c r="CM71" i="17"/>
  <c r="CL71" i="17"/>
  <c r="CK71" i="17"/>
  <c r="CJ71" i="17"/>
  <c r="CI71" i="17"/>
  <c r="CH71" i="17"/>
  <c r="CG71" i="17"/>
  <c r="CF71" i="17"/>
  <c r="CE71" i="17"/>
  <c r="CD71" i="17"/>
  <c r="CC71" i="17"/>
  <c r="CB71" i="17"/>
  <c r="CA71" i="17"/>
  <c r="BZ71" i="17"/>
  <c r="BY71" i="17"/>
  <c r="BX71" i="17"/>
  <c r="BW71" i="17"/>
  <c r="BV71" i="17"/>
  <c r="BU71" i="17"/>
  <c r="BT71" i="17"/>
  <c r="BS71" i="17"/>
  <c r="BR71" i="17"/>
  <c r="BQ71" i="17"/>
  <c r="BP71" i="17"/>
  <c r="BO71" i="17"/>
  <c r="BN71" i="17"/>
  <c r="BM71" i="17"/>
  <c r="BL71" i="17"/>
  <c r="BK71" i="17"/>
  <c r="CP41" i="17"/>
  <c r="CQ46" i="17" s="1"/>
  <c r="CQ7" i="17" s="1"/>
  <c r="CO41" i="17"/>
  <c r="CN41" i="17"/>
  <c r="CM41" i="17"/>
  <c r="CL41" i="17"/>
  <c r="CK41" i="17"/>
  <c r="CJ41" i="17"/>
  <c r="CI41" i="17"/>
  <c r="CH41" i="17"/>
  <c r="CG41" i="17"/>
  <c r="CF41" i="17"/>
  <c r="CE41" i="17"/>
  <c r="CD41" i="17"/>
  <c r="CC41" i="17"/>
  <c r="CB41" i="17"/>
  <c r="CA41" i="17"/>
  <c r="BZ41" i="17"/>
  <c r="BY41" i="17"/>
  <c r="BX41" i="17"/>
  <c r="BW41" i="17"/>
  <c r="BV41" i="17"/>
  <c r="BU41" i="17"/>
  <c r="BT41" i="17"/>
  <c r="BS41" i="17"/>
  <c r="BR41" i="17"/>
  <c r="BQ41" i="17"/>
  <c r="BP41" i="17"/>
  <c r="BO41" i="17"/>
  <c r="BN41" i="17"/>
  <c r="BM41" i="17"/>
  <c r="BL41" i="17"/>
  <c r="BK41" i="17"/>
  <c r="BJ41" i="17"/>
  <c r="BI41" i="17"/>
  <c r="BH41" i="17"/>
  <c r="BG41" i="17"/>
  <c r="BF41" i="17"/>
  <c r="BE41" i="17"/>
  <c r="BD41" i="17"/>
  <c r="BC41" i="17"/>
  <c r="BB41" i="17"/>
  <c r="BA41" i="17"/>
  <c r="AZ41" i="17"/>
  <c r="AY41" i="17"/>
  <c r="AX41" i="17"/>
  <c r="AW41" i="17"/>
  <c r="AV41" i="17"/>
  <c r="AU41" i="17"/>
  <c r="AT41" i="17"/>
  <c r="AS41" i="17"/>
  <c r="AR41" i="17"/>
  <c r="AQ41" i="17"/>
  <c r="AP41" i="17"/>
  <c r="AO41" i="17"/>
  <c r="AN41" i="17"/>
  <c r="AM41" i="17"/>
  <c r="AL41" i="17"/>
  <c r="AK41" i="17"/>
  <c r="AJ41" i="17"/>
  <c r="AI41" i="17"/>
  <c r="AH41" i="17"/>
  <c r="AG41" i="17"/>
  <c r="AF41" i="17"/>
  <c r="AE41" i="17"/>
  <c r="AD41" i="17"/>
  <c r="AC41" i="17"/>
  <c r="AB41" i="17"/>
  <c r="AA41" i="17"/>
  <c r="Z41" i="17"/>
  <c r="Y41" i="17"/>
  <c r="X41" i="17"/>
  <c r="W41" i="17"/>
  <c r="V41" i="17"/>
  <c r="U41" i="17"/>
  <c r="T41" i="17"/>
  <c r="S41" i="17"/>
  <c r="R41" i="17"/>
  <c r="Q41" i="17"/>
  <c r="P41" i="17"/>
  <c r="O41" i="17"/>
  <c r="N41" i="17"/>
  <c r="M41" i="17"/>
  <c r="L41" i="17"/>
  <c r="K41" i="17"/>
  <c r="J41" i="17"/>
  <c r="I41" i="17"/>
  <c r="H41" i="17"/>
  <c r="G41" i="17"/>
  <c r="CP22" i="17"/>
  <c r="CQ27" i="17" s="1"/>
  <c r="CQ6" i="17" s="1"/>
  <c r="CO22" i="17"/>
  <c r="CN22" i="17"/>
  <c r="CM22" i="17"/>
  <c r="CL22" i="17"/>
  <c r="CK22" i="17"/>
  <c r="CJ22" i="17"/>
  <c r="CI22" i="17"/>
  <c r="CH22" i="17"/>
  <c r="CG22" i="17"/>
  <c r="CF22" i="17"/>
  <c r="CE22" i="17"/>
  <c r="CD22" i="17"/>
  <c r="CC22" i="17"/>
  <c r="CB22" i="17"/>
  <c r="CA22" i="17"/>
  <c r="BZ22" i="17"/>
  <c r="BY22" i="17"/>
  <c r="BX22" i="17"/>
  <c r="BW22" i="17"/>
  <c r="BV22" i="17"/>
  <c r="BU22" i="17"/>
  <c r="BT22" i="17"/>
  <c r="BS22" i="17"/>
  <c r="BR22" i="17"/>
  <c r="BQ22" i="17"/>
  <c r="BP22" i="17"/>
  <c r="BO22" i="17"/>
  <c r="BN22" i="17"/>
  <c r="BM22" i="17"/>
  <c r="BL22" i="17"/>
  <c r="BK22" i="17"/>
  <c r="BJ22" i="17"/>
  <c r="BI22" i="17"/>
  <c r="BH22" i="17"/>
  <c r="BG22" i="17"/>
  <c r="BF22" i="17"/>
  <c r="BE22" i="17"/>
  <c r="BD22" i="17"/>
  <c r="BC22" i="17"/>
  <c r="BB22" i="17"/>
  <c r="BA22" i="17"/>
  <c r="AZ22" i="17"/>
  <c r="AY22" i="17"/>
  <c r="AX22" i="17"/>
  <c r="AW22" i="17"/>
  <c r="AV22" i="17"/>
  <c r="AU22" i="17"/>
  <c r="AT22" i="17"/>
  <c r="AS22" i="17"/>
  <c r="AR22" i="17"/>
  <c r="AQ22" i="17"/>
  <c r="AP22" i="17"/>
  <c r="AO22" i="17"/>
  <c r="AN22" i="17"/>
  <c r="AM22" i="17"/>
  <c r="AL22" i="17"/>
  <c r="AK22" i="17"/>
  <c r="AJ22" i="17"/>
  <c r="AI22" i="17"/>
  <c r="AH22" i="17"/>
  <c r="AG22" i="17"/>
  <c r="AF22" i="17"/>
  <c r="AE22" i="17"/>
  <c r="AD22" i="17"/>
  <c r="AC22" i="17"/>
  <c r="AB22" i="17"/>
  <c r="AA22" i="17"/>
  <c r="Z22" i="17"/>
  <c r="Y22" i="17"/>
  <c r="X22" i="17"/>
  <c r="W22" i="17"/>
  <c r="V22" i="17"/>
  <c r="U22" i="17"/>
  <c r="T22" i="17"/>
  <c r="S22" i="17"/>
  <c r="R22" i="17"/>
  <c r="Q22" i="17"/>
  <c r="P22" i="17"/>
  <c r="O22" i="17"/>
  <c r="N22" i="17"/>
  <c r="M22" i="17"/>
  <c r="L22" i="17"/>
  <c r="K22" i="17"/>
  <c r="J22" i="17"/>
  <c r="I22" i="17"/>
  <c r="H22" i="17"/>
  <c r="G22" i="17"/>
  <c r="DC3" i="16"/>
  <c r="DB3" i="16"/>
  <c r="DA3" i="16"/>
  <c r="CZ3" i="16"/>
  <c r="CY3" i="16"/>
  <c r="CX3" i="16"/>
  <c r="CW3" i="16"/>
  <c r="CV3" i="16"/>
  <c r="CU3" i="16"/>
  <c r="CT3" i="16"/>
  <c r="CS3" i="16"/>
  <c r="CR3" i="16"/>
  <c r="CQ3" i="16"/>
  <c r="CP3" i="16"/>
  <c r="CO3" i="16"/>
  <c r="CN3" i="16"/>
  <c r="CM3" i="16"/>
  <c r="CL3" i="16"/>
  <c r="CK3" i="16"/>
  <c r="CJ3" i="16"/>
  <c r="CI3" i="16"/>
  <c r="CH3" i="16"/>
  <c r="CG3" i="16"/>
  <c r="CF3" i="16"/>
  <c r="CE3" i="16"/>
  <c r="CD3" i="16"/>
  <c r="CC3" i="16"/>
  <c r="CB3" i="16"/>
  <c r="CA3" i="16"/>
  <c r="BZ3" i="16"/>
  <c r="BY3" i="16"/>
  <c r="BX3" i="16"/>
  <c r="BW3" i="16"/>
  <c r="BV3" i="16"/>
  <c r="BU3" i="16"/>
  <c r="BT3" i="16"/>
  <c r="BS3" i="16"/>
  <c r="BR3" i="16"/>
  <c r="BQ3" i="16"/>
  <c r="BP3" i="16"/>
  <c r="BO3" i="16"/>
  <c r="BN3" i="16"/>
  <c r="BM3" i="16"/>
  <c r="BL3" i="16"/>
  <c r="BK3" i="16"/>
  <c r="BJ3" i="16"/>
  <c r="BI3" i="16"/>
  <c r="BH3" i="16"/>
  <c r="BG3" i="16"/>
  <c r="BF3" i="16"/>
  <c r="BE3" i="16"/>
  <c r="BD3" i="16"/>
  <c r="BC3" i="16"/>
  <c r="BB3" i="16"/>
  <c r="BA3" i="16"/>
  <c r="AZ3" i="16"/>
  <c r="AY3" i="16"/>
  <c r="AX3" i="16"/>
  <c r="AW3" i="16"/>
  <c r="AV3" i="16"/>
  <c r="AU3" i="16"/>
  <c r="AT3" i="16"/>
  <c r="AS3" i="16"/>
  <c r="AR3" i="16"/>
  <c r="AQ3" i="16"/>
  <c r="AP3" i="16"/>
  <c r="AO3" i="16"/>
  <c r="AN3" i="16"/>
  <c r="AM3" i="16"/>
  <c r="AL3" i="16"/>
  <c r="AK3" i="16"/>
  <c r="AJ3" i="16"/>
  <c r="AI3" i="16"/>
  <c r="AH3" i="16"/>
  <c r="AG3" i="16"/>
  <c r="AF3" i="16"/>
  <c r="AE3" i="16"/>
  <c r="AD3" i="16"/>
  <c r="AC3" i="16"/>
  <c r="AB3" i="16"/>
  <c r="AA3" i="16"/>
  <c r="Z3" i="16"/>
  <c r="Y3" i="16"/>
  <c r="X3" i="16"/>
  <c r="W3" i="16"/>
  <c r="V3" i="16"/>
  <c r="U3" i="16"/>
  <c r="T3" i="16"/>
  <c r="S3" i="16"/>
  <c r="R3" i="16"/>
  <c r="Q3" i="16"/>
  <c r="P3" i="16"/>
  <c r="O3" i="16"/>
  <c r="N3" i="16"/>
  <c r="M3" i="16"/>
  <c r="L3" i="16"/>
  <c r="K3" i="16"/>
  <c r="J3" i="16"/>
  <c r="I3" i="16"/>
  <c r="H3" i="16"/>
  <c r="G3" i="16"/>
  <c r="DC2" i="16"/>
  <c r="CY2" i="16"/>
  <c r="CU2" i="16"/>
  <c r="CQ2" i="16"/>
  <c r="CM2" i="16"/>
  <c r="CI2" i="16"/>
  <c r="CE2" i="16"/>
  <c r="CA2" i="16"/>
  <c r="BW2" i="16"/>
  <c r="BS2" i="16"/>
  <c r="BO2" i="16"/>
  <c r="BK2" i="16"/>
  <c r="BG2" i="16"/>
  <c r="BC2" i="16"/>
  <c r="AY2" i="16"/>
  <c r="AU2" i="16"/>
  <c r="AQ2" i="16"/>
  <c r="AM2" i="16"/>
  <c r="AI2" i="16"/>
  <c r="AE2" i="16"/>
  <c r="AA2" i="16"/>
  <c r="W2" i="16"/>
  <c r="S2" i="16"/>
  <c r="O2" i="16"/>
  <c r="K2" i="16"/>
  <c r="G2" i="16"/>
  <c r="AA141" i="7"/>
  <c r="S18" i="21" s="1"/>
  <c r="Z141" i="7"/>
  <c r="R18" i="21" s="1"/>
  <c r="Y141" i="7"/>
  <c r="Q18" i="21" s="1"/>
  <c r="X141" i="7"/>
  <c r="P18" i="21" s="1"/>
  <c r="W141" i="7"/>
  <c r="O18" i="21" s="1"/>
  <c r="V141" i="7"/>
  <c r="N18" i="21" s="1"/>
  <c r="N50" i="21" s="1"/>
  <c r="U141" i="7"/>
  <c r="M18" i="21" s="1"/>
  <c r="M50" i="21" s="1"/>
  <c r="T141" i="7"/>
  <c r="L18" i="21" s="1"/>
  <c r="L50" i="21" s="1"/>
  <c r="S141" i="7"/>
  <c r="K18" i="21" s="1"/>
  <c r="K50" i="21" s="1"/>
  <c r="R141" i="7"/>
  <c r="J18" i="21" s="1"/>
  <c r="J50" i="21" s="1"/>
  <c r="Q141" i="7"/>
  <c r="I18" i="21" s="1"/>
  <c r="I50" i="21" s="1"/>
  <c r="P141" i="7"/>
  <c r="H18" i="21" s="1"/>
  <c r="O141" i="7"/>
  <c r="G18" i="21" s="1"/>
  <c r="N141" i="7"/>
  <c r="F18" i="21" s="1"/>
  <c r="M141" i="7"/>
  <c r="E18" i="21" s="1"/>
  <c r="L141" i="7"/>
  <c r="D18" i="21" s="1"/>
  <c r="AA140" i="7"/>
  <c r="S17" i="21" s="1"/>
  <c r="Z140" i="7"/>
  <c r="R17" i="21" s="1"/>
  <c r="Y140" i="7"/>
  <c r="Q17" i="21" s="1"/>
  <c r="X140" i="7"/>
  <c r="P17" i="21" s="1"/>
  <c r="W140" i="7"/>
  <c r="O17" i="21" s="1"/>
  <c r="O49" i="21" s="1"/>
  <c r="V140" i="7"/>
  <c r="N17" i="21" s="1"/>
  <c r="N49" i="21" s="1"/>
  <c r="U140" i="7"/>
  <c r="M17" i="21" s="1"/>
  <c r="M49" i="21" s="1"/>
  <c r="T140" i="7"/>
  <c r="L17" i="21" s="1"/>
  <c r="L49" i="21" s="1"/>
  <c r="S140" i="7"/>
  <c r="K17" i="21" s="1"/>
  <c r="K49" i="21" s="1"/>
  <c r="R140" i="7"/>
  <c r="J17" i="21" s="1"/>
  <c r="J49" i="21" s="1"/>
  <c r="Q140" i="7"/>
  <c r="I17" i="21" s="1"/>
  <c r="I49" i="21" s="1"/>
  <c r="P140" i="7"/>
  <c r="H17" i="21" s="1"/>
  <c r="O140" i="7"/>
  <c r="G17" i="21" s="1"/>
  <c r="N140" i="7"/>
  <c r="F17" i="21" s="1"/>
  <c r="M140" i="7"/>
  <c r="E17" i="21" s="1"/>
  <c r="L140" i="7"/>
  <c r="D17" i="21" s="1"/>
  <c r="AA134" i="8"/>
  <c r="Z134" i="8"/>
  <c r="Y134" i="8"/>
  <c r="X134" i="8"/>
  <c r="W134" i="8"/>
  <c r="V134" i="8"/>
  <c r="U134" i="8"/>
  <c r="T134" i="8"/>
  <c r="S134" i="8"/>
  <c r="R134" i="8"/>
  <c r="Q134" i="8"/>
  <c r="P134" i="8"/>
  <c r="O134" i="8"/>
  <c r="N134" i="8"/>
  <c r="M134" i="8"/>
  <c r="L134" i="8"/>
  <c r="K134" i="8"/>
  <c r="J134" i="8"/>
  <c r="I134" i="8"/>
  <c r="H134" i="8"/>
  <c r="G134" i="8"/>
  <c r="AA31" i="8"/>
  <c r="AB48" i="8" s="1"/>
  <c r="Z31" i="8"/>
  <c r="Y31" i="8"/>
  <c r="X31" i="8"/>
  <c r="W31" i="8"/>
  <c r="V31" i="8"/>
  <c r="U31" i="8"/>
  <c r="T31" i="8"/>
  <c r="S31" i="8"/>
  <c r="R31" i="8"/>
  <c r="Q31" i="8"/>
  <c r="P31" i="8"/>
  <c r="O31" i="8"/>
  <c r="N31" i="8"/>
  <c r="M31" i="8"/>
  <c r="L31" i="8"/>
  <c r="K31" i="8"/>
  <c r="J31" i="8"/>
  <c r="I31" i="8"/>
  <c r="H31" i="8"/>
  <c r="G31" i="8"/>
  <c r="S618" i="7"/>
  <c r="R618" i="7"/>
  <c r="Q618" i="7"/>
  <c r="P618" i="7"/>
  <c r="O618" i="7"/>
  <c r="S616" i="7"/>
  <c r="R616" i="7"/>
  <c r="Q616" i="7"/>
  <c r="P616" i="7"/>
  <c r="O616" i="7"/>
  <c r="CA307" i="17"/>
  <c r="CB307" i="17" s="1"/>
  <c r="CC307" i="17" s="1"/>
  <c r="CD307" i="17" s="1"/>
  <c r="Y375" i="12" s="1"/>
  <c r="BW307" i="17"/>
  <c r="BX307" i="17" s="1"/>
  <c r="BY307" i="17" s="1"/>
  <c r="BZ307" i="17" s="1"/>
  <c r="BS307" i="17"/>
  <c r="BT307" i="17" s="1"/>
  <c r="BU307" i="17" s="1"/>
  <c r="BV307" i="17" s="1"/>
  <c r="W375" i="12" s="1"/>
  <c r="BO307" i="17"/>
  <c r="BP307" i="17" s="1"/>
  <c r="BQ307" i="17" s="1"/>
  <c r="BR307" i="17" s="1"/>
  <c r="BK307" i="17"/>
  <c r="BL307" i="17" s="1"/>
  <c r="BM307" i="17" s="1"/>
  <c r="BN307" i="17" s="1"/>
  <c r="U375" i="12" s="1"/>
  <c r="BG307" i="17"/>
  <c r="BH307" i="17" s="1"/>
  <c r="BI307" i="17" s="1"/>
  <c r="BJ307" i="17" s="1"/>
  <c r="BC307" i="17"/>
  <c r="BD307" i="17" s="1"/>
  <c r="BE307" i="17" s="1"/>
  <c r="BF307" i="17" s="1"/>
  <c r="S375" i="12" s="1"/>
  <c r="AY307" i="17"/>
  <c r="AZ307" i="17" s="1"/>
  <c r="BA307" i="17" s="1"/>
  <c r="BB307" i="17" s="1"/>
  <c r="AU307" i="17"/>
  <c r="AV307" i="17" s="1"/>
  <c r="AW307" i="17" s="1"/>
  <c r="AX307" i="17" s="1"/>
  <c r="Q375" i="12" s="1"/>
  <c r="AQ307" i="17"/>
  <c r="AR307" i="17" s="1"/>
  <c r="AS307" i="17" s="1"/>
  <c r="AT307" i="17" s="1"/>
  <c r="AM307" i="17"/>
  <c r="AN307" i="17" s="1"/>
  <c r="AO307" i="17" s="1"/>
  <c r="AP307" i="17" s="1"/>
  <c r="O375" i="12" s="1"/>
  <c r="AI307" i="17"/>
  <c r="AJ307" i="17" s="1"/>
  <c r="AK307" i="17" s="1"/>
  <c r="AL307" i="17" s="1"/>
  <c r="AE307" i="17"/>
  <c r="AF307" i="17" s="1"/>
  <c r="AG307" i="17" s="1"/>
  <c r="AH307" i="17" s="1"/>
  <c r="M375" i="12" s="1"/>
  <c r="AA307" i="17"/>
  <c r="AB307" i="17" s="1"/>
  <c r="AC307" i="17" s="1"/>
  <c r="AD307" i="17" s="1"/>
  <c r="W307" i="17"/>
  <c r="X307" i="17" s="1"/>
  <c r="Y307" i="17" s="1"/>
  <c r="Z307" i="17" s="1"/>
  <c r="K375" i="12" s="1"/>
  <c r="S307" i="17"/>
  <c r="T307" i="17" s="1"/>
  <c r="U307" i="17" s="1"/>
  <c r="V307" i="17" s="1"/>
  <c r="O307" i="17"/>
  <c r="P307" i="17" s="1"/>
  <c r="Q307" i="17" s="1"/>
  <c r="R307" i="17" s="1"/>
  <c r="I375" i="12" s="1"/>
  <c r="K307" i="17"/>
  <c r="L307" i="17" s="1"/>
  <c r="M307" i="17" s="1"/>
  <c r="N307" i="17" s="1"/>
  <c r="H375" i="12" s="1"/>
  <c r="J307" i="17"/>
  <c r="CA306" i="17"/>
  <c r="CB306" i="17" s="1"/>
  <c r="CC306" i="17" s="1"/>
  <c r="CD306" i="17" s="1"/>
  <c r="BW306" i="17"/>
  <c r="BX306" i="17" s="1"/>
  <c r="BY306" i="17" s="1"/>
  <c r="BZ306" i="17" s="1"/>
  <c r="X374" i="12" s="1"/>
  <c r="BS306" i="17"/>
  <c r="BT306" i="17" s="1"/>
  <c r="BU306" i="17" s="1"/>
  <c r="BV306" i="17" s="1"/>
  <c r="BO306" i="17"/>
  <c r="BP306" i="17" s="1"/>
  <c r="BQ306" i="17" s="1"/>
  <c r="BR306" i="17" s="1"/>
  <c r="V374" i="12" s="1"/>
  <c r="BK306" i="17"/>
  <c r="BL306" i="17" s="1"/>
  <c r="BM306" i="17" s="1"/>
  <c r="BN306" i="17" s="1"/>
  <c r="BG306" i="17"/>
  <c r="BC306" i="17"/>
  <c r="BD306" i="17" s="1"/>
  <c r="BE306" i="17" s="1"/>
  <c r="BF306" i="17" s="1"/>
  <c r="AY306" i="17"/>
  <c r="AU306" i="17"/>
  <c r="AV306" i="17" s="1"/>
  <c r="AW306" i="17" s="1"/>
  <c r="AX306" i="17" s="1"/>
  <c r="AQ306" i="17"/>
  <c r="AM306" i="17"/>
  <c r="AN306" i="17" s="1"/>
  <c r="AO306" i="17" s="1"/>
  <c r="AP306" i="17" s="1"/>
  <c r="AI306" i="17"/>
  <c r="AE306" i="17"/>
  <c r="AF306" i="17" s="1"/>
  <c r="AG306" i="17" s="1"/>
  <c r="AH306" i="17" s="1"/>
  <c r="AA306" i="17"/>
  <c r="W306" i="17"/>
  <c r="X306" i="17" s="1"/>
  <c r="Y306" i="17" s="1"/>
  <c r="Z306" i="17" s="1"/>
  <c r="S306" i="17"/>
  <c r="O306" i="17"/>
  <c r="P306" i="17" s="1"/>
  <c r="Q306" i="17" s="1"/>
  <c r="R306" i="17" s="1"/>
  <c r="K306" i="17"/>
  <c r="L306" i="17" s="1"/>
  <c r="M306" i="17" s="1"/>
  <c r="N306" i="17" s="1"/>
  <c r="H374" i="12" s="1"/>
  <c r="J306" i="17"/>
  <c r="CA305" i="17"/>
  <c r="CB305" i="17" s="1"/>
  <c r="BW305" i="17"/>
  <c r="BX305" i="17" s="1"/>
  <c r="BS305" i="17"/>
  <c r="BT305" i="17" s="1"/>
  <c r="BO305" i="17"/>
  <c r="BP305" i="17" s="1"/>
  <c r="BK305" i="17"/>
  <c r="BL305" i="17" s="1"/>
  <c r="BG305" i="17"/>
  <c r="BC305" i="17"/>
  <c r="AY305" i="17"/>
  <c r="AZ305" i="17" s="1"/>
  <c r="AU305" i="17"/>
  <c r="AQ305" i="17"/>
  <c r="AM305" i="17"/>
  <c r="AN305" i="17" s="1"/>
  <c r="AO305" i="17" s="1"/>
  <c r="AP305" i="17" s="1"/>
  <c r="O373" i="12" s="1"/>
  <c r="AI305" i="17"/>
  <c r="AJ305" i="17" s="1"/>
  <c r="AE305" i="17"/>
  <c r="AF305" i="17" s="1"/>
  <c r="AA305" i="17"/>
  <c r="AB305" i="17" s="1"/>
  <c r="W305" i="17"/>
  <c r="X305" i="17" s="1"/>
  <c r="S305" i="17"/>
  <c r="T305" i="17" s="1"/>
  <c r="O305" i="17"/>
  <c r="P305" i="17" s="1"/>
  <c r="K305" i="17"/>
  <c r="L305" i="17" s="1"/>
  <c r="M305" i="17" s="1"/>
  <c r="N305" i="17" s="1"/>
  <c r="H373" i="12" s="1"/>
  <c r="J305" i="17"/>
  <c r="CA304" i="17"/>
  <c r="CB304" i="17" s="1"/>
  <c r="CC304" i="17" s="1"/>
  <c r="CD304" i="17" s="1"/>
  <c r="BW304" i="17"/>
  <c r="BX304" i="17" s="1"/>
  <c r="BY304" i="17" s="1"/>
  <c r="BZ304" i="17" s="1"/>
  <c r="X372" i="12" s="1"/>
  <c r="BS304" i="17"/>
  <c r="BT304" i="17" s="1"/>
  <c r="BU304" i="17" s="1"/>
  <c r="BV304" i="17" s="1"/>
  <c r="BO304" i="17"/>
  <c r="BP304" i="17" s="1"/>
  <c r="BQ304" i="17" s="1"/>
  <c r="BR304" i="17" s="1"/>
  <c r="V372" i="12" s="1"/>
  <c r="BK304" i="17"/>
  <c r="BL304" i="17" s="1"/>
  <c r="BM304" i="17" s="1"/>
  <c r="BN304" i="17" s="1"/>
  <c r="BG304" i="17"/>
  <c r="BH304" i="17" s="1"/>
  <c r="BI304" i="17" s="1"/>
  <c r="BJ304" i="17" s="1"/>
  <c r="T372" i="12" s="1"/>
  <c r="BC304" i="17"/>
  <c r="BD304" i="17" s="1"/>
  <c r="BE304" i="17" s="1"/>
  <c r="BF304" i="17" s="1"/>
  <c r="AY304" i="17"/>
  <c r="AZ304" i="17" s="1"/>
  <c r="BA304" i="17" s="1"/>
  <c r="BB304" i="17" s="1"/>
  <c r="R372" i="12" s="1"/>
  <c r="AU304" i="17"/>
  <c r="AV304" i="17" s="1"/>
  <c r="AW304" i="17" s="1"/>
  <c r="AX304" i="17" s="1"/>
  <c r="AQ304" i="17"/>
  <c r="AR304" i="17" s="1"/>
  <c r="AS304" i="17" s="1"/>
  <c r="AT304" i="17" s="1"/>
  <c r="P372" i="12" s="1"/>
  <c r="AM304" i="17"/>
  <c r="AN304" i="17" s="1"/>
  <c r="AO304" i="17" s="1"/>
  <c r="AP304" i="17" s="1"/>
  <c r="AI304" i="17"/>
  <c r="AJ304" i="17" s="1"/>
  <c r="AK304" i="17" s="1"/>
  <c r="AL304" i="17" s="1"/>
  <c r="N372" i="12" s="1"/>
  <c r="AE304" i="17"/>
  <c r="AF304" i="17" s="1"/>
  <c r="AG304" i="17" s="1"/>
  <c r="AH304" i="17" s="1"/>
  <c r="AA304" i="17"/>
  <c r="AB304" i="17" s="1"/>
  <c r="AC304" i="17" s="1"/>
  <c r="AD304" i="17" s="1"/>
  <c r="L372" i="12" s="1"/>
  <c r="W304" i="17"/>
  <c r="X304" i="17" s="1"/>
  <c r="Y304" i="17" s="1"/>
  <c r="Z304" i="17" s="1"/>
  <c r="S304" i="17"/>
  <c r="T304" i="17" s="1"/>
  <c r="U304" i="17" s="1"/>
  <c r="V304" i="17" s="1"/>
  <c r="J372" i="12" s="1"/>
  <c r="O304" i="17"/>
  <c r="P304" i="17" s="1"/>
  <c r="Q304" i="17" s="1"/>
  <c r="R304" i="17" s="1"/>
  <c r="K304" i="17"/>
  <c r="L304" i="17" s="1"/>
  <c r="M304" i="17" s="1"/>
  <c r="N304" i="17" s="1"/>
  <c r="H372" i="12" s="1"/>
  <c r="J304" i="17"/>
  <c r="CA303" i="17"/>
  <c r="CB303" i="17" s="1"/>
  <c r="BW303" i="17"/>
  <c r="BX303" i="17" s="1"/>
  <c r="BS303" i="17"/>
  <c r="BT303" i="17" s="1"/>
  <c r="BO303" i="17"/>
  <c r="BP303" i="17" s="1"/>
  <c r="BK303" i="17"/>
  <c r="BL303" i="17" s="1"/>
  <c r="BG303" i="17"/>
  <c r="BH303" i="17" s="1"/>
  <c r="BC303" i="17"/>
  <c r="BD303" i="17" s="1"/>
  <c r="AY303" i="17"/>
  <c r="AZ303" i="17" s="1"/>
  <c r="AU303" i="17"/>
  <c r="AQ303" i="17"/>
  <c r="AR303" i="17" s="1"/>
  <c r="AM303" i="17"/>
  <c r="AN303" i="17" s="1"/>
  <c r="AI303" i="17"/>
  <c r="AJ303" i="17" s="1"/>
  <c r="AE303" i="17"/>
  <c r="AF303" i="17" s="1"/>
  <c r="AA303" i="17"/>
  <c r="AB303" i="17" s="1"/>
  <c r="W303" i="17"/>
  <c r="S303" i="17"/>
  <c r="T303" i="17" s="1"/>
  <c r="O303" i="17"/>
  <c r="P303" i="17" s="1"/>
  <c r="K303" i="17"/>
  <c r="L303" i="17" s="1"/>
  <c r="J303" i="17"/>
  <c r="AA342" i="12"/>
  <c r="AB349" i="12" s="1"/>
  <c r="Z342" i="12"/>
  <c r="Y342" i="12"/>
  <c r="X342" i="12"/>
  <c r="W342" i="12"/>
  <c r="V342" i="12"/>
  <c r="U342" i="12"/>
  <c r="T342" i="12"/>
  <c r="S342" i="12"/>
  <c r="R342" i="12"/>
  <c r="Q342" i="12"/>
  <c r="P342" i="12"/>
  <c r="O342" i="12"/>
  <c r="N342" i="12"/>
  <c r="M342" i="12"/>
  <c r="L342" i="12"/>
  <c r="K342" i="12"/>
  <c r="J342" i="12"/>
  <c r="I342" i="12"/>
  <c r="H342" i="12"/>
  <c r="G342" i="12"/>
  <c r="AB363" i="12"/>
  <c r="AA363" i="12"/>
  <c r="Z363" i="12"/>
  <c r="Y363" i="12"/>
  <c r="CV41" i="11" s="1"/>
  <c r="X363" i="12"/>
  <c r="W363" i="12"/>
  <c r="CL41" i="11" s="1"/>
  <c r="V363" i="12"/>
  <c r="U363" i="12"/>
  <c r="CB41" i="11" s="1"/>
  <c r="T363" i="12"/>
  <c r="S363" i="12"/>
  <c r="BR41" i="11" s="1"/>
  <c r="R363" i="12"/>
  <c r="Q363" i="12"/>
  <c r="BH41" i="11" s="1"/>
  <c r="P363" i="12"/>
  <c r="O363" i="12"/>
  <c r="AX41" i="11" s="1"/>
  <c r="N363" i="12"/>
  <c r="M363" i="12"/>
  <c r="AN41" i="11" s="1"/>
  <c r="L363" i="12"/>
  <c r="K363" i="12"/>
  <c r="AD41" i="11" s="1"/>
  <c r="J363" i="12"/>
  <c r="I363" i="12"/>
  <c r="T41" i="11" s="1"/>
  <c r="H363" i="12"/>
  <c r="G363" i="12"/>
  <c r="J41" i="11" s="1"/>
  <c r="AA362" i="12"/>
  <c r="AB367" i="12" s="1"/>
  <c r="Z362" i="12"/>
  <c r="Y362" i="12"/>
  <c r="X362" i="12"/>
  <c r="CQ42" i="11" s="1"/>
  <c r="W362" i="12"/>
  <c r="V362" i="12"/>
  <c r="CG42" i="11" s="1"/>
  <c r="U362" i="12"/>
  <c r="T362" i="12"/>
  <c r="BW42" i="11" s="1"/>
  <c r="S362" i="12"/>
  <c r="R362" i="12"/>
  <c r="BM42" i="11" s="1"/>
  <c r="Q362" i="12"/>
  <c r="P362" i="12"/>
  <c r="BC42" i="11" s="1"/>
  <c r="O362" i="12"/>
  <c r="N362" i="12"/>
  <c r="AS42" i="11" s="1"/>
  <c r="M362" i="12"/>
  <c r="L362" i="12"/>
  <c r="AI42" i="11" s="1"/>
  <c r="K362" i="12"/>
  <c r="J362" i="12"/>
  <c r="Y42" i="11" s="1"/>
  <c r="I362" i="12"/>
  <c r="H362" i="12"/>
  <c r="O42" i="11" s="1"/>
  <c r="G362" i="12"/>
  <c r="J42" i="11" s="1"/>
  <c r="AA321" i="12"/>
  <c r="AB326" i="12" s="1"/>
  <c r="Z321" i="12"/>
  <c r="Y321" i="12"/>
  <c r="X321" i="12"/>
  <c r="W321" i="12"/>
  <c r="V321" i="12"/>
  <c r="U321" i="12"/>
  <c r="T321" i="12"/>
  <c r="S321" i="12"/>
  <c r="R321" i="12"/>
  <c r="Q321" i="12"/>
  <c r="P321" i="12"/>
  <c r="O321" i="12"/>
  <c r="N321" i="12"/>
  <c r="M321" i="12"/>
  <c r="L321" i="12"/>
  <c r="K321" i="12"/>
  <c r="J321" i="12"/>
  <c r="I321" i="12"/>
  <c r="H321" i="12"/>
  <c r="G321" i="12"/>
  <c r="J110" i="11" s="1"/>
  <c r="AA320" i="12"/>
  <c r="AB325" i="12" s="1"/>
  <c r="Z320" i="12"/>
  <c r="Y320" i="12"/>
  <c r="X320" i="12"/>
  <c r="W320" i="12"/>
  <c r="V320" i="12"/>
  <c r="U320" i="12"/>
  <c r="T320" i="12"/>
  <c r="S320" i="12"/>
  <c r="R320" i="12"/>
  <c r="Q320" i="12"/>
  <c r="P320" i="12"/>
  <c r="O320" i="12"/>
  <c r="N320" i="12"/>
  <c r="M320" i="12"/>
  <c r="L320" i="12"/>
  <c r="K320" i="12"/>
  <c r="J320" i="12"/>
  <c r="I320" i="12"/>
  <c r="H320" i="12"/>
  <c r="G320" i="12"/>
  <c r="AA289" i="12"/>
  <c r="AB294" i="12" s="1"/>
  <c r="Z289" i="12"/>
  <c r="Y289" i="12"/>
  <c r="X289" i="12"/>
  <c r="W289" i="12"/>
  <c r="V289" i="12"/>
  <c r="U289" i="12"/>
  <c r="T289" i="12"/>
  <c r="S289" i="12"/>
  <c r="R289" i="12"/>
  <c r="Q289" i="12"/>
  <c r="P289" i="12"/>
  <c r="O289" i="12"/>
  <c r="N289" i="12"/>
  <c r="M289" i="12"/>
  <c r="L289" i="12"/>
  <c r="K289" i="12"/>
  <c r="J289" i="12"/>
  <c r="I289" i="12"/>
  <c r="H289" i="12"/>
  <c r="G289" i="12"/>
  <c r="J95" i="11" s="1"/>
  <c r="AA288" i="12"/>
  <c r="AB293" i="12" s="1"/>
  <c r="Z288" i="12"/>
  <c r="Y288" i="12"/>
  <c r="X288" i="12"/>
  <c r="W288" i="12"/>
  <c r="V288" i="12"/>
  <c r="U288" i="12"/>
  <c r="T288" i="12"/>
  <c r="S288" i="12"/>
  <c r="R288" i="12"/>
  <c r="Q288" i="12"/>
  <c r="P288" i="12"/>
  <c r="O288" i="12"/>
  <c r="N288" i="12"/>
  <c r="M288" i="12"/>
  <c r="L288" i="12"/>
  <c r="K288" i="12"/>
  <c r="J288" i="12"/>
  <c r="I288" i="12"/>
  <c r="H288" i="12"/>
  <c r="G288" i="12"/>
  <c r="S522" i="7"/>
  <c r="R522" i="7"/>
  <c r="Q522" i="7"/>
  <c r="P522" i="7"/>
  <c r="O522" i="7"/>
  <c r="N522" i="7"/>
  <c r="M522" i="7"/>
  <c r="L522" i="7"/>
  <c r="V490" i="7"/>
  <c r="U490" i="7"/>
  <c r="T490" i="7"/>
  <c r="S490" i="7"/>
  <c r="R490" i="7"/>
  <c r="Q490" i="7"/>
  <c r="P490" i="7"/>
  <c r="O490" i="7"/>
  <c r="N490" i="7"/>
  <c r="M490" i="7"/>
  <c r="L490" i="7"/>
  <c r="AA142" i="7"/>
  <c r="AB151" i="7" s="1"/>
  <c r="Z142" i="7"/>
  <c r="Y142" i="7"/>
  <c r="X142" i="7"/>
  <c r="W142" i="7"/>
  <c r="V142" i="7"/>
  <c r="U142" i="7"/>
  <c r="T142" i="7"/>
  <c r="S142" i="7"/>
  <c r="R142" i="7"/>
  <c r="Q142" i="7"/>
  <c r="P142" i="7"/>
  <c r="O142" i="7"/>
  <c r="N142" i="7"/>
  <c r="M142" i="7"/>
  <c r="L142" i="7"/>
  <c r="AA49" i="7"/>
  <c r="AB58" i="7" s="1"/>
  <c r="Z49" i="7"/>
  <c r="Y49" i="7"/>
  <c r="X49" i="7"/>
  <c r="W49" i="7"/>
  <c r="V49" i="7"/>
  <c r="U49" i="7"/>
  <c r="T49" i="7"/>
  <c r="S49" i="7"/>
  <c r="R49" i="7"/>
  <c r="Q49" i="7"/>
  <c r="P49" i="7"/>
  <c r="O49" i="7"/>
  <c r="N49" i="7"/>
  <c r="M49" i="7"/>
  <c r="L49" i="7"/>
  <c r="AA12" i="7"/>
  <c r="Z12" i="7"/>
  <c r="Y12" i="7"/>
  <c r="X12" i="7"/>
  <c r="W12" i="7"/>
  <c r="V12" i="7"/>
  <c r="U12" i="7"/>
  <c r="T12" i="7"/>
  <c r="S12" i="7"/>
  <c r="R12" i="7"/>
  <c r="Q12" i="7"/>
  <c r="P12" i="7"/>
  <c r="AA135" i="8"/>
  <c r="Z135" i="8"/>
  <c r="Y135" i="8"/>
  <c r="X135" i="8"/>
  <c r="W135" i="8"/>
  <c r="V135" i="8"/>
  <c r="U135" i="8"/>
  <c r="T135" i="8"/>
  <c r="S135" i="8"/>
  <c r="R135" i="8"/>
  <c r="Q135" i="8"/>
  <c r="P135" i="8"/>
  <c r="O135" i="8"/>
  <c r="N135" i="8"/>
  <c r="M135" i="8"/>
  <c r="L135" i="8"/>
  <c r="K135" i="8"/>
  <c r="J135" i="8"/>
  <c r="I135" i="8"/>
  <c r="H135" i="8"/>
  <c r="G135" i="8"/>
  <c r="AB90" i="8"/>
  <c r="AC93" i="8" s="1"/>
  <c r="AA90" i="8"/>
  <c r="Z90" i="8"/>
  <c r="Y90" i="8"/>
  <c r="X90" i="8"/>
  <c r="W90" i="8"/>
  <c r="V90" i="8"/>
  <c r="U90" i="8"/>
  <c r="T90" i="8"/>
  <c r="S90" i="8"/>
  <c r="R90" i="8"/>
  <c r="Q90" i="8"/>
  <c r="P90" i="8"/>
  <c r="O90" i="8"/>
  <c r="N90" i="8"/>
  <c r="M90" i="8"/>
  <c r="L90" i="8"/>
  <c r="K90" i="8"/>
  <c r="J90" i="8"/>
  <c r="I90" i="8"/>
  <c r="H90" i="8"/>
  <c r="G90" i="8"/>
  <c r="S40" i="8"/>
  <c r="R40" i="8"/>
  <c r="Q40" i="8"/>
  <c r="P40" i="8"/>
  <c r="O40" i="8"/>
  <c r="N40" i="8"/>
  <c r="M40" i="8"/>
  <c r="L40" i="8"/>
  <c r="K40" i="8"/>
  <c r="J40" i="8"/>
  <c r="I40" i="8"/>
  <c r="H40" i="8"/>
  <c r="G40" i="8"/>
  <c r="AA36" i="8"/>
  <c r="Z36" i="8"/>
  <c r="Y36" i="8"/>
  <c r="X36" i="8"/>
  <c r="W36" i="8"/>
  <c r="V36" i="8"/>
  <c r="U36" i="8"/>
  <c r="T36" i="8"/>
  <c r="S36" i="8"/>
  <c r="R36" i="8"/>
  <c r="Q36" i="8"/>
  <c r="P36" i="8"/>
  <c r="O36" i="8"/>
  <c r="N36" i="8"/>
  <c r="M36" i="8"/>
  <c r="L36" i="8"/>
  <c r="K36" i="8"/>
  <c r="J36" i="8"/>
  <c r="I36" i="8"/>
  <c r="H36" i="8"/>
  <c r="G36" i="8"/>
  <c r="AA45" i="12"/>
  <c r="Z45" i="12"/>
  <c r="Y45" i="12"/>
  <c r="X45" i="12"/>
  <c r="W45" i="12"/>
  <c r="V45" i="12"/>
  <c r="U45" i="12"/>
  <c r="T45" i="12"/>
  <c r="S45" i="12"/>
  <c r="R45" i="12"/>
  <c r="Q45" i="12"/>
  <c r="P45" i="12"/>
  <c r="O45" i="12"/>
  <c r="N45" i="12"/>
  <c r="M45" i="12"/>
  <c r="L45" i="12"/>
  <c r="K45" i="12"/>
  <c r="J45" i="12"/>
  <c r="I45" i="12"/>
  <c r="H45" i="12"/>
  <c r="G45" i="12"/>
  <c r="AA228" i="12"/>
  <c r="AB235" i="12" s="1"/>
  <c r="Z228" i="12"/>
  <c r="Y228" i="12"/>
  <c r="X228" i="12"/>
  <c r="W228" i="12"/>
  <c r="V228" i="12"/>
  <c r="U228" i="12"/>
  <c r="T228" i="12"/>
  <c r="S228" i="12"/>
  <c r="R228" i="12"/>
  <c r="Q228" i="12"/>
  <c r="P228" i="12"/>
  <c r="O228" i="12"/>
  <c r="N228" i="12"/>
  <c r="M228" i="12"/>
  <c r="L228" i="12"/>
  <c r="K228" i="12"/>
  <c r="K718" i="7" s="1"/>
  <c r="J228" i="12"/>
  <c r="J718" i="7" s="1"/>
  <c r="I228" i="12"/>
  <c r="I718" i="7" s="1"/>
  <c r="H228" i="12"/>
  <c r="H718" i="7" s="1"/>
  <c r="G228" i="12"/>
  <c r="G718" i="7" s="1"/>
  <c r="AA519" i="7"/>
  <c r="AB526" i="7" s="1"/>
  <c r="Z519" i="7"/>
  <c r="Y519" i="7"/>
  <c r="X519" i="7"/>
  <c r="W519" i="7"/>
  <c r="V519" i="7"/>
  <c r="U519" i="7"/>
  <c r="T519" i="7"/>
  <c r="S519" i="7"/>
  <c r="R519" i="7"/>
  <c r="Q519" i="7"/>
  <c r="P519" i="7"/>
  <c r="O519" i="7"/>
  <c r="N519" i="7"/>
  <c r="M519" i="7"/>
  <c r="L519" i="7"/>
  <c r="AA396" i="7"/>
  <c r="Z396" i="7"/>
  <c r="Y396" i="7"/>
  <c r="X396" i="7"/>
  <c r="W396" i="7"/>
  <c r="V396" i="7"/>
  <c r="U396" i="7"/>
  <c r="T396" i="7"/>
  <c r="S396" i="7"/>
  <c r="R396" i="7"/>
  <c r="Q396" i="7"/>
  <c r="P396" i="7"/>
  <c r="O396" i="7"/>
  <c r="N396" i="7"/>
  <c r="M396" i="7"/>
  <c r="L396" i="7"/>
  <c r="AA323" i="7"/>
  <c r="AB333" i="7" s="1"/>
  <c r="Z323" i="7"/>
  <c r="Y323" i="7"/>
  <c r="X323" i="7"/>
  <c r="W323" i="7"/>
  <c r="V323" i="7"/>
  <c r="U323" i="7"/>
  <c r="T323" i="7"/>
  <c r="S323" i="7"/>
  <c r="R323" i="7"/>
  <c r="Q323" i="7"/>
  <c r="P323" i="7"/>
  <c r="O323" i="7"/>
  <c r="N323" i="7"/>
  <c r="M323" i="7"/>
  <c r="L323" i="7"/>
  <c r="AA324" i="7"/>
  <c r="AB334" i="7" s="1"/>
  <c r="Z324" i="7"/>
  <c r="Y324" i="7"/>
  <c r="X324" i="7"/>
  <c r="W324" i="7"/>
  <c r="V324" i="7"/>
  <c r="U324" i="7"/>
  <c r="T324" i="7"/>
  <c r="S324" i="7"/>
  <c r="R324" i="7"/>
  <c r="Q324" i="7"/>
  <c r="P324" i="7"/>
  <c r="O324" i="7"/>
  <c r="N324" i="7"/>
  <c r="M324" i="7"/>
  <c r="L324" i="7"/>
  <c r="AA298" i="7"/>
  <c r="AB306" i="7" s="1"/>
  <c r="Z298" i="7"/>
  <c r="Y298" i="7"/>
  <c r="X298" i="7"/>
  <c r="W298" i="7"/>
  <c r="V298" i="7"/>
  <c r="U298" i="7"/>
  <c r="T298" i="7"/>
  <c r="S298" i="7"/>
  <c r="R298" i="7"/>
  <c r="Q298" i="7"/>
  <c r="P298" i="7"/>
  <c r="O298" i="7"/>
  <c r="N298" i="7"/>
  <c r="M298" i="7"/>
  <c r="L298" i="7"/>
  <c r="AA259" i="7"/>
  <c r="Z259" i="7"/>
  <c r="Y259" i="7"/>
  <c r="X259" i="7"/>
  <c r="W259" i="7"/>
  <c r="V259" i="7"/>
  <c r="U259" i="7"/>
  <c r="T259" i="7"/>
  <c r="S259" i="7"/>
  <c r="R259" i="7"/>
  <c r="Q259" i="7"/>
  <c r="P259" i="7"/>
  <c r="O259" i="7"/>
  <c r="N259" i="7"/>
  <c r="M259" i="7"/>
  <c r="L259" i="7"/>
  <c r="AA302" i="7"/>
  <c r="AB310" i="7" s="1"/>
  <c r="Z302" i="7"/>
  <c r="Y302" i="7"/>
  <c r="X302" i="7"/>
  <c r="W302" i="7"/>
  <c r="V302" i="7"/>
  <c r="U302" i="7"/>
  <c r="T302" i="7"/>
  <c r="S302" i="7"/>
  <c r="R302" i="7"/>
  <c r="Q302" i="7"/>
  <c r="P302" i="7"/>
  <c r="O302" i="7"/>
  <c r="N302" i="7"/>
  <c r="M302" i="7"/>
  <c r="L302" i="7"/>
  <c r="AA256" i="7"/>
  <c r="AB268" i="7" s="1"/>
  <c r="Z256" i="7"/>
  <c r="Y256" i="7"/>
  <c r="X256" i="7"/>
  <c r="W256" i="7"/>
  <c r="V256" i="7"/>
  <c r="U256" i="7"/>
  <c r="T256" i="7"/>
  <c r="S256" i="7"/>
  <c r="R256" i="7"/>
  <c r="Q256" i="7"/>
  <c r="P256" i="7"/>
  <c r="O256" i="7"/>
  <c r="N256" i="7"/>
  <c r="M256" i="7"/>
  <c r="L256" i="7"/>
  <c r="AA201" i="7"/>
  <c r="AB209" i="7" s="1"/>
  <c r="Z201" i="7"/>
  <c r="Y201" i="7"/>
  <c r="X201" i="7"/>
  <c r="W201" i="7"/>
  <c r="V201" i="7"/>
  <c r="U201" i="7"/>
  <c r="T201" i="7"/>
  <c r="S201" i="7"/>
  <c r="R201" i="7"/>
  <c r="Q201" i="7"/>
  <c r="P201" i="7"/>
  <c r="O201" i="7"/>
  <c r="N201" i="7"/>
  <c r="M201" i="7"/>
  <c r="L201" i="7"/>
  <c r="AA209" i="8"/>
  <c r="AB221" i="8" s="1"/>
  <c r="Z209" i="8"/>
  <c r="Y209" i="8"/>
  <c r="X209" i="8"/>
  <c r="W209" i="8"/>
  <c r="V209" i="8"/>
  <c r="U209" i="8"/>
  <c r="T209" i="8"/>
  <c r="S209" i="8"/>
  <c r="R209" i="8"/>
  <c r="Q209" i="8"/>
  <c r="P209" i="8"/>
  <c r="O209" i="8"/>
  <c r="N209" i="8"/>
  <c r="M209" i="8"/>
  <c r="L209" i="8"/>
  <c r="K209" i="8"/>
  <c r="J209" i="8"/>
  <c r="I209" i="8"/>
  <c r="H209" i="8"/>
  <c r="G209" i="8"/>
  <c r="AA137" i="8"/>
  <c r="AA136" i="8" s="1"/>
  <c r="Z137" i="8"/>
  <c r="Y137" i="8"/>
  <c r="X137" i="8"/>
  <c r="W137" i="8"/>
  <c r="U137" i="8"/>
  <c r="T137" i="8"/>
  <c r="S137" i="8"/>
  <c r="R137" i="8"/>
  <c r="Q137" i="8"/>
  <c r="P137" i="8"/>
  <c r="O137" i="8"/>
  <c r="N137" i="8"/>
  <c r="M137" i="8"/>
  <c r="L137" i="8"/>
  <c r="K137" i="8"/>
  <c r="J137" i="8"/>
  <c r="I137" i="8"/>
  <c r="H137" i="8"/>
  <c r="G137" i="8"/>
  <c r="AA217" i="8"/>
  <c r="Z217" i="8"/>
  <c r="Y217" i="8"/>
  <c r="X217" i="8"/>
  <c r="W217" i="8"/>
  <c r="V217" i="8"/>
  <c r="U217" i="8"/>
  <c r="T217" i="8"/>
  <c r="S217" i="8"/>
  <c r="R217" i="8"/>
  <c r="Q217" i="8"/>
  <c r="P217" i="8"/>
  <c r="O217" i="8"/>
  <c r="N217" i="8"/>
  <c r="M217" i="8"/>
  <c r="L217" i="8"/>
  <c r="K217" i="8"/>
  <c r="J217" i="8"/>
  <c r="I217" i="8"/>
  <c r="H217" i="8"/>
  <c r="G217" i="8"/>
  <c r="AA46" i="7"/>
  <c r="AB55" i="7" s="1"/>
  <c r="Z46" i="7"/>
  <c r="Y46" i="7"/>
  <c r="X46" i="7"/>
  <c r="W46" i="7"/>
  <c r="V46" i="7"/>
  <c r="U46" i="7"/>
  <c r="T46" i="7"/>
  <c r="S46" i="7"/>
  <c r="R46" i="7"/>
  <c r="Q46" i="7"/>
  <c r="P46" i="7"/>
  <c r="O46" i="7"/>
  <c r="N46" i="7"/>
  <c r="M46" i="7"/>
  <c r="L46" i="7"/>
  <c r="AA9" i="7"/>
  <c r="AB18" i="7" s="1"/>
  <c r="Z9" i="7"/>
  <c r="Y9" i="7"/>
  <c r="X9" i="7"/>
  <c r="W9" i="7"/>
  <c r="V9" i="7"/>
  <c r="U9" i="7"/>
  <c r="T9" i="7"/>
  <c r="S9" i="7"/>
  <c r="R9" i="7"/>
  <c r="Q9" i="7"/>
  <c r="P9" i="7"/>
  <c r="O9" i="7"/>
  <c r="N9" i="7"/>
  <c r="M9" i="7"/>
  <c r="L9" i="7"/>
  <c r="AA73" i="7"/>
  <c r="Z73" i="7"/>
  <c r="Y73" i="7"/>
  <c r="X73" i="7"/>
  <c r="W73" i="7"/>
  <c r="V73" i="7"/>
  <c r="U73" i="7"/>
  <c r="T73" i="7"/>
  <c r="S73" i="7"/>
  <c r="R73" i="7"/>
  <c r="Q73" i="7"/>
  <c r="P73" i="7"/>
  <c r="O73" i="7"/>
  <c r="N73" i="7"/>
  <c r="M73" i="7"/>
  <c r="L73" i="7"/>
  <c r="AB165" i="7"/>
  <c r="AA165" i="7"/>
  <c r="Z165" i="7"/>
  <c r="Y165" i="7"/>
  <c r="X165" i="7"/>
  <c r="W165" i="7"/>
  <c r="V165" i="7"/>
  <c r="U165" i="7"/>
  <c r="T165" i="7"/>
  <c r="S165" i="7"/>
  <c r="R165" i="7"/>
  <c r="Q165" i="7"/>
  <c r="P165" i="7"/>
  <c r="O165" i="7"/>
  <c r="N165" i="7"/>
  <c r="M165" i="7"/>
  <c r="L165" i="7"/>
  <c r="W631" i="7"/>
  <c r="V631" i="7"/>
  <c r="U631" i="7"/>
  <c r="T631" i="7"/>
  <c r="S631" i="7"/>
  <c r="R631" i="7"/>
  <c r="Q631" i="7"/>
  <c r="P631" i="7"/>
  <c r="O631" i="7"/>
  <c r="N631" i="7"/>
  <c r="M631" i="7"/>
  <c r="L631" i="7"/>
  <c r="AA664" i="7"/>
  <c r="Z664" i="7"/>
  <c r="Y664" i="7"/>
  <c r="X664" i="7"/>
  <c r="W664" i="7"/>
  <c r="V664" i="7"/>
  <c r="U664" i="7"/>
  <c r="T664" i="7"/>
  <c r="S664" i="7"/>
  <c r="R664" i="7"/>
  <c r="Q664" i="7"/>
  <c r="P664" i="7"/>
  <c r="O664" i="7"/>
  <c r="N664" i="7"/>
  <c r="M664" i="7"/>
  <c r="L664" i="7"/>
  <c r="AA605" i="7"/>
  <c r="Z605" i="7"/>
  <c r="Y605" i="7"/>
  <c r="X605" i="7"/>
  <c r="W605" i="7"/>
  <c r="V605" i="7"/>
  <c r="U605" i="7"/>
  <c r="T605" i="7"/>
  <c r="S605" i="7"/>
  <c r="R605" i="7"/>
  <c r="Q605" i="7"/>
  <c r="P605" i="7"/>
  <c r="O605" i="7"/>
  <c r="N605" i="7"/>
  <c r="M605" i="7"/>
  <c r="L605" i="7"/>
  <c r="AA801" i="7"/>
  <c r="Z801" i="7"/>
  <c r="Y801" i="7"/>
  <c r="X801" i="7"/>
  <c r="W801" i="7"/>
  <c r="V801" i="7"/>
  <c r="U801" i="7"/>
  <c r="T801" i="7"/>
  <c r="S801" i="7"/>
  <c r="R801" i="7"/>
  <c r="Q801" i="7"/>
  <c r="P801" i="7"/>
  <c r="O801" i="7"/>
  <c r="N801" i="7"/>
  <c r="M801" i="7"/>
  <c r="L801" i="7"/>
  <c r="AA521" i="7"/>
  <c r="AB528" i="7" s="1"/>
  <c r="Z521" i="7"/>
  <c r="Y521" i="7"/>
  <c r="X521" i="7"/>
  <c r="W521" i="7"/>
  <c r="V521" i="7"/>
  <c r="U521" i="7"/>
  <c r="T521" i="7"/>
  <c r="S521" i="7"/>
  <c r="R521" i="7"/>
  <c r="Q521" i="7"/>
  <c r="P521" i="7"/>
  <c r="O521" i="7"/>
  <c r="N521" i="7"/>
  <c r="M521" i="7"/>
  <c r="L521" i="7"/>
  <c r="AA543" i="7"/>
  <c r="AB550" i="7" s="1"/>
  <c r="Z543" i="7"/>
  <c r="Y543" i="7"/>
  <c r="X543" i="7"/>
  <c r="W543" i="7"/>
  <c r="V543" i="7"/>
  <c r="U543" i="7"/>
  <c r="T543" i="7"/>
  <c r="S543" i="7"/>
  <c r="R543" i="7"/>
  <c r="Q543" i="7"/>
  <c r="P543" i="7"/>
  <c r="O543" i="7"/>
  <c r="N543" i="7"/>
  <c r="M543" i="7"/>
  <c r="L543" i="7"/>
  <c r="Z229" i="12"/>
  <c r="X229" i="12"/>
  <c r="W229" i="12"/>
  <c r="V229" i="12"/>
  <c r="U229" i="12"/>
  <c r="T229" i="12"/>
  <c r="S229" i="12"/>
  <c r="R229" i="12"/>
  <c r="Q229" i="12"/>
  <c r="P229" i="12"/>
  <c r="O229" i="12"/>
  <c r="N229" i="12"/>
  <c r="M229" i="12"/>
  <c r="L229" i="12"/>
  <c r="K229" i="12"/>
  <c r="J229" i="12"/>
  <c r="I229" i="12"/>
  <c r="H229" i="12"/>
  <c r="G229" i="12"/>
  <c r="AA800" i="7"/>
  <c r="Z800" i="7"/>
  <c r="Y800" i="7"/>
  <c r="X800" i="7"/>
  <c r="W800" i="7"/>
  <c r="V800" i="7"/>
  <c r="U800" i="7"/>
  <c r="T800" i="7"/>
  <c r="S800" i="7"/>
  <c r="R800" i="7"/>
  <c r="Q800" i="7"/>
  <c r="P800" i="7"/>
  <c r="O800" i="7"/>
  <c r="N800" i="7"/>
  <c r="M800" i="7"/>
  <c r="L800" i="7"/>
  <c r="AB483" i="7"/>
  <c r="AC483" i="7" s="1"/>
  <c r="AA483" i="7"/>
  <c r="Z483" i="7"/>
  <c r="Y483" i="7"/>
  <c r="X483" i="7"/>
  <c r="W483" i="7"/>
  <c r="V483" i="7"/>
  <c r="U483" i="7"/>
  <c r="T483" i="7"/>
  <c r="S483" i="7"/>
  <c r="R483" i="7"/>
  <c r="Q483" i="7"/>
  <c r="P483" i="7"/>
  <c r="O483" i="7"/>
  <c r="N483" i="7"/>
  <c r="M483" i="7"/>
  <c r="L483" i="7"/>
  <c r="AA486" i="7"/>
  <c r="Z486" i="7"/>
  <c r="Y486" i="7"/>
  <c r="X486" i="7"/>
  <c r="W486" i="7"/>
  <c r="V486" i="7"/>
  <c r="U486" i="7"/>
  <c r="T486" i="7"/>
  <c r="S486" i="7"/>
  <c r="R486" i="7"/>
  <c r="Q486" i="7"/>
  <c r="P486" i="7"/>
  <c r="O486" i="7"/>
  <c r="N486" i="7"/>
  <c r="M486" i="7"/>
  <c r="L486" i="7"/>
  <c r="AB482" i="7"/>
  <c r="AC482" i="7" s="1"/>
  <c r="AA482" i="7"/>
  <c r="Z482" i="7"/>
  <c r="Y482" i="7"/>
  <c r="X482" i="7"/>
  <c r="W482" i="7"/>
  <c r="V482" i="7"/>
  <c r="U482" i="7"/>
  <c r="T482" i="7"/>
  <c r="S482" i="7"/>
  <c r="R482" i="7"/>
  <c r="Q482" i="7"/>
  <c r="P482" i="7"/>
  <c r="O482" i="7"/>
  <c r="N482" i="7"/>
  <c r="M482" i="7"/>
  <c r="L482" i="7"/>
  <c r="AB485" i="7"/>
  <c r="AB487" i="7" s="1"/>
  <c r="AA485" i="7"/>
  <c r="Z485" i="7"/>
  <c r="Y485" i="7"/>
  <c r="X485" i="7"/>
  <c r="W485" i="7"/>
  <c r="V485" i="7"/>
  <c r="U485" i="7"/>
  <c r="T485" i="7"/>
  <c r="S485" i="7"/>
  <c r="R485" i="7"/>
  <c r="Q485" i="7"/>
  <c r="P485" i="7"/>
  <c r="O485" i="7"/>
  <c r="N485" i="7"/>
  <c r="M485" i="7"/>
  <c r="L485" i="7"/>
  <c r="AB398" i="7"/>
  <c r="AA398" i="7"/>
  <c r="Z398" i="7"/>
  <c r="Y398" i="7"/>
  <c r="X398" i="7"/>
  <c r="W398" i="7"/>
  <c r="V398" i="7"/>
  <c r="U398" i="7"/>
  <c r="T398" i="7"/>
  <c r="S398" i="7"/>
  <c r="R398" i="7"/>
  <c r="Q398" i="7"/>
  <c r="P398" i="7"/>
  <c r="O398" i="7"/>
  <c r="N398" i="7"/>
  <c r="M398" i="7"/>
  <c r="L398" i="7"/>
  <c r="AB327" i="7"/>
  <c r="AA327" i="7"/>
  <c r="Z327" i="7"/>
  <c r="Y327" i="7"/>
  <c r="X327" i="7"/>
  <c r="W327" i="7"/>
  <c r="V327" i="7"/>
  <c r="U327" i="7"/>
  <c r="T327" i="7"/>
  <c r="S327" i="7"/>
  <c r="R327" i="7"/>
  <c r="Q327" i="7"/>
  <c r="P327" i="7"/>
  <c r="O327" i="7"/>
  <c r="N327" i="7"/>
  <c r="M327" i="7"/>
  <c r="L327" i="7"/>
  <c r="AB420" i="7"/>
  <c r="AA420" i="7"/>
  <c r="Z420" i="7"/>
  <c r="Y420" i="7"/>
  <c r="X420" i="7"/>
  <c r="W420" i="7"/>
  <c r="V420" i="7"/>
  <c r="U420" i="7"/>
  <c r="T420" i="7"/>
  <c r="S420" i="7"/>
  <c r="R420" i="7"/>
  <c r="Q420" i="7"/>
  <c r="P420" i="7"/>
  <c r="O420" i="7"/>
  <c r="N420" i="7"/>
  <c r="M420" i="7"/>
  <c r="L420" i="7"/>
  <c r="AB328" i="7"/>
  <c r="AA328" i="7"/>
  <c r="Z328" i="7"/>
  <c r="Y328" i="7"/>
  <c r="X328" i="7"/>
  <c r="W328" i="7"/>
  <c r="V328" i="7"/>
  <c r="U328" i="7"/>
  <c r="T328" i="7"/>
  <c r="S328" i="7"/>
  <c r="R328" i="7"/>
  <c r="Q328" i="7"/>
  <c r="P328" i="7"/>
  <c r="O328" i="7"/>
  <c r="N328" i="7"/>
  <c r="M328" i="7"/>
  <c r="L328" i="7"/>
  <c r="AA300" i="7"/>
  <c r="AB308" i="7" s="1"/>
  <c r="Z300" i="7"/>
  <c r="Y300" i="7"/>
  <c r="X300" i="7"/>
  <c r="W300" i="7"/>
  <c r="V300" i="7"/>
  <c r="U300" i="7"/>
  <c r="T300" i="7"/>
  <c r="S300" i="7"/>
  <c r="R300" i="7"/>
  <c r="Q300" i="7"/>
  <c r="P300" i="7"/>
  <c r="O300" i="7"/>
  <c r="N300" i="7"/>
  <c r="M300" i="7"/>
  <c r="L300" i="7"/>
  <c r="AB253" i="7"/>
  <c r="AC253" i="7" s="1"/>
  <c r="AA253" i="7"/>
  <c r="Z253" i="7"/>
  <c r="Y253" i="7"/>
  <c r="X253" i="7"/>
  <c r="W253" i="7"/>
  <c r="V253" i="7"/>
  <c r="U253" i="7"/>
  <c r="T253" i="7"/>
  <c r="S253" i="7"/>
  <c r="R253" i="7"/>
  <c r="Q253" i="7"/>
  <c r="P253" i="7"/>
  <c r="O253" i="7"/>
  <c r="N253" i="7"/>
  <c r="M253" i="7"/>
  <c r="L253" i="7"/>
  <c r="AB254" i="7"/>
  <c r="AA254" i="7"/>
  <c r="Z254" i="7"/>
  <c r="Y254" i="7"/>
  <c r="X254" i="7"/>
  <c r="W254" i="7"/>
  <c r="V254" i="7"/>
  <c r="U254" i="7"/>
  <c r="T254" i="7"/>
  <c r="S254" i="7"/>
  <c r="R254" i="7"/>
  <c r="Q254" i="7"/>
  <c r="P254" i="7"/>
  <c r="O254" i="7"/>
  <c r="N254" i="7"/>
  <c r="M254" i="7"/>
  <c r="L254" i="7"/>
  <c r="AB203" i="7"/>
  <c r="AA203" i="7"/>
  <c r="Z203" i="7"/>
  <c r="Y203" i="7"/>
  <c r="X203" i="7"/>
  <c r="W203" i="7"/>
  <c r="V203" i="7"/>
  <c r="U203" i="7"/>
  <c r="T203" i="7"/>
  <c r="S203" i="7"/>
  <c r="R203" i="7"/>
  <c r="Q203" i="7"/>
  <c r="P203" i="7"/>
  <c r="O203" i="7"/>
  <c r="N203" i="7"/>
  <c r="M203" i="7"/>
  <c r="L203" i="7"/>
  <c r="AB205" i="7"/>
  <c r="AA205" i="7"/>
  <c r="Z205" i="7"/>
  <c r="Y205" i="7"/>
  <c r="X205" i="7"/>
  <c r="W205" i="7"/>
  <c r="V205" i="7"/>
  <c r="U205" i="7"/>
  <c r="T205" i="7"/>
  <c r="S205" i="7"/>
  <c r="R205" i="7"/>
  <c r="Q205" i="7"/>
  <c r="P205" i="7"/>
  <c r="O205" i="7"/>
  <c r="N205" i="7"/>
  <c r="M205" i="7"/>
  <c r="L205" i="7"/>
  <c r="AB139" i="7"/>
  <c r="AC139" i="7" s="1"/>
  <c r="AA139" i="7"/>
  <c r="Z139" i="7"/>
  <c r="Y139" i="7"/>
  <c r="X139" i="7"/>
  <c r="W139" i="7"/>
  <c r="V139" i="7"/>
  <c r="U139" i="7"/>
  <c r="T139" i="7"/>
  <c r="S139" i="7"/>
  <c r="R139" i="7"/>
  <c r="Q139" i="7"/>
  <c r="P139" i="7"/>
  <c r="O139" i="7"/>
  <c r="N139" i="7"/>
  <c r="M139" i="7"/>
  <c r="L139" i="7"/>
  <c r="AB137" i="7"/>
  <c r="AC137" i="7" s="1"/>
  <c r="AA137" i="7"/>
  <c r="Z137" i="7"/>
  <c r="Y137" i="7"/>
  <c r="X137" i="7"/>
  <c r="W137" i="7"/>
  <c r="V137" i="7"/>
  <c r="U137" i="7"/>
  <c r="T137" i="7"/>
  <c r="S137" i="7"/>
  <c r="R137" i="7"/>
  <c r="Q137" i="7"/>
  <c r="P137" i="7"/>
  <c r="O137" i="7"/>
  <c r="N137" i="7"/>
  <c r="M137" i="7"/>
  <c r="L137" i="7"/>
  <c r="AB425" i="7"/>
  <c r="AA48" i="7"/>
  <c r="Z48" i="7"/>
  <c r="Y48" i="7"/>
  <c r="X48" i="7"/>
  <c r="W48" i="7"/>
  <c r="V48" i="7"/>
  <c r="U48" i="7"/>
  <c r="T48" i="7"/>
  <c r="S48" i="7"/>
  <c r="R48" i="7"/>
  <c r="Q48" i="7"/>
  <c r="P48" i="7"/>
  <c r="O48" i="7"/>
  <c r="N48" i="7"/>
  <c r="M48" i="7"/>
  <c r="L48" i="7"/>
  <c r="AB424" i="7"/>
  <c r="AA11" i="7"/>
  <c r="Z11" i="7"/>
  <c r="Y11" i="7"/>
  <c r="X11" i="7"/>
  <c r="W11" i="7"/>
  <c r="V11" i="7"/>
  <c r="U11" i="7"/>
  <c r="T11" i="7"/>
  <c r="S11" i="7"/>
  <c r="R11" i="7"/>
  <c r="Q11" i="7"/>
  <c r="P11" i="7"/>
  <c r="O11" i="7"/>
  <c r="N11" i="7"/>
  <c r="M11" i="7"/>
  <c r="L11" i="7"/>
  <c r="AA50" i="7"/>
  <c r="Z50" i="7"/>
  <c r="Y50" i="7"/>
  <c r="X50" i="7"/>
  <c r="W50" i="7"/>
  <c r="V50" i="7"/>
  <c r="U50" i="7"/>
  <c r="T50" i="7"/>
  <c r="S50" i="7"/>
  <c r="R50" i="7"/>
  <c r="Q50" i="7"/>
  <c r="P50" i="7"/>
  <c r="O50" i="7"/>
  <c r="N50" i="7"/>
  <c r="M50" i="7"/>
  <c r="L50" i="7"/>
  <c r="AA13" i="7"/>
  <c r="AB22" i="7" s="1"/>
  <c r="Z13" i="7"/>
  <c r="Y13" i="7"/>
  <c r="X13" i="7"/>
  <c r="W13" i="7"/>
  <c r="V13" i="7"/>
  <c r="U13" i="7"/>
  <c r="T13" i="7"/>
  <c r="S13" i="7"/>
  <c r="R13" i="7"/>
  <c r="Q13" i="7"/>
  <c r="P13" i="7"/>
  <c r="O13" i="7"/>
  <c r="N13" i="7"/>
  <c r="M13" i="7"/>
  <c r="L13" i="7"/>
  <c r="AB211" i="8"/>
  <c r="AA211" i="8"/>
  <c r="Z211" i="8"/>
  <c r="Y211" i="8"/>
  <c r="X211" i="8"/>
  <c r="W211" i="8"/>
  <c r="V211" i="8"/>
  <c r="U211" i="8"/>
  <c r="T211" i="8"/>
  <c r="S211" i="8"/>
  <c r="R211" i="8"/>
  <c r="Q211" i="8"/>
  <c r="P211" i="8"/>
  <c r="O211" i="8"/>
  <c r="N211" i="8"/>
  <c r="M211" i="8"/>
  <c r="L211" i="8"/>
  <c r="K211" i="8"/>
  <c r="J211" i="8"/>
  <c r="I211" i="8"/>
  <c r="H211" i="8"/>
  <c r="G211" i="8"/>
  <c r="AB422" i="7"/>
  <c r="AA422" i="7"/>
  <c r="Z422" i="7"/>
  <c r="Y422" i="7"/>
  <c r="X422" i="7"/>
  <c r="W422" i="7"/>
  <c r="V422" i="7"/>
  <c r="U422" i="7"/>
  <c r="T422" i="7"/>
  <c r="S422" i="7"/>
  <c r="R422" i="7"/>
  <c r="Q422" i="7"/>
  <c r="P422" i="7"/>
  <c r="O422" i="7"/>
  <c r="N422" i="7"/>
  <c r="M422" i="7"/>
  <c r="L422" i="7"/>
  <c r="AA83" i="7"/>
  <c r="Z83" i="7"/>
  <c r="Y83" i="7"/>
  <c r="X83" i="7"/>
  <c r="W83" i="7"/>
  <c r="V83" i="7"/>
  <c r="U83" i="7"/>
  <c r="T83" i="7"/>
  <c r="S83" i="7"/>
  <c r="R83" i="7"/>
  <c r="Q83" i="7"/>
  <c r="P83" i="7"/>
  <c r="O83" i="7"/>
  <c r="N83" i="7"/>
  <c r="M83" i="7"/>
  <c r="L83" i="7"/>
  <c r="AB419" i="7"/>
  <c r="AA419" i="7"/>
  <c r="Z419" i="7"/>
  <c r="Y419" i="7"/>
  <c r="X419" i="7"/>
  <c r="W419" i="7"/>
  <c r="V419" i="7"/>
  <c r="U419" i="7"/>
  <c r="T419" i="7"/>
  <c r="S419" i="7"/>
  <c r="R419" i="7"/>
  <c r="Q419" i="7"/>
  <c r="P419" i="7"/>
  <c r="O419" i="7"/>
  <c r="N419" i="7"/>
  <c r="M419" i="7"/>
  <c r="L419" i="7"/>
  <c r="X230" i="12"/>
  <c r="W230" i="12"/>
  <c r="V230" i="12"/>
  <c r="U230" i="12"/>
  <c r="T230" i="12"/>
  <c r="S230" i="12"/>
  <c r="R230" i="12"/>
  <c r="Q230" i="12"/>
  <c r="P230" i="12"/>
  <c r="O230" i="12"/>
  <c r="N230" i="12"/>
  <c r="M230" i="12"/>
  <c r="L230" i="12"/>
  <c r="K230" i="12"/>
  <c r="K735" i="7" s="1"/>
  <c r="J230" i="12"/>
  <c r="J735" i="7" s="1"/>
  <c r="I230" i="12"/>
  <c r="I735" i="7" s="1"/>
  <c r="H230" i="12"/>
  <c r="H735" i="7" s="1"/>
  <c r="G230" i="12"/>
  <c r="G735" i="7" s="1"/>
  <c r="AA520" i="7"/>
  <c r="AB527" i="7" s="1"/>
  <c r="Z520" i="7"/>
  <c r="Y520" i="7"/>
  <c r="X520" i="7"/>
  <c r="W520" i="7"/>
  <c r="V520" i="7"/>
  <c r="U520" i="7"/>
  <c r="T520" i="7"/>
  <c r="S520" i="7"/>
  <c r="R520" i="7"/>
  <c r="Q520" i="7"/>
  <c r="P520" i="7"/>
  <c r="O520" i="7"/>
  <c r="N520" i="7"/>
  <c r="M520" i="7"/>
  <c r="L520" i="7"/>
  <c r="AA397" i="7"/>
  <c r="AB403" i="7" s="1"/>
  <c r="Z397" i="7"/>
  <c r="Y397" i="7"/>
  <c r="X397" i="7"/>
  <c r="W397" i="7"/>
  <c r="V397" i="7"/>
  <c r="U397" i="7"/>
  <c r="T397" i="7"/>
  <c r="S397" i="7"/>
  <c r="R397" i="7"/>
  <c r="Q397" i="7"/>
  <c r="P397" i="7"/>
  <c r="O397" i="7"/>
  <c r="N397" i="7"/>
  <c r="M397" i="7"/>
  <c r="L397" i="7"/>
  <c r="AA325" i="7"/>
  <c r="AB335" i="7" s="1"/>
  <c r="Z325" i="7"/>
  <c r="Y325" i="7"/>
  <c r="X325" i="7"/>
  <c r="W325" i="7"/>
  <c r="V325" i="7"/>
  <c r="U325" i="7"/>
  <c r="T325" i="7"/>
  <c r="S325" i="7"/>
  <c r="R325" i="7"/>
  <c r="Q325" i="7"/>
  <c r="P325" i="7"/>
  <c r="O325" i="7"/>
  <c r="N325" i="7"/>
  <c r="M325" i="7"/>
  <c r="L325" i="7"/>
  <c r="AA326" i="7"/>
  <c r="AB336" i="7" s="1"/>
  <c r="Z326" i="7"/>
  <c r="Y326" i="7"/>
  <c r="X326" i="7"/>
  <c r="W326" i="7"/>
  <c r="V326" i="7"/>
  <c r="U326" i="7"/>
  <c r="T326" i="7"/>
  <c r="S326" i="7"/>
  <c r="R326" i="7"/>
  <c r="Q326" i="7"/>
  <c r="P326" i="7"/>
  <c r="O326" i="7"/>
  <c r="N326" i="7"/>
  <c r="M326" i="7"/>
  <c r="L326" i="7"/>
  <c r="AA299" i="7"/>
  <c r="AB307" i="7" s="1"/>
  <c r="Z299" i="7"/>
  <c r="Y299" i="7"/>
  <c r="X299" i="7"/>
  <c r="W299" i="7"/>
  <c r="V299" i="7"/>
  <c r="U299" i="7"/>
  <c r="T299" i="7"/>
  <c r="S299" i="7"/>
  <c r="R299" i="7"/>
  <c r="Q299" i="7"/>
  <c r="P299" i="7"/>
  <c r="O299" i="7"/>
  <c r="N299" i="7"/>
  <c r="M299" i="7"/>
  <c r="L299" i="7"/>
  <c r="AA257" i="7"/>
  <c r="AB269" i="7" s="1"/>
  <c r="Z257" i="7"/>
  <c r="Y257" i="7"/>
  <c r="X257" i="7"/>
  <c r="W257" i="7"/>
  <c r="V257" i="7"/>
  <c r="U257" i="7"/>
  <c r="T257" i="7"/>
  <c r="S257" i="7"/>
  <c r="R257" i="7"/>
  <c r="Q257" i="7"/>
  <c r="P257" i="7"/>
  <c r="O257" i="7"/>
  <c r="N257" i="7"/>
  <c r="M257" i="7"/>
  <c r="L257" i="7"/>
  <c r="AA202" i="7"/>
  <c r="AB210" i="7" s="1"/>
  <c r="Z202" i="7"/>
  <c r="Y202" i="7"/>
  <c r="X202" i="7"/>
  <c r="W202" i="7"/>
  <c r="V202" i="7"/>
  <c r="U202" i="7"/>
  <c r="T202" i="7"/>
  <c r="S202" i="7"/>
  <c r="R202" i="7"/>
  <c r="Q202" i="7"/>
  <c r="P202" i="7"/>
  <c r="O202" i="7"/>
  <c r="N202" i="7"/>
  <c r="M202" i="7"/>
  <c r="L202" i="7"/>
  <c r="AA210" i="8"/>
  <c r="Z210" i="8"/>
  <c r="Y210" i="8"/>
  <c r="X210" i="8"/>
  <c r="W210" i="8"/>
  <c r="V210" i="8"/>
  <c r="U210" i="8"/>
  <c r="T210" i="8"/>
  <c r="S210" i="8"/>
  <c r="R210" i="8"/>
  <c r="Q210" i="8"/>
  <c r="P210" i="8"/>
  <c r="O210" i="8"/>
  <c r="N210" i="8"/>
  <c r="M210" i="8"/>
  <c r="L210" i="8"/>
  <c r="K210" i="8"/>
  <c r="J210" i="8"/>
  <c r="I210" i="8"/>
  <c r="H210" i="8"/>
  <c r="G210" i="8"/>
  <c r="AA47" i="7"/>
  <c r="AB56" i="7" s="1"/>
  <c r="Z47" i="7"/>
  <c r="Y47" i="7"/>
  <c r="X47" i="7"/>
  <c r="W47" i="7"/>
  <c r="V47" i="7"/>
  <c r="U47" i="7"/>
  <c r="T47" i="7"/>
  <c r="S47" i="7"/>
  <c r="R47" i="7"/>
  <c r="Q47" i="7"/>
  <c r="P47" i="7"/>
  <c r="O47" i="7"/>
  <c r="N47" i="7"/>
  <c r="M47" i="7"/>
  <c r="L47" i="7"/>
  <c r="AA10" i="7"/>
  <c r="AB19" i="7" s="1"/>
  <c r="Z10" i="7"/>
  <c r="Y10" i="7"/>
  <c r="X10" i="7"/>
  <c r="W10" i="7"/>
  <c r="V10" i="7"/>
  <c r="U10" i="7"/>
  <c r="T10" i="7"/>
  <c r="S10" i="7"/>
  <c r="R10" i="7"/>
  <c r="Q10" i="7"/>
  <c r="P10" i="7"/>
  <c r="O10" i="7"/>
  <c r="N10" i="7"/>
  <c r="M10" i="7"/>
  <c r="L10" i="7"/>
  <c r="AA78" i="7"/>
  <c r="Z78" i="7"/>
  <c r="Y78" i="7"/>
  <c r="X78" i="7"/>
  <c r="W78" i="7"/>
  <c r="V78" i="7"/>
  <c r="U78" i="7"/>
  <c r="T78" i="7"/>
  <c r="S78" i="7"/>
  <c r="R78" i="7"/>
  <c r="Q78" i="7"/>
  <c r="P78" i="7"/>
  <c r="O78" i="7"/>
  <c r="N78" i="7"/>
  <c r="M78" i="7"/>
  <c r="L78" i="7"/>
  <c r="AB114" i="7"/>
  <c r="AC124" i="7" s="1"/>
  <c r="AA114" i="7"/>
  <c r="Z114" i="7"/>
  <c r="Y114" i="7"/>
  <c r="X114" i="7"/>
  <c r="W114" i="7"/>
  <c r="V114" i="7"/>
  <c r="U114" i="7"/>
  <c r="T114" i="7"/>
  <c r="S114" i="7"/>
  <c r="R114" i="7"/>
  <c r="Q114" i="7"/>
  <c r="P114" i="7"/>
  <c r="O114" i="7"/>
  <c r="N114" i="7"/>
  <c r="M114" i="7"/>
  <c r="L114" i="7"/>
  <c r="AB45" i="7"/>
  <c r="AA45" i="7"/>
  <c r="DF118" i="11" s="1"/>
  <c r="Z45" i="7"/>
  <c r="Y45" i="7"/>
  <c r="CV118" i="11" s="1"/>
  <c r="X45" i="7"/>
  <c r="W45" i="7"/>
  <c r="CL118" i="11" s="1"/>
  <c r="V45" i="7"/>
  <c r="U45" i="7"/>
  <c r="CB118" i="11" s="1"/>
  <c r="T45" i="7"/>
  <c r="S45" i="7"/>
  <c r="BR118" i="11" s="1"/>
  <c r="R45" i="7"/>
  <c r="Q45" i="7"/>
  <c r="BH118" i="11" s="1"/>
  <c r="P45" i="7"/>
  <c r="O45" i="7"/>
  <c r="AX118" i="11" s="1"/>
  <c r="N45" i="7"/>
  <c r="M45" i="7"/>
  <c r="AN118" i="11" s="1"/>
  <c r="L45" i="7"/>
  <c r="AD118" i="11"/>
  <c r="T118" i="11"/>
  <c r="J118" i="11"/>
  <c r="AA8" i="7"/>
  <c r="Z8" i="7"/>
  <c r="Y8" i="7"/>
  <c r="X8" i="7"/>
  <c r="W8" i="7"/>
  <c r="V8" i="7"/>
  <c r="U8" i="7"/>
  <c r="T8" i="7"/>
  <c r="S8" i="7"/>
  <c r="R8" i="7"/>
  <c r="Q8" i="7"/>
  <c r="P8" i="7"/>
  <c r="O8" i="7"/>
  <c r="N8" i="7"/>
  <c r="M8" i="7"/>
  <c r="L8" i="7"/>
  <c r="AA214" i="8"/>
  <c r="Z214" i="8"/>
  <c r="Y214" i="8"/>
  <c r="X214" i="8"/>
  <c r="W214" i="8"/>
  <c r="V214" i="8"/>
  <c r="U214" i="8"/>
  <c r="T214" i="8"/>
  <c r="S214" i="8"/>
  <c r="R214" i="8"/>
  <c r="Q214" i="8"/>
  <c r="P214" i="8"/>
  <c r="O214" i="8"/>
  <c r="N214" i="8"/>
  <c r="M214" i="8"/>
  <c r="L214" i="8"/>
  <c r="K214" i="8"/>
  <c r="K291" i="7" s="1"/>
  <c r="J214" i="8"/>
  <c r="J291" i="7" s="1"/>
  <c r="I214" i="8"/>
  <c r="I291" i="7" s="1"/>
  <c r="H214" i="8"/>
  <c r="H291" i="7" s="1"/>
  <c r="G214" i="8"/>
  <c r="G291" i="7" s="1"/>
  <c r="AA88" i="7"/>
  <c r="Z88" i="7"/>
  <c r="DA119" i="11" s="1"/>
  <c r="Y88" i="7"/>
  <c r="X88" i="7"/>
  <c r="CQ119" i="11" s="1"/>
  <c r="W88" i="7"/>
  <c r="V88" i="7"/>
  <c r="CG119" i="11" s="1"/>
  <c r="U88" i="7"/>
  <c r="T88" i="7"/>
  <c r="BW119" i="11" s="1"/>
  <c r="S88" i="7"/>
  <c r="R88" i="7"/>
  <c r="BM119" i="11" s="1"/>
  <c r="Q88" i="7"/>
  <c r="P88" i="7"/>
  <c r="BC119" i="11" s="1"/>
  <c r="O88" i="7"/>
  <c r="N88" i="7"/>
  <c r="AS119" i="11" s="1"/>
  <c r="M88" i="7"/>
  <c r="L88" i="7"/>
  <c r="AI119" i="11" s="1"/>
  <c r="Y119" i="11"/>
  <c r="O119" i="11"/>
  <c r="AA341" i="12"/>
  <c r="DF116" i="11" s="1"/>
  <c r="Z341" i="12"/>
  <c r="Y341" i="12"/>
  <c r="CV116" i="11" s="1"/>
  <c r="X341" i="12"/>
  <c r="W341" i="12"/>
  <c r="CL116" i="11" s="1"/>
  <c r="V341" i="12"/>
  <c r="U341" i="12"/>
  <c r="CB116" i="11" s="1"/>
  <c r="T341" i="12"/>
  <c r="S341" i="12"/>
  <c r="BR116" i="11" s="1"/>
  <c r="R341" i="12"/>
  <c r="Q341" i="12"/>
  <c r="BH116" i="11" s="1"/>
  <c r="P341" i="12"/>
  <c r="O341" i="12"/>
  <c r="AX116" i="11" s="1"/>
  <c r="N341" i="12"/>
  <c r="M341" i="12"/>
  <c r="AN116" i="11" s="1"/>
  <c r="L341" i="12"/>
  <c r="K341" i="12"/>
  <c r="K677" i="7" s="1"/>
  <c r="J341" i="12"/>
  <c r="J639" i="7" s="1"/>
  <c r="I341" i="12"/>
  <c r="I637" i="7" s="1"/>
  <c r="H341" i="12"/>
  <c r="H639" i="7" s="1"/>
  <c r="G341" i="12"/>
  <c r="G637" i="7" s="1"/>
  <c r="AA783" i="7"/>
  <c r="Z783" i="7"/>
  <c r="Y783" i="7"/>
  <c r="X783" i="7"/>
  <c r="W783" i="7"/>
  <c r="V783" i="7"/>
  <c r="U783" i="7"/>
  <c r="T783" i="7"/>
  <c r="S783" i="7"/>
  <c r="R783" i="7"/>
  <c r="Q783" i="7"/>
  <c r="P783" i="7"/>
  <c r="AA773" i="7"/>
  <c r="Z773" i="7"/>
  <c r="Y773" i="7"/>
  <c r="X773" i="7"/>
  <c r="W773" i="7"/>
  <c r="V773" i="7"/>
  <c r="U773" i="7"/>
  <c r="T773" i="7"/>
  <c r="S773" i="7"/>
  <c r="R773" i="7"/>
  <c r="Q773" i="7"/>
  <c r="P773" i="7"/>
  <c r="AB311" i="12"/>
  <c r="AC317" i="12" s="1"/>
  <c r="AA311" i="12"/>
  <c r="DF103" i="11" s="1"/>
  <c r="Z311" i="12"/>
  <c r="Y311" i="12"/>
  <c r="X311" i="12"/>
  <c r="W311" i="12"/>
  <c r="CL103" i="11" s="1"/>
  <c r="V311" i="12"/>
  <c r="U311" i="12"/>
  <c r="T311" i="12"/>
  <c r="S311" i="12"/>
  <c r="BR103" i="11" s="1"/>
  <c r="R311" i="12"/>
  <c r="Q311" i="12"/>
  <c r="BH103" i="11" s="1"/>
  <c r="P311" i="12"/>
  <c r="O311" i="12"/>
  <c r="AX103" i="11" s="1"/>
  <c r="N311" i="12"/>
  <c r="M311" i="12"/>
  <c r="AN103" i="11" s="1"/>
  <c r="L311" i="12"/>
  <c r="K311" i="12"/>
  <c r="AD103" i="11" s="1"/>
  <c r="J311" i="12"/>
  <c r="I311" i="12"/>
  <c r="T103" i="11" s="1"/>
  <c r="H311" i="12"/>
  <c r="G311" i="12"/>
  <c r="J103" i="11" s="1"/>
  <c r="AB309" i="12"/>
  <c r="AC315" i="12" s="1"/>
  <c r="AA309" i="12"/>
  <c r="Z309" i="12"/>
  <c r="Y309" i="12"/>
  <c r="X309" i="12"/>
  <c r="W309" i="12"/>
  <c r="V309" i="12"/>
  <c r="U309" i="12"/>
  <c r="T309" i="12"/>
  <c r="S309" i="12"/>
  <c r="R309" i="12"/>
  <c r="Q309" i="12"/>
  <c r="P309" i="12"/>
  <c r="O309" i="12"/>
  <c r="N309" i="12"/>
  <c r="M309" i="12"/>
  <c r="L309" i="12"/>
  <c r="K309" i="12"/>
  <c r="J309" i="12"/>
  <c r="I309" i="12"/>
  <c r="H309" i="12"/>
  <c r="G309" i="12"/>
  <c r="AB310" i="12"/>
  <c r="AC316" i="12" s="1"/>
  <c r="AA310" i="12"/>
  <c r="Z310" i="12"/>
  <c r="Y310" i="12"/>
  <c r="X310" i="12"/>
  <c r="W310" i="12"/>
  <c r="V310" i="12"/>
  <c r="U310" i="12"/>
  <c r="T310" i="12"/>
  <c r="S310" i="12"/>
  <c r="R310" i="12"/>
  <c r="Q310" i="12"/>
  <c r="P310" i="12"/>
  <c r="O310" i="12"/>
  <c r="N310" i="12"/>
  <c r="M310" i="12"/>
  <c r="L310" i="12"/>
  <c r="K310" i="12"/>
  <c r="J310" i="12"/>
  <c r="I310" i="12"/>
  <c r="H310" i="12"/>
  <c r="G310" i="12"/>
  <c r="AA279" i="12"/>
  <c r="AB285" i="12" s="1"/>
  <c r="Z279" i="12"/>
  <c r="Y279" i="12"/>
  <c r="X279" i="12"/>
  <c r="W279" i="12"/>
  <c r="V279" i="12"/>
  <c r="U279" i="12"/>
  <c r="T279" i="12"/>
  <c r="S279" i="12"/>
  <c r="R279" i="12"/>
  <c r="Q279" i="12"/>
  <c r="P279" i="12"/>
  <c r="O279" i="12"/>
  <c r="N279" i="12"/>
  <c r="M279" i="12"/>
  <c r="L279" i="12"/>
  <c r="K279" i="12"/>
  <c r="J279" i="12"/>
  <c r="I279" i="12"/>
  <c r="H279" i="12"/>
  <c r="G279" i="12"/>
  <c r="AA277" i="12"/>
  <c r="Z277" i="12"/>
  <c r="Y277" i="12"/>
  <c r="X277" i="12"/>
  <c r="W277" i="12"/>
  <c r="V277" i="12"/>
  <c r="U277" i="12"/>
  <c r="T277" i="12"/>
  <c r="S277" i="12"/>
  <c r="R277" i="12"/>
  <c r="Q277" i="12"/>
  <c r="P277" i="12"/>
  <c r="O277" i="12"/>
  <c r="N277" i="12"/>
  <c r="M277" i="12"/>
  <c r="L277" i="12"/>
  <c r="K277" i="12"/>
  <c r="J277" i="12"/>
  <c r="I277" i="12"/>
  <c r="H277" i="12"/>
  <c r="G277" i="12"/>
  <c r="AA278" i="12"/>
  <c r="Z278" i="12"/>
  <c r="Y278" i="12"/>
  <c r="X278" i="12"/>
  <c r="W278" i="12"/>
  <c r="V278" i="12"/>
  <c r="U278" i="12"/>
  <c r="T278" i="12"/>
  <c r="S278" i="12"/>
  <c r="R278" i="12"/>
  <c r="Q278" i="12"/>
  <c r="P278" i="12"/>
  <c r="O278" i="12"/>
  <c r="N278" i="12"/>
  <c r="M278" i="12"/>
  <c r="L278" i="12"/>
  <c r="K278" i="12"/>
  <c r="J278" i="12"/>
  <c r="I278" i="12"/>
  <c r="H278" i="12"/>
  <c r="G278" i="12"/>
  <c r="AA797" i="7"/>
  <c r="Z797" i="7"/>
  <c r="Y797" i="7"/>
  <c r="X797" i="7"/>
  <c r="W797" i="7"/>
  <c r="V797" i="7"/>
  <c r="U797" i="7"/>
  <c r="T797" i="7"/>
  <c r="S797" i="7"/>
  <c r="R797" i="7"/>
  <c r="Q797" i="7"/>
  <c r="P797" i="7"/>
  <c r="O797" i="7"/>
  <c r="N797" i="7"/>
  <c r="M797" i="7"/>
  <c r="L797" i="7"/>
  <c r="Z566" i="7"/>
  <c r="Y566" i="7"/>
  <c r="X566" i="7"/>
  <c r="W566" i="7"/>
  <c r="V566" i="7"/>
  <c r="U566" i="7"/>
  <c r="T566" i="7"/>
  <c r="S566" i="7"/>
  <c r="R566" i="7"/>
  <c r="Q566" i="7"/>
  <c r="P566" i="7"/>
  <c r="O566" i="7"/>
  <c r="N566" i="7"/>
  <c r="M566" i="7"/>
  <c r="L566" i="7"/>
  <c r="Y300" i="12"/>
  <c r="X300" i="12"/>
  <c r="W300" i="12"/>
  <c r="V300" i="12"/>
  <c r="U300" i="12"/>
  <c r="T300" i="12"/>
  <c r="S300" i="12"/>
  <c r="R300" i="12"/>
  <c r="Q300" i="12"/>
  <c r="P300" i="12"/>
  <c r="O300" i="12"/>
  <c r="N300" i="12"/>
  <c r="M300" i="12"/>
  <c r="L300" i="12"/>
  <c r="K300" i="12"/>
  <c r="J300" i="12"/>
  <c r="I300" i="12"/>
  <c r="H300" i="12"/>
  <c r="G300" i="12"/>
  <c r="AB268" i="12"/>
  <c r="AB298" i="12" s="1"/>
  <c r="AA268" i="12"/>
  <c r="Z268" i="12"/>
  <c r="Y268" i="12"/>
  <c r="X268" i="12"/>
  <c r="W268" i="12"/>
  <c r="V268" i="12"/>
  <c r="U268" i="12"/>
  <c r="T268" i="12"/>
  <c r="S268" i="12"/>
  <c r="R268" i="12"/>
  <c r="Q268" i="12"/>
  <c r="P268" i="12"/>
  <c r="O268" i="12"/>
  <c r="N268" i="12"/>
  <c r="M268" i="12"/>
  <c r="L268" i="12"/>
  <c r="K268" i="12"/>
  <c r="J268" i="12"/>
  <c r="I268" i="12"/>
  <c r="H268" i="12"/>
  <c r="G268" i="12"/>
  <c r="AA250" i="12"/>
  <c r="Z250" i="12"/>
  <c r="Y250" i="12"/>
  <c r="X250" i="12"/>
  <c r="W250" i="12"/>
  <c r="V250" i="12"/>
  <c r="U250" i="12"/>
  <c r="T250" i="12"/>
  <c r="S250" i="12"/>
  <c r="R250" i="12"/>
  <c r="Q250" i="12"/>
  <c r="P250" i="12"/>
  <c r="O250" i="12"/>
  <c r="N250" i="12"/>
  <c r="M250" i="12"/>
  <c r="L250" i="12"/>
  <c r="K250" i="12"/>
  <c r="J250" i="12"/>
  <c r="I250" i="12"/>
  <c r="H250" i="12"/>
  <c r="G250" i="12"/>
  <c r="AB260" i="12"/>
  <c r="AA260" i="12"/>
  <c r="Z260" i="12"/>
  <c r="Y260" i="12"/>
  <c r="X260" i="12"/>
  <c r="W260" i="12"/>
  <c r="V544" i="7"/>
  <c r="U544" i="7"/>
  <c r="T544" i="7"/>
  <c r="S544" i="7"/>
  <c r="R544" i="7"/>
  <c r="Q544" i="7"/>
  <c r="P544" i="7"/>
  <c r="O544" i="7"/>
  <c r="N544" i="7"/>
  <c r="M544" i="7"/>
  <c r="L544" i="7"/>
  <c r="AB212" i="12"/>
  <c r="AC225" i="12" s="1"/>
  <c r="AA212" i="12"/>
  <c r="Z212" i="12"/>
  <c r="Y212" i="12"/>
  <c r="X212" i="12"/>
  <c r="W212" i="12"/>
  <c r="V212" i="12"/>
  <c r="U212" i="12"/>
  <c r="T212" i="12"/>
  <c r="S212" i="12"/>
  <c r="R212" i="12"/>
  <c r="Q212" i="12"/>
  <c r="P212" i="12"/>
  <c r="O212" i="12"/>
  <c r="N212" i="12"/>
  <c r="M212" i="12"/>
  <c r="L212" i="12"/>
  <c r="K212" i="12"/>
  <c r="J212" i="12"/>
  <c r="I212" i="12"/>
  <c r="H212" i="12"/>
  <c r="G212" i="12"/>
  <c r="AB206" i="12"/>
  <c r="AC220" i="12" s="1"/>
  <c r="AA206" i="12"/>
  <c r="Z206" i="12"/>
  <c r="Y206" i="12"/>
  <c r="X206" i="12"/>
  <c r="W206" i="12"/>
  <c r="V206" i="12"/>
  <c r="U206" i="12"/>
  <c r="T206" i="12"/>
  <c r="S206" i="12"/>
  <c r="R206" i="12"/>
  <c r="Q206" i="12"/>
  <c r="P206" i="12"/>
  <c r="O206" i="12"/>
  <c r="N206" i="12"/>
  <c r="M206" i="12"/>
  <c r="L206" i="12"/>
  <c r="K206" i="12"/>
  <c r="J206" i="12"/>
  <c r="I206" i="12"/>
  <c r="H206" i="12"/>
  <c r="G206" i="12"/>
  <c r="AB210" i="12"/>
  <c r="AC223" i="12" s="1"/>
  <c r="AA210" i="12"/>
  <c r="Z210" i="12"/>
  <c r="Y210" i="12"/>
  <c r="X210" i="12"/>
  <c r="W210" i="12"/>
  <c r="V210" i="12"/>
  <c r="U210" i="12"/>
  <c r="T210" i="12"/>
  <c r="S210" i="12"/>
  <c r="R210" i="12"/>
  <c r="Q210" i="12"/>
  <c r="P210" i="12"/>
  <c r="O210" i="12"/>
  <c r="N210" i="12"/>
  <c r="M210" i="12"/>
  <c r="L210" i="12"/>
  <c r="K210" i="12"/>
  <c r="J210" i="12"/>
  <c r="I210" i="12"/>
  <c r="H210" i="12"/>
  <c r="G210" i="12"/>
  <c r="AB205" i="12"/>
  <c r="AC219" i="12" s="1"/>
  <c r="AA205" i="12"/>
  <c r="Z205" i="12"/>
  <c r="Y205" i="12"/>
  <c r="X205" i="12"/>
  <c r="W205" i="12"/>
  <c r="V205" i="12"/>
  <c r="U205" i="12"/>
  <c r="T205" i="12"/>
  <c r="S205" i="12"/>
  <c r="R205" i="12"/>
  <c r="Q205" i="12"/>
  <c r="P205" i="12"/>
  <c r="O205" i="12"/>
  <c r="N205" i="12"/>
  <c r="M205" i="12"/>
  <c r="L205" i="12"/>
  <c r="K205" i="12"/>
  <c r="J205" i="12"/>
  <c r="I205" i="12"/>
  <c r="H205" i="12"/>
  <c r="G205" i="12"/>
  <c r="AB204" i="12"/>
  <c r="AC218" i="12" s="1"/>
  <c r="AA204" i="12"/>
  <c r="Z204" i="12"/>
  <c r="Y204" i="12"/>
  <c r="X204" i="12"/>
  <c r="W204" i="12"/>
  <c r="V204" i="12"/>
  <c r="U204" i="12"/>
  <c r="T204" i="12"/>
  <c r="S204" i="12"/>
  <c r="R204" i="12"/>
  <c r="Q204" i="12"/>
  <c r="P204" i="12"/>
  <c r="O204" i="12"/>
  <c r="N204" i="12"/>
  <c r="M204" i="12"/>
  <c r="L204" i="12"/>
  <c r="K204" i="12"/>
  <c r="J204" i="12"/>
  <c r="I204" i="12"/>
  <c r="H204" i="12"/>
  <c r="G204" i="12"/>
  <c r="AB191" i="12"/>
  <c r="AC197" i="12" s="1"/>
  <c r="AA191" i="12"/>
  <c r="Z191" i="12"/>
  <c r="Y191" i="12"/>
  <c r="X191" i="12"/>
  <c r="W191" i="12"/>
  <c r="V191" i="12"/>
  <c r="U191" i="12"/>
  <c r="T191" i="12"/>
  <c r="S191" i="12"/>
  <c r="R191" i="12"/>
  <c r="Q191" i="12"/>
  <c r="P191" i="12"/>
  <c r="O191" i="12"/>
  <c r="N191" i="12"/>
  <c r="M191" i="12"/>
  <c r="L191" i="12"/>
  <c r="K191" i="12"/>
  <c r="K421" i="7" s="1"/>
  <c r="J191" i="12"/>
  <c r="J421" i="7" s="1"/>
  <c r="I191" i="12"/>
  <c r="I421" i="7" s="1"/>
  <c r="H191" i="12"/>
  <c r="H421" i="7" s="1"/>
  <c r="G191" i="12"/>
  <c r="G421" i="7" s="1"/>
  <c r="AB427" i="7"/>
  <c r="AA427" i="7"/>
  <c r="Z427" i="7"/>
  <c r="Y427" i="7"/>
  <c r="X427" i="7"/>
  <c r="W427" i="7"/>
  <c r="V427" i="7"/>
  <c r="U427" i="7"/>
  <c r="T427" i="7"/>
  <c r="S427" i="7"/>
  <c r="R427" i="7"/>
  <c r="Q427" i="7"/>
  <c r="P427" i="7"/>
  <c r="O427" i="7"/>
  <c r="N427" i="7"/>
  <c r="M427" i="7"/>
  <c r="L427" i="7"/>
  <c r="AB193" i="12"/>
  <c r="AC199" i="12" s="1"/>
  <c r="AA193" i="12"/>
  <c r="Z193" i="12"/>
  <c r="Y193" i="12"/>
  <c r="X193" i="12"/>
  <c r="W193" i="12"/>
  <c r="V193" i="12"/>
  <c r="U193" i="12"/>
  <c r="T193" i="12"/>
  <c r="S193" i="12"/>
  <c r="R193" i="12"/>
  <c r="Q193" i="12"/>
  <c r="P193" i="12"/>
  <c r="O193" i="12"/>
  <c r="N193" i="12"/>
  <c r="M193" i="12"/>
  <c r="L193" i="12"/>
  <c r="K193" i="12"/>
  <c r="J193" i="12"/>
  <c r="I193" i="12"/>
  <c r="H193" i="12"/>
  <c r="G193" i="12"/>
  <c r="AB192" i="12"/>
  <c r="AC198" i="12" s="1"/>
  <c r="AA192" i="12"/>
  <c r="Z192" i="12"/>
  <c r="Y192" i="12"/>
  <c r="X192" i="12"/>
  <c r="W192" i="12"/>
  <c r="V192" i="12"/>
  <c r="U192" i="12"/>
  <c r="T192" i="12"/>
  <c r="S192" i="12"/>
  <c r="R192" i="12"/>
  <c r="Q192" i="12"/>
  <c r="P192" i="12"/>
  <c r="O192" i="12"/>
  <c r="N192" i="12"/>
  <c r="M192" i="12"/>
  <c r="L192" i="12"/>
  <c r="K192" i="12"/>
  <c r="J192" i="12"/>
  <c r="I192" i="12"/>
  <c r="H192" i="12"/>
  <c r="G192" i="12"/>
  <c r="AB185" i="12"/>
  <c r="AC188" i="12" s="1"/>
  <c r="AA185" i="12"/>
  <c r="Z185" i="12"/>
  <c r="Y185" i="12"/>
  <c r="X185" i="12"/>
  <c r="W185" i="12"/>
  <c r="V185" i="12"/>
  <c r="U185" i="12"/>
  <c r="T185" i="12"/>
  <c r="S185" i="12"/>
  <c r="R185" i="12"/>
  <c r="Q185" i="12"/>
  <c r="P185" i="12"/>
  <c r="O185" i="12"/>
  <c r="N185" i="12"/>
  <c r="M185" i="12"/>
  <c r="L185" i="12"/>
  <c r="K185" i="12"/>
  <c r="K38" i="7" s="1"/>
  <c r="J185" i="12"/>
  <c r="J38" i="7" s="1"/>
  <c r="I185" i="12"/>
  <c r="I38" i="7" s="1"/>
  <c r="H185" i="12"/>
  <c r="H38" i="7" s="1"/>
  <c r="G185" i="12"/>
  <c r="G38" i="7" s="1"/>
  <c r="AB125" i="12"/>
  <c r="AC131" i="12" s="1"/>
  <c r="AC69" i="8" s="1"/>
  <c r="AA125" i="12"/>
  <c r="Z125" i="12"/>
  <c r="Y125" i="12"/>
  <c r="X125" i="12"/>
  <c r="W125" i="12"/>
  <c r="V125" i="12"/>
  <c r="U125" i="12"/>
  <c r="T125" i="12"/>
  <c r="S125" i="12"/>
  <c r="R125" i="12"/>
  <c r="Q125" i="12"/>
  <c r="P125" i="12"/>
  <c r="O125" i="12"/>
  <c r="N125" i="12"/>
  <c r="M125" i="12"/>
  <c r="L125" i="12"/>
  <c r="K125" i="12"/>
  <c r="J125" i="12"/>
  <c r="I125" i="12"/>
  <c r="H125" i="12"/>
  <c r="G125" i="12"/>
  <c r="J260" i="17" s="1"/>
  <c r="AB159" i="12"/>
  <c r="AC162" i="12" s="1"/>
  <c r="DM119" i="11" s="1"/>
  <c r="AA159" i="12"/>
  <c r="Z159" i="12"/>
  <c r="Y159" i="12"/>
  <c r="X159" i="12"/>
  <c r="W159" i="12"/>
  <c r="V159" i="12"/>
  <c r="U159" i="12"/>
  <c r="T159" i="12"/>
  <c r="S159" i="12"/>
  <c r="R159" i="12"/>
  <c r="Q159" i="12"/>
  <c r="P159" i="12"/>
  <c r="O159" i="12"/>
  <c r="N159" i="12"/>
  <c r="M159" i="12"/>
  <c r="L159" i="12"/>
  <c r="K159" i="12"/>
  <c r="J159" i="12"/>
  <c r="I159" i="12"/>
  <c r="H159" i="12"/>
  <c r="G159" i="12"/>
  <c r="G243" i="8" s="1"/>
  <c r="AB105" i="12"/>
  <c r="AC111" i="12" s="1"/>
  <c r="AA105" i="12"/>
  <c r="Z105" i="12"/>
  <c r="Y105" i="12"/>
  <c r="X105" i="12"/>
  <c r="W105" i="12"/>
  <c r="V105" i="12"/>
  <c r="U105" i="12"/>
  <c r="T105" i="12"/>
  <c r="S105" i="12"/>
  <c r="R105" i="12"/>
  <c r="Q105" i="12"/>
  <c r="P105" i="12"/>
  <c r="O105" i="12"/>
  <c r="N105" i="12"/>
  <c r="M105" i="12"/>
  <c r="L105" i="12"/>
  <c r="K105" i="12"/>
  <c r="J105" i="12"/>
  <c r="I105" i="12"/>
  <c r="H105" i="12"/>
  <c r="G105" i="12"/>
  <c r="AB103" i="12"/>
  <c r="AC109" i="12" s="1"/>
  <c r="DM101" i="11" s="1"/>
  <c r="AA103" i="12"/>
  <c r="Z103" i="12"/>
  <c r="Y103" i="12"/>
  <c r="X103" i="12"/>
  <c r="W103" i="12"/>
  <c r="V103" i="12"/>
  <c r="U103" i="12"/>
  <c r="T103" i="12"/>
  <c r="S103" i="12"/>
  <c r="R103" i="12"/>
  <c r="Q103" i="12"/>
  <c r="P103" i="12"/>
  <c r="O103" i="12"/>
  <c r="N103" i="12"/>
  <c r="M103" i="12"/>
  <c r="L103" i="12"/>
  <c r="K103" i="12"/>
  <c r="J103" i="12"/>
  <c r="I103" i="12"/>
  <c r="H103" i="12"/>
  <c r="G103" i="12"/>
  <c r="J225" i="17" s="1"/>
  <c r="AB104" i="12"/>
  <c r="AC110" i="12" s="1"/>
  <c r="DM102" i="11" s="1"/>
  <c r="AA104" i="12"/>
  <c r="Z104" i="12"/>
  <c r="Y104" i="12"/>
  <c r="X104" i="12"/>
  <c r="W104" i="12"/>
  <c r="V104" i="12"/>
  <c r="U104" i="12"/>
  <c r="T104" i="12"/>
  <c r="S104" i="12"/>
  <c r="R104" i="12"/>
  <c r="Q104" i="12"/>
  <c r="P104" i="12"/>
  <c r="O104" i="12"/>
  <c r="N104" i="12"/>
  <c r="M104" i="12"/>
  <c r="L104" i="12"/>
  <c r="K104" i="12"/>
  <c r="J104" i="12"/>
  <c r="I104" i="12"/>
  <c r="H104" i="12"/>
  <c r="G104" i="12"/>
  <c r="J222" i="17" s="1"/>
  <c r="AB83" i="12"/>
  <c r="AA83" i="12"/>
  <c r="Z83" i="12"/>
  <c r="Y83" i="12"/>
  <c r="X83" i="12"/>
  <c r="W83" i="12"/>
  <c r="V83" i="12"/>
  <c r="U83" i="12"/>
  <c r="T83" i="12"/>
  <c r="S83" i="12"/>
  <c r="R83" i="12"/>
  <c r="Q83" i="12"/>
  <c r="P83" i="12"/>
  <c r="O83" i="12"/>
  <c r="N83" i="12"/>
  <c r="M83" i="12"/>
  <c r="L83" i="12"/>
  <c r="K83" i="12"/>
  <c r="J83" i="12"/>
  <c r="I83" i="12"/>
  <c r="H83" i="12"/>
  <c r="G83" i="12"/>
  <c r="AB81" i="12"/>
  <c r="AC87" i="12" s="1"/>
  <c r="DM86" i="11" s="1"/>
  <c r="AA81" i="12"/>
  <c r="Z81" i="12"/>
  <c r="Y81" i="12"/>
  <c r="X81" i="12"/>
  <c r="W81" i="12"/>
  <c r="V81" i="12"/>
  <c r="U81" i="12"/>
  <c r="T81" i="12"/>
  <c r="S81" i="12"/>
  <c r="R81" i="12"/>
  <c r="Q81" i="12"/>
  <c r="P81" i="12"/>
  <c r="O81" i="12"/>
  <c r="N81" i="12"/>
  <c r="M81" i="12"/>
  <c r="L81" i="12"/>
  <c r="K81" i="12"/>
  <c r="J81" i="12"/>
  <c r="I81" i="12"/>
  <c r="H81" i="12"/>
  <c r="G81" i="12"/>
  <c r="J168" i="17" s="1"/>
  <c r="AB82" i="12"/>
  <c r="AC88" i="12" s="1"/>
  <c r="DM87" i="11" s="1"/>
  <c r="AA82" i="12"/>
  <c r="Z82" i="12"/>
  <c r="Y82" i="12"/>
  <c r="X82" i="12"/>
  <c r="W82" i="12"/>
  <c r="V82" i="12"/>
  <c r="U82" i="12"/>
  <c r="T82" i="12"/>
  <c r="S82" i="12"/>
  <c r="R82" i="12"/>
  <c r="Q82" i="12"/>
  <c r="P82" i="12"/>
  <c r="O82" i="12"/>
  <c r="N82" i="12"/>
  <c r="M82" i="12"/>
  <c r="L82" i="12"/>
  <c r="K82" i="12"/>
  <c r="J82" i="12"/>
  <c r="I82" i="12"/>
  <c r="H82" i="12"/>
  <c r="G82" i="12"/>
  <c r="AB94" i="12"/>
  <c r="AC100" i="12" s="1"/>
  <c r="AA94" i="12"/>
  <c r="Z94" i="12"/>
  <c r="Y94" i="12"/>
  <c r="X94" i="12"/>
  <c r="W94" i="12"/>
  <c r="V94" i="12"/>
  <c r="U94" i="12"/>
  <c r="T94" i="12"/>
  <c r="S94" i="12"/>
  <c r="R94" i="12"/>
  <c r="Q94" i="12"/>
  <c r="P94" i="12"/>
  <c r="O94" i="12"/>
  <c r="N94" i="12"/>
  <c r="M94" i="12"/>
  <c r="L94" i="12"/>
  <c r="K94" i="12"/>
  <c r="J94" i="12"/>
  <c r="I94" i="12"/>
  <c r="H94" i="12"/>
  <c r="G94" i="12"/>
  <c r="AB72" i="12"/>
  <c r="AA72" i="12"/>
  <c r="Z72" i="12"/>
  <c r="Y72" i="12"/>
  <c r="X72" i="12"/>
  <c r="W72" i="12"/>
  <c r="V72" i="12"/>
  <c r="U72" i="12"/>
  <c r="T72" i="12"/>
  <c r="S72" i="12"/>
  <c r="R72" i="12"/>
  <c r="Q72" i="12"/>
  <c r="P72" i="12"/>
  <c r="O72" i="12"/>
  <c r="N72" i="12"/>
  <c r="M72" i="12"/>
  <c r="L72" i="12"/>
  <c r="K72" i="12"/>
  <c r="J72" i="12"/>
  <c r="I72" i="12"/>
  <c r="H72" i="12"/>
  <c r="G72" i="12"/>
  <c r="AB54" i="12"/>
  <c r="AA54" i="12"/>
  <c r="Z54" i="12"/>
  <c r="Y54" i="12"/>
  <c r="X54" i="12"/>
  <c r="W54" i="12"/>
  <c r="V54" i="12"/>
  <c r="U54" i="12"/>
  <c r="T54" i="12"/>
  <c r="S54" i="12"/>
  <c r="R54" i="12"/>
  <c r="Q54" i="12"/>
  <c r="P54" i="12"/>
  <c r="O54" i="12"/>
  <c r="N54" i="12"/>
  <c r="M54" i="12"/>
  <c r="L54" i="12"/>
  <c r="K54" i="12"/>
  <c r="J54" i="12"/>
  <c r="I54" i="12"/>
  <c r="H54" i="12"/>
  <c r="G54" i="12"/>
  <c r="AB64" i="12"/>
  <c r="AC67" i="12" s="1"/>
  <c r="AA64" i="12"/>
  <c r="Z64" i="12"/>
  <c r="Y64" i="12"/>
  <c r="X64" i="12"/>
  <c r="W64" i="12"/>
  <c r="V64" i="12"/>
  <c r="U64" i="12"/>
  <c r="T64" i="12"/>
  <c r="S64" i="12"/>
  <c r="R64" i="12"/>
  <c r="Q64" i="12"/>
  <c r="P64" i="12"/>
  <c r="O64" i="12"/>
  <c r="N64" i="12"/>
  <c r="M64" i="12"/>
  <c r="L64" i="12"/>
  <c r="K64" i="12"/>
  <c r="J64" i="12"/>
  <c r="I64" i="12"/>
  <c r="H64" i="12"/>
  <c r="G64" i="12"/>
  <c r="AB29" i="12"/>
  <c r="AC42" i="12" s="1"/>
  <c r="AA29" i="12"/>
  <c r="Z29" i="12"/>
  <c r="Y29" i="12"/>
  <c r="X29" i="12"/>
  <c r="W29" i="12"/>
  <c r="V29" i="12"/>
  <c r="U29" i="12"/>
  <c r="T29" i="12"/>
  <c r="S29" i="12"/>
  <c r="R29" i="12"/>
  <c r="Q29" i="12"/>
  <c r="P29" i="12"/>
  <c r="O29" i="12"/>
  <c r="N29" i="12"/>
  <c r="M29" i="12"/>
  <c r="L29" i="12"/>
  <c r="K29" i="12"/>
  <c r="J29" i="12"/>
  <c r="I29" i="12"/>
  <c r="H29" i="12"/>
  <c r="G29" i="12"/>
  <c r="AB27" i="12"/>
  <c r="AC40" i="12" s="1"/>
  <c r="DM63" i="11" s="1"/>
  <c r="AA27" i="12"/>
  <c r="Z27" i="12"/>
  <c r="Y27" i="12"/>
  <c r="X27" i="12"/>
  <c r="W27" i="12"/>
  <c r="V27" i="12"/>
  <c r="U27" i="12"/>
  <c r="T27" i="12"/>
  <c r="S27" i="12"/>
  <c r="R27" i="12"/>
  <c r="Q27" i="12"/>
  <c r="P27" i="12"/>
  <c r="O27" i="12"/>
  <c r="N27" i="12"/>
  <c r="M27" i="12"/>
  <c r="L27" i="12"/>
  <c r="K27" i="12"/>
  <c r="J27" i="12"/>
  <c r="I27" i="12"/>
  <c r="H27" i="12"/>
  <c r="G27" i="12"/>
  <c r="J62" i="17" s="1"/>
  <c r="AB23" i="12"/>
  <c r="AC37" i="12" s="1"/>
  <c r="AA23" i="12"/>
  <c r="Z23" i="12"/>
  <c r="Y23" i="12"/>
  <c r="X23" i="12"/>
  <c r="W23" i="12"/>
  <c r="V23" i="12"/>
  <c r="U23" i="12"/>
  <c r="T23" i="12"/>
  <c r="S23" i="12"/>
  <c r="R23" i="12"/>
  <c r="Q23" i="12"/>
  <c r="P23" i="12"/>
  <c r="O23" i="12"/>
  <c r="N23" i="12"/>
  <c r="M23" i="12"/>
  <c r="L23" i="12"/>
  <c r="K23" i="12"/>
  <c r="J23" i="12"/>
  <c r="I23" i="12"/>
  <c r="H23" i="12"/>
  <c r="G23" i="12"/>
  <c r="J65" i="17" s="1"/>
  <c r="AB22" i="12"/>
  <c r="AC36" i="12" s="1"/>
  <c r="DM59" i="11" s="1"/>
  <c r="AA22" i="12"/>
  <c r="Z22" i="12"/>
  <c r="Y22" i="12"/>
  <c r="X22" i="12"/>
  <c r="W22" i="12"/>
  <c r="V22" i="12"/>
  <c r="U22" i="12"/>
  <c r="T22" i="12"/>
  <c r="S22" i="12"/>
  <c r="R22" i="12"/>
  <c r="Q22" i="12"/>
  <c r="P22" i="12"/>
  <c r="O22" i="12"/>
  <c r="N22" i="12"/>
  <c r="M22" i="12"/>
  <c r="L22" i="12"/>
  <c r="K22" i="12"/>
  <c r="J22" i="12"/>
  <c r="I22" i="12"/>
  <c r="H22" i="12"/>
  <c r="G22" i="12"/>
  <c r="AB21" i="12"/>
  <c r="AC35" i="12" s="1"/>
  <c r="DM58" i="11" s="1"/>
  <c r="AA21" i="12"/>
  <c r="Z21" i="12"/>
  <c r="Y21" i="12"/>
  <c r="X21" i="12"/>
  <c r="W21" i="12"/>
  <c r="V21" i="12"/>
  <c r="U21" i="12"/>
  <c r="T21" i="12"/>
  <c r="S21" i="12"/>
  <c r="R21" i="12"/>
  <c r="Q21" i="12"/>
  <c r="P21" i="12"/>
  <c r="O21" i="12"/>
  <c r="N21" i="12"/>
  <c r="M21" i="12"/>
  <c r="L21" i="12"/>
  <c r="K21" i="12"/>
  <c r="J21" i="12"/>
  <c r="I21" i="12"/>
  <c r="H21" i="12"/>
  <c r="G21" i="12"/>
  <c r="AB13" i="12"/>
  <c r="AC16" i="12" s="1"/>
  <c r="DM50" i="11" s="1"/>
  <c r="AA13" i="12"/>
  <c r="Z13" i="12"/>
  <c r="Y13" i="12"/>
  <c r="X13" i="12"/>
  <c r="W13" i="12"/>
  <c r="V13" i="12"/>
  <c r="U13" i="12"/>
  <c r="T13" i="12"/>
  <c r="S13" i="12"/>
  <c r="R13" i="12"/>
  <c r="Q13" i="12"/>
  <c r="P13" i="12"/>
  <c r="O13" i="12"/>
  <c r="N13" i="12"/>
  <c r="M13" i="12"/>
  <c r="L13" i="12"/>
  <c r="K13" i="12"/>
  <c r="J13" i="12"/>
  <c r="I13" i="12"/>
  <c r="H13" i="12"/>
  <c r="G13" i="12"/>
  <c r="AB7" i="12"/>
  <c r="AA7" i="12"/>
  <c r="Z7" i="12"/>
  <c r="Y7" i="12"/>
  <c r="X7" i="12"/>
  <c r="W7" i="12"/>
  <c r="V7" i="12"/>
  <c r="U7" i="12"/>
  <c r="T7" i="12"/>
  <c r="S7" i="12"/>
  <c r="R7" i="12"/>
  <c r="Q7" i="12"/>
  <c r="P7" i="12"/>
  <c r="O7" i="12"/>
  <c r="N7" i="12"/>
  <c r="M7" i="12"/>
  <c r="L7" i="12"/>
  <c r="K7" i="12"/>
  <c r="J7" i="12"/>
  <c r="I7" i="12"/>
  <c r="H7" i="12"/>
  <c r="G7" i="12"/>
  <c r="AB38" i="8"/>
  <c r="AC65" i="8" s="1"/>
  <c r="AA38" i="8"/>
  <c r="Z38" i="8"/>
  <c r="Y38" i="8"/>
  <c r="X38" i="8"/>
  <c r="W38" i="8"/>
  <c r="V38" i="8"/>
  <c r="U38" i="8"/>
  <c r="T38" i="8"/>
  <c r="S38" i="8"/>
  <c r="R38" i="8"/>
  <c r="Q38" i="8"/>
  <c r="P38" i="8"/>
  <c r="O38" i="8"/>
  <c r="N38" i="8"/>
  <c r="M38" i="8"/>
  <c r="L38" i="8"/>
  <c r="K38" i="8"/>
  <c r="J38" i="8"/>
  <c r="I38" i="8"/>
  <c r="H38" i="8"/>
  <c r="G38" i="8"/>
  <c r="AB32" i="8"/>
  <c r="AA32" i="8"/>
  <c r="Z32" i="8"/>
  <c r="Y32" i="8"/>
  <c r="X32" i="8"/>
  <c r="W32" i="8"/>
  <c r="V32" i="8"/>
  <c r="U32" i="8"/>
  <c r="T32" i="8"/>
  <c r="S32" i="8"/>
  <c r="R32" i="8"/>
  <c r="Q32" i="8"/>
  <c r="P32" i="8"/>
  <c r="O32" i="8"/>
  <c r="N32" i="8"/>
  <c r="M32" i="8"/>
  <c r="L32" i="8"/>
  <c r="K32" i="8"/>
  <c r="J32" i="8"/>
  <c r="I32" i="8"/>
  <c r="H32" i="8"/>
  <c r="G32" i="8"/>
  <c r="AB34" i="8"/>
  <c r="AA34" i="8"/>
  <c r="Z34" i="8"/>
  <c r="Y34" i="8"/>
  <c r="X34" i="8"/>
  <c r="W34" i="8"/>
  <c r="V34" i="8"/>
  <c r="U34" i="8"/>
  <c r="T34" i="8"/>
  <c r="S34" i="8"/>
  <c r="R34" i="8"/>
  <c r="Q34" i="8"/>
  <c r="P34" i="8"/>
  <c r="O34" i="8"/>
  <c r="N34" i="8"/>
  <c r="M34" i="8"/>
  <c r="L34" i="8"/>
  <c r="K34" i="8"/>
  <c r="J34" i="8"/>
  <c r="I34" i="8"/>
  <c r="H34" i="8"/>
  <c r="G34" i="8"/>
  <c r="AA10" i="8"/>
  <c r="Z10" i="8"/>
  <c r="Y10" i="8"/>
  <c r="X10" i="8"/>
  <c r="W10" i="8"/>
  <c r="V10" i="8"/>
  <c r="U10" i="8"/>
  <c r="T10" i="8"/>
  <c r="S10" i="8"/>
  <c r="R10" i="8"/>
  <c r="Q10" i="8"/>
  <c r="P10" i="8"/>
  <c r="O10" i="8"/>
  <c r="N10" i="8"/>
  <c r="M10" i="8"/>
  <c r="L10" i="8"/>
  <c r="K10" i="8"/>
  <c r="J10" i="8"/>
  <c r="I10" i="8"/>
  <c r="H10" i="8"/>
  <c r="G10" i="8"/>
  <c r="AA7" i="8"/>
  <c r="Z7" i="8"/>
  <c r="Y7" i="8"/>
  <c r="X7" i="8"/>
  <c r="W7" i="8"/>
  <c r="V7" i="8"/>
  <c r="U7" i="8"/>
  <c r="T7" i="8"/>
  <c r="S7" i="8"/>
  <c r="R7" i="8"/>
  <c r="Q7" i="8"/>
  <c r="P7" i="8"/>
  <c r="O7" i="8"/>
  <c r="N7" i="8"/>
  <c r="M7" i="8"/>
  <c r="L7" i="8"/>
  <c r="K7" i="8"/>
  <c r="J7" i="8"/>
  <c r="I7" i="8"/>
  <c r="H7" i="8"/>
  <c r="G7" i="8"/>
  <c r="AA5" i="8"/>
  <c r="Z5" i="8"/>
  <c r="Y5" i="8"/>
  <c r="X5" i="8"/>
  <c r="W5" i="8"/>
  <c r="V5" i="8"/>
  <c r="U5" i="8"/>
  <c r="T5" i="8"/>
  <c r="S5" i="8"/>
  <c r="R5" i="8"/>
  <c r="Q5" i="8"/>
  <c r="P5" i="8"/>
  <c r="O5" i="8"/>
  <c r="N5" i="8"/>
  <c r="M5" i="8"/>
  <c r="L5" i="8"/>
  <c r="K5" i="8"/>
  <c r="J5" i="8"/>
  <c r="I5" i="8"/>
  <c r="H5" i="8"/>
  <c r="G5" i="8"/>
  <c r="AF3" i="1"/>
  <c r="AE3" i="1"/>
  <c r="AD3" i="1"/>
  <c r="AC3" i="1"/>
  <c r="AB3" i="1"/>
  <c r="AA3" i="1"/>
  <c r="Z3" i="1"/>
  <c r="Y3" i="1"/>
  <c r="X3" i="1"/>
  <c r="W3" i="1"/>
  <c r="V3" i="1"/>
  <c r="U3" i="1"/>
  <c r="T3" i="1"/>
  <c r="S3" i="1"/>
  <c r="R3" i="1"/>
  <c r="Q3" i="1"/>
  <c r="P3" i="1"/>
  <c r="O3" i="1"/>
  <c r="N3" i="1"/>
  <c r="M3" i="1"/>
  <c r="L3" i="1"/>
  <c r="K3" i="1"/>
  <c r="J3" i="1"/>
  <c r="I3" i="1"/>
  <c r="H3" i="1"/>
  <c r="CU8" i="17" l="1"/>
  <c r="L117" i="2" s="1"/>
  <c r="M105" i="20" s="1"/>
  <c r="AD105" i="20" s="1"/>
  <c r="AC10" i="12"/>
  <c r="DM35" i="11" s="1"/>
  <c r="CP23" i="17"/>
  <c r="CT28" i="17" s="1"/>
  <c r="CP259" i="17"/>
  <c r="CP270" i="17" s="1"/>
  <c r="DM90" i="11"/>
  <c r="DM105" i="11"/>
  <c r="AB89" i="12"/>
  <c r="DH13" i="11" s="1"/>
  <c r="AC89" i="12"/>
  <c r="AB54" i="7"/>
  <c r="AC54" i="7"/>
  <c r="AB544" i="7"/>
  <c r="H76" i="17"/>
  <c r="AB165" i="8"/>
  <c r="AB189" i="8"/>
  <c r="AB114" i="8"/>
  <c r="AB190" i="8"/>
  <c r="AB145" i="8"/>
  <c r="AD22" i="12"/>
  <c r="AE22" i="12" s="1"/>
  <c r="I115" i="2"/>
  <c r="J103" i="20" s="1"/>
  <c r="AA103" i="20" s="1"/>
  <c r="AB329" i="7"/>
  <c r="CO250" i="17"/>
  <c r="CL250" i="17"/>
  <c r="CQ240" i="17"/>
  <c r="CQ14" i="17" s="1"/>
  <c r="CP250" i="17"/>
  <c r="CM250" i="17"/>
  <c r="CN250" i="17"/>
  <c r="E110" i="17"/>
  <c r="CG307" i="17"/>
  <c r="CG308" i="17" s="1"/>
  <c r="CH303" i="17"/>
  <c r="CO307" i="17"/>
  <c r="CO308" i="17" s="1"/>
  <c r="CP303" i="17"/>
  <c r="CF307" i="17"/>
  <c r="CF308" i="17" s="1"/>
  <c r="CK307" i="17"/>
  <c r="CK308" i="17" s="1"/>
  <c r="CN307" i="17"/>
  <c r="CN308" i="17" s="1"/>
  <c r="CJ308" i="17"/>
  <c r="CL303" i="17"/>
  <c r="AA133" i="8"/>
  <c r="AB213" i="7"/>
  <c r="AB231" i="12"/>
  <c r="J39" i="7"/>
  <c r="J292" i="7"/>
  <c r="K39" i="7"/>
  <c r="K292" i="7"/>
  <c r="Z735" i="7"/>
  <c r="H677" i="7"/>
  <c r="J677" i="7"/>
  <c r="G418" i="7"/>
  <c r="G86" i="7"/>
  <c r="G109" i="7"/>
  <c r="K86" i="7"/>
  <c r="K418" i="7"/>
  <c r="K109" i="7"/>
  <c r="I763" i="7"/>
  <c r="I764" i="7" s="1"/>
  <c r="I765" i="7" s="1"/>
  <c r="I662" i="7"/>
  <c r="I676" i="7" s="1"/>
  <c r="J76" i="7"/>
  <c r="J107" i="7"/>
  <c r="K639" i="7"/>
  <c r="H593" i="7"/>
  <c r="H598" i="7"/>
  <c r="I677" i="7"/>
  <c r="Y735" i="7"/>
  <c r="H30" i="7"/>
  <c r="H698" i="7"/>
  <c r="H699" i="7" s="1"/>
  <c r="H27" i="7"/>
  <c r="H222" i="7"/>
  <c r="H232" i="7"/>
  <c r="H26" i="7"/>
  <c r="H223" i="7"/>
  <c r="H508" i="7"/>
  <c r="H678" i="7"/>
  <c r="H447" i="7"/>
  <c r="H29" i="7"/>
  <c r="H798" i="7"/>
  <c r="H65" i="7"/>
  <c r="H130" i="7"/>
  <c r="H221" i="7"/>
  <c r="H347" i="7"/>
  <c r="H66" i="7"/>
  <c r="H279" i="7"/>
  <c r="H513" i="7"/>
  <c r="H446" i="7"/>
  <c r="H505" i="7"/>
  <c r="H344" i="7"/>
  <c r="H313" i="7"/>
  <c r="H506" i="7"/>
  <c r="H342" i="7"/>
  <c r="H532" i="7"/>
  <c r="H535" i="7"/>
  <c r="H159" i="7"/>
  <c r="H246" i="7"/>
  <c r="H409" i="7"/>
  <c r="H445" i="7"/>
  <c r="H156" i="7"/>
  <c r="H534" i="7"/>
  <c r="H285" i="7"/>
  <c r="H557" i="7"/>
  <c r="H158" i="7"/>
  <c r="H343" i="7"/>
  <c r="H452" i="7"/>
  <c r="H64" i="7"/>
  <c r="H533" i="7"/>
  <c r="H315" i="7"/>
  <c r="H345" i="7"/>
  <c r="H314" i="7"/>
  <c r="H63" i="7"/>
  <c r="H509" i="7"/>
  <c r="H280" i="7"/>
  <c r="H410" i="7"/>
  <c r="H317" i="7"/>
  <c r="H346" i="7"/>
  <c r="H240" i="7"/>
  <c r="H31" i="7"/>
  <c r="H408" i="7"/>
  <c r="H282" i="7"/>
  <c r="H62" i="7"/>
  <c r="H556" i="7"/>
  <c r="H607" i="7"/>
  <c r="H581" i="7"/>
  <c r="H28" i="7"/>
  <c r="H283" i="7"/>
  <c r="H67" i="7"/>
  <c r="H642" i="7"/>
  <c r="H225" i="7"/>
  <c r="H510" i="7"/>
  <c r="H507" i="7"/>
  <c r="H450" i="7"/>
  <c r="H670" i="7"/>
  <c r="H281" i="7"/>
  <c r="H449" i="7"/>
  <c r="H641" i="7"/>
  <c r="H672" i="7"/>
  <c r="H671" i="7"/>
  <c r="H669" i="7"/>
  <c r="H673" i="7"/>
  <c r="H635" i="7"/>
  <c r="H411" i="7"/>
  <c r="H636" i="7"/>
  <c r="I81" i="7"/>
  <c r="I108" i="7"/>
  <c r="H86" i="7"/>
  <c r="H418" i="7"/>
  <c r="H109" i="7"/>
  <c r="J763" i="7"/>
  <c r="J764" i="7" s="1"/>
  <c r="J765" i="7" s="1"/>
  <c r="J662" i="7"/>
  <c r="J676" i="7" s="1"/>
  <c r="G76" i="7"/>
  <c r="G107" i="7"/>
  <c r="K76" i="7"/>
  <c r="K107" i="7"/>
  <c r="I639" i="7"/>
  <c r="T116" i="11"/>
  <c r="I30" i="7"/>
  <c r="I698" i="7"/>
  <c r="I699" i="7" s="1"/>
  <c r="I65" i="7"/>
  <c r="I246" i="7"/>
  <c r="I130" i="7"/>
  <c r="I346" i="7"/>
  <c r="I509" i="7"/>
  <c r="I27" i="7"/>
  <c r="I62" i="7"/>
  <c r="I452" i="7"/>
  <c r="I222" i="7"/>
  <c r="I232" i="7"/>
  <c r="I607" i="7"/>
  <c r="I409" i="7"/>
  <c r="I445" i="7"/>
  <c r="I534" i="7"/>
  <c r="I532" i="7"/>
  <c r="I29" i="7"/>
  <c r="I446" i="7"/>
  <c r="I64" i="7"/>
  <c r="I317" i="7"/>
  <c r="I557" i="7"/>
  <c r="I283" i="7"/>
  <c r="I343" i="7"/>
  <c r="I347" i="7"/>
  <c r="I285" i="7"/>
  <c r="I66" i="7"/>
  <c r="I31" i="7"/>
  <c r="I315" i="7"/>
  <c r="I342" i="7"/>
  <c r="I535" i="7"/>
  <c r="I506" i="7"/>
  <c r="I581" i="7"/>
  <c r="I513" i="7"/>
  <c r="I67" i="7"/>
  <c r="I280" i="7"/>
  <c r="I505" i="7"/>
  <c r="I642" i="7"/>
  <c r="I344" i="7"/>
  <c r="I533" i="7"/>
  <c r="I313" i="7"/>
  <c r="I410" i="7"/>
  <c r="I63" i="7"/>
  <c r="I447" i="7"/>
  <c r="I158" i="7"/>
  <c r="I159" i="7"/>
  <c r="I798" i="7"/>
  <c r="I26" i="7"/>
  <c r="I28" i="7"/>
  <c r="I345" i="7"/>
  <c r="I314" i="7"/>
  <c r="I225" i="7"/>
  <c r="I556" i="7"/>
  <c r="I279" i="7"/>
  <c r="I221" i="7"/>
  <c r="I282" i="7"/>
  <c r="I508" i="7"/>
  <c r="I240" i="7"/>
  <c r="I156" i="7"/>
  <c r="I678" i="7"/>
  <c r="I408" i="7"/>
  <c r="I223" i="7"/>
  <c r="I641" i="7"/>
  <c r="I673" i="7"/>
  <c r="I669" i="7"/>
  <c r="I670" i="7"/>
  <c r="I507" i="7"/>
  <c r="I411" i="7"/>
  <c r="I635" i="7"/>
  <c r="I449" i="7"/>
  <c r="I510" i="7"/>
  <c r="I450" i="7"/>
  <c r="I281" i="7"/>
  <c r="I636" i="7"/>
  <c r="I672" i="7"/>
  <c r="I671" i="7"/>
  <c r="I418" i="7"/>
  <c r="I86" i="7"/>
  <c r="I109" i="7"/>
  <c r="G662" i="7"/>
  <c r="G676" i="7" s="1"/>
  <c r="G763" i="7"/>
  <c r="G764" i="7" s="1"/>
  <c r="G765" i="7" s="1"/>
  <c r="K637" i="7"/>
  <c r="J598" i="7"/>
  <c r="J593" i="7"/>
  <c r="AA243" i="12"/>
  <c r="J30" i="7"/>
  <c r="J698" i="7"/>
  <c r="J699" i="7" s="1"/>
  <c r="J534" i="7"/>
  <c r="J285" i="7"/>
  <c r="J31" i="7"/>
  <c r="J798" i="7"/>
  <c r="J556" i="7"/>
  <c r="J532" i="7"/>
  <c r="J557" i="7"/>
  <c r="J29" i="7"/>
  <c r="J158" i="7"/>
  <c r="J445" i="7"/>
  <c r="J345" i="7"/>
  <c r="J65" i="7"/>
  <c r="J62" i="7"/>
  <c r="J505" i="7"/>
  <c r="J240" i="7"/>
  <c r="J221" i="7"/>
  <c r="J678" i="7"/>
  <c r="J26" i="7"/>
  <c r="J508" i="7"/>
  <c r="J225" i="7"/>
  <c r="J447" i="7"/>
  <c r="J279" i="7"/>
  <c r="J409" i="7"/>
  <c r="J343" i="7"/>
  <c r="J513" i="7"/>
  <c r="J315" i="7"/>
  <c r="J410" i="7"/>
  <c r="J506" i="7"/>
  <c r="J314" i="7"/>
  <c r="J63" i="7"/>
  <c r="J317" i="7"/>
  <c r="J342" i="7"/>
  <c r="J535" i="7"/>
  <c r="J581" i="7"/>
  <c r="J452" i="7"/>
  <c r="J280" i="7"/>
  <c r="J642" i="7"/>
  <c r="J64" i="7"/>
  <c r="J344" i="7"/>
  <c r="J313" i="7"/>
  <c r="J67" i="7"/>
  <c r="J223" i="7"/>
  <c r="J246" i="7"/>
  <c r="J607" i="7"/>
  <c r="J130" i="7"/>
  <c r="J346" i="7"/>
  <c r="J27" i="7"/>
  <c r="J156" i="7"/>
  <c r="J28" i="7"/>
  <c r="J66" i="7"/>
  <c r="J509" i="7"/>
  <c r="J283" i="7"/>
  <c r="J347" i="7"/>
  <c r="J446" i="7"/>
  <c r="J533" i="7"/>
  <c r="J232" i="7"/>
  <c r="J408" i="7"/>
  <c r="J222" i="7"/>
  <c r="J282" i="7"/>
  <c r="J159" i="7"/>
  <c r="J507" i="7"/>
  <c r="J636" i="7"/>
  <c r="J449" i="7"/>
  <c r="J281" i="7"/>
  <c r="J671" i="7"/>
  <c r="J672" i="7"/>
  <c r="J450" i="7"/>
  <c r="J670" i="7"/>
  <c r="J411" i="7"/>
  <c r="J641" i="7"/>
  <c r="J510" i="7"/>
  <c r="J669" i="7"/>
  <c r="J635" i="7"/>
  <c r="J673" i="7"/>
  <c r="G81" i="7"/>
  <c r="G108" i="7"/>
  <c r="K81" i="7"/>
  <c r="K108" i="7"/>
  <c r="J418" i="7"/>
  <c r="J86" i="7"/>
  <c r="J109" i="7"/>
  <c r="H763" i="7"/>
  <c r="H764" i="7" s="1"/>
  <c r="H765" i="7" s="1"/>
  <c r="H662" i="7"/>
  <c r="H676" i="7" s="1"/>
  <c r="I76" i="7"/>
  <c r="I107" i="7"/>
  <c r="H637" i="7"/>
  <c r="I593" i="7"/>
  <c r="I598" i="7"/>
  <c r="J637" i="7"/>
  <c r="K593" i="7"/>
  <c r="K598" i="7"/>
  <c r="G677" i="7"/>
  <c r="J81" i="7"/>
  <c r="J108" i="7"/>
  <c r="K662" i="7"/>
  <c r="K676" i="7" s="1"/>
  <c r="K763" i="7"/>
  <c r="K764" i="7" s="1"/>
  <c r="K765" i="7" s="1"/>
  <c r="H76" i="7"/>
  <c r="H107" i="7"/>
  <c r="J116" i="11"/>
  <c r="G30" i="7"/>
  <c r="G698" i="7"/>
  <c r="G699" i="7" s="1"/>
  <c r="G65" i="7"/>
  <c r="G315" i="7"/>
  <c r="G410" i="7"/>
  <c r="G607" i="7"/>
  <c r="G63" i="7"/>
  <c r="G535" i="7"/>
  <c r="G222" i="7"/>
  <c r="G221" i="7"/>
  <c r="G445" i="7"/>
  <c r="G508" i="7"/>
  <c r="G66" i="7"/>
  <c r="G557" i="7"/>
  <c r="G279" i="7"/>
  <c r="G282" i="7"/>
  <c r="G513" i="7"/>
  <c r="G533" i="7"/>
  <c r="G313" i="7"/>
  <c r="G159" i="7"/>
  <c r="G225" i="7"/>
  <c r="G314" i="7"/>
  <c r="G317" i="7"/>
  <c r="G280" i="7"/>
  <c r="G223" i="7"/>
  <c r="G678" i="7"/>
  <c r="G28" i="7"/>
  <c r="G130" i="7"/>
  <c r="G447" i="7"/>
  <c r="G283" i="7"/>
  <c r="G27" i="7"/>
  <c r="G343" i="7"/>
  <c r="G158" i="7"/>
  <c r="G62" i="7"/>
  <c r="G64" i="7"/>
  <c r="G344" i="7"/>
  <c r="G345" i="7"/>
  <c r="G246" i="7"/>
  <c r="G506" i="7"/>
  <c r="G342" i="7"/>
  <c r="G67" i="7"/>
  <c r="G505" i="7"/>
  <c r="G642" i="7"/>
  <c r="G446" i="7"/>
  <c r="G240" i="7"/>
  <c r="G232" i="7"/>
  <c r="G347" i="7"/>
  <c r="G798" i="7"/>
  <c r="G29" i="7"/>
  <c r="G31" i="7"/>
  <c r="G534" i="7"/>
  <c r="G452" i="7"/>
  <c r="G509" i="7"/>
  <c r="G26" i="7"/>
  <c r="G532" i="7"/>
  <c r="G156" i="7"/>
  <c r="G408" i="7"/>
  <c r="G581" i="7"/>
  <c r="G346" i="7"/>
  <c r="G556" i="7"/>
  <c r="G285" i="7"/>
  <c r="G409" i="7"/>
  <c r="G670" i="7"/>
  <c r="G635" i="7"/>
  <c r="G641" i="7"/>
  <c r="G636" i="7"/>
  <c r="G673" i="7"/>
  <c r="G598" i="7"/>
  <c r="G281" i="7"/>
  <c r="G507" i="7"/>
  <c r="G639" i="7"/>
  <c r="G510" i="7"/>
  <c r="G411" i="7"/>
  <c r="G450" i="7"/>
  <c r="G671" i="7"/>
  <c r="G672" i="7"/>
  <c r="G449" i="7"/>
  <c r="G669" i="7"/>
  <c r="AD116" i="11"/>
  <c r="K698" i="7"/>
  <c r="K699" i="7" s="1"/>
  <c r="K30" i="7"/>
  <c r="K533" i="7"/>
  <c r="K159" i="7"/>
  <c r="K642" i="7"/>
  <c r="K678" i="7"/>
  <c r="K344" i="7"/>
  <c r="K26" i="7"/>
  <c r="K28" i="7"/>
  <c r="K283" i="7"/>
  <c r="K240" i="7"/>
  <c r="K232" i="7"/>
  <c r="K67" i="7"/>
  <c r="K280" i="7"/>
  <c r="K798" i="7"/>
  <c r="K506" i="7"/>
  <c r="K556" i="7"/>
  <c r="K607" i="7"/>
  <c r="K613" i="7" s="1"/>
  <c r="K63" i="7"/>
  <c r="K317" i="7"/>
  <c r="K62" i="7"/>
  <c r="K557" i="7"/>
  <c r="K581" i="7"/>
  <c r="K279" i="7"/>
  <c r="K509" i="7"/>
  <c r="K409" i="7"/>
  <c r="K66" i="7"/>
  <c r="K29" i="7"/>
  <c r="K221" i="7"/>
  <c r="K452" i="7"/>
  <c r="K223" i="7"/>
  <c r="K347" i="7"/>
  <c r="K408" i="7"/>
  <c r="K225" i="7"/>
  <c r="K315" i="7"/>
  <c r="K410" i="7"/>
  <c r="K342" i="7"/>
  <c r="K532" i="7"/>
  <c r="K535" i="7"/>
  <c r="K446" i="7"/>
  <c r="K64" i="7"/>
  <c r="K313" i="7"/>
  <c r="K534" i="7"/>
  <c r="K285" i="7"/>
  <c r="K158" i="7"/>
  <c r="K156" i="7"/>
  <c r="K314" i="7"/>
  <c r="K445" i="7"/>
  <c r="K345" i="7"/>
  <c r="K27" i="7"/>
  <c r="K222" i="7"/>
  <c r="K505" i="7"/>
  <c r="K246" i="7"/>
  <c r="K130" i="7"/>
  <c r="K447" i="7"/>
  <c r="K346" i="7"/>
  <c r="K508" i="7"/>
  <c r="K65" i="7"/>
  <c r="K31" i="7"/>
  <c r="K282" i="7"/>
  <c r="K343" i="7"/>
  <c r="K513" i="7"/>
  <c r="K636" i="7"/>
  <c r="K281" i="7"/>
  <c r="K449" i="7"/>
  <c r="K671" i="7"/>
  <c r="K635" i="7"/>
  <c r="K670" i="7"/>
  <c r="K669" i="7"/>
  <c r="K510" i="7"/>
  <c r="K673" i="7"/>
  <c r="K641" i="7"/>
  <c r="K672" i="7"/>
  <c r="K450" i="7"/>
  <c r="K411" i="7"/>
  <c r="K507" i="7"/>
  <c r="H81" i="7"/>
  <c r="H108" i="7"/>
  <c r="X457" i="20"/>
  <c r="X451" i="20"/>
  <c r="AB255" i="7"/>
  <c r="F22" i="8"/>
  <c r="M105" i="8"/>
  <c r="H106" i="8"/>
  <c r="L106" i="8"/>
  <c r="P106" i="8"/>
  <c r="T101" i="8"/>
  <c r="U101" i="8" s="1"/>
  <c r="V101" i="8" s="1"/>
  <c r="W101" i="8" s="1"/>
  <c r="X101" i="8" s="1"/>
  <c r="Y101" i="8" s="1"/>
  <c r="Z101" i="8" s="1"/>
  <c r="AA101" i="8" s="1"/>
  <c r="AB101" i="8" s="1"/>
  <c r="AC101" i="8" s="1"/>
  <c r="AD101" i="8" s="1"/>
  <c r="AE101" i="8" s="1"/>
  <c r="H105" i="8"/>
  <c r="Q105" i="8"/>
  <c r="H115" i="2"/>
  <c r="AY115" i="2" s="1"/>
  <c r="I117" i="2"/>
  <c r="J105" i="20" s="1"/>
  <c r="AA105" i="20" s="1"/>
  <c r="J117" i="2"/>
  <c r="K105" i="20" s="1"/>
  <c r="AB105" i="20" s="1"/>
  <c r="K117" i="2"/>
  <c r="L105" i="20" s="1"/>
  <c r="AC105" i="20" s="1"/>
  <c r="K115" i="2"/>
  <c r="L103" i="20" s="1"/>
  <c r="AC103" i="20" s="1"/>
  <c r="H116" i="2"/>
  <c r="I104" i="20" s="1"/>
  <c r="Z104" i="20" s="1"/>
  <c r="I116" i="2"/>
  <c r="J104" i="20" s="1"/>
  <c r="AA104" i="20" s="1"/>
  <c r="H123" i="2"/>
  <c r="I112" i="20" s="1"/>
  <c r="Z112" i="20" s="1"/>
  <c r="CU304" i="17"/>
  <c r="CV304" i="17" s="1"/>
  <c r="CW304" i="17" s="1"/>
  <c r="CX304" i="17" s="1"/>
  <c r="AC372" i="12"/>
  <c r="E262" i="2" s="1"/>
  <c r="AV262" i="2" s="1"/>
  <c r="CU303" i="17"/>
  <c r="CV303" i="17" s="1"/>
  <c r="CW303" i="17" s="1"/>
  <c r="CX303" i="17" s="1"/>
  <c r="AC371" i="12"/>
  <c r="AC373" i="12"/>
  <c r="E264" i="2" s="1"/>
  <c r="AV263" i="2" s="1"/>
  <c r="CU305" i="17"/>
  <c r="CV305" i="17" s="1"/>
  <c r="CW305" i="17" s="1"/>
  <c r="CX305" i="17" s="1"/>
  <c r="CR308" i="17"/>
  <c r="I65" i="17"/>
  <c r="I222" i="17"/>
  <c r="AB399" i="7"/>
  <c r="AB12" i="8"/>
  <c r="J125" i="8"/>
  <c r="K118" i="8"/>
  <c r="K125" i="8" s="1"/>
  <c r="O105" i="8"/>
  <c r="M106" i="8"/>
  <c r="AB64" i="8"/>
  <c r="AD768" i="7"/>
  <c r="AE225" i="8"/>
  <c r="AD181" i="8"/>
  <c r="K105" i="8"/>
  <c r="S105" i="8"/>
  <c r="I106" i="8"/>
  <c r="Q106" i="8"/>
  <c r="I125" i="8"/>
  <c r="H125" i="8"/>
  <c r="Z23" i="8"/>
  <c r="AB59" i="8"/>
  <c r="AB16" i="8"/>
  <c r="AB22" i="8"/>
  <c r="AA22" i="8"/>
  <c r="I62" i="17"/>
  <c r="I225" i="17"/>
  <c r="AA21" i="8"/>
  <c r="AB21" i="8"/>
  <c r="AB15" i="8"/>
  <c r="Z22" i="8"/>
  <c r="AB62" i="8"/>
  <c r="AB65" i="8"/>
  <c r="AB23" i="8"/>
  <c r="AB17" i="8"/>
  <c r="AA23" i="8"/>
  <c r="AB30" i="8"/>
  <c r="AB60" i="8"/>
  <c r="AB51" i="7"/>
  <c r="AB77" i="8"/>
  <c r="AB192" i="8" s="1"/>
  <c r="CU12" i="17"/>
  <c r="L121" i="2" s="1"/>
  <c r="M110" i="20" s="1"/>
  <c r="AD110" i="20" s="1"/>
  <c r="CQ12" i="17"/>
  <c r="EQ11" i="6"/>
  <c r="AD225" i="8"/>
  <c r="AC768" i="7"/>
  <c r="K11" i="23"/>
  <c r="A12" i="24"/>
  <c r="A13" i="24"/>
  <c r="A14" i="24"/>
  <c r="A15" i="24"/>
  <c r="A16" i="24"/>
  <c r="A17" i="24"/>
  <c r="A18" i="24"/>
  <c r="A19" i="24"/>
  <c r="A20" i="24"/>
  <c r="A21" i="24"/>
  <c r="A22" i="24"/>
  <c r="A23" i="24"/>
  <c r="A24" i="24"/>
  <c r="A25" i="24"/>
  <c r="A26" i="24"/>
  <c r="A27" i="24"/>
  <c r="A28" i="24"/>
  <c r="B12" i="24"/>
  <c r="B13" i="24"/>
  <c r="B14" i="24"/>
  <c r="B15" i="24"/>
  <c r="B16" i="24"/>
  <c r="B17" i="24"/>
  <c r="B18" i="24"/>
  <c r="B19" i="24"/>
  <c r="B20" i="24"/>
  <c r="B21" i="24"/>
  <c r="B22" i="24"/>
  <c r="B23" i="24"/>
  <c r="B24" i="24"/>
  <c r="B25" i="24"/>
  <c r="B26" i="24"/>
  <c r="B27" i="24"/>
  <c r="CV240" i="17"/>
  <c r="CV14" i="17" s="1"/>
  <c r="M123" i="2" s="1"/>
  <c r="N112" i="20" s="1"/>
  <c r="AE112" i="20" s="1"/>
  <c r="E334" i="17"/>
  <c r="E325" i="17"/>
  <c r="E333" i="17"/>
  <c r="E324" i="17"/>
  <c r="E337" i="17"/>
  <c r="E328" i="17"/>
  <c r="E338" i="17"/>
  <c r="E329" i="17"/>
  <c r="Z450" i="20"/>
  <c r="Z456" i="20" s="1"/>
  <c r="Z462" i="20" s="1"/>
  <c r="H119" i="1"/>
  <c r="H136" i="7" s="1"/>
  <c r="J119" i="1"/>
  <c r="J136" i="7" s="1"/>
  <c r="L119" i="1"/>
  <c r="L136" i="7" s="1"/>
  <c r="AK18" i="6" s="1"/>
  <c r="N119" i="1"/>
  <c r="N136" i="7" s="1"/>
  <c r="AW18" i="6" s="1"/>
  <c r="P119" i="1"/>
  <c r="P136" i="7" s="1"/>
  <c r="BI18" i="6" s="1"/>
  <c r="R119" i="1"/>
  <c r="R136" i="7" s="1"/>
  <c r="T119" i="1"/>
  <c r="T136" i="7" s="1"/>
  <c r="CG18" i="6" s="1"/>
  <c r="V119" i="1"/>
  <c r="V136" i="7" s="1"/>
  <c r="V155" i="7" s="1"/>
  <c r="X119" i="1"/>
  <c r="X136" i="7" s="1"/>
  <c r="Z119" i="1"/>
  <c r="Z136" i="7" s="1"/>
  <c r="AB119" i="1"/>
  <c r="AB136" i="7" s="1"/>
  <c r="AC136" i="7" s="1"/>
  <c r="AD119" i="1"/>
  <c r="AF119" i="1"/>
  <c r="H130" i="1"/>
  <c r="H489" i="7" s="1"/>
  <c r="J130" i="1"/>
  <c r="J489" i="7" s="1"/>
  <c r="L130" i="1"/>
  <c r="L489" i="7" s="1"/>
  <c r="AK40" i="6" s="1"/>
  <c r="N130" i="1"/>
  <c r="N489" i="7" s="1"/>
  <c r="P130" i="1"/>
  <c r="P489" i="7" s="1"/>
  <c r="R130" i="1"/>
  <c r="R489" i="7" s="1"/>
  <c r="R740" i="7" s="1"/>
  <c r="T130" i="1"/>
  <c r="T489" i="7" s="1"/>
  <c r="CG40" i="6" s="1"/>
  <c r="V130" i="1"/>
  <c r="V489" i="7" s="1"/>
  <c r="X130" i="1"/>
  <c r="X489" i="7" s="1"/>
  <c r="Z130" i="1"/>
  <c r="Z489" i="7" s="1"/>
  <c r="DQ40" i="6" s="1"/>
  <c r="AB130" i="1"/>
  <c r="AB489" i="7" s="1"/>
  <c r="AD130" i="1"/>
  <c r="AF130" i="1"/>
  <c r="H136" i="1"/>
  <c r="J136" i="1"/>
  <c r="L136" i="1"/>
  <c r="L542" i="7" s="1"/>
  <c r="N136" i="1"/>
  <c r="N542" i="7" s="1"/>
  <c r="P136" i="1"/>
  <c r="P542" i="7" s="1"/>
  <c r="P736" i="7" s="1"/>
  <c r="R136" i="1"/>
  <c r="R542" i="7" s="1"/>
  <c r="R736" i="7" s="1"/>
  <c r="T136" i="1"/>
  <c r="T542" i="7" s="1"/>
  <c r="V136" i="1"/>
  <c r="X136" i="1"/>
  <c r="Z136" i="1"/>
  <c r="AB136" i="1"/>
  <c r="AD136" i="1"/>
  <c r="AF136" i="1"/>
  <c r="H140" i="1"/>
  <c r="J140" i="1"/>
  <c r="J426" i="7" s="1"/>
  <c r="L140" i="1"/>
  <c r="L426" i="7" s="1"/>
  <c r="N140" i="1"/>
  <c r="N426" i="7" s="1"/>
  <c r="N627" i="7" s="1"/>
  <c r="N638" i="7" s="1"/>
  <c r="P140" i="1"/>
  <c r="P426" i="7" s="1"/>
  <c r="P451" i="7" s="1"/>
  <c r="R140" i="1"/>
  <c r="R426" i="7" s="1"/>
  <c r="T140" i="1"/>
  <c r="T426" i="7" s="1"/>
  <c r="V140" i="1"/>
  <c r="V426" i="7" s="1"/>
  <c r="V627" i="7" s="1"/>
  <c r="V638" i="7" s="1"/>
  <c r="X140" i="1"/>
  <c r="X426" i="7" s="1"/>
  <c r="Z140" i="1"/>
  <c r="Z426" i="7" s="1"/>
  <c r="AB140" i="1"/>
  <c r="AB426" i="7" s="1"/>
  <c r="AD140" i="1"/>
  <c r="AF140" i="1"/>
  <c r="G154" i="1"/>
  <c r="G138" i="7" s="1"/>
  <c r="I154" i="1"/>
  <c r="I138" i="7" s="1"/>
  <c r="K154" i="1"/>
  <c r="K138" i="7" s="1"/>
  <c r="M154" i="1"/>
  <c r="M138" i="7" s="1"/>
  <c r="O154" i="1"/>
  <c r="O138" i="7" s="1"/>
  <c r="O752" i="7" s="1"/>
  <c r="Q154" i="1"/>
  <c r="Q138" i="7" s="1"/>
  <c r="S154" i="1"/>
  <c r="S138" i="7" s="1"/>
  <c r="CB20" i="6" s="1"/>
  <c r="U154" i="1"/>
  <c r="U138" i="7" s="1"/>
  <c r="W154" i="1"/>
  <c r="W138" i="7" s="1"/>
  <c r="Y154" i="1"/>
  <c r="Y138" i="7" s="1"/>
  <c r="AA154" i="1"/>
  <c r="AA138" i="7" s="1"/>
  <c r="AA752" i="7" s="1"/>
  <c r="AC154" i="1"/>
  <c r="AE154" i="1"/>
  <c r="J164" i="17"/>
  <c r="I176" i="17"/>
  <c r="M176" i="17"/>
  <c r="Q176" i="17"/>
  <c r="U176" i="17"/>
  <c r="Y176" i="17"/>
  <c r="AC176" i="17"/>
  <c r="AG176" i="17"/>
  <c r="AK176" i="17"/>
  <c r="AO176" i="17"/>
  <c r="AS176" i="17"/>
  <c r="C238" i="2"/>
  <c r="AT234" i="2" s="1"/>
  <c r="C239" i="2"/>
  <c r="AT235" i="2" s="1"/>
  <c r="C254" i="2"/>
  <c r="AT254" i="2" s="1"/>
  <c r="C255" i="2"/>
  <c r="AT255" i="2" s="1"/>
  <c r="D100" i="2"/>
  <c r="C253" i="2"/>
  <c r="AT253" i="2" s="1"/>
  <c r="F143" i="20"/>
  <c r="H143" i="20" s="1"/>
  <c r="I143" i="20" s="1"/>
  <c r="J143" i="20" s="1"/>
  <c r="E219" i="20"/>
  <c r="F219" i="20" s="1"/>
  <c r="G219" i="20" s="1"/>
  <c r="H219" i="20" s="1"/>
  <c r="AM219" i="20"/>
  <c r="AN219" i="20" s="1"/>
  <c r="AO219" i="20" s="1"/>
  <c r="AP219" i="20" s="1"/>
  <c r="E301" i="20"/>
  <c r="G301" i="20" s="1"/>
  <c r="I301" i="20" s="1"/>
  <c r="K301" i="20" s="1"/>
  <c r="F336" i="20"/>
  <c r="H336" i="20" s="1"/>
  <c r="J336" i="20" s="1"/>
  <c r="L336" i="20" s="1"/>
  <c r="F405" i="20"/>
  <c r="H405" i="20" s="1"/>
  <c r="J405" i="20" s="1"/>
  <c r="L405" i="20" s="1"/>
  <c r="AN405" i="20"/>
  <c r="AP405" i="20" s="1"/>
  <c r="AR405" i="20" s="1"/>
  <c r="AT405" i="20" s="1"/>
  <c r="F478" i="20"/>
  <c r="H478" i="20" s="1"/>
  <c r="J478" i="20" s="1"/>
  <c r="L478" i="20" s="1"/>
  <c r="E532" i="20"/>
  <c r="H532" i="20" s="1"/>
  <c r="J532" i="20" s="1"/>
  <c r="L532" i="20" s="1"/>
  <c r="F16" i="20"/>
  <c r="F58" i="20"/>
  <c r="H58" i="20" s="1"/>
  <c r="I58" i="20" s="1"/>
  <c r="J58" i="20" s="1"/>
  <c r="F172" i="20"/>
  <c r="H172" i="20" s="1"/>
  <c r="J172" i="20" s="1"/>
  <c r="L172" i="20" s="1"/>
  <c r="F275" i="20"/>
  <c r="H275" i="20" s="1"/>
  <c r="J275" i="20" s="1"/>
  <c r="L275" i="20" s="1"/>
  <c r="F373" i="20"/>
  <c r="H373" i="20" s="1"/>
  <c r="J373" i="20" s="1"/>
  <c r="L373" i="20" s="1"/>
  <c r="AB33" i="8"/>
  <c r="I35" i="12"/>
  <c r="Q58" i="11" s="1"/>
  <c r="K35" i="12"/>
  <c r="AA58" i="11" s="1"/>
  <c r="M35" i="12"/>
  <c r="AK58" i="11" s="1"/>
  <c r="O35" i="12"/>
  <c r="AU58" i="11" s="1"/>
  <c r="Q35" i="12"/>
  <c r="BE58" i="11" s="1"/>
  <c r="S35" i="12"/>
  <c r="BO58" i="11" s="1"/>
  <c r="U35" i="12"/>
  <c r="BY58" i="11" s="1"/>
  <c r="W35" i="12"/>
  <c r="CI58" i="11" s="1"/>
  <c r="Y35" i="12"/>
  <c r="CS58" i="11" s="1"/>
  <c r="AA35" i="12"/>
  <c r="DC58" i="11" s="1"/>
  <c r="H36" i="12"/>
  <c r="L59" i="11" s="1"/>
  <c r="J36" i="12"/>
  <c r="V59" i="11" s="1"/>
  <c r="L36" i="12"/>
  <c r="AF59" i="11" s="1"/>
  <c r="N36" i="12"/>
  <c r="AP59" i="11" s="1"/>
  <c r="P36" i="12"/>
  <c r="AZ59" i="11" s="1"/>
  <c r="R36" i="12"/>
  <c r="BJ59" i="11" s="1"/>
  <c r="T36" i="12"/>
  <c r="BT59" i="11" s="1"/>
  <c r="V36" i="12"/>
  <c r="CD59" i="11" s="1"/>
  <c r="X36" i="12"/>
  <c r="CN59" i="11" s="1"/>
  <c r="Z36" i="12"/>
  <c r="CX59" i="11" s="1"/>
  <c r="AB36" i="12"/>
  <c r="DH59" i="11" s="1"/>
  <c r="G36" i="1"/>
  <c r="G28" i="12" s="1"/>
  <c r="J68" i="17" s="1"/>
  <c r="I68" i="17" s="1"/>
  <c r="I36" i="1"/>
  <c r="I28" i="12" s="1"/>
  <c r="K36" i="1"/>
  <c r="K28" i="12" s="1"/>
  <c r="M36" i="1"/>
  <c r="M28" i="12" s="1"/>
  <c r="O36" i="1"/>
  <c r="O28" i="12" s="1"/>
  <c r="Q36" i="1"/>
  <c r="Q28" i="12" s="1"/>
  <c r="S36" i="1"/>
  <c r="S28" i="12" s="1"/>
  <c r="U36" i="1"/>
  <c r="U28" i="12" s="1"/>
  <c r="BN68" i="17" s="1"/>
  <c r="W36" i="1"/>
  <c r="W28" i="12" s="1"/>
  <c r="Y36" i="1"/>
  <c r="Y28" i="12" s="1"/>
  <c r="AA36" i="1"/>
  <c r="AA28" i="12" s="1"/>
  <c r="AC36" i="1"/>
  <c r="AC28" i="12" s="1"/>
  <c r="AE36" i="1"/>
  <c r="H77" i="1"/>
  <c r="H211" i="12" s="1"/>
  <c r="J77" i="1"/>
  <c r="J211" i="12" s="1"/>
  <c r="L77" i="1"/>
  <c r="L211" i="12" s="1"/>
  <c r="AI64" i="11" s="1"/>
  <c r="N77" i="1"/>
  <c r="N211" i="12" s="1"/>
  <c r="P77" i="1"/>
  <c r="P211" i="12" s="1"/>
  <c r="R77" i="1"/>
  <c r="R211" i="12" s="1"/>
  <c r="T77" i="1"/>
  <c r="T211" i="12" s="1"/>
  <c r="V77" i="1"/>
  <c r="V211" i="12" s="1"/>
  <c r="X77" i="1"/>
  <c r="X211" i="12" s="1"/>
  <c r="Z77" i="1"/>
  <c r="Z211" i="12" s="1"/>
  <c r="Z213" i="12" s="1"/>
  <c r="AB77" i="1"/>
  <c r="AB211" i="12" s="1"/>
  <c r="AD77" i="1"/>
  <c r="AF77" i="1"/>
  <c r="AW176" i="17"/>
  <c r="BA176" i="17"/>
  <c r="BE176" i="17"/>
  <c r="BI176" i="17"/>
  <c r="BM176" i="17"/>
  <c r="CR12" i="17"/>
  <c r="CT12" i="17"/>
  <c r="CV12" i="17"/>
  <c r="M121" i="2" s="1"/>
  <c r="N110" i="20" s="1"/>
  <c r="AE110" i="20" s="1"/>
  <c r="AD154" i="1"/>
  <c r="AF154" i="1"/>
  <c r="CX183" i="17"/>
  <c r="CW183" i="17"/>
  <c r="G119" i="1"/>
  <c r="I119" i="1"/>
  <c r="K119" i="1"/>
  <c r="K136" i="7" s="1"/>
  <c r="M119" i="1"/>
  <c r="M136" i="7" s="1"/>
  <c r="O119" i="1"/>
  <c r="O136" i="7" s="1"/>
  <c r="Q119" i="1"/>
  <c r="Q136" i="7" s="1"/>
  <c r="S119" i="1"/>
  <c r="S136" i="7" s="1"/>
  <c r="U119" i="1"/>
  <c r="U136" i="7" s="1"/>
  <c r="W119" i="1"/>
  <c r="W136" i="7" s="1"/>
  <c r="Y119" i="1"/>
  <c r="Y136" i="7" s="1"/>
  <c r="Y155" i="7" s="1"/>
  <c r="AA119" i="1"/>
  <c r="AA136" i="7" s="1"/>
  <c r="AC119" i="1"/>
  <c r="AE119" i="1"/>
  <c r="G130" i="1"/>
  <c r="G489" i="7" s="1"/>
  <c r="I130" i="1"/>
  <c r="I489" i="7" s="1"/>
  <c r="K130" i="1"/>
  <c r="K489" i="7" s="1"/>
  <c r="M130" i="1"/>
  <c r="M489" i="7" s="1"/>
  <c r="O130" i="1"/>
  <c r="O489" i="7" s="1"/>
  <c r="Q130" i="1"/>
  <c r="Q489" i="7" s="1"/>
  <c r="S130" i="1"/>
  <c r="S489" i="7" s="1"/>
  <c r="U130" i="1"/>
  <c r="U489" i="7" s="1"/>
  <c r="U512" i="7" s="1"/>
  <c r="W130" i="1"/>
  <c r="W489" i="7" s="1"/>
  <c r="Y130" i="1"/>
  <c r="Y489" i="7" s="1"/>
  <c r="AA130" i="1"/>
  <c r="AA489" i="7" s="1"/>
  <c r="AC130" i="1"/>
  <c r="AE130" i="1"/>
  <c r="G136" i="1"/>
  <c r="G542" i="7" s="1"/>
  <c r="I136" i="1"/>
  <c r="I542" i="7" s="1"/>
  <c r="K136" i="1"/>
  <c r="K542" i="7" s="1"/>
  <c r="M136" i="1"/>
  <c r="M542" i="7" s="1"/>
  <c r="M736" i="7" s="1"/>
  <c r="O136" i="1"/>
  <c r="O542" i="7" s="1"/>
  <c r="O555" i="7" s="1"/>
  <c r="Q136" i="1"/>
  <c r="Q542" i="7" s="1"/>
  <c r="Q736" i="7" s="1"/>
  <c r="S136" i="1"/>
  <c r="S542" i="7" s="1"/>
  <c r="S555" i="7" s="1"/>
  <c r="U136" i="1"/>
  <c r="U542" i="7" s="1"/>
  <c r="W136" i="1"/>
  <c r="Y136" i="1"/>
  <c r="AA136" i="1"/>
  <c r="AC136" i="1"/>
  <c r="AE136" i="1"/>
  <c r="G140" i="1"/>
  <c r="G426" i="7" s="1"/>
  <c r="I140" i="1"/>
  <c r="K140" i="1"/>
  <c r="K426" i="7" s="1"/>
  <c r="M140" i="1"/>
  <c r="M426" i="7" s="1"/>
  <c r="O140" i="1"/>
  <c r="O426" i="7" s="1"/>
  <c r="Q140" i="1"/>
  <c r="Q426" i="7" s="1"/>
  <c r="S140" i="1"/>
  <c r="S426" i="7" s="1"/>
  <c r="U140" i="1"/>
  <c r="U426" i="7" s="1"/>
  <c r="W140" i="1"/>
  <c r="W426" i="7" s="1"/>
  <c r="Y140" i="1"/>
  <c r="Y426" i="7" s="1"/>
  <c r="Y451" i="7" s="1"/>
  <c r="AA140" i="1"/>
  <c r="AA426" i="7" s="1"/>
  <c r="AC140" i="1"/>
  <c r="AE140" i="1"/>
  <c r="G189" i="1"/>
  <c r="G143" i="7" s="1"/>
  <c r="I189" i="1"/>
  <c r="I143" i="7" s="1"/>
  <c r="K189" i="1"/>
  <c r="M189" i="1"/>
  <c r="M143" i="7" s="1"/>
  <c r="O189" i="1"/>
  <c r="O143" i="7" s="1"/>
  <c r="BB18" i="6" s="1"/>
  <c r="Q189" i="1"/>
  <c r="Q143" i="7" s="1"/>
  <c r="S189" i="1"/>
  <c r="S143" i="7" s="1"/>
  <c r="BZ18" i="6" s="1"/>
  <c r="U189" i="1"/>
  <c r="U143" i="7" s="1"/>
  <c r="W189" i="1"/>
  <c r="W143" i="7" s="1"/>
  <c r="CX18" i="6" s="1"/>
  <c r="Y189" i="1"/>
  <c r="Y143" i="7" s="1"/>
  <c r="Y160" i="7" s="1"/>
  <c r="AA189" i="1"/>
  <c r="AA143" i="7" s="1"/>
  <c r="AC189" i="1"/>
  <c r="AE189" i="1"/>
  <c r="H189" i="1"/>
  <c r="J189" i="1"/>
  <c r="L189" i="1"/>
  <c r="L143" i="7" s="1"/>
  <c r="N189" i="1"/>
  <c r="N143" i="7" s="1"/>
  <c r="AV18" i="6" s="1"/>
  <c r="P189" i="1"/>
  <c r="P143" i="7" s="1"/>
  <c r="R189" i="1"/>
  <c r="R143" i="7" s="1"/>
  <c r="R160" i="7" s="1"/>
  <c r="T189" i="1"/>
  <c r="T143" i="7" s="1"/>
  <c r="V189" i="1"/>
  <c r="V143" i="7" s="1"/>
  <c r="CR18" i="6" s="1"/>
  <c r="X189" i="1"/>
  <c r="X143" i="7" s="1"/>
  <c r="Z189" i="1"/>
  <c r="Z143" i="7" s="1"/>
  <c r="C190" i="2" s="1"/>
  <c r="AT190" i="2" s="1"/>
  <c r="AB189" i="1"/>
  <c r="AB143" i="7" s="1"/>
  <c r="AD189" i="1"/>
  <c r="AF189" i="1"/>
  <c r="G203" i="1"/>
  <c r="G488" i="7" s="1"/>
  <c r="I203" i="1"/>
  <c r="I488" i="7" s="1"/>
  <c r="K203" i="1"/>
  <c r="K488" i="7" s="1"/>
  <c r="M203" i="1"/>
  <c r="M488" i="7" s="1"/>
  <c r="AP40" i="6" s="1"/>
  <c r="O203" i="1"/>
  <c r="O488" i="7" s="1"/>
  <c r="O723" i="7" s="1"/>
  <c r="Q203" i="1"/>
  <c r="Q488" i="7" s="1"/>
  <c r="S203" i="1"/>
  <c r="S488" i="7" s="1"/>
  <c r="S723" i="7" s="1"/>
  <c r="U203" i="1"/>
  <c r="U488" i="7" s="1"/>
  <c r="U723" i="7" s="1"/>
  <c r="W203" i="1"/>
  <c r="W488" i="7" s="1"/>
  <c r="W723" i="7" s="1"/>
  <c r="Y203" i="1"/>
  <c r="Y488" i="7" s="1"/>
  <c r="AA203" i="1"/>
  <c r="AA488" i="7" s="1"/>
  <c r="AC203" i="1"/>
  <c r="AE203" i="1"/>
  <c r="H203" i="1"/>
  <c r="J203" i="1"/>
  <c r="J488" i="7" s="1"/>
  <c r="L203" i="1"/>
  <c r="L488" i="7" s="1"/>
  <c r="L723" i="7" s="1"/>
  <c r="N203" i="1"/>
  <c r="N488" i="7" s="1"/>
  <c r="P203" i="1"/>
  <c r="P488" i="7" s="1"/>
  <c r="R203" i="1"/>
  <c r="R488" i="7" s="1"/>
  <c r="BT40" i="6" s="1"/>
  <c r="T203" i="1"/>
  <c r="T488" i="7" s="1"/>
  <c r="CF40" i="6" s="1"/>
  <c r="V203" i="1"/>
  <c r="V488" i="7" s="1"/>
  <c r="X203" i="1"/>
  <c r="X488" i="7" s="1"/>
  <c r="DD40" i="6" s="1"/>
  <c r="Z203" i="1"/>
  <c r="Z488" i="7" s="1"/>
  <c r="DP40" i="6" s="1"/>
  <c r="AB203" i="1"/>
  <c r="AB488" i="7" s="1"/>
  <c r="AD203" i="1"/>
  <c r="AF203" i="1"/>
  <c r="G209" i="1"/>
  <c r="I209" i="1"/>
  <c r="I541" i="7" s="1"/>
  <c r="K209" i="1"/>
  <c r="K541" i="7" s="1"/>
  <c r="M209" i="1"/>
  <c r="M541" i="7" s="1"/>
  <c r="O209" i="1"/>
  <c r="O541" i="7" s="1"/>
  <c r="O719" i="7" s="1"/>
  <c r="Q209" i="1"/>
  <c r="Q541" i="7" s="1"/>
  <c r="Q719" i="7" s="1"/>
  <c r="S209" i="1"/>
  <c r="S541" i="7" s="1"/>
  <c r="U209" i="1"/>
  <c r="U541" i="7" s="1"/>
  <c r="W209" i="1"/>
  <c r="W541" i="7" s="1"/>
  <c r="W719" i="7" s="1"/>
  <c r="Y209" i="1"/>
  <c r="Y541" i="7" s="1"/>
  <c r="Y719" i="7" s="1"/>
  <c r="AA209" i="1"/>
  <c r="AA541" i="7" s="1"/>
  <c r="AC209" i="1"/>
  <c r="AE209" i="1"/>
  <c r="H209" i="1"/>
  <c r="J209" i="1"/>
  <c r="J541" i="7" s="1"/>
  <c r="L209" i="1"/>
  <c r="L541" i="7" s="1"/>
  <c r="N209" i="1"/>
  <c r="N541" i="7" s="1"/>
  <c r="N554" i="7" s="1"/>
  <c r="H231" i="1"/>
  <c r="H216" i="8" s="1"/>
  <c r="J231" i="1"/>
  <c r="J216" i="8" s="1"/>
  <c r="J768" i="7" s="1"/>
  <c r="J772" i="7" s="1"/>
  <c r="J773" i="7" s="1"/>
  <c r="J774" i="7" s="1"/>
  <c r="L231" i="1"/>
  <c r="L216" i="8" s="1"/>
  <c r="N231" i="1"/>
  <c r="N216" i="8" s="1"/>
  <c r="AY11" i="6" s="1"/>
  <c r="P231" i="1"/>
  <c r="P216" i="8" s="1"/>
  <c r="P768" i="7" s="1"/>
  <c r="R231" i="1"/>
  <c r="R216" i="8" s="1"/>
  <c r="T231" i="1"/>
  <c r="T216" i="8" s="1"/>
  <c r="T218" i="8" s="1"/>
  <c r="V231" i="1"/>
  <c r="V216" i="8" s="1"/>
  <c r="V768" i="7" s="1"/>
  <c r="X231" i="1"/>
  <c r="X216" i="8" s="1"/>
  <c r="X233" i="8" s="1"/>
  <c r="Z231" i="1"/>
  <c r="Z216" i="8" s="1"/>
  <c r="AB231" i="1"/>
  <c r="AB216" i="8" s="1"/>
  <c r="AD231" i="1"/>
  <c r="AF231" i="1"/>
  <c r="G242" i="1"/>
  <c r="G204" i="7" s="1"/>
  <c r="I242" i="1"/>
  <c r="I204" i="7" s="1"/>
  <c r="K242" i="1"/>
  <c r="M242" i="1"/>
  <c r="M204" i="7" s="1"/>
  <c r="AS30" i="6" s="1"/>
  <c r="O242" i="1"/>
  <c r="O204" i="7" s="1"/>
  <c r="Q242" i="1"/>
  <c r="Q204" i="7" s="1"/>
  <c r="S242" i="1"/>
  <c r="S204" i="7" s="1"/>
  <c r="S777" i="7" s="1"/>
  <c r="U242" i="1"/>
  <c r="U204" i="7" s="1"/>
  <c r="U224" i="7" s="1"/>
  <c r="W242" i="1"/>
  <c r="W204" i="7" s="1"/>
  <c r="Y242" i="1"/>
  <c r="Y204" i="7" s="1"/>
  <c r="AA242" i="1"/>
  <c r="AA204" i="7" s="1"/>
  <c r="AC242" i="1"/>
  <c r="AE242" i="1"/>
  <c r="G246" i="1"/>
  <c r="G258" i="7" s="1"/>
  <c r="I246" i="1"/>
  <c r="I258" i="7" s="1"/>
  <c r="K246" i="1"/>
  <c r="K258" i="7" s="1"/>
  <c r="M246" i="1"/>
  <c r="M258" i="7" s="1"/>
  <c r="M284" i="7" s="1"/>
  <c r="O246" i="1"/>
  <c r="O258" i="7" s="1"/>
  <c r="Q246" i="1"/>
  <c r="Q258" i="7" s="1"/>
  <c r="Q284" i="7" s="1"/>
  <c r="S246" i="1"/>
  <c r="S258" i="7" s="1"/>
  <c r="S284" i="7" s="1"/>
  <c r="U246" i="1"/>
  <c r="U258" i="7" s="1"/>
  <c r="U284" i="7" s="1"/>
  <c r="W246" i="1"/>
  <c r="W258" i="7" s="1"/>
  <c r="Y246" i="1"/>
  <c r="Y258" i="7" s="1"/>
  <c r="Y284" i="7" s="1"/>
  <c r="AA246" i="1"/>
  <c r="AA258" i="7" s="1"/>
  <c r="AC246" i="1"/>
  <c r="AE246" i="1"/>
  <c r="G250" i="1"/>
  <c r="G301" i="7" s="1"/>
  <c r="I250" i="1"/>
  <c r="I301" i="7" s="1"/>
  <c r="K250" i="1"/>
  <c r="K301" i="7" s="1"/>
  <c r="M250" i="1"/>
  <c r="M301" i="7" s="1"/>
  <c r="O250" i="1"/>
  <c r="O301" i="7" s="1"/>
  <c r="Q250" i="1"/>
  <c r="Q301" i="7" s="1"/>
  <c r="Q780" i="7" s="1"/>
  <c r="S250" i="1"/>
  <c r="S301" i="7" s="1"/>
  <c r="S780" i="7" s="1"/>
  <c r="U250" i="1"/>
  <c r="U301" i="7" s="1"/>
  <c r="U316" i="7" s="1"/>
  <c r="W250" i="1"/>
  <c r="W301" i="7" s="1"/>
  <c r="W780" i="7" s="1"/>
  <c r="Y250" i="1"/>
  <c r="Y301" i="7" s="1"/>
  <c r="Y780" i="7" s="1"/>
  <c r="AA250" i="1"/>
  <c r="AA301" i="7" s="1"/>
  <c r="AC250" i="1"/>
  <c r="AE250" i="1"/>
  <c r="G254" i="1"/>
  <c r="G329" i="7" s="1"/>
  <c r="I254" i="1"/>
  <c r="K254" i="1"/>
  <c r="K329" i="7" s="1"/>
  <c r="M254" i="1"/>
  <c r="M329" i="7" s="1"/>
  <c r="AS28" i="6" s="1"/>
  <c r="O254" i="1"/>
  <c r="O329" i="7" s="1"/>
  <c r="BE28" i="6" s="1"/>
  <c r="Q254" i="1"/>
  <c r="Q329" i="7" s="1"/>
  <c r="S254" i="1"/>
  <c r="S329" i="7" s="1"/>
  <c r="U254" i="1"/>
  <c r="U329" i="7" s="1"/>
  <c r="CO28" i="6" s="1"/>
  <c r="W254" i="1"/>
  <c r="W329" i="7" s="1"/>
  <c r="DA28" i="6" s="1"/>
  <c r="Y254" i="1"/>
  <c r="Y329" i="7" s="1"/>
  <c r="AA254" i="1"/>
  <c r="AA329" i="7" s="1"/>
  <c r="AC254" i="1"/>
  <c r="AE254" i="1"/>
  <c r="O620" i="7"/>
  <c r="O621" i="7" s="1"/>
  <c r="Q620" i="7"/>
  <c r="Q621" i="7" s="1"/>
  <c r="S620" i="7"/>
  <c r="S621" i="7" s="1"/>
  <c r="J259" i="17"/>
  <c r="I260" i="17" s="1"/>
  <c r="I263" i="17"/>
  <c r="I15" i="17" s="1"/>
  <c r="L296" i="17"/>
  <c r="BQ176" i="17"/>
  <c r="BU176" i="17"/>
  <c r="BY176" i="17"/>
  <c r="CC176" i="17"/>
  <c r="J167" i="17"/>
  <c r="I168" i="17" s="1"/>
  <c r="I179" i="17"/>
  <c r="M179" i="17"/>
  <c r="Q179" i="17"/>
  <c r="U179" i="17"/>
  <c r="Y179" i="17"/>
  <c r="AC179" i="17"/>
  <c r="AG179" i="17"/>
  <c r="AK179" i="17"/>
  <c r="AO179" i="17"/>
  <c r="AS179" i="17"/>
  <c r="AW179" i="17"/>
  <c r="BA179" i="17"/>
  <c r="BE179" i="17"/>
  <c r="BI179" i="17"/>
  <c r="BM179" i="17"/>
  <c r="BQ179" i="17"/>
  <c r="BU179" i="17"/>
  <c r="BY179" i="17"/>
  <c r="CC179" i="17"/>
  <c r="H36" i="1"/>
  <c r="H28" i="12" s="1"/>
  <c r="N68" i="17" s="1"/>
  <c r="J36" i="1"/>
  <c r="J28" i="12" s="1"/>
  <c r="L36" i="1"/>
  <c r="L28" i="12" s="1"/>
  <c r="AD68" i="17" s="1"/>
  <c r="N36" i="1"/>
  <c r="N28" i="12" s="1"/>
  <c r="P36" i="1"/>
  <c r="P28" i="12" s="1"/>
  <c r="AT68" i="17" s="1"/>
  <c r="R36" i="1"/>
  <c r="R28" i="12" s="1"/>
  <c r="T36" i="1"/>
  <c r="T28" i="12" s="1"/>
  <c r="BJ68" i="17" s="1"/>
  <c r="V36" i="1"/>
  <c r="V28" i="12" s="1"/>
  <c r="X36" i="1"/>
  <c r="X28" i="12" s="1"/>
  <c r="BZ68" i="17" s="1"/>
  <c r="Z36" i="1"/>
  <c r="Z28" i="12" s="1"/>
  <c r="AB36" i="1"/>
  <c r="AB28" i="12" s="1"/>
  <c r="CP68" i="17" s="1"/>
  <c r="AD36" i="1"/>
  <c r="AF36" i="1"/>
  <c r="G77" i="1"/>
  <c r="G211" i="12" s="1"/>
  <c r="I77" i="1"/>
  <c r="I211" i="12" s="1"/>
  <c r="K77" i="1"/>
  <c r="K211" i="12" s="1"/>
  <c r="M77" i="1"/>
  <c r="M211" i="12" s="1"/>
  <c r="M213" i="12" s="1"/>
  <c r="O77" i="1"/>
  <c r="O211" i="12" s="1"/>
  <c r="Q77" i="1"/>
  <c r="Q211" i="12" s="1"/>
  <c r="S77" i="1"/>
  <c r="S211" i="12" s="1"/>
  <c r="U77" i="1"/>
  <c r="U211" i="12" s="1"/>
  <c r="W77" i="1"/>
  <c r="W211" i="12" s="1"/>
  <c r="Y77" i="1"/>
  <c r="Y211" i="12" s="1"/>
  <c r="AA77" i="1"/>
  <c r="AA211" i="12" s="1"/>
  <c r="C141" i="2" s="1"/>
  <c r="AT141" i="2" s="1"/>
  <c r="AC77" i="1"/>
  <c r="AC211" i="12" s="1"/>
  <c r="AE77" i="1"/>
  <c r="AB484" i="7"/>
  <c r="AC484" i="7" s="1"/>
  <c r="AB497" i="7"/>
  <c r="AB498" i="7"/>
  <c r="P209" i="1"/>
  <c r="P541" i="7" s="1"/>
  <c r="P719" i="7" s="1"/>
  <c r="R209" i="1"/>
  <c r="R541" i="7" s="1"/>
  <c r="R719" i="7" s="1"/>
  <c r="DK119" i="11"/>
  <c r="AB223" i="8"/>
  <c r="AB418" i="7"/>
  <c r="AB421" i="7"/>
  <c r="AB494" i="7"/>
  <c r="AB495" i="7"/>
  <c r="T209" i="1"/>
  <c r="T541" i="7" s="1"/>
  <c r="T554" i="7" s="1"/>
  <c r="V209" i="1"/>
  <c r="V541" i="7" s="1"/>
  <c r="CR47" i="6" s="1"/>
  <c r="X209" i="1"/>
  <c r="X541" i="7" s="1"/>
  <c r="X719" i="7" s="1"/>
  <c r="Z209" i="1"/>
  <c r="Z541" i="7" s="1"/>
  <c r="AB209" i="1"/>
  <c r="AB541" i="7" s="1"/>
  <c r="AD209" i="1"/>
  <c r="AF209" i="1"/>
  <c r="G231" i="1"/>
  <c r="G216" i="8" s="1"/>
  <c r="I231" i="1"/>
  <c r="I216" i="8" s="1"/>
  <c r="I768" i="7" s="1"/>
  <c r="I772" i="7" s="1"/>
  <c r="K231" i="1"/>
  <c r="K216" i="8" s="1"/>
  <c r="M231" i="1"/>
  <c r="M216" i="8" s="1"/>
  <c r="AS11" i="6" s="1"/>
  <c r="O231" i="1"/>
  <c r="O216" i="8" s="1"/>
  <c r="Q231" i="1"/>
  <c r="Q216" i="8" s="1"/>
  <c r="Q768" i="7" s="1"/>
  <c r="S231" i="1"/>
  <c r="S216" i="8" s="1"/>
  <c r="S233" i="8" s="1"/>
  <c r="U231" i="1"/>
  <c r="U216" i="8" s="1"/>
  <c r="CO11" i="6" s="1"/>
  <c r="W231" i="1"/>
  <c r="W216" i="8" s="1"/>
  <c r="Y231" i="1"/>
  <c r="Y216" i="8" s="1"/>
  <c r="Y768" i="7" s="1"/>
  <c r="AA231" i="1"/>
  <c r="AA216" i="8" s="1"/>
  <c r="AA768" i="7" s="1"/>
  <c r="AC231" i="1"/>
  <c r="AE231" i="1"/>
  <c r="H242" i="1"/>
  <c r="J242" i="1"/>
  <c r="J204" i="7" s="1"/>
  <c r="L242" i="1"/>
  <c r="L204" i="7" s="1"/>
  <c r="L224" i="7" s="1"/>
  <c r="N242" i="1"/>
  <c r="N204" i="7" s="1"/>
  <c r="P242" i="1"/>
  <c r="P204" i="7" s="1"/>
  <c r="P777" i="7" s="1"/>
  <c r="R242" i="1"/>
  <c r="R204" i="7" s="1"/>
  <c r="BW30" i="6" s="1"/>
  <c r="BW79" i="6" s="1"/>
  <c r="T242" i="1"/>
  <c r="T204" i="7" s="1"/>
  <c r="CI30" i="6" s="1"/>
  <c r="V242" i="1"/>
  <c r="V204" i="7" s="1"/>
  <c r="X242" i="1"/>
  <c r="X204" i="7" s="1"/>
  <c r="X224" i="7" s="1"/>
  <c r="Z242" i="1"/>
  <c r="Z204" i="7" s="1"/>
  <c r="Z224" i="7" s="1"/>
  <c r="AB242" i="1"/>
  <c r="AB204" i="7" s="1"/>
  <c r="AD242" i="1"/>
  <c r="AF242" i="1"/>
  <c r="H246" i="1"/>
  <c r="H258" i="7" s="1"/>
  <c r="J246" i="1"/>
  <c r="J258" i="7" s="1"/>
  <c r="L246" i="1"/>
  <c r="L258" i="7" s="1"/>
  <c r="N246" i="1"/>
  <c r="N258" i="7" s="1"/>
  <c r="N284" i="7" s="1"/>
  <c r="P246" i="1"/>
  <c r="P258" i="7" s="1"/>
  <c r="BK24" i="6" s="1"/>
  <c r="BK73" i="6" s="1"/>
  <c r="R246" i="1"/>
  <c r="R258" i="7" s="1"/>
  <c r="BW24" i="6" s="1"/>
  <c r="BW73" i="6" s="1"/>
  <c r="T246" i="1"/>
  <c r="T258" i="7" s="1"/>
  <c r="V246" i="1"/>
  <c r="V258" i="7" s="1"/>
  <c r="CU24" i="6" s="1"/>
  <c r="X246" i="1"/>
  <c r="X258" i="7" s="1"/>
  <c r="X284" i="7" s="1"/>
  <c r="Z246" i="1"/>
  <c r="Z258" i="7" s="1"/>
  <c r="Z779" i="7" s="1"/>
  <c r="AB246" i="1"/>
  <c r="AB258" i="7" s="1"/>
  <c r="AD246" i="1"/>
  <c r="AF246" i="1"/>
  <c r="H250" i="1"/>
  <c r="H301" i="7" s="1"/>
  <c r="J250" i="1"/>
  <c r="J301" i="7" s="1"/>
  <c r="L250" i="1"/>
  <c r="L301" i="7" s="1"/>
  <c r="L316" i="7" s="1"/>
  <c r="N250" i="1"/>
  <c r="N301" i="7" s="1"/>
  <c r="N780" i="7" s="1"/>
  <c r="P250" i="1"/>
  <c r="P301" i="7" s="1"/>
  <c r="R250" i="1"/>
  <c r="R301" i="7" s="1"/>
  <c r="T250" i="1"/>
  <c r="T301" i="7" s="1"/>
  <c r="T316" i="7" s="1"/>
  <c r="V250" i="1"/>
  <c r="V301" i="7" s="1"/>
  <c r="V303" i="7" s="1"/>
  <c r="X250" i="1"/>
  <c r="X301" i="7" s="1"/>
  <c r="X780" i="7" s="1"/>
  <c r="Z250" i="1"/>
  <c r="Z301" i="7" s="1"/>
  <c r="AB250" i="1"/>
  <c r="AB301" i="7" s="1"/>
  <c r="AD250" i="1"/>
  <c r="AF250" i="1"/>
  <c r="H254" i="1"/>
  <c r="H329" i="7" s="1"/>
  <c r="J254" i="1"/>
  <c r="L254" i="1"/>
  <c r="L329" i="7" s="1"/>
  <c r="AM28" i="6" s="1"/>
  <c r="N254" i="1"/>
  <c r="N329" i="7" s="1"/>
  <c r="AY28" i="6" s="1"/>
  <c r="P254" i="1"/>
  <c r="P329" i="7" s="1"/>
  <c r="R254" i="1"/>
  <c r="R329" i="7" s="1"/>
  <c r="R778" i="7" s="1"/>
  <c r="T254" i="1"/>
  <c r="T329" i="7" s="1"/>
  <c r="T778" i="7" s="1"/>
  <c r="V254" i="1"/>
  <c r="V329" i="7" s="1"/>
  <c r="X254" i="1"/>
  <c r="X329" i="7" s="1"/>
  <c r="Z254" i="1"/>
  <c r="Z329" i="7" s="1"/>
  <c r="Z348" i="7" s="1"/>
  <c r="AB254" i="1"/>
  <c r="AD254" i="1"/>
  <c r="AF254" i="1"/>
  <c r="G322" i="12"/>
  <c r="H113" i="8"/>
  <c r="J113" i="8"/>
  <c r="L113" i="8"/>
  <c r="N113" i="8"/>
  <c r="P113" i="8"/>
  <c r="R113" i="8"/>
  <c r="T113" i="8"/>
  <c r="V113" i="8"/>
  <c r="X113" i="8"/>
  <c r="Z113" i="8"/>
  <c r="J76" i="17"/>
  <c r="L76" i="17"/>
  <c r="N76" i="17"/>
  <c r="P76" i="17"/>
  <c r="R76" i="17"/>
  <c r="T76" i="17"/>
  <c r="V76" i="17"/>
  <c r="X76" i="17"/>
  <c r="Z76" i="17"/>
  <c r="AB76" i="17"/>
  <c r="AD76" i="17"/>
  <c r="AF76" i="17"/>
  <c r="AH76" i="17"/>
  <c r="AJ76" i="17"/>
  <c r="AL76" i="17"/>
  <c r="AN76" i="17"/>
  <c r="AP76" i="17"/>
  <c r="AR76" i="17"/>
  <c r="AT76" i="17"/>
  <c r="AV76" i="17"/>
  <c r="AX76" i="17"/>
  <c r="AZ76" i="17"/>
  <c r="BB76" i="17"/>
  <c r="BD76" i="17"/>
  <c r="BF76" i="17"/>
  <c r="BH76" i="17"/>
  <c r="H79" i="17"/>
  <c r="J79" i="17"/>
  <c r="L79" i="17"/>
  <c r="N79" i="17"/>
  <c r="P79" i="17"/>
  <c r="R79" i="17"/>
  <c r="T79" i="17"/>
  <c r="V79" i="17"/>
  <c r="X79" i="17"/>
  <c r="Z79" i="17"/>
  <c r="AB79" i="17"/>
  <c r="AD79" i="17"/>
  <c r="AF79" i="17"/>
  <c r="AH79" i="17"/>
  <c r="AJ79" i="17"/>
  <c r="AL79" i="17"/>
  <c r="AN79" i="17"/>
  <c r="AP79" i="17"/>
  <c r="AR79" i="17"/>
  <c r="AT79" i="17"/>
  <c r="AV79" i="17"/>
  <c r="AX79" i="17"/>
  <c r="AZ79" i="17"/>
  <c r="BB79" i="17"/>
  <c r="BD79" i="17"/>
  <c r="BF79" i="17"/>
  <c r="BH79" i="17"/>
  <c r="H82" i="17"/>
  <c r="J82" i="17"/>
  <c r="L82" i="17"/>
  <c r="N82" i="17"/>
  <c r="P82" i="17"/>
  <c r="R82" i="17"/>
  <c r="T82" i="17"/>
  <c r="V82" i="17"/>
  <c r="X82" i="17"/>
  <c r="Z82" i="17"/>
  <c r="AB82" i="17"/>
  <c r="AD82" i="17"/>
  <c r="AF82" i="17"/>
  <c r="AH82" i="17"/>
  <c r="AJ82" i="17"/>
  <c r="AL82" i="17"/>
  <c r="AN82" i="17"/>
  <c r="AP82" i="17"/>
  <c r="AR82" i="17"/>
  <c r="AT82" i="17"/>
  <c r="AV82" i="17"/>
  <c r="AX82" i="17"/>
  <c r="AZ82" i="17"/>
  <c r="BB82" i="17"/>
  <c r="H233" i="17"/>
  <c r="J233" i="17"/>
  <c r="L233" i="17"/>
  <c r="N233" i="17"/>
  <c r="AB35" i="8"/>
  <c r="AP43" i="17"/>
  <c r="O52" i="12"/>
  <c r="O16" i="12"/>
  <c r="AX43" i="17"/>
  <c r="Q52" i="12"/>
  <c r="Q16" i="12"/>
  <c r="BF43" i="17"/>
  <c r="S52" i="12"/>
  <c r="S16" i="12"/>
  <c r="BN43" i="17"/>
  <c r="U52" i="12"/>
  <c r="U16" i="12"/>
  <c r="BV43" i="17"/>
  <c r="W52" i="12"/>
  <c r="W16" i="12"/>
  <c r="CD43" i="17"/>
  <c r="Y52" i="12"/>
  <c r="Y16" i="12"/>
  <c r="CL43" i="17"/>
  <c r="AA52" i="12"/>
  <c r="AA16" i="12"/>
  <c r="H35" i="12"/>
  <c r="L58" i="11" s="1"/>
  <c r="J35" i="12"/>
  <c r="V58" i="11" s="1"/>
  <c r="L35" i="12"/>
  <c r="AF58" i="11" s="1"/>
  <c r="N35" i="12"/>
  <c r="AP58" i="11" s="1"/>
  <c r="P35" i="12"/>
  <c r="AZ58" i="11" s="1"/>
  <c r="R35" i="12"/>
  <c r="BJ58" i="11" s="1"/>
  <c r="T35" i="12"/>
  <c r="BT58" i="11" s="1"/>
  <c r="V35" i="12"/>
  <c r="CD58" i="11" s="1"/>
  <c r="X35" i="12"/>
  <c r="CN58" i="11" s="1"/>
  <c r="Z35" i="12"/>
  <c r="CX58" i="11" s="1"/>
  <c r="AB35" i="12"/>
  <c r="DH58" i="11" s="1"/>
  <c r="I36" i="12"/>
  <c r="Q59" i="11" s="1"/>
  <c r="K36" i="12"/>
  <c r="AA59" i="11" s="1"/>
  <c r="M36" i="12"/>
  <c r="AK59" i="11" s="1"/>
  <c r="O36" i="12"/>
  <c r="AU59" i="11" s="1"/>
  <c r="Q36" i="12"/>
  <c r="BE59" i="11" s="1"/>
  <c r="S36" i="12"/>
  <c r="BO59" i="11" s="1"/>
  <c r="U36" i="12"/>
  <c r="BY59" i="11" s="1"/>
  <c r="W36" i="12"/>
  <c r="CI59" i="11" s="1"/>
  <c r="Y36" i="12"/>
  <c r="CS59" i="11" s="1"/>
  <c r="AA36" i="12"/>
  <c r="DC59" i="11" s="1"/>
  <c r="N65" i="17"/>
  <c r="N81" i="17" s="1"/>
  <c r="H37" i="12"/>
  <c r="V65" i="17"/>
  <c r="J37" i="12"/>
  <c r="AD65" i="17"/>
  <c r="L37" i="12"/>
  <c r="AL65" i="17"/>
  <c r="N37" i="12"/>
  <c r="AT65" i="17"/>
  <c r="P37" i="12"/>
  <c r="BB65" i="17"/>
  <c r="R37" i="12"/>
  <c r="BJ65" i="17"/>
  <c r="T37" i="12"/>
  <c r="BR65" i="17"/>
  <c r="V37" i="12"/>
  <c r="BZ65" i="17"/>
  <c r="X37" i="12"/>
  <c r="CH65" i="17"/>
  <c r="Z37" i="12"/>
  <c r="CP65" i="17"/>
  <c r="AB37" i="12"/>
  <c r="R62" i="17"/>
  <c r="I40" i="12"/>
  <c r="Q63" i="11" s="1"/>
  <c r="Z62" i="17"/>
  <c r="K40" i="12"/>
  <c r="AA63" i="11" s="1"/>
  <c r="AH62" i="17"/>
  <c r="M40" i="12"/>
  <c r="AK63" i="11" s="1"/>
  <c r="AP62" i="17"/>
  <c r="O40" i="12"/>
  <c r="AU63" i="11" s="1"/>
  <c r="AX62" i="17"/>
  <c r="Q40" i="12"/>
  <c r="BE63" i="11" s="1"/>
  <c r="BF62" i="17"/>
  <c r="S40" i="12"/>
  <c r="BO63" i="11" s="1"/>
  <c r="BN62" i="17"/>
  <c r="U40" i="12"/>
  <c r="BY63" i="11" s="1"/>
  <c r="BV62" i="17"/>
  <c r="W40" i="12"/>
  <c r="CI63" i="11" s="1"/>
  <c r="CD62" i="17"/>
  <c r="Y40" i="12"/>
  <c r="CS63" i="11" s="1"/>
  <c r="CL62" i="17"/>
  <c r="AA40" i="12"/>
  <c r="DC63" i="11" s="1"/>
  <c r="N73" i="17"/>
  <c r="H42" i="12"/>
  <c r="L9" i="11" s="1"/>
  <c r="H53" i="12"/>
  <c r="V73" i="17"/>
  <c r="J42" i="12"/>
  <c r="V9" i="11" s="1"/>
  <c r="J53" i="12"/>
  <c r="AD73" i="17"/>
  <c r="L42" i="12"/>
  <c r="AF9" i="11" s="1"/>
  <c r="L53" i="12"/>
  <c r="AL73" i="17"/>
  <c r="N42" i="12"/>
  <c r="AP9" i="11" s="1"/>
  <c r="N53" i="12"/>
  <c r="AT73" i="17"/>
  <c r="P42" i="12"/>
  <c r="AZ9" i="11" s="1"/>
  <c r="P53" i="12"/>
  <c r="BB73" i="17"/>
  <c r="R42" i="12"/>
  <c r="BJ9" i="11" s="1"/>
  <c r="R53" i="12"/>
  <c r="BJ73" i="17"/>
  <c r="T42" i="12"/>
  <c r="BT9" i="11" s="1"/>
  <c r="T53" i="12"/>
  <c r="BR73" i="17"/>
  <c r="V42" i="12"/>
  <c r="CD9" i="11" s="1"/>
  <c r="V53" i="12"/>
  <c r="BZ73" i="17"/>
  <c r="X42" i="12"/>
  <c r="CN9" i="11" s="1"/>
  <c r="X53" i="12"/>
  <c r="CH73" i="17"/>
  <c r="Z42" i="12"/>
  <c r="CX9" i="11" s="1"/>
  <c r="Z53" i="12"/>
  <c r="CP73" i="17"/>
  <c r="AB42" i="12"/>
  <c r="DH9" i="11" s="1"/>
  <c r="AB53" i="12"/>
  <c r="J126" i="17"/>
  <c r="G71" i="12"/>
  <c r="R126" i="17"/>
  <c r="I71" i="12"/>
  <c r="I67" i="12"/>
  <c r="Z126" i="17"/>
  <c r="K71" i="12"/>
  <c r="K67" i="12"/>
  <c r="AH126" i="17"/>
  <c r="M71" i="12"/>
  <c r="M67" i="12"/>
  <c r="AP126" i="17"/>
  <c r="O71" i="12"/>
  <c r="O67" i="12"/>
  <c r="AX126" i="17"/>
  <c r="Q71" i="12"/>
  <c r="Q67" i="12"/>
  <c r="BF126" i="17"/>
  <c r="S71" i="12"/>
  <c r="S67" i="12"/>
  <c r="BN126" i="17"/>
  <c r="U71" i="12"/>
  <c r="U67" i="12"/>
  <c r="BV126" i="17"/>
  <c r="W71" i="12"/>
  <c r="W67" i="12"/>
  <c r="CD126" i="17"/>
  <c r="Y71" i="12"/>
  <c r="Y67" i="12"/>
  <c r="CL126" i="17"/>
  <c r="AA71" i="12"/>
  <c r="AA67" i="12"/>
  <c r="N107" i="17"/>
  <c r="H61" i="12"/>
  <c r="L10" i="11" s="1"/>
  <c r="H70" i="12"/>
  <c r="V107" i="17"/>
  <c r="J61" i="12"/>
  <c r="V10" i="11" s="1"/>
  <c r="J70" i="12"/>
  <c r="AD107" i="17"/>
  <c r="L61" i="12"/>
  <c r="AF10" i="11" s="1"/>
  <c r="L70" i="12"/>
  <c r="AL107" i="17"/>
  <c r="N61" i="12"/>
  <c r="AP10" i="11" s="1"/>
  <c r="N70" i="12"/>
  <c r="AT107" i="17"/>
  <c r="P61" i="12"/>
  <c r="AZ10" i="11" s="1"/>
  <c r="P70" i="12"/>
  <c r="BB107" i="17"/>
  <c r="R61" i="12"/>
  <c r="BJ10" i="11" s="1"/>
  <c r="R70" i="12"/>
  <c r="BJ107" i="17"/>
  <c r="T61" i="12"/>
  <c r="BT10" i="11" s="1"/>
  <c r="T70" i="12"/>
  <c r="BR107" i="17"/>
  <c r="V61" i="12"/>
  <c r="CD10" i="11" s="1"/>
  <c r="V70" i="12"/>
  <c r="BZ107" i="17"/>
  <c r="X61" i="12"/>
  <c r="CN10" i="11" s="1"/>
  <c r="X70" i="12"/>
  <c r="CH107" i="17"/>
  <c r="Z61" i="12"/>
  <c r="CX10" i="11" s="1"/>
  <c r="Z70" i="12"/>
  <c r="CP107" i="17"/>
  <c r="AB61" i="12"/>
  <c r="DH10" i="11" s="1"/>
  <c r="AB70" i="12"/>
  <c r="J146" i="17"/>
  <c r="G92" i="12"/>
  <c r="R146" i="17"/>
  <c r="I92" i="12"/>
  <c r="I78" i="12"/>
  <c r="Q12" i="11" s="1"/>
  <c r="Z146" i="17"/>
  <c r="K92" i="12"/>
  <c r="K78" i="12"/>
  <c r="AA12" i="11" s="1"/>
  <c r="AH146" i="17"/>
  <c r="M92" i="12"/>
  <c r="M78" i="12"/>
  <c r="AK12" i="11" s="1"/>
  <c r="AP146" i="17"/>
  <c r="O92" i="12"/>
  <c r="O78" i="12"/>
  <c r="AU12" i="11" s="1"/>
  <c r="AX146" i="17"/>
  <c r="Q92" i="12"/>
  <c r="Q78" i="12"/>
  <c r="BE12" i="11" s="1"/>
  <c r="BF146" i="17"/>
  <c r="S92" i="12"/>
  <c r="S78" i="12"/>
  <c r="BO12" i="11" s="1"/>
  <c r="BN146" i="17"/>
  <c r="U92" i="12"/>
  <c r="U78" i="12"/>
  <c r="BY12" i="11" s="1"/>
  <c r="BV146" i="17"/>
  <c r="W74" i="12"/>
  <c r="W92" i="12"/>
  <c r="W78" i="12"/>
  <c r="CI12" i="11" s="1"/>
  <c r="CD146" i="17"/>
  <c r="Y74" i="12"/>
  <c r="Y92" i="12"/>
  <c r="Y78" i="12"/>
  <c r="CS12" i="11" s="1"/>
  <c r="CL146" i="17"/>
  <c r="AA74" i="12"/>
  <c r="AA92" i="12"/>
  <c r="AA78" i="12"/>
  <c r="DC12" i="11" s="1"/>
  <c r="N203" i="17"/>
  <c r="H122" i="12"/>
  <c r="H100" i="12"/>
  <c r="V203" i="17"/>
  <c r="J122" i="12"/>
  <c r="J100" i="12"/>
  <c r="AD203" i="17"/>
  <c r="L122" i="12"/>
  <c r="L100" i="12"/>
  <c r="AL203" i="17"/>
  <c r="N122" i="12"/>
  <c r="N100" i="12"/>
  <c r="AT203" i="17"/>
  <c r="P122" i="12"/>
  <c r="P100" i="12"/>
  <c r="BB203" i="17"/>
  <c r="R122" i="12"/>
  <c r="R100" i="12"/>
  <c r="BJ203" i="17"/>
  <c r="T122" i="12"/>
  <c r="T100" i="12"/>
  <c r="BR203" i="17"/>
  <c r="V122" i="12"/>
  <c r="V100" i="12"/>
  <c r="BZ203" i="17"/>
  <c r="X122" i="12"/>
  <c r="X100" i="12"/>
  <c r="CH203" i="17"/>
  <c r="Z122" i="12"/>
  <c r="Z100" i="12"/>
  <c r="CP203" i="17"/>
  <c r="AB122" i="12"/>
  <c r="AB100" i="12"/>
  <c r="J165" i="17"/>
  <c r="G114" i="12"/>
  <c r="R165" i="17"/>
  <c r="I114" i="12"/>
  <c r="I88" i="12"/>
  <c r="Q87" i="11" s="1"/>
  <c r="Z165" i="17"/>
  <c r="K114" i="12"/>
  <c r="K88" i="12"/>
  <c r="AA87" i="11" s="1"/>
  <c r="AH165" i="17"/>
  <c r="M114" i="12"/>
  <c r="M88" i="12"/>
  <c r="AK87" i="11" s="1"/>
  <c r="AP165" i="17"/>
  <c r="O114" i="12"/>
  <c r="O88" i="12"/>
  <c r="AU87" i="11" s="1"/>
  <c r="AX165" i="17"/>
  <c r="Q114" i="12"/>
  <c r="Q88" i="12"/>
  <c r="BE87" i="11" s="1"/>
  <c r="BF165" i="17"/>
  <c r="S114" i="12"/>
  <c r="S88" i="12"/>
  <c r="BO87" i="11" s="1"/>
  <c r="BN165" i="17"/>
  <c r="U114" i="12"/>
  <c r="U88" i="12"/>
  <c r="BY87" i="11" s="1"/>
  <c r="BV165" i="17"/>
  <c r="W114" i="12"/>
  <c r="W88" i="12"/>
  <c r="CI87" i="11" s="1"/>
  <c r="CD165" i="17"/>
  <c r="Y114" i="12"/>
  <c r="Y88" i="12"/>
  <c r="CS87" i="11" s="1"/>
  <c r="CL165" i="17"/>
  <c r="AA114" i="12"/>
  <c r="AA88" i="12"/>
  <c r="DC87" i="11" s="1"/>
  <c r="N168" i="17"/>
  <c r="N181" i="17" s="1"/>
  <c r="H87" i="12"/>
  <c r="L86" i="11" s="1"/>
  <c r="V168" i="17"/>
  <c r="J87" i="12"/>
  <c r="V86" i="11" s="1"/>
  <c r="AD168" i="17"/>
  <c r="L87" i="12"/>
  <c r="AF86" i="11" s="1"/>
  <c r="AL168" i="17"/>
  <c r="N87" i="12"/>
  <c r="AP86" i="11" s="1"/>
  <c r="AT168" i="17"/>
  <c r="P87" i="12"/>
  <c r="AZ86" i="11" s="1"/>
  <c r="BB168" i="17"/>
  <c r="R87" i="12"/>
  <c r="BJ86" i="11" s="1"/>
  <c r="BJ168" i="17"/>
  <c r="T87" i="12"/>
  <c r="BT86" i="11" s="1"/>
  <c r="BR168" i="17"/>
  <c r="V87" i="12"/>
  <c r="CD86" i="11" s="1"/>
  <c r="BZ168" i="17"/>
  <c r="X87" i="12"/>
  <c r="CN86" i="11" s="1"/>
  <c r="CH168" i="17"/>
  <c r="Z87" i="12"/>
  <c r="CX86" i="11" s="1"/>
  <c r="CP168" i="17"/>
  <c r="AB87" i="12"/>
  <c r="DH86" i="11" s="1"/>
  <c r="J173" i="17"/>
  <c r="G115" i="12"/>
  <c r="G93" i="12"/>
  <c r="R173" i="17"/>
  <c r="I115" i="12"/>
  <c r="I93" i="12"/>
  <c r="I89" i="12"/>
  <c r="Z173" i="17"/>
  <c r="K115" i="12"/>
  <c r="K93" i="12"/>
  <c r="K89" i="12"/>
  <c r="AH173" i="17"/>
  <c r="M115" i="12"/>
  <c r="M93" i="12"/>
  <c r="M89" i="12"/>
  <c r="AP173" i="17"/>
  <c r="O115" i="12"/>
  <c r="O93" i="12"/>
  <c r="O89" i="12"/>
  <c r="AX173" i="17"/>
  <c r="Q115" i="12"/>
  <c r="Q93" i="12"/>
  <c r="Q89" i="12"/>
  <c r="BF173" i="17"/>
  <c r="S115" i="12"/>
  <c r="S93" i="12"/>
  <c r="S89" i="12"/>
  <c r="BN173" i="17"/>
  <c r="U115" i="12"/>
  <c r="U93" i="12"/>
  <c r="U89" i="12"/>
  <c r="BV173" i="17"/>
  <c r="W115" i="12"/>
  <c r="W93" i="12"/>
  <c r="W89" i="12"/>
  <c r="CD173" i="17"/>
  <c r="Y115" i="12"/>
  <c r="Y93" i="12"/>
  <c r="Y89" i="12"/>
  <c r="CL173" i="17"/>
  <c r="AA115" i="12"/>
  <c r="AA93" i="12"/>
  <c r="AA89" i="12"/>
  <c r="N222" i="17"/>
  <c r="H110" i="12"/>
  <c r="L102" i="11" s="1"/>
  <c r="V222" i="17"/>
  <c r="J110" i="12"/>
  <c r="V102" i="11" s="1"/>
  <c r="AD222" i="17"/>
  <c r="L110" i="12"/>
  <c r="AF102" i="11" s="1"/>
  <c r="AL222" i="17"/>
  <c r="N110" i="12"/>
  <c r="AP102" i="11" s="1"/>
  <c r="AT222" i="17"/>
  <c r="P110" i="12"/>
  <c r="AZ102" i="11" s="1"/>
  <c r="BB222" i="17"/>
  <c r="R110" i="12"/>
  <c r="BJ102" i="11" s="1"/>
  <c r="BJ222" i="17"/>
  <c r="T110" i="12"/>
  <c r="BT102" i="11" s="1"/>
  <c r="BR222" i="17"/>
  <c r="V110" i="12"/>
  <c r="CD102" i="11" s="1"/>
  <c r="BZ222" i="17"/>
  <c r="X110" i="12"/>
  <c r="CN102" i="11" s="1"/>
  <c r="CH222" i="17"/>
  <c r="Z110" i="12"/>
  <c r="CX102" i="11" s="1"/>
  <c r="CP222" i="17"/>
  <c r="AB110" i="12"/>
  <c r="DH102" i="11" s="1"/>
  <c r="R225" i="17"/>
  <c r="I109" i="12"/>
  <c r="Q101" i="11" s="1"/>
  <c r="Z225" i="17"/>
  <c r="K109" i="12"/>
  <c r="AA101" i="11" s="1"/>
  <c r="AH225" i="17"/>
  <c r="M109" i="12"/>
  <c r="AK101" i="11" s="1"/>
  <c r="AP225" i="17"/>
  <c r="O109" i="12"/>
  <c r="AU101" i="11" s="1"/>
  <c r="AX225" i="17"/>
  <c r="Q109" i="12"/>
  <c r="BE101" i="11" s="1"/>
  <c r="BF225" i="17"/>
  <c r="S109" i="12"/>
  <c r="BO101" i="11" s="1"/>
  <c r="BN225" i="17"/>
  <c r="U109" i="12"/>
  <c r="BY101" i="11" s="1"/>
  <c r="BV225" i="17"/>
  <c r="W109" i="12"/>
  <c r="CI101" i="11" s="1"/>
  <c r="CD225" i="17"/>
  <c r="Y109" i="12"/>
  <c r="CS101" i="11" s="1"/>
  <c r="CL225" i="17"/>
  <c r="AA109" i="12"/>
  <c r="DC101" i="11" s="1"/>
  <c r="N230" i="17"/>
  <c r="H123" i="12"/>
  <c r="H111" i="12"/>
  <c r="V230" i="17"/>
  <c r="J123" i="12"/>
  <c r="J111" i="12"/>
  <c r="AD230" i="17"/>
  <c r="L123" i="12"/>
  <c r="L111" i="12"/>
  <c r="AL230" i="17"/>
  <c r="N123" i="12"/>
  <c r="N111" i="12"/>
  <c r="AT230" i="17"/>
  <c r="P123" i="12"/>
  <c r="P111" i="12"/>
  <c r="BB230" i="17"/>
  <c r="R123" i="12"/>
  <c r="R111" i="12"/>
  <c r="BJ230" i="17"/>
  <c r="T123" i="12"/>
  <c r="T111" i="12"/>
  <c r="BR230" i="17"/>
  <c r="V123" i="12"/>
  <c r="V111" i="12"/>
  <c r="BZ230" i="17"/>
  <c r="X123" i="12"/>
  <c r="X111" i="12"/>
  <c r="CH230" i="17"/>
  <c r="Z123" i="12"/>
  <c r="Z111" i="12"/>
  <c r="CP230" i="17"/>
  <c r="AB123" i="12"/>
  <c r="AB111" i="12"/>
  <c r="DH15" i="11" s="1"/>
  <c r="I243" i="8"/>
  <c r="I162" i="12"/>
  <c r="Q119" i="11" s="1"/>
  <c r="R119" i="11" s="1"/>
  <c r="I179" i="12" s="1"/>
  <c r="K243" i="8"/>
  <c r="K162" i="12"/>
  <c r="AA119" i="11" s="1"/>
  <c r="AB119" i="11" s="1"/>
  <c r="K179" i="12" s="1"/>
  <c r="M243" i="8"/>
  <c r="M162" i="12"/>
  <c r="AK119" i="11" s="1"/>
  <c r="AL119" i="11" s="1"/>
  <c r="O243" i="8"/>
  <c r="O162" i="12"/>
  <c r="AU119" i="11" s="1"/>
  <c r="AV119" i="11" s="1"/>
  <c r="Q243" i="8"/>
  <c r="Q162" i="12"/>
  <c r="BE119" i="11" s="1"/>
  <c r="BF119" i="11" s="1"/>
  <c r="Q179" i="12" s="1"/>
  <c r="S243" i="8"/>
  <c r="S162" i="12"/>
  <c r="BO119" i="11" s="1"/>
  <c r="BP119" i="11" s="1"/>
  <c r="U243" i="8"/>
  <c r="U162" i="12"/>
  <c r="BY119" i="11" s="1"/>
  <c r="BZ119" i="11" s="1"/>
  <c r="U179" i="12" s="1"/>
  <c r="W243" i="8"/>
  <c r="W162" i="12"/>
  <c r="CI119" i="11" s="1"/>
  <c r="CJ119" i="11" s="1"/>
  <c r="W179" i="12" s="1"/>
  <c r="Y243" i="8"/>
  <c r="Y162" i="12"/>
  <c r="CS119" i="11" s="1"/>
  <c r="CT119" i="11" s="1"/>
  <c r="AA243" i="8"/>
  <c r="AA162" i="12"/>
  <c r="DC119" i="11" s="1"/>
  <c r="DD119" i="11" s="1"/>
  <c r="AA179" i="12" s="1"/>
  <c r="N260" i="17"/>
  <c r="N265" i="17" s="1"/>
  <c r="H131" i="12"/>
  <c r="L17" i="11" s="1"/>
  <c r="L116" i="11" s="1"/>
  <c r="V260" i="17"/>
  <c r="J131" i="12"/>
  <c r="V17" i="11" s="1"/>
  <c r="V116" i="11" s="1"/>
  <c r="AD260" i="17"/>
  <c r="L131" i="12"/>
  <c r="AF17" i="11" s="1"/>
  <c r="AF116" i="11" s="1"/>
  <c r="F8" i="21"/>
  <c r="AL260" i="17"/>
  <c r="N131" i="12"/>
  <c r="H8" i="21"/>
  <c r="AT260" i="17"/>
  <c r="P131" i="12"/>
  <c r="J8" i="21"/>
  <c r="BB260" i="17"/>
  <c r="R131" i="12"/>
  <c r="L8" i="21"/>
  <c r="BJ260" i="17"/>
  <c r="T131" i="12"/>
  <c r="T120" i="12"/>
  <c r="U120" i="12" s="1"/>
  <c r="N8" i="21"/>
  <c r="BR260" i="17"/>
  <c r="V131" i="12"/>
  <c r="P8" i="21"/>
  <c r="BZ260" i="17"/>
  <c r="X131" i="12"/>
  <c r="R8" i="21"/>
  <c r="CH260" i="17"/>
  <c r="Z131" i="12"/>
  <c r="T8" i="21"/>
  <c r="CP260" i="17"/>
  <c r="AB131" i="12"/>
  <c r="AB71" i="8" s="1"/>
  <c r="F36" i="6"/>
  <c r="G388" i="12"/>
  <c r="G361" i="12"/>
  <c r="J7" i="11"/>
  <c r="G247" i="12"/>
  <c r="J35" i="11"/>
  <c r="R36" i="6"/>
  <c r="I388" i="12"/>
  <c r="I361" i="12"/>
  <c r="I188" i="12"/>
  <c r="T7" i="11"/>
  <c r="I247" i="12"/>
  <c r="T35" i="11"/>
  <c r="AD36" i="6"/>
  <c r="K388" i="12"/>
  <c r="K361" i="12"/>
  <c r="K188" i="12"/>
  <c r="AD7" i="11"/>
  <c r="K247" i="12"/>
  <c r="AD35" i="11"/>
  <c r="AP36" i="6"/>
  <c r="M388" i="12"/>
  <c r="M361" i="12"/>
  <c r="M188" i="12"/>
  <c r="M23" i="7" s="1"/>
  <c r="AN7" i="11"/>
  <c r="M247" i="12"/>
  <c r="AN35" i="11"/>
  <c r="BB36" i="6"/>
  <c r="O388" i="12"/>
  <c r="O361" i="12"/>
  <c r="O188" i="12"/>
  <c r="O23" i="7" s="1"/>
  <c r="AX7" i="11"/>
  <c r="O247" i="12"/>
  <c r="AX35" i="11"/>
  <c r="BN36" i="6"/>
  <c r="Q313" i="12"/>
  <c r="Q388" i="12"/>
  <c r="Q361" i="12"/>
  <c r="Q188" i="12"/>
  <c r="Q23" i="7" s="1"/>
  <c r="BH7" i="11"/>
  <c r="Q247" i="12"/>
  <c r="BH35" i="11"/>
  <c r="BZ36" i="6"/>
  <c r="S313" i="12"/>
  <c r="S307" i="12" s="1"/>
  <c r="S388" i="12"/>
  <c r="S361" i="12"/>
  <c r="S188" i="12"/>
  <c r="S23" i="7" s="1"/>
  <c r="BR7" i="11"/>
  <c r="S247" i="12"/>
  <c r="BR35" i="11"/>
  <c r="CL36" i="6"/>
  <c r="U313" i="12"/>
  <c r="U307" i="12" s="1"/>
  <c r="U388" i="12"/>
  <c r="U361" i="12"/>
  <c r="U188" i="12"/>
  <c r="U23" i="7" s="1"/>
  <c r="CB7" i="11"/>
  <c r="U247" i="12"/>
  <c r="CB35" i="11"/>
  <c r="CX36" i="6"/>
  <c r="W313" i="12"/>
  <c r="W307" i="12" s="1"/>
  <c r="W388" i="12"/>
  <c r="W361" i="12"/>
  <c r="W188" i="12"/>
  <c r="W23" i="7" s="1"/>
  <c r="CL7" i="11"/>
  <c r="W247" i="12"/>
  <c r="CL35" i="11"/>
  <c r="DJ36" i="6"/>
  <c r="Y313" i="12"/>
  <c r="Y307" i="12" s="1"/>
  <c r="Y388" i="12"/>
  <c r="Y361" i="12"/>
  <c r="Y188" i="12"/>
  <c r="Y23" i="7" s="1"/>
  <c r="CV7" i="11"/>
  <c r="Y247" i="12"/>
  <c r="CV35" i="11"/>
  <c r="D195" i="2"/>
  <c r="AU195" i="2" s="1"/>
  <c r="D136" i="2"/>
  <c r="AU136" i="2" s="1"/>
  <c r="DV36" i="6"/>
  <c r="AA313" i="12"/>
  <c r="AA307" i="12" s="1"/>
  <c r="AA388" i="12"/>
  <c r="AA361" i="12"/>
  <c r="AA188" i="12"/>
  <c r="AA23" i="7" s="1"/>
  <c r="DF7" i="11"/>
  <c r="AA247" i="12"/>
  <c r="DF35" i="11"/>
  <c r="H38" i="6"/>
  <c r="J48" i="11"/>
  <c r="T38" i="6"/>
  <c r="I198" i="12"/>
  <c r="T48" i="11"/>
  <c r="AF38" i="6"/>
  <c r="K198" i="12"/>
  <c r="AD48" i="11"/>
  <c r="AR38" i="6"/>
  <c r="M198" i="12"/>
  <c r="AN48" i="11"/>
  <c r="BD38" i="6"/>
  <c r="O198" i="12"/>
  <c r="AX48" i="11"/>
  <c r="BP38" i="6"/>
  <c r="Q198" i="12"/>
  <c r="BH48" i="11"/>
  <c r="CB38" i="6"/>
  <c r="S198" i="12"/>
  <c r="BR48" i="11"/>
  <c r="CN38" i="6"/>
  <c r="U198" i="12"/>
  <c r="CB48" i="11"/>
  <c r="CZ38" i="6"/>
  <c r="W198" i="12"/>
  <c r="CL48" i="11"/>
  <c r="DL38" i="6"/>
  <c r="Y198" i="12"/>
  <c r="CV48" i="11"/>
  <c r="D218" i="2"/>
  <c r="AU218" i="2" s="1"/>
  <c r="DX38" i="6"/>
  <c r="AA198" i="12"/>
  <c r="DF48" i="11"/>
  <c r="H394" i="12"/>
  <c r="H248" i="12"/>
  <c r="H199" i="12"/>
  <c r="O50" i="11"/>
  <c r="H194" i="12"/>
  <c r="O8" i="11"/>
  <c r="J394" i="12"/>
  <c r="J248" i="12"/>
  <c r="J199" i="12"/>
  <c r="Y50" i="11"/>
  <c r="J194" i="12"/>
  <c r="Y8" i="11"/>
  <c r="L394" i="12"/>
  <c r="L248" i="12"/>
  <c r="L199" i="12"/>
  <c r="AI50" i="11"/>
  <c r="L194" i="12"/>
  <c r="AI8" i="11"/>
  <c r="N394" i="12"/>
  <c r="N248" i="12"/>
  <c r="N199" i="12"/>
  <c r="AS50" i="11"/>
  <c r="N194" i="12"/>
  <c r="AS8" i="11"/>
  <c r="P394" i="12"/>
  <c r="P248" i="12"/>
  <c r="P199" i="12"/>
  <c r="BC50" i="11"/>
  <c r="P194" i="12"/>
  <c r="BC8" i="11"/>
  <c r="R394" i="12"/>
  <c r="R248" i="12"/>
  <c r="R199" i="12"/>
  <c r="BM50" i="11"/>
  <c r="R194" i="12"/>
  <c r="BM8" i="11"/>
  <c r="T394" i="12"/>
  <c r="T248" i="12"/>
  <c r="T199" i="12"/>
  <c r="BW50" i="11"/>
  <c r="T194" i="12"/>
  <c r="BW8" i="11"/>
  <c r="V394" i="12"/>
  <c r="V248" i="12"/>
  <c r="V199" i="12"/>
  <c r="CG50" i="11"/>
  <c r="V194" i="12"/>
  <c r="CG8" i="11"/>
  <c r="X394" i="12"/>
  <c r="X248" i="12"/>
  <c r="X199" i="12"/>
  <c r="CQ50" i="11"/>
  <c r="X194" i="12"/>
  <c r="CQ8" i="11"/>
  <c r="C137" i="2"/>
  <c r="AT137" i="2" s="1"/>
  <c r="Z394" i="12"/>
  <c r="Z248" i="12"/>
  <c r="Z199" i="12"/>
  <c r="DA50" i="11"/>
  <c r="Z194" i="12"/>
  <c r="DA8" i="11"/>
  <c r="AB394" i="12"/>
  <c r="AB248" i="12"/>
  <c r="AB199" i="12"/>
  <c r="DK50" i="11"/>
  <c r="AB194" i="12"/>
  <c r="DK8" i="11"/>
  <c r="DN8" i="11" s="1"/>
  <c r="N37" i="6"/>
  <c r="H197" i="12"/>
  <c r="H435" i="7" s="1"/>
  <c r="O47" i="11"/>
  <c r="Z37" i="6"/>
  <c r="J197" i="12"/>
  <c r="J435" i="7" s="1"/>
  <c r="Y47" i="11"/>
  <c r="AL37" i="6"/>
  <c r="L197" i="12"/>
  <c r="L435" i="7" s="1"/>
  <c r="AI47" i="11"/>
  <c r="AX37" i="6"/>
  <c r="N197" i="12"/>
  <c r="N435" i="7" s="1"/>
  <c r="AS47" i="11"/>
  <c r="BJ37" i="6"/>
  <c r="P197" i="12"/>
  <c r="P435" i="7" s="1"/>
  <c r="BC47" i="11"/>
  <c r="BV37" i="6"/>
  <c r="R197" i="12"/>
  <c r="R435" i="7" s="1"/>
  <c r="BM47" i="11"/>
  <c r="CH37" i="6"/>
  <c r="T197" i="12"/>
  <c r="T435" i="7" s="1"/>
  <c r="BW47" i="11"/>
  <c r="CT37" i="6"/>
  <c r="V197" i="12"/>
  <c r="V435" i="7" s="1"/>
  <c r="CG47" i="11"/>
  <c r="DF37" i="6"/>
  <c r="X197" i="12"/>
  <c r="X435" i="7" s="1"/>
  <c r="C219" i="2"/>
  <c r="AT219" i="2" s="1"/>
  <c r="DR37" i="6"/>
  <c r="Z197" i="12"/>
  <c r="Z435" i="7" s="1"/>
  <c r="ED37" i="6"/>
  <c r="AB197" i="12"/>
  <c r="AB435" i="7" s="1"/>
  <c r="G402" i="12"/>
  <c r="J58" i="11"/>
  <c r="I402" i="12"/>
  <c r="I218" i="12"/>
  <c r="T58" i="11"/>
  <c r="K402" i="12"/>
  <c r="K218" i="12"/>
  <c r="AD58" i="11"/>
  <c r="M402" i="12"/>
  <c r="M218" i="12"/>
  <c r="AN58" i="11"/>
  <c r="O402" i="12"/>
  <c r="O218" i="12"/>
  <c r="AX58" i="11"/>
  <c r="Q402" i="12"/>
  <c r="Q218" i="12"/>
  <c r="BH58" i="11"/>
  <c r="S402" i="12"/>
  <c r="S218" i="12"/>
  <c r="BR58" i="11"/>
  <c r="U402" i="12"/>
  <c r="U218" i="12"/>
  <c r="CB58" i="11"/>
  <c r="W402" i="12"/>
  <c r="W218" i="12"/>
  <c r="CL58" i="11"/>
  <c r="Y402" i="12"/>
  <c r="Y218" i="12"/>
  <c r="CV58" i="11"/>
  <c r="AA402" i="12"/>
  <c r="AA218" i="12"/>
  <c r="DF58" i="11"/>
  <c r="H403" i="12"/>
  <c r="H219" i="12"/>
  <c r="O59" i="11"/>
  <c r="J403" i="12"/>
  <c r="J219" i="12"/>
  <c r="Y59" i="11"/>
  <c r="L403" i="12"/>
  <c r="L219" i="12"/>
  <c r="AI59" i="11"/>
  <c r="N403" i="12"/>
  <c r="N219" i="12"/>
  <c r="AS59" i="11"/>
  <c r="P403" i="12"/>
  <c r="P219" i="12"/>
  <c r="BC59" i="11"/>
  <c r="R403" i="12"/>
  <c r="R219" i="12"/>
  <c r="BM59" i="11"/>
  <c r="T403" i="12"/>
  <c r="T219" i="12"/>
  <c r="BW59" i="11"/>
  <c r="V403" i="12"/>
  <c r="V219" i="12"/>
  <c r="CG59" i="11"/>
  <c r="X403" i="12"/>
  <c r="X219" i="12"/>
  <c r="CQ59" i="11"/>
  <c r="C133" i="2"/>
  <c r="AT133" i="2" s="1"/>
  <c r="Z403" i="12"/>
  <c r="Z219" i="12"/>
  <c r="DA59" i="11"/>
  <c r="AB403" i="12"/>
  <c r="AB219" i="12"/>
  <c r="DK59" i="11"/>
  <c r="G407" i="12"/>
  <c r="J63" i="11"/>
  <c r="I407" i="12"/>
  <c r="I223" i="12"/>
  <c r="T63" i="11"/>
  <c r="K407" i="12"/>
  <c r="K223" i="12"/>
  <c r="AD63" i="11"/>
  <c r="M407" i="12"/>
  <c r="M223" i="12"/>
  <c r="AN63" i="11"/>
  <c r="O407" i="12"/>
  <c r="O223" i="12"/>
  <c r="AX63" i="11"/>
  <c r="Q407" i="12"/>
  <c r="Q223" i="12"/>
  <c r="BH63" i="11"/>
  <c r="S407" i="12"/>
  <c r="S223" i="12"/>
  <c r="BR63" i="11"/>
  <c r="U407" i="12"/>
  <c r="U223" i="12"/>
  <c r="CB63" i="11"/>
  <c r="W407" i="12"/>
  <c r="W223" i="12"/>
  <c r="CL63" i="11"/>
  <c r="Y407" i="12"/>
  <c r="Y223" i="12"/>
  <c r="CV63" i="11"/>
  <c r="D140" i="2"/>
  <c r="AU140" i="2" s="1"/>
  <c r="AA407" i="12"/>
  <c r="AA223" i="12"/>
  <c r="DF63" i="11"/>
  <c r="H404" i="12"/>
  <c r="O60" i="11"/>
  <c r="H220" i="12"/>
  <c r="H207" i="12"/>
  <c r="J404" i="12"/>
  <c r="Y60" i="11"/>
  <c r="J220" i="12"/>
  <c r="J207" i="12"/>
  <c r="L404" i="12"/>
  <c r="AI60" i="11"/>
  <c r="L220" i="12"/>
  <c r="L207" i="12"/>
  <c r="N404" i="12"/>
  <c r="AS60" i="11"/>
  <c r="N220" i="12"/>
  <c r="N207" i="12"/>
  <c r="P404" i="12"/>
  <c r="BC60" i="11"/>
  <c r="P220" i="12"/>
  <c r="P207" i="12"/>
  <c r="R404" i="12"/>
  <c r="BM60" i="11"/>
  <c r="R220" i="12"/>
  <c r="R207" i="12"/>
  <c r="T404" i="12"/>
  <c r="BW60" i="11"/>
  <c r="T220" i="12"/>
  <c r="T207" i="12"/>
  <c r="V404" i="12"/>
  <c r="CG60" i="11"/>
  <c r="V220" i="12"/>
  <c r="V207" i="12"/>
  <c r="X404" i="12"/>
  <c r="CQ60" i="11"/>
  <c r="X220" i="12"/>
  <c r="X207" i="12"/>
  <c r="C139" i="2"/>
  <c r="AT139" i="2" s="1"/>
  <c r="Z404" i="12"/>
  <c r="DA60" i="11"/>
  <c r="Z220" i="12"/>
  <c r="Z207" i="12"/>
  <c r="AB404" i="12"/>
  <c r="DK60" i="11"/>
  <c r="DQ60" i="11" s="1"/>
  <c r="AB220" i="12"/>
  <c r="AB207" i="12"/>
  <c r="E46" i="6"/>
  <c r="G409" i="12"/>
  <c r="J9" i="11"/>
  <c r="G249" i="12"/>
  <c r="G231" i="12"/>
  <c r="J65" i="11"/>
  <c r="J75" i="11" s="1"/>
  <c r="Q46" i="6"/>
  <c r="I409" i="12"/>
  <c r="T9" i="11"/>
  <c r="I249" i="12"/>
  <c r="I231" i="12"/>
  <c r="I225" i="12"/>
  <c r="T65" i="11"/>
  <c r="AC46" i="6"/>
  <c r="K409" i="12"/>
  <c r="AD9" i="11"/>
  <c r="K249" i="12"/>
  <c r="K231" i="12"/>
  <c r="K225" i="12"/>
  <c r="AD65" i="11"/>
  <c r="AO46" i="6"/>
  <c r="M409" i="12"/>
  <c r="AN9" i="11"/>
  <c r="M249" i="12"/>
  <c r="M231" i="12"/>
  <c r="M225" i="12"/>
  <c r="AN65" i="11"/>
  <c r="BA46" i="6"/>
  <c r="O409" i="12"/>
  <c r="AX9" i="11"/>
  <c r="O249" i="12"/>
  <c r="O231" i="12"/>
  <c r="O225" i="12"/>
  <c r="AX65" i="11"/>
  <c r="BM46" i="6"/>
  <c r="Q409" i="12"/>
  <c r="BH9" i="11"/>
  <c r="Q249" i="12"/>
  <c r="Q231" i="12"/>
  <c r="Q225" i="12"/>
  <c r="BH65" i="11"/>
  <c r="BY46" i="6"/>
  <c r="S409" i="12"/>
  <c r="BR9" i="11"/>
  <c r="S249" i="12"/>
  <c r="S231" i="12"/>
  <c r="S225" i="12"/>
  <c r="BR65" i="11"/>
  <c r="CK46" i="6"/>
  <c r="U409" i="12"/>
  <c r="CB9" i="11"/>
  <c r="U249" i="12"/>
  <c r="U231" i="12"/>
  <c r="U225" i="12"/>
  <c r="CW46" i="6"/>
  <c r="W409" i="12"/>
  <c r="CL9" i="11"/>
  <c r="W249" i="12"/>
  <c r="W231" i="12"/>
  <c r="W225" i="12"/>
  <c r="DI46" i="6"/>
  <c r="Y409" i="12"/>
  <c r="CV9" i="11"/>
  <c r="Y249" i="12"/>
  <c r="Y231" i="12"/>
  <c r="Y225" i="12"/>
  <c r="DU46" i="6"/>
  <c r="D138" i="2"/>
  <c r="AU138" i="2" s="1"/>
  <c r="AA409" i="12"/>
  <c r="DF9" i="11"/>
  <c r="AA249" i="12"/>
  <c r="AA231" i="12"/>
  <c r="AA225" i="12"/>
  <c r="DC47" i="6"/>
  <c r="X544" i="7"/>
  <c r="X430" i="12"/>
  <c r="CQ81" i="11"/>
  <c r="X267" i="12"/>
  <c r="X263" i="12"/>
  <c r="CQ11" i="11"/>
  <c r="C142" i="2"/>
  <c r="AT142" i="2" s="1"/>
  <c r="DO47" i="6"/>
  <c r="Z544" i="7"/>
  <c r="Z430" i="12"/>
  <c r="DA81" i="11"/>
  <c r="Z267" i="12"/>
  <c r="Z263" i="12"/>
  <c r="DA11" i="11"/>
  <c r="EA47" i="6"/>
  <c r="AB430" i="12"/>
  <c r="DK81" i="11"/>
  <c r="DN81" i="11" s="1"/>
  <c r="DP81" i="11" s="1"/>
  <c r="DQ81" i="11" s="1"/>
  <c r="AC263" i="12" s="1"/>
  <c r="AC260" i="12" s="1"/>
  <c r="AB267" i="12"/>
  <c r="AB263" i="12"/>
  <c r="DK11" i="11"/>
  <c r="DN11" i="11" s="1"/>
  <c r="G266" i="12"/>
  <c r="I266" i="12"/>
  <c r="I257" i="12"/>
  <c r="K266" i="12"/>
  <c r="K257" i="12"/>
  <c r="M266" i="12"/>
  <c r="M257" i="12"/>
  <c r="O266" i="12"/>
  <c r="O257" i="12"/>
  <c r="Q266" i="12"/>
  <c r="Q257" i="12"/>
  <c r="S266" i="12"/>
  <c r="S257" i="12"/>
  <c r="U266" i="12"/>
  <c r="U257" i="12"/>
  <c r="W266" i="12"/>
  <c r="W257" i="12"/>
  <c r="Y266" i="12"/>
  <c r="Y257" i="12"/>
  <c r="AA266" i="12"/>
  <c r="AA257" i="12"/>
  <c r="H298" i="12"/>
  <c r="H274" i="12"/>
  <c r="J298" i="12"/>
  <c r="J274" i="12"/>
  <c r="L298" i="12"/>
  <c r="L274" i="12"/>
  <c r="N298" i="12"/>
  <c r="N274" i="12"/>
  <c r="P298" i="12"/>
  <c r="P274" i="12"/>
  <c r="R298" i="12"/>
  <c r="R274" i="12"/>
  <c r="T298" i="12"/>
  <c r="T274" i="12"/>
  <c r="V298" i="12"/>
  <c r="V274" i="12"/>
  <c r="X298" i="12"/>
  <c r="X274" i="12"/>
  <c r="Z298" i="12"/>
  <c r="Z274" i="12"/>
  <c r="AB274" i="12"/>
  <c r="G338" i="12"/>
  <c r="I338" i="12"/>
  <c r="I306" i="12"/>
  <c r="K338" i="12"/>
  <c r="K306" i="12"/>
  <c r="M338" i="12"/>
  <c r="M306" i="12"/>
  <c r="O338" i="12"/>
  <c r="O306" i="12"/>
  <c r="Q338" i="12"/>
  <c r="Q306" i="12"/>
  <c r="S338" i="12"/>
  <c r="S306" i="12"/>
  <c r="U338" i="12"/>
  <c r="U306" i="12"/>
  <c r="W338" i="12"/>
  <c r="W306" i="12"/>
  <c r="Y338" i="12"/>
  <c r="Y306" i="12"/>
  <c r="H437" i="12"/>
  <c r="H330" i="12"/>
  <c r="H284" i="12"/>
  <c r="O87" i="11"/>
  <c r="J437" i="12"/>
  <c r="J330" i="12"/>
  <c r="J284" i="12"/>
  <c r="Y87" i="11"/>
  <c r="L437" i="12"/>
  <c r="L330" i="12"/>
  <c r="L284" i="12"/>
  <c r="AI87" i="11"/>
  <c r="N437" i="12"/>
  <c r="N330" i="12"/>
  <c r="N284" i="12"/>
  <c r="AS87" i="11"/>
  <c r="P437" i="12"/>
  <c r="P330" i="12"/>
  <c r="P284" i="12"/>
  <c r="BC87" i="11"/>
  <c r="R437" i="12"/>
  <c r="R330" i="12"/>
  <c r="R284" i="12"/>
  <c r="BM87" i="11"/>
  <c r="T437" i="12"/>
  <c r="T330" i="12"/>
  <c r="T284" i="12"/>
  <c r="BW87" i="11"/>
  <c r="V437" i="12"/>
  <c r="V330" i="12"/>
  <c r="V284" i="12"/>
  <c r="CG87" i="11"/>
  <c r="X437" i="12"/>
  <c r="X330" i="12"/>
  <c r="X284" i="12"/>
  <c r="CQ87" i="11"/>
  <c r="C143" i="2"/>
  <c r="Z437" i="12"/>
  <c r="Z330" i="12"/>
  <c r="Z284" i="12"/>
  <c r="DA87" i="11"/>
  <c r="AB437" i="12"/>
  <c r="AB330" i="12"/>
  <c r="AB284" i="12"/>
  <c r="DK87" i="11"/>
  <c r="DP122" i="11" s="1"/>
  <c r="G436" i="12"/>
  <c r="J86" i="11"/>
  <c r="I436" i="12"/>
  <c r="I283" i="12"/>
  <c r="T86" i="11"/>
  <c r="K436" i="12"/>
  <c r="K283" i="12"/>
  <c r="AD86" i="11"/>
  <c r="M436" i="12"/>
  <c r="M283" i="12"/>
  <c r="AN86" i="11"/>
  <c r="O436" i="12"/>
  <c r="O283" i="12"/>
  <c r="AX86" i="11"/>
  <c r="Q436" i="12"/>
  <c r="Q283" i="12"/>
  <c r="BH86" i="11"/>
  <c r="S436" i="12"/>
  <c r="S283" i="12"/>
  <c r="BR86" i="11"/>
  <c r="U436" i="12"/>
  <c r="U283" i="12"/>
  <c r="CB86" i="11"/>
  <c r="W436" i="12"/>
  <c r="W283" i="12"/>
  <c r="CL86" i="11"/>
  <c r="Y436" i="12"/>
  <c r="Y283" i="12"/>
  <c r="CV86" i="11"/>
  <c r="D144" i="2"/>
  <c r="AU144" i="2" s="1"/>
  <c r="AA436" i="12"/>
  <c r="AA283" i="12"/>
  <c r="DF86" i="11"/>
  <c r="H438" i="12"/>
  <c r="H331" i="12"/>
  <c r="H299" i="12"/>
  <c r="H280" i="12"/>
  <c r="H285" i="12"/>
  <c r="O88" i="11"/>
  <c r="O13" i="11"/>
  <c r="J438" i="12"/>
  <c r="J331" i="12"/>
  <c r="J299" i="12"/>
  <c r="J280" i="12"/>
  <c r="J285" i="12"/>
  <c r="Y88" i="11"/>
  <c r="Y13" i="11"/>
  <c r="L438" i="12"/>
  <c r="L331" i="12"/>
  <c r="L299" i="12"/>
  <c r="L280" i="12"/>
  <c r="L285" i="12"/>
  <c r="AI88" i="11"/>
  <c r="AI13" i="11"/>
  <c r="N438" i="12"/>
  <c r="N331" i="12"/>
  <c r="N299" i="12"/>
  <c r="N280" i="12"/>
  <c r="N285" i="12"/>
  <c r="AS88" i="11"/>
  <c r="AS13" i="11"/>
  <c r="P438" i="12"/>
  <c r="P331" i="12"/>
  <c r="P299" i="12"/>
  <c r="P280" i="12"/>
  <c r="P285" i="12"/>
  <c r="BC88" i="11"/>
  <c r="BC13" i="11"/>
  <c r="R438" i="12"/>
  <c r="R331" i="12"/>
  <c r="R280" i="12"/>
  <c r="R299" i="12"/>
  <c r="R285" i="12"/>
  <c r="BM88" i="11"/>
  <c r="BM13" i="11"/>
  <c r="T438" i="12"/>
  <c r="T331" i="12"/>
  <c r="T299" i="12"/>
  <c r="T280" i="12"/>
  <c r="T285" i="12"/>
  <c r="BW88" i="11"/>
  <c r="BW13" i="11"/>
  <c r="V438" i="12"/>
  <c r="V331" i="12"/>
  <c r="V280" i="12"/>
  <c r="V299" i="12"/>
  <c r="V285" i="12"/>
  <c r="CG88" i="11"/>
  <c r="CG13" i="11"/>
  <c r="X438" i="12"/>
  <c r="X331" i="12"/>
  <c r="X299" i="12"/>
  <c r="X280" i="12"/>
  <c r="X285" i="12"/>
  <c r="CQ88" i="11"/>
  <c r="CQ13" i="11"/>
  <c r="Z438" i="12"/>
  <c r="Z331" i="12"/>
  <c r="Z280" i="12"/>
  <c r="Z299" i="12"/>
  <c r="Z285" i="12"/>
  <c r="DA88" i="11"/>
  <c r="DA13" i="11"/>
  <c r="AB438" i="12"/>
  <c r="AB331" i="12"/>
  <c r="AB299" i="12"/>
  <c r="AB280" i="12"/>
  <c r="DK13" i="11"/>
  <c r="G447" i="12"/>
  <c r="J102" i="11"/>
  <c r="I447" i="12"/>
  <c r="I316" i="12"/>
  <c r="T102" i="11"/>
  <c r="K447" i="12"/>
  <c r="K316" i="12"/>
  <c r="AD102" i="11"/>
  <c r="M447" i="12"/>
  <c r="M316" i="12"/>
  <c r="AN102" i="11"/>
  <c r="O447" i="12"/>
  <c r="O316" i="12"/>
  <c r="AX102" i="11"/>
  <c r="Q447" i="12"/>
  <c r="Q316" i="12"/>
  <c r="BH102" i="11"/>
  <c r="S447" i="12"/>
  <c r="S316" i="12"/>
  <c r="BR102" i="11"/>
  <c r="U447" i="12"/>
  <c r="U316" i="12"/>
  <c r="CB102" i="11"/>
  <c r="W447" i="12"/>
  <c r="W316" i="12"/>
  <c r="CL102" i="11"/>
  <c r="Y447" i="12"/>
  <c r="Y316" i="12"/>
  <c r="CV102" i="11"/>
  <c r="D145" i="2"/>
  <c r="AU145" i="2" s="1"/>
  <c r="AA447" i="12"/>
  <c r="AA316" i="12"/>
  <c r="DF102" i="11"/>
  <c r="H315" i="12"/>
  <c r="H446" i="12"/>
  <c r="O101" i="11"/>
  <c r="J315" i="12"/>
  <c r="J446" i="12"/>
  <c r="Y101" i="11"/>
  <c r="L315" i="12"/>
  <c r="L446" i="12"/>
  <c r="AI101" i="11"/>
  <c r="N315" i="12"/>
  <c r="N446" i="12"/>
  <c r="AS101" i="11"/>
  <c r="P315" i="12"/>
  <c r="P446" i="12"/>
  <c r="BC101" i="11"/>
  <c r="R315" i="12"/>
  <c r="R446" i="12"/>
  <c r="BM101" i="11"/>
  <c r="T315" i="12"/>
  <c r="T446" i="12"/>
  <c r="BW101" i="11"/>
  <c r="V315" i="12"/>
  <c r="V446" i="12"/>
  <c r="CG101" i="11"/>
  <c r="X315" i="12"/>
  <c r="X446" i="12"/>
  <c r="CQ101" i="11"/>
  <c r="C146" i="2"/>
  <c r="AT146" i="2" s="1"/>
  <c r="Z315" i="12"/>
  <c r="Z446" i="12"/>
  <c r="DA101" i="11"/>
  <c r="AB315" i="12"/>
  <c r="AB446" i="12"/>
  <c r="DK101" i="11"/>
  <c r="M46" i="6"/>
  <c r="H237" i="12"/>
  <c r="H243" i="12"/>
  <c r="Y46" i="6"/>
  <c r="J237" i="12"/>
  <c r="J243" i="12"/>
  <c r="AK46" i="6"/>
  <c r="L735" i="7"/>
  <c r="L237" i="12"/>
  <c r="L243" i="12"/>
  <c r="AI73" i="11"/>
  <c r="AW46" i="6"/>
  <c r="N735" i="7"/>
  <c r="N237" i="12"/>
  <c r="N243" i="12"/>
  <c r="AS73" i="11"/>
  <c r="BI46" i="6"/>
  <c r="P735" i="7"/>
  <c r="P237" i="12"/>
  <c r="P243" i="12"/>
  <c r="BC73" i="11"/>
  <c r="BU46" i="6"/>
  <c r="R735" i="7"/>
  <c r="R237" i="12"/>
  <c r="R243" i="12"/>
  <c r="BM73" i="11"/>
  <c r="CG46" i="6"/>
  <c r="T735" i="7"/>
  <c r="T237" i="12"/>
  <c r="T243" i="12"/>
  <c r="BW73" i="11"/>
  <c r="CS46" i="6"/>
  <c r="V735" i="7"/>
  <c r="V237" i="12"/>
  <c r="V243" i="12"/>
  <c r="CG73" i="11"/>
  <c r="DE46" i="6"/>
  <c r="X735" i="7"/>
  <c r="X237" i="12"/>
  <c r="X243" i="12"/>
  <c r="CQ73" i="11"/>
  <c r="Z243" i="12"/>
  <c r="H46" i="6"/>
  <c r="G424" i="12"/>
  <c r="G242" i="12"/>
  <c r="T46" i="6"/>
  <c r="I424" i="12"/>
  <c r="I242" i="12"/>
  <c r="I236" i="12"/>
  <c r="AF46" i="6"/>
  <c r="K424" i="12"/>
  <c r="AD72" i="11"/>
  <c r="AE72" i="11" s="1"/>
  <c r="K242" i="12"/>
  <c r="K236" i="12"/>
  <c r="AR46" i="6"/>
  <c r="M763" i="7"/>
  <c r="M662" i="7"/>
  <c r="M676" i="7" s="1"/>
  <c r="M424" i="12"/>
  <c r="AN71" i="11"/>
  <c r="M242" i="12"/>
  <c r="M236" i="12"/>
  <c r="BD46" i="6"/>
  <c r="O763" i="7"/>
  <c r="O662" i="7"/>
  <c r="O676" i="7" s="1"/>
  <c r="O424" i="12"/>
  <c r="AX71" i="11"/>
  <c r="AV71" i="11" s="1"/>
  <c r="O177" i="12" s="1"/>
  <c r="O242" i="12"/>
  <c r="O236" i="12"/>
  <c r="BP46" i="6"/>
  <c r="Q763" i="7"/>
  <c r="Q662" i="7"/>
  <c r="Q676" i="7" s="1"/>
  <c r="Q424" i="12"/>
  <c r="BH71" i="11"/>
  <c r="BF71" i="11" s="1"/>
  <c r="Q177" i="12" s="1"/>
  <c r="Q242" i="12"/>
  <c r="Q236" i="12"/>
  <c r="CB46" i="6"/>
  <c r="S763" i="7"/>
  <c r="S662" i="7"/>
  <c r="S676" i="7" s="1"/>
  <c r="S424" i="12"/>
  <c r="BR71" i="11"/>
  <c r="BP71" i="11" s="1"/>
  <c r="S177" i="12" s="1"/>
  <c r="S242" i="12"/>
  <c r="S236" i="12"/>
  <c r="CN46" i="6"/>
  <c r="U763" i="7"/>
  <c r="U662" i="7"/>
  <c r="U676" i="7" s="1"/>
  <c r="U424" i="12"/>
  <c r="CB71" i="11"/>
  <c r="BZ71" i="11" s="1"/>
  <c r="U177" i="12" s="1"/>
  <c r="U242" i="12"/>
  <c r="U236" i="12"/>
  <c r="CZ46" i="6"/>
  <c r="W763" i="7"/>
  <c r="W662" i="7"/>
  <c r="W676" i="7" s="1"/>
  <c r="W424" i="12"/>
  <c r="CL71" i="11"/>
  <c r="W242" i="12"/>
  <c r="W236" i="12"/>
  <c r="DL46" i="6"/>
  <c r="Y763" i="7"/>
  <c r="Y662" i="7"/>
  <c r="Y676" i="7" s="1"/>
  <c r="Y424" i="12"/>
  <c r="CV71" i="11"/>
  <c r="CT71" i="11" s="1"/>
  <c r="Y177" i="12" s="1"/>
  <c r="Y242" i="12"/>
  <c r="Y236" i="12"/>
  <c r="D226" i="2"/>
  <c r="AU226" i="2" s="1"/>
  <c r="DX46" i="6"/>
  <c r="AA763" i="7"/>
  <c r="AA662" i="7"/>
  <c r="AA676" i="7" s="1"/>
  <c r="AA424" i="12"/>
  <c r="AA242" i="12"/>
  <c r="AA236" i="12"/>
  <c r="F46" i="6"/>
  <c r="G241" i="12"/>
  <c r="R46" i="6"/>
  <c r="I241" i="12"/>
  <c r="I235" i="12"/>
  <c r="AD46" i="6"/>
  <c r="K241" i="12"/>
  <c r="AD71" i="11"/>
  <c r="AE71" i="11" s="1"/>
  <c r="K235" i="12"/>
  <c r="AP46" i="6"/>
  <c r="M718" i="7"/>
  <c r="M241" i="12"/>
  <c r="AN72" i="11"/>
  <c r="M235" i="12"/>
  <c r="BB46" i="6"/>
  <c r="O718" i="7"/>
  <c r="O241" i="12"/>
  <c r="AX72" i="11"/>
  <c r="O235" i="12"/>
  <c r="BN46" i="6"/>
  <c r="Q718" i="7"/>
  <c r="Q241" i="12"/>
  <c r="BH72" i="11"/>
  <c r="Q235" i="12"/>
  <c r="BZ46" i="6"/>
  <c r="S718" i="7"/>
  <c r="S241" i="12"/>
  <c r="BR72" i="11"/>
  <c r="S235" i="12"/>
  <c r="CL46" i="6"/>
  <c r="U718" i="7"/>
  <c r="U241" i="12"/>
  <c r="CB72" i="11"/>
  <c r="U235" i="12"/>
  <c r="CX46" i="6"/>
  <c r="W718" i="7"/>
  <c r="W241" i="12"/>
  <c r="CL72" i="11"/>
  <c r="W235" i="12"/>
  <c r="DJ46" i="6"/>
  <c r="Y718" i="7"/>
  <c r="Y241" i="12"/>
  <c r="CV72" i="11"/>
  <c r="Y235" i="12"/>
  <c r="DV46" i="6"/>
  <c r="AA718" i="7"/>
  <c r="AA241" i="12"/>
  <c r="DF72" i="11"/>
  <c r="DL72" i="11" s="1"/>
  <c r="AA235" i="12"/>
  <c r="H293" i="12"/>
  <c r="H290" i="12"/>
  <c r="O94" i="11"/>
  <c r="J293" i="12"/>
  <c r="J290" i="12"/>
  <c r="Y94" i="11"/>
  <c r="L293" i="12"/>
  <c r="L290" i="12"/>
  <c r="AI94" i="11"/>
  <c r="N293" i="12"/>
  <c r="N290" i="12"/>
  <c r="AS94" i="11"/>
  <c r="P293" i="12"/>
  <c r="P290" i="12"/>
  <c r="BC94" i="11"/>
  <c r="R293" i="12"/>
  <c r="R290" i="12"/>
  <c r="BM94" i="11"/>
  <c r="T293" i="12"/>
  <c r="T290" i="12"/>
  <c r="BW94" i="11"/>
  <c r="V293" i="12"/>
  <c r="V290" i="12"/>
  <c r="CG94" i="11"/>
  <c r="X293" i="12"/>
  <c r="X290" i="12"/>
  <c r="CQ94" i="11"/>
  <c r="C247" i="2"/>
  <c r="AT247" i="2" s="1"/>
  <c r="Z293" i="12"/>
  <c r="Z290" i="12"/>
  <c r="DA94" i="11"/>
  <c r="T95" i="11"/>
  <c r="I294" i="12"/>
  <c r="AD95" i="11"/>
  <c r="K294" i="12"/>
  <c r="AN95" i="11"/>
  <c r="M294" i="12"/>
  <c r="AX95" i="11"/>
  <c r="O294" i="12"/>
  <c r="BH95" i="11"/>
  <c r="Q294" i="12"/>
  <c r="BR95" i="11"/>
  <c r="S294" i="12"/>
  <c r="CB95" i="11"/>
  <c r="U294" i="12"/>
  <c r="CL95" i="11"/>
  <c r="W294" i="12"/>
  <c r="CV95" i="11"/>
  <c r="Y294" i="12"/>
  <c r="DF95" i="11"/>
  <c r="DL95" i="11" s="1"/>
  <c r="AA294" i="12"/>
  <c r="N24" i="17"/>
  <c r="H10" i="12"/>
  <c r="H51" i="12"/>
  <c r="V24" i="17"/>
  <c r="J10" i="12"/>
  <c r="J51" i="12"/>
  <c r="AD24" i="17"/>
  <c r="L10" i="12"/>
  <c r="L51" i="12"/>
  <c r="AL24" i="17"/>
  <c r="N10" i="12"/>
  <c r="N51" i="12"/>
  <c r="AT24" i="17"/>
  <c r="P10" i="12"/>
  <c r="P51" i="12"/>
  <c r="BB24" i="17"/>
  <c r="R10" i="12"/>
  <c r="R51" i="12"/>
  <c r="BJ24" i="17"/>
  <c r="T10" i="12"/>
  <c r="T51" i="12"/>
  <c r="BR24" i="17"/>
  <c r="V10" i="12"/>
  <c r="V51" i="12"/>
  <c r="BZ24" i="17"/>
  <c r="X10" i="12"/>
  <c r="X51" i="12"/>
  <c r="CH24" i="17"/>
  <c r="Z10" i="12"/>
  <c r="Z51" i="12"/>
  <c r="CP24" i="17"/>
  <c r="AB10" i="12"/>
  <c r="AB51" i="12"/>
  <c r="J43" i="17"/>
  <c r="G52" i="12"/>
  <c r="R43" i="17"/>
  <c r="I52" i="12"/>
  <c r="I16" i="12"/>
  <c r="Z43" i="17"/>
  <c r="K52" i="12"/>
  <c r="K16" i="12"/>
  <c r="AH43" i="17"/>
  <c r="M52" i="12"/>
  <c r="M16" i="12"/>
  <c r="J24" i="17"/>
  <c r="G51" i="12"/>
  <c r="R24" i="17"/>
  <c r="I51" i="12"/>
  <c r="I10" i="12"/>
  <c r="Z24" i="17"/>
  <c r="K51" i="12"/>
  <c r="K10" i="12"/>
  <c r="AH24" i="17"/>
  <c r="M51" i="12"/>
  <c r="M10" i="12"/>
  <c r="AP24" i="17"/>
  <c r="O51" i="12"/>
  <c r="O10" i="12"/>
  <c r="AX24" i="17"/>
  <c r="Q51" i="12"/>
  <c r="Q10" i="12"/>
  <c r="BF24" i="17"/>
  <c r="S51" i="12"/>
  <c r="S10" i="12"/>
  <c r="BN24" i="17"/>
  <c r="U51" i="12"/>
  <c r="U10" i="12"/>
  <c r="BV24" i="17"/>
  <c r="W51" i="12"/>
  <c r="W10" i="12"/>
  <c r="CD24" i="17"/>
  <c r="Y51" i="12"/>
  <c r="Y10" i="12"/>
  <c r="CL24" i="17"/>
  <c r="AA51" i="12"/>
  <c r="AA10" i="12"/>
  <c r="N43" i="17"/>
  <c r="H16" i="12"/>
  <c r="H52" i="12"/>
  <c r="H59" i="12" s="1"/>
  <c r="V43" i="17"/>
  <c r="J16" i="12"/>
  <c r="J52" i="12"/>
  <c r="AD43" i="17"/>
  <c r="L16" i="12"/>
  <c r="L52" i="12"/>
  <c r="AL43" i="17"/>
  <c r="N16" i="12"/>
  <c r="N52" i="12"/>
  <c r="AT43" i="17"/>
  <c r="P16" i="12"/>
  <c r="P52" i="12"/>
  <c r="BB43" i="17"/>
  <c r="R16" i="12"/>
  <c r="R52" i="12"/>
  <c r="BJ43" i="17"/>
  <c r="T16" i="12"/>
  <c r="T52" i="12"/>
  <c r="BR43" i="17"/>
  <c r="V16" i="12"/>
  <c r="V52" i="12"/>
  <c r="BZ43" i="17"/>
  <c r="X16" i="12"/>
  <c r="X52" i="12"/>
  <c r="CH43" i="17"/>
  <c r="Z16" i="12"/>
  <c r="Z52" i="12"/>
  <c r="CP43" i="17"/>
  <c r="AB16" i="12"/>
  <c r="AB52" i="12"/>
  <c r="R65" i="17"/>
  <c r="I37" i="12"/>
  <c r="Z65" i="17"/>
  <c r="K37" i="12"/>
  <c r="AH65" i="17"/>
  <c r="M37" i="12"/>
  <c r="AP65" i="17"/>
  <c r="O37" i="12"/>
  <c r="AX65" i="17"/>
  <c r="Q37" i="12"/>
  <c r="BF65" i="17"/>
  <c r="S37" i="12"/>
  <c r="BN65" i="17"/>
  <c r="U37" i="12"/>
  <c r="BV65" i="17"/>
  <c r="W37" i="12"/>
  <c r="CD65" i="17"/>
  <c r="Y37" i="12"/>
  <c r="CL65" i="17"/>
  <c r="AA37" i="12"/>
  <c r="N62" i="17"/>
  <c r="H40" i="12"/>
  <c r="L63" i="11" s="1"/>
  <c r="V62" i="17"/>
  <c r="J40" i="12"/>
  <c r="V63" i="11" s="1"/>
  <c r="AD62" i="17"/>
  <c r="L40" i="12"/>
  <c r="AF63" i="11" s="1"/>
  <c r="AL62" i="17"/>
  <c r="N40" i="12"/>
  <c r="AP63" i="11" s="1"/>
  <c r="AT62" i="17"/>
  <c r="P40" i="12"/>
  <c r="AZ63" i="11" s="1"/>
  <c r="BB62" i="17"/>
  <c r="R40" i="12"/>
  <c r="BJ63" i="11" s="1"/>
  <c r="BJ62" i="17"/>
  <c r="T40" i="12"/>
  <c r="BT63" i="11" s="1"/>
  <c r="BR62" i="17"/>
  <c r="V40" i="12"/>
  <c r="CD63" i="11" s="1"/>
  <c r="BZ62" i="17"/>
  <c r="X40" i="12"/>
  <c r="CN63" i="11" s="1"/>
  <c r="CH62" i="17"/>
  <c r="Z40" i="12"/>
  <c r="CX63" i="11" s="1"/>
  <c r="CP62" i="17"/>
  <c r="AB40" i="12"/>
  <c r="DH63" i="11" s="1"/>
  <c r="J73" i="17"/>
  <c r="G53" i="12"/>
  <c r="R73" i="17"/>
  <c r="I53" i="12"/>
  <c r="I42" i="12"/>
  <c r="Q9" i="11" s="1"/>
  <c r="Z73" i="17"/>
  <c r="K53" i="12"/>
  <c r="K42" i="12"/>
  <c r="AA9" i="11" s="1"/>
  <c r="AH73" i="17"/>
  <c r="M53" i="12"/>
  <c r="M42" i="12"/>
  <c r="AK9" i="11" s="1"/>
  <c r="AP73" i="17"/>
  <c r="O53" i="12"/>
  <c r="O42" i="12"/>
  <c r="AU9" i="11" s="1"/>
  <c r="AX73" i="17"/>
  <c r="Q53" i="12"/>
  <c r="Q42" i="12"/>
  <c r="BE9" i="11" s="1"/>
  <c r="BF73" i="17"/>
  <c r="S53" i="12"/>
  <c r="S42" i="12"/>
  <c r="BO9" i="11" s="1"/>
  <c r="BN73" i="17"/>
  <c r="U53" i="12"/>
  <c r="U42" i="12"/>
  <c r="BY9" i="11" s="1"/>
  <c r="BV73" i="17"/>
  <c r="W53" i="12"/>
  <c r="W42" i="12"/>
  <c r="CI9" i="11" s="1"/>
  <c r="CD73" i="17"/>
  <c r="Y53" i="12"/>
  <c r="Y42" i="12"/>
  <c r="CS9" i="11" s="1"/>
  <c r="CL73" i="17"/>
  <c r="AA53" i="12"/>
  <c r="AA42" i="12"/>
  <c r="DC9" i="11" s="1"/>
  <c r="N126" i="17"/>
  <c r="H71" i="12"/>
  <c r="H67" i="12"/>
  <c r="V126" i="17"/>
  <c r="J71" i="12"/>
  <c r="J67" i="12"/>
  <c r="AD126" i="17"/>
  <c r="L71" i="12"/>
  <c r="L67" i="12"/>
  <c r="AL126" i="17"/>
  <c r="N71" i="12"/>
  <c r="N67" i="12"/>
  <c r="AT126" i="17"/>
  <c r="P71" i="12"/>
  <c r="P67" i="12"/>
  <c r="BB126" i="17"/>
  <c r="R71" i="12"/>
  <c r="R67" i="12"/>
  <c r="BJ126" i="17"/>
  <c r="T71" i="12"/>
  <c r="T67" i="12"/>
  <c r="BR126" i="17"/>
  <c r="V71" i="12"/>
  <c r="V67" i="12"/>
  <c r="BZ126" i="17"/>
  <c r="X71" i="12"/>
  <c r="X67" i="12"/>
  <c r="CH126" i="17"/>
  <c r="Z71" i="12"/>
  <c r="Z67" i="12"/>
  <c r="CP126" i="17"/>
  <c r="CT126" i="17"/>
  <c r="AB71" i="12"/>
  <c r="AB67" i="12"/>
  <c r="J107" i="17"/>
  <c r="G70" i="12"/>
  <c r="R107" i="17"/>
  <c r="I70" i="12"/>
  <c r="I61" i="12"/>
  <c r="Q10" i="11" s="1"/>
  <c r="Z107" i="17"/>
  <c r="K70" i="12"/>
  <c r="K61" i="12"/>
  <c r="AA10" i="11" s="1"/>
  <c r="AH107" i="17"/>
  <c r="M70" i="12"/>
  <c r="M61" i="12"/>
  <c r="AK10" i="11" s="1"/>
  <c r="AP107" i="17"/>
  <c r="O70" i="12"/>
  <c r="O61" i="12"/>
  <c r="AU10" i="11" s="1"/>
  <c r="AX107" i="17"/>
  <c r="Q70" i="12"/>
  <c r="Q61" i="12"/>
  <c r="BE10" i="11" s="1"/>
  <c r="BF107" i="17"/>
  <c r="S70" i="12"/>
  <c r="S61" i="12"/>
  <c r="BO10" i="11" s="1"/>
  <c r="BN107" i="17"/>
  <c r="U70" i="12"/>
  <c r="U61" i="12"/>
  <c r="BY10" i="11" s="1"/>
  <c r="BV107" i="17"/>
  <c r="W70" i="12"/>
  <c r="W61" i="12"/>
  <c r="CI10" i="11" s="1"/>
  <c r="CD107" i="17"/>
  <c r="Y70" i="12"/>
  <c r="Y61" i="12"/>
  <c r="CS10" i="11" s="1"/>
  <c r="CL107" i="17"/>
  <c r="AA70" i="12"/>
  <c r="AA61" i="12"/>
  <c r="DC10" i="11" s="1"/>
  <c r="N146" i="17"/>
  <c r="H92" i="12"/>
  <c r="H78" i="12"/>
  <c r="L12" i="11" s="1"/>
  <c r="V146" i="17"/>
  <c r="J92" i="12"/>
  <c r="J78" i="12"/>
  <c r="V12" i="11" s="1"/>
  <c r="AD146" i="17"/>
  <c r="L92" i="12"/>
  <c r="L78" i="12"/>
  <c r="AF12" i="11" s="1"/>
  <c r="AL146" i="17"/>
  <c r="N92" i="12"/>
  <c r="N78" i="12"/>
  <c r="AP12" i="11" s="1"/>
  <c r="AT146" i="17"/>
  <c r="P92" i="12"/>
  <c r="P78" i="12"/>
  <c r="AZ12" i="11" s="1"/>
  <c r="BB146" i="17"/>
  <c r="R92" i="12"/>
  <c r="R78" i="12"/>
  <c r="BJ12" i="11" s="1"/>
  <c r="BJ146" i="17"/>
  <c r="T92" i="12"/>
  <c r="T78" i="12"/>
  <c r="BT12" i="11" s="1"/>
  <c r="BR146" i="17"/>
  <c r="V92" i="12"/>
  <c r="V78" i="12"/>
  <c r="CD12" i="11" s="1"/>
  <c r="V74" i="12"/>
  <c r="BZ146" i="17"/>
  <c r="X92" i="12"/>
  <c r="X78" i="12"/>
  <c r="CN12" i="11" s="1"/>
  <c r="X74" i="12"/>
  <c r="CH146" i="17"/>
  <c r="Z92" i="12"/>
  <c r="Z78" i="12"/>
  <c r="CX12" i="11" s="1"/>
  <c r="Z74" i="12"/>
  <c r="CP146" i="17"/>
  <c r="AB92" i="12"/>
  <c r="AB78" i="12"/>
  <c r="DH12" i="11" s="1"/>
  <c r="AB74" i="12"/>
  <c r="J203" i="17"/>
  <c r="G122" i="12"/>
  <c r="R203" i="17"/>
  <c r="I122" i="12"/>
  <c r="I100" i="12"/>
  <c r="Z203" i="17"/>
  <c r="K122" i="12"/>
  <c r="K100" i="12"/>
  <c r="AH203" i="17"/>
  <c r="M122" i="12"/>
  <c r="M100" i="12"/>
  <c r="AP203" i="17"/>
  <c r="O122" i="12"/>
  <c r="O100" i="12"/>
  <c r="AX203" i="17"/>
  <c r="Q122" i="12"/>
  <c r="Q100" i="12"/>
  <c r="BF203" i="17"/>
  <c r="S122" i="12"/>
  <c r="S100" i="12"/>
  <c r="BN203" i="17"/>
  <c r="U122" i="12"/>
  <c r="U100" i="12"/>
  <c r="BV203" i="17"/>
  <c r="W122" i="12"/>
  <c r="W100" i="12"/>
  <c r="CD203" i="17"/>
  <c r="Y122" i="12"/>
  <c r="Y100" i="12"/>
  <c r="CL203" i="17"/>
  <c r="AA122" i="12"/>
  <c r="AA100" i="12"/>
  <c r="N165" i="17"/>
  <c r="H114" i="12"/>
  <c r="H88" i="12"/>
  <c r="L87" i="11" s="1"/>
  <c r="V165" i="17"/>
  <c r="J114" i="12"/>
  <c r="J88" i="12"/>
  <c r="V87" i="11" s="1"/>
  <c r="AD165" i="17"/>
  <c r="L114" i="12"/>
  <c r="L88" i="12"/>
  <c r="AF87" i="11" s="1"/>
  <c r="AL165" i="17"/>
  <c r="N114" i="12"/>
  <c r="N88" i="12"/>
  <c r="AP87" i="11" s="1"/>
  <c r="AT165" i="17"/>
  <c r="P114" i="12"/>
  <c r="P88" i="12"/>
  <c r="AZ87" i="11" s="1"/>
  <c r="BB165" i="17"/>
  <c r="R114" i="12"/>
  <c r="R88" i="12"/>
  <c r="BJ87" i="11" s="1"/>
  <c r="BJ165" i="17"/>
  <c r="T114" i="12"/>
  <c r="T88" i="12"/>
  <c r="BT87" i="11" s="1"/>
  <c r="BR165" i="17"/>
  <c r="V114" i="12"/>
  <c r="V88" i="12"/>
  <c r="CD87" i="11" s="1"/>
  <c r="BZ165" i="17"/>
  <c r="X114" i="12"/>
  <c r="X88" i="12"/>
  <c r="CN87" i="11" s="1"/>
  <c r="CH165" i="17"/>
  <c r="Z114" i="12"/>
  <c r="Z88" i="12"/>
  <c r="CX87" i="11" s="1"/>
  <c r="CP165" i="17"/>
  <c r="AB114" i="12"/>
  <c r="AB88" i="12"/>
  <c r="DH87" i="11" s="1"/>
  <c r="R168" i="17"/>
  <c r="I87" i="12"/>
  <c r="Q86" i="11" s="1"/>
  <c r="Z168" i="17"/>
  <c r="K87" i="12"/>
  <c r="AA86" i="11" s="1"/>
  <c r="AH168" i="17"/>
  <c r="M87" i="12"/>
  <c r="AK86" i="11" s="1"/>
  <c r="AP168" i="17"/>
  <c r="O87" i="12"/>
  <c r="AU86" i="11" s="1"/>
  <c r="AX168" i="17"/>
  <c r="Q87" i="12"/>
  <c r="BE86" i="11" s="1"/>
  <c r="BF168" i="17"/>
  <c r="S87" i="12"/>
  <c r="BO86" i="11" s="1"/>
  <c r="BN168" i="17"/>
  <c r="U87" i="12"/>
  <c r="BY86" i="11" s="1"/>
  <c r="BV168" i="17"/>
  <c r="W87" i="12"/>
  <c r="CI86" i="11" s="1"/>
  <c r="CD168" i="17"/>
  <c r="Y87" i="12"/>
  <c r="CS86" i="11" s="1"/>
  <c r="CL168" i="17"/>
  <c r="AA87" i="12"/>
  <c r="DC86" i="11" s="1"/>
  <c r="N173" i="17"/>
  <c r="H93" i="12"/>
  <c r="H89" i="12"/>
  <c r="H115" i="12"/>
  <c r="V173" i="17"/>
  <c r="J93" i="12"/>
  <c r="J89" i="12"/>
  <c r="J115" i="12"/>
  <c r="AD173" i="17"/>
  <c r="L93" i="12"/>
  <c r="L89" i="12"/>
  <c r="L115" i="12"/>
  <c r="AL173" i="17"/>
  <c r="N93" i="12"/>
  <c r="N89" i="12"/>
  <c r="N115" i="12"/>
  <c r="AT173" i="17"/>
  <c r="P93" i="12"/>
  <c r="P89" i="12"/>
  <c r="P115" i="12"/>
  <c r="BB173" i="17"/>
  <c r="R93" i="12"/>
  <c r="R89" i="12"/>
  <c r="R115" i="12"/>
  <c r="BJ173" i="17"/>
  <c r="T93" i="12"/>
  <c r="T89" i="12"/>
  <c r="T115" i="12"/>
  <c r="BR173" i="17"/>
  <c r="V93" i="12"/>
  <c r="V89" i="12"/>
  <c r="V115" i="12"/>
  <c r="BZ173" i="17"/>
  <c r="X93" i="12"/>
  <c r="X89" i="12"/>
  <c r="X115" i="12"/>
  <c r="CH173" i="17"/>
  <c r="Z93" i="12"/>
  <c r="Z89" i="12"/>
  <c r="Z115" i="12"/>
  <c r="CP173" i="17"/>
  <c r="AB93" i="12"/>
  <c r="AB115" i="12"/>
  <c r="R222" i="17"/>
  <c r="I110" i="12"/>
  <c r="Q102" i="11" s="1"/>
  <c r="Z222" i="17"/>
  <c r="K110" i="12"/>
  <c r="AA102" i="11" s="1"/>
  <c r="AH222" i="17"/>
  <c r="M110" i="12"/>
  <c r="AK102" i="11" s="1"/>
  <c r="AP222" i="17"/>
  <c r="O110" i="12"/>
  <c r="AU102" i="11" s="1"/>
  <c r="AX222" i="17"/>
  <c r="Q110" i="12"/>
  <c r="BE102" i="11" s="1"/>
  <c r="BF222" i="17"/>
  <c r="S110" i="12"/>
  <c r="BO102" i="11" s="1"/>
  <c r="BN222" i="17"/>
  <c r="U110" i="12"/>
  <c r="BY102" i="11" s="1"/>
  <c r="BV222" i="17"/>
  <c r="W110" i="12"/>
  <c r="CI102" i="11" s="1"/>
  <c r="CD222" i="17"/>
  <c r="Y110" i="12"/>
  <c r="CS102" i="11" s="1"/>
  <c r="CL222" i="17"/>
  <c r="AA110" i="12"/>
  <c r="DC102" i="11" s="1"/>
  <c r="N225" i="17"/>
  <c r="H109" i="12"/>
  <c r="L101" i="11" s="1"/>
  <c r="V225" i="17"/>
  <c r="J109" i="12"/>
  <c r="V101" i="11" s="1"/>
  <c r="AD225" i="17"/>
  <c r="L109" i="12"/>
  <c r="AF101" i="11" s="1"/>
  <c r="AL225" i="17"/>
  <c r="N109" i="12"/>
  <c r="AP101" i="11" s="1"/>
  <c r="AT225" i="17"/>
  <c r="P109" i="12"/>
  <c r="AZ101" i="11" s="1"/>
  <c r="BB225" i="17"/>
  <c r="R109" i="12"/>
  <c r="BJ101" i="11" s="1"/>
  <c r="BJ225" i="17"/>
  <c r="T109" i="12"/>
  <c r="BT101" i="11" s="1"/>
  <c r="BR225" i="17"/>
  <c r="V109" i="12"/>
  <c r="CD101" i="11" s="1"/>
  <c r="BZ225" i="17"/>
  <c r="X109" i="12"/>
  <c r="CN101" i="11" s="1"/>
  <c r="CH225" i="17"/>
  <c r="Z109" i="12"/>
  <c r="CX101" i="11" s="1"/>
  <c r="CP225" i="17"/>
  <c r="AB109" i="12"/>
  <c r="DH101" i="11" s="1"/>
  <c r="J230" i="17"/>
  <c r="G123" i="12"/>
  <c r="R230" i="17"/>
  <c r="I123" i="12"/>
  <c r="I111" i="12"/>
  <c r="Z230" i="17"/>
  <c r="K123" i="12"/>
  <c r="K111" i="12"/>
  <c r="AH230" i="17"/>
  <c r="M123" i="12"/>
  <c r="M111" i="12"/>
  <c r="AP230" i="17"/>
  <c r="O123" i="12"/>
  <c r="O111" i="12"/>
  <c r="AX230" i="17"/>
  <c r="Q123" i="12"/>
  <c r="Q111" i="12"/>
  <c r="BF230" i="17"/>
  <c r="S123" i="12"/>
  <c r="S111" i="12"/>
  <c r="BN230" i="17"/>
  <c r="U123" i="12"/>
  <c r="U111" i="12"/>
  <c r="BV230" i="17"/>
  <c r="W123" i="12"/>
  <c r="W111" i="12"/>
  <c r="CD230" i="17"/>
  <c r="Y123" i="12"/>
  <c r="Y111" i="12"/>
  <c r="CL230" i="17"/>
  <c r="AA123" i="12"/>
  <c r="AA111" i="12"/>
  <c r="H243" i="8"/>
  <c r="H162" i="12"/>
  <c r="L119" i="11" s="1"/>
  <c r="J243" i="8"/>
  <c r="J162" i="12"/>
  <c r="V119" i="11" s="1"/>
  <c r="L243" i="8"/>
  <c r="L162" i="12"/>
  <c r="AF119" i="11" s="1"/>
  <c r="N243" i="8"/>
  <c r="N162" i="12"/>
  <c r="AP119" i="11" s="1"/>
  <c r="P243" i="8"/>
  <c r="P162" i="12"/>
  <c r="AZ119" i="11" s="1"/>
  <c r="R243" i="8"/>
  <c r="R162" i="12"/>
  <c r="BJ119" i="11" s="1"/>
  <c r="T243" i="8"/>
  <c r="T162" i="12"/>
  <c r="BT119" i="11" s="1"/>
  <c r="V243" i="8"/>
  <c r="V162" i="12"/>
  <c r="CD119" i="11" s="1"/>
  <c r="X243" i="8"/>
  <c r="X162" i="12"/>
  <c r="CN119" i="11" s="1"/>
  <c r="Z243" i="8"/>
  <c r="Z162" i="12"/>
  <c r="CX119" i="11" s="1"/>
  <c r="AB243" i="8"/>
  <c r="AB162" i="12"/>
  <c r="DH119" i="11" s="1"/>
  <c r="R260" i="17"/>
  <c r="I131" i="12"/>
  <c r="Q17" i="11" s="1"/>
  <c r="Q116" i="11" s="1"/>
  <c r="Z260" i="17"/>
  <c r="K131" i="12"/>
  <c r="AA17" i="11" s="1"/>
  <c r="AA116" i="11" s="1"/>
  <c r="E8" i="21"/>
  <c r="AH260" i="17"/>
  <c r="M131" i="12"/>
  <c r="G8" i="21"/>
  <c r="AP260" i="17"/>
  <c r="O131" i="12"/>
  <c r="I8" i="21"/>
  <c r="AX260" i="17"/>
  <c r="Q131" i="12"/>
  <c r="K8" i="21"/>
  <c r="BF260" i="17"/>
  <c r="S131" i="12"/>
  <c r="M8" i="21"/>
  <c r="BN260" i="17"/>
  <c r="U131" i="12"/>
  <c r="O8" i="21"/>
  <c r="BV260" i="17"/>
  <c r="W131" i="12"/>
  <c r="Q8" i="21"/>
  <c r="CD260" i="17"/>
  <c r="Y131" i="12"/>
  <c r="S8" i="21"/>
  <c r="CL260" i="17"/>
  <c r="AA120" i="12"/>
  <c r="AA131" i="12"/>
  <c r="L36" i="6"/>
  <c r="H388" i="12"/>
  <c r="H361" i="12"/>
  <c r="H247" i="12"/>
  <c r="O7" i="11"/>
  <c r="H188" i="12"/>
  <c r="O35" i="11"/>
  <c r="X36" i="6"/>
  <c r="J388" i="12"/>
  <c r="J361" i="12"/>
  <c r="J247" i="12"/>
  <c r="Y7" i="11"/>
  <c r="J188" i="12"/>
  <c r="Y35" i="11"/>
  <c r="AJ36" i="6"/>
  <c r="L388" i="12"/>
  <c r="L361" i="12"/>
  <c r="L247" i="12"/>
  <c r="AI7" i="11"/>
  <c r="L188" i="12"/>
  <c r="L23" i="7" s="1"/>
  <c r="AI35" i="11"/>
  <c r="AV36" i="6"/>
  <c r="N388" i="12"/>
  <c r="N361" i="12"/>
  <c r="N247" i="12"/>
  <c r="AS7" i="11"/>
  <c r="N188" i="12"/>
  <c r="N23" i="7" s="1"/>
  <c r="AS35" i="11"/>
  <c r="BH36" i="6"/>
  <c r="P388" i="12"/>
  <c r="P361" i="12"/>
  <c r="P313" i="12"/>
  <c r="P247" i="12"/>
  <c r="BC7" i="11"/>
  <c r="P188" i="12"/>
  <c r="P23" i="7" s="1"/>
  <c r="BC35" i="11"/>
  <c r="BT36" i="6"/>
  <c r="R388" i="12"/>
  <c r="R361" i="12"/>
  <c r="R313" i="12"/>
  <c r="R307" i="12" s="1"/>
  <c r="R247" i="12"/>
  <c r="BM7" i="11"/>
  <c r="R188" i="12"/>
  <c r="R23" i="7" s="1"/>
  <c r="BM35" i="11"/>
  <c r="CF36" i="6"/>
  <c r="T388" i="12"/>
  <c r="T361" i="12"/>
  <c r="T313" i="12"/>
  <c r="T307" i="12" s="1"/>
  <c r="T247" i="12"/>
  <c r="BW7" i="11"/>
  <c r="T188" i="12"/>
  <c r="T23" i="7" s="1"/>
  <c r="BW35" i="11"/>
  <c r="CR36" i="6"/>
  <c r="V388" i="12"/>
  <c r="V361" i="12"/>
  <c r="V313" i="12"/>
  <c r="V307" i="12" s="1"/>
  <c r="V247" i="12"/>
  <c r="CG7" i="11"/>
  <c r="V188" i="12"/>
  <c r="V23" i="7" s="1"/>
  <c r="CG35" i="11"/>
  <c r="DD36" i="6"/>
  <c r="X388" i="12"/>
  <c r="X361" i="12"/>
  <c r="X313" i="12"/>
  <c r="X307" i="12" s="1"/>
  <c r="X247" i="12"/>
  <c r="CQ7" i="11"/>
  <c r="X188" i="12"/>
  <c r="X23" i="7" s="1"/>
  <c r="CQ35" i="11"/>
  <c r="C195" i="2"/>
  <c r="AT195" i="2" s="1"/>
  <c r="C136" i="2"/>
  <c r="DP36" i="6"/>
  <c r="Z388" i="12"/>
  <c r="Z361" i="12"/>
  <c r="Z313" i="12"/>
  <c r="Z307" i="12" s="1"/>
  <c r="Z247" i="12"/>
  <c r="DA7" i="11"/>
  <c r="Z188" i="12"/>
  <c r="Z23" i="7" s="1"/>
  <c r="DA35" i="11"/>
  <c r="EB36" i="6"/>
  <c r="AB388" i="12"/>
  <c r="AC391" i="12" s="1"/>
  <c r="AB361" i="12"/>
  <c r="AC366" i="12" s="1"/>
  <c r="AB247" i="12"/>
  <c r="DK7" i="11"/>
  <c r="AB188" i="12"/>
  <c r="AB23" i="7" s="1"/>
  <c r="DK35" i="11"/>
  <c r="N38" i="6"/>
  <c r="H198" i="12"/>
  <c r="O48" i="11"/>
  <c r="Z38" i="6"/>
  <c r="J198" i="12"/>
  <c r="Y48" i="11"/>
  <c r="AL38" i="6"/>
  <c r="L198" i="12"/>
  <c r="AI48" i="11"/>
  <c r="AX38" i="6"/>
  <c r="N198" i="12"/>
  <c r="AS48" i="11"/>
  <c r="BJ38" i="6"/>
  <c r="P198" i="12"/>
  <c r="BC48" i="11"/>
  <c r="BV38" i="6"/>
  <c r="R198" i="12"/>
  <c r="BM48" i="11"/>
  <c r="CH38" i="6"/>
  <c r="T198" i="12"/>
  <c r="BW48" i="11"/>
  <c r="CT38" i="6"/>
  <c r="V198" i="12"/>
  <c r="CG48" i="11"/>
  <c r="DF38" i="6"/>
  <c r="X198" i="12"/>
  <c r="CQ48" i="11"/>
  <c r="C218" i="2"/>
  <c r="DR38" i="6"/>
  <c r="Z198" i="12"/>
  <c r="DA48" i="11"/>
  <c r="ED38" i="6"/>
  <c r="E218" i="2"/>
  <c r="AV218" i="2" s="1"/>
  <c r="AB198" i="12"/>
  <c r="DK48" i="11"/>
  <c r="DQ48" i="11" s="1"/>
  <c r="G394" i="12"/>
  <c r="G194" i="12"/>
  <c r="J50" i="11"/>
  <c r="G248" i="12"/>
  <c r="J8" i="11"/>
  <c r="I394" i="12"/>
  <c r="I194" i="12"/>
  <c r="T50" i="11"/>
  <c r="I248" i="12"/>
  <c r="I199" i="12"/>
  <c r="T8" i="11"/>
  <c r="K394" i="12"/>
  <c r="K194" i="12"/>
  <c r="AD50" i="11"/>
  <c r="K248" i="12"/>
  <c r="K199" i="12"/>
  <c r="AD8" i="11"/>
  <c r="M394" i="12"/>
  <c r="M194" i="12"/>
  <c r="AN50" i="11"/>
  <c r="M248" i="12"/>
  <c r="M199" i="12"/>
  <c r="AN8" i="11"/>
  <c r="O394" i="12"/>
  <c r="O194" i="12"/>
  <c r="AX50" i="11"/>
  <c r="O248" i="12"/>
  <c r="O199" i="12"/>
  <c r="AX8" i="11"/>
  <c r="Q394" i="12"/>
  <c r="Q194" i="12"/>
  <c r="BH50" i="11"/>
  <c r="Q248" i="12"/>
  <c r="Q199" i="12"/>
  <c r="BH8" i="11"/>
  <c r="S394" i="12"/>
  <c r="S194" i="12"/>
  <c r="BR50" i="11"/>
  <c r="S248" i="12"/>
  <c r="S199" i="12"/>
  <c r="BR8" i="11"/>
  <c r="U394" i="12"/>
  <c r="U194" i="12"/>
  <c r="CB50" i="11"/>
  <c r="U248" i="12"/>
  <c r="U199" i="12"/>
  <c r="CB8" i="11"/>
  <c r="W394" i="12"/>
  <c r="W194" i="12"/>
  <c r="CL50" i="11"/>
  <c r="W248" i="12"/>
  <c r="W199" i="12"/>
  <c r="CL8" i="11"/>
  <c r="Y394" i="12"/>
  <c r="Y194" i="12"/>
  <c r="CV50" i="11"/>
  <c r="Y248" i="12"/>
  <c r="Y199" i="12"/>
  <c r="CV8" i="11"/>
  <c r="D137" i="2"/>
  <c r="AU137" i="2" s="1"/>
  <c r="AA394" i="12"/>
  <c r="AA194" i="12"/>
  <c r="DF50" i="11"/>
  <c r="AA248" i="12"/>
  <c r="AA199" i="12"/>
  <c r="DF8" i="11"/>
  <c r="H37" i="6"/>
  <c r="J47" i="11"/>
  <c r="T37" i="6"/>
  <c r="I197" i="12"/>
  <c r="I435" i="7" s="1"/>
  <c r="T47" i="11"/>
  <c r="AF37" i="6"/>
  <c r="K197" i="12"/>
  <c r="K435" i="7" s="1"/>
  <c r="AD47" i="11"/>
  <c r="AR37" i="6"/>
  <c r="M197" i="12"/>
  <c r="M435" i="7" s="1"/>
  <c r="AN47" i="11"/>
  <c r="BD37" i="6"/>
  <c r="O197" i="12"/>
  <c r="O435" i="7" s="1"/>
  <c r="AX47" i="11"/>
  <c r="BP37" i="6"/>
  <c r="Q197" i="12"/>
  <c r="Q435" i="7" s="1"/>
  <c r="BH47" i="11"/>
  <c r="CB37" i="6"/>
  <c r="S197" i="12"/>
  <c r="S435" i="7" s="1"/>
  <c r="BR47" i="11"/>
  <c r="CN37" i="6"/>
  <c r="U197" i="12"/>
  <c r="U435" i="7" s="1"/>
  <c r="CB47" i="11"/>
  <c r="CZ37" i="6"/>
  <c r="W197" i="12"/>
  <c r="W435" i="7" s="1"/>
  <c r="CL47" i="11"/>
  <c r="DL37" i="6"/>
  <c r="Y197" i="12"/>
  <c r="Y435" i="7" s="1"/>
  <c r="D219" i="2"/>
  <c r="DX37" i="6"/>
  <c r="AA197" i="12"/>
  <c r="AA435" i="7" s="1"/>
  <c r="H402" i="12"/>
  <c r="H218" i="12"/>
  <c r="O58" i="11"/>
  <c r="J402" i="12"/>
  <c r="J218" i="12"/>
  <c r="Y58" i="11"/>
  <c r="L402" i="12"/>
  <c r="L218" i="12"/>
  <c r="AI58" i="11"/>
  <c r="N402" i="12"/>
  <c r="N218" i="12"/>
  <c r="AS58" i="11"/>
  <c r="P402" i="12"/>
  <c r="P218" i="12"/>
  <c r="BC58" i="11"/>
  <c r="R402" i="12"/>
  <c r="R218" i="12"/>
  <c r="BM58" i="11"/>
  <c r="T402" i="12"/>
  <c r="T218" i="12"/>
  <c r="BW58" i="11"/>
  <c r="V402" i="12"/>
  <c r="V218" i="12"/>
  <c r="CG58" i="11"/>
  <c r="X402" i="12"/>
  <c r="X218" i="12"/>
  <c r="CQ58" i="11"/>
  <c r="Z402" i="12"/>
  <c r="Z218" i="12"/>
  <c r="DA58" i="11"/>
  <c r="AB402" i="12"/>
  <c r="AB218" i="12"/>
  <c r="DK58" i="11"/>
  <c r="G403" i="12"/>
  <c r="J59" i="11"/>
  <c r="I403" i="12"/>
  <c r="T59" i="11"/>
  <c r="I219" i="12"/>
  <c r="K403" i="12"/>
  <c r="AD59" i="11"/>
  <c r="K219" i="12"/>
  <c r="M403" i="12"/>
  <c r="AN59" i="11"/>
  <c r="M219" i="12"/>
  <c r="O403" i="12"/>
  <c r="AX59" i="11"/>
  <c r="O219" i="12"/>
  <c r="Q403" i="12"/>
  <c r="BH59" i="11"/>
  <c r="Q219" i="12"/>
  <c r="S403" i="12"/>
  <c r="BR59" i="11"/>
  <c r="S219" i="12"/>
  <c r="U403" i="12"/>
  <c r="CB59" i="11"/>
  <c r="U219" i="12"/>
  <c r="W403" i="12"/>
  <c r="CL59" i="11"/>
  <c r="W219" i="12"/>
  <c r="Y403" i="12"/>
  <c r="CV59" i="11"/>
  <c r="Y219" i="12"/>
  <c r="D133" i="2"/>
  <c r="AU133" i="2" s="1"/>
  <c r="AA403" i="12"/>
  <c r="DF59" i="11"/>
  <c r="AA219" i="12"/>
  <c r="H407" i="12"/>
  <c r="H223" i="12"/>
  <c r="O63" i="11"/>
  <c r="J407" i="12"/>
  <c r="J223" i="12"/>
  <c r="Y63" i="11"/>
  <c r="L407" i="12"/>
  <c r="L223" i="12"/>
  <c r="AI63" i="11"/>
  <c r="N407" i="12"/>
  <c r="N223" i="12"/>
  <c r="AS63" i="11"/>
  <c r="P407" i="12"/>
  <c r="P223" i="12"/>
  <c r="BC63" i="11"/>
  <c r="R407" i="12"/>
  <c r="R223" i="12"/>
  <c r="BM63" i="11"/>
  <c r="T407" i="12"/>
  <c r="T223" i="12"/>
  <c r="BW63" i="11"/>
  <c r="V407" i="12"/>
  <c r="V223" i="12"/>
  <c r="CG63" i="11"/>
  <c r="X407" i="12"/>
  <c r="X223" i="12"/>
  <c r="CQ63" i="11"/>
  <c r="C140" i="2"/>
  <c r="AT140" i="2" s="1"/>
  <c r="Z407" i="12"/>
  <c r="Z223" i="12"/>
  <c r="DA63" i="11"/>
  <c r="AB407" i="12"/>
  <c r="AB223" i="12"/>
  <c r="DK63" i="11"/>
  <c r="G404" i="12"/>
  <c r="G207" i="12"/>
  <c r="J60" i="11"/>
  <c r="I404" i="12"/>
  <c r="I220" i="12"/>
  <c r="I207" i="12"/>
  <c r="T60" i="11"/>
  <c r="K404" i="12"/>
  <c r="K220" i="12"/>
  <c r="K207" i="12"/>
  <c r="AD60" i="11"/>
  <c r="M404" i="12"/>
  <c r="M220" i="12"/>
  <c r="M207" i="12"/>
  <c r="AN60" i="11"/>
  <c r="O404" i="12"/>
  <c r="O220" i="12"/>
  <c r="O207" i="12"/>
  <c r="AX60" i="11"/>
  <c r="Q404" i="12"/>
  <c r="Q220" i="12"/>
  <c r="Q207" i="12"/>
  <c r="BH60" i="11"/>
  <c r="S404" i="12"/>
  <c r="S220" i="12"/>
  <c r="S207" i="12"/>
  <c r="BR60" i="11"/>
  <c r="U404" i="12"/>
  <c r="U220" i="12"/>
  <c r="U207" i="12"/>
  <c r="CB60" i="11"/>
  <c r="W404" i="12"/>
  <c r="W220" i="12"/>
  <c r="W207" i="12"/>
  <c r="CL60" i="11"/>
  <c r="Y404" i="12"/>
  <c r="Y220" i="12"/>
  <c r="Y207" i="12"/>
  <c r="CV60" i="11"/>
  <c r="D139" i="2"/>
  <c r="AU139" i="2" s="1"/>
  <c r="AA404" i="12"/>
  <c r="AA220" i="12"/>
  <c r="AA207" i="12"/>
  <c r="DF60" i="11"/>
  <c r="K46" i="6"/>
  <c r="H409" i="12"/>
  <c r="H249" i="12"/>
  <c r="H231" i="12"/>
  <c r="H225" i="12"/>
  <c r="O65" i="11"/>
  <c r="O9" i="11"/>
  <c r="W46" i="6"/>
  <c r="J409" i="12"/>
  <c r="J249" i="12"/>
  <c r="J231" i="12"/>
  <c r="J225" i="12"/>
  <c r="Y65" i="11"/>
  <c r="Y9" i="11"/>
  <c r="AI46" i="6"/>
  <c r="L409" i="12"/>
  <c r="L249" i="12"/>
  <c r="L231" i="12"/>
  <c r="L225" i="12"/>
  <c r="AI65" i="11"/>
  <c r="AI9" i="11"/>
  <c r="AU46" i="6"/>
  <c r="N409" i="12"/>
  <c r="N249" i="12"/>
  <c r="N231" i="12"/>
  <c r="N225" i="12"/>
  <c r="AS65" i="11"/>
  <c r="AS9" i="11"/>
  <c r="BG46" i="6"/>
  <c r="P409" i="12"/>
  <c r="P249" i="12"/>
  <c r="P231" i="12"/>
  <c r="P225" i="12"/>
  <c r="BC65" i="11"/>
  <c r="BC9" i="11"/>
  <c r="BS46" i="6"/>
  <c r="R409" i="12"/>
  <c r="R249" i="12"/>
  <c r="R231" i="12"/>
  <c r="R225" i="12"/>
  <c r="BM65" i="11"/>
  <c r="BM9" i="11"/>
  <c r="CE46" i="6"/>
  <c r="T409" i="12"/>
  <c r="T249" i="12"/>
  <c r="T231" i="12"/>
  <c r="T225" i="12"/>
  <c r="BW65" i="11"/>
  <c r="BW9" i="11"/>
  <c r="CQ46" i="6"/>
  <c r="V409" i="12"/>
  <c r="V249" i="12"/>
  <c r="V231" i="12"/>
  <c r="V225" i="12"/>
  <c r="CG9" i="11"/>
  <c r="DC46" i="6"/>
  <c r="X409" i="12"/>
  <c r="X249" i="12"/>
  <c r="X231" i="12"/>
  <c r="X225" i="12"/>
  <c r="CQ9" i="11"/>
  <c r="C138" i="2"/>
  <c r="AT138" i="2" s="1"/>
  <c r="DO46" i="6"/>
  <c r="Z409" i="12"/>
  <c r="Z249" i="12"/>
  <c r="Z231" i="12"/>
  <c r="Z225" i="12"/>
  <c r="DA9" i="11"/>
  <c r="CW47" i="6"/>
  <c r="W544" i="7"/>
  <c r="W430" i="12"/>
  <c r="W267" i="12"/>
  <c r="CL11" i="11"/>
  <c r="CL81" i="11"/>
  <c r="DI47" i="6"/>
  <c r="Y544" i="7"/>
  <c r="Y430" i="12"/>
  <c r="Y267" i="12"/>
  <c r="Y263" i="12"/>
  <c r="CV11" i="11"/>
  <c r="CV81" i="11"/>
  <c r="D142" i="2"/>
  <c r="AU142" i="2" s="1"/>
  <c r="DU47" i="6"/>
  <c r="AA544" i="7"/>
  <c r="AA430" i="12"/>
  <c r="AA267" i="12"/>
  <c r="AA263" i="12"/>
  <c r="DF11" i="11"/>
  <c r="DF81" i="11"/>
  <c r="H266" i="12"/>
  <c r="H257" i="12"/>
  <c r="J266" i="12"/>
  <c r="J257" i="12"/>
  <c r="L266" i="12"/>
  <c r="L257" i="12"/>
  <c r="N266" i="12"/>
  <c r="N257" i="12"/>
  <c r="P266" i="12"/>
  <c r="P257" i="12"/>
  <c r="R266" i="12"/>
  <c r="R257" i="12"/>
  <c r="T266" i="12"/>
  <c r="T257" i="12"/>
  <c r="V266" i="12"/>
  <c r="V257" i="12"/>
  <c r="X266" i="12"/>
  <c r="X257" i="12"/>
  <c r="Z266" i="12"/>
  <c r="Z257" i="12"/>
  <c r="G298" i="12"/>
  <c r="I274" i="12"/>
  <c r="I298" i="12"/>
  <c r="K274" i="12"/>
  <c r="K298" i="12"/>
  <c r="M274" i="12"/>
  <c r="M298" i="12"/>
  <c r="O274" i="12"/>
  <c r="O298" i="12"/>
  <c r="Q274" i="12"/>
  <c r="Q298" i="12"/>
  <c r="S274" i="12"/>
  <c r="S298" i="12"/>
  <c r="U274" i="12"/>
  <c r="U298" i="12"/>
  <c r="W274" i="12"/>
  <c r="W298" i="12"/>
  <c r="Y274" i="12"/>
  <c r="Y298" i="12"/>
  <c r="AA274" i="12"/>
  <c r="AA298" i="12"/>
  <c r="G330" i="12"/>
  <c r="G437" i="12"/>
  <c r="J87" i="11"/>
  <c r="I330" i="12"/>
  <c r="I437" i="12"/>
  <c r="T87" i="11"/>
  <c r="I284" i="12"/>
  <c r="K330" i="12"/>
  <c r="K437" i="12"/>
  <c r="AD87" i="11"/>
  <c r="K284" i="12"/>
  <c r="M330" i="12"/>
  <c r="M437" i="12"/>
  <c r="AN87" i="11"/>
  <c r="M284" i="12"/>
  <c r="O330" i="12"/>
  <c r="O437" i="12"/>
  <c r="AX87" i="11"/>
  <c r="O284" i="12"/>
  <c r="Q330" i="12"/>
  <c r="Q437" i="12"/>
  <c r="BH87" i="11"/>
  <c r="Q284" i="12"/>
  <c r="S330" i="12"/>
  <c r="S437" i="12"/>
  <c r="BR87" i="11"/>
  <c r="S284" i="12"/>
  <c r="U330" i="12"/>
  <c r="U437" i="12"/>
  <c r="CB87" i="11"/>
  <c r="U284" i="12"/>
  <c r="W330" i="12"/>
  <c r="W437" i="12"/>
  <c r="CL87" i="11"/>
  <c r="W284" i="12"/>
  <c r="Y330" i="12"/>
  <c r="Y437" i="12"/>
  <c r="CV87" i="11"/>
  <c r="Y284" i="12"/>
  <c r="D143" i="2"/>
  <c r="AU143" i="2" s="1"/>
  <c r="AA330" i="12"/>
  <c r="AA437" i="12"/>
  <c r="DF87" i="11"/>
  <c r="AA284" i="12"/>
  <c r="H436" i="12"/>
  <c r="H283" i="12"/>
  <c r="O86" i="11"/>
  <c r="J436" i="12"/>
  <c r="J283" i="12"/>
  <c r="Y86" i="11"/>
  <c r="L436" i="12"/>
  <c r="L283" i="12"/>
  <c r="AI86" i="11"/>
  <c r="N436" i="12"/>
  <c r="N283" i="12"/>
  <c r="AS86" i="11"/>
  <c r="P436" i="12"/>
  <c r="P283" i="12"/>
  <c r="BC86" i="11"/>
  <c r="R436" i="12"/>
  <c r="R283" i="12"/>
  <c r="BM86" i="11"/>
  <c r="T436" i="12"/>
  <c r="T283" i="12"/>
  <c r="BW86" i="11"/>
  <c r="V436" i="12"/>
  <c r="V283" i="12"/>
  <c r="CG86" i="11"/>
  <c r="X436" i="12"/>
  <c r="X283" i="12"/>
  <c r="CQ86" i="11"/>
  <c r="C144" i="2"/>
  <c r="AT144" i="2" s="1"/>
  <c r="Z436" i="12"/>
  <c r="Z283" i="12"/>
  <c r="DA86" i="11"/>
  <c r="AB436" i="12"/>
  <c r="AB283" i="12"/>
  <c r="DK86" i="11"/>
  <c r="DN86" i="11" s="1"/>
  <c r="DO86" i="11" s="1"/>
  <c r="G331" i="12"/>
  <c r="G438" i="12"/>
  <c r="G299" i="12"/>
  <c r="G280" i="12"/>
  <c r="J88" i="11"/>
  <c r="J13" i="11"/>
  <c r="I331" i="12"/>
  <c r="I438" i="12"/>
  <c r="I285" i="12"/>
  <c r="I299" i="12"/>
  <c r="I280" i="12"/>
  <c r="T88" i="11"/>
  <c r="T13" i="11"/>
  <c r="K331" i="12"/>
  <c r="K438" i="12"/>
  <c r="K285" i="12"/>
  <c r="K299" i="12"/>
  <c r="K280" i="12"/>
  <c r="AD88" i="11"/>
  <c r="AD13" i="11"/>
  <c r="M331" i="12"/>
  <c r="M438" i="12"/>
  <c r="M285" i="12"/>
  <c r="M299" i="12"/>
  <c r="M280" i="12"/>
  <c r="AN88" i="11"/>
  <c r="AN13" i="11"/>
  <c r="O331" i="12"/>
  <c r="O438" i="12"/>
  <c r="O285" i="12"/>
  <c r="O299" i="12"/>
  <c r="O280" i="12"/>
  <c r="AX88" i="11"/>
  <c r="AX13" i="11"/>
  <c r="Q331" i="12"/>
  <c r="Q438" i="12"/>
  <c r="Q299" i="12"/>
  <c r="Q285" i="12"/>
  <c r="Q280" i="12"/>
  <c r="BH88" i="11"/>
  <c r="BH13" i="11"/>
  <c r="S331" i="12"/>
  <c r="S438" i="12"/>
  <c r="S299" i="12"/>
  <c r="S285" i="12"/>
  <c r="S280" i="12"/>
  <c r="BR88" i="11"/>
  <c r="BR13" i="11"/>
  <c r="U331" i="12"/>
  <c r="U438" i="12"/>
  <c r="U299" i="12"/>
  <c r="U285" i="12"/>
  <c r="U280" i="12"/>
  <c r="CB88" i="11"/>
  <c r="CB13" i="11"/>
  <c r="W331" i="12"/>
  <c r="W438" i="12"/>
  <c r="W299" i="12"/>
  <c r="W285" i="12"/>
  <c r="W280" i="12"/>
  <c r="CL88" i="11"/>
  <c r="O12" i="21" s="1"/>
  <c r="CL13" i="11"/>
  <c r="Y331" i="12"/>
  <c r="Y438" i="12"/>
  <c r="Y299" i="12"/>
  <c r="Y285" i="12"/>
  <c r="Y280" i="12"/>
  <c r="CV88" i="11"/>
  <c r="CV13" i="11"/>
  <c r="AA331" i="12"/>
  <c r="AA438" i="12"/>
  <c r="AA299" i="12"/>
  <c r="AA285" i="12"/>
  <c r="AA280" i="12"/>
  <c r="DF88" i="11"/>
  <c r="DF13" i="11"/>
  <c r="H317" i="12"/>
  <c r="H448" i="12"/>
  <c r="H339" i="12"/>
  <c r="H312" i="12"/>
  <c r="O103" i="11"/>
  <c r="P103" i="11" s="1"/>
  <c r="O15" i="11"/>
  <c r="J317" i="12"/>
  <c r="J448" i="12"/>
  <c r="J339" i="12"/>
  <c r="J312" i="12"/>
  <c r="Y103" i="11"/>
  <c r="Y15" i="11"/>
  <c r="L317" i="12"/>
  <c r="L448" i="12"/>
  <c r="L339" i="12"/>
  <c r="L312" i="12"/>
  <c r="AI103" i="11"/>
  <c r="AJ103" i="11" s="1"/>
  <c r="AI15" i="11"/>
  <c r="N317" i="12"/>
  <c r="N312" i="12"/>
  <c r="N448" i="12"/>
  <c r="N339" i="12"/>
  <c r="AS103" i="11"/>
  <c r="AS15" i="11"/>
  <c r="P317" i="12"/>
  <c r="P312" i="12"/>
  <c r="P448" i="12"/>
  <c r="P339" i="12"/>
  <c r="BC103" i="11"/>
  <c r="BD103" i="11" s="1"/>
  <c r="BC15" i="11"/>
  <c r="R317" i="12"/>
  <c r="R312" i="12"/>
  <c r="R448" i="12"/>
  <c r="R339" i="12"/>
  <c r="BM103" i="11"/>
  <c r="BS103" i="11" s="1"/>
  <c r="BM15" i="11"/>
  <c r="T317" i="12"/>
  <c r="T312" i="12"/>
  <c r="T448" i="12"/>
  <c r="T339" i="12"/>
  <c r="BW103" i="11"/>
  <c r="BX103" i="11" s="1"/>
  <c r="BW15" i="11"/>
  <c r="V317" i="12"/>
  <c r="V312" i="12"/>
  <c r="V448" i="12"/>
  <c r="V339" i="12"/>
  <c r="CG103" i="11"/>
  <c r="CM103" i="11" s="1"/>
  <c r="CG15" i="11"/>
  <c r="X317" i="12"/>
  <c r="X312" i="12"/>
  <c r="X448" i="12"/>
  <c r="X339" i="12"/>
  <c r="CQ103" i="11"/>
  <c r="CR103" i="11" s="1"/>
  <c r="CQ15" i="11"/>
  <c r="Z317" i="12"/>
  <c r="Z312" i="12"/>
  <c r="Z448" i="12"/>
  <c r="Z339" i="12"/>
  <c r="DA103" i="11"/>
  <c r="DG103" i="11" s="1"/>
  <c r="DA15" i="11"/>
  <c r="AB317" i="12"/>
  <c r="AB312" i="12"/>
  <c r="AB448" i="12"/>
  <c r="AB339" i="12"/>
  <c r="DK15" i="11"/>
  <c r="G46" i="6"/>
  <c r="G243" i="12"/>
  <c r="S46" i="6"/>
  <c r="I243" i="12"/>
  <c r="I237" i="12"/>
  <c r="AE46" i="6"/>
  <c r="K243" i="12"/>
  <c r="AD73" i="11"/>
  <c r="AE73" i="11" s="1"/>
  <c r="K237" i="12"/>
  <c r="AQ46" i="6"/>
  <c r="M735" i="7"/>
  <c r="M243" i="12"/>
  <c r="AN73" i="11"/>
  <c r="M237" i="12"/>
  <c r="BC46" i="6"/>
  <c r="O735" i="7"/>
  <c r="O243" i="12"/>
  <c r="AX73" i="11"/>
  <c r="O237" i="12"/>
  <c r="BO46" i="6"/>
  <c r="Q735" i="7"/>
  <c r="Q243" i="12"/>
  <c r="BH73" i="11"/>
  <c r="Q237" i="12"/>
  <c r="CA46" i="6"/>
  <c r="S735" i="7"/>
  <c r="S243" i="12"/>
  <c r="BR73" i="11"/>
  <c r="S237" i="12"/>
  <c r="CM46" i="6"/>
  <c r="U735" i="7"/>
  <c r="U243" i="12"/>
  <c r="CB73" i="11"/>
  <c r="U237" i="12"/>
  <c r="CY46" i="6"/>
  <c r="W735" i="7"/>
  <c r="W243" i="12"/>
  <c r="CL73" i="11"/>
  <c r="W237" i="12"/>
  <c r="AA237" i="12"/>
  <c r="N46" i="6"/>
  <c r="H424" i="12"/>
  <c r="H242" i="12"/>
  <c r="H236" i="12"/>
  <c r="Z46" i="6"/>
  <c r="J424" i="12"/>
  <c r="J242" i="12"/>
  <c r="J236" i="12"/>
  <c r="AL46" i="6"/>
  <c r="L763" i="7"/>
  <c r="L662" i="7"/>
  <c r="L676" i="7" s="1"/>
  <c r="L424" i="12"/>
  <c r="L242" i="12"/>
  <c r="L236" i="12"/>
  <c r="AI71" i="11"/>
  <c r="AG71" i="11" s="1"/>
  <c r="L177" i="12" s="1"/>
  <c r="AX46" i="6"/>
  <c r="N763" i="7"/>
  <c r="N662" i="7"/>
  <c r="N676" i="7" s="1"/>
  <c r="N424" i="12"/>
  <c r="N242" i="12"/>
  <c r="N236" i="12"/>
  <c r="AS71" i="11"/>
  <c r="BJ46" i="6"/>
  <c r="P763" i="7"/>
  <c r="P662" i="7"/>
  <c r="P676" i="7" s="1"/>
  <c r="P424" i="12"/>
  <c r="P242" i="12"/>
  <c r="P236" i="12"/>
  <c r="BC71" i="11"/>
  <c r="BV46" i="6"/>
  <c r="R763" i="7"/>
  <c r="R662" i="7"/>
  <c r="R676" i="7" s="1"/>
  <c r="R424" i="12"/>
  <c r="R242" i="12"/>
  <c r="R236" i="12"/>
  <c r="BM71" i="11"/>
  <c r="CH46" i="6"/>
  <c r="T763" i="7"/>
  <c r="T662" i="7"/>
  <c r="T676" i="7" s="1"/>
  <c r="T424" i="12"/>
  <c r="T242" i="12"/>
  <c r="T236" i="12"/>
  <c r="BW71" i="11"/>
  <c r="CT46" i="6"/>
  <c r="V763" i="7"/>
  <c r="V662" i="7"/>
  <c r="V676" i="7" s="1"/>
  <c r="V424" i="12"/>
  <c r="V242" i="12"/>
  <c r="V236" i="12"/>
  <c r="CG71" i="11"/>
  <c r="DF46" i="6"/>
  <c r="X763" i="7"/>
  <c r="X662" i="7"/>
  <c r="X676" i="7" s="1"/>
  <c r="X424" i="12"/>
  <c r="X242" i="12"/>
  <c r="X236" i="12"/>
  <c r="CQ71" i="11"/>
  <c r="C226" i="2"/>
  <c r="DR46" i="6"/>
  <c r="Z763" i="7"/>
  <c r="Z662" i="7"/>
  <c r="Z676" i="7" s="1"/>
  <c r="Z424" i="12"/>
  <c r="Z242" i="12"/>
  <c r="Z236" i="12"/>
  <c r="DA71" i="11"/>
  <c r="L46" i="6"/>
  <c r="H235" i="12"/>
  <c r="H241" i="12"/>
  <c r="X46" i="6"/>
  <c r="J235" i="12"/>
  <c r="J241" i="12"/>
  <c r="AJ46" i="6"/>
  <c r="L718" i="7"/>
  <c r="L235" i="12"/>
  <c r="L241" i="12"/>
  <c r="AI72" i="11"/>
  <c r="AV46" i="6"/>
  <c r="N718" i="7"/>
  <c r="N235" i="12"/>
  <c r="N241" i="12"/>
  <c r="AS72" i="11"/>
  <c r="BH46" i="6"/>
  <c r="P718" i="7"/>
  <c r="P235" i="12"/>
  <c r="P241" i="12"/>
  <c r="BC72" i="11"/>
  <c r="BT46" i="6"/>
  <c r="R718" i="7"/>
  <c r="R235" i="12"/>
  <c r="R241" i="12"/>
  <c r="BM72" i="11"/>
  <c r="CF46" i="6"/>
  <c r="T718" i="7"/>
  <c r="T235" i="12"/>
  <c r="T241" i="12"/>
  <c r="BW72" i="11"/>
  <c r="CR46" i="6"/>
  <c r="V718" i="7"/>
  <c r="V235" i="12"/>
  <c r="V241" i="12"/>
  <c r="CG72" i="11"/>
  <c r="DD46" i="6"/>
  <c r="X718" i="7"/>
  <c r="X235" i="12"/>
  <c r="X241" i="12"/>
  <c r="CQ72" i="11"/>
  <c r="DP46" i="6"/>
  <c r="Z718" i="7"/>
  <c r="Z235" i="12"/>
  <c r="Z241" i="12"/>
  <c r="DA72" i="11"/>
  <c r="G290" i="12"/>
  <c r="J94" i="11"/>
  <c r="J96" i="11" s="1"/>
  <c r="I293" i="12"/>
  <c r="I290" i="12"/>
  <c r="T94" i="11"/>
  <c r="K293" i="12"/>
  <c r="K290" i="12"/>
  <c r="AD94" i="11"/>
  <c r="M293" i="12"/>
  <c r="M290" i="12"/>
  <c r="AN94" i="11"/>
  <c r="O293" i="12"/>
  <c r="O290" i="12"/>
  <c r="AX94" i="11"/>
  <c r="Q293" i="12"/>
  <c r="Q290" i="12"/>
  <c r="BH94" i="11"/>
  <c r="S293" i="12"/>
  <c r="S290" i="12"/>
  <c r="BR94" i="11"/>
  <c r="U293" i="12"/>
  <c r="U290" i="12"/>
  <c r="CB94" i="11"/>
  <c r="W293" i="12"/>
  <c r="W290" i="12"/>
  <c r="CL94" i="11"/>
  <c r="Y293" i="12"/>
  <c r="Y290" i="12"/>
  <c r="CV94" i="11"/>
  <c r="AA293" i="12"/>
  <c r="AA290" i="12"/>
  <c r="AB295" i="12" s="1"/>
  <c r="DF94" i="11"/>
  <c r="DL94" i="11" s="1"/>
  <c r="H294" i="12"/>
  <c r="O95" i="11"/>
  <c r="J294" i="12"/>
  <c r="Y95" i="11"/>
  <c r="L294" i="12"/>
  <c r="AI95" i="11"/>
  <c r="N294" i="12"/>
  <c r="AS95" i="11"/>
  <c r="P294" i="12"/>
  <c r="BC95" i="11"/>
  <c r="R294" i="12"/>
  <c r="BM95" i="11"/>
  <c r="T294" i="12"/>
  <c r="BW95" i="11"/>
  <c r="V294" i="12"/>
  <c r="CG95" i="11"/>
  <c r="X294" i="12"/>
  <c r="CQ95" i="11"/>
  <c r="C249" i="2"/>
  <c r="AT249" i="2" s="1"/>
  <c r="Z294" i="12"/>
  <c r="DA95" i="11"/>
  <c r="K15" i="8"/>
  <c r="K21" i="8"/>
  <c r="O15" i="8"/>
  <c r="O21" i="8"/>
  <c r="S15" i="8"/>
  <c r="S21" i="8"/>
  <c r="W15" i="8"/>
  <c r="W21" i="8"/>
  <c r="AA15" i="8"/>
  <c r="L22" i="8"/>
  <c r="L16" i="8"/>
  <c r="L6" i="8"/>
  <c r="P22" i="8"/>
  <c r="P16" i="8"/>
  <c r="P6" i="8"/>
  <c r="R22" i="8"/>
  <c r="R16" i="8"/>
  <c r="R6" i="8"/>
  <c r="V22" i="8"/>
  <c r="V16" i="8"/>
  <c r="V6" i="8"/>
  <c r="C176" i="2"/>
  <c r="AT176" i="2" s="1"/>
  <c r="Z16" i="8"/>
  <c r="Z6" i="8"/>
  <c r="I23" i="8"/>
  <c r="I9" i="8"/>
  <c r="I17" i="8"/>
  <c r="M23" i="8"/>
  <c r="M9" i="8"/>
  <c r="M17" i="8"/>
  <c r="Q23" i="8"/>
  <c r="Q9" i="8"/>
  <c r="Q17" i="8"/>
  <c r="U23" i="8"/>
  <c r="U9" i="8"/>
  <c r="U17" i="8"/>
  <c r="Y23" i="8"/>
  <c r="Y9" i="8"/>
  <c r="Y17" i="8"/>
  <c r="J244" i="8"/>
  <c r="J100" i="8"/>
  <c r="J62" i="8"/>
  <c r="J33" i="8"/>
  <c r="J51" i="8"/>
  <c r="N244" i="8"/>
  <c r="N100" i="8"/>
  <c r="N62" i="8"/>
  <c r="N33" i="8"/>
  <c r="N51" i="8"/>
  <c r="R244" i="8"/>
  <c r="R100" i="8"/>
  <c r="R62" i="8"/>
  <c r="R33" i="8"/>
  <c r="R51" i="8"/>
  <c r="V244" i="8"/>
  <c r="V100" i="8"/>
  <c r="V62" i="8"/>
  <c r="V33" i="8"/>
  <c r="V51" i="8"/>
  <c r="AB244" i="8"/>
  <c r="AB100" i="8"/>
  <c r="AB51" i="8"/>
  <c r="G77" i="8"/>
  <c r="G192" i="8" s="1"/>
  <c r="G30" i="8"/>
  <c r="G188" i="8" s="1"/>
  <c r="K77" i="8"/>
  <c r="K192" i="8" s="1"/>
  <c r="K30" i="8"/>
  <c r="K188" i="8" s="1"/>
  <c r="K60" i="8"/>
  <c r="K49" i="8"/>
  <c r="O77" i="8"/>
  <c r="O192" i="8" s="1"/>
  <c r="O30" i="8"/>
  <c r="O188" i="8" s="1"/>
  <c r="O60" i="8"/>
  <c r="O49" i="8"/>
  <c r="S77" i="8"/>
  <c r="S192" i="8" s="1"/>
  <c r="S30" i="8"/>
  <c r="S188" i="8" s="1"/>
  <c r="S60" i="8"/>
  <c r="S49" i="8"/>
  <c r="W77" i="8"/>
  <c r="W192" i="8" s="1"/>
  <c r="W30" i="8"/>
  <c r="W60" i="8"/>
  <c r="W49" i="8"/>
  <c r="D163" i="2"/>
  <c r="AU163" i="2" s="1"/>
  <c r="AA77" i="8"/>
  <c r="AA192" i="8" s="1"/>
  <c r="AA30" i="8"/>
  <c r="AA60" i="8"/>
  <c r="AA49" i="8"/>
  <c r="J65" i="8"/>
  <c r="J54" i="8"/>
  <c r="J12" i="8"/>
  <c r="J42" i="8" s="1"/>
  <c r="N65" i="8"/>
  <c r="N54" i="8"/>
  <c r="N12" i="8"/>
  <c r="N39" i="8" s="1"/>
  <c r="R65" i="8"/>
  <c r="R54" i="8"/>
  <c r="R12" i="8"/>
  <c r="R42" i="8" s="1"/>
  <c r="V65" i="8"/>
  <c r="V54" i="8"/>
  <c r="V12" i="8"/>
  <c r="V39" i="8" s="1"/>
  <c r="C178" i="2"/>
  <c r="AT178" i="2" s="1"/>
  <c r="Z65" i="8"/>
  <c r="Z54" i="8"/>
  <c r="Z12" i="8"/>
  <c r="Z39" i="8" s="1"/>
  <c r="L452" i="7"/>
  <c r="L441" i="7"/>
  <c r="N452" i="7"/>
  <c r="N441" i="7"/>
  <c r="P452" i="7"/>
  <c r="P441" i="7"/>
  <c r="R452" i="7"/>
  <c r="R441" i="7"/>
  <c r="T452" i="7"/>
  <c r="T441" i="7"/>
  <c r="V452" i="7"/>
  <c r="V441" i="7"/>
  <c r="X452" i="7"/>
  <c r="X441" i="7"/>
  <c r="Z452" i="7"/>
  <c r="Z441" i="7"/>
  <c r="AB441" i="7"/>
  <c r="M557" i="7"/>
  <c r="M551" i="7"/>
  <c r="O557" i="7"/>
  <c r="O551" i="7"/>
  <c r="Q557" i="7"/>
  <c r="Q551" i="7"/>
  <c r="S557" i="7"/>
  <c r="S551" i="7"/>
  <c r="U557" i="7"/>
  <c r="U551" i="7"/>
  <c r="H338" i="12"/>
  <c r="J338" i="12"/>
  <c r="L338" i="12"/>
  <c r="N338" i="12"/>
  <c r="P338" i="12"/>
  <c r="R338" i="12"/>
  <c r="T338" i="12"/>
  <c r="V338" i="12"/>
  <c r="X338" i="12"/>
  <c r="M581" i="7"/>
  <c r="M575" i="7"/>
  <c r="O581" i="7"/>
  <c r="O575" i="7"/>
  <c r="Q581" i="7"/>
  <c r="Q575" i="7"/>
  <c r="S581" i="7"/>
  <c r="S575" i="7"/>
  <c r="U581" i="7"/>
  <c r="U575" i="7"/>
  <c r="W581" i="7"/>
  <c r="W575" i="7"/>
  <c r="Y581" i="7"/>
  <c r="Y575" i="7"/>
  <c r="AA581" i="7"/>
  <c r="AA575" i="7"/>
  <c r="L798" i="7"/>
  <c r="N798" i="7"/>
  <c r="P798" i="7"/>
  <c r="R798" i="7"/>
  <c r="T798" i="7"/>
  <c r="V798" i="7"/>
  <c r="X798" i="7"/>
  <c r="Z798" i="7"/>
  <c r="H447" i="12"/>
  <c r="H316" i="12"/>
  <c r="J447" i="12"/>
  <c r="J316" i="12"/>
  <c r="L447" i="12"/>
  <c r="L316" i="12"/>
  <c r="N447" i="12"/>
  <c r="N316" i="12"/>
  <c r="P447" i="12"/>
  <c r="P316" i="12"/>
  <c r="R447" i="12"/>
  <c r="R316" i="12"/>
  <c r="T447" i="12"/>
  <c r="T316" i="12"/>
  <c r="V447" i="12"/>
  <c r="V316" i="12"/>
  <c r="X447" i="12"/>
  <c r="X316" i="12"/>
  <c r="C145" i="2"/>
  <c r="AT145" i="2" s="1"/>
  <c r="Z447" i="12"/>
  <c r="Z316" i="12"/>
  <c r="AB447" i="12"/>
  <c r="AB316" i="12"/>
  <c r="G446" i="12"/>
  <c r="I446" i="12"/>
  <c r="I315" i="12"/>
  <c r="K446" i="12"/>
  <c r="K315" i="12"/>
  <c r="M446" i="12"/>
  <c r="M315" i="12"/>
  <c r="O446" i="12"/>
  <c r="O315" i="12"/>
  <c r="Q446" i="12"/>
  <c r="Q315" i="12"/>
  <c r="S446" i="12"/>
  <c r="S315" i="12"/>
  <c r="U446" i="12"/>
  <c r="U315" i="12"/>
  <c r="W446" i="12"/>
  <c r="W315" i="12"/>
  <c r="Y446" i="12"/>
  <c r="Y315" i="12"/>
  <c r="D146" i="2"/>
  <c r="AA446" i="12"/>
  <c r="AA315" i="12"/>
  <c r="K5" i="6"/>
  <c r="H456" i="12"/>
  <c r="H348" i="12"/>
  <c r="W5" i="6"/>
  <c r="J456" i="12"/>
  <c r="J348" i="12"/>
  <c r="L698" i="7"/>
  <c r="AI5" i="6"/>
  <c r="D6" i="21"/>
  <c r="L30" i="7"/>
  <c r="L456" i="12"/>
  <c r="L348" i="12"/>
  <c r="N698" i="7"/>
  <c r="AU5" i="6"/>
  <c r="F6" i="21"/>
  <c r="N30" i="7"/>
  <c r="N456" i="12"/>
  <c r="N348" i="12"/>
  <c r="P698" i="7"/>
  <c r="BG5" i="6"/>
  <c r="H6" i="21"/>
  <c r="P456" i="12"/>
  <c r="P348" i="12"/>
  <c r="R698" i="7"/>
  <c r="BS5" i="6"/>
  <c r="J6" i="21"/>
  <c r="R456" i="12"/>
  <c r="R348" i="12"/>
  <c r="T698" i="7"/>
  <c r="CE5" i="6"/>
  <c r="T621" i="7"/>
  <c r="L6" i="21"/>
  <c r="T456" i="12"/>
  <c r="T348" i="12"/>
  <c r="V698" i="7"/>
  <c r="CQ5" i="6"/>
  <c r="V621" i="7"/>
  <c r="N6" i="21"/>
  <c r="V456" i="12"/>
  <c r="V348" i="12"/>
  <c r="X698" i="7"/>
  <c r="DC5" i="6"/>
  <c r="X621" i="7"/>
  <c r="P6" i="21"/>
  <c r="X456" i="12"/>
  <c r="X348" i="12"/>
  <c r="C147" i="2"/>
  <c r="AT147" i="2" s="1"/>
  <c r="Z698" i="7"/>
  <c r="DO5" i="6"/>
  <c r="Z621" i="7"/>
  <c r="R6" i="21"/>
  <c r="Z456" i="12"/>
  <c r="Z348" i="12"/>
  <c r="G352" i="12"/>
  <c r="I352" i="12"/>
  <c r="K352" i="12"/>
  <c r="M101" i="7"/>
  <c r="M95" i="7"/>
  <c r="M352" i="12"/>
  <c r="O101" i="7"/>
  <c r="O95" i="7"/>
  <c r="O352" i="12"/>
  <c r="Q101" i="7"/>
  <c r="Q95" i="7"/>
  <c r="Q352" i="12"/>
  <c r="S101" i="7"/>
  <c r="S95" i="7"/>
  <c r="S352" i="12"/>
  <c r="U101" i="7"/>
  <c r="U95" i="7"/>
  <c r="U352" i="12"/>
  <c r="W101" i="7"/>
  <c r="W95" i="7"/>
  <c r="W352" i="12"/>
  <c r="Y101" i="7"/>
  <c r="Y95" i="7"/>
  <c r="Y352" i="12"/>
  <c r="AA101" i="7"/>
  <c r="AA95" i="7"/>
  <c r="AA352" i="12"/>
  <c r="H232" i="8"/>
  <c r="H224" i="8"/>
  <c r="H190" i="8"/>
  <c r="H166" i="8"/>
  <c r="J232" i="8"/>
  <c r="J224" i="8"/>
  <c r="J190" i="8"/>
  <c r="J166" i="8"/>
  <c r="L232" i="8"/>
  <c r="L224" i="8"/>
  <c r="L276" i="7" s="1"/>
  <c r="L190" i="8"/>
  <c r="L166" i="8"/>
  <c r="N232" i="8"/>
  <c r="N224" i="8"/>
  <c r="N276" i="7" s="1"/>
  <c r="N190" i="8"/>
  <c r="N166" i="8"/>
  <c r="P232" i="8"/>
  <c r="P224" i="8"/>
  <c r="P276" i="7" s="1"/>
  <c r="P190" i="8"/>
  <c r="P166" i="8"/>
  <c r="R232" i="8"/>
  <c r="R224" i="8"/>
  <c r="R276" i="7" s="1"/>
  <c r="R190" i="8"/>
  <c r="R166" i="8"/>
  <c r="T232" i="8"/>
  <c r="T224" i="8"/>
  <c r="T276" i="7" s="1"/>
  <c r="T190" i="8"/>
  <c r="T166" i="8"/>
  <c r="V232" i="8"/>
  <c r="V224" i="8"/>
  <c r="V276" i="7" s="1"/>
  <c r="V190" i="8"/>
  <c r="V166" i="8"/>
  <c r="X232" i="8"/>
  <c r="X224" i="8"/>
  <c r="X276" i="7" s="1"/>
  <c r="X190" i="8"/>
  <c r="X166" i="8"/>
  <c r="C161" i="2"/>
  <c r="AT161" i="2" s="1"/>
  <c r="Z232" i="8"/>
  <c r="Z224" i="8"/>
  <c r="Z276" i="7" s="1"/>
  <c r="Z190" i="8"/>
  <c r="Z166" i="8"/>
  <c r="AB224" i="8"/>
  <c r="AB276" i="7" s="1"/>
  <c r="E6" i="6"/>
  <c r="Q6" i="6"/>
  <c r="AC6" i="6"/>
  <c r="AO6" i="6"/>
  <c r="M17" i="7"/>
  <c r="M14" i="7"/>
  <c r="M26" i="7"/>
  <c r="BA6" i="6"/>
  <c r="O17" i="7"/>
  <c r="O14" i="7"/>
  <c r="O26" i="7"/>
  <c r="BM6" i="6"/>
  <c r="Q17" i="7"/>
  <c r="Q14" i="7"/>
  <c r="Q26" i="7"/>
  <c r="BY6" i="6"/>
  <c r="S17" i="7"/>
  <c r="S14" i="7"/>
  <c r="S26" i="7"/>
  <c r="CK6" i="6"/>
  <c r="U17" i="7"/>
  <c r="U14" i="7"/>
  <c r="U26" i="7"/>
  <c r="CW6" i="6"/>
  <c r="W17" i="7"/>
  <c r="W14" i="7"/>
  <c r="W26" i="7"/>
  <c r="DI6" i="6"/>
  <c r="Y17" i="7"/>
  <c r="Y14" i="7"/>
  <c r="Y26" i="7"/>
  <c r="D150" i="2"/>
  <c r="AU150" i="2" s="1"/>
  <c r="DU6" i="6"/>
  <c r="AA17" i="7"/>
  <c r="AA14" i="7"/>
  <c r="AA26" i="7"/>
  <c r="K7" i="6"/>
  <c r="W7" i="6"/>
  <c r="AI7" i="6"/>
  <c r="L54" i="7"/>
  <c r="L51" i="7"/>
  <c r="L62" i="7"/>
  <c r="AU7" i="6"/>
  <c r="N54" i="7"/>
  <c r="N51" i="7"/>
  <c r="N62" i="7"/>
  <c r="BG7" i="6"/>
  <c r="P54" i="7"/>
  <c r="P51" i="7"/>
  <c r="P62" i="7"/>
  <c r="BS7" i="6"/>
  <c r="R54" i="7"/>
  <c r="R51" i="7"/>
  <c r="R62" i="7"/>
  <c r="CE7" i="6"/>
  <c r="T54" i="7"/>
  <c r="T51" i="7"/>
  <c r="T62" i="7"/>
  <c r="CQ7" i="6"/>
  <c r="V54" i="7"/>
  <c r="V51" i="7"/>
  <c r="V62" i="7"/>
  <c r="DC7" i="6"/>
  <c r="X54" i="7"/>
  <c r="X51" i="7"/>
  <c r="X62" i="7"/>
  <c r="C151" i="2"/>
  <c r="AT151" i="2" s="1"/>
  <c r="DO7" i="6"/>
  <c r="Z54" i="7"/>
  <c r="Z51" i="7"/>
  <c r="Z62" i="7"/>
  <c r="EA7" i="6"/>
  <c r="E151" i="2"/>
  <c r="H200" i="20" s="1"/>
  <c r="Y200" i="20" s="1"/>
  <c r="M130" i="7"/>
  <c r="M124" i="7"/>
  <c r="O130" i="7"/>
  <c r="O124" i="7"/>
  <c r="Q130" i="7"/>
  <c r="Q124" i="7"/>
  <c r="S130" i="7"/>
  <c r="S124" i="7"/>
  <c r="U130" i="7"/>
  <c r="U124" i="7"/>
  <c r="W130" i="7"/>
  <c r="W124" i="7"/>
  <c r="Y130" i="7"/>
  <c r="Y124" i="7"/>
  <c r="AA130" i="7"/>
  <c r="AA124" i="7"/>
  <c r="M8" i="6"/>
  <c r="Y8" i="6"/>
  <c r="AK8" i="6"/>
  <c r="L108" i="7"/>
  <c r="L99" i="7"/>
  <c r="L93" i="7"/>
  <c r="AW8" i="6"/>
  <c r="N108" i="7"/>
  <c r="N99" i="7"/>
  <c r="N93" i="7"/>
  <c r="BI8" i="6"/>
  <c r="P108" i="7"/>
  <c r="P99" i="7"/>
  <c r="P93" i="7"/>
  <c r="BU8" i="6"/>
  <c r="R108" i="7"/>
  <c r="R99" i="7"/>
  <c r="R93" i="7"/>
  <c r="CG8" i="6"/>
  <c r="T108" i="7"/>
  <c r="T99" i="7"/>
  <c r="T93" i="7"/>
  <c r="CS8" i="6"/>
  <c r="V108" i="7"/>
  <c r="V99" i="7"/>
  <c r="V93" i="7"/>
  <c r="DE8" i="6"/>
  <c r="X108" i="7"/>
  <c r="X99" i="7"/>
  <c r="X93" i="7"/>
  <c r="C200" i="2"/>
  <c r="AT200" i="2" s="1"/>
  <c r="DQ8" i="6"/>
  <c r="Z108" i="7"/>
  <c r="Z99" i="7"/>
  <c r="Z93" i="7"/>
  <c r="G9" i="6"/>
  <c r="S9" i="6"/>
  <c r="AE9" i="6"/>
  <c r="AQ9" i="6"/>
  <c r="M80" i="7"/>
  <c r="M28" i="7"/>
  <c r="M19" i="7"/>
  <c r="BC9" i="6"/>
  <c r="O80" i="7"/>
  <c r="O28" i="7"/>
  <c r="O19" i="7"/>
  <c r="BO9" i="6"/>
  <c r="Q80" i="7"/>
  <c r="Q28" i="7"/>
  <c r="Q19" i="7"/>
  <c r="CA9" i="6"/>
  <c r="S80" i="7"/>
  <c r="S28" i="7"/>
  <c r="S19" i="7"/>
  <c r="CM9" i="6"/>
  <c r="U80" i="7"/>
  <c r="U28" i="7"/>
  <c r="U19" i="7"/>
  <c r="CY9" i="6"/>
  <c r="W80" i="7"/>
  <c r="W28" i="7"/>
  <c r="W19" i="7"/>
  <c r="DK9" i="6"/>
  <c r="Y80" i="7"/>
  <c r="Y28" i="7"/>
  <c r="Y19" i="7"/>
  <c r="D202" i="2"/>
  <c r="AU202" i="2" s="1"/>
  <c r="DW9" i="6"/>
  <c r="AA80" i="7"/>
  <c r="AA28" i="7"/>
  <c r="AA19" i="7"/>
  <c r="M10" i="6"/>
  <c r="Y10" i="6"/>
  <c r="AK10" i="6"/>
  <c r="L56" i="7"/>
  <c r="L64" i="7"/>
  <c r="AW10" i="6"/>
  <c r="N56" i="7"/>
  <c r="N64" i="7"/>
  <c r="BI10" i="6"/>
  <c r="P56" i="7"/>
  <c r="P64" i="7"/>
  <c r="BU10" i="6"/>
  <c r="R56" i="7"/>
  <c r="R64" i="7"/>
  <c r="CG10" i="6"/>
  <c r="T56" i="7"/>
  <c r="T64" i="7"/>
  <c r="CS10" i="6"/>
  <c r="V56" i="7"/>
  <c r="V64" i="7"/>
  <c r="DE10" i="6"/>
  <c r="X56" i="7"/>
  <c r="X64" i="7"/>
  <c r="C201" i="2"/>
  <c r="AT201" i="2" s="1"/>
  <c r="DQ10" i="6"/>
  <c r="Z56" i="7"/>
  <c r="Z64" i="7"/>
  <c r="G11" i="6"/>
  <c r="G230" i="8"/>
  <c r="S11" i="6"/>
  <c r="I230" i="8"/>
  <c r="I222" i="8"/>
  <c r="AE11" i="6"/>
  <c r="K230" i="8"/>
  <c r="K222" i="8"/>
  <c r="AQ11" i="6"/>
  <c r="M81" i="7"/>
  <c r="M230" i="8"/>
  <c r="M222" i="8"/>
  <c r="BC11" i="6"/>
  <c r="O81" i="7"/>
  <c r="O230" i="8"/>
  <c r="O222" i="8"/>
  <c r="BO11" i="6"/>
  <c r="Q81" i="7"/>
  <c r="Q230" i="8"/>
  <c r="Q222" i="8"/>
  <c r="CA11" i="6"/>
  <c r="S81" i="7"/>
  <c r="S230" i="8"/>
  <c r="S222" i="8"/>
  <c r="CM11" i="6"/>
  <c r="U81" i="7"/>
  <c r="U230" i="8"/>
  <c r="U222" i="8"/>
  <c r="CY11" i="6"/>
  <c r="W81" i="7"/>
  <c r="W230" i="8"/>
  <c r="W222" i="8"/>
  <c r="DK11" i="6"/>
  <c r="Y81" i="7"/>
  <c r="Y230" i="8"/>
  <c r="Y222" i="8"/>
  <c r="DW11" i="6"/>
  <c r="AA81" i="7"/>
  <c r="AA230" i="8"/>
  <c r="AA222" i="8"/>
  <c r="M30" i="6"/>
  <c r="Y30" i="6"/>
  <c r="AK30" i="6"/>
  <c r="L240" i="7"/>
  <c r="L222" i="7"/>
  <c r="L210" i="7"/>
  <c r="AW30" i="6"/>
  <c r="N240" i="7"/>
  <c r="N222" i="7"/>
  <c r="N210" i="7"/>
  <c r="BI30" i="6"/>
  <c r="P240" i="7"/>
  <c r="P222" i="7"/>
  <c r="P210" i="7"/>
  <c r="BU30" i="6"/>
  <c r="R240" i="7"/>
  <c r="R222" i="7"/>
  <c r="R210" i="7"/>
  <c r="CG30" i="6"/>
  <c r="T240" i="7"/>
  <c r="T222" i="7"/>
  <c r="T210" i="7"/>
  <c r="CS30" i="6"/>
  <c r="V240" i="7"/>
  <c r="V222" i="7"/>
  <c r="V210" i="7"/>
  <c r="DE30" i="6"/>
  <c r="X240" i="7"/>
  <c r="X222" i="7"/>
  <c r="X210" i="7"/>
  <c r="C207" i="2"/>
  <c r="DQ30" i="6"/>
  <c r="Z240" i="7"/>
  <c r="Z222" i="7"/>
  <c r="Z210" i="7"/>
  <c r="G24" i="6"/>
  <c r="S24" i="6"/>
  <c r="AE24" i="6"/>
  <c r="AQ24" i="6"/>
  <c r="M728" i="7"/>
  <c r="M283" i="7"/>
  <c r="M269" i="7"/>
  <c r="BC24" i="6"/>
  <c r="O728" i="7"/>
  <c r="O283" i="7"/>
  <c r="O269" i="7"/>
  <c r="BO24" i="6"/>
  <c r="Q728" i="7"/>
  <c r="Q283" i="7"/>
  <c r="Q269" i="7"/>
  <c r="CA24" i="6"/>
  <c r="S728" i="7"/>
  <c r="S283" i="7"/>
  <c r="S269" i="7"/>
  <c r="CM24" i="6"/>
  <c r="U728" i="7"/>
  <c r="U283" i="7"/>
  <c r="U269" i="7"/>
  <c r="CY24" i="6"/>
  <c r="W728" i="7"/>
  <c r="W283" i="7"/>
  <c r="W269" i="7"/>
  <c r="DK24" i="6"/>
  <c r="Y728" i="7"/>
  <c r="Y283" i="7"/>
  <c r="Y269" i="7"/>
  <c r="DW24" i="6"/>
  <c r="AA728" i="7"/>
  <c r="AA283" i="7"/>
  <c r="AA269" i="7"/>
  <c r="M32" i="6"/>
  <c r="Y32" i="6"/>
  <c r="AK32" i="6"/>
  <c r="L730" i="7"/>
  <c r="L314" i="7"/>
  <c r="L307" i="7"/>
  <c r="AW32" i="6"/>
  <c r="N730" i="7"/>
  <c r="N314" i="7"/>
  <c r="N307" i="7"/>
  <c r="BI32" i="6"/>
  <c r="P730" i="7"/>
  <c r="P314" i="7"/>
  <c r="P307" i="7"/>
  <c r="BU32" i="6"/>
  <c r="R730" i="7"/>
  <c r="R314" i="7"/>
  <c r="R307" i="7"/>
  <c r="CG32" i="6"/>
  <c r="T730" i="7"/>
  <c r="T314" i="7"/>
  <c r="T307" i="7"/>
  <c r="CS32" i="6"/>
  <c r="V730" i="7"/>
  <c r="V314" i="7"/>
  <c r="V307" i="7"/>
  <c r="DE32" i="6"/>
  <c r="X730" i="7"/>
  <c r="X314" i="7"/>
  <c r="X307" i="7"/>
  <c r="DQ32" i="6"/>
  <c r="Z730" i="7"/>
  <c r="Z314" i="7"/>
  <c r="Z307" i="7"/>
  <c r="G28" i="6"/>
  <c r="S28" i="6"/>
  <c r="AE28" i="6"/>
  <c r="AQ28" i="6"/>
  <c r="M729" i="7"/>
  <c r="M345" i="7"/>
  <c r="M336" i="7"/>
  <c r="BC28" i="6"/>
  <c r="O729" i="7"/>
  <c r="O345" i="7"/>
  <c r="O336" i="7"/>
  <c r="BO28" i="6"/>
  <c r="Q729" i="7"/>
  <c r="Q345" i="7"/>
  <c r="Q336" i="7"/>
  <c r="CA28" i="6"/>
  <c r="S729" i="7"/>
  <c r="S345" i="7"/>
  <c r="S336" i="7"/>
  <c r="CM28" i="6"/>
  <c r="U729" i="7"/>
  <c r="U345" i="7"/>
  <c r="U336" i="7"/>
  <c r="CY28" i="6"/>
  <c r="W729" i="7"/>
  <c r="W345" i="7"/>
  <c r="W336" i="7"/>
  <c r="DK28" i="6"/>
  <c r="Y729" i="7"/>
  <c r="Y345" i="7"/>
  <c r="Y336" i="7"/>
  <c r="DW28" i="6"/>
  <c r="AA729" i="7"/>
  <c r="AA345" i="7"/>
  <c r="AA336" i="7"/>
  <c r="M33" i="6"/>
  <c r="Y33" i="6"/>
  <c r="AK33" i="6"/>
  <c r="L731" i="7"/>
  <c r="L344" i="7"/>
  <c r="L335" i="7"/>
  <c r="AW33" i="6"/>
  <c r="N731" i="7"/>
  <c r="N344" i="7"/>
  <c r="N335" i="7"/>
  <c r="BI33" i="6"/>
  <c r="P731" i="7"/>
  <c r="P344" i="7"/>
  <c r="P335" i="7"/>
  <c r="BU33" i="6"/>
  <c r="R731" i="7"/>
  <c r="R344" i="7"/>
  <c r="R335" i="7"/>
  <c r="CG33" i="6"/>
  <c r="T731" i="7"/>
  <c r="T344" i="7"/>
  <c r="T335" i="7"/>
  <c r="CS33" i="6"/>
  <c r="V731" i="7"/>
  <c r="V344" i="7"/>
  <c r="V335" i="7"/>
  <c r="DE33" i="6"/>
  <c r="X731" i="7"/>
  <c r="X344" i="7"/>
  <c r="X335" i="7"/>
  <c r="DQ33" i="6"/>
  <c r="Z731" i="7"/>
  <c r="Z344" i="7"/>
  <c r="Z335" i="7"/>
  <c r="G35" i="6"/>
  <c r="S35" i="6"/>
  <c r="AE35" i="6"/>
  <c r="AQ35" i="6"/>
  <c r="M409" i="7"/>
  <c r="M403" i="7"/>
  <c r="BC35" i="6"/>
  <c r="O409" i="7"/>
  <c r="O403" i="7"/>
  <c r="BO35" i="6"/>
  <c r="Q409" i="7"/>
  <c r="Q403" i="7"/>
  <c r="CA35" i="6"/>
  <c r="S409" i="7"/>
  <c r="S403" i="7"/>
  <c r="CM35" i="6"/>
  <c r="U409" i="7"/>
  <c r="U403" i="7"/>
  <c r="CY35" i="6"/>
  <c r="W409" i="7"/>
  <c r="W403" i="7"/>
  <c r="DK35" i="6"/>
  <c r="Y409" i="7"/>
  <c r="Y403" i="7"/>
  <c r="D208" i="2"/>
  <c r="DW35" i="6"/>
  <c r="AA409" i="7"/>
  <c r="AA403" i="7"/>
  <c r="M45" i="6"/>
  <c r="Y45" i="6"/>
  <c r="AK45" i="6"/>
  <c r="L741" i="7"/>
  <c r="L533" i="7"/>
  <c r="L527" i="7"/>
  <c r="AW45" i="6"/>
  <c r="N741" i="7"/>
  <c r="N533" i="7"/>
  <c r="N527" i="7"/>
  <c r="BI45" i="6"/>
  <c r="P741" i="7"/>
  <c r="P533" i="7"/>
  <c r="P527" i="7"/>
  <c r="BU45" i="6"/>
  <c r="R741" i="7"/>
  <c r="R533" i="7"/>
  <c r="R527" i="7"/>
  <c r="CG45" i="6"/>
  <c r="T741" i="7"/>
  <c r="T533" i="7"/>
  <c r="T527" i="7"/>
  <c r="CS45" i="6"/>
  <c r="V741" i="7"/>
  <c r="V533" i="7"/>
  <c r="V527" i="7"/>
  <c r="DE45" i="6"/>
  <c r="X741" i="7"/>
  <c r="X533" i="7"/>
  <c r="X527" i="7"/>
  <c r="DQ45" i="6"/>
  <c r="Z741" i="7"/>
  <c r="Z533" i="7"/>
  <c r="Z527" i="7"/>
  <c r="L655" i="7"/>
  <c r="L669" i="7" s="1"/>
  <c r="L445" i="7"/>
  <c r="L433" i="7"/>
  <c r="N655" i="7"/>
  <c r="N669" i="7" s="1"/>
  <c r="N445" i="7"/>
  <c r="N433" i="7"/>
  <c r="P655" i="7"/>
  <c r="P669" i="7" s="1"/>
  <c r="P445" i="7"/>
  <c r="P433" i="7"/>
  <c r="R655" i="7"/>
  <c r="R669" i="7" s="1"/>
  <c r="R445" i="7"/>
  <c r="R433" i="7"/>
  <c r="T655" i="7"/>
  <c r="T669" i="7" s="1"/>
  <c r="T445" i="7"/>
  <c r="T433" i="7"/>
  <c r="V655" i="7"/>
  <c r="V669" i="7" s="1"/>
  <c r="V445" i="7"/>
  <c r="V433" i="7"/>
  <c r="X655" i="7"/>
  <c r="X669" i="7" s="1"/>
  <c r="X445" i="7"/>
  <c r="X433" i="7"/>
  <c r="C245" i="2"/>
  <c r="AT245" i="2" s="1"/>
  <c r="Z655" i="7"/>
  <c r="Z669" i="7" s="1"/>
  <c r="Z445" i="7"/>
  <c r="Z433" i="7"/>
  <c r="AB655" i="7"/>
  <c r="AB433" i="7"/>
  <c r="H8" i="6"/>
  <c r="T8" i="6"/>
  <c r="AF8" i="6"/>
  <c r="AR8" i="6"/>
  <c r="M94" i="7"/>
  <c r="M109" i="7"/>
  <c r="M100" i="7"/>
  <c r="BD8" i="6"/>
  <c r="O94" i="7"/>
  <c r="O109" i="7"/>
  <c r="O100" i="7"/>
  <c r="BP8" i="6"/>
  <c r="Q94" i="7"/>
  <c r="Q109" i="7"/>
  <c r="Q100" i="7"/>
  <c r="CB8" i="6"/>
  <c r="S94" i="7"/>
  <c r="S109" i="7"/>
  <c r="S100" i="7"/>
  <c r="CN8" i="6"/>
  <c r="U94" i="7"/>
  <c r="U109" i="7"/>
  <c r="U100" i="7"/>
  <c r="CZ8" i="6"/>
  <c r="W94" i="7"/>
  <c r="W109" i="7"/>
  <c r="W100" i="7"/>
  <c r="DL8" i="6"/>
  <c r="Y94" i="7"/>
  <c r="Y109" i="7"/>
  <c r="Y100" i="7"/>
  <c r="DX8" i="6"/>
  <c r="AA94" i="7"/>
  <c r="AA109" i="7"/>
  <c r="AA100" i="7"/>
  <c r="L436" i="7"/>
  <c r="L112" i="7"/>
  <c r="L447" i="7"/>
  <c r="N436" i="7"/>
  <c r="N112" i="7"/>
  <c r="N447" i="7"/>
  <c r="P436" i="7"/>
  <c r="P112" i="7"/>
  <c r="P447" i="7"/>
  <c r="R436" i="7"/>
  <c r="R112" i="7"/>
  <c r="R447" i="7"/>
  <c r="T436" i="7"/>
  <c r="T112" i="7"/>
  <c r="T447" i="7"/>
  <c r="V436" i="7"/>
  <c r="V112" i="7"/>
  <c r="V447" i="7"/>
  <c r="X436" i="7"/>
  <c r="X112" i="7"/>
  <c r="X447" i="7"/>
  <c r="C244" i="2"/>
  <c r="AT244" i="2" s="1"/>
  <c r="Z436" i="7"/>
  <c r="Z112" i="7"/>
  <c r="Z447" i="7"/>
  <c r="AB436" i="7"/>
  <c r="AB112" i="7"/>
  <c r="AC422" i="7"/>
  <c r="E244" i="2" s="1"/>
  <c r="H11" i="6"/>
  <c r="G231" i="8"/>
  <c r="G189" i="8"/>
  <c r="G213" i="8" s="1"/>
  <c r="G165" i="8"/>
  <c r="T11" i="6"/>
  <c r="I231" i="8"/>
  <c r="I223" i="8"/>
  <c r="I189" i="8"/>
  <c r="I165" i="8"/>
  <c r="AF11" i="6"/>
  <c r="K231" i="8"/>
  <c r="K223" i="8"/>
  <c r="K189" i="8"/>
  <c r="K165" i="8"/>
  <c r="AR11" i="6"/>
  <c r="M418" i="7"/>
  <c r="M86" i="7"/>
  <c r="M231" i="8"/>
  <c r="M223" i="8"/>
  <c r="M189" i="8"/>
  <c r="M165" i="8"/>
  <c r="BD11" i="6"/>
  <c r="O418" i="7"/>
  <c r="O86" i="7"/>
  <c r="O231" i="8"/>
  <c r="O223" i="8"/>
  <c r="O189" i="8"/>
  <c r="O165" i="8"/>
  <c r="BP11" i="6"/>
  <c r="Q418" i="7"/>
  <c r="Q86" i="7"/>
  <c r="Q231" i="8"/>
  <c r="Q223" i="8"/>
  <c r="Q189" i="8"/>
  <c r="Q165" i="8"/>
  <c r="CB11" i="6"/>
  <c r="S418" i="7"/>
  <c r="S86" i="7"/>
  <c r="S231" i="8"/>
  <c r="S223" i="8"/>
  <c r="S189" i="8"/>
  <c r="S165" i="8"/>
  <c r="CN11" i="6"/>
  <c r="U418" i="7"/>
  <c r="U86" i="7"/>
  <c r="U231" i="8"/>
  <c r="U223" i="8"/>
  <c r="U189" i="8"/>
  <c r="U165" i="8"/>
  <c r="CZ11" i="6"/>
  <c r="W418" i="7"/>
  <c r="W86" i="7"/>
  <c r="W231" i="8"/>
  <c r="W223" i="8"/>
  <c r="W189" i="8"/>
  <c r="W165" i="8"/>
  <c r="DL11" i="6"/>
  <c r="Y418" i="7"/>
  <c r="Y86" i="7"/>
  <c r="Y231" i="8"/>
  <c r="Y223" i="8"/>
  <c r="Y189" i="8"/>
  <c r="Y165" i="8"/>
  <c r="D220" i="2"/>
  <c r="F480" i="20" s="1"/>
  <c r="W480" i="20" s="1"/>
  <c r="DX11" i="6"/>
  <c r="AA418" i="7"/>
  <c r="AA86" i="7"/>
  <c r="AA231" i="8"/>
  <c r="AA223" i="8"/>
  <c r="AA189" i="8"/>
  <c r="AA165" i="8"/>
  <c r="N16" i="6"/>
  <c r="K16" i="6" s="1"/>
  <c r="Z16" i="6"/>
  <c r="W16" i="6" s="1"/>
  <c r="AL16" i="6"/>
  <c r="AI16" i="6" s="1"/>
  <c r="L691" i="7"/>
  <c r="L624" i="7"/>
  <c r="L34" i="7"/>
  <c r="L31" i="7"/>
  <c r="L22" i="7"/>
  <c r="AX16" i="6"/>
  <c r="AU16" i="6" s="1"/>
  <c r="N691" i="7"/>
  <c r="N624" i="7"/>
  <c r="N34" i="7"/>
  <c r="N31" i="7"/>
  <c r="N22" i="7"/>
  <c r="BJ16" i="6"/>
  <c r="BG16" i="6" s="1"/>
  <c r="P691" i="7"/>
  <c r="P624" i="7"/>
  <c r="P34" i="7"/>
  <c r="P31" i="7"/>
  <c r="P22" i="7"/>
  <c r="BV16" i="6"/>
  <c r="BS16" i="6" s="1"/>
  <c r="R691" i="7"/>
  <c r="R624" i="7"/>
  <c r="R34" i="7"/>
  <c r="R31" i="7"/>
  <c r="R22" i="7"/>
  <c r="CH16" i="6"/>
  <c r="CE16" i="6" s="1"/>
  <c r="T691" i="7"/>
  <c r="T624" i="7"/>
  <c r="T34" i="7"/>
  <c r="T31" i="7"/>
  <c r="T22" i="7"/>
  <c r="CT16" i="6"/>
  <c r="CQ16" i="6" s="1"/>
  <c r="V691" i="7"/>
  <c r="V624" i="7"/>
  <c r="V34" i="7"/>
  <c r="V31" i="7"/>
  <c r="V22" i="7"/>
  <c r="DF16" i="6"/>
  <c r="DC16" i="6" s="1"/>
  <c r="X691" i="7"/>
  <c r="X624" i="7"/>
  <c r="X34" i="7"/>
  <c r="X31" i="7"/>
  <c r="X22" i="7"/>
  <c r="C213" i="2"/>
  <c r="AT213" i="2" s="1"/>
  <c r="DR16" i="6"/>
  <c r="DO16" i="6" s="1"/>
  <c r="Z691" i="7"/>
  <c r="Z624" i="7"/>
  <c r="Z34" i="7"/>
  <c r="Z31" i="7"/>
  <c r="Z22" i="7"/>
  <c r="ED16" i="6"/>
  <c r="EA16" i="6" s="1"/>
  <c r="AB691" i="7"/>
  <c r="AB624" i="7"/>
  <c r="H17" i="6"/>
  <c r="E17" i="6" s="1"/>
  <c r="T17" i="6"/>
  <c r="Q17" i="6" s="1"/>
  <c r="AF17" i="6"/>
  <c r="AC17" i="6" s="1"/>
  <c r="AR17" i="6"/>
  <c r="M659" i="7"/>
  <c r="M673" i="7" s="1"/>
  <c r="M67" i="7"/>
  <c r="M59" i="7"/>
  <c r="BD17" i="6"/>
  <c r="BA17" i="6" s="1"/>
  <c r="O659" i="7"/>
  <c r="O673" i="7" s="1"/>
  <c r="O67" i="7"/>
  <c r="O59" i="7"/>
  <c r="BP17" i="6"/>
  <c r="BM17" i="6" s="1"/>
  <c r="Q659" i="7"/>
  <c r="Q673" i="7" s="1"/>
  <c r="Q67" i="7"/>
  <c r="Q59" i="7"/>
  <c r="CB17" i="6"/>
  <c r="BY17" i="6" s="1"/>
  <c r="S659" i="7"/>
  <c r="S673" i="7" s="1"/>
  <c r="S67" i="7"/>
  <c r="S59" i="7"/>
  <c r="CN17" i="6"/>
  <c r="U659" i="7"/>
  <c r="U673" i="7" s="1"/>
  <c r="U67" i="7"/>
  <c r="U59" i="7"/>
  <c r="CZ17" i="6"/>
  <c r="CW17" i="6" s="1"/>
  <c r="W659" i="7"/>
  <c r="W673" i="7" s="1"/>
  <c r="W67" i="7"/>
  <c r="W59" i="7"/>
  <c r="DL17" i="6"/>
  <c r="DI17" i="6" s="1"/>
  <c r="Y659" i="7"/>
  <c r="Y673" i="7" s="1"/>
  <c r="Y67" i="7"/>
  <c r="Y59" i="7"/>
  <c r="D223" i="2"/>
  <c r="AU223" i="2" s="1"/>
  <c r="DX17" i="6"/>
  <c r="AA659" i="7"/>
  <c r="AA673" i="7" s="1"/>
  <c r="AA67" i="7"/>
  <c r="AA59" i="7"/>
  <c r="N9" i="6"/>
  <c r="Z9" i="6"/>
  <c r="L751" i="7"/>
  <c r="AL9" i="6"/>
  <c r="L424" i="7"/>
  <c r="L29" i="7"/>
  <c r="L20" i="7"/>
  <c r="L85" i="7"/>
  <c r="N751" i="7"/>
  <c r="AX9" i="6"/>
  <c r="N424" i="7"/>
  <c r="N29" i="7"/>
  <c r="N20" i="7"/>
  <c r="N85" i="7"/>
  <c r="P751" i="7"/>
  <c r="BJ9" i="6"/>
  <c r="P424" i="7"/>
  <c r="P29" i="7"/>
  <c r="P20" i="7"/>
  <c r="P85" i="7"/>
  <c r="R751" i="7"/>
  <c r="BV9" i="6"/>
  <c r="R424" i="7"/>
  <c r="R29" i="7"/>
  <c r="R20" i="7"/>
  <c r="R85" i="7"/>
  <c r="T751" i="7"/>
  <c r="CH9" i="6"/>
  <c r="T424" i="7"/>
  <c r="T29" i="7"/>
  <c r="T20" i="7"/>
  <c r="T85" i="7"/>
  <c r="V751" i="7"/>
  <c r="CT9" i="6"/>
  <c r="V424" i="7"/>
  <c r="V29" i="7"/>
  <c r="V20" i="7"/>
  <c r="V85" i="7"/>
  <c r="X751" i="7"/>
  <c r="DF9" i="6"/>
  <c r="X424" i="7"/>
  <c r="X29" i="7"/>
  <c r="X20" i="7"/>
  <c r="X85" i="7"/>
  <c r="Z751" i="7"/>
  <c r="DR9" i="6"/>
  <c r="Z424" i="7"/>
  <c r="Z29" i="7"/>
  <c r="Z20" i="7"/>
  <c r="Z85" i="7"/>
  <c r="AB751" i="7"/>
  <c r="ED9" i="6"/>
  <c r="AB20" i="7"/>
  <c r="AB85" i="7"/>
  <c r="H10" i="6"/>
  <c r="T10" i="6"/>
  <c r="AF10" i="6"/>
  <c r="AR10" i="6"/>
  <c r="M745" i="7"/>
  <c r="M425" i="7"/>
  <c r="M65" i="7"/>
  <c r="BD10" i="6"/>
  <c r="O745" i="7"/>
  <c r="O425" i="7"/>
  <c r="O65" i="7"/>
  <c r="BP10" i="6"/>
  <c r="Q745" i="7"/>
  <c r="Q425" i="7"/>
  <c r="Q65" i="7"/>
  <c r="CB10" i="6"/>
  <c r="S745" i="7"/>
  <c r="S425" i="7"/>
  <c r="S450" i="7" s="1"/>
  <c r="S65" i="7"/>
  <c r="CN10" i="6"/>
  <c r="U745" i="7"/>
  <c r="U425" i="7"/>
  <c r="U450" i="7" s="1"/>
  <c r="U65" i="7"/>
  <c r="CZ10" i="6"/>
  <c r="W745" i="7"/>
  <c r="W425" i="7"/>
  <c r="W450" i="7" s="1"/>
  <c r="W65" i="7"/>
  <c r="DL10" i="6"/>
  <c r="Y745" i="7"/>
  <c r="Y425" i="7"/>
  <c r="Y450" i="7" s="1"/>
  <c r="Y65" i="7"/>
  <c r="DX10" i="6"/>
  <c r="AA745" i="7"/>
  <c r="AA425" i="7"/>
  <c r="AA450" i="7" s="1"/>
  <c r="AA65" i="7"/>
  <c r="N19" i="6"/>
  <c r="Z19" i="6"/>
  <c r="AL19" i="6"/>
  <c r="L746" i="7"/>
  <c r="L156" i="7"/>
  <c r="L148" i="7"/>
  <c r="AX19" i="6"/>
  <c r="N746" i="7"/>
  <c r="N156" i="7"/>
  <c r="N148" i="7"/>
  <c r="BJ19" i="6"/>
  <c r="P746" i="7"/>
  <c r="P156" i="7"/>
  <c r="P148" i="7"/>
  <c r="BV19" i="6"/>
  <c r="R746" i="7"/>
  <c r="R156" i="7"/>
  <c r="R148" i="7"/>
  <c r="CH19" i="6"/>
  <c r="T746" i="7"/>
  <c r="T156" i="7"/>
  <c r="T148" i="7"/>
  <c r="CT19" i="6"/>
  <c r="V746" i="7"/>
  <c r="V156" i="7"/>
  <c r="V148" i="7"/>
  <c r="DF19" i="6"/>
  <c r="X746" i="7"/>
  <c r="X156" i="7"/>
  <c r="X148" i="7"/>
  <c r="DR19" i="6"/>
  <c r="Z746" i="7"/>
  <c r="Z156" i="7"/>
  <c r="Z148" i="7"/>
  <c r="ED19" i="6"/>
  <c r="AB746" i="7"/>
  <c r="AB148" i="7"/>
  <c r="N21" i="6"/>
  <c r="Z21" i="6"/>
  <c r="AL21" i="6"/>
  <c r="L658" i="7"/>
  <c r="L672" i="7" s="1"/>
  <c r="L163" i="7"/>
  <c r="L158" i="7"/>
  <c r="L150" i="7"/>
  <c r="AX21" i="6"/>
  <c r="N658" i="7"/>
  <c r="N672" i="7" s="1"/>
  <c r="N163" i="7"/>
  <c r="N158" i="7"/>
  <c r="N150" i="7"/>
  <c r="BJ21" i="6"/>
  <c r="P658" i="7"/>
  <c r="P672" i="7" s="1"/>
  <c r="P163" i="7"/>
  <c r="P158" i="7"/>
  <c r="P150" i="7"/>
  <c r="BV21" i="6"/>
  <c r="R658" i="7"/>
  <c r="R672" i="7" s="1"/>
  <c r="R163" i="7"/>
  <c r="R158" i="7"/>
  <c r="R150" i="7"/>
  <c r="CH21" i="6"/>
  <c r="T658" i="7"/>
  <c r="T672" i="7" s="1"/>
  <c r="T163" i="7"/>
  <c r="T158" i="7"/>
  <c r="T150" i="7"/>
  <c r="CT21" i="6"/>
  <c r="V658" i="7"/>
  <c r="V672" i="7" s="1"/>
  <c r="V163" i="7"/>
  <c r="V158" i="7"/>
  <c r="V150" i="7"/>
  <c r="DF21" i="6"/>
  <c r="X658" i="7"/>
  <c r="X672" i="7" s="1"/>
  <c r="X163" i="7"/>
  <c r="X158" i="7"/>
  <c r="X150" i="7"/>
  <c r="C222" i="2"/>
  <c r="AT222" i="2" s="1"/>
  <c r="DR21" i="6"/>
  <c r="Z658" i="7"/>
  <c r="Z672" i="7" s="1"/>
  <c r="Z163" i="7"/>
  <c r="Z158" i="7"/>
  <c r="Z150" i="7"/>
  <c r="ED21" i="6"/>
  <c r="AB658" i="7"/>
  <c r="AC163" i="7"/>
  <c r="AB163" i="7"/>
  <c r="AB150" i="7"/>
  <c r="H154" i="1"/>
  <c r="H138" i="7" s="1"/>
  <c r="J154" i="1"/>
  <c r="J138" i="7" s="1"/>
  <c r="L154" i="1"/>
  <c r="L138" i="7" s="1"/>
  <c r="N154" i="1"/>
  <c r="N138" i="7" s="1"/>
  <c r="P154" i="1"/>
  <c r="P138" i="7" s="1"/>
  <c r="R154" i="1"/>
  <c r="R138" i="7" s="1"/>
  <c r="T154" i="1"/>
  <c r="T138" i="7" s="1"/>
  <c r="V154" i="1"/>
  <c r="V138" i="7" s="1"/>
  <c r="X154" i="1"/>
  <c r="X138" i="7" s="1"/>
  <c r="Z154" i="1"/>
  <c r="Z138" i="7" s="1"/>
  <c r="AB154" i="1"/>
  <c r="AB138" i="7" s="1"/>
  <c r="H23" i="6"/>
  <c r="E23" i="6" s="1"/>
  <c r="T23" i="6"/>
  <c r="Q23" i="6" s="1"/>
  <c r="AF23" i="6"/>
  <c r="AC23" i="6" s="1"/>
  <c r="AR23" i="6"/>
  <c r="AO23" i="6" s="1"/>
  <c r="M693" i="7"/>
  <c r="M625" i="7"/>
  <c r="M636" i="7" s="1"/>
  <c r="M225" i="7"/>
  <c r="M246" i="7"/>
  <c r="M213" i="7"/>
  <c r="BD23" i="6"/>
  <c r="BA23" i="6" s="1"/>
  <c r="O693" i="7"/>
  <c r="O625" i="7"/>
  <c r="O636" i="7" s="1"/>
  <c r="O225" i="7"/>
  <c r="O246" i="7"/>
  <c r="O213" i="7"/>
  <c r="BP23" i="6"/>
  <c r="BM23" i="6" s="1"/>
  <c r="Q693" i="7"/>
  <c r="Q625" i="7"/>
  <c r="Q636" i="7" s="1"/>
  <c r="Q225" i="7"/>
  <c r="Q246" i="7"/>
  <c r="Q213" i="7"/>
  <c r="CB23" i="6"/>
  <c r="BY23" i="6" s="1"/>
  <c r="S693" i="7"/>
  <c r="S625" i="7"/>
  <c r="S636" i="7" s="1"/>
  <c r="S225" i="7"/>
  <c r="S246" i="7"/>
  <c r="S213" i="7"/>
  <c r="CN23" i="6"/>
  <c r="CK23" i="6" s="1"/>
  <c r="U693" i="7"/>
  <c r="U625" i="7"/>
  <c r="U636" i="7" s="1"/>
  <c r="U225" i="7"/>
  <c r="U246" i="7"/>
  <c r="U213" i="7"/>
  <c r="CZ23" i="6"/>
  <c r="CW23" i="6" s="1"/>
  <c r="W693" i="7"/>
  <c r="W625" i="7"/>
  <c r="W636" i="7" s="1"/>
  <c r="W225" i="7"/>
  <c r="W246" i="7"/>
  <c r="W213" i="7"/>
  <c r="DL23" i="6"/>
  <c r="Y693" i="7"/>
  <c r="Y625" i="7"/>
  <c r="Y636" i="7" s="1"/>
  <c r="Y225" i="7"/>
  <c r="Y246" i="7"/>
  <c r="Y213" i="7"/>
  <c r="D214" i="2"/>
  <c r="AU214" i="2" s="1"/>
  <c r="DX23" i="6"/>
  <c r="DU23" i="6" s="1"/>
  <c r="AA693" i="7"/>
  <c r="AA625" i="7"/>
  <c r="AA636" i="7" s="1"/>
  <c r="AA225" i="7"/>
  <c r="AA246" i="7"/>
  <c r="AA213" i="7"/>
  <c r="N30" i="6"/>
  <c r="Z30" i="6"/>
  <c r="AL30" i="6"/>
  <c r="L753" i="7"/>
  <c r="L223" i="7"/>
  <c r="L211" i="7"/>
  <c r="AX30" i="6"/>
  <c r="N753" i="7"/>
  <c r="N223" i="7"/>
  <c r="N211" i="7"/>
  <c r="BJ30" i="6"/>
  <c r="P753" i="7"/>
  <c r="P223" i="7"/>
  <c r="P211" i="7"/>
  <c r="BV30" i="6"/>
  <c r="R753" i="7"/>
  <c r="R223" i="7"/>
  <c r="R211" i="7"/>
  <c r="CH30" i="6"/>
  <c r="T753" i="7"/>
  <c r="T223" i="7"/>
  <c r="T211" i="7"/>
  <c r="CT30" i="6"/>
  <c r="V753" i="7"/>
  <c r="V223" i="7"/>
  <c r="V211" i="7"/>
  <c r="DF30" i="6"/>
  <c r="X753" i="7"/>
  <c r="X223" i="7"/>
  <c r="X211" i="7"/>
  <c r="DR30" i="6"/>
  <c r="Z753" i="7"/>
  <c r="Z223" i="7"/>
  <c r="Z211" i="7"/>
  <c r="ED30" i="6"/>
  <c r="AB753" i="7"/>
  <c r="AB211" i="7"/>
  <c r="AC203" i="7"/>
  <c r="H26" i="6"/>
  <c r="T26" i="6"/>
  <c r="AF26" i="6"/>
  <c r="AR26" i="6"/>
  <c r="M280" i="7"/>
  <c r="M266" i="7"/>
  <c r="BD26" i="6"/>
  <c r="O280" i="7"/>
  <c r="O266" i="7"/>
  <c r="BP26" i="6"/>
  <c r="Q280" i="7"/>
  <c r="Q266" i="7"/>
  <c r="CB26" i="6"/>
  <c r="S280" i="7"/>
  <c r="S266" i="7"/>
  <c r="CN26" i="6"/>
  <c r="U280" i="7"/>
  <c r="U266" i="7"/>
  <c r="CZ26" i="6"/>
  <c r="W280" i="7"/>
  <c r="W266" i="7"/>
  <c r="DL26" i="6"/>
  <c r="Y280" i="7"/>
  <c r="Y266" i="7"/>
  <c r="DX26" i="6"/>
  <c r="AA280" i="7"/>
  <c r="AA266" i="7"/>
  <c r="N25" i="6"/>
  <c r="Z25" i="6"/>
  <c r="AL25" i="6"/>
  <c r="L694" i="7"/>
  <c r="L265" i="7"/>
  <c r="L279" i="7"/>
  <c r="L255" i="7"/>
  <c r="AX25" i="6"/>
  <c r="N694" i="7"/>
  <c r="N265" i="7"/>
  <c r="N279" i="7"/>
  <c r="N255" i="7"/>
  <c r="BJ25" i="6"/>
  <c r="P694" i="7"/>
  <c r="P265" i="7"/>
  <c r="P279" i="7"/>
  <c r="P255" i="7"/>
  <c r="BV25" i="6"/>
  <c r="R694" i="7"/>
  <c r="R265" i="7"/>
  <c r="R279" i="7"/>
  <c r="R255" i="7"/>
  <c r="CH25" i="6"/>
  <c r="T694" i="7"/>
  <c r="T265" i="7"/>
  <c r="T279" i="7"/>
  <c r="T255" i="7"/>
  <c r="CT25" i="6"/>
  <c r="V694" i="7"/>
  <c r="V265" i="7"/>
  <c r="V279" i="7"/>
  <c r="V255" i="7"/>
  <c r="DF25" i="6"/>
  <c r="X694" i="7"/>
  <c r="X265" i="7"/>
  <c r="X279" i="7"/>
  <c r="X255" i="7"/>
  <c r="C216" i="2"/>
  <c r="AT216" i="2" s="1"/>
  <c r="DR25" i="6"/>
  <c r="Z694" i="7"/>
  <c r="Z265" i="7"/>
  <c r="Z279" i="7"/>
  <c r="Z255" i="7"/>
  <c r="ED25" i="6"/>
  <c r="AB694" i="7"/>
  <c r="AB265" i="7"/>
  <c r="E216" i="2"/>
  <c r="AV216" i="2" s="1"/>
  <c r="H32" i="6"/>
  <c r="T32" i="6"/>
  <c r="AF32" i="6"/>
  <c r="AR32" i="6"/>
  <c r="M657" i="7"/>
  <c r="M671" i="7" s="1"/>
  <c r="M308" i="7"/>
  <c r="M315" i="7"/>
  <c r="BD32" i="6"/>
  <c r="O657" i="7"/>
  <c r="O671" i="7" s="1"/>
  <c r="O308" i="7"/>
  <c r="O315" i="7"/>
  <c r="BP32" i="6"/>
  <c r="Q657" i="7"/>
  <c r="Q671" i="7" s="1"/>
  <c r="Q308" i="7"/>
  <c r="Q315" i="7"/>
  <c r="CB32" i="6"/>
  <c r="S657" i="7"/>
  <c r="S671" i="7" s="1"/>
  <c r="S308" i="7"/>
  <c r="S315" i="7"/>
  <c r="CN32" i="6"/>
  <c r="U657" i="7"/>
  <c r="U671" i="7" s="1"/>
  <c r="U308" i="7"/>
  <c r="U315" i="7"/>
  <c r="CZ32" i="6"/>
  <c r="W657" i="7"/>
  <c r="W671" i="7" s="1"/>
  <c r="W308" i="7"/>
  <c r="W315" i="7"/>
  <c r="DL32" i="6"/>
  <c r="Y657" i="7"/>
  <c r="Y671" i="7" s="1"/>
  <c r="Y308" i="7"/>
  <c r="Y315" i="7"/>
  <c r="D221" i="2"/>
  <c r="AU221" i="2" s="1"/>
  <c r="DX32" i="6"/>
  <c r="AA657" i="7"/>
  <c r="AA671" i="7" s="1"/>
  <c r="AA308" i="7"/>
  <c r="AA315" i="7"/>
  <c r="N28" i="6"/>
  <c r="Z28" i="6"/>
  <c r="AL28" i="6"/>
  <c r="L747" i="7"/>
  <c r="L338" i="7"/>
  <c r="L347" i="7"/>
  <c r="AX28" i="6"/>
  <c r="N747" i="7"/>
  <c r="N338" i="7"/>
  <c r="N347" i="7"/>
  <c r="BJ28" i="6"/>
  <c r="P747" i="7"/>
  <c r="P338" i="7"/>
  <c r="P347" i="7"/>
  <c r="BV28" i="6"/>
  <c r="R747" i="7"/>
  <c r="R338" i="7"/>
  <c r="R347" i="7"/>
  <c r="CH28" i="6"/>
  <c r="T747" i="7"/>
  <c r="T338" i="7"/>
  <c r="T347" i="7"/>
  <c r="CT28" i="6"/>
  <c r="V747" i="7"/>
  <c r="V338" i="7"/>
  <c r="V347" i="7"/>
  <c r="DF28" i="6"/>
  <c r="X747" i="7"/>
  <c r="X338" i="7"/>
  <c r="X347" i="7"/>
  <c r="DR28" i="6"/>
  <c r="Z747" i="7"/>
  <c r="Z338" i="7"/>
  <c r="Z347" i="7"/>
  <c r="ED28" i="6"/>
  <c r="AB747" i="7"/>
  <c r="AB338" i="7"/>
  <c r="AC328" i="7"/>
  <c r="M656" i="7"/>
  <c r="M670" i="7" s="1"/>
  <c r="M446" i="7"/>
  <c r="M434" i="7"/>
  <c r="M421" i="7"/>
  <c r="O656" i="7"/>
  <c r="O670" i="7" s="1"/>
  <c r="O446" i="7"/>
  <c r="O434" i="7"/>
  <c r="O421" i="7"/>
  <c r="Q656" i="7"/>
  <c r="Q670" i="7" s="1"/>
  <c r="Q446" i="7"/>
  <c r="Q434" i="7"/>
  <c r="Q421" i="7"/>
  <c r="S656" i="7"/>
  <c r="S670" i="7" s="1"/>
  <c r="S446" i="7"/>
  <c r="S434" i="7"/>
  <c r="S421" i="7"/>
  <c r="U656" i="7"/>
  <c r="U670" i="7" s="1"/>
  <c r="U446" i="7"/>
  <c r="U434" i="7"/>
  <c r="U421" i="7"/>
  <c r="W656" i="7"/>
  <c r="W670" i="7" s="1"/>
  <c r="W446" i="7"/>
  <c r="W434" i="7"/>
  <c r="W421" i="7"/>
  <c r="Y656" i="7"/>
  <c r="Y670" i="7" s="1"/>
  <c r="Y446" i="7"/>
  <c r="Y434" i="7"/>
  <c r="Y421" i="7"/>
  <c r="D246" i="2"/>
  <c r="F482" i="20" s="1"/>
  <c r="W482" i="20" s="1"/>
  <c r="AA656" i="7"/>
  <c r="AA670" i="7" s="1"/>
  <c r="AA446" i="7"/>
  <c r="AA434" i="7"/>
  <c r="AA421" i="7"/>
  <c r="N33" i="6"/>
  <c r="Z33" i="6"/>
  <c r="AL33" i="6"/>
  <c r="L754" i="7"/>
  <c r="L346" i="7"/>
  <c r="L337" i="7"/>
  <c r="AX33" i="6"/>
  <c r="N754" i="7"/>
  <c r="N346" i="7"/>
  <c r="N337" i="7"/>
  <c r="BJ33" i="6"/>
  <c r="P754" i="7"/>
  <c r="P346" i="7"/>
  <c r="P337" i="7"/>
  <c r="BV33" i="6"/>
  <c r="R754" i="7"/>
  <c r="R346" i="7"/>
  <c r="R337" i="7"/>
  <c r="CH33" i="6"/>
  <c r="T754" i="7"/>
  <c r="T346" i="7"/>
  <c r="T337" i="7"/>
  <c r="CT33" i="6"/>
  <c r="V754" i="7"/>
  <c r="V346" i="7"/>
  <c r="V337" i="7"/>
  <c r="DF33" i="6"/>
  <c r="X754" i="7"/>
  <c r="X346" i="7"/>
  <c r="X337" i="7"/>
  <c r="DR33" i="6"/>
  <c r="Z754" i="7"/>
  <c r="Z346" i="7"/>
  <c r="Z337" i="7"/>
  <c r="ED33" i="6"/>
  <c r="AB754" i="7"/>
  <c r="AB337" i="7"/>
  <c r="AC327" i="7"/>
  <c r="AC754" i="7" s="1"/>
  <c r="H35" i="6"/>
  <c r="T35" i="6"/>
  <c r="AF35" i="6"/>
  <c r="AR35" i="6"/>
  <c r="M755" i="7"/>
  <c r="M410" i="7"/>
  <c r="M404" i="7"/>
  <c r="BD35" i="6"/>
  <c r="O755" i="7"/>
  <c r="O410" i="7"/>
  <c r="O404" i="7"/>
  <c r="BP35" i="6"/>
  <c r="Q755" i="7"/>
  <c r="Q410" i="7"/>
  <c r="Q404" i="7"/>
  <c r="CB35" i="6"/>
  <c r="S755" i="7"/>
  <c r="S410" i="7"/>
  <c r="CN35" i="6"/>
  <c r="U755" i="7"/>
  <c r="U410" i="7"/>
  <c r="CZ35" i="6"/>
  <c r="W755" i="7"/>
  <c r="W410" i="7"/>
  <c r="DL35" i="6"/>
  <c r="Y755" i="7"/>
  <c r="Y410" i="7"/>
  <c r="DX35" i="6"/>
  <c r="AA755" i="7"/>
  <c r="AA410" i="7"/>
  <c r="L630" i="7"/>
  <c r="L641" i="7" s="1"/>
  <c r="L497" i="7"/>
  <c r="L484" i="7"/>
  <c r="L508" i="7"/>
  <c r="L487" i="7"/>
  <c r="N630" i="7"/>
  <c r="N641" i="7" s="1"/>
  <c r="N497" i="7"/>
  <c r="N484" i="7"/>
  <c r="N508" i="7"/>
  <c r="N487" i="7"/>
  <c r="P630" i="7"/>
  <c r="P641" i="7" s="1"/>
  <c r="P497" i="7"/>
  <c r="P484" i="7"/>
  <c r="P508" i="7"/>
  <c r="P487" i="7"/>
  <c r="R630" i="7"/>
  <c r="R641" i="7" s="1"/>
  <c r="R497" i="7"/>
  <c r="R484" i="7"/>
  <c r="R508" i="7"/>
  <c r="R487" i="7"/>
  <c r="T630" i="7"/>
  <c r="T641" i="7" s="1"/>
  <c r="T497" i="7"/>
  <c r="T484" i="7"/>
  <c r="T508" i="7"/>
  <c r="T487" i="7"/>
  <c r="V630" i="7"/>
  <c r="V497" i="7"/>
  <c r="V484" i="7"/>
  <c r="V508" i="7"/>
  <c r="V487" i="7"/>
  <c r="X630" i="7"/>
  <c r="X497" i="7"/>
  <c r="X484" i="7"/>
  <c r="X508" i="7"/>
  <c r="X487" i="7"/>
  <c r="C225" i="2"/>
  <c r="AT225" i="2" s="1"/>
  <c r="Z630" i="7"/>
  <c r="Z497" i="7"/>
  <c r="Z484" i="7"/>
  <c r="Z508" i="7"/>
  <c r="Z487" i="7"/>
  <c r="AB630" i="7"/>
  <c r="H41" i="6"/>
  <c r="T41" i="6"/>
  <c r="AF41" i="6"/>
  <c r="AR41" i="6"/>
  <c r="M695" i="7"/>
  <c r="M505" i="7"/>
  <c r="M494" i="7"/>
  <c r="BD41" i="6"/>
  <c r="O695" i="7"/>
  <c r="O505" i="7"/>
  <c r="O494" i="7"/>
  <c r="BP41" i="6"/>
  <c r="Q695" i="7"/>
  <c r="Q505" i="7"/>
  <c r="Q494" i="7"/>
  <c r="CB41" i="6"/>
  <c r="S695" i="7"/>
  <c r="S505" i="7"/>
  <c r="S494" i="7"/>
  <c r="CN41" i="6"/>
  <c r="U695" i="7"/>
  <c r="U505" i="7"/>
  <c r="U494" i="7"/>
  <c r="CZ41" i="6"/>
  <c r="W695" i="7"/>
  <c r="W505" i="7"/>
  <c r="W494" i="7"/>
  <c r="DL41" i="6"/>
  <c r="Y695" i="7"/>
  <c r="Y505" i="7"/>
  <c r="Y494" i="7"/>
  <c r="D230" i="2"/>
  <c r="AU230" i="2" s="1"/>
  <c r="DX41" i="6"/>
  <c r="AA695" i="7"/>
  <c r="AA505" i="7"/>
  <c r="AA494" i="7"/>
  <c r="N44" i="6"/>
  <c r="Z44" i="6"/>
  <c r="AL44" i="6"/>
  <c r="L759" i="7"/>
  <c r="L509" i="7"/>
  <c r="L498" i="7"/>
  <c r="AX44" i="6"/>
  <c r="N759" i="7"/>
  <c r="N509" i="7"/>
  <c r="N498" i="7"/>
  <c r="BJ44" i="6"/>
  <c r="P759" i="7"/>
  <c r="P509" i="7"/>
  <c r="P498" i="7"/>
  <c r="BV44" i="6"/>
  <c r="R759" i="7"/>
  <c r="R509" i="7"/>
  <c r="R498" i="7"/>
  <c r="CH44" i="6"/>
  <c r="T759" i="7"/>
  <c r="T509" i="7"/>
  <c r="T498" i="7"/>
  <c r="CT44" i="6"/>
  <c r="V759" i="7"/>
  <c r="V509" i="7"/>
  <c r="V498" i="7"/>
  <c r="DF44" i="6"/>
  <c r="X759" i="7"/>
  <c r="X509" i="7"/>
  <c r="X498" i="7"/>
  <c r="DR44" i="6"/>
  <c r="Z759" i="7"/>
  <c r="Z509" i="7"/>
  <c r="Z498" i="7"/>
  <c r="ED44" i="6"/>
  <c r="AB759" i="7"/>
  <c r="AC486" i="7"/>
  <c r="H42" i="6"/>
  <c r="T42" i="6"/>
  <c r="AF42" i="6"/>
  <c r="AR42" i="6"/>
  <c r="M696" i="7"/>
  <c r="M506" i="7"/>
  <c r="M495" i="7"/>
  <c r="BD42" i="6"/>
  <c r="O696" i="7"/>
  <c r="O506" i="7"/>
  <c r="O495" i="7"/>
  <c r="BP42" i="6"/>
  <c r="Q696" i="7"/>
  <c r="Q506" i="7"/>
  <c r="Q495" i="7"/>
  <c r="CB42" i="6"/>
  <c r="S696" i="7"/>
  <c r="S506" i="7"/>
  <c r="S495" i="7"/>
  <c r="CN42" i="6"/>
  <c r="U696" i="7"/>
  <c r="U506" i="7"/>
  <c r="U495" i="7"/>
  <c r="CZ42" i="6"/>
  <c r="W696" i="7"/>
  <c r="W506" i="7"/>
  <c r="W495" i="7"/>
  <c r="DL42" i="6"/>
  <c r="Y696" i="7"/>
  <c r="Y506" i="7"/>
  <c r="Y495" i="7"/>
  <c r="D248" i="2"/>
  <c r="AU248" i="2" s="1"/>
  <c r="DX42" i="6"/>
  <c r="AA696" i="7"/>
  <c r="AA506" i="7"/>
  <c r="AA495" i="7"/>
  <c r="H47" i="6"/>
  <c r="T47" i="6"/>
  <c r="AF47" i="6"/>
  <c r="AR47" i="6"/>
  <c r="M760" i="7"/>
  <c r="M550" i="7"/>
  <c r="M556" i="7"/>
  <c r="BD47" i="6"/>
  <c r="O760" i="7"/>
  <c r="O550" i="7"/>
  <c r="O556" i="7"/>
  <c r="BP47" i="6"/>
  <c r="Q760" i="7"/>
  <c r="Q550" i="7"/>
  <c r="Q556" i="7"/>
  <c r="CB47" i="6"/>
  <c r="S760" i="7"/>
  <c r="S550" i="7"/>
  <c r="S556" i="7"/>
  <c r="CN47" i="6"/>
  <c r="U760" i="7"/>
  <c r="U550" i="7"/>
  <c r="U556" i="7"/>
  <c r="CZ47" i="6"/>
  <c r="W760" i="7"/>
  <c r="W550" i="7"/>
  <c r="W556" i="7"/>
  <c r="DL47" i="6"/>
  <c r="Y760" i="7"/>
  <c r="Y550" i="7"/>
  <c r="Y556" i="7"/>
  <c r="DX47" i="6"/>
  <c r="AA760" i="7"/>
  <c r="AA550" i="7"/>
  <c r="AA556" i="7"/>
  <c r="N45" i="6"/>
  <c r="Z45" i="6"/>
  <c r="AL45" i="6"/>
  <c r="L761" i="7"/>
  <c r="L534" i="7"/>
  <c r="L528" i="7"/>
  <c r="AX45" i="6"/>
  <c r="N761" i="7"/>
  <c r="N534" i="7"/>
  <c r="N528" i="7"/>
  <c r="BJ45" i="6"/>
  <c r="P761" i="7"/>
  <c r="P534" i="7"/>
  <c r="P528" i="7"/>
  <c r="BV45" i="6"/>
  <c r="R761" i="7"/>
  <c r="R534" i="7"/>
  <c r="R528" i="7"/>
  <c r="CH45" i="6"/>
  <c r="T761" i="7"/>
  <c r="T534" i="7"/>
  <c r="T528" i="7"/>
  <c r="CT45" i="6"/>
  <c r="V761" i="7"/>
  <c r="V534" i="7"/>
  <c r="V528" i="7"/>
  <c r="DF45" i="6"/>
  <c r="X761" i="7"/>
  <c r="X534" i="7"/>
  <c r="X528" i="7"/>
  <c r="DR45" i="6"/>
  <c r="Z761" i="7"/>
  <c r="Z534" i="7"/>
  <c r="Z528" i="7"/>
  <c r="ED45" i="6"/>
  <c r="AB761" i="7"/>
  <c r="AC521" i="7"/>
  <c r="L602" i="7"/>
  <c r="M607" i="7"/>
  <c r="M606" i="7"/>
  <c r="N602" i="7"/>
  <c r="O607" i="7"/>
  <c r="O606" i="7"/>
  <c r="P602" i="7"/>
  <c r="Q607" i="7"/>
  <c r="Q606" i="7"/>
  <c r="R602" i="7"/>
  <c r="S607" i="7"/>
  <c r="S606" i="7"/>
  <c r="T602" i="7"/>
  <c r="U607" i="7"/>
  <c r="U606" i="7"/>
  <c r="V602" i="7"/>
  <c r="W607" i="7"/>
  <c r="W606" i="7"/>
  <c r="X602" i="7"/>
  <c r="Y607" i="7"/>
  <c r="Y606" i="7"/>
  <c r="Z602" i="7"/>
  <c r="AA607" i="7"/>
  <c r="AA606" i="7"/>
  <c r="AB602" i="7"/>
  <c r="L678" i="7"/>
  <c r="N678" i="7"/>
  <c r="P678" i="7"/>
  <c r="R678" i="7"/>
  <c r="T678" i="7"/>
  <c r="V678" i="7"/>
  <c r="V687" i="7"/>
  <c r="X678" i="7"/>
  <c r="X687" i="7"/>
  <c r="C229" i="2"/>
  <c r="AT229" i="2" s="1"/>
  <c r="Z678" i="7"/>
  <c r="Z687" i="7"/>
  <c r="M642" i="7"/>
  <c r="O642" i="7"/>
  <c r="Q642" i="7"/>
  <c r="S642" i="7"/>
  <c r="U642" i="7"/>
  <c r="W642" i="7"/>
  <c r="L174" i="7"/>
  <c r="L170" i="7"/>
  <c r="N174" i="7"/>
  <c r="N170" i="7"/>
  <c r="P174" i="7"/>
  <c r="P170" i="7"/>
  <c r="R174" i="7"/>
  <c r="R170" i="7"/>
  <c r="T174" i="7"/>
  <c r="T170" i="7"/>
  <c r="V174" i="7"/>
  <c r="V170" i="7"/>
  <c r="X174" i="7"/>
  <c r="X170" i="7"/>
  <c r="C232" i="2"/>
  <c r="AT232" i="2" s="1"/>
  <c r="Z174" i="7"/>
  <c r="Z170" i="7"/>
  <c r="AB174" i="7"/>
  <c r="AB170" i="7"/>
  <c r="F8" i="6"/>
  <c r="R8" i="6"/>
  <c r="AD8" i="6"/>
  <c r="AP8" i="6"/>
  <c r="M107" i="7"/>
  <c r="M98" i="7"/>
  <c r="M89" i="7"/>
  <c r="M92" i="7"/>
  <c r="BB8" i="6"/>
  <c r="O107" i="7"/>
  <c r="O98" i="7"/>
  <c r="O89" i="7"/>
  <c r="O92" i="7"/>
  <c r="BN8" i="6"/>
  <c r="Q107" i="7"/>
  <c r="Q98" i="7"/>
  <c r="Q89" i="7"/>
  <c r="Q92" i="7"/>
  <c r="BZ8" i="6"/>
  <c r="S107" i="7"/>
  <c r="S98" i="7"/>
  <c r="S89" i="7"/>
  <c r="S92" i="7"/>
  <c r="CL8" i="6"/>
  <c r="U107" i="7"/>
  <c r="U98" i="7"/>
  <c r="U89" i="7"/>
  <c r="U92" i="7"/>
  <c r="CX8" i="6"/>
  <c r="W107" i="7"/>
  <c r="W98" i="7"/>
  <c r="W89" i="7"/>
  <c r="W92" i="7"/>
  <c r="DJ8" i="6"/>
  <c r="Y107" i="7"/>
  <c r="Y98" i="7"/>
  <c r="Y89" i="7"/>
  <c r="Y92" i="7"/>
  <c r="DV8" i="6"/>
  <c r="AA107" i="7"/>
  <c r="AB118" i="7" s="1"/>
  <c r="AA98" i="7"/>
  <c r="AA89" i="7"/>
  <c r="AA92" i="7"/>
  <c r="L9" i="6"/>
  <c r="X9" i="6"/>
  <c r="AJ9" i="6"/>
  <c r="L75" i="7"/>
  <c r="L27" i="7"/>
  <c r="L18" i="7"/>
  <c r="AV9" i="6"/>
  <c r="N75" i="7"/>
  <c r="N27" i="7"/>
  <c r="N18" i="7"/>
  <c r="BH9" i="6"/>
  <c r="P75" i="7"/>
  <c r="P27" i="7"/>
  <c r="P18" i="7"/>
  <c r="BT9" i="6"/>
  <c r="R75" i="7"/>
  <c r="R27" i="7"/>
  <c r="R18" i="7"/>
  <c r="CF9" i="6"/>
  <c r="T75" i="7"/>
  <c r="T27" i="7"/>
  <c r="T18" i="7"/>
  <c r="CR9" i="6"/>
  <c r="V75" i="7"/>
  <c r="V27" i="7"/>
  <c r="V18" i="7"/>
  <c r="DD9" i="6"/>
  <c r="X75" i="7"/>
  <c r="X27" i="7"/>
  <c r="X18" i="7"/>
  <c r="DP9" i="6"/>
  <c r="Z75" i="7"/>
  <c r="Z27" i="7"/>
  <c r="Z18" i="7"/>
  <c r="F10" i="6"/>
  <c r="R10" i="6"/>
  <c r="AD10" i="6"/>
  <c r="AP10" i="6"/>
  <c r="M63" i="7"/>
  <c r="BB10" i="6"/>
  <c r="O63" i="7"/>
  <c r="BN10" i="6"/>
  <c r="Q55" i="7"/>
  <c r="Q63" i="7"/>
  <c r="BZ10" i="6"/>
  <c r="S55" i="7"/>
  <c r="S63" i="7"/>
  <c r="CL10" i="6"/>
  <c r="U55" i="7"/>
  <c r="U63" i="7"/>
  <c r="CX10" i="6"/>
  <c r="W55" i="7"/>
  <c r="W63" i="7"/>
  <c r="DJ10" i="6"/>
  <c r="Y55" i="7"/>
  <c r="Y63" i="7"/>
  <c r="DV10" i="6"/>
  <c r="AA55" i="7"/>
  <c r="AA63" i="7"/>
  <c r="L13" i="6"/>
  <c r="H168" i="8"/>
  <c r="H260" i="7" s="1"/>
  <c r="H234" i="8"/>
  <c r="H226" i="8"/>
  <c r="X13" i="6"/>
  <c r="J168" i="8"/>
  <c r="J260" i="7" s="1"/>
  <c r="J234" i="8"/>
  <c r="J226" i="8"/>
  <c r="AJ13" i="6"/>
  <c r="L168" i="8"/>
  <c r="L234" i="8"/>
  <c r="L226" i="8"/>
  <c r="AV13" i="6"/>
  <c r="N168" i="8"/>
  <c r="N234" i="8"/>
  <c r="N226" i="8"/>
  <c r="BH13" i="6"/>
  <c r="BG13" i="6" s="1"/>
  <c r="P168" i="8"/>
  <c r="P234" i="8"/>
  <c r="P226" i="8"/>
  <c r="BT13" i="6"/>
  <c r="BS13" i="6" s="1"/>
  <c r="R168" i="8"/>
  <c r="R234" i="8"/>
  <c r="R226" i="8"/>
  <c r="CF13" i="6"/>
  <c r="CE13" i="6" s="1"/>
  <c r="T168" i="8"/>
  <c r="T234" i="8"/>
  <c r="T226" i="8"/>
  <c r="CR13" i="6"/>
  <c r="CQ13" i="6" s="1"/>
  <c r="V168" i="8"/>
  <c r="V234" i="8"/>
  <c r="V226" i="8"/>
  <c r="DD13" i="6"/>
  <c r="DC13" i="6" s="1"/>
  <c r="X168" i="8"/>
  <c r="X234" i="8"/>
  <c r="X226" i="8"/>
  <c r="C187" i="2"/>
  <c r="AT187" i="2" s="1"/>
  <c r="DP13" i="6"/>
  <c r="DO13" i="6" s="1"/>
  <c r="Z168" i="8"/>
  <c r="Z234" i="8"/>
  <c r="Z226" i="8"/>
  <c r="F14" i="6"/>
  <c r="G136" i="8"/>
  <c r="R14" i="6"/>
  <c r="I136" i="8"/>
  <c r="AD14" i="6"/>
  <c r="K136" i="8"/>
  <c r="AP14" i="6"/>
  <c r="M136" i="8"/>
  <c r="BB14" i="6"/>
  <c r="O136" i="8"/>
  <c r="BN14" i="6"/>
  <c r="Q136" i="8"/>
  <c r="BZ14" i="6"/>
  <c r="S136" i="8"/>
  <c r="CL14" i="6"/>
  <c r="U136" i="8"/>
  <c r="CX14" i="6"/>
  <c r="W136" i="8"/>
  <c r="DJ14" i="6"/>
  <c r="Y136" i="8"/>
  <c r="DV14" i="6"/>
  <c r="L11" i="6"/>
  <c r="H221" i="8"/>
  <c r="H215" i="8"/>
  <c r="H229" i="8"/>
  <c r="X11" i="6"/>
  <c r="J221" i="8"/>
  <c r="J215" i="8"/>
  <c r="J229" i="8"/>
  <c r="AJ11" i="6"/>
  <c r="L221" i="8"/>
  <c r="L215" i="8"/>
  <c r="L76" i="7"/>
  <c r="L229" i="8"/>
  <c r="AV11" i="6"/>
  <c r="N221" i="8"/>
  <c r="N215" i="8"/>
  <c r="N76" i="7"/>
  <c r="N229" i="8"/>
  <c r="BH11" i="6"/>
  <c r="P221" i="8"/>
  <c r="P215" i="8"/>
  <c r="P76" i="7"/>
  <c r="P229" i="8"/>
  <c r="BT11" i="6"/>
  <c r="R221" i="8"/>
  <c r="R215" i="8"/>
  <c r="R76" i="7"/>
  <c r="R229" i="8"/>
  <c r="CF11" i="6"/>
  <c r="T221" i="8"/>
  <c r="T215" i="8"/>
  <c r="T76" i="7"/>
  <c r="T229" i="8"/>
  <c r="CR11" i="6"/>
  <c r="V221" i="8"/>
  <c r="V215" i="8"/>
  <c r="V76" i="7"/>
  <c r="V229" i="8"/>
  <c r="DD11" i="6"/>
  <c r="X221" i="8"/>
  <c r="X215" i="8"/>
  <c r="X76" i="7"/>
  <c r="X229" i="8"/>
  <c r="DP11" i="6"/>
  <c r="Z221" i="8"/>
  <c r="Z215" i="8"/>
  <c r="Z76" i="7"/>
  <c r="Z229" i="8"/>
  <c r="F30" i="6"/>
  <c r="R30" i="6"/>
  <c r="AD30" i="6"/>
  <c r="AP30" i="6"/>
  <c r="M232" i="7"/>
  <c r="M221" i="7"/>
  <c r="M209" i="7"/>
  <c r="BB30" i="6"/>
  <c r="O232" i="7"/>
  <c r="O221" i="7"/>
  <c r="O209" i="7"/>
  <c r="BN30" i="6"/>
  <c r="Q232" i="7"/>
  <c r="Q221" i="7"/>
  <c r="Q209" i="7"/>
  <c r="BZ30" i="6"/>
  <c r="S232" i="7"/>
  <c r="S221" i="7"/>
  <c r="S209" i="7"/>
  <c r="CL30" i="6"/>
  <c r="U232" i="7"/>
  <c r="U221" i="7"/>
  <c r="U209" i="7"/>
  <c r="CX30" i="6"/>
  <c r="W232" i="7"/>
  <c r="W221" i="7"/>
  <c r="W209" i="7"/>
  <c r="DJ30" i="6"/>
  <c r="Y232" i="7"/>
  <c r="Y221" i="7"/>
  <c r="Y209" i="7"/>
  <c r="D192" i="2"/>
  <c r="DV30" i="6"/>
  <c r="AA232" i="7"/>
  <c r="AA221" i="7"/>
  <c r="AA209" i="7"/>
  <c r="L24" i="6"/>
  <c r="X24" i="6"/>
  <c r="AJ24" i="6"/>
  <c r="L706" i="7"/>
  <c r="L282" i="7"/>
  <c r="L268" i="7"/>
  <c r="AV24" i="6"/>
  <c r="N706" i="7"/>
  <c r="N282" i="7"/>
  <c r="N268" i="7"/>
  <c r="BH24" i="6"/>
  <c r="P706" i="7"/>
  <c r="P282" i="7"/>
  <c r="P268" i="7"/>
  <c r="BT24" i="6"/>
  <c r="R706" i="7"/>
  <c r="R282" i="7"/>
  <c r="R268" i="7"/>
  <c r="CF24" i="6"/>
  <c r="T706" i="7"/>
  <c r="T282" i="7"/>
  <c r="T268" i="7"/>
  <c r="CR24" i="6"/>
  <c r="V706" i="7"/>
  <c r="V282" i="7"/>
  <c r="V268" i="7"/>
  <c r="DD24" i="6"/>
  <c r="X706" i="7"/>
  <c r="X282" i="7"/>
  <c r="X268" i="7"/>
  <c r="DP24" i="6"/>
  <c r="Z706" i="7"/>
  <c r="Z282" i="7"/>
  <c r="Z268" i="7"/>
  <c r="F27" i="6"/>
  <c r="E27" i="6" s="1"/>
  <c r="R27" i="6"/>
  <c r="AD27" i="6"/>
  <c r="AP27" i="6"/>
  <c r="M707" i="7"/>
  <c r="M317" i="7"/>
  <c r="M310" i="7"/>
  <c r="BB27" i="6"/>
  <c r="O707" i="7"/>
  <c r="O317" i="7"/>
  <c r="O310" i="7"/>
  <c r="BN27" i="6"/>
  <c r="BM27" i="6" s="1"/>
  <c r="Q707" i="7"/>
  <c r="Q317" i="7"/>
  <c r="Q310" i="7"/>
  <c r="BZ27" i="6"/>
  <c r="BY27" i="6" s="1"/>
  <c r="S707" i="7"/>
  <c r="S317" i="7"/>
  <c r="S310" i="7"/>
  <c r="CL27" i="6"/>
  <c r="CK27" i="6" s="1"/>
  <c r="U707" i="7"/>
  <c r="U317" i="7"/>
  <c r="U310" i="7"/>
  <c r="CX27" i="6"/>
  <c r="CW27" i="6" s="1"/>
  <c r="W707" i="7"/>
  <c r="W317" i="7"/>
  <c r="W310" i="7"/>
  <c r="DJ27" i="6"/>
  <c r="DI27" i="6" s="1"/>
  <c r="Y707" i="7"/>
  <c r="Y317" i="7"/>
  <c r="Y310" i="7"/>
  <c r="DV27" i="6"/>
  <c r="DU27" i="6" s="1"/>
  <c r="AA707" i="7"/>
  <c r="AA317" i="7"/>
  <c r="AA310" i="7"/>
  <c r="L31" i="6"/>
  <c r="X31" i="6"/>
  <c r="AJ31" i="6"/>
  <c r="AI31" i="6" s="1"/>
  <c r="L712" i="7"/>
  <c r="L285" i="7"/>
  <c r="L271" i="7"/>
  <c r="AV31" i="6"/>
  <c r="N712" i="7"/>
  <c r="N285" i="7"/>
  <c r="N271" i="7"/>
  <c r="BH31" i="6"/>
  <c r="BG31" i="6" s="1"/>
  <c r="P712" i="7"/>
  <c r="P285" i="7"/>
  <c r="P271" i="7"/>
  <c r="BT31" i="6"/>
  <c r="BS31" i="6" s="1"/>
  <c r="R712" i="7"/>
  <c r="R285" i="7"/>
  <c r="R271" i="7"/>
  <c r="CF31" i="6"/>
  <c r="CE31" i="6" s="1"/>
  <c r="T712" i="7"/>
  <c r="T285" i="7"/>
  <c r="T271" i="7"/>
  <c r="CR31" i="6"/>
  <c r="CQ31" i="6" s="1"/>
  <c r="V712" i="7"/>
  <c r="V285" i="7"/>
  <c r="V271" i="7"/>
  <c r="DD31" i="6"/>
  <c r="DC31" i="6" s="1"/>
  <c r="X712" i="7"/>
  <c r="X285" i="7"/>
  <c r="X271" i="7"/>
  <c r="DP31" i="6"/>
  <c r="DO31" i="6" s="1"/>
  <c r="Z712" i="7"/>
  <c r="Z285" i="7"/>
  <c r="Z271" i="7"/>
  <c r="F32" i="6"/>
  <c r="R32" i="6"/>
  <c r="AD32" i="6"/>
  <c r="AP32" i="6"/>
  <c r="M713" i="7"/>
  <c r="M306" i="7"/>
  <c r="M313" i="7"/>
  <c r="BB32" i="6"/>
  <c r="O713" i="7"/>
  <c r="O306" i="7"/>
  <c r="O313" i="7"/>
  <c r="BN32" i="6"/>
  <c r="Q713" i="7"/>
  <c r="Q306" i="7"/>
  <c r="Q313" i="7"/>
  <c r="BZ32" i="6"/>
  <c r="S713" i="7"/>
  <c r="S306" i="7"/>
  <c r="S313" i="7"/>
  <c r="CL32" i="6"/>
  <c r="U713" i="7"/>
  <c r="U306" i="7"/>
  <c r="U313" i="7"/>
  <c r="CX32" i="6"/>
  <c r="W713" i="7"/>
  <c r="W306" i="7"/>
  <c r="W313" i="7"/>
  <c r="DJ32" i="6"/>
  <c r="Y713" i="7"/>
  <c r="Y306" i="7"/>
  <c r="Y313" i="7"/>
  <c r="DV32" i="6"/>
  <c r="AA713" i="7"/>
  <c r="AA306" i="7"/>
  <c r="AA313" i="7"/>
  <c r="L28" i="6"/>
  <c r="X28" i="6"/>
  <c r="AJ28" i="6"/>
  <c r="L708" i="7"/>
  <c r="L343" i="7"/>
  <c r="L334" i="7"/>
  <c r="AV28" i="6"/>
  <c r="N708" i="7"/>
  <c r="N343" i="7"/>
  <c r="N334" i="7"/>
  <c r="BH28" i="6"/>
  <c r="P708" i="7"/>
  <c r="P343" i="7"/>
  <c r="P334" i="7"/>
  <c r="BT28" i="6"/>
  <c r="R708" i="7"/>
  <c r="R343" i="7"/>
  <c r="R334" i="7"/>
  <c r="CF28" i="6"/>
  <c r="T708" i="7"/>
  <c r="T343" i="7"/>
  <c r="T334" i="7"/>
  <c r="CR28" i="6"/>
  <c r="V708" i="7"/>
  <c r="V343" i="7"/>
  <c r="V334" i="7"/>
  <c r="DD28" i="6"/>
  <c r="X708" i="7"/>
  <c r="X343" i="7"/>
  <c r="X334" i="7"/>
  <c r="DP28" i="6"/>
  <c r="Z708" i="7"/>
  <c r="Z343" i="7"/>
  <c r="Z334" i="7"/>
  <c r="F33" i="6"/>
  <c r="R33" i="6"/>
  <c r="AD33" i="6"/>
  <c r="AP33" i="6"/>
  <c r="M714" i="7"/>
  <c r="M342" i="7"/>
  <c r="M333" i="7"/>
  <c r="BB33" i="6"/>
  <c r="O714" i="7"/>
  <c r="O342" i="7"/>
  <c r="O333" i="7"/>
  <c r="BN33" i="6"/>
  <c r="Q714" i="7"/>
  <c r="Q342" i="7"/>
  <c r="Q333" i="7"/>
  <c r="BZ33" i="6"/>
  <c r="S714" i="7"/>
  <c r="S342" i="7"/>
  <c r="S333" i="7"/>
  <c r="CL33" i="6"/>
  <c r="U714" i="7"/>
  <c r="U342" i="7"/>
  <c r="U333" i="7"/>
  <c r="CX33" i="6"/>
  <c r="W714" i="7"/>
  <c r="W342" i="7"/>
  <c r="W333" i="7"/>
  <c r="DJ33" i="6"/>
  <c r="Y714" i="7"/>
  <c r="Y342" i="7"/>
  <c r="Y333" i="7"/>
  <c r="DV33" i="6"/>
  <c r="AA714" i="7"/>
  <c r="AA342" i="7"/>
  <c r="AA333" i="7"/>
  <c r="L35" i="6"/>
  <c r="X35" i="6"/>
  <c r="AJ35" i="6"/>
  <c r="L399" i="7"/>
  <c r="L408" i="7"/>
  <c r="L402" i="7"/>
  <c r="AV35" i="6"/>
  <c r="N399" i="7"/>
  <c r="N408" i="7"/>
  <c r="N402" i="7"/>
  <c r="BH35" i="6"/>
  <c r="P399" i="7"/>
  <c r="P408" i="7"/>
  <c r="P402" i="7"/>
  <c r="BT35" i="6"/>
  <c r="R399" i="7"/>
  <c r="R408" i="7"/>
  <c r="R402" i="7"/>
  <c r="CF35" i="6"/>
  <c r="T399" i="7"/>
  <c r="T408" i="7"/>
  <c r="T402" i="7"/>
  <c r="CR35" i="6"/>
  <c r="V399" i="7"/>
  <c r="V408" i="7"/>
  <c r="V402" i="7"/>
  <c r="DD35" i="6"/>
  <c r="X399" i="7"/>
  <c r="X408" i="7"/>
  <c r="X402" i="7"/>
  <c r="C194" i="2"/>
  <c r="AT194" i="2" s="1"/>
  <c r="DP35" i="6"/>
  <c r="Z399" i="7"/>
  <c r="Z408" i="7"/>
  <c r="Z402" i="7"/>
  <c r="F45" i="6"/>
  <c r="R45" i="6"/>
  <c r="AD45" i="6"/>
  <c r="AP45" i="6"/>
  <c r="M724" i="7"/>
  <c r="M532" i="7"/>
  <c r="M526" i="7"/>
  <c r="M523" i="7"/>
  <c r="BB45" i="6"/>
  <c r="O724" i="7"/>
  <c r="O532" i="7"/>
  <c r="O526" i="7"/>
  <c r="O523" i="7"/>
  <c r="BN45" i="6"/>
  <c r="Q724" i="7"/>
  <c r="Q532" i="7"/>
  <c r="Q526" i="7"/>
  <c r="Q523" i="7"/>
  <c r="BZ45" i="6"/>
  <c r="S724" i="7"/>
  <c r="S532" i="7"/>
  <c r="S526" i="7"/>
  <c r="S523" i="7"/>
  <c r="CL45" i="6"/>
  <c r="U724" i="7"/>
  <c r="U532" i="7"/>
  <c r="U526" i="7"/>
  <c r="U522" i="7"/>
  <c r="U523" i="7" s="1"/>
  <c r="CX45" i="6"/>
  <c r="W724" i="7"/>
  <c r="W532" i="7"/>
  <c r="W526" i="7"/>
  <c r="W522" i="7"/>
  <c r="W523" i="7" s="1"/>
  <c r="DJ45" i="6"/>
  <c r="Y724" i="7"/>
  <c r="Y532" i="7"/>
  <c r="Y526" i="7"/>
  <c r="Y522" i="7"/>
  <c r="Y523" i="7" s="1"/>
  <c r="DV45" i="6"/>
  <c r="AA724" i="7"/>
  <c r="AA532" i="7"/>
  <c r="AA526" i="7"/>
  <c r="AA522" i="7"/>
  <c r="H64" i="8"/>
  <c r="H53" i="8"/>
  <c r="H37" i="8"/>
  <c r="H35" i="8"/>
  <c r="J64" i="8"/>
  <c r="J53" i="8"/>
  <c r="J37" i="8"/>
  <c r="J35" i="8"/>
  <c r="L64" i="8"/>
  <c r="L53" i="8"/>
  <c r="L37" i="8"/>
  <c r="L35" i="8"/>
  <c r="N64" i="8"/>
  <c r="N53" i="8"/>
  <c r="N37" i="8"/>
  <c r="N35" i="8"/>
  <c r="P64" i="8"/>
  <c r="P53" i="8"/>
  <c r="P37" i="8"/>
  <c r="P35" i="8"/>
  <c r="R64" i="8"/>
  <c r="R53" i="8"/>
  <c r="R37" i="8"/>
  <c r="R35" i="8"/>
  <c r="T64" i="8"/>
  <c r="T53" i="8"/>
  <c r="T37" i="8"/>
  <c r="T35" i="8"/>
  <c r="V64" i="8"/>
  <c r="V53" i="8"/>
  <c r="V37" i="8"/>
  <c r="V35" i="8"/>
  <c r="X64" i="8"/>
  <c r="X53" i="8"/>
  <c r="X37" i="8"/>
  <c r="X35" i="8"/>
  <c r="C179" i="2"/>
  <c r="AT179" i="2" s="1"/>
  <c r="Z64" i="8"/>
  <c r="Z53" i="8"/>
  <c r="Z37" i="8"/>
  <c r="Z35" i="8"/>
  <c r="AB53" i="8"/>
  <c r="G41" i="8"/>
  <c r="I41" i="8"/>
  <c r="K41" i="8"/>
  <c r="M41" i="8"/>
  <c r="O41" i="8"/>
  <c r="Q41" i="8"/>
  <c r="S41" i="8"/>
  <c r="H93" i="8"/>
  <c r="J93" i="8"/>
  <c r="L93" i="8"/>
  <c r="N93" i="8"/>
  <c r="P93" i="8"/>
  <c r="R93" i="8"/>
  <c r="T93" i="8"/>
  <c r="V93" i="8"/>
  <c r="X93" i="8"/>
  <c r="C185" i="2"/>
  <c r="AT185" i="2" s="1"/>
  <c r="Z93" i="8"/>
  <c r="AB93" i="8"/>
  <c r="E185" i="2"/>
  <c r="AV185" i="2" s="1"/>
  <c r="G133" i="8"/>
  <c r="G114" i="8"/>
  <c r="I133" i="8"/>
  <c r="I114" i="8"/>
  <c r="K133" i="8"/>
  <c r="K114" i="8"/>
  <c r="M133" i="8"/>
  <c r="M114" i="8"/>
  <c r="O133" i="8"/>
  <c r="O114" i="8"/>
  <c r="Q133" i="8"/>
  <c r="Q114" i="8"/>
  <c r="S133" i="8"/>
  <c r="S114" i="8"/>
  <c r="U133" i="8"/>
  <c r="U114" i="8"/>
  <c r="W133" i="8"/>
  <c r="W114" i="8"/>
  <c r="Y133" i="8"/>
  <c r="Y114" i="8"/>
  <c r="AA114" i="8"/>
  <c r="P770" i="7"/>
  <c r="BK16" i="6"/>
  <c r="BK65" i="6" s="1"/>
  <c r="P692" i="7"/>
  <c r="P30" i="7"/>
  <c r="R770" i="7"/>
  <c r="BW16" i="6"/>
  <c r="BW65" i="6" s="1"/>
  <c r="R692" i="7"/>
  <c r="R30" i="7"/>
  <c r="R21" i="7"/>
  <c r="T770" i="7"/>
  <c r="CI16" i="6"/>
  <c r="T692" i="7"/>
  <c r="T30" i="7"/>
  <c r="T21" i="7"/>
  <c r="V770" i="7"/>
  <c r="CU16" i="6"/>
  <c r="V692" i="7"/>
  <c r="V30" i="7"/>
  <c r="V21" i="7"/>
  <c r="X770" i="7"/>
  <c r="DG16" i="6"/>
  <c r="X692" i="7"/>
  <c r="X30" i="7"/>
  <c r="C231" i="2"/>
  <c r="AT231" i="2" s="1"/>
  <c r="Z770" i="7"/>
  <c r="DS16" i="6"/>
  <c r="Z692" i="7"/>
  <c r="Z30" i="7"/>
  <c r="I17" i="6"/>
  <c r="U17" i="6"/>
  <c r="AG17" i="6"/>
  <c r="AS17" i="6"/>
  <c r="M769" i="7"/>
  <c r="M58" i="7"/>
  <c r="M66" i="7"/>
  <c r="BE17" i="6"/>
  <c r="O769" i="7"/>
  <c r="O58" i="7"/>
  <c r="O66" i="7"/>
  <c r="BQ17" i="6"/>
  <c r="Q769" i="7"/>
  <c r="Q58" i="7"/>
  <c r="Q66" i="7"/>
  <c r="CC17" i="6"/>
  <c r="S769" i="7"/>
  <c r="S58" i="7"/>
  <c r="S66" i="7"/>
  <c r="CO17" i="6"/>
  <c r="U769" i="7"/>
  <c r="U58" i="7"/>
  <c r="U66" i="7"/>
  <c r="DA17" i="6"/>
  <c r="W769" i="7"/>
  <c r="W58" i="7"/>
  <c r="W66" i="7"/>
  <c r="DM17" i="6"/>
  <c r="Y769" i="7"/>
  <c r="Y58" i="7"/>
  <c r="Y66" i="7"/>
  <c r="D233" i="2"/>
  <c r="AU233" i="2" s="1"/>
  <c r="DY17" i="6"/>
  <c r="AA769" i="7"/>
  <c r="AA58" i="7"/>
  <c r="AA66" i="7"/>
  <c r="O18" i="6"/>
  <c r="AA18" i="6"/>
  <c r="AM18" i="6"/>
  <c r="L771" i="7"/>
  <c r="L151" i="7"/>
  <c r="L159" i="7"/>
  <c r="D16" i="21"/>
  <c r="AY18" i="6"/>
  <c r="N771" i="7"/>
  <c r="N151" i="7"/>
  <c r="N159" i="7"/>
  <c r="F16" i="21"/>
  <c r="BK18" i="6"/>
  <c r="P771" i="7"/>
  <c r="P151" i="7"/>
  <c r="P159" i="7"/>
  <c r="H16" i="21"/>
  <c r="BW18" i="6"/>
  <c r="R771" i="7"/>
  <c r="R151" i="7"/>
  <c r="R159" i="7"/>
  <c r="J16" i="21"/>
  <c r="CI18" i="6"/>
  <c r="T771" i="7"/>
  <c r="T151" i="7"/>
  <c r="T159" i="7"/>
  <c r="L16" i="21"/>
  <c r="CU18" i="6"/>
  <c r="V771" i="7"/>
  <c r="V151" i="7"/>
  <c r="V159" i="7"/>
  <c r="N16" i="21"/>
  <c r="DG18" i="6"/>
  <c r="X771" i="7"/>
  <c r="X151" i="7"/>
  <c r="X159" i="7"/>
  <c r="P16" i="21"/>
  <c r="DS18" i="6"/>
  <c r="Z771" i="7"/>
  <c r="Z151" i="7"/>
  <c r="Z159" i="7"/>
  <c r="R16" i="21"/>
  <c r="R62" i="21" s="1"/>
  <c r="I40" i="6"/>
  <c r="U40" i="6"/>
  <c r="AG40" i="6"/>
  <c r="AS40" i="6"/>
  <c r="M787" i="7"/>
  <c r="M513" i="7"/>
  <c r="M502" i="7"/>
  <c r="E20" i="21"/>
  <c r="BE40" i="6"/>
  <c r="O787" i="7"/>
  <c r="O513" i="7"/>
  <c r="O502" i="7"/>
  <c r="G20" i="21"/>
  <c r="BQ40" i="6"/>
  <c r="Q787" i="7"/>
  <c r="Q513" i="7"/>
  <c r="Q502" i="7"/>
  <c r="I20" i="21"/>
  <c r="CC40" i="6"/>
  <c r="S787" i="7"/>
  <c r="S513" i="7"/>
  <c r="S502" i="7"/>
  <c r="K20" i="21"/>
  <c r="CO40" i="6"/>
  <c r="U787" i="7"/>
  <c r="U513" i="7"/>
  <c r="U502" i="7"/>
  <c r="M20" i="21"/>
  <c r="O45" i="6"/>
  <c r="O94" i="6" s="1"/>
  <c r="AA45" i="6"/>
  <c r="AA94" i="6" s="1"/>
  <c r="AM45" i="6"/>
  <c r="AM94" i="6" s="1"/>
  <c r="L788" i="7"/>
  <c r="L529" i="7"/>
  <c r="L535" i="7"/>
  <c r="AY45" i="6"/>
  <c r="AY94" i="6" s="1"/>
  <c r="N788" i="7"/>
  <c r="N529" i="7"/>
  <c r="N535" i="7"/>
  <c r="BK45" i="6"/>
  <c r="BK94" i="6" s="1"/>
  <c r="P788" i="7"/>
  <c r="P529" i="7"/>
  <c r="P535" i="7"/>
  <c r="BW45" i="6"/>
  <c r="BW94" i="6" s="1"/>
  <c r="R788" i="7"/>
  <c r="R529" i="7"/>
  <c r="R535" i="7"/>
  <c r="I325" i="12"/>
  <c r="I322" i="12"/>
  <c r="K325" i="12"/>
  <c r="K322" i="12"/>
  <c r="M325" i="12"/>
  <c r="M322" i="12"/>
  <c r="O325" i="12"/>
  <c r="O322" i="12"/>
  <c r="Q325" i="12"/>
  <c r="Q322" i="12"/>
  <c r="S325" i="12"/>
  <c r="S322" i="12"/>
  <c r="U325" i="12"/>
  <c r="U322" i="12"/>
  <c r="W325" i="12"/>
  <c r="W322" i="12"/>
  <c r="Y325" i="12"/>
  <c r="Y322" i="12"/>
  <c r="AA325" i="12"/>
  <c r="AA322" i="12"/>
  <c r="AB327" i="12" s="1"/>
  <c r="H326" i="12"/>
  <c r="J326" i="12"/>
  <c r="L326" i="12"/>
  <c r="N326" i="12"/>
  <c r="P326" i="12"/>
  <c r="R326" i="12"/>
  <c r="T326" i="12"/>
  <c r="V326" i="12"/>
  <c r="X326" i="12"/>
  <c r="C252" i="2"/>
  <c r="AT252" i="2" s="1"/>
  <c r="Z326" i="12"/>
  <c r="I367" i="12"/>
  <c r="K367" i="12"/>
  <c r="M367" i="12"/>
  <c r="O367" i="12"/>
  <c r="Q367" i="12"/>
  <c r="S367" i="12"/>
  <c r="U367" i="12"/>
  <c r="W367" i="12"/>
  <c r="Y367" i="12"/>
  <c r="AA367" i="12"/>
  <c r="H368" i="12"/>
  <c r="J368" i="12"/>
  <c r="L368" i="12"/>
  <c r="N368" i="12"/>
  <c r="P368" i="12"/>
  <c r="R368" i="12"/>
  <c r="T368" i="12"/>
  <c r="V368" i="12"/>
  <c r="X368" i="12"/>
  <c r="C154" i="2"/>
  <c r="AT154" i="2" s="1"/>
  <c r="Z368" i="12"/>
  <c r="AB368" i="12"/>
  <c r="I349" i="12"/>
  <c r="K349" i="12"/>
  <c r="M349" i="12"/>
  <c r="O349" i="12"/>
  <c r="Q349" i="12"/>
  <c r="S349" i="12"/>
  <c r="U349" i="12"/>
  <c r="W349" i="12"/>
  <c r="Y349" i="12"/>
  <c r="AA349" i="12"/>
  <c r="I59" i="8"/>
  <c r="I48" i="8"/>
  <c r="K59" i="8"/>
  <c r="K48" i="8"/>
  <c r="M59" i="8"/>
  <c r="M48" i="8"/>
  <c r="O59" i="8"/>
  <c r="O48" i="8"/>
  <c r="Q59" i="8"/>
  <c r="Q48" i="8"/>
  <c r="S59" i="8"/>
  <c r="S48" i="8"/>
  <c r="U59" i="8"/>
  <c r="U48" i="8"/>
  <c r="W59" i="8"/>
  <c r="W48" i="8"/>
  <c r="Y59" i="8"/>
  <c r="Y48" i="8"/>
  <c r="AA59" i="8"/>
  <c r="AA48" i="8"/>
  <c r="V280" i="1"/>
  <c r="X280" i="1"/>
  <c r="Z280" i="1"/>
  <c r="H101" i="17"/>
  <c r="H27" i="17"/>
  <c r="H6" i="17" s="1"/>
  <c r="J101" i="17"/>
  <c r="J27" i="17"/>
  <c r="J6" i="17" s="1"/>
  <c r="L101" i="17"/>
  <c r="L34" i="17"/>
  <c r="L32" i="17"/>
  <c r="L27" i="17"/>
  <c r="N101" i="17"/>
  <c r="N32" i="17"/>
  <c r="N27" i="17"/>
  <c r="P101" i="17"/>
  <c r="P32" i="17"/>
  <c r="P34" i="17"/>
  <c r="P27" i="17"/>
  <c r="R101" i="17"/>
  <c r="R32" i="17"/>
  <c r="R27" i="17"/>
  <c r="T101" i="17"/>
  <c r="T34" i="17"/>
  <c r="T32" i="17"/>
  <c r="T27" i="17"/>
  <c r="V101" i="17"/>
  <c r="V32" i="17"/>
  <c r="V27" i="17"/>
  <c r="X101" i="17"/>
  <c r="X32" i="17"/>
  <c r="X34" i="17"/>
  <c r="X27" i="17"/>
  <c r="Z101" i="17"/>
  <c r="Z32" i="17"/>
  <c r="Z27" i="17"/>
  <c r="AB101" i="17"/>
  <c r="AB34" i="17"/>
  <c r="AB32" i="17"/>
  <c r="AB27" i="17"/>
  <c r="AD101" i="17"/>
  <c r="AD32" i="17"/>
  <c r="AD27" i="17"/>
  <c r="AF101" i="17"/>
  <c r="AF32" i="17"/>
  <c r="AF34" i="17"/>
  <c r="AF27" i="17"/>
  <c r="AH101" i="17"/>
  <c r="AH32" i="17"/>
  <c r="AH27" i="17"/>
  <c r="AJ101" i="17"/>
  <c r="AJ34" i="17"/>
  <c r="AJ32" i="17"/>
  <c r="AJ27" i="17"/>
  <c r="AL101" i="17"/>
  <c r="AL32" i="17"/>
  <c r="AL27" i="17"/>
  <c r="AN101" i="17"/>
  <c r="AN32" i="17"/>
  <c r="AN34" i="17"/>
  <c r="AN27" i="17"/>
  <c r="AP101" i="17"/>
  <c r="AP32" i="17"/>
  <c r="AP27" i="17"/>
  <c r="AR101" i="17"/>
  <c r="AR34" i="17"/>
  <c r="AR32" i="17"/>
  <c r="AR27" i="17"/>
  <c r="AT101" i="17"/>
  <c r="AT32" i="17"/>
  <c r="AT27" i="17"/>
  <c r="AV101" i="17"/>
  <c r="AV32" i="17"/>
  <c r="AV34" i="17"/>
  <c r="AV27" i="17"/>
  <c r="AX101" i="17"/>
  <c r="AX32" i="17"/>
  <c r="AX27" i="17"/>
  <c r="AZ101" i="17"/>
  <c r="AZ34" i="17"/>
  <c r="AZ32" i="17"/>
  <c r="AZ27" i="17"/>
  <c r="BB101" i="17"/>
  <c r="BB32" i="17"/>
  <c r="BB27" i="17"/>
  <c r="BD101" i="17"/>
  <c r="BD32" i="17"/>
  <c r="BD34" i="17"/>
  <c r="BD27" i="17"/>
  <c r="BF101" i="17"/>
  <c r="BF32" i="17"/>
  <c r="BF27" i="17"/>
  <c r="BH101" i="17"/>
  <c r="BH34" i="17"/>
  <c r="BH32" i="17"/>
  <c r="BH27" i="17"/>
  <c r="BJ101" i="17"/>
  <c r="BJ32" i="17"/>
  <c r="BJ27" i="17"/>
  <c r="BL101" i="17"/>
  <c r="BL32" i="17"/>
  <c r="BL34" i="17"/>
  <c r="BL27" i="17"/>
  <c r="BN101" i="17"/>
  <c r="BN32" i="17"/>
  <c r="BN27" i="17"/>
  <c r="BP101" i="17"/>
  <c r="BP34" i="17"/>
  <c r="BP32" i="17"/>
  <c r="BP27" i="17"/>
  <c r="BR101" i="17"/>
  <c r="BR32" i="17"/>
  <c r="BR27" i="17"/>
  <c r="BT101" i="17"/>
  <c r="BT32" i="17"/>
  <c r="BT34" i="17"/>
  <c r="BT27" i="17"/>
  <c r="BV101" i="17"/>
  <c r="BV32" i="17"/>
  <c r="BV27" i="17"/>
  <c r="BX101" i="17"/>
  <c r="BX34" i="17"/>
  <c r="BX32" i="17"/>
  <c r="BX27" i="17"/>
  <c r="BZ101" i="17"/>
  <c r="BZ32" i="17"/>
  <c r="BZ27" i="17"/>
  <c r="CB101" i="17"/>
  <c r="CB32" i="17"/>
  <c r="CB34" i="17"/>
  <c r="CB27" i="17"/>
  <c r="CD101" i="17"/>
  <c r="CD32" i="17"/>
  <c r="CD27" i="17"/>
  <c r="CF101" i="17"/>
  <c r="CF34" i="17"/>
  <c r="CF32" i="17"/>
  <c r="CF27" i="17"/>
  <c r="CH101" i="17"/>
  <c r="CH32" i="17"/>
  <c r="CH27" i="17"/>
  <c r="CJ101" i="17"/>
  <c r="CJ32" i="17"/>
  <c r="CJ34" i="17"/>
  <c r="CJ27" i="17"/>
  <c r="CL101" i="17"/>
  <c r="CL32" i="17"/>
  <c r="CL27" i="17"/>
  <c r="CN101" i="17"/>
  <c r="CN34" i="17"/>
  <c r="CN32" i="17"/>
  <c r="CN27" i="17"/>
  <c r="CP101" i="17"/>
  <c r="CP32" i="17"/>
  <c r="CP27" i="17"/>
  <c r="H102" i="17"/>
  <c r="H46" i="17"/>
  <c r="H7" i="17" s="1"/>
  <c r="J102" i="17"/>
  <c r="J46" i="17"/>
  <c r="J7" i="17" s="1"/>
  <c r="L53" i="17"/>
  <c r="L51" i="17"/>
  <c r="L102" i="17"/>
  <c r="L46" i="17"/>
  <c r="N51" i="17"/>
  <c r="N102" i="17"/>
  <c r="N46" i="17"/>
  <c r="P51" i="17"/>
  <c r="P102" i="17"/>
  <c r="P53" i="17"/>
  <c r="P46" i="17"/>
  <c r="R51" i="17"/>
  <c r="R102" i="17"/>
  <c r="R46" i="17"/>
  <c r="T53" i="17"/>
  <c r="T51" i="17"/>
  <c r="T102" i="17"/>
  <c r="T46" i="17"/>
  <c r="V51" i="17"/>
  <c r="V102" i="17"/>
  <c r="V46" i="17"/>
  <c r="X51" i="17"/>
  <c r="X102" i="17"/>
  <c r="X53" i="17"/>
  <c r="X46" i="17"/>
  <c r="Z51" i="17"/>
  <c r="Z102" i="17"/>
  <c r="Z46" i="17"/>
  <c r="AB53" i="17"/>
  <c r="AB51" i="17"/>
  <c r="AB102" i="17"/>
  <c r="AB46" i="17"/>
  <c r="AD51" i="17"/>
  <c r="AD102" i="17"/>
  <c r="AD46" i="17"/>
  <c r="AF51" i="17"/>
  <c r="AF102" i="17"/>
  <c r="AF53" i="17"/>
  <c r="AF46" i="17"/>
  <c r="AH51" i="17"/>
  <c r="AH102" i="17"/>
  <c r="AH46" i="17"/>
  <c r="AJ53" i="17"/>
  <c r="AJ51" i="17"/>
  <c r="AJ102" i="17"/>
  <c r="AJ46" i="17"/>
  <c r="AL51" i="17"/>
  <c r="AL102" i="17"/>
  <c r="AL46" i="17"/>
  <c r="AN51" i="17"/>
  <c r="AN102" i="17"/>
  <c r="AN53" i="17"/>
  <c r="AN46" i="17"/>
  <c r="AP51" i="17"/>
  <c r="AP102" i="17"/>
  <c r="AP46" i="17"/>
  <c r="AR53" i="17"/>
  <c r="AR51" i="17"/>
  <c r="AR102" i="17"/>
  <c r="AR46" i="17"/>
  <c r="AT51" i="17"/>
  <c r="AT102" i="17"/>
  <c r="AT46" i="17"/>
  <c r="AV51" i="17"/>
  <c r="AV102" i="17"/>
  <c r="AV53" i="17"/>
  <c r="AV46" i="17"/>
  <c r="AX51" i="17"/>
  <c r="AX102" i="17"/>
  <c r="AX46" i="17"/>
  <c r="AZ53" i="17"/>
  <c r="AZ51" i="17"/>
  <c r="AZ102" i="17"/>
  <c r="AZ46" i="17"/>
  <c r="BB51" i="17"/>
  <c r="BB102" i="17"/>
  <c r="BB46" i="17"/>
  <c r="BD51" i="17"/>
  <c r="BD102" i="17"/>
  <c r="BD53" i="17"/>
  <c r="BD46" i="17"/>
  <c r="BF51" i="17"/>
  <c r="BF102" i="17"/>
  <c r="BF46" i="17"/>
  <c r="BH53" i="17"/>
  <c r="BH51" i="17"/>
  <c r="BH102" i="17"/>
  <c r="BH46" i="17"/>
  <c r="BJ51" i="17"/>
  <c r="BJ102" i="17"/>
  <c r="BJ46" i="17"/>
  <c r="BL51" i="17"/>
  <c r="BL102" i="17"/>
  <c r="BL53" i="17"/>
  <c r="BL46" i="17"/>
  <c r="BN51" i="17"/>
  <c r="BN102" i="17"/>
  <c r="BN46" i="17"/>
  <c r="BP53" i="17"/>
  <c r="BP51" i="17"/>
  <c r="BP102" i="17"/>
  <c r="BP46" i="17"/>
  <c r="BR51" i="17"/>
  <c r="BR102" i="17"/>
  <c r="BR46" i="17"/>
  <c r="BT51" i="17"/>
  <c r="BT102" i="17"/>
  <c r="BT53" i="17"/>
  <c r="BT46" i="17"/>
  <c r="BV51" i="17"/>
  <c r="BV102" i="17"/>
  <c r="BV46" i="17"/>
  <c r="BX53" i="17"/>
  <c r="BX51" i="17"/>
  <c r="BX102" i="17"/>
  <c r="BX46" i="17"/>
  <c r="BZ51" i="17"/>
  <c r="BZ102" i="17"/>
  <c r="BZ46" i="17"/>
  <c r="CB51" i="17"/>
  <c r="CB102" i="17"/>
  <c r="CB53" i="17"/>
  <c r="CB46" i="17"/>
  <c r="CD51" i="17"/>
  <c r="CD102" i="17"/>
  <c r="CD46" i="17"/>
  <c r="CF53" i="17"/>
  <c r="CF51" i="17"/>
  <c r="CF102" i="17"/>
  <c r="CF46" i="17"/>
  <c r="CH51" i="17"/>
  <c r="CH102" i="17"/>
  <c r="CH46" i="17"/>
  <c r="CJ51" i="17"/>
  <c r="CJ102" i="17"/>
  <c r="CJ53" i="17"/>
  <c r="CJ46" i="17"/>
  <c r="CL51" i="17"/>
  <c r="CL102" i="17"/>
  <c r="CL46" i="17"/>
  <c r="CN53" i="17"/>
  <c r="CN51" i="17"/>
  <c r="CN102" i="17"/>
  <c r="CN46" i="17"/>
  <c r="CP51" i="17"/>
  <c r="CP102" i="17"/>
  <c r="CP46" i="17"/>
  <c r="H70" i="17"/>
  <c r="H71" i="17"/>
  <c r="J70" i="17"/>
  <c r="J71" i="17"/>
  <c r="L70" i="17"/>
  <c r="L71" i="17"/>
  <c r="N70" i="17"/>
  <c r="N71" i="17"/>
  <c r="P70" i="17"/>
  <c r="P71" i="17"/>
  <c r="R70" i="17"/>
  <c r="R71" i="17"/>
  <c r="T70" i="17"/>
  <c r="T71" i="17"/>
  <c r="V70" i="17"/>
  <c r="V71" i="17"/>
  <c r="X70" i="17"/>
  <c r="X71" i="17"/>
  <c r="Z70" i="17"/>
  <c r="Z71" i="17"/>
  <c r="AB70" i="17"/>
  <c r="AB71" i="17"/>
  <c r="AD70" i="17"/>
  <c r="AD71" i="17"/>
  <c r="AF70" i="17"/>
  <c r="AF71" i="17"/>
  <c r="AH70" i="17"/>
  <c r="AH71" i="17"/>
  <c r="AJ70" i="17"/>
  <c r="AJ71" i="17"/>
  <c r="AL70" i="17"/>
  <c r="AL71" i="17"/>
  <c r="AN70" i="17"/>
  <c r="AN71" i="17"/>
  <c r="AP70" i="17"/>
  <c r="AP71" i="17"/>
  <c r="AR70" i="17"/>
  <c r="AR71" i="17"/>
  <c r="AT70" i="17"/>
  <c r="AT71" i="17"/>
  <c r="AV70" i="17"/>
  <c r="AV71" i="17"/>
  <c r="AX70" i="17"/>
  <c r="AX71" i="17"/>
  <c r="AZ70" i="17"/>
  <c r="AZ71" i="17"/>
  <c r="BB70" i="17"/>
  <c r="BB71" i="17"/>
  <c r="BD70" i="17"/>
  <c r="BD71" i="17"/>
  <c r="BF70" i="17"/>
  <c r="BF71" i="17"/>
  <c r="BH70" i="17"/>
  <c r="BH71" i="17"/>
  <c r="BJ70" i="17"/>
  <c r="BJ71" i="17"/>
  <c r="BN92" i="17" s="1"/>
  <c r="BL94" i="17"/>
  <c r="BL87" i="17"/>
  <c r="BN87" i="17"/>
  <c r="BP94" i="17"/>
  <c r="BP92" i="17"/>
  <c r="BP87" i="17"/>
  <c r="BR92" i="17"/>
  <c r="BR87" i="17"/>
  <c r="BT92" i="17"/>
  <c r="BT94" i="17"/>
  <c r="BT87" i="17"/>
  <c r="BV92" i="17"/>
  <c r="BV87" i="17"/>
  <c r="BX94" i="17"/>
  <c r="BX92" i="17"/>
  <c r="BX87" i="17"/>
  <c r="BZ92" i="17"/>
  <c r="BZ87" i="17"/>
  <c r="CB92" i="17"/>
  <c r="CB94" i="17"/>
  <c r="CB87" i="17"/>
  <c r="CD92" i="17"/>
  <c r="CD87" i="17"/>
  <c r="CF94" i="17"/>
  <c r="CF92" i="17"/>
  <c r="CF87" i="17"/>
  <c r="CH92" i="17"/>
  <c r="CH87" i="17"/>
  <c r="CJ92" i="17"/>
  <c r="CJ94" i="17"/>
  <c r="CJ87" i="17"/>
  <c r="CL92" i="17"/>
  <c r="CL87" i="17"/>
  <c r="CN94" i="17"/>
  <c r="CN92" i="17"/>
  <c r="CN87" i="17"/>
  <c r="CP92" i="17"/>
  <c r="CQ92" i="17"/>
  <c r="CP87" i="17"/>
  <c r="H142" i="17"/>
  <c r="H129" i="17"/>
  <c r="H134" i="17"/>
  <c r="H10" i="17" s="1"/>
  <c r="J142" i="17"/>
  <c r="J129" i="17"/>
  <c r="J134" i="17"/>
  <c r="J10" i="17" s="1"/>
  <c r="L142" i="17"/>
  <c r="L129" i="17"/>
  <c r="L134" i="17"/>
  <c r="N142" i="17"/>
  <c r="N129" i="17"/>
  <c r="N134" i="17"/>
  <c r="P142" i="17"/>
  <c r="P129" i="17"/>
  <c r="P134" i="17"/>
  <c r="R142" i="17"/>
  <c r="R129" i="17"/>
  <c r="R134" i="17"/>
  <c r="T142" i="17"/>
  <c r="T129" i="17"/>
  <c r="T134" i="17"/>
  <c r="V142" i="17"/>
  <c r="V129" i="17"/>
  <c r="V134" i="17"/>
  <c r="X142" i="17"/>
  <c r="X129" i="17"/>
  <c r="X134" i="17"/>
  <c r="Z142" i="17"/>
  <c r="Z129" i="17"/>
  <c r="Z134" i="17"/>
  <c r="AB142" i="17"/>
  <c r="AB129" i="17"/>
  <c r="AB134" i="17"/>
  <c r="AD142" i="17"/>
  <c r="AD129" i="17"/>
  <c r="AD134" i="17"/>
  <c r="AF142" i="17"/>
  <c r="AF129" i="17"/>
  <c r="AF134" i="17"/>
  <c r="AH142" i="17"/>
  <c r="AH129" i="17"/>
  <c r="AH134" i="17"/>
  <c r="AJ142" i="17"/>
  <c r="AJ129" i="17"/>
  <c r="AJ134" i="17"/>
  <c r="AL142" i="17"/>
  <c r="AL129" i="17"/>
  <c r="AL134" i="17"/>
  <c r="AN142" i="17"/>
  <c r="AN129" i="17"/>
  <c r="AN134" i="17"/>
  <c r="AP142" i="17"/>
  <c r="AP129" i="17"/>
  <c r="AP134" i="17"/>
  <c r="AR142" i="17"/>
  <c r="AR129" i="17"/>
  <c r="AR134" i="17"/>
  <c r="AT142" i="17"/>
  <c r="AT129" i="17"/>
  <c r="AT134" i="17"/>
  <c r="AV142" i="17"/>
  <c r="AV129" i="17"/>
  <c r="AV134" i="17"/>
  <c r="AX142" i="17"/>
  <c r="AX129" i="17"/>
  <c r="AX134" i="17"/>
  <c r="AZ142" i="17"/>
  <c r="AZ129" i="17"/>
  <c r="AZ134" i="17"/>
  <c r="BB142" i="17"/>
  <c r="BB129" i="17"/>
  <c r="BB134" i="17"/>
  <c r="BD142" i="17"/>
  <c r="BD129" i="17"/>
  <c r="BD134" i="17"/>
  <c r="BF142" i="17"/>
  <c r="BF129" i="17"/>
  <c r="BF134" i="17"/>
  <c r="BH142" i="17"/>
  <c r="BH129" i="17"/>
  <c r="BH134" i="17"/>
  <c r="BJ142" i="17"/>
  <c r="BJ129" i="17"/>
  <c r="BJ134" i="17"/>
  <c r="BL142" i="17"/>
  <c r="BL129" i="17"/>
  <c r="BL134" i="17"/>
  <c r="BN142" i="17"/>
  <c r="BN129" i="17"/>
  <c r="BN134" i="17"/>
  <c r="BP142" i="17"/>
  <c r="BP129" i="17"/>
  <c r="BP134" i="17"/>
  <c r="BR142" i="17"/>
  <c r="BR129" i="17"/>
  <c r="BR134" i="17"/>
  <c r="BT142" i="17"/>
  <c r="BT129" i="17"/>
  <c r="BT134" i="17"/>
  <c r="BV142" i="17"/>
  <c r="BV129" i="17"/>
  <c r="BV134" i="17"/>
  <c r="BX142" i="17"/>
  <c r="BX129" i="17"/>
  <c r="BX134" i="17"/>
  <c r="BZ142" i="17"/>
  <c r="BZ129" i="17"/>
  <c r="BZ134" i="17"/>
  <c r="CB142" i="17"/>
  <c r="CB129" i="17"/>
  <c r="CB134" i="17"/>
  <c r="CD142" i="17"/>
  <c r="CD129" i="17"/>
  <c r="CD134" i="17"/>
  <c r="CF142" i="17"/>
  <c r="CF129" i="17"/>
  <c r="CF134" i="17"/>
  <c r="CH142" i="17"/>
  <c r="CH129" i="17"/>
  <c r="CH134" i="17"/>
  <c r="CJ142" i="17"/>
  <c r="CJ129" i="17"/>
  <c r="CJ134" i="17"/>
  <c r="CL142" i="17"/>
  <c r="CL129" i="17"/>
  <c r="CL134" i="17"/>
  <c r="CN142" i="17"/>
  <c r="CN129" i="17"/>
  <c r="CN134" i="17"/>
  <c r="CP142" i="17"/>
  <c r="CP129" i="17"/>
  <c r="CP134" i="17"/>
  <c r="G171" i="17"/>
  <c r="G170" i="17"/>
  <c r="G169" i="17" s="1"/>
  <c r="I171" i="17"/>
  <c r="I170" i="17"/>
  <c r="K171" i="17"/>
  <c r="K170" i="17"/>
  <c r="M171" i="17"/>
  <c r="M170" i="17"/>
  <c r="O171" i="17"/>
  <c r="O170" i="17"/>
  <c r="Q171" i="17"/>
  <c r="Q170" i="17"/>
  <c r="S171" i="17"/>
  <c r="S170" i="17"/>
  <c r="U171" i="17"/>
  <c r="U170" i="17"/>
  <c r="W171" i="17"/>
  <c r="W170" i="17"/>
  <c r="Y171" i="17"/>
  <c r="Y170" i="17"/>
  <c r="AA171" i="17"/>
  <c r="AA170" i="17"/>
  <c r="AC171" i="17"/>
  <c r="AC170" i="17"/>
  <c r="AE171" i="17"/>
  <c r="AE170" i="17"/>
  <c r="AG171" i="17"/>
  <c r="AG170" i="17"/>
  <c r="AI171" i="17"/>
  <c r="AI170" i="17"/>
  <c r="AK171" i="17"/>
  <c r="AK170" i="17"/>
  <c r="AM171" i="17"/>
  <c r="AM170" i="17"/>
  <c r="AO171" i="17"/>
  <c r="AO170" i="17"/>
  <c r="AQ171" i="17"/>
  <c r="AQ170" i="17"/>
  <c r="AS171" i="17"/>
  <c r="AS170" i="17"/>
  <c r="AU171" i="17"/>
  <c r="AU170" i="17"/>
  <c r="AW171" i="17"/>
  <c r="AW170" i="17"/>
  <c r="AY171" i="17"/>
  <c r="AY170" i="17"/>
  <c r="BA171" i="17"/>
  <c r="BA170" i="17"/>
  <c r="BC171" i="17"/>
  <c r="BC170" i="17"/>
  <c r="BE171" i="17"/>
  <c r="BE170" i="17"/>
  <c r="BG171" i="17"/>
  <c r="BK189" i="17" s="1"/>
  <c r="BG170" i="17"/>
  <c r="BI171" i="17"/>
  <c r="BM189" i="17" s="1"/>
  <c r="BI170" i="17"/>
  <c r="BK199" i="17"/>
  <c r="BN172" i="17"/>
  <c r="BM199" i="17"/>
  <c r="BM191" i="17"/>
  <c r="BM184" i="17"/>
  <c r="BM183" i="17" s="1"/>
  <c r="BO199" i="17"/>
  <c r="BO189" i="17"/>
  <c r="BO184" i="17"/>
  <c r="BO183" i="17" s="1"/>
  <c r="BR172" i="17"/>
  <c r="BR191" i="17" s="1"/>
  <c r="BQ199" i="17"/>
  <c r="BQ191" i="17"/>
  <c r="BQ189" i="17"/>
  <c r="BQ184" i="17"/>
  <c r="BQ183" i="17" s="1"/>
  <c r="BS199" i="17"/>
  <c r="BV172" i="17"/>
  <c r="BV191" i="17" s="1"/>
  <c r="BS189" i="17"/>
  <c r="BS184" i="17"/>
  <c r="BS183" i="17" s="1"/>
  <c r="BU199" i="17"/>
  <c r="BU191" i="17"/>
  <c r="BU189" i="17"/>
  <c r="BU184" i="17"/>
  <c r="BU183" i="17" s="1"/>
  <c r="BW199" i="17"/>
  <c r="BW189" i="17"/>
  <c r="BW184" i="17"/>
  <c r="BW183" i="17" s="1"/>
  <c r="BZ172" i="17"/>
  <c r="BZ191" i="17" s="1"/>
  <c r="BY199" i="17"/>
  <c r="BY191" i="17"/>
  <c r="BY189" i="17"/>
  <c r="BY184" i="17"/>
  <c r="BY183" i="17" s="1"/>
  <c r="CA199" i="17"/>
  <c r="CD172" i="17"/>
  <c r="CD191" i="17" s="1"/>
  <c r="CA189" i="17"/>
  <c r="CA184" i="17"/>
  <c r="CA183" i="17" s="1"/>
  <c r="CC199" i="17"/>
  <c r="CC191" i="17"/>
  <c r="CC189" i="17"/>
  <c r="CC184" i="17"/>
  <c r="CC183" i="17" s="1"/>
  <c r="CE199" i="17"/>
  <c r="CE189" i="17"/>
  <c r="CE184" i="17"/>
  <c r="CE183" i="17" s="1"/>
  <c r="CH172" i="17"/>
  <c r="CH191" i="17" s="1"/>
  <c r="CG199" i="17"/>
  <c r="CG191" i="17"/>
  <c r="CG189" i="17"/>
  <c r="CG184" i="17"/>
  <c r="CG183" i="17" s="1"/>
  <c r="CI199" i="17"/>
  <c r="CL172" i="17"/>
  <c r="CL191" i="17" s="1"/>
  <c r="CI189" i="17"/>
  <c r="CI184" i="17"/>
  <c r="CI183" i="17" s="1"/>
  <c r="CK199" i="17"/>
  <c r="CK191" i="17"/>
  <c r="CK189" i="17"/>
  <c r="CK184" i="17"/>
  <c r="CK183" i="17" s="1"/>
  <c r="CM199" i="17"/>
  <c r="CM189" i="17"/>
  <c r="CM184" i="17"/>
  <c r="CM183" i="17" s="1"/>
  <c r="CP172" i="17"/>
  <c r="CP191" i="17" s="1"/>
  <c r="CO199" i="17"/>
  <c r="CO191" i="17"/>
  <c r="CO189" i="17"/>
  <c r="CO184" i="17"/>
  <c r="CO183" i="17" s="1"/>
  <c r="G227" i="17"/>
  <c r="G228" i="17"/>
  <c r="I227" i="17"/>
  <c r="I228" i="17"/>
  <c r="K227" i="17"/>
  <c r="K228" i="17"/>
  <c r="M227" i="17"/>
  <c r="M228" i="17"/>
  <c r="O227" i="17"/>
  <c r="O228" i="17"/>
  <c r="Q227" i="17"/>
  <c r="Q228" i="17"/>
  <c r="S227" i="17"/>
  <c r="S228" i="17"/>
  <c r="U227" i="17"/>
  <c r="U228" i="17"/>
  <c r="W227" i="17"/>
  <c r="W228" i="17"/>
  <c r="Y227" i="17"/>
  <c r="Y228" i="17"/>
  <c r="AA227" i="17"/>
  <c r="AA228" i="17"/>
  <c r="AC227" i="17"/>
  <c r="AC228" i="17"/>
  <c r="AE227" i="17"/>
  <c r="AE228" i="17"/>
  <c r="AG227" i="17"/>
  <c r="AG228" i="17"/>
  <c r="AI227" i="17"/>
  <c r="AI228" i="17"/>
  <c r="AK227" i="17"/>
  <c r="AK228" i="17"/>
  <c r="AM227" i="17"/>
  <c r="AM228" i="17"/>
  <c r="AO227" i="17"/>
  <c r="AO228" i="17"/>
  <c r="AQ227" i="17"/>
  <c r="AQ228" i="17"/>
  <c r="AS227" i="17"/>
  <c r="AS228" i="17"/>
  <c r="AU227" i="17"/>
  <c r="AU228" i="17"/>
  <c r="AW227" i="17"/>
  <c r="AW228" i="17"/>
  <c r="AY227" i="17"/>
  <c r="AY228" i="17"/>
  <c r="BA227" i="17"/>
  <c r="BA228" i="17"/>
  <c r="BC227" i="17"/>
  <c r="BC228" i="17"/>
  <c r="BE227" i="17"/>
  <c r="BE228" i="17"/>
  <c r="BG227" i="17"/>
  <c r="BG228" i="17"/>
  <c r="BK246" i="17" s="1"/>
  <c r="BI227" i="17"/>
  <c r="BI228" i="17"/>
  <c r="BN229" i="17"/>
  <c r="BM241" i="17"/>
  <c r="BM248" i="17"/>
  <c r="BO246" i="17"/>
  <c r="BO241" i="17"/>
  <c r="BR229" i="17"/>
  <c r="BR248" i="17" s="1"/>
  <c r="BQ248" i="17"/>
  <c r="BQ246" i="17"/>
  <c r="BQ241" i="17"/>
  <c r="BS246" i="17"/>
  <c r="BS241" i="17"/>
  <c r="BV229" i="17"/>
  <c r="BU246" i="17"/>
  <c r="BU241" i="17"/>
  <c r="BU248" i="17"/>
  <c r="BW246" i="17"/>
  <c r="BW241" i="17"/>
  <c r="BZ229" i="17"/>
  <c r="BZ248" i="17" s="1"/>
  <c r="BY248" i="17"/>
  <c r="BY246" i="17"/>
  <c r="BY241" i="17"/>
  <c r="CA246" i="17"/>
  <c r="CA241" i="17"/>
  <c r="CD229" i="17"/>
  <c r="CD248" i="17" s="1"/>
  <c r="CC246" i="17"/>
  <c r="CC241" i="17"/>
  <c r="CC248" i="17"/>
  <c r="CE246" i="17"/>
  <c r="CE241" i="17"/>
  <c r="CH229" i="17"/>
  <c r="CH248" i="17" s="1"/>
  <c r="CG248" i="17"/>
  <c r="CG246" i="17"/>
  <c r="CG241" i="17"/>
  <c r="CI246" i="17"/>
  <c r="CI241" i="17"/>
  <c r="CL229" i="17"/>
  <c r="CL248" i="17" s="1"/>
  <c r="CK246" i="17"/>
  <c r="CK241" i="17"/>
  <c r="CK248" i="17"/>
  <c r="CM246" i="17"/>
  <c r="CM241" i="17"/>
  <c r="CP229" i="17"/>
  <c r="CP248" i="17" s="1"/>
  <c r="CO248" i="17"/>
  <c r="CO246" i="17"/>
  <c r="CO241" i="17"/>
  <c r="G141" i="17"/>
  <c r="I141" i="17"/>
  <c r="I110" i="17"/>
  <c r="I9" i="17" s="1"/>
  <c r="K141" i="17"/>
  <c r="K115" i="17"/>
  <c r="K110" i="17"/>
  <c r="M141" i="17"/>
  <c r="M117" i="17"/>
  <c r="M115" i="17"/>
  <c r="M110" i="17"/>
  <c r="O141" i="17"/>
  <c r="O115" i="17"/>
  <c r="O110" i="17"/>
  <c r="Q141" i="17"/>
  <c r="Q115" i="17"/>
  <c r="Q117" i="17"/>
  <c r="Q110" i="17"/>
  <c r="S141" i="17"/>
  <c r="S115" i="17"/>
  <c r="S110" i="17"/>
  <c r="U141" i="17"/>
  <c r="U117" i="17"/>
  <c r="U115" i="17"/>
  <c r="U110" i="17"/>
  <c r="W141" i="17"/>
  <c r="W115" i="17"/>
  <c r="W110" i="17"/>
  <c r="Y141" i="17"/>
  <c r="Y115" i="17"/>
  <c r="Y117" i="17"/>
  <c r="Y110" i="17"/>
  <c r="AA141" i="17"/>
  <c r="AA115" i="17"/>
  <c r="AA110" i="17"/>
  <c r="AC141" i="17"/>
  <c r="AC117" i="17"/>
  <c r="AC115" i="17"/>
  <c r="AC110" i="17"/>
  <c r="AE141" i="17"/>
  <c r="AE115" i="17"/>
  <c r="AE110" i="17"/>
  <c r="AG141" i="17"/>
  <c r="AG115" i="17"/>
  <c r="AG117" i="17"/>
  <c r="AG110" i="17"/>
  <c r="AI141" i="17"/>
  <c r="AI115" i="17"/>
  <c r="AI110" i="17"/>
  <c r="AK141" i="17"/>
  <c r="AK117" i="17"/>
  <c r="AK115" i="17"/>
  <c r="AK110" i="17"/>
  <c r="AM141" i="17"/>
  <c r="AM115" i="17"/>
  <c r="AM110" i="17"/>
  <c r="AO141" i="17"/>
  <c r="AO115" i="17"/>
  <c r="AO117" i="17"/>
  <c r="AO110" i="17"/>
  <c r="AQ141" i="17"/>
  <c r="AQ115" i="17"/>
  <c r="AQ110" i="17"/>
  <c r="AS141" i="17"/>
  <c r="AS117" i="17"/>
  <c r="AS115" i="17"/>
  <c r="AS110" i="17"/>
  <c r="AU141" i="17"/>
  <c r="AU115" i="17"/>
  <c r="AU110" i="17"/>
  <c r="AW141" i="17"/>
  <c r="AW115" i="17"/>
  <c r="AW117" i="17"/>
  <c r="AW110" i="17"/>
  <c r="AY141" i="17"/>
  <c r="AY115" i="17"/>
  <c r="AY110" i="17"/>
  <c r="BA141" i="17"/>
  <c r="BA117" i="17"/>
  <c r="BA115" i="17"/>
  <c r="BA110" i="17"/>
  <c r="BC141" i="17"/>
  <c r="BC115" i="17"/>
  <c r="BC110" i="17"/>
  <c r="BE141" i="17"/>
  <c r="BE115" i="17"/>
  <c r="BE117" i="17"/>
  <c r="BE110" i="17"/>
  <c r="BG141" i="17"/>
  <c r="BG115" i="17"/>
  <c r="BG110" i="17"/>
  <c r="BI141" i="17"/>
  <c r="BI117" i="17"/>
  <c r="BI115" i="17"/>
  <c r="BI110" i="17"/>
  <c r="BK141" i="17"/>
  <c r="BK115" i="17"/>
  <c r="BK110" i="17"/>
  <c r="BM141" i="17"/>
  <c r="BM115" i="17"/>
  <c r="BM117" i="17"/>
  <c r="BM110" i="17"/>
  <c r="BO141" i="17"/>
  <c r="BO115" i="17"/>
  <c r="BO110" i="17"/>
  <c r="BQ141" i="17"/>
  <c r="BQ117" i="17"/>
  <c r="BQ115" i="17"/>
  <c r="BQ110" i="17"/>
  <c r="BS141" i="17"/>
  <c r="BS115" i="17"/>
  <c r="BS110" i="17"/>
  <c r="BU141" i="17"/>
  <c r="BU115" i="17"/>
  <c r="BU117" i="17"/>
  <c r="BU110" i="17"/>
  <c r="BW141" i="17"/>
  <c r="BW115" i="17"/>
  <c r="BW110" i="17"/>
  <c r="BY141" i="17"/>
  <c r="BY117" i="17"/>
  <c r="BY115" i="17"/>
  <c r="BY110" i="17"/>
  <c r="CA141" i="17"/>
  <c r="CA115" i="17"/>
  <c r="CA110" i="17"/>
  <c r="CC141" i="17"/>
  <c r="CC115" i="17"/>
  <c r="CC117" i="17"/>
  <c r="CC110" i="17"/>
  <c r="CE141" i="17"/>
  <c r="CE115" i="17"/>
  <c r="CE110" i="17"/>
  <c r="CG141" i="17"/>
  <c r="CG117" i="17"/>
  <c r="CG115" i="17"/>
  <c r="CG110" i="17"/>
  <c r="CI141" i="17"/>
  <c r="CI115" i="17"/>
  <c r="CI110" i="17"/>
  <c r="CK141" i="17"/>
  <c r="CK115" i="17"/>
  <c r="CK117" i="17"/>
  <c r="CK110" i="17"/>
  <c r="CM141" i="17"/>
  <c r="CM115" i="17"/>
  <c r="CM110" i="17"/>
  <c r="CO141" i="17"/>
  <c r="CO117" i="17"/>
  <c r="CO115" i="17"/>
  <c r="CO110" i="17"/>
  <c r="G198" i="17"/>
  <c r="I198" i="17"/>
  <c r="I149" i="17"/>
  <c r="I11" i="17" s="1"/>
  <c r="K154" i="17"/>
  <c r="K198" i="17"/>
  <c r="K149" i="17"/>
  <c r="M156" i="17"/>
  <c r="M154" i="17"/>
  <c r="M198" i="17"/>
  <c r="M149" i="17"/>
  <c r="O154" i="17"/>
  <c r="O198" i="17"/>
  <c r="O149" i="17"/>
  <c r="Q154" i="17"/>
  <c r="Q198" i="17"/>
  <c r="Q156" i="17"/>
  <c r="Q149" i="17"/>
  <c r="S154" i="17"/>
  <c r="S198" i="17"/>
  <c r="S149" i="17"/>
  <c r="U156" i="17"/>
  <c r="U154" i="17"/>
  <c r="U198" i="17"/>
  <c r="U149" i="17"/>
  <c r="W154" i="17"/>
  <c r="W198" i="17"/>
  <c r="W149" i="17"/>
  <c r="Y154" i="17"/>
  <c r="Y198" i="17"/>
  <c r="Y156" i="17"/>
  <c r="Y149" i="17"/>
  <c r="AA154" i="17"/>
  <c r="AA198" i="17"/>
  <c r="AA149" i="17"/>
  <c r="AC156" i="17"/>
  <c r="AC154" i="17"/>
  <c r="AC198" i="17"/>
  <c r="AC149" i="17"/>
  <c r="AE154" i="17"/>
  <c r="AE198" i="17"/>
  <c r="AE149" i="17"/>
  <c r="AG154" i="17"/>
  <c r="AG198" i="17"/>
  <c r="AG156" i="17"/>
  <c r="AG149" i="17"/>
  <c r="AI154" i="17"/>
  <c r="AI198" i="17"/>
  <c r="AI149" i="17"/>
  <c r="AK156" i="17"/>
  <c r="AK154" i="17"/>
  <c r="AK198" i="17"/>
  <c r="AK149" i="17"/>
  <c r="AM154" i="17"/>
  <c r="AM198" i="17"/>
  <c r="AM149" i="17"/>
  <c r="AO154" i="17"/>
  <c r="AO198" i="17"/>
  <c r="AO156" i="17"/>
  <c r="AO149" i="17"/>
  <c r="AQ154" i="17"/>
  <c r="AQ198" i="17"/>
  <c r="AQ149" i="17"/>
  <c r="AS156" i="17"/>
  <c r="AS154" i="17"/>
  <c r="AS198" i="17"/>
  <c r="AS149" i="17"/>
  <c r="AU154" i="17"/>
  <c r="AU198" i="17"/>
  <c r="AU149" i="17"/>
  <c r="AW154" i="17"/>
  <c r="AW198" i="17"/>
  <c r="AW156" i="17"/>
  <c r="AW149" i="17"/>
  <c r="AY154" i="17"/>
  <c r="AY198" i="17"/>
  <c r="AY149" i="17"/>
  <c r="BA156" i="17"/>
  <c r="BA154" i="17"/>
  <c r="BA198" i="17"/>
  <c r="BA149" i="17"/>
  <c r="BC154" i="17"/>
  <c r="BC198" i="17"/>
  <c r="BC149" i="17"/>
  <c r="BE154" i="17"/>
  <c r="BE198" i="17"/>
  <c r="BE156" i="17"/>
  <c r="BE149" i="17"/>
  <c r="BG154" i="17"/>
  <c r="BG198" i="17"/>
  <c r="BG149" i="17"/>
  <c r="BI156" i="17"/>
  <c r="BI154" i="17"/>
  <c r="BI198" i="17"/>
  <c r="BI149" i="17"/>
  <c r="BK154" i="17"/>
  <c r="BK198" i="17"/>
  <c r="BK149" i="17"/>
  <c r="BM154" i="17"/>
  <c r="BM198" i="17"/>
  <c r="BM156" i="17"/>
  <c r="BM149" i="17"/>
  <c r="BO154" i="17"/>
  <c r="BO198" i="17"/>
  <c r="BO149" i="17"/>
  <c r="BQ156" i="17"/>
  <c r="BQ154" i="17"/>
  <c r="BQ198" i="17"/>
  <c r="BQ149" i="17"/>
  <c r="BS154" i="17"/>
  <c r="BS198" i="17"/>
  <c r="BS149" i="17"/>
  <c r="BU154" i="17"/>
  <c r="BU198" i="17"/>
  <c r="BU156" i="17"/>
  <c r="BU149" i="17"/>
  <c r="BW154" i="17"/>
  <c r="BW198" i="17"/>
  <c r="BW149" i="17"/>
  <c r="BY156" i="17"/>
  <c r="BY154" i="17"/>
  <c r="BY198" i="17"/>
  <c r="BY149" i="17"/>
  <c r="CA154" i="17"/>
  <c r="CA198" i="17"/>
  <c r="CA149" i="17"/>
  <c r="CC154" i="17"/>
  <c r="CC198" i="17"/>
  <c r="CC156" i="17"/>
  <c r="CC149" i="17"/>
  <c r="CE154" i="17"/>
  <c r="CE198" i="17"/>
  <c r="CE149" i="17"/>
  <c r="CG156" i="17"/>
  <c r="CG154" i="17"/>
  <c r="CG198" i="17"/>
  <c r="CG149" i="17"/>
  <c r="CI154" i="17"/>
  <c r="CI198" i="17"/>
  <c r="CI149" i="17"/>
  <c r="CK154" i="17"/>
  <c r="CK198" i="17"/>
  <c r="CK156" i="17"/>
  <c r="CK149" i="17"/>
  <c r="CM154" i="17"/>
  <c r="CM198" i="17"/>
  <c r="CM149" i="17"/>
  <c r="CO156" i="17"/>
  <c r="CO154" i="17"/>
  <c r="CO198" i="17"/>
  <c r="CO149" i="17"/>
  <c r="G255" i="17"/>
  <c r="I255" i="17"/>
  <c r="I206" i="17"/>
  <c r="I13" i="17" s="1"/>
  <c r="K255" i="17"/>
  <c r="K211" i="17"/>
  <c r="K206" i="17"/>
  <c r="M213" i="17"/>
  <c r="M211" i="17"/>
  <c r="M255" i="17"/>
  <c r="M206" i="17"/>
  <c r="O255" i="17"/>
  <c r="O211" i="17"/>
  <c r="O206" i="17"/>
  <c r="Q211" i="17"/>
  <c r="Q255" i="17"/>
  <c r="Q213" i="17"/>
  <c r="Q206" i="17"/>
  <c r="S255" i="17"/>
  <c r="S211" i="17"/>
  <c r="S206" i="17"/>
  <c r="U213" i="17"/>
  <c r="U211" i="17"/>
  <c r="U255" i="17"/>
  <c r="U206" i="17"/>
  <c r="W255" i="17"/>
  <c r="W211" i="17"/>
  <c r="W206" i="17"/>
  <c r="Y211" i="17"/>
  <c r="Y255" i="17"/>
  <c r="Y213" i="17"/>
  <c r="Y206" i="17"/>
  <c r="AA255" i="17"/>
  <c r="AA211" i="17"/>
  <c r="AA206" i="17"/>
  <c r="AC213" i="17"/>
  <c r="AC211" i="17"/>
  <c r="AC255" i="17"/>
  <c r="AC206" i="17"/>
  <c r="AE255" i="17"/>
  <c r="AE211" i="17"/>
  <c r="AE206" i="17"/>
  <c r="AG211" i="17"/>
  <c r="AG255" i="17"/>
  <c r="AG213" i="17"/>
  <c r="AG206" i="17"/>
  <c r="AI255" i="17"/>
  <c r="AI211" i="17"/>
  <c r="AI206" i="17"/>
  <c r="AK213" i="17"/>
  <c r="AK211" i="17"/>
  <c r="AK255" i="17"/>
  <c r="AK206" i="17"/>
  <c r="AM255" i="17"/>
  <c r="AM211" i="17"/>
  <c r="AM206" i="17"/>
  <c r="AO211" i="17"/>
  <c r="AO255" i="17"/>
  <c r="AO213" i="17"/>
  <c r="AO206" i="17"/>
  <c r="AQ255" i="17"/>
  <c r="AQ211" i="17"/>
  <c r="AQ206" i="17"/>
  <c r="AS213" i="17"/>
  <c r="AS211" i="17"/>
  <c r="AS255" i="17"/>
  <c r="AS206" i="17"/>
  <c r="AU255" i="17"/>
  <c r="AU211" i="17"/>
  <c r="AU206" i="17"/>
  <c r="AW211" i="17"/>
  <c r="AW255" i="17"/>
  <c r="AW213" i="17"/>
  <c r="AW206" i="17"/>
  <c r="AY255" i="17"/>
  <c r="AY211" i="17"/>
  <c r="AY206" i="17"/>
  <c r="BA213" i="17"/>
  <c r="BA211" i="17"/>
  <c r="BA255" i="17"/>
  <c r="BA206" i="17"/>
  <c r="BC255" i="17"/>
  <c r="BC211" i="17"/>
  <c r="BC206" i="17"/>
  <c r="BE211" i="17"/>
  <c r="BE255" i="17"/>
  <c r="BE213" i="17"/>
  <c r="BE206" i="17"/>
  <c r="BG255" i="17"/>
  <c r="BG211" i="17"/>
  <c r="BG206" i="17"/>
  <c r="BI213" i="17"/>
  <c r="BI211" i="17"/>
  <c r="BI255" i="17"/>
  <c r="BI206" i="17"/>
  <c r="BK255" i="17"/>
  <c r="BK211" i="17"/>
  <c r="BK206" i="17"/>
  <c r="BM211" i="17"/>
  <c r="BM255" i="17"/>
  <c r="BM213" i="17"/>
  <c r="BM206" i="17"/>
  <c r="BO255" i="17"/>
  <c r="BO211" i="17"/>
  <c r="BO206" i="17"/>
  <c r="BQ213" i="17"/>
  <c r="BQ211" i="17"/>
  <c r="BQ255" i="17"/>
  <c r="BQ206" i="17"/>
  <c r="BS255" i="17"/>
  <c r="BS211" i="17"/>
  <c r="BS206" i="17"/>
  <c r="BU211" i="17"/>
  <c r="BU255" i="17"/>
  <c r="BU213" i="17"/>
  <c r="BU206" i="17"/>
  <c r="BW255" i="17"/>
  <c r="BW211" i="17"/>
  <c r="BW206" i="17"/>
  <c r="BY213" i="17"/>
  <c r="BY211" i="17"/>
  <c r="BY255" i="17"/>
  <c r="BY206" i="17"/>
  <c r="CA255" i="17"/>
  <c r="CA211" i="17"/>
  <c r="CA206" i="17"/>
  <c r="CC211" i="17"/>
  <c r="CC255" i="17"/>
  <c r="CC213" i="17"/>
  <c r="CC206" i="17"/>
  <c r="CE255" i="17"/>
  <c r="CE211" i="17"/>
  <c r="CE206" i="17"/>
  <c r="CG213" i="17"/>
  <c r="CG211" i="17"/>
  <c r="CG255" i="17"/>
  <c r="CG206" i="17"/>
  <c r="CI255" i="17"/>
  <c r="CI211" i="17"/>
  <c r="CI206" i="17"/>
  <c r="CK211" i="17"/>
  <c r="CK255" i="17"/>
  <c r="CK213" i="17"/>
  <c r="CK206" i="17"/>
  <c r="CM255" i="17"/>
  <c r="CM211" i="17"/>
  <c r="CM206" i="17"/>
  <c r="CO213" i="17"/>
  <c r="CO211" i="17"/>
  <c r="CO255" i="17"/>
  <c r="CO206" i="17"/>
  <c r="K263" i="17"/>
  <c r="K268" i="17"/>
  <c r="N259" i="17"/>
  <c r="Q269" i="17" s="1"/>
  <c r="M263" i="17"/>
  <c r="M270" i="17"/>
  <c r="M268" i="17"/>
  <c r="O263" i="17"/>
  <c r="R259" i="17"/>
  <c r="T269" i="17" s="1"/>
  <c r="O268" i="17"/>
  <c r="Q270" i="17"/>
  <c r="Q263" i="17"/>
  <c r="Q268" i="17"/>
  <c r="S263" i="17"/>
  <c r="S268" i="17"/>
  <c r="V259" i="17"/>
  <c r="U263" i="17"/>
  <c r="U270" i="17"/>
  <c r="U268" i="17"/>
  <c r="W263" i="17"/>
  <c r="Z259" i="17"/>
  <c r="AA269" i="17" s="1"/>
  <c r="W268" i="17"/>
  <c r="Y270" i="17"/>
  <c r="Y263" i="17"/>
  <c r="Y268" i="17"/>
  <c r="AA263" i="17"/>
  <c r="AA268" i="17"/>
  <c r="AD259" i="17"/>
  <c r="AG269" i="17" s="1"/>
  <c r="AC263" i="17"/>
  <c r="AC270" i="17"/>
  <c r="AC268" i="17"/>
  <c r="AE263" i="17"/>
  <c r="AH259" i="17"/>
  <c r="AE268" i="17"/>
  <c r="AG270" i="17"/>
  <c r="AG263" i="17"/>
  <c r="AG268" i="17"/>
  <c r="AI263" i="17"/>
  <c r="AI268" i="17"/>
  <c r="AL259" i="17"/>
  <c r="AL270" i="17" s="1"/>
  <c r="AK263" i="17"/>
  <c r="AK270" i="17"/>
  <c r="AK268" i="17"/>
  <c r="AM263" i="17"/>
  <c r="AP259" i="17"/>
  <c r="AM268" i="17"/>
  <c r="AO270" i="17"/>
  <c r="AO263" i="17"/>
  <c r="AO268" i="17"/>
  <c r="AQ263" i="17"/>
  <c r="AQ268" i="17"/>
  <c r="AT259" i="17"/>
  <c r="P156" i="12" s="1"/>
  <c r="AS263" i="17"/>
  <c r="AS270" i="17"/>
  <c r="AS268" i="17"/>
  <c r="AU263" i="17"/>
  <c r="AX259" i="17"/>
  <c r="AZ269" i="17" s="1"/>
  <c r="AU268" i="17"/>
  <c r="AW270" i="17"/>
  <c r="AW263" i="17"/>
  <c r="AW268" i="17"/>
  <c r="AY263" i="17"/>
  <c r="AY268" i="17"/>
  <c r="BB259" i="17"/>
  <c r="BB270" i="17" s="1"/>
  <c r="BA263" i="17"/>
  <c r="BA270" i="17"/>
  <c r="BA268" i="17"/>
  <c r="BC263" i="17"/>
  <c r="BF259" i="17"/>
  <c r="BG269" i="17" s="1"/>
  <c r="BC268" i="17"/>
  <c r="BE270" i="17"/>
  <c r="BE263" i="17"/>
  <c r="BE268" i="17"/>
  <c r="BG263" i="17"/>
  <c r="BG268" i="17"/>
  <c r="BJ259" i="17"/>
  <c r="BJ270" i="17" s="1"/>
  <c r="BI263" i="17"/>
  <c r="BI270" i="17"/>
  <c r="BI268" i="17"/>
  <c r="BK263" i="17"/>
  <c r="BN259" i="17"/>
  <c r="BP269" i="17" s="1"/>
  <c r="BK268" i="17"/>
  <c r="BM270" i="17"/>
  <c r="BM263" i="17"/>
  <c r="BM268" i="17"/>
  <c r="BO263" i="17"/>
  <c r="BO268" i="17"/>
  <c r="BR259" i="17"/>
  <c r="BR270" i="17" s="1"/>
  <c r="BQ263" i="17"/>
  <c r="BQ270" i="17"/>
  <c r="BQ268" i="17"/>
  <c r="BS263" i="17"/>
  <c r="BV259" i="17"/>
  <c r="BS268" i="17"/>
  <c r="BU270" i="17"/>
  <c r="BU263" i="17"/>
  <c r="BU268" i="17"/>
  <c r="BW263" i="17"/>
  <c r="BW268" i="17"/>
  <c r="BZ259" i="17"/>
  <c r="CA269" i="17" s="1"/>
  <c r="BY263" i="17"/>
  <c r="BY270" i="17"/>
  <c r="BY268" i="17"/>
  <c r="CA263" i="17"/>
  <c r="CD259" i="17"/>
  <c r="CF269" i="17" s="1"/>
  <c r="CA268" i="17"/>
  <c r="CC270" i="17"/>
  <c r="CC263" i="17"/>
  <c r="CC268" i="17"/>
  <c r="CE263" i="17"/>
  <c r="CE268" i="17"/>
  <c r="CH259" i="17"/>
  <c r="CH270" i="17" s="1"/>
  <c r="CG263" i="17"/>
  <c r="CG270" i="17"/>
  <c r="CG268" i="17"/>
  <c r="CI263" i="17"/>
  <c r="CL259" i="17"/>
  <c r="CN269" i="17" s="1"/>
  <c r="CI268" i="17"/>
  <c r="CK270" i="17"/>
  <c r="CK263" i="17"/>
  <c r="CK268" i="17"/>
  <c r="CM263" i="17"/>
  <c r="CM268" i="17"/>
  <c r="CO263" i="17"/>
  <c r="CO270" i="17"/>
  <c r="CO268" i="17"/>
  <c r="K317" i="17"/>
  <c r="N296" i="17"/>
  <c r="M317" i="17"/>
  <c r="P296" i="17"/>
  <c r="I128" i="8" s="1"/>
  <c r="I129" i="8" s="1"/>
  <c r="O317" i="17"/>
  <c r="R296" i="17"/>
  <c r="Q317" i="17"/>
  <c r="T296" i="17"/>
  <c r="J128" i="8" s="1"/>
  <c r="S317" i="17"/>
  <c r="V296" i="17"/>
  <c r="U317" i="17"/>
  <c r="X296" i="17"/>
  <c r="K128" i="8" s="1"/>
  <c r="W317" i="17"/>
  <c r="Z296" i="17"/>
  <c r="Y317" i="17"/>
  <c r="AB296" i="17"/>
  <c r="L128" i="8" s="1"/>
  <c r="AA317" i="17"/>
  <c r="AD296" i="17"/>
  <c r="AC317" i="17"/>
  <c r="AF296" i="17"/>
  <c r="M128" i="8" s="1"/>
  <c r="AE317" i="17"/>
  <c r="AH296" i="17"/>
  <c r="AG317" i="17"/>
  <c r="AJ296" i="17"/>
  <c r="N128" i="8" s="1"/>
  <c r="AI317" i="17"/>
  <c r="AL296" i="17"/>
  <c r="AK317" i="17"/>
  <c r="AN296" i="17"/>
  <c r="O128" i="8" s="1"/>
  <c r="AM317" i="17"/>
  <c r="AM284" i="17"/>
  <c r="AP296" i="17"/>
  <c r="AO317" i="17"/>
  <c r="AR296" i="17"/>
  <c r="P128" i="8" s="1"/>
  <c r="AO284" i="17"/>
  <c r="AQ317" i="17"/>
  <c r="AT296" i="17"/>
  <c r="AS317" i="17"/>
  <c r="AV296" i="17"/>
  <c r="Q128" i="8" s="1"/>
  <c r="AU317" i="17"/>
  <c r="AX296" i="17"/>
  <c r="AW317" i="17"/>
  <c r="AZ296" i="17"/>
  <c r="R128" i="8" s="1"/>
  <c r="AY317" i="17"/>
  <c r="BB296" i="17"/>
  <c r="BA317" i="17"/>
  <c r="BD296" i="17"/>
  <c r="S128" i="8" s="1"/>
  <c r="BC317" i="17"/>
  <c r="BF296" i="17"/>
  <c r="BE317" i="17"/>
  <c r="BH296" i="17"/>
  <c r="T128" i="8" s="1"/>
  <c r="BG317" i="17"/>
  <c r="BI317" i="17"/>
  <c r="N290" i="17"/>
  <c r="H378" i="12" s="1"/>
  <c r="R290" i="17"/>
  <c r="O311" i="17"/>
  <c r="Q311" i="17"/>
  <c r="S311" i="17"/>
  <c r="V290" i="17"/>
  <c r="U311" i="17"/>
  <c r="Z290" i="17"/>
  <c r="W311" i="17"/>
  <c r="Y311" i="17"/>
  <c r="AA311" i="17"/>
  <c r="AD290" i="17"/>
  <c r="AC311" i="17"/>
  <c r="AH290" i="17"/>
  <c r="AE311" i="17"/>
  <c r="AG311" i="17"/>
  <c r="AI311" i="17"/>
  <c r="AL290" i="17"/>
  <c r="AK311" i="17"/>
  <c r="AP290" i="17"/>
  <c r="AM311" i="17"/>
  <c r="AO311" i="17"/>
  <c r="AQ311" i="17"/>
  <c r="AT290" i="17"/>
  <c r="AS311" i="17"/>
  <c r="AX290" i="17"/>
  <c r="AU311" i="17"/>
  <c r="AW311" i="17"/>
  <c r="AY311" i="17"/>
  <c r="BB290" i="17"/>
  <c r="BA311" i="17"/>
  <c r="BF290" i="17"/>
  <c r="BC311" i="17"/>
  <c r="BC285" i="17"/>
  <c r="BC287" i="17" s="1"/>
  <c r="BE311" i="17"/>
  <c r="BG311" i="17"/>
  <c r="BJ290" i="17"/>
  <c r="BI311" i="17"/>
  <c r="BN290" i="17"/>
  <c r="BK311" i="17"/>
  <c r="BM311" i="17"/>
  <c r="BO311" i="17"/>
  <c r="BR290" i="17"/>
  <c r="BQ311" i="17"/>
  <c r="BV290" i="17"/>
  <c r="BS311" i="17"/>
  <c r="BU311" i="17"/>
  <c r="BW311" i="17"/>
  <c r="BZ290" i="17"/>
  <c r="BY311" i="17"/>
  <c r="CD290" i="17"/>
  <c r="CA311" i="17"/>
  <c r="CC311" i="17"/>
  <c r="CE311" i="17"/>
  <c r="CH290" i="17"/>
  <c r="CG311" i="17"/>
  <c r="CL290" i="17"/>
  <c r="CI311" i="17"/>
  <c r="CK311" i="17"/>
  <c r="CM311" i="17"/>
  <c r="CP290" i="17"/>
  <c r="CO311" i="17"/>
  <c r="G285" i="17"/>
  <c r="G278" i="17"/>
  <c r="I285" i="17"/>
  <c r="I278" i="17"/>
  <c r="N291" i="17"/>
  <c r="H379" i="12" s="1"/>
  <c r="O312" i="17"/>
  <c r="R291" i="17"/>
  <c r="Q312" i="17"/>
  <c r="S312" i="17"/>
  <c r="V291" i="17"/>
  <c r="U312" i="17"/>
  <c r="W312" i="17"/>
  <c r="Z291" i="17"/>
  <c r="Y312" i="17"/>
  <c r="AA312" i="17"/>
  <c r="AD291" i="17"/>
  <c r="AC312" i="17"/>
  <c r="AE312" i="17"/>
  <c r="AH291" i="17"/>
  <c r="AG312" i="17"/>
  <c r="AI312" i="17"/>
  <c r="AL291" i="17"/>
  <c r="AK312" i="17"/>
  <c r="AM312" i="17"/>
  <c r="AP291" i="17"/>
  <c r="AO312" i="17"/>
  <c r="AQ312" i="17"/>
  <c r="AT291" i="17"/>
  <c r="AS312" i="17"/>
  <c r="AU312" i="17"/>
  <c r="AX291" i="17"/>
  <c r="AW312" i="17"/>
  <c r="AY312" i="17"/>
  <c r="BB291" i="17"/>
  <c r="BA312" i="17"/>
  <c r="BC312" i="17"/>
  <c r="BF291" i="17"/>
  <c r="BE312" i="17"/>
  <c r="BG312" i="17"/>
  <c r="BJ291" i="17"/>
  <c r="BI312" i="17"/>
  <c r="BK312" i="17"/>
  <c r="BN291" i="17"/>
  <c r="BM312" i="17"/>
  <c r="BO312" i="17"/>
  <c r="BR291" i="17"/>
  <c r="BQ312" i="17"/>
  <c r="BS312" i="17"/>
  <c r="BV291" i="17"/>
  <c r="BU312" i="17"/>
  <c r="BW312" i="17"/>
  <c r="BZ291" i="17"/>
  <c r="BY312" i="17"/>
  <c r="CA312" i="17"/>
  <c r="CD291" i="17"/>
  <c r="CC312" i="17"/>
  <c r="CE312" i="17"/>
  <c r="CH291" i="17"/>
  <c r="CG312" i="17"/>
  <c r="CI312" i="17"/>
  <c r="CL291" i="17"/>
  <c r="CK312" i="17"/>
  <c r="CM312" i="17"/>
  <c r="CP291" i="17"/>
  <c r="CO312" i="17"/>
  <c r="N292" i="17"/>
  <c r="H380" i="12" s="1"/>
  <c r="O313" i="17"/>
  <c r="R292" i="17"/>
  <c r="Q313" i="17"/>
  <c r="S313" i="17"/>
  <c r="V292" i="17"/>
  <c r="U313" i="17"/>
  <c r="W313" i="17"/>
  <c r="Z292" i="17"/>
  <c r="Y313" i="17"/>
  <c r="AA313" i="17"/>
  <c r="AD292" i="17"/>
  <c r="AC313" i="17"/>
  <c r="AE313" i="17"/>
  <c r="AH292" i="17"/>
  <c r="AG313" i="17"/>
  <c r="AI313" i="17"/>
  <c r="AL292" i="17"/>
  <c r="AK313" i="17"/>
  <c r="AM313" i="17"/>
  <c r="AP292" i="17"/>
  <c r="AO313" i="17"/>
  <c r="AQ313" i="17"/>
  <c r="AT292" i="17"/>
  <c r="AS313" i="17"/>
  <c r="AU313" i="17"/>
  <c r="AX292" i="17"/>
  <c r="AW313" i="17"/>
  <c r="AY313" i="17"/>
  <c r="BB292" i="17"/>
  <c r="BA313" i="17"/>
  <c r="BC313" i="17"/>
  <c r="BF292" i="17"/>
  <c r="BE313" i="17"/>
  <c r="BG313" i="17"/>
  <c r="BJ292" i="17"/>
  <c r="BI313" i="17"/>
  <c r="BK313" i="17"/>
  <c r="BN292" i="17"/>
  <c r="BM313" i="17"/>
  <c r="BO313" i="17"/>
  <c r="BR292" i="17"/>
  <c r="BQ313" i="17"/>
  <c r="BS313" i="17"/>
  <c r="BV292" i="17"/>
  <c r="BU313" i="17"/>
  <c r="BW313" i="17"/>
  <c r="BZ292" i="17"/>
  <c r="BY313" i="17"/>
  <c r="CA313" i="17"/>
  <c r="CD292" i="17"/>
  <c r="CC313" i="17"/>
  <c r="CE313" i="17"/>
  <c r="CH292" i="17"/>
  <c r="CG313" i="17"/>
  <c r="CI313" i="17"/>
  <c r="CL292" i="17"/>
  <c r="CK313" i="17"/>
  <c r="CM313" i="17"/>
  <c r="CU279" i="17"/>
  <c r="CY279" i="17" s="1"/>
  <c r="CP292" i="17"/>
  <c r="CO313" i="17"/>
  <c r="N293" i="17"/>
  <c r="H381" i="12" s="1"/>
  <c r="O314" i="17"/>
  <c r="R293" i="17"/>
  <c r="Q314" i="17"/>
  <c r="S314" i="17"/>
  <c r="V293" i="17"/>
  <c r="U314" i="17"/>
  <c r="W314" i="17"/>
  <c r="Z293" i="17"/>
  <c r="Y314" i="17"/>
  <c r="AA314" i="17"/>
  <c r="AD293" i="17"/>
  <c r="AC314" i="17"/>
  <c r="AE314" i="17"/>
  <c r="AH293" i="17"/>
  <c r="AG314" i="17"/>
  <c r="AI314" i="17"/>
  <c r="AL293" i="17"/>
  <c r="AK314" i="17"/>
  <c r="AM314" i="17"/>
  <c r="AP293" i="17"/>
  <c r="AO314" i="17"/>
  <c r="AQ314" i="17"/>
  <c r="AT293" i="17"/>
  <c r="AS314" i="17"/>
  <c r="AU314" i="17"/>
  <c r="AX293" i="17"/>
  <c r="AW314" i="17"/>
  <c r="AY314" i="17"/>
  <c r="BB293" i="17"/>
  <c r="BA314" i="17"/>
  <c r="BC314" i="17"/>
  <c r="BF293" i="17"/>
  <c r="BE314" i="17"/>
  <c r="BG314" i="17"/>
  <c r="BJ293" i="17"/>
  <c r="BI314" i="17"/>
  <c r="BK314" i="17"/>
  <c r="BN293" i="17"/>
  <c r="BM314" i="17"/>
  <c r="BO314" i="17"/>
  <c r="BR293" i="17"/>
  <c r="BQ314" i="17"/>
  <c r="BS314" i="17"/>
  <c r="BV293" i="17"/>
  <c r="BU314" i="17"/>
  <c r="BW314" i="17"/>
  <c r="BZ293" i="17"/>
  <c r="BY314" i="17"/>
  <c r="CA314" i="17"/>
  <c r="CD293" i="17"/>
  <c r="CC314" i="17"/>
  <c r="CE314" i="17"/>
  <c r="CH293" i="17"/>
  <c r="CG314" i="17"/>
  <c r="CI314" i="17"/>
  <c r="CL293" i="17"/>
  <c r="CK314" i="17"/>
  <c r="CM314" i="17"/>
  <c r="CP293" i="17"/>
  <c r="CO314" i="17"/>
  <c r="N294" i="17"/>
  <c r="H382" i="12" s="1"/>
  <c r="R294" i="17"/>
  <c r="O315" i="17"/>
  <c r="Q315" i="17"/>
  <c r="S315" i="17"/>
  <c r="V294" i="17"/>
  <c r="U315" i="17"/>
  <c r="Z294" i="17"/>
  <c r="W315" i="17"/>
  <c r="Y315" i="17"/>
  <c r="AA315" i="17"/>
  <c r="AD294" i="17"/>
  <c r="AC315" i="17"/>
  <c r="AH294" i="17"/>
  <c r="AE315" i="17"/>
  <c r="AG315" i="17"/>
  <c r="AI315" i="17"/>
  <c r="AL294" i="17"/>
  <c r="AK315" i="17"/>
  <c r="AP294" i="17"/>
  <c r="AM315" i="17"/>
  <c r="AO315" i="17"/>
  <c r="AQ315" i="17"/>
  <c r="AT294" i="17"/>
  <c r="AS315" i="17"/>
  <c r="AX294" i="17"/>
  <c r="AU315" i="17"/>
  <c r="AW315" i="17"/>
  <c r="AY315" i="17"/>
  <c r="BB294" i="17"/>
  <c r="BA315" i="17"/>
  <c r="BF294" i="17"/>
  <c r="BC315" i="17"/>
  <c r="BE315" i="17"/>
  <c r="BG315" i="17"/>
  <c r="BJ294" i="17"/>
  <c r="BI315" i="17"/>
  <c r="BN294" i="17"/>
  <c r="BK315" i="17"/>
  <c r="BM315" i="17"/>
  <c r="BO315" i="17"/>
  <c r="BR294" i="17"/>
  <c r="BQ315" i="17"/>
  <c r="BV294" i="17"/>
  <c r="BS315" i="17"/>
  <c r="BU315" i="17"/>
  <c r="BW315" i="17"/>
  <c r="BZ294" i="17"/>
  <c r="BY315" i="17"/>
  <c r="CD294" i="17"/>
  <c r="CA315" i="17"/>
  <c r="CC315" i="17"/>
  <c r="CE315" i="17"/>
  <c r="CH294" i="17"/>
  <c r="CG315" i="17"/>
  <c r="CL294" i="17"/>
  <c r="CI315" i="17"/>
  <c r="CK315" i="17"/>
  <c r="CM315" i="17"/>
  <c r="CP294" i="17"/>
  <c r="CU281" i="17"/>
  <c r="CY281" i="17" s="1"/>
  <c r="CO315" i="17"/>
  <c r="N299" i="17"/>
  <c r="P299" i="17"/>
  <c r="O320" i="17"/>
  <c r="R299" i="17"/>
  <c r="Q320" i="17"/>
  <c r="T299" i="17"/>
  <c r="S320" i="17"/>
  <c r="V299" i="17"/>
  <c r="U320" i="17"/>
  <c r="X299" i="17"/>
  <c r="W320" i="17"/>
  <c r="Z299" i="17"/>
  <c r="Y320" i="17"/>
  <c r="AB299" i="17"/>
  <c r="AA320" i="17"/>
  <c r="AD299" i="17"/>
  <c r="AC320" i="17"/>
  <c r="AF299" i="17"/>
  <c r="AE320" i="17"/>
  <c r="AH299" i="17"/>
  <c r="AG320" i="17"/>
  <c r="AJ299" i="17"/>
  <c r="AI320" i="17"/>
  <c r="AL299" i="17"/>
  <c r="AK320" i="17"/>
  <c r="AN299" i="17"/>
  <c r="AM320" i="17"/>
  <c r="AP299" i="17"/>
  <c r="AM287" i="17"/>
  <c r="AO320" i="17"/>
  <c r="AR299" i="17"/>
  <c r="AO287" i="17"/>
  <c r="AQ320" i="17"/>
  <c r="AT299" i="17"/>
  <c r="AS320" i="17"/>
  <c r="AV299" i="17"/>
  <c r="AU320" i="17"/>
  <c r="AX299" i="17"/>
  <c r="AW320" i="17"/>
  <c r="AZ299" i="17"/>
  <c r="AY320" i="17"/>
  <c r="BB299" i="17"/>
  <c r="BA320" i="17"/>
  <c r="BD299" i="17"/>
  <c r="BC320" i="17"/>
  <c r="BF299" i="17"/>
  <c r="BE320" i="17"/>
  <c r="BH299" i="17"/>
  <c r="BG320" i="17"/>
  <c r="BI320" i="17"/>
  <c r="N164" i="17"/>
  <c r="K176" i="17"/>
  <c r="O176" i="17"/>
  <c r="R164" i="17"/>
  <c r="V164" i="17"/>
  <c r="S176" i="17"/>
  <c r="W176" i="17"/>
  <c r="Z164" i="17"/>
  <c r="AD164" i="17"/>
  <c r="AA176" i="17"/>
  <c r="AE176" i="17"/>
  <c r="AH164" i="17"/>
  <c r="AL164" i="17"/>
  <c r="AI176" i="17"/>
  <c r="AM176" i="17"/>
  <c r="AP164" i="17"/>
  <c r="AT164" i="17"/>
  <c r="AQ176" i="17"/>
  <c r="AU176" i="17"/>
  <c r="AX164" i="17"/>
  <c r="BB164" i="17"/>
  <c r="AY176" i="17"/>
  <c r="BC176" i="17"/>
  <c r="BF164" i="17"/>
  <c r="BJ164" i="17"/>
  <c r="BG176" i="17"/>
  <c r="BK176" i="17"/>
  <c r="BN164" i="17"/>
  <c r="BR164" i="17"/>
  <c r="BO176" i="17"/>
  <c r="BS176" i="17"/>
  <c r="BV164" i="17"/>
  <c r="BZ164" i="17"/>
  <c r="BW176" i="17"/>
  <c r="CA176" i="17"/>
  <c r="CD164" i="17"/>
  <c r="CH164" i="17"/>
  <c r="CE176" i="17"/>
  <c r="K179" i="17"/>
  <c r="N167" i="17"/>
  <c r="R167" i="17"/>
  <c r="O179" i="17"/>
  <c r="S179" i="17"/>
  <c r="V167" i="17"/>
  <c r="Z167" i="17"/>
  <c r="W179" i="17"/>
  <c r="AA179" i="17"/>
  <c r="AD167" i="17"/>
  <c r="AH167" i="17"/>
  <c r="AE179" i="17"/>
  <c r="AI179" i="17"/>
  <c r="AL167" i="17"/>
  <c r="AP167" i="17"/>
  <c r="AM179" i="17"/>
  <c r="AQ179" i="17"/>
  <c r="AT167" i="17"/>
  <c r="AX167" i="17"/>
  <c r="AU179" i="17"/>
  <c r="AY179" i="17"/>
  <c r="BB167" i="17"/>
  <c r="BF167" i="17"/>
  <c r="BC179" i="17"/>
  <c r="BG179" i="17"/>
  <c r="BJ167" i="17"/>
  <c r="BN167" i="17"/>
  <c r="BK179" i="17"/>
  <c r="BO179" i="17"/>
  <c r="BR167" i="17"/>
  <c r="BV167" i="17"/>
  <c r="BS179" i="17"/>
  <c r="BW179" i="17"/>
  <c r="BZ167" i="17"/>
  <c r="CD167" i="17"/>
  <c r="CA179" i="17"/>
  <c r="CE179" i="17"/>
  <c r="CH167" i="17"/>
  <c r="I76" i="17"/>
  <c r="K76" i="17"/>
  <c r="N61" i="17"/>
  <c r="N77" i="17" s="1"/>
  <c r="M76" i="17"/>
  <c r="O76" i="17"/>
  <c r="R61" i="17"/>
  <c r="Q76" i="17"/>
  <c r="S76" i="17"/>
  <c r="V61" i="17"/>
  <c r="U76" i="17"/>
  <c r="W76" i="17"/>
  <c r="Z61" i="17"/>
  <c r="Y76" i="17"/>
  <c r="AA76" i="17"/>
  <c r="AD61" i="17"/>
  <c r="AC76" i="17"/>
  <c r="AE76" i="17"/>
  <c r="AH61" i="17"/>
  <c r="AG76" i="17"/>
  <c r="AI76" i="17"/>
  <c r="AL61" i="17"/>
  <c r="AK76" i="17"/>
  <c r="AM76" i="17"/>
  <c r="AP61" i="17"/>
  <c r="AO76" i="17"/>
  <c r="AQ76" i="17"/>
  <c r="AT61" i="17"/>
  <c r="AS76" i="17"/>
  <c r="AU76" i="17"/>
  <c r="AX61" i="17"/>
  <c r="AW76" i="17"/>
  <c r="AY76" i="17"/>
  <c r="BB61" i="17"/>
  <c r="BA76" i="17"/>
  <c r="BC76" i="17"/>
  <c r="BF61" i="17"/>
  <c r="BE76" i="17"/>
  <c r="BG76" i="17"/>
  <c r="BJ61" i="17"/>
  <c r="BI76" i="17"/>
  <c r="I79" i="17"/>
  <c r="K79" i="17"/>
  <c r="N64" i="17"/>
  <c r="N80" i="17" s="1"/>
  <c r="M79" i="17"/>
  <c r="O79" i="17"/>
  <c r="R64" i="17"/>
  <c r="Q79" i="17"/>
  <c r="S79" i="17"/>
  <c r="V64" i="17"/>
  <c r="U79" i="17"/>
  <c r="W79" i="17"/>
  <c r="Z64" i="17"/>
  <c r="Y79" i="17"/>
  <c r="AA79" i="17"/>
  <c r="AD64" i="17"/>
  <c r="AC79" i="17"/>
  <c r="AE79" i="17"/>
  <c r="AH64" i="17"/>
  <c r="AG79" i="17"/>
  <c r="AI79" i="17"/>
  <c r="AL64" i="17"/>
  <c r="AK79" i="17"/>
  <c r="AM79" i="17"/>
  <c r="AP64" i="17"/>
  <c r="AO79" i="17"/>
  <c r="AQ79" i="17"/>
  <c r="AT64" i="17"/>
  <c r="AS79" i="17"/>
  <c r="AU79" i="17"/>
  <c r="AX64" i="17"/>
  <c r="AW79" i="17"/>
  <c r="AY79" i="17"/>
  <c r="BB64" i="17"/>
  <c r="BA79" i="17"/>
  <c r="BC79" i="17"/>
  <c r="BF64" i="17"/>
  <c r="BE79" i="17"/>
  <c r="BG79" i="17"/>
  <c r="BJ64" i="17"/>
  <c r="BI79" i="17"/>
  <c r="I82" i="17"/>
  <c r="K82" i="17"/>
  <c r="N67" i="17"/>
  <c r="N83" i="17" s="1"/>
  <c r="M82" i="17"/>
  <c r="O82" i="17"/>
  <c r="R67" i="17"/>
  <c r="Q82" i="17"/>
  <c r="S82" i="17"/>
  <c r="V67" i="17"/>
  <c r="U82" i="17"/>
  <c r="W82" i="17"/>
  <c r="Z67" i="17"/>
  <c r="Y82" i="17"/>
  <c r="AA82" i="17"/>
  <c r="AD67" i="17"/>
  <c r="AC82" i="17"/>
  <c r="AE82" i="17"/>
  <c r="AH67" i="17"/>
  <c r="AG82" i="17"/>
  <c r="AI82" i="17"/>
  <c r="AL67" i="17"/>
  <c r="AK82" i="17"/>
  <c r="AM82" i="17"/>
  <c r="AP67" i="17"/>
  <c r="AO82" i="17"/>
  <c r="AQ82" i="17"/>
  <c r="AT67" i="17"/>
  <c r="AS82" i="17"/>
  <c r="AU82" i="17"/>
  <c r="AX67" i="17"/>
  <c r="AW82" i="17"/>
  <c r="AY82" i="17"/>
  <c r="BB67" i="17"/>
  <c r="BA82" i="17"/>
  <c r="BC82" i="17"/>
  <c r="BF67" i="17"/>
  <c r="BE82" i="17"/>
  <c r="BG82" i="17"/>
  <c r="BJ67" i="17"/>
  <c r="BI82" i="17"/>
  <c r="I233" i="17"/>
  <c r="K233" i="17"/>
  <c r="N221" i="17"/>
  <c r="N234" i="17" s="1"/>
  <c r="M233" i="17"/>
  <c r="O233" i="17"/>
  <c r="R221" i="17"/>
  <c r="Q233" i="17"/>
  <c r="S233" i="17"/>
  <c r="V221" i="17"/>
  <c r="U233" i="17"/>
  <c r="W233" i="17"/>
  <c r="Z221" i="17"/>
  <c r="Y233" i="17"/>
  <c r="AA233" i="17"/>
  <c r="AD221" i="17"/>
  <c r="AC233" i="17"/>
  <c r="AE233" i="17"/>
  <c r="AH221" i="17"/>
  <c r="AG233" i="17"/>
  <c r="AI233" i="17"/>
  <c r="AL221" i="17"/>
  <c r="AK233" i="17"/>
  <c r="AM233" i="17"/>
  <c r="AP221" i="17"/>
  <c r="AO233" i="17"/>
  <c r="AQ233" i="17"/>
  <c r="AT221" i="17"/>
  <c r="AS233" i="17"/>
  <c r="AU233" i="17"/>
  <c r="AX221" i="17"/>
  <c r="AW233" i="17"/>
  <c r="AY233" i="17"/>
  <c r="BB221" i="17"/>
  <c r="BA233" i="17"/>
  <c r="BC233" i="17"/>
  <c r="BF221" i="17"/>
  <c r="BE233" i="17"/>
  <c r="BG233" i="17"/>
  <c r="BJ221" i="17"/>
  <c r="BI233" i="17"/>
  <c r="I236" i="17"/>
  <c r="K236" i="17"/>
  <c r="N224" i="17"/>
  <c r="N237" i="17" s="1"/>
  <c r="M236" i="17"/>
  <c r="O236" i="17"/>
  <c r="R224" i="17"/>
  <c r="Q236" i="17"/>
  <c r="S236" i="17"/>
  <c r="V224" i="17"/>
  <c r="U236" i="17"/>
  <c r="W236" i="17"/>
  <c r="Z224" i="17"/>
  <c r="Y236" i="17"/>
  <c r="AA236" i="17"/>
  <c r="AD224" i="17"/>
  <c r="AC236" i="17"/>
  <c r="AE236" i="17"/>
  <c r="AH224" i="17"/>
  <c r="AG236" i="17"/>
  <c r="AI236" i="17"/>
  <c r="AL224" i="17"/>
  <c r="AK236" i="17"/>
  <c r="AM236" i="17"/>
  <c r="AP224" i="17"/>
  <c r="AO236" i="17"/>
  <c r="AQ236" i="17"/>
  <c r="AT224" i="17"/>
  <c r="AS236" i="17"/>
  <c r="AU236" i="17"/>
  <c r="AX224" i="17"/>
  <c r="AW236" i="17"/>
  <c r="AY236" i="17"/>
  <c r="BB224" i="17"/>
  <c r="BA236" i="17"/>
  <c r="BC236" i="17"/>
  <c r="BF224" i="17"/>
  <c r="BE236" i="17"/>
  <c r="BG236" i="17"/>
  <c r="BJ224" i="17"/>
  <c r="BI236" i="17"/>
  <c r="J15" i="11"/>
  <c r="T15" i="11"/>
  <c r="AD15" i="11"/>
  <c r="AN15" i="11"/>
  <c r="AX15" i="11"/>
  <c r="BH15" i="11"/>
  <c r="BR15" i="11"/>
  <c r="CB15" i="11"/>
  <c r="CL15" i="11"/>
  <c r="CV15" i="11"/>
  <c r="DF15" i="11"/>
  <c r="CM32" i="11"/>
  <c r="CW32" i="11"/>
  <c r="DG32" i="11"/>
  <c r="J101" i="11"/>
  <c r="T101" i="11"/>
  <c r="AD101" i="11"/>
  <c r="AN101" i="11"/>
  <c r="AX101" i="11"/>
  <c r="BH101" i="11"/>
  <c r="BR101" i="11"/>
  <c r="CB101" i="11"/>
  <c r="CL101" i="11"/>
  <c r="CV101" i="11"/>
  <c r="DF101" i="11"/>
  <c r="CB103" i="11"/>
  <c r="CV103" i="11"/>
  <c r="J109" i="11"/>
  <c r="J111" i="11" s="1"/>
  <c r="T109" i="11"/>
  <c r="AD109" i="11"/>
  <c r="AN109" i="11"/>
  <c r="AX109" i="11"/>
  <c r="BH109" i="11"/>
  <c r="BR109" i="11"/>
  <c r="CB109" i="11"/>
  <c r="CL109" i="11"/>
  <c r="CV109" i="11"/>
  <c r="DF109" i="11"/>
  <c r="O110" i="11"/>
  <c r="P110" i="11" s="1"/>
  <c r="Y110" i="11"/>
  <c r="AI110" i="11"/>
  <c r="AS110" i="11"/>
  <c r="BC110" i="11"/>
  <c r="BM110" i="11"/>
  <c r="BW110" i="11"/>
  <c r="CG110" i="11"/>
  <c r="CQ110" i="11"/>
  <c r="DA110" i="11"/>
  <c r="J117" i="11"/>
  <c r="T117" i="11"/>
  <c r="AD117" i="11"/>
  <c r="AN117" i="11"/>
  <c r="AX117" i="11"/>
  <c r="BH117" i="11"/>
  <c r="BR117" i="11"/>
  <c r="CB117" i="11"/>
  <c r="CL117" i="11"/>
  <c r="CV117" i="11"/>
  <c r="DF117" i="11"/>
  <c r="J119" i="11"/>
  <c r="P119" i="11" s="1"/>
  <c r="T119" i="11"/>
  <c r="AD119" i="11"/>
  <c r="AE119" i="11" s="1"/>
  <c r="AN119" i="11"/>
  <c r="AT119" i="11" s="1"/>
  <c r="AX119" i="11"/>
  <c r="AY119" i="11" s="1"/>
  <c r="BH119" i="11"/>
  <c r="BR119" i="11"/>
  <c r="BS119" i="11" s="1"/>
  <c r="CB119" i="11"/>
  <c r="CL119" i="11"/>
  <c r="CM119" i="11" s="1"/>
  <c r="CV119" i="11"/>
  <c r="DF119" i="11"/>
  <c r="DG119" i="11" s="1"/>
  <c r="CT168" i="17"/>
  <c r="G260" i="12"/>
  <c r="I260" i="12"/>
  <c r="K260" i="12"/>
  <c r="M260" i="12"/>
  <c r="O260" i="12"/>
  <c r="Q260" i="12"/>
  <c r="S260" i="12"/>
  <c r="U260" i="12"/>
  <c r="H306" i="12"/>
  <c r="L306" i="12"/>
  <c r="P306" i="12"/>
  <c r="T306" i="12"/>
  <c r="X306" i="12"/>
  <c r="I15" i="8"/>
  <c r="I21" i="8"/>
  <c r="M15" i="8"/>
  <c r="M21" i="8"/>
  <c r="Q15" i="8"/>
  <c r="Q21" i="8"/>
  <c r="U15" i="8"/>
  <c r="U21" i="8"/>
  <c r="Y15" i="8"/>
  <c r="Y21" i="8"/>
  <c r="H22" i="8"/>
  <c r="H16" i="8"/>
  <c r="H6" i="8"/>
  <c r="J22" i="8"/>
  <c r="J16" i="8"/>
  <c r="J6" i="8"/>
  <c r="N22" i="8"/>
  <c r="N16" i="8"/>
  <c r="N6" i="8"/>
  <c r="T22" i="8"/>
  <c r="T16" i="8"/>
  <c r="T6" i="8"/>
  <c r="X22" i="8"/>
  <c r="X16" i="8"/>
  <c r="X6" i="8"/>
  <c r="G9" i="8"/>
  <c r="K23" i="8"/>
  <c r="K9" i="8"/>
  <c r="K17" i="8"/>
  <c r="O23" i="8"/>
  <c r="O9" i="8"/>
  <c r="O17" i="8"/>
  <c r="S23" i="8"/>
  <c r="S9" i="8"/>
  <c r="S17" i="8"/>
  <c r="W23" i="8"/>
  <c r="W9" i="8"/>
  <c r="W17" i="8"/>
  <c r="D177" i="2"/>
  <c r="AU177" i="2" s="1"/>
  <c r="AA9" i="8"/>
  <c r="AA17" i="8"/>
  <c r="H244" i="8"/>
  <c r="H100" i="8"/>
  <c r="H62" i="8"/>
  <c r="H33" i="8"/>
  <c r="H51" i="8"/>
  <c r="L244" i="8"/>
  <c r="L100" i="8"/>
  <c r="L62" i="8"/>
  <c r="L33" i="8"/>
  <c r="L51" i="8"/>
  <c r="P244" i="8"/>
  <c r="P100" i="8"/>
  <c r="P62" i="8"/>
  <c r="P33" i="8"/>
  <c r="P51" i="8"/>
  <c r="T244" i="8"/>
  <c r="T100" i="8"/>
  <c r="T62" i="8"/>
  <c r="T33" i="8"/>
  <c r="T51" i="8"/>
  <c r="X244" i="8"/>
  <c r="X100" i="8"/>
  <c r="X62" i="8"/>
  <c r="X33" i="8"/>
  <c r="X51" i="8"/>
  <c r="C159" i="2"/>
  <c r="AT159" i="2" s="1"/>
  <c r="Z244" i="8"/>
  <c r="Z100" i="8"/>
  <c r="Z62" i="8"/>
  <c r="Z33" i="8"/>
  <c r="Z51" i="8"/>
  <c r="I77" i="8"/>
  <c r="I192" i="8" s="1"/>
  <c r="I30" i="8"/>
  <c r="I60" i="8"/>
  <c r="I49" i="8"/>
  <c r="M77" i="8"/>
  <c r="M192" i="8" s="1"/>
  <c r="M30" i="8"/>
  <c r="M60" i="8"/>
  <c r="M49" i="8"/>
  <c r="Q77" i="8"/>
  <c r="Q192" i="8" s="1"/>
  <c r="Q30" i="8"/>
  <c r="Q60" i="8"/>
  <c r="Q49" i="8"/>
  <c r="U77" i="8"/>
  <c r="U192" i="8" s="1"/>
  <c r="U30" i="8"/>
  <c r="U60" i="8"/>
  <c r="U49" i="8"/>
  <c r="Y77" i="8"/>
  <c r="Y192" i="8" s="1"/>
  <c r="Y30" i="8"/>
  <c r="Y27" i="8" s="1"/>
  <c r="Y60" i="8"/>
  <c r="Y49" i="8"/>
  <c r="H65" i="8"/>
  <c r="H54" i="8"/>
  <c r="H12" i="8"/>
  <c r="L65" i="8"/>
  <c r="L54" i="8"/>
  <c r="L12" i="8"/>
  <c r="L42" i="8" s="1"/>
  <c r="P65" i="8"/>
  <c r="P54" i="8"/>
  <c r="P12" i="8"/>
  <c r="T65" i="8"/>
  <c r="T40" i="8" s="1"/>
  <c r="T54" i="8"/>
  <c r="T12" i="8"/>
  <c r="X65" i="8"/>
  <c r="X54" i="8"/>
  <c r="X12" i="8"/>
  <c r="X39" i="8" s="1"/>
  <c r="AB54" i="8"/>
  <c r="H21" i="8"/>
  <c r="H15" i="8"/>
  <c r="J21" i="8"/>
  <c r="J15" i="8"/>
  <c r="L21" i="8"/>
  <c r="L15" i="8"/>
  <c r="N21" i="8"/>
  <c r="N15" i="8"/>
  <c r="P21" i="8"/>
  <c r="P15" i="8"/>
  <c r="R21" i="8"/>
  <c r="R15" i="8"/>
  <c r="T21" i="8"/>
  <c r="T15" i="8"/>
  <c r="V21" i="8"/>
  <c r="V15" i="8"/>
  <c r="X21" i="8"/>
  <c r="X15" i="8"/>
  <c r="C175" i="2"/>
  <c r="AT175" i="2" s="1"/>
  <c r="Z21" i="8"/>
  <c r="Z15" i="8"/>
  <c r="G6" i="8"/>
  <c r="I6" i="8"/>
  <c r="I22" i="8"/>
  <c r="I16" i="8"/>
  <c r="K6" i="8"/>
  <c r="K22" i="8"/>
  <c r="K16" i="8"/>
  <c r="M6" i="8"/>
  <c r="M22" i="8"/>
  <c r="M16" i="8"/>
  <c r="O6" i="8"/>
  <c r="O22" i="8"/>
  <c r="O16" i="8"/>
  <c r="Q6" i="8"/>
  <c r="Q22" i="8"/>
  <c r="Q16" i="8"/>
  <c r="S6" i="8"/>
  <c r="S22" i="8"/>
  <c r="S16" i="8"/>
  <c r="U6" i="8"/>
  <c r="U22" i="8"/>
  <c r="U16" i="8"/>
  <c r="W6" i="8"/>
  <c r="W22" i="8"/>
  <c r="W16" i="8"/>
  <c r="Y6" i="8"/>
  <c r="Y22" i="8"/>
  <c r="Y16" i="8"/>
  <c r="D176" i="2"/>
  <c r="AB37" i="8"/>
  <c r="AA6" i="8"/>
  <c r="AA16" i="8"/>
  <c r="H17" i="8"/>
  <c r="H23" i="8"/>
  <c r="H9" i="8"/>
  <c r="J17" i="8"/>
  <c r="J23" i="8"/>
  <c r="J9" i="8"/>
  <c r="L17" i="8"/>
  <c r="L23" i="8"/>
  <c r="L9" i="8"/>
  <c r="N17" i="8"/>
  <c r="N23" i="8"/>
  <c r="N9" i="8"/>
  <c r="P17" i="8"/>
  <c r="P23" i="8"/>
  <c r="P9" i="8"/>
  <c r="R17" i="8"/>
  <c r="R23" i="8"/>
  <c r="R9" i="8"/>
  <c r="T17" i="8"/>
  <c r="T23" i="8"/>
  <c r="T9" i="8"/>
  <c r="V17" i="8"/>
  <c r="V23" i="8"/>
  <c r="V9" i="8"/>
  <c r="X17" i="8"/>
  <c r="X23" i="8"/>
  <c r="X9" i="8"/>
  <c r="C177" i="2"/>
  <c r="AT177" i="2" s="1"/>
  <c r="Z17" i="8"/>
  <c r="Z9" i="8"/>
  <c r="G244" i="8"/>
  <c r="G245" i="8" s="1"/>
  <c r="G249" i="8" s="1"/>
  <c r="G100" i="8"/>
  <c r="G33" i="8"/>
  <c r="I51" i="8"/>
  <c r="I244" i="8"/>
  <c r="I100" i="8"/>
  <c r="I62" i="8"/>
  <c r="I33" i="8"/>
  <c r="K51" i="8"/>
  <c r="K244" i="8"/>
  <c r="K100" i="8"/>
  <c r="K62" i="8"/>
  <c r="K33" i="8"/>
  <c r="M51" i="8"/>
  <c r="M244" i="8"/>
  <c r="M100" i="8"/>
  <c r="M62" i="8"/>
  <c r="M33" i="8"/>
  <c r="O51" i="8"/>
  <c r="O244" i="8"/>
  <c r="O100" i="8"/>
  <c r="O62" i="8"/>
  <c r="O33" i="8"/>
  <c r="Q51" i="8"/>
  <c r="Q244" i="8"/>
  <c r="Q100" i="8"/>
  <c r="Q62" i="8"/>
  <c r="Q33" i="8"/>
  <c r="S51" i="8"/>
  <c r="S244" i="8"/>
  <c r="S100" i="8"/>
  <c r="S62" i="8"/>
  <c r="S33" i="8"/>
  <c r="U51" i="8"/>
  <c r="U244" i="8"/>
  <c r="U100" i="8"/>
  <c r="U62" i="8"/>
  <c r="U33" i="8"/>
  <c r="W51" i="8"/>
  <c r="W244" i="8"/>
  <c r="W100" i="8"/>
  <c r="W62" i="8"/>
  <c r="W33" i="8"/>
  <c r="Y51" i="8"/>
  <c r="Y244" i="8"/>
  <c r="Y100" i="8"/>
  <c r="Y62" i="8"/>
  <c r="Y33" i="8"/>
  <c r="D159" i="2"/>
  <c r="F279" i="20" s="1"/>
  <c r="W279" i="20" s="1"/>
  <c r="AA51" i="8"/>
  <c r="AA244" i="8"/>
  <c r="AA100" i="8"/>
  <c r="AA62" i="8"/>
  <c r="AA33" i="8"/>
  <c r="H60" i="8"/>
  <c r="H49" i="8"/>
  <c r="H77" i="8"/>
  <c r="H192" i="8" s="1"/>
  <c r="H30" i="8"/>
  <c r="H188" i="8" s="1"/>
  <c r="J60" i="8"/>
  <c r="J49" i="8"/>
  <c r="J77" i="8"/>
  <c r="J30" i="8"/>
  <c r="J188" i="8" s="1"/>
  <c r="L60" i="8"/>
  <c r="L49" i="8"/>
  <c r="L77" i="8"/>
  <c r="L192" i="8" s="1"/>
  <c r="L30" i="8"/>
  <c r="L188" i="8" s="1"/>
  <c r="N60" i="8"/>
  <c r="N49" i="8"/>
  <c r="N77" i="8"/>
  <c r="N30" i="8"/>
  <c r="N188" i="8" s="1"/>
  <c r="P60" i="8"/>
  <c r="P49" i="8"/>
  <c r="P77" i="8"/>
  <c r="P192" i="8" s="1"/>
  <c r="P30" i="8"/>
  <c r="P188" i="8" s="1"/>
  <c r="R60" i="8"/>
  <c r="R49" i="8"/>
  <c r="R77" i="8"/>
  <c r="R30" i="8"/>
  <c r="R188" i="8" s="1"/>
  <c r="T60" i="8"/>
  <c r="T49" i="8"/>
  <c r="T77" i="8"/>
  <c r="T192" i="8" s="1"/>
  <c r="T30" i="8"/>
  <c r="T188" i="8" s="1"/>
  <c r="V60" i="8"/>
  <c r="V49" i="8"/>
  <c r="V77" i="8"/>
  <c r="V30" i="8"/>
  <c r="V188" i="8" s="1"/>
  <c r="X60" i="8"/>
  <c r="X49" i="8"/>
  <c r="X77" i="8"/>
  <c r="X192" i="8" s="1"/>
  <c r="X30" i="8"/>
  <c r="C163" i="2"/>
  <c r="AT163" i="2" s="1"/>
  <c r="Z60" i="8"/>
  <c r="Z49" i="8"/>
  <c r="Z77" i="8"/>
  <c r="Z192" i="8" s="1"/>
  <c r="Z30" i="8"/>
  <c r="AB49" i="8"/>
  <c r="G12" i="8"/>
  <c r="G39" i="8" s="1"/>
  <c r="I65" i="8"/>
  <c r="I54" i="8"/>
  <c r="I12" i="8"/>
  <c r="K65" i="8"/>
  <c r="K54" i="8"/>
  <c r="K12" i="8"/>
  <c r="K39" i="8" s="1"/>
  <c r="M65" i="8"/>
  <c r="M54" i="8"/>
  <c r="M12" i="8"/>
  <c r="O65" i="8"/>
  <c r="O54" i="8"/>
  <c r="O12" i="8"/>
  <c r="O39" i="8" s="1"/>
  <c r="Q65" i="8"/>
  <c r="Q54" i="8"/>
  <c r="Q12" i="8"/>
  <c r="S65" i="8"/>
  <c r="S54" i="8"/>
  <c r="S12" i="8"/>
  <c r="S39" i="8" s="1"/>
  <c r="U65" i="8"/>
  <c r="U54" i="8"/>
  <c r="U12" i="8"/>
  <c r="W65" i="8"/>
  <c r="W54" i="8"/>
  <c r="W12" i="8"/>
  <c r="W39" i="8" s="1"/>
  <c r="Y65" i="8"/>
  <c r="Y54" i="8"/>
  <c r="Y12" i="8"/>
  <c r="D178" i="2"/>
  <c r="AA65" i="8"/>
  <c r="AA54" i="8"/>
  <c r="AA12" i="8"/>
  <c r="M452" i="7"/>
  <c r="M441" i="7"/>
  <c r="O452" i="7"/>
  <c r="O441" i="7"/>
  <c r="Q452" i="7"/>
  <c r="Q441" i="7"/>
  <c r="S452" i="7"/>
  <c r="S441" i="7"/>
  <c r="U452" i="7"/>
  <c r="U441" i="7"/>
  <c r="W452" i="7"/>
  <c r="W441" i="7"/>
  <c r="Y452" i="7"/>
  <c r="Y441" i="7"/>
  <c r="AA452" i="7"/>
  <c r="AA441" i="7"/>
  <c r="L557" i="7"/>
  <c r="L551" i="7"/>
  <c r="N557" i="7"/>
  <c r="N551" i="7"/>
  <c r="P557" i="7"/>
  <c r="P551" i="7"/>
  <c r="R557" i="7"/>
  <c r="R551" i="7"/>
  <c r="T557" i="7"/>
  <c r="T551" i="7"/>
  <c r="V557" i="7"/>
  <c r="V551" i="7"/>
  <c r="L581" i="7"/>
  <c r="L575" i="7"/>
  <c r="N581" i="7"/>
  <c r="N575" i="7"/>
  <c r="P581" i="7"/>
  <c r="P575" i="7"/>
  <c r="R581" i="7"/>
  <c r="R575" i="7"/>
  <c r="T581" i="7"/>
  <c r="T575" i="7"/>
  <c r="V581" i="7"/>
  <c r="V575" i="7"/>
  <c r="X581" i="7"/>
  <c r="X575" i="7"/>
  <c r="Z581" i="7"/>
  <c r="Z575" i="7"/>
  <c r="M798" i="7"/>
  <c r="O798" i="7"/>
  <c r="Q798" i="7"/>
  <c r="S798" i="7"/>
  <c r="U798" i="7"/>
  <c r="W798" i="7"/>
  <c r="Y798" i="7"/>
  <c r="AA798" i="7"/>
  <c r="G448" i="12"/>
  <c r="G339" i="12"/>
  <c r="G312" i="12"/>
  <c r="I448" i="12"/>
  <c r="I339" i="12"/>
  <c r="I317" i="12"/>
  <c r="I312" i="12"/>
  <c r="K448" i="12"/>
  <c r="K339" i="12"/>
  <c r="K317" i="12"/>
  <c r="K312" i="12"/>
  <c r="M448" i="12"/>
  <c r="M339" i="12"/>
  <c r="M317" i="12"/>
  <c r="M312" i="12"/>
  <c r="O448" i="12"/>
  <c r="O339" i="12"/>
  <c r="O317" i="12"/>
  <c r="O312" i="12"/>
  <c r="Q448" i="12"/>
  <c r="Q339" i="12"/>
  <c r="Q317" i="12"/>
  <c r="Q312" i="12"/>
  <c r="S448" i="12"/>
  <c r="S339" i="12"/>
  <c r="S317" i="12"/>
  <c r="S312" i="12"/>
  <c r="U448" i="12"/>
  <c r="U339" i="12"/>
  <c r="U317" i="12"/>
  <c r="U312" i="12"/>
  <c r="W448" i="12"/>
  <c r="W339" i="12"/>
  <c r="W317" i="12"/>
  <c r="W312" i="12"/>
  <c r="Y448" i="12"/>
  <c r="Y339" i="12"/>
  <c r="Y317" i="12"/>
  <c r="Y312" i="12"/>
  <c r="AA448" i="12"/>
  <c r="AA339" i="12"/>
  <c r="AA317" i="12"/>
  <c r="AA312" i="12"/>
  <c r="E5" i="6"/>
  <c r="G456" i="12"/>
  <c r="Q5" i="6"/>
  <c r="I456" i="12"/>
  <c r="I348" i="12"/>
  <c r="AC5" i="6"/>
  <c r="K456" i="12"/>
  <c r="K348" i="12"/>
  <c r="AO5" i="6"/>
  <c r="M698" i="7"/>
  <c r="M30" i="7"/>
  <c r="E6" i="21"/>
  <c r="M456" i="12"/>
  <c r="M348" i="12"/>
  <c r="BA5" i="6"/>
  <c r="O698" i="7"/>
  <c r="O30" i="7"/>
  <c r="G6" i="21"/>
  <c r="O456" i="12"/>
  <c r="O348" i="12"/>
  <c r="BM5" i="6"/>
  <c r="Q698" i="7"/>
  <c r="I6" i="21"/>
  <c r="Q456" i="12"/>
  <c r="Q348" i="12"/>
  <c r="BY5" i="6"/>
  <c r="S698" i="7"/>
  <c r="K6" i="21"/>
  <c r="S456" i="12"/>
  <c r="S348" i="12"/>
  <c r="CK5" i="6"/>
  <c r="U698" i="7"/>
  <c r="U621" i="7"/>
  <c r="M6" i="21"/>
  <c r="U456" i="12"/>
  <c r="U348" i="12"/>
  <c r="CW5" i="6"/>
  <c r="W698" i="7"/>
  <c r="W621" i="7"/>
  <c r="O6" i="21"/>
  <c r="W456" i="12"/>
  <c r="W348" i="12"/>
  <c r="DI5" i="6"/>
  <c r="Y698" i="7"/>
  <c r="Y621" i="7"/>
  <c r="Q6" i="21"/>
  <c r="Y456" i="12"/>
  <c r="Y348" i="12"/>
  <c r="DU5" i="6"/>
  <c r="AA698" i="7"/>
  <c r="AA621" i="7"/>
  <c r="S6" i="21"/>
  <c r="AA456" i="12"/>
  <c r="AA348" i="12"/>
  <c r="H352" i="12"/>
  <c r="J352" i="12"/>
  <c r="L101" i="7"/>
  <c r="L95" i="7"/>
  <c r="L352" i="12"/>
  <c r="N101" i="7"/>
  <c r="N95" i="7"/>
  <c r="N352" i="12"/>
  <c r="P101" i="7"/>
  <c r="P95" i="7"/>
  <c r="P352" i="12"/>
  <c r="R101" i="7"/>
  <c r="R95" i="7"/>
  <c r="R352" i="12"/>
  <c r="T101" i="7"/>
  <c r="T95" i="7"/>
  <c r="T352" i="12"/>
  <c r="V101" i="7"/>
  <c r="V95" i="7"/>
  <c r="V352" i="12"/>
  <c r="X101" i="7"/>
  <c r="X95" i="7"/>
  <c r="X352" i="12"/>
  <c r="C157" i="2"/>
  <c r="AT157" i="2" s="1"/>
  <c r="Z101" i="7"/>
  <c r="Z95" i="7"/>
  <c r="Z352" i="12"/>
  <c r="G232" i="8"/>
  <c r="G190" i="8"/>
  <c r="G248" i="8" s="1"/>
  <c r="G166" i="8"/>
  <c r="I232" i="8"/>
  <c r="I224" i="8"/>
  <c r="I190" i="8"/>
  <c r="I166" i="8"/>
  <c r="K232" i="8"/>
  <c r="K224" i="8"/>
  <c r="K190" i="8"/>
  <c r="K166" i="8"/>
  <c r="M232" i="8"/>
  <c r="M224" i="8"/>
  <c r="M276" i="7" s="1"/>
  <c r="M190" i="8"/>
  <c r="M166" i="8"/>
  <c r="O232" i="8"/>
  <c r="O224" i="8"/>
  <c r="O276" i="7" s="1"/>
  <c r="O190" i="8"/>
  <c r="O166" i="8"/>
  <c r="Q232" i="8"/>
  <c r="Q224" i="8"/>
  <c r="Q276" i="7" s="1"/>
  <c r="Q190" i="8"/>
  <c r="Q166" i="8"/>
  <c r="S232" i="8"/>
  <c r="S224" i="8"/>
  <c r="S276" i="7" s="1"/>
  <c r="S190" i="8"/>
  <c r="S166" i="8"/>
  <c r="U232" i="8"/>
  <c r="U224" i="8"/>
  <c r="U276" i="7" s="1"/>
  <c r="U190" i="8"/>
  <c r="U166" i="8"/>
  <c r="W232" i="8"/>
  <c r="W224" i="8"/>
  <c r="W276" i="7" s="1"/>
  <c r="W190" i="8"/>
  <c r="W166" i="8"/>
  <c r="Y232" i="8"/>
  <c r="Y224" i="8"/>
  <c r="Y276" i="7" s="1"/>
  <c r="Y190" i="8"/>
  <c r="Y166" i="8"/>
  <c r="D161" i="2"/>
  <c r="AA232" i="8"/>
  <c r="AA224" i="8"/>
  <c r="AA276" i="7" s="1"/>
  <c r="AA190" i="8"/>
  <c r="AA166" i="8"/>
  <c r="K6" i="6"/>
  <c r="W6" i="6"/>
  <c r="AI6" i="6"/>
  <c r="L26" i="7"/>
  <c r="L17" i="7"/>
  <c r="L14" i="7"/>
  <c r="AU6" i="6"/>
  <c r="N26" i="7"/>
  <c r="N17" i="7"/>
  <c r="N14" i="7"/>
  <c r="BG6" i="6"/>
  <c r="P26" i="7"/>
  <c r="P17" i="7"/>
  <c r="P14" i="7"/>
  <c r="BS6" i="6"/>
  <c r="R26" i="7"/>
  <c r="R17" i="7"/>
  <c r="R14" i="7"/>
  <c r="CE6" i="6"/>
  <c r="T26" i="7"/>
  <c r="T17" i="7"/>
  <c r="T14" i="7"/>
  <c r="CQ6" i="6"/>
  <c r="V26" i="7"/>
  <c r="V17" i="7"/>
  <c r="V14" i="7"/>
  <c r="DC6" i="6"/>
  <c r="X26" i="7"/>
  <c r="X17" i="7"/>
  <c r="X14" i="7"/>
  <c r="C150" i="2"/>
  <c r="AT150" i="2" s="1"/>
  <c r="DO6" i="6"/>
  <c r="Z26" i="7"/>
  <c r="Z17" i="7"/>
  <c r="Z14" i="7"/>
  <c r="EA6" i="6"/>
  <c r="E150" i="2"/>
  <c r="AB17" i="7"/>
  <c r="E7" i="6"/>
  <c r="Q7" i="6"/>
  <c r="AC7" i="6"/>
  <c r="AO7" i="6"/>
  <c r="M62" i="7"/>
  <c r="M54" i="7"/>
  <c r="M51" i="7"/>
  <c r="BA7" i="6"/>
  <c r="O62" i="7"/>
  <c r="O54" i="7"/>
  <c r="O51" i="7"/>
  <c r="BM7" i="6"/>
  <c r="Q62" i="7"/>
  <c r="Q54" i="7"/>
  <c r="Q51" i="7"/>
  <c r="BY7" i="6"/>
  <c r="S62" i="7"/>
  <c r="S54" i="7"/>
  <c r="S51" i="7"/>
  <c r="CK7" i="6"/>
  <c r="U62" i="7"/>
  <c r="U54" i="7"/>
  <c r="U51" i="7"/>
  <c r="CW7" i="6"/>
  <c r="W62" i="7"/>
  <c r="W54" i="7"/>
  <c r="W51" i="7"/>
  <c r="DI7" i="6"/>
  <c r="Y62" i="7"/>
  <c r="Y54" i="7"/>
  <c r="Y51" i="7"/>
  <c r="D151" i="2"/>
  <c r="DU7" i="6"/>
  <c r="AA62" i="7"/>
  <c r="AA54" i="7"/>
  <c r="AA51" i="7"/>
  <c r="L130" i="7"/>
  <c r="L124" i="7"/>
  <c r="N130" i="7"/>
  <c r="N124" i="7"/>
  <c r="P130" i="7"/>
  <c r="P124" i="7"/>
  <c r="R130" i="7"/>
  <c r="R124" i="7"/>
  <c r="T130" i="7"/>
  <c r="T124" i="7"/>
  <c r="V130" i="7"/>
  <c r="V124" i="7"/>
  <c r="X130" i="7"/>
  <c r="X124" i="7"/>
  <c r="Z130" i="7"/>
  <c r="Z124" i="7"/>
  <c r="AB124" i="7"/>
  <c r="G8" i="6"/>
  <c r="S8" i="6"/>
  <c r="AE8" i="6"/>
  <c r="AQ8" i="6"/>
  <c r="M108" i="7"/>
  <c r="M99" i="7"/>
  <c r="M93" i="7"/>
  <c r="BC8" i="6"/>
  <c r="O108" i="7"/>
  <c r="O99" i="7"/>
  <c r="O93" i="7"/>
  <c r="BO8" i="6"/>
  <c r="Q108" i="7"/>
  <c r="Q99" i="7"/>
  <c r="Q93" i="7"/>
  <c r="CA8" i="6"/>
  <c r="S108" i="7"/>
  <c r="S99" i="7"/>
  <c r="S93" i="7"/>
  <c r="CM8" i="6"/>
  <c r="U108" i="7"/>
  <c r="U99" i="7"/>
  <c r="U93" i="7"/>
  <c r="CY8" i="6"/>
  <c r="W108" i="7"/>
  <c r="W99" i="7"/>
  <c r="W93" i="7"/>
  <c r="DK8" i="6"/>
  <c r="Y108" i="7"/>
  <c r="Y99" i="7"/>
  <c r="Y93" i="7"/>
  <c r="DW8" i="6"/>
  <c r="AA108" i="7"/>
  <c r="AA99" i="7"/>
  <c r="AA93" i="7"/>
  <c r="M9" i="6"/>
  <c r="Y9" i="6"/>
  <c r="AK9" i="6"/>
  <c r="L28" i="7"/>
  <c r="L19" i="7"/>
  <c r="L80" i="7"/>
  <c r="AW9" i="6"/>
  <c r="N28" i="7"/>
  <c r="N19" i="7"/>
  <c r="N80" i="7"/>
  <c r="BI9" i="6"/>
  <c r="P28" i="7"/>
  <c r="P19" i="7"/>
  <c r="P80" i="7"/>
  <c r="BU9" i="6"/>
  <c r="R28" i="7"/>
  <c r="R19" i="7"/>
  <c r="R80" i="7"/>
  <c r="CG9" i="6"/>
  <c r="T28" i="7"/>
  <c r="T19" i="7"/>
  <c r="T80" i="7"/>
  <c r="CS9" i="6"/>
  <c r="V28" i="7"/>
  <c r="V19" i="7"/>
  <c r="V80" i="7"/>
  <c r="DE9" i="6"/>
  <c r="X28" i="7"/>
  <c r="X19" i="7"/>
  <c r="X80" i="7"/>
  <c r="C202" i="2"/>
  <c r="AT202" i="2" s="1"/>
  <c r="DQ9" i="6"/>
  <c r="Z28" i="7"/>
  <c r="Z19" i="7"/>
  <c r="Z80" i="7"/>
  <c r="G10" i="6"/>
  <c r="S10" i="6"/>
  <c r="AE10" i="6"/>
  <c r="AQ10" i="6"/>
  <c r="M64" i="7"/>
  <c r="M56" i="7"/>
  <c r="BC10" i="6"/>
  <c r="O64" i="7"/>
  <c r="O56" i="7"/>
  <c r="BO10" i="6"/>
  <c r="Q64" i="7"/>
  <c r="Q56" i="7"/>
  <c r="CA10" i="6"/>
  <c r="S64" i="7"/>
  <c r="S56" i="7"/>
  <c r="CM10" i="6"/>
  <c r="U64" i="7"/>
  <c r="U56" i="7"/>
  <c r="CY10" i="6"/>
  <c r="W64" i="7"/>
  <c r="W56" i="7"/>
  <c r="DK10" i="6"/>
  <c r="Y64" i="7"/>
  <c r="Y56" i="7"/>
  <c r="D201" i="2"/>
  <c r="DW10" i="6"/>
  <c r="AA64" i="7"/>
  <c r="AA56" i="7"/>
  <c r="M11" i="6"/>
  <c r="H222" i="8"/>
  <c r="H230" i="8"/>
  <c r="Y11" i="6"/>
  <c r="J222" i="8"/>
  <c r="J230" i="8"/>
  <c r="AK11" i="6"/>
  <c r="L222" i="8"/>
  <c r="L81" i="7"/>
  <c r="L230" i="8"/>
  <c r="AW11" i="6"/>
  <c r="N222" i="8"/>
  <c r="N81" i="7"/>
  <c r="N230" i="8"/>
  <c r="BI11" i="6"/>
  <c r="P222" i="8"/>
  <c r="P81" i="7"/>
  <c r="P230" i="8"/>
  <c r="BU11" i="6"/>
  <c r="R222" i="8"/>
  <c r="R81" i="7"/>
  <c r="R230" i="8"/>
  <c r="CG11" i="6"/>
  <c r="T222" i="8"/>
  <c r="T81" i="7"/>
  <c r="T230" i="8"/>
  <c r="CS11" i="6"/>
  <c r="V222" i="8"/>
  <c r="V81" i="7"/>
  <c r="V230" i="8"/>
  <c r="DE11" i="6"/>
  <c r="X222" i="8"/>
  <c r="X81" i="7"/>
  <c r="X230" i="8"/>
  <c r="C203" i="2"/>
  <c r="AT203" i="2" s="1"/>
  <c r="DQ11" i="6"/>
  <c r="Z222" i="8"/>
  <c r="Z81" i="7"/>
  <c r="Z230" i="8"/>
  <c r="G30" i="6"/>
  <c r="S30" i="6"/>
  <c r="AE30" i="6"/>
  <c r="AQ30" i="6"/>
  <c r="M222" i="7"/>
  <c r="M210" i="7"/>
  <c r="M240" i="7"/>
  <c r="BC30" i="6"/>
  <c r="O222" i="7"/>
  <c r="O210" i="7"/>
  <c r="O240" i="7"/>
  <c r="BO30" i="6"/>
  <c r="Q222" i="7"/>
  <c r="Q210" i="7"/>
  <c r="Q240" i="7"/>
  <c r="CA30" i="6"/>
  <c r="S222" i="7"/>
  <c r="S210" i="7"/>
  <c r="S240" i="7"/>
  <c r="CM30" i="6"/>
  <c r="U222" i="7"/>
  <c r="U210" i="7"/>
  <c r="U240" i="7"/>
  <c r="CY30" i="6"/>
  <c r="W222" i="7"/>
  <c r="W210" i="7"/>
  <c r="W240" i="7"/>
  <c r="DK30" i="6"/>
  <c r="Y222" i="7"/>
  <c r="Y210" i="7"/>
  <c r="Y240" i="7"/>
  <c r="D207" i="2"/>
  <c r="AU207" i="2" s="1"/>
  <c r="DW30" i="6"/>
  <c r="AA222" i="7"/>
  <c r="AA210" i="7"/>
  <c r="AA240" i="7"/>
  <c r="M24" i="6"/>
  <c r="Y24" i="6"/>
  <c r="AK24" i="6"/>
  <c r="L728" i="7"/>
  <c r="L283" i="7"/>
  <c r="L269" i="7"/>
  <c r="AW24" i="6"/>
  <c r="N728" i="7"/>
  <c r="N283" i="7"/>
  <c r="N269" i="7"/>
  <c r="BI24" i="6"/>
  <c r="P728" i="7"/>
  <c r="P283" i="7"/>
  <c r="P269" i="7"/>
  <c r="BU24" i="6"/>
  <c r="R728" i="7"/>
  <c r="R283" i="7"/>
  <c r="R269" i="7"/>
  <c r="CG24" i="6"/>
  <c r="T728" i="7"/>
  <c r="T283" i="7"/>
  <c r="T269" i="7"/>
  <c r="CS24" i="6"/>
  <c r="V728" i="7"/>
  <c r="V283" i="7"/>
  <c r="V269" i="7"/>
  <c r="DE24" i="6"/>
  <c r="X728" i="7"/>
  <c r="X283" i="7"/>
  <c r="X269" i="7"/>
  <c r="DQ24" i="6"/>
  <c r="Z728" i="7"/>
  <c r="Z283" i="7"/>
  <c r="Z269" i="7"/>
  <c r="G32" i="6"/>
  <c r="S32" i="6"/>
  <c r="AE32" i="6"/>
  <c r="AQ32" i="6"/>
  <c r="M730" i="7"/>
  <c r="M307" i="7"/>
  <c r="M314" i="7"/>
  <c r="BC32" i="6"/>
  <c r="O730" i="7"/>
  <c r="O307" i="7"/>
  <c r="O314" i="7"/>
  <c r="BO32" i="6"/>
  <c r="Q730" i="7"/>
  <c r="Q307" i="7"/>
  <c r="Q314" i="7"/>
  <c r="CA32" i="6"/>
  <c r="S730" i="7"/>
  <c r="S307" i="7"/>
  <c r="S314" i="7"/>
  <c r="CM32" i="6"/>
  <c r="U730" i="7"/>
  <c r="U307" i="7"/>
  <c r="U314" i="7"/>
  <c r="CY32" i="6"/>
  <c r="W730" i="7"/>
  <c r="W307" i="7"/>
  <c r="W314" i="7"/>
  <c r="DK32" i="6"/>
  <c r="Y730" i="7"/>
  <c r="Y307" i="7"/>
  <c r="Y314" i="7"/>
  <c r="DW32" i="6"/>
  <c r="AA730" i="7"/>
  <c r="AA307" i="7"/>
  <c r="AA314" i="7"/>
  <c r="M28" i="6"/>
  <c r="Y28" i="6"/>
  <c r="AK28" i="6"/>
  <c r="L729" i="7"/>
  <c r="L345" i="7"/>
  <c r="L336" i="7"/>
  <c r="AW28" i="6"/>
  <c r="N729" i="7"/>
  <c r="N345" i="7"/>
  <c r="N336" i="7"/>
  <c r="BI28" i="6"/>
  <c r="P729" i="7"/>
  <c r="P345" i="7"/>
  <c r="P336" i="7"/>
  <c r="BU28" i="6"/>
  <c r="R729" i="7"/>
  <c r="R345" i="7"/>
  <c r="R336" i="7"/>
  <c r="CG28" i="6"/>
  <c r="T729" i="7"/>
  <c r="T345" i="7"/>
  <c r="T336" i="7"/>
  <c r="CS28" i="6"/>
  <c r="V729" i="7"/>
  <c r="V345" i="7"/>
  <c r="V336" i="7"/>
  <c r="DE28" i="6"/>
  <c r="X729" i="7"/>
  <c r="X345" i="7"/>
  <c r="X336" i="7"/>
  <c r="DQ28" i="6"/>
  <c r="Z729" i="7"/>
  <c r="Z345" i="7"/>
  <c r="Z336" i="7"/>
  <c r="G33" i="6"/>
  <c r="S33" i="6"/>
  <c r="AE33" i="6"/>
  <c r="AQ33" i="6"/>
  <c r="M731" i="7"/>
  <c r="M344" i="7"/>
  <c r="M335" i="7"/>
  <c r="BC33" i="6"/>
  <c r="O731" i="7"/>
  <c r="O344" i="7"/>
  <c r="O335" i="7"/>
  <c r="BO33" i="6"/>
  <c r="Q731" i="7"/>
  <c r="Q344" i="7"/>
  <c r="Q335" i="7"/>
  <c r="CA33" i="6"/>
  <c r="S731" i="7"/>
  <c r="S344" i="7"/>
  <c r="S335" i="7"/>
  <c r="CM33" i="6"/>
  <c r="U731" i="7"/>
  <c r="U344" i="7"/>
  <c r="U335" i="7"/>
  <c r="CY33" i="6"/>
  <c r="W731" i="7"/>
  <c r="W344" i="7"/>
  <c r="W335" i="7"/>
  <c r="DK33" i="6"/>
  <c r="Y731" i="7"/>
  <c r="Y344" i="7"/>
  <c r="Y335" i="7"/>
  <c r="DW33" i="6"/>
  <c r="AA731" i="7"/>
  <c r="AA344" i="7"/>
  <c r="AA335" i="7"/>
  <c r="M35" i="6"/>
  <c r="Y35" i="6"/>
  <c r="AK35" i="6"/>
  <c r="L403" i="7"/>
  <c r="L409" i="7"/>
  <c r="AW35" i="6"/>
  <c r="N403" i="7"/>
  <c r="N409" i="7"/>
  <c r="BI35" i="6"/>
  <c r="P403" i="7"/>
  <c r="P409" i="7"/>
  <c r="BU35" i="6"/>
  <c r="R403" i="7"/>
  <c r="R409" i="7"/>
  <c r="CG35" i="6"/>
  <c r="T403" i="7"/>
  <c r="T409" i="7"/>
  <c r="CS35" i="6"/>
  <c r="V403" i="7"/>
  <c r="V409" i="7"/>
  <c r="DE35" i="6"/>
  <c r="X403" i="7"/>
  <c r="X409" i="7"/>
  <c r="C208" i="2"/>
  <c r="AT208" i="2" s="1"/>
  <c r="DQ35" i="6"/>
  <c r="Z403" i="7"/>
  <c r="Z409" i="7"/>
  <c r="G45" i="6"/>
  <c r="S45" i="6"/>
  <c r="AE45" i="6"/>
  <c r="AQ45" i="6"/>
  <c r="M741" i="7"/>
  <c r="M533" i="7"/>
  <c r="M527" i="7"/>
  <c r="BC45" i="6"/>
  <c r="O741" i="7"/>
  <c r="O533" i="7"/>
  <c r="O527" i="7"/>
  <c r="BO45" i="6"/>
  <c r="Q741" i="7"/>
  <c r="Q533" i="7"/>
  <c r="Q527" i="7"/>
  <c r="CA45" i="6"/>
  <c r="S741" i="7"/>
  <c r="S533" i="7"/>
  <c r="S527" i="7"/>
  <c r="CM45" i="6"/>
  <c r="U741" i="7"/>
  <c r="U533" i="7"/>
  <c r="U527" i="7"/>
  <c r="CY45" i="6"/>
  <c r="W741" i="7"/>
  <c r="W533" i="7"/>
  <c r="W527" i="7"/>
  <c r="DK45" i="6"/>
  <c r="Y741" i="7"/>
  <c r="Y533" i="7"/>
  <c r="Y527" i="7"/>
  <c r="DW45" i="6"/>
  <c r="AA741" i="7"/>
  <c r="AA533" i="7"/>
  <c r="AA527" i="7"/>
  <c r="M655" i="7"/>
  <c r="M669" i="7" s="1"/>
  <c r="M445" i="7"/>
  <c r="M433" i="7"/>
  <c r="O655" i="7"/>
  <c r="O669" i="7" s="1"/>
  <c r="O445" i="7"/>
  <c r="O433" i="7"/>
  <c r="Q655" i="7"/>
  <c r="Q669" i="7" s="1"/>
  <c r="Q445" i="7"/>
  <c r="Q433" i="7"/>
  <c r="S655" i="7"/>
  <c r="S669" i="7" s="1"/>
  <c r="S445" i="7"/>
  <c r="S433" i="7"/>
  <c r="U655" i="7"/>
  <c r="U669" i="7" s="1"/>
  <c r="U445" i="7"/>
  <c r="U433" i="7"/>
  <c r="W655" i="7"/>
  <c r="W669" i="7" s="1"/>
  <c r="W445" i="7"/>
  <c r="W433" i="7"/>
  <c r="Y655" i="7"/>
  <c r="Y669" i="7" s="1"/>
  <c r="Y445" i="7"/>
  <c r="Y433" i="7"/>
  <c r="D245" i="2"/>
  <c r="F481" i="20" s="1"/>
  <c r="W481" i="20" s="1"/>
  <c r="AA655" i="7"/>
  <c r="AA669" i="7" s="1"/>
  <c r="AA445" i="7"/>
  <c r="AA433" i="7"/>
  <c r="N8" i="6"/>
  <c r="Z8" i="6"/>
  <c r="AL8" i="6"/>
  <c r="L109" i="7"/>
  <c r="L100" i="7"/>
  <c r="L94" i="7"/>
  <c r="AX8" i="6"/>
  <c r="N109" i="7"/>
  <c r="N100" i="7"/>
  <c r="N94" i="7"/>
  <c r="BJ8" i="6"/>
  <c r="P109" i="7"/>
  <c r="P100" i="7"/>
  <c r="P94" i="7"/>
  <c r="BV8" i="6"/>
  <c r="R109" i="7"/>
  <c r="R100" i="7"/>
  <c r="R94" i="7"/>
  <c r="CH8" i="6"/>
  <c r="T109" i="7"/>
  <c r="T100" i="7"/>
  <c r="T94" i="7"/>
  <c r="CT8" i="6"/>
  <c r="V109" i="7"/>
  <c r="V100" i="7"/>
  <c r="V94" i="7"/>
  <c r="DF8" i="6"/>
  <c r="X109" i="7"/>
  <c r="X100" i="7"/>
  <c r="X94" i="7"/>
  <c r="DR8" i="6"/>
  <c r="Z109" i="7"/>
  <c r="Z100" i="7"/>
  <c r="Z94" i="7"/>
  <c r="ED8" i="6"/>
  <c r="AB94" i="7"/>
  <c r="M447" i="7"/>
  <c r="M436" i="7"/>
  <c r="M112" i="7"/>
  <c r="O447" i="7"/>
  <c r="O436" i="7"/>
  <c r="O112" i="7"/>
  <c r="Q447" i="7"/>
  <c r="Q436" i="7"/>
  <c r="Q112" i="7"/>
  <c r="S447" i="7"/>
  <c r="S436" i="7"/>
  <c r="S112" i="7"/>
  <c r="U447" i="7"/>
  <c r="U436" i="7"/>
  <c r="U112" i="7"/>
  <c r="W447" i="7"/>
  <c r="W436" i="7"/>
  <c r="W112" i="7"/>
  <c r="Y447" i="7"/>
  <c r="Y436" i="7"/>
  <c r="Y112" i="7"/>
  <c r="D244" i="2"/>
  <c r="AA447" i="7"/>
  <c r="AA436" i="7"/>
  <c r="AA112" i="7"/>
  <c r="N11" i="6"/>
  <c r="H231" i="8"/>
  <c r="H223" i="8"/>
  <c r="H189" i="8"/>
  <c r="H165" i="8"/>
  <c r="Z11" i="6"/>
  <c r="J231" i="8"/>
  <c r="J223" i="8"/>
  <c r="J189" i="8"/>
  <c r="J165" i="8"/>
  <c r="AL11" i="6"/>
  <c r="L418" i="7"/>
  <c r="L86" i="7"/>
  <c r="L231" i="8"/>
  <c r="L223" i="8"/>
  <c r="L189" i="8"/>
  <c r="L165" i="8"/>
  <c r="AX11" i="6"/>
  <c r="N418" i="7"/>
  <c r="N86" i="7"/>
  <c r="N231" i="8"/>
  <c r="N223" i="8"/>
  <c r="N189" i="8"/>
  <c r="N165" i="8"/>
  <c r="BJ11" i="6"/>
  <c r="P418" i="7"/>
  <c r="P86" i="7"/>
  <c r="P231" i="8"/>
  <c r="P223" i="8"/>
  <c r="P189" i="8"/>
  <c r="P165" i="8"/>
  <c r="BV11" i="6"/>
  <c r="R418" i="7"/>
  <c r="R86" i="7"/>
  <c r="R231" i="8"/>
  <c r="R223" i="8"/>
  <c r="R189" i="8"/>
  <c r="R165" i="8"/>
  <c r="CH11" i="6"/>
  <c r="T418" i="7"/>
  <c r="T86" i="7"/>
  <c r="T231" i="8"/>
  <c r="T223" i="8"/>
  <c r="T189" i="8"/>
  <c r="T165" i="8"/>
  <c r="CT11" i="6"/>
  <c r="V418" i="7"/>
  <c r="V86" i="7"/>
  <c r="V231" i="8"/>
  <c r="V223" i="8"/>
  <c r="V189" i="8"/>
  <c r="V165" i="8"/>
  <c r="DF11" i="6"/>
  <c r="X418" i="7"/>
  <c r="X86" i="7"/>
  <c r="X231" i="8"/>
  <c r="X223" i="8"/>
  <c r="X189" i="8"/>
  <c r="X165" i="8"/>
  <c r="C220" i="2"/>
  <c r="AT220" i="2" s="1"/>
  <c r="DR11" i="6"/>
  <c r="Z418" i="7"/>
  <c r="Z86" i="7"/>
  <c r="Z231" i="8"/>
  <c r="Z223" i="8"/>
  <c r="Z189" i="8"/>
  <c r="Z165" i="8"/>
  <c r="H16" i="6"/>
  <c r="E16" i="6" s="1"/>
  <c r="T16" i="6"/>
  <c r="AF16" i="6"/>
  <c r="AR16" i="6"/>
  <c r="M691" i="7"/>
  <c r="M624" i="7"/>
  <c r="M34" i="7"/>
  <c r="M31" i="7"/>
  <c r="M22" i="7"/>
  <c r="BD16" i="6"/>
  <c r="O691" i="7"/>
  <c r="O624" i="7"/>
  <c r="O34" i="7"/>
  <c r="O31" i="7"/>
  <c r="O22" i="7"/>
  <c r="BP16" i="6"/>
  <c r="Q691" i="7"/>
  <c r="Q624" i="7"/>
  <c r="Q34" i="7"/>
  <c r="Q31" i="7"/>
  <c r="Q22" i="7"/>
  <c r="CB16" i="6"/>
  <c r="S691" i="7"/>
  <c r="S624" i="7"/>
  <c r="S34" i="7"/>
  <c r="S31" i="7"/>
  <c r="S22" i="7"/>
  <c r="CN16" i="6"/>
  <c r="U691" i="7"/>
  <c r="U624" i="7"/>
  <c r="U34" i="7"/>
  <c r="U31" i="7"/>
  <c r="U22" i="7"/>
  <c r="CZ16" i="6"/>
  <c r="W691" i="7"/>
  <c r="W624" i="7"/>
  <c r="W34" i="7"/>
  <c r="W31" i="7"/>
  <c r="W22" i="7"/>
  <c r="DL16" i="6"/>
  <c r="Y691" i="7"/>
  <c r="Y624" i="7"/>
  <c r="Y34" i="7"/>
  <c r="Y31" i="7"/>
  <c r="Y22" i="7"/>
  <c r="D213" i="2"/>
  <c r="DX16" i="6"/>
  <c r="AA691" i="7"/>
  <c r="AA624" i="7"/>
  <c r="AA34" i="7"/>
  <c r="AA31" i="7"/>
  <c r="AA22" i="7"/>
  <c r="N17" i="6"/>
  <c r="K17" i="6" s="1"/>
  <c r="Z17" i="6"/>
  <c r="W17" i="6" s="1"/>
  <c r="AL17" i="6"/>
  <c r="L659" i="7"/>
  <c r="L673" i="7" s="1"/>
  <c r="L59" i="7"/>
  <c r="L67" i="7"/>
  <c r="AX17" i="6"/>
  <c r="AU17" i="6" s="1"/>
  <c r="N659" i="7"/>
  <c r="N673" i="7" s="1"/>
  <c r="N59" i="7"/>
  <c r="N67" i="7"/>
  <c r="BJ17" i="6"/>
  <c r="BG17" i="6" s="1"/>
  <c r="P659" i="7"/>
  <c r="P673" i="7" s="1"/>
  <c r="P59" i="7"/>
  <c r="P67" i="7"/>
  <c r="BV17" i="6"/>
  <c r="BS17" i="6" s="1"/>
  <c r="R659" i="7"/>
  <c r="R673" i="7" s="1"/>
  <c r="R59" i="7"/>
  <c r="R67" i="7"/>
  <c r="CH17" i="6"/>
  <c r="T659" i="7"/>
  <c r="T673" i="7" s="1"/>
  <c r="T59" i="7"/>
  <c r="T67" i="7"/>
  <c r="CT17" i="6"/>
  <c r="CQ17" i="6" s="1"/>
  <c r="V659" i="7"/>
  <c r="V673" i="7" s="1"/>
  <c r="V59" i="7"/>
  <c r="V67" i="7"/>
  <c r="DF17" i="6"/>
  <c r="DC17" i="6" s="1"/>
  <c r="X659" i="7"/>
  <c r="X673" i="7" s="1"/>
  <c r="X59" i="7"/>
  <c r="X67" i="7"/>
  <c r="C223" i="2"/>
  <c r="AT223" i="2" s="1"/>
  <c r="DR17" i="6"/>
  <c r="DO17" i="6" s="1"/>
  <c r="Z659" i="7"/>
  <c r="Z673" i="7" s="1"/>
  <c r="Z59" i="7"/>
  <c r="Z67" i="7"/>
  <c r="ED17" i="6"/>
  <c r="EA17" i="6" s="1"/>
  <c r="AB659" i="7"/>
  <c r="AB59" i="7"/>
  <c r="H9" i="6"/>
  <c r="T9" i="6"/>
  <c r="AF9" i="6"/>
  <c r="AR9" i="6"/>
  <c r="M751" i="7"/>
  <c r="M424" i="7"/>
  <c r="M85" i="7"/>
  <c r="M29" i="7"/>
  <c r="M20" i="7"/>
  <c r="BD9" i="6"/>
  <c r="O751" i="7"/>
  <c r="O424" i="7"/>
  <c r="O85" i="7"/>
  <c r="O29" i="7"/>
  <c r="O20" i="7"/>
  <c r="BP9" i="6"/>
  <c r="Q751" i="7"/>
  <c r="Q424" i="7"/>
  <c r="Q85" i="7"/>
  <c r="Q29" i="7"/>
  <c r="Q20" i="7"/>
  <c r="CB9" i="6"/>
  <c r="S751" i="7"/>
  <c r="S424" i="7"/>
  <c r="S85" i="7"/>
  <c r="S29" i="7"/>
  <c r="S20" i="7"/>
  <c r="CN9" i="6"/>
  <c r="U751" i="7"/>
  <c r="U424" i="7"/>
  <c r="U85" i="7"/>
  <c r="U29" i="7"/>
  <c r="U20" i="7"/>
  <c r="CZ9" i="6"/>
  <c r="W751" i="7"/>
  <c r="W424" i="7"/>
  <c r="W85" i="7"/>
  <c r="W29" i="7"/>
  <c r="W20" i="7"/>
  <c r="DL9" i="6"/>
  <c r="Y751" i="7"/>
  <c r="Y424" i="7"/>
  <c r="Y85" i="7"/>
  <c r="Y29" i="7"/>
  <c r="Y20" i="7"/>
  <c r="DX9" i="6"/>
  <c r="AA751" i="7"/>
  <c r="AA424" i="7"/>
  <c r="AA85" i="7"/>
  <c r="AA29" i="7"/>
  <c r="AA20" i="7"/>
  <c r="N10" i="6"/>
  <c r="Z10" i="6"/>
  <c r="L745" i="7"/>
  <c r="AL10" i="6"/>
  <c r="L425" i="7"/>
  <c r="L65" i="7"/>
  <c r="N745" i="7"/>
  <c r="AX10" i="6"/>
  <c r="N425" i="7"/>
  <c r="N65" i="7"/>
  <c r="P745" i="7"/>
  <c r="BJ10" i="6"/>
  <c r="P425" i="7"/>
  <c r="P65" i="7"/>
  <c r="R745" i="7"/>
  <c r="BV10" i="6"/>
  <c r="R425" i="7"/>
  <c r="R65" i="7"/>
  <c r="T745" i="7"/>
  <c r="CH10" i="6"/>
  <c r="T425" i="7"/>
  <c r="T450" i="7" s="1"/>
  <c r="T65" i="7"/>
  <c r="V745" i="7"/>
  <c r="CT10" i="6"/>
  <c r="V425" i="7"/>
  <c r="V450" i="7" s="1"/>
  <c r="V65" i="7"/>
  <c r="X745" i="7"/>
  <c r="DF10" i="6"/>
  <c r="X425" i="7"/>
  <c r="X450" i="7" s="1"/>
  <c r="X65" i="7"/>
  <c r="Z745" i="7"/>
  <c r="DR10" i="6"/>
  <c r="Z425" i="7"/>
  <c r="Z450" i="7" s="1"/>
  <c r="Z65" i="7"/>
  <c r="AB745" i="7"/>
  <c r="ED10" i="6"/>
  <c r="AC48" i="7"/>
  <c r="H19" i="6"/>
  <c r="T19" i="6"/>
  <c r="AF19" i="6"/>
  <c r="AR19" i="6"/>
  <c r="M746" i="7"/>
  <c r="M156" i="7"/>
  <c r="M148" i="7"/>
  <c r="BD19" i="6"/>
  <c r="O746" i="7"/>
  <c r="O156" i="7"/>
  <c r="O148" i="7"/>
  <c r="BP19" i="6"/>
  <c r="Q746" i="7"/>
  <c r="Q156" i="7"/>
  <c r="Q148" i="7"/>
  <c r="CB19" i="6"/>
  <c r="S746" i="7"/>
  <c r="S156" i="7"/>
  <c r="S148" i="7"/>
  <c r="CN19" i="6"/>
  <c r="U746" i="7"/>
  <c r="U156" i="7"/>
  <c r="U148" i="7"/>
  <c r="CZ19" i="6"/>
  <c r="W746" i="7"/>
  <c r="W156" i="7"/>
  <c r="W148" i="7"/>
  <c r="DL19" i="6"/>
  <c r="Y746" i="7"/>
  <c r="Y156" i="7"/>
  <c r="Y148" i="7"/>
  <c r="DX19" i="6"/>
  <c r="AA746" i="7"/>
  <c r="AA156" i="7"/>
  <c r="AA148" i="7"/>
  <c r="H21" i="6"/>
  <c r="T21" i="6"/>
  <c r="AF21" i="6"/>
  <c r="AR21" i="6"/>
  <c r="M658" i="7"/>
  <c r="M672" i="7" s="1"/>
  <c r="M163" i="7"/>
  <c r="M158" i="7"/>
  <c r="M150" i="7"/>
  <c r="BD21" i="6"/>
  <c r="O658" i="7"/>
  <c r="O672" i="7" s="1"/>
  <c r="O163" i="7"/>
  <c r="O158" i="7"/>
  <c r="O150" i="7"/>
  <c r="BP21" i="6"/>
  <c r="Q658" i="7"/>
  <c r="Q672" i="7" s="1"/>
  <c r="Q163" i="7"/>
  <c r="Q158" i="7"/>
  <c r="Q150" i="7"/>
  <c r="CB21" i="6"/>
  <c r="S658" i="7"/>
  <c r="S672" i="7" s="1"/>
  <c r="S163" i="7"/>
  <c r="S158" i="7"/>
  <c r="S150" i="7"/>
  <c r="CN21" i="6"/>
  <c r="U658" i="7"/>
  <c r="U672" i="7" s="1"/>
  <c r="U163" i="7"/>
  <c r="U158" i="7"/>
  <c r="U150" i="7"/>
  <c r="CZ21" i="6"/>
  <c r="W658" i="7"/>
  <c r="W672" i="7" s="1"/>
  <c r="W163" i="7"/>
  <c r="W158" i="7"/>
  <c r="W150" i="7"/>
  <c r="DL21" i="6"/>
  <c r="Y658" i="7"/>
  <c r="Y672" i="7" s="1"/>
  <c r="Y163" i="7"/>
  <c r="Y158" i="7"/>
  <c r="Y150" i="7"/>
  <c r="D222" i="2"/>
  <c r="DX21" i="6"/>
  <c r="AA658" i="7"/>
  <c r="AA672" i="7" s="1"/>
  <c r="AA163" i="7"/>
  <c r="AA158" i="7"/>
  <c r="AA150" i="7"/>
  <c r="N23" i="6"/>
  <c r="K23" i="6" s="1"/>
  <c r="Z23" i="6"/>
  <c r="W23" i="6" s="1"/>
  <c r="AL23" i="6"/>
  <c r="L693" i="7"/>
  <c r="L625" i="7"/>
  <c r="L636" i="7" s="1"/>
  <c r="L246" i="7"/>
  <c r="L213" i="7"/>
  <c r="L225" i="7"/>
  <c r="AX23" i="6"/>
  <c r="N693" i="7"/>
  <c r="N625" i="7"/>
  <c r="N636" i="7" s="1"/>
  <c r="N246" i="7"/>
  <c r="N213" i="7"/>
  <c r="N225" i="7"/>
  <c r="BJ23" i="6"/>
  <c r="P693" i="7"/>
  <c r="P625" i="7"/>
  <c r="P636" i="7" s="1"/>
  <c r="P246" i="7"/>
  <c r="P213" i="7"/>
  <c r="P225" i="7"/>
  <c r="BV23" i="6"/>
  <c r="BS23" i="6" s="1"/>
  <c r="R693" i="7"/>
  <c r="R625" i="7"/>
  <c r="R636" i="7" s="1"/>
  <c r="R246" i="7"/>
  <c r="R213" i="7"/>
  <c r="R225" i="7"/>
  <c r="CH23" i="6"/>
  <c r="CE23" i="6" s="1"/>
  <c r="T693" i="7"/>
  <c r="T625" i="7"/>
  <c r="T636" i="7" s="1"/>
  <c r="T246" i="7"/>
  <c r="T213" i="7"/>
  <c r="T225" i="7"/>
  <c r="CT23" i="6"/>
  <c r="V693" i="7"/>
  <c r="V625" i="7"/>
  <c r="V636" i="7" s="1"/>
  <c r="V246" i="7"/>
  <c r="V213" i="7"/>
  <c r="V225" i="7"/>
  <c r="DF23" i="6"/>
  <c r="DC23" i="6" s="1"/>
  <c r="X693" i="7"/>
  <c r="X625" i="7"/>
  <c r="X636" i="7" s="1"/>
  <c r="X246" i="7"/>
  <c r="X213" i="7"/>
  <c r="X225" i="7"/>
  <c r="C214" i="2"/>
  <c r="AT214" i="2" s="1"/>
  <c r="DR23" i="6"/>
  <c r="Z693" i="7"/>
  <c r="Z625" i="7"/>
  <c r="Z636" i="7" s="1"/>
  <c r="Z246" i="7"/>
  <c r="Z213" i="7"/>
  <c r="Z225" i="7"/>
  <c r="ED23" i="6"/>
  <c r="EA23" i="6" s="1"/>
  <c r="AB693" i="7"/>
  <c r="AB625" i="7"/>
  <c r="H30" i="6"/>
  <c r="T30" i="6"/>
  <c r="AF30" i="6"/>
  <c r="AR30" i="6"/>
  <c r="M753" i="7"/>
  <c r="M223" i="7"/>
  <c r="M211" i="7"/>
  <c r="BD30" i="6"/>
  <c r="O753" i="7"/>
  <c r="O223" i="7"/>
  <c r="O211" i="7"/>
  <c r="BP30" i="6"/>
  <c r="Q753" i="7"/>
  <c r="Q223" i="7"/>
  <c r="Q211" i="7"/>
  <c r="CB30" i="6"/>
  <c r="S753" i="7"/>
  <c r="S223" i="7"/>
  <c r="S211" i="7"/>
  <c r="CN30" i="6"/>
  <c r="U753" i="7"/>
  <c r="U223" i="7"/>
  <c r="U211" i="7"/>
  <c r="CZ30" i="6"/>
  <c r="W753" i="7"/>
  <c r="W223" i="7"/>
  <c r="W211" i="7"/>
  <c r="DL30" i="6"/>
  <c r="Y753" i="7"/>
  <c r="Y223" i="7"/>
  <c r="Y211" i="7"/>
  <c r="DX30" i="6"/>
  <c r="AA753" i="7"/>
  <c r="AA223" i="7"/>
  <c r="AA211" i="7"/>
  <c r="N26" i="6"/>
  <c r="Z26" i="6"/>
  <c r="AL26" i="6"/>
  <c r="L280" i="7"/>
  <c r="L266" i="7"/>
  <c r="AX26" i="6"/>
  <c r="N280" i="7"/>
  <c r="N266" i="7"/>
  <c r="BJ26" i="6"/>
  <c r="P280" i="7"/>
  <c r="P266" i="7"/>
  <c r="BV26" i="6"/>
  <c r="R280" i="7"/>
  <c r="R266" i="7"/>
  <c r="CH26" i="6"/>
  <c r="T280" i="7"/>
  <c r="T266" i="7"/>
  <c r="CT26" i="6"/>
  <c r="V280" i="7"/>
  <c r="V266" i="7"/>
  <c r="DF26" i="6"/>
  <c r="X280" i="7"/>
  <c r="X266" i="7"/>
  <c r="DR26" i="6"/>
  <c r="Z280" i="7"/>
  <c r="Z266" i="7"/>
  <c r="ED26" i="6"/>
  <c r="AC254" i="7"/>
  <c r="AB266" i="7"/>
  <c r="H25" i="6"/>
  <c r="T25" i="6"/>
  <c r="AF25" i="6"/>
  <c r="AR25" i="6"/>
  <c r="M694" i="7"/>
  <c r="M279" i="7"/>
  <c r="M255" i="7"/>
  <c r="M265" i="7"/>
  <c r="BD25" i="6"/>
  <c r="O694" i="7"/>
  <c r="O279" i="7"/>
  <c r="O255" i="7"/>
  <c r="O265" i="7"/>
  <c r="BP25" i="6"/>
  <c r="Q694" i="7"/>
  <c r="Q279" i="7"/>
  <c r="Q255" i="7"/>
  <c r="Q265" i="7"/>
  <c r="CB25" i="6"/>
  <c r="S694" i="7"/>
  <c r="S279" i="7"/>
  <c r="S255" i="7"/>
  <c r="S265" i="7"/>
  <c r="CN25" i="6"/>
  <c r="U694" i="7"/>
  <c r="U279" i="7"/>
  <c r="U255" i="7"/>
  <c r="U265" i="7"/>
  <c r="CZ25" i="6"/>
  <c r="W694" i="7"/>
  <c r="W279" i="7"/>
  <c r="W255" i="7"/>
  <c r="W265" i="7"/>
  <c r="DL25" i="6"/>
  <c r="Y694" i="7"/>
  <c r="Y279" i="7"/>
  <c r="Y255" i="7"/>
  <c r="Y265" i="7"/>
  <c r="D216" i="2"/>
  <c r="AU216" i="2" s="1"/>
  <c r="DX25" i="6"/>
  <c r="AA694" i="7"/>
  <c r="AA279" i="7"/>
  <c r="AA255" i="7"/>
  <c r="AA265" i="7"/>
  <c r="N32" i="6"/>
  <c r="Z32" i="6"/>
  <c r="AL32" i="6"/>
  <c r="L657" i="7"/>
  <c r="L671" i="7" s="1"/>
  <c r="L315" i="7"/>
  <c r="L308" i="7"/>
  <c r="AX32" i="6"/>
  <c r="N657" i="7"/>
  <c r="N671" i="7" s="1"/>
  <c r="N315" i="7"/>
  <c r="N308" i="7"/>
  <c r="BJ32" i="6"/>
  <c r="P657" i="7"/>
  <c r="P671" i="7" s="1"/>
  <c r="P315" i="7"/>
  <c r="P308" i="7"/>
  <c r="BV32" i="6"/>
  <c r="R657" i="7"/>
  <c r="R671" i="7" s="1"/>
  <c r="R315" i="7"/>
  <c r="R308" i="7"/>
  <c r="CH32" i="6"/>
  <c r="T657" i="7"/>
  <c r="T671" i="7" s="1"/>
  <c r="T315" i="7"/>
  <c r="T308" i="7"/>
  <c r="CT32" i="6"/>
  <c r="V657" i="7"/>
  <c r="V671" i="7" s="1"/>
  <c r="V315" i="7"/>
  <c r="V308" i="7"/>
  <c r="DF32" i="6"/>
  <c r="X657" i="7"/>
  <c r="X671" i="7" s="1"/>
  <c r="X315" i="7"/>
  <c r="X308" i="7"/>
  <c r="C221" i="2"/>
  <c r="AT221" i="2" s="1"/>
  <c r="DR32" i="6"/>
  <c r="Z657" i="7"/>
  <c r="Z671" i="7" s="1"/>
  <c r="Z315" i="7"/>
  <c r="Z308" i="7"/>
  <c r="ED32" i="6"/>
  <c r="AB657" i="7"/>
  <c r="H28" i="6"/>
  <c r="T28" i="6"/>
  <c r="AF28" i="6"/>
  <c r="AR28" i="6"/>
  <c r="M747" i="7"/>
  <c r="M347" i="7"/>
  <c r="M338" i="7"/>
  <c r="BD28" i="6"/>
  <c r="O747" i="7"/>
  <c r="O347" i="7"/>
  <c r="O338" i="7"/>
  <c r="BP28" i="6"/>
  <c r="Q747" i="7"/>
  <c r="Q347" i="7"/>
  <c r="Q338" i="7"/>
  <c r="CB28" i="6"/>
  <c r="S747" i="7"/>
  <c r="S347" i="7"/>
  <c r="S338" i="7"/>
  <c r="CN28" i="6"/>
  <c r="U747" i="7"/>
  <c r="U347" i="7"/>
  <c r="U338" i="7"/>
  <c r="CZ28" i="6"/>
  <c r="W747" i="7"/>
  <c r="W347" i="7"/>
  <c r="W338" i="7"/>
  <c r="DL28" i="6"/>
  <c r="Y747" i="7"/>
  <c r="Y347" i="7"/>
  <c r="Y338" i="7"/>
  <c r="DX28" i="6"/>
  <c r="AA747" i="7"/>
  <c r="AA347" i="7"/>
  <c r="AA338" i="7"/>
  <c r="L656" i="7"/>
  <c r="L670" i="7" s="1"/>
  <c r="L421" i="7"/>
  <c r="L446" i="7"/>
  <c r="L434" i="7"/>
  <c r="N656" i="7"/>
  <c r="N670" i="7" s="1"/>
  <c r="N421" i="7"/>
  <c r="N446" i="7"/>
  <c r="N434" i="7"/>
  <c r="P656" i="7"/>
  <c r="P670" i="7" s="1"/>
  <c r="P421" i="7"/>
  <c r="P446" i="7"/>
  <c r="P434" i="7"/>
  <c r="R656" i="7"/>
  <c r="R670" i="7" s="1"/>
  <c r="R421" i="7"/>
  <c r="R446" i="7"/>
  <c r="R434" i="7"/>
  <c r="T656" i="7"/>
  <c r="T670" i="7" s="1"/>
  <c r="T421" i="7"/>
  <c r="T446" i="7"/>
  <c r="T434" i="7"/>
  <c r="V656" i="7"/>
  <c r="V670" i="7" s="1"/>
  <c r="V421" i="7"/>
  <c r="V446" i="7"/>
  <c r="V434" i="7"/>
  <c r="X656" i="7"/>
  <c r="X670" i="7" s="1"/>
  <c r="X421" i="7"/>
  <c r="X446" i="7"/>
  <c r="X434" i="7"/>
  <c r="C246" i="2"/>
  <c r="AT246" i="2" s="1"/>
  <c r="Z656" i="7"/>
  <c r="Z670" i="7" s="1"/>
  <c r="Z421" i="7"/>
  <c r="Z446" i="7"/>
  <c r="Z434" i="7"/>
  <c r="AB656" i="7"/>
  <c r="AB434" i="7"/>
  <c r="AC420" i="7"/>
  <c r="E246" i="2" s="1"/>
  <c r="H33" i="6"/>
  <c r="T33" i="6"/>
  <c r="AF33" i="6"/>
  <c r="AR33" i="6"/>
  <c r="M754" i="7"/>
  <c r="M346" i="7"/>
  <c r="M337" i="7"/>
  <c r="BD33" i="6"/>
  <c r="O754" i="7"/>
  <c r="O346" i="7"/>
  <c r="O337" i="7"/>
  <c r="BP33" i="6"/>
  <c r="Q754" i="7"/>
  <c r="Q346" i="7"/>
  <c r="Q337" i="7"/>
  <c r="CB33" i="6"/>
  <c r="S754" i="7"/>
  <c r="S346" i="7"/>
  <c r="S337" i="7"/>
  <c r="CN33" i="6"/>
  <c r="U754" i="7"/>
  <c r="U346" i="7"/>
  <c r="U337" i="7"/>
  <c r="CZ33" i="6"/>
  <c r="W754" i="7"/>
  <c r="W346" i="7"/>
  <c r="W337" i="7"/>
  <c r="DL33" i="6"/>
  <c r="Y754" i="7"/>
  <c r="Y346" i="7"/>
  <c r="Y337" i="7"/>
  <c r="DX33" i="6"/>
  <c r="AA754" i="7"/>
  <c r="AA346" i="7"/>
  <c r="AA337" i="7"/>
  <c r="N35" i="6"/>
  <c r="Z35" i="6"/>
  <c r="AL35" i="6"/>
  <c r="L755" i="7"/>
  <c r="L404" i="7"/>
  <c r="L410" i="7"/>
  <c r="AX35" i="6"/>
  <c r="N755" i="7"/>
  <c r="N404" i="7"/>
  <c r="N410" i="7"/>
  <c r="BJ35" i="6"/>
  <c r="P755" i="7"/>
  <c r="P404" i="7"/>
  <c r="P410" i="7"/>
  <c r="BV35" i="6"/>
  <c r="R755" i="7"/>
  <c r="R404" i="7"/>
  <c r="R410" i="7"/>
  <c r="CH35" i="6"/>
  <c r="T755" i="7"/>
  <c r="T410" i="7"/>
  <c r="CT35" i="6"/>
  <c r="V755" i="7"/>
  <c r="V410" i="7"/>
  <c r="DF35" i="6"/>
  <c r="X755" i="7"/>
  <c r="X410" i="7"/>
  <c r="DR35" i="6"/>
  <c r="Z755" i="7"/>
  <c r="Z410" i="7"/>
  <c r="ED35" i="6"/>
  <c r="AB755" i="7"/>
  <c r="AC398" i="7"/>
  <c r="M508" i="7"/>
  <c r="M487" i="7"/>
  <c r="M630" i="7"/>
  <c r="M641" i="7" s="1"/>
  <c r="M497" i="7"/>
  <c r="M484" i="7"/>
  <c r="O508" i="7"/>
  <c r="O487" i="7"/>
  <c r="O630" i="7"/>
  <c r="O641" i="7" s="1"/>
  <c r="O497" i="7"/>
  <c r="O484" i="7"/>
  <c r="Q508" i="7"/>
  <c r="Q487" i="7"/>
  <c r="Q630" i="7"/>
  <c r="Q641" i="7" s="1"/>
  <c r="Q497" i="7"/>
  <c r="Q484" i="7"/>
  <c r="S508" i="7"/>
  <c r="S487" i="7"/>
  <c r="S630" i="7"/>
  <c r="S641" i="7" s="1"/>
  <c r="S497" i="7"/>
  <c r="S484" i="7"/>
  <c r="U508" i="7"/>
  <c r="U487" i="7"/>
  <c r="U630" i="7"/>
  <c r="U497" i="7"/>
  <c r="U484" i="7"/>
  <c r="W508" i="7"/>
  <c r="W487" i="7"/>
  <c r="W630" i="7"/>
  <c r="W497" i="7"/>
  <c r="W484" i="7"/>
  <c r="Y508" i="7"/>
  <c r="Y487" i="7"/>
  <c r="Y630" i="7"/>
  <c r="Y497" i="7"/>
  <c r="Y484" i="7"/>
  <c r="D225" i="2"/>
  <c r="AA508" i="7"/>
  <c r="AA487" i="7"/>
  <c r="AA630" i="7"/>
  <c r="AA497" i="7"/>
  <c r="AA484" i="7"/>
  <c r="N41" i="6"/>
  <c r="Z41" i="6"/>
  <c r="AL41" i="6"/>
  <c r="L695" i="7"/>
  <c r="L505" i="7"/>
  <c r="L494" i="7"/>
  <c r="AX41" i="6"/>
  <c r="N695" i="7"/>
  <c r="N505" i="7"/>
  <c r="N494" i="7"/>
  <c r="BJ41" i="6"/>
  <c r="P695" i="7"/>
  <c r="P505" i="7"/>
  <c r="P494" i="7"/>
  <c r="BV41" i="6"/>
  <c r="R695" i="7"/>
  <c r="R505" i="7"/>
  <c r="R494" i="7"/>
  <c r="CH41" i="6"/>
  <c r="T695" i="7"/>
  <c r="T505" i="7"/>
  <c r="T494" i="7"/>
  <c r="CT41" i="6"/>
  <c r="V695" i="7"/>
  <c r="V505" i="7"/>
  <c r="V494" i="7"/>
  <c r="DF41" i="6"/>
  <c r="X695" i="7"/>
  <c r="X505" i="7"/>
  <c r="X494" i="7"/>
  <c r="C230" i="2"/>
  <c r="AT230" i="2" s="1"/>
  <c r="DR41" i="6"/>
  <c r="Z695" i="7"/>
  <c r="Z505" i="7"/>
  <c r="Z494" i="7"/>
  <c r="ED41" i="6"/>
  <c r="AB695" i="7"/>
  <c r="H44" i="6"/>
  <c r="T44" i="6"/>
  <c r="AF44" i="6"/>
  <c r="AR44" i="6"/>
  <c r="M759" i="7"/>
  <c r="M509" i="7"/>
  <c r="M498" i="7"/>
  <c r="BD44" i="6"/>
  <c r="O759" i="7"/>
  <c r="O509" i="7"/>
  <c r="O498" i="7"/>
  <c r="BP44" i="6"/>
  <c r="Q759" i="7"/>
  <c r="Q509" i="7"/>
  <c r="Q498" i="7"/>
  <c r="CB44" i="6"/>
  <c r="S759" i="7"/>
  <c r="S509" i="7"/>
  <c r="S498" i="7"/>
  <c r="CN44" i="6"/>
  <c r="U759" i="7"/>
  <c r="U509" i="7"/>
  <c r="U498" i="7"/>
  <c r="CZ44" i="6"/>
  <c r="W759" i="7"/>
  <c r="W509" i="7"/>
  <c r="W498" i="7"/>
  <c r="DL44" i="6"/>
  <c r="Y759" i="7"/>
  <c r="Y509" i="7"/>
  <c r="Y498" i="7"/>
  <c r="DX44" i="6"/>
  <c r="AA759" i="7"/>
  <c r="AA509" i="7"/>
  <c r="AA498" i="7"/>
  <c r="N42" i="6"/>
  <c r="Z42" i="6"/>
  <c r="AL42" i="6"/>
  <c r="L696" i="7"/>
  <c r="L495" i="7"/>
  <c r="L506" i="7"/>
  <c r="AX42" i="6"/>
  <c r="N696" i="7"/>
  <c r="N495" i="7"/>
  <c r="N506" i="7"/>
  <c r="BJ42" i="6"/>
  <c r="P696" i="7"/>
  <c r="P495" i="7"/>
  <c r="P506" i="7"/>
  <c r="BV42" i="6"/>
  <c r="R696" i="7"/>
  <c r="R495" i="7"/>
  <c r="R506" i="7"/>
  <c r="CH42" i="6"/>
  <c r="T696" i="7"/>
  <c r="T495" i="7"/>
  <c r="T506" i="7"/>
  <c r="CT42" i="6"/>
  <c r="V696" i="7"/>
  <c r="V495" i="7"/>
  <c r="V506" i="7"/>
  <c r="DF42" i="6"/>
  <c r="X696" i="7"/>
  <c r="X495" i="7"/>
  <c r="X506" i="7"/>
  <c r="C248" i="2"/>
  <c r="AT248" i="2" s="1"/>
  <c r="DR42" i="6"/>
  <c r="Z696" i="7"/>
  <c r="Z495" i="7"/>
  <c r="Z506" i="7"/>
  <c r="ED42" i="6"/>
  <c r="AB696" i="7"/>
  <c r="E248" i="2"/>
  <c r="AV248" i="2" s="1"/>
  <c r="N47" i="6"/>
  <c r="Z47" i="6"/>
  <c r="AL47" i="6"/>
  <c r="L760" i="7"/>
  <c r="L556" i="7"/>
  <c r="L550" i="7"/>
  <c r="AX47" i="6"/>
  <c r="N760" i="7"/>
  <c r="N556" i="7"/>
  <c r="N550" i="7"/>
  <c r="BJ47" i="6"/>
  <c r="P760" i="7"/>
  <c r="P556" i="7"/>
  <c r="P550" i="7"/>
  <c r="BV47" i="6"/>
  <c r="R760" i="7"/>
  <c r="R556" i="7"/>
  <c r="R550" i="7"/>
  <c r="CH47" i="6"/>
  <c r="T760" i="7"/>
  <c r="T556" i="7"/>
  <c r="T550" i="7"/>
  <c r="CT47" i="6"/>
  <c r="V760" i="7"/>
  <c r="V556" i="7"/>
  <c r="V550" i="7"/>
  <c r="DF47" i="6"/>
  <c r="X760" i="7"/>
  <c r="X556" i="7"/>
  <c r="X550" i="7"/>
  <c r="DR47" i="6"/>
  <c r="Z760" i="7"/>
  <c r="Z556" i="7"/>
  <c r="Z550" i="7"/>
  <c r="ED47" i="6"/>
  <c r="AB760" i="7"/>
  <c r="H45" i="6"/>
  <c r="T45" i="6"/>
  <c r="AF45" i="6"/>
  <c r="AR45" i="6"/>
  <c r="M761" i="7"/>
  <c r="M534" i="7"/>
  <c r="M528" i="7"/>
  <c r="BD45" i="6"/>
  <c r="O761" i="7"/>
  <c r="O534" i="7"/>
  <c r="O528" i="7"/>
  <c r="BP45" i="6"/>
  <c r="Q761" i="7"/>
  <c r="Q534" i="7"/>
  <c r="Q528" i="7"/>
  <c r="CB45" i="6"/>
  <c r="S761" i="7"/>
  <c r="S534" i="7"/>
  <c r="S528" i="7"/>
  <c r="CN45" i="6"/>
  <c r="U761" i="7"/>
  <c r="U534" i="7"/>
  <c r="U528" i="7"/>
  <c r="CZ45" i="6"/>
  <c r="W761" i="7"/>
  <c r="W534" i="7"/>
  <c r="W528" i="7"/>
  <c r="DL45" i="6"/>
  <c r="Y761" i="7"/>
  <c r="Y534" i="7"/>
  <c r="Y528" i="7"/>
  <c r="DX45" i="6"/>
  <c r="AA761" i="7"/>
  <c r="AA534" i="7"/>
  <c r="AA528" i="7"/>
  <c r="L606" i="7"/>
  <c r="M602" i="7"/>
  <c r="L607" i="7"/>
  <c r="N606" i="7"/>
  <c r="O602" i="7"/>
  <c r="N607" i="7"/>
  <c r="P606" i="7"/>
  <c r="Q602" i="7"/>
  <c r="P607" i="7"/>
  <c r="R606" i="7"/>
  <c r="S602" i="7"/>
  <c r="R607" i="7"/>
  <c r="T606" i="7"/>
  <c r="U602" i="7"/>
  <c r="T607" i="7"/>
  <c r="V606" i="7"/>
  <c r="W602" i="7"/>
  <c r="V607" i="7"/>
  <c r="X606" i="7"/>
  <c r="Y602" i="7"/>
  <c r="X607" i="7"/>
  <c r="C228" i="2"/>
  <c r="AT228" i="2" s="1"/>
  <c r="Z606" i="7"/>
  <c r="AA602" i="7"/>
  <c r="Z607" i="7"/>
  <c r="M678" i="7"/>
  <c r="O678" i="7"/>
  <c r="Q678" i="7"/>
  <c r="S678" i="7"/>
  <c r="U687" i="7"/>
  <c r="U678" i="7"/>
  <c r="W687" i="7"/>
  <c r="W678" i="7"/>
  <c r="Y687" i="7"/>
  <c r="Y678" i="7"/>
  <c r="AA687" i="7"/>
  <c r="AA678" i="7"/>
  <c r="L642" i="7"/>
  <c r="N642" i="7"/>
  <c r="P642" i="7"/>
  <c r="R642" i="7"/>
  <c r="T642" i="7"/>
  <c r="V642" i="7"/>
  <c r="M174" i="7"/>
  <c r="M170" i="7"/>
  <c r="O174" i="7"/>
  <c r="O170" i="7"/>
  <c r="Q174" i="7"/>
  <c r="Q170" i="7"/>
  <c r="S174" i="7"/>
  <c r="S170" i="7"/>
  <c r="U174" i="7"/>
  <c r="U170" i="7"/>
  <c r="W174" i="7"/>
  <c r="W170" i="7"/>
  <c r="Y174" i="7"/>
  <c r="Y170" i="7"/>
  <c r="D232" i="2"/>
  <c r="AU232" i="2" s="1"/>
  <c r="AA174" i="7"/>
  <c r="AA170" i="7"/>
  <c r="L8" i="6"/>
  <c r="X8" i="6"/>
  <c r="AJ8" i="6"/>
  <c r="L107" i="7"/>
  <c r="L98" i="7"/>
  <c r="L92" i="7"/>
  <c r="L89" i="7"/>
  <c r="AV8" i="6"/>
  <c r="N107" i="7"/>
  <c r="N98" i="7"/>
  <c r="N92" i="7"/>
  <c r="N89" i="7"/>
  <c r="BH8" i="6"/>
  <c r="P107" i="7"/>
  <c r="P98" i="7"/>
  <c r="P92" i="7"/>
  <c r="P89" i="7"/>
  <c r="BT8" i="6"/>
  <c r="R107" i="7"/>
  <c r="R98" i="7"/>
  <c r="R92" i="7"/>
  <c r="R89" i="7"/>
  <c r="CF8" i="6"/>
  <c r="T107" i="7"/>
  <c r="T98" i="7"/>
  <c r="T92" i="7"/>
  <c r="T89" i="7"/>
  <c r="CR8" i="6"/>
  <c r="V107" i="7"/>
  <c r="V98" i="7"/>
  <c r="V92" i="7"/>
  <c r="V89" i="7"/>
  <c r="DD8" i="6"/>
  <c r="X107" i="7"/>
  <c r="X98" i="7"/>
  <c r="X92" i="7"/>
  <c r="X89" i="7"/>
  <c r="DP8" i="6"/>
  <c r="Z107" i="7"/>
  <c r="Z98" i="7"/>
  <c r="Z92" i="7"/>
  <c r="Z89" i="7"/>
  <c r="F9" i="6"/>
  <c r="R9" i="6"/>
  <c r="AD9" i="6"/>
  <c r="AP9" i="6"/>
  <c r="M75" i="7"/>
  <c r="M27" i="7"/>
  <c r="M18" i="7"/>
  <c r="BB9" i="6"/>
  <c r="O75" i="7"/>
  <c r="O27" i="7"/>
  <c r="O18" i="7"/>
  <c r="BN9" i="6"/>
  <c r="Q75" i="7"/>
  <c r="Q27" i="7"/>
  <c r="Q18" i="7"/>
  <c r="BZ9" i="6"/>
  <c r="S75" i="7"/>
  <c r="S27" i="7"/>
  <c r="S18" i="7"/>
  <c r="CL9" i="6"/>
  <c r="U75" i="7"/>
  <c r="U27" i="7"/>
  <c r="U18" i="7"/>
  <c r="CX9" i="6"/>
  <c r="W75" i="7"/>
  <c r="W27" i="7"/>
  <c r="W18" i="7"/>
  <c r="DJ9" i="6"/>
  <c r="Y75" i="7"/>
  <c r="Y27" i="7"/>
  <c r="Y18" i="7"/>
  <c r="DV9" i="6"/>
  <c r="AA75" i="7"/>
  <c r="AA27" i="7"/>
  <c r="AA18" i="7"/>
  <c r="L10" i="6"/>
  <c r="X10" i="6"/>
  <c r="AJ10" i="6"/>
  <c r="L63" i="7"/>
  <c r="AV10" i="6"/>
  <c r="N63" i="7"/>
  <c r="BH10" i="6"/>
  <c r="P63" i="7"/>
  <c r="BT10" i="6"/>
  <c r="R63" i="7"/>
  <c r="R55" i="7"/>
  <c r="CF10" i="6"/>
  <c r="T63" i="7"/>
  <c r="T55" i="7"/>
  <c r="CR10" i="6"/>
  <c r="V63" i="7"/>
  <c r="V55" i="7"/>
  <c r="DD10" i="6"/>
  <c r="X63" i="7"/>
  <c r="X55" i="7"/>
  <c r="DP10" i="6"/>
  <c r="Z63" i="7"/>
  <c r="Z55" i="7"/>
  <c r="F13" i="6"/>
  <c r="E13" i="6" s="1"/>
  <c r="G234" i="8"/>
  <c r="G168" i="8"/>
  <c r="G260" i="7" s="1"/>
  <c r="G261" i="7" s="1"/>
  <c r="R13" i="6"/>
  <c r="Q13" i="6" s="1"/>
  <c r="I234" i="8"/>
  <c r="I226" i="8"/>
  <c r="I168" i="8"/>
  <c r="I260" i="7" s="1"/>
  <c r="AD13" i="6"/>
  <c r="AC13" i="6" s="1"/>
  <c r="K234" i="8"/>
  <c r="K226" i="8"/>
  <c r="K168" i="8"/>
  <c r="K260" i="7" s="1"/>
  <c r="AP13" i="6"/>
  <c r="AO13" i="6" s="1"/>
  <c r="M234" i="8"/>
  <c r="M226" i="8"/>
  <c r="M168" i="8"/>
  <c r="BB13" i="6"/>
  <c r="BA13" i="6" s="1"/>
  <c r="O234" i="8"/>
  <c r="O226" i="8"/>
  <c r="O168" i="8"/>
  <c r="BN13" i="6"/>
  <c r="BM13" i="6" s="1"/>
  <c r="Q234" i="8"/>
  <c r="Q226" i="8"/>
  <c r="Q168" i="8"/>
  <c r="BZ13" i="6"/>
  <c r="BY13" i="6" s="1"/>
  <c r="S234" i="8"/>
  <c r="S226" i="8"/>
  <c r="S168" i="8"/>
  <c r="CL13" i="6"/>
  <c r="CK13" i="6" s="1"/>
  <c r="U234" i="8"/>
  <c r="U226" i="8"/>
  <c r="U168" i="8"/>
  <c r="CX13" i="6"/>
  <c r="CW13" i="6" s="1"/>
  <c r="W234" i="8"/>
  <c r="W226" i="8"/>
  <c r="W168" i="8"/>
  <c r="DJ13" i="6"/>
  <c r="DI13" i="6" s="1"/>
  <c r="Y234" i="8"/>
  <c r="Y226" i="8"/>
  <c r="Y168" i="8"/>
  <c r="DV13" i="6"/>
  <c r="AA234" i="8"/>
  <c r="AA226" i="8"/>
  <c r="AA168" i="8"/>
  <c r="L14" i="6"/>
  <c r="H136" i="8"/>
  <c r="X14" i="6"/>
  <c r="J136" i="8"/>
  <c r="AJ14" i="6"/>
  <c r="L136" i="8"/>
  <c r="AV14" i="6"/>
  <c r="N136" i="8"/>
  <c r="BH14" i="6"/>
  <c r="P136" i="8"/>
  <c r="BT14" i="6"/>
  <c r="R136" i="8"/>
  <c r="CF14" i="6"/>
  <c r="T136" i="8"/>
  <c r="CR14" i="6"/>
  <c r="V136" i="8"/>
  <c r="DD14" i="6"/>
  <c r="X136" i="8"/>
  <c r="C188" i="2"/>
  <c r="AT188" i="2" s="1"/>
  <c r="DP14" i="6"/>
  <c r="Z136" i="8"/>
  <c r="F11" i="6"/>
  <c r="G229" i="8"/>
  <c r="G215" i="8"/>
  <c r="R11" i="6"/>
  <c r="I229" i="8"/>
  <c r="I221" i="8"/>
  <c r="I215" i="8"/>
  <c r="AD11" i="6"/>
  <c r="K229" i="8"/>
  <c r="K221" i="8"/>
  <c r="K215" i="8"/>
  <c r="AP11" i="6"/>
  <c r="M76" i="7"/>
  <c r="M229" i="8"/>
  <c r="M221" i="8"/>
  <c r="M215" i="8"/>
  <c r="BB11" i="6"/>
  <c r="O76" i="7"/>
  <c r="O229" i="8"/>
  <c r="O221" i="8"/>
  <c r="O215" i="8"/>
  <c r="BN11" i="6"/>
  <c r="Q76" i="7"/>
  <c r="Q229" i="8"/>
  <c r="Q221" i="8"/>
  <c r="Q215" i="8"/>
  <c r="BZ11" i="6"/>
  <c r="S76" i="7"/>
  <c r="S229" i="8"/>
  <c r="S221" i="8"/>
  <c r="S215" i="8"/>
  <c r="CL11" i="6"/>
  <c r="U76" i="7"/>
  <c r="U229" i="8"/>
  <c r="U221" i="8"/>
  <c r="U215" i="8"/>
  <c r="CX11" i="6"/>
  <c r="W76" i="7"/>
  <c r="W229" i="8"/>
  <c r="W221" i="8"/>
  <c r="W215" i="8"/>
  <c r="DJ11" i="6"/>
  <c r="Y76" i="7"/>
  <c r="Y229" i="8"/>
  <c r="Y221" i="8"/>
  <c r="Y215" i="8"/>
  <c r="DV11" i="6"/>
  <c r="AA76" i="7"/>
  <c r="AA229" i="8"/>
  <c r="AA221" i="8"/>
  <c r="AA215" i="8"/>
  <c r="L30" i="6"/>
  <c r="U207" i="7"/>
  <c r="X30" i="6"/>
  <c r="AJ30" i="6"/>
  <c r="L232" i="7"/>
  <c r="L221" i="7"/>
  <c r="L209" i="7"/>
  <c r="AV30" i="6"/>
  <c r="N232" i="7"/>
  <c r="N221" i="7"/>
  <c r="N209" i="7"/>
  <c r="BH30" i="6"/>
  <c r="P232" i="7"/>
  <c r="P221" i="7"/>
  <c r="P209" i="7"/>
  <c r="BT30" i="6"/>
  <c r="R232" i="7"/>
  <c r="R221" i="7"/>
  <c r="R209" i="7"/>
  <c r="CF30" i="6"/>
  <c r="T232" i="7"/>
  <c r="T221" i="7"/>
  <c r="T209" i="7"/>
  <c r="CR30" i="6"/>
  <c r="V232" i="7"/>
  <c r="V221" i="7"/>
  <c r="V209" i="7"/>
  <c r="DD30" i="6"/>
  <c r="X232" i="7"/>
  <c r="X221" i="7"/>
  <c r="X209" i="7"/>
  <c r="C192" i="2"/>
  <c r="AT192" i="2" s="1"/>
  <c r="DP30" i="6"/>
  <c r="Z232" i="7"/>
  <c r="Z221" i="7"/>
  <c r="Z209" i="7"/>
  <c r="F24" i="6"/>
  <c r="R24" i="6"/>
  <c r="AD24" i="6"/>
  <c r="AP24" i="6"/>
  <c r="M706" i="7"/>
  <c r="M282" i="7"/>
  <c r="M268" i="7"/>
  <c r="BB24" i="6"/>
  <c r="O706" i="7"/>
  <c r="O282" i="7"/>
  <c r="O268" i="7"/>
  <c r="BN24" i="6"/>
  <c r="Q706" i="7"/>
  <c r="Q282" i="7"/>
  <c r="Q268" i="7"/>
  <c r="BZ24" i="6"/>
  <c r="S706" i="7"/>
  <c r="S282" i="7"/>
  <c r="S268" i="7"/>
  <c r="CL24" i="6"/>
  <c r="U706" i="7"/>
  <c r="U282" i="7"/>
  <c r="U268" i="7"/>
  <c r="CX24" i="6"/>
  <c r="W706" i="7"/>
  <c r="W282" i="7"/>
  <c r="W268" i="7"/>
  <c r="DJ24" i="6"/>
  <c r="Y706" i="7"/>
  <c r="Y282" i="7"/>
  <c r="Y268" i="7"/>
  <c r="DV24" i="6"/>
  <c r="AA706" i="7"/>
  <c r="AA282" i="7"/>
  <c r="AA268" i="7"/>
  <c r="L27" i="6"/>
  <c r="X27" i="6"/>
  <c r="AJ27" i="6"/>
  <c r="L707" i="7"/>
  <c r="L317" i="7"/>
  <c r="L310" i="7"/>
  <c r="AV27" i="6"/>
  <c r="N707" i="7"/>
  <c r="N317" i="7"/>
  <c r="N310" i="7"/>
  <c r="BH27" i="6"/>
  <c r="BG27" i="6" s="1"/>
  <c r="P707" i="7"/>
  <c r="P317" i="7"/>
  <c r="P310" i="7"/>
  <c r="BT27" i="6"/>
  <c r="BS27" i="6" s="1"/>
  <c r="R707" i="7"/>
  <c r="R317" i="7"/>
  <c r="R310" i="7"/>
  <c r="CF27" i="6"/>
  <c r="CE27" i="6" s="1"/>
  <c r="T707" i="7"/>
  <c r="T317" i="7"/>
  <c r="T310" i="7"/>
  <c r="CR27" i="6"/>
  <c r="CQ27" i="6" s="1"/>
  <c r="V707" i="7"/>
  <c r="V317" i="7"/>
  <c r="V310" i="7"/>
  <c r="DD27" i="6"/>
  <c r="DC27" i="6" s="1"/>
  <c r="X707" i="7"/>
  <c r="X317" i="7"/>
  <c r="X310" i="7"/>
  <c r="DP27" i="6"/>
  <c r="DO27" i="6" s="1"/>
  <c r="Z707" i="7"/>
  <c r="Z317" i="7"/>
  <c r="Z310" i="7"/>
  <c r="F31" i="6"/>
  <c r="E31" i="6" s="1"/>
  <c r="R31" i="6"/>
  <c r="AD31" i="6"/>
  <c r="AP31" i="6"/>
  <c r="M712" i="7"/>
  <c r="M285" i="7"/>
  <c r="M271" i="7"/>
  <c r="BB31" i="6"/>
  <c r="O712" i="7"/>
  <c r="O285" i="7"/>
  <c r="O271" i="7"/>
  <c r="BN31" i="6"/>
  <c r="BM31" i="6" s="1"/>
  <c r="Q712" i="7"/>
  <c r="Q285" i="7"/>
  <c r="Q271" i="7"/>
  <c r="BZ31" i="6"/>
  <c r="BY31" i="6" s="1"/>
  <c r="S712" i="7"/>
  <c r="S285" i="7"/>
  <c r="S271" i="7"/>
  <c r="CL31" i="6"/>
  <c r="CK31" i="6" s="1"/>
  <c r="U712" i="7"/>
  <c r="U285" i="7"/>
  <c r="U271" i="7"/>
  <c r="CX31" i="6"/>
  <c r="CW31" i="6" s="1"/>
  <c r="W712" i="7"/>
  <c r="W285" i="7"/>
  <c r="W271" i="7"/>
  <c r="DJ31" i="6"/>
  <c r="DI31" i="6" s="1"/>
  <c r="Y712" i="7"/>
  <c r="Y285" i="7"/>
  <c r="Y271" i="7"/>
  <c r="DV31" i="6"/>
  <c r="DU31" i="6" s="1"/>
  <c r="AA712" i="7"/>
  <c r="AA285" i="7"/>
  <c r="AA271" i="7"/>
  <c r="L32" i="6"/>
  <c r="X32" i="6"/>
  <c r="AJ32" i="6"/>
  <c r="L713" i="7"/>
  <c r="L313" i="7"/>
  <c r="L306" i="7"/>
  <c r="AV32" i="6"/>
  <c r="N713" i="7"/>
  <c r="N313" i="7"/>
  <c r="N306" i="7"/>
  <c r="BH32" i="6"/>
  <c r="P713" i="7"/>
  <c r="P313" i="7"/>
  <c r="P306" i="7"/>
  <c r="BT32" i="6"/>
  <c r="R713" i="7"/>
  <c r="R313" i="7"/>
  <c r="R306" i="7"/>
  <c r="CF32" i="6"/>
  <c r="T713" i="7"/>
  <c r="T313" i="7"/>
  <c r="T306" i="7"/>
  <c r="CR32" i="6"/>
  <c r="V713" i="7"/>
  <c r="V313" i="7"/>
  <c r="V306" i="7"/>
  <c r="DD32" i="6"/>
  <c r="X713" i="7"/>
  <c r="X313" i="7"/>
  <c r="X306" i="7"/>
  <c r="DP32" i="6"/>
  <c r="Z713" i="7"/>
  <c r="Z313" i="7"/>
  <c r="Z306" i="7"/>
  <c r="F28" i="6"/>
  <c r="R28" i="6"/>
  <c r="AD28" i="6"/>
  <c r="AP28" i="6"/>
  <c r="M708" i="7"/>
  <c r="M343" i="7"/>
  <c r="M334" i="7"/>
  <c r="BB28" i="6"/>
  <c r="O708" i="7"/>
  <c r="O343" i="7"/>
  <c r="O334" i="7"/>
  <c r="BN28" i="6"/>
  <c r="Q708" i="7"/>
  <c r="Q343" i="7"/>
  <c r="Q334" i="7"/>
  <c r="BZ28" i="6"/>
  <c r="S708" i="7"/>
  <c r="S343" i="7"/>
  <c r="S334" i="7"/>
  <c r="CL28" i="6"/>
  <c r="U708" i="7"/>
  <c r="U343" i="7"/>
  <c r="U334" i="7"/>
  <c r="CX28" i="6"/>
  <c r="W708" i="7"/>
  <c r="W343" i="7"/>
  <c r="W334" i="7"/>
  <c r="DJ28" i="6"/>
  <c r="Y708" i="7"/>
  <c r="Y343" i="7"/>
  <c r="Y334" i="7"/>
  <c r="DV28" i="6"/>
  <c r="AA708" i="7"/>
  <c r="AA343" i="7"/>
  <c r="AA334" i="7"/>
  <c r="L33" i="6"/>
  <c r="X33" i="6"/>
  <c r="AJ33" i="6"/>
  <c r="L714" i="7"/>
  <c r="L342" i="7"/>
  <c r="L333" i="7"/>
  <c r="AV33" i="6"/>
  <c r="N714" i="7"/>
  <c r="N342" i="7"/>
  <c r="N333" i="7"/>
  <c r="BH33" i="6"/>
  <c r="P714" i="7"/>
  <c r="P342" i="7"/>
  <c r="P333" i="7"/>
  <c r="BT33" i="6"/>
  <c r="R714" i="7"/>
  <c r="R342" i="7"/>
  <c r="R333" i="7"/>
  <c r="CF33" i="6"/>
  <c r="T714" i="7"/>
  <c r="T342" i="7"/>
  <c r="T333" i="7"/>
  <c r="CR33" i="6"/>
  <c r="V714" i="7"/>
  <c r="V342" i="7"/>
  <c r="V333" i="7"/>
  <c r="DD33" i="6"/>
  <c r="X714" i="7"/>
  <c r="X342" i="7"/>
  <c r="X333" i="7"/>
  <c r="DP33" i="6"/>
  <c r="Z714" i="7"/>
  <c r="Z342" i="7"/>
  <c r="Z333" i="7"/>
  <c r="F35" i="6"/>
  <c r="R35" i="6"/>
  <c r="AD35" i="6"/>
  <c r="AP35" i="6"/>
  <c r="M408" i="7"/>
  <c r="M402" i="7"/>
  <c r="M399" i="7"/>
  <c r="BB35" i="6"/>
  <c r="O408" i="7"/>
  <c r="O402" i="7"/>
  <c r="O399" i="7"/>
  <c r="BN35" i="6"/>
  <c r="Q408" i="7"/>
  <c r="Q402" i="7"/>
  <c r="Q399" i="7"/>
  <c r="BZ35" i="6"/>
  <c r="S408" i="7"/>
  <c r="S402" i="7"/>
  <c r="S399" i="7"/>
  <c r="CL35" i="6"/>
  <c r="U408" i="7"/>
  <c r="U402" i="7"/>
  <c r="U399" i="7"/>
  <c r="CX35" i="6"/>
  <c r="W408" i="7"/>
  <c r="W402" i="7"/>
  <c r="W399" i="7"/>
  <c r="DJ35" i="6"/>
  <c r="Y408" i="7"/>
  <c r="Y402" i="7"/>
  <c r="Y399" i="7"/>
  <c r="DV35" i="6"/>
  <c r="AA408" i="7"/>
  <c r="AA402" i="7"/>
  <c r="AA399" i="7"/>
  <c r="L45" i="6"/>
  <c r="X45" i="6"/>
  <c r="AJ45" i="6"/>
  <c r="L724" i="7"/>
  <c r="L523" i="7"/>
  <c r="L532" i="7"/>
  <c r="L526" i="7"/>
  <c r="AV45" i="6"/>
  <c r="N724" i="7"/>
  <c r="N523" i="7"/>
  <c r="N532" i="7"/>
  <c r="N526" i="7"/>
  <c r="BH45" i="6"/>
  <c r="P724" i="7"/>
  <c r="P523" i="7"/>
  <c r="P532" i="7"/>
  <c r="P526" i="7"/>
  <c r="BT45" i="6"/>
  <c r="R724" i="7"/>
  <c r="R523" i="7"/>
  <c r="R532" i="7"/>
  <c r="R526" i="7"/>
  <c r="CF45" i="6"/>
  <c r="T724" i="7"/>
  <c r="T522" i="7"/>
  <c r="T523" i="7" s="1"/>
  <c r="T532" i="7"/>
  <c r="T526" i="7"/>
  <c r="CR45" i="6"/>
  <c r="V724" i="7"/>
  <c r="V522" i="7"/>
  <c r="V523" i="7" s="1"/>
  <c r="V532" i="7"/>
  <c r="V526" i="7"/>
  <c r="DD45" i="6"/>
  <c r="X724" i="7"/>
  <c r="X522" i="7"/>
  <c r="X523" i="7" s="1"/>
  <c r="X532" i="7"/>
  <c r="X526" i="7"/>
  <c r="DP45" i="6"/>
  <c r="Z724" i="7"/>
  <c r="Z522" i="7"/>
  <c r="Z523" i="7" s="1"/>
  <c r="Z532" i="7"/>
  <c r="Z526" i="7"/>
  <c r="G37" i="8"/>
  <c r="G35" i="8"/>
  <c r="G78" i="8" s="1"/>
  <c r="I64" i="8"/>
  <c r="I53" i="8"/>
  <c r="I37" i="8"/>
  <c r="I35" i="8"/>
  <c r="K64" i="8"/>
  <c r="K53" i="8"/>
  <c r="K37" i="8"/>
  <c r="K35" i="8"/>
  <c r="M64" i="8"/>
  <c r="M53" i="8"/>
  <c r="M37" i="8"/>
  <c r="M35" i="8"/>
  <c r="O64" i="8"/>
  <c r="O53" i="8"/>
  <c r="O37" i="8"/>
  <c r="O35" i="8"/>
  <c r="Q64" i="8"/>
  <c r="Q53" i="8"/>
  <c r="Q37" i="8"/>
  <c r="Q35" i="8"/>
  <c r="S64" i="8"/>
  <c r="S53" i="8"/>
  <c r="S37" i="8"/>
  <c r="S35" i="8"/>
  <c r="U64" i="8"/>
  <c r="U53" i="8"/>
  <c r="U37" i="8"/>
  <c r="U35" i="8"/>
  <c r="W64" i="8"/>
  <c r="W53" i="8"/>
  <c r="W37" i="8"/>
  <c r="W35" i="8"/>
  <c r="Y64" i="8"/>
  <c r="Y53" i="8"/>
  <c r="Y37" i="8"/>
  <c r="Y35" i="8"/>
  <c r="D179" i="2"/>
  <c r="AU179" i="2" s="1"/>
  <c r="AA64" i="8"/>
  <c r="AA53" i="8"/>
  <c r="AA37" i="8"/>
  <c r="AA35" i="8"/>
  <c r="H41" i="8"/>
  <c r="J41" i="8"/>
  <c r="L41" i="8"/>
  <c r="N41" i="8"/>
  <c r="P41" i="8"/>
  <c r="R41" i="8"/>
  <c r="I93" i="8"/>
  <c r="K93" i="8"/>
  <c r="M93" i="8"/>
  <c r="O93" i="8"/>
  <c r="Q93" i="8"/>
  <c r="S93" i="8"/>
  <c r="U93" i="8"/>
  <c r="W93" i="8"/>
  <c r="Y93" i="8"/>
  <c r="D185" i="2"/>
  <c r="AU185" i="2" s="1"/>
  <c r="AA93" i="8"/>
  <c r="H114" i="8"/>
  <c r="H133" i="8"/>
  <c r="J114" i="8"/>
  <c r="J133" i="8"/>
  <c r="L114" i="8"/>
  <c r="L133" i="8"/>
  <c r="N114" i="8"/>
  <c r="N133" i="8"/>
  <c r="P114" i="8"/>
  <c r="P133" i="8"/>
  <c r="R114" i="8"/>
  <c r="R133" i="8"/>
  <c r="T114" i="8"/>
  <c r="T133" i="8"/>
  <c r="V114" i="8"/>
  <c r="V133" i="8"/>
  <c r="X114" i="8"/>
  <c r="X133" i="8"/>
  <c r="C162" i="2"/>
  <c r="AT162" i="2" s="1"/>
  <c r="Z114" i="8"/>
  <c r="Z133" i="8"/>
  <c r="Q692" i="7"/>
  <c r="BQ16" i="6"/>
  <c r="BQ65" i="6" s="1"/>
  <c r="Q770" i="7"/>
  <c r="Q30" i="7"/>
  <c r="Q21" i="7"/>
  <c r="S692" i="7"/>
  <c r="CC16" i="6"/>
  <c r="CC65" i="6" s="1"/>
  <c r="S770" i="7"/>
  <c r="S30" i="7"/>
  <c r="S21" i="7"/>
  <c r="U692" i="7"/>
  <c r="CO16" i="6"/>
  <c r="U770" i="7"/>
  <c r="U30" i="7"/>
  <c r="U21" i="7"/>
  <c r="W692" i="7"/>
  <c r="DA16" i="6"/>
  <c r="W770" i="7"/>
  <c r="W30" i="7"/>
  <c r="W21" i="7"/>
  <c r="Y692" i="7"/>
  <c r="DM16" i="6"/>
  <c r="Y770" i="7"/>
  <c r="Y30" i="7"/>
  <c r="D231" i="2"/>
  <c r="AU231" i="2" s="1"/>
  <c r="AA692" i="7"/>
  <c r="DY16" i="6"/>
  <c r="AA770" i="7"/>
  <c r="AA30" i="7"/>
  <c r="O17" i="6"/>
  <c r="AA17" i="6"/>
  <c r="L769" i="7"/>
  <c r="AM17" i="6"/>
  <c r="L66" i="7"/>
  <c r="L58" i="7"/>
  <c r="N769" i="7"/>
  <c r="AY17" i="6"/>
  <c r="N66" i="7"/>
  <c r="N58" i="7"/>
  <c r="P769" i="7"/>
  <c r="BK17" i="6"/>
  <c r="P66" i="7"/>
  <c r="P58" i="7"/>
  <c r="R769" i="7"/>
  <c r="BW17" i="6"/>
  <c r="R66" i="7"/>
  <c r="R58" i="7"/>
  <c r="T769" i="7"/>
  <c r="CI17" i="6"/>
  <c r="T66" i="7"/>
  <c r="T58" i="7"/>
  <c r="V769" i="7"/>
  <c r="CU17" i="6"/>
  <c r="V66" i="7"/>
  <c r="V58" i="7"/>
  <c r="X769" i="7"/>
  <c r="DG17" i="6"/>
  <c r="X66" i="7"/>
  <c r="X58" i="7"/>
  <c r="C233" i="2"/>
  <c r="AT233" i="2" s="1"/>
  <c r="Z769" i="7"/>
  <c r="DS17" i="6"/>
  <c r="Z66" i="7"/>
  <c r="Z58" i="7"/>
  <c r="I18" i="6"/>
  <c r="U18" i="6"/>
  <c r="AG18" i="6"/>
  <c r="AS18" i="6"/>
  <c r="M771" i="7"/>
  <c r="M159" i="7"/>
  <c r="M151" i="7"/>
  <c r="E16" i="21"/>
  <c r="BE18" i="6"/>
  <c r="O771" i="7"/>
  <c r="O159" i="7"/>
  <c r="O151" i="7"/>
  <c r="G16" i="21"/>
  <c r="BQ18" i="6"/>
  <c r="Q771" i="7"/>
  <c r="Q159" i="7"/>
  <c r="Q151" i="7"/>
  <c r="I16" i="21"/>
  <c r="CC18" i="6"/>
  <c r="S771" i="7"/>
  <c r="S159" i="7"/>
  <c r="S151" i="7"/>
  <c r="K16" i="21"/>
  <c r="CO18" i="6"/>
  <c r="U771" i="7"/>
  <c r="U159" i="7"/>
  <c r="U151" i="7"/>
  <c r="M16" i="21"/>
  <c r="DA18" i="6"/>
  <c r="W771" i="7"/>
  <c r="W159" i="7"/>
  <c r="W151" i="7"/>
  <c r="O16" i="21"/>
  <c r="DM18" i="6"/>
  <c r="Y771" i="7"/>
  <c r="Y159" i="7"/>
  <c r="Y151" i="7"/>
  <c r="Q16" i="21"/>
  <c r="Q62" i="21" s="1"/>
  <c r="DY18" i="6"/>
  <c r="AA771" i="7"/>
  <c r="AA159" i="7"/>
  <c r="AA151" i="7"/>
  <c r="S16" i="21"/>
  <c r="S62" i="21" s="1"/>
  <c r="O40" i="6"/>
  <c r="AA40" i="6"/>
  <c r="AM40" i="6"/>
  <c r="L787" i="7"/>
  <c r="L513" i="7"/>
  <c r="L502" i="7"/>
  <c r="D20" i="21"/>
  <c r="AY40" i="6"/>
  <c r="N787" i="7"/>
  <c r="N513" i="7"/>
  <c r="N502" i="7"/>
  <c r="F20" i="21"/>
  <c r="BK40" i="6"/>
  <c r="P787" i="7"/>
  <c r="P513" i="7"/>
  <c r="P502" i="7"/>
  <c r="H20" i="21"/>
  <c r="BW40" i="6"/>
  <c r="R787" i="7"/>
  <c r="R513" i="7"/>
  <c r="R502" i="7"/>
  <c r="J20" i="21"/>
  <c r="CI40" i="6"/>
  <c r="T787" i="7"/>
  <c r="T513" i="7"/>
  <c r="T502" i="7"/>
  <c r="L20" i="21"/>
  <c r="CU40" i="6"/>
  <c r="V787" i="7"/>
  <c r="V513" i="7"/>
  <c r="V502" i="7"/>
  <c r="N20" i="21"/>
  <c r="I45" i="6"/>
  <c r="U45" i="6"/>
  <c r="U94" i="6" s="1"/>
  <c r="AG45" i="6"/>
  <c r="AG94" i="6" s="1"/>
  <c r="AS45" i="6"/>
  <c r="AS94" i="6" s="1"/>
  <c r="M788" i="7"/>
  <c r="M535" i="7"/>
  <c r="M529" i="7"/>
  <c r="BE45" i="6"/>
  <c r="BE94" i="6" s="1"/>
  <c r="O788" i="7"/>
  <c r="O535" i="7"/>
  <c r="O529" i="7"/>
  <c r="BQ45" i="6"/>
  <c r="BQ94" i="6" s="1"/>
  <c r="Q788" i="7"/>
  <c r="Q535" i="7"/>
  <c r="Q529" i="7"/>
  <c r="CC45" i="6"/>
  <c r="CC94" i="6" s="1"/>
  <c r="S788" i="7"/>
  <c r="S535" i="7"/>
  <c r="S529" i="7"/>
  <c r="H325" i="12"/>
  <c r="H322" i="12"/>
  <c r="J325" i="12"/>
  <c r="J322" i="12"/>
  <c r="L325" i="12"/>
  <c r="L322" i="12"/>
  <c r="N325" i="12"/>
  <c r="N322" i="12"/>
  <c r="P325" i="12"/>
  <c r="P322" i="12"/>
  <c r="R325" i="12"/>
  <c r="R322" i="12"/>
  <c r="T325" i="12"/>
  <c r="T322" i="12"/>
  <c r="V325" i="12"/>
  <c r="V322" i="12"/>
  <c r="X325" i="12"/>
  <c r="X322" i="12"/>
  <c r="C250" i="2"/>
  <c r="Z325" i="12"/>
  <c r="Z322" i="12"/>
  <c r="I326" i="12"/>
  <c r="K326" i="12"/>
  <c r="M326" i="12"/>
  <c r="O326" i="12"/>
  <c r="Q326" i="12"/>
  <c r="S326" i="12"/>
  <c r="U326" i="12"/>
  <c r="W326" i="12"/>
  <c r="Y326" i="12"/>
  <c r="AA326" i="12"/>
  <c r="H367" i="12"/>
  <c r="J367" i="12"/>
  <c r="L367" i="12"/>
  <c r="N367" i="12"/>
  <c r="P367" i="12"/>
  <c r="R367" i="12"/>
  <c r="T367" i="12"/>
  <c r="V367" i="12"/>
  <c r="X367" i="12"/>
  <c r="C155" i="2"/>
  <c r="AT155" i="2" s="1"/>
  <c r="Z367" i="12"/>
  <c r="I368" i="12"/>
  <c r="K368" i="12"/>
  <c r="M368" i="12"/>
  <c r="O368" i="12"/>
  <c r="Q368" i="12"/>
  <c r="S368" i="12"/>
  <c r="U368" i="12"/>
  <c r="W368" i="12"/>
  <c r="Y368" i="12"/>
  <c r="D154" i="2"/>
  <c r="AU154" i="2" s="1"/>
  <c r="AA368" i="12"/>
  <c r="H349" i="12"/>
  <c r="J349" i="12"/>
  <c r="L349" i="12"/>
  <c r="N349" i="12"/>
  <c r="P349" i="12"/>
  <c r="R349" i="12"/>
  <c r="T349" i="12"/>
  <c r="V349" i="12"/>
  <c r="X349" i="12"/>
  <c r="C236" i="2"/>
  <c r="AT236" i="2" s="1"/>
  <c r="Z349" i="12"/>
  <c r="BD285" i="17"/>
  <c r="BD287" i="17" s="1"/>
  <c r="P620" i="7"/>
  <c r="P621" i="7" s="1"/>
  <c r="R620" i="7"/>
  <c r="R621" i="7" s="1"/>
  <c r="H48" i="8"/>
  <c r="H59" i="8"/>
  <c r="J48" i="8"/>
  <c r="J59" i="8"/>
  <c r="L48" i="8"/>
  <c r="L59" i="8"/>
  <c r="N48" i="8"/>
  <c r="N59" i="8"/>
  <c r="P48" i="8"/>
  <c r="P59" i="8"/>
  <c r="R48" i="8"/>
  <c r="R59" i="8"/>
  <c r="T48" i="8"/>
  <c r="T59" i="8"/>
  <c r="V48" i="8"/>
  <c r="V59" i="8"/>
  <c r="X48" i="8"/>
  <c r="X59" i="8"/>
  <c r="Z48" i="8"/>
  <c r="Z59" i="8"/>
  <c r="G113" i="8"/>
  <c r="I113" i="8"/>
  <c r="K113" i="8"/>
  <c r="M113" i="8"/>
  <c r="O113" i="8"/>
  <c r="Q113" i="8"/>
  <c r="S113" i="8"/>
  <c r="U113" i="8"/>
  <c r="W113" i="8"/>
  <c r="Y113" i="8"/>
  <c r="AA113" i="8"/>
  <c r="AB120" i="8" s="1"/>
  <c r="U280" i="1"/>
  <c r="W280" i="1"/>
  <c r="Y280" i="1"/>
  <c r="G101" i="17"/>
  <c r="J23" i="17"/>
  <c r="I27" i="17"/>
  <c r="I6" i="17" s="1"/>
  <c r="I101" i="17"/>
  <c r="K27" i="17"/>
  <c r="N23" i="17"/>
  <c r="O33" i="17" s="1"/>
  <c r="K101" i="17"/>
  <c r="K32" i="17"/>
  <c r="M27" i="17"/>
  <c r="M101" i="17"/>
  <c r="M34" i="17"/>
  <c r="M32" i="17"/>
  <c r="O27" i="17"/>
  <c r="O101" i="17"/>
  <c r="O32" i="17"/>
  <c r="R23" i="17"/>
  <c r="T33" i="17" s="1"/>
  <c r="Q34" i="17"/>
  <c r="Q27" i="17"/>
  <c r="Q101" i="17"/>
  <c r="Q32" i="17"/>
  <c r="S27" i="17"/>
  <c r="V23" i="17"/>
  <c r="W33" i="17" s="1"/>
  <c r="S101" i="17"/>
  <c r="S32" i="17"/>
  <c r="U27" i="17"/>
  <c r="U101" i="17"/>
  <c r="U34" i="17"/>
  <c r="U32" i="17"/>
  <c r="W27" i="17"/>
  <c r="W101" i="17"/>
  <c r="W32" i="17"/>
  <c r="Z23" i="17"/>
  <c r="AB33" i="17" s="1"/>
  <c r="Y34" i="17"/>
  <c r="Y27" i="17"/>
  <c r="Y101" i="17"/>
  <c r="Y32" i="17"/>
  <c r="AA27" i="17"/>
  <c r="AD23" i="17"/>
  <c r="AE33" i="17" s="1"/>
  <c r="AA101" i="17"/>
  <c r="AA32" i="17"/>
  <c r="AC27" i="17"/>
  <c r="AC101" i="17"/>
  <c r="AC34" i="17"/>
  <c r="AC32" i="17"/>
  <c r="AE27" i="17"/>
  <c r="AE101" i="17"/>
  <c r="AE32" i="17"/>
  <c r="AH23" i="17"/>
  <c r="AJ33" i="17" s="1"/>
  <c r="AG34" i="17"/>
  <c r="AG27" i="17"/>
  <c r="AG101" i="17"/>
  <c r="AG32" i="17"/>
  <c r="AI27" i="17"/>
  <c r="AL23" i="17"/>
  <c r="AM33" i="17" s="1"/>
  <c r="AI101" i="17"/>
  <c r="AI32" i="17"/>
  <c r="AK27" i="17"/>
  <c r="AK101" i="17"/>
  <c r="AK34" i="17"/>
  <c r="AK32" i="17"/>
  <c r="AM27" i="17"/>
  <c r="AM101" i="17"/>
  <c r="AM32" i="17"/>
  <c r="AP23" i="17"/>
  <c r="AR33" i="17" s="1"/>
  <c r="AO34" i="17"/>
  <c r="AO27" i="17"/>
  <c r="AO101" i="17"/>
  <c r="AO32" i="17"/>
  <c r="AQ27" i="17"/>
  <c r="AT23" i="17"/>
  <c r="AU33" i="17" s="1"/>
  <c r="AQ101" i="17"/>
  <c r="AQ32" i="17"/>
  <c r="AS27" i="17"/>
  <c r="AS101" i="17"/>
  <c r="AS34" i="17"/>
  <c r="AS32" i="17"/>
  <c r="AU27" i="17"/>
  <c r="AU101" i="17"/>
  <c r="AU32" i="17"/>
  <c r="AX23" i="17"/>
  <c r="AZ33" i="17" s="1"/>
  <c r="AW34" i="17"/>
  <c r="AW27" i="17"/>
  <c r="AW101" i="17"/>
  <c r="AW32" i="17"/>
  <c r="AY27" i="17"/>
  <c r="BB23" i="17"/>
  <c r="BC33" i="17" s="1"/>
  <c r="AY101" i="17"/>
  <c r="AY32" i="17"/>
  <c r="BA27" i="17"/>
  <c r="BA101" i="17"/>
  <c r="BA34" i="17"/>
  <c r="BA32" i="17"/>
  <c r="BC27" i="17"/>
  <c r="BC101" i="17"/>
  <c r="BC32" i="17"/>
  <c r="BF23" i="17"/>
  <c r="BH33" i="17" s="1"/>
  <c r="BE34" i="17"/>
  <c r="BE27" i="17"/>
  <c r="BE101" i="17"/>
  <c r="BE32" i="17"/>
  <c r="BG27" i="17"/>
  <c r="BJ23" i="17"/>
  <c r="BK33" i="17" s="1"/>
  <c r="BG101" i="17"/>
  <c r="BG32" i="17"/>
  <c r="BI27" i="17"/>
  <c r="BI101" i="17"/>
  <c r="BI34" i="17"/>
  <c r="BI32" i="17"/>
  <c r="BK27" i="17"/>
  <c r="BK101" i="17"/>
  <c r="BK32" i="17"/>
  <c r="BN23" i="17"/>
  <c r="BP33" i="17" s="1"/>
  <c r="BM34" i="17"/>
  <c r="BM27" i="17"/>
  <c r="BM101" i="17"/>
  <c r="BM32" i="17"/>
  <c r="BO27" i="17"/>
  <c r="BR23" i="17"/>
  <c r="BS33" i="17" s="1"/>
  <c r="BO101" i="17"/>
  <c r="BO32" i="17"/>
  <c r="BQ27" i="17"/>
  <c r="BQ101" i="17"/>
  <c r="BQ34" i="17"/>
  <c r="BQ32" i="17"/>
  <c r="BS27" i="17"/>
  <c r="BS101" i="17"/>
  <c r="BS32" i="17"/>
  <c r="BV23" i="17"/>
  <c r="BX33" i="17" s="1"/>
  <c r="BU34" i="17"/>
  <c r="BU27" i="17"/>
  <c r="BU101" i="17"/>
  <c r="BU32" i="17"/>
  <c r="BW27" i="17"/>
  <c r="BZ23" i="17"/>
  <c r="CA33" i="17" s="1"/>
  <c r="BW101" i="17"/>
  <c r="BW32" i="17"/>
  <c r="BY27" i="17"/>
  <c r="BY101" i="17"/>
  <c r="BY34" i="17"/>
  <c r="BY32" i="17"/>
  <c r="CA27" i="17"/>
  <c r="CA101" i="17"/>
  <c r="CA32" i="17"/>
  <c r="CD23" i="17"/>
  <c r="CF33" i="17" s="1"/>
  <c r="CC34" i="17"/>
  <c r="CC27" i="17"/>
  <c r="CC101" i="17"/>
  <c r="CC32" i="17"/>
  <c r="CE27" i="17"/>
  <c r="CH23" i="17"/>
  <c r="CI33" i="17" s="1"/>
  <c r="CE101" i="17"/>
  <c r="CE32" i="17"/>
  <c r="CG27" i="17"/>
  <c r="CG101" i="17"/>
  <c r="CG34" i="17"/>
  <c r="CG32" i="17"/>
  <c r="CI27" i="17"/>
  <c r="CI101" i="17"/>
  <c r="CI32" i="17"/>
  <c r="CL23" i="17"/>
  <c r="CN33" i="17" s="1"/>
  <c r="CK34" i="17"/>
  <c r="CK27" i="17"/>
  <c r="CK101" i="17"/>
  <c r="CK32" i="17"/>
  <c r="CM27" i="17"/>
  <c r="CM101" i="17"/>
  <c r="CM32" i="17"/>
  <c r="CO27" i="17"/>
  <c r="CO101" i="17"/>
  <c r="CO34" i="17"/>
  <c r="CO32" i="17"/>
  <c r="CO25" i="17"/>
  <c r="G102" i="17"/>
  <c r="J42" i="17"/>
  <c r="K52" i="17" s="1"/>
  <c r="I102" i="17"/>
  <c r="I46" i="17"/>
  <c r="I7" i="17" s="1"/>
  <c r="K102" i="17"/>
  <c r="K46" i="17"/>
  <c r="K51" i="17"/>
  <c r="N42" i="17"/>
  <c r="O52" i="17" s="1"/>
  <c r="M102" i="17"/>
  <c r="M46" i="17"/>
  <c r="M53" i="17"/>
  <c r="M51" i="17"/>
  <c r="O102" i="17"/>
  <c r="O46" i="17"/>
  <c r="R42" i="17"/>
  <c r="T52" i="17" s="1"/>
  <c r="O51" i="17"/>
  <c r="Q102" i="17"/>
  <c r="Q53" i="17"/>
  <c r="Q46" i="17"/>
  <c r="Q51" i="17"/>
  <c r="S102" i="17"/>
  <c r="S46" i="17"/>
  <c r="S51" i="17"/>
  <c r="V42" i="17"/>
  <c r="U102" i="17"/>
  <c r="U46" i="17"/>
  <c r="U53" i="17"/>
  <c r="U51" i="17"/>
  <c r="W102" i="17"/>
  <c r="W46" i="17"/>
  <c r="Z42" i="17"/>
  <c r="AB52" i="17" s="1"/>
  <c r="W51" i="17"/>
  <c r="Y102" i="17"/>
  <c r="Y53" i="17"/>
  <c r="Y46" i="17"/>
  <c r="Y51" i="17"/>
  <c r="AA102" i="17"/>
  <c r="AA46" i="17"/>
  <c r="AC52" i="17"/>
  <c r="AA51" i="17"/>
  <c r="AD42" i="17"/>
  <c r="AE52" i="17" s="1"/>
  <c r="AC102" i="17"/>
  <c r="AC46" i="17"/>
  <c r="AC53" i="17"/>
  <c r="AC51" i="17"/>
  <c r="AE102" i="17"/>
  <c r="AE46" i="17"/>
  <c r="AH42" i="17"/>
  <c r="AJ52" i="17" s="1"/>
  <c r="AE51" i="17"/>
  <c r="AG102" i="17"/>
  <c r="AG53" i="17"/>
  <c r="AG46" i="17"/>
  <c r="AG51" i="17"/>
  <c r="AI102" i="17"/>
  <c r="AI46" i="17"/>
  <c r="AI51" i="17"/>
  <c r="AL42" i="17"/>
  <c r="AM52" i="17" s="1"/>
  <c r="AK102" i="17"/>
  <c r="AK46" i="17"/>
  <c r="AK53" i="17"/>
  <c r="AK51" i="17"/>
  <c r="AM102" i="17"/>
  <c r="AM46" i="17"/>
  <c r="AP42" i="17"/>
  <c r="AS52" i="17" s="1"/>
  <c r="AN52" i="17"/>
  <c r="AM51" i="17"/>
  <c r="AO102" i="17"/>
  <c r="AO53" i="17"/>
  <c r="AO46" i="17"/>
  <c r="AO51" i="17"/>
  <c r="AQ102" i="17"/>
  <c r="AQ46" i="17"/>
  <c r="AQ51" i="17"/>
  <c r="AT42" i="17"/>
  <c r="AU52" i="17" s="1"/>
  <c r="AS102" i="17"/>
  <c r="AS46" i="17"/>
  <c r="AS53" i="17"/>
  <c r="AS51" i="17"/>
  <c r="AU102" i="17"/>
  <c r="AU46" i="17"/>
  <c r="AX42" i="17"/>
  <c r="AZ52" i="17" s="1"/>
  <c r="AU51" i="17"/>
  <c r="AW102" i="17"/>
  <c r="AW53" i="17"/>
  <c r="AW46" i="17"/>
  <c r="AW51" i="17"/>
  <c r="AY102" i="17"/>
  <c r="AY46" i="17"/>
  <c r="AY51" i="17"/>
  <c r="BB42" i="17"/>
  <c r="BA102" i="17"/>
  <c r="BA46" i="17"/>
  <c r="BA53" i="17"/>
  <c r="BA51" i="17"/>
  <c r="BC102" i="17"/>
  <c r="BC46" i="17"/>
  <c r="BF42" i="17"/>
  <c r="BH52" i="17" s="1"/>
  <c r="BC51" i="17"/>
  <c r="BE102" i="17"/>
  <c r="BE53" i="17"/>
  <c r="BE46" i="17"/>
  <c r="BE51" i="17"/>
  <c r="BG102" i="17"/>
  <c r="BG46" i="17"/>
  <c r="BG51" i="17"/>
  <c r="BJ42" i="17"/>
  <c r="BI102" i="17"/>
  <c r="BI46" i="17"/>
  <c r="BI53" i="17"/>
  <c r="BI51" i="17"/>
  <c r="BK102" i="17"/>
  <c r="BK46" i="17"/>
  <c r="BN42" i="17"/>
  <c r="BK51" i="17"/>
  <c r="BM102" i="17"/>
  <c r="BM53" i="17"/>
  <c r="BM46" i="17"/>
  <c r="BM51" i="17"/>
  <c r="BO102" i="17"/>
  <c r="BO46" i="17"/>
  <c r="BO51" i="17"/>
  <c r="BR42" i="17"/>
  <c r="BQ102" i="17"/>
  <c r="BQ46" i="17"/>
  <c r="BQ53" i="17"/>
  <c r="BQ51" i="17"/>
  <c r="BS102" i="17"/>
  <c r="BS46" i="17"/>
  <c r="BV42" i="17"/>
  <c r="BX52" i="17" s="1"/>
  <c r="BS51" i="17"/>
  <c r="BU102" i="17"/>
  <c r="BU53" i="17"/>
  <c r="BU46" i="17"/>
  <c r="BU51" i="17"/>
  <c r="BW102" i="17"/>
  <c r="BW46" i="17"/>
  <c r="BW51" i="17"/>
  <c r="BZ42" i="17"/>
  <c r="CA52" i="17" s="1"/>
  <c r="BY102" i="17"/>
  <c r="BY46" i="17"/>
  <c r="BY53" i="17"/>
  <c r="BY51" i="17"/>
  <c r="CA102" i="17"/>
  <c r="CA46" i="17"/>
  <c r="CD42" i="17"/>
  <c r="CF52" i="17" s="1"/>
  <c r="CA51" i="17"/>
  <c r="CC102" i="17"/>
  <c r="CC53" i="17"/>
  <c r="CC46" i="17"/>
  <c r="CC51" i="17"/>
  <c r="CE102" i="17"/>
  <c r="CE46" i="17"/>
  <c r="CE51" i="17"/>
  <c r="CH42" i="17"/>
  <c r="CI52" i="17" s="1"/>
  <c r="CG102" i="17"/>
  <c r="CG46" i="17"/>
  <c r="CG53" i="17"/>
  <c r="CG51" i="17"/>
  <c r="CI102" i="17"/>
  <c r="CI46" i="17"/>
  <c r="CL42" i="17"/>
  <c r="CN52" i="17" s="1"/>
  <c r="CI51" i="17"/>
  <c r="CK102" i="17"/>
  <c r="CK53" i="17"/>
  <c r="CK46" i="17"/>
  <c r="CK51" i="17"/>
  <c r="CM102" i="17"/>
  <c r="CM46" i="17"/>
  <c r="CM51" i="17"/>
  <c r="CP42" i="17"/>
  <c r="CO102" i="17"/>
  <c r="CO46" i="17"/>
  <c r="CO53" i="17"/>
  <c r="CO51" i="17"/>
  <c r="G71" i="17"/>
  <c r="G70" i="17"/>
  <c r="I71" i="17"/>
  <c r="I70" i="17"/>
  <c r="K71" i="17"/>
  <c r="K70" i="17"/>
  <c r="M71" i="17"/>
  <c r="M70" i="17"/>
  <c r="O71" i="17"/>
  <c r="O70" i="17"/>
  <c r="Q71" i="17"/>
  <c r="Q70" i="17"/>
  <c r="S71" i="17"/>
  <c r="S70" i="17"/>
  <c r="U71" i="17"/>
  <c r="U70" i="17"/>
  <c r="W71" i="17"/>
  <c r="W70" i="17"/>
  <c r="Y71" i="17"/>
  <c r="Y70" i="17"/>
  <c r="AA71" i="17"/>
  <c r="AA70" i="17"/>
  <c r="AC71" i="17"/>
  <c r="AC70" i="17"/>
  <c r="AE71" i="17"/>
  <c r="AE70" i="17"/>
  <c r="AG71" i="17"/>
  <c r="AG70" i="17"/>
  <c r="AI71" i="17"/>
  <c r="AI70" i="17"/>
  <c r="AK71" i="17"/>
  <c r="AK70" i="17"/>
  <c r="AM71" i="17"/>
  <c r="AM70" i="17"/>
  <c r="AO71" i="17"/>
  <c r="AO70" i="17"/>
  <c r="AQ71" i="17"/>
  <c r="AQ70" i="17"/>
  <c r="AS71" i="17"/>
  <c r="AS70" i="17"/>
  <c r="AU71" i="17"/>
  <c r="AU70" i="17"/>
  <c r="AW71" i="17"/>
  <c r="AW70" i="17"/>
  <c r="AY71" i="17"/>
  <c r="AY70" i="17"/>
  <c r="BA71" i="17"/>
  <c r="BA70" i="17"/>
  <c r="BC71" i="17"/>
  <c r="BC70" i="17"/>
  <c r="BE71" i="17"/>
  <c r="BE70" i="17"/>
  <c r="BG71" i="17"/>
  <c r="BK92" i="17" s="1"/>
  <c r="BG70" i="17"/>
  <c r="BI71" i="17"/>
  <c r="BM92" i="17" s="1"/>
  <c r="BI70" i="17"/>
  <c r="BN72" i="17"/>
  <c r="BQ93" i="17" s="1"/>
  <c r="BM94" i="17"/>
  <c r="BM87" i="17"/>
  <c r="BO87" i="17"/>
  <c r="BR72" i="17"/>
  <c r="BS93" i="17" s="1"/>
  <c r="BO92" i="17"/>
  <c r="BQ87" i="17"/>
  <c r="BQ94" i="17"/>
  <c r="BQ92" i="17"/>
  <c r="BS87" i="17"/>
  <c r="BS92" i="17"/>
  <c r="BV72" i="17"/>
  <c r="BX93" i="17" s="1"/>
  <c r="BU94" i="17"/>
  <c r="BU87" i="17"/>
  <c r="BU92" i="17"/>
  <c r="BW87" i="17"/>
  <c r="BZ72" i="17"/>
  <c r="BW92" i="17"/>
  <c r="BY87" i="17"/>
  <c r="BY94" i="17"/>
  <c r="BY92" i="17"/>
  <c r="CA87" i="17"/>
  <c r="CA92" i="17"/>
  <c r="CD72" i="17"/>
  <c r="CF93" i="17" s="1"/>
  <c r="CC94" i="17"/>
  <c r="CC87" i="17"/>
  <c r="CC92" i="17"/>
  <c r="CE87" i="17"/>
  <c r="CH72" i="17"/>
  <c r="CE92" i="17"/>
  <c r="CG87" i="17"/>
  <c r="CG94" i="17"/>
  <c r="CG92" i="17"/>
  <c r="CI87" i="17"/>
  <c r="CI92" i="17"/>
  <c r="CL72" i="17"/>
  <c r="CN93" i="17" s="1"/>
  <c r="CK94" i="17"/>
  <c r="CK87" i="17"/>
  <c r="CK92" i="17"/>
  <c r="CM87" i="17"/>
  <c r="CP72" i="17"/>
  <c r="CM92" i="17"/>
  <c r="CO87" i="17"/>
  <c r="CO94" i="17"/>
  <c r="CO92" i="17"/>
  <c r="G134" i="17"/>
  <c r="G142" i="17"/>
  <c r="J125" i="17"/>
  <c r="I134" i="17"/>
  <c r="I10" i="17" s="1"/>
  <c r="I142" i="17"/>
  <c r="I129" i="17"/>
  <c r="K134" i="17"/>
  <c r="N125" i="17"/>
  <c r="K142" i="17"/>
  <c r="K129" i="17"/>
  <c r="M134" i="17"/>
  <c r="M142" i="17"/>
  <c r="M129" i="17"/>
  <c r="O134" i="17"/>
  <c r="O142" i="17"/>
  <c r="O129" i="17"/>
  <c r="R125" i="17"/>
  <c r="Q134" i="17"/>
  <c r="Q142" i="17"/>
  <c r="Q129" i="17"/>
  <c r="S134" i="17"/>
  <c r="V125" i="17"/>
  <c r="S142" i="17"/>
  <c r="S129" i="17"/>
  <c r="U134" i="17"/>
  <c r="U142" i="17"/>
  <c r="U129" i="17"/>
  <c r="W134" i="17"/>
  <c r="W142" i="17"/>
  <c r="W129" i="17"/>
  <c r="Z125" i="17"/>
  <c r="Y134" i="17"/>
  <c r="Y142" i="17"/>
  <c r="Y129" i="17"/>
  <c r="AA134" i="17"/>
  <c r="AD125" i="17"/>
  <c r="AA142" i="17"/>
  <c r="AA129" i="17"/>
  <c r="AC134" i="17"/>
  <c r="AC142" i="17"/>
  <c r="AC129" i="17"/>
  <c r="AE134" i="17"/>
  <c r="AE142" i="17"/>
  <c r="AE129" i="17"/>
  <c r="AH125" i="17"/>
  <c r="AG134" i="17"/>
  <c r="AG142" i="17"/>
  <c r="AG129" i="17"/>
  <c r="AI134" i="17"/>
  <c r="AL125" i="17"/>
  <c r="AI142" i="17"/>
  <c r="AI129" i="17"/>
  <c r="AK134" i="17"/>
  <c r="AK142" i="17"/>
  <c r="AK129" i="17"/>
  <c r="AM134" i="17"/>
  <c r="AM142" i="17"/>
  <c r="AM129" i="17"/>
  <c r="AP125" i="17"/>
  <c r="AO134" i="17"/>
  <c r="AO142" i="17"/>
  <c r="AO129" i="17"/>
  <c r="AQ134" i="17"/>
  <c r="AT125" i="17"/>
  <c r="AQ142" i="17"/>
  <c r="AQ129" i="17"/>
  <c r="AS134" i="17"/>
  <c r="AS142" i="17"/>
  <c r="AS129" i="17"/>
  <c r="AU134" i="17"/>
  <c r="AU142" i="17"/>
  <c r="AU129" i="17"/>
  <c r="AX125" i="17"/>
  <c r="AW134" i="17"/>
  <c r="AW142" i="17"/>
  <c r="AW129" i="17"/>
  <c r="AY134" i="17"/>
  <c r="BB125" i="17"/>
  <c r="AY142" i="17"/>
  <c r="AY129" i="17"/>
  <c r="BA134" i="17"/>
  <c r="BA142" i="17"/>
  <c r="BA129" i="17"/>
  <c r="BC134" i="17"/>
  <c r="BC142" i="17"/>
  <c r="BC129" i="17"/>
  <c r="BF125" i="17"/>
  <c r="BE134" i="17"/>
  <c r="BE142" i="17"/>
  <c r="BE129" i="17"/>
  <c r="BG134" i="17"/>
  <c r="BJ125" i="17"/>
  <c r="BG142" i="17"/>
  <c r="BG129" i="17"/>
  <c r="BI134" i="17"/>
  <c r="BI142" i="17"/>
  <c r="BI129" i="17"/>
  <c r="BK134" i="17"/>
  <c r="BK142" i="17"/>
  <c r="BK129" i="17"/>
  <c r="BN125" i="17"/>
  <c r="BM134" i="17"/>
  <c r="BM142" i="17"/>
  <c r="BM129" i="17"/>
  <c r="BO134" i="17"/>
  <c r="BR125" i="17"/>
  <c r="BO142" i="17"/>
  <c r="BO129" i="17"/>
  <c r="BQ134" i="17"/>
  <c r="BQ142" i="17"/>
  <c r="BQ129" i="17"/>
  <c r="BS134" i="17"/>
  <c r="BS142" i="17"/>
  <c r="BS129" i="17"/>
  <c r="BV125" i="17"/>
  <c r="BU134" i="17"/>
  <c r="BU142" i="17"/>
  <c r="BU129" i="17"/>
  <c r="BW134" i="17"/>
  <c r="BZ125" i="17"/>
  <c r="BW142" i="17"/>
  <c r="BW129" i="17"/>
  <c r="BY134" i="17"/>
  <c r="BY142" i="17"/>
  <c r="BY129" i="17"/>
  <c r="CA134" i="17"/>
  <c r="CA142" i="17"/>
  <c r="CA129" i="17"/>
  <c r="CD125" i="17"/>
  <c r="CC134" i="17"/>
  <c r="CC142" i="17"/>
  <c r="CC129" i="17"/>
  <c r="CE134" i="17"/>
  <c r="CH125" i="17"/>
  <c r="CE142" i="17"/>
  <c r="CE129" i="17"/>
  <c r="CG134" i="17"/>
  <c r="CG142" i="17"/>
  <c r="CG129" i="17"/>
  <c r="CI134" i="17"/>
  <c r="CI142" i="17"/>
  <c r="CI129" i="17"/>
  <c r="CL125" i="17"/>
  <c r="CK134" i="17"/>
  <c r="CK142" i="17"/>
  <c r="CK129" i="17"/>
  <c r="CM134" i="17"/>
  <c r="CP125" i="17"/>
  <c r="CM142" i="17"/>
  <c r="CM129" i="17"/>
  <c r="CO134" i="17"/>
  <c r="CO142" i="17"/>
  <c r="CO129" i="17"/>
  <c r="H170" i="17"/>
  <c r="H171" i="17"/>
  <c r="J170" i="17"/>
  <c r="J171" i="17"/>
  <c r="L170" i="17"/>
  <c r="L171" i="17"/>
  <c r="N170" i="17"/>
  <c r="N171" i="17"/>
  <c r="P170" i="17"/>
  <c r="P171" i="17"/>
  <c r="R170" i="17"/>
  <c r="R171" i="17"/>
  <c r="T170" i="17"/>
  <c r="T171" i="17"/>
  <c r="V170" i="17"/>
  <c r="V171" i="17"/>
  <c r="X170" i="17"/>
  <c r="X171" i="17"/>
  <c r="Z170" i="17"/>
  <c r="Z171" i="17"/>
  <c r="AB170" i="17"/>
  <c r="AB171" i="17"/>
  <c r="AD170" i="17"/>
  <c r="AD171" i="17"/>
  <c r="AF170" i="17"/>
  <c r="AF171" i="17"/>
  <c r="AH170" i="17"/>
  <c r="AH171" i="17"/>
  <c r="AJ170" i="17"/>
  <c r="AJ171" i="17"/>
  <c r="AL170" i="17"/>
  <c r="AL171" i="17"/>
  <c r="AN170" i="17"/>
  <c r="AN171" i="17"/>
  <c r="AP170" i="17"/>
  <c r="AP171" i="17"/>
  <c r="AR170" i="17"/>
  <c r="AR171" i="17"/>
  <c r="AT170" i="17"/>
  <c r="AT171" i="17"/>
  <c r="AV170" i="17"/>
  <c r="AV171" i="17"/>
  <c r="AX170" i="17"/>
  <c r="AX171" i="17"/>
  <c r="AZ170" i="17"/>
  <c r="AZ171" i="17"/>
  <c r="BB170" i="17"/>
  <c r="BB171" i="17"/>
  <c r="BD170" i="17"/>
  <c r="BD171" i="17"/>
  <c r="BF170" i="17"/>
  <c r="BF171" i="17"/>
  <c r="BH170" i="17"/>
  <c r="BH171" i="17"/>
  <c r="BL189" i="17" s="1"/>
  <c r="BJ170" i="17"/>
  <c r="BJ171" i="17"/>
  <c r="BN189" i="17" s="1"/>
  <c r="BL184" i="17"/>
  <c r="BL183" i="17" s="1"/>
  <c r="BL199" i="17"/>
  <c r="BL191" i="17"/>
  <c r="BN184" i="17"/>
  <c r="BN183" i="17" s="1"/>
  <c r="BN199" i="17"/>
  <c r="BP191" i="17"/>
  <c r="BP189" i="17"/>
  <c r="BP184" i="17"/>
  <c r="BP183" i="17" s="1"/>
  <c r="BP199" i="17"/>
  <c r="BR189" i="17"/>
  <c r="BR184" i="17"/>
  <c r="BR183" i="17" s="1"/>
  <c r="BR199" i="17"/>
  <c r="BT189" i="17"/>
  <c r="BT184" i="17"/>
  <c r="BT183" i="17" s="1"/>
  <c r="BT199" i="17"/>
  <c r="BT191" i="17"/>
  <c r="BV189" i="17"/>
  <c r="BV184" i="17"/>
  <c r="BV183" i="17" s="1"/>
  <c r="BV199" i="17"/>
  <c r="BX191" i="17"/>
  <c r="BX189" i="17"/>
  <c r="BX184" i="17"/>
  <c r="BX183" i="17" s="1"/>
  <c r="BX199" i="17"/>
  <c r="BZ189" i="17"/>
  <c r="BZ184" i="17"/>
  <c r="BZ183" i="17" s="1"/>
  <c r="BZ199" i="17"/>
  <c r="CB189" i="17"/>
  <c r="CB184" i="17"/>
  <c r="CB183" i="17" s="1"/>
  <c r="CB199" i="17"/>
  <c r="CB191" i="17"/>
  <c r="CD189" i="17"/>
  <c r="CD184" i="17"/>
  <c r="CD183" i="17" s="1"/>
  <c r="CD199" i="17"/>
  <c r="CF191" i="17"/>
  <c r="CF189" i="17"/>
  <c r="CF184" i="17"/>
  <c r="CF183" i="17" s="1"/>
  <c r="CF199" i="17"/>
  <c r="CH189" i="17"/>
  <c r="CH184" i="17"/>
  <c r="CH183" i="17" s="1"/>
  <c r="CH199" i="17"/>
  <c r="CJ189" i="17"/>
  <c r="CJ184" i="17"/>
  <c r="CJ183" i="17" s="1"/>
  <c r="CJ199" i="17"/>
  <c r="CJ191" i="17"/>
  <c r="CL189" i="17"/>
  <c r="CL184" i="17"/>
  <c r="CL183" i="17" s="1"/>
  <c r="CL199" i="17"/>
  <c r="CN191" i="17"/>
  <c r="CN189" i="17"/>
  <c r="CN184" i="17"/>
  <c r="CN183" i="17" s="1"/>
  <c r="CN199" i="17"/>
  <c r="CP189" i="17"/>
  <c r="CP184" i="17"/>
  <c r="CP183" i="17" s="1"/>
  <c r="CP199" i="17"/>
  <c r="H228" i="17"/>
  <c r="H227" i="17"/>
  <c r="J228" i="17"/>
  <c r="J227" i="17"/>
  <c r="L228" i="17"/>
  <c r="L227" i="17"/>
  <c r="N228" i="17"/>
  <c r="N227" i="17"/>
  <c r="P228" i="17"/>
  <c r="P227" i="17"/>
  <c r="R228" i="17"/>
  <c r="R227" i="17"/>
  <c r="T228" i="17"/>
  <c r="T227" i="17"/>
  <c r="V228" i="17"/>
  <c r="V227" i="17"/>
  <c r="X228" i="17"/>
  <c r="X227" i="17"/>
  <c r="Z228" i="17"/>
  <c r="Z227" i="17"/>
  <c r="AB228" i="17"/>
  <c r="AB227" i="17"/>
  <c r="AD228" i="17"/>
  <c r="AD227" i="17"/>
  <c r="AF228" i="17"/>
  <c r="AF227" i="17"/>
  <c r="AH228" i="17"/>
  <c r="AH227" i="17"/>
  <c r="AJ228" i="17"/>
  <c r="AJ227" i="17"/>
  <c r="AL228" i="17"/>
  <c r="AL227" i="17"/>
  <c r="AN228" i="17"/>
  <c r="AN227" i="17"/>
  <c r="AP228" i="17"/>
  <c r="AP227" i="17"/>
  <c r="AR228" i="17"/>
  <c r="AR227" i="17"/>
  <c r="AT228" i="17"/>
  <c r="AT227" i="17"/>
  <c r="AV228" i="17"/>
  <c r="AV227" i="17"/>
  <c r="AX228" i="17"/>
  <c r="AX227" i="17"/>
  <c r="AZ228" i="17"/>
  <c r="AZ227" i="17"/>
  <c r="BB228" i="17"/>
  <c r="BB227" i="17"/>
  <c r="BD228" i="17"/>
  <c r="BD227" i="17"/>
  <c r="BF228" i="17"/>
  <c r="BF227" i="17"/>
  <c r="BH228" i="17"/>
  <c r="BL246" i="17" s="1"/>
  <c r="BH227" i="17"/>
  <c r="BJ228" i="17"/>
  <c r="BN246" i="17" s="1"/>
  <c r="BJ227" i="17"/>
  <c r="BL248" i="17"/>
  <c r="BL241" i="17"/>
  <c r="BN241" i="17"/>
  <c r="BP248" i="17"/>
  <c r="BP241" i="17"/>
  <c r="BP246" i="17"/>
  <c r="BR246" i="17"/>
  <c r="BR241" i="17"/>
  <c r="BT248" i="17"/>
  <c r="BT241" i="17"/>
  <c r="BT246" i="17"/>
  <c r="BV246" i="17"/>
  <c r="BV241" i="17"/>
  <c r="BX241" i="17"/>
  <c r="BX248" i="17"/>
  <c r="BX246" i="17"/>
  <c r="BZ246" i="17"/>
  <c r="BZ241" i="17"/>
  <c r="CB248" i="17"/>
  <c r="CB241" i="17"/>
  <c r="CB246" i="17"/>
  <c r="CD246" i="17"/>
  <c r="CD241" i="17"/>
  <c r="CF248" i="17"/>
  <c r="CF241" i="17"/>
  <c r="CF246" i="17"/>
  <c r="CH246" i="17"/>
  <c r="CH241" i="17"/>
  <c r="CJ248" i="17"/>
  <c r="CJ241" i="17"/>
  <c r="CJ246" i="17"/>
  <c r="CL246" i="17"/>
  <c r="CL241" i="17"/>
  <c r="CN241" i="17"/>
  <c r="CN248" i="17"/>
  <c r="CN246" i="17"/>
  <c r="CP246" i="17"/>
  <c r="CP241" i="17"/>
  <c r="H110" i="17"/>
  <c r="H9" i="17" s="1"/>
  <c r="H141" i="17"/>
  <c r="J110" i="17"/>
  <c r="J9" i="17" s="1"/>
  <c r="J141" i="17"/>
  <c r="L110" i="17"/>
  <c r="L141" i="17"/>
  <c r="L117" i="17"/>
  <c r="L115" i="17"/>
  <c r="N110" i="17"/>
  <c r="N141" i="17"/>
  <c r="N115" i="17"/>
  <c r="P117" i="17"/>
  <c r="P110" i="17"/>
  <c r="P141" i="17"/>
  <c r="P115" i="17"/>
  <c r="R110" i="17"/>
  <c r="R141" i="17"/>
  <c r="R115" i="17"/>
  <c r="T110" i="17"/>
  <c r="T141" i="17"/>
  <c r="T117" i="17"/>
  <c r="T115" i="17"/>
  <c r="V110" i="17"/>
  <c r="V141" i="17"/>
  <c r="V115" i="17"/>
  <c r="X117" i="17"/>
  <c r="X110" i="17"/>
  <c r="X141" i="17"/>
  <c r="X115" i="17"/>
  <c r="Z110" i="17"/>
  <c r="Z141" i="17"/>
  <c r="Z115" i="17"/>
  <c r="AB110" i="17"/>
  <c r="AB141" i="17"/>
  <c r="AB117" i="17"/>
  <c r="AB115" i="17"/>
  <c r="AD110" i="17"/>
  <c r="AD141" i="17"/>
  <c r="AD115" i="17"/>
  <c r="AF117" i="17"/>
  <c r="AF110" i="17"/>
  <c r="AF141" i="17"/>
  <c r="AF115" i="17"/>
  <c r="AH110" i="17"/>
  <c r="AH141" i="17"/>
  <c r="AH115" i="17"/>
  <c r="AJ110" i="17"/>
  <c r="AJ141" i="17"/>
  <c r="AJ117" i="17"/>
  <c r="AJ115" i="17"/>
  <c r="AL110" i="17"/>
  <c r="AL141" i="17"/>
  <c r="AL115" i="17"/>
  <c r="AN117" i="17"/>
  <c r="AN110" i="17"/>
  <c r="AN141" i="17"/>
  <c r="AN115" i="17"/>
  <c r="AP110" i="17"/>
  <c r="AP141" i="17"/>
  <c r="AP115" i="17"/>
  <c r="AR110" i="17"/>
  <c r="AR141" i="17"/>
  <c r="AR117" i="17"/>
  <c r="AR115" i="17"/>
  <c r="AT110" i="17"/>
  <c r="AT141" i="17"/>
  <c r="AT115" i="17"/>
  <c r="AV117" i="17"/>
  <c r="AV110" i="17"/>
  <c r="AV141" i="17"/>
  <c r="AV115" i="17"/>
  <c r="AX110" i="17"/>
  <c r="AX141" i="17"/>
  <c r="AX115" i="17"/>
  <c r="AZ110" i="17"/>
  <c r="AZ141" i="17"/>
  <c r="AZ117" i="17"/>
  <c r="AZ115" i="17"/>
  <c r="BB110" i="17"/>
  <c r="BB141" i="17"/>
  <c r="BB115" i="17"/>
  <c r="BD117" i="17"/>
  <c r="BD110" i="17"/>
  <c r="BD141" i="17"/>
  <c r="BD115" i="17"/>
  <c r="BF110" i="17"/>
  <c r="BF141" i="17"/>
  <c r="BF115" i="17"/>
  <c r="BH110" i="17"/>
  <c r="BH141" i="17"/>
  <c r="BH117" i="17"/>
  <c r="BH115" i="17"/>
  <c r="BJ110" i="17"/>
  <c r="BJ141" i="17"/>
  <c r="BJ115" i="17"/>
  <c r="BL117" i="17"/>
  <c r="BL110" i="17"/>
  <c r="BL141" i="17"/>
  <c r="BL115" i="17"/>
  <c r="BN110" i="17"/>
  <c r="BN141" i="17"/>
  <c r="BN115" i="17"/>
  <c r="BP110" i="17"/>
  <c r="BP141" i="17"/>
  <c r="BP117" i="17"/>
  <c r="BP115" i="17"/>
  <c r="BR110" i="17"/>
  <c r="BR141" i="17"/>
  <c r="BR115" i="17"/>
  <c r="BT117" i="17"/>
  <c r="BT110" i="17"/>
  <c r="BT141" i="17"/>
  <c r="BT115" i="17"/>
  <c r="BV110" i="17"/>
  <c r="BV141" i="17"/>
  <c r="BV115" i="17"/>
  <c r="BX110" i="17"/>
  <c r="BX141" i="17"/>
  <c r="BX117" i="17"/>
  <c r="BX115" i="17"/>
  <c r="BZ110" i="17"/>
  <c r="BZ141" i="17"/>
  <c r="BZ115" i="17"/>
  <c r="CB117" i="17"/>
  <c r="CB110" i="17"/>
  <c r="CB141" i="17"/>
  <c r="CB115" i="17"/>
  <c r="CD110" i="17"/>
  <c r="CD141" i="17"/>
  <c r="CD115" i="17"/>
  <c r="CF110" i="17"/>
  <c r="CF141" i="17"/>
  <c r="CF117" i="17"/>
  <c r="CF115" i="17"/>
  <c r="CH110" i="17"/>
  <c r="CH141" i="17"/>
  <c r="CH115" i="17"/>
  <c r="CJ117" i="17"/>
  <c r="CJ110" i="17"/>
  <c r="CJ141" i="17"/>
  <c r="CJ115" i="17"/>
  <c r="CL110" i="17"/>
  <c r="CL141" i="17"/>
  <c r="CL115" i="17"/>
  <c r="CN110" i="17"/>
  <c r="CN141" i="17"/>
  <c r="CN117" i="17"/>
  <c r="CN115" i="17"/>
  <c r="CP110" i="17"/>
  <c r="CP141" i="17"/>
  <c r="CP115" i="17"/>
  <c r="H198" i="17"/>
  <c r="H149" i="17"/>
  <c r="H11" i="17" s="1"/>
  <c r="J198" i="17"/>
  <c r="J149" i="17"/>
  <c r="J11" i="17" s="1"/>
  <c r="L198" i="17"/>
  <c r="L149" i="17"/>
  <c r="L156" i="17"/>
  <c r="L154" i="17"/>
  <c r="N198" i="17"/>
  <c r="N149" i="17"/>
  <c r="N154" i="17"/>
  <c r="P198" i="17"/>
  <c r="P156" i="17"/>
  <c r="P149" i="17"/>
  <c r="P154" i="17"/>
  <c r="R198" i="17"/>
  <c r="R149" i="17"/>
  <c r="R154" i="17"/>
  <c r="T198" i="17"/>
  <c r="T149" i="17"/>
  <c r="T156" i="17"/>
  <c r="T154" i="17"/>
  <c r="V198" i="17"/>
  <c r="V149" i="17"/>
  <c r="V154" i="17"/>
  <c r="X198" i="17"/>
  <c r="X156" i="17"/>
  <c r="X149" i="17"/>
  <c r="X154" i="17"/>
  <c r="Z198" i="17"/>
  <c r="Z149" i="17"/>
  <c r="Z154" i="17"/>
  <c r="AB198" i="17"/>
  <c r="AB149" i="17"/>
  <c r="AB156" i="17"/>
  <c r="AB154" i="17"/>
  <c r="AD198" i="17"/>
  <c r="AD149" i="17"/>
  <c r="AD154" i="17"/>
  <c r="AF198" i="17"/>
  <c r="AF156" i="17"/>
  <c r="AF149" i="17"/>
  <c r="AF154" i="17"/>
  <c r="AH198" i="17"/>
  <c r="AH149" i="17"/>
  <c r="AH154" i="17"/>
  <c r="AJ198" i="17"/>
  <c r="AJ149" i="17"/>
  <c r="AJ156" i="17"/>
  <c r="AJ154" i="17"/>
  <c r="AL198" i="17"/>
  <c r="AL149" i="17"/>
  <c r="AL154" i="17"/>
  <c r="AN198" i="17"/>
  <c r="AN156" i="17"/>
  <c r="AN149" i="17"/>
  <c r="AN154" i="17"/>
  <c r="AP198" i="17"/>
  <c r="AP149" i="17"/>
  <c r="AP154" i="17"/>
  <c r="AR198" i="17"/>
  <c r="AR149" i="17"/>
  <c r="AR156" i="17"/>
  <c r="AR154" i="17"/>
  <c r="AT198" i="17"/>
  <c r="AT149" i="17"/>
  <c r="AT154" i="17"/>
  <c r="AV198" i="17"/>
  <c r="AV156" i="17"/>
  <c r="AV149" i="17"/>
  <c r="AV154" i="17"/>
  <c r="AX198" i="17"/>
  <c r="AX149" i="17"/>
  <c r="AX154" i="17"/>
  <c r="AZ198" i="17"/>
  <c r="AZ149" i="17"/>
  <c r="AZ156" i="17"/>
  <c r="AZ154" i="17"/>
  <c r="BB198" i="17"/>
  <c r="BB149" i="17"/>
  <c r="BB154" i="17"/>
  <c r="BD198" i="17"/>
  <c r="BD156" i="17"/>
  <c r="BD149" i="17"/>
  <c r="BD154" i="17"/>
  <c r="BF198" i="17"/>
  <c r="BF149" i="17"/>
  <c r="BF154" i="17"/>
  <c r="BH198" i="17"/>
  <c r="BH149" i="17"/>
  <c r="BH156" i="17"/>
  <c r="BH154" i="17"/>
  <c r="BJ198" i="17"/>
  <c r="BJ149" i="17"/>
  <c r="BJ154" i="17"/>
  <c r="BL198" i="17"/>
  <c r="BL156" i="17"/>
  <c r="BL149" i="17"/>
  <c r="BL154" i="17"/>
  <c r="BN198" i="17"/>
  <c r="BN149" i="17"/>
  <c r="BN154" i="17"/>
  <c r="BP198" i="17"/>
  <c r="BP149" i="17"/>
  <c r="BP156" i="17"/>
  <c r="BP154" i="17"/>
  <c r="BR198" i="17"/>
  <c r="BR149" i="17"/>
  <c r="BR154" i="17"/>
  <c r="BT198" i="17"/>
  <c r="BT156" i="17"/>
  <c r="BT149" i="17"/>
  <c r="BT154" i="17"/>
  <c r="BV198" i="17"/>
  <c r="BV149" i="17"/>
  <c r="BV154" i="17"/>
  <c r="BX198" i="17"/>
  <c r="BX149" i="17"/>
  <c r="BX156" i="17"/>
  <c r="BX154" i="17"/>
  <c r="BZ198" i="17"/>
  <c r="BZ149" i="17"/>
  <c r="BZ154" i="17"/>
  <c r="CB198" i="17"/>
  <c r="CB156" i="17"/>
  <c r="CB149" i="17"/>
  <c r="CB154" i="17"/>
  <c r="CD198" i="17"/>
  <c r="CD149" i="17"/>
  <c r="CD154" i="17"/>
  <c r="CF198" i="17"/>
  <c r="CF149" i="17"/>
  <c r="CF156" i="17"/>
  <c r="CF154" i="17"/>
  <c r="CH198" i="17"/>
  <c r="CH149" i="17"/>
  <c r="CH154" i="17"/>
  <c r="CJ198" i="17"/>
  <c r="CJ156" i="17"/>
  <c r="CJ149" i="17"/>
  <c r="CJ154" i="17"/>
  <c r="CL198" i="17"/>
  <c r="CL149" i="17"/>
  <c r="CL154" i="17"/>
  <c r="CN198" i="17"/>
  <c r="CN149" i="17"/>
  <c r="CN156" i="17"/>
  <c r="CN154" i="17"/>
  <c r="CP198" i="17"/>
  <c r="CP149" i="17"/>
  <c r="CP154" i="17"/>
  <c r="H255" i="17"/>
  <c r="H206" i="17"/>
  <c r="H13" i="17" s="1"/>
  <c r="J255" i="17"/>
  <c r="J206" i="17"/>
  <c r="J13" i="17" s="1"/>
  <c r="L255" i="17"/>
  <c r="L206" i="17"/>
  <c r="L213" i="17"/>
  <c r="L211" i="17"/>
  <c r="N255" i="17"/>
  <c r="N206" i="17"/>
  <c r="N211" i="17"/>
  <c r="P255" i="17"/>
  <c r="P213" i="17"/>
  <c r="P206" i="17"/>
  <c r="P211" i="17"/>
  <c r="R255" i="17"/>
  <c r="R206" i="17"/>
  <c r="R211" i="17"/>
  <c r="T255" i="17"/>
  <c r="T206" i="17"/>
  <c r="T213" i="17"/>
  <c r="T211" i="17"/>
  <c r="V255" i="17"/>
  <c r="V206" i="17"/>
  <c r="V211" i="17"/>
  <c r="X255" i="17"/>
  <c r="X213" i="17"/>
  <c r="X206" i="17"/>
  <c r="X211" i="17"/>
  <c r="Z255" i="17"/>
  <c r="Z206" i="17"/>
  <c r="Z211" i="17"/>
  <c r="AB255" i="17"/>
  <c r="AB206" i="17"/>
  <c r="AB213" i="17"/>
  <c r="AB211" i="17"/>
  <c r="AD255" i="17"/>
  <c r="AD206" i="17"/>
  <c r="AD211" i="17"/>
  <c r="AF255" i="17"/>
  <c r="AF213" i="17"/>
  <c r="AF206" i="17"/>
  <c r="AF211" i="17"/>
  <c r="AH255" i="17"/>
  <c r="AH206" i="17"/>
  <c r="AH211" i="17"/>
  <c r="AJ255" i="17"/>
  <c r="AJ206" i="17"/>
  <c r="AJ213" i="17"/>
  <c r="AJ211" i="17"/>
  <c r="AL255" i="17"/>
  <c r="AL206" i="17"/>
  <c r="AL211" i="17"/>
  <c r="AN255" i="17"/>
  <c r="AN213" i="17"/>
  <c r="AN206" i="17"/>
  <c r="AN211" i="17"/>
  <c r="AP255" i="17"/>
  <c r="AP206" i="17"/>
  <c r="AP211" i="17"/>
  <c r="AR255" i="17"/>
  <c r="AR206" i="17"/>
  <c r="AR213" i="17"/>
  <c r="AR211" i="17"/>
  <c r="AT255" i="17"/>
  <c r="AT206" i="17"/>
  <c r="AT211" i="17"/>
  <c r="AV255" i="17"/>
  <c r="AV213" i="17"/>
  <c r="AV206" i="17"/>
  <c r="AV211" i="17"/>
  <c r="AX255" i="17"/>
  <c r="AX206" i="17"/>
  <c r="AX211" i="17"/>
  <c r="AZ255" i="17"/>
  <c r="AZ206" i="17"/>
  <c r="AZ213" i="17"/>
  <c r="AZ211" i="17"/>
  <c r="BB255" i="17"/>
  <c r="BB206" i="17"/>
  <c r="BB211" i="17"/>
  <c r="BD255" i="17"/>
  <c r="BD213" i="17"/>
  <c r="BD206" i="17"/>
  <c r="BD211" i="17"/>
  <c r="BF255" i="17"/>
  <c r="BF206" i="17"/>
  <c r="BF211" i="17"/>
  <c r="BH255" i="17"/>
  <c r="BH206" i="17"/>
  <c r="BH213" i="17"/>
  <c r="BH211" i="17"/>
  <c r="BJ255" i="17"/>
  <c r="BJ206" i="17"/>
  <c r="BJ211" i="17"/>
  <c r="BL255" i="17"/>
  <c r="BL213" i="17"/>
  <c r="BL206" i="17"/>
  <c r="BL211" i="17"/>
  <c r="BN255" i="17"/>
  <c r="BN206" i="17"/>
  <c r="BN211" i="17"/>
  <c r="BP255" i="17"/>
  <c r="BP206" i="17"/>
  <c r="BP213" i="17"/>
  <c r="BP211" i="17"/>
  <c r="BR255" i="17"/>
  <c r="BR206" i="17"/>
  <c r="BR211" i="17"/>
  <c r="BT255" i="17"/>
  <c r="BT213" i="17"/>
  <c r="BT206" i="17"/>
  <c r="BT211" i="17"/>
  <c r="BV255" i="17"/>
  <c r="BV206" i="17"/>
  <c r="BV211" i="17"/>
  <c r="BX255" i="17"/>
  <c r="BX206" i="17"/>
  <c r="BX213" i="17"/>
  <c r="BX211" i="17"/>
  <c r="BZ255" i="17"/>
  <c r="BZ206" i="17"/>
  <c r="BZ211" i="17"/>
  <c r="CB255" i="17"/>
  <c r="CB213" i="17"/>
  <c r="CB206" i="17"/>
  <c r="CB211" i="17"/>
  <c r="CD255" i="17"/>
  <c r="CD206" i="17"/>
  <c r="CD211" i="17"/>
  <c r="CF255" i="17"/>
  <c r="CF206" i="17"/>
  <c r="CF213" i="17"/>
  <c r="CF211" i="17"/>
  <c r="CH255" i="17"/>
  <c r="CH206" i="17"/>
  <c r="CH211" i="17"/>
  <c r="CJ255" i="17"/>
  <c r="CJ213" i="17"/>
  <c r="CJ206" i="17"/>
  <c r="CJ211" i="17"/>
  <c r="CL255" i="17"/>
  <c r="CL206" i="17"/>
  <c r="CL211" i="17"/>
  <c r="CN255" i="17"/>
  <c r="CN206" i="17"/>
  <c r="CN213" i="17"/>
  <c r="CN211" i="17"/>
  <c r="CP255" i="17"/>
  <c r="CP206" i="17"/>
  <c r="CP119" i="17" s="1"/>
  <c r="CP211" i="17"/>
  <c r="H263" i="17"/>
  <c r="H15" i="17" s="1"/>
  <c r="J263" i="17"/>
  <c r="J15" i="17" s="1"/>
  <c r="L270" i="17"/>
  <c r="L268" i="17"/>
  <c r="L263" i="17"/>
  <c r="N268" i="17"/>
  <c r="N263" i="17"/>
  <c r="P268" i="17"/>
  <c r="P263" i="17"/>
  <c r="P270" i="17"/>
  <c r="R268" i="17"/>
  <c r="R263" i="17"/>
  <c r="T270" i="17"/>
  <c r="T268" i="17"/>
  <c r="T263" i="17"/>
  <c r="V268" i="17"/>
  <c r="V263" i="17"/>
  <c r="X268" i="17"/>
  <c r="X270" i="17"/>
  <c r="X263" i="17"/>
  <c r="Z268" i="17"/>
  <c r="Z263" i="17"/>
  <c r="AB270" i="17"/>
  <c r="AB268" i="17"/>
  <c r="AB263" i="17"/>
  <c r="AD268" i="17"/>
  <c r="AD263" i="17"/>
  <c r="AF268" i="17"/>
  <c r="AF263" i="17"/>
  <c r="AF270" i="17"/>
  <c r="AH268" i="17"/>
  <c r="AH263" i="17"/>
  <c r="AJ270" i="17"/>
  <c r="AJ268" i="17"/>
  <c r="AJ263" i="17"/>
  <c r="AL268" i="17"/>
  <c r="AL263" i="17"/>
  <c r="AN268" i="17"/>
  <c r="AN270" i="17"/>
  <c r="AN263" i="17"/>
  <c r="AP268" i="17"/>
  <c r="AP263" i="17"/>
  <c r="AR270" i="17"/>
  <c r="AR268" i="17"/>
  <c r="AR263" i="17"/>
  <c r="AT268" i="17"/>
  <c r="AT263" i="17"/>
  <c r="AV268" i="17"/>
  <c r="AV263" i="17"/>
  <c r="AV270" i="17"/>
  <c r="AX268" i="17"/>
  <c r="AX263" i="17"/>
  <c r="AZ270" i="17"/>
  <c r="AZ268" i="17"/>
  <c r="AZ263" i="17"/>
  <c r="BB268" i="17"/>
  <c r="BB263" i="17"/>
  <c r="BD268" i="17"/>
  <c r="BD270" i="17"/>
  <c r="BD263" i="17"/>
  <c r="BF268" i="17"/>
  <c r="BF263" i="17"/>
  <c r="BH270" i="17"/>
  <c r="BH268" i="17"/>
  <c r="BH263" i="17"/>
  <c r="BJ268" i="17"/>
  <c r="BJ263" i="17"/>
  <c r="BL268" i="17"/>
  <c r="BL263" i="17"/>
  <c r="BL270" i="17"/>
  <c r="BN268" i="17"/>
  <c r="BN263" i="17"/>
  <c r="BP270" i="17"/>
  <c r="BP268" i="17"/>
  <c r="BP263" i="17"/>
  <c r="BR268" i="17"/>
  <c r="BR263" i="17"/>
  <c r="BT268" i="17"/>
  <c r="BT270" i="17"/>
  <c r="BT263" i="17"/>
  <c r="BV268" i="17"/>
  <c r="BV263" i="17"/>
  <c r="BX270" i="17"/>
  <c r="BX268" i="17"/>
  <c r="BX263" i="17"/>
  <c r="BZ268" i="17"/>
  <c r="BZ263" i="17"/>
  <c r="CB268" i="17"/>
  <c r="CB263" i="17"/>
  <c r="CB270" i="17"/>
  <c r="CD268" i="17"/>
  <c r="CD263" i="17"/>
  <c r="CF270" i="17"/>
  <c r="CF268" i="17"/>
  <c r="CF263" i="17"/>
  <c r="CH268" i="17"/>
  <c r="CH263" i="17"/>
  <c r="CJ268" i="17"/>
  <c r="CJ270" i="17"/>
  <c r="CJ263" i="17"/>
  <c r="CL268" i="17"/>
  <c r="CL263" i="17"/>
  <c r="CN270" i="17"/>
  <c r="CN268" i="17"/>
  <c r="CN263" i="17"/>
  <c r="CP268" i="17"/>
  <c r="CP263" i="17"/>
  <c r="L317" i="17"/>
  <c r="N282" i="17"/>
  <c r="N284" i="17" s="1"/>
  <c r="N317" i="17"/>
  <c r="P317" i="17"/>
  <c r="R317" i="17"/>
  <c r="T317" i="17"/>
  <c r="V317" i="17"/>
  <c r="X317" i="17"/>
  <c r="Z317" i="17"/>
  <c r="AB317" i="17"/>
  <c r="AD317" i="17"/>
  <c r="AF317" i="17"/>
  <c r="AH317" i="17"/>
  <c r="AJ317" i="17"/>
  <c r="AL317" i="17"/>
  <c r="AN317" i="17"/>
  <c r="AN284" i="17"/>
  <c r="AP317" i="17"/>
  <c r="AP284" i="17"/>
  <c r="AR317" i="17"/>
  <c r="AT317" i="17"/>
  <c r="AV317" i="17"/>
  <c r="AX317" i="17"/>
  <c r="AZ317" i="17"/>
  <c r="BB317" i="17"/>
  <c r="BD317" i="17"/>
  <c r="BF317" i="17"/>
  <c r="BH317" i="17"/>
  <c r="P311" i="17"/>
  <c r="R311" i="17"/>
  <c r="T311" i="17"/>
  <c r="V311" i="17"/>
  <c r="X311" i="17"/>
  <c r="Z311" i="17"/>
  <c r="AB311" i="17"/>
  <c r="AD311" i="17"/>
  <c r="AF311" i="17"/>
  <c r="AH311" i="17"/>
  <c r="AJ311" i="17"/>
  <c r="AL311" i="17"/>
  <c r="AN311" i="17"/>
  <c r="AP311" i="17"/>
  <c r="AR311" i="17"/>
  <c r="AT311" i="17"/>
  <c r="AV311" i="17"/>
  <c r="AX311" i="17"/>
  <c r="AZ311" i="17"/>
  <c r="BB311" i="17"/>
  <c r="BD311" i="17"/>
  <c r="BF311" i="17"/>
  <c r="BH311" i="17"/>
  <c r="BJ311" i="17"/>
  <c r="BL311" i="17"/>
  <c r="BN311" i="17"/>
  <c r="BP311" i="17"/>
  <c r="BR311" i="17"/>
  <c r="BT311" i="17"/>
  <c r="BV311" i="17"/>
  <c r="BX311" i="17"/>
  <c r="BZ311" i="17"/>
  <c r="CB311" i="17"/>
  <c r="CD311" i="17"/>
  <c r="CF311" i="17"/>
  <c r="CH311" i="17"/>
  <c r="CJ311" i="17"/>
  <c r="CL311" i="17"/>
  <c r="CN311" i="17"/>
  <c r="CP311" i="17"/>
  <c r="H278" i="17"/>
  <c r="H285" i="17"/>
  <c r="J278" i="17"/>
  <c r="J285" i="17"/>
  <c r="P312" i="17"/>
  <c r="R312" i="17"/>
  <c r="T312" i="17"/>
  <c r="V312" i="17"/>
  <c r="X312" i="17"/>
  <c r="Z312" i="17"/>
  <c r="AB312" i="17"/>
  <c r="AD312" i="17"/>
  <c r="AF312" i="17"/>
  <c r="AH312" i="17"/>
  <c r="AJ312" i="17"/>
  <c r="AL312" i="17"/>
  <c r="AN312" i="17"/>
  <c r="AP312" i="17"/>
  <c r="AR312" i="17"/>
  <c r="AT312" i="17"/>
  <c r="AV312" i="17"/>
  <c r="AX312" i="17"/>
  <c r="AZ312" i="17"/>
  <c r="BB312" i="17"/>
  <c r="BD312" i="17"/>
  <c r="BF312" i="17"/>
  <c r="BH312" i="17"/>
  <c r="BJ312" i="17"/>
  <c r="BL312" i="17"/>
  <c r="BN312" i="17"/>
  <c r="BP312" i="17"/>
  <c r="BR312" i="17"/>
  <c r="BT312" i="17"/>
  <c r="BV312" i="17"/>
  <c r="BX312" i="17"/>
  <c r="BZ312" i="17"/>
  <c r="CB312" i="17"/>
  <c r="CD312" i="17"/>
  <c r="CF312" i="17"/>
  <c r="CH312" i="17"/>
  <c r="CJ312" i="17"/>
  <c r="CL312" i="17"/>
  <c r="CN312" i="17"/>
  <c r="CP312" i="17"/>
  <c r="P313" i="17"/>
  <c r="R313" i="17"/>
  <c r="T313" i="17"/>
  <c r="V313" i="17"/>
  <c r="X313" i="17"/>
  <c r="Z313" i="17"/>
  <c r="AB313" i="17"/>
  <c r="AD313" i="17"/>
  <c r="AF313" i="17"/>
  <c r="AH313" i="17"/>
  <c r="AJ313" i="17"/>
  <c r="AL313" i="17"/>
  <c r="AN313" i="17"/>
  <c r="AP313" i="17"/>
  <c r="AR313" i="17"/>
  <c r="AT313" i="17"/>
  <c r="AV313" i="17"/>
  <c r="AX313" i="17"/>
  <c r="AZ313" i="17"/>
  <c r="BB313" i="17"/>
  <c r="BD313" i="17"/>
  <c r="BF313" i="17"/>
  <c r="BH313" i="17"/>
  <c r="BJ313" i="17"/>
  <c r="BL313" i="17"/>
  <c r="BN313" i="17"/>
  <c r="BP313" i="17"/>
  <c r="BR313" i="17"/>
  <c r="BT313" i="17"/>
  <c r="BV313" i="17"/>
  <c r="BX313" i="17"/>
  <c r="BZ313" i="17"/>
  <c r="CB313" i="17"/>
  <c r="CD313" i="17"/>
  <c r="CF313" i="17"/>
  <c r="CH313" i="17"/>
  <c r="CJ313" i="17"/>
  <c r="CL313" i="17"/>
  <c r="CN313" i="17"/>
  <c r="CP313" i="17"/>
  <c r="P314" i="17"/>
  <c r="R314" i="17"/>
  <c r="T314" i="17"/>
  <c r="V314" i="17"/>
  <c r="X314" i="17"/>
  <c r="Z314" i="17"/>
  <c r="AB314" i="17"/>
  <c r="AD314" i="17"/>
  <c r="AF314" i="17"/>
  <c r="AH314" i="17"/>
  <c r="AJ314" i="17"/>
  <c r="AL314" i="17"/>
  <c r="AN314" i="17"/>
  <c r="AP314" i="17"/>
  <c r="AR314" i="17"/>
  <c r="AT314" i="17"/>
  <c r="AV314" i="17"/>
  <c r="AX314" i="17"/>
  <c r="AZ314" i="17"/>
  <c r="BB314" i="17"/>
  <c r="BD314" i="17"/>
  <c r="BF314" i="17"/>
  <c r="BH314" i="17"/>
  <c r="BJ314" i="17"/>
  <c r="BL314" i="17"/>
  <c r="BN314" i="17"/>
  <c r="BP314" i="17"/>
  <c r="BR314" i="17"/>
  <c r="BT314" i="17"/>
  <c r="BV314" i="17"/>
  <c r="BX314" i="17"/>
  <c r="BZ314" i="17"/>
  <c r="CB314" i="17"/>
  <c r="CD314" i="17"/>
  <c r="CF314" i="17"/>
  <c r="CH314" i="17"/>
  <c r="CJ314" i="17"/>
  <c r="CL314" i="17"/>
  <c r="CN314" i="17"/>
  <c r="CP314" i="17"/>
  <c r="P315" i="17"/>
  <c r="R315" i="17"/>
  <c r="T315" i="17"/>
  <c r="V315" i="17"/>
  <c r="X315" i="17"/>
  <c r="Z315" i="17"/>
  <c r="AB315" i="17"/>
  <c r="AD315" i="17"/>
  <c r="AF315" i="17"/>
  <c r="AH315" i="17"/>
  <c r="AJ315" i="17"/>
  <c r="AL315" i="17"/>
  <c r="AN315" i="17"/>
  <c r="AP315" i="17"/>
  <c r="AR315" i="17"/>
  <c r="AT315" i="17"/>
  <c r="AV315" i="17"/>
  <c r="AX315" i="17"/>
  <c r="AZ315" i="17"/>
  <c r="BB315" i="17"/>
  <c r="BD315" i="17"/>
  <c r="BF315" i="17"/>
  <c r="BH315" i="17"/>
  <c r="BJ315" i="17"/>
  <c r="BL315" i="17"/>
  <c r="BN315" i="17"/>
  <c r="BP315" i="17"/>
  <c r="BR315" i="17"/>
  <c r="BT315" i="17"/>
  <c r="BV315" i="17"/>
  <c r="BX315" i="17"/>
  <c r="BZ315" i="17"/>
  <c r="CB315" i="17"/>
  <c r="CD315" i="17"/>
  <c r="CF315" i="17"/>
  <c r="CH315" i="17"/>
  <c r="CJ315" i="17"/>
  <c r="CL315" i="17"/>
  <c r="CN315" i="17"/>
  <c r="CP315" i="17"/>
  <c r="N285" i="17"/>
  <c r="N287" i="17" s="1"/>
  <c r="P320" i="17"/>
  <c r="R320" i="17"/>
  <c r="T320" i="17"/>
  <c r="V320" i="17"/>
  <c r="X320" i="17"/>
  <c r="Z320" i="17"/>
  <c r="AB320" i="17"/>
  <c r="AD320" i="17"/>
  <c r="AF320" i="17"/>
  <c r="AH320" i="17"/>
  <c r="AJ320" i="17"/>
  <c r="AL320" i="17"/>
  <c r="AN320" i="17"/>
  <c r="AN287" i="17"/>
  <c r="AP320" i="17"/>
  <c r="AP287" i="17"/>
  <c r="AR320" i="17"/>
  <c r="AT320" i="17"/>
  <c r="AV320" i="17"/>
  <c r="AX320" i="17"/>
  <c r="AZ320" i="17"/>
  <c r="BB320" i="17"/>
  <c r="BD320" i="17"/>
  <c r="BF320" i="17"/>
  <c r="BH320" i="17"/>
  <c r="H176" i="17"/>
  <c r="J176" i="17"/>
  <c r="L176" i="17"/>
  <c r="N176" i="17"/>
  <c r="P176" i="17"/>
  <c r="R176" i="17"/>
  <c r="T176" i="17"/>
  <c r="V176" i="17"/>
  <c r="X176" i="17"/>
  <c r="Z176" i="17"/>
  <c r="AB176" i="17"/>
  <c r="AD176" i="17"/>
  <c r="AF176" i="17"/>
  <c r="AH176" i="17"/>
  <c r="AJ176" i="17"/>
  <c r="AL176" i="17"/>
  <c r="AN176" i="17"/>
  <c r="AP176" i="17"/>
  <c r="AR176" i="17"/>
  <c r="AT176" i="17"/>
  <c r="AV176" i="17"/>
  <c r="AX176" i="17"/>
  <c r="AZ176" i="17"/>
  <c r="BB176" i="17"/>
  <c r="BD176" i="17"/>
  <c r="BF176" i="17"/>
  <c r="BH176" i="17"/>
  <c r="BJ176" i="17"/>
  <c r="BL176" i="17"/>
  <c r="BN176" i="17"/>
  <c r="BP176" i="17"/>
  <c r="BR176" i="17"/>
  <c r="BT176" i="17"/>
  <c r="BV176" i="17"/>
  <c r="BX176" i="17"/>
  <c r="BZ176" i="17"/>
  <c r="CB176" i="17"/>
  <c r="CD176" i="17"/>
  <c r="CF176" i="17"/>
  <c r="CG163" i="17"/>
  <c r="CH163" i="17" s="1"/>
  <c r="CI163" i="17" s="1"/>
  <c r="H179" i="17"/>
  <c r="J179" i="17"/>
  <c r="L179" i="17"/>
  <c r="N179" i="17"/>
  <c r="P179" i="17"/>
  <c r="R179" i="17"/>
  <c r="T179" i="17"/>
  <c r="V179" i="17"/>
  <c r="X179" i="17"/>
  <c r="Z179" i="17"/>
  <c r="AB179" i="17"/>
  <c r="AD179" i="17"/>
  <c r="AF179" i="17"/>
  <c r="AH179" i="17"/>
  <c r="AJ179" i="17"/>
  <c r="AL179" i="17"/>
  <c r="AN179" i="17"/>
  <c r="AP179" i="17"/>
  <c r="AR179" i="17"/>
  <c r="AT179" i="17"/>
  <c r="AV179" i="17"/>
  <c r="AX179" i="17"/>
  <c r="AZ179" i="17"/>
  <c r="BB179" i="17"/>
  <c r="BD179" i="17"/>
  <c r="BF179" i="17"/>
  <c r="BH179" i="17"/>
  <c r="BJ179" i="17"/>
  <c r="BL179" i="17"/>
  <c r="BN179" i="17"/>
  <c r="BP179" i="17"/>
  <c r="BR179" i="17"/>
  <c r="BT179" i="17"/>
  <c r="BV179" i="17"/>
  <c r="BX179" i="17"/>
  <c r="BZ179" i="17"/>
  <c r="CB179" i="17"/>
  <c r="CD179" i="17"/>
  <c r="CF179" i="17"/>
  <c r="CG166" i="17"/>
  <c r="CH166" i="17" s="1"/>
  <c r="CI166" i="17" s="1"/>
  <c r="BJ76" i="17"/>
  <c r="BK60" i="17"/>
  <c r="BK63" i="17"/>
  <c r="BJ79" i="17"/>
  <c r="BD82" i="17"/>
  <c r="BF82" i="17"/>
  <c r="BH82" i="17"/>
  <c r="BJ82" i="17"/>
  <c r="BK66" i="17"/>
  <c r="P233" i="17"/>
  <c r="R233" i="17"/>
  <c r="T233" i="17"/>
  <c r="V233" i="17"/>
  <c r="X233" i="17"/>
  <c r="Z233" i="17"/>
  <c r="AB233" i="17"/>
  <c r="AD233" i="17"/>
  <c r="AF233" i="17"/>
  <c r="AH233" i="17"/>
  <c r="AJ233" i="17"/>
  <c r="AL233" i="17"/>
  <c r="AN233" i="17"/>
  <c r="AP233" i="17"/>
  <c r="AR233" i="17"/>
  <c r="AT233" i="17"/>
  <c r="AV233" i="17"/>
  <c r="AX233" i="17"/>
  <c r="AZ233" i="17"/>
  <c r="BB233" i="17"/>
  <c r="BD233" i="17"/>
  <c r="BF233" i="17"/>
  <c r="BH233" i="17"/>
  <c r="BJ233" i="17"/>
  <c r="BK220" i="17"/>
  <c r="H236" i="17"/>
  <c r="J236" i="17"/>
  <c r="L236" i="17"/>
  <c r="N236" i="17"/>
  <c r="P236" i="17"/>
  <c r="R236" i="17"/>
  <c r="T236" i="17"/>
  <c r="V236" i="17"/>
  <c r="X236" i="17"/>
  <c r="Z236" i="17"/>
  <c r="AB236" i="17"/>
  <c r="AD236" i="17"/>
  <c r="AF236" i="17"/>
  <c r="AH236" i="17"/>
  <c r="AJ236" i="17"/>
  <c r="AL236" i="17"/>
  <c r="AN236" i="17"/>
  <c r="AP236" i="17"/>
  <c r="AR236" i="17"/>
  <c r="AT236" i="17"/>
  <c r="AV236" i="17"/>
  <c r="AX236" i="17"/>
  <c r="AZ236" i="17"/>
  <c r="BB236" i="17"/>
  <c r="BD236" i="17"/>
  <c r="BF236" i="17"/>
  <c r="BH236" i="17"/>
  <c r="BJ236" i="17"/>
  <c r="BK223" i="17"/>
  <c r="J17" i="11"/>
  <c r="O17" i="11"/>
  <c r="T17" i="11"/>
  <c r="Y17" i="11"/>
  <c r="AD17" i="11"/>
  <c r="AI17" i="11"/>
  <c r="AN17" i="11"/>
  <c r="AS17" i="11"/>
  <c r="AX17" i="11"/>
  <c r="BC17" i="11"/>
  <c r="BH17" i="11"/>
  <c r="BM17" i="11"/>
  <c r="BR17" i="11"/>
  <c r="BW17" i="11"/>
  <c r="CB17" i="11"/>
  <c r="CG17" i="11"/>
  <c r="CL17" i="11"/>
  <c r="CQ17" i="11"/>
  <c r="CV17" i="11"/>
  <c r="DA17" i="11"/>
  <c r="DF17" i="11"/>
  <c r="CR32" i="11"/>
  <c r="DB32" i="11"/>
  <c r="O41" i="11"/>
  <c r="Y41" i="11"/>
  <c r="AC41" i="11" s="1"/>
  <c r="AI41" i="11"/>
  <c r="AS41" i="11"/>
  <c r="AW41" i="11" s="1"/>
  <c r="BC41" i="11"/>
  <c r="BM41" i="11"/>
  <c r="BQ41" i="11" s="1"/>
  <c r="BW41" i="11"/>
  <c r="CG41" i="11"/>
  <c r="CK41" i="11" s="1"/>
  <c r="CQ41" i="11"/>
  <c r="T42" i="11"/>
  <c r="AD42" i="11"/>
  <c r="AN42" i="11"/>
  <c r="AX42" i="11"/>
  <c r="BB42" i="11" s="1"/>
  <c r="BH42" i="11"/>
  <c r="BR42" i="11"/>
  <c r="CB42" i="11"/>
  <c r="CL42" i="11"/>
  <c r="CK42" i="11" s="1"/>
  <c r="CV42" i="11"/>
  <c r="CU42" i="11" s="1"/>
  <c r="O102" i="11"/>
  <c r="Y102" i="11"/>
  <c r="AI102" i="11"/>
  <c r="AS102" i="11"/>
  <c r="BC102" i="11"/>
  <c r="BM102" i="11"/>
  <c r="BW102" i="11"/>
  <c r="CG102" i="11"/>
  <c r="CQ102" i="11"/>
  <c r="DA102" i="11"/>
  <c r="DK102" i="11"/>
  <c r="DP126" i="11" s="1"/>
  <c r="O109" i="11"/>
  <c r="Y109" i="11"/>
  <c r="AI109" i="11"/>
  <c r="AS109" i="11"/>
  <c r="BC109" i="11"/>
  <c r="BM109" i="11"/>
  <c r="BW109" i="11"/>
  <c r="CG109" i="11"/>
  <c r="CQ109" i="11"/>
  <c r="DA109" i="11"/>
  <c r="T110" i="11"/>
  <c r="AD110" i="11"/>
  <c r="AN110" i="11"/>
  <c r="AX110" i="11"/>
  <c r="BH110" i="11"/>
  <c r="BR110" i="11"/>
  <c r="CB110" i="11"/>
  <c r="CL110" i="11"/>
  <c r="CV110" i="11"/>
  <c r="DF110" i="11"/>
  <c r="O116" i="11"/>
  <c r="Y116" i="11"/>
  <c r="AI116" i="11"/>
  <c r="AO116" i="11" s="1"/>
  <c r="AS116" i="11"/>
  <c r="AT116" i="11" s="1"/>
  <c r="BC116" i="11"/>
  <c r="BI116" i="11" s="1"/>
  <c r="BM116" i="11"/>
  <c r="BW116" i="11"/>
  <c r="CC116" i="11" s="1"/>
  <c r="CG116" i="11"/>
  <c r="CH116" i="11" s="1"/>
  <c r="CQ116" i="11"/>
  <c r="CW116" i="11" s="1"/>
  <c r="DA116" i="11"/>
  <c r="O117" i="11"/>
  <c r="Y117" i="11"/>
  <c r="AI117" i="11"/>
  <c r="AS117" i="11"/>
  <c r="BC117" i="11"/>
  <c r="BM117" i="11"/>
  <c r="BW117" i="11"/>
  <c r="CG117" i="11"/>
  <c r="CQ117" i="11"/>
  <c r="DA117" i="11"/>
  <c r="DK117" i="11"/>
  <c r="DQ117" i="11" s="1"/>
  <c r="O118" i="11"/>
  <c r="U118" i="11" s="1"/>
  <c r="Y118" i="11"/>
  <c r="AE118" i="11" s="1"/>
  <c r="AI118" i="11"/>
  <c r="AO118" i="11" s="1"/>
  <c r="AS118" i="11"/>
  <c r="AY118" i="11" s="1"/>
  <c r="BC118" i="11"/>
  <c r="BI118" i="11" s="1"/>
  <c r="BM118" i="11"/>
  <c r="BN118" i="11" s="1"/>
  <c r="BW118" i="11"/>
  <c r="CC118" i="11" s="1"/>
  <c r="CG118" i="11"/>
  <c r="CM118" i="11" s="1"/>
  <c r="CQ118" i="11"/>
  <c r="CW118" i="11" s="1"/>
  <c r="DA118" i="11"/>
  <c r="DG118" i="11" s="1"/>
  <c r="DK118" i="11"/>
  <c r="AD21" i="12"/>
  <c r="AE21" i="12" s="1"/>
  <c r="CT165" i="17"/>
  <c r="H260" i="12"/>
  <c r="J260" i="12"/>
  <c r="L260" i="12"/>
  <c r="N260" i="12"/>
  <c r="P260" i="12"/>
  <c r="R260" i="12"/>
  <c r="T260" i="12"/>
  <c r="V260" i="12"/>
  <c r="J306" i="12"/>
  <c r="N306" i="12"/>
  <c r="R306" i="12"/>
  <c r="V306" i="12"/>
  <c r="O285" i="17"/>
  <c r="O287" i="17" s="1"/>
  <c r="AE282" i="17"/>
  <c r="AE284" i="17" s="1"/>
  <c r="AN308" i="17"/>
  <c r="BL308" i="17"/>
  <c r="BT308" i="17"/>
  <c r="CB308" i="17"/>
  <c r="X303" i="17"/>
  <c r="X282" i="17" s="1"/>
  <c r="W285" i="17"/>
  <c r="W287" i="17" s="1"/>
  <c r="W282" i="17"/>
  <c r="W284" i="17" s="1"/>
  <c r="AV303" i="17"/>
  <c r="AV285" i="17" s="1"/>
  <c r="AV287" i="17" s="1"/>
  <c r="AU285" i="17"/>
  <c r="AU287" i="17" s="1"/>
  <c r="AR305" i="17"/>
  <c r="AS305" i="17" s="1"/>
  <c r="AT305" i="17" s="1"/>
  <c r="AQ282" i="17"/>
  <c r="AQ284" i="17" s="1"/>
  <c r="BH305" i="17"/>
  <c r="BG282" i="17"/>
  <c r="BG284" i="17" s="1"/>
  <c r="O282" i="17"/>
  <c r="O284" i="17" s="1"/>
  <c r="AY282" i="17"/>
  <c r="AY284" i="17" s="1"/>
  <c r="AE285" i="17"/>
  <c r="AE287" i="17" s="1"/>
  <c r="L308" i="17"/>
  <c r="BP308" i="17"/>
  <c r="BX308" i="17"/>
  <c r="P308" i="17"/>
  <c r="P285" i="17"/>
  <c r="P287" i="17" s="1"/>
  <c r="AF308" i="17"/>
  <c r="AF285" i="17"/>
  <c r="AF287" i="17" s="1"/>
  <c r="N42" i="11"/>
  <c r="BF115" i="2"/>
  <c r="BC116" i="2"/>
  <c r="BF117" i="2"/>
  <c r="BC267" i="2"/>
  <c r="BF268" i="2"/>
  <c r="BC269" i="2"/>
  <c r="BF270" i="2"/>
  <c r="BC271" i="2"/>
  <c r="AY267" i="2"/>
  <c r="BB268" i="2"/>
  <c r="AY269" i="2"/>
  <c r="BB270" i="2"/>
  <c r="AY271" i="2"/>
  <c r="AV305" i="17"/>
  <c r="AU282" i="17"/>
  <c r="BD305" i="17"/>
  <c r="BC282" i="17"/>
  <c r="T306" i="17"/>
  <c r="T282" i="17" s="1"/>
  <c r="S285" i="17"/>
  <c r="S282" i="17"/>
  <c r="AB306" i="17"/>
  <c r="AB282" i="17" s="1"/>
  <c r="AA285" i="17"/>
  <c r="AA282" i="17"/>
  <c r="AJ306" i="17"/>
  <c r="AJ282" i="17" s="1"/>
  <c r="AI285" i="17"/>
  <c r="AM319" i="17" s="1"/>
  <c r="AI282" i="17"/>
  <c r="AR306" i="17"/>
  <c r="AQ285" i="17"/>
  <c r="AQ319" i="17" s="1"/>
  <c r="AZ306" i="17"/>
  <c r="AZ282" i="17" s="1"/>
  <c r="AY285" i="17"/>
  <c r="AY287" i="17" s="1"/>
  <c r="BH306" i="17"/>
  <c r="BG285" i="17"/>
  <c r="K308" i="17"/>
  <c r="O308" i="17"/>
  <c r="S308" i="17"/>
  <c r="W308" i="17"/>
  <c r="AA308" i="17"/>
  <c r="AE308" i="17"/>
  <c r="AI308" i="17"/>
  <c r="AM308" i="17"/>
  <c r="AQ308" i="17"/>
  <c r="AU308" i="17"/>
  <c r="AY308" i="17"/>
  <c r="BC308" i="17"/>
  <c r="BG308" i="17"/>
  <c r="BK308" i="17"/>
  <c r="BO308" i="17"/>
  <c r="BS308" i="17"/>
  <c r="BW308" i="17"/>
  <c r="CA308" i="17"/>
  <c r="O65" i="6"/>
  <c r="U65" i="6"/>
  <c r="AA65" i="6"/>
  <c r="AG65" i="6"/>
  <c r="AM65" i="6"/>
  <c r="AS65" i="6"/>
  <c r="AY65" i="6"/>
  <c r="BE65" i="6"/>
  <c r="BD115" i="2"/>
  <c r="BD117" i="2"/>
  <c r="BA267" i="2"/>
  <c r="BE267" i="2"/>
  <c r="AZ268" i="2"/>
  <c r="BD268" i="2"/>
  <c r="BA269" i="2"/>
  <c r="BE269" i="2"/>
  <c r="AZ270" i="2"/>
  <c r="BD270" i="2"/>
  <c r="BA271" i="2"/>
  <c r="BE271" i="2"/>
  <c r="D264" i="2"/>
  <c r="AU263" i="2" s="1"/>
  <c r="I372" i="12"/>
  <c r="K372" i="12"/>
  <c r="M372" i="12"/>
  <c r="O372" i="12"/>
  <c r="Q372" i="12"/>
  <c r="S372" i="12"/>
  <c r="U372" i="12"/>
  <c r="W372" i="12"/>
  <c r="Y372" i="12"/>
  <c r="U305" i="17"/>
  <c r="V305" i="17" s="1"/>
  <c r="AC305" i="17"/>
  <c r="AD305" i="17" s="1"/>
  <c r="AK305" i="17"/>
  <c r="AL305" i="17" s="1"/>
  <c r="BA305" i="17"/>
  <c r="BB305" i="17" s="1"/>
  <c r="BQ305" i="17"/>
  <c r="BR305" i="17" s="1"/>
  <c r="BY305" i="17"/>
  <c r="BZ305" i="17" s="1"/>
  <c r="I374" i="12"/>
  <c r="K374" i="12"/>
  <c r="M374" i="12"/>
  <c r="O374" i="12"/>
  <c r="Q374" i="12"/>
  <c r="S374" i="12"/>
  <c r="U374" i="12"/>
  <c r="W374" i="12"/>
  <c r="Y374" i="12"/>
  <c r="J375" i="12"/>
  <c r="L375" i="12"/>
  <c r="N375" i="12"/>
  <c r="P375" i="12"/>
  <c r="R375" i="12"/>
  <c r="T375" i="12"/>
  <c r="V375" i="12"/>
  <c r="X375" i="12"/>
  <c r="C262" i="2"/>
  <c r="AT262" i="2" s="1"/>
  <c r="C263" i="2"/>
  <c r="AT264" i="2" s="1"/>
  <c r="Q305" i="17"/>
  <c r="R305" i="17" s="1"/>
  <c r="P282" i="17"/>
  <c r="P284" i="17" s="1"/>
  <c r="Y305" i="17"/>
  <c r="Z305" i="17" s="1"/>
  <c r="AG305" i="17"/>
  <c r="AH305" i="17" s="1"/>
  <c r="AF282" i="17"/>
  <c r="BM305" i="17"/>
  <c r="BN305" i="17" s="1"/>
  <c r="BU305" i="17"/>
  <c r="BV305" i="17" s="1"/>
  <c r="CC305" i="17"/>
  <c r="CD305" i="17" s="1"/>
  <c r="D262" i="2"/>
  <c r="AU262" i="2" s="1"/>
  <c r="C264" i="2"/>
  <c r="AT263" i="2" s="1"/>
  <c r="D263" i="2"/>
  <c r="AU264" i="2" s="1"/>
  <c r="M303" i="17"/>
  <c r="Q303" i="17"/>
  <c r="U303" i="17"/>
  <c r="AC303" i="17"/>
  <c r="AG303" i="17"/>
  <c r="AK303" i="17"/>
  <c r="AO303" i="17"/>
  <c r="AS303" i="17"/>
  <c r="BA303" i="17"/>
  <c r="BE303" i="17"/>
  <c r="BI303" i="17"/>
  <c r="BM303" i="17"/>
  <c r="BQ303" i="17"/>
  <c r="BU303" i="17"/>
  <c r="BY303" i="17"/>
  <c r="CC303" i="17"/>
  <c r="M103" i="20"/>
  <c r="AD103" i="20" s="1"/>
  <c r="BC115" i="2"/>
  <c r="O103" i="20"/>
  <c r="AF103" i="20" s="1"/>
  <c r="BE115" i="2"/>
  <c r="N104" i="20"/>
  <c r="AE104" i="20" s="1"/>
  <c r="BD116" i="2"/>
  <c r="O105" i="20"/>
  <c r="AF105" i="20" s="1"/>
  <c r="BE117" i="2"/>
  <c r="BC123" i="2"/>
  <c r="AZ267" i="2"/>
  <c r="BB267" i="2"/>
  <c r="BD267" i="2"/>
  <c r="BF267" i="2"/>
  <c r="AY268" i="2"/>
  <c r="BA268" i="2"/>
  <c r="BC268" i="2"/>
  <c r="BE268" i="2"/>
  <c r="AZ269" i="2"/>
  <c r="BB269" i="2"/>
  <c r="BD269" i="2"/>
  <c r="BF269" i="2"/>
  <c r="AY270" i="2"/>
  <c r="BA270" i="2"/>
  <c r="BC270" i="2"/>
  <c r="BE270" i="2"/>
  <c r="AZ271" i="2"/>
  <c r="BB271" i="2"/>
  <c r="BD271" i="2"/>
  <c r="BF271" i="2"/>
  <c r="DN7" i="11" l="1"/>
  <c r="AB27" i="8"/>
  <c r="AC30" i="8"/>
  <c r="AC27" i="8" s="1"/>
  <c r="X188" i="8"/>
  <c r="X27" i="8"/>
  <c r="Z188" i="8"/>
  <c r="Z27" i="8"/>
  <c r="AC61" i="8"/>
  <c r="AC50" i="8"/>
  <c r="W188" i="8"/>
  <c r="W195" i="8" s="1"/>
  <c r="W27" i="8"/>
  <c r="AA188" i="8"/>
  <c r="AA27" i="8"/>
  <c r="AC63" i="8"/>
  <c r="AC52" i="8"/>
  <c r="AB551" i="7"/>
  <c r="BC117" i="2"/>
  <c r="H117" i="2"/>
  <c r="I105" i="20" s="1"/>
  <c r="Z105" i="20" s="1"/>
  <c r="AB191" i="8"/>
  <c r="AB542" i="7"/>
  <c r="AC41" i="12"/>
  <c r="DM64" i="11" s="1"/>
  <c r="AC224" i="12"/>
  <c r="DP64" i="11"/>
  <c r="DP65" i="11" s="1"/>
  <c r="DL118" i="11"/>
  <c r="DQ118" i="11"/>
  <c r="DN119" i="11"/>
  <c r="DO119" i="11" s="1"/>
  <c r="DQ119" i="11"/>
  <c r="DN102" i="11"/>
  <c r="DO102" i="11" s="1"/>
  <c r="DQ102" i="11"/>
  <c r="DQ111" i="11" s="1"/>
  <c r="DN101" i="11"/>
  <c r="AC175" i="12" s="1"/>
  <c r="DQ101" i="11"/>
  <c r="DN87" i="11"/>
  <c r="DO87" i="11" s="1"/>
  <c r="DQ87" i="11"/>
  <c r="DQ96" i="11" s="1"/>
  <c r="DQ86" i="11"/>
  <c r="DN35" i="11"/>
  <c r="DO35" i="11" s="1"/>
  <c r="DO7" i="11" s="1"/>
  <c r="DQ35" i="11"/>
  <c r="DN50" i="11"/>
  <c r="DO50" i="11" s="1"/>
  <c r="DO8" i="11" s="1"/>
  <c r="DP8" i="11" s="1"/>
  <c r="DQ8" i="11" s="1"/>
  <c r="DQ50" i="11"/>
  <c r="DS50" i="11"/>
  <c r="DU50" i="11" s="1"/>
  <c r="DX50" i="11" s="1"/>
  <c r="DZ50" i="11" s="1"/>
  <c r="EA50" i="11" s="1"/>
  <c r="AE199" i="12" s="1"/>
  <c r="DN63" i="11"/>
  <c r="DO63" i="11" s="1"/>
  <c r="DQ63" i="11"/>
  <c r="DN58" i="11"/>
  <c r="DQ58" i="11"/>
  <c r="DN59" i="11"/>
  <c r="DO59" i="11" s="1"/>
  <c r="DQ59" i="11"/>
  <c r="AB212" i="7"/>
  <c r="AB309" i="7"/>
  <c r="AB270" i="7"/>
  <c r="AB146" i="8"/>
  <c r="AB115" i="8"/>
  <c r="AB188" i="8"/>
  <c r="AB112" i="8"/>
  <c r="AB144" i="8"/>
  <c r="AB164" i="8"/>
  <c r="AB143" i="8" s="1"/>
  <c r="AZ115" i="2"/>
  <c r="O89" i="6"/>
  <c r="AY89" i="6"/>
  <c r="AM89" i="6"/>
  <c r="AA89" i="6"/>
  <c r="AA145" i="8"/>
  <c r="AA169" i="8" s="1"/>
  <c r="AA164" i="8"/>
  <c r="BE89" i="6"/>
  <c r="AG89" i="6"/>
  <c r="AS89" i="6"/>
  <c r="U89" i="6"/>
  <c r="DG72" i="11"/>
  <c r="CP307" i="17"/>
  <c r="AB375" i="12" s="1"/>
  <c r="AB371" i="12"/>
  <c r="CH307" i="17"/>
  <c r="Z375" i="12" s="1"/>
  <c r="Z371" i="12"/>
  <c r="CL307" i="17"/>
  <c r="AA375" i="12" s="1"/>
  <c r="AA371" i="12"/>
  <c r="CO190" i="17"/>
  <c r="J247" i="7"/>
  <c r="J241" i="7"/>
  <c r="E221" i="2"/>
  <c r="AV221" i="2" s="1"/>
  <c r="AC657" i="7"/>
  <c r="AB500" i="7"/>
  <c r="AT143" i="2"/>
  <c r="L241" i="7"/>
  <c r="AV95" i="6"/>
  <c r="BM269" i="17"/>
  <c r="DQ46" i="6"/>
  <c r="DT46" i="6" s="1"/>
  <c r="L95" i="6"/>
  <c r="O233" i="7"/>
  <c r="Y243" i="12"/>
  <c r="J233" i="7"/>
  <c r="O247" i="7"/>
  <c r="AB147" i="7"/>
  <c r="AB238" i="12"/>
  <c r="AA523" i="7"/>
  <c r="AB529" i="7"/>
  <c r="AB545" i="7"/>
  <c r="AB548" i="7"/>
  <c r="AB501" i="7"/>
  <c r="AW84" i="6"/>
  <c r="AK84" i="6"/>
  <c r="AW77" i="6"/>
  <c r="AK60" i="6"/>
  <c r="AW58" i="6"/>
  <c r="M58" i="6"/>
  <c r="AW73" i="6"/>
  <c r="S79" i="6"/>
  <c r="BC59" i="6"/>
  <c r="AQ59" i="6"/>
  <c r="AE59" i="6"/>
  <c r="Y58" i="6"/>
  <c r="AV59" i="6"/>
  <c r="AU55" i="6"/>
  <c r="AO54" i="6"/>
  <c r="R241" i="7"/>
  <c r="AA112" i="8"/>
  <c r="S95" i="6"/>
  <c r="AI95" i="6"/>
  <c r="N87" i="6"/>
  <c r="AE95" i="6"/>
  <c r="X85" i="6"/>
  <c r="AJ94" i="6"/>
  <c r="L94" i="6"/>
  <c r="AV81" i="6"/>
  <c r="AJ79" i="6"/>
  <c r="L79" i="6"/>
  <c r="AD60" i="6"/>
  <c r="AV94" i="6"/>
  <c r="X94" i="6"/>
  <c r="AV76" i="6"/>
  <c r="BB60" i="6"/>
  <c r="R84" i="6"/>
  <c r="AD77" i="6"/>
  <c r="AJ81" i="6"/>
  <c r="L81" i="6"/>
  <c r="BB80" i="6"/>
  <c r="AP80" i="6"/>
  <c r="R80" i="6"/>
  <c r="X76" i="6"/>
  <c r="AD73" i="6"/>
  <c r="X79" i="6"/>
  <c r="X63" i="6"/>
  <c r="L63" i="6"/>
  <c r="AJ59" i="6"/>
  <c r="L59" i="6"/>
  <c r="AV57" i="6"/>
  <c r="X57" i="6"/>
  <c r="AQ94" i="6"/>
  <c r="S94" i="6"/>
  <c r="M84" i="6"/>
  <c r="BC82" i="6"/>
  <c r="AQ82" i="6"/>
  <c r="S82" i="6"/>
  <c r="Y77" i="6"/>
  <c r="AE81" i="6"/>
  <c r="AK73" i="6"/>
  <c r="M73" i="6"/>
  <c r="AQ79" i="6"/>
  <c r="AE79" i="6"/>
  <c r="AW60" i="6"/>
  <c r="AK58" i="6"/>
  <c r="AQ57" i="6"/>
  <c r="AO56" i="6"/>
  <c r="Q56" i="6"/>
  <c r="AJ95" i="6"/>
  <c r="BC95" i="6"/>
  <c r="K95" i="6"/>
  <c r="AX87" i="6"/>
  <c r="Z87" i="6"/>
  <c r="AJ85" i="6"/>
  <c r="AP84" i="6"/>
  <c r="AD84" i="6"/>
  <c r="AJ82" i="6"/>
  <c r="L82" i="6"/>
  <c r="BB77" i="6"/>
  <c r="X81" i="6"/>
  <c r="AJ76" i="6"/>
  <c r="L76" i="6"/>
  <c r="AP73" i="6"/>
  <c r="R73" i="6"/>
  <c r="AV79" i="6"/>
  <c r="AJ63" i="6"/>
  <c r="X59" i="6"/>
  <c r="L57" i="6"/>
  <c r="AE94" i="6"/>
  <c r="Y84" i="6"/>
  <c r="AE82" i="6"/>
  <c r="M77" i="6"/>
  <c r="BC81" i="6"/>
  <c r="AQ81" i="6"/>
  <c r="S81" i="6"/>
  <c r="Y73" i="6"/>
  <c r="BC79" i="6"/>
  <c r="Y60" i="6"/>
  <c r="AI55" i="6"/>
  <c r="W55" i="6"/>
  <c r="K55" i="6"/>
  <c r="AC54" i="6"/>
  <c r="Q54" i="6"/>
  <c r="X95" i="6"/>
  <c r="AV85" i="6"/>
  <c r="L85" i="6"/>
  <c r="Q233" i="7"/>
  <c r="Q247" i="7"/>
  <c r="BB94" i="6"/>
  <c r="AD94" i="6"/>
  <c r="AJ84" i="6"/>
  <c r="X84" i="6"/>
  <c r="AD82" i="6"/>
  <c r="AV77" i="6"/>
  <c r="AJ77" i="6"/>
  <c r="L77" i="6"/>
  <c r="BB81" i="6"/>
  <c r="AP81" i="6"/>
  <c r="R81" i="6"/>
  <c r="X80" i="6"/>
  <c r="AD76" i="6"/>
  <c r="AV73" i="6"/>
  <c r="AJ73" i="6"/>
  <c r="L73" i="6"/>
  <c r="R233" i="7"/>
  <c r="AP79" i="6"/>
  <c r="N233" i="7"/>
  <c r="AV60" i="6"/>
  <c r="AP63" i="6"/>
  <c r="R63" i="6"/>
  <c r="AJ58" i="6"/>
  <c r="AP57" i="6"/>
  <c r="R57" i="6"/>
  <c r="P247" i="7"/>
  <c r="N247" i="7"/>
  <c r="Y94" i="6"/>
  <c r="S84" i="6"/>
  <c r="Y82" i="6"/>
  <c r="AE77" i="6"/>
  <c r="AW81" i="6"/>
  <c r="AK81" i="6"/>
  <c r="M81" i="6"/>
  <c r="BC73" i="6"/>
  <c r="AQ73" i="6"/>
  <c r="S73" i="6"/>
  <c r="AW79" i="6"/>
  <c r="O241" i="7"/>
  <c r="S60" i="6"/>
  <c r="AW59" i="6"/>
  <c r="AK59" i="6"/>
  <c r="Y59" i="6"/>
  <c r="BC58" i="6"/>
  <c r="S58" i="6"/>
  <c r="AW57" i="6"/>
  <c r="M57" i="6"/>
  <c r="AU56" i="6"/>
  <c r="AO55" i="6"/>
  <c r="AC55" i="6"/>
  <c r="Q55" i="6"/>
  <c r="AU54" i="6"/>
  <c r="W54" i="6"/>
  <c r="K54" i="6"/>
  <c r="BB95" i="6"/>
  <c r="R95" i="6"/>
  <c r="AK95" i="6"/>
  <c r="M95" i="6"/>
  <c r="AO95" i="6"/>
  <c r="AC95" i="6"/>
  <c r="Q95" i="6"/>
  <c r="AX86" i="6"/>
  <c r="AL86" i="6"/>
  <c r="Z86" i="6"/>
  <c r="AP85" i="6"/>
  <c r="BB67" i="6"/>
  <c r="N241" i="7"/>
  <c r="M247" i="7"/>
  <c r="M241" i="7"/>
  <c r="L233" i="7"/>
  <c r="L247" i="7"/>
  <c r="K247" i="7"/>
  <c r="K233" i="7"/>
  <c r="P241" i="7"/>
  <c r="AV84" i="6"/>
  <c r="L84" i="6"/>
  <c r="BB82" i="6"/>
  <c r="AP82" i="6"/>
  <c r="R82" i="6"/>
  <c r="X77" i="6"/>
  <c r="AD81" i="6"/>
  <c r="AV80" i="6"/>
  <c r="L80" i="6"/>
  <c r="BB76" i="6"/>
  <c r="AP76" i="6"/>
  <c r="R76" i="6"/>
  <c r="X73" i="6"/>
  <c r="BB79" i="6"/>
  <c r="P233" i="7"/>
  <c r="AD79" i="6"/>
  <c r="AJ60" i="6"/>
  <c r="X60" i="6"/>
  <c r="L60" i="6"/>
  <c r="BB63" i="6"/>
  <c r="AD63" i="6"/>
  <c r="AV62" i="6"/>
  <c r="X62" i="6"/>
  <c r="R59" i="6"/>
  <c r="X58" i="6"/>
  <c r="BB57" i="6"/>
  <c r="AD57" i="6"/>
  <c r="R247" i="7"/>
  <c r="AW94" i="6"/>
  <c r="AK94" i="6"/>
  <c r="M94" i="6"/>
  <c r="BC84" i="6"/>
  <c r="AQ84" i="6"/>
  <c r="AE84" i="6"/>
  <c r="AW82" i="6"/>
  <c r="AK82" i="6"/>
  <c r="M82" i="6"/>
  <c r="BC77" i="6"/>
  <c r="AQ77" i="6"/>
  <c r="S77" i="6"/>
  <c r="Y81" i="6"/>
  <c r="AE73" i="6"/>
  <c r="Q241" i="7"/>
  <c r="AK79" i="6"/>
  <c r="Y79" i="6"/>
  <c r="AQ60" i="6"/>
  <c r="AE60" i="6"/>
  <c r="M59" i="6"/>
  <c r="AE58" i="6"/>
  <c r="AK57" i="6"/>
  <c r="Y57" i="6"/>
  <c r="AI56" i="6"/>
  <c r="W56" i="6"/>
  <c r="K56" i="6"/>
  <c r="BA55" i="6"/>
  <c r="AI54" i="6"/>
  <c r="AP95" i="6"/>
  <c r="AD95" i="6"/>
  <c r="AW95" i="6"/>
  <c r="Y95" i="6"/>
  <c r="BD87" i="6"/>
  <c r="AR87" i="6"/>
  <c r="AF87" i="6"/>
  <c r="T87" i="6"/>
  <c r="BB85" i="6"/>
  <c r="AD85" i="6"/>
  <c r="R85" i="6"/>
  <c r="M233" i="7"/>
  <c r="K241" i="7"/>
  <c r="AA735" i="7"/>
  <c r="Y237" i="12"/>
  <c r="DK46" i="6"/>
  <c r="DK95" i="6" s="1"/>
  <c r="Z237" i="12"/>
  <c r="CV73" i="11"/>
  <c r="CV74" i="11" s="1"/>
  <c r="AE116" i="11"/>
  <c r="J613" i="7"/>
  <c r="DW46" i="6"/>
  <c r="AG116" i="11"/>
  <c r="AH116" i="11" s="1"/>
  <c r="W116" i="11"/>
  <c r="X116" i="11" s="1"/>
  <c r="K217" i="7"/>
  <c r="K216" i="7"/>
  <c r="K218" i="7"/>
  <c r="K238" i="7"/>
  <c r="K230" i="7"/>
  <c r="K244" i="7"/>
  <c r="I216" i="7"/>
  <c r="I218" i="7"/>
  <c r="I217" i="7"/>
  <c r="I238" i="7"/>
  <c r="I244" i="7"/>
  <c r="I230" i="7"/>
  <c r="I149" i="7"/>
  <c r="H157" i="7"/>
  <c r="H752" i="7"/>
  <c r="H756" i="7" s="1"/>
  <c r="H660" i="7" s="1"/>
  <c r="H674" i="7" s="1"/>
  <c r="K23" i="7"/>
  <c r="K36" i="7"/>
  <c r="I23" i="7"/>
  <c r="I36" i="7"/>
  <c r="M116" i="11"/>
  <c r="N116" i="11" s="1"/>
  <c r="H284" i="7"/>
  <c r="H779" i="7"/>
  <c r="H270" i="7"/>
  <c r="H262" i="7"/>
  <c r="J224" i="7"/>
  <c r="J777" i="7"/>
  <c r="J212" i="7"/>
  <c r="J206" i="7"/>
  <c r="AG11" i="6"/>
  <c r="K768" i="7"/>
  <c r="K772" i="7" s="1"/>
  <c r="K773" i="7" s="1"/>
  <c r="K774" i="7" s="1"/>
  <c r="G316" i="7"/>
  <c r="G780" i="7"/>
  <c r="G303" i="7"/>
  <c r="I284" i="7"/>
  <c r="I779" i="7"/>
  <c r="I270" i="7"/>
  <c r="I262" i="7"/>
  <c r="K204" i="7"/>
  <c r="AG30" i="6" s="1"/>
  <c r="G541" i="7"/>
  <c r="J500" i="7"/>
  <c r="J723" i="7"/>
  <c r="J725" i="7" s="1"/>
  <c r="J511" i="7"/>
  <c r="J491" i="7"/>
  <c r="K723" i="7"/>
  <c r="K725" i="7" s="1"/>
  <c r="K511" i="7"/>
  <c r="K500" i="7"/>
  <c r="K491" i="7"/>
  <c r="G160" i="7"/>
  <c r="I426" i="7"/>
  <c r="K555" i="7"/>
  <c r="K736" i="7"/>
  <c r="K737" i="7" s="1"/>
  <c r="G136" i="7"/>
  <c r="G155" i="7" s="1"/>
  <c r="H149" i="7"/>
  <c r="G157" i="7"/>
  <c r="G752" i="7"/>
  <c r="G756" i="7" s="1"/>
  <c r="G660" i="7" s="1"/>
  <c r="G674" i="7" s="1"/>
  <c r="J627" i="7"/>
  <c r="J451" i="7"/>
  <c r="H155" i="7"/>
  <c r="H613" i="7"/>
  <c r="K119" i="7"/>
  <c r="K236" i="7" s="1"/>
  <c r="J181" i="7"/>
  <c r="J128" i="7"/>
  <c r="J82" i="7"/>
  <c r="J119" i="7"/>
  <c r="J236" i="7" s="1"/>
  <c r="J432" i="7"/>
  <c r="J444" i="7"/>
  <c r="J654" i="7"/>
  <c r="G82" i="7"/>
  <c r="G128" i="7"/>
  <c r="G180" i="7"/>
  <c r="G77" i="7"/>
  <c r="G127" i="7"/>
  <c r="G115" i="7"/>
  <c r="H423" i="7"/>
  <c r="H87" i="7"/>
  <c r="H182" i="7"/>
  <c r="H120" i="7"/>
  <c r="H129" i="7"/>
  <c r="H113" i="7"/>
  <c r="I119" i="7"/>
  <c r="I236" i="7" s="1"/>
  <c r="I128" i="7"/>
  <c r="I82" i="7"/>
  <c r="J77" i="7"/>
  <c r="J127" i="7"/>
  <c r="J115" i="7"/>
  <c r="J118" i="7"/>
  <c r="K182" i="7"/>
  <c r="K87" i="7"/>
  <c r="K423" i="7"/>
  <c r="K428" i="7" s="1"/>
  <c r="K113" i="7"/>
  <c r="K129" i="7"/>
  <c r="K120" i="7"/>
  <c r="J329" i="7"/>
  <c r="H204" i="7"/>
  <c r="H568" i="7" s="1"/>
  <c r="H569" i="7" s="1"/>
  <c r="I773" i="7"/>
  <c r="I774" i="7" s="1"/>
  <c r="K778" i="7"/>
  <c r="K348" i="7"/>
  <c r="K330" i="7"/>
  <c r="G284" i="7"/>
  <c r="G779" i="7"/>
  <c r="G262" i="7"/>
  <c r="I224" i="7"/>
  <c r="I777" i="7"/>
  <c r="I206" i="7"/>
  <c r="H488" i="7"/>
  <c r="I511" i="7"/>
  <c r="I723" i="7"/>
  <c r="I725" i="7" s="1"/>
  <c r="I491" i="7"/>
  <c r="G451" i="7"/>
  <c r="G627" i="7"/>
  <c r="I736" i="7"/>
  <c r="I737" i="7" s="1"/>
  <c r="I555" i="7"/>
  <c r="K512" i="7"/>
  <c r="K501" i="7"/>
  <c r="K740" i="7"/>
  <c r="K742" i="7" s="1"/>
  <c r="H426" i="7"/>
  <c r="J542" i="7"/>
  <c r="J545" i="7" s="1"/>
  <c r="H181" i="7"/>
  <c r="H128" i="7"/>
  <c r="H82" i="7"/>
  <c r="H119" i="7"/>
  <c r="H236" i="7" s="1"/>
  <c r="I113" i="7"/>
  <c r="I129" i="7"/>
  <c r="I120" i="7"/>
  <c r="I182" i="7"/>
  <c r="I87" i="7"/>
  <c r="I423" i="7"/>
  <c r="H654" i="7"/>
  <c r="H432" i="7"/>
  <c r="H444" i="7"/>
  <c r="K432" i="7"/>
  <c r="K444" i="7"/>
  <c r="K654" i="7"/>
  <c r="G444" i="7"/>
  <c r="G654" i="7"/>
  <c r="K276" i="7"/>
  <c r="K289" i="7"/>
  <c r="H217" i="7"/>
  <c r="H216" i="7"/>
  <c r="H218" i="7"/>
  <c r="H238" i="7"/>
  <c r="H230" i="7"/>
  <c r="H244" i="7"/>
  <c r="I272" i="7"/>
  <c r="I261" i="7"/>
  <c r="J272" i="7"/>
  <c r="J261" i="7"/>
  <c r="J276" i="7"/>
  <c r="J289" i="7"/>
  <c r="K568" i="7"/>
  <c r="K569" i="7" s="1"/>
  <c r="J23" i="7"/>
  <c r="J36" i="7"/>
  <c r="H23" i="7"/>
  <c r="H36" i="7"/>
  <c r="H339" i="7"/>
  <c r="H348" i="7"/>
  <c r="H778" i="7"/>
  <c r="H330" i="7"/>
  <c r="J309" i="7"/>
  <c r="J780" i="7"/>
  <c r="J316" i="7"/>
  <c r="J303" i="7"/>
  <c r="I11" i="6"/>
  <c r="G768" i="7"/>
  <c r="G772" i="7" s="1"/>
  <c r="G773" i="7" s="1"/>
  <c r="G774" i="7" s="1"/>
  <c r="I329" i="7"/>
  <c r="U28" i="6" s="1"/>
  <c r="K316" i="7"/>
  <c r="K780" i="7"/>
  <c r="K309" i="7"/>
  <c r="K303" i="7"/>
  <c r="G777" i="7"/>
  <c r="G224" i="7"/>
  <c r="G206" i="7"/>
  <c r="J554" i="7"/>
  <c r="J548" i="7"/>
  <c r="J719" i="7"/>
  <c r="J720" i="7" s="1"/>
  <c r="K719" i="7"/>
  <c r="K720" i="7" s="1"/>
  <c r="K548" i="7"/>
  <c r="K545" i="7"/>
  <c r="K554" i="7"/>
  <c r="G723" i="7"/>
  <c r="G725" i="7" s="1"/>
  <c r="G511" i="7"/>
  <c r="G491" i="7"/>
  <c r="J143" i="7"/>
  <c r="X18" i="6" s="1"/>
  <c r="K143" i="7"/>
  <c r="G555" i="7"/>
  <c r="G736" i="7"/>
  <c r="G737" i="7" s="1"/>
  <c r="I501" i="7"/>
  <c r="I512" i="7"/>
  <c r="I740" i="7"/>
  <c r="I742" i="7" s="1"/>
  <c r="K155" i="7"/>
  <c r="K147" i="7"/>
  <c r="K149" i="7"/>
  <c r="K157" i="7"/>
  <c r="K752" i="7"/>
  <c r="K756" i="7" s="1"/>
  <c r="K660" i="7" s="1"/>
  <c r="K674" i="7" s="1"/>
  <c r="H542" i="7"/>
  <c r="I549" i="7" s="1"/>
  <c r="J512" i="7"/>
  <c r="J740" i="7"/>
  <c r="J742" i="7" s="1"/>
  <c r="J501" i="7"/>
  <c r="I77" i="7"/>
  <c r="I180" i="7"/>
  <c r="I127" i="7"/>
  <c r="I115" i="7"/>
  <c r="I118" i="7"/>
  <c r="J129" i="7"/>
  <c r="J182" i="7"/>
  <c r="J423" i="7"/>
  <c r="J120" i="7"/>
  <c r="J113" i="7"/>
  <c r="J87" i="7"/>
  <c r="K181" i="7"/>
  <c r="K128" i="7"/>
  <c r="K82" i="7"/>
  <c r="K115" i="7"/>
  <c r="K77" i="7"/>
  <c r="K127" i="7"/>
  <c r="K118" i="7"/>
  <c r="K272" i="7"/>
  <c r="K261" i="7"/>
  <c r="J216" i="7"/>
  <c r="J217" i="7"/>
  <c r="J218" i="7"/>
  <c r="J238" i="7"/>
  <c r="J230" i="7"/>
  <c r="J244" i="7"/>
  <c r="I276" i="7"/>
  <c r="I289" i="7"/>
  <c r="H272" i="7"/>
  <c r="H261" i="7"/>
  <c r="H273" i="7" s="1"/>
  <c r="J149" i="7"/>
  <c r="J157" i="7"/>
  <c r="J752" i="7"/>
  <c r="J756" i="7" s="1"/>
  <c r="J660" i="7" s="1"/>
  <c r="J674" i="7" s="1"/>
  <c r="H276" i="7"/>
  <c r="H289" i="7"/>
  <c r="G568" i="7"/>
  <c r="G569" i="7" s="1"/>
  <c r="R301" i="12"/>
  <c r="H309" i="7"/>
  <c r="H780" i="7"/>
  <c r="H316" i="7"/>
  <c r="H303" i="7"/>
  <c r="J270" i="7"/>
  <c r="J779" i="7"/>
  <c r="J284" i="7"/>
  <c r="J262" i="7"/>
  <c r="G348" i="7"/>
  <c r="G778" i="7"/>
  <c r="G330" i="7"/>
  <c r="I316" i="7"/>
  <c r="I780" i="7"/>
  <c r="I309" i="7"/>
  <c r="I303" i="7"/>
  <c r="K779" i="7"/>
  <c r="K270" i="7"/>
  <c r="K284" i="7"/>
  <c r="K262" i="7"/>
  <c r="O11" i="6"/>
  <c r="H768" i="7"/>
  <c r="H772" i="7" s="1"/>
  <c r="H773" i="7" s="1"/>
  <c r="H774" i="7" s="1"/>
  <c r="H541" i="7"/>
  <c r="I548" i="7" s="1"/>
  <c r="I719" i="7"/>
  <c r="I720" i="7" s="1"/>
  <c r="I554" i="7"/>
  <c r="I545" i="7"/>
  <c r="H143" i="7"/>
  <c r="L18" i="6" s="1"/>
  <c r="I160" i="7"/>
  <c r="K451" i="7"/>
  <c r="K627" i="7"/>
  <c r="K440" i="7"/>
  <c r="G740" i="7"/>
  <c r="G742" i="7" s="1"/>
  <c r="G512" i="7"/>
  <c r="I136" i="7"/>
  <c r="I144" i="7" s="1"/>
  <c r="I157" i="7"/>
  <c r="I752" i="7"/>
  <c r="I756" i="7" s="1"/>
  <c r="I660" i="7" s="1"/>
  <c r="I674" i="7" s="1"/>
  <c r="H501" i="7"/>
  <c r="H512" i="7"/>
  <c r="H740" i="7"/>
  <c r="H742" i="7" s="1"/>
  <c r="J155" i="7"/>
  <c r="H77" i="7"/>
  <c r="H127" i="7"/>
  <c r="H118" i="7"/>
  <c r="H115" i="7"/>
  <c r="I444" i="7"/>
  <c r="I432" i="7"/>
  <c r="I654" i="7"/>
  <c r="I613" i="7"/>
  <c r="G423" i="7"/>
  <c r="G448" i="7" s="1"/>
  <c r="G113" i="7"/>
  <c r="G182" i="7"/>
  <c r="G87" i="7"/>
  <c r="G129" i="7"/>
  <c r="CG190" i="17"/>
  <c r="AA719" i="7"/>
  <c r="AA720" i="7" s="1"/>
  <c r="AA779" i="7"/>
  <c r="AA723" i="7"/>
  <c r="AA725" i="7" s="1"/>
  <c r="AB490" i="7"/>
  <c r="AR52" i="17"/>
  <c r="I103" i="20"/>
  <c r="Z103" i="20" s="1"/>
  <c r="V48" i="17"/>
  <c r="AZ117" i="2"/>
  <c r="BG33" i="17"/>
  <c r="BB117" i="2"/>
  <c r="BO33" i="17"/>
  <c r="BA117" i="2"/>
  <c r="BT269" i="17"/>
  <c r="BS269" i="17"/>
  <c r="CE33" i="17"/>
  <c r="CG247" i="17"/>
  <c r="BB115" i="2"/>
  <c r="M453" i="12"/>
  <c r="I453" i="12"/>
  <c r="V452" i="12"/>
  <c r="N452" i="12"/>
  <c r="AY116" i="2"/>
  <c r="CQ93" i="17"/>
  <c r="AB73" i="8"/>
  <c r="D194" i="2"/>
  <c r="AU194" i="2" s="1"/>
  <c r="X73" i="8"/>
  <c r="AZ116" i="2"/>
  <c r="AY123" i="2"/>
  <c r="CW14" i="17"/>
  <c r="AW269" i="17"/>
  <c r="BY190" i="17"/>
  <c r="CM33" i="17"/>
  <c r="AQ33" i="17"/>
  <c r="CR94" i="17"/>
  <c r="CA200" i="17"/>
  <c r="E261" i="2"/>
  <c r="AV261" i="2" s="1"/>
  <c r="X71" i="8"/>
  <c r="H327" i="12"/>
  <c r="CF47" i="6"/>
  <c r="CY304" i="17"/>
  <c r="CZ304" i="17" s="1"/>
  <c r="DA304" i="17" s="1"/>
  <c r="DB304" i="17" s="1"/>
  <c r="AE372" i="12" s="1"/>
  <c r="AD372" i="12"/>
  <c r="CY303" i="17"/>
  <c r="CZ303" i="17" s="1"/>
  <c r="DA303" i="17" s="1"/>
  <c r="DB303" i="17" s="1"/>
  <c r="AE371" i="12" s="1"/>
  <c r="AD371" i="12"/>
  <c r="CY305" i="17"/>
  <c r="CZ305" i="17" s="1"/>
  <c r="DA305" i="17" s="1"/>
  <c r="DB305" i="17" s="1"/>
  <c r="AE373" i="12" s="1"/>
  <c r="AD373" i="12"/>
  <c r="CS308" i="17"/>
  <c r="BS247" i="17"/>
  <c r="CD270" i="17"/>
  <c r="AN269" i="17"/>
  <c r="R348" i="7"/>
  <c r="AM269" i="17"/>
  <c r="N270" i="17"/>
  <c r="Q500" i="7"/>
  <c r="E230" i="2"/>
  <c r="AV230" i="2" s="1"/>
  <c r="AC485" i="7"/>
  <c r="N244" i="7"/>
  <c r="I73" i="8"/>
  <c r="L74" i="8" s="1"/>
  <c r="X345" i="12"/>
  <c r="P345" i="12"/>
  <c r="AB100" i="7"/>
  <c r="W73" i="8"/>
  <c r="AY33" i="17"/>
  <c r="AI33" i="17"/>
  <c r="BN270" i="17"/>
  <c r="BV143" i="17"/>
  <c r="CW280" i="17"/>
  <c r="DA280" i="17" s="1"/>
  <c r="AB101" i="7"/>
  <c r="AA346" i="12"/>
  <c r="W346" i="12"/>
  <c r="S346" i="12"/>
  <c r="O346" i="12"/>
  <c r="BI269" i="17"/>
  <c r="BU247" i="17"/>
  <c r="CK190" i="17"/>
  <c r="D157" i="2"/>
  <c r="AU157" i="2" s="1"/>
  <c r="DG95" i="11"/>
  <c r="AD48" i="17"/>
  <c r="V284" i="7"/>
  <c r="J301" i="12"/>
  <c r="BW33" i="17"/>
  <c r="H143" i="17"/>
  <c r="CG143" i="17"/>
  <c r="BQ143" i="17"/>
  <c r="BA143" i="17"/>
  <c r="AK143" i="17"/>
  <c r="U143" i="17"/>
  <c r="G143" i="17"/>
  <c r="L52" i="17"/>
  <c r="T303" i="7"/>
  <c r="X355" i="12"/>
  <c r="V355" i="12"/>
  <c r="T355" i="12"/>
  <c r="R355" i="12"/>
  <c r="P355" i="12"/>
  <c r="N355" i="12"/>
  <c r="L355" i="12"/>
  <c r="J355" i="12"/>
  <c r="H355" i="12"/>
  <c r="H195" i="8"/>
  <c r="L345" i="12"/>
  <c r="CI32" i="6"/>
  <c r="CE32" i="6" s="1"/>
  <c r="V779" i="7"/>
  <c r="W339" i="7"/>
  <c r="Q309" i="7"/>
  <c r="AM32" i="6"/>
  <c r="AI32" i="6" s="1"/>
  <c r="T719" i="7"/>
  <c r="T720" i="7" s="1"/>
  <c r="O736" i="7"/>
  <c r="O737" i="7" s="1"/>
  <c r="J421" i="12"/>
  <c r="AB18" i="8"/>
  <c r="AX270" i="17"/>
  <c r="AD270" i="17"/>
  <c r="CP200" i="17"/>
  <c r="CN143" i="17"/>
  <c r="CJ143" i="17"/>
  <c r="CF143" i="17"/>
  <c r="BX143" i="17"/>
  <c r="BT143" i="17"/>
  <c r="BP143" i="17"/>
  <c r="BH143" i="17"/>
  <c r="BD143" i="17"/>
  <c r="AZ143" i="17"/>
  <c r="AR143" i="17"/>
  <c r="AN143" i="17"/>
  <c r="AJ143" i="17"/>
  <c r="AB143" i="17"/>
  <c r="X143" i="17"/>
  <c r="T143" i="17"/>
  <c r="L143" i="17"/>
  <c r="H241" i="17"/>
  <c r="BN35" i="17"/>
  <c r="Q453" i="12"/>
  <c r="AA24" i="8"/>
  <c r="BH269" i="17"/>
  <c r="H340" i="12"/>
  <c r="H427" i="12"/>
  <c r="Z421" i="12"/>
  <c r="V256" i="12"/>
  <c r="AA58" i="12"/>
  <c r="S58" i="12"/>
  <c r="K58" i="12"/>
  <c r="Q233" i="8"/>
  <c r="L118" i="8"/>
  <c r="L125" i="8" s="1"/>
  <c r="Y218" i="8"/>
  <c r="P218" i="8"/>
  <c r="T206" i="7"/>
  <c r="X303" i="7"/>
  <c r="S768" i="7"/>
  <c r="S772" i="7" s="1"/>
  <c r="Z120" i="8"/>
  <c r="R120" i="8"/>
  <c r="J120" i="8"/>
  <c r="V327" i="12"/>
  <c r="N327" i="12"/>
  <c r="Z330" i="7"/>
  <c r="DS28" i="6"/>
  <c r="T780" i="7"/>
  <c r="AY24" i="6"/>
  <c r="AY73" i="6" s="1"/>
  <c r="P224" i="7"/>
  <c r="Y233" i="8"/>
  <c r="X427" i="12"/>
  <c r="V427" i="12"/>
  <c r="T427" i="12"/>
  <c r="R427" i="12"/>
  <c r="P427" i="12"/>
  <c r="N427" i="12"/>
  <c r="L427" i="12"/>
  <c r="R206" i="7"/>
  <c r="N779" i="7"/>
  <c r="DG30" i="6"/>
  <c r="Y181" i="8"/>
  <c r="U11" i="6"/>
  <c r="Z427" i="12"/>
  <c r="S33" i="17"/>
  <c r="H126" i="8"/>
  <c r="T71" i="8"/>
  <c r="L71" i="8"/>
  <c r="N42" i="8"/>
  <c r="CO143" i="17"/>
  <c r="BY143" i="17"/>
  <c r="BI143" i="17"/>
  <c r="AS143" i="17"/>
  <c r="AC143" i="17"/>
  <c r="M143" i="17"/>
  <c r="BR54" i="17"/>
  <c r="N71" i="8"/>
  <c r="L303" i="7"/>
  <c r="X206" i="7"/>
  <c r="I218" i="8"/>
  <c r="AB95" i="7"/>
  <c r="G340" i="12"/>
  <c r="Z778" i="7"/>
  <c r="BW28" i="6"/>
  <c r="L780" i="7"/>
  <c r="X777" i="7"/>
  <c r="BK30" i="6"/>
  <c r="AA233" i="8"/>
  <c r="DM11" i="6"/>
  <c r="I233" i="8"/>
  <c r="N160" i="7"/>
  <c r="V301" i="12"/>
  <c r="Q152" i="7"/>
  <c r="I121" i="2"/>
  <c r="J110" i="20" s="1"/>
  <c r="AA110" i="20" s="1"/>
  <c r="CL270" i="17"/>
  <c r="H71" i="8"/>
  <c r="V112" i="8"/>
  <c r="V109" i="8" s="1"/>
  <c r="N112" i="8"/>
  <c r="T330" i="7"/>
  <c r="DS30" i="6"/>
  <c r="Y273" i="12"/>
  <c r="R270" i="17"/>
  <c r="BP200" i="17"/>
  <c r="CM143" i="17"/>
  <c r="CK143" i="17"/>
  <c r="BW143" i="17"/>
  <c r="BU143" i="17"/>
  <c r="BG143" i="17"/>
  <c r="BE143" i="17"/>
  <c r="AQ143" i="17"/>
  <c r="AO143" i="17"/>
  <c r="AA143" i="17"/>
  <c r="Y143" i="17"/>
  <c r="K143" i="17"/>
  <c r="V120" i="8"/>
  <c r="N120" i="8"/>
  <c r="R330" i="7"/>
  <c r="N303" i="7"/>
  <c r="P206" i="7"/>
  <c r="Q218" i="8"/>
  <c r="AB352" i="12"/>
  <c r="AB355" i="12" s="1"/>
  <c r="N73" i="8"/>
  <c r="CJ269" i="17"/>
  <c r="BK200" i="17"/>
  <c r="AA206" i="7"/>
  <c r="R452" i="12"/>
  <c r="J452" i="12"/>
  <c r="BQ11" i="6"/>
  <c r="CX67" i="6"/>
  <c r="M346" i="12"/>
  <c r="K346" i="12"/>
  <c r="I346" i="12"/>
  <c r="I71" i="8"/>
  <c r="W112" i="8"/>
  <c r="W109" i="8" s="1"/>
  <c r="O112" i="8"/>
  <c r="G112" i="8"/>
  <c r="M206" i="7"/>
  <c r="U768" i="7"/>
  <c r="U772" i="7" s="1"/>
  <c r="M233" i="8"/>
  <c r="DG11" i="6"/>
  <c r="T213" i="12"/>
  <c r="AA453" i="12"/>
  <c r="S453" i="12"/>
  <c r="O453" i="12"/>
  <c r="O73" i="8"/>
  <c r="N778" i="7"/>
  <c r="O339" i="7"/>
  <c r="R284" i="7"/>
  <c r="W715" i="7"/>
  <c r="S715" i="7"/>
  <c r="Q715" i="7"/>
  <c r="O715" i="7"/>
  <c r="T244" i="7"/>
  <c r="W71" i="8"/>
  <c r="O71" i="8"/>
  <c r="W451" i="12"/>
  <c r="O451" i="12"/>
  <c r="V345" i="12"/>
  <c r="J345" i="12"/>
  <c r="CU32" i="6"/>
  <c r="CQ32" i="6" s="1"/>
  <c r="CV32" i="6" s="1"/>
  <c r="CV81" i="6" s="1"/>
  <c r="AY32" i="6"/>
  <c r="AU32" i="6" s="1"/>
  <c r="CC30" i="6"/>
  <c r="CC79" i="6" s="1"/>
  <c r="V719" i="7"/>
  <c r="V720" i="7" s="1"/>
  <c r="CC269" i="17"/>
  <c r="M218" i="8"/>
  <c r="Y346" i="12"/>
  <c r="R73" i="8"/>
  <c r="K269" i="17"/>
  <c r="H218" i="8"/>
  <c r="R779" i="7"/>
  <c r="AA24" i="6"/>
  <c r="AA73" i="6" s="1"/>
  <c r="T224" i="7"/>
  <c r="L777" i="7"/>
  <c r="U777" i="7"/>
  <c r="Q554" i="7"/>
  <c r="L511" i="7"/>
  <c r="Z512" i="7"/>
  <c r="T155" i="7"/>
  <c r="S416" i="12"/>
  <c r="K416" i="12"/>
  <c r="AB63" i="8"/>
  <c r="V225" i="8"/>
  <c r="AB61" i="8"/>
  <c r="AB440" i="7"/>
  <c r="CB143" i="17"/>
  <c r="BL143" i="17"/>
  <c r="AV143" i="17"/>
  <c r="AF143" i="17"/>
  <c r="P143" i="17"/>
  <c r="Q52" i="17"/>
  <c r="M52" i="17"/>
  <c r="N330" i="7"/>
  <c r="P303" i="7"/>
  <c r="Q73" i="8"/>
  <c r="X191" i="8"/>
  <c r="W330" i="7"/>
  <c r="I28" i="6"/>
  <c r="E28" i="6" s="1"/>
  <c r="BN47" i="6"/>
  <c r="AJ40" i="6"/>
  <c r="BK87" i="17"/>
  <c r="R71" i="8"/>
  <c r="V330" i="7"/>
  <c r="AA715" i="7"/>
  <c r="Y715" i="7"/>
  <c r="L206" i="7"/>
  <c r="U218" i="8"/>
  <c r="CM269" i="17"/>
  <c r="M269" i="17"/>
  <c r="L269" i="17"/>
  <c r="CI247" i="17"/>
  <c r="O330" i="7"/>
  <c r="U206" i="7"/>
  <c r="X218" i="8"/>
  <c r="N348" i="7"/>
  <c r="P316" i="7"/>
  <c r="H121" i="2"/>
  <c r="I110" i="20" s="1"/>
  <c r="Z110" i="20" s="1"/>
  <c r="AB58" i="8"/>
  <c r="AT270" i="17"/>
  <c r="CP143" i="17"/>
  <c r="BZ143" i="17"/>
  <c r="BJ143" i="17"/>
  <c r="AT143" i="17"/>
  <c r="AD143" i="17"/>
  <c r="N143" i="17"/>
  <c r="I143" i="17"/>
  <c r="Z244" i="7"/>
  <c r="X244" i="7"/>
  <c r="P244" i="7"/>
  <c r="N180" i="17"/>
  <c r="AC269" i="17"/>
  <c r="AB269" i="17"/>
  <c r="S206" i="7"/>
  <c r="E222" i="2"/>
  <c r="AV222" i="2" s="1"/>
  <c r="V218" i="8"/>
  <c r="P340" i="12"/>
  <c r="CI28" i="6"/>
  <c r="CO77" i="6" s="1"/>
  <c r="V316" i="7"/>
  <c r="N316" i="7"/>
  <c r="X779" i="7"/>
  <c r="R224" i="7"/>
  <c r="AA181" i="8"/>
  <c r="AV47" i="6"/>
  <c r="W128" i="12"/>
  <c r="O128" i="12"/>
  <c r="H98" i="12"/>
  <c r="T77" i="12"/>
  <c r="L77" i="12"/>
  <c r="BR143" i="17"/>
  <c r="BB143" i="17"/>
  <c r="AL143" i="17"/>
  <c r="V143" i="17"/>
  <c r="CE143" i="17"/>
  <c r="BO143" i="17"/>
  <c r="AY143" i="17"/>
  <c r="S143" i="17"/>
  <c r="AA218" i="8"/>
  <c r="U346" i="12"/>
  <c r="Q346" i="12"/>
  <c r="M330" i="7"/>
  <c r="V348" i="7"/>
  <c r="L348" i="7"/>
  <c r="O778" i="7"/>
  <c r="X316" i="7"/>
  <c r="P780" i="7"/>
  <c r="O32" i="6"/>
  <c r="K32" i="6" s="1"/>
  <c r="Z284" i="7"/>
  <c r="P284" i="7"/>
  <c r="AA270" i="7"/>
  <c r="S270" i="7"/>
  <c r="T777" i="7"/>
  <c r="AM30" i="6"/>
  <c r="AS79" i="6" s="1"/>
  <c r="M777" i="7"/>
  <c r="Y225" i="8"/>
  <c r="Q225" i="8"/>
  <c r="K233" i="8"/>
  <c r="P554" i="7"/>
  <c r="O554" i="7"/>
  <c r="T723" i="7"/>
  <c r="T725" i="7" s="1"/>
  <c r="U500" i="7"/>
  <c r="DX20" i="6"/>
  <c r="DX18" i="6" s="1"/>
  <c r="BE62" i="17"/>
  <c r="CI269" i="17"/>
  <c r="CH143" i="17"/>
  <c r="CC143" i="17"/>
  <c r="BM143" i="17"/>
  <c r="AW143" i="17"/>
  <c r="AI143" i="17"/>
  <c r="AG143" i="17"/>
  <c r="Q143" i="17"/>
  <c r="AA33" i="17"/>
  <c r="CW278" i="17"/>
  <c r="DA278" i="17" s="1"/>
  <c r="CJ200" i="17"/>
  <c r="I87" i="17"/>
  <c r="BR35" i="17"/>
  <c r="V71" i="8"/>
  <c r="L330" i="7"/>
  <c r="H115" i="8"/>
  <c r="Y122" i="7"/>
  <c r="W122" i="7"/>
  <c r="U122" i="7"/>
  <c r="S122" i="7"/>
  <c r="Q122" i="7"/>
  <c r="O122" i="7"/>
  <c r="M122" i="7"/>
  <c r="I459" i="12"/>
  <c r="Y453" i="12"/>
  <c r="K453" i="12"/>
  <c r="V542" i="7"/>
  <c r="V545" i="7" s="1"/>
  <c r="V73" i="8"/>
  <c r="BS200" i="17"/>
  <c r="BU190" i="17"/>
  <c r="U71" i="8"/>
  <c r="M71" i="8"/>
  <c r="S451" i="12"/>
  <c r="K451" i="12"/>
  <c r="S73" i="8"/>
  <c r="AA295" i="12"/>
  <c r="CU28" i="6"/>
  <c r="DA77" i="6" s="1"/>
  <c r="W778" i="7"/>
  <c r="DG32" i="6"/>
  <c r="DC32" i="6" s="1"/>
  <c r="BK32" i="6"/>
  <c r="BG32" i="6" s="1"/>
  <c r="Y316" i="7"/>
  <c r="BQ32" i="6"/>
  <c r="DS24" i="6"/>
  <c r="DY24" i="6"/>
  <c r="CC24" i="6"/>
  <c r="CC73" i="6" s="1"/>
  <c r="AG24" i="6"/>
  <c r="AG73" i="6" s="1"/>
  <c r="AA224" i="7"/>
  <c r="U233" i="8"/>
  <c r="I225" i="8"/>
  <c r="X181" i="8"/>
  <c r="N768" i="7"/>
  <c r="N772" i="7" s="1"/>
  <c r="W548" i="7"/>
  <c r="R511" i="7"/>
  <c r="CL40" i="6"/>
  <c r="CL89" i="6" s="1"/>
  <c r="W152" i="7"/>
  <c r="S752" i="7"/>
  <c r="S756" i="7" s="1"/>
  <c r="S736" i="7"/>
  <c r="S737" i="7" s="1"/>
  <c r="CM40" i="6"/>
  <c r="CM89" i="6" s="1"/>
  <c r="S255" i="12"/>
  <c r="K255" i="12"/>
  <c r="L147" i="7"/>
  <c r="I123" i="2"/>
  <c r="CJ59" i="11"/>
  <c r="W178" i="12" s="1"/>
  <c r="AV59" i="11"/>
  <c r="AW59" i="11" s="1"/>
  <c r="BZ87" i="11"/>
  <c r="CA87" i="11" s="1"/>
  <c r="DD101" i="11"/>
  <c r="AA175" i="12" s="1"/>
  <c r="CT87" i="11"/>
  <c r="Y172" i="12" s="1"/>
  <c r="R87" i="11"/>
  <c r="I172" i="12" s="1"/>
  <c r="D252" i="2"/>
  <c r="F540" i="20" s="1"/>
  <c r="W540" i="20" s="1"/>
  <c r="CY102" i="11"/>
  <c r="CY126" i="11" s="1"/>
  <c r="CE102" i="11"/>
  <c r="CF102" i="11" s="1"/>
  <c r="BK102" i="11"/>
  <c r="R174" i="12" s="1"/>
  <c r="AQ102" i="11"/>
  <c r="N174" i="12" s="1"/>
  <c r="W102" i="11"/>
  <c r="J174" i="12" s="1"/>
  <c r="BF87" i="11"/>
  <c r="Q172" i="12" s="1"/>
  <c r="AB450" i="20"/>
  <c r="AB456" i="20" s="1"/>
  <c r="AB462" i="20" s="1"/>
  <c r="EQ60" i="6"/>
  <c r="EW60" i="6"/>
  <c r="CT181" i="17"/>
  <c r="CR72" i="11"/>
  <c r="BD72" i="11"/>
  <c r="AQ9" i="11"/>
  <c r="AR9" i="11" s="1"/>
  <c r="Z355" i="12"/>
  <c r="CE9" i="11"/>
  <c r="V136" i="12" s="1"/>
  <c r="CD23" i="11" s="1"/>
  <c r="CY58" i="11"/>
  <c r="CZ58" i="11" s="1"/>
  <c r="BK58" i="11"/>
  <c r="BL58" i="11" s="1"/>
  <c r="W58" i="11"/>
  <c r="X58" i="11" s="1"/>
  <c r="BX72" i="11"/>
  <c r="BC269" i="17"/>
  <c r="Q213" i="12"/>
  <c r="BH64" i="11"/>
  <c r="Y778" i="7"/>
  <c r="Y348" i="7"/>
  <c r="Y330" i="7"/>
  <c r="Q778" i="7"/>
  <c r="Q348" i="7"/>
  <c r="AA780" i="7"/>
  <c r="CC32" i="6"/>
  <c r="T309" i="7"/>
  <c r="AG32" i="6"/>
  <c r="AC32" i="6" s="1"/>
  <c r="L309" i="7"/>
  <c r="U779" i="7"/>
  <c r="CO24" i="6"/>
  <c r="CU73" i="6" s="1"/>
  <c r="M779" i="7"/>
  <c r="AS24" i="6"/>
  <c r="AS73" i="6" s="1"/>
  <c r="W777" i="7"/>
  <c r="DA30" i="6"/>
  <c r="O777" i="7"/>
  <c r="O224" i="7"/>
  <c r="O206" i="7"/>
  <c r="DS11" i="6"/>
  <c r="Z225" i="8"/>
  <c r="Z181" i="8"/>
  <c r="R768" i="7"/>
  <c r="R772" i="7" s="1"/>
  <c r="R218" i="8"/>
  <c r="S554" i="7"/>
  <c r="S719" i="7"/>
  <c r="S720" i="7" s="1"/>
  <c r="F40" i="6"/>
  <c r="AA160" i="7"/>
  <c r="AA144" i="7"/>
  <c r="V440" i="7"/>
  <c r="G47" i="6"/>
  <c r="Y512" i="7"/>
  <c r="DK40" i="6"/>
  <c r="DQ89" i="6" s="1"/>
  <c r="S40" i="6"/>
  <c r="DW18" i="6"/>
  <c r="T147" i="7"/>
  <c r="CZ20" i="6"/>
  <c r="CZ18" i="6" s="1"/>
  <c r="W157" i="7"/>
  <c r="O157" i="7"/>
  <c r="BD20" i="6"/>
  <c r="BD18" i="6" s="1"/>
  <c r="H20" i="6"/>
  <c r="H18" i="6" s="1"/>
  <c r="Z627" i="7"/>
  <c r="Z638" i="7" s="1"/>
  <c r="Z451" i="7"/>
  <c r="R451" i="7"/>
  <c r="R627" i="7"/>
  <c r="R638" i="7" s="1"/>
  <c r="T555" i="7"/>
  <c r="U549" i="7"/>
  <c r="CG47" i="6"/>
  <c r="L736" i="7"/>
  <c r="L737" i="7" s="1"/>
  <c r="L555" i="7"/>
  <c r="V740" i="7"/>
  <c r="V742" i="7" s="1"/>
  <c r="V501" i="7"/>
  <c r="W501" i="7"/>
  <c r="CS40" i="6"/>
  <c r="N512" i="7"/>
  <c r="AW40" i="6"/>
  <c r="N501" i="7"/>
  <c r="DE18" i="6"/>
  <c r="X155" i="7"/>
  <c r="P155" i="7"/>
  <c r="M18" i="6"/>
  <c r="AM321" i="17"/>
  <c r="CV280" i="17"/>
  <c r="CZ280" i="17" s="1"/>
  <c r="BZ270" i="17"/>
  <c r="N789" i="7"/>
  <c r="V121" i="8"/>
  <c r="N121" i="8"/>
  <c r="Y340" i="12"/>
  <c r="W340" i="12"/>
  <c r="U340" i="12"/>
  <c r="S340" i="12"/>
  <c r="W155" i="12"/>
  <c r="BW247" i="17"/>
  <c r="BX247" i="17"/>
  <c r="BV248" i="17"/>
  <c r="BQ247" i="17"/>
  <c r="BN248" i="17"/>
  <c r="Y71" i="8"/>
  <c r="Q71" i="8"/>
  <c r="AA303" i="7"/>
  <c r="BQ28" i="6"/>
  <c r="I30" i="6"/>
  <c r="E30" i="6" s="1"/>
  <c r="J30" i="6" s="1"/>
  <c r="Z768" i="7"/>
  <c r="Z772" i="7" s="1"/>
  <c r="T545" i="7"/>
  <c r="N740" i="7"/>
  <c r="N742" i="7" s="1"/>
  <c r="M340" i="12"/>
  <c r="BD269" i="17"/>
  <c r="T64" i="11"/>
  <c r="I213" i="12"/>
  <c r="BC121" i="2"/>
  <c r="Y73" i="8"/>
  <c r="AJ269" i="17"/>
  <c r="AH270" i="17"/>
  <c r="Q330" i="7"/>
  <c r="S303" i="7"/>
  <c r="W206" i="7"/>
  <c r="DM28" i="6"/>
  <c r="BE30" i="6"/>
  <c r="BT18" i="6"/>
  <c r="BZ67" i="6" s="1"/>
  <c r="W752" i="7"/>
  <c r="W756" i="7" s="1"/>
  <c r="C243" i="2"/>
  <c r="AT243" i="2" s="1"/>
  <c r="AK47" i="6"/>
  <c r="V512" i="7"/>
  <c r="CB64" i="11"/>
  <c r="CB65" i="11" s="1"/>
  <c r="CC65" i="11" s="1"/>
  <c r="U213" i="12"/>
  <c r="AN64" i="11"/>
  <c r="AO64" i="11" s="1"/>
  <c r="U778" i="7"/>
  <c r="U330" i="7"/>
  <c r="U348" i="7"/>
  <c r="M778" i="7"/>
  <c r="M348" i="7"/>
  <c r="DA32" i="6"/>
  <c r="W309" i="7"/>
  <c r="X309" i="7"/>
  <c r="W303" i="7"/>
  <c r="BE32" i="6"/>
  <c r="BA32" i="6" s="1"/>
  <c r="O303" i="7"/>
  <c r="O780" i="7"/>
  <c r="I32" i="6"/>
  <c r="E32" i="6" s="1"/>
  <c r="J32" i="6" s="1"/>
  <c r="Y779" i="7"/>
  <c r="DM24" i="6"/>
  <c r="Q779" i="7"/>
  <c r="BQ24" i="6"/>
  <c r="BQ73" i="6" s="1"/>
  <c r="R501" i="7"/>
  <c r="Y213" i="12"/>
  <c r="CV64" i="11"/>
  <c r="CV65" i="11" s="1"/>
  <c r="AQ321" i="17"/>
  <c r="CC52" i="17"/>
  <c r="P39" i="8"/>
  <c r="P42" i="8"/>
  <c r="H39" i="8"/>
  <c r="H42" i="8"/>
  <c r="CT68" i="17"/>
  <c r="CT84" i="17" s="1"/>
  <c r="BZ88" i="17"/>
  <c r="CN66" i="11" s="1"/>
  <c r="BT93" i="17"/>
  <c r="R789" i="7"/>
  <c r="R121" i="8"/>
  <c r="J121" i="8"/>
  <c r="V270" i="17"/>
  <c r="X269" i="17"/>
  <c r="CK247" i="17"/>
  <c r="BQ190" i="17"/>
  <c r="BN191" i="17"/>
  <c r="AA71" i="8"/>
  <c r="J218" i="8"/>
  <c r="W224" i="7"/>
  <c r="T736" i="7"/>
  <c r="T737" i="7" s="1"/>
  <c r="O340" i="12"/>
  <c r="K340" i="12"/>
  <c r="CI143" i="17"/>
  <c r="BS143" i="17"/>
  <c r="BC143" i="17"/>
  <c r="AM143" i="17"/>
  <c r="W143" i="17"/>
  <c r="T327" i="12"/>
  <c r="L327" i="12"/>
  <c r="L789" i="7"/>
  <c r="Z121" i="8"/>
  <c r="V115" i="8"/>
  <c r="N115" i="8"/>
  <c r="AB50" i="8"/>
  <c r="U73" i="8"/>
  <c r="CI200" i="17"/>
  <c r="U451" i="12"/>
  <c r="M451" i="12"/>
  <c r="T452" i="12"/>
  <c r="L452" i="12"/>
  <c r="T345" i="12"/>
  <c r="N345" i="12"/>
  <c r="DY30" i="6"/>
  <c r="S224" i="7"/>
  <c r="N225" i="8"/>
  <c r="V160" i="7"/>
  <c r="J427" i="12"/>
  <c r="AA157" i="7"/>
  <c r="S157" i="7"/>
  <c r="V451" i="7"/>
  <c r="CC73" i="11"/>
  <c r="AO73" i="11"/>
  <c r="L155" i="7"/>
  <c r="W305" i="12"/>
  <c r="DG11" i="11"/>
  <c r="CW81" i="11"/>
  <c r="R421" i="12"/>
  <c r="DD47" i="6"/>
  <c r="X554" i="7"/>
  <c r="P548" i="7"/>
  <c r="BH47" i="6"/>
  <c r="CU11" i="6"/>
  <c r="CU60" i="6" s="1"/>
  <c r="V181" i="8"/>
  <c r="X40" i="6"/>
  <c r="M512" i="7"/>
  <c r="AQ40" i="6"/>
  <c r="AQ89" i="6" s="1"/>
  <c r="N451" i="7"/>
  <c r="P555" i="7"/>
  <c r="BI47" i="6"/>
  <c r="Z740" i="7"/>
  <c r="Z742" i="7" s="1"/>
  <c r="Z501" i="7"/>
  <c r="R512" i="7"/>
  <c r="BU40" i="6"/>
  <c r="Y40" i="6"/>
  <c r="CA143" i="17"/>
  <c r="BK143" i="17"/>
  <c r="AU143" i="17"/>
  <c r="AE143" i="17"/>
  <c r="O143" i="17"/>
  <c r="CK52" i="17"/>
  <c r="AG52" i="17"/>
  <c r="X327" i="12"/>
  <c r="P327" i="12"/>
  <c r="P789" i="7"/>
  <c r="R115" i="8"/>
  <c r="J115" i="8"/>
  <c r="R244" i="7"/>
  <c r="W453" i="12"/>
  <c r="U453" i="12"/>
  <c r="U40" i="8"/>
  <c r="V40" i="8" s="1"/>
  <c r="M73" i="8"/>
  <c r="N177" i="17"/>
  <c r="CO269" i="17"/>
  <c r="Z191" i="8"/>
  <c r="N218" i="8"/>
  <c r="Y451" i="12"/>
  <c r="Q451" i="12"/>
  <c r="I451" i="12"/>
  <c r="Z452" i="12"/>
  <c r="X452" i="12"/>
  <c r="P452" i="12"/>
  <c r="R345" i="12"/>
  <c r="AA73" i="8"/>
  <c r="Y295" i="12"/>
  <c r="W295" i="12"/>
  <c r="U295" i="12"/>
  <c r="S295" i="12"/>
  <c r="Q295" i="12"/>
  <c r="O295" i="12"/>
  <c r="M295" i="12"/>
  <c r="K295" i="12"/>
  <c r="V778" i="7"/>
  <c r="P309" i="7"/>
  <c r="U24" i="6"/>
  <c r="U73" i="6" s="1"/>
  <c r="M768" i="7"/>
  <c r="M772" i="7" s="1"/>
  <c r="P545" i="7"/>
  <c r="Z511" i="7"/>
  <c r="O152" i="7"/>
  <c r="AF20" i="6"/>
  <c r="AF18" i="6" s="1"/>
  <c r="AA305" i="12"/>
  <c r="Y443" i="12"/>
  <c r="BX13" i="11"/>
  <c r="S305" i="12"/>
  <c r="Q443" i="12"/>
  <c r="M305" i="12"/>
  <c r="I443" i="12"/>
  <c r="DK88" i="11"/>
  <c r="X441" i="12"/>
  <c r="V441" i="12"/>
  <c r="T441" i="12"/>
  <c r="R441" i="12"/>
  <c r="P441" i="12"/>
  <c r="N441" i="12"/>
  <c r="L441" i="12"/>
  <c r="J441" i="12"/>
  <c r="I165" i="17"/>
  <c r="T548" i="7"/>
  <c r="R256" i="12"/>
  <c r="P256" i="12"/>
  <c r="AB419" i="12"/>
  <c r="Z414" i="12"/>
  <c r="R414" i="12"/>
  <c r="J414" i="12"/>
  <c r="CW50" i="11"/>
  <c r="BI50" i="11"/>
  <c r="U50" i="11"/>
  <c r="DL35" i="11"/>
  <c r="AB366" i="12"/>
  <c r="Z366" i="12"/>
  <c r="X366" i="12"/>
  <c r="T366" i="12"/>
  <c r="P366" i="12"/>
  <c r="N254" i="12"/>
  <c r="H391" i="12"/>
  <c r="U129" i="12"/>
  <c r="M129" i="12"/>
  <c r="AB119" i="12"/>
  <c r="Z119" i="12"/>
  <c r="X119" i="12"/>
  <c r="V119" i="12"/>
  <c r="T119" i="12"/>
  <c r="R119" i="12"/>
  <c r="P119" i="12"/>
  <c r="N119" i="12"/>
  <c r="L119" i="12"/>
  <c r="J119" i="12"/>
  <c r="N178" i="17"/>
  <c r="BR151" i="17"/>
  <c r="P98" i="12"/>
  <c r="AL151" i="17"/>
  <c r="Y60" i="12"/>
  <c r="Q60" i="12"/>
  <c r="I60" i="12"/>
  <c r="J251" i="12"/>
  <c r="BE225" i="17"/>
  <c r="AO225" i="17"/>
  <c r="Y225" i="17"/>
  <c r="CK173" i="17"/>
  <c r="CC173" i="17"/>
  <c r="BU173" i="17"/>
  <c r="W408" i="12"/>
  <c r="O408" i="12"/>
  <c r="J408" i="12"/>
  <c r="M41" i="12"/>
  <c r="AK64" i="11" s="1"/>
  <c r="AL64" i="11" s="1"/>
  <c r="M170" i="12" s="1"/>
  <c r="H419" i="12"/>
  <c r="AA415" i="12"/>
  <c r="P50" i="11"/>
  <c r="DF87" i="6"/>
  <c r="CZ87" i="6"/>
  <c r="CH87" i="6"/>
  <c r="CB87" i="6"/>
  <c r="BJ87" i="6"/>
  <c r="V366" i="12"/>
  <c r="R366" i="12"/>
  <c r="BH85" i="6"/>
  <c r="N391" i="12"/>
  <c r="AJ35" i="11"/>
  <c r="L366" i="12"/>
  <c r="AH265" i="17"/>
  <c r="Y129" i="12"/>
  <c r="BV243" i="17"/>
  <c r="Q129" i="12"/>
  <c r="AP243" i="17"/>
  <c r="I129" i="12"/>
  <c r="CS105" i="11"/>
  <c r="H99" i="12"/>
  <c r="BN178" i="17"/>
  <c r="BV112" i="17"/>
  <c r="AP112" i="17"/>
  <c r="H77" i="12"/>
  <c r="CP89" i="17"/>
  <c r="DC8" i="17" s="1"/>
  <c r="BJ89" i="17"/>
  <c r="AD89" i="17"/>
  <c r="N301" i="12"/>
  <c r="X301" i="12"/>
  <c r="T301" i="12"/>
  <c r="P301" i="12"/>
  <c r="L301" i="12"/>
  <c r="H301" i="12"/>
  <c r="AK260" i="17"/>
  <c r="AW225" i="17"/>
  <c r="AG225" i="17"/>
  <c r="Q225" i="17"/>
  <c r="BQ73" i="17"/>
  <c r="AB213" i="12"/>
  <c r="S408" i="12"/>
  <c r="K408" i="12"/>
  <c r="E508" i="20"/>
  <c r="V508" i="20" s="1"/>
  <c r="BU95" i="6"/>
  <c r="AJ7" i="11"/>
  <c r="AX265" i="17"/>
  <c r="CL243" i="17"/>
  <c r="BF243" i="17"/>
  <c r="Z243" i="17"/>
  <c r="DC105" i="11"/>
  <c r="CI105" i="11"/>
  <c r="CL112" i="17"/>
  <c r="BF112" i="17"/>
  <c r="Z112" i="17"/>
  <c r="BV29" i="17"/>
  <c r="AP29" i="17"/>
  <c r="DJ95" i="6"/>
  <c r="BA87" i="11"/>
  <c r="BB87" i="11" s="1"/>
  <c r="CU280" i="17"/>
  <c r="AP264" i="17"/>
  <c r="AP270" i="17"/>
  <c r="AR269" i="17"/>
  <c r="AS269" i="17"/>
  <c r="X348" i="7"/>
  <c r="X778" i="7"/>
  <c r="X330" i="7"/>
  <c r="DG28" i="6"/>
  <c r="DG77" i="6" s="1"/>
  <c r="O28" i="6"/>
  <c r="S309" i="7"/>
  <c r="R309" i="7"/>
  <c r="BW32" i="6"/>
  <c r="R316" i="7"/>
  <c r="R303" i="7"/>
  <c r="T779" i="7"/>
  <c r="T270" i="7"/>
  <c r="CI24" i="6"/>
  <c r="T284" i="7"/>
  <c r="N224" i="7"/>
  <c r="N777" i="7"/>
  <c r="N206" i="7"/>
  <c r="W181" i="8"/>
  <c r="W768" i="7"/>
  <c r="W772" i="7" s="1"/>
  <c r="W225" i="8"/>
  <c r="W218" i="8"/>
  <c r="W233" i="8"/>
  <c r="G218" i="8"/>
  <c r="G233" i="8"/>
  <c r="AB224" i="12"/>
  <c r="D141" i="2"/>
  <c r="AU141" i="2" s="1"/>
  <c r="BR68" i="17"/>
  <c r="BR84" i="17" s="1"/>
  <c r="V408" i="12"/>
  <c r="AA348" i="7"/>
  <c r="AA339" i="7"/>
  <c r="DY28" i="6"/>
  <c r="AA778" i="7"/>
  <c r="AA330" i="7"/>
  <c r="AG28" i="6"/>
  <c r="AM77" i="6" s="1"/>
  <c r="U309" i="7"/>
  <c r="U303" i="7"/>
  <c r="U780" i="7"/>
  <c r="CO32" i="6"/>
  <c r="BE24" i="6"/>
  <c r="BE73" i="6" s="1"/>
  <c r="O270" i="7"/>
  <c r="O779" i="7"/>
  <c r="O284" i="7"/>
  <c r="Q777" i="7"/>
  <c r="Q224" i="7"/>
  <c r="Q206" i="7"/>
  <c r="L233" i="8"/>
  <c r="L225" i="8"/>
  <c r="L768" i="7"/>
  <c r="L772" i="7" s="1"/>
  <c r="AM11" i="6"/>
  <c r="M225" i="8"/>
  <c r="CL47" i="6"/>
  <c r="CR96" i="6" s="1"/>
  <c r="U548" i="7"/>
  <c r="U554" i="7"/>
  <c r="U545" i="7"/>
  <c r="BH40" i="6"/>
  <c r="P723" i="7"/>
  <c r="P725" i="7" s="1"/>
  <c r="P511" i="7"/>
  <c r="DJ40" i="6"/>
  <c r="DJ89" i="6" s="1"/>
  <c r="Y511" i="7"/>
  <c r="Y723" i="7"/>
  <c r="Y725" i="7" s="1"/>
  <c r="Y500" i="7"/>
  <c r="Q511" i="7"/>
  <c r="Q723" i="7"/>
  <c r="Q725" i="7" s="1"/>
  <c r="BN40" i="6"/>
  <c r="BT89" i="6" s="1"/>
  <c r="AJ18" i="6"/>
  <c r="L160" i="7"/>
  <c r="M160" i="7"/>
  <c r="M152" i="7"/>
  <c r="M144" i="7"/>
  <c r="AP18" i="6"/>
  <c r="W627" i="7"/>
  <c r="W638" i="7" s="1"/>
  <c r="W440" i="7"/>
  <c r="W451" i="7"/>
  <c r="X440" i="7"/>
  <c r="Q549" i="7"/>
  <c r="BO47" i="6"/>
  <c r="Q555" i="7"/>
  <c r="AA740" i="7"/>
  <c r="AA742" i="7" s="1"/>
  <c r="AA512" i="7"/>
  <c r="EC40" i="6"/>
  <c r="AA501" i="7"/>
  <c r="S501" i="7"/>
  <c r="S740" i="7"/>
  <c r="S742" i="7" s="1"/>
  <c r="S512" i="7"/>
  <c r="M155" i="7"/>
  <c r="AQ18" i="6"/>
  <c r="AQ67" i="6" s="1"/>
  <c r="M147" i="7"/>
  <c r="X408" i="12"/>
  <c r="CQ64" i="11"/>
  <c r="Y224" i="12"/>
  <c r="X213" i="12"/>
  <c r="P408" i="12"/>
  <c r="P213" i="12"/>
  <c r="BC64" i="11"/>
  <c r="Y41" i="12"/>
  <c r="CS64" i="11" s="1"/>
  <c r="CD68" i="17"/>
  <c r="CD84" i="17" s="1"/>
  <c r="I408" i="12"/>
  <c r="I41" i="12"/>
  <c r="Q64" i="11" s="1"/>
  <c r="R68" i="17"/>
  <c r="R84" i="17" s="1"/>
  <c r="BP20" i="6"/>
  <c r="BP18" i="6" s="1"/>
  <c r="Q752" i="7"/>
  <c r="Q756" i="7" s="1"/>
  <c r="Q157" i="7"/>
  <c r="AQ269" i="17"/>
  <c r="X339" i="7"/>
  <c r="R780" i="7"/>
  <c r="BV264" i="17"/>
  <c r="BV120" i="17" s="1"/>
  <c r="BX269" i="17"/>
  <c r="BY269" i="17"/>
  <c r="BV270" i="17"/>
  <c r="L218" i="8"/>
  <c r="H225" i="8"/>
  <c r="U719" i="7"/>
  <c r="U720" i="7" s="1"/>
  <c r="Z256" i="12"/>
  <c r="Z251" i="12"/>
  <c r="BQ52" i="17"/>
  <c r="BP52" i="17"/>
  <c r="W269" i="17"/>
  <c r="BK28" i="6"/>
  <c r="BK77" i="6" s="1"/>
  <c r="P348" i="7"/>
  <c r="P778" i="7"/>
  <c r="P330" i="7"/>
  <c r="P339" i="7"/>
  <c r="AA309" i="7"/>
  <c r="Z309" i="7"/>
  <c r="Z316" i="7"/>
  <c r="DS32" i="6"/>
  <c r="Z303" i="7"/>
  <c r="Z780" i="7"/>
  <c r="AA32" i="6"/>
  <c r="L270" i="7"/>
  <c r="L284" i="7"/>
  <c r="AM24" i="6"/>
  <c r="AM73" i="6" s="1"/>
  <c r="L779" i="7"/>
  <c r="V212" i="7"/>
  <c r="V777" i="7"/>
  <c r="V224" i="7"/>
  <c r="V206" i="7"/>
  <c r="O768" i="7"/>
  <c r="O772" i="7" s="1"/>
  <c r="BE11" i="6"/>
  <c r="BE60" i="6" s="1"/>
  <c r="O218" i="8"/>
  <c r="O233" i="8"/>
  <c r="Z719" i="7"/>
  <c r="Z720" i="7" s="1"/>
  <c r="Z548" i="7"/>
  <c r="DP47" i="6"/>
  <c r="AA548" i="7"/>
  <c r="Z554" i="7"/>
  <c r="R554" i="7"/>
  <c r="BT47" i="6"/>
  <c r="R548" i="7"/>
  <c r="R545" i="7"/>
  <c r="AL68" i="17"/>
  <c r="AK68" i="17" s="1"/>
  <c r="N408" i="12"/>
  <c r="S348" i="7"/>
  <c r="CC28" i="6"/>
  <c r="S339" i="7"/>
  <c r="T339" i="7"/>
  <c r="S330" i="7"/>
  <c r="S778" i="7"/>
  <c r="M309" i="7"/>
  <c r="AS32" i="6"/>
  <c r="M303" i="7"/>
  <c r="M316" i="7"/>
  <c r="M780" i="7"/>
  <c r="DA24" i="6"/>
  <c r="DA73" i="6" s="1"/>
  <c r="W779" i="7"/>
  <c r="W270" i="7"/>
  <c r="W284" i="7"/>
  <c r="I24" i="6"/>
  <c r="DM30" i="6"/>
  <c r="Y224" i="7"/>
  <c r="Y206" i="7"/>
  <c r="Z212" i="7"/>
  <c r="Y777" i="7"/>
  <c r="U30" i="6"/>
  <c r="T225" i="8"/>
  <c r="U225" i="8"/>
  <c r="T233" i="8"/>
  <c r="T768" i="7"/>
  <c r="T772" i="7" s="1"/>
  <c r="CI11" i="6"/>
  <c r="L554" i="7"/>
  <c r="L719" i="7"/>
  <c r="L720" i="7" s="1"/>
  <c r="L548" i="7"/>
  <c r="AJ47" i="6"/>
  <c r="L545" i="7"/>
  <c r="AP47" i="6"/>
  <c r="M548" i="7"/>
  <c r="M545" i="7"/>
  <c r="M719" i="7"/>
  <c r="M720" i="7" s="1"/>
  <c r="M554" i="7"/>
  <c r="X723" i="7"/>
  <c r="X725" i="7" s="1"/>
  <c r="X511" i="7"/>
  <c r="R40" i="6"/>
  <c r="CF18" i="6"/>
  <c r="CF67" i="6" s="1"/>
  <c r="T160" i="7"/>
  <c r="U160" i="7"/>
  <c r="CL18" i="6"/>
  <c r="CR67" i="6" s="1"/>
  <c r="U144" i="7"/>
  <c r="U152" i="7"/>
  <c r="O440" i="7"/>
  <c r="O451" i="7"/>
  <c r="O627" i="7"/>
  <c r="O638" i="7" s="1"/>
  <c r="S47" i="6"/>
  <c r="AE40" i="6"/>
  <c r="L501" i="7"/>
  <c r="U155" i="7"/>
  <c r="CM18" i="6"/>
  <c r="CM67" i="6" s="1"/>
  <c r="U147" i="7"/>
  <c r="H408" i="12"/>
  <c r="O64" i="11"/>
  <c r="I224" i="12"/>
  <c r="H213" i="12"/>
  <c r="AX68" i="17"/>
  <c r="AX84" i="17" s="1"/>
  <c r="Q41" i="12"/>
  <c r="BE64" i="11" s="1"/>
  <c r="Q408" i="12"/>
  <c r="DL20" i="6"/>
  <c r="DL18" i="6" s="1"/>
  <c r="Y752" i="7"/>
  <c r="Y756" i="7" s="1"/>
  <c r="Y157" i="7"/>
  <c r="T20" i="6"/>
  <c r="T18" i="6" s="1"/>
  <c r="AC426" i="7"/>
  <c r="E243" i="2" s="1"/>
  <c r="H485" i="20" s="1"/>
  <c r="Y485" i="20" s="1"/>
  <c r="AB627" i="7"/>
  <c r="T451" i="7"/>
  <c r="T440" i="7"/>
  <c r="T627" i="7"/>
  <c r="T638" i="7" s="1"/>
  <c r="L451" i="7"/>
  <c r="L627" i="7"/>
  <c r="L638" i="7" s="1"/>
  <c r="L440" i="7"/>
  <c r="BQ30" i="6"/>
  <c r="BQ79" i="6" s="1"/>
  <c r="V548" i="7"/>
  <c r="BK52" i="17"/>
  <c r="BM52" i="17"/>
  <c r="BC52" i="17"/>
  <c r="BE52" i="17"/>
  <c r="W52" i="17"/>
  <c r="Y52" i="17"/>
  <c r="U715" i="7"/>
  <c r="M715" i="7"/>
  <c r="BW269" i="17"/>
  <c r="CU30" i="6"/>
  <c r="AY30" i="6"/>
  <c r="AY79" i="6" s="1"/>
  <c r="Y212" i="7"/>
  <c r="DA11" i="6"/>
  <c r="DW40" i="6"/>
  <c r="DW89" i="6" s="1"/>
  <c r="CA40" i="6"/>
  <c r="CG89" i="6" s="1"/>
  <c r="N549" i="7"/>
  <c r="N545" i="7"/>
  <c r="N736" i="7"/>
  <c r="N737" i="7" s="1"/>
  <c r="AW47" i="6"/>
  <c r="M40" i="6"/>
  <c r="DQ18" i="6"/>
  <c r="C205" i="2"/>
  <c r="AT205" i="2" s="1"/>
  <c r="Z147" i="7"/>
  <c r="AA147" i="7"/>
  <c r="Z155" i="7"/>
  <c r="BU18" i="6"/>
  <c r="R147" i="7"/>
  <c r="R155" i="7"/>
  <c r="P71" i="8"/>
  <c r="M397" i="12"/>
  <c r="V254" i="12"/>
  <c r="Z118" i="12"/>
  <c r="R118" i="12"/>
  <c r="J118" i="12"/>
  <c r="M76" i="12"/>
  <c r="BN143" i="17"/>
  <c r="AX143" i="17"/>
  <c r="R143" i="17"/>
  <c r="BS52" i="17"/>
  <c r="BU52" i="17"/>
  <c r="L33" i="17"/>
  <c r="K33" i="17"/>
  <c r="O191" i="8"/>
  <c r="X613" i="7"/>
  <c r="T613" i="7"/>
  <c r="P613" i="7"/>
  <c r="N613" i="7"/>
  <c r="V244" i="7"/>
  <c r="J73" i="8"/>
  <c r="M74" i="8" s="1"/>
  <c r="T129" i="8"/>
  <c r="R129" i="8"/>
  <c r="O129" i="8"/>
  <c r="M129" i="8"/>
  <c r="K129" i="8"/>
  <c r="CL264" i="17"/>
  <c r="BF264" i="17"/>
  <c r="BF270" i="17"/>
  <c r="Z264" i="17"/>
  <c r="Z270" i="17"/>
  <c r="K73" i="8"/>
  <c r="N74" i="8" s="1"/>
  <c r="CR11" i="11"/>
  <c r="X421" i="12"/>
  <c r="BA260" i="17"/>
  <c r="BM173" i="17"/>
  <c r="R549" i="7"/>
  <c r="T501" i="7"/>
  <c r="X740" i="7"/>
  <c r="X742" i="7" s="1"/>
  <c r="X501" i="7"/>
  <c r="DE40" i="6"/>
  <c r="P740" i="7"/>
  <c r="P742" i="7" s="1"/>
  <c r="BI40" i="6"/>
  <c r="P501" i="7"/>
  <c r="P512" i="7"/>
  <c r="Y18" i="6"/>
  <c r="N555" i="7"/>
  <c r="U397" i="12"/>
  <c r="R254" i="12"/>
  <c r="J391" i="12"/>
  <c r="H119" i="12"/>
  <c r="U76" i="12"/>
  <c r="CD143" i="17"/>
  <c r="AH143" i="17"/>
  <c r="BV54" i="17"/>
  <c r="Z327" i="12"/>
  <c r="T121" i="8"/>
  <c r="L121" i="8"/>
  <c r="W191" i="8"/>
  <c r="V613" i="7"/>
  <c r="R613" i="7"/>
  <c r="L613" i="7"/>
  <c r="BV200" i="17"/>
  <c r="J143" i="17"/>
  <c r="J241" i="17"/>
  <c r="CH88" i="17"/>
  <c r="CX66" i="11" s="1"/>
  <c r="AW52" i="17"/>
  <c r="AO52" i="17"/>
  <c r="Z71" i="8"/>
  <c r="J71" i="8"/>
  <c r="R327" i="12"/>
  <c r="J327" i="12"/>
  <c r="CC190" i="17"/>
  <c r="S71" i="8"/>
  <c r="K71" i="8"/>
  <c r="X512" i="7"/>
  <c r="AS68" i="17"/>
  <c r="BL200" i="17"/>
  <c r="CL143" i="17"/>
  <c r="BF143" i="17"/>
  <c r="AP143" i="17"/>
  <c r="Z143" i="17"/>
  <c r="CP88" i="17"/>
  <c r="DH66" i="11" s="1"/>
  <c r="BV88" i="17"/>
  <c r="CI66" i="11" s="1"/>
  <c r="BN54" i="17"/>
  <c r="X121" i="8"/>
  <c r="R112" i="8"/>
  <c r="R109" i="8" s="1"/>
  <c r="P121" i="8"/>
  <c r="J112" i="8"/>
  <c r="H121" i="8"/>
  <c r="S191" i="8"/>
  <c r="K191" i="8"/>
  <c r="Z206" i="7"/>
  <c r="T115" i="8"/>
  <c r="L115" i="8"/>
  <c r="Z613" i="7"/>
  <c r="L244" i="7"/>
  <c r="AB748" i="7"/>
  <c r="Z748" i="7"/>
  <c r="Z628" i="7" s="1"/>
  <c r="Z639" i="7" s="1"/>
  <c r="X748" i="7"/>
  <c r="V748" i="7"/>
  <c r="T748" i="7"/>
  <c r="R748" i="7"/>
  <c r="P748" i="7"/>
  <c r="N748" i="7"/>
  <c r="L748" i="7"/>
  <c r="AA122" i="7"/>
  <c r="S218" i="8"/>
  <c r="K218" i="8"/>
  <c r="T195" i="8"/>
  <c r="P73" i="8"/>
  <c r="L195" i="8"/>
  <c r="H73" i="8"/>
  <c r="K74" i="8" s="1"/>
  <c r="CH101" i="11"/>
  <c r="CM200" i="17"/>
  <c r="CK200" i="17"/>
  <c r="BU200" i="17"/>
  <c r="S112" i="8"/>
  <c r="S109" i="8" s="1"/>
  <c r="K112" i="8"/>
  <c r="Y303" i="7"/>
  <c r="Q303" i="7"/>
  <c r="T144" i="7"/>
  <c r="L144" i="7"/>
  <c r="W348" i="7"/>
  <c r="DM32" i="6"/>
  <c r="Q316" i="7"/>
  <c r="X270" i="7"/>
  <c r="P270" i="7"/>
  <c r="Z777" i="7"/>
  <c r="R777" i="7"/>
  <c r="AA30" i="6"/>
  <c r="U212" i="7"/>
  <c r="CC11" i="6"/>
  <c r="X225" i="8"/>
  <c r="U511" i="7"/>
  <c r="H441" i="12"/>
  <c r="AA442" i="12"/>
  <c r="U442" i="12"/>
  <c r="O334" i="12"/>
  <c r="M442" i="12"/>
  <c r="W304" i="12"/>
  <c r="S304" i="12"/>
  <c r="O304" i="12"/>
  <c r="K304" i="12"/>
  <c r="H421" i="12"/>
  <c r="AC68" i="17"/>
  <c r="CG73" i="17"/>
  <c r="L339" i="7"/>
  <c r="V309" i="7"/>
  <c r="N309" i="7"/>
  <c r="S41" i="12"/>
  <c r="BO64" i="11" s="1"/>
  <c r="R408" i="12"/>
  <c r="AA284" i="7"/>
  <c r="BK11" i="6"/>
  <c r="P233" i="8"/>
  <c r="Y554" i="7"/>
  <c r="Y548" i="7"/>
  <c r="Q545" i="7"/>
  <c r="Q548" i="7"/>
  <c r="R47" i="6"/>
  <c r="M500" i="7"/>
  <c r="M723" i="7"/>
  <c r="M725" i="7" s="1"/>
  <c r="DD18" i="6"/>
  <c r="DD67" i="6" s="1"/>
  <c r="X160" i="7"/>
  <c r="BH18" i="6"/>
  <c r="BH67" i="6" s="1"/>
  <c r="P160" i="7"/>
  <c r="Y144" i="7"/>
  <c r="DJ18" i="6"/>
  <c r="Y152" i="7"/>
  <c r="Q144" i="7"/>
  <c r="Q160" i="7"/>
  <c r="R18" i="6"/>
  <c r="AA440" i="7"/>
  <c r="D243" i="2"/>
  <c r="F485" i="20" s="1"/>
  <c r="W485" i="20" s="1"/>
  <c r="AA451" i="7"/>
  <c r="S451" i="7"/>
  <c r="S440" i="7"/>
  <c r="U736" i="7"/>
  <c r="U737" i="7" s="1"/>
  <c r="CM47" i="6"/>
  <c r="U555" i="7"/>
  <c r="M555" i="7"/>
  <c r="AQ47" i="6"/>
  <c r="M549" i="7"/>
  <c r="W512" i="7"/>
  <c r="W740" i="7"/>
  <c r="W742" i="7" s="1"/>
  <c r="BC40" i="6"/>
  <c r="O740" i="7"/>
  <c r="O742" i="7" s="1"/>
  <c r="O501" i="7"/>
  <c r="Y147" i="7"/>
  <c r="DK18" i="6"/>
  <c r="BO18" i="6"/>
  <c r="Q155" i="7"/>
  <c r="DK64" i="11"/>
  <c r="AB408" i="12"/>
  <c r="T408" i="12"/>
  <c r="BW64" i="11"/>
  <c r="L408" i="12"/>
  <c r="M224" i="12"/>
  <c r="L213" i="12"/>
  <c r="U408" i="12"/>
  <c r="U41" i="12"/>
  <c r="BY64" i="11" s="1"/>
  <c r="AH68" i="17"/>
  <c r="AH84" i="17" s="1"/>
  <c r="M408" i="12"/>
  <c r="U157" i="7"/>
  <c r="U752" i="7"/>
  <c r="U756" i="7" s="1"/>
  <c r="M157" i="7"/>
  <c r="M752" i="7"/>
  <c r="M756" i="7" s="1"/>
  <c r="X627" i="7"/>
  <c r="X638" i="7" s="1"/>
  <c r="X451" i="7"/>
  <c r="P440" i="7"/>
  <c r="P627" i="7"/>
  <c r="P638" i="7" s="1"/>
  <c r="BU47" i="6"/>
  <c r="R555" i="7"/>
  <c r="T740" i="7"/>
  <c r="T742" i="7" s="1"/>
  <c r="T512" i="7"/>
  <c r="L740" i="7"/>
  <c r="L742" i="7" s="1"/>
  <c r="L512" i="7"/>
  <c r="CS18" i="6"/>
  <c r="V147" i="7"/>
  <c r="N147" i="7"/>
  <c r="N155" i="7"/>
  <c r="Z115" i="8"/>
  <c r="X115" i="8"/>
  <c r="P115" i="8"/>
  <c r="K459" i="12"/>
  <c r="Z73" i="8"/>
  <c r="T73" i="8"/>
  <c r="P195" i="8"/>
  <c r="L73" i="8"/>
  <c r="O74" i="8" s="1"/>
  <c r="N264" i="17"/>
  <c r="CE200" i="17"/>
  <c r="CC200" i="17"/>
  <c r="X144" i="7"/>
  <c r="P144" i="7"/>
  <c r="AA451" i="12"/>
  <c r="AB452" i="12"/>
  <c r="H452" i="12"/>
  <c r="H345" i="12"/>
  <c r="T348" i="7"/>
  <c r="L778" i="7"/>
  <c r="O348" i="7"/>
  <c r="V780" i="7"/>
  <c r="Y309" i="7"/>
  <c r="O309" i="7"/>
  <c r="U32" i="6"/>
  <c r="DG24" i="6"/>
  <c r="P779" i="7"/>
  <c r="O24" i="6"/>
  <c r="O73" i="6" s="1"/>
  <c r="S779" i="7"/>
  <c r="CO30" i="6"/>
  <c r="CO79" i="6" s="1"/>
  <c r="M224" i="7"/>
  <c r="DY11" i="6"/>
  <c r="X768" i="7"/>
  <c r="X772" i="7" s="1"/>
  <c r="P225" i="8"/>
  <c r="H233" i="8"/>
  <c r="V554" i="7"/>
  <c r="DJ47" i="6"/>
  <c r="T511" i="7"/>
  <c r="M511" i="7"/>
  <c r="BN18" i="6"/>
  <c r="CN20" i="6"/>
  <c r="CN18" i="6" s="1"/>
  <c r="AR20" i="6"/>
  <c r="AR18" i="6" s="1"/>
  <c r="AA627" i="7"/>
  <c r="AA638" i="7" s="1"/>
  <c r="S627" i="7"/>
  <c r="S638" i="7" s="1"/>
  <c r="CY40" i="6"/>
  <c r="O512" i="7"/>
  <c r="G40" i="6"/>
  <c r="Q147" i="7"/>
  <c r="U224" i="12"/>
  <c r="M68" i="17"/>
  <c r="W443" i="12"/>
  <c r="O443" i="12"/>
  <c r="K305" i="12"/>
  <c r="Z272" i="12"/>
  <c r="V272" i="12"/>
  <c r="R272" i="12"/>
  <c r="N272" i="12"/>
  <c r="J272" i="12"/>
  <c r="Y433" i="12"/>
  <c r="X256" i="12"/>
  <c r="V421" i="12"/>
  <c r="N256" i="12"/>
  <c r="AB59" i="12"/>
  <c r="T59" i="12"/>
  <c r="L59" i="12"/>
  <c r="W58" i="12"/>
  <c r="O58" i="12"/>
  <c r="AS260" i="17"/>
  <c r="U260" i="17"/>
  <c r="CG168" i="17"/>
  <c r="BQ168" i="17"/>
  <c r="BA168" i="17"/>
  <c r="AK168" i="17"/>
  <c r="U168" i="17"/>
  <c r="BU126" i="17"/>
  <c r="Y408" i="12"/>
  <c r="Q224" i="12"/>
  <c r="BI68" i="17"/>
  <c r="BW11" i="6"/>
  <c r="R225" i="8"/>
  <c r="AA11" i="6"/>
  <c r="J225" i="8"/>
  <c r="X47" i="6"/>
  <c r="V511" i="7"/>
  <c r="CR40" i="6"/>
  <c r="N511" i="7"/>
  <c r="AV40" i="6"/>
  <c r="AV89" i="6" s="1"/>
  <c r="Z152" i="7"/>
  <c r="N440" i="7"/>
  <c r="Q512" i="7"/>
  <c r="BO40" i="6"/>
  <c r="I295" i="12"/>
  <c r="BI73" i="11"/>
  <c r="AA443" i="12"/>
  <c r="S443" i="12"/>
  <c r="O305" i="12"/>
  <c r="K443" i="12"/>
  <c r="X272" i="12"/>
  <c r="T272" i="12"/>
  <c r="P272" i="12"/>
  <c r="L272" i="12"/>
  <c r="H256" i="12"/>
  <c r="Y415" i="12"/>
  <c r="W415" i="12"/>
  <c r="U415" i="12"/>
  <c r="S415" i="12"/>
  <c r="Q415" i="12"/>
  <c r="O415" i="12"/>
  <c r="M415" i="12"/>
  <c r="K415" i="12"/>
  <c r="I415" i="12"/>
  <c r="X414" i="12"/>
  <c r="P414" i="12"/>
  <c r="V391" i="12"/>
  <c r="R391" i="12"/>
  <c r="L391" i="12"/>
  <c r="H366" i="12"/>
  <c r="AA129" i="12"/>
  <c r="S129" i="12"/>
  <c r="K129" i="12"/>
  <c r="CC168" i="17"/>
  <c r="BM168" i="17"/>
  <c r="AW168" i="17"/>
  <c r="AG168" i="17"/>
  <c r="Q168" i="17"/>
  <c r="CX90" i="11"/>
  <c r="H118" i="12"/>
  <c r="AB98" i="12"/>
  <c r="Z98" i="12"/>
  <c r="X98" i="12"/>
  <c r="V98" i="12"/>
  <c r="N98" i="12"/>
  <c r="CD112" i="17"/>
  <c r="AX112" i="17"/>
  <c r="R112" i="17"/>
  <c r="AB77" i="12"/>
  <c r="W60" i="12"/>
  <c r="O60" i="12"/>
  <c r="CS95" i="6"/>
  <c r="U443" i="12"/>
  <c r="AT88" i="11"/>
  <c r="M443" i="12"/>
  <c r="I305" i="12"/>
  <c r="AB441" i="12"/>
  <c r="CJ86" i="11"/>
  <c r="W173" i="12" s="1"/>
  <c r="BP86" i="11"/>
  <c r="S173" i="12" s="1"/>
  <c r="AV86" i="11"/>
  <c r="O173" i="12" s="1"/>
  <c r="AO86" i="11"/>
  <c r="AB86" i="11"/>
  <c r="K173" i="12" s="1"/>
  <c r="P86" i="11"/>
  <c r="Y442" i="12"/>
  <c r="CL90" i="11"/>
  <c r="S334" i="12"/>
  <c r="Q442" i="12"/>
  <c r="K334" i="12"/>
  <c r="I442" i="12"/>
  <c r="Y304" i="12"/>
  <c r="U304" i="12"/>
  <c r="Q304" i="12"/>
  <c r="M304" i="12"/>
  <c r="I304" i="12"/>
  <c r="H272" i="12"/>
  <c r="AA273" i="12"/>
  <c r="DO96" i="6"/>
  <c r="W269" i="12"/>
  <c r="DC95" i="6"/>
  <c r="P421" i="12"/>
  <c r="N421" i="12"/>
  <c r="J256" i="12"/>
  <c r="Z419" i="12"/>
  <c r="AB414" i="12"/>
  <c r="T414" i="12"/>
  <c r="L414" i="12"/>
  <c r="BN8" i="11"/>
  <c r="G251" i="12"/>
  <c r="AB391" i="12"/>
  <c r="Z391" i="12"/>
  <c r="X391" i="12"/>
  <c r="T391" i="12"/>
  <c r="P391" i="12"/>
  <c r="AT35" i="11"/>
  <c r="N366" i="12"/>
  <c r="L254" i="12"/>
  <c r="W129" i="12"/>
  <c r="BN243" i="17"/>
  <c r="O129" i="12"/>
  <c r="CH238" i="17"/>
  <c r="BR238" i="17"/>
  <c r="CL235" i="17"/>
  <c r="BV235" i="17"/>
  <c r="BU168" i="17"/>
  <c r="BE168" i="17"/>
  <c r="AO168" i="17"/>
  <c r="Y168" i="17"/>
  <c r="CD90" i="11"/>
  <c r="R98" i="12"/>
  <c r="J98" i="12"/>
  <c r="BN112" i="17"/>
  <c r="AH112" i="17"/>
  <c r="AA60" i="12"/>
  <c r="S60" i="12"/>
  <c r="K60" i="12"/>
  <c r="X59" i="12"/>
  <c r="P59" i="12"/>
  <c r="W416" i="12"/>
  <c r="O416" i="12"/>
  <c r="X419" i="12"/>
  <c r="V419" i="12"/>
  <c r="T419" i="12"/>
  <c r="R419" i="12"/>
  <c r="P419" i="12"/>
  <c r="N419" i="12"/>
  <c r="L419" i="12"/>
  <c r="J419" i="12"/>
  <c r="DB58" i="11"/>
  <c r="V414" i="12"/>
  <c r="N414" i="12"/>
  <c r="AA397" i="12"/>
  <c r="Y397" i="12"/>
  <c r="W255" i="12"/>
  <c r="CC50" i="11"/>
  <c r="Q397" i="12"/>
  <c r="O255" i="12"/>
  <c r="AO50" i="11"/>
  <c r="I397" i="12"/>
  <c r="Z254" i="12"/>
  <c r="X254" i="12"/>
  <c r="T254" i="12"/>
  <c r="P254" i="12"/>
  <c r="J254" i="12"/>
  <c r="H254" i="12"/>
  <c r="CN105" i="11"/>
  <c r="AB99" i="12"/>
  <c r="Z99" i="12"/>
  <c r="X99" i="12"/>
  <c r="V99" i="12"/>
  <c r="T99" i="12"/>
  <c r="R99" i="12"/>
  <c r="P99" i="12"/>
  <c r="N99" i="12"/>
  <c r="L99" i="12"/>
  <c r="J99" i="12"/>
  <c r="V118" i="12"/>
  <c r="N118" i="12"/>
  <c r="AA128" i="12"/>
  <c r="S128" i="12"/>
  <c r="K128" i="12"/>
  <c r="T98" i="12"/>
  <c r="BB151" i="17"/>
  <c r="L98" i="12"/>
  <c r="V151" i="17"/>
  <c r="Y76" i="12"/>
  <c r="Q76" i="12"/>
  <c r="I76" i="12"/>
  <c r="X77" i="12"/>
  <c r="P77" i="12"/>
  <c r="U60" i="12"/>
  <c r="M60" i="12"/>
  <c r="BQ43" i="17"/>
  <c r="CL29" i="17"/>
  <c r="CO102" i="11"/>
  <c r="CP102" i="11" s="1"/>
  <c r="BU102" i="11"/>
  <c r="T174" i="12" s="1"/>
  <c r="BA102" i="11"/>
  <c r="P174" i="12" s="1"/>
  <c r="AG102" i="11"/>
  <c r="L174" i="12" s="1"/>
  <c r="M102" i="11"/>
  <c r="H174" i="12" s="1"/>
  <c r="CE58" i="11"/>
  <c r="CF58" i="11" s="1"/>
  <c r="AQ58" i="11"/>
  <c r="AR58" i="11" s="1"/>
  <c r="BQ260" i="17"/>
  <c r="BQ230" i="17"/>
  <c r="BY168" i="17"/>
  <c r="BI168" i="17"/>
  <c r="AS168" i="17"/>
  <c r="AC168" i="17"/>
  <c r="AO62" i="17"/>
  <c r="Y62" i="17"/>
  <c r="R440" i="7"/>
  <c r="X147" i="7"/>
  <c r="P147" i="7"/>
  <c r="BP87" i="11"/>
  <c r="S172" i="12" s="1"/>
  <c r="AB87" i="11"/>
  <c r="K172" i="12" s="1"/>
  <c r="BP59" i="11"/>
  <c r="S178" i="12" s="1"/>
  <c r="AB59" i="11"/>
  <c r="K178" i="12" s="1"/>
  <c r="BP91" i="6"/>
  <c r="ED84" i="6"/>
  <c r="DF84" i="6"/>
  <c r="CH84" i="6"/>
  <c r="CB84" i="6"/>
  <c r="BP84" i="6"/>
  <c r="BD84" i="6"/>
  <c r="AR84" i="6"/>
  <c r="AF84" i="6"/>
  <c r="T84" i="6"/>
  <c r="ED82" i="6"/>
  <c r="AL82" i="6"/>
  <c r="T75" i="6"/>
  <c r="G419" i="20"/>
  <c r="X419" i="20" s="1"/>
  <c r="I483" i="20"/>
  <c r="Z483" i="20" s="1"/>
  <c r="DR57" i="6"/>
  <c r="BJ57" i="6"/>
  <c r="CY77" i="6"/>
  <c r="DO55" i="6"/>
  <c r="G176" i="20"/>
  <c r="X176" i="20" s="1"/>
  <c r="DS81" i="11"/>
  <c r="DU81" i="11" s="1"/>
  <c r="AE86" i="11"/>
  <c r="F185" i="20"/>
  <c r="W185" i="20" s="1"/>
  <c r="BD123" i="2"/>
  <c r="F175" i="20"/>
  <c r="W175" i="20" s="1"/>
  <c r="EJ38" i="6"/>
  <c r="EJ87" i="6" s="1"/>
  <c r="L11" i="23"/>
  <c r="G486" i="20"/>
  <c r="X486" i="20" s="1"/>
  <c r="BD121" i="2"/>
  <c r="BY24" i="17"/>
  <c r="DD85" i="6"/>
  <c r="CD151" i="17"/>
  <c r="G181" i="20"/>
  <c r="X181" i="20" s="1"/>
  <c r="F183" i="20"/>
  <c r="W183" i="20" s="1"/>
  <c r="CM87" i="11"/>
  <c r="CM96" i="11" s="1"/>
  <c r="BD87" i="11"/>
  <c r="BW200" i="17"/>
  <c r="DL13" i="11"/>
  <c r="BI86" i="11"/>
  <c r="DH105" i="11"/>
  <c r="F199" i="20"/>
  <c r="W199" i="20" s="1"/>
  <c r="F504" i="20"/>
  <c r="W504" i="20" s="1"/>
  <c r="F500" i="20"/>
  <c r="W500" i="20" s="1"/>
  <c r="F174" i="20"/>
  <c r="W174" i="20" s="1"/>
  <c r="M168" i="17"/>
  <c r="AT86" i="11"/>
  <c r="AO126" i="17"/>
  <c r="BN103" i="11"/>
  <c r="CX79" i="6"/>
  <c r="BZ79" i="6"/>
  <c r="F304" i="20"/>
  <c r="W304" i="20" s="1"/>
  <c r="CA95" i="6"/>
  <c r="AY88" i="11"/>
  <c r="CP48" i="17"/>
  <c r="DC7" i="17" s="1"/>
  <c r="Y10" i="11"/>
  <c r="AB10" i="11" s="1"/>
  <c r="BI63" i="11"/>
  <c r="AY50" i="11"/>
  <c r="AX131" i="17"/>
  <c r="AJ13" i="11"/>
  <c r="CW86" i="11"/>
  <c r="CH60" i="11"/>
  <c r="BK9" i="11"/>
  <c r="R167" i="12" s="1"/>
  <c r="BU87" i="11"/>
  <c r="BV87" i="11" s="1"/>
  <c r="AG87" i="11"/>
  <c r="L172" i="12" s="1"/>
  <c r="W13" i="6"/>
  <c r="W62" i="6" s="1"/>
  <c r="DD82" i="6"/>
  <c r="DV81" i="6"/>
  <c r="F426" i="20"/>
  <c r="W426" i="20" s="1"/>
  <c r="S129" i="8"/>
  <c r="N129" i="8"/>
  <c r="L129" i="8"/>
  <c r="J129" i="8"/>
  <c r="F418" i="20"/>
  <c r="W418" i="20" s="1"/>
  <c r="AC43" i="17"/>
  <c r="AX74" i="11"/>
  <c r="AX76" i="11" s="1"/>
  <c r="CO43" i="17"/>
  <c r="N96" i="6"/>
  <c r="AL81" i="6"/>
  <c r="DX59" i="6"/>
  <c r="CB59" i="6"/>
  <c r="AF59" i="6"/>
  <c r="CL95" i="6"/>
  <c r="AJ72" i="11"/>
  <c r="DB63" i="11"/>
  <c r="CM50" i="11"/>
  <c r="CP238" i="17"/>
  <c r="BJ238" i="17"/>
  <c r="CD235" i="17"/>
  <c r="BN235" i="17"/>
  <c r="BJ186" i="17"/>
  <c r="BB186" i="17"/>
  <c r="AT186" i="17"/>
  <c r="AL186" i="17"/>
  <c r="AD186" i="17"/>
  <c r="V186" i="17"/>
  <c r="BJ151" i="17"/>
  <c r="AD151" i="17"/>
  <c r="BN29" i="17"/>
  <c r="AH29" i="17"/>
  <c r="AV87" i="11"/>
  <c r="O172" i="12" s="1"/>
  <c r="BI95" i="11"/>
  <c r="DB94" i="11"/>
  <c r="AY77" i="6"/>
  <c r="DR95" i="6"/>
  <c r="AF95" i="6"/>
  <c r="BU9" i="11"/>
  <c r="T136" i="12" s="1"/>
  <c r="BT23" i="11" s="1"/>
  <c r="AG9" i="11"/>
  <c r="L136" i="12" s="1"/>
  <c r="AF23" i="11" s="1"/>
  <c r="AA233" i="7"/>
  <c r="CT291" i="17"/>
  <c r="AC379" i="12" s="1"/>
  <c r="CO52" i="17"/>
  <c r="BY52" i="17"/>
  <c r="D255" i="2"/>
  <c r="AU255" i="2" s="1"/>
  <c r="D256" i="2"/>
  <c r="AU256" i="2" s="1"/>
  <c r="D254" i="2"/>
  <c r="AU254" i="2" s="1"/>
  <c r="D239" i="2"/>
  <c r="D238" i="2"/>
  <c r="D253" i="2"/>
  <c r="AU253" i="2" s="1"/>
  <c r="E100" i="2"/>
  <c r="CH264" i="17"/>
  <c r="CH120" i="17" s="1"/>
  <c r="CG269" i="17"/>
  <c r="AA500" i="7"/>
  <c r="W500" i="7"/>
  <c r="S500" i="7"/>
  <c r="O500" i="7"/>
  <c r="S152" i="7"/>
  <c r="AA41" i="12"/>
  <c r="DC64" i="11" s="1"/>
  <c r="X41" i="12"/>
  <c r="CN64" i="11" s="1"/>
  <c r="P41" i="12"/>
  <c r="AZ64" i="11" s="1"/>
  <c r="K41" i="12"/>
  <c r="AA64" i="11" s="1"/>
  <c r="G450" i="20"/>
  <c r="E99" i="20"/>
  <c r="I99" i="20" s="1"/>
  <c r="M99" i="20" s="1"/>
  <c r="G16" i="20"/>
  <c r="H16" i="20" s="1"/>
  <c r="DX94" i="6"/>
  <c r="CT94" i="6"/>
  <c r="BP94" i="6"/>
  <c r="T94" i="6"/>
  <c r="BD90" i="6"/>
  <c r="AL58" i="6"/>
  <c r="DX65" i="6"/>
  <c r="CN65" i="6"/>
  <c r="AR65" i="6"/>
  <c r="DQ94" i="6"/>
  <c r="CY57" i="6"/>
  <c r="BM96" i="11"/>
  <c r="DI59" i="11"/>
  <c r="AB178" i="12" s="1"/>
  <c r="M59" i="11"/>
  <c r="H178" i="12" s="1"/>
  <c r="CT58" i="11"/>
  <c r="CU58" i="11" s="1"/>
  <c r="BZ58" i="11"/>
  <c r="CA58" i="11" s="1"/>
  <c r="BF58" i="11"/>
  <c r="BG58" i="11" s="1"/>
  <c r="AL58" i="11"/>
  <c r="AM58" i="11" s="1"/>
  <c r="DI63" i="11"/>
  <c r="AB169" i="12" s="1"/>
  <c r="BZ48" i="17"/>
  <c r="BJ48" i="17"/>
  <c r="AT48" i="17"/>
  <c r="CY9" i="11"/>
  <c r="Z167" i="12" s="1"/>
  <c r="W9" i="11"/>
  <c r="J167" i="12" s="1"/>
  <c r="BA43" i="17"/>
  <c r="CB200" i="17"/>
  <c r="BN200" i="17"/>
  <c r="BO93" i="17"/>
  <c r="BT52" i="17"/>
  <c r="BI52" i="17"/>
  <c r="AK52" i="17"/>
  <c r="Q340" i="12"/>
  <c r="I340" i="12"/>
  <c r="CB269" i="17"/>
  <c r="BB264" i="17"/>
  <c r="BA269" i="17"/>
  <c r="V264" i="17"/>
  <c r="U269" i="17"/>
  <c r="CO200" i="17"/>
  <c r="CG200" i="17"/>
  <c r="BY200" i="17"/>
  <c r="BQ200" i="17"/>
  <c r="BY247" i="17"/>
  <c r="CP185" i="17"/>
  <c r="DH89" i="11" s="1"/>
  <c r="CH185" i="17"/>
  <c r="CX89" i="11" s="1"/>
  <c r="BZ185" i="17"/>
  <c r="CN89" i="11" s="1"/>
  <c r="Z218" i="8"/>
  <c r="Z339" i="7"/>
  <c r="V339" i="7"/>
  <c r="R339" i="7"/>
  <c r="N339" i="7"/>
  <c r="Y339" i="7"/>
  <c r="U339" i="7"/>
  <c r="Q339" i="7"/>
  <c r="M339" i="7"/>
  <c r="AA316" i="7"/>
  <c r="DY32" i="6"/>
  <c r="W316" i="7"/>
  <c r="S316" i="7"/>
  <c r="O316" i="7"/>
  <c r="Z270" i="7"/>
  <c r="V270" i="7"/>
  <c r="R270" i="7"/>
  <c r="N270" i="7"/>
  <c r="Y270" i="7"/>
  <c r="U270" i="7"/>
  <c r="Q270" i="7"/>
  <c r="M270" i="7"/>
  <c r="X212" i="7"/>
  <c r="T212" i="7"/>
  <c r="AA212" i="7"/>
  <c r="AA777" i="7"/>
  <c r="W212" i="7"/>
  <c r="S212" i="7"/>
  <c r="AA225" i="8"/>
  <c r="S225" i="8"/>
  <c r="O225" i="8"/>
  <c r="K225" i="8"/>
  <c r="Z233" i="8"/>
  <c r="V233" i="8"/>
  <c r="R233" i="8"/>
  <c r="N233" i="8"/>
  <c r="J233" i="8"/>
  <c r="X548" i="7"/>
  <c r="U451" i="7"/>
  <c r="Q451" i="7"/>
  <c r="M451" i="7"/>
  <c r="W155" i="7"/>
  <c r="S155" i="7"/>
  <c r="O155" i="7"/>
  <c r="T421" i="12"/>
  <c r="L421" i="12"/>
  <c r="AA224" i="12"/>
  <c r="V41" i="12"/>
  <c r="CD64" i="11" s="1"/>
  <c r="N41" i="12"/>
  <c r="AP64" i="11" s="1"/>
  <c r="H41" i="12"/>
  <c r="L64" i="11" s="1"/>
  <c r="AA213" i="12"/>
  <c r="AA408" i="12"/>
  <c r="DF64" i="11"/>
  <c r="W224" i="12"/>
  <c r="W213" i="12"/>
  <c r="X224" i="12"/>
  <c r="CL64" i="11"/>
  <c r="S213" i="12"/>
  <c r="S224" i="12"/>
  <c r="T224" i="12"/>
  <c r="BR64" i="11"/>
  <c r="O213" i="12"/>
  <c r="O224" i="12"/>
  <c r="P224" i="12"/>
  <c r="AX64" i="11"/>
  <c r="K213" i="12"/>
  <c r="K224" i="12"/>
  <c r="L224" i="12"/>
  <c r="AD64" i="11"/>
  <c r="AJ64" i="11" s="1"/>
  <c r="G213" i="12"/>
  <c r="G408" i="12"/>
  <c r="H224" i="12"/>
  <c r="J64" i="11"/>
  <c r="CH68" i="17"/>
  <c r="Z41" i="12"/>
  <c r="CX64" i="11" s="1"/>
  <c r="BB68" i="17"/>
  <c r="R41" i="12"/>
  <c r="BJ64" i="11" s="1"/>
  <c r="V68" i="17"/>
  <c r="J41" i="12"/>
  <c r="V64" i="11" s="1"/>
  <c r="N719" i="7"/>
  <c r="N720" i="7" s="1"/>
  <c r="N548" i="7"/>
  <c r="DV47" i="6"/>
  <c r="AA554" i="7"/>
  <c r="CX47" i="6"/>
  <c r="CX96" i="6" s="1"/>
  <c r="W554" i="7"/>
  <c r="BZ47" i="6"/>
  <c r="S545" i="7"/>
  <c r="S548" i="7"/>
  <c r="BB47" i="6"/>
  <c r="O545" i="7"/>
  <c r="O548" i="7"/>
  <c r="AD47" i="6"/>
  <c r="Z723" i="7"/>
  <c r="Z725" i="7" s="1"/>
  <c r="Z500" i="7"/>
  <c r="V723" i="7"/>
  <c r="V725" i="7" s="1"/>
  <c r="V500" i="7"/>
  <c r="R723" i="7"/>
  <c r="R725" i="7" s="1"/>
  <c r="R500" i="7"/>
  <c r="N723" i="7"/>
  <c r="N725" i="7" s="1"/>
  <c r="N500" i="7"/>
  <c r="DV40" i="6"/>
  <c r="DV89" i="6" s="1"/>
  <c r="AA511" i="7"/>
  <c r="CX40" i="6"/>
  <c r="DD89" i="6" s="1"/>
  <c r="W511" i="7"/>
  <c r="X500" i="7"/>
  <c r="BZ40" i="6"/>
  <c r="CF89" i="6" s="1"/>
  <c r="S511" i="7"/>
  <c r="T500" i="7"/>
  <c r="BB40" i="6"/>
  <c r="O511" i="7"/>
  <c r="P500" i="7"/>
  <c r="AD40" i="6"/>
  <c r="L500" i="7"/>
  <c r="DP18" i="6"/>
  <c r="Z160" i="7"/>
  <c r="V152" i="7"/>
  <c r="R152" i="7"/>
  <c r="N152" i="7"/>
  <c r="DV18" i="6"/>
  <c r="AA152" i="7"/>
  <c r="W160" i="7"/>
  <c r="W144" i="7"/>
  <c r="X152" i="7"/>
  <c r="S160" i="7"/>
  <c r="S144" i="7"/>
  <c r="T152" i="7"/>
  <c r="O160" i="7"/>
  <c r="O144" i="7"/>
  <c r="P152" i="7"/>
  <c r="F18" i="6"/>
  <c r="Z440" i="7"/>
  <c r="Y627" i="7"/>
  <c r="Y638" i="7" s="1"/>
  <c r="Y440" i="7"/>
  <c r="U627" i="7"/>
  <c r="U638" i="7" s="1"/>
  <c r="U440" i="7"/>
  <c r="Q627" i="7"/>
  <c r="Q638" i="7" s="1"/>
  <c r="Q440" i="7"/>
  <c r="M627" i="7"/>
  <c r="M638" i="7" s="1"/>
  <c r="M440" i="7"/>
  <c r="T549" i="7"/>
  <c r="CA47" i="6"/>
  <c r="S549" i="7"/>
  <c r="P549" i="7"/>
  <c r="BC47" i="6"/>
  <c r="O549" i="7"/>
  <c r="L549" i="7"/>
  <c r="AE47" i="6"/>
  <c r="Y740" i="7"/>
  <c r="Y742" i="7" s="1"/>
  <c r="Y501" i="7"/>
  <c r="U740" i="7"/>
  <c r="U742" i="7" s="1"/>
  <c r="U501" i="7"/>
  <c r="Q740" i="7"/>
  <c r="Q742" i="7" s="1"/>
  <c r="Q501" i="7"/>
  <c r="M740" i="7"/>
  <c r="M742" i="7" s="1"/>
  <c r="M501" i="7"/>
  <c r="AA155" i="7"/>
  <c r="CY18" i="6"/>
  <c r="W147" i="7"/>
  <c r="CA18" i="6"/>
  <c r="S147" i="7"/>
  <c r="BC18" i="6"/>
  <c r="BC67" i="6" s="1"/>
  <c r="O147" i="7"/>
  <c r="AE18" i="6"/>
  <c r="Z408" i="12"/>
  <c r="Z224" i="12"/>
  <c r="DA64" i="11"/>
  <c r="CG64" i="11"/>
  <c r="CG65" i="11" s="1"/>
  <c r="V224" i="12"/>
  <c r="V213" i="12"/>
  <c r="BM64" i="11"/>
  <c r="R224" i="12"/>
  <c r="R213" i="12"/>
  <c r="AS64" i="11"/>
  <c r="N224" i="12"/>
  <c r="N213" i="12"/>
  <c r="Y64" i="11"/>
  <c r="J224" i="12"/>
  <c r="J213" i="12"/>
  <c r="CL68" i="17"/>
  <c r="CP84" i="17" s="1"/>
  <c r="AB41" i="12"/>
  <c r="DH64" i="11" s="1"/>
  <c r="BV68" i="17"/>
  <c r="BZ84" i="17" s="1"/>
  <c r="W41" i="12"/>
  <c r="CI64" i="11" s="1"/>
  <c r="BF68" i="17"/>
  <c r="BJ84" i="17" s="1"/>
  <c r="T41" i="12"/>
  <c r="BT64" i="11" s="1"/>
  <c r="AP68" i="17"/>
  <c r="O41" i="12"/>
  <c r="AU64" i="11" s="1"/>
  <c r="Z68" i="17"/>
  <c r="AD84" i="17" s="1"/>
  <c r="L41" i="12"/>
  <c r="AF64" i="11" s="1"/>
  <c r="Y305" i="12"/>
  <c r="U305" i="12"/>
  <c r="Q305" i="12"/>
  <c r="Z441" i="12"/>
  <c r="W442" i="12"/>
  <c r="U334" i="12"/>
  <c r="S442" i="12"/>
  <c r="Q334" i="12"/>
  <c r="O442" i="12"/>
  <c r="M334" i="12"/>
  <c r="K442" i="12"/>
  <c r="I334" i="12"/>
  <c r="AA433" i="12"/>
  <c r="T256" i="12"/>
  <c r="L256" i="12"/>
  <c r="CY59" i="11"/>
  <c r="Z178" i="12" s="1"/>
  <c r="BK59" i="11"/>
  <c r="BL59" i="11" s="1"/>
  <c r="W59" i="11"/>
  <c r="J178" i="12" s="1"/>
  <c r="CJ58" i="11"/>
  <c r="CK58" i="11" s="1"/>
  <c r="AA416" i="12"/>
  <c r="Y416" i="12"/>
  <c r="U416" i="12"/>
  <c r="Q416" i="12"/>
  <c r="M416" i="12"/>
  <c r="I416" i="12"/>
  <c r="H414" i="12"/>
  <c r="AA255" i="12"/>
  <c r="Y255" i="12"/>
  <c r="W397" i="12"/>
  <c r="U255" i="12"/>
  <c r="S397" i="12"/>
  <c r="Q255" i="12"/>
  <c r="O397" i="12"/>
  <c r="M255" i="12"/>
  <c r="K397" i="12"/>
  <c r="I255" i="12"/>
  <c r="J366" i="12"/>
  <c r="AB118" i="12"/>
  <c r="X118" i="12"/>
  <c r="T118" i="12"/>
  <c r="P118" i="12"/>
  <c r="L118" i="12"/>
  <c r="Y128" i="12"/>
  <c r="U128" i="12"/>
  <c r="Q128" i="12"/>
  <c r="M128" i="12"/>
  <c r="I128" i="12"/>
  <c r="AA76" i="12"/>
  <c r="W76" i="12"/>
  <c r="S76" i="12"/>
  <c r="O76" i="12"/>
  <c r="K76" i="12"/>
  <c r="Z77" i="12"/>
  <c r="V77" i="12"/>
  <c r="R77" i="12"/>
  <c r="N77" i="12"/>
  <c r="J77" i="12"/>
  <c r="N84" i="17"/>
  <c r="Z59" i="12"/>
  <c r="V59" i="12"/>
  <c r="R59" i="12"/>
  <c r="CG43" i="17"/>
  <c r="BI43" i="17"/>
  <c r="AK43" i="17"/>
  <c r="U43" i="17"/>
  <c r="CT294" i="17"/>
  <c r="CT328" i="17" s="1"/>
  <c r="CN200" i="17"/>
  <c r="CF200" i="17"/>
  <c r="BX200" i="17"/>
  <c r="CD200" i="17"/>
  <c r="BT200" i="17"/>
  <c r="CL88" i="17"/>
  <c r="DC66" i="11" s="1"/>
  <c r="CJ93" i="17"/>
  <c r="CI93" i="17"/>
  <c r="BR88" i="17"/>
  <c r="CD66" i="11" s="1"/>
  <c r="BP93" i="17"/>
  <c r="CJ52" i="17"/>
  <c r="BV47" i="17"/>
  <c r="CI51" i="11" s="1"/>
  <c r="BL52" i="17"/>
  <c r="BD52" i="17"/>
  <c r="AP47" i="17"/>
  <c r="AU51" i="11" s="1"/>
  <c r="AF52" i="17"/>
  <c r="X52" i="17"/>
  <c r="P269" i="17"/>
  <c r="G301" i="12"/>
  <c r="CK73" i="17"/>
  <c r="BY73" i="17"/>
  <c r="BU43" i="17"/>
  <c r="AO43" i="17"/>
  <c r="CT293" i="17"/>
  <c r="CT327" i="17" s="1"/>
  <c r="CX280" i="17"/>
  <c r="CV279" i="17"/>
  <c r="CX281" i="17"/>
  <c r="CL200" i="17"/>
  <c r="Z112" i="8"/>
  <c r="X112" i="8"/>
  <c r="T112" i="8"/>
  <c r="T109" i="8" s="1"/>
  <c r="P112" i="8"/>
  <c r="P109" i="8" s="1"/>
  <c r="L112" i="8"/>
  <c r="H112" i="8"/>
  <c r="AA269" i="12"/>
  <c r="CW12" i="17"/>
  <c r="CX12" i="17"/>
  <c r="O121" i="2" s="1"/>
  <c r="CW7" i="17"/>
  <c r="N116" i="2" s="1"/>
  <c r="CT292" i="17"/>
  <c r="CD88" i="17"/>
  <c r="CS66" i="11" s="1"/>
  <c r="CB93" i="17"/>
  <c r="CA93" i="17"/>
  <c r="R251" i="12"/>
  <c r="CC230" i="17"/>
  <c r="AV269" i="17"/>
  <c r="AL264" i="17"/>
  <c r="AK269" i="17"/>
  <c r="CD242" i="17"/>
  <c r="CS104" i="11" s="1"/>
  <c r="BA126" i="17"/>
  <c r="CF85" i="6"/>
  <c r="R208" i="17"/>
  <c r="Z82" i="6"/>
  <c r="D314" i="2"/>
  <c r="G182" i="20"/>
  <c r="X182" i="20" s="1"/>
  <c r="F181" i="20"/>
  <c r="W181" i="20" s="1"/>
  <c r="E502" i="20"/>
  <c r="V502" i="20" s="1"/>
  <c r="DI95" i="6"/>
  <c r="BP87" i="6"/>
  <c r="AG260" i="17"/>
  <c r="CK230" i="17"/>
  <c r="AC71" i="12"/>
  <c r="AC77" i="12" s="1"/>
  <c r="AE87" i="11"/>
  <c r="U86" i="11"/>
  <c r="BI59" i="11"/>
  <c r="CH86" i="11"/>
  <c r="R86" i="11"/>
  <c r="I173" i="12" s="1"/>
  <c r="BM24" i="17"/>
  <c r="BJ112" i="17"/>
  <c r="R116" i="11"/>
  <c r="S116" i="11" s="1"/>
  <c r="DB102" i="11"/>
  <c r="DB111" i="11" s="1"/>
  <c r="BS102" i="11"/>
  <c r="Z102" i="11"/>
  <c r="R17" i="11"/>
  <c r="I144" i="12" s="1"/>
  <c r="Q30" i="11" s="1"/>
  <c r="BY71" i="11"/>
  <c r="U48" i="12" s="1"/>
  <c r="AX95" i="6"/>
  <c r="DU95" i="6"/>
  <c r="CK95" i="6"/>
  <c r="AT9" i="11"/>
  <c r="CN86" i="6"/>
  <c r="H488" i="20"/>
  <c r="Y488" i="20" s="1"/>
  <c r="D308" i="2"/>
  <c r="F420" i="20"/>
  <c r="W420" i="20" s="1"/>
  <c r="F486" i="20"/>
  <c r="W486" i="20" s="1"/>
  <c r="AO103" i="11"/>
  <c r="BN76" i="6"/>
  <c r="CW87" i="11"/>
  <c r="CW96" i="11" s="1"/>
  <c r="DL86" i="6"/>
  <c r="BI47" i="11"/>
  <c r="BP86" i="6"/>
  <c r="CC260" i="17"/>
  <c r="CG126" i="17"/>
  <c r="BQ126" i="17"/>
  <c r="AK126" i="17"/>
  <c r="U126" i="17"/>
  <c r="BU73" i="17"/>
  <c r="M43" i="17"/>
  <c r="Y43" i="17"/>
  <c r="CO24" i="17"/>
  <c r="BI24" i="17"/>
  <c r="AS24" i="17"/>
  <c r="AC24" i="17"/>
  <c r="M24" i="17"/>
  <c r="CG260" i="17"/>
  <c r="BI260" i="17"/>
  <c r="AC260" i="17"/>
  <c r="CG230" i="17"/>
  <c r="CK126" i="17"/>
  <c r="BE126" i="17"/>
  <c r="Y126" i="17"/>
  <c r="CO73" i="17"/>
  <c r="AW62" i="17"/>
  <c r="AG62" i="17"/>
  <c r="Q62" i="17"/>
  <c r="CK43" i="17"/>
  <c r="BE43" i="17"/>
  <c r="CM93" i="17"/>
  <c r="CE93" i="17"/>
  <c r="BW93" i="17"/>
  <c r="CG52" i="17"/>
  <c r="BA52" i="17"/>
  <c r="U52" i="17"/>
  <c r="Y247" i="7"/>
  <c r="U247" i="7"/>
  <c r="X251" i="12"/>
  <c r="N251" i="12"/>
  <c r="N59" i="12"/>
  <c r="J59" i="12"/>
  <c r="Y58" i="12"/>
  <c r="U58" i="12"/>
  <c r="Q58" i="12"/>
  <c r="M58" i="12"/>
  <c r="I58" i="12"/>
  <c r="CE101" i="11"/>
  <c r="AO58" i="11"/>
  <c r="CR50" i="11"/>
  <c r="AR79" i="6"/>
  <c r="AX72" i="6"/>
  <c r="AY101" i="11"/>
  <c r="CH24" i="6"/>
  <c r="CE24" i="6" s="1"/>
  <c r="BI84" i="6"/>
  <c r="DQ81" i="6"/>
  <c r="CS81" i="6"/>
  <c r="BU81" i="6"/>
  <c r="CG59" i="6"/>
  <c r="CA58" i="6"/>
  <c r="DU56" i="6"/>
  <c r="DO8" i="6"/>
  <c r="DT8" i="6" s="1"/>
  <c r="DT57" i="6" s="1"/>
  <c r="F311" i="20"/>
  <c r="W311" i="20" s="1"/>
  <c r="CM94" i="11"/>
  <c r="BD94" i="11"/>
  <c r="AJ94" i="11"/>
  <c r="BH95" i="6"/>
  <c r="CY95" i="6"/>
  <c r="DP85" i="6"/>
  <c r="CR85" i="6"/>
  <c r="BT85" i="6"/>
  <c r="AD178" i="17"/>
  <c r="CD208" i="17"/>
  <c r="BS8" i="6"/>
  <c r="BX8" i="6" s="1"/>
  <c r="BX57" i="6" s="1"/>
  <c r="CK55" i="6"/>
  <c r="H412" i="20"/>
  <c r="Y412" i="20" s="1"/>
  <c r="E506" i="20"/>
  <c r="V506" i="20" s="1"/>
  <c r="AC27" i="6"/>
  <c r="DE95" i="6"/>
  <c r="AX84" i="6"/>
  <c r="AU45" i="6"/>
  <c r="AZ45" i="6" s="1"/>
  <c r="AZ94" i="6" s="1"/>
  <c r="DL75" i="6"/>
  <c r="BD59" i="6"/>
  <c r="CA82" i="6"/>
  <c r="DG94" i="11"/>
  <c r="P94" i="11"/>
  <c r="BI95" i="6"/>
  <c r="CR13" i="11"/>
  <c r="CH88" i="11"/>
  <c r="BD13" i="11"/>
  <c r="P13" i="11"/>
  <c r="DB86" i="11"/>
  <c r="CM86" i="11"/>
  <c r="CC86" i="11"/>
  <c r="BS86" i="11"/>
  <c r="AY86" i="11"/>
  <c r="CR87" i="11"/>
  <c r="CR96" i="11" s="1"/>
  <c r="BM95" i="6"/>
  <c r="DG63" i="11"/>
  <c r="DG59" i="11"/>
  <c r="DX86" i="6"/>
  <c r="CZ86" i="6"/>
  <c r="CB86" i="6"/>
  <c r="Z47" i="11"/>
  <c r="U47" i="11"/>
  <c r="CC8" i="11"/>
  <c r="DL87" i="6"/>
  <c r="BS7" i="11"/>
  <c r="CX105" i="11"/>
  <c r="AX181" i="17"/>
  <c r="CS90" i="11"/>
  <c r="R178" i="17"/>
  <c r="AT89" i="17"/>
  <c r="BN81" i="17"/>
  <c r="R59" i="11"/>
  <c r="S59" i="11" s="1"/>
  <c r="I488" i="20"/>
  <c r="Z488" i="20" s="1"/>
  <c r="D320" i="2"/>
  <c r="D311" i="2"/>
  <c r="F488" i="20"/>
  <c r="W488" i="20" s="1"/>
  <c r="F186" i="20"/>
  <c r="W186" i="20" s="1"/>
  <c r="E501" i="20"/>
  <c r="V501" i="20" s="1"/>
  <c r="F182" i="20"/>
  <c r="W182" i="20" s="1"/>
  <c r="E504" i="20"/>
  <c r="V504" i="20" s="1"/>
  <c r="G180" i="20"/>
  <c r="X180" i="20" s="1"/>
  <c r="F180" i="20"/>
  <c r="W180" i="20" s="1"/>
  <c r="F189" i="20"/>
  <c r="W189" i="20" s="1"/>
  <c r="E500" i="20"/>
  <c r="V500" i="20" s="1"/>
  <c r="G175" i="20"/>
  <c r="X175" i="20" s="1"/>
  <c r="G177" i="20"/>
  <c r="X177" i="20" s="1"/>
  <c r="F177" i="20"/>
  <c r="W177" i="20" s="1"/>
  <c r="CJ46" i="6"/>
  <c r="BV84" i="6"/>
  <c r="Z84" i="6"/>
  <c r="CF95" i="6"/>
  <c r="Z95" i="6"/>
  <c r="AW260" i="17"/>
  <c r="M260" i="17"/>
  <c r="BU230" i="17"/>
  <c r="BY43" i="17"/>
  <c r="AS43" i="17"/>
  <c r="AD64" i="12"/>
  <c r="CO87" i="11"/>
  <c r="X172" i="12" s="1"/>
  <c r="BS87" i="11"/>
  <c r="CW58" i="11"/>
  <c r="BN86" i="11"/>
  <c r="Z86" i="11"/>
  <c r="Z59" i="11"/>
  <c r="AC166" i="12"/>
  <c r="DD58" i="11"/>
  <c r="DE58" i="11" s="1"/>
  <c r="AG24" i="17"/>
  <c r="CT86" i="11"/>
  <c r="Y173" i="12" s="1"/>
  <c r="CR86" i="11"/>
  <c r="BZ86" i="11"/>
  <c r="BX86" i="11"/>
  <c r="BF86" i="11"/>
  <c r="Q173" i="12" s="1"/>
  <c r="BD86" i="11"/>
  <c r="AL86" i="11"/>
  <c r="M173" i="12" s="1"/>
  <c r="AJ86" i="11"/>
  <c r="AV58" i="11"/>
  <c r="AT58" i="11"/>
  <c r="BM260" i="17"/>
  <c r="BN265" i="17"/>
  <c r="CD29" i="17"/>
  <c r="CC24" i="17"/>
  <c r="AX29" i="17"/>
  <c r="AW24" i="17"/>
  <c r="R29" i="17"/>
  <c r="Q24" i="17"/>
  <c r="AL71" i="11"/>
  <c r="M177" i="12" s="1"/>
  <c r="AN74" i="11"/>
  <c r="AN76" i="11" s="1"/>
  <c r="CG95" i="6"/>
  <c r="DB88" i="11"/>
  <c r="BN88" i="11"/>
  <c r="Z88" i="11"/>
  <c r="DK90" i="11"/>
  <c r="BX87" i="11"/>
  <c r="BX96" i="11" s="1"/>
  <c r="AL87" i="11"/>
  <c r="AJ87" i="11"/>
  <c r="CR81" i="11"/>
  <c r="DB59" i="11"/>
  <c r="BC49" i="11"/>
  <c r="CW48" i="11"/>
  <c r="CH265" i="17"/>
  <c r="BR265" i="17"/>
  <c r="CD105" i="11"/>
  <c r="CL131" i="17"/>
  <c r="BV131" i="17"/>
  <c r="BF131" i="17"/>
  <c r="AP131" i="17"/>
  <c r="Z131" i="17"/>
  <c r="BZ89" i="17"/>
  <c r="CC102" i="11"/>
  <c r="CC111" i="11" s="1"/>
  <c r="BI102" i="11"/>
  <c r="AO102" i="11"/>
  <c r="P102" i="11"/>
  <c r="CH103" i="11"/>
  <c r="CV105" i="11"/>
  <c r="CW15" i="11"/>
  <c r="BI15" i="11"/>
  <c r="AT15" i="11"/>
  <c r="U15" i="11"/>
  <c r="BV95" i="6"/>
  <c r="AO13" i="11"/>
  <c r="DF122" i="11"/>
  <c r="DU96" i="6"/>
  <c r="DB9" i="11"/>
  <c r="DO95" i="6"/>
  <c r="BX65" i="11"/>
  <c r="BN9" i="11"/>
  <c r="BD65" i="11"/>
  <c r="AJ65" i="11"/>
  <c r="Z9" i="11"/>
  <c r="CM60" i="11"/>
  <c r="BS60" i="11"/>
  <c r="AY60" i="11"/>
  <c r="AE60" i="11"/>
  <c r="BI58" i="11"/>
  <c r="DR86" i="6"/>
  <c r="DF86" i="6"/>
  <c r="CH47" i="11"/>
  <c r="CT86" i="6"/>
  <c r="BS47" i="11"/>
  <c r="BN47" i="11"/>
  <c r="BV86" i="6"/>
  <c r="AX49" i="11"/>
  <c r="BD36" i="6"/>
  <c r="AT47" i="11"/>
  <c r="AE47" i="11"/>
  <c r="DG8" i="11"/>
  <c r="BX50" i="11"/>
  <c r="BI8" i="11"/>
  <c r="BD50" i="11"/>
  <c r="AO8" i="11"/>
  <c r="AJ50" i="11"/>
  <c r="CR7" i="11"/>
  <c r="CM35" i="11"/>
  <c r="R265" i="17"/>
  <c r="CD181" i="17"/>
  <c r="R181" i="17"/>
  <c r="BR178" i="17"/>
  <c r="AL178" i="17"/>
  <c r="R151" i="17"/>
  <c r="BN89" i="17"/>
  <c r="AH89" i="17"/>
  <c r="AX82" i="6"/>
  <c r="DF72" i="6"/>
  <c r="CZ59" i="6"/>
  <c r="DQ59" i="6"/>
  <c r="F408" i="20"/>
  <c r="W408" i="20" s="1"/>
  <c r="BJ84" i="6"/>
  <c r="AL84" i="6"/>
  <c r="DD95" i="6"/>
  <c r="BA27" i="6"/>
  <c r="Q27" i="6"/>
  <c r="K31" i="6"/>
  <c r="K80" i="6" s="1"/>
  <c r="CZ84" i="6"/>
  <c r="BD81" i="6"/>
  <c r="AF81" i="6"/>
  <c r="BO82" i="6"/>
  <c r="DW79" i="6"/>
  <c r="DK79" i="6"/>
  <c r="BO79" i="6"/>
  <c r="DK60" i="6"/>
  <c r="CQ8" i="6"/>
  <c r="CV8" i="6" s="1"/>
  <c r="CV57" i="6" s="1"/>
  <c r="CW54" i="6"/>
  <c r="AV9" i="11"/>
  <c r="AW9" i="11" s="1"/>
  <c r="CB10" i="11"/>
  <c r="CE10" i="11" s="1"/>
  <c r="DK47" i="11"/>
  <c r="DR36" i="6"/>
  <c r="DO36" i="6" s="1"/>
  <c r="BF78" i="17"/>
  <c r="AH81" i="17"/>
  <c r="G418" i="20"/>
  <c r="X418" i="20" s="1"/>
  <c r="F412" i="20"/>
  <c r="W412" i="20" s="1"/>
  <c r="G382" i="20"/>
  <c r="X382" i="20" s="1"/>
  <c r="W8" i="6"/>
  <c r="BD119" i="11"/>
  <c r="DU33" i="6"/>
  <c r="I482" i="20"/>
  <c r="Z482" i="20" s="1"/>
  <c r="CH77" i="6"/>
  <c r="AX77" i="6"/>
  <c r="BU94" i="6"/>
  <c r="DE84" i="6"/>
  <c r="DE81" i="6"/>
  <c r="CG81" i="6"/>
  <c r="BI81" i="6"/>
  <c r="CK56" i="6"/>
  <c r="CE54" i="6"/>
  <c r="BN63" i="11"/>
  <c r="CD265" i="17"/>
  <c r="AX208" i="17"/>
  <c r="F410" i="20"/>
  <c r="W410" i="20" s="1"/>
  <c r="F377" i="20"/>
  <c r="W377" i="20" s="1"/>
  <c r="G199" i="20"/>
  <c r="X199" i="20" s="1"/>
  <c r="AN46" i="6"/>
  <c r="CP46" i="6"/>
  <c r="DQ79" i="6"/>
  <c r="BA30" i="6"/>
  <c r="AU8" i="6"/>
  <c r="AZ8" i="6" s="1"/>
  <c r="AZ57" i="6" s="1"/>
  <c r="AU13" i="6"/>
  <c r="AU62" i="6" s="1"/>
  <c r="AW12" i="6"/>
  <c r="AI10" i="6"/>
  <c r="AD192" i="12"/>
  <c r="F218" i="2" s="1"/>
  <c r="AW218" i="2" s="1"/>
  <c r="CR119" i="11"/>
  <c r="AJ119" i="11"/>
  <c r="CM88" i="11"/>
  <c r="CC58" i="11"/>
  <c r="CC47" i="11"/>
  <c r="AO47" i="11"/>
  <c r="DL8" i="11"/>
  <c r="BH10" i="11"/>
  <c r="BK10" i="11" s="1"/>
  <c r="R137" i="12" s="1"/>
  <c r="BJ24" i="11" s="1"/>
  <c r="DU48" i="11"/>
  <c r="DZ48" i="11" s="1"/>
  <c r="BP9" i="11"/>
  <c r="BQ9" i="11" s="1"/>
  <c r="AB9" i="11"/>
  <c r="AC9" i="11" s="1"/>
  <c r="CT225" i="17"/>
  <c r="CT238" i="17" s="1"/>
  <c r="CT43" i="17"/>
  <c r="CT48" i="17" s="1"/>
  <c r="DE7" i="17" s="1"/>
  <c r="AC52" i="12"/>
  <c r="AC59" i="12" s="1"/>
  <c r="AE103" i="11"/>
  <c r="Z103" i="11"/>
  <c r="R58" i="11"/>
  <c r="S58" i="11" s="1"/>
  <c r="U58" i="11"/>
  <c r="CL49" i="11"/>
  <c r="CM47" i="11"/>
  <c r="BD47" i="11"/>
  <c r="AY47" i="11"/>
  <c r="P47" i="11"/>
  <c r="J49" i="11"/>
  <c r="CV10" i="11"/>
  <c r="CV12" i="11" s="1"/>
  <c r="CV14" i="11" s="1"/>
  <c r="CW8" i="11"/>
  <c r="DB8" i="11"/>
  <c r="T10" i="11"/>
  <c r="W10" i="11" s="1"/>
  <c r="U8" i="11"/>
  <c r="DB48" i="11"/>
  <c r="DA47" i="11"/>
  <c r="DA49" i="11" s="1"/>
  <c r="DA10" i="11"/>
  <c r="DA12" i="11" s="1"/>
  <c r="BA9" i="11"/>
  <c r="P167" i="12" s="1"/>
  <c r="AY9" i="11"/>
  <c r="Z8" i="11"/>
  <c r="AH186" i="17"/>
  <c r="DF96" i="6"/>
  <c r="CW33" i="6"/>
  <c r="ED77" i="6"/>
  <c r="AL24" i="6"/>
  <c r="AI24" i="6" s="1"/>
  <c r="DX79" i="6"/>
  <c r="T79" i="6"/>
  <c r="CG84" i="6"/>
  <c r="DW81" i="6"/>
  <c r="DK81" i="6"/>
  <c r="CY81" i="6"/>
  <c r="CM81" i="6"/>
  <c r="CA81" i="6"/>
  <c r="BO81" i="6"/>
  <c r="CA79" i="6"/>
  <c r="DE59" i="6"/>
  <c r="CY58" i="6"/>
  <c r="DO56" i="6"/>
  <c r="BM56" i="6"/>
  <c r="DC8" i="6"/>
  <c r="DH8" i="6" s="1"/>
  <c r="DH57" i="6" s="1"/>
  <c r="CE55" i="6"/>
  <c r="BG8" i="6"/>
  <c r="BL8" i="6" s="1"/>
  <c r="BL57" i="6" s="1"/>
  <c r="DB71" i="11"/>
  <c r="CY71" i="11"/>
  <c r="Z177" i="12" s="1"/>
  <c r="N29" i="17"/>
  <c r="BN95" i="6"/>
  <c r="AD74" i="11"/>
  <c r="AC71" i="11"/>
  <c r="CE8" i="6"/>
  <c r="CJ8" i="6" s="1"/>
  <c r="CJ57" i="6" s="1"/>
  <c r="AI8" i="6"/>
  <c r="AN8" i="6" s="1"/>
  <c r="AN57" i="6" s="1"/>
  <c r="K8" i="6"/>
  <c r="DR66" i="6"/>
  <c r="CS12" i="6"/>
  <c r="BI59" i="6"/>
  <c r="W9" i="6"/>
  <c r="Q8" i="6"/>
  <c r="V8" i="6" s="1"/>
  <c r="V57" i="6" s="1"/>
  <c r="DI56" i="6"/>
  <c r="AJ80" i="6"/>
  <c r="W31" i="6"/>
  <c r="DD94" i="6"/>
  <c r="CF94" i="6"/>
  <c r="BH94" i="6"/>
  <c r="CR81" i="6"/>
  <c r="DD57" i="6"/>
  <c r="DL93" i="6"/>
  <c r="T93" i="6"/>
  <c r="BV90" i="6"/>
  <c r="Z90" i="6"/>
  <c r="N82" i="6"/>
  <c r="CZ81" i="6"/>
  <c r="CB81" i="6"/>
  <c r="DR74" i="6"/>
  <c r="DR24" i="6"/>
  <c r="DO24" i="6" s="1"/>
  <c r="BJ72" i="6"/>
  <c r="AL72" i="6"/>
  <c r="ED68" i="6"/>
  <c r="DF68" i="6"/>
  <c r="CH68" i="6"/>
  <c r="BJ68" i="6"/>
  <c r="AL68" i="6"/>
  <c r="DW84" i="6"/>
  <c r="DW82" i="6"/>
  <c r="DQ82" i="6"/>
  <c r="DE82" i="6"/>
  <c r="CM82" i="6"/>
  <c r="CG82" i="6"/>
  <c r="BU82" i="6"/>
  <c r="CM79" i="6"/>
  <c r="CY60" i="6"/>
  <c r="BU60" i="6"/>
  <c r="BO60" i="6"/>
  <c r="DQ58" i="6"/>
  <c r="G200" i="20"/>
  <c r="X200" i="20" s="1"/>
  <c r="CW56" i="6"/>
  <c r="BY56" i="6"/>
  <c r="CQ54" i="6"/>
  <c r="CO119" i="11"/>
  <c r="X179" i="12" s="1"/>
  <c r="BA119" i="11"/>
  <c r="P179" i="12" s="1"/>
  <c r="W101" i="11"/>
  <c r="J175" i="12" s="1"/>
  <c r="CC15" i="11"/>
  <c r="AO15" i="11"/>
  <c r="Z15" i="11"/>
  <c r="J46" i="6"/>
  <c r="DD9" i="11"/>
  <c r="DE9" i="11" s="1"/>
  <c r="CQ74" i="11"/>
  <c r="CQ76" i="11" s="1"/>
  <c r="BD66" i="6"/>
  <c r="AF66" i="6"/>
  <c r="AD27" i="12"/>
  <c r="CT62" i="17"/>
  <c r="CT78" i="17" s="1"/>
  <c r="O75" i="11"/>
  <c r="P65" i="11"/>
  <c r="BR49" i="11"/>
  <c r="BX47" i="11"/>
  <c r="BD86" i="6"/>
  <c r="BJ86" i="6"/>
  <c r="AD49" i="11"/>
  <c r="AJ47" i="11"/>
  <c r="AH243" i="17"/>
  <c r="AL243" i="17"/>
  <c r="AT151" i="17"/>
  <c r="AX151" i="17"/>
  <c r="AW119" i="11"/>
  <c r="CU89" i="6"/>
  <c r="CF81" i="6"/>
  <c r="DU11" i="6"/>
  <c r="CR15" i="6"/>
  <c r="CR59" i="6"/>
  <c r="BT59" i="6"/>
  <c r="BH59" i="6"/>
  <c r="CF58" i="6"/>
  <c r="DX77" i="6"/>
  <c r="DL77" i="6"/>
  <c r="CN77" i="6"/>
  <c r="CB77" i="6"/>
  <c r="BP77" i="6"/>
  <c r="AR77" i="6"/>
  <c r="AF77" i="6"/>
  <c r="T77" i="6"/>
  <c r="ED81" i="6"/>
  <c r="DR81" i="6"/>
  <c r="N81" i="6"/>
  <c r="ED74" i="6"/>
  <c r="N74" i="6"/>
  <c r="ED75" i="6"/>
  <c r="DF75" i="6"/>
  <c r="BJ75" i="6"/>
  <c r="DL79" i="6"/>
  <c r="CZ79" i="6"/>
  <c r="CN79" i="6"/>
  <c r="CB79" i="6"/>
  <c r="BP79" i="6"/>
  <c r="BD79" i="6"/>
  <c r="AF79" i="6"/>
  <c r="DR70" i="6"/>
  <c r="N58" i="6"/>
  <c r="CH66" i="6"/>
  <c r="AL66" i="6"/>
  <c r="EA56" i="6"/>
  <c r="DC55" i="6"/>
  <c r="BG55" i="6"/>
  <c r="CX76" i="6"/>
  <c r="BJ237" i="17"/>
  <c r="BB237" i="17"/>
  <c r="AT237" i="17"/>
  <c r="AL237" i="17"/>
  <c r="AD237" i="17"/>
  <c r="V237" i="17"/>
  <c r="BJ234" i="17"/>
  <c r="BB234" i="17"/>
  <c r="AT234" i="17"/>
  <c r="AL234" i="17"/>
  <c r="T156" i="12"/>
  <c r="BL269" i="17"/>
  <c r="AA155" i="12"/>
  <c r="CO247" i="17"/>
  <c r="CH200" i="17"/>
  <c r="BZ200" i="17"/>
  <c r="BR200" i="17"/>
  <c r="CL130" i="17"/>
  <c r="CD130" i="17"/>
  <c r="BV130" i="17"/>
  <c r="BN130" i="17"/>
  <c r="BF130" i="17"/>
  <c r="AX130" i="17"/>
  <c r="AP130" i="17"/>
  <c r="AH130" i="17"/>
  <c r="Z130" i="17"/>
  <c r="R130" i="17"/>
  <c r="CO93" i="17"/>
  <c r="CK93" i="17"/>
  <c r="CG93" i="17"/>
  <c r="CC93" i="17"/>
  <c r="BY93" i="17"/>
  <c r="BU93" i="17"/>
  <c r="CL47" i="17"/>
  <c r="DC51" i="11" s="1"/>
  <c r="CB52" i="17"/>
  <c r="BF47" i="17"/>
  <c r="BO51" i="11" s="1"/>
  <c r="AV52" i="17"/>
  <c r="Z47" i="17"/>
  <c r="AA51" i="11" s="1"/>
  <c r="P52" i="17"/>
  <c r="BR264" i="17"/>
  <c r="BR120" i="17" s="1"/>
  <c r="BQ269" i="17"/>
  <c r="L156" i="12"/>
  <c r="AF269" i="17"/>
  <c r="BO200" i="17"/>
  <c r="BM200" i="17"/>
  <c r="CN247" i="17"/>
  <c r="CM247" i="17"/>
  <c r="BZ242" i="17"/>
  <c r="CN104" i="11" s="1"/>
  <c r="CA247" i="17"/>
  <c r="BR242" i="17"/>
  <c r="CD104" i="11" s="1"/>
  <c r="BR185" i="17"/>
  <c r="CD89" i="11" s="1"/>
  <c r="AD234" i="17"/>
  <c r="V234" i="17"/>
  <c r="BJ83" i="17"/>
  <c r="BB83" i="17"/>
  <c r="AT83" i="17"/>
  <c r="AL83" i="17"/>
  <c r="AD83" i="17"/>
  <c r="V83" i="17"/>
  <c r="BJ80" i="17"/>
  <c r="BB80" i="17"/>
  <c r="AT80" i="17"/>
  <c r="AL80" i="17"/>
  <c r="AD80" i="17"/>
  <c r="V80" i="17"/>
  <c r="BJ77" i="17"/>
  <c r="BB77" i="17"/>
  <c r="AT77" i="17"/>
  <c r="AL77" i="17"/>
  <c r="AD77" i="17"/>
  <c r="V77" i="17"/>
  <c r="CD180" i="17"/>
  <c r="BV180" i="17"/>
  <c r="BN180" i="17"/>
  <c r="BF180" i="17"/>
  <c r="AX180" i="17"/>
  <c r="AP180" i="17"/>
  <c r="AH180" i="17"/>
  <c r="Z180" i="17"/>
  <c r="R180" i="17"/>
  <c r="CH177" i="17"/>
  <c r="BZ177" i="17"/>
  <c r="BR177" i="17"/>
  <c r="BJ177" i="17"/>
  <c r="BB177" i="17"/>
  <c r="AT177" i="17"/>
  <c r="CP242" i="17"/>
  <c r="DH104" i="11" s="1"/>
  <c r="CH242" i="17"/>
  <c r="CX104" i="11" s="1"/>
  <c r="CL185" i="17"/>
  <c r="DC89" i="11" s="1"/>
  <c r="CD185" i="17"/>
  <c r="CS89" i="11" s="1"/>
  <c r="BV185" i="17"/>
  <c r="CI89" i="11" s="1"/>
  <c r="X340" i="12"/>
  <c r="V340" i="12"/>
  <c r="T340" i="12"/>
  <c r="R340" i="12"/>
  <c r="N340" i="12"/>
  <c r="L340" i="12"/>
  <c r="J340" i="12"/>
  <c r="V251" i="12"/>
  <c r="CK260" i="17"/>
  <c r="Q260" i="17"/>
  <c r="Y222" i="17"/>
  <c r="BM73" i="17"/>
  <c r="CG24" i="17"/>
  <c r="BA24" i="17"/>
  <c r="U24" i="17"/>
  <c r="BY260" i="17"/>
  <c r="BA222" i="17"/>
  <c r="AK222" i="17"/>
  <c r="U222" i="17"/>
  <c r="AB499" i="7"/>
  <c r="AB496" i="7"/>
  <c r="E242" i="20"/>
  <c r="V242" i="20" s="1"/>
  <c r="CH95" i="11"/>
  <c r="BN95" i="11"/>
  <c r="AT95" i="11"/>
  <c r="Z95" i="11"/>
  <c r="CR95" i="6"/>
  <c r="BT95" i="6"/>
  <c r="DF95" i="6"/>
  <c r="CZ95" i="6"/>
  <c r="CB95" i="6"/>
  <c r="BJ95" i="6"/>
  <c r="BD95" i="6"/>
  <c r="AR95" i="6"/>
  <c r="CM95" i="6"/>
  <c r="BO95" i="6"/>
  <c r="CW13" i="11"/>
  <c r="CC13" i="11"/>
  <c r="BS88" i="11"/>
  <c r="BI13" i="11"/>
  <c r="AE88" i="11"/>
  <c r="U13" i="11"/>
  <c r="DL36" i="6"/>
  <c r="DI36" i="6" s="1"/>
  <c r="CZ36" i="6"/>
  <c r="CW36" i="6" s="1"/>
  <c r="CB49" i="11"/>
  <c r="CN36" i="6"/>
  <c r="CK36" i="6" s="1"/>
  <c r="CB36" i="6"/>
  <c r="BY36" i="6" s="1"/>
  <c r="BH49" i="11"/>
  <c r="BP36" i="6"/>
  <c r="BM36" i="6" s="1"/>
  <c r="AN49" i="11"/>
  <c r="T49" i="11"/>
  <c r="DR87" i="6"/>
  <c r="DB7" i="11"/>
  <c r="CH35" i="11"/>
  <c r="CC35" i="11"/>
  <c r="BN7" i="11"/>
  <c r="Z7" i="11"/>
  <c r="CH181" i="17"/>
  <c r="BV181" i="17"/>
  <c r="BR181" i="17"/>
  <c r="BF181" i="17"/>
  <c r="BB181" i="17"/>
  <c r="AP181" i="17"/>
  <c r="AL181" i="17"/>
  <c r="Z181" i="17"/>
  <c r="V181" i="17"/>
  <c r="CH178" i="17"/>
  <c r="BB178" i="17"/>
  <c r="V178" i="17"/>
  <c r="CL208" i="17"/>
  <c r="BF208" i="17"/>
  <c r="Z208" i="17"/>
  <c r="CH112" i="17"/>
  <c r="BR112" i="17"/>
  <c r="BB112" i="17"/>
  <c r="AL112" i="17"/>
  <c r="V112" i="17"/>
  <c r="CD89" i="17"/>
  <c r="AX89" i="17"/>
  <c r="R89" i="17"/>
  <c r="N89" i="17"/>
  <c r="CP78" i="17"/>
  <c r="BR78" i="17"/>
  <c r="BB78" i="17"/>
  <c r="AL78" i="17"/>
  <c r="CP81" i="17"/>
  <c r="BZ81" i="17"/>
  <c r="BR81" i="17"/>
  <c r="BJ81" i="17"/>
  <c r="AT81" i="17"/>
  <c r="AL81" i="17"/>
  <c r="AD81" i="17"/>
  <c r="DD12" i="6"/>
  <c r="DL119" i="11"/>
  <c r="CL81" i="6"/>
  <c r="DV76" i="6"/>
  <c r="BZ76" i="6"/>
  <c r="BH80" i="6"/>
  <c r="CX15" i="6"/>
  <c r="CL62" i="6"/>
  <c r="BB15" i="6"/>
  <c r="AP62" i="6"/>
  <c r="AC11" i="6"/>
  <c r="DV84" i="6"/>
  <c r="DJ84" i="6"/>
  <c r="CL84" i="6"/>
  <c r="BN84" i="6"/>
  <c r="CF82" i="6"/>
  <c r="BH82" i="6"/>
  <c r="BZ81" i="6"/>
  <c r="DD79" i="6"/>
  <c r="CR79" i="6"/>
  <c r="CF79" i="6"/>
  <c r="BT79" i="6"/>
  <c r="BH79" i="6"/>
  <c r="DI45" i="6"/>
  <c r="CZ94" i="6"/>
  <c r="CN94" i="6"/>
  <c r="CB94" i="6"/>
  <c r="BD94" i="6"/>
  <c r="AR94" i="6"/>
  <c r="AF94" i="6"/>
  <c r="CZ90" i="6"/>
  <c r="CT84" i="6"/>
  <c r="Z81" i="6"/>
  <c r="ED58" i="6"/>
  <c r="DL58" i="6"/>
  <c r="CZ58" i="6"/>
  <c r="CN58" i="6"/>
  <c r="CB58" i="6"/>
  <c r="BP58" i="6"/>
  <c r="BD58" i="6"/>
  <c r="AR58" i="6"/>
  <c r="AF58" i="6"/>
  <c r="T58" i="6"/>
  <c r="CZ66" i="6"/>
  <c r="ED65" i="6"/>
  <c r="DR65" i="6"/>
  <c r="BP65" i="6"/>
  <c r="T65" i="6"/>
  <c r="DW94" i="6"/>
  <c r="DK94" i="6"/>
  <c r="CY94" i="6"/>
  <c r="CM94" i="6"/>
  <c r="CA94" i="6"/>
  <c r="BO94" i="6"/>
  <c r="DQ73" i="6"/>
  <c r="CG73" i="6"/>
  <c r="BU73" i="6"/>
  <c r="BI73" i="6"/>
  <c r="BU12" i="6"/>
  <c r="G376" i="20"/>
  <c r="X376" i="20" s="1"/>
  <c r="CG58" i="6"/>
  <c r="CW55" i="6"/>
  <c r="BY55" i="6"/>
  <c r="DO54" i="6"/>
  <c r="CR95" i="11"/>
  <c r="CC94" i="11"/>
  <c r="AO94" i="11"/>
  <c r="AT65" i="11"/>
  <c r="CW60" i="11"/>
  <c r="AO60" i="11"/>
  <c r="BP63" i="11"/>
  <c r="S169" i="12" s="1"/>
  <c r="AB63" i="11"/>
  <c r="BS59" i="11"/>
  <c r="BN59" i="11"/>
  <c r="H36" i="6"/>
  <c r="E36" i="6" s="1"/>
  <c r="ED87" i="6"/>
  <c r="CR84" i="6"/>
  <c r="CQ76" i="6"/>
  <c r="CR63" i="6"/>
  <c r="CN82" i="6"/>
  <c r="T60" i="6"/>
  <c r="N48" i="17"/>
  <c r="CO63" i="11"/>
  <c r="X169" i="12" s="1"/>
  <c r="E37" i="20"/>
  <c r="V37" i="20" s="1"/>
  <c r="I412" i="20"/>
  <c r="Z412" i="20" s="1"/>
  <c r="E307" i="20"/>
  <c r="V307" i="20" s="1"/>
  <c r="G420" i="20"/>
  <c r="X420" i="20" s="1"/>
  <c r="F382" i="20"/>
  <c r="W382" i="20" s="1"/>
  <c r="G377" i="20"/>
  <c r="X377" i="20" s="1"/>
  <c r="G342" i="20"/>
  <c r="X342" i="20" s="1"/>
  <c r="DL94" i="6"/>
  <c r="CH94" i="6"/>
  <c r="DJ79" i="6"/>
  <c r="CL79" i="6"/>
  <c r="BN79" i="6"/>
  <c r="CH72" i="6"/>
  <c r="CS94" i="6"/>
  <c r="DK82" i="6"/>
  <c r="CY82" i="6"/>
  <c r="BY33" i="6"/>
  <c r="DD80" i="6"/>
  <c r="AC28" i="6"/>
  <c r="AO27" i="6"/>
  <c r="CB66" i="6"/>
  <c r="DL65" i="6"/>
  <c r="AX58" i="6"/>
  <c r="Z58" i="6"/>
  <c r="BG23" i="6"/>
  <c r="BM72" i="6" s="1"/>
  <c r="AI23" i="6"/>
  <c r="Y12" i="6"/>
  <c r="BX119" i="11"/>
  <c r="DB101" i="11"/>
  <c r="AD13" i="12"/>
  <c r="AU31" i="6"/>
  <c r="CC87" i="11"/>
  <c r="CC96" i="11" s="1"/>
  <c r="CE87" i="11"/>
  <c r="CF87" i="11" s="1"/>
  <c r="CW11" i="11"/>
  <c r="DB11" i="11"/>
  <c r="BE222" i="17"/>
  <c r="BF235" i="17"/>
  <c r="CH78" i="17"/>
  <c r="CL78" i="17"/>
  <c r="V78" i="17"/>
  <c r="Z78" i="17"/>
  <c r="CH81" i="17"/>
  <c r="CD81" i="17"/>
  <c r="BB81" i="17"/>
  <c r="AX81" i="17"/>
  <c r="V81" i="17"/>
  <c r="R81" i="17"/>
  <c r="AO72" i="11"/>
  <c r="BR235" i="17"/>
  <c r="CL178" i="17"/>
  <c r="CG105" i="11"/>
  <c r="DJ81" i="6"/>
  <c r="BN81" i="6"/>
  <c r="DO80" i="6"/>
  <c r="DC80" i="6"/>
  <c r="CQ80" i="6"/>
  <c r="CE80" i="6"/>
  <c r="BS80" i="6"/>
  <c r="DO76" i="6"/>
  <c r="DC76" i="6"/>
  <c r="CE76" i="6"/>
  <c r="BS76" i="6"/>
  <c r="CW11" i="6"/>
  <c r="CF60" i="6"/>
  <c r="BT63" i="6"/>
  <c r="DX91" i="6"/>
  <c r="DL91" i="6"/>
  <c r="CN91" i="6"/>
  <c r="AR91" i="6"/>
  <c r="T91" i="6"/>
  <c r="DR82" i="6"/>
  <c r="DF82" i="6"/>
  <c r="CT82" i="6"/>
  <c r="CH82" i="6"/>
  <c r="BV82" i="6"/>
  <c r="DF81" i="6"/>
  <c r="CH81" i="6"/>
  <c r="BJ81" i="6"/>
  <c r="N75" i="6"/>
  <c r="DF70" i="6"/>
  <c r="CH70" i="6"/>
  <c r="BJ70" i="6"/>
  <c r="AL70" i="6"/>
  <c r="ED59" i="6"/>
  <c r="DR59" i="6"/>
  <c r="DF59" i="6"/>
  <c r="CT59" i="6"/>
  <c r="CH59" i="6"/>
  <c r="BV59" i="6"/>
  <c r="BJ59" i="6"/>
  <c r="AX59" i="6"/>
  <c r="AL59" i="6"/>
  <c r="Z59" i="6"/>
  <c r="N59" i="6"/>
  <c r="CZ65" i="6"/>
  <c r="BD65" i="6"/>
  <c r="DF57" i="6"/>
  <c r="CT57" i="6"/>
  <c r="CH57" i="6"/>
  <c r="BV57" i="6"/>
  <c r="DQ77" i="6"/>
  <c r="BU77" i="6"/>
  <c r="CG79" i="6"/>
  <c r="CW103" i="11"/>
  <c r="DL101" i="11"/>
  <c r="CR101" i="11"/>
  <c r="BS101" i="11"/>
  <c r="AE101" i="11"/>
  <c r="DI15" i="11"/>
  <c r="AB142" i="12" s="1"/>
  <c r="DH29" i="11" s="1"/>
  <c r="N95" i="6"/>
  <c r="BS73" i="11"/>
  <c r="CT101" i="11"/>
  <c r="CJ101" i="11"/>
  <c r="W175" i="12" s="1"/>
  <c r="BZ101" i="11"/>
  <c r="U175" i="12" s="1"/>
  <c r="BF101" i="11"/>
  <c r="BG101" i="11" s="1"/>
  <c r="AL101" i="11"/>
  <c r="M175" i="12" s="1"/>
  <c r="R101" i="11"/>
  <c r="I175" i="12" s="1"/>
  <c r="DI102" i="11"/>
  <c r="DI126" i="11" s="1"/>
  <c r="DP81" i="6"/>
  <c r="BT81" i="6"/>
  <c r="BH57" i="6"/>
  <c r="DG102" i="11"/>
  <c r="DG111" i="11" s="1"/>
  <c r="AO30" i="6"/>
  <c r="DD86" i="11"/>
  <c r="AA173" i="12" s="1"/>
  <c r="DJ76" i="6"/>
  <c r="CL76" i="6"/>
  <c r="CF80" i="6"/>
  <c r="L12" i="6"/>
  <c r="F15" i="6"/>
  <c r="CM116" i="11"/>
  <c r="CP29" i="17"/>
  <c r="DC6" i="17" s="1"/>
  <c r="DO10" i="6"/>
  <c r="DT17" i="6" s="1"/>
  <c r="DT66" i="6" s="1"/>
  <c r="BT84" i="6"/>
  <c r="DP76" i="6"/>
  <c r="DD76" i="6"/>
  <c r="CR76" i="6"/>
  <c r="CF76" i="6"/>
  <c r="BT76" i="6"/>
  <c r="BH76" i="6"/>
  <c r="DP80" i="6"/>
  <c r="CR80" i="6"/>
  <c r="BT80" i="6"/>
  <c r="AO31" i="6"/>
  <c r="AO80" i="6" s="1"/>
  <c r="CY12" i="6"/>
  <c r="CA12" i="6"/>
  <c r="BC12" i="6"/>
  <c r="AY66" i="6"/>
  <c r="DJ94" i="6"/>
  <c r="CL94" i="6"/>
  <c r="BN94" i="6"/>
  <c r="DP84" i="6"/>
  <c r="DI33" i="6"/>
  <c r="CK33" i="6"/>
  <c r="BM33" i="6"/>
  <c r="CX81" i="6"/>
  <c r="DD60" i="6"/>
  <c r="DP58" i="6"/>
  <c r="DD58" i="6"/>
  <c r="CR58" i="6"/>
  <c r="BT58" i="6"/>
  <c r="DR94" i="6"/>
  <c r="DF94" i="6"/>
  <c r="BV94" i="6"/>
  <c r="BJ94" i="6"/>
  <c r="N94" i="6"/>
  <c r="ED96" i="6"/>
  <c r="DR96" i="6"/>
  <c r="CT96" i="6"/>
  <c r="BV96" i="6"/>
  <c r="AL96" i="6"/>
  <c r="CN93" i="6"/>
  <c r="BP93" i="6"/>
  <c r="AR93" i="6"/>
  <c r="DL90" i="6"/>
  <c r="CN90" i="6"/>
  <c r="BP90" i="6"/>
  <c r="AR90" i="6"/>
  <c r="T90" i="6"/>
  <c r="DL84" i="6"/>
  <c r="CN84" i="6"/>
  <c r="N84" i="6"/>
  <c r="DF77" i="6"/>
  <c r="BJ77" i="6"/>
  <c r="AL77" i="6"/>
  <c r="N77" i="6"/>
  <c r="BV24" i="6"/>
  <c r="BJ24" i="6"/>
  <c r="BG24" i="6" s="1"/>
  <c r="AX24" i="6"/>
  <c r="AU24" i="6" s="1"/>
  <c r="DF79" i="6"/>
  <c r="CT79" i="6"/>
  <c r="CH79" i="6"/>
  <c r="BV79" i="6"/>
  <c r="BJ79" i="6"/>
  <c r="N79" i="6"/>
  <c r="CK72" i="6"/>
  <c r="BP72" i="6"/>
  <c r="AR72" i="6"/>
  <c r="T72" i="6"/>
  <c r="DK84" i="6"/>
  <c r="CY84" i="6"/>
  <c r="CM84" i="6"/>
  <c r="CA84" i="6"/>
  <c r="BO84" i="6"/>
  <c r="DK12" i="6"/>
  <c r="BO12" i="6"/>
  <c r="DW57" i="6"/>
  <c r="DK57" i="6"/>
  <c r="CM57" i="6"/>
  <c r="BO57" i="6"/>
  <c r="BS56" i="6"/>
  <c r="DW77" i="6"/>
  <c r="CA77" i="6"/>
  <c r="CS79" i="6"/>
  <c r="BU79" i="6"/>
  <c r="DK59" i="6"/>
  <c r="CY59" i="6"/>
  <c r="CM59" i="6"/>
  <c r="CA59" i="6"/>
  <c r="BO59" i="6"/>
  <c r="DI55" i="6"/>
  <c r="BM55" i="6"/>
  <c r="DU54" i="6"/>
  <c r="DB15" i="11"/>
  <c r="CH15" i="11"/>
  <c r="BN15" i="11"/>
  <c r="BN84" i="17"/>
  <c r="AH48" i="17"/>
  <c r="R48" i="17"/>
  <c r="CM95" i="11"/>
  <c r="BS95" i="11"/>
  <c r="AY95" i="11"/>
  <c r="AE95" i="11"/>
  <c r="AS96" i="11"/>
  <c r="Y96" i="11"/>
  <c r="CB74" i="11"/>
  <c r="CB76" i="11" s="1"/>
  <c r="DX95" i="6"/>
  <c r="BN101" i="11"/>
  <c r="AT101" i="11"/>
  <c r="Z101" i="11"/>
  <c r="CW88" i="11"/>
  <c r="CG90" i="11"/>
  <c r="DB81" i="11"/>
  <c r="CE95" i="6"/>
  <c r="BI65" i="11"/>
  <c r="AO65" i="11"/>
  <c r="U65" i="11"/>
  <c r="BX60" i="11"/>
  <c r="BD60" i="11"/>
  <c r="AJ60" i="11"/>
  <c r="P60" i="11"/>
  <c r="CY63" i="11"/>
  <c r="CZ63" i="11" s="1"/>
  <c r="CE63" i="11"/>
  <c r="CF63" i="11" s="1"/>
  <c r="W63" i="11"/>
  <c r="J169" i="12" s="1"/>
  <c r="CH8" i="11"/>
  <c r="BS50" i="11"/>
  <c r="AT8" i="11"/>
  <c r="AE50" i="11"/>
  <c r="DX87" i="6"/>
  <c r="DV85" i="6"/>
  <c r="DJ85" i="6"/>
  <c r="CL85" i="6"/>
  <c r="BN85" i="6"/>
  <c r="AO35" i="11"/>
  <c r="CP243" i="17"/>
  <c r="DC14" i="17" s="1"/>
  <c r="BZ243" i="17"/>
  <c r="BJ243" i="17"/>
  <c r="AT243" i="17"/>
  <c r="AD243" i="17"/>
  <c r="DH90" i="11"/>
  <c r="CE86" i="11"/>
  <c r="V173" i="12" s="1"/>
  <c r="BU86" i="11"/>
  <c r="BA86" i="11"/>
  <c r="P173" i="12" s="1"/>
  <c r="AG86" i="11"/>
  <c r="AH86" i="11" s="1"/>
  <c r="W86" i="11"/>
  <c r="X86" i="11" s="1"/>
  <c r="CP178" i="17"/>
  <c r="CI90" i="11"/>
  <c r="BJ208" i="17"/>
  <c r="N208" i="17"/>
  <c r="CH151" i="17"/>
  <c r="BV151" i="17"/>
  <c r="BF151" i="17"/>
  <c r="AP151" i="17"/>
  <c r="Z151" i="17"/>
  <c r="CP112" i="17"/>
  <c r="DC9" i="17" s="1"/>
  <c r="BZ112" i="17"/>
  <c r="AT112" i="17"/>
  <c r="AD112" i="17"/>
  <c r="BB131" i="17"/>
  <c r="AL131" i="17"/>
  <c r="CO9" i="11"/>
  <c r="CP9" i="11" s="1"/>
  <c r="M9" i="11"/>
  <c r="H136" i="12" s="1"/>
  <c r="L23" i="11" s="1"/>
  <c r="DD59" i="11"/>
  <c r="AA178" i="12" s="1"/>
  <c r="CD48" i="17"/>
  <c r="BN48" i="17"/>
  <c r="AX48" i="17"/>
  <c r="AT102" i="11"/>
  <c r="AY102" i="11"/>
  <c r="AT250" i="2"/>
  <c r="BW89" i="6"/>
  <c r="CC89" i="6"/>
  <c r="DP94" i="6"/>
  <c r="DV94" i="6"/>
  <c r="CR94" i="6"/>
  <c r="CX94" i="6"/>
  <c r="BT94" i="6"/>
  <c r="BZ94" i="6"/>
  <c r="BB84" i="6"/>
  <c r="BA35" i="6"/>
  <c r="AV63" i="6"/>
  <c r="AV15" i="6"/>
  <c r="CL57" i="6"/>
  <c r="CF12" i="6"/>
  <c r="AJ57" i="6"/>
  <c r="AJ12" i="6"/>
  <c r="AU225" i="2"/>
  <c r="F425" i="20"/>
  <c r="W425" i="20" s="1"/>
  <c r="DR84" i="6"/>
  <c r="DX84" i="6"/>
  <c r="AV246" i="2"/>
  <c r="H482" i="20"/>
  <c r="Y482" i="20" s="1"/>
  <c r="I417" i="20"/>
  <c r="Z417" i="20" s="1"/>
  <c r="CH75" i="6"/>
  <c r="CN75" i="6"/>
  <c r="AL75" i="6"/>
  <c r="AR75" i="6"/>
  <c r="CQ23" i="6"/>
  <c r="CW72" i="6" s="1"/>
  <c r="CT72" i="6"/>
  <c r="BV72" i="6"/>
  <c r="CB72" i="6"/>
  <c r="AU23" i="6"/>
  <c r="BD72" i="6"/>
  <c r="Z72" i="6"/>
  <c r="AF72" i="6"/>
  <c r="AU222" i="2"/>
  <c r="F419" i="20"/>
  <c r="W419" i="20" s="1"/>
  <c r="AU213" i="2"/>
  <c r="F407" i="20"/>
  <c r="W407" i="20" s="1"/>
  <c r="CH65" i="6"/>
  <c r="BY16" i="6"/>
  <c r="BY65" i="6" s="1"/>
  <c r="AL65" i="6"/>
  <c r="AC16" i="6"/>
  <c r="DX60" i="6"/>
  <c r="DR60" i="6"/>
  <c r="AU244" i="2"/>
  <c r="G483" i="20"/>
  <c r="X483" i="20" s="1"/>
  <c r="AU245" i="2"/>
  <c r="G481" i="20"/>
  <c r="X481" i="20" s="1"/>
  <c r="F416" i="20"/>
  <c r="W416" i="20" s="1"/>
  <c r="BC94" i="6"/>
  <c r="BA45" i="6"/>
  <c r="CY79" i="6"/>
  <c r="DE79" i="6"/>
  <c r="AU201" i="2"/>
  <c r="F376" i="20"/>
  <c r="W376" i="20" s="1"/>
  <c r="AE57" i="6"/>
  <c r="AE12" i="6"/>
  <c r="S57" i="6"/>
  <c r="S12" i="6"/>
  <c r="AU151" i="2"/>
  <c r="G198" i="20"/>
  <c r="X198" i="20" s="1"/>
  <c r="F200" i="20"/>
  <c r="W200" i="20" s="1"/>
  <c r="AC56" i="6"/>
  <c r="AC8" i="6"/>
  <c r="AH8" i="6" s="1"/>
  <c r="AH57" i="6" s="1"/>
  <c r="AV150" i="2"/>
  <c r="H198" i="20"/>
  <c r="Y198" i="20" s="1"/>
  <c r="I199" i="20"/>
  <c r="Z199" i="20" s="1"/>
  <c r="AU161" i="2"/>
  <c r="F194" i="20"/>
  <c r="W194" i="20" s="1"/>
  <c r="F281" i="20"/>
  <c r="W281" i="20" s="1"/>
  <c r="E34" i="20"/>
  <c r="V34" i="20" s="1"/>
  <c r="BA8" i="6"/>
  <c r="AU178" i="2"/>
  <c r="E312" i="20"/>
  <c r="V312" i="20" s="1"/>
  <c r="E305" i="20"/>
  <c r="V305" i="20" s="1"/>
  <c r="F305" i="20"/>
  <c r="W305" i="20" s="1"/>
  <c r="AU159" i="2"/>
  <c r="F197" i="20"/>
  <c r="W197" i="20" s="1"/>
  <c r="G197" i="20"/>
  <c r="X197" i="20" s="1"/>
  <c r="AU176" i="2"/>
  <c r="E304" i="20"/>
  <c r="V304" i="20" s="1"/>
  <c r="AC51" i="12"/>
  <c r="AC58" i="12" s="1"/>
  <c r="CT24" i="17"/>
  <c r="CT29" i="17" s="1"/>
  <c r="DE6" i="17" s="1"/>
  <c r="AO109" i="11"/>
  <c r="BD101" i="11"/>
  <c r="BA101" i="11"/>
  <c r="BB101" i="11" s="1"/>
  <c r="AP94" i="6"/>
  <c r="AO45" i="6"/>
  <c r="AT45" i="6" s="1"/>
  <c r="AT94" i="6" s="1"/>
  <c r="R94" i="6"/>
  <c r="Q45" i="6"/>
  <c r="V45" i="6" s="1"/>
  <c r="V94" i="6" s="1"/>
  <c r="AU192" i="2"/>
  <c r="F409" i="20"/>
  <c r="W409" i="20" s="1"/>
  <c r="G409" i="20"/>
  <c r="X409" i="20" s="1"/>
  <c r="R79" i="6"/>
  <c r="Q30" i="6"/>
  <c r="AJ62" i="6"/>
  <c r="AI13" i="6"/>
  <c r="AI62" i="6" s="1"/>
  <c r="L62" i="6"/>
  <c r="K13" i="6"/>
  <c r="K62" i="6" s="1"/>
  <c r="BB59" i="6"/>
  <c r="BA10" i="6"/>
  <c r="AP59" i="6"/>
  <c r="AO10" i="6"/>
  <c r="AD59" i="6"/>
  <c r="AC10" i="6"/>
  <c r="BG9" i="6"/>
  <c r="AV58" i="6"/>
  <c r="AU9" i="6"/>
  <c r="L58" i="6"/>
  <c r="K9" i="6"/>
  <c r="ED94" i="6"/>
  <c r="AX94" i="6"/>
  <c r="AL94" i="6"/>
  <c r="Z94" i="6"/>
  <c r="AU246" i="2"/>
  <c r="G482" i="20"/>
  <c r="X482" i="20" s="1"/>
  <c r="F417" i="20"/>
  <c r="W417" i="20" s="1"/>
  <c r="DR77" i="6"/>
  <c r="CT77" i="6"/>
  <c r="BV77" i="6"/>
  <c r="Z77" i="6"/>
  <c r="DX81" i="6"/>
  <c r="DL81" i="6"/>
  <c r="CN81" i="6"/>
  <c r="CT81" i="6"/>
  <c r="BP81" i="6"/>
  <c r="BV81" i="6"/>
  <c r="AR81" i="6"/>
  <c r="T81" i="6"/>
  <c r="ED24" i="6"/>
  <c r="DF24" i="6"/>
  <c r="N24" i="6"/>
  <c r="K24" i="6" s="1"/>
  <c r="ED79" i="6"/>
  <c r="DR79" i="6"/>
  <c r="AX79" i="6"/>
  <c r="AL79" i="6"/>
  <c r="Z79" i="6"/>
  <c r="DI23" i="6"/>
  <c r="DI72" i="6" s="1"/>
  <c r="DR72" i="6"/>
  <c r="DX66" i="6"/>
  <c r="DL66" i="6"/>
  <c r="CN66" i="6"/>
  <c r="BP66" i="6"/>
  <c r="AR66" i="6"/>
  <c r="T66" i="6"/>
  <c r="AU220" i="2"/>
  <c r="G480" i="20"/>
  <c r="X480" i="20" s="1"/>
  <c r="F415" i="20"/>
  <c r="W415" i="20" s="1"/>
  <c r="AV244" i="2"/>
  <c r="H483" i="20"/>
  <c r="Y483" i="20" s="1"/>
  <c r="F383" i="20"/>
  <c r="W383" i="20" s="1"/>
  <c r="AU208" i="2"/>
  <c r="DK77" i="6"/>
  <c r="CM77" i="6"/>
  <c r="BO77" i="6"/>
  <c r="AT207" i="2"/>
  <c r="G410" i="20"/>
  <c r="X410" i="20" s="1"/>
  <c r="M79" i="6"/>
  <c r="K30" i="6"/>
  <c r="CK11" i="6"/>
  <c r="CG60" i="6"/>
  <c r="CA60" i="6"/>
  <c r="DW12" i="6"/>
  <c r="CS58" i="6"/>
  <c r="CM12" i="6"/>
  <c r="AQ58" i="6"/>
  <c r="AQ12" i="6"/>
  <c r="AV151" i="2"/>
  <c r="I200" i="20"/>
  <c r="Z200" i="20" s="1"/>
  <c r="DU55" i="6"/>
  <c r="DU8" i="6"/>
  <c r="DZ8" i="6" s="1"/>
  <c r="DZ57" i="6" s="1"/>
  <c r="BS54" i="6"/>
  <c r="BY54" i="6"/>
  <c r="AU146" i="2"/>
  <c r="F190" i="20"/>
  <c r="W190" i="20" s="1"/>
  <c r="F184" i="20"/>
  <c r="W184" i="20" s="1"/>
  <c r="G184" i="20"/>
  <c r="X184" i="20" s="1"/>
  <c r="F505" i="20"/>
  <c r="W505" i="20" s="1"/>
  <c r="G186" i="20"/>
  <c r="X186" i="20" s="1"/>
  <c r="D317" i="2"/>
  <c r="C317" i="2"/>
  <c r="F501" i="20"/>
  <c r="W501" i="20" s="1"/>
  <c r="BX95" i="11"/>
  <c r="CC95" i="11"/>
  <c r="AJ95" i="11"/>
  <c r="AO95" i="11"/>
  <c r="O96" i="11"/>
  <c r="P96" i="11" s="1"/>
  <c r="U95" i="11"/>
  <c r="BR96" i="11"/>
  <c r="BS94" i="11"/>
  <c r="BH96" i="11"/>
  <c r="BI94" i="11"/>
  <c r="AX96" i="11"/>
  <c r="AY94" i="11"/>
  <c r="AD96" i="11"/>
  <c r="AE94" i="11"/>
  <c r="T96" i="11"/>
  <c r="U94" i="11"/>
  <c r="BE77" i="6"/>
  <c r="AS77" i="6"/>
  <c r="AY60" i="6"/>
  <c r="DB72" i="11"/>
  <c r="DP95" i="6"/>
  <c r="CM72" i="11"/>
  <c r="CH72" i="11"/>
  <c r="BN72" i="11"/>
  <c r="BS72" i="11"/>
  <c r="AT72" i="11"/>
  <c r="AY72" i="11"/>
  <c r="AT226" i="2"/>
  <c r="G426" i="20"/>
  <c r="X426" i="20" s="1"/>
  <c r="CR71" i="11"/>
  <c r="CO71" i="11"/>
  <c r="CW71" i="11"/>
  <c r="CS71" i="11"/>
  <c r="Y48" i="12" s="1"/>
  <c r="CG74" i="11"/>
  <c r="CG76" i="11" s="1"/>
  <c r="CE71" i="11"/>
  <c r="CM71" i="11"/>
  <c r="CH71" i="11"/>
  <c r="BX71" i="11"/>
  <c r="BW74" i="11"/>
  <c r="BU71" i="11"/>
  <c r="T177" i="12" s="1"/>
  <c r="CC71" i="11"/>
  <c r="CN95" i="6"/>
  <c r="CH95" i="6"/>
  <c r="BM74" i="11"/>
  <c r="BM76" i="11" s="1"/>
  <c r="BK71" i="11"/>
  <c r="BS71" i="11"/>
  <c r="BD71" i="11"/>
  <c r="BA71" i="11"/>
  <c r="P177" i="12" s="1"/>
  <c r="BI71" i="11"/>
  <c r="BE71" i="11"/>
  <c r="Q48" i="12" s="1"/>
  <c r="BC74" i="11"/>
  <c r="AS74" i="11"/>
  <c r="AS75" i="11" s="1"/>
  <c r="AQ71" i="11"/>
  <c r="N177" i="12" s="1"/>
  <c r="AY71" i="11"/>
  <c r="AT71" i="11"/>
  <c r="AJ71" i="11"/>
  <c r="AO71" i="11"/>
  <c r="AI74" i="11"/>
  <c r="AI76" i="11" s="1"/>
  <c r="CR73" i="11"/>
  <c r="CM73" i="11"/>
  <c r="AY73" i="11"/>
  <c r="BD73" i="11"/>
  <c r="AQ95" i="6"/>
  <c r="AT46" i="6"/>
  <c r="AT103" i="11"/>
  <c r="AY103" i="11"/>
  <c r="DK122" i="11"/>
  <c r="DL87" i="11"/>
  <c r="DL96" i="11" s="1"/>
  <c r="DI87" i="11"/>
  <c r="AB172" i="12" s="1"/>
  <c r="DF90" i="11"/>
  <c r="DA122" i="11"/>
  <c r="CV90" i="11"/>
  <c r="DB87" i="11"/>
  <c r="DB96" i="11" s="1"/>
  <c r="CY87" i="11"/>
  <c r="Z172" i="12" s="1"/>
  <c r="BK87" i="11"/>
  <c r="BL87" i="11" s="1"/>
  <c r="BI87" i="11"/>
  <c r="AQ87" i="11"/>
  <c r="AR87" i="11" s="1"/>
  <c r="AO87" i="11"/>
  <c r="W87" i="11"/>
  <c r="X87" i="11" s="1"/>
  <c r="U87" i="11"/>
  <c r="M87" i="11"/>
  <c r="N87" i="11" s="1"/>
  <c r="P87" i="11"/>
  <c r="DL81" i="11"/>
  <c r="DG81" i="11"/>
  <c r="CW9" i="11"/>
  <c r="CR9" i="11"/>
  <c r="CJ9" i="11"/>
  <c r="W167" i="12" s="1"/>
  <c r="CH9" i="11"/>
  <c r="CQ95" i="6"/>
  <c r="CW95" i="6"/>
  <c r="CV46" i="6"/>
  <c r="BZ9" i="11"/>
  <c r="U136" i="12" s="1"/>
  <c r="BY23" i="11" s="1"/>
  <c r="CC9" i="11"/>
  <c r="BS65" i="11"/>
  <c r="BN65" i="11"/>
  <c r="BS95" i="6"/>
  <c r="BX46" i="6"/>
  <c r="BF9" i="11"/>
  <c r="BI9" i="11"/>
  <c r="AU95" i="6"/>
  <c r="AZ46" i="6"/>
  <c r="AL9" i="11"/>
  <c r="M167" i="12" s="1"/>
  <c r="AO9" i="11"/>
  <c r="AI10" i="11"/>
  <c r="AL10" i="11" s="1"/>
  <c r="Y75" i="11"/>
  <c r="AE65" i="11"/>
  <c r="Z65" i="11"/>
  <c r="W95" i="6"/>
  <c r="AB46" i="6"/>
  <c r="U9" i="11"/>
  <c r="R9" i="11"/>
  <c r="I167" i="12" s="1"/>
  <c r="DG60" i="11"/>
  <c r="CC60" i="11"/>
  <c r="BI60" i="11"/>
  <c r="BN60" i="11"/>
  <c r="U60" i="11"/>
  <c r="Z60" i="11"/>
  <c r="DL63" i="11"/>
  <c r="CT63" i="11"/>
  <c r="Y169" i="12" s="1"/>
  <c r="CR63" i="11"/>
  <c r="CJ63" i="11"/>
  <c r="CH63" i="11"/>
  <c r="BZ63" i="11"/>
  <c r="U169" i="12" s="1"/>
  <c r="BX63" i="11"/>
  <c r="BF63" i="11"/>
  <c r="Q169" i="12" s="1"/>
  <c r="BD63" i="11"/>
  <c r="AV63" i="11"/>
  <c r="AW63" i="11" s="1"/>
  <c r="AT63" i="11"/>
  <c r="AL63" i="11"/>
  <c r="AM63" i="11" s="1"/>
  <c r="AJ63" i="11"/>
  <c r="P63" i="11"/>
  <c r="R63" i="11"/>
  <c r="S63" i="11" s="1"/>
  <c r="CO59" i="11"/>
  <c r="CP59" i="11" s="1"/>
  <c r="CM59" i="11"/>
  <c r="CE59" i="11"/>
  <c r="CC59" i="11"/>
  <c r="BA59" i="11"/>
  <c r="P178" i="12" s="1"/>
  <c r="AY59" i="11"/>
  <c r="AQ59" i="11"/>
  <c r="N178" i="12" s="1"/>
  <c r="AO59" i="11"/>
  <c r="AG59" i="11"/>
  <c r="L178" i="12" s="1"/>
  <c r="AE59" i="11"/>
  <c r="BP58" i="11"/>
  <c r="BQ58" i="11" s="1"/>
  <c r="BN58" i="11"/>
  <c r="AB58" i="11"/>
  <c r="Z58" i="11"/>
  <c r="AU219" i="2"/>
  <c r="G487" i="20"/>
  <c r="X487" i="20" s="1"/>
  <c r="DF47" i="11"/>
  <c r="DF49" i="11" s="1"/>
  <c r="DL50" i="11"/>
  <c r="DG50" i="11"/>
  <c r="CR8" i="11"/>
  <c r="CL10" i="11"/>
  <c r="CO10" i="11" s="1"/>
  <c r="X137" i="12" s="1"/>
  <c r="CN24" i="11" s="1"/>
  <c r="BR10" i="11"/>
  <c r="BU10" i="11" s="1"/>
  <c r="BX8" i="11"/>
  <c r="AX10" i="11"/>
  <c r="BA10" i="11" s="1"/>
  <c r="P137" i="12" s="1"/>
  <c r="AZ24" i="11" s="1"/>
  <c r="BD8" i="11"/>
  <c r="AD10" i="11"/>
  <c r="AJ8" i="11"/>
  <c r="J10" i="11"/>
  <c r="M10" i="11" s="1"/>
  <c r="P8" i="11"/>
  <c r="AT218" i="2"/>
  <c r="G488" i="20"/>
  <c r="X488" i="20" s="1"/>
  <c r="CR48" i="11"/>
  <c r="CQ47" i="11"/>
  <c r="CQ49" i="11" s="1"/>
  <c r="CM48" i="11"/>
  <c r="CG49" i="11"/>
  <c r="BX48" i="11"/>
  <c r="CC48" i="11"/>
  <c r="BW49" i="11"/>
  <c r="BS48" i="11"/>
  <c r="BM49" i="11"/>
  <c r="BD48" i="11"/>
  <c r="BI48" i="11"/>
  <c r="AY48" i="11"/>
  <c r="AS49" i="11"/>
  <c r="AJ48" i="11"/>
  <c r="AO48" i="11"/>
  <c r="AI49" i="11"/>
  <c r="AE48" i="11"/>
  <c r="Y49" i="11"/>
  <c r="P48" i="11"/>
  <c r="U48" i="11"/>
  <c r="DK123" i="11"/>
  <c r="DL7" i="11"/>
  <c r="DA123" i="11"/>
  <c r="DB35" i="11"/>
  <c r="DF123" i="11"/>
  <c r="DG35" i="11"/>
  <c r="C314" i="2"/>
  <c r="G174" i="20"/>
  <c r="X174" i="20" s="1"/>
  <c r="C305" i="2"/>
  <c r="C308" i="2"/>
  <c r="CW35" i="11"/>
  <c r="CR35" i="11"/>
  <c r="CW7" i="11"/>
  <c r="CQ10" i="11"/>
  <c r="CT10" i="11" s="1"/>
  <c r="CH7" i="11"/>
  <c r="CM7" i="11"/>
  <c r="CG10" i="11"/>
  <c r="CJ10" i="11" s="1"/>
  <c r="CC7" i="11"/>
  <c r="BW10" i="11"/>
  <c r="BX7" i="11"/>
  <c r="BN35" i="11"/>
  <c r="BS35" i="11"/>
  <c r="BI35" i="11"/>
  <c r="BD35" i="11"/>
  <c r="BI7" i="11"/>
  <c r="BC10" i="11"/>
  <c r="BF10" i="11" s="1"/>
  <c r="AT7" i="11"/>
  <c r="AY7" i="11"/>
  <c r="AS10" i="11"/>
  <c r="AV10" i="11" s="1"/>
  <c r="Z35" i="11"/>
  <c r="AE35" i="11"/>
  <c r="U35" i="11"/>
  <c r="P35" i="11"/>
  <c r="U7" i="11"/>
  <c r="O10" i="11"/>
  <c r="R10" i="11" s="1"/>
  <c r="BU260" i="17"/>
  <c r="BV265" i="17"/>
  <c r="BJ265" i="17"/>
  <c r="BF265" i="17"/>
  <c r="BE260" i="17"/>
  <c r="AP265" i="17"/>
  <c r="AO260" i="17"/>
  <c r="AD265" i="17"/>
  <c r="Z265" i="17"/>
  <c r="Y260" i="17"/>
  <c r="CD243" i="17"/>
  <c r="CH243" i="17"/>
  <c r="AX243" i="17"/>
  <c r="BB243" i="17"/>
  <c r="R243" i="17"/>
  <c r="V243" i="17"/>
  <c r="CD238" i="17"/>
  <c r="BZ238" i="17"/>
  <c r="BN238" i="17"/>
  <c r="BI225" i="17"/>
  <c r="BB238" i="17"/>
  <c r="BA225" i="17"/>
  <c r="AX238" i="17"/>
  <c r="AT238" i="17"/>
  <c r="AS225" i="17"/>
  <c r="AL238" i="17"/>
  <c r="AK225" i="17"/>
  <c r="AH238" i="17"/>
  <c r="AC225" i="17"/>
  <c r="V238" i="17"/>
  <c r="U225" i="17"/>
  <c r="R238" i="17"/>
  <c r="N238" i="17"/>
  <c r="M225" i="17"/>
  <c r="AW222" i="17"/>
  <c r="AX235" i="17"/>
  <c r="AO222" i="17"/>
  <c r="AP235" i="17"/>
  <c r="AG222" i="17"/>
  <c r="AH235" i="17"/>
  <c r="Q222" i="17"/>
  <c r="R235" i="17"/>
  <c r="CP186" i="17"/>
  <c r="DC12" i="17" s="1"/>
  <c r="CO173" i="17"/>
  <c r="CH186" i="17"/>
  <c r="CG173" i="17"/>
  <c r="BZ186" i="17"/>
  <c r="BY173" i="17"/>
  <c r="BR186" i="17"/>
  <c r="BQ173" i="17"/>
  <c r="CR94" i="11"/>
  <c r="BN87" i="11"/>
  <c r="AO63" i="11"/>
  <c r="CD186" i="17"/>
  <c r="AX186" i="17"/>
  <c r="R186" i="17"/>
  <c r="E31" i="20"/>
  <c r="V31" i="20" s="1"/>
  <c r="H417" i="20"/>
  <c r="Y417" i="20" s="1"/>
  <c r="F307" i="20"/>
  <c r="W307" i="20" s="1"/>
  <c r="E310" i="20"/>
  <c r="V310" i="20" s="1"/>
  <c r="E311" i="20"/>
  <c r="V311" i="20" s="1"/>
  <c r="E306" i="20"/>
  <c r="V306" i="20" s="1"/>
  <c r="G279" i="20"/>
  <c r="X279" i="20" s="1"/>
  <c r="I198" i="20"/>
  <c r="Z198" i="20" s="1"/>
  <c r="H199" i="20"/>
  <c r="Y199" i="20" s="1"/>
  <c r="G417" i="20"/>
  <c r="X417" i="20" s="1"/>
  <c r="G416" i="20"/>
  <c r="X416" i="20" s="1"/>
  <c r="F483" i="20"/>
  <c r="W483" i="20" s="1"/>
  <c r="G425" i="20"/>
  <c r="X425" i="20" s="1"/>
  <c r="G415" i="20"/>
  <c r="X415" i="20" s="1"/>
  <c r="F487" i="20"/>
  <c r="W487" i="20" s="1"/>
  <c r="G412" i="20"/>
  <c r="X412" i="20" s="1"/>
  <c r="G408" i="20"/>
  <c r="X408" i="20" s="1"/>
  <c r="G407" i="20"/>
  <c r="X407" i="20" s="1"/>
  <c r="G348" i="20"/>
  <c r="X348" i="20" s="1"/>
  <c r="F342" i="20"/>
  <c r="W342" i="20" s="1"/>
  <c r="G194" i="20"/>
  <c r="X194" i="20" s="1"/>
  <c r="G281" i="20"/>
  <c r="X281" i="20" s="1"/>
  <c r="F198" i="20"/>
  <c r="W198" i="20" s="1"/>
  <c r="E505" i="20"/>
  <c r="V505" i="20" s="1"/>
  <c r="G185" i="20"/>
  <c r="X185" i="20" s="1"/>
  <c r="F188" i="20"/>
  <c r="W188" i="20" s="1"/>
  <c r="AT136" i="2"/>
  <c r="G183" i="20"/>
  <c r="X183" i="20" s="1"/>
  <c r="DH46" i="6"/>
  <c r="BL46" i="6"/>
  <c r="P46" i="6"/>
  <c r="DD81" i="6"/>
  <c r="BH81" i="6"/>
  <c r="AX81" i="6"/>
  <c r="ED72" i="6"/>
  <c r="CT95" i="6"/>
  <c r="BR46" i="6"/>
  <c r="AL95" i="6"/>
  <c r="DE94" i="6"/>
  <c r="CG94" i="6"/>
  <c r="BI94" i="6"/>
  <c r="AC45" i="6"/>
  <c r="AH45" i="6" s="1"/>
  <c r="AH94" i="6" s="1"/>
  <c r="CB90" i="6"/>
  <c r="AF90" i="6"/>
  <c r="CN87" i="6"/>
  <c r="DQ84" i="6"/>
  <c r="CS84" i="6"/>
  <c r="BU84" i="6"/>
  <c r="BI79" i="6"/>
  <c r="AC30" i="6"/>
  <c r="BP75" i="6"/>
  <c r="DU17" i="6"/>
  <c r="DU66" i="6" s="1"/>
  <c r="CK17" i="6"/>
  <c r="AO17" i="6"/>
  <c r="CW16" i="6"/>
  <c r="CW65" i="6" s="1"/>
  <c r="CB65" i="6"/>
  <c r="BA16" i="6"/>
  <c r="BA65" i="6" s="1"/>
  <c r="AF65" i="6"/>
  <c r="CF15" i="6"/>
  <c r="BH12" i="6"/>
  <c r="DL59" i="6"/>
  <c r="CN59" i="6"/>
  <c r="BP59" i="6"/>
  <c r="AR59" i="6"/>
  <c r="T59" i="6"/>
  <c r="BH58" i="6"/>
  <c r="K72" i="6"/>
  <c r="ED66" i="6"/>
  <c r="DF66" i="6"/>
  <c r="CE17" i="6"/>
  <c r="BJ66" i="6"/>
  <c r="AI17" i="6"/>
  <c r="N66" i="6"/>
  <c r="DF65" i="6"/>
  <c r="BJ65" i="6"/>
  <c r="DJ62" i="6"/>
  <c r="BZ15" i="6"/>
  <c r="BN62" i="6"/>
  <c r="AD15" i="6"/>
  <c r="R62" i="6"/>
  <c r="DE12" i="6"/>
  <c r="CG12" i="6"/>
  <c r="BI12" i="6"/>
  <c r="AK12" i="6"/>
  <c r="AK22" i="6" s="1"/>
  <c r="CM60" i="6"/>
  <c r="BY11" i="6"/>
  <c r="CS59" i="6"/>
  <c r="BU59" i="6"/>
  <c r="AU10" i="6"/>
  <c r="W10" i="6"/>
  <c r="BU58" i="6"/>
  <c r="AO8" i="6"/>
  <c r="BM230" i="17"/>
  <c r="CC103" i="11"/>
  <c r="BI103" i="11"/>
  <c r="U103" i="11"/>
  <c r="CW94" i="11"/>
  <c r="BN94" i="11"/>
  <c r="AT94" i="11"/>
  <c r="Z94" i="11"/>
  <c r="DG88" i="11"/>
  <c r="DG87" i="11"/>
  <c r="DG96" i="11" s="1"/>
  <c r="CW63" i="11"/>
  <c r="U63" i="11"/>
  <c r="CW59" i="11"/>
  <c r="U59" i="11"/>
  <c r="BX35" i="11"/>
  <c r="BX9" i="11"/>
  <c r="BD9" i="11"/>
  <c r="AJ9" i="11"/>
  <c r="P9" i="11"/>
  <c r="BD7" i="11"/>
  <c r="P7" i="11"/>
  <c r="P95" i="11"/>
  <c r="CR88" i="11"/>
  <c r="Z63" i="11"/>
  <c r="AT60" i="11"/>
  <c r="CH58" i="11"/>
  <c r="DB50" i="11"/>
  <c r="CH50" i="11"/>
  <c r="BN50" i="11"/>
  <c r="AT50" i="11"/>
  <c r="Z50" i="11"/>
  <c r="O49" i="11"/>
  <c r="AY35" i="11"/>
  <c r="BM10" i="11"/>
  <c r="BP10" i="11" s="1"/>
  <c r="CM9" i="11"/>
  <c r="CM8" i="11"/>
  <c r="BS8" i="11"/>
  <c r="AY8" i="11"/>
  <c r="AE8" i="11"/>
  <c r="DG7" i="11"/>
  <c r="AE7" i="11"/>
  <c r="BR243" i="17"/>
  <c r="AD238" i="17"/>
  <c r="BN186" i="17"/>
  <c r="AN96" i="11"/>
  <c r="AY65" i="11"/>
  <c r="CL265" i="17"/>
  <c r="Z235" i="17"/>
  <c r="CW95" i="11"/>
  <c r="DA90" i="11"/>
  <c r="AU71" i="11"/>
  <c r="O48" i="12" s="1"/>
  <c r="CT9" i="11"/>
  <c r="DL95" i="6"/>
  <c r="BP95" i="6"/>
  <c r="CT36" i="6"/>
  <c r="CQ36" i="6" s="1"/>
  <c r="BV36" i="6"/>
  <c r="BS36" i="6" s="1"/>
  <c r="AX36" i="6"/>
  <c r="Z36" i="6"/>
  <c r="AL235" i="17"/>
  <c r="BN71" i="11"/>
  <c r="BU59" i="11"/>
  <c r="BV59" i="11" s="1"/>
  <c r="BD95" i="11"/>
  <c r="CP181" i="17"/>
  <c r="CL181" i="17"/>
  <c r="BZ208" i="17"/>
  <c r="BV208" i="17"/>
  <c r="AT208" i="17"/>
  <c r="AP208" i="17"/>
  <c r="CP131" i="17"/>
  <c r="DC10" i="17" s="1"/>
  <c r="CO126" i="17"/>
  <c r="BZ131" i="17"/>
  <c r="BY126" i="17"/>
  <c r="BJ131" i="17"/>
  <c r="BI126" i="17"/>
  <c r="AT131" i="17"/>
  <c r="AS126" i="17"/>
  <c r="AD131" i="17"/>
  <c r="AC126" i="17"/>
  <c r="N131" i="17"/>
  <c r="M126" i="17"/>
  <c r="BZ78" i="17"/>
  <c r="CD78" i="17"/>
  <c r="BJ78" i="17"/>
  <c r="BN78" i="17"/>
  <c r="AT78" i="17"/>
  <c r="AX78" i="17"/>
  <c r="AD78" i="17"/>
  <c r="AH78" i="17"/>
  <c r="N78" i="17"/>
  <c r="R78" i="17"/>
  <c r="CL48" i="17"/>
  <c r="CH48" i="17"/>
  <c r="BV48" i="17"/>
  <c r="BR48" i="17"/>
  <c r="BF48" i="17"/>
  <c r="BB48" i="17"/>
  <c r="AP48" i="17"/>
  <c r="AL48" i="17"/>
  <c r="BF29" i="17"/>
  <c r="BJ29" i="17"/>
  <c r="Z29" i="17"/>
  <c r="AD29" i="17"/>
  <c r="BQ24" i="17"/>
  <c r="BR29" i="17"/>
  <c r="AK24" i="17"/>
  <c r="AL29" i="17"/>
  <c r="CH94" i="11"/>
  <c r="BX94" i="11"/>
  <c r="BC96" i="11"/>
  <c r="AI96" i="11"/>
  <c r="DV95" i="6"/>
  <c r="CW72" i="11"/>
  <c r="CX95" i="6"/>
  <c r="BZ95" i="6"/>
  <c r="BH74" i="11"/>
  <c r="BI72" i="11"/>
  <c r="DD71" i="11"/>
  <c r="DC71" i="11" s="1"/>
  <c r="DG71" i="11"/>
  <c r="T95" i="6"/>
  <c r="DG13" i="11"/>
  <c r="DB13" i="11"/>
  <c r="CM13" i="11"/>
  <c r="CH13" i="11"/>
  <c r="BX88" i="11"/>
  <c r="BS13" i="11"/>
  <c r="BN13" i="11"/>
  <c r="BD88" i="11"/>
  <c r="AY13" i="11"/>
  <c r="AT13" i="11"/>
  <c r="AJ88" i="11"/>
  <c r="AE13" i="11"/>
  <c r="Z13" i="11"/>
  <c r="P88" i="11"/>
  <c r="DI86" i="11"/>
  <c r="AB173" i="12" s="1"/>
  <c r="DL86" i="11"/>
  <c r="DG86" i="11"/>
  <c r="DL11" i="11"/>
  <c r="EA96" i="6"/>
  <c r="DC96" i="6"/>
  <c r="DF10" i="11"/>
  <c r="DI9" i="11"/>
  <c r="BA95" i="6"/>
  <c r="BG95" i="6"/>
  <c r="DL60" i="11"/>
  <c r="CR60" i="11"/>
  <c r="CM63" i="11"/>
  <c r="BU63" i="11"/>
  <c r="T169" i="12" s="1"/>
  <c r="BS63" i="11"/>
  <c r="BA63" i="11"/>
  <c r="P169" i="12" s="1"/>
  <c r="AY63" i="11"/>
  <c r="AG63" i="11"/>
  <c r="L169" i="12" s="1"/>
  <c r="AE63" i="11"/>
  <c r="DL59" i="11"/>
  <c r="CT59" i="11"/>
  <c r="CU59" i="11" s="1"/>
  <c r="CR59" i="11"/>
  <c r="BZ59" i="11"/>
  <c r="CA59" i="11" s="1"/>
  <c r="BX59" i="11"/>
  <c r="BF59" i="11"/>
  <c r="BD59" i="11"/>
  <c r="AL59" i="11"/>
  <c r="AM59" i="11" s="1"/>
  <c r="AJ59" i="11"/>
  <c r="DI58" i="11"/>
  <c r="DL58" i="11"/>
  <c r="DG58" i="11"/>
  <c r="CO58" i="11"/>
  <c r="CR58" i="11"/>
  <c r="CM58" i="11"/>
  <c r="BU58" i="11"/>
  <c r="BX58" i="11"/>
  <c r="BS58" i="11"/>
  <c r="BA58" i="11"/>
  <c r="BD58" i="11"/>
  <c r="AY58" i="11"/>
  <c r="AG58" i="11"/>
  <c r="AH58" i="11" s="1"/>
  <c r="AJ58" i="11"/>
  <c r="AE58" i="11"/>
  <c r="P58" i="11"/>
  <c r="M58" i="11"/>
  <c r="N58" i="11" s="1"/>
  <c r="DG48" i="11"/>
  <c r="DL48" i="11"/>
  <c r="AN10" i="11"/>
  <c r="AQ10" i="11" s="1"/>
  <c r="AO7" i="11"/>
  <c r="CO260" i="17"/>
  <c r="CP265" i="17"/>
  <c r="DC15" i="17" s="1"/>
  <c r="N243" i="17"/>
  <c r="CL238" i="17"/>
  <c r="BV238" i="17"/>
  <c r="BF238" i="17"/>
  <c r="AP238" i="17"/>
  <c r="Z238" i="17"/>
  <c r="CP235" i="17"/>
  <c r="CH235" i="17"/>
  <c r="BZ235" i="17"/>
  <c r="BI222" i="17"/>
  <c r="BJ235" i="17"/>
  <c r="AS222" i="17"/>
  <c r="AT235" i="17"/>
  <c r="AC222" i="17"/>
  <c r="AD235" i="17"/>
  <c r="M222" i="17"/>
  <c r="N235" i="17"/>
  <c r="CL186" i="17"/>
  <c r="BV186" i="17"/>
  <c r="BF186" i="17"/>
  <c r="AP186" i="17"/>
  <c r="Z186" i="17"/>
  <c r="CN90" i="11"/>
  <c r="CO86" i="11"/>
  <c r="DD87" i="11"/>
  <c r="DC90" i="11"/>
  <c r="BV178" i="17"/>
  <c r="BZ178" i="17"/>
  <c r="BF178" i="17"/>
  <c r="BJ178" i="17"/>
  <c r="AP178" i="17"/>
  <c r="AT178" i="17"/>
  <c r="Z178" i="17"/>
  <c r="CP208" i="17"/>
  <c r="DC13" i="17" s="1"/>
  <c r="AD208" i="17"/>
  <c r="CP151" i="17"/>
  <c r="DC11" i="17" s="1"/>
  <c r="CL151" i="17"/>
  <c r="N112" i="17"/>
  <c r="CH131" i="17"/>
  <c r="CD131" i="17"/>
  <c r="BR131" i="17"/>
  <c r="BN131" i="17"/>
  <c r="V131" i="17"/>
  <c r="R131" i="17"/>
  <c r="CH89" i="17"/>
  <c r="CL89" i="17"/>
  <c r="BR89" i="17"/>
  <c r="BV89" i="17"/>
  <c r="BB89" i="17"/>
  <c r="BF89" i="17"/>
  <c r="AL89" i="17"/>
  <c r="AP89" i="17"/>
  <c r="V89" i="17"/>
  <c r="Z89" i="17"/>
  <c r="D305" i="2"/>
  <c r="F348" i="20"/>
  <c r="W348" i="20" s="1"/>
  <c r="F176" i="20"/>
  <c r="W176" i="20" s="1"/>
  <c r="G179" i="20"/>
  <c r="X179" i="20" s="1"/>
  <c r="F179" i="20"/>
  <c r="W179" i="20" s="1"/>
  <c r="DI96" i="6"/>
  <c r="DB46" i="6"/>
  <c r="CD46" i="6"/>
  <c r="BY95" i="6"/>
  <c r="BF46" i="6"/>
  <c r="AH46" i="6"/>
  <c r="V46" i="6"/>
  <c r="EB85" i="6"/>
  <c r="CW62" i="6"/>
  <c r="BY62" i="6"/>
  <c r="CO230" i="17"/>
  <c r="BY230" i="17"/>
  <c r="CC73" i="17"/>
  <c r="BI62" i="17"/>
  <c r="BA62" i="17"/>
  <c r="AS62" i="17"/>
  <c r="AK62" i="17"/>
  <c r="AC62" i="17"/>
  <c r="U62" i="17"/>
  <c r="M62" i="17"/>
  <c r="CC43" i="17"/>
  <c r="BM43" i="17"/>
  <c r="AW43" i="17"/>
  <c r="AG43" i="17"/>
  <c r="Q43" i="17"/>
  <c r="CW101" i="11"/>
  <c r="CC101" i="11"/>
  <c r="BI101" i="11"/>
  <c r="AO101" i="11"/>
  <c r="U101" i="11"/>
  <c r="CC88" i="11"/>
  <c r="BI88" i="11"/>
  <c r="AO88" i="11"/>
  <c r="U88" i="11"/>
  <c r="AY87" i="11"/>
  <c r="CC63" i="11"/>
  <c r="CH87" i="11"/>
  <c r="CH96" i="11" s="1"/>
  <c r="AT87" i="11"/>
  <c r="Z87" i="11"/>
  <c r="T75" i="11"/>
  <c r="DB60" i="11"/>
  <c r="CH59" i="11"/>
  <c r="AT59" i="11"/>
  <c r="DG9" i="11"/>
  <c r="BS9" i="11"/>
  <c r="AE9" i="11"/>
  <c r="BN208" i="17"/>
  <c r="AH208" i="17"/>
  <c r="BN181" i="17"/>
  <c r="AH181" i="17"/>
  <c r="BN151" i="17"/>
  <c r="AH151" i="17"/>
  <c r="CL81" i="17"/>
  <c r="BV81" i="17"/>
  <c r="BF81" i="17"/>
  <c r="AP81" i="17"/>
  <c r="Z81" i="17"/>
  <c r="BV78" i="17"/>
  <c r="AP78" i="17"/>
  <c r="AH131" i="17"/>
  <c r="CH29" i="17"/>
  <c r="BZ29" i="17"/>
  <c r="BB29" i="17"/>
  <c r="AT29" i="17"/>
  <c r="V29" i="17"/>
  <c r="CC72" i="11"/>
  <c r="BZ265" i="17"/>
  <c r="BB235" i="17"/>
  <c r="V235" i="17"/>
  <c r="P101" i="11"/>
  <c r="CJ87" i="11"/>
  <c r="W172" i="12" s="1"/>
  <c r="BN109" i="11"/>
  <c r="Z109" i="11"/>
  <c r="AG17" i="11"/>
  <c r="M17" i="11"/>
  <c r="DU9" i="6"/>
  <c r="DI9" i="6"/>
  <c r="CK9" i="6"/>
  <c r="BM9" i="6"/>
  <c r="K35" i="6"/>
  <c r="CZ60" i="6"/>
  <c r="BV60" i="6"/>
  <c r="BP60" i="6"/>
  <c r="BD60" i="6"/>
  <c r="AL60" i="6"/>
  <c r="CS60" i="6"/>
  <c r="CQ56" i="6"/>
  <c r="EA55" i="6"/>
  <c r="X241" i="7"/>
  <c r="T241" i="7"/>
  <c r="Z199" i="8"/>
  <c r="X199" i="8"/>
  <c r="T199" i="8"/>
  <c r="P199" i="8"/>
  <c r="L199" i="8"/>
  <c r="H199" i="8"/>
  <c r="AL177" i="17"/>
  <c r="AD177" i="17"/>
  <c r="V177" i="17"/>
  <c r="CD264" i="17"/>
  <c r="CD120" i="17" s="1"/>
  <c r="BN264" i="17"/>
  <c r="BN120" i="17" s="1"/>
  <c r="BK269" i="17"/>
  <c r="AX264" i="17"/>
  <c r="AU269" i="17"/>
  <c r="AH264" i="17"/>
  <c r="AE269" i="17"/>
  <c r="R264" i="17"/>
  <c r="O269" i="17"/>
  <c r="R720" i="7"/>
  <c r="AC165" i="17"/>
  <c r="CV281" i="17"/>
  <c r="CD47" i="17"/>
  <c r="CS51" i="11" s="1"/>
  <c r="BN47" i="17"/>
  <c r="BY51" i="11" s="1"/>
  <c r="AX47" i="17"/>
  <c r="BE51" i="11" s="1"/>
  <c r="AH47" i="17"/>
  <c r="AK51" i="11" s="1"/>
  <c r="R47" i="17"/>
  <c r="Q51" i="11" s="1"/>
  <c r="CO33" i="17"/>
  <c r="CP28" i="17"/>
  <c r="DH36" i="11" s="1"/>
  <c r="CG33" i="17"/>
  <c r="CH28" i="17"/>
  <c r="CX36" i="11" s="1"/>
  <c r="BY33" i="17"/>
  <c r="BZ28" i="17"/>
  <c r="CN36" i="11" s="1"/>
  <c r="BQ33" i="17"/>
  <c r="BR28" i="17"/>
  <c r="CD36" i="11" s="1"/>
  <c r="BI33" i="17"/>
  <c r="BJ28" i="17"/>
  <c r="BT36" i="11" s="1"/>
  <c r="BA33" i="17"/>
  <c r="BB28" i="17"/>
  <c r="BJ36" i="11" s="1"/>
  <c r="AS33" i="17"/>
  <c r="AT28" i="17"/>
  <c r="AZ36" i="11" s="1"/>
  <c r="AK33" i="17"/>
  <c r="AL28" i="17"/>
  <c r="AP36" i="11" s="1"/>
  <c r="AC33" i="17"/>
  <c r="AD28" i="17"/>
  <c r="AF36" i="11" s="1"/>
  <c r="U33" i="17"/>
  <c r="V28" i="17"/>
  <c r="V36" i="11" s="1"/>
  <c r="M33" i="17"/>
  <c r="N28" i="17"/>
  <c r="L36" i="11" s="1"/>
  <c r="AB52" i="8"/>
  <c r="W45" i="6"/>
  <c r="AC35" i="6"/>
  <c r="L15" i="6"/>
  <c r="DP12" i="6"/>
  <c r="CR12" i="6"/>
  <c r="CR22" i="6" s="1"/>
  <c r="BT12" i="6"/>
  <c r="AV12" i="6"/>
  <c r="X12" i="6"/>
  <c r="DV59" i="6"/>
  <c r="DP59" i="6"/>
  <c r="CX59" i="6"/>
  <c r="BZ59" i="6"/>
  <c r="BN59" i="6"/>
  <c r="BT15" i="6"/>
  <c r="X15" i="6"/>
  <c r="DJ15" i="6"/>
  <c r="DI62" i="6"/>
  <c r="CX62" i="6"/>
  <c r="CL15" i="6"/>
  <c r="CK62" i="6"/>
  <c r="BZ62" i="6"/>
  <c r="BN15" i="6"/>
  <c r="BM62" i="6"/>
  <c r="BB62" i="6"/>
  <c r="AP15" i="6"/>
  <c r="AD62" i="6"/>
  <c r="R15" i="6"/>
  <c r="BH60" i="6"/>
  <c r="BA11" i="6"/>
  <c r="K10" i="6"/>
  <c r="CF57" i="6"/>
  <c r="BI82" i="6"/>
  <c r="CY119" i="11"/>
  <c r="CE119" i="11"/>
  <c r="BK119" i="11"/>
  <c r="AQ119" i="11"/>
  <c r="N179" i="12" s="1"/>
  <c r="W119" i="11"/>
  <c r="BU101" i="11"/>
  <c r="AG101" i="11"/>
  <c r="M101" i="11"/>
  <c r="AE316" i="17"/>
  <c r="AE318" i="17" s="1"/>
  <c r="DB117" i="11"/>
  <c r="CH117" i="11"/>
  <c r="BN117" i="11"/>
  <c r="AT117" i="11"/>
  <c r="Z117" i="11"/>
  <c r="DB110" i="11"/>
  <c r="BN110" i="11"/>
  <c r="AT110" i="11"/>
  <c r="Z110" i="11"/>
  <c r="CR109" i="11"/>
  <c r="BX109" i="11"/>
  <c r="BD109" i="11"/>
  <c r="AJ109" i="11"/>
  <c r="P109" i="11"/>
  <c r="CI89" i="6"/>
  <c r="BK89" i="6"/>
  <c r="O67" i="6"/>
  <c r="DA66" i="6"/>
  <c r="AG66" i="6"/>
  <c r="DO45" i="6"/>
  <c r="DC45" i="6"/>
  <c r="CQ45" i="6"/>
  <c r="CE45" i="6"/>
  <c r="BG45" i="6"/>
  <c r="DJ82" i="6"/>
  <c r="DC30" i="6"/>
  <c r="DP15" i="6"/>
  <c r="DX96" i="6"/>
  <c r="DL96" i="6"/>
  <c r="CZ96" i="6"/>
  <c r="CN96" i="6"/>
  <c r="CB96" i="6"/>
  <c r="BP96" i="6"/>
  <c r="BD96" i="6"/>
  <c r="BV74" i="6"/>
  <c r="DC9" i="6"/>
  <c r="DH16" i="6" s="1"/>
  <c r="DH65" i="6" s="1"/>
  <c r="AI45" i="6"/>
  <c r="AN45" i="6" s="1"/>
  <c r="AN94" i="6" s="1"/>
  <c r="K45" i="6"/>
  <c r="CO89" i="6"/>
  <c r="BQ89" i="6"/>
  <c r="AO35" i="6"/>
  <c r="BA31" i="6"/>
  <c r="AU30" i="6"/>
  <c r="AI30" i="6"/>
  <c r="W30" i="6"/>
  <c r="AU27" i="6"/>
  <c r="AI27" i="6"/>
  <c r="W27" i="6"/>
  <c r="K27" i="6"/>
  <c r="K76" i="6" s="1"/>
  <c r="AW303" i="17"/>
  <c r="AW285" i="17" s="1"/>
  <c r="P118" i="11"/>
  <c r="DL117" i="11"/>
  <c r="BX117" i="11"/>
  <c r="BD117" i="11"/>
  <c r="AJ117" i="11"/>
  <c r="P117" i="11"/>
  <c r="AT109" i="11"/>
  <c r="CX84" i="6"/>
  <c r="BZ84" i="6"/>
  <c r="DP79" i="6"/>
  <c r="DV60" i="6"/>
  <c r="CX60" i="6"/>
  <c r="CK45" i="6"/>
  <c r="CT70" i="6"/>
  <c r="BV70" i="6"/>
  <c r="AX70" i="6"/>
  <c r="AF70" i="6"/>
  <c r="Z70" i="6"/>
  <c r="N68" i="6"/>
  <c r="CW10" i="6"/>
  <c r="DB17" i="6" s="1"/>
  <c r="DB66" i="6" s="1"/>
  <c r="CH110" i="11"/>
  <c r="W319" i="17"/>
  <c r="W321" i="17" s="1"/>
  <c r="AR41" i="11"/>
  <c r="DP82" i="6"/>
  <c r="CR82" i="6"/>
  <c r="BT82" i="6"/>
  <c r="DI28" i="6"/>
  <c r="DD77" i="6"/>
  <c r="CK28" i="6"/>
  <c r="CF77" i="6"/>
  <c r="BM28" i="6"/>
  <c r="DI11" i="6"/>
  <c r="BM11" i="6"/>
  <c r="DV15" i="6"/>
  <c r="CX58" i="6"/>
  <c r="BZ58" i="6"/>
  <c r="BB12" i="6"/>
  <c r="AP12" i="6"/>
  <c r="AD12" i="6"/>
  <c r="R12" i="6"/>
  <c r="DD84" i="6"/>
  <c r="CF84" i="6"/>
  <c r="BH84" i="6"/>
  <c r="DV79" i="6"/>
  <c r="Q35" i="6"/>
  <c r="Q31" i="6"/>
  <c r="BH77" i="6"/>
  <c r="BA28" i="6"/>
  <c r="AJ15" i="6"/>
  <c r="DJ12" i="6"/>
  <c r="CX12" i="6"/>
  <c r="CL12" i="6"/>
  <c r="BZ12" i="6"/>
  <c r="BZ22" i="6" s="1"/>
  <c r="BN12" i="6"/>
  <c r="DV58" i="6"/>
  <c r="DJ58" i="6"/>
  <c r="CL58" i="6"/>
  <c r="BN58" i="6"/>
  <c r="DV12" i="6"/>
  <c r="AY116" i="11"/>
  <c r="BD116" i="11"/>
  <c r="BN102" i="11"/>
  <c r="BR111" i="11"/>
  <c r="AS67" i="6"/>
  <c r="AM67" i="6"/>
  <c r="DG66" i="6"/>
  <c r="CI66" i="6"/>
  <c r="BK66" i="6"/>
  <c r="DY65" i="6"/>
  <c r="DS65" i="6"/>
  <c r="CU65" i="6"/>
  <c r="BS45" i="6"/>
  <c r="BX45" i="6" s="1"/>
  <c r="BX94" i="6" s="1"/>
  <c r="DV73" i="6"/>
  <c r="DP73" i="6"/>
  <c r="CX73" i="6"/>
  <c r="BT73" i="6"/>
  <c r="DO30" i="6"/>
  <c r="CL60" i="6"/>
  <c r="E11" i="6"/>
  <c r="DV63" i="6"/>
  <c r="CW9" i="6"/>
  <c r="BY9" i="6"/>
  <c r="DP57" i="6"/>
  <c r="CR57" i="6"/>
  <c r="BT57" i="6"/>
  <c r="CH96" i="6"/>
  <c r="BJ96" i="6"/>
  <c r="AX96" i="6"/>
  <c r="AR96" i="6"/>
  <c r="T96" i="6"/>
  <c r="CZ91" i="6"/>
  <c r="CB91" i="6"/>
  <c r="BD91" i="6"/>
  <c r="AF91" i="6"/>
  <c r="DR93" i="6"/>
  <c r="CT93" i="6"/>
  <c r="BV93" i="6"/>
  <c r="AX93" i="6"/>
  <c r="Z93" i="6"/>
  <c r="ED90" i="6"/>
  <c r="N90" i="6"/>
  <c r="AU35" i="6"/>
  <c r="AI35" i="6"/>
  <c r="W35" i="6"/>
  <c r="AO33" i="6"/>
  <c r="AC33" i="6"/>
  <c r="Q33" i="6"/>
  <c r="CZ74" i="6"/>
  <c r="CB74" i="6"/>
  <c r="BP74" i="6"/>
  <c r="AF24" i="6"/>
  <c r="Z74" i="6"/>
  <c r="DX75" i="6"/>
  <c r="CT24" i="6"/>
  <c r="CQ24" i="6" s="1"/>
  <c r="CB75" i="6"/>
  <c r="BD75" i="6"/>
  <c r="Z24" i="6"/>
  <c r="W24" i="6" s="1"/>
  <c r="N72" i="6"/>
  <c r="DX12" i="6"/>
  <c r="CT66" i="6"/>
  <c r="BV66" i="6"/>
  <c r="AX66" i="6"/>
  <c r="Z66" i="6"/>
  <c r="CT65" i="6"/>
  <c r="BV65" i="6"/>
  <c r="AX65" i="6"/>
  <c r="Z65" i="6"/>
  <c r="W11" i="6"/>
  <c r="N60" i="6"/>
  <c r="DR12" i="6"/>
  <c r="N57" i="6"/>
  <c r="BS28" i="6"/>
  <c r="DQ60" i="6"/>
  <c r="DW59" i="6"/>
  <c r="DE58" i="6"/>
  <c r="CE9" i="6"/>
  <c r="BI58" i="6"/>
  <c r="CA57" i="6"/>
  <c r="DC56" i="6"/>
  <c r="DB103" i="11"/>
  <c r="CR15" i="11"/>
  <c r="BX15" i="11"/>
  <c r="BD15" i="11"/>
  <c r="AJ15" i="11"/>
  <c r="P15" i="11"/>
  <c r="DF12" i="6"/>
  <c r="BV12" i="6"/>
  <c r="BJ12" i="6"/>
  <c r="AX12" i="6"/>
  <c r="AL12" i="6"/>
  <c r="Z12" i="6"/>
  <c r="DU45" i="6"/>
  <c r="CW45" i="6"/>
  <c r="BY45" i="6"/>
  <c r="CD45" i="6" s="1"/>
  <c r="CD94" i="6" s="1"/>
  <c r="DB116" i="11"/>
  <c r="DG116" i="11"/>
  <c r="BN116" i="11"/>
  <c r="BS116" i="11"/>
  <c r="CR110" i="11"/>
  <c r="CM110" i="11"/>
  <c r="DB109" i="11"/>
  <c r="DG109" i="11"/>
  <c r="DV77" i="6"/>
  <c r="DU28" i="6"/>
  <c r="DJ77" i="6"/>
  <c r="DP77" i="6"/>
  <c r="CX77" i="6"/>
  <c r="CW28" i="6"/>
  <c r="CL77" i="6"/>
  <c r="CR77" i="6"/>
  <c r="BZ77" i="6"/>
  <c r="BY28" i="6"/>
  <c r="BN77" i="6"/>
  <c r="BT77" i="6"/>
  <c r="AP77" i="6"/>
  <c r="AO28" i="6"/>
  <c r="R77" i="6"/>
  <c r="Q28" i="6"/>
  <c r="AD80" i="6"/>
  <c r="AC31" i="6"/>
  <c r="BZ73" i="6"/>
  <c r="DJ63" i="6"/>
  <c r="DD63" i="6"/>
  <c r="DD15" i="6"/>
  <c r="CL63" i="6"/>
  <c r="CF63" i="6"/>
  <c r="BN63" i="6"/>
  <c r="BH63" i="6"/>
  <c r="BH15" i="6"/>
  <c r="DU13" i="6"/>
  <c r="DU62" i="6" s="1"/>
  <c r="DV62" i="6"/>
  <c r="DD59" i="6"/>
  <c r="DJ59" i="6"/>
  <c r="CF59" i="6"/>
  <c r="CL59" i="6"/>
  <c r="AF96" i="6"/>
  <c r="Z96" i="6"/>
  <c r="ED93" i="6"/>
  <c r="DX93" i="6"/>
  <c r="DF93" i="6"/>
  <c r="CZ93" i="6"/>
  <c r="CH93" i="6"/>
  <c r="CB93" i="6"/>
  <c r="BJ93" i="6"/>
  <c r="BD93" i="6"/>
  <c r="AL93" i="6"/>
  <c r="AF93" i="6"/>
  <c r="DR90" i="6"/>
  <c r="DX90" i="6"/>
  <c r="BA33" i="6"/>
  <c r="BJ82" i="6"/>
  <c r="AL87" i="6"/>
  <c r="AL36" i="6"/>
  <c r="CZ75" i="6"/>
  <c r="AF75" i="6"/>
  <c r="DU16" i="6"/>
  <c r="DU65" i="6" s="1"/>
  <c r="DI16" i="6"/>
  <c r="DI65" i="6" s="1"/>
  <c r="CK16" i="6"/>
  <c r="CK65" i="6" s="1"/>
  <c r="BM16" i="6"/>
  <c r="BM65" i="6" s="1"/>
  <c r="AO16" i="6"/>
  <c r="AO65" i="6" s="1"/>
  <c r="Q16" i="6"/>
  <c r="Q65" i="6" s="1"/>
  <c r="DL12" i="6"/>
  <c r="CZ12" i="6"/>
  <c r="CT12" i="6"/>
  <c r="CN12" i="6"/>
  <c r="CH12" i="6"/>
  <c r="CB12" i="6"/>
  <c r="BP12" i="6"/>
  <c r="BD12" i="6"/>
  <c r="AR12" i="6"/>
  <c r="AF12" i="6"/>
  <c r="T12" i="6"/>
  <c r="N12" i="6"/>
  <c r="DX58" i="6"/>
  <c r="DR58" i="6"/>
  <c r="DF58" i="6"/>
  <c r="CT58" i="6"/>
  <c r="CH58" i="6"/>
  <c r="BV58" i="6"/>
  <c r="BJ58" i="6"/>
  <c r="N65" i="6"/>
  <c r="DQ12" i="6"/>
  <c r="DW60" i="6"/>
  <c r="CT60" i="6"/>
  <c r="AI9" i="6"/>
  <c r="DG15" i="11"/>
  <c r="CM15" i="11"/>
  <c r="BS15" i="11"/>
  <c r="AY15" i="11"/>
  <c r="AE15" i="11"/>
  <c r="AD7" i="12"/>
  <c r="W28" i="6"/>
  <c r="CL105" i="11"/>
  <c r="DI101" i="11"/>
  <c r="AB175" i="12" s="1"/>
  <c r="CO101" i="11"/>
  <c r="X175" i="12" s="1"/>
  <c r="CZ24" i="6"/>
  <c r="CW24" i="6" s="1"/>
  <c r="BG319" i="17"/>
  <c r="BG321" i="17" s="1"/>
  <c r="CB24" i="6"/>
  <c r="BY24" i="6" s="1"/>
  <c r="K28" i="6"/>
  <c r="DY67" i="6"/>
  <c r="DA67" i="6"/>
  <c r="CC67" i="6"/>
  <c r="BE67" i="6"/>
  <c r="BW66" i="6"/>
  <c r="BM35" i="6"/>
  <c r="K33" i="6"/>
  <c r="DV80" i="6"/>
  <c r="DJ80" i="6"/>
  <c r="CX80" i="6"/>
  <c r="CL80" i="6"/>
  <c r="BZ80" i="6"/>
  <c r="BN80" i="6"/>
  <c r="DU76" i="6"/>
  <c r="DI76" i="6"/>
  <c r="CW76" i="6"/>
  <c r="CK76" i="6"/>
  <c r="BY76" i="6"/>
  <c r="BM76" i="6"/>
  <c r="BZ60" i="6"/>
  <c r="CX63" i="6"/>
  <c r="BZ63" i="6"/>
  <c r="CQ10" i="6"/>
  <c r="CV17" i="6" s="1"/>
  <c r="CV66" i="6" s="1"/>
  <c r="BS10" i="6"/>
  <c r="BX17" i="6" s="1"/>
  <c r="BX66" i="6" s="1"/>
  <c r="BG10" i="6"/>
  <c r="E9" i="6"/>
  <c r="J16" i="6" s="1"/>
  <c r="ED91" i="6"/>
  <c r="DR91" i="6"/>
  <c r="N91" i="6"/>
  <c r="CQ35" i="6"/>
  <c r="DX74" i="6"/>
  <c r="H24" i="6"/>
  <c r="DL70" i="6"/>
  <c r="CZ70" i="6"/>
  <c r="CN70" i="6"/>
  <c r="CB70" i="6"/>
  <c r="BP70" i="6"/>
  <c r="BD70" i="6"/>
  <c r="AR70" i="6"/>
  <c r="T70" i="6"/>
  <c r="BY10" i="6"/>
  <c r="CD17" i="6" s="1"/>
  <c r="CD66" i="6" s="1"/>
  <c r="DQ57" i="6"/>
  <c r="CR62" i="6"/>
  <c r="CZ72" i="6"/>
  <c r="CR116" i="11"/>
  <c r="DX24" i="6"/>
  <c r="DU24" i="6" s="1"/>
  <c r="DA126" i="11"/>
  <c r="CJ102" i="11"/>
  <c r="W174" i="12" s="1"/>
  <c r="BP102" i="11"/>
  <c r="BQ102" i="11" s="1"/>
  <c r="DW73" i="6"/>
  <c r="CY73" i="6"/>
  <c r="CM73" i="6"/>
  <c r="CA73" i="6"/>
  <c r="BO73" i="6"/>
  <c r="DW58" i="6"/>
  <c r="DK58" i="6"/>
  <c r="CM58" i="6"/>
  <c r="BO58" i="6"/>
  <c r="CQ55" i="6"/>
  <c r="BS55" i="6"/>
  <c r="CH73" i="11"/>
  <c r="BN73" i="11"/>
  <c r="AT73" i="11"/>
  <c r="DI13" i="11"/>
  <c r="DJ13" i="11" s="1"/>
  <c r="DD63" i="11"/>
  <c r="AA169" i="12" s="1"/>
  <c r="P59" i="11"/>
  <c r="DX36" i="6"/>
  <c r="CX85" i="6"/>
  <c r="BZ85" i="6"/>
  <c r="BB265" i="17"/>
  <c r="AL265" i="17"/>
  <c r="BZ151" i="17"/>
  <c r="BK63" i="11"/>
  <c r="R169" i="12" s="1"/>
  <c r="AQ63" i="11"/>
  <c r="N169" i="12" s="1"/>
  <c r="M63" i="11"/>
  <c r="N63" i="11" s="1"/>
  <c r="Z48" i="17"/>
  <c r="CY86" i="11"/>
  <c r="BK86" i="11"/>
  <c r="AQ86" i="11"/>
  <c r="M86" i="11"/>
  <c r="AT17" i="11"/>
  <c r="BX116" i="11"/>
  <c r="AJ116" i="11"/>
  <c r="P116" i="11"/>
  <c r="CM102" i="11"/>
  <c r="CM111" i="11" s="1"/>
  <c r="AE102" i="11"/>
  <c r="U116" i="11"/>
  <c r="CU66" i="6"/>
  <c r="AA66" i="6"/>
  <c r="BT62" i="6"/>
  <c r="CR118" i="11"/>
  <c r="CW117" i="11"/>
  <c r="AX111" i="11"/>
  <c r="AD111" i="11"/>
  <c r="DY66" i="6"/>
  <c r="DV82" i="6"/>
  <c r="CQ33" i="6"/>
  <c r="CR60" i="6"/>
  <c r="CT91" i="6"/>
  <c r="CZ82" i="6"/>
  <c r="BD82" i="6"/>
  <c r="AR82" i="6"/>
  <c r="DR75" i="6"/>
  <c r="CT75" i="6"/>
  <c r="BV75" i="6"/>
  <c r="AX75" i="6"/>
  <c r="Z75" i="6"/>
  <c r="N70" i="6"/>
  <c r="DR68" i="6"/>
  <c r="CZ68" i="6"/>
  <c r="CT68" i="6"/>
  <c r="BV68" i="6"/>
  <c r="AX68" i="6"/>
  <c r="Z68" i="6"/>
  <c r="CB60" i="6"/>
  <c r="BJ60" i="6"/>
  <c r="AX60" i="6"/>
  <c r="AR60" i="6"/>
  <c r="ED57" i="6"/>
  <c r="DX57" i="6"/>
  <c r="AX57" i="6"/>
  <c r="AL57" i="6"/>
  <c r="AI319" i="17"/>
  <c r="AI321" i="17" s="1"/>
  <c r="AI287" i="17"/>
  <c r="CH102" i="11"/>
  <c r="CH111" i="11" s="1"/>
  <c r="BD118" i="11"/>
  <c r="CF41" i="11"/>
  <c r="CR117" i="11"/>
  <c r="DG17" i="11"/>
  <c r="DB17" i="11"/>
  <c r="CH17" i="11"/>
  <c r="BS17" i="11"/>
  <c r="BN17" i="11"/>
  <c r="CW109" i="11"/>
  <c r="BI109" i="11"/>
  <c r="U109" i="11"/>
  <c r="Q129" i="8"/>
  <c r="P129" i="8"/>
  <c r="DG67" i="6"/>
  <c r="CI67" i="6"/>
  <c r="BK67" i="6"/>
  <c r="CC66" i="6"/>
  <c r="BE66" i="6"/>
  <c r="CL82" i="6"/>
  <c r="BN82" i="6"/>
  <c r="DP62" i="6"/>
  <c r="BH62" i="6"/>
  <c r="CQ9" i="6"/>
  <c r="BS9" i="6"/>
  <c r="BX16" i="6" s="1"/>
  <c r="BX65" i="6" s="1"/>
  <c r="CT90" i="6"/>
  <c r="AX90" i="6"/>
  <c r="CS82" i="6"/>
  <c r="DB95" i="11"/>
  <c r="BO71" i="11"/>
  <c r="S48" i="12" s="1"/>
  <c r="BX73" i="11"/>
  <c r="AJ73" i="11"/>
  <c r="CH48" i="11"/>
  <c r="CT87" i="6"/>
  <c r="BN48" i="11"/>
  <c r="BV87" i="6"/>
  <c r="AT48" i="11"/>
  <c r="Z48" i="11"/>
  <c r="AT265" i="17"/>
  <c r="BP101" i="11"/>
  <c r="BQ101" i="11" s="1"/>
  <c r="N186" i="17"/>
  <c r="BZ181" i="17"/>
  <c r="BJ181" i="17"/>
  <c r="AT181" i="17"/>
  <c r="AD181" i="17"/>
  <c r="N151" i="17"/>
  <c r="P17" i="11"/>
  <c r="CO66" i="6"/>
  <c r="AD82" i="12"/>
  <c r="AC114" i="12"/>
  <c r="AC118" i="12" s="1"/>
  <c r="CH109" i="11"/>
  <c r="CM109" i="11"/>
  <c r="AA67" i="6"/>
  <c r="U67" i="6"/>
  <c r="AM66" i="6"/>
  <c r="AS66" i="6"/>
  <c r="DG65" i="6"/>
  <c r="DA65" i="6"/>
  <c r="CR73" i="6"/>
  <c r="CL73" i="6"/>
  <c r="DJ60" i="6"/>
  <c r="DP60" i="6"/>
  <c r="BN60" i="6"/>
  <c r="BT60" i="6"/>
  <c r="AP60" i="6"/>
  <c r="AO11" i="6"/>
  <c r="R60" i="6"/>
  <c r="Q11" i="6"/>
  <c r="BB58" i="6"/>
  <c r="BA9" i="6"/>
  <c r="AP58" i="6"/>
  <c r="AO9" i="6"/>
  <c r="AD58" i="6"/>
  <c r="AC9" i="6"/>
  <c r="R58" i="6"/>
  <c r="Q9" i="6"/>
  <c r="DL74" i="6"/>
  <c r="DL24" i="6"/>
  <c r="DI24" i="6" s="1"/>
  <c r="CN74" i="6"/>
  <c r="CT74" i="6"/>
  <c r="BD24" i="6"/>
  <c r="BA24" i="6" s="1"/>
  <c r="BD74" i="6"/>
  <c r="AR74" i="6"/>
  <c r="AR24" i="6"/>
  <c r="AO24" i="6" s="1"/>
  <c r="AX74" i="6"/>
  <c r="DX70" i="6"/>
  <c r="ED70" i="6"/>
  <c r="DL60" i="6"/>
  <c r="DF60" i="6"/>
  <c r="CN60" i="6"/>
  <c r="CH60" i="6"/>
  <c r="AF60" i="6"/>
  <c r="Z60" i="6"/>
  <c r="AF57" i="6"/>
  <c r="Z57" i="6"/>
  <c r="CQ28" i="6"/>
  <c r="CS77" i="6"/>
  <c r="CE28" i="6"/>
  <c r="CG77" i="6"/>
  <c r="DK73" i="6"/>
  <c r="DE73" i="6"/>
  <c r="M60" i="6"/>
  <c r="M12" i="6"/>
  <c r="S59" i="6"/>
  <c r="Q10" i="6"/>
  <c r="CE56" i="6"/>
  <c r="BY8" i="6"/>
  <c r="BA56" i="6"/>
  <c r="BG56" i="6"/>
  <c r="DI54" i="6"/>
  <c r="DI8" i="6"/>
  <c r="DC54" i="6"/>
  <c r="CW8" i="6"/>
  <c r="CK54" i="6"/>
  <c r="CK8" i="6"/>
  <c r="CP8" i="6" s="1"/>
  <c r="CP57" i="6" s="1"/>
  <c r="BM54" i="6"/>
  <c r="BM8" i="6"/>
  <c r="BA54" i="6"/>
  <c r="BG54" i="6"/>
  <c r="BM45" i="6"/>
  <c r="BR45" i="6" s="1"/>
  <c r="BR94" i="6" s="1"/>
  <c r="DO28" i="6"/>
  <c r="DC28" i="6"/>
  <c r="DO9" i="6"/>
  <c r="DB119" i="11"/>
  <c r="CH119" i="11"/>
  <c r="BN119" i="11"/>
  <c r="Z119" i="11"/>
  <c r="DF105" i="11"/>
  <c r="DG101" i="11"/>
  <c r="CM101" i="11"/>
  <c r="DL15" i="11"/>
  <c r="CW119" i="11"/>
  <c r="CC119" i="11"/>
  <c r="BI119" i="11"/>
  <c r="AO119" i="11"/>
  <c r="U119" i="11"/>
  <c r="BX101" i="11"/>
  <c r="AJ101" i="11"/>
  <c r="AI11" i="6"/>
  <c r="BG30" i="6"/>
  <c r="BC60" i="6"/>
  <c r="BI60" i="6"/>
  <c r="T86" i="6"/>
  <c r="T36" i="6"/>
  <c r="CJ71" i="11"/>
  <c r="CL74" i="11"/>
  <c r="C311" i="2"/>
  <c r="CQ90" i="11"/>
  <c r="ED86" i="6"/>
  <c r="CH86" i="6"/>
  <c r="CD178" i="17"/>
  <c r="AX178" i="17"/>
  <c r="AH178" i="17"/>
  <c r="AN111" i="11"/>
  <c r="CC109" i="11"/>
  <c r="AI111" i="11"/>
  <c r="BG33" i="6"/>
  <c r="CQ30" i="6"/>
  <c r="CE30" i="6"/>
  <c r="CJ30" i="6" s="1"/>
  <c r="CJ79" i="6" s="1"/>
  <c r="BS30" i="6"/>
  <c r="BX30" i="6" s="1"/>
  <c r="BX79" i="6" s="1"/>
  <c r="DJ57" i="6"/>
  <c r="BN57" i="6"/>
  <c r="BJ91" i="6"/>
  <c r="AL91" i="6"/>
  <c r="N93" i="6"/>
  <c r="DO35" i="6"/>
  <c r="CS57" i="6"/>
  <c r="BU57" i="6"/>
  <c r="BU119" i="11"/>
  <c r="BS35" i="6"/>
  <c r="CT222" i="17"/>
  <c r="CT235" i="17" s="1"/>
  <c r="AD104" i="12"/>
  <c r="AE104" i="12" s="1"/>
  <c r="DB222" i="17" s="1"/>
  <c r="S119" i="11"/>
  <c r="BX118" i="11"/>
  <c r="AJ118" i="11"/>
  <c r="BH111" i="11"/>
  <c r="T111" i="11"/>
  <c r="BL41" i="11"/>
  <c r="X41" i="11"/>
  <c r="CC117" i="11"/>
  <c r="BI117" i="11"/>
  <c r="AO117" i="11"/>
  <c r="BS110" i="11"/>
  <c r="AY110" i="11"/>
  <c r="AE110" i="11"/>
  <c r="CW17" i="11"/>
  <c r="CC17" i="11"/>
  <c r="BX17" i="11"/>
  <c r="BI17" i="11"/>
  <c r="AO17" i="11"/>
  <c r="AY67" i="6"/>
  <c r="DS66" i="6"/>
  <c r="O66" i="6"/>
  <c r="CW35" i="6"/>
  <c r="BY35" i="6"/>
  <c r="DO33" i="6"/>
  <c r="CX82" i="6"/>
  <c r="BS33" i="6"/>
  <c r="DC10" i="6"/>
  <c r="DH17" i="6" s="1"/>
  <c r="DH66" i="6" s="1"/>
  <c r="CE10" i="6"/>
  <c r="DV57" i="6"/>
  <c r="CX57" i="6"/>
  <c r="BZ57" i="6"/>
  <c r="E45" i="6"/>
  <c r="J45" i="6" s="1"/>
  <c r="BV91" i="6"/>
  <c r="AX91" i="6"/>
  <c r="Z91" i="6"/>
  <c r="DF90" i="6"/>
  <c r="CH90" i="6"/>
  <c r="BJ90" i="6"/>
  <c r="AL90" i="6"/>
  <c r="DX82" i="6"/>
  <c r="DL82" i="6"/>
  <c r="CB82" i="6"/>
  <c r="BP82" i="6"/>
  <c r="AF82" i="6"/>
  <c r="T82" i="6"/>
  <c r="T24" i="6"/>
  <c r="Q24" i="6" s="1"/>
  <c r="DX68" i="6"/>
  <c r="DL68" i="6"/>
  <c r="CN68" i="6"/>
  <c r="CB68" i="6"/>
  <c r="BP68" i="6"/>
  <c r="BD68" i="6"/>
  <c r="AR68" i="6"/>
  <c r="AF68" i="6"/>
  <c r="T68" i="6"/>
  <c r="DC11" i="6"/>
  <c r="CQ11" i="6"/>
  <c r="BS11" i="6"/>
  <c r="AU11" i="6"/>
  <c r="DL57" i="6"/>
  <c r="CZ57" i="6"/>
  <c r="CN57" i="6"/>
  <c r="CB57" i="6"/>
  <c r="BP57" i="6"/>
  <c r="BD57" i="6"/>
  <c r="AR57" i="6"/>
  <c r="T57" i="6"/>
  <c r="DE77" i="6"/>
  <c r="BI77" i="6"/>
  <c r="CS73" i="6"/>
  <c r="DU10" i="6"/>
  <c r="E10" i="6"/>
  <c r="J17" i="6" s="1"/>
  <c r="DE57" i="6"/>
  <c r="CG57" i="6"/>
  <c r="BC111" i="11"/>
  <c r="O111" i="11"/>
  <c r="P111" i="11" s="1"/>
  <c r="S287" i="17"/>
  <c r="AR282" i="17"/>
  <c r="AR316" i="17" s="1"/>
  <c r="AR318" i="17" s="1"/>
  <c r="BI305" i="17"/>
  <c r="BJ305" i="17" s="1"/>
  <c r="T373" i="12" s="1"/>
  <c r="BH282" i="17"/>
  <c r="BH284" i="17" s="1"/>
  <c r="AB116" i="11"/>
  <c r="AC116" i="11" s="1"/>
  <c r="Z116" i="11"/>
  <c r="BM111" i="11"/>
  <c r="BS109" i="11"/>
  <c r="AS111" i="11"/>
  <c r="AY109" i="11"/>
  <c r="Y111" i="11"/>
  <c r="AE109" i="11"/>
  <c r="CR102" i="11"/>
  <c r="CR111" i="11" s="1"/>
  <c r="CW102" i="11"/>
  <c r="CW111" i="11" s="1"/>
  <c r="R102" i="11"/>
  <c r="S102" i="11" s="1"/>
  <c r="U102" i="11"/>
  <c r="AH42" i="11"/>
  <c r="AC42" i="11"/>
  <c r="CM17" i="11"/>
  <c r="CR17" i="11"/>
  <c r="AY17" i="11"/>
  <c r="BD17" i="11"/>
  <c r="AE17" i="11"/>
  <c r="AJ17" i="11"/>
  <c r="W17" i="11"/>
  <c r="X17" i="11" s="1"/>
  <c r="U17" i="11"/>
  <c r="Z17" i="11"/>
  <c r="DM67" i="6"/>
  <c r="DS67" i="6"/>
  <c r="CO67" i="6"/>
  <c r="CU67" i="6"/>
  <c r="BQ67" i="6"/>
  <c r="BW67" i="6"/>
  <c r="DF74" i="6"/>
  <c r="CH74" i="6"/>
  <c r="BJ74" i="6"/>
  <c r="AL74" i="6"/>
  <c r="DJ73" i="6"/>
  <c r="BN73" i="6"/>
  <c r="AG67" i="6"/>
  <c r="DM66" i="6"/>
  <c r="BQ66" i="6"/>
  <c r="U66" i="6"/>
  <c r="DM65" i="6"/>
  <c r="CO65" i="6"/>
  <c r="CN24" i="6"/>
  <c r="BP24" i="6"/>
  <c r="BM24" i="6" s="1"/>
  <c r="AF74" i="6"/>
  <c r="CP42" i="11"/>
  <c r="CU119" i="11"/>
  <c r="Y179" i="12"/>
  <c r="DK103" i="11"/>
  <c r="DL102" i="11"/>
  <c r="DL111" i="11" s="1"/>
  <c r="DK105" i="11"/>
  <c r="BZ102" i="11"/>
  <c r="U174" i="12" s="1"/>
  <c r="BX102" i="11"/>
  <c r="BX111" i="11" s="1"/>
  <c r="BF102" i="11"/>
  <c r="BG102" i="11" s="1"/>
  <c r="BD102" i="11"/>
  <c r="AL102" i="11"/>
  <c r="M174" i="12" s="1"/>
  <c r="AJ102" i="11"/>
  <c r="BV42" i="11"/>
  <c r="BQ42" i="11"/>
  <c r="CU41" i="11"/>
  <c r="CP41" i="11"/>
  <c r="CA41" i="11"/>
  <c r="BV41" i="11"/>
  <c r="BG41" i="11"/>
  <c r="BB41" i="11"/>
  <c r="AM41" i="11"/>
  <c r="AH41" i="11"/>
  <c r="S41" i="11"/>
  <c r="N41" i="11"/>
  <c r="CI65" i="6"/>
  <c r="DP63" i="6"/>
  <c r="CF73" i="6"/>
  <c r="AU28" i="6"/>
  <c r="T74" i="6"/>
  <c r="K11" i="6"/>
  <c r="CA119" i="11"/>
  <c r="BG119" i="11"/>
  <c r="BS118" i="11"/>
  <c r="AE319" i="17"/>
  <c r="AE321" i="17" s="1"/>
  <c r="DO11" i="6"/>
  <c r="DB118" i="11"/>
  <c r="CH118" i="11"/>
  <c r="AT118" i="11"/>
  <c r="Z118" i="11"/>
  <c r="DK126" i="11"/>
  <c r="DF113" i="11"/>
  <c r="AW42" i="11"/>
  <c r="DD73" i="6"/>
  <c r="AI316" i="17"/>
  <c r="AI318" i="17" s="1"/>
  <c r="AA319" i="17"/>
  <c r="AA321" i="17" s="1"/>
  <c r="BX110" i="11"/>
  <c r="BD110" i="11"/>
  <c r="AJ110" i="11"/>
  <c r="DG110" i="11"/>
  <c r="BZ82" i="6"/>
  <c r="DL72" i="6"/>
  <c r="CN72" i="6"/>
  <c r="CQ105" i="11"/>
  <c r="CT102" i="11"/>
  <c r="AV82" i="6"/>
  <c r="AU33" i="6"/>
  <c r="X82" i="6"/>
  <c r="W33" i="6"/>
  <c r="BB73" i="6"/>
  <c r="BH73" i="6"/>
  <c r="DO23" i="6"/>
  <c r="DU72" i="6" s="1"/>
  <c r="DX72" i="6"/>
  <c r="AK77" i="6"/>
  <c r="AI28" i="6"/>
  <c r="BC57" i="6"/>
  <c r="BI57" i="6"/>
  <c r="CE35" i="6"/>
  <c r="BG28" i="6"/>
  <c r="DE119" i="11"/>
  <c r="M119" i="11"/>
  <c r="BK101" i="11"/>
  <c r="DA105" i="11"/>
  <c r="CB105" i="11"/>
  <c r="CV47" i="11"/>
  <c r="CV49" i="11" s="1"/>
  <c r="V265" i="17"/>
  <c r="AV101" i="11"/>
  <c r="AB101" i="11"/>
  <c r="S316" i="17"/>
  <c r="S318" i="17" s="1"/>
  <c r="S284" i="17"/>
  <c r="AW305" i="17"/>
  <c r="AX305" i="17" s="1"/>
  <c r="Q373" i="12" s="1"/>
  <c r="AV282" i="17"/>
  <c r="AV284" i="17" s="1"/>
  <c r="M179" i="12"/>
  <c r="AM119" i="11"/>
  <c r="AQ316" i="17"/>
  <c r="AQ318" i="17" s="1"/>
  <c r="AU316" i="17"/>
  <c r="AU318" i="17" s="1"/>
  <c r="X308" i="17"/>
  <c r="Y303" i="17"/>
  <c r="Y285" i="17" s="1"/>
  <c r="DC35" i="6"/>
  <c r="BG35" i="6"/>
  <c r="AR86" i="6"/>
  <c r="AR36" i="6"/>
  <c r="AF86" i="6"/>
  <c r="AF36" i="6"/>
  <c r="BR74" i="11"/>
  <c r="BR76" i="11" s="1"/>
  <c r="N86" i="6"/>
  <c r="N36" i="6"/>
  <c r="CH208" i="17"/>
  <c r="BR208" i="17"/>
  <c r="BB208" i="17"/>
  <c r="AL208" i="17"/>
  <c r="V208" i="17"/>
  <c r="DG117" i="11"/>
  <c r="CM117" i="11"/>
  <c r="BS117" i="11"/>
  <c r="AY117" i="11"/>
  <c r="AE117" i="11"/>
  <c r="CW110" i="11"/>
  <c r="CC110" i="11"/>
  <c r="BI110" i="11"/>
  <c r="AO110" i="11"/>
  <c r="U110" i="11"/>
  <c r="AV102" i="11"/>
  <c r="AB102" i="11"/>
  <c r="AB17" i="11"/>
  <c r="K144" i="12" s="1"/>
  <c r="AA30" i="11" s="1"/>
  <c r="DU35" i="6"/>
  <c r="DI35" i="6"/>
  <c r="CK35" i="6"/>
  <c r="E35" i="6"/>
  <c r="DC33" i="6"/>
  <c r="CE33" i="6"/>
  <c r="AI33" i="6"/>
  <c r="DF91" i="6"/>
  <c r="CH91" i="6"/>
  <c r="E33" i="6"/>
  <c r="CZ77" i="6"/>
  <c r="BD77" i="6"/>
  <c r="CW30" i="6"/>
  <c r="BY30" i="6"/>
  <c r="DE60" i="6"/>
  <c r="DI10" i="6"/>
  <c r="CK10" i="6"/>
  <c r="BM10" i="6"/>
  <c r="BR17" i="6" s="1"/>
  <c r="BR66" i="6" s="1"/>
  <c r="DI119" i="11"/>
  <c r="AG119" i="11"/>
  <c r="CY101" i="11"/>
  <c r="AQ101" i="11"/>
  <c r="DU30" i="6"/>
  <c r="DI30" i="6"/>
  <c r="CK30" i="6"/>
  <c r="BM30" i="6"/>
  <c r="CE11" i="6"/>
  <c r="BG11" i="6"/>
  <c r="U117" i="11"/>
  <c r="DD102" i="11"/>
  <c r="DD126" i="11" s="1"/>
  <c r="DF126" i="11"/>
  <c r="CF42" i="11"/>
  <c r="CA42" i="11"/>
  <c r="BL42" i="11"/>
  <c r="BG42" i="11"/>
  <c r="AR42" i="11"/>
  <c r="AM42" i="11"/>
  <c r="X42" i="11"/>
  <c r="S42" i="11"/>
  <c r="CF62" i="6"/>
  <c r="DD62" i="6"/>
  <c r="CE47" i="6"/>
  <c r="T430" i="12"/>
  <c r="BW81" i="11"/>
  <c r="T267" i="12"/>
  <c r="T263" i="12"/>
  <c r="BW11" i="11"/>
  <c r="BG47" i="6"/>
  <c r="P430" i="12"/>
  <c r="BC81" i="11"/>
  <c r="P267" i="12"/>
  <c r="P263" i="12"/>
  <c r="BC11" i="11"/>
  <c r="AI47" i="6"/>
  <c r="L430" i="12"/>
  <c r="AI81" i="11"/>
  <c r="L267" i="12"/>
  <c r="L263" i="12"/>
  <c r="AI11" i="11"/>
  <c r="K47" i="6"/>
  <c r="H430" i="12"/>
  <c r="O81" i="11"/>
  <c r="H267" i="12"/>
  <c r="H263" i="12"/>
  <c r="O11" i="11"/>
  <c r="BL220" i="17"/>
  <c r="BM220" i="17" s="1"/>
  <c r="BN220" i="17" s="1"/>
  <c r="BO220" i="17" s="1"/>
  <c r="BN221" i="17"/>
  <c r="BL60" i="17"/>
  <c r="BM60" i="17" s="1"/>
  <c r="BN60" i="17" s="1"/>
  <c r="BO60" i="17" s="1"/>
  <c r="BN61" i="17"/>
  <c r="CL167" i="17"/>
  <c r="CJ166" i="17"/>
  <c r="CK166" i="17" s="1"/>
  <c r="CL166" i="17" s="1"/>
  <c r="CM166" i="17" s="1"/>
  <c r="CJ163" i="17"/>
  <c r="CK163" i="17" s="1"/>
  <c r="CL163" i="17" s="1"/>
  <c r="CM163" i="17" s="1"/>
  <c r="CL164" i="17"/>
  <c r="CL177" i="17" s="1"/>
  <c r="G271" i="2"/>
  <c r="G269" i="2"/>
  <c r="E269" i="2"/>
  <c r="CX279" i="17"/>
  <c r="E270" i="2"/>
  <c r="CX278" i="17"/>
  <c r="E268" i="2"/>
  <c r="G267" i="2"/>
  <c r="CV277" i="17"/>
  <c r="CN15" i="17"/>
  <c r="CJ15" i="17"/>
  <c r="CF15" i="17"/>
  <c r="BX15" i="17"/>
  <c r="BT15" i="17"/>
  <c r="BT121" i="17" s="1"/>
  <c r="BP15" i="17"/>
  <c r="BP121" i="17" s="1"/>
  <c r="BH15" i="17"/>
  <c r="BD15" i="17"/>
  <c r="AZ15" i="17"/>
  <c r="AR15" i="17"/>
  <c r="AN15" i="17"/>
  <c r="AJ15" i="17"/>
  <c r="AB15" i="17"/>
  <c r="X15" i="17"/>
  <c r="T15" i="17"/>
  <c r="L15" i="17"/>
  <c r="CP13" i="17"/>
  <c r="CJ13" i="17"/>
  <c r="CH13" i="17"/>
  <c r="CB13" i="17"/>
  <c r="BZ13" i="17"/>
  <c r="BT13" i="17"/>
  <c r="BR13" i="17"/>
  <c r="BL13" i="17"/>
  <c r="BJ13" i="17"/>
  <c r="BD13" i="17"/>
  <c r="BB13" i="17"/>
  <c r="AV13" i="17"/>
  <c r="AT13" i="17"/>
  <c r="AN13" i="17"/>
  <c r="AL13" i="17"/>
  <c r="AF13" i="17"/>
  <c r="AD13" i="17"/>
  <c r="X13" i="17"/>
  <c r="V13" i="17"/>
  <c r="P13" i="17"/>
  <c r="N13" i="17"/>
  <c r="CP11" i="17"/>
  <c r="CJ11" i="17"/>
  <c r="CH11" i="17"/>
  <c r="CB11" i="17"/>
  <c r="BZ11" i="17"/>
  <c r="BT11" i="17"/>
  <c r="BR11" i="17"/>
  <c r="BL11" i="17"/>
  <c r="BJ11" i="17"/>
  <c r="BD11" i="17"/>
  <c r="BB11" i="17"/>
  <c r="AV11" i="17"/>
  <c r="AT11" i="17"/>
  <c r="AN11" i="17"/>
  <c r="AL11" i="17"/>
  <c r="AF11" i="17"/>
  <c r="AD11" i="17"/>
  <c r="X11" i="17"/>
  <c r="V11" i="17"/>
  <c r="P11" i="17"/>
  <c r="N11" i="17"/>
  <c r="CN9" i="17"/>
  <c r="CL9" i="17"/>
  <c r="CF9" i="17"/>
  <c r="CD9" i="17"/>
  <c r="BX9" i="17"/>
  <c r="BV9" i="17"/>
  <c r="BP9" i="17"/>
  <c r="BN9" i="17"/>
  <c r="BH9" i="17"/>
  <c r="BF9" i="17"/>
  <c r="AZ9" i="17"/>
  <c r="AX9" i="17"/>
  <c r="AR9" i="17"/>
  <c r="AP9" i="17"/>
  <c r="AJ9" i="17"/>
  <c r="AH9" i="17"/>
  <c r="AB9" i="17"/>
  <c r="Z9" i="17"/>
  <c r="T9" i="17"/>
  <c r="R9" i="17"/>
  <c r="L9" i="17"/>
  <c r="CQ246" i="17"/>
  <c r="CQ247" i="17"/>
  <c r="CL240" i="17"/>
  <c r="CL14" i="17" s="1"/>
  <c r="CJ240" i="17"/>
  <c r="CJ14" i="17" s="1"/>
  <c r="CH240" i="17"/>
  <c r="CH14" i="17" s="1"/>
  <c r="CF240" i="17"/>
  <c r="CF14" i="17" s="1"/>
  <c r="CD240" i="17"/>
  <c r="CD14" i="17" s="1"/>
  <c r="CB240" i="17"/>
  <c r="CB14" i="17" s="1"/>
  <c r="BZ240" i="17"/>
  <c r="BZ14" i="17" s="1"/>
  <c r="BV240" i="17"/>
  <c r="BV14" i="17" s="1"/>
  <c r="BT240" i="17"/>
  <c r="BT14" i="17" s="1"/>
  <c r="BR240" i="17"/>
  <c r="BR14" i="17" s="1"/>
  <c r="BP240" i="17"/>
  <c r="BP14" i="17" s="1"/>
  <c r="BN240" i="17"/>
  <c r="BN14" i="17" s="1"/>
  <c r="BL240" i="17"/>
  <c r="BL14" i="17" s="1"/>
  <c r="BJ256" i="17"/>
  <c r="BJ257" i="17" s="1"/>
  <c r="BJ240" i="17"/>
  <c r="BJ14" i="17" s="1"/>
  <c r="BJ226" i="17"/>
  <c r="BH256" i="17"/>
  <c r="BH257" i="17" s="1"/>
  <c r="BH240" i="17"/>
  <c r="BH14" i="17" s="1"/>
  <c r="BH226" i="17"/>
  <c r="BF256" i="17"/>
  <c r="BF257" i="17" s="1"/>
  <c r="BF240" i="17"/>
  <c r="BF14" i="17" s="1"/>
  <c r="BF226" i="17"/>
  <c r="BD256" i="17"/>
  <c r="BD257" i="17" s="1"/>
  <c r="BD240" i="17"/>
  <c r="BD14" i="17" s="1"/>
  <c r="BD226" i="17"/>
  <c r="BB256" i="17"/>
  <c r="BB257" i="17" s="1"/>
  <c r="BB240" i="17"/>
  <c r="BB14" i="17" s="1"/>
  <c r="BB226" i="17"/>
  <c r="AZ256" i="17"/>
  <c r="AZ257" i="17" s="1"/>
  <c r="AZ240" i="17"/>
  <c r="AZ14" i="17" s="1"/>
  <c r="AZ226" i="17"/>
  <c r="AX256" i="17"/>
  <c r="AX257" i="17" s="1"/>
  <c r="AX240" i="17"/>
  <c r="AX14" i="17" s="1"/>
  <c r="AX226" i="17"/>
  <c r="AV256" i="17"/>
  <c r="AV257" i="17" s="1"/>
  <c r="AV240" i="17"/>
  <c r="AV14" i="17" s="1"/>
  <c r="AV226" i="17"/>
  <c r="AT256" i="17"/>
  <c r="AT257" i="17" s="1"/>
  <c r="AT240" i="17"/>
  <c r="AT14" i="17" s="1"/>
  <c r="AT226" i="17"/>
  <c r="AR256" i="17"/>
  <c r="AR257" i="17" s="1"/>
  <c r="AR240" i="17"/>
  <c r="AR14" i="17" s="1"/>
  <c r="AR226" i="17"/>
  <c r="AP256" i="17"/>
  <c r="AP257" i="17" s="1"/>
  <c r="AP240" i="17"/>
  <c r="AP14" i="17" s="1"/>
  <c r="AP226" i="17"/>
  <c r="AN256" i="17"/>
  <c r="AN257" i="17" s="1"/>
  <c r="AN240" i="17"/>
  <c r="AN14" i="17" s="1"/>
  <c r="AN226" i="17"/>
  <c r="AL256" i="17"/>
  <c r="AL257" i="17" s="1"/>
  <c r="AL240" i="17"/>
  <c r="AL14" i="17" s="1"/>
  <c r="AL226" i="17"/>
  <c r="AJ256" i="17"/>
  <c r="AJ257" i="17" s="1"/>
  <c r="AJ240" i="17"/>
  <c r="AJ14" i="17" s="1"/>
  <c r="AJ226" i="17"/>
  <c r="AH256" i="17"/>
  <c r="AH257" i="17" s="1"/>
  <c r="AH240" i="17"/>
  <c r="AH14" i="17" s="1"/>
  <c r="AH226" i="17"/>
  <c r="AF256" i="17"/>
  <c r="AF257" i="17" s="1"/>
  <c r="AF240" i="17"/>
  <c r="AF14" i="17" s="1"/>
  <c r="AF226" i="17"/>
  <c r="AD256" i="17"/>
  <c r="AD257" i="17" s="1"/>
  <c r="AD240" i="17"/>
  <c r="AD14" i="17" s="1"/>
  <c r="AD226" i="17"/>
  <c r="AB256" i="17"/>
  <c r="AB257" i="17" s="1"/>
  <c r="AB240" i="17"/>
  <c r="AB14" i="17" s="1"/>
  <c r="AB226" i="17"/>
  <c r="Z256" i="17"/>
  <c r="Z257" i="17" s="1"/>
  <c r="Z240" i="17"/>
  <c r="Z14" i="17" s="1"/>
  <c r="Z226" i="17"/>
  <c r="X256" i="17"/>
  <c r="X257" i="17" s="1"/>
  <c r="X240" i="17"/>
  <c r="X14" i="17" s="1"/>
  <c r="X226" i="17"/>
  <c r="V256" i="17"/>
  <c r="V257" i="17" s="1"/>
  <c r="V240" i="17"/>
  <c r="V14" i="17" s="1"/>
  <c r="V226" i="17"/>
  <c r="T256" i="17"/>
  <c r="T257" i="17" s="1"/>
  <c r="T240" i="17"/>
  <c r="T14" i="17" s="1"/>
  <c r="T226" i="17"/>
  <c r="R256" i="17"/>
  <c r="R257" i="17" s="1"/>
  <c r="R240" i="17"/>
  <c r="R14" i="17" s="1"/>
  <c r="R226" i="17"/>
  <c r="P256" i="17"/>
  <c r="P257" i="17" s="1"/>
  <c r="P240" i="17"/>
  <c r="P14" i="17" s="1"/>
  <c r="P226" i="17"/>
  <c r="N256" i="17"/>
  <c r="N257" i="17" s="1"/>
  <c r="N240" i="17"/>
  <c r="N14" i="17" s="1"/>
  <c r="N226" i="17"/>
  <c r="L256" i="17"/>
  <c r="L257" i="17" s="1"/>
  <c r="L240" i="17"/>
  <c r="L14" i="17" s="1"/>
  <c r="L226" i="17"/>
  <c r="J256" i="17"/>
  <c r="J257" i="17" s="1"/>
  <c r="J240" i="17"/>
  <c r="J14" i="17" s="1"/>
  <c r="J226" i="17"/>
  <c r="H256" i="17"/>
  <c r="H257" i="17" s="1"/>
  <c r="H240" i="17"/>
  <c r="H14" i="17" s="1"/>
  <c r="H226" i="17"/>
  <c r="CP12" i="17"/>
  <c r="G121" i="2" s="1"/>
  <c r="CN12" i="17"/>
  <c r="E121" i="2" s="1"/>
  <c r="CH12" i="17"/>
  <c r="CF12" i="17"/>
  <c r="BZ12" i="17"/>
  <c r="BX12" i="17"/>
  <c r="BR12" i="17"/>
  <c r="BP12" i="17"/>
  <c r="BJ183" i="17"/>
  <c r="BJ169" i="17"/>
  <c r="BH183" i="17"/>
  <c r="BH169" i="17"/>
  <c r="BF183" i="17"/>
  <c r="BF169" i="17"/>
  <c r="BD183" i="17"/>
  <c r="BD169" i="17"/>
  <c r="BB183" i="17"/>
  <c r="BB169" i="17"/>
  <c r="AZ183" i="17"/>
  <c r="AZ169" i="17"/>
  <c r="AX183" i="17"/>
  <c r="AX169" i="17"/>
  <c r="AV183" i="17"/>
  <c r="AV169" i="17"/>
  <c r="AT183" i="17"/>
  <c r="AT169" i="17"/>
  <c r="AR183" i="17"/>
  <c r="AR169" i="17"/>
  <c r="AP183" i="17"/>
  <c r="AP169" i="17"/>
  <c r="AN183" i="17"/>
  <c r="AN169" i="17"/>
  <c r="AL183" i="17"/>
  <c r="AL169" i="17"/>
  <c r="AJ183" i="17"/>
  <c r="AJ169" i="17"/>
  <c r="AH183" i="17"/>
  <c r="AH169" i="17"/>
  <c r="AF183" i="17"/>
  <c r="AF169" i="17"/>
  <c r="AD183" i="17"/>
  <c r="AD169" i="17"/>
  <c r="AB183" i="17"/>
  <c r="AB169" i="17"/>
  <c r="Z183" i="17"/>
  <c r="Z169" i="17"/>
  <c r="X183" i="17"/>
  <c r="X169" i="17"/>
  <c r="V183" i="17"/>
  <c r="V169" i="17"/>
  <c r="T183" i="17"/>
  <c r="T169" i="17"/>
  <c r="R183" i="17"/>
  <c r="R169" i="17"/>
  <c r="P183" i="17"/>
  <c r="P169" i="17"/>
  <c r="N183" i="17"/>
  <c r="N169" i="17"/>
  <c r="L183" i="17"/>
  <c r="L169" i="17"/>
  <c r="J183" i="17"/>
  <c r="J12" i="17" s="1"/>
  <c r="J169" i="17"/>
  <c r="H183" i="17"/>
  <c r="H12" i="17" s="1"/>
  <c r="H169" i="17"/>
  <c r="H182" i="17" s="1"/>
  <c r="CP130" i="17"/>
  <c r="CK10" i="17"/>
  <c r="CI10" i="17"/>
  <c r="CH130" i="17"/>
  <c r="CC10" i="17"/>
  <c r="CA10" i="17"/>
  <c r="BZ130" i="17"/>
  <c r="BU10" i="17"/>
  <c r="BS10" i="17"/>
  <c r="BR130" i="17"/>
  <c r="BM10" i="17"/>
  <c r="BK10" i="17"/>
  <c r="BJ130" i="17"/>
  <c r="BE10" i="17"/>
  <c r="BC10" i="17"/>
  <c r="BB130" i="17"/>
  <c r="AW10" i="17"/>
  <c r="AU10" i="17"/>
  <c r="AT130" i="17"/>
  <c r="AO10" i="17"/>
  <c r="AM10" i="17"/>
  <c r="AL130" i="17"/>
  <c r="AG10" i="17"/>
  <c r="AE10" i="17"/>
  <c r="AD130" i="17"/>
  <c r="Y10" i="17"/>
  <c r="W10" i="17"/>
  <c r="V130" i="17"/>
  <c r="Q10" i="17"/>
  <c r="O10" i="17"/>
  <c r="N130" i="17"/>
  <c r="CO86" i="17"/>
  <c r="CO8" i="17" s="1"/>
  <c r="F117" i="2" s="1"/>
  <c r="CK86" i="17"/>
  <c r="CK8" i="17" s="1"/>
  <c r="CG86" i="17"/>
  <c r="CG8" i="17" s="1"/>
  <c r="CC86" i="17"/>
  <c r="CC8" i="17" s="1"/>
  <c r="BY86" i="17"/>
  <c r="BY8" i="17" s="1"/>
  <c r="BU86" i="17"/>
  <c r="BU8" i="17" s="1"/>
  <c r="BQ86" i="17"/>
  <c r="BQ8" i="17" s="1"/>
  <c r="BM86" i="17"/>
  <c r="BM8" i="17" s="1"/>
  <c r="BI103" i="17"/>
  <c r="BI104" i="17" s="1"/>
  <c r="BI86" i="17"/>
  <c r="BI8" i="17" s="1"/>
  <c r="BI69" i="17"/>
  <c r="BG103" i="17"/>
  <c r="BG104" i="17" s="1"/>
  <c r="BG86" i="17"/>
  <c r="BG8" i="17" s="1"/>
  <c r="BG69" i="17"/>
  <c r="BE103" i="17"/>
  <c r="BE104" i="17" s="1"/>
  <c r="BE86" i="17"/>
  <c r="BE8" i="17" s="1"/>
  <c r="BE69" i="17"/>
  <c r="BC103" i="17"/>
  <c r="BC104" i="17" s="1"/>
  <c r="BC86" i="17"/>
  <c r="BC8" i="17" s="1"/>
  <c r="BC69" i="17"/>
  <c r="BA103" i="17"/>
  <c r="BA104" i="17" s="1"/>
  <c r="BA86" i="17"/>
  <c r="BA8" i="17" s="1"/>
  <c r="BA69" i="17"/>
  <c r="AY103" i="17"/>
  <c r="AY104" i="17" s="1"/>
  <c r="AY86" i="17"/>
  <c r="AY8" i="17" s="1"/>
  <c r="AY69" i="17"/>
  <c r="AW103" i="17"/>
  <c r="AW104" i="17" s="1"/>
  <c r="AW86" i="17"/>
  <c r="AW8" i="17" s="1"/>
  <c r="AW69" i="17"/>
  <c r="AU103" i="17"/>
  <c r="AU104" i="17" s="1"/>
  <c r="AU86" i="17"/>
  <c r="AU8" i="17" s="1"/>
  <c r="AU69" i="17"/>
  <c r="AS103" i="17"/>
  <c r="AS104" i="17" s="1"/>
  <c r="AS86" i="17"/>
  <c r="AS8" i="17" s="1"/>
  <c r="AS69" i="17"/>
  <c r="AQ103" i="17"/>
  <c r="AQ104" i="17" s="1"/>
  <c r="AQ86" i="17"/>
  <c r="AQ8" i="17" s="1"/>
  <c r="AQ69" i="17"/>
  <c r="AO103" i="17"/>
  <c r="AO104" i="17" s="1"/>
  <c r="AO86" i="17"/>
  <c r="AO8" i="17" s="1"/>
  <c r="AO69" i="17"/>
  <c r="AM103" i="17"/>
  <c r="AM104" i="17" s="1"/>
  <c r="AM86" i="17"/>
  <c r="AM8" i="17" s="1"/>
  <c r="AM69" i="17"/>
  <c r="AK103" i="17"/>
  <c r="AK104" i="17" s="1"/>
  <c r="AK86" i="17"/>
  <c r="AK8" i="17" s="1"/>
  <c r="AK69" i="17"/>
  <c r="AI103" i="17"/>
  <c r="AI104" i="17" s="1"/>
  <c r="AI86" i="17"/>
  <c r="AI8" i="17" s="1"/>
  <c r="AI69" i="17"/>
  <c r="AG103" i="17"/>
  <c r="AG104" i="17" s="1"/>
  <c r="AG86" i="17"/>
  <c r="AG8" i="17" s="1"/>
  <c r="AG69" i="17"/>
  <c r="AE103" i="17"/>
  <c r="AE104" i="17" s="1"/>
  <c r="AE86" i="17"/>
  <c r="AE8" i="17" s="1"/>
  <c r="AE69" i="17"/>
  <c r="AC103" i="17"/>
  <c r="AC104" i="17" s="1"/>
  <c r="AC86" i="17"/>
  <c r="AC8" i="17" s="1"/>
  <c r="AC69" i="17"/>
  <c r="AA103" i="17"/>
  <c r="AA104" i="17" s="1"/>
  <c r="AA86" i="17"/>
  <c r="AA8" i="17" s="1"/>
  <c r="AA69" i="17"/>
  <c r="Y103" i="17"/>
  <c r="Y104" i="17" s="1"/>
  <c r="Y86" i="17"/>
  <c r="Y8" i="17" s="1"/>
  <c r="Y69" i="17"/>
  <c r="W103" i="17"/>
  <c r="W104" i="17" s="1"/>
  <c r="W86" i="17"/>
  <c r="W8" i="17" s="1"/>
  <c r="W69" i="17"/>
  <c r="U103" i="17"/>
  <c r="U104" i="17" s="1"/>
  <c r="U86" i="17"/>
  <c r="U8" i="17" s="1"/>
  <c r="U69" i="17"/>
  <c r="S103" i="17"/>
  <c r="S104" i="17" s="1"/>
  <c r="S86" i="17"/>
  <c r="S8" i="17" s="1"/>
  <c r="S69" i="17"/>
  <c r="Q103" i="17"/>
  <c r="Q104" i="17" s="1"/>
  <c r="Q86" i="17"/>
  <c r="Q8" i="17" s="1"/>
  <c r="Q69" i="17"/>
  <c r="O103" i="17"/>
  <c r="O104" i="17" s="1"/>
  <c r="O86" i="17"/>
  <c r="O8" i="17" s="1"/>
  <c r="O69" i="17"/>
  <c r="M103" i="17"/>
  <c r="M104" i="17" s="1"/>
  <c r="M86" i="17"/>
  <c r="M8" i="17" s="1"/>
  <c r="M69" i="17"/>
  <c r="K103" i="17"/>
  <c r="K104" i="17" s="1"/>
  <c r="K86" i="17"/>
  <c r="K8" i="17" s="1"/>
  <c r="K69" i="17"/>
  <c r="I103" i="17"/>
  <c r="I104" i="17" s="1"/>
  <c r="I86" i="17"/>
  <c r="I8" i="17" s="1"/>
  <c r="I69" i="17"/>
  <c r="G103" i="17"/>
  <c r="G104" i="17" s="1"/>
  <c r="G69" i="17"/>
  <c r="CO7" i="17"/>
  <c r="CP47" i="17"/>
  <c r="CM52" i="17"/>
  <c r="CM7" i="17"/>
  <c r="D116" i="2" s="1"/>
  <c r="CK7" i="17"/>
  <c r="CI7" i="17"/>
  <c r="CG7" i="17"/>
  <c r="CH47" i="17"/>
  <c r="CX51" i="11" s="1"/>
  <c r="CE52" i="17"/>
  <c r="CE7" i="17"/>
  <c r="CC7" i="17"/>
  <c r="CA7" i="17"/>
  <c r="BY7" i="17"/>
  <c r="BZ47" i="17"/>
  <c r="CN51" i="11" s="1"/>
  <c r="BW52" i="17"/>
  <c r="BW7" i="17"/>
  <c r="BU7" i="17"/>
  <c r="BS7" i="17"/>
  <c r="BQ7" i="17"/>
  <c r="BR47" i="17"/>
  <c r="CD51" i="11" s="1"/>
  <c r="BO52" i="17"/>
  <c r="BO7" i="17"/>
  <c r="BM7" i="17"/>
  <c r="BK7" i="17"/>
  <c r="BI7" i="17"/>
  <c r="BJ47" i="17"/>
  <c r="BT51" i="11" s="1"/>
  <c r="BG52" i="17"/>
  <c r="BG7" i="17"/>
  <c r="BE7" i="17"/>
  <c r="BC7" i="17"/>
  <c r="BA7" i="17"/>
  <c r="BB47" i="17"/>
  <c r="BJ51" i="11" s="1"/>
  <c r="AY52" i="17"/>
  <c r="AY7" i="17"/>
  <c r="AW7" i="17"/>
  <c r="AU7" i="17"/>
  <c r="AS7" i="17"/>
  <c r="AT47" i="17"/>
  <c r="AZ51" i="11" s="1"/>
  <c r="AQ52" i="17"/>
  <c r="AQ7" i="17"/>
  <c r="AO7" i="17"/>
  <c r="AM7" i="17"/>
  <c r="AK7" i="17"/>
  <c r="AL47" i="17"/>
  <c r="AP51" i="11" s="1"/>
  <c r="AI52" i="17"/>
  <c r="AI7" i="17"/>
  <c r="AG7" i="17"/>
  <c r="AE7" i="17"/>
  <c r="AC7" i="17"/>
  <c r="AD47" i="17"/>
  <c r="AF51" i="11" s="1"/>
  <c r="AA52" i="17"/>
  <c r="AA7" i="17"/>
  <c r="Y7" i="17"/>
  <c r="W7" i="17"/>
  <c r="U7" i="17"/>
  <c r="V47" i="17"/>
  <c r="V51" i="11" s="1"/>
  <c r="S52" i="17"/>
  <c r="S7" i="17"/>
  <c r="Q7" i="17"/>
  <c r="O7" i="17"/>
  <c r="M7" i="17"/>
  <c r="N47" i="17"/>
  <c r="L51" i="11" s="1"/>
  <c r="K7" i="17"/>
  <c r="AA120" i="8"/>
  <c r="X126" i="8"/>
  <c r="W120" i="8"/>
  <c r="T126" i="8"/>
  <c r="S120" i="8"/>
  <c r="P126" i="8"/>
  <c r="O120" i="8"/>
  <c r="L126" i="8"/>
  <c r="K120" i="8"/>
  <c r="O62" i="21"/>
  <c r="O51" i="21"/>
  <c r="O63" i="21" s="1"/>
  <c r="K62" i="21"/>
  <c r="K51" i="21"/>
  <c r="K63" i="21" s="1"/>
  <c r="AB770" i="7"/>
  <c r="EE16" i="6"/>
  <c r="EE65" i="6" s="1"/>
  <c r="AB692" i="7"/>
  <c r="AB697" i="7" s="1"/>
  <c r="E231" i="2"/>
  <c r="AA63" i="8"/>
  <c r="AA146" i="8"/>
  <c r="AA78" i="8"/>
  <c r="AA79" i="8" s="1"/>
  <c r="AA52" i="8"/>
  <c r="Y63" i="8"/>
  <c r="Y146" i="8"/>
  <c r="Y78" i="8"/>
  <c r="Y79" i="8" s="1"/>
  <c r="Y52" i="8"/>
  <c r="U63" i="8"/>
  <c r="U78" i="8"/>
  <c r="U79" i="8" s="1"/>
  <c r="U52" i="8"/>
  <c r="Q63" i="8"/>
  <c r="Q78" i="8"/>
  <c r="Q79" i="8" s="1"/>
  <c r="Q52" i="8"/>
  <c r="M63" i="8"/>
  <c r="M78" i="8"/>
  <c r="M79" i="8" s="1"/>
  <c r="M52" i="8"/>
  <c r="I63" i="8"/>
  <c r="I78" i="8"/>
  <c r="I79" i="8" s="1"/>
  <c r="I52" i="8"/>
  <c r="DA35" i="6"/>
  <c r="W781" i="7"/>
  <c r="W411" i="7"/>
  <c r="W405" i="7"/>
  <c r="CC35" i="6"/>
  <c r="S781" i="7"/>
  <c r="S411" i="7"/>
  <c r="S405" i="7"/>
  <c r="BE35" i="6"/>
  <c r="O781" i="7"/>
  <c r="O411" i="7"/>
  <c r="O405" i="7"/>
  <c r="AG35" i="6"/>
  <c r="U35" i="6"/>
  <c r="I35" i="6"/>
  <c r="EB24" i="6"/>
  <c r="EB73" i="6" s="1"/>
  <c r="AB706" i="7"/>
  <c r="AC256" i="7"/>
  <c r="X230" i="7"/>
  <c r="V230" i="7"/>
  <c r="Y233" i="7"/>
  <c r="T230" i="7"/>
  <c r="W233" i="7"/>
  <c r="R230" i="7"/>
  <c r="U233" i="7"/>
  <c r="P230" i="7"/>
  <c r="S233" i="7"/>
  <c r="N230" i="7"/>
  <c r="L230" i="7"/>
  <c r="AA260" i="7"/>
  <c r="AA182" i="8"/>
  <c r="AA175" i="8"/>
  <c r="Y260" i="7"/>
  <c r="Y182" i="8"/>
  <c r="Y175" i="8"/>
  <c r="U260" i="7"/>
  <c r="U182" i="8"/>
  <c r="U175" i="8"/>
  <c r="U167" i="8"/>
  <c r="Q260" i="7"/>
  <c r="Q182" i="8"/>
  <c r="Q175" i="8"/>
  <c r="Q167" i="8"/>
  <c r="M260" i="7"/>
  <c r="M182" i="8"/>
  <c r="M175" i="8"/>
  <c r="M167" i="8"/>
  <c r="I182" i="8"/>
  <c r="I175" i="8"/>
  <c r="I167" i="8"/>
  <c r="C189" i="2"/>
  <c r="AT189" i="2" s="1"/>
  <c r="Z127" i="7"/>
  <c r="Z118" i="7"/>
  <c r="Z180" i="7"/>
  <c r="Z115" i="7"/>
  <c r="Z77" i="7"/>
  <c r="V127" i="7"/>
  <c r="V118" i="7"/>
  <c r="V180" i="7"/>
  <c r="V115" i="7"/>
  <c r="V77" i="7"/>
  <c r="R127" i="7"/>
  <c r="R118" i="7"/>
  <c r="R180" i="7"/>
  <c r="R115" i="7"/>
  <c r="R77" i="7"/>
  <c r="N127" i="7"/>
  <c r="N118" i="7"/>
  <c r="N180" i="7"/>
  <c r="N115" i="7"/>
  <c r="N77" i="7"/>
  <c r="EJ42" i="6"/>
  <c r="EJ91" i="6" s="1"/>
  <c r="AC696" i="7"/>
  <c r="AD483" i="7"/>
  <c r="EJ41" i="6"/>
  <c r="AC695" i="7"/>
  <c r="AD482" i="7"/>
  <c r="DX43" i="6"/>
  <c r="DX40" i="6" s="1"/>
  <c r="AA507" i="7"/>
  <c r="AA496" i="7"/>
  <c r="AF479" i="7"/>
  <c r="AA651" i="7"/>
  <c r="AA641" i="7"/>
  <c r="Y510" i="7"/>
  <c r="Y499" i="7"/>
  <c r="Y490" i="7"/>
  <c r="Y491" i="7" s="1"/>
  <c r="Y478" i="7"/>
  <c r="W510" i="7"/>
  <c r="W499" i="7"/>
  <c r="W490" i="7"/>
  <c r="W568" i="7" s="1"/>
  <c r="W569" i="7" s="1"/>
  <c r="W478" i="7"/>
  <c r="U510" i="7"/>
  <c r="U499" i="7"/>
  <c r="U491" i="7"/>
  <c r="U478" i="7"/>
  <c r="S510" i="7"/>
  <c r="S499" i="7"/>
  <c r="S491" i="7"/>
  <c r="Q510" i="7"/>
  <c r="Q499" i="7"/>
  <c r="Q491" i="7"/>
  <c r="O510" i="7"/>
  <c r="O499" i="7"/>
  <c r="O491" i="7"/>
  <c r="M510" i="7"/>
  <c r="M499" i="7"/>
  <c r="M491" i="7"/>
  <c r="EJ35" i="6"/>
  <c r="EJ84" i="6" s="1"/>
  <c r="AC755" i="7"/>
  <c r="AD398" i="7"/>
  <c r="AE398" i="7" s="1"/>
  <c r="AC656" i="7"/>
  <c r="AD420" i="7"/>
  <c r="AE420" i="7" s="1"/>
  <c r="EJ32" i="6"/>
  <c r="EJ81" i="6" s="1"/>
  <c r="AD300" i="7"/>
  <c r="D215" i="2"/>
  <c r="AA626" i="7"/>
  <c r="AA637" i="7" s="1"/>
  <c r="AA281" i="7"/>
  <c r="AA291" i="7"/>
  <c r="AA267" i="7"/>
  <c r="AA289" i="7" s="1"/>
  <c r="AA262" i="7"/>
  <c r="EJ26" i="6"/>
  <c r="EJ75" i="6" s="1"/>
  <c r="AD254" i="7"/>
  <c r="AA168" i="7"/>
  <c r="AA164" i="7"/>
  <c r="AA588" i="7" s="1"/>
  <c r="AA173" i="7"/>
  <c r="CB18" i="6"/>
  <c r="EJ10" i="6"/>
  <c r="EJ59" i="6" s="1"/>
  <c r="AC745" i="7"/>
  <c r="AC425" i="7"/>
  <c r="AD48" i="7"/>
  <c r="AE48" i="7" s="1"/>
  <c r="R450" i="7"/>
  <c r="R439" i="7"/>
  <c r="P450" i="7"/>
  <c r="P439" i="7"/>
  <c r="N450" i="7"/>
  <c r="N439" i="7"/>
  <c r="L450" i="7"/>
  <c r="L439" i="7"/>
  <c r="AA449" i="7"/>
  <c r="AA438" i="7"/>
  <c r="Y449" i="7"/>
  <c r="Y438" i="7"/>
  <c r="W449" i="7"/>
  <c r="W438" i="7"/>
  <c r="U449" i="7"/>
  <c r="U438" i="7"/>
  <c r="S449" i="7"/>
  <c r="S438" i="7"/>
  <c r="Q449" i="7"/>
  <c r="Q438" i="7"/>
  <c r="O449" i="7"/>
  <c r="O438" i="7"/>
  <c r="M449" i="7"/>
  <c r="M438" i="7"/>
  <c r="AA635" i="7"/>
  <c r="Y635" i="7"/>
  <c r="W35" i="7"/>
  <c r="W36" i="7" s="1"/>
  <c r="W38" i="7"/>
  <c r="W697" i="7"/>
  <c r="W699" i="7" s="1"/>
  <c r="U635" i="7"/>
  <c r="S35" i="7"/>
  <c r="S36" i="7" s="1"/>
  <c r="V37" i="7" s="1"/>
  <c r="S38" i="7"/>
  <c r="V39" i="7" s="1"/>
  <c r="S697" i="7"/>
  <c r="S699" i="7" s="1"/>
  <c r="Q635" i="7"/>
  <c r="O35" i="7"/>
  <c r="O36" i="7" s="1"/>
  <c r="O38" i="7"/>
  <c r="O697" i="7"/>
  <c r="O699" i="7" s="1"/>
  <c r="M635" i="7"/>
  <c r="Z213" i="8"/>
  <c r="Z196" i="8"/>
  <c r="Z654" i="7"/>
  <c r="Z444" i="7"/>
  <c r="Z432" i="7"/>
  <c r="X172" i="8"/>
  <c r="X144" i="8"/>
  <c r="X117" i="8" s="1"/>
  <c r="X179" i="8"/>
  <c r="V172" i="8"/>
  <c r="V144" i="8"/>
  <c r="V179" i="8"/>
  <c r="T172" i="8"/>
  <c r="T144" i="8"/>
  <c r="T179" i="8"/>
  <c r="R172" i="8"/>
  <c r="R144" i="8"/>
  <c r="R179" i="8"/>
  <c r="P172" i="8"/>
  <c r="P144" i="8"/>
  <c r="P179" i="8"/>
  <c r="N172" i="8"/>
  <c r="N144" i="8"/>
  <c r="N179" i="8"/>
  <c r="L172" i="8"/>
  <c r="L144" i="8"/>
  <c r="L179" i="8"/>
  <c r="J172" i="8"/>
  <c r="J144" i="8"/>
  <c r="J179" i="8"/>
  <c r="H172" i="8"/>
  <c r="H144" i="8"/>
  <c r="H179" i="8"/>
  <c r="EC45" i="6"/>
  <c r="EC94" i="6" s="1"/>
  <c r="AB741" i="7"/>
  <c r="AC520" i="7"/>
  <c r="EC30" i="6"/>
  <c r="EC79" i="6" s="1"/>
  <c r="AC202" i="7"/>
  <c r="E207" i="2" s="1"/>
  <c r="W238" i="7"/>
  <c r="S238" i="7"/>
  <c r="O238" i="7"/>
  <c r="AA181" i="7"/>
  <c r="AA128" i="7"/>
  <c r="AA119" i="7"/>
  <c r="AA236" i="7" s="1"/>
  <c r="AA82" i="7"/>
  <c r="Y181" i="7"/>
  <c r="Y128" i="7"/>
  <c r="Y119" i="7"/>
  <c r="Y236" i="7" s="1"/>
  <c r="Y82" i="7"/>
  <c r="U181" i="7"/>
  <c r="U128" i="7"/>
  <c r="U119" i="7"/>
  <c r="U236" i="7" s="1"/>
  <c r="U82" i="7"/>
  <c r="Q181" i="7"/>
  <c r="Q128" i="7"/>
  <c r="Q119" i="7"/>
  <c r="Q236" i="7" s="1"/>
  <c r="Q82" i="7"/>
  <c r="M181" i="7"/>
  <c r="M128" i="7"/>
  <c r="M119" i="7"/>
  <c r="M236" i="7" s="1"/>
  <c r="M82" i="7"/>
  <c r="EG6" i="6"/>
  <c r="EG55" i="6" s="1"/>
  <c r="AD8" i="7"/>
  <c r="AE8" i="7" s="1"/>
  <c r="AA180" i="8"/>
  <c r="AA173" i="8"/>
  <c r="Y193" i="8"/>
  <c r="Y248" i="8"/>
  <c r="Y197" i="8"/>
  <c r="Y228" i="7" s="1"/>
  <c r="W248" i="8"/>
  <c r="W197" i="8"/>
  <c r="W228" i="7" s="1"/>
  <c r="U248" i="8"/>
  <c r="U197" i="8"/>
  <c r="U228" i="7" s="1"/>
  <c r="S248" i="8"/>
  <c r="S197" i="8"/>
  <c r="S228" i="7" s="1"/>
  <c r="Q248" i="8"/>
  <c r="Q197" i="8"/>
  <c r="Q228" i="7" s="1"/>
  <c r="O248" i="8"/>
  <c r="O197" i="8"/>
  <c r="O228" i="7" s="1"/>
  <c r="M248" i="8"/>
  <c r="M197" i="8"/>
  <c r="M228" i="7" s="1"/>
  <c r="K248" i="8"/>
  <c r="K197" i="8"/>
  <c r="I248" i="8"/>
  <c r="I197" i="8"/>
  <c r="G250" i="8"/>
  <c r="AA218" i="7"/>
  <c r="AA216" i="7"/>
  <c r="AA217" i="7"/>
  <c r="Q9" i="21"/>
  <c r="Q10" i="21" s="1"/>
  <c r="Y459" i="12"/>
  <c r="Q78" i="21"/>
  <c r="Q77" i="21"/>
  <c r="Q88" i="21"/>
  <c r="Q75" i="21"/>
  <c r="Q74" i="21"/>
  <c r="Q73" i="21"/>
  <c r="Q72" i="21"/>
  <c r="Q71" i="21"/>
  <c r="Q70" i="21"/>
  <c r="Q7" i="21"/>
  <c r="O9" i="21"/>
  <c r="O10" i="21" s="1"/>
  <c r="W459" i="12"/>
  <c r="O78" i="21"/>
  <c r="O77" i="21"/>
  <c r="O76" i="21"/>
  <c r="O75" i="21"/>
  <c r="O74" i="21"/>
  <c r="O73" i="21"/>
  <c r="O72" i="21"/>
  <c r="O71" i="21"/>
  <c r="O70" i="21"/>
  <c r="O7" i="21"/>
  <c r="M9" i="21"/>
  <c r="M10" i="21" s="1"/>
  <c r="U459" i="12"/>
  <c r="M78" i="21"/>
  <c r="M77" i="21"/>
  <c r="M76" i="21"/>
  <c r="M75" i="21"/>
  <c r="M74" i="21"/>
  <c r="M73" i="21"/>
  <c r="M72" i="21"/>
  <c r="M71" i="21"/>
  <c r="M70" i="21"/>
  <c r="M7" i="21"/>
  <c r="K9" i="21"/>
  <c r="K10" i="21" s="1"/>
  <c r="S459" i="12"/>
  <c r="K78" i="21"/>
  <c r="K77" i="21"/>
  <c r="K76" i="21"/>
  <c r="K75" i="21"/>
  <c r="K74" i="21"/>
  <c r="K73" i="21"/>
  <c r="K72" i="21"/>
  <c r="K71" i="21"/>
  <c r="K70" i="21"/>
  <c r="K7" i="21"/>
  <c r="Q218" i="7"/>
  <c r="Q216" i="7"/>
  <c r="Q217" i="7"/>
  <c r="G9" i="21"/>
  <c r="G10" i="21" s="1"/>
  <c r="O459" i="12"/>
  <c r="G78" i="21"/>
  <c r="G77" i="21"/>
  <c r="G76" i="21"/>
  <c r="G75" i="21"/>
  <c r="G74" i="21"/>
  <c r="G73" i="21"/>
  <c r="G72" i="21"/>
  <c r="G71" i="21"/>
  <c r="G70" i="21"/>
  <c r="G7" i="21"/>
  <c r="E9" i="21"/>
  <c r="E10" i="21" s="1"/>
  <c r="M459" i="12"/>
  <c r="E78" i="21"/>
  <c r="E77" i="21"/>
  <c r="E76" i="21"/>
  <c r="E75" i="21"/>
  <c r="E74" i="21"/>
  <c r="E73" i="21"/>
  <c r="E72" i="21"/>
  <c r="E71" i="21"/>
  <c r="E70" i="21"/>
  <c r="E7" i="21"/>
  <c r="AA43" i="8"/>
  <c r="AA18" i="8"/>
  <c r="AA11" i="8"/>
  <c r="AA8" i="8"/>
  <c r="Y43" i="8"/>
  <c r="Y24" i="8"/>
  <c r="Y18" i="8"/>
  <c r="Y11" i="8"/>
  <c r="Y8" i="8"/>
  <c r="U43" i="8"/>
  <c r="U24" i="8"/>
  <c r="U18" i="8"/>
  <c r="U11" i="8"/>
  <c r="U8" i="8"/>
  <c r="Q43" i="8"/>
  <c r="Q24" i="8"/>
  <c r="Q18" i="8"/>
  <c r="Q11" i="8"/>
  <c r="Q8" i="8"/>
  <c r="M43" i="8"/>
  <c r="M24" i="8"/>
  <c r="M18" i="8"/>
  <c r="M11" i="8"/>
  <c r="M8" i="8"/>
  <c r="I43" i="8"/>
  <c r="I24" i="8"/>
  <c r="I18" i="8"/>
  <c r="I11" i="8"/>
  <c r="I8" i="8"/>
  <c r="Z58" i="8"/>
  <c r="Z47" i="8"/>
  <c r="Z69" i="8" s="1"/>
  <c r="X58" i="8"/>
  <c r="X47" i="8"/>
  <c r="X69" i="8" s="1"/>
  <c r="V102" i="8"/>
  <c r="V82" i="8"/>
  <c r="T58" i="8"/>
  <c r="T47" i="8"/>
  <c r="T69" i="8" s="1"/>
  <c r="R102" i="8"/>
  <c r="R82" i="8"/>
  <c r="P58" i="8"/>
  <c r="P47" i="8"/>
  <c r="P69" i="8" s="1"/>
  <c r="N102" i="8"/>
  <c r="N82" i="8"/>
  <c r="L58" i="8"/>
  <c r="L47" i="8"/>
  <c r="L69" i="8" s="1"/>
  <c r="O70" i="8" s="1"/>
  <c r="J102" i="8"/>
  <c r="J82" i="8"/>
  <c r="H58" i="8"/>
  <c r="H47" i="8"/>
  <c r="H69" i="8" s="1"/>
  <c r="K70" i="8" s="1"/>
  <c r="Y61" i="8"/>
  <c r="Y50" i="8"/>
  <c r="W61" i="8"/>
  <c r="W50" i="8"/>
  <c r="U61" i="8"/>
  <c r="U50" i="8"/>
  <c r="S61" i="8"/>
  <c r="S50" i="8"/>
  <c r="Q61" i="8"/>
  <c r="Q50" i="8"/>
  <c r="O61" i="8"/>
  <c r="O50" i="8"/>
  <c r="M61" i="8"/>
  <c r="M50" i="8"/>
  <c r="K61" i="8"/>
  <c r="K50" i="8"/>
  <c r="I61" i="8"/>
  <c r="I50" i="8"/>
  <c r="T43" i="8"/>
  <c r="T24" i="8"/>
  <c r="T18" i="8"/>
  <c r="T11" i="8"/>
  <c r="T8" i="8"/>
  <c r="L43" i="8"/>
  <c r="L24" i="8"/>
  <c r="L18" i="8"/>
  <c r="L11" i="8"/>
  <c r="L8" i="8"/>
  <c r="Y58" i="8"/>
  <c r="Y47" i="8"/>
  <c r="Y69" i="8" s="1"/>
  <c r="U82" i="8"/>
  <c r="U102" i="8"/>
  <c r="Q58" i="8"/>
  <c r="Q47" i="8"/>
  <c r="Q69" i="8" s="1"/>
  <c r="M82" i="8"/>
  <c r="M102" i="8"/>
  <c r="I58" i="8"/>
  <c r="I47" i="8"/>
  <c r="I69" i="8" s="1"/>
  <c r="L70" i="8" s="1"/>
  <c r="Z61" i="8"/>
  <c r="Z50" i="8"/>
  <c r="E177" i="2"/>
  <c r="AV177" i="2" s="1"/>
  <c r="BY47" i="6"/>
  <c r="S430" i="12"/>
  <c r="S267" i="12"/>
  <c r="S263" i="12"/>
  <c r="BR11" i="11"/>
  <c r="BR81" i="11"/>
  <c r="BA47" i="6"/>
  <c r="O430" i="12"/>
  <c r="O267" i="12"/>
  <c r="O263" i="12"/>
  <c r="AX11" i="11"/>
  <c r="AX81" i="11"/>
  <c r="AC47" i="6"/>
  <c r="K430" i="12"/>
  <c r="K267" i="12"/>
  <c r="K263" i="12"/>
  <c r="AD11" i="11"/>
  <c r="AD81" i="11"/>
  <c r="E47" i="6"/>
  <c r="G430" i="12"/>
  <c r="G267" i="12"/>
  <c r="G269" i="12" s="1"/>
  <c r="J11" i="11"/>
  <c r="J81" i="11"/>
  <c r="BF330" i="17"/>
  <c r="S384" i="12"/>
  <c r="BB330" i="17"/>
  <c r="R384" i="12"/>
  <c r="AX330" i="17"/>
  <c r="Q384" i="12"/>
  <c r="AT330" i="17"/>
  <c r="P384" i="12"/>
  <c r="AP330" i="17"/>
  <c r="AP300" i="17"/>
  <c r="O384" i="12"/>
  <c r="AL330" i="17"/>
  <c r="N384" i="12"/>
  <c r="AH330" i="17"/>
  <c r="M384" i="12"/>
  <c r="AD330" i="17"/>
  <c r="L384" i="12"/>
  <c r="Z330" i="17"/>
  <c r="K384" i="12"/>
  <c r="V330" i="17"/>
  <c r="J384" i="12"/>
  <c r="R330" i="17"/>
  <c r="I384" i="12"/>
  <c r="CW281" i="17"/>
  <c r="D271" i="2"/>
  <c r="F269" i="2"/>
  <c r="D269" i="2"/>
  <c r="CL327" i="17"/>
  <c r="AA381" i="12"/>
  <c r="CD327" i="17"/>
  <c r="Y381" i="12"/>
  <c r="BV327" i="17"/>
  <c r="W381" i="12"/>
  <c r="BN327" i="17"/>
  <c r="U381" i="12"/>
  <c r="BF327" i="17"/>
  <c r="S381" i="12"/>
  <c r="AX327" i="17"/>
  <c r="Q381" i="12"/>
  <c r="AP327" i="17"/>
  <c r="O381" i="12"/>
  <c r="AH327" i="17"/>
  <c r="M381" i="12"/>
  <c r="Z327" i="17"/>
  <c r="K381" i="12"/>
  <c r="R327" i="17"/>
  <c r="I381" i="12"/>
  <c r="F270" i="2"/>
  <c r="CP326" i="17"/>
  <c r="AB380" i="12"/>
  <c r="D270" i="2"/>
  <c r="CL326" i="17"/>
  <c r="AA380" i="12"/>
  <c r="CD326" i="17"/>
  <c r="Y380" i="12"/>
  <c r="BV326" i="17"/>
  <c r="W380" i="12"/>
  <c r="BN326" i="17"/>
  <c r="U380" i="12"/>
  <c r="BF326" i="17"/>
  <c r="S380" i="12"/>
  <c r="AX326" i="17"/>
  <c r="Q380" i="12"/>
  <c r="AP326" i="17"/>
  <c r="O380" i="12"/>
  <c r="AH326" i="17"/>
  <c r="M380" i="12"/>
  <c r="Z326" i="17"/>
  <c r="K380" i="12"/>
  <c r="R326" i="17"/>
  <c r="I380" i="12"/>
  <c r="F268" i="2"/>
  <c r="CU278" i="17"/>
  <c r="D268" i="2"/>
  <c r="CL325" i="17"/>
  <c r="AA379" i="12"/>
  <c r="CD325" i="17"/>
  <c r="Y379" i="12"/>
  <c r="BV325" i="17"/>
  <c r="W379" i="12"/>
  <c r="BN325" i="17"/>
  <c r="U379" i="12"/>
  <c r="BF325" i="17"/>
  <c r="S379" i="12"/>
  <c r="AX325" i="17"/>
  <c r="Q379" i="12"/>
  <c r="AP325" i="17"/>
  <c r="O379" i="12"/>
  <c r="AH325" i="17"/>
  <c r="M379" i="12"/>
  <c r="Z325" i="17"/>
  <c r="K379" i="12"/>
  <c r="R325" i="17"/>
  <c r="I379" i="12"/>
  <c r="CP324" i="17"/>
  <c r="AB378" i="12"/>
  <c r="CY277" i="17"/>
  <c r="BF324" i="17"/>
  <c r="S378" i="12"/>
  <c r="BB324" i="17"/>
  <c r="R378" i="12"/>
  <c r="AX324" i="17"/>
  <c r="Q378" i="12"/>
  <c r="AT324" i="17"/>
  <c r="P378" i="12"/>
  <c r="AP324" i="17"/>
  <c r="O378" i="12"/>
  <c r="AL324" i="17"/>
  <c r="N378" i="12"/>
  <c r="AH324" i="17"/>
  <c r="M378" i="12"/>
  <c r="AD324" i="17"/>
  <c r="L378" i="12"/>
  <c r="Z324" i="17"/>
  <c r="K378" i="12"/>
  <c r="V324" i="17"/>
  <c r="J378" i="12"/>
  <c r="R324" i="17"/>
  <c r="I378" i="12"/>
  <c r="AP329" i="17"/>
  <c r="AP297" i="17"/>
  <c r="O383" i="12"/>
  <c r="CO15" i="17"/>
  <c r="CK15" i="17"/>
  <c r="CG15" i="17"/>
  <c r="CC15" i="17"/>
  <c r="BY15" i="17"/>
  <c r="BU15" i="17"/>
  <c r="BU121" i="17" s="1"/>
  <c r="BQ15" i="17"/>
  <c r="BQ121" i="17" s="1"/>
  <c r="BM15" i="17"/>
  <c r="BM121" i="17" s="1"/>
  <c r="BI15" i="17"/>
  <c r="BE15" i="17"/>
  <c r="BA15" i="17"/>
  <c r="AW15" i="17"/>
  <c r="AS15" i="17"/>
  <c r="AO15" i="17"/>
  <c r="AK15" i="17"/>
  <c r="AG15" i="17"/>
  <c r="AC15" i="17"/>
  <c r="Y15" i="17"/>
  <c r="U15" i="17"/>
  <c r="Q15" i="17"/>
  <c r="M15" i="17"/>
  <c r="CM13" i="17"/>
  <c r="CI13" i="17"/>
  <c r="CE13" i="17"/>
  <c r="CA13" i="17"/>
  <c r="BW13" i="17"/>
  <c r="BS13" i="17"/>
  <c r="BO13" i="17"/>
  <c r="BK13" i="17"/>
  <c r="BG13" i="17"/>
  <c r="BC13" i="17"/>
  <c r="AY13" i="17"/>
  <c r="AU13" i="17"/>
  <c r="AQ13" i="17"/>
  <c r="AM13" i="17"/>
  <c r="AI13" i="17"/>
  <c r="AE13" i="17"/>
  <c r="AA13" i="17"/>
  <c r="W13" i="17"/>
  <c r="S13" i="17"/>
  <c r="O13" i="17"/>
  <c r="K13" i="17"/>
  <c r="CM11" i="17"/>
  <c r="CP202" i="17"/>
  <c r="CI11" i="17"/>
  <c r="CE11" i="17"/>
  <c r="CH202" i="17"/>
  <c r="CA11" i="17"/>
  <c r="BW11" i="17"/>
  <c r="BZ202" i="17"/>
  <c r="BS11" i="17"/>
  <c r="BO11" i="17"/>
  <c r="BR202" i="17"/>
  <c r="BK11" i="17"/>
  <c r="BG11" i="17"/>
  <c r="BC11" i="17"/>
  <c r="AY11" i="17"/>
  <c r="AU11" i="17"/>
  <c r="AQ11" i="17"/>
  <c r="AM11" i="17"/>
  <c r="AI11" i="17"/>
  <c r="AE11" i="17"/>
  <c r="AA11" i="17"/>
  <c r="W11" i="17"/>
  <c r="S11" i="17"/>
  <c r="O11" i="17"/>
  <c r="K11" i="17"/>
  <c r="CO9" i="17"/>
  <c r="CP145" i="17"/>
  <c r="CK9" i="17"/>
  <c r="CL145" i="17"/>
  <c r="CK146" i="17" s="1"/>
  <c r="CG9" i="17"/>
  <c r="CH145" i="17"/>
  <c r="CG146" i="17" s="1"/>
  <c r="CC9" i="17"/>
  <c r="CD145" i="17"/>
  <c r="CC146" i="17" s="1"/>
  <c r="BY9" i="17"/>
  <c r="BZ145" i="17"/>
  <c r="BU9" i="17"/>
  <c r="BV145" i="17"/>
  <c r="BU146" i="17" s="1"/>
  <c r="BQ9" i="17"/>
  <c r="BR145" i="17"/>
  <c r="BQ146" i="17" s="1"/>
  <c r="BM9" i="17"/>
  <c r="BN145" i="17"/>
  <c r="BM146" i="17" s="1"/>
  <c r="BI9" i="17"/>
  <c r="BJ145" i="17"/>
  <c r="BE9" i="17"/>
  <c r="BF145" i="17"/>
  <c r="BE146" i="17" s="1"/>
  <c r="BA9" i="17"/>
  <c r="BB145" i="17"/>
  <c r="BA146" i="17" s="1"/>
  <c r="AW9" i="17"/>
  <c r="AX145" i="17"/>
  <c r="AW146" i="17" s="1"/>
  <c r="AS9" i="17"/>
  <c r="AT145" i="17"/>
  <c r="AO9" i="17"/>
  <c r="AP145" i="17"/>
  <c r="AO146" i="17" s="1"/>
  <c r="AK9" i="17"/>
  <c r="AL145" i="17"/>
  <c r="AK146" i="17" s="1"/>
  <c r="AG9" i="17"/>
  <c r="AH145" i="17"/>
  <c r="AG146" i="17" s="1"/>
  <c r="AC9" i="17"/>
  <c r="AD145" i="17"/>
  <c r="Y9" i="17"/>
  <c r="Z145" i="17"/>
  <c r="Y146" i="17" s="1"/>
  <c r="U9" i="17"/>
  <c r="V145" i="17"/>
  <c r="U146" i="17" s="1"/>
  <c r="Q9" i="17"/>
  <c r="R145" i="17"/>
  <c r="Q146" i="17" s="1"/>
  <c r="M9" i="17"/>
  <c r="N145" i="17"/>
  <c r="CO240" i="17"/>
  <c r="CO14" i="17" s="1"/>
  <c r="F123" i="2" s="1"/>
  <c r="CK240" i="17"/>
  <c r="CK14" i="17" s="1"/>
  <c r="CG240" i="17"/>
  <c r="CG14" i="17" s="1"/>
  <c r="CC240" i="17"/>
  <c r="CC14" i="17" s="1"/>
  <c r="BY240" i="17"/>
  <c r="BY14" i="17" s="1"/>
  <c r="BU240" i="17"/>
  <c r="BU14" i="17" s="1"/>
  <c r="BQ240" i="17"/>
  <c r="BQ14" i="17" s="1"/>
  <c r="BM240" i="17"/>
  <c r="BM14" i="17" s="1"/>
  <c r="BI248" i="17"/>
  <c r="BI246" i="17"/>
  <c r="BI241" i="17"/>
  <c r="BG246" i="17"/>
  <c r="BG241" i="17"/>
  <c r="BJ229" i="17"/>
  <c r="BJ248" i="17" s="1"/>
  <c r="BE246" i="17"/>
  <c r="BE241" i="17"/>
  <c r="BE248" i="17"/>
  <c r="BC246" i="17"/>
  <c r="BC241" i="17"/>
  <c r="BF229" i="17"/>
  <c r="BF248" i="17" s="1"/>
  <c r="BA248" i="17"/>
  <c r="BA246" i="17"/>
  <c r="BA241" i="17"/>
  <c r="AY246" i="17"/>
  <c r="AY241" i="17"/>
  <c r="BB229" i="17"/>
  <c r="BD247" i="17" s="1"/>
  <c r="AW246" i="17"/>
  <c r="AW241" i="17"/>
  <c r="AW248" i="17"/>
  <c r="AU246" i="17"/>
  <c r="AU241" i="17"/>
  <c r="AX229" i="17"/>
  <c r="AY247" i="17" s="1"/>
  <c r="AS248" i="17"/>
  <c r="AS246" i="17"/>
  <c r="AS241" i="17"/>
  <c r="AQ246" i="17"/>
  <c r="AQ241" i="17"/>
  <c r="AT229" i="17"/>
  <c r="AV247" i="17" s="1"/>
  <c r="AO246" i="17"/>
  <c r="AO241" i="17"/>
  <c r="AO248" i="17"/>
  <c r="AM246" i="17"/>
  <c r="AM241" i="17"/>
  <c r="AP229" i="17"/>
  <c r="AP248" i="17" s="1"/>
  <c r="AK248" i="17"/>
  <c r="AK246" i="17"/>
  <c r="AK241" i="17"/>
  <c r="AI246" i="17"/>
  <c r="AI241" i="17"/>
  <c r="AL229" i="17"/>
  <c r="AG246" i="17"/>
  <c r="AG241" i="17"/>
  <c r="AG248" i="17"/>
  <c r="AE246" i="17"/>
  <c r="AE241" i="17"/>
  <c r="AH229" i="17"/>
  <c r="AI247" i="17" s="1"/>
  <c r="AC248" i="17"/>
  <c r="AC246" i="17"/>
  <c r="AC241" i="17"/>
  <c r="AA246" i="17"/>
  <c r="AA241" i="17"/>
  <c r="AD229" i="17"/>
  <c r="AF247" i="17" s="1"/>
  <c r="Y246" i="17"/>
  <c r="Y241" i="17"/>
  <c r="Y248" i="17"/>
  <c r="W246" i="17"/>
  <c r="W241" i="17"/>
  <c r="Z229" i="17"/>
  <c r="Z248" i="17" s="1"/>
  <c r="U248" i="17"/>
  <c r="U246" i="17"/>
  <c r="U241" i="17"/>
  <c r="S246" i="17"/>
  <c r="S241" i="17"/>
  <c r="V229" i="17"/>
  <c r="X247" i="17" s="1"/>
  <c r="Q246" i="17"/>
  <c r="Q241" i="17"/>
  <c r="Q248" i="17"/>
  <c r="O246" i="17"/>
  <c r="O241" i="17"/>
  <c r="R229" i="17"/>
  <c r="S247" i="17" s="1"/>
  <c r="M248" i="17"/>
  <c r="M246" i="17"/>
  <c r="M241" i="17"/>
  <c r="K246" i="17"/>
  <c r="K241" i="17"/>
  <c r="N229" i="17"/>
  <c r="P247" i="17" s="1"/>
  <c r="I241" i="17"/>
  <c r="J229" i="17"/>
  <c r="M247" i="17" s="1"/>
  <c r="CO12" i="17"/>
  <c r="CG12" i="17"/>
  <c r="BY12" i="17"/>
  <c r="BV192" i="17"/>
  <c r="BQ12" i="17"/>
  <c r="BN192" i="17"/>
  <c r="BI183" i="17"/>
  <c r="BI169" i="17"/>
  <c r="BG183" i="17"/>
  <c r="BG169" i="17"/>
  <c r="BE183" i="17"/>
  <c r="BE169" i="17"/>
  <c r="BC183" i="17"/>
  <c r="BC169" i="17"/>
  <c r="BA183" i="17"/>
  <c r="BA169" i="17"/>
  <c r="AY183" i="17"/>
  <c r="AY169" i="17"/>
  <c r="AW183" i="17"/>
  <c r="AW169" i="17"/>
  <c r="AU183" i="17"/>
  <c r="AU169" i="17"/>
  <c r="AS183" i="17"/>
  <c r="AS169" i="17"/>
  <c r="AQ183" i="17"/>
  <c r="AQ169" i="17"/>
  <c r="AO183" i="17"/>
  <c r="AO169" i="17"/>
  <c r="AM183" i="17"/>
  <c r="AM169" i="17"/>
  <c r="AK183" i="17"/>
  <c r="AK169" i="17"/>
  <c r="AI183" i="17"/>
  <c r="AI169" i="17"/>
  <c r="AG183" i="17"/>
  <c r="AG169" i="17"/>
  <c r="AE183" i="17"/>
  <c r="AE169" i="17"/>
  <c r="AC183" i="17"/>
  <c r="AC169" i="17"/>
  <c r="AA183" i="17"/>
  <c r="AA169" i="17"/>
  <c r="Y183" i="17"/>
  <c r="Y169" i="17"/>
  <c r="W183" i="17"/>
  <c r="W169" i="17"/>
  <c r="U183" i="17"/>
  <c r="U169" i="17"/>
  <c r="S183" i="17"/>
  <c r="S169" i="17"/>
  <c r="Q183" i="17"/>
  <c r="Q169" i="17"/>
  <c r="O183" i="17"/>
  <c r="O169" i="17"/>
  <c r="M183" i="17"/>
  <c r="M169" i="17"/>
  <c r="K183" i="17"/>
  <c r="K169" i="17"/>
  <c r="I183" i="17"/>
  <c r="I12" i="17" s="1"/>
  <c r="I169" i="17"/>
  <c r="CQ142" i="17"/>
  <c r="CQ129" i="17"/>
  <c r="CN10" i="17"/>
  <c r="CJ10" i="17"/>
  <c r="CF10" i="17"/>
  <c r="CB10" i="17"/>
  <c r="BX10" i="17"/>
  <c r="BT10" i="17"/>
  <c r="BP10" i="17"/>
  <c r="BL10" i="17"/>
  <c r="BH10" i="17"/>
  <c r="BD10" i="17"/>
  <c r="AZ10" i="17"/>
  <c r="AV10" i="17"/>
  <c r="AR10" i="17"/>
  <c r="AN10" i="17"/>
  <c r="AJ10" i="17"/>
  <c r="AF10" i="17"/>
  <c r="AB10" i="17"/>
  <c r="X10" i="17"/>
  <c r="T10" i="17"/>
  <c r="P10" i="17"/>
  <c r="L10" i="17"/>
  <c r="CP94" i="17"/>
  <c r="CL86" i="17"/>
  <c r="CL8" i="17" s="1"/>
  <c r="CH86" i="17"/>
  <c r="CH8" i="17" s="1"/>
  <c r="CH94" i="17"/>
  <c r="CD86" i="17"/>
  <c r="CD8" i="17" s="1"/>
  <c r="BZ86" i="17"/>
  <c r="BZ8" i="17" s="1"/>
  <c r="BZ94" i="17"/>
  <c r="BV86" i="17"/>
  <c r="BV8" i="17" s="1"/>
  <c r="BR86" i="17"/>
  <c r="BR8" i="17" s="1"/>
  <c r="BR94" i="17"/>
  <c r="BN86" i="17"/>
  <c r="BN8" i="17" s="1"/>
  <c r="BJ92" i="17"/>
  <c r="BJ87" i="17"/>
  <c r="BH94" i="17"/>
  <c r="BH92" i="17"/>
  <c r="BH87" i="17"/>
  <c r="BF92" i="17"/>
  <c r="BF87" i="17"/>
  <c r="BD92" i="17"/>
  <c r="BD94" i="17"/>
  <c r="BD87" i="17"/>
  <c r="BB92" i="17"/>
  <c r="BB87" i="17"/>
  <c r="AZ94" i="17"/>
  <c r="AZ92" i="17"/>
  <c r="AZ87" i="17"/>
  <c r="AX92" i="17"/>
  <c r="AX87" i="17"/>
  <c r="AV92" i="17"/>
  <c r="AV94" i="17"/>
  <c r="AV87" i="17"/>
  <c r="AT92" i="17"/>
  <c r="AT87" i="17"/>
  <c r="AR94" i="17"/>
  <c r="AR92" i="17"/>
  <c r="AR87" i="17"/>
  <c r="AP92" i="17"/>
  <c r="AP87" i="17"/>
  <c r="AN92" i="17"/>
  <c r="AN94" i="17"/>
  <c r="AN87" i="17"/>
  <c r="AL92" i="17"/>
  <c r="AL87" i="17"/>
  <c r="AJ94" i="17"/>
  <c r="AJ92" i="17"/>
  <c r="AJ87" i="17"/>
  <c r="AH92" i="17"/>
  <c r="AH87" i="17"/>
  <c r="AF92" i="17"/>
  <c r="AF94" i="17"/>
  <c r="AF87" i="17"/>
  <c r="AD92" i="17"/>
  <c r="AD87" i="17"/>
  <c r="AB94" i="17"/>
  <c r="AB92" i="17"/>
  <c r="AB87" i="17"/>
  <c r="Z92" i="17"/>
  <c r="Z87" i="17"/>
  <c r="X92" i="17"/>
  <c r="X94" i="17"/>
  <c r="X87" i="17"/>
  <c r="V92" i="17"/>
  <c r="V87" i="17"/>
  <c r="T94" i="17"/>
  <c r="T92" i="17"/>
  <c r="T87" i="17"/>
  <c r="R92" i="17"/>
  <c r="R87" i="17"/>
  <c r="P92" i="17"/>
  <c r="P94" i="17"/>
  <c r="P87" i="17"/>
  <c r="N92" i="17"/>
  <c r="N87" i="17"/>
  <c r="L94" i="17"/>
  <c r="L92" i="17"/>
  <c r="L87" i="17"/>
  <c r="J87" i="17"/>
  <c r="H87" i="17"/>
  <c r="CP7" i="17"/>
  <c r="CQ102" i="17"/>
  <c r="CQ52" i="17"/>
  <c r="CQ51" i="17"/>
  <c r="CP53" i="17"/>
  <c r="CL53" i="17"/>
  <c r="CH53" i="17"/>
  <c r="CD53" i="17"/>
  <c r="BZ53" i="17"/>
  <c r="BV53" i="17"/>
  <c r="BR53" i="17"/>
  <c r="BN53" i="17"/>
  <c r="BJ53" i="17"/>
  <c r="BF53" i="17"/>
  <c r="BB53" i="17"/>
  <c r="AX53" i="17"/>
  <c r="AT53" i="17"/>
  <c r="AP53" i="17"/>
  <c r="AL53" i="17"/>
  <c r="AH53" i="17"/>
  <c r="AD53" i="17"/>
  <c r="Z53" i="17"/>
  <c r="V53" i="17"/>
  <c r="R53" i="17"/>
  <c r="N53" i="17"/>
  <c r="CP6" i="17"/>
  <c r="G115" i="2" s="1"/>
  <c r="CP34" i="17"/>
  <c r="CN6" i="17"/>
  <c r="E115" i="2" s="1"/>
  <c r="CL6" i="17"/>
  <c r="CJ6" i="17"/>
  <c r="CH6" i="17"/>
  <c r="CH34" i="17"/>
  <c r="CF6" i="17"/>
  <c r="CD6" i="17"/>
  <c r="CB6" i="17"/>
  <c r="BZ6" i="17"/>
  <c r="BZ34" i="17"/>
  <c r="BX6" i="17"/>
  <c r="BV6" i="17"/>
  <c r="BT6" i="17"/>
  <c r="BR6" i="17"/>
  <c r="BR34" i="17"/>
  <c r="BP6" i="17"/>
  <c r="BN6" i="17"/>
  <c r="BL6" i="17"/>
  <c r="BJ6" i="17"/>
  <c r="BJ34" i="17"/>
  <c r="BH6" i="17"/>
  <c r="BF6" i="17"/>
  <c r="BD6" i="17"/>
  <c r="BB6" i="17"/>
  <c r="BB34" i="17"/>
  <c r="AZ6" i="17"/>
  <c r="AX6" i="17"/>
  <c r="AV6" i="17"/>
  <c r="AT6" i="17"/>
  <c r="AT34" i="17"/>
  <c r="AR6" i="17"/>
  <c r="AP6" i="17"/>
  <c r="AN6" i="17"/>
  <c r="AL6" i="17"/>
  <c r="AL34" i="17"/>
  <c r="AJ6" i="17"/>
  <c r="AH6" i="17"/>
  <c r="AF6" i="17"/>
  <c r="AD6" i="17"/>
  <c r="AD34" i="17"/>
  <c r="AB6" i="17"/>
  <c r="Z6" i="17"/>
  <c r="X6" i="17"/>
  <c r="V6" i="17"/>
  <c r="V34" i="17"/>
  <c r="T6" i="17"/>
  <c r="R6" i="17"/>
  <c r="P6" i="17"/>
  <c r="N6" i="17"/>
  <c r="N34" i="17"/>
  <c r="L6" i="17"/>
  <c r="X120" i="8"/>
  <c r="T120" i="8"/>
  <c r="P120" i="8"/>
  <c r="L120" i="8"/>
  <c r="H120" i="8"/>
  <c r="AA327" i="12"/>
  <c r="Y327" i="12"/>
  <c r="U327" i="12"/>
  <c r="Q327" i="12"/>
  <c r="M327" i="12"/>
  <c r="I327" i="12"/>
  <c r="Q789" i="7"/>
  <c r="Q790" i="7" s="1"/>
  <c r="M789" i="7"/>
  <c r="P62" i="21"/>
  <c r="P51" i="21"/>
  <c r="P63" i="21" s="1"/>
  <c r="L62" i="21"/>
  <c r="L51" i="21"/>
  <c r="L63" i="21" s="1"/>
  <c r="AB769" i="7"/>
  <c r="EE17" i="6"/>
  <c r="E233" i="2"/>
  <c r="AA121" i="8"/>
  <c r="Y121" i="8"/>
  <c r="U121" i="8"/>
  <c r="Q121" i="8"/>
  <c r="M121" i="8"/>
  <c r="I121" i="8"/>
  <c r="V146" i="8"/>
  <c r="V78" i="8"/>
  <c r="V52" i="8"/>
  <c r="V63" i="8"/>
  <c r="R78" i="8"/>
  <c r="R52" i="8"/>
  <c r="R63" i="8"/>
  <c r="N78" i="8"/>
  <c r="N52" i="8"/>
  <c r="N63" i="8"/>
  <c r="J78" i="8"/>
  <c r="J52" i="8"/>
  <c r="J63" i="8"/>
  <c r="CU35" i="6"/>
  <c r="V781" i="7"/>
  <c r="V411" i="7"/>
  <c r="V405" i="7"/>
  <c r="BW35" i="6"/>
  <c r="R781" i="7"/>
  <c r="R411" i="7"/>
  <c r="R405" i="7"/>
  <c r="AY35" i="6"/>
  <c r="N781" i="7"/>
  <c r="N411" i="7"/>
  <c r="N405" i="7"/>
  <c r="AA35" i="6"/>
  <c r="O35" i="6"/>
  <c r="EB33" i="6"/>
  <c r="AB714" i="7"/>
  <c r="AC323" i="7"/>
  <c r="X715" i="7"/>
  <c r="T715" i="7"/>
  <c r="P715" i="7"/>
  <c r="L715" i="7"/>
  <c r="Y230" i="7"/>
  <c r="W230" i="7"/>
  <c r="Z233" i="7"/>
  <c r="U230" i="7"/>
  <c r="X233" i="7"/>
  <c r="S230" i="7"/>
  <c r="V233" i="7"/>
  <c r="Q230" i="7"/>
  <c r="T233" i="7"/>
  <c r="O230" i="7"/>
  <c r="M230" i="7"/>
  <c r="AA115" i="8"/>
  <c r="G115" i="8"/>
  <c r="Z260" i="7"/>
  <c r="Z182" i="8"/>
  <c r="Z175" i="8"/>
  <c r="X260" i="7"/>
  <c r="X182" i="8"/>
  <c r="X175" i="8"/>
  <c r="T260" i="7"/>
  <c r="T182" i="8"/>
  <c r="T175" i="8"/>
  <c r="T167" i="8"/>
  <c r="P260" i="7"/>
  <c r="P182" i="8"/>
  <c r="P175" i="8"/>
  <c r="P167" i="8"/>
  <c r="L260" i="7"/>
  <c r="L182" i="8"/>
  <c r="L175" i="8"/>
  <c r="L167" i="8"/>
  <c r="H182" i="8"/>
  <c r="H175" i="8"/>
  <c r="H167" i="8"/>
  <c r="Y180" i="7"/>
  <c r="Y115" i="7"/>
  <c r="Y127" i="7"/>
  <c r="Y118" i="7"/>
  <c r="Y77" i="7"/>
  <c r="U180" i="7"/>
  <c r="U115" i="7"/>
  <c r="U127" i="7"/>
  <c r="U118" i="7"/>
  <c r="U77" i="7"/>
  <c r="Q180" i="7"/>
  <c r="Q115" i="7"/>
  <c r="Q127" i="7"/>
  <c r="Q118" i="7"/>
  <c r="Q77" i="7"/>
  <c r="M180" i="7"/>
  <c r="M115" i="7"/>
  <c r="M127" i="7"/>
  <c r="M118" i="7"/>
  <c r="M77" i="7"/>
  <c r="AA613" i="7"/>
  <c r="Y613" i="7"/>
  <c r="U613" i="7"/>
  <c r="Q613" i="7"/>
  <c r="M613" i="7"/>
  <c r="EJ45" i="6"/>
  <c r="EJ94" i="6" s="1"/>
  <c r="AC761" i="7"/>
  <c r="AD521" i="7"/>
  <c r="AE521" i="7" s="1"/>
  <c r="EJ44" i="6"/>
  <c r="EJ93" i="6" s="1"/>
  <c r="AC759" i="7"/>
  <c r="AD486" i="7"/>
  <c r="AE486" i="7" s="1"/>
  <c r="Z499" i="7"/>
  <c r="Z490" i="7"/>
  <c r="Z568" i="7" s="1"/>
  <c r="Z569" i="7" s="1"/>
  <c r="Z478" i="7"/>
  <c r="Z510" i="7"/>
  <c r="DR43" i="6"/>
  <c r="Z507" i="7"/>
  <c r="Z496" i="7"/>
  <c r="Z651" i="7"/>
  <c r="Z641" i="7"/>
  <c r="EJ28" i="6"/>
  <c r="EJ77" i="6" s="1"/>
  <c r="AC747" i="7"/>
  <c r="AD328" i="7"/>
  <c r="AE328" i="7" s="1"/>
  <c r="X626" i="7"/>
  <c r="X637" i="7" s="1"/>
  <c r="X291" i="7"/>
  <c r="X267" i="7"/>
  <c r="X289" i="7" s="1"/>
  <c r="X262" i="7"/>
  <c r="X281" i="7"/>
  <c r="V626" i="7"/>
  <c r="V637" i="7" s="1"/>
  <c r="V291" i="7"/>
  <c r="V267" i="7"/>
  <c r="V289" i="7" s="1"/>
  <c r="V262" i="7"/>
  <c r="V281" i="7"/>
  <c r="T626" i="7"/>
  <c r="T637" i="7" s="1"/>
  <c r="T291" i="7"/>
  <c r="T267" i="7"/>
  <c r="T289" i="7" s="1"/>
  <c r="T262" i="7"/>
  <c r="T281" i="7"/>
  <c r="R626" i="7"/>
  <c r="R637" i="7" s="1"/>
  <c r="R291" i="7"/>
  <c r="R267" i="7"/>
  <c r="R289" i="7" s="1"/>
  <c r="R262" i="7"/>
  <c r="R281" i="7"/>
  <c r="P626" i="7"/>
  <c r="P637" i="7" s="1"/>
  <c r="P291" i="7"/>
  <c r="P267" i="7"/>
  <c r="P289" i="7" s="1"/>
  <c r="P262" i="7"/>
  <c r="P281" i="7"/>
  <c r="N626" i="7"/>
  <c r="N637" i="7" s="1"/>
  <c r="N291" i="7"/>
  <c r="N267" i="7"/>
  <c r="N289" i="7" s="1"/>
  <c r="N262" i="7"/>
  <c r="N281" i="7"/>
  <c r="L626" i="7"/>
  <c r="L637" i="7" s="1"/>
  <c r="L291" i="7"/>
  <c r="L292" i="7" s="1"/>
  <c r="L267" i="7"/>
  <c r="L289" i="7" s="1"/>
  <c r="L262" i="7"/>
  <c r="L281" i="7"/>
  <c r="EJ30" i="6"/>
  <c r="EJ79" i="6" s="1"/>
  <c r="AC753" i="7"/>
  <c r="AD203" i="7"/>
  <c r="AE203" i="7" s="1"/>
  <c r="W244" i="7"/>
  <c r="X247" i="7"/>
  <c r="S244" i="7"/>
  <c r="T247" i="7"/>
  <c r="O244" i="7"/>
  <c r="DR20" i="6"/>
  <c r="DR18" i="6" s="1"/>
  <c r="Z752" i="7"/>
  <c r="Z756" i="7" s="1"/>
  <c r="Z149" i="7"/>
  <c r="Z157" i="7"/>
  <c r="CT20" i="6"/>
  <c r="CT18" i="6" s="1"/>
  <c r="V752" i="7"/>
  <c r="V756" i="7" s="1"/>
  <c r="V149" i="7"/>
  <c r="V157" i="7"/>
  <c r="BV20" i="6"/>
  <c r="BV18" i="6" s="1"/>
  <c r="R752" i="7"/>
  <c r="R756" i="7" s="1"/>
  <c r="R149" i="7"/>
  <c r="R157" i="7"/>
  <c r="AX20" i="6"/>
  <c r="AX18" i="6" s="1"/>
  <c r="N752" i="7"/>
  <c r="N756" i="7" s="1"/>
  <c r="N149" i="7"/>
  <c r="N157" i="7"/>
  <c r="Z20" i="6"/>
  <c r="Z18" i="6" s="1"/>
  <c r="AB173" i="7"/>
  <c r="AB168" i="7"/>
  <c r="AB164" i="7"/>
  <c r="Z173" i="7"/>
  <c r="Z168" i="7"/>
  <c r="Z164" i="7"/>
  <c r="Z588" i="7" s="1"/>
  <c r="AA748" i="7"/>
  <c r="Y748" i="7"/>
  <c r="W748" i="7"/>
  <c r="U748" i="7"/>
  <c r="S748" i="7"/>
  <c r="Q748" i="7"/>
  <c r="O748" i="7"/>
  <c r="M748" i="7"/>
  <c r="EJ9" i="6"/>
  <c r="EJ58" i="6" s="1"/>
  <c r="AC751" i="7"/>
  <c r="AC424" i="7"/>
  <c r="AC438" i="7" s="1"/>
  <c r="AD11" i="7"/>
  <c r="AE11" i="7" s="1"/>
  <c r="AB438" i="7"/>
  <c r="Z449" i="7"/>
  <c r="Z438" i="7"/>
  <c r="X449" i="7"/>
  <c r="X438" i="7"/>
  <c r="V449" i="7"/>
  <c r="V438" i="7"/>
  <c r="T449" i="7"/>
  <c r="T438" i="7"/>
  <c r="R449" i="7"/>
  <c r="R438" i="7"/>
  <c r="P449" i="7"/>
  <c r="P438" i="7"/>
  <c r="N449" i="7"/>
  <c r="N438" i="7"/>
  <c r="L449" i="7"/>
  <c r="L438" i="7"/>
  <c r="Z635" i="7"/>
  <c r="X635" i="7"/>
  <c r="V38" i="7"/>
  <c r="V35" i="7"/>
  <c r="V36" i="7" s="1"/>
  <c r="V697" i="7"/>
  <c r="V699" i="7" s="1"/>
  <c r="T635" i="7"/>
  <c r="R38" i="7"/>
  <c r="U39" i="7" s="1"/>
  <c r="R35" i="7"/>
  <c r="R36" i="7" s="1"/>
  <c r="U37" i="7" s="1"/>
  <c r="R697" i="7"/>
  <c r="R699" i="7" s="1"/>
  <c r="P635" i="7"/>
  <c r="N38" i="7"/>
  <c r="N35" i="7"/>
  <c r="N36" i="7" s="1"/>
  <c r="N697" i="7"/>
  <c r="N699" i="7" s="1"/>
  <c r="L635" i="7"/>
  <c r="AA213" i="8"/>
  <c r="AA196" i="8"/>
  <c r="AA654" i="7"/>
  <c r="AA444" i="7"/>
  <c r="AA432" i="7"/>
  <c r="Y179" i="8"/>
  <c r="Y172" i="8"/>
  <c r="Y144" i="8"/>
  <c r="Y117" i="8" s="1"/>
  <c r="W179" i="8"/>
  <c r="W172" i="8"/>
  <c r="W144" i="8"/>
  <c r="W117" i="8" s="1"/>
  <c r="U179" i="8"/>
  <c r="U172" i="8"/>
  <c r="U144" i="8"/>
  <c r="S179" i="8"/>
  <c r="S172" i="8"/>
  <c r="S144" i="8"/>
  <c r="Q179" i="8"/>
  <c r="Q172" i="8"/>
  <c r="Q144" i="8"/>
  <c r="O179" i="8"/>
  <c r="O172" i="8"/>
  <c r="O144" i="8"/>
  <c r="M179" i="8"/>
  <c r="M172" i="8"/>
  <c r="M144" i="8"/>
  <c r="K179" i="8"/>
  <c r="K172" i="8"/>
  <c r="K144" i="8"/>
  <c r="I179" i="8"/>
  <c r="I172" i="8"/>
  <c r="I144" i="8"/>
  <c r="G179" i="8"/>
  <c r="G144" i="8"/>
  <c r="G158" i="8" s="1"/>
  <c r="AD422" i="7"/>
  <c r="AB122" i="7"/>
  <c r="AC112" i="7"/>
  <c r="AD112" i="7" s="1"/>
  <c r="AE112" i="7" s="1"/>
  <c r="X122" i="7"/>
  <c r="V122" i="7"/>
  <c r="T122" i="7"/>
  <c r="R122" i="7"/>
  <c r="P122" i="7"/>
  <c r="N122" i="7"/>
  <c r="L122" i="7"/>
  <c r="AA423" i="7"/>
  <c r="AA428" i="7" s="1"/>
  <c r="AA182" i="7"/>
  <c r="AA120" i="7"/>
  <c r="AA129" i="7"/>
  <c r="AA113" i="7"/>
  <c r="AA87" i="7"/>
  <c r="Y423" i="7"/>
  <c r="Y428" i="7" s="1"/>
  <c r="Y182" i="7"/>
  <c r="Y120" i="7"/>
  <c r="Y129" i="7"/>
  <c r="Y113" i="7"/>
  <c r="Y87" i="7"/>
  <c r="W423" i="7"/>
  <c r="W428" i="7" s="1"/>
  <c r="W182" i="7"/>
  <c r="W120" i="7"/>
  <c r="W129" i="7"/>
  <c r="W113" i="7"/>
  <c r="W87" i="7"/>
  <c r="U423" i="7"/>
  <c r="U429" i="7" s="1"/>
  <c r="U182" i="7"/>
  <c r="U120" i="7"/>
  <c r="U129" i="7"/>
  <c r="U113" i="7"/>
  <c r="U87" i="7"/>
  <c r="S423" i="7"/>
  <c r="S428" i="7" s="1"/>
  <c r="S182" i="7"/>
  <c r="S120" i="7"/>
  <c r="S129" i="7"/>
  <c r="S113" i="7"/>
  <c r="S87" i="7"/>
  <c r="Q423" i="7"/>
  <c r="Q428" i="7" s="1"/>
  <c r="Q182" i="7"/>
  <c r="Q120" i="7"/>
  <c r="Q129" i="7"/>
  <c r="Q113" i="7"/>
  <c r="Q87" i="7"/>
  <c r="O423" i="7"/>
  <c r="O428" i="7" s="1"/>
  <c r="O182" i="7"/>
  <c r="O120" i="7"/>
  <c r="O129" i="7"/>
  <c r="O113" i="7"/>
  <c r="O87" i="7"/>
  <c r="M423" i="7"/>
  <c r="M428" i="7" s="1"/>
  <c r="M182" i="7"/>
  <c r="M120" i="7"/>
  <c r="M129" i="7"/>
  <c r="M113" i="7"/>
  <c r="M87" i="7"/>
  <c r="EC35" i="6"/>
  <c r="EC84" i="6" s="1"/>
  <c r="AC397" i="7"/>
  <c r="AC396" i="7" s="1"/>
  <c r="EC28" i="6"/>
  <c r="EC77" i="6" s="1"/>
  <c r="AB729" i="7"/>
  <c r="AC326" i="7"/>
  <c r="Z238" i="7"/>
  <c r="X238" i="7"/>
  <c r="AA241" i="7"/>
  <c r="T238" i="7"/>
  <c r="W241" i="7"/>
  <c r="P238" i="7"/>
  <c r="S241" i="7"/>
  <c r="L238" i="7"/>
  <c r="I188" i="8"/>
  <c r="I195" i="8" s="1"/>
  <c r="C204" i="2"/>
  <c r="AT204" i="2" s="1"/>
  <c r="Z128" i="7"/>
  <c r="Z119" i="7"/>
  <c r="Z236" i="7" s="1"/>
  <c r="Z181" i="7"/>
  <c r="Z82" i="7"/>
  <c r="X128" i="7"/>
  <c r="X119" i="7"/>
  <c r="X236" i="7" s="1"/>
  <c r="X181" i="7"/>
  <c r="X82" i="7"/>
  <c r="T128" i="7"/>
  <c r="T119" i="7"/>
  <c r="T236" i="7" s="1"/>
  <c r="T181" i="7"/>
  <c r="T82" i="7"/>
  <c r="P128" i="7"/>
  <c r="P119" i="7"/>
  <c r="P236" i="7" s="1"/>
  <c r="P181" i="7"/>
  <c r="P82" i="7"/>
  <c r="L128" i="7"/>
  <c r="L119" i="7"/>
  <c r="L236" i="7" s="1"/>
  <c r="L181" i="7"/>
  <c r="L82" i="7"/>
  <c r="EG7" i="6"/>
  <c r="EG56" i="6" s="1"/>
  <c r="AD45" i="7"/>
  <c r="AE45" i="7" s="1"/>
  <c r="Z145" i="8"/>
  <c r="Z180" i="8"/>
  <c r="Z173" i="8"/>
  <c r="Z164" i="8"/>
  <c r="X248" i="8"/>
  <c r="X197" i="8"/>
  <c r="V248" i="8"/>
  <c r="V197" i="8"/>
  <c r="T248" i="8"/>
  <c r="T197" i="8"/>
  <c r="R248" i="8"/>
  <c r="R197" i="8"/>
  <c r="P248" i="8"/>
  <c r="P197" i="8"/>
  <c r="N248" i="8"/>
  <c r="N197" i="8"/>
  <c r="L248" i="8"/>
  <c r="L197" i="8"/>
  <c r="J248" i="8"/>
  <c r="J197" i="8"/>
  <c r="J228" i="7" s="1"/>
  <c r="H248" i="8"/>
  <c r="H197" i="8"/>
  <c r="H228" i="7" s="1"/>
  <c r="K229" i="7" s="1"/>
  <c r="Y355" i="12"/>
  <c r="W355" i="12"/>
  <c r="U355" i="12"/>
  <c r="S355" i="12"/>
  <c r="Q355" i="12"/>
  <c r="O355" i="12"/>
  <c r="M355" i="12"/>
  <c r="K355" i="12"/>
  <c r="I355" i="12"/>
  <c r="Z217" i="7"/>
  <c r="Z218" i="7"/>
  <c r="Z216" i="7"/>
  <c r="R88" i="21"/>
  <c r="R75" i="21"/>
  <c r="R74" i="21"/>
  <c r="R73" i="21"/>
  <c r="R72" i="21"/>
  <c r="R71" i="21"/>
  <c r="R70" i="21"/>
  <c r="R7" i="21"/>
  <c r="R78" i="21"/>
  <c r="R77" i="21"/>
  <c r="P9" i="21"/>
  <c r="P10" i="21" s="1"/>
  <c r="X459" i="12"/>
  <c r="N9" i="21"/>
  <c r="N10" i="21" s="1"/>
  <c r="V459" i="12"/>
  <c r="L9" i="21"/>
  <c r="L10" i="21" s="1"/>
  <c r="T459" i="12"/>
  <c r="J9" i="21"/>
  <c r="J10" i="21" s="1"/>
  <c r="R459" i="12"/>
  <c r="P217" i="7"/>
  <c r="P218" i="7"/>
  <c r="P216" i="7"/>
  <c r="H76" i="21"/>
  <c r="H75" i="21"/>
  <c r="H74" i="21"/>
  <c r="H73" i="21"/>
  <c r="H72" i="21"/>
  <c r="H71" i="21"/>
  <c r="H70" i="21"/>
  <c r="H7" i="21"/>
  <c r="H78" i="21"/>
  <c r="H77" i="21"/>
  <c r="F9" i="21"/>
  <c r="F10" i="21" s="1"/>
  <c r="N459" i="12"/>
  <c r="F76" i="21"/>
  <c r="F75" i="21"/>
  <c r="F74" i="21"/>
  <c r="F73" i="21"/>
  <c r="F72" i="21"/>
  <c r="F71" i="21"/>
  <c r="F70" i="21"/>
  <c r="F7" i="21"/>
  <c r="F78" i="21"/>
  <c r="F77" i="21"/>
  <c r="L459" i="12"/>
  <c r="J459" i="12"/>
  <c r="R43" i="8"/>
  <c r="R24" i="8"/>
  <c r="R18" i="8"/>
  <c r="R11" i="8"/>
  <c r="R8" i="8"/>
  <c r="J43" i="8"/>
  <c r="J24" i="8"/>
  <c r="J18" i="8"/>
  <c r="J11" i="8"/>
  <c r="J8" i="8"/>
  <c r="AA82" i="8"/>
  <c r="AA102" i="8"/>
  <c r="W82" i="8"/>
  <c r="W102" i="8"/>
  <c r="S58" i="8"/>
  <c r="S47" i="8"/>
  <c r="S69" i="8" s="1"/>
  <c r="O82" i="8"/>
  <c r="O102" i="8"/>
  <c r="K58" i="8"/>
  <c r="K47" i="8"/>
  <c r="K69" i="8" s="1"/>
  <c r="N70" i="8" s="1"/>
  <c r="G102" i="8"/>
  <c r="G79" i="8"/>
  <c r="G116" i="8" s="1"/>
  <c r="V61" i="8"/>
  <c r="V50" i="8"/>
  <c r="R61" i="8"/>
  <c r="R50" i="8"/>
  <c r="N61" i="8"/>
  <c r="N50" i="8"/>
  <c r="J61" i="8"/>
  <c r="J50" i="8"/>
  <c r="EE30" i="6"/>
  <c r="AB777" i="7"/>
  <c r="AC204" i="7"/>
  <c r="AA772" i="7"/>
  <c r="Y191" i="8"/>
  <c r="Y772" i="7"/>
  <c r="V191" i="8"/>
  <c r="V772" i="7"/>
  <c r="R191" i="8"/>
  <c r="N191" i="8"/>
  <c r="J191" i="8"/>
  <c r="W725" i="7"/>
  <c r="U725" i="7"/>
  <c r="S725" i="7"/>
  <c r="O725" i="7"/>
  <c r="Z144" i="7"/>
  <c r="Q737" i="7"/>
  <c r="M737" i="7"/>
  <c r="R742" i="7"/>
  <c r="AB453" i="12"/>
  <c r="Z346" i="12"/>
  <c r="X453" i="12"/>
  <c r="V346" i="12"/>
  <c r="T453" i="12"/>
  <c r="R346" i="12"/>
  <c r="P346" i="12"/>
  <c r="N346" i="12"/>
  <c r="L453" i="12"/>
  <c r="J453" i="12"/>
  <c r="H453" i="12"/>
  <c r="AA462" i="12"/>
  <c r="AA469" i="12" s="1"/>
  <c r="AA335" i="12"/>
  <c r="W462" i="12"/>
  <c r="W469" i="12" s="1"/>
  <c r="W335" i="12"/>
  <c r="CC50" i="6"/>
  <c r="S568" i="7"/>
  <c r="S569" i="7" s="1"/>
  <c r="S335" i="12"/>
  <c r="O568" i="7"/>
  <c r="O569" i="7" s="1"/>
  <c r="O335" i="12"/>
  <c r="K335" i="12"/>
  <c r="W463" i="12"/>
  <c r="W470" i="12" s="1"/>
  <c r="W334" i="12"/>
  <c r="Y542" i="7"/>
  <c r="Y557" i="7"/>
  <c r="Y551" i="7"/>
  <c r="W542" i="7"/>
  <c r="W557" i="7"/>
  <c r="W551" i="7"/>
  <c r="X244" i="12"/>
  <c r="X238" i="12"/>
  <c r="X232" i="12"/>
  <c r="V244" i="12"/>
  <c r="V238" i="12"/>
  <c r="V232" i="12"/>
  <c r="R244" i="12"/>
  <c r="R238" i="12"/>
  <c r="R232" i="12"/>
  <c r="N244" i="12"/>
  <c r="N238" i="12"/>
  <c r="N232" i="12"/>
  <c r="J244" i="12"/>
  <c r="J238" i="12"/>
  <c r="J232" i="12"/>
  <c r="AB254" i="12"/>
  <c r="AA156" i="12"/>
  <c r="Y45" i="8"/>
  <c r="CS17" i="11"/>
  <c r="W45" i="8"/>
  <c r="CI17" i="11"/>
  <c r="U45" i="8"/>
  <c r="BY17" i="11"/>
  <c r="S45" i="8"/>
  <c r="BO17" i="11"/>
  <c r="Q45" i="8"/>
  <c r="BE17" i="11"/>
  <c r="O45" i="8"/>
  <c r="AU17" i="11"/>
  <c r="M45" i="8"/>
  <c r="AK17" i="11"/>
  <c r="I156" i="12"/>
  <c r="DC103" i="11"/>
  <c r="DD103" i="11" s="1"/>
  <c r="DE103" i="11" s="1"/>
  <c r="DC15" i="11"/>
  <c r="DD15" i="11" s="1"/>
  <c r="AA142" i="12" s="1"/>
  <c r="CS103" i="11"/>
  <c r="CT103" i="11" s="1"/>
  <c r="CU103" i="11" s="1"/>
  <c r="CS15" i="11"/>
  <c r="CT15" i="11" s="1"/>
  <c r="Y142" i="12" s="1"/>
  <c r="CS29" i="11" s="1"/>
  <c r="Y155" i="12"/>
  <c r="CI103" i="11"/>
  <c r="CJ103" i="11" s="1"/>
  <c r="CK103" i="11" s="1"/>
  <c r="CI15" i="11"/>
  <c r="CJ15" i="11" s="1"/>
  <c r="W142" i="12" s="1"/>
  <c r="CI29" i="11" s="1"/>
  <c r="BY103" i="11"/>
  <c r="BZ103" i="11" s="1"/>
  <c r="CA103" i="11" s="1"/>
  <c r="BY15" i="11"/>
  <c r="BZ15" i="11" s="1"/>
  <c r="U142" i="12" s="1"/>
  <c r="BY29" i="11" s="1"/>
  <c r="U155" i="12"/>
  <c r="BO103" i="11"/>
  <c r="BP103" i="11" s="1"/>
  <c r="BQ103" i="11" s="1"/>
  <c r="BO15" i="11"/>
  <c r="BP15" i="11" s="1"/>
  <c r="BE103" i="11"/>
  <c r="BF103" i="11" s="1"/>
  <c r="BG103" i="11" s="1"/>
  <c r="BE15" i="11"/>
  <c r="BF15" i="11" s="1"/>
  <c r="AU103" i="11"/>
  <c r="AV103" i="11" s="1"/>
  <c r="AU15" i="11"/>
  <c r="AV15" i="11" s="1"/>
  <c r="AW15" i="11" s="1"/>
  <c r="AK103" i="11"/>
  <c r="AL103" i="11" s="1"/>
  <c r="AM103" i="11" s="1"/>
  <c r="AK15" i="11"/>
  <c r="AL15" i="11" s="1"/>
  <c r="AA103" i="11"/>
  <c r="AB103" i="11" s="1"/>
  <c r="AA15" i="11"/>
  <c r="AB15" i="11" s="1"/>
  <c r="Q103" i="11"/>
  <c r="R103" i="11" s="1"/>
  <c r="S103" i="11" s="1"/>
  <c r="Q15" i="11"/>
  <c r="R15" i="11" s="1"/>
  <c r="Z153" i="12"/>
  <c r="CN88" i="11"/>
  <c r="CO88" i="11" s="1"/>
  <c r="CN13" i="11"/>
  <c r="CO13" i="11" s="1"/>
  <c r="V153" i="12"/>
  <c r="BT88" i="11"/>
  <c r="BU88" i="11" s="1"/>
  <c r="BT13" i="11"/>
  <c r="BU13" i="11" s="1"/>
  <c r="AZ88" i="11"/>
  <c r="BA88" i="11" s="1"/>
  <c r="AZ13" i="11"/>
  <c r="BA13" i="11" s="1"/>
  <c r="AF88" i="11"/>
  <c r="AG88" i="11" s="1"/>
  <c r="AH88" i="11" s="1"/>
  <c r="AF13" i="11"/>
  <c r="AG13" i="11" s="1"/>
  <c r="L88" i="11"/>
  <c r="M88" i="11" s="1"/>
  <c r="N88" i="11" s="1"/>
  <c r="L13" i="11"/>
  <c r="M13" i="11" s="1"/>
  <c r="CG165" i="17"/>
  <c r="BQ165" i="17"/>
  <c r="BA165" i="17"/>
  <c r="AK165" i="17"/>
  <c r="U165" i="17"/>
  <c r="AA112" i="12"/>
  <c r="DC14" i="11"/>
  <c r="Y112" i="12"/>
  <c r="CS14" i="11"/>
  <c r="W112" i="12"/>
  <c r="CI14" i="11"/>
  <c r="U112" i="12"/>
  <c r="BY14" i="11"/>
  <c r="S112" i="12"/>
  <c r="BO14" i="11"/>
  <c r="Q112" i="12"/>
  <c r="BE14" i="11"/>
  <c r="O112" i="12"/>
  <c r="AU14" i="11"/>
  <c r="M112" i="12"/>
  <c r="AK14" i="11"/>
  <c r="K112" i="12"/>
  <c r="AA14" i="11"/>
  <c r="I112" i="12"/>
  <c r="Q14" i="11"/>
  <c r="AB151" i="12"/>
  <c r="BE65" i="17"/>
  <c r="AW65" i="17"/>
  <c r="AO65" i="17"/>
  <c r="AG65" i="17"/>
  <c r="Y65" i="17"/>
  <c r="Q65" i="17"/>
  <c r="DH8" i="11"/>
  <c r="DI8" i="11" s="1"/>
  <c r="DH50" i="11"/>
  <c r="DI50" i="11" s="1"/>
  <c r="DJ50" i="11" s="1"/>
  <c r="CX8" i="11"/>
  <c r="CY8" i="11" s="1"/>
  <c r="CX50" i="11"/>
  <c r="CY50" i="11" s="1"/>
  <c r="CZ50" i="11" s="1"/>
  <c r="CN8" i="11"/>
  <c r="CO8" i="11" s="1"/>
  <c r="CN50" i="11"/>
  <c r="CO50" i="11" s="1"/>
  <c r="CP50" i="11" s="1"/>
  <c r="CD8" i="11"/>
  <c r="CE8" i="11" s="1"/>
  <c r="CD50" i="11"/>
  <c r="CE50" i="11" s="1"/>
  <c r="CF50" i="11" s="1"/>
  <c r="BT8" i="11"/>
  <c r="BU8" i="11" s="1"/>
  <c r="BT50" i="11"/>
  <c r="BU50" i="11" s="1"/>
  <c r="BV50" i="11" s="1"/>
  <c r="BJ8" i="11"/>
  <c r="BK8" i="11" s="1"/>
  <c r="BJ50" i="11"/>
  <c r="BK50" i="11" s="1"/>
  <c r="BL50" i="11" s="1"/>
  <c r="AZ8" i="11"/>
  <c r="BA8" i="11" s="1"/>
  <c r="AZ50" i="11"/>
  <c r="BA50" i="11" s="1"/>
  <c r="BB50" i="11" s="1"/>
  <c r="AP8" i="11"/>
  <c r="AQ8" i="11" s="1"/>
  <c r="AP50" i="11"/>
  <c r="AQ50" i="11" s="1"/>
  <c r="AR50" i="11" s="1"/>
  <c r="AF8" i="11"/>
  <c r="AG8" i="11" s="1"/>
  <c r="AF50" i="11"/>
  <c r="AG50" i="11" s="1"/>
  <c r="AH50" i="11" s="1"/>
  <c r="V8" i="11"/>
  <c r="W8" i="11" s="1"/>
  <c r="V50" i="11"/>
  <c r="W50" i="11" s="1"/>
  <c r="X50" i="11" s="1"/>
  <c r="L8" i="11"/>
  <c r="M8" i="11" s="1"/>
  <c r="L50" i="11"/>
  <c r="M50" i="11" s="1"/>
  <c r="N50" i="11" s="1"/>
  <c r="CK24" i="17"/>
  <c r="BU24" i="17"/>
  <c r="BE24" i="17"/>
  <c r="AO24" i="17"/>
  <c r="Y24" i="17"/>
  <c r="I24" i="17"/>
  <c r="M148" i="12"/>
  <c r="K148" i="12"/>
  <c r="I148" i="12"/>
  <c r="I43" i="17"/>
  <c r="AB147" i="12"/>
  <c r="Z147" i="12"/>
  <c r="X147" i="12"/>
  <c r="V147" i="12"/>
  <c r="T147" i="12"/>
  <c r="R147" i="12"/>
  <c r="P147" i="12"/>
  <c r="N147" i="12"/>
  <c r="L147" i="12"/>
  <c r="J147" i="12"/>
  <c r="H147" i="12"/>
  <c r="X295" i="12"/>
  <c r="V295" i="12"/>
  <c r="T295" i="12"/>
  <c r="R295" i="12"/>
  <c r="P295" i="12"/>
  <c r="N295" i="12"/>
  <c r="L295" i="12"/>
  <c r="J295" i="12"/>
  <c r="W720" i="7"/>
  <c r="O720" i="7"/>
  <c r="AA427" i="12"/>
  <c r="I427" i="12"/>
  <c r="R737" i="7"/>
  <c r="AB451" i="12"/>
  <c r="X451" i="12"/>
  <c r="V451" i="12"/>
  <c r="T451" i="12"/>
  <c r="R451" i="12"/>
  <c r="P451" i="12"/>
  <c r="N451" i="12"/>
  <c r="L451" i="12"/>
  <c r="J451" i="12"/>
  <c r="H451" i="12"/>
  <c r="Y452" i="12"/>
  <c r="W452" i="12"/>
  <c r="U452" i="12"/>
  <c r="S452" i="12"/>
  <c r="Q452" i="12"/>
  <c r="O452" i="12"/>
  <c r="M452" i="12"/>
  <c r="K452" i="12"/>
  <c r="I452" i="12"/>
  <c r="AB305" i="12"/>
  <c r="AB443" i="12"/>
  <c r="Z305" i="12"/>
  <c r="Z462" i="12"/>
  <c r="Z469" i="12" s="1"/>
  <c r="Z335" i="12"/>
  <c r="X305" i="12"/>
  <c r="X443" i="12"/>
  <c r="V305" i="12"/>
  <c r="V568" i="7"/>
  <c r="V569" i="7" s="1"/>
  <c r="V462" i="12"/>
  <c r="V469" i="12" s="1"/>
  <c r="V335" i="12"/>
  <c r="T305" i="12"/>
  <c r="T443" i="12"/>
  <c r="R305" i="12"/>
  <c r="R568" i="7"/>
  <c r="R569" i="7" s="1"/>
  <c r="R335" i="12"/>
  <c r="P305" i="12"/>
  <c r="P443" i="12"/>
  <c r="N568" i="7"/>
  <c r="N569" i="7" s="1"/>
  <c r="N335" i="12"/>
  <c r="L305" i="12"/>
  <c r="L443" i="12"/>
  <c r="J335" i="12"/>
  <c r="H305" i="12"/>
  <c r="H443" i="12"/>
  <c r="Y441" i="12"/>
  <c r="W441" i="12"/>
  <c r="U441" i="12"/>
  <c r="S441" i="12"/>
  <c r="Q441" i="12"/>
  <c r="O441" i="12"/>
  <c r="M441" i="12"/>
  <c r="K441" i="12"/>
  <c r="I441" i="12"/>
  <c r="AB463" i="12"/>
  <c r="AB334" i="12"/>
  <c r="Z463" i="12"/>
  <c r="Z470" i="12" s="1"/>
  <c r="Z334" i="12"/>
  <c r="X463" i="12"/>
  <c r="X470" i="12" s="1"/>
  <c r="X334" i="12"/>
  <c r="V442" i="12"/>
  <c r="T334" i="12"/>
  <c r="R442" i="12"/>
  <c r="P334" i="12"/>
  <c r="N442" i="12"/>
  <c r="L334" i="12"/>
  <c r="J442" i="12"/>
  <c r="H334" i="12"/>
  <c r="W301" i="12"/>
  <c r="W345" i="12"/>
  <c r="S301" i="12"/>
  <c r="S345" i="12"/>
  <c r="O301" i="12"/>
  <c r="O345" i="12"/>
  <c r="K301" i="12"/>
  <c r="K345" i="12"/>
  <c r="AB300" i="12"/>
  <c r="AB304" i="12"/>
  <c r="Z269" i="12"/>
  <c r="X304" i="12"/>
  <c r="T304" i="12"/>
  <c r="P304" i="12"/>
  <c r="L304" i="12"/>
  <c r="H304" i="12"/>
  <c r="Y251" i="12"/>
  <c r="Y272" i="12"/>
  <c r="U251" i="12"/>
  <c r="U272" i="12"/>
  <c r="Q251" i="12"/>
  <c r="Q272" i="12"/>
  <c r="M251" i="12"/>
  <c r="M272" i="12"/>
  <c r="I251" i="12"/>
  <c r="I272" i="12"/>
  <c r="Z273" i="12"/>
  <c r="Z433" i="12"/>
  <c r="X557" i="7"/>
  <c r="X551" i="7"/>
  <c r="X542" i="7"/>
  <c r="AA256" i="12"/>
  <c r="AA421" i="12"/>
  <c r="Y244" i="12"/>
  <c r="Y238" i="12"/>
  <c r="Y232" i="12"/>
  <c r="W244" i="12"/>
  <c r="W238" i="12"/>
  <c r="W232" i="12"/>
  <c r="U244" i="12"/>
  <c r="U238" i="12"/>
  <c r="U232" i="12"/>
  <c r="S256" i="12"/>
  <c r="S421" i="12"/>
  <c r="Q244" i="12"/>
  <c r="Q238" i="12"/>
  <c r="Q232" i="12"/>
  <c r="O256" i="12"/>
  <c r="O421" i="12"/>
  <c r="M244" i="12"/>
  <c r="M238" i="12"/>
  <c r="M232" i="12"/>
  <c r="K256" i="12"/>
  <c r="K421" i="12"/>
  <c r="I244" i="12"/>
  <c r="I238" i="12"/>
  <c r="I232" i="12"/>
  <c r="G244" i="12"/>
  <c r="G232" i="12"/>
  <c r="AB416" i="12"/>
  <c r="Z416" i="12"/>
  <c r="X416" i="12"/>
  <c r="T416" i="12"/>
  <c r="P416" i="12"/>
  <c r="L416" i="12"/>
  <c r="H416" i="12"/>
  <c r="AA419" i="12"/>
  <c r="Z415" i="12"/>
  <c r="Y414" i="12"/>
  <c r="U414" i="12"/>
  <c r="Q414" i="12"/>
  <c r="M414" i="12"/>
  <c r="I414" i="12"/>
  <c r="ED36" i="6"/>
  <c r="DF36" i="6"/>
  <c r="CH36" i="6"/>
  <c r="BJ36" i="6"/>
  <c r="AB255" i="12"/>
  <c r="Z255" i="12"/>
  <c r="X255" i="12"/>
  <c r="V397" i="12"/>
  <c r="T255" i="12"/>
  <c r="R397" i="12"/>
  <c r="P255" i="12"/>
  <c r="N397" i="12"/>
  <c r="L255" i="12"/>
  <c r="J397" i="12"/>
  <c r="H255" i="12"/>
  <c r="AA366" i="12"/>
  <c r="Y366" i="12"/>
  <c r="W366" i="12"/>
  <c r="U366" i="12"/>
  <c r="S366" i="12"/>
  <c r="Q366" i="12"/>
  <c r="O366" i="12"/>
  <c r="M254" i="12"/>
  <c r="M391" i="12"/>
  <c r="K366" i="12"/>
  <c r="I366" i="12"/>
  <c r="AB45" i="8"/>
  <c r="DH17" i="11"/>
  <c r="Z45" i="8"/>
  <c r="CX17" i="11"/>
  <c r="X45" i="8"/>
  <c r="CN17" i="11"/>
  <c r="V45" i="8"/>
  <c r="CD17" i="11"/>
  <c r="R156" i="12"/>
  <c r="N156" i="12"/>
  <c r="H156" i="12"/>
  <c r="CX103" i="11"/>
  <c r="CY103" i="11" s="1"/>
  <c r="CZ103" i="11" s="1"/>
  <c r="CX15" i="11"/>
  <c r="CY15" i="11" s="1"/>
  <c r="CN103" i="11"/>
  <c r="CO103" i="11" s="1"/>
  <c r="CP103" i="11" s="1"/>
  <c r="CN15" i="11"/>
  <c r="CO15" i="11" s="1"/>
  <c r="CP15" i="11" s="1"/>
  <c r="CD103" i="11"/>
  <c r="CE103" i="11" s="1"/>
  <c r="CF103" i="11" s="1"/>
  <c r="CD15" i="11"/>
  <c r="CE15" i="11" s="1"/>
  <c r="BT103" i="11"/>
  <c r="BU103" i="11" s="1"/>
  <c r="BT15" i="11"/>
  <c r="BU15" i="11" s="1"/>
  <c r="BJ103" i="11"/>
  <c r="BK103" i="11" s="1"/>
  <c r="BJ15" i="11"/>
  <c r="BK15" i="11" s="1"/>
  <c r="R142" i="12" s="1"/>
  <c r="BJ29" i="11" s="1"/>
  <c r="AZ103" i="11"/>
  <c r="BA103" i="11" s="1"/>
  <c r="AZ15" i="11"/>
  <c r="BA15" i="11" s="1"/>
  <c r="P142" i="12" s="1"/>
  <c r="AZ29" i="11" s="1"/>
  <c r="AP103" i="11"/>
  <c r="AQ103" i="11" s="1"/>
  <c r="AR103" i="11" s="1"/>
  <c r="AP15" i="11"/>
  <c r="AQ15" i="11" s="1"/>
  <c r="AF103" i="11"/>
  <c r="AG103" i="11" s="1"/>
  <c r="AF15" i="11"/>
  <c r="AG15" i="11" s="1"/>
  <c r="V103" i="11"/>
  <c r="W103" i="11" s="1"/>
  <c r="X103" i="11" s="1"/>
  <c r="V15" i="11"/>
  <c r="W15" i="11" s="1"/>
  <c r="J142" i="12" s="1"/>
  <c r="V29" i="11" s="1"/>
  <c r="L103" i="11"/>
  <c r="M103" i="11" s="1"/>
  <c r="L15" i="11"/>
  <c r="M15" i="11" s="1"/>
  <c r="AA99" i="12"/>
  <c r="AA153" i="12"/>
  <c r="CS88" i="11"/>
  <c r="CS13" i="11"/>
  <c r="CT13" i="11" s="1"/>
  <c r="Y119" i="12"/>
  <c r="W99" i="12"/>
  <c r="W153" i="12"/>
  <c r="BY88" i="11"/>
  <c r="BZ88" i="11" s="1"/>
  <c r="BY13" i="11"/>
  <c r="BZ13" i="11" s="1"/>
  <c r="U119" i="12"/>
  <c r="S99" i="12"/>
  <c r="BE88" i="11"/>
  <c r="BF88" i="11" s="1"/>
  <c r="BG88" i="11" s="1"/>
  <c r="BE13" i="11"/>
  <c r="BF13" i="11" s="1"/>
  <c r="Q119" i="12"/>
  <c r="O99" i="12"/>
  <c r="AK88" i="11"/>
  <c r="AL88" i="11" s="1"/>
  <c r="AK13" i="11"/>
  <c r="AL13" i="11" s="1"/>
  <c r="M119" i="12"/>
  <c r="K99" i="12"/>
  <c r="Q88" i="11"/>
  <c r="R88" i="11" s="1"/>
  <c r="Q13" i="11"/>
  <c r="R13" i="11" s="1"/>
  <c r="I119" i="12"/>
  <c r="Y118" i="12"/>
  <c r="BU165" i="17"/>
  <c r="U118" i="12"/>
  <c r="BE165" i="17"/>
  <c r="Q118" i="12"/>
  <c r="AO165" i="17"/>
  <c r="M118" i="12"/>
  <c r="Y165" i="17"/>
  <c r="I118" i="12"/>
  <c r="DH14" i="11"/>
  <c r="AB112" i="12"/>
  <c r="CX14" i="11"/>
  <c r="Z112" i="12"/>
  <c r="CN14" i="11"/>
  <c r="X112" i="12"/>
  <c r="CD14" i="11"/>
  <c r="V112" i="12"/>
  <c r="BT14" i="11"/>
  <c r="T112" i="12"/>
  <c r="BJ14" i="11"/>
  <c r="R112" i="12"/>
  <c r="AZ14" i="11"/>
  <c r="P112" i="12"/>
  <c r="AP14" i="11"/>
  <c r="N112" i="12"/>
  <c r="AF14" i="11"/>
  <c r="L112" i="12"/>
  <c r="V14" i="11"/>
  <c r="J112" i="12"/>
  <c r="L14" i="11"/>
  <c r="H112" i="12"/>
  <c r="Y98" i="12"/>
  <c r="U98" i="12"/>
  <c r="S98" i="12"/>
  <c r="Q98" i="12"/>
  <c r="O98" i="12"/>
  <c r="M98" i="12"/>
  <c r="K98" i="12"/>
  <c r="I98" i="12"/>
  <c r="AA77" i="12"/>
  <c r="Y77" i="12"/>
  <c r="CC126" i="17"/>
  <c r="W77" i="12"/>
  <c r="U77" i="12"/>
  <c r="BM126" i="17"/>
  <c r="S77" i="12"/>
  <c r="Q77" i="12"/>
  <c r="AW126" i="17"/>
  <c r="O77" i="12"/>
  <c r="M77" i="12"/>
  <c r="AG126" i="17"/>
  <c r="K77" i="12"/>
  <c r="I77" i="12"/>
  <c r="Q126" i="17"/>
  <c r="I126" i="17"/>
  <c r="AB149" i="12"/>
  <c r="Z149" i="12"/>
  <c r="X149" i="12"/>
  <c r="V149" i="12"/>
  <c r="BI65" i="17"/>
  <c r="BA65" i="17"/>
  <c r="AS65" i="17"/>
  <c r="AK65" i="17"/>
  <c r="AC65" i="17"/>
  <c r="U65" i="17"/>
  <c r="M65" i="17"/>
  <c r="DC8" i="11"/>
  <c r="DD8" i="11" s="1"/>
  <c r="DE8" i="11" s="1"/>
  <c r="DC50" i="11"/>
  <c r="DD50" i="11" s="1"/>
  <c r="DE50" i="11" s="1"/>
  <c r="AA59" i="12"/>
  <c r="CS8" i="11"/>
  <c r="CT8" i="11" s="1"/>
  <c r="CS50" i="11"/>
  <c r="CT50" i="11" s="1"/>
  <c r="CU50" i="11" s="1"/>
  <c r="Y59" i="12"/>
  <c r="CI8" i="11"/>
  <c r="CJ8" i="11" s="1"/>
  <c r="W166" i="12" s="1"/>
  <c r="CI50" i="11"/>
  <c r="CJ50" i="11" s="1"/>
  <c r="CK50" i="11" s="1"/>
  <c r="W59" i="12"/>
  <c r="BY8" i="11"/>
  <c r="BZ8" i="11" s="1"/>
  <c r="BY50" i="11"/>
  <c r="BZ50" i="11" s="1"/>
  <c r="CA50" i="11" s="1"/>
  <c r="U59" i="12"/>
  <c r="BO8" i="11"/>
  <c r="BP8" i="11" s="1"/>
  <c r="BQ8" i="11" s="1"/>
  <c r="BO50" i="11"/>
  <c r="BP50" i="11" s="1"/>
  <c r="BQ50" i="11" s="1"/>
  <c r="S59" i="12"/>
  <c r="BE8" i="11"/>
  <c r="BF8" i="11" s="1"/>
  <c r="BE50" i="11"/>
  <c r="BF50" i="11" s="1"/>
  <c r="BG50" i="11" s="1"/>
  <c r="Q59" i="12"/>
  <c r="AU8" i="11"/>
  <c r="AV8" i="11" s="1"/>
  <c r="O166" i="12" s="1"/>
  <c r="AU50" i="11"/>
  <c r="AV50" i="11" s="1"/>
  <c r="AW50" i="11" s="1"/>
  <c r="O59" i="12"/>
  <c r="CQ47" i="6"/>
  <c r="V430" i="12"/>
  <c r="W433" i="12" s="1"/>
  <c r="CG81" i="11"/>
  <c r="V267" i="12"/>
  <c r="V263" i="12"/>
  <c r="CG11" i="11"/>
  <c r="BS47" i="6"/>
  <c r="R430" i="12"/>
  <c r="BM81" i="11"/>
  <c r="R267" i="12"/>
  <c r="R263" i="12"/>
  <c r="BM11" i="11"/>
  <c r="AU47" i="6"/>
  <c r="N430" i="12"/>
  <c r="AS81" i="11"/>
  <c r="N267" i="12"/>
  <c r="N263" i="12"/>
  <c r="AS11" i="11"/>
  <c r="W47" i="6"/>
  <c r="J430" i="12"/>
  <c r="Y81" i="11"/>
  <c r="J267" i="12"/>
  <c r="J263" i="12"/>
  <c r="Y11" i="11"/>
  <c r="BL223" i="17"/>
  <c r="BM223" i="17" s="1"/>
  <c r="BN223" i="17" s="1"/>
  <c r="BO223" i="17" s="1"/>
  <c r="BN224" i="17"/>
  <c r="BL66" i="17"/>
  <c r="BM66" i="17" s="1"/>
  <c r="BN66" i="17" s="1"/>
  <c r="BO66" i="17" s="1"/>
  <c r="BN67" i="17"/>
  <c r="BN64" i="17"/>
  <c r="BN80" i="17" s="1"/>
  <c r="BL63" i="17"/>
  <c r="BM63" i="17" s="1"/>
  <c r="BN63" i="17" s="1"/>
  <c r="BO63" i="17" s="1"/>
  <c r="E271" i="2"/>
  <c r="G270" i="2"/>
  <c r="G268" i="2"/>
  <c r="CV278" i="17"/>
  <c r="CX277" i="17"/>
  <c r="E267" i="2"/>
  <c r="CP15" i="17"/>
  <c r="CL15" i="17"/>
  <c r="CH15" i="17"/>
  <c r="CD15" i="17"/>
  <c r="CB15" i="17"/>
  <c r="BZ15" i="17"/>
  <c r="BV15" i="17"/>
  <c r="BV121" i="17" s="1"/>
  <c r="BR15" i="17"/>
  <c r="BR121" i="17" s="1"/>
  <c r="BN15" i="17"/>
  <c r="BN121" i="17" s="1"/>
  <c r="BL15" i="17"/>
  <c r="BL121" i="17" s="1"/>
  <c r="BJ15" i="17"/>
  <c r="BF15" i="17"/>
  <c r="BB15" i="17"/>
  <c r="AX15" i="17"/>
  <c r="AV15" i="17"/>
  <c r="AT15" i="17"/>
  <c r="AP15" i="17"/>
  <c r="AL15" i="17"/>
  <c r="AH15" i="17"/>
  <c r="AF15" i="17"/>
  <c r="AD15" i="17"/>
  <c r="Z15" i="17"/>
  <c r="V15" i="17"/>
  <c r="R15" i="17"/>
  <c r="P15" i="17"/>
  <c r="N15" i="17"/>
  <c r="CN13" i="17"/>
  <c r="CL13" i="17"/>
  <c r="CF13" i="17"/>
  <c r="CD13" i="17"/>
  <c r="BX13" i="17"/>
  <c r="BV13" i="17"/>
  <c r="BP13" i="17"/>
  <c r="BN13" i="17"/>
  <c r="BH13" i="17"/>
  <c r="BF13" i="17"/>
  <c r="AZ13" i="17"/>
  <c r="AX13" i="17"/>
  <c r="AR13" i="17"/>
  <c r="AP13" i="17"/>
  <c r="AJ13" i="17"/>
  <c r="AH13" i="17"/>
  <c r="AB13" i="17"/>
  <c r="Z13" i="17"/>
  <c r="T13" i="17"/>
  <c r="R13" i="17"/>
  <c r="L13" i="17"/>
  <c r="CN11" i="17"/>
  <c r="CL11" i="17"/>
  <c r="CF11" i="17"/>
  <c r="CD11" i="17"/>
  <c r="BX11" i="17"/>
  <c r="BV11" i="17"/>
  <c r="BP11" i="17"/>
  <c r="BN11" i="17"/>
  <c r="BH11" i="17"/>
  <c r="BF11" i="17"/>
  <c r="AZ11" i="17"/>
  <c r="AX11" i="17"/>
  <c r="AR11" i="17"/>
  <c r="AP11" i="17"/>
  <c r="AJ11" i="17"/>
  <c r="AH11" i="17"/>
  <c r="AB11" i="17"/>
  <c r="Z11" i="17"/>
  <c r="T11" i="17"/>
  <c r="R11" i="17"/>
  <c r="L11" i="17"/>
  <c r="CP9" i="17"/>
  <c r="CJ9" i="17"/>
  <c r="CH9" i="17"/>
  <c r="CB9" i="17"/>
  <c r="BZ9" i="17"/>
  <c r="BT9" i="17"/>
  <c r="BR9" i="17"/>
  <c r="BL9" i="17"/>
  <c r="BJ9" i="17"/>
  <c r="BD9" i="17"/>
  <c r="BB9" i="17"/>
  <c r="AV9" i="17"/>
  <c r="AT9" i="17"/>
  <c r="AN9" i="17"/>
  <c r="AL9" i="17"/>
  <c r="AF9" i="17"/>
  <c r="AD9" i="17"/>
  <c r="X9" i="17"/>
  <c r="V9" i="17"/>
  <c r="P9" i="17"/>
  <c r="N9" i="17"/>
  <c r="CP240" i="17"/>
  <c r="CP14" i="17" s="1"/>
  <c r="G123" i="2" s="1"/>
  <c r="CN240" i="17"/>
  <c r="CN14" i="17" s="1"/>
  <c r="E123" i="2" s="1"/>
  <c r="BX240" i="17"/>
  <c r="BX14" i="17" s="1"/>
  <c r="BJ246" i="17"/>
  <c r="BJ241" i="17"/>
  <c r="BH241" i="17"/>
  <c r="BH248" i="17"/>
  <c r="BH246" i="17"/>
  <c r="BF246" i="17"/>
  <c r="BF241" i="17"/>
  <c r="BD248" i="17"/>
  <c r="BD241" i="17"/>
  <c r="BD246" i="17"/>
  <c r="BB246" i="17"/>
  <c r="BB241" i="17"/>
  <c r="AZ248" i="17"/>
  <c r="AZ241" i="17"/>
  <c r="AZ246" i="17"/>
  <c r="AX246" i="17"/>
  <c r="AX241" i="17"/>
  <c r="AV248" i="17"/>
  <c r="AV241" i="17"/>
  <c r="AV246" i="17"/>
  <c r="AT246" i="17"/>
  <c r="AT241" i="17"/>
  <c r="AR241" i="17"/>
  <c r="AR248" i="17"/>
  <c r="AR246" i="17"/>
  <c r="AP246" i="17"/>
  <c r="AP241" i="17"/>
  <c r="AN248" i="17"/>
  <c r="AN241" i="17"/>
  <c r="AN246" i="17"/>
  <c r="AL246" i="17"/>
  <c r="AL241" i="17"/>
  <c r="AJ248" i="17"/>
  <c r="AJ241" i="17"/>
  <c r="AJ246" i="17"/>
  <c r="AH246" i="17"/>
  <c r="AH241" i="17"/>
  <c r="AF248" i="17"/>
  <c r="AF241" i="17"/>
  <c r="AF246" i="17"/>
  <c r="AD246" i="17"/>
  <c r="AD241" i="17"/>
  <c r="AB241" i="17"/>
  <c r="AB248" i="17"/>
  <c r="AB246" i="17"/>
  <c r="Z246" i="17"/>
  <c r="Z241" i="17"/>
  <c r="X248" i="17"/>
  <c r="X241" i="17"/>
  <c r="X246" i="17"/>
  <c r="V246" i="17"/>
  <c r="V241" i="17"/>
  <c r="T248" i="17"/>
  <c r="T241" i="17"/>
  <c r="T246" i="17"/>
  <c r="R246" i="17"/>
  <c r="R241" i="17"/>
  <c r="P248" i="17"/>
  <c r="P241" i="17"/>
  <c r="P246" i="17"/>
  <c r="N246" i="17"/>
  <c r="N241" i="17"/>
  <c r="L241" i="17"/>
  <c r="L248" i="17"/>
  <c r="L246" i="17"/>
  <c r="CQ199" i="17"/>
  <c r="CQ190" i="17"/>
  <c r="CQ189" i="17"/>
  <c r="CL12" i="17"/>
  <c r="CJ12" i="17"/>
  <c r="CD12" i="17"/>
  <c r="CB12" i="17"/>
  <c r="BV12" i="17"/>
  <c r="BT12" i="17"/>
  <c r="BN12" i="17"/>
  <c r="BL12" i="17"/>
  <c r="BJ189" i="17"/>
  <c r="BJ184" i="17"/>
  <c r="BJ199" i="17"/>
  <c r="BJ200" i="17" s="1"/>
  <c r="BH191" i="17"/>
  <c r="BH189" i="17"/>
  <c r="BH184" i="17"/>
  <c r="BH199" i="17"/>
  <c r="BH200" i="17" s="1"/>
  <c r="BF189" i="17"/>
  <c r="BF184" i="17"/>
  <c r="BF199" i="17"/>
  <c r="BF200" i="17" s="1"/>
  <c r="BD189" i="17"/>
  <c r="BD184" i="17"/>
  <c r="BD199" i="17"/>
  <c r="BD200" i="17" s="1"/>
  <c r="BD191" i="17"/>
  <c r="BB189" i="17"/>
  <c r="BB184" i="17"/>
  <c r="BB199" i="17"/>
  <c r="BB200" i="17" s="1"/>
  <c r="AZ191" i="17"/>
  <c r="AZ189" i="17"/>
  <c r="AZ184" i="17"/>
  <c r="AZ199" i="17"/>
  <c r="AZ200" i="17" s="1"/>
  <c r="AX189" i="17"/>
  <c r="AX184" i="17"/>
  <c r="AX199" i="17"/>
  <c r="AX200" i="17" s="1"/>
  <c r="AV189" i="17"/>
  <c r="AV184" i="17"/>
  <c r="AV199" i="17"/>
  <c r="AV200" i="17" s="1"/>
  <c r="AV191" i="17"/>
  <c r="AT189" i="17"/>
  <c r="AT184" i="17"/>
  <c r="AT199" i="17"/>
  <c r="AT200" i="17" s="1"/>
  <c r="AR191" i="17"/>
  <c r="AR189" i="17"/>
  <c r="AR184" i="17"/>
  <c r="AR199" i="17"/>
  <c r="AR200" i="17" s="1"/>
  <c r="AP189" i="17"/>
  <c r="AP184" i="17"/>
  <c r="AP199" i="17"/>
  <c r="AP200" i="17" s="1"/>
  <c r="AN189" i="17"/>
  <c r="AN184" i="17"/>
  <c r="AN199" i="17"/>
  <c r="AN200" i="17" s="1"/>
  <c r="AN191" i="17"/>
  <c r="AL189" i="17"/>
  <c r="AL184" i="17"/>
  <c r="AL199" i="17"/>
  <c r="AL200" i="17" s="1"/>
  <c r="AJ191" i="17"/>
  <c r="AJ189" i="17"/>
  <c r="AJ184" i="17"/>
  <c r="AJ199" i="17"/>
  <c r="AJ200" i="17" s="1"/>
  <c r="AH189" i="17"/>
  <c r="AH184" i="17"/>
  <c r="AH199" i="17"/>
  <c r="AH200" i="17" s="1"/>
  <c r="AF189" i="17"/>
  <c r="AF184" i="17"/>
  <c r="AF199" i="17"/>
  <c r="AF200" i="17" s="1"/>
  <c r="AF191" i="17"/>
  <c r="AD189" i="17"/>
  <c r="AD184" i="17"/>
  <c r="AD199" i="17"/>
  <c r="AD200" i="17" s="1"/>
  <c r="AB191" i="17"/>
  <c r="AB189" i="17"/>
  <c r="AB184" i="17"/>
  <c r="AB199" i="17"/>
  <c r="AB200" i="17" s="1"/>
  <c r="Z189" i="17"/>
  <c r="Z184" i="17"/>
  <c r="Z199" i="17"/>
  <c r="Z200" i="17" s="1"/>
  <c r="X189" i="17"/>
  <c r="X184" i="17"/>
  <c r="X199" i="17"/>
  <c r="X200" i="17" s="1"/>
  <c r="X191" i="17"/>
  <c r="V189" i="17"/>
  <c r="V184" i="17"/>
  <c r="V199" i="17"/>
  <c r="V200" i="17" s="1"/>
  <c r="T191" i="17"/>
  <c r="T189" i="17"/>
  <c r="T184" i="17"/>
  <c r="T199" i="17"/>
  <c r="T200" i="17" s="1"/>
  <c r="R189" i="17"/>
  <c r="R184" i="17"/>
  <c r="R199" i="17"/>
  <c r="R200" i="17" s="1"/>
  <c r="P189" i="17"/>
  <c r="P184" i="17"/>
  <c r="P199" i="17"/>
  <c r="P200" i="17" s="1"/>
  <c r="P191" i="17"/>
  <c r="N189" i="17"/>
  <c r="N184" i="17"/>
  <c r="N199" i="17"/>
  <c r="N200" i="17" s="1"/>
  <c r="L191" i="17"/>
  <c r="L189" i="17"/>
  <c r="L184" i="17"/>
  <c r="L199" i="17"/>
  <c r="L200" i="17" s="1"/>
  <c r="J184" i="17"/>
  <c r="J199" i="17"/>
  <c r="J200" i="17" s="1"/>
  <c r="H184" i="17"/>
  <c r="H199" i="17"/>
  <c r="H200" i="17" s="1"/>
  <c r="CO10" i="17"/>
  <c r="CM10" i="17"/>
  <c r="CG10" i="17"/>
  <c r="CE10" i="17"/>
  <c r="BY10" i="17"/>
  <c r="BW10" i="17"/>
  <c r="BQ10" i="17"/>
  <c r="BO10" i="17"/>
  <c r="BI10" i="17"/>
  <c r="BG10" i="17"/>
  <c r="BA10" i="17"/>
  <c r="AY10" i="17"/>
  <c r="AS10" i="17"/>
  <c r="AQ10" i="17"/>
  <c r="AK10" i="17"/>
  <c r="AI10" i="17"/>
  <c r="AC10" i="17"/>
  <c r="AA10" i="17"/>
  <c r="U10" i="17"/>
  <c r="S10" i="17"/>
  <c r="M10" i="17"/>
  <c r="K10" i="17"/>
  <c r="CM86" i="17"/>
  <c r="CM8" i="17" s="1"/>
  <c r="D117" i="2" s="1"/>
  <c r="CI86" i="17"/>
  <c r="CI8" i="17" s="1"/>
  <c r="CE86" i="17"/>
  <c r="CE8" i="17" s="1"/>
  <c r="CA86" i="17"/>
  <c r="CA8" i="17" s="1"/>
  <c r="BW86" i="17"/>
  <c r="BW8" i="17" s="1"/>
  <c r="BS86" i="17"/>
  <c r="BS8" i="17" s="1"/>
  <c r="BO86" i="17"/>
  <c r="BO8" i="17" s="1"/>
  <c r="BI87" i="17"/>
  <c r="BI94" i="17"/>
  <c r="BI92" i="17"/>
  <c r="BG87" i="17"/>
  <c r="BJ72" i="17"/>
  <c r="BJ94" i="17" s="1"/>
  <c r="BG92" i="17"/>
  <c r="BE94" i="17"/>
  <c r="BE87" i="17"/>
  <c r="BE92" i="17"/>
  <c r="BC87" i="17"/>
  <c r="BC92" i="17"/>
  <c r="BF72" i="17"/>
  <c r="BI93" i="17" s="1"/>
  <c r="BA87" i="17"/>
  <c r="BA94" i="17"/>
  <c r="BA92" i="17"/>
  <c r="AY87" i="17"/>
  <c r="BB72" i="17"/>
  <c r="BB94" i="17" s="1"/>
  <c r="AY92" i="17"/>
  <c r="AW94" i="17"/>
  <c r="AW87" i="17"/>
  <c r="AW92" i="17"/>
  <c r="AU87" i="17"/>
  <c r="AU92" i="17"/>
  <c r="AX72" i="17"/>
  <c r="BA93" i="17" s="1"/>
  <c r="AS87" i="17"/>
  <c r="AS94" i="17"/>
  <c r="AS92" i="17"/>
  <c r="AQ87" i="17"/>
  <c r="AT72" i="17"/>
  <c r="AT94" i="17" s="1"/>
  <c r="AQ92" i="17"/>
  <c r="AO94" i="17"/>
  <c r="AO87" i="17"/>
  <c r="AO92" i="17"/>
  <c r="AM87" i="17"/>
  <c r="AM92" i="17"/>
  <c r="AP72" i="17"/>
  <c r="AS93" i="17" s="1"/>
  <c r="AK87" i="17"/>
  <c r="AK94" i="17"/>
  <c r="AK92" i="17"/>
  <c r="AI87" i="17"/>
  <c r="AL72" i="17"/>
  <c r="AL94" i="17" s="1"/>
  <c r="AI92" i="17"/>
  <c r="AG94" i="17"/>
  <c r="AG87" i="17"/>
  <c r="AG92" i="17"/>
  <c r="AE87" i="17"/>
  <c r="AE92" i="17"/>
  <c r="AH72" i="17"/>
  <c r="AK93" i="17" s="1"/>
  <c r="AC87" i="17"/>
  <c r="AC94" i="17"/>
  <c r="AC92" i="17"/>
  <c r="AA87" i="17"/>
  <c r="AD72" i="17"/>
  <c r="AD94" i="17" s="1"/>
  <c r="AA92" i="17"/>
  <c r="Y94" i="17"/>
  <c r="Y87" i="17"/>
  <c r="Y92" i="17"/>
  <c r="W87" i="17"/>
  <c r="W92" i="17"/>
  <c r="Z72" i="17"/>
  <c r="AC93" i="17" s="1"/>
  <c r="U87" i="17"/>
  <c r="U94" i="17"/>
  <c r="U92" i="17"/>
  <c r="S87" i="17"/>
  <c r="V72" i="17"/>
  <c r="V94" i="17" s="1"/>
  <c r="S92" i="17"/>
  <c r="Q94" i="17"/>
  <c r="Q87" i="17"/>
  <c r="Q92" i="17"/>
  <c r="O87" i="17"/>
  <c r="O92" i="17"/>
  <c r="R72" i="17"/>
  <c r="U93" i="17" s="1"/>
  <c r="M87" i="17"/>
  <c r="M94" i="17"/>
  <c r="M92" i="17"/>
  <c r="K87" i="17"/>
  <c r="N72" i="17"/>
  <c r="N94" i="17" s="1"/>
  <c r="K92" i="17"/>
  <c r="J72" i="17"/>
  <c r="I73" i="17" s="1"/>
  <c r="CO6" i="17"/>
  <c r="CM6" i="17"/>
  <c r="D115" i="2" s="1"/>
  <c r="CK6" i="17"/>
  <c r="CL28" i="17"/>
  <c r="DC36" i="11" s="1"/>
  <c r="CJ33" i="17"/>
  <c r="CI6" i="17"/>
  <c r="CK33" i="17"/>
  <c r="CG6" i="17"/>
  <c r="CE6" i="17"/>
  <c r="CC6" i="17"/>
  <c r="CD28" i="17"/>
  <c r="CS36" i="11" s="1"/>
  <c r="CB33" i="17"/>
  <c r="CA6" i="17"/>
  <c r="CC33" i="17"/>
  <c r="BY6" i="17"/>
  <c r="BW6" i="17"/>
  <c r="BU6" i="17"/>
  <c r="BV28" i="17"/>
  <c r="CI36" i="11" s="1"/>
  <c r="BT33" i="17"/>
  <c r="BS6" i="17"/>
  <c r="BU33" i="17"/>
  <c r="BQ6" i="17"/>
  <c r="BO6" i="17"/>
  <c r="BM6" i="17"/>
  <c r="BN28" i="17"/>
  <c r="BY36" i="11" s="1"/>
  <c r="BL33" i="17"/>
  <c r="BK6" i="17"/>
  <c r="BM33" i="17"/>
  <c r="BI6" i="17"/>
  <c r="BG6" i="17"/>
  <c r="BE6" i="17"/>
  <c r="BF28" i="17"/>
  <c r="BO36" i="11" s="1"/>
  <c r="BD33" i="17"/>
  <c r="BC6" i="17"/>
  <c r="BE33" i="17"/>
  <c r="BA6" i="17"/>
  <c r="AY6" i="17"/>
  <c r="AW6" i="17"/>
  <c r="AX28" i="17"/>
  <c r="BE36" i="11" s="1"/>
  <c r="AX18" i="17"/>
  <c r="AV33" i="17"/>
  <c r="AU6" i="17"/>
  <c r="AW33" i="17"/>
  <c r="AS6" i="17"/>
  <c r="AQ6" i="17"/>
  <c r="AO6" i="17"/>
  <c r="AP28" i="17"/>
  <c r="AU36" i="11" s="1"/>
  <c r="AN33" i="17"/>
  <c r="AM6" i="17"/>
  <c r="AO33" i="17"/>
  <c r="AK6" i="17"/>
  <c r="AI6" i="17"/>
  <c r="AG6" i="17"/>
  <c r="AH28" i="17"/>
  <c r="AK36" i="11" s="1"/>
  <c r="AF33" i="17"/>
  <c r="AE6" i="17"/>
  <c r="AG33" i="17"/>
  <c r="AC6" i="17"/>
  <c r="AA6" i="17"/>
  <c r="Y6" i="17"/>
  <c r="Z28" i="17"/>
  <c r="AA36" i="11" s="1"/>
  <c r="X33" i="17"/>
  <c r="W6" i="17"/>
  <c r="Y33" i="17"/>
  <c r="U6" i="17"/>
  <c r="S6" i="17"/>
  <c r="Q6" i="17"/>
  <c r="R28" i="17"/>
  <c r="Q36" i="11" s="1"/>
  <c r="P33" i="17"/>
  <c r="O6" i="17"/>
  <c r="Q33" i="17"/>
  <c r="M6" i="17"/>
  <c r="K6" i="17"/>
  <c r="Z126" i="8"/>
  <c r="Y120" i="8"/>
  <c r="V126" i="8"/>
  <c r="U120" i="8"/>
  <c r="R126" i="8"/>
  <c r="Q120" i="8"/>
  <c r="N126" i="8"/>
  <c r="M120" i="8"/>
  <c r="J126" i="8"/>
  <c r="I120" i="8"/>
  <c r="EE18" i="6"/>
  <c r="EE67" i="6" s="1"/>
  <c r="AB771" i="7"/>
  <c r="T17" i="21"/>
  <c r="AC142" i="7"/>
  <c r="U16" i="21" s="1"/>
  <c r="T16" i="21"/>
  <c r="T62" i="21" s="1"/>
  <c r="M62" i="21"/>
  <c r="M51" i="21"/>
  <c r="M63" i="21" s="1"/>
  <c r="I62" i="21"/>
  <c r="I51" i="21"/>
  <c r="I63" i="21" s="1"/>
  <c r="W63" i="8"/>
  <c r="W146" i="8"/>
  <c r="W78" i="8"/>
  <c r="W52" i="8"/>
  <c r="S63" i="8"/>
  <c r="S78" i="8"/>
  <c r="S52" i="8"/>
  <c r="O63" i="8"/>
  <c r="O78" i="8"/>
  <c r="O52" i="8"/>
  <c r="K63" i="8"/>
  <c r="K78" i="8"/>
  <c r="K79" i="8" s="1"/>
  <c r="K52" i="8"/>
  <c r="DS45" i="6"/>
  <c r="Z788" i="7"/>
  <c r="Z535" i="7"/>
  <c r="Z529" i="7"/>
  <c r="DG45" i="6"/>
  <c r="X788" i="7"/>
  <c r="X535" i="7"/>
  <c r="X529" i="7"/>
  <c r="CU45" i="6"/>
  <c r="V788" i="7"/>
  <c r="V789" i="7" s="1"/>
  <c r="V790" i="7" s="1"/>
  <c r="V529" i="7"/>
  <c r="V535" i="7"/>
  <c r="CI45" i="6"/>
  <c r="CI94" i="6" s="1"/>
  <c r="T788" i="7"/>
  <c r="T789" i="7" s="1"/>
  <c r="T790" i="7" s="1"/>
  <c r="T529" i="7"/>
  <c r="T535" i="7"/>
  <c r="DY35" i="6"/>
  <c r="AA781" i="7"/>
  <c r="AA411" i="7"/>
  <c r="AA405" i="7"/>
  <c r="DM35" i="6"/>
  <c r="Y781" i="7"/>
  <c r="Y411" i="7"/>
  <c r="Y405" i="7"/>
  <c r="CO35" i="6"/>
  <c r="U781" i="7"/>
  <c r="U411" i="7"/>
  <c r="U405" i="7"/>
  <c r="BQ35" i="6"/>
  <c r="Q781" i="7"/>
  <c r="Q411" i="7"/>
  <c r="Q405" i="7"/>
  <c r="AS35" i="6"/>
  <c r="M781" i="7"/>
  <c r="M411" i="7"/>
  <c r="M405" i="7"/>
  <c r="EB28" i="6"/>
  <c r="AB708" i="7"/>
  <c r="AC324" i="7"/>
  <c r="AA709" i="7"/>
  <c r="Y709" i="7"/>
  <c r="W709" i="7"/>
  <c r="U709" i="7"/>
  <c r="S709" i="7"/>
  <c r="Q709" i="7"/>
  <c r="O709" i="7"/>
  <c r="M709" i="7"/>
  <c r="Z230" i="7"/>
  <c r="AA199" i="8"/>
  <c r="Y199" i="8"/>
  <c r="W260" i="7"/>
  <c r="W182" i="8"/>
  <c r="W175" i="8"/>
  <c r="U199" i="8"/>
  <c r="S260" i="7"/>
  <c r="S182" i="8"/>
  <c r="S175" i="8"/>
  <c r="S167" i="8"/>
  <c r="Q199" i="8"/>
  <c r="O260" i="7"/>
  <c r="O182" i="8"/>
  <c r="O175" i="8"/>
  <c r="O167" i="8"/>
  <c r="M199" i="8"/>
  <c r="K182" i="8"/>
  <c r="K175" i="8"/>
  <c r="K167" i="8"/>
  <c r="I199" i="8"/>
  <c r="G182" i="8"/>
  <c r="G167" i="8"/>
  <c r="X127" i="7"/>
  <c r="X118" i="7"/>
  <c r="X180" i="7"/>
  <c r="X115" i="7"/>
  <c r="X77" i="7"/>
  <c r="T127" i="7"/>
  <c r="T118" i="7"/>
  <c r="T180" i="7"/>
  <c r="T115" i="7"/>
  <c r="T77" i="7"/>
  <c r="P127" i="7"/>
  <c r="P118" i="7"/>
  <c r="P180" i="7"/>
  <c r="P115" i="7"/>
  <c r="P77" i="7"/>
  <c r="L127" i="7"/>
  <c r="L118" i="7"/>
  <c r="L180" i="7"/>
  <c r="L115" i="7"/>
  <c r="L77" i="7"/>
  <c r="AA762" i="7"/>
  <c r="Y762" i="7"/>
  <c r="W762" i="7"/>
  <c r="U762" i="7"/>
  <c r="S762" i="7"/>
  <c r="Q762" i="7"/>
  <c r="O762" i="7"/>
  <c r="M762" i="7"/>
  <c r="AA510" i="7"/>
  <c r="AA499" i="7"/>
  <c r="AA490" i="7"/>
  <c r="AA491" i="7" s="1"/>
  <c r="AA478" i="7"/>
  <c r="DL43" i="6"/>
  <c r="DL40" i="6" s="1"/>
  <c r="Y507" i="7"/>
  <c r="Y496" i="7"/>
  <c r="Y651" i="7"/>
  <c r="Y641" i="7"/>
  <c r="CZ43" i="6"/>
  <c r="CZ40" i="6" s="1"/>
  <c r="W507" i="7"/>
  <c r="W496" i="7"/>
  <c r="W651" i="7"/>
  <c r="W641" i="7"/>
  <c r="CN43" i="6"/>
  <c r="U507" i="7"/>
  <c r="U496" i="7"/>
  <c r="U651" i="7"/>
  <c r="U641" i="7"/>
  <c r="CB43" i="6"/>
  <c r="CB40" i="6" s="1"/>
  <c r="S507" i="7"/>
  <c r="S496" i="7"/>
  <c r="BP43" i="6"/>
  <c r="BP40" i="6" s="1"/>
  <c r="Q507" i="7"/>
  <c r="Q496" i="7"/>
  <c r="BD43" i="6"/>
  <c r="BD40" i="6" s="1"/>
  <c r="O507" i="7"/>
  <c r="O496" i="7"/>
  <c r="AR43" i="6"/>
  <c r="M507" i="7"/>
  <c r="M496" i="7"/>
  <c r="AF43" i="6"/>
  <c r="AF40" i="6" s="1"/>
  <c r="T43" i="6"/>
  <c r="T40" i="6" s="1"/>
  <c r="H43" i="6"/>
  <c r="H40" i="6" s="1"/>
  <c r="Y626" i="7"/>
  <c r="Y637" i="7" s="1"/>
  <c r="Y281" i="7"/>
  <c r="Y291" i="7"/>
  <c r="Y267" i="7"/>
  <c r="Y289" i="7" s="1"/>
  <c r="Y262" i="7"/>
  <c r="W626" i="7"/>
  <c r="W637" i="7" s="1"/>
  <c r="W281" i="7"/>
  <c r="W291" i="7"/>
  <c r="W267" i="7"/>
  <c r="W289" i="7" s="1"/>
  <c r="W262" i="7"/>
  <c r="U626" i="7"/>
  <c r="U637" i="7" s="1"/>
  <c r="U281" i="7"/>
  <c r="U291" i="7"/>
  <c r="U267" i="7"/>
  <c r="U289" i="7" s="1"/>
  <c r="U262" i="7"/>
  <c r="S626" i="7"/>
  <c r="S637" i="7" s="1"/>
  <c r="S281" i="7"/>
  <c r="S291" i="7"/>
  <c r="S267" i="7"/>
  <c r="S289" i="7" s="1"/>
  <c r="S262" i="7"/>
  <c r="Q626" i="7"/>
  <c r="Q637" i="7" s="1"/>
  <c r="Q281" i="7"/>
  <c r="Q291" i="7"/>
  <c r="Q267" i="7"/>
  <c r="Q289" i="7" s="1"/>
  <c r="Q262" i="7"/>
  <c r="O626" i="7"/>
  <c r="O637" i="7" s="1"/>
  <c r="O281" i="7"/>
  <c r="O291" i="7"/>
  <c r="O267" i="7"/>
  <c r="O289" i="7" s="1"/>
  <c r="O262" i="7"/>
  <c r="M626" i="7"/>
  <c r="M637" i="7" s="1"/>
  <c r="M281" i="7"/>
  <c r="M291" i="7"/>
  <c r="M267" i="7"/>
  <c r="M289" i="7" s="1"/>
  <c r="M262" i="7"/>
  <c r="AA247" i="7"/>
  <c r="W247" i="7"/>
  <c r="S247" i="7"/>
  <c r="Y168" i="7"/>
  <c r="Y164" i="7"/>
  <c r="Y588" i="7" s="1"/>
  <c r="Y173" i="7"/>
  <c r="W168" i="7"/>
  <c r="W164" i="7"/>
  <c r="W588" i="7" s="1"/>
  <c r="W173" i="7"/>
  <c r="U168" i="7"/>
  <c r="U164" i="7"/>
  <c r="U588" i="7" s="1"/>
  <c r="U173" i="7"/>
  <c r="S168" i="7"/>
  <c r="S164" i="7"/>
  <c r="S588" i="7" s="1"/>
  <c r="S173" i="7"/>
  <c r="Q168" i="7"/>
  <c r="Q164" i="7"/>
  <c r="Q173" i="7"/>
  <c r="O168" i="7"/>
  <c r="O164" i="7"/>
  <c r="O173" i="7"/>
  <c r="M168" i="7"/>
  <c r="M164" i="7"/>
  <c r="M173" i="7"/>
  <c r="AA756" i="7"/>
  <c r="O756" i="7"/>
  <c r="AA35" i="7"/>
  <c r="AA36" i="7" s="1"/>
  <c r="AA38" i="7"/>
  <c r="AA697" i="7"/>
  <c r="AA699" i="7" s="1"/>
  <c r="Y35" i="7"/>
  <c r="Y36" i="7" s="1"/>
  <c r="Y38" i="7"/>
  <c r="Y697" i="7"/>
  <c r="Y699" i="7" s="1"/>
  <c r="W635" i="7"/>
  <c r="U35" i="7"/>
  <c r="U36" i="7" s="1"/>
  <c r="U38" i="7"/>
  <c r="U697" i="7"/>
  <c r="U699" i="7" s="1"/>
  <c r="S635" i="7"/>
  <c r="Q35" i="7"/>
  <c r="Q36" i="7" s="1"/>
  <c r="T37" i="7" s="1"/>
  <c r="Q38" i="7"/>
  <c r="T39" i="7" s="1"/>
  <c r="Q697" i="7"/>
  <c r="Q699" i="7" s="1"/>
  <c r="O635" i="7"/>
  <c r="M35" i="7"/>
  <c r="M36" i="7" s="1"/>
  <c r="M38" i="7"/>
  <c r="M697" i="7"/>
  <c r="M699" i="7" s="1"/>
  <c r="Z172" i="8"/>
  <c r="Z144" i="8"/>
  <c r="Z117" i="8" s="1"/>
  <c r="Z179" i="8"/>
  <c r="X213" i="8"/>
  <c r="X196" i="8"/>
  <c r="X654" i="7"/>
  <c r="X444" i="7"/>
  <c r="X432" i="7"/>
  <c r="X416" i="7"/>
  <c r="V213" i="8"/>
  <c r="V196" i="8"/>
  <c r="V654" i="7"/>
  <c r="V444" i="7"/>
  <c r="V432" i="7"/>
  <c r="V416" i="7"/>
  <c r="T213" i="8"/>
  <c r="T196" i="8"/>
  <c r="T654" i="7"/>
  <c r="T444" i="7"/>
  <c r="T432" i="7"/>
  <c r="R213" i="8"/>
  <c r="R196" i="8"/>
  <c r="R654" i="7"/>
  <c r="R444" i="7"/>
  <c r="R432" i="7"/>
  <c r="P213" i="8"/>
  <c r="P196" i="8"/>
  <c r="P654" i="7"/>
  <c r="P444" i="7"/>
  <c r="P432" i="7"/>
  <c r="N213" i="8"/>
  <c r="N196" i="8"/>
  <c r="N654" i="7"/>
  <c r="N444" i="7"/>
  <c r="N432" i="7"/>
  <c r="L213" i="8"/>
  <c r="L196" i="8"/>
  <c r="L654" i="7"/>
  <c r="L444" i="7"/>
  <c r="L432" i="7"/>
  <c r="J213" i="8"/>
  <c r="J196" i="8"/>
  <c r="H213" i="8"/>
  <c r="H196" i="8"/>
  <c r="Z129" i="7"/>
  <c r="Z113" i="7"/>
  <c r="Z423" i="7"/>
  <c r="Z182" i="7"/>
  <c r="Z120" i="7"/>
  <c r="Z87" i="7"/>
  <c r="X129" i="7"/>
  <c r="X113" i="7"/>
  <c r="X423" i="7"/>
  <c r="X182" i="7"/>
  <c r="X120" i="7"/>
  <c r="X87" i="7"/>
  <c r="V129" i="7"/>
  <c r="V113" i="7"/>
  <c r="V423" i="7"/>
  <c r="V182" i="7"/>
  <c r="V120" i="7"/>
  <c r="V87" i="7"/>
  <c r="T129" i="7"/>
  <c r="T113" i="7"/>
  <c r="T423" i="7"/>
  <c r="T182" i="7"/>
  <c r="T120" i="7"/>
  <c r="T87" i="7"/>
  <c r="R129" i="7"/>
  <c r="R113" i="7"/>
  <c r="R423" i="7"/>
  <c r="R182" i="7"/>
  <c r="R120" i="7"/>
  <c r="R87" i="7"/>
  <c r="P129" i="7"/>
  <c r="P113" i="7"/>
  <c r="P423" i="7"/>
  <c r="P182" i="7"/>
  <c r="P120" i="7"/>
  <c r="P87" i="7"/>
  <c r="N129" i="7"/>
  <c r="N113" i="7"/>
  <c r="N423" i="7"/>
  <c r="N182" i="7"/>
  <c r="N120" i="7"/>
  <c r="N87" i="7"/>
  <c r="L129" i="7"/>
  <c r="L113" i="7"/>
  <c r="L423" i="7"/>
  <c r="L182" i="7"/>
  <c r="L120" i="7"/>
  <c r="L87" i="7"/>
  <c r="EC33" i="6"/>
  <c r="EC82" i="6" s="1"/>
  <c r="AB731" i="7"/>
  <c r="AC325" i="7"/>
  <c r="EC32" i="6"/>
  <c r="EC81" i="6" s="1"/>
  <c r="AB730" i="7"/>
  <c r="AC299" i="7"/>
  <c r="Z732" i="7"/>
  <c r="X732" i="7"/>
  <c r="V732" i="7"/>
  <c r="T732" i="7"/>
  <c r="R732" i="7"/>
  <c r="P732" i="7"/>
  <c r="N732" i="7"/>
  <c r="L732" i="7"/>
  <c r="AA238" i="7"/>
  <c r="Y238" i="7"/>
  <c r="Z241" i="7"/>
  <c r="U238" i="7"/>
  <c r="V241" i="7"/>
  <c r="Q238" i="7"/>
  <c r="M238" i="7"/>
  <c r="EC10" i="6"/>
  <c r="EC59" i="6" s="1"/>
  <c r="AC47" i="7"/>
  <c r="E201" i="2" s="1"/>
  <c r="W181" i="7"/>
  <c r="W128" i="7"/>
  <c r="W119" i="7"/>
  <c r="W236" i="7" s="1"/>
  <c r="W82" i="7"/>
  <c r="S181" i="7"/>
  <c r="S128" i="7"/>
  <c r="S119" i="7"/>
  <c r="S236" i="7" s="1"/>
  <c r="S82" i="7"/>
  <c r="O181" i="7"/>
  <c r="O128" i="7"/>
  <c r="O119" i="7"/>
  <c r="O236" i="7" s="1"/>
  <c r="O82" i="7"/>
  <c r="G12" i="6"/>
  <c r="AA193" i="8"/>
  <c r="AA248" i="8"/>
  <c r="AA197" i="8"/>
  <c r="AA228" i="7" s="1"/>
  <c r="Y180" i="8"/>
  <c r="Y173" i="8"/>
  <c r="Y164" i="8"/>
  <c r="Y145" i="8"/>
  <c r="W180" i="8"/>
  <c r="W173" i="8"/>
  <c r="W164" i="8"/>
  <c r="W145" i="8"/>
  <c r="U180" i="8"/>
  <c r="U173" i="8"/>
  <c r="U164" i="8"/>
  <c r="U145" i="8"/>
  <c r="S180" i="8"/>
  <c r="S173" i="8"/>
  <c r="S164" i="8"/>
  <c r="S145" i="8"/>
  <c r="Q180" i="8"/>
  <c r="Q173" i="8"/>
  <c r="Q164" i="8"/>
  <c r="Q145" i="8"/>
  <c r="O180" i="8"/>
  <c r="O173" i="8"/>
  <c r="O164" i="8"/>
  <c r="O145" i="8"/>
  <c r="M180" i="8"/>
  <c r="M173" i="8"/>
  <c r="M164" i="8"/>
  <c r="M145" i="8"/>
  <c r="K180" i="8"/>
  <c r="K173" i="8"/>
  <c r="K164" i="8"/>
  <c r="K145" i="8"/>
  <c r="I180" i="8"/>
  <c r="I173" i="8"/>
  <c r="I164" i="8"/>
  <c r="I145" i="8"/>
  <c r="G180" i="8"/>
  <c r="G164" i="8"/>
  <c r="G145" i="8"/>
  <c r="G159" i="8" s="1"/>
  <c r="S9" i="21"/>
  <c r="S10" i="21" s="1"/>
  <c r="AA459" i="12"/>
  <c r="S78" i="21"/>
  <c r="S77" i="21"/>
  <c r="S88" i="21"/>
  <c r="S75" i="21"/>
  <c r="S74" i="21"/>
  <c r="S73" i="21"/>
  <c r="S72" i="21"/>
  <c r="S71" i="21"/>
  <c r="S70" i="21"/>
  <c r="S7" i="21"/>
  <c r="Y218" i="7"/>
  <c r="Y216" i="7"/>
  <c r="Y217" i="7"/>
  <c r="W218" i="7"/>
  <c r="W216" i="7"/>
  <c r="W217" i="7"/>
  <c r="U218" i="7"/>
  <c r="U216" i="7"/>
  <c r="U217" i="7"/>
  <c r="S218" i="7"/>
  <c r="S216" i="7"/>
  <c r="S217" i="7"/>
  <c r="I9" i="21"/>
  <c r="I10" i="21" s="1"/>
  <c r="Q459" i="12"/>
  <c r="I78" i="21"/>
  <c r="I77" i="21"/>
  <c r="I76" i="21"/>
  <c r="I75" i="21"/>
  <c r="I74" i="21"/>
  <c r="I73" i="21"/>
  <c r="I72" i="21"/>
  <c r="I71" i="21"/>
  <c r="I70" i="21"/>
  <c r="I7" i="21"/>
  <c r="O218" i="7"/>
  <c r="O216" i="7"/>
  <c r="O217" i="7"/>
  <c r="M218" i="7"/>
  <c r="M216" i="7"/>
  <c r="M217" i="7"/>
  <c r="E8" i="6"/>
  <c r="J8" i="6" s="1"/>
  <c r="AA39" i="8"/>
  <c r="Y39" i="8"/>
  <c r="W43" i="8"/>
  <c r="W24" i="8"/>
  <c r="W18" i="8"/>
  <c r="W11" i="8"/>
  <c r="W8" i="8"/>
  <c r="U39" i="8"/>
  <c r="S43" i="8"/>
  <c r="S24" i="8"/>
  <c r="S18" i="8"/>
  <c r="S11" i="8"/>
  <c r="S8" i="8"/>
  <c r="Q39" i="8"/>
  <c r="O43" i="8"/>
  <c r="O24" i="8"/>
  <c r="O18" i="8"/>
  <c r="O11" i="8"/>
  <c r="O8" i="8"/>
  <c r="M39" i="8"/>
  <c r="K43" i="8"/>
  <c r="K24" i="8"/>
  <c r="K18" i="8"/>
  <c r="K11" i="8"/>
  <c r="K8" i="8"/>
  <c r="I39" i="8"/>
  <c r="G43" i="8"/>
  <c r="G11" i="8"/>
  <c r="G8" i="8"/>
  <c r="AB102" i="8"/>
  <c r="AB82" i="8"/>
  <c r="Z102" i="8"/>
  <c r="Z82" i="8"/>
  <c r="X102" i="8"/>
  <c r="X82" i="8"/>
  <c r="V58" i="8"/>
  <c r="V47" i="8"/>
  <c r="V69" i="8" s="1"/>
  <c r="T102" i="8"/>
  <c r="T82" i="8"/>
  <c r="R58" i="8"/>
  <c r="R47" i="8"/>
  <c r="R69" i="8" s="1"/>
  <c r="P102" i="8"/>
  <c r="P82" i="8"/>
  <c r="N58" i="8"/>
  <c r="N47" i="8"/>
  <c r="N69" i="8" s="1"/>
  <c r="L102" i="8"/>
  <c r="L82" i="8"/>
  <c r="J58" i="8"/>
  <c r="J47" i="8"/>
  <c r="J69" i="8" s="1"/>
  <c r="M70" i="8" s="1"/>
  <c r="H102" i="8"/>
  <c r="H82" i="8"/>
  <c r="AA61" i="8"/>
  <c r="AA50" i="8"/>
  <c r="E176" i="2"/>
  <c r="X43" i="8"/>
  <c r="X24" i="8"/>
  <c r="X18" i="8"/>
  <c r="X11" i="8"/>
  <c r="X8" i="8"/>
  <c r="T39" i="8"/>
  <c r="T42" i="8"/>
  <c r="T41" i="8"/>
  <c r="P43" i="8"/>
  <c r="P24" i="8"/>
  <c r="P18" i="8"/>
  <c r="P11" i="8"/>
  <c r="P8" i="8"/>
  <c r="L39" i="8"/>
  <c r="H43" i="8"/>
  <c r="H24" i="8"/>
  <c r="H18" i="8"/>
  <c r="H11" i="8"/>
  <c r="H8" i="8"/>
  <c r="Y82" i="8"/>
  <c r="Y102" i="8"/>
  <c r="U58" i="8"/>
  <c r="U47" i="8"/>
  <c r="U69" i="8" s="1"/>
  <c r="Q82" i="8"/>
  <c r="Q102" i="8"/>
  <c r="M58" i="8"/>
  <c r="M47" i="8"/>
  <c r="M69" i="8" s="1"/>
  <c r="I82" i="8"/>
  <c r="I102" i="8"/>
  <c r="X61" i="8"/>
  <c r="X50" i="8"/>
  <c r="T61" i="8"/>
  <c r="T50" i="8"/>
  <c r="P61" i="8"/>
  <c r="P50" i="8"/>
  <c r="L61" i="8"/>
  <c r="L50" i="8"/>
  <c r="H61" i="8"/>
  <c r="H50" i="8"/>
  <c r="CK47" i="6"/>
  <c r="U430" i="12"/>
  <c r="U267" i="12"/>
  <c r="U263" i="12"/>
  <c r="CB11" i="11"/>
  <c r="CB81" i="11"/>
  <c r="BM47" i="6"/>
  <c r="Q430" i="12"/>
  <c r="Q267" i="12"/>
  <c r="Q263" i="12"/>
  <c r="BH11" i="11"/>
  <c r="BH81" i="11"/>
  <c r="AO47" i="6"/>
  <c r="M430" i="12"/>
  <c r="M267" i="12"/>
  <c r="M263" i="12"/>
  <c r="AN11" i="11"/>
  <c r="AN81" i="11"/>
  <c r="Q47" i="6"/>
  <c r="I430" i="12"/>
  <c r="I267" i="12"/>
  <c r="I263" i="12"/>
  <c r="T11" i="11"/>
  <c r="T81" i="11"/>
  <c r="BF237" i="17"/>
  <c r="AX237" i="17"/>
  <c r="AP237" i="17"/>
  <c r="AH237" i="17"/>
  <c r="Z237" i="17"/>
  <c r="R237" i="17"/>
  <c r="BF234" i="17"/>
  <c r="AX234" i="17"/>
  <c r="AP234" i="17"/>
  <c r="AH234" i="17"/>
  <c r="Z234" i="17"/>
  <c r="R234" i="17"/>
  <c r="BF83" i="17"/>
  <c r="AX83" i="17"/>
  <c r="AP83" i="17"/>
  <c r="AH83" i="17"/>
  <c r="Z83" i="17"/>
  <c r="R83" i="17"/>
  <c r="BF80" i="17"/>
  <c r="AX80" i="17"/>
  <c r="AP80" i="17"/>
  <c r="AH80" i="17"/>
  <c r="Z80" i="17"/>
  <c r="R80" i="17"/>
  <c r="BF77" i="17"/>
  <c r="AX77" i="17"/>
  <c r="AP77" i="17"/>
  <c r="AH77" i="17"/>
  <c r="Z77" i="17"/>
  <c r="R77" i="17"/>
  <c r="CH180" i="17"/>
  <c r="BZ180" i="17"/>
  <c r="BR180" i="17"/>
  <c r="BJ180" i="17"/>
  <c r="BB180" i="17"/>
  <c r="AT180" i="17"/>
  <c r="AL180" i="17"/>
  <c r="AD180" i="17"/>
  <c r="V180" i="17"/>
  <c r="CD177" i="17"/>
  <c r="BV177" i="17"/>
  <c r="BN177" i="17"/>
  <c r="BF177" i="17"/>
  <c r="AX177" i="17"/>
  <c r="AP177" i="17"/>
  <c r="AH177" i="17"/>
  <c r="Z177" i="17"/>
  <c r="R177" i="17"/>
  <c r="N298" i="17"/>
  <c r="N300" i="17" s="1"/>
  <c r="H384" i="12"/>
  <c r="F271" i="2"/>
  <c r="CP328" i="17"/>
  <c r="AB382" i="12"/>
  <c r="CL328" i="17"/>
  <c r="AA382" i="12"/>
  <c r="CH328" i="17"/>
  <c r="Z382" i="12"/>
  <c r="CD328" i="17"/>
  <c r="Y382" i="12"/>
  <c r="BZ328" i="17"/>
  <c r="X382" i="12"/>
  <c r="BV328" i="17"/>
  <c r="W382" i="12"/>
  <c r="BR328" i="17"/>
  <c r="V382" i="12"/>
  <c r="BN328" i="17"/>
  <c r="U382" i="12"/>
  <c r="BJ328" i="17"/>
  <c r="T382" i="12"/>
  <c r="BF328" i="17"/>
  <c r="S382" i="12"/>
  <c r="BB328" i="17"/>
  <c r="R382" i="12"/>
  <c r="AX328" i="17"/>
  <c r="Q382" i="12"/>
  <c r="AT328" i="17"/>
  <c r="P382" i="12"/>
  <c r="AP328" i="17"/>
  <c r="O382" i="12"/>
  <c r="AL328" i="17"/>
  <c r="N382" i="12"/>
  <c r="AH328" i="17"/>
  <c r="M382" i="12"/>
  <c r="AD328" i="17"/>
  <c r="L382" i="12"/>
  <c r="Z328" i="17"/>
  <c r="K382" i="12"/>
  <c r="V328" i="17"/>
  <c r="J382" i="12"/>
  <c r="R328" i="17"/>
  <c r="I382" i="12"/>
  <c r="CP327" i="17"/>
  <c r="AB381" i="12"/>
  <c r="CH327" i="17"/>
  <c r="Z381" i="12"/>
  <c r="BZ327" i="17"/>
  <c r="X381" i="12"/>
  <c r="BR327" i="17"/>
  <c r="V381" i="12"/>
  <c r="BJ327" i="17"/>
  <c r="T381" i="12"/>
  <c r="BB327" i="17"/>
  <c r="R381" i="12"/>
  <c r="AT327" i="17"/>
  <c r="P381" i="12"/>
  <c r="AL327" i="17"/>
  <c r="N381" i="12"/>
  <c r="AD327" i="17"/>
  <c r="L381" i="12"/>
  <c r="V327" i="17"/>
  <c r="J381" i="12"/>
  <c r="CW279" i="17"/>
  <c r="CH326" i="17"/>
  <c r="Z380" i="12"/>
  <c r="BZ326" i="17"/>
  <c r="X380" i="12"/>
  <c r="BR326" i="17"/>
  <c r="V380" i="12"/>
  <c r="BJ326" i="17"/>
  <c r="T380" i="12"/>
  <c r="BB326" i="17"/>
  <c r="R380" i="12"/>
  <c r="AT326" i="17"/>
  <c r="P380" i="12"/>
  <c r="AL326" i="17"/>
  <c r="N380" i="12"/>
  <c r="AD326" i="17"/>
  <c r="L380" i="12"/>
  <c r="V326" i="17"/>
  <c r="J380" i="12"/>
  <c r="CP325" i="17"/>
  <c r="AB379" i="12"/>
  <c r="CH325" i="17"/>
  <c r="Z379" i="12"/>
  <c r="BZ325" i="17"/>
  <c r="X379" i="12"/>
  <c r="BR325" i="17"/>
  <c r="V379" i="12"/>
  <c r="BJ325" i="17"/>
  <c r="T379" i="12"/>
  <c r="BB325" i="17"/>
  <c r="R379" i="12"/>
  <c r="AT325" i="17"/>
  <c r="P379" i="12"/>
  <c r="AL325" i="17"/>
  <c r="N379" i="12"/>
  <c r="AD325" i="17"/>
  <c r="L379" i="12"/>
  <c r="V325" i="17"/>
  <c r="J379" i="12"/>
  <c r="D267" i="2"/>
  <c r="CL324" i="17"/>
  <c r="AA378" i="12"/>
  <c r="CH324" i="17"/>
  <c r="Z378" i="12"/>
  <c r="CD324" i="17"/>
  <c r="Y378" i="12"/>
  <c r="BZ324" i="17"/>
  <c r="X378" i="12"/>
  <c r="BV324" i="17"/>
  <c r="W378" i="12"/>
  <c r="BR324" i="17"/>
  <c r="V378" i="12"/>
  <c r="BN324" i="17"/>
  <c r="U378" i="12"/>
  <c r="BJ324" i="17"/>
  <c r="T378" i="12"/>
  <c r="BF329" i="17"/>
  <c r="S383" i="12"/>
  <c r="BB329" i="17"/>
  <c r="R383" i="12"/>
  <c r="AX329" i="17"/>
  <c r="Q383" i="12"/>
  <c r="AT329" i="17"/>
  <c r="P383" i="12"/>
  <c r="AL329" i="17"/>
  <c r="N383" i="12"/>
  <c r="AH329" i="17"/>
  <c r="M383" i="12"/>
  <c r="AD329" i="17"/>
  <c r="L383" i="12"/>
  <c r="Z329" i="17"/>
  <c r="K383" i="12"/>
  <c r="V329" i="17"/>
  <c r="J383" i="12"/>
  <c r="R329" i="17"/>
  <c r="I383" i="12"/>
  <c r="N329" i="17"/>
  <c r="N295" i="17"/>
  <c r="N297" i="17" s="1"/>
  <c r="H383" i="12"/>
  <c r="CP264" i="17"/>
  <c r="CM15" i="17"/>
  <c r="CI15" i="17"/>
  <c r="CK269" i="17"/>
  <c r="CE269" i="17"/>
  <c r="CE15" i="17"/>
  <c r="CA15" i="17"/>
  <c r="BZ264" i="17"/>
  <c r="BZ120" i="17" s="1"/>
  <c r="BW15" i="17"/>
  <c r="BS15" i="17"/>
  <c r="BS121" i="17" s="1"/>
  <c r="BU269" i="17"/>
  <c r="BO269" i="17"/>
  <c r="BO15" i="17"/>
  <c r="BO121" i="17" s="1"/>
  <c r="BK15" i="17"/>
  <c r="BK121" i="17" s="1"/>
  <c r="BJ264" i="17"/>
  <c r="BG15" i="17"/>
  <c r="BC15" i="17"/>
  <c r="BE269" i="17"/>
  <c r="AY269" i="17"/>
  <c r="AY15" i="17"/>
  <c r="AU15" i="17"/>
  <c r="AT264" i="17"/>
  <c r="AQ15" i="17"/>
  <c r="AM15" i="17"/>
  <c r="AO269" i="17"/>
  <c r="AI269" i="17"/>
  <c r="AI15" i="17"/>
  <c r="AE15" i="17"/>
  <c r="AD264" i="17"/>
  <c r="AA15" i="17"/>
  <c r="W15" i="17"/>
  <c r="Y269" i="17"/>
  <c r="S269" i="17"/>
  <c r="S15" i="17"/>
  <c r="O15" i="17"/>
  <c r="K15" i="17"/>
  <c r="CO13" i="17"/>
  <c r="CK13" i="17"/>
  <c r="CG13" i="17"/>
  <c r="CC13" i="17"/>
  <c r="BY13" i="17"/>
  <c r="BU13" i="17"/>
  <c r="BQ13" i="17"/>
  <c r="BM13" i="17"/>
  <c r="BI13" i="17"/>
  <c r="BE13" i="17"/>
  <c r="BA13" i="17"/>
  <c r="AW13" i="17"/>
  <c r="AS13" i="17"/>
  <c r="AO13" i="17"/>
  <c r="AK13" i="17"/>
  <c r="AG13" i="17"/>
  <c r="AC13" i="17"/>
  <c r="Y13" i="17"/>
  <c r="U13" i="17"/>
  <c r="Q13" i="17"/>
  <c r="M13" i="17"/>
  <c r="CO11" i="17"/>
  <c r="CK11" i="17"/>
  <c r="CL202" i="17"/>
  <c r="CG11" i="17"/>
  <c r="CC11" i="17"/>
  <c r="CD202" i="17"/>
  <c r="BY11" i="17"/>
  <c r="BU11" i="17"/>
  <c r="BV202" i="17"/>
  <c r="BQ11" i="17"/>
  <c r="BM11" i="17"/>
  <c r="BN202" i="17"/>
  <c r="BI11" i="17"/>
  <c r="BE11" i="17"/>
  <c r="BA11" i="17"/>
  <c r="AW11" i="17"/>
  <c r="AS11" i="17"/>
  <c r="AO11" i="17"/>
  <c r="AK11" i="17"/>
  <c r="AG11" i="17"/>
  <c r="AC11" i="17"/>
  <c r="Y11" i="17"/>
  <c r="U11" i="17"/>
  <c r="Q11" i="17"/>
  <c r="M11" i="17"/>
  <c r="CM9" i="17"/>
  <c r="CI9" i="17"/>
  <c r="CE9" i="17"/>
  <c r="CA9" i="17"/>
  <c r="BW9" i="17"/>
  <c r="BS9" i="17"/>
  <c r="BO9" i="17"/>
  <c r="BK9" i="17"/>
  <c r="BG9" i="17"/>
  <c r="BC9" i="17"/>
  <c r="AY9" i="17"/>
  <c r="AU9" i="17"/>
  <c r="AQ9" i="17"/>
  <c r="AM9" i="17"/>
  <c r="AI9" i="17"/>
  <c r="AE9" i="17"/>
  <c r="AA9" i="17"/>
  <c r="W9" i="17"/>
  <c r="S9" i="17"/>
  <c r="O9" i="17"/>
  <c r="K9" i="17"/>
  <c r="J145" i="17"/>
  <c r="CM240" i="17"/>
  <c r="CM14" i="17" s="1"/>
  <c r="D123" i="2" s="1"/>
  <c r="CL242" i="17"/>
  <c r="DC104" i="11" s="1"/>
  <c r="CI240" i="17"/>
  <c r="CI14" i="17" s="1"/>
  <c r="CJ247" i="17"/>
  <c r="CF247" i="17"/>
  <c r="CE240" i="17"/>
  <c r="CE14" i="17" s="1"/>
  <c r="CE247" i="17"/>
  <c r="CC247" i="17"/>
  <c r="CA240" i="17"/>
  <c r="CA14" i="17" s="1"/>
  <c r="CB247" i="17"/>
  <c r="BW240" i="17"/>
  <c r="BW14" i="17" s="1"/>
  <c r="BV242" i="17"/>
  <c r="CI104" i="11" s="1"/>
  <c r="BS240" i="17"/>
  <c r="BS14" i="17" s="1"/>
  <c r="BT247" i="17"/>
  <c r="BR249" i="17"/>
  <c r="BP247" i="17"/>
  <c r="BO240" i="17"/>
  <c r="BO14" i="17" s="1"/>
  <c r="BO247" i="17"/>
  <c r="BM246" i="17"/>
  <c r="BN249" i="17" s="1"/>
  <c r="BK241" i="17"/>
  <c r="BI256" i="17"/>
  <c r="BI257" i="17" s="1"/>
  <c r="BI240" i="17"/>
  <c r="BI14" i="17" s="1"/>
  <c r="BI226" i="17"/>
  <c r="BG256" i="17"/>
  <c r="BG257" i="17" s="1"/>
  <c r="BG240" i="17"/>
  <c r="BG14" i="17" s="1"/>
  <c r="BG226" i="17"/>
  <c r="BE256" i="17"/>
  <c r="BE257" i="17" s="1"/>
  <c r="BE240" i="17"/>
  <c r="BE14" i="17" s="1"/>
  <c r="BE226" i="17"/>
  <c r="BC256" i="17"/>
  <c r="BC257" i="17" s="1"/>
  <c r="BC240" i="17"/>
  <c r="BC14" i="17" s="1"/>
  <c r="BC226" i="17"/>
  <c r="BA256" i="17"/>
  <c r="BA257" i="17" s="1"/>
  <c r="BA240" i="17"/>
  <c r="BA14" i="17" s="1"/>
  <c r="BA226" i="17"/>
  <c r="AY256" i="17"/>
  <c r="AY257" i="17" s="1"/>
  <c r="AY240" i="17"/>
  <c r="AY14" i="17" s="1"/>
  <c r="AY226" i="17"/>
  <c r="AW256" i="17"/>
  <c r="AW257" i="17" s="1"/>
  <c r="AW240" i="17"/>
  <c r="AW14" i="17" s="1"/>
  <c r="AW226" i="17"/>
  <c r="AU256" i="17"/>
  <c r="AU257" i="17" s="1"/>
  <c r="AU240" i="17"/>
  <c r="AU14" i="17" s="1"/>
  <c r="AU226" i="17"/>
  <c r="AS256" i="17"/>
  <c r="AS257" i="17" s="1"/>
  <c r="AS240" i="17"/>
  <c r="AS14" i="17" s="1"/>
  <c r="AS226" i="17"/>
  <c r="AQ256" i="17"/>
  <c r="AQ257" i="17" s="1"/>
  <c r="AQ240" i="17"/>
  <c r="AQ14" i="17" s="1"/>
  <c r="AQ226" i="17"/>
  <c r="AO256" i="17"/>
  <c r="AO257" i="17" s="1"/>
  <c r="AO240" i="17"/>
  <c r="AO14" i="17" s="1"/>
  <c r="AO226" i="17"/>
  <c r="AM256" i="17"/>
  <c r="AM257" i="17" s="1"/>
  <c r="AM240" i="17"/>
  <c r="AM14" i="17" s="1"/>
  <c r="AM226" i="17"/>
  <c r="AK256" i="17"/>
  <c r="AK257" i="17" s="1"/>
  <c r="AK240" i="17"/>
  <c r="AK14" i="17" s="1"/>
  <c r="AK226" i="17"/>
  <c r="AI256" i="17"/>
  <c r="AI257" i="17" s="1"/>
  <c r="AI240" i="17"/>
  <c r="AI14" i="17" s="1"/>
  <c r="AI226" i="17"/>
  <c r="AG256" i="17"/>
  <c r="AG257" i="17" s="1"/>
  <c r="AG240" i="17"/>
  <c r="AG14" i="17" s="1"/>
  <c r="AG226" i="17"/>
  <c r="AE256" i="17"/>
  <c r="AE257" i="17" s="1"/>
  <c r="AE240" i="17"/>
  <c r="AE14" i="17" s="1"/>
  <c r="AE226" i="17"/>
  <c r="AC256" i="17"/>
  <c r="AC257" i="17" s="1"/>
  <c r="AC240" i="17"/>
  <c r="AC14" i="17" s="1"/>
  <c r="AC226" i="17"/>
  <c r="AA256" i="17"/>
  <c r="AA257" i="17" s="1"/>
  <c r="AA240" i="17"/>
  <c r="AA14" i="17" s="1"/>
  <c r="AA226" i="17"/>
  <c r="Y256" i="17"/>
  <c r="Y257" i="17" s="1"/>
  <c r="Y240" i="17"/>
  <c r="Y14" i="17" s="1"/>
  <c r="Y226" i="17"/>
  <c r="W256" i="17"/>
  <c r="W257" i="17" s="1"/>
  <c r="W240" i="17"/>
  <c r="W14" i="17" s="1"/>
  <c r="W226" i="17"/>
  <c r="U256" i="17"/>
  <c r="U257" i="17" s="1"/>
  <c r="U240" i="17"/>
  <c r="U14" i="17" s="1"/>
  <c r="U226" i="17"/>
  <c r="S256" i="17"/>
  <c r="S257" i="17" s="1"/>
  <c r="S240" i="17"/>
  <c r="S14" i="17" s="1"/>
  <c r="S226" i="17"/>
  <c r="Q256" i="17"/>
  <c r="Q257" i="17" s="1"/>
  <c r="Q240" i="17"/>
  <c r="Q14" i="17" s="1"/>
  <c r="Q226" i="17"/>
  <c r="O256" i="17"/>
  <c r="O257" i="17" s="1"/>
  <c r="O240" i="17"/>
  <c r="O14" i="17" s="1"/>
  <c r="O226" i="17"/>
  <c r="M256" i="17"/>
  <c r="M257" i="17" s="1"/>
  <c r="M240" i="17"/>
  <c r="M14" i="17" s="1"/>
  <c r="M226" i="17"/>
  <c r="K256" i="17"/>
  <c r="K257" i="17" s="1"/>
  <c r="K240" i="17"/>
  <c r="K14" i="17" s="1"/>
  <c r="K226" i="17"/>
  <c r="I256" i="17"/>
  <c r="I257" i="17" s="1"/>
  <c r="I240" i="17"/>
  <c r="I14" i="17" s="1"/>
  <c r="I226" i="17"/>
  <c r="G256" i="17"/>
  <c r="G257" i="17" s="1"/>
  <c r="G226" i="17"/>
  <c r="CM12" i="17"/>
  <c r="D121" i="2" s="1"/>
  <c r="CM190" i="17"/>
  <c r="CN190" i="17"/>
  <c r="CK12" i="17"/>
  <c r="CI12" i="17"/>
  <c r="CJ190" i="17"/>
  <c r="CI190" i="17"/>
  <c r="CE12" i="17"/>
  <c r="CE190" i="17"/>
  <c r="CF190" i="17"/>
  <c r="CC12" i="17"/>
  <c r="CA12" i="17"/>
  <c r="CB190" i="17"/>
  <c r="CA190" i="17"/>
  <c r="BW12" i="17"/>
  <c r="BW190" i="17"/>
  <c r="BX190" i="17"/>
  <c r="BU12" i="17"/>
  <c r="BS12" i="17"/>
  <c r="BT190" i="17"/>
  <c r="BS190" i="17"/>
  <c r="BR192" i="17"/>
  <c r="BO12" i="17"/>
  <c r="BO190" i="17"/>
  <c r="BP190" i="17"/>
  <c r="BM12" i="17"/>
  <c r="BK184" i="17"/>
  <c r="BK183" i="17" s="1"/>
  <c r="BI199" i="17"/>
  <c r="BI200" i="17" s="1"/>
  <c r="BI191" i="17"/>
  <c r="BI189" i="17"/>
  <c r="BI184" i="17"/>
  <c r="BG199" i="17"/>
  <c r="BG200" i="17" s="1"/>
  <c r="BG189" i="17"/>
  <c r="BG184" i="17"/>
  <c r="BJ172" i="17"/>
  <c r="BJ191" i="17" s="1"/>
  <c r="BE199" i="17"/>
  <c r="BE200" i="17" s="1"/>
  <c r="BE191" i="17"/>
  <c r="BE189" i="17"/>
  <c r="BE184" i="17"/>
  <c r="BC199" i="17"/>
  <c r="BC200" i="17" s="1"/>
  <c r="BF172" i="17"/>
  <c r="BH190" i="17" s="1"/>
  <c r="BC189" i="17"/>
  <c r="BC184" i="17"/>
  <c r="BA199" i="17"/>
  <c r="BA200" i="17" s="1"/>
  <c r="BA191" i="17"/>
  <c r="BA189" i="17"/>
  <c r="BA184" i="17"/>
  <c r="AY199" i="17"/>
  <c r="AY200" i="17" s="1"/>
  <c r="AY189" i="17"/>
  <c r="AY184" i="17"/>
  <c r="BB172" i="17"/>
  <c r="BB191" i="17" s="1"/>
  <c r="AW199" i="17"/>
  <c r="AW200" i="17" s="1"/>
  <c r="AW191" i="17"/>
  <c r="AW189" i="17"/>
  <c r="AW184" i="17"/>
  <c r="AU199" i="17"/>
  <c r="AU200" i="17" s="1"/>
  <c r="AX172" i="17"/>
  <c r="AZ190" i="17" s="1"/>
  <c r="AU189" i="17"/>
  <c r="AU184" i="17"/>
  <c r="AS199" i="17"/>
  <c r="AS200" i="17" s="1"/>
  <c r="AS191" i="17"/>
  <c r="AS189" i="17"/>
  <c r="AS184" i="17"/>
  <c r="AQ199" i="17"/>
  <c r="AQ200" i="17" s="1"/>
  <c r="AQ189" i="17"/>
  <c r="AQ184" i="17"/>
  <c r="AT172" i="17"/>
  <c r="AT191" i="17" s="1"/>
  <c r="AO199" i="17"/>
  <c r="AO200" i="17" s="1"/>
  <c r="AO191" i="17"/>
  <c r="AO189" i="17"/>
  <c r="AO184" i="17"/>
  <c r="AM199" i="17"/>
  <c r="AM200" i="17" s="1"/>
  <c r="AP172" i="17"/>
  <c r="AR190" i="17" s="1"/>
  <c r="AM189" i="17"/>
  <c r="AM184" i="17"/>
  <c r="AK199" i="17"/>
  <c r="AK200" i="17" s="1"/>
  <c r="AK191" i="17"/>
  <c r="AK189" i="17"/>
  <c r="AK184" i="17"/>
  <c r="AI199" i="17"/>
  <c r="AI200" i="17" s="1"/>
  <c r="AI189" i="17"/>
  <c r="AI184" i="17"/>
  <c r="AL172" i="17"/>
  <c r="AL191" i="17" s="1"/>
  <c r="AG199" i="17"/>
  <c r="AG200" i="17" s="1"/>
  <c r="AG191" i="17"/>
  <c r="AG189" i="17"/>
  <c r="AG184" i="17"/>
  <c r="AE199" i="17"/>
  <c r="AE200" i="17" s="1"/>
  <c r="AH172" i="17"/>
  <c r="AJ190" i="17" s="1"/>
  <c r="AE189" i="17"/>
  <c r="AE184" i="17"/>
  <c r="AC199" i="17"/>
  <c r="AC200" i="17" s="1"/>
  <c r="AC191" i="17"/>
  <c r="AC189" i="17"/>
  <c r="AC184" i="17"/>
  <c r="AA199" i="17"/>
  <c r="AA200" i="17" s="1"/>
  <c r="AA189" i="17"/>
  <c r="AA184" i="17"/>
  <c r="AD172" i="17"/>
  <c r="AD191" i="17" s="1"/>
  <c r="Y199" i="17"/>
  <c r="Y200" i="17" s="1"/>
  <c r="Y191" i="17"/>
  <c r="Y189" i="17"/>
  <c r="Y184" i="17"/>
  <c r="W199" i="17"/>
  <c r="W200" i="17" s="1"/>
  <c r="Z172" i="17"/>
  <c r="AB190" i="17" s="1"/>
  <c r="W189" i="17"/>
  <c r="W184" i="17"/>
  <c r="U199" i="17"/>
  <c r="U200" i="17" s="1"/>
  <c r="U191" i="17"/>
  <c r="U189" i="17"/>
  <c r="U184" i="17"/>
  <c r="S199" i="17"/>
  <c r="S200" i="17" s="1"/>
  <c r="S189" i="17"/>
  <c r="S184" i="17"/>
  <c r="V172" i="17"/>
  <c r="V191" i="17" s="1"/>
  <c r="Q199" i="17"/>
  <c r="Q200" i="17" s="1"/>
  <c r="Q191" i="17"/>
  <c r="Q189" i="17"/>
  <c r="Q184" i="17"/>
  <c r="O199" i="17"/>
  <c r="O200" i="17" s="1"/>
  <c r="R172" i="17"/>
  <c r="T190" i="17" s="1"/>
  <c r="O189" i="17"/>
  <c r="O184" i="17"/>
  <c r="M199" i="17"/>
  <c r="M200" i="17" s="1"/>
  <c r="M191" i="17"/>
  <c r="M189" i="17"/>
  <c r="M184" i="17"/>
  <c r="K199" i="17"/>
  <c r="K200" i="17" s="1"/>
  <c r="K189" i="17"/>
  <c r="K184" i="17"/>
  <c r="N172" i="17"/>
  <c r="N191" i="17" s="1"/>
  <c r="I199" i="17"/>
  <c r="I200" i="17" s="1"/>
  <c r="I184" i="17"/>
  <c r="G199" i="17"/>
  <c r="G200" i="17" s="1"/>
  <c r="J172" i="17"/>
  <c r="CP10" i="17"/>
  <c r="CL10" i="17"/>
  <c r="CH10" i="17"/>
  <c r="CD10" i="17"/>
  <c r="BZ10" i="17"/>
  <c r="BV10" i="17"/>
  <c r="BR10" i="17"/>
  <c r="BN10" i="17"/>
  <c r="BJ10" i="17"/>
  <c r="BF10" i="17"/>
  <c r="BB135" i="17"/>
  <c r="BB10" i="17"/>
  <c r="AX10" i="17"/>
  <c r="AT10" i="17"/>
  <c r="AP10" i="17"/>
  <c r="AL10" i="17"/>
  <c r="AH10" i="17"/>
  <c r="AD10" i="17"/>
  <c r="Z10" i="17"/>
  <c r="V10" i="17"/>
  <c r="R10" i="17"/>
  <c r="N10" i="17"/>
  <c r="CP86" i="17"/>
  <c r="CP8" i="17" s="1"/>
  <c r="CN86" i="17"/>
  <c r="CN8" i="17" s="1"/>
  <c r="E117" i="2" s="1"/>
  <c r="CL94" i="17"/>
  <c r="CJ86" i="17"/>
  <c r="CJ8" i="17" s="1"/>
  <c r="CF86" i="17"/>
  <c r="CF8" i="17" s="1"/>
  <c r="CD94" i="17"/>
  <c r="CB86" i="17"/>
  <c r="CB8" i="17" s="1"/>
  <c r="BX86" i="17"/>
  <c r="BX8" i="17" s="1"/>
  <c r="BV94" i="17"/>
  <c r="BT86" i="17"/>
  <c r="BT8" i="17" s="1"/>
  <c r="BP86" i="17"/>
  <c r="BP8" i="17" s="1"/>
  <c r="BN94" i="17"/>
  <c r="BL86" i="17"/>
  <c r="BL8" i="17" s="1"/>
  <c r="BL92" i="17"/>
  <c r="BJ103" i="17"/>
  <c r="BJ104" i="17" s="1"/>
  <c r="BJ86" i="17"/>
  <c r="BJ8" i="17" s="1"/>
  <c r="BJ69" i="17"/>
  <c r="BH103" i="17"/>
  <c r="BH104" i="17" s="1"/>
  <c r="BH86" i="17"/>
  <c r="BH8" i="17" s="1"/>
  <c r="BH69" i="17"/>
  <c r="BF103" i="17"/>
  <c r="BF104" i="17" s="1"/>
  <c r="BF86" i="17"/>
  <c r="BF8" i="17" s="1"/>
  <c r="BF69" i="17"/>
  <c r="BD103" i="17"/>
  <c r="BD104" i="17" s="1"/>
  <c r="BD86" i="17"/>
  <c r="BD8" i="17" s="1"/>
  <c r="BD69" i="17"/>
  <c r="BB103" i="17"/>
  <c r="BB104" i="17" s="1"/>
  <c r="BB86" i="17"/>
  <c r="BB8" i="17" s="1"/>
  <c r="BB69" i="17"/>
  <c r="AZ103" i="17"/>
  <c r="AZ104" i="17" s="1"/>
  <c r="AZ86" i="17"/>
  <c r="AZ8" i="17" s="1"/>
  <c r="AZ69" i="17"/>
  <c r="AX103" i="17"/>
  <c r="AX104" i="17" s="1"/>
  <c r="AX86" i="17"/>
  <c r="AX8" i="17" s="1"/>
  <c r="AX69" i="17"/>
  <c r="AV103" i="17"/>
  <c r="AV104" i="17" s="1"/>
  <c r="AV86" i="17"/>
  <c r="AV8" i="17" s="1"/>
  <c r="AV69" i="17"/>
  <c r="AT103" i="17"/>
  <c r="AT104" i="17" s="1"/>
  <c r="AT86" i="17"/>
  <c r="AT8" i="17" s="1"/>
  <c r="AT69" i="17"/>
  <c r="AR103" i="17"/>
  <c r="AR104" i="17" s="1"/>
  <c r="AR86" i="17"/>
  <c r="AR8" i="17" s="1"/>
  <c r="AR69" i="17"/>
  <c r="AP103" i="17"/>
  <c r="AP104" i="17" s="1"/>
  <c r="AP86" i="17"/>
  <c r="AP8" i="17" s="1"/>
  <c r="AP69" i="17"/>
  <c r="AN103" i="17"/>
  <c r="AN104" i="17" s="1"/>
  <c r="AN86" i="17"/>
  <c r="AN8" i="17" s="1"/>
  <c r="AN69" i="17"/>
  <c r="AL103" i="17"/>
  <c r="AL104" i="17" s="1"/>
  <c r="AL86" i="17"/>
  <c r="AL8" i="17" s="1"/>
  <c r="AL69" i="17"/>
  <c r="AJ103" i="17"/>
  <c r="AJ104" i="17" s="1"/>
  <c r="AJ86" i="17"/>
  <c r="AJ8" i="17" s="1"/>
  <c r="AJ69" i="17"/>
  <c r="AH103" i="17"/>
  <c r="AH104" i="17" s="1"/>
  <c r="AH86" i="17"/>
  <c r="AH8" i="17" s="1"/>
  <c r="AH69" i="17"/>
  <c r="AF103" i="17"/>
  <c r="AF104" i="17" s="1"/>
  <c r="AF86" i="17"/>
  <c r="AF8" i="17" s="1"/>
  <c r="AF69" i="17"/>
  <c r="AD103" i="17"/>
  <c r="AD104" i="17" s="1"/>
  <c r="AD86" i="17"/>
  <c r="AD8" i="17" s="1"/>
  <c r="AD69" i="17"/>
  <c r="AB103" i="17"/>
  <c r="AB104" i="17" s="1"/>
  <c r="AB86" i="17"/>
  <c r="AB8" i="17" s="1"/>
  <c r="AB69" i="17"/>
  <c r="Z103" i="17"/>
  <c r="Z104" i="17" s="1"/>
  <c r="Z86" i="17"/>
  <c r="Z8" i="17" s="1"/>
  <c r="Z69" i="17"/>
  <c r="X103" i="17"/>
  <c r="X104" i="17" s="1"/>
  <c r="X86" i="17"/>
  <c r="X8" i="17" s="1"/>
  <c r="X69" i="17"/>
  <c r="V103" i="17"/>
  <c r="V104" i="17" s="1"/>
  <c r="V86" i="17"/>
  <c r="V8" i="17" s="1"/>
  <c r="V69" i="17"/>
  <c r="T103" i="17"/>
  <c r="T104" i="17" s="1"/>
  <c r="T86" i="17"/>
  <c r="T8" i="17" s="1"/>
  <c r="T69" i="17"/>
  <c r="R103" i="17"/>
  <c r="R104" i="17" s="1"/>
  <c r="R86" i="17"/>
  <c r="R8" i="17" s="1"/>
  <c r="R69" i="17"/>
  <c r="P103" i="17"/>
  <c r="P104" i="17" s="1"/>
  <c r="P86" i="17"/>
  <c r="P8" i="17" s="1"/>
  <c r="P69" i="17"/>
  <c r="N103" i="17"/>
  <c r="N104" i="17" s="1"/>
  <c r="N86" i="17"/>
  <c r="N8" i="17" s="1"/>
  <c r="N69" i="17"/>
  <c r="L103" i="17"/>
  <c r="L104" i="17" s="1"/>
  <c r="L86" i="17"/>
  <c r="L8" i="17" s="1"/>
  <c r="L69" i="17"/>
  <c r="J103" i="17"/>
  <c r="J104" i="17" s="1"/>
  <c r="J86" i="17"/>
  <c r="J8" i="17" s="1"/>
  <c r="J69" i="17"/>
  <c r="H103" i="17"/>
  <c r="H104" i="17" s="1"/>
  <c r="H86" i="17"/>
  <c r="H8" i="17" s="1"/>
  <c r="H69" i="17"/>
  <c r="CN7" i="17"/>
  <c r="E116" i="2" s="1"/>
  <c r="CL7" i="17"/>
  <c r="CJ7" i="17"/>
  <c r="CH7" i="17"/>
  <c r="CF7" i="17"/>
  <c r="CD7" i="17"/>
  <c r="CB7" i="17"/>
  <c r="BZ7" i="17"/>
  <c r="BX7" i="17"/>
  <c r="BV7" i="17"/>
  <c r="BT7" i="17"/>
  <c r="BR7" i="17"/>
  <c r="BP7" i="17"/>
  <c r="BN7" i="17"/>
  <c r="BL7" i="17"/>
  <c r="BJ7" i="17"/>
  <c r="BH7" i="17"/>
  <c r="BF7" i="17"/>
  <c r="BD7" i="17"/>
  <c r="BB7" i="17"/>
  <c r="AZ7" i="17"/>
  <c r="AX7" i="17"/>
  <c r="AV7" i="17"/>
  <c r="AT7" i="17"/>
  <c r="AR7" i="17"/>
  <c r="AP7" i="17"/>
  <c r="AN7" i="17"/>
  <c r="AL7" i="17"/>
  <c r="AJ7" i="17"/>
  <c r="AH7" i="17"/>
  <c r="AF7" i="17"/>
  <c r="AD7" i="17"/>
  <c r="AB7" i="17"/>
  <c r="Z7" i="17"/>
  <c r="X7" i="17"/>
  <c r="V7" i="17"/>
  <c r="T7" i="17"/>
  <c r="R7" i="17"/>
  <c r="P7" i="17"/>
  <c r="N7" i="17"/>
  <c r="L7" i="17"/>
  <c r="CQ33" i="17"/>
  <c r="CR33" i="17"/>
  <c r="CQ101" i="17"/>
  <c r="CQ32" i="17"/>
  <c r="CL34" i="17"/>
  <c r="CD34" i="17"/>
  <c r="BV34" i="17"/>
  <c r="BN34" i="17"/>
  <c r="BF34" i="17"/>
  <c r="AX34" i="17"/>
  <c r="AP34" i="17"/>
  <c r="AH34" i="17"/>
  <c r="Z34" i="17"/>
  <c r="R34" i="17"/>
  <c r="AA126" i="8"/>
  <c r="Y126" i="8"/>
  <c r="W126" i="8"/>
  <c r="U126" i="8"/>
  <c r="S126" i="8"/>
  <c r="Q126" i="8"/>
  <c r="O126" i="8"/>
  <c r="M126" i="8"/>
  <c r="K126" i="8"/>
  <c r="I126" i="8"/>
  <c r="W327" i="12"/>
  <c r="S327" i="12"/>
  <c r="O327" i="12"/>
  <c r="K327" i="12"/>
  <c r="S789" i="7"/>
  <c r="S790" i="7" s="1"/>
  <c r="O789" i="7"/>
  <c r="N62" i="21"/>
  <c r="N51" i="21"/>
  <c r="N63" i="21" s="1"/>
  <c r="J62" i="21"/>
  <c r="J51" i="21"/>
  <c r="J63" i="21" s="1"/>
  <c r="Y112" i="8"/>
  <c r="Y109" i="8" s="1"/>
  <c r="W121" i="8"/>
  <c r="U112" i="8"/>
  <c r="U109" i="8" s="1"/>
  <c r="S121" i="8"/>
  <c r="Q112" i="8"/>
  <c r="Q109" i="8" s="1"/>
  <c r="O121" i="8"/>
  <c r="M112" i="8"/>
  <c r="K121" i="8"/>
  <c r="I112" i="8"/>
  <c r="AD90" i="8"/>
  <c r="S42" i="8"/>
  <c r="Q42" i="8"/>
  <c r="O42" i="8"/>
  <c r="M42" i="8"/>
  <c r="K42" i="8"/>
  <c r="I42" i="8"/>
  <c r="G42" i="8"/>
  <c r="Z146" i="8"/>
  <c r="Z78" i="8"/>
  <c r="Z52" i="8"/>
  <c r="Z63" i="8"/>
  <c r="X146" i="8"/>
  <c r="X78" i="8"/>
  <c r="X52" i="8"/>
  <c r="X63" i="8"/>
  <c r="T78" i="8"/>
  <c r="T52" i="8"/>
  <c r="T63" i="8"/>
  <c r="P78" i="8"/>
  <c r="P52" i="8"/>
  <c r="P63" i="8"/>
  <c r="L78" i="8"/>
  <c r="L52" i="8"/>
  <c r="L63" i="8"/>
  <c r="H78" i="8"/>
  <c r="H83" i="8" s="1"/>
  <c r="H52" i="8"/>
  <c r="H63" i="8"/>
  <c r="DY45" i="6"/>
  <c r="AA788" i="7"/>
  <c r="AA535" i="7"/>
  <c r="AA529" i="7"/>
  <c r="DM45" i="6"/>
  <c r="Y788" i="7"/>
  <c r="Y535" i="7"/>
  <c r="Y529" i="7"/>
  <c r="DA45" i="6"/>
  <c r="W788" i="7"/>
  <c r="W535" i="7"/>
  <c r="CO45" i="6"/>
  <c r="U788" i="7"/>
  <c r="U789" i="7" s="1"/>
  <c r="U790" i="7" s="1"/>
  <c r="U535" i="7"/>
  <c r="U529" i="7"/>
  <c r="DS35" i="6"/>
  <c r="Z781" i="7"/>
  <c r="Z411" i="7"/>
  <c r="Z405" i="7"/>
  <c r="DG35" i="6"/>
  <c r="X781" i="7"/>
  <c r="X411" i="7"/>
  <c r="X405" i="7"/>
  <c r="CI35" i="6"/>
  <c r="T781" i="7"/>
  <c r="T411" i="7"/>
  <c r="T405" i="7"/>
  <c r="BK35" i="6"/>
  <c r="P781" i="7"/>
  <c r="P411" i="7"/>
  <c r="P405" i="7"/>
  <c r="AM35" i="6"/>
  <c r="L781" i="7"/>
  <c r="L411" i="7"/>
  <c r="L405" i="7"/>
  <c r="EB32" i="6"/>
  <c r="AB713" i="7"/>
  <c r="AC298" i="7"/>
  <c r="Z715" i="7"/>
  <c r="V715" i="7"/>
  <c r="R715" i="7"/>
  <c r="N715" i="7"/>
  <c r="Z709" i="7"/>
  <c r="X709" i="7"/>
  <c r="V709" i="7"/>
  <c r="T709" i="7"/>
  <c r="R709" i="7"/>
  <c r="P709" i="7"/>
  <c r="N709" i="7"/>
  <c r="L709" i="7"/>
  <c r="AA230" i="7"/>
  <c r="Y115" i="8"/>
  <c r="W115" i="8"/>
  <c r="U115" i="8"/>
  <c r="S115" i="8"/>
  <c r="Q115" i="8"/>
  <c r="O115" i="8"/>
  <c r="M115" i="8"/>
  <c r="K115" i="8"/>
  <c r="I115" i="8"/>
  <c r="V192" i="8"/>
  <c r="V199" i="8" s="1"/>
  <c r="V260" i="7"/>
  <c r="V182" i="8"/>
  <c r="V175" i="8"/>
  <c r="R192" i="8"/>
  <c r="R199" i="8" s="1"/>
  <c r="R260" i="7"/>
  <c r="R182" i="8"/>
  <c r="R175" i="8"/>
  <c r="R167" i="8"/>
  <c r="N192" i="8"/>
  <c r="N199" i="8" s="1"/>
  <c r="N260" i="7"/>
  <c r="N182" i="8"/>
  <c r="N175" i="8"/>
  <c r="N167" i="8"/>
  <c r="J192" i="8"/>
  <c r="J199" i="8" s="1"/>
  <c r="J182" i="8"/>
  <c r="J175" i="8"/>
  <c r="J167" i="8"/>
  <c r="EB10" i="6"/>
  <c r="AA180" i="7"/>
  <c r="AA115" i="7"/>
  <c r="AA127" i="7"/>
  <c r="AA118" i="7"/>
  <c r="AA77" i="7"/>
  <c r="W180" i="7"/>
  <c r="W115" i="7"/>
  <c r="W127" i="7"/>
  <c r="W118" i="7"/>
  <c r="W77" i="7"/>
  <c r="S180" i="7"/>
  <c r="S115" i="7"/>
  <c r="S127" i="7"/>
  <c r="S118" i="7"/>
  <c r="S77" i="7"/>
  <c r="O180" i="7"/>
  <c r="O115" i="7"/>
  <c r="O127" i="7"/>
  <c r="O118" i="7"/>
  <c r="O77" i="7"/>
  <c r="F12" i="6"/>
  <c r="W613" i="7"/>
  <c r="S613" i="7"/>
  <c r="O613" i="7"/>
  <c r="AB762" i="7"/>
  <c r="Z762" i="7"/>
  <c r="X762" i="7"/>
  <c r="V762" i="7"/>
  <c r="T762" i="7"/>
  <c r="R762" i="7"/>
  <c r="P762" i="7"/>
  <c r="N762" i="7"/>
  <c r="L762" i="7"/>
  <c r="AB478" i="7"/>
  <c r="ED43" i="6"/>
  <c r="AB651" i="7"/>
  <c r="X499" i="7"/>
  <c r="X490" i="7"/>
  <c r="X491" i="7" s="1"/>
  <c r="X478" i="7"/>
  <c r="X510" i="7"/>
  <c r="DF43" i="6"/>
  <c r="X507" i="7"/>
  <c r="X496" i="7"/>
  <c r="X651" i="7"/>
  <c r="X641" i="7"/>
  <c r="V499" i="7"/>
  <c r="V491" i="7"/>
  <c r="V478" i="7"/>
  <c r="V510" i="7"/>
  <c r="CT43" i="6"/>
  <c r="V507" i="7"/>
  <c r="V496" i="7"/>
  <c r="V651" i="7"/>
  <c r="V641" i="7"/>
  <c r="T499" i="7"/>
  <c r="T491" i="7"/>
  <c r="T478" i="7"/>
  <c r="T510" i="7"/>
  <c r="CH43" i="6"/>
  <c r="T507" i="7"/>
  <c r="T496" i="7"/>
  <c r="R499" i="7"/>
  <c r="R491" i="7"/>
  <c r="R510" i="7"/>
  <c r="BV43" i="6"/>
  <c r="R507" i="7"/>
  <c r="R496" i="7"/>
  <c r="P499" i="7"/>
  <c r="P491" i="7"/>
  <c r="P510" i="7"/>
  <c r="BJ43" i="6"/>
  <c r="P507" i="7"/>
  <c r="P496" i="7"/>
  <c r="N499" i="7"/>
  <c r="N491" i="7"/>
  <c r="N510" i="7"/>
  <c r="AX43" i="6"/>
  <c r="N507" i="7"/>
  <c r="N496" i="7"/>
  <c r="L499" i="7"/>
  <c r="L491" i="7"/>
  <c r="L510" i="7"/>
  <c r="AL43" i="6"/>
  <c r="L507" i="7"/>
  <c r="L496" i="7"/>
  <c r="Z43" i="6"/>
  <c r="N43" i="6"/>
  <c r="EJ33" i="6"/>
  <c r="EJ82" i="6" s="1"/>
  <c r="AD327" i="7"/>
  <c r="AE327" i="7" s="1"/>
  <c r="AB626" i="7"/>
  <c r="AB291" i="7"/>
  <c r="AB267" i="7"/>
  <c r="AB289" i="7" s="1"/>
  <c r="EJ25" i="6"/>
  <c r="AC694" i="7"/>
  <c r="AC255" i="7"/>
  <c r="E215" i="2" s="1"/>
  <c r="AD253" i="7"/>
  <c r="AE253" i="7" s="1"/>
  <c r="C215" i="2"/>
  <c r="AT215" i="2" s="1"/>
  <c r="Z626" i="7"/>
  <c r="Z637" i="7" s="1"/>
  <c r="Z291" i="7"/>
  <c r="Z267" i="7"/>
  <c r="Z289" i="7" s="1"/>
  <c r="Z262" i="7"/>
  <c r="Z281" i="7"/>
  <c r="AA244" i="7"/>
  <c r="Y244" i="7"/>
  <c r="Z247" i="7"/>
  <c r="U244" i="7"/>
  <c r="V247" i="7"/>
  <c r="Q244" i="7"/>
  <c r="M244" i="7"/>
  <c r="ED20" i="6"/>
  <c r="AB752" i="7"/>
  <c r="AB756" i="7" s="1"/>
  <c r="AB149" i="7"/>
  <c r="AC138" i="7"/>
  <c r="DF20" i="6"/>
  <c r="DF18" i="6" s="1"/>
  <c r="X752" i="7"/>
  <c r="X756" i="7" s="1"/>
  <c r="X149" i="7"/>
  <c r="X157" i="7"/>
  <c r="CH20" i="6"/>
  <c r="CH18" i="6" s="1"/>
  <c r="T752" i="7"/>
  <c r="T756" i="7" s="1"/>
  <c r="T149" i="7"/>
  <c r="T157" i="7"/>
  <c r="BJ20" i="6"/>
  <c r="BJ18" i="6" s="1"/>
  <c r="P752" i="7"/>
  <c r="P756" i="7" s="1"/>
  <c r="P149" i="7"/>
  <c r="P157" i="7"/>
  <c r="AL20" i="6"/>
  <c r="AL18" i="6" s="1"/>
  <c r="L752" i="7"/>
  <c r="L756" i="7" s="1"/>
  <c r="L149" i="7"/>
  <c r="L157" i="7"/>
  <c r="N20" i="6"/>
  <c r="N18" i="6" s="1"/>
  <c r="EJ21" i="6"/>
  <c r="EJ70" i="6" s="1"/>
  <c r="AC658" i="7"/>
  <c r="AD139" i="7"/>
  <c r="AE139" i="7" s="1"/>
  <c r="X173" i="7"/>
  <c r="X168" i="7"/>
  <c r="X164" i="7"/>
  <c r="X588" i="7" s="1"/>
  <c r="V173" i="7"/>
  <c r="V168" i="7"/>
  <c r="V164" i="7"/>
  <c r="V588" i="7" s="1"/>
  <c r="T173" i="7"/>
  <c r="T168" i="7"/>
  <c r="T164" i="7"/>
  <c r="T588" i="7" s="1"/>
  <c r="R173" i="7"/>
  <c r="R168" i="7"/>
  <c r="R164" i="7"/>
  <c r="P173" i="7"/>
  <c r="P168" i="7"/>
  <c r="P164" i="7"/>
  <c r="N173" i="7"/>
  <c r="N168" i="7"/>
  <c r="N164" i="7"/>
  <c r="L173" i="7"/>
  <c r="L168" i="7"/>
  <c r="L164" i="7"/>
  <c r="EJ19" i="6"/>
  <c r="AC746" i="7"/>
  <c r="AD137" i="7"/>
  <c r="AE137" i="7" s="1"/>
  <c r="Q450" i="7"/>
  <c r="Q439" i="7"/>
  <c r="O450" i="7"/>
  <c r="O439" i="7"/>
  <c r="M450" i="7"/>
  <c r="M439" i="7"/>
  <c r="AB34" i="7"/>
  <c r="Z38" i="7"/>
  <c r="Z35" i="7"/>
  <c r="Z36" i="7" s="1"/>
  <c r="Z697" i="7"/>
  <c r="Z699" i="7" s="1"/>
  <c r="X38" i="7"/>
  <c r="X35" i="7"/>
  <c r="X36" i="7" s="1"/>
  <c r="X697" i="7"/>
  <c r="X699" i="7" s="1"/>
  <c r="V635" i="7"/>
  <c r="T38" i="7"/>
  <c r="T35" i="7"/>
  <c r="T36" i="7" s="1"/>
  <c r="W37" i="7" s="1"/>
  <c r="T697" i="7"/>
  <c r="T699" i="7" s="1"/>
  <c r="R635" i="7"/>
  <c r="P38" i="7"/>
  <c r="P35" i="7"/>
  <c r="P36" i="7" s="1"/>
  <c r="P697" i="7"/>
  <c r="P699" i="7" s="1"/>
  <c r="N635" i="7"/>
  <c r="L38" i="7"/>
  <c r="L35" i="7"/>
  <c r="L36" i="7" s="1"/>
  <c r="L697" i="7"/>
  <c r="L699" i="7" s="1"/>
  <c r="AA179" i="8"/>
  <c r="AA172" i="8"/>
  <c r="AA144" i="8"/>
  <c r="Y213" i="8"/>
  <c r="Y196" i="8"/>
  <c r="Y654" i="7"/>
  <c r="Y444" i="7"/>
  <c r="Y432" i="7"/>
  <c r="W213" i="8"/>
  <c r="W196" i="8"/>
  <c r="W654" i="7"/>
  <c r="W444" i="7"/>
  <c r="W432" i="7"/>
  <c r="W416" i="7"/>
  <c r="U213" i="8"/>
  <c r="U196" i="8"/>
  <c r="U654" i="7"/>
  <c r="U444" i="7"/>
  <c r="U432" i="7"/>
  <c r="U416" i="7"/>
  <c r="S213" i="8"/>
  <c r="S196" i="8"/>
  <c r="S654" i="7"/>
  <c r="S444" i="7"/>
  <c r="S432" i="7"/>
  <c r="Q213" i="8"/>
  <c r="Q196" i="8"/>
  <c r="Q654" i="7"/>
  <c r="Q444" i="7"/>
  <c r="Q432" i="7"/>
  <c r="O213" i="8"/>
  <c r="O196" i="8"/>
  <c r="O654" i="7"/>
  <c r="O444" i="7"/>
  <c r="O432" i="7"/>
  <c r="M213" i="8"/>
  <c r="M196" i="8"/>
  <c r="M654" i="7"/>
  <c r="M444" i="7"/>
  <c r="M432" i="7"/>
  <c r="K213" i="8"/>
  <c r="K196" i="8"/>
  <c r="I213" i="8"/>
  <c r="I196" i="8"/>
  <c r="Z122" i="7"/>
  <c r="H12" i="6"/>
  <c r="AA732" i="7"/>
  <c r="Y732" i="7"/>
  <c r="W732" i="7"/>
  <c r="U732" i="7"/>
  <c r="S732" i="7"/>
  <c r="Q732" i="7"/>
  <c r="O732" i="7"/>
  <c r="M732" i="7"/>
  <c r="V238" i="7"/>
  <c r="Y241" i="7"/>
  <c r="R238" i="7"/>
  <c r="U241" i="7"/>
  <c r="N238" i="7"/>
  <c r="Y188" i="8"/>
  <c r="U188" i="8"/>
  <c r="U195" i="8" s="1"/>
  <c r="S195" i="8"/>
  <c r="Q188" i="8"/>
  <c r="Q195" i="8" s="1"/>
  <c r="O195" i="8"/>
  <c r="M188" i="8"/>
  <c r="M195" i="8" s="1"/>
  <c r="K195" i="8"/>
  <c r="EC9" i="6"/>
  <c r="EC58" i="6" s="1"/>
  <c r="E202" i="2"/>
  <c r="V128" i="7"/>
  <c r="V119" i="7"/>
  <c r="V236" i="7" s="1"/>
  <c r="V181" i="7"/>
  <c r="V82" i="7"/>
  <c r="R128" i="7"/>
  <c r="R119" i="7"/>
  <c r="R236" i="7" s="1"/>
  <c r="R181" i="7"/>
  <c r="R82" i="7"/>
  <c r="N128" i="7"/>
  <c r="N119" i="7"/>
  <c r="N236" i="7" s="1"/>
  <c r="N181" i="7"/>
  <c r="N82" i="7"/>
  <c r="Z248" i="8"/>
  <c r="Z197" i="8"/>
  <c r="Z193" i="8"/>
  <c r="X145" i="8"/>
  <c r="X180" i="8"/>
  <c r="X173" i="8"/>
  <c r="X164" i="8"/>
  <c r="V145" i="8"/>
  <c r="V180" i="8"/>
  <c r="V173" i="8"/>
  <c r="V164" i="8"/>
  <c r="T145" i="8"/>
  <c r="T180" i="8"/>
  <c r="T173" i="8"/>
  <c r="T164" i="8"/>
  <c r="R145" i="8"/>
  <c r="R180" i="8"/>
  <c r="R173" i="8"/>
  <c r="R164" i="8"/>
  <c r="P145" i="8"/>
  <c r="P180" i="8"/>
  <c r="P173" i="8"/>
  <c r="P164" i="8"/>
  <c r="N145" i="8"/>
  <c r="N180" i="8"/>
  <c r="N173" i="8"/>
  <c r="N164" i="8"/>
  <c r="L145" i="8"/>
  <c r="L180" i="8"/>
  <c r="L173" i="8"/>
  <c r="L164" i="8"/>
  <c r="J145" i="8"/>
  <c r="J180" i="8"/>
  <c r="J173" i="8"/>
  <c r="J164" i="8"/>
  <c r="H145" i="8"/>
  <c r="H180" i="8"/>
  <c r="H173" i="8"/>
  <c r="H164" i="8"/>
  <c r="AA355" i="12"/>
  <c r="D236" i="2"/>
  <c r="AU236" i="2" s="1"/>
  <c r="R9" i="21"/>
  <c r="R10" i="21" s="1"/>
  <c r="Z459" i="12"/>
  <c r="X217" i="7"/>
  <c r="X218" i="7"/>
  <c r="X216" i="7"/>
  <c r="P88" i="21"/>
  <c r="P75" i="21"/>
  <c r="P74" i="21"/>
  <c r="P73" i="21"/>
  <c r="P72" i="21"/>
  <c r="P71" i="21"/>
  <c r="P70" i="21"/>
  <c r="P7" i="21"/>
  <c r="P78" i="21"/>
  <c r="P77" i="21"/>
  <c r="V217" i="7"/>
  <c r="V218" i="7"/>
  <c r="V216" i="7"/>
  <c r="N76" i="21"/>
  <c r="N75" i="21"/>
  <c r="N74" i="21"/>
  <c r="N73" i="21"/>
  <c r="N72" i="21"/>
  <c r="N71" i="21"/>
  <c r="N70" i="21"/>
  <c r="N7" i="21"/>
  <c r="N78" i="21"/>
  <c r="N77" i="21"/>
  <c r="T217" i="7"/>
  <c r="T218" i="7"/>
  <c r="T216" i="7"/>
  <c r="L76" i="21"/>
  <c r="L75" i="21"/>
  <c r="L74" i="21"/>
  <c r="L73" i="21"/>
  <c r="L72" i="21"/>
  <c r="L71" i="21"/>
  <c r="L70" i="21"/>
  <c r="L7" i="21"/>
  <c r="L78" i="21"/>
  <c r="L77" i="21"/>
  <c r="R217" i="7"/>
  <c r="R218" i="7"/>
  <c r="R216" i="7"/>
  <c r="J76" i="21"/>
  <c r="J75" i="21"/>
  <c r="J74" i="21"/>
  <c r="J73" i="21"/>
  <c r="J72" i="21"/>
  <c r="J71" i="21"/>
  <c r="J70" i="21"/>
  <c r="J7" i="21"/>
  <c r="J78" i="21"/>
  <c r="J77" i="21"/>
  <c r="H9" i="21"/>
  <c r="H10" i="21" s="1"/>
  <c r="P459" i="12"/>
  <c r="N217" i="7"/>
  <c r="N218" i="7"/>
  <c r="N216" i="7"/>
  <c r="L217" i="7"/>
  <c r="L218" i="7"/>
  <c r="L216" i="7"/>
  <c r="H459" i="12"/>
  <c r="Z43" i="8"/>
  <c r="Z24" i="8"/>
  <c r="Z18" i="8"/>
  <c r="Z11" i="8"/>
  <c r="Z8" i="8"/>
  <c r="V43" i="8"/>
  <c r="V24" i="8"/>
  <c r="V18" i="8"/>
  <c r="V11" i="8"/>
  <c r="V8" i="8"/>
  <c r="R39" i="8"/>
  <c r="N43" i="8"/>
  <c r="N24" i="8"/>
  <c r="N18" i="8"/>
  <c r="N11" i="8"/>
  <c r="N8" i="8"/>
  <c r="J39" i="8"/>
  <c r="AA58" i="8"/>
  <c r="AA47" i="8"/>
  <c r="AA69" i="8" s="1"/>
  <c r="W58" i="8"/>
  <c r="W47" i="8"/>
  <c r="W69" i="8" s="1"/>
  <c r="S82" i="8"/>
  <c r="S102" i="8"/>
  <c r="O58" i="8"/>
  <c r="O47" i="8"/>
  <c r="O69" i="8" s="1"/>
  <c r="K82" i="8"/>
  <c r="K102" i="8"/>
  <c r="AA191" i="8"/>
  <c r="U191" i="8"/>
  <c r="Q191" i="8"/>
  <c r="Q772" i="7"/>
  <c r="M191" i="8"/>
  <c r="I191" i="8"/>
  <c r="G191" i="8"/>
  <c r="T191" i="8"/>
  <c r="P191" i="8"/>
  <c r="P772" i="7"/>
  <c r="L191" i="8"/>
  <c r="H191" i="8"/>
  <c r="X720" i="7"/>
  <c r="P720" i="7"/>
  <c r="L725" i="7"/>
  <c r="V144" i="7"/>
  <c r="R144" i="7"/>
  <c r="N144" i="7"/>
  <c r="AA149" i="7"/>
  <c r="Y149" i="7"/>
  <c r="W149" i="7"/>
  <c r="U149" i="7"/>
  <c r="S149" i="7"/>
  <c r="Q149" i="7"/>
  <c r="O149" i="7"/>
  <c r="M149" i="7"/>
  <c r="AB346" i="12"/>
  <c r="Z453" i="12"/>
  <c r="X346" i="12"/>
  <c r="V453" i="12"/>
  <c r="T346" i="12"/>
  <c r="R453" i="12"/>
  <c r="P453" i="12"/>
  <c r="N453" i="12"/>
  <c r="L346" i="12"/>
  <c r="J346" i="12"/>
  <c r="H346" i="12"/>
  <c r="Y462" i="12"/>
  <c r="Y469" i="12" s="1"/>
  <c r="Y335" i="12"/>
  <c r="U568" i="7"/>
  <c r="U569" i="7" s="1"/>
  <c r="U335" i="12"/>
  <c r="Q568" i="7"/>
  <c r="Q569" i="7" s="1"/>
  <c r="Q335" i="12"/>
  <c r="M568" i="7"/>
  <c r="M569" i="7" s="1"/>
  <c r="M335" i="12"/>
  <c r="I335" i="12"/>
  <c r="AA463" i="12"/>
  <c r="AA470" i="12" s="1"/>
  <c r="AA334" i="12"/>
  <c r="Y463" i="12"/>
  <c r="Y470" i="12" s="1"/>
  <c r="Y334" i="12"/>
  <c r="AA304" i="12"/>
  <c r="AA300" i="12"/>
  <c r="Y269" i="12"/>
  <c r="T251" i="12"/>
  <c r="P251" i="12"/>
  <c r="L251" i="12"/>
  <c r="H251" i="12"/>
  <c r="AA542" i="7"/>
  <c r="AA557" i="7"/>
  <c r="AA551" i="7"/>
  <c r="W263" i="12"/>
  <c r="Z244" i="12"/>
  <c r="Z238" i="12"/>
  <c r="Z232" i="12"/>
  <c r="C320" i="2"/>
  <c r="T244" i="12"/>
  <c r="T238" i="12"/>
  <c r="T232" i="12"/>
  <c r="P244" i="12"/>
  <c r="P238" i="12"/>
  <c r="P232" i="12"/>
  <c r="L244" i="12"/>
  <c r="L238" i="12"/>
  <c r="L232" i="12"/>
  <c r="H244" i="12"/>
  <c r="H238" i="12"/>
  <c r="H232" i="12"/>
  <c r="AA45" i="8"/>
  <c r="DC17" i="11"/>
  <c r="Y156" i="12"/>
  <c r="W156" i="12"/>
  <c r="U156" i="12"/>
  <c r="S156" i="12"/>
  <c r="Q156" i="12"/>
  <c r="O156" i="12"/>
  <c r="M156" i="12"/>
  <c r="K156" i="12"/>
  <c r="AB245" i="8"/>
  <c r="Z245" i="8"/>
  <c r="X245" i="8"/>
  <c r="V245" i="8"/>
  <c r="T245" i="8"/>
  <c r="R245" i="8"/>
  <c r="P245" i="8"/>
  <c r="N245" i="8"/>
  <c r="L245" i="8"/>
  <c r="J245" i="8"/>
  <c r="H245" i="8"/>
  <c r="AB153" i="12"/>
  <c r="CX88" i="11"/>
  <c r="CX13" i="11"/>
  <c r="CY13" i="11" s="1"/>
  <c r="X153" i="12"/>
  <c r="CD88" i="11"/>
  <c r="CE88" i="11" s="1"/>
  <c r="CD13" i="11"/>
  <c r="CE13" i="11" s="1"/>
  <c r="BJ88" i="11"/>
  <c r="BK88" i="11" s="1"/>
  <c r="BL88" i="11" s="1"/>
  <c r="BJ13" i="11"/>
  <c r="BK13" i="11" s="1"/>
  <c r="AP88" i="11"/>
  <c r="AQ88" i="11" s="1"/>
  <c r="AP13" i="11"/>
  <c r="AQ13" i="11" s="1"/>
  <c r="V88" i="11"/>
  <c r="W88" i="11" s="1"/>
  <c r="X88" i="11" s="1"/>
  <c r="V13" i="11"/>
  <c r="W13" i="11" s="1"/>
  <c r="BY165" i="17"/>
  <c r="BI165" i="17"/>
  <c r="AS165" i="17"/>
  <c r="M165" i="17"/>
  <c r="Z151" i="12"/>
  <c r="X151" i="12"/>
  <c r="V151" i="12"/>
  <c r="T151" i="12"/>
  <c r="R151" i="12"/>
  <c r="P151" i="12"/>
  <c r="N151" i="12"/>
  <c r="L151" i="12"/>
  <c r="J151" i="12"/>
  <c r="H151" i="12"/>
  <c r="AA149" i="12"/>
  <c r="Y149" i="12"/>
  <c r="W149" i="12"/>
  <c r="U149" i="12"/>
  <c r="AB148" i="12"/>
  <c r="Z148" i="12"/>
  <c r="X148" i="12"/>
  <c r="V148" i="12"/>
  <c r="T148" i="12"/>
  <c r="R148" i="12"/>
  <c r="P148" i="12"/>
  <c r="N148" i="12"/>
  <c r="L148" i="12"/>
  <c r="J148" i="12"/>
  <c r="H148" i="12"/>
  <c r="DC35" i="11"/>
  <c r="DD35" i="11" s="1"/>
  <c r="DD123" i="11" s="1"/>
  <c r="DC7" i="11"/>
  <c r="DD7" i="11" s="1"/>
  <c r="AA147" i="12"/>
  <c r="CS35" i="11"/>
  <c r="CT35" i="11" s="1"/>
  <c r="CU35" i="11" s="1"/>
  <c r="CS7" i="11"/>
  <c r="CT7" i="11" s="1"/>
  <c r="Y165" i="12" s="1"/>
  <c r="Y147" i="12"/>
  <c r="CI35" i="11"/>
  <c r="CJ35" i="11" s="1"/>
  <c r="CK35" i="11" s="1"/>
  <c r="CI7" i="11"/>
  <c r="CJ7" i="11" s="1"/>
  <c r="W147" i="12"/>
  <c r="BY35" i="11"/>
  <c r="BZ35" i="11" s="1"/>
  <c r="CA35" i="11" s="1"/>
  <c r="BY7" i="11"/>
  <c r="BZ7" i="11" s="1"/>
  <c r="U165" i="12" s="1"/>
  <c r="U147" i="12"/>
  <c r="BO35" i="11"/>
  <c r="BP35" i="11" s="1"/>
  <c r="BQ35" i="11" s="1"/>
  <c r="BO7" i="11"/>
  <c r="BP7" i="11" s="1"/>
  <c r="S147" i="12"/>
  <c r="BE35" i="11"/>
  <c r="BF35" i="11" s="1"/>
  <c r="BG35" i="11" s="1"/>
  <c r="BE7" i="11"/>
  <c r="BF7" i="11" s="1"/>
  <c r="Q134" i="12" s="1"/>
  <c r="BE21" i="11" s="1"/>
  <c r="Q147" i="12"/>
  <c r="AU35" i="11"/>
  <c r="AV35" i="11" s="1"/>
  <c r="AW35" i="11" s="1"/>
  <c r="AU7" i="11"/>
  <c r="AV7" i="11" s="1"/>
  <c r="O147" i="12"/>
  <c r="AK35" i="11"/>
  <c r="AL35" i="11" s="1"/>
  <c r="AM35" i="11" s="1"/>
  <c r="AK7" i="11"/>
  <c r="AL7" i="11" s="1"/>
  <c r="M165" i="12" s="1"/>
  <c r="M147" i="12"/>
  <c r="AA35" i="11"/>
  <c r="AB35" i="11" s="1"/>
  <c r="AC35" i="11" s="1"/>
  <c r="AA7" i="11"/>
  <c r="AB7" i="11" s="1"/>
  <c r="K147" i="12"/>
  <c r="Q35" i="11"/>
  <c r="R35" i="11" s="1"/>
  <c r="S35" i="11" s="1"/>
  <c r="Q7" i="11"/>
  <c r="R7" i="11" s="1"/>
  <c r="S7" i="11" s="1"/>
  <c r="I147" i="12"/>
  <c r="AK8" i="11"/>
  <c r="AL8" i="11" s="1"/>
  <c r="AK50" i="11"/>
  <c r="AL50" i="11" s="1"/>
  <c r="AM50" i="11" s="1"/>
  <c r="M59" i="12"/>
  <c r="AA8" i="11"/>
  <c r="AB8" i="11" s="1"/>
  <c r="AC8" i="11" s="1"/>
  <c r="AA50" i="11"/>
  <c r="AB50" i="11" s="1"/>
  <c r="AC50" i="11" s="1"/>
  <c r="K59" i="12"/>
  <c r="Q8" i="11"/>
  <c r="R8" i="11" s="1"/>
  <c r="Q50" i="11"/>
  <c r="R50" i="11" s="1"/>
  <c r="S50" i="11" s="1"/>
  <c r="I59" i="12"/>
  <c r="AB58" i="12"/>
  <c r="DH35" i="11"/>
  <c r="DI35" i="11" s="1"/>
  <c r="DJ35" i="11" s="1"/>
  <c r="Z58" i="12"/>
  <c r="CX35" i="11"/>
  <c r="CY35" i="11" s="1"/>
  <c r="CX7" i="11"/>
  <c r="CY7" i="11" s="1"/>
  <c r="Z165" i="12" s="1"/>
  <c r="X58" i="12"/>
  <c r="CN35" i="11"/>
  <c r="CO35" i="11" s="1"/>
  <c r="CP35" i="11" s="1"/>
  <c r="CN7" i="11"/>
  <c r="CO7" i="11" s="1"/>
  <c r="X165" i="12" s="1"/>
  <c r="V58" i="12"/>
  <c r="CD35" i="11"/>
  <c r="CE35" i="11" s="1"/>
  <c r="CF35" i="11" s="1"/>
  <c r="CD7" i="11"/>
  <c r="CE7" i="11" s="1"/>
  <c r="CF7" i="11" s="1"/>
  <c r="T58" i="12"/>
  <c r="BT35" i="11"/>
  <c r="BU35" i="11" s="1"/>
  <c r="BV35" i="11" s="1"/>
  <c r="BT7" i="11"/>
  <c r="BU7" i="11" s="1"/>
  <c r="R58" i="12"/>
  <c r="BJ35" i="11"/>
  <c r="BK35" i="11" s="1"/>
  <c r="BL35" i="11" s="1"/>
  <c r="BJ7" i="11"/>
  <c r="BK7" i="11" s="1"/>
  <c r="R134" i="12" s="1"/>
  <c r="BJ21" i="11" s="1"/>
  <c r="P58" i="12"/>
  <c r="AZ35" i="11"/>
  <c r="BA35" i="11" s="1"/>
  <c r="BB35" i="11" s="1"/>
  <c r="AZ7" i="11"/>
  <c r="BA7" i="11" s="1"/>
  <c r="P165" i="12" s="1"/>
  <c r="N58" i="12"/>
  <c r="AP35" i="11"/>
  <c r="AQ35" i="11" s="1"/>
  <c r="AR35" i="11" s="1"/>
  <c r="AP7" i="11"/>
  <c r="AQ7" i="11" s="1"/>
  <c r="AR7" i="11" s="1"/>
  <c r="L58" i="12"/>
  <c r="AF35" i="11"/>
  <c r="AG35" i="11" s="1"/>
  <c r="AH35" i="11" s="1"/>
  <c r="AF7" i="11"/>
  <c r="AG7" i="11" s="1"/>
  <c r="J58" i="12"/>
  <c r="V35" i="11"/>
  <c r="W35" i="11" s="1"/>
  <c r="X35" i="11" s="1"/>
  <c r="V7" i="11"/>
  <c r="W7" i="11" s="1"/>
  <c r="J165" i="12" s="1"/>
  <c r="H58" i="12"/>
  <c r="L35" i="11"/>
  <c r="M35" i="11" s="1"/>
  <c r="N35" i="11" s="1"/>
  <c r="L7" i="11"/>
  <c r="M7" i="11" s="1"/>
  <c r="N7" i="11" s="1"/>
  <c r="Z295" i="12"/>
  <c r="H295" i="12"/>
  <c r="Y720" i="7"/>
  <c r="Q720" i="7"/>
  <c r="Y427" i="12"/>
  <c r="W427" i="12"/>
  <c r="U427" i="12"/>
  <c r="S427" i="12"/>
  <c r="Q427" i="12"/>
  <c r="O427" i="12"/>
  <c r="M427" i="12"/>
  <c r="K427" i="12"/>
  <c r="P737" i="7"/>
  <c r="Z451" i="12"/>
  <c r="AA452" i="12"/>
  <c r="AB462" i="12"/>
  <c r="AB335" i="12"/>
  <c r="Z443" i="12"/>
  <c r="X462" i="12"/>
  <c r="X469" i="12" s="1"/>
  <c r="X335" i="12"/>
  <c r="V443" i="12"/>
  <c r="T568" i="7"/>
  <c r="T569" i="7" s="1"/>
  <c r="T335" i="12"/>
  <c r="R443" i="12"/>
  <c r="P568" i="7"/>
  <c r="P569" i="7" s="1"/>
  <c r="P335" i="12"/>
  <c r="N305" i="12"/>
  <c r="N443" i="12"/>
  <c r="L568" i="7"/>
  <c r="L569" i="7" s="1"/>
  <c r="L335" i="12"/>
  <c r="J305" i="12"/>
  <c r="J443" i="12"/>
  <c r="H335" i="12"/>
  <c r="AA441" i="12"/>
  <c r="AB442" i="12"/>
  <c r="Z442" i="12"/>
  <c r="X442" i="12"/>
  <c r="V463" i="12"/>
  <c r="V470" i="12" s="1"/>
  <c r="V334" i="12"/>
  <c r="T442" i="12"/>
  <c r="R334" i="12"/>
  <c r="P442" i="12"/>
  <c r="N334" i="12"/>
  <c r="L442" i="12"/>
  <c r="J334" i="12"/>
  <c r="H442" i="12"/>
  <c r="Y301" i="12"/>
  <c r="Y345" i="12"/>
  <c r="U301" i="12"/>
  <c r="U345" i="12"/>
  <c r="Q301" i="12"/>
  <c r="Q345" i="12"/>
  <c r="M301" i="12"/>
  <c r="M345" i="12"/>
  <c r="I301" i="12"/>
  <c r="I345" i="12"/>
  <c r="Z300" i="12"/>
  <c r="Z304" i="12"/>
  <c r="X269" i="12"/>
  <c r="V304" i="12"/>
  <c r="R304" i="12"/>
  <c r="N304" i="12"/>
  <c r="J304" i="12"/>
  <c r="AA251" i="12"/>
  <c r="AA272" i="12"/>
  <c r="W251" i="12"/>
  <c r="W272" i="12"/>
  <c r="S251" i="12"/>
  <c r="S272" i="12"/>
  <c r="O251" i="12"/>
  <c r="O272" i="12"/>
  <c r="K251" i="12"/>
  <c r="K272" i="12"/>
  <c r="AB273" i="12"/>
  <c r="AB433" i="12"/>
  <c r="Z557" i="7"/>
  <c r="Z551" i="7"/>
  <c r="Z542" i="7"/>
  <c r="X273" i="12"/>
  <c r="X433" i="12"/>
  <c r="AA244" i="12"/>
  <c r="AA238" i="12"/>
  <c r="AA232" i="12"/>
  <c r="Y256" i="12"/>
  <c r="Y421" i="12"/>
  <c r="W256" i="12"/>
  <c r="W421" i="12"/>
  <c r="U256" i="12"/>
  <c r="U421" i="12"/>
  <c r="S244" i="12"/>
  <c r="S238" i="12"/>
  <c r="S232" i="12"/>
  <c r="Q256" i="12"/>
  <c r="Q421" i="12"/>
  <c r="O244" i="12"/>
  <c r="O238" i="12"/>
  <c r="O232" i="12"/>
  <c r="M256" i="12"/>
  <c r="M421" i="12"/>
  <c r="K244" i="12"/>
  <c r="K238" i="12"/>
  <c r="K232" i="12"/>
  <c r="I256" i="12"/>
  <c r="I421" i="12"/>
  <c r="V416" i="12"/>
  <c r="R416" i="12"/>
  <c r="N416" i="12"/>
  <c r="J416" i="12"/>
  <c r="Y419" i="12"/>
  <c r="W419" i="12"/>
  <c r="U419" i="12"/>
  <c r="S419" i="12"/>
  <c r="Q419" i="12"/>
  <c r="O419" i="12"/>
  <c r="M419" i="12"/>
  <c r="K419" i="12"/>
  <c r="I419" i="12"/>
  <c r="AB415" i="12"/>
  <c r="X415" i="12"/>
  <c r="V415" i="12"/>
  <c r="T415" i="12"/>
  <c r="R415" i="12"/>
  <c r="P415" i="12"/>
  <c r="N415" i="12"/>
  <c r="L415" i="12"/>
  <c r="J415" i="12"/>
  <c r="H415" i="12"/>
  <c r="AA414" i="12"/>
  <c r="W414" i="12"/>
  <c r="S414" i="12"/>
  <c r="O414" i="12"/>
  <c r="K414" i="12"/>
  <c r="AB397" i="12"/>
  <c r="Z397" i="12"/>
  <c r="X397" i="12"/>
  <c r="V255" i="12"/>
  <c r="T397" i="12"/>
  <c r="R255" i="12"/>
  <c r="P397" i="12"/>
  <c r="N255" i="12"/>
  <c r="L397" i="12"/>
  <c r="J255" i="12"/>
  <c r="H397" i="12"/>
  <c r="AA254" i="12"/>
  <c r="AA391" i="12"/>
  <c r="Y254" i="12"/>
  <c r="Y391" i="12"/>
  <c r="W254" i="12"/>
  <c r="W391" i="12"/>
  <c r="U254" i="12"/>
  <c r="U391" i="12"/>
  <c r="S254" i="12"/>
  <c r="S391" i="12"/>
  <c r="Q254" i="12"/>
  <c r="Q391" i="12"/>
  <c r="O254" i="12"/>
  <c r="O391" i="12"/>
  <c r="M366" i="12"/>
  <c r="K254" i="12"/>
  <c r="K391" i="12"/>
  <c r="I254" i="12"/>
  <c r="I391" i="12"/>
  <c r="AB156" i="12"/>
  <c r="Z156" i="12"/>
  <c r="X156" i="12"/>
  <c r="V156" i="12"/>
  <c r="T45" i="8"/>
  <c r="BT17" i="11"/>
  <c r="R45" i="8"/>
  <c r="BJ17" i="11"/>
  <c r="P45" i="8"/>
  <c r="AZ17" i="11"/>
  <c r="N45" i="8"/>
  <c r="AP17" i="11"/>
  <c r="J156" i="12"/>
  <c r="AA245" i="8"/>
  <c r="Y245" i="8"/>
  <c r="W245" i="8"/>
  <c r="U245" i="8"/>
  <c r="S245" i="8"/>
  <c r="Q245" i="8"/>
  <c r="O245" i="8"/>
  <c r="M245" i="8"/>
  <c r="K245" i="8"/>
  <c r="I245" i="8"/>
  <c r="AB155" i="12"/>
  <c r="AB129" i="12"/>
  <c r="Z155" i="12"/>
  <c r="Z129" i="12"/>
  <c r="X155" i="12"/>
  <c r="X129" i="12"/>
  <c r="V155" i="12"/>
  <c r="V129" i="12"/>
  <c r="T129" i="12"/>
  <c r="R129" i="12"/>
  <c r="P129" i="12"/>
  <c r="N129" i="12"/>
  <c r="L129" i="12"/>
  <c r="J129" i="12"/>
  <c r="H129" i="12"/>
  <c r="DC88" i="11"/>
  <c r="DD88" i="11" s="1"/>
  <c r="DE88" i="11" s="1"/>
  <c r="DC13" i="11"/>
  <c r="DD13" i="11" s="1"/>
  <c r="AA140" i="12" s="1"/>
  <c r="DC27" i="11" s="1"/>
  <c r="AA119" i="12"/>
  <c r="Y99" i="12"/>
  <c r="Y153" i="12"/>
  <c r="CI88" i="11"/>
  <c r="CJ88" i="11" s="1"/>
  <c r="CI13" i="11"/>
  <c r="CJ13" i="11" s="1"/>
  <c r="W119" i="12"/>
  <c r="U99" i="12"/>
  <c r="U153" i="12"/>
  <c r="BO88" i="11"/>
  <c r="BP88" i="11" s="1"/>
  <c r="BQ88" i="11" s="1"/>
  <c r="BO13" i="11"/>
  <c r="BP13" i="11" s="1"/>
  <c r="BQ13" i="11" s="1"/>
  <c r="S119" i="12"/>
  <c r="Q99" i="12"/>
  <c r="AU88" i="11"/>
  <c r="AV88" i="11" s="1"/>
  <c r="AW88" i="11" s="1"/>
  <c r="AU13" i="11"/>
  <c r="AV13" i="11" s="1"/>
  <c r="O119" i="12"/>
  <c r="M99" i="12"/>
  <c r="AA88" i="11"/>
  <c r="AB88" i="11" s="1"/>
  <c r="AC88" i="11" s="1"/>
  <c r="AA13" i="11"/>
  <c r="AB13" i="11" s="1"/>
  <c r="K140" i="12" s="1"/>
  <c r="AA27" i="11" s="1"/>
  <c r="K119" i="12"/>
  <c r="I99" i="12"/>
  <c r="AA118" i="12"/>
  <c r="CC165" i="17"/>
  <c r="W118" i="12"/>
  <c r="BM165" i="17"/>
  <c r="S118" i="12"/>
  <c r="AW165" i="17"/>
  <c r="O118" i="12"/>
  <c r="AG165" i="17"/>
  <c r="K118" i="12"/>
  <c r="Q165" i="17"/>
  <c r="AB128" i="12"/>
  <c r="Z128" i="12"/>
  <c r="X128" i="12"/>
  <c r="V128" i="12"/>
  <c r="T128" i="12"/>
  <c r="R128" i="12"/>
  <c r="P128" i="12"/>
  <c r="N128" i="12"/>
  <c r="L128" i="12"/>
  <c r="J128" i="12"/>
  <c r="H128" i="12"/>
  <c r="AA98" i="12"/>
  <c r="W98" i="12"/>
  <c r="AB76" i="12"/>
  <c r="Z76" i="12"/>
  <c r="X76" i="12"/>
  <c r="V76" i="12"/>
  <c r="T76" i="12"/>
  <c r="R76" i="12"/>
  <c r="P76" i="12"/>
  <c r="N76" i="12"/>
  <c r="L76" i="12"/>
  <c r="J76" i="12"/>
  <c r="H76" i="12"/>
  <c r="AA151" i="12"/>
  <c r="Y151" i="12"/>
  <c r="W151" i="12"/>
  <c r="U151" i="12"/>
  <c r="S151" i="12"/>
  <c r="Q151" i="12"/>
  <c r="O151" i="12"/>
  <c r="M151" i="12"/>
  <c r="K151" i="12"/>
  <c r="I151" i="12"/>
  <c r="AB60" i="12"/>
  <c r="Z60" i="12"/>
  <c r="X60" i="12"/>
  <c r="V60" i="12"/>
  <c r="T60" i="12"/>
  <c r="R60" i="12"/>
  <c r="P60" i="12"/>
  <c r="N60" i="12"/>
  <c r="L60" i="12"/>
  <c r="J60" i="12"/>
  <c r="H60" i="12"/>
  <c r="AA148" i="12"/>
  <c r="Y148" i="12"/>
  <c r="W148" i="12"/>
  <c r="U148" i="12"/>
  <c r="S148" i="12"/>
  <c r="Q148" i="12"/>
  <c r="O148" i="12"/>
  <c r="BG287" i="17"/>
  <c r="AQ287" i="17"/>
  <c r="W316" i="17"/>
  <c r="W318" i="17" s="1"/>
  <c r="AM316" i="17"/>
  <c r="AM318" i="17" s="1"/>
  <c r="AI284" i="17"/>
  <c r="BE305" i="17"/>
  <c r="BF305" i="17" s="1"/>
  <c r="S373" i="12" s="1"/>
  <c r="BD282" i="17"/>
  <c r="BD284" i="17" s="1"/>
  <c r="AC119" i="11"/>
  <c r="S179" i="12"/>
  <c r="BQ119" i="11"/>
  <c r="S319" i="17"/>
  <c r="S321" i="17" s="1"/>
  <c r="X285" i="17"/>
  <c r="X287" i="17" s="1"/>
  <c r="CK119" i="11"/>
  <c r="O179" i="12"/>
  <c r="AA316" i="17"/>
  <c r="AA318" i="17" s="1"/>
  <c r="AA284" i="17"/>
  <c r="BG316" i="17"/>
  <c r="BG318" i="17" s="1"/>
  <c r="BC284" i="17"/>
  <c r="BC316" i="17"/>
  <c r="BC318" i="17" s="1"/>
  <c r="AY316" i="17"/>
  <c r="AY318" i="17" s="1"/>
  <c r="AU284" i="17"/>
  <c r="AF71" i="11"/>
  <c r="L48" i="12" s="1"/>
  <c r="AY319" i="17"/>
  <c r="AY321" i="17" s="1"/>
  <c r="BC319" i="17"/>
  <c r="BC321" i="17" s="1"/>
  <c r="AK306" i="17"/>
  <c r="AL306" i="17" s="1"/>
  <c r="N374" i="12" s="1"/>
  <c r="AJ285" i="17"/>
  <c r="U306" i="17"/>
  <c r="V306" i="17" s="1"/>
  <c r="J374" i="12" s="1"/>
  <c r="T285" i="17"/>
  <c r="BD308" i="17"/>
  <c r="AV308" i="17"/>
  <c r="AJ308" i="17"/>
  <c r="T308" i="17"/>
  <c r="BY72" i="6"/>
  <c r="AC72" i="6"/>
  <c r="Q72" i="6"/>
  <c r="AA287" i="17"/>
  <c r="AU319" i="17"/>
  <c r="AU321" i="17" s="1"/>
  <c r="BI306" i="17"/>
  <c r="BJ306" i="17" s="1"/>
  <c r="T374" i="12" s="1"/>
  <c r="BH285" i="17"/>
  <c r="BA306" i="17"/>
  <c r="BB306" i="17" s="1"/>
  <c r="R374" i="12" s="1"/>
  <c r="AZ285" i="17"/>
  <c r="AS306" i="17"/>
  <c r="AT306" i="17" s="1"/>
  <c r="P374" i="12" s="1"/>
  <c r="AR285" i="17"/>
  <c r="AC306" i="17"/>
  <c r="AD306" i="17" s="1"/>
  <c r="L374" i="12" s="1"/>
  <c r="AB285" i="17"/>
  <c r="BH308" i="17"/>
  <c r="AZ308" i="17"/>
  <c r="AR308" i="17"/>
  <c r="AB308" i="17"/>
  <c r="DU80" i="6"/>
  <c r="DI80" i="6"/>
  <c r="CW80" i="6"/>
  <c r="CK80" i="6"/>
  <c r="BY80" i="6"/>
  <c r="BM80" i="6"/>
  <c r="DI66" i="6"/>
  <c r="CW66" i="6"/>
  <c r="BY66" i="6"/>
  <c r="BM66" i="6"/>
  <c r="BA66" i="6"/>
  <c r="AC66" i="6"/>
  <c r="Q66" i="6"/>
  <c r="EA72" i="6"/>
  <c r="DC72" i="6"/>
  <c r="CE72" i="6"/>
  <c r="DO62" i="6"/>
  <c r="CQ62" i="6"/>
  <c r="BS62" i="6"/>
  <c r="CD303" i="17"/>
  <c r="CC308" i="17"/>
  <c r="BV303" i="17"/>
  <c r="BU308" i="17"/>
  <c r="BN303" i="17"/>
  <c r="BM308" i="17"/>
  <c r="BF303" i="17"/>
  <c r="BE285" i="17"/>
  <c r="AP303" i="17"/>
  <c r="AO308" i="17"/>
  <c r="AH303" i="17"/>
  <c r="AG285" i="17"/>
  <c r="AG308" i="17"/>
  <c r="AG282" i="17"/>
  <c r="R303" i="17"/>
  <c r="Q285" i="17"/>
  <c r="Q308" i="17"/>
  <c r="Q282" i="17"/>
  <c r="Q284" i="17" s="1"/>
  <c r="AF316" i="17"/>
  <c r="AF318" i="17" s="1"/>
  <c r="AF284" i="17"/>
  <c r="X316" i="17"/>
  <c r="X318" i="17" s="1"/>
  <c r="X284" i="17"/>
  <c r="AZ284" i="17"/>
  <c r="AN316" i="17"/>
  <c r="AN318" i="17" s="1"/>
  <c r="AJ316" i="17"/>
  <c r="AJ318" i="17" s="1"/>
  <c r="AJ284" i="17"/>
  <c r="AB316" i="17"/>
  <c r="AB318" i="17" s="1"/>
  <c r="AB284" i="17"/>
  <c r="T316" i="17"/>
  <c r="T318" i="17" s="1"/>
  <c r="T284" i="17"/>
  <c r="CT131" i="17"/>
  <c r="DE10" i="17" s="1"/>
  <c r="DS58" i="11"/>
  <c r="BS72" i="6"/>
  <c r="W72" i="6"/>
  <c r="DO66" i="6"/>
  <c r="DC66" i="6"/>
  <c r="BS66" i="6"/>
  <c r="BG66" i="6"/>
  <c r="W66" i="6"/>
  <c r="K66" i="6"/>
  <c r="K65" i="6"/>
  <c r="DC62" i="6"/>
  <c r="CE62" i="6"/>
  <c r="BG62" i="6"/>
  <c r="BZ303" i="17"/>
  <c r="BY308" i="17"/>
  <c r="BR303" i="17"/>
  <c r="BQ308" i="17"/>
  <c r="BJ303" i="17"/>
  <c r="BB303" i="17"/>
  <c r="AT303" i="17"/>
  <c r="AL303" i="17"/>
  <c r="AD303" i="17"/>
  <c r="V303" i="17"/>
  <c r="N303" i="17"/>
  <c r="M308" i="17"/>
  <c r="Y373" i="12"/>
  <c r="W373" i="12"/>
  <c r="U373" i="12"/>
  <c r="M373" i="12"/>
  <c r="K373" i="12"/>
  <c r="I373" i="12"/>
  <c r="CT178" i="17"/>
  <c r="X373" i="12"/>
  <c r="V373" i="12"/>
  <c r="R373" i="12"/>
  <c r="P373" i="12"/>
  <c r="N373" i="12"/>
  <c r="L373" i="12"/>
  <c r="J373" i="12"/>
  <c r="AC165" i="12" l="1"/>
  <c r="DP7" i="11"/>
  <c r="DQ7" i="11" s="1"/>
  <c r="Y195" i="8"/>
  <c r="AA195" i="8"/>
  <c r="X195" i="8"/>
  <c r="X202" i="8" s="1"/>
  <c r="AY117" i="2"/>
  <c r="AC143" i="7"/>
  <c r="DN126" i="11"/>
  <c r="AC174" i="12"/>
  <c r="DL103" i="11"/>
  <c r="DQ103" i="11"/>
  <c r="DN105" i="11"/>
  <c r="DN103" i="11"/>
  <c r="AC106" i="12" s="1"/>
  <c r="DO101" i="11"/>
  <c r="DN90" i="11"/>
  <c r="DN122" i="11"/>
  <c r="AC172" i="12"/>
  <c r="E108" i="2" s="1"/>
  <c r="DL88" i="11"/>
  <c r="DQ88" i="11"/>
  <c r="DN88" i="11"/>
  <c r="DN123" i="11"/>
  <c r="DV50" i="11"/>
  <c r="AD199" i="12" s="1"/>
  <c r="AD193" i="12" s="1"/>
  <c r="F137" i="2" s="1"/>
  <c r="DS8" i="11"/>
  <c r="DU8" i="11" s="1"/>
  <c r="DX8" i="11" s="1"/>
  <c r="DK49" i="11"/>
  <c r="DQ47" i="11"/>
  <c r="DS64" i="11"/>
  <c r="DU64" i="11" s="1"/>
  <c r="DN64" i="11"/>
  <c r="DO64" i="11" s="1"/>
  <c r="DQ64" i="11"/>
  <c r="DN60" i="11"/>
  <c r="DO58" i="11"/>
  <c r="AB119" i="8"/>
  <c r="AB122" i="8"/>
  <c r="AU84" i="6"/>
  <c r="AQ96" i="6"/>
  <c r="CQ118" i="17"/>
  <c r="O60" i="6"/>
  <c r="Q84" i="6"/>
  <c r="R64" i="6"/>
  <c r="I418" i="20"/>
  <c r="Z418" i="20" s="1"/>
  <c r="AA117" i="8"/>
  <c r="AA151" i="8"/>
  <c r="AB151" i="8"/>
  <c r="M237" i="7"/>
  <c r="CL308" i="17"/>
  <c r="CJ337" i="17" s="1"/>
  <c r="CH308" i="17"/>
  <c r="D265" i="2"/>
  <c r="AU265" i="2" s="1"/>
  <c r="CI337" i="17"/>
  <c r="C261" i="2"/>
  <c r="AT261" i="2" s="1"/>
  <c r="C265" i="2"/>
  <c r="AT265" i="2" s="1"/>
  <c r="CL337" i="17"/>
  <c r="D261" i="2"/>
  <c r="AU261" i="2" s="1"/>
  <c r="CP308" i="17"/>
  <c r="CE337" i="17"/>
  <c r="CK337" i="17"/>
  <c r="K237" i="7"/>
  <c r="H418" i="20"/>
  <c r="Y418" i="20" s="1"/>
  <c r="I428" i="7"/>
  <c r="AC58" i="6"/>
  <c r="Q80" i="6"/>
  <c r="AU59" i="6"/>
  <c r="BA58" i="6"/>
  <c r="AO73" i="6"/>
  <c r="Q58" i="6"/>
  <c r="AI77" i="6"/>
  <c r="AU77" i="6"/>
  <c r="X96" i="6"/>
  <c r="DW95" i="6"/>
  <c r="O37" i="7"/>
  <c r="S37" i="7"/>
  <c r="N292" i="7"/>
  <c r="L245" i="7"/>
  <c r="AJ64" i="6"/>
  <c r="AP61" i="6"/>
  <c r="Y89" i="6"/>
  <c r="AP96" i="6"/>
  <c r="AC80" i="6"/>
  <c r="Q237" i="7"/>
  <c r="L237" i="7"/>
  <c r="L64" i="6"/>
  <c r="BC89" i="6"/>
  <c r="Q239" i="7"/>
  <c r="P245" i="7"/>
  <c r="P292" i="7"/>
  <c r="P231" i="7"/>
  <c r="R292" i="7"/>
  <c r="AU60" i="6"/>
  <c r="W77" i="6"/>
  <c r="N290" i="7"/>
  <c r="O39" i="7"/>
  <c r="P290" i="7"/>
  <c r="R290" i="7"/>
  <c r="R231" i="7"/>
  <c r="K273" i="7"/>
  <c r="K37" i="7"/>
  <c r="AA549" i="7"/>
  <c r="AB502" i="7"/>
  <c r="AB568" i="7"/>
  <c r="AB549" i="7"/>
  <c r="R67" i="6"/>
  <c r="K77" i="6"/>
  <c r="AD89" i="6"/>
  <c r="N85" i="6"/>
  <c r="AI60" i="6"/>
  <c r="R237" i="7"/>
  <c r="E208" i="2"/>
  <c r="H383" i="20" s="1"/>
  <c r="Y383" i="20" s="1"/>
  <c r="E194" i="2"/>
  <c r="L37" i="7"/>
  <c r="N239" i="7"/>
  <c r="M292" i="7"/>
  <c r="K290" i="7"/>
  <c r="AD96" i="6"/>
  <c r="AI76" i="6"/>
  <c r="AU79" i="6"/>
  <c r="BC61" i="6"/>
  <c r="BB96" i="6"/>
  <c r="CW73" i="11"/>
  <c r="AO59" i="6"/>
  <c r="Q73" i="6"/>
  <c r="BA73" i="6"/>
  <c r="R61" i="6"/>
  <c r="W94" i="6"/>
  <c r="AI79" i="6"/>
  <c r="AI84" i="6"/>
  <c r="AE67" i="6"/>
  <c r="BC96" i="6"/>
  <c r="AE89" i="6"/>
  <c r="AE61" i="6"/>
  <c r="BB89" i="6"/>
  <c r="BA81" i="6"/>
  <c r="AP67" i="6"/>
  <c r="K60" i="6"/>
  <c r="AO58" i="6"/>
  <c r="Q77" i="6"/>
  <c r="W84" i="6"/>
  <c r="BB61" i="6"/>
  <c r="AO84" i="6"/>
  <c r="X61" i="6"/>
  <c r="N237" i="7"/>
  <c r="P239" i="7"/>
  <c r="P39" i="7"/>
  <c r="M239" i="7"/>
  <c r="L39" i="7"/>
  <c r="P37" i="7"/>
  <c r="S237" i="7"/>
  <c r="M37" i="7"/>
  <c r="Q37" i="7"/>
  <c r="R245" i="7"/>
  <c r="O290" i="7"/>
  <c r="Q290" i="7"/>
  <c r="S290" i="7"/>
  <c r="N231" i="7"/>
  <c r="P237" i="7"/>
  <c r="N37" i="7"/>
  <c r="R37" i="7"/>
  <c r="Q231" i="7"/>
  <c r="S231" i="7"/>
  <c r="Q60" i="6"/>
  <c r="AO60" i="6"/>
  <c r="K82" i="6"/>
  <c r="BA82" i="6"/>
  <c r="AO77" i="6"/>
  <c r="W60" i="6"/>
  <c r="AC82" i="6"/>
  <c r="BA77" i="6"/>
  <c r="K59" i="6"/>
  <c r="AC84" i="6"/>
  <c r="AC79" i="6"/>
  <c r="K58" i="6"/>
  <c r="AU58" i="6"/>
  <c r="S61" i="6"/>
  <c r="AO76" i="6"/>
  <c r="W80" i="6"/>
  <c r="W58" i="6"/>
  <c r="K57" i="6"/>
  <c r="AI59" i="6"/>
  <c r="BA76" i="6"/>
  <c r="O245" i="7"/>
  <c r="M89" i="6"/>
  <c r="AJ96" i="6"/>
  <c r="P790" i="7"/>
  <c r="P791" i="7" s="1"/>
  <c r="R790" i="7"/>
  <c r="R791" i="7" s="1"/>
  <c r="AK96" i="6"/>
  <c r="AW89" i="6"/>
  <c r="S89" i="6"/>
  <c r="K81" i="6"/>
  <c r="S245" i="7"/>
  <c r="M245" i="7"/>
  <c r="L67" i="6"/>
  <c r="L290" i="7"/>
  <c r="K231" i="7"/>
  <c r="L231" i="7"/>
  <c r="L239" i="7"/>
  <c r="N245" i="7"/>
  <c r="AK89" i="6"/>
  <c r="AO62" i="6"/>
  <c r="AK67" i="6"/>
  <c r="AV67" i="6"/>
  <c r="BA62" i="6"/>
  <c r="O237" i="7"/>
  <c r="O239" i="7"/>
  <c r="S239" i="7"/>
  <c r="M39" i="7"/>
  <c r="Q39" i="7"/>
  <c r="M290" i="7"/>
  <c r="O292" i="7"/>
  <c r="Q292" i="7"/>
  <c r="R239" i="7"/>
  <c r="N39" i="7"/>
  <c r="R39" i="7"/>
  <c r="O231" i="7"/>
  <c r="AI58" i="6"/>
  <c r="AL85" i="6"/>
  <c r="Q82" i="6"/>
  <c r="AO82" i="6"/>
  <c r="BA60" i="6"/>
  <c r="AP64" i="6"/>
  <c r="X64" i="6"/>
  <c r="K84" i="6"/>
  <c r="AX85" i="6"/>
  <c r="AD64" i="6"/>
  <c r="AQ61" i="6"/>
  <c r="AJ61" i="6"/>
  <c r="AV64" i="6"/>
  <c r="BA84" i="6"/>
  <c r="AO79" i="6"/>
  <c r="AU80" i="6"/>
  <c r="Y61" i="6"/>
  <c r="AC77" i="6"/>
  <c r="AC60" i="6"/>
  <c r="BB64" i="6"/>
  <c r="AW61" i="6"/>
  <c r="W57" i="6"/>
  <c r="Q76" i="6"/>
  <c r="BD85" i="6"/>
  <c r="AC76" i="6"/>
  <c r="AW96" i="6"/>
  <c r="X89" i="6"/>
  <c r="AV96" i="6"/>
  <c r="AJ89" i="6"/>
  <c r="AI81" i="6"/>
  <c r="Q245" i="7"/>
  <c r="M231" i="7"/>
  <c r="X67" i="6"/>
  <c r="K245" i="7"/>
  <c r="K239" i="7"/>
  <c r="AW67" i="6"/>
  <c r="AP89" i="6"/>
  <c r="AI80" i="6"/>
  <c r="Q62" i="6"/>
  <c r="AC62" i="6"/>
  <c r="J123" i="7"/>
  <c r="DN46" i="6"/>
  <c r="DQ95" i="6"/>
  <c r="H147" i="7"/>
  <c r="I123" i="7"/>
  <c r="H180" i="7"/>
  <c r="H354" i="7" s="1"/>
  <c r="I568" i="7"/>
  <c r="I569" i="7" s="1"/>
  <c r="DZ46" i="6"/>
  <c r="L212" i="7"/>
  <c r="I152" i="7"/>
  <c r="G181" i="7"/>
  <c r="G193" i="7" s="1"/>
  <c r="G18" i="6"/>
  <c r="G22" i="6" s="1"/>
  <c r="G29" i="6" s="1"/>
  <c r="G34" i="6" s="1"/>
  <c r="G39" i="6" s="1"/>
  <c r="G48" i="6" s="1"/>
  <c r="G49" i="6" s="1"/>
  <c r="G144" i="7"/>
  <c r="M47" i="6"/>
  <c r="M96" i="6" s="1"/>
  <c r="I273" i="7"/>
  <c r="J13" i="6"/>
  <c r="U60" i="6"/>
  <c r="H548" i="7"/>
  <c r="H719" i="7"/>
  <c r="H720" i="7" s="1"/>
  <c r="H545" i="7"/>
  <c r="H554" i="7"/>
  <c r="K193" i="7"/>
  <c r="K187" i="7"/>
  <c r="K355" i="7"/>
  <c r="K376" i="7"/>
  <c r="J437" i="7"/>
  <c r="J448" i="7"/>
  <c r="K160" i="7"/>
  <c r="K152" i="7"/>
  <c r="K144" i="7"/>
  <c r="J555" i="7"/>
  <c r="J736" i="7"/>
  <c r="J737" i="7" s="1"/>
  <c r="J549" i="7"/>
  <c r="H511" i="7"/>
  <c r="H723" i="7"/>
  <c r="H725" i="7" s="1"/>
  <c r="H491" i="7"/>
  <c r="J348" i="7"/>
  <c r="J778" i="7"/>
  <c r="J782" i="7" s="1"/>
  <c r="J339" i="7"/>
  <c r="J330" i="7"/>
  <c r="G375" i="7"/>
  <c r="G354" i="7"/>
  <c r="G192" i="7"/>
  <c r="J376" i="7"/>
  <c r="J355" i="7"/>
  <c r="J193" i="7"/>
  <c r="I451" i="7"/>
  <c r="I440" i="7"/>
  <c r="I627" i="7"/>
  <c r="G719" i="7"/>
  <c r="G720" i="7" s="1"/>
  <c r="G554" i="7"/>
  <c r="G545" i="7"/>
  <c r="K228" i="7"/>
  <c r="N229" i="7" s="1"/>
  <c r="L22" i="6"/>
  <c r="L29" i="6" s="1"/>
  <c r="K180" i="7"/>
  <c r="L186" i="7" s="1"/>
  <c r="H555" i="7"/>
  <c r="H736" i="7"/>
  <c r="H737" i="7" s="1"/>
  <c r="H549" i="7"/>
  <c r="H500" i="7"/>
  <c r="I348" i="7"/>
  <c r="I778" i="7"/>
  <c r="I782" i="7" s="1"/>
  <c r="I339" i="7"/>
  <c r="I330" i="7"/>
  <c r="J273" i="7"/>
  <c r="G428" i="7"/>
  <c r="K668" i="7"/>
  <c r="K661" i="7"/>
  <c r="H193" i="7"/>
  <c r="H376" i="7"/>
  <c r="H355" i="7"/>
  <c r="O30" i="6"/>
  <c r="O79" i="6" s="1"/>
  <c r="J568" i="7"/>
  <c r="J569" i="7" s="1"/>
  <c r="K448" i="7"/>
  <c r="K437" i="7"/>
  <c r="H123" i="7"/>
  <c r="J440" i="7"/>
  <c r="G377" i="7"/>
  <c r="G356" i="7"/>
  <c r="G368" i="7" s="1"/>
  <c r="G194" i="7"/>
  <c r="I147" i="7"/>
  <c r="I155" i="7"/>
  <c r="G668" i="7"/>
  <c r="G661" i="7"/>
  <c r="I377" i="7"/>
  <c r="I356" i="7"/>
  <c r="I188" i="7"/>
  <c r="I194" i="7"/>
  <c r="I181" i="7"/>
  <c r="I183" i="7" s="1"/>
  <c r="H448" i="7"/>
  <c r="H437" i="7"/>
  <c r="I228" i="7"/>
  <c r="L229" i="7" s="1"/>
  <c r="I668" i="7"/>
  <c r="I661" i="7"/>
  <c r="H375" i="7"/>
  <c r="S18" i="6"/>
  <c r="S67" i="6" s="1"/>
  <c r="K638" i="7"/>
  <c r="K629" i="7"/>
  <c r="L47" i="6"/>
  <c r="J377" i="7"/>
  <c r="J188" i="7"/>
  <c r="J194" i="7"/>
  <c r="J356" i="7"/>
  <c r="AD18" i="6"/>
  <c r="AD67" i="6" s="1"/>
  <c r="H668" i="7"/>
  <c r="H661" i="7"/>
  <c r="Y47" i="6"/>
  <c r="Y96" i="6" s="1"/>
  <c r="L40" i="6"/>
  <c r="L89" i="6" s="1"/>
  <c r="AA28" i="6"/>
  <c r="AA77" i="6" s="1"/>
  <c r="K194" i="7"/>
  <c r="K377" i="7"/>
  <c r="K356" i="7"/>
  <c r="K188" i="7"/>
  <c r="J428" i="7"/>
  <c r="K549" i="7"/>
  <c r="F47" i="6"/>
  <c r="J47" i="6" s="1"/>
  <c r="L152" i="7"/>
  <c r="AG79" i="6"/>
  <c r="AM60" i="6"/>
  <c r="U77" i="6"/>
  <c r="J147" i="7"/>
  <c r="H152" i="7"/>
  <c r="H144" i="7"/>
  <c r="H160" i="7"/>
  <c r="I192" i="7"/>
  <c r="I375" i="7"/>
  <c r="I354" i="7"/>
  <c r="J152" i="7"/>
  <c r="J144" i="7"/>
  <c r="J160" i="7"/>
  <c r="G782" i="7"/>
  <c r="H428" i="7"/>
  <c r="I437" i="7"/>
  <c r="I448" i="7"/>
  <c r="H440" i="7"/>
  <c r="H451" i="7"/>
  <c r="H627" i="7"/>
  <c r="G638" i="7"/>
  <c r="G629" i="7"/>
  <c r="I500" i="7"/>
  <c r="K339" i="7"/>
  <c r="I212" i="7"/>
  <c r="H777" i="7"/>
  <c r="H782" i="7" s="1"/>
  <c r="H795" i="7" s="1"/>
  <c r="H796" i="7" s="1"/>
  <c r="H224" i="7"/>
  <c r="H212" i="7"/>
  <c r="H206" i="7"/>
  <c r="K123" i="7"/>
  <c r="J180" i="7"/>
  <c r="H194" i="7"/>
  <c r="H377" i="7"/>
  <c r="H356" i="7"/>
  <c r="H188" i="7"/>
  <c r="J668" i="7"/>
  <c r="J661" i="7"/>
  <c r="J638" i="7"/>
  <c r="J629" i="7"/>
  <c r="K224" i="7"/>
  <c r="K212" i="7"/>
  <c r="K777" i="7"/>
  <c r="K782" i="7" s="1"/>
  <c r="K206" i="7"/>
  <c r="AA109" i="8"/>
  <c r="EB40" i="6"/>
  <c r="EB89" i="6" s="1"/>
  <c r="AC488" i="7"/>
  <c r="AD488" i="7" s="1"/>
  <c r="AE488" i="7" s="1"/>
  <c r="Q127" i="8"/>
  <c r="Q130" i="8" s="1"/>
  <c r="Y127" i="8"/>
  <c r="BU67" i="6"/>
  <c r="I347" i="12"/>
  <c r="Y198" i="8"/>
  <c r="Y205" i="8" s="1"/>
  <c r="Z206" i="8"/>
  <c r="X198" i="8"/>
  <c r="X205" i="8" s="1"/>
  <c r="CR93" i="17"/>
  <c r="Z203" i="8"/>
  <c r="S782" i="7"/>
  <c r="K15" i="21" s="1"/>
  <c r="K21" i="21" s="1"/>
  <c r="CR92" i="17"/>
  <c r="V628" i="7"/>
  <c r="V639" i="7" s="1"/>
  <c r="F345" i="20"/>
  <c r="W345" i="20" s="1"/>
  <c r="G345" i="20"/>
  <c r="X345" i="20" s="1"/>
  <c r="CS93" i="17"/>
  <c r="V206" i="8"/>
  <c r="V203" i="8"/>
  <c r="Z420" i="12"/>
  <c r="J116" i="2"/>
  <c r="K104" i="20" s="1"/>
  <c r="AB104" i="20" s="1"/>
  <c r="CI81" i="6"/>
  <c r="N123" i="2"/>
  <c r="J123" i="2"/>
  <c r="CX240" i="17"/>
  <c r="CX14" i="17" s="1"/>
  <c r="S203" i="8"/>
  <c r="I127" i="8"/>
  <c r="I130" i="8" s="1"/>
  <c r="F262" i="2"/>
  <c r="AW262" i="2" s="1"/>
  <c r="G262" i="2"/>
  <c r="AX262" i="2" s="1"/>
  <c r="F261" i="2"/>
  <c r="AW261" i="2" s="1"/>
  <c r="G261" i="2"/>
  <c r="AX261" i="2" s="1"/>
  <c r="F264" i="2"/>
  <c r="AW263" i="2" s="1"/>
  <c r="G264" i="2"/>
  <c r="AX263" i="2" s="1"/>
  <c r="CU306" i="17"/>
  <c r="AC374" i="12"/>
  <c r="AA119" i="8"/>
  <c r="Z109" i="8"/>
  <c r="X119" i="8"/>
  <c r="X109" i="8"/>
  <c r="H420" i="12"/>
  <c r="K420" i="12"/>
  <c r="AC381" i="12"/>
  <c r="E274" i="2" s="1"/>
  <c r="O239" i="17"/>
  <c r="W239" i="17"/>
  <c r="AE239" i="17"/>
  <c r="AM239" i="17"/>
  <c r="AU239" i="17"/>
  <c r="BC239" i="17"/>
  <c r="N347" i="12"/>
  <c r="K239" i="17"/>
  <c r="S239" i="17"/>
  <c r="AA239" i="17"/>
  <c r="AI239" i="17"/>
  <c r="AQ239" i="17"/>
  <c r="AY239" i="17"/>
  <c r="BG239" i="17"/>
  <c r="M347" i="12"/>
  <c r="W347" i="12"/>
  <c r="H347" i="12"/>
  <c r="T83" i="8"/>
  <c r="Q433" i="12"/>
  <c r="BK86" i="17"/>
  <c r="BK8" i="17" s="1"/>
  <c r="BB248" i="17"/>
  <c r="AA206" i="8"/>
  <c r="N628" i="7"/>
  <c r="N639" i="7" s="1"/>
  <c r="U202" i="8"/>
  <c r="L782" i="7"/>
  <c r="D15" i="21" s="1"/>
  <c r="CO81" i="6"/>
  <c r="BW77" i="6"/>
  <c r="AZ121" i="2"/>
  <c r="AA60" i="6"/>
  <c r="EE32" i="6"/>
  <c r="EE81" i="6" s="1"/>
  <c r="N790" i="7"/>
  <c r="N791" i="7" s="1"/>
  <c r="X347" i="12"/>
  <c r="S420" i="12"/>
  <c r="L202" i="8"/>
  <c r="X74" i="8"/>
  <c r="P347" i="12"/>
  <c r="AB723" i="7"/>
  <c r="R206" i="8"/>
  <c r="W122" i="8"/>
  <c r="AB303" i="7"/>
  <c r="H202" i="8"/>
  <c r="EE24" i="6"/>
  <c r="EE73" i="6" s="1"/>
  <c r="L790" i="7"/>
  <c r="L791" i="7" s="1"/>
  <c r="Q347" i="12"/>
  <c r="N420" i="12"/>
  <c r="O420" i="12"/>
  <c r="W119" i="8"/>
  <c r="DJ67" i="6"/>
  <c r="DH30" i="6"/>
  <c r="DH79" i="6" s="1"/>
  <c r="DY79" i="6"/>
  <c r="DG79" i="6"/>
  <c r="M118" i="8"/>
  <c r="N72" i="8"/>
  <c r="DS79" i="6"/>
  <c r="DS77" i="6"/>
  <c r="DY77" i="6"/>
  <c r="DN13" i="6"/>
  <c r="DN62" i="6" s="1"/>
  <c r="CC77" i="6"/>
  <c r="L72" i="8"/>
  <c r="BR13" i="6"/>
  <c r="BR62" i="6" s="1"/>
  <c r="O119" i="8"/>
  <c r="AA782" i="7"/>
  <c r="AA461" i="12" s="1"/>
  <c r="AA468" i="12" s="1"/>
  <c r="U42" i="8"/>
  <c r="L119" i="8"/>
  <c r="BW60" i="6"/>
  <c r="CT325" i="17"/>
  <c r="T198" i="8"/>
  <c r="T205" i="8" s="1"/>
  <c r="F222" i="2"/>
  <c r="J419" i="20" s="1"/>
  <c r="AA419" i="20" s="1"/>
  <c r="H85" i="17"/>
  <c r="V555" i="7"/>
  <c r="Y206" i="8"/>
  <c r="T204" i="8"/>
  <c r="F246" i="2"/>
  <c r="J417" i="20" s="1"/>
  <c r="AA417" i="20" s="1"/>
  <c r="M72" i="8"/>
  <c r="T206" i="8"/>
  <c r="X72" i="8"/>
  <c r="DM60" i="6"/>
  <c r="AA198" i="8"/>
  <c r="AA205" i="8" s="1"/>
  <c r="K122" i="8"/>
  <c r="Z160" i="8"/>
  <c r="BJ85" i="17"/>
  <c r="T203" i="8"/>
  <c r="T202" i="8"/>
  <c r="BK79" i="6"/>
  <c r="O72" i="8"/>
  <c r="K202" i="8"/>
  <c r="K203" i="8"/>
  <c r="U41" i="8"/>
  <c r="N204" i="8"/>
  <c r="V204" i="8"/>
  <c r="CI79" i="6"/>
  <c r="CS89" i="6"/>
  <c r="AD426" i="7"/>
  <c r="AE426" i="7" s="1"/>
  <c r="Z204" i="8"/>
  <c r="AC627" i="7"/>
  <c r="AB779" i="7"/>
  <c r="Q202" i="8"/>
  <c r="Y202" i="8"/>
  <c r="I203" i="8"/>
  <c r="Q203" i="8"/>
  <c r="U428" i="7"/>
  <c r="Y203" i="8"/>
  <c r="L83" i="8"/>
  <c r="I119" i="8"/>
  <c r="Y119" i="8"/>
  <c r="O83" i="8"/>
  <c r="F151" i="2"/>
  <c r="AW151" i="2" s="1"/>
  <c r="L628" i="7"/>
  <c r="L639" i="7" s="1"/>
  <c r="R628" i="7"/>
  <c r="R639" i="7" s="1"/>
  <c r="K347" i="12"/>
  <c r="P119" i="8"/>
  <c r="Z74" i="8"/>
  <c r="P72" i="8"/>
  <c r="Q420" i="12"/>
  <c r="X420" i="12"/>
  <c r="DA81" i="6"/>
  <c r="T347" i="12"/>
  <c r="AY121" i="2"/>
  <c r="Y72" i="8"/>
  <c r="U72" i="8"/>
  <c r="AC258" i="7"/>
  <c r="EK24" i="6" s="1"/>
  <c r="Z782" i="7"/>
  <c r="Z784" i="7" s="1"/>
  <c r="H119" i="8"/>
  <c r="AB420" i="12"/>
  <c r="L198" i="8"/>
  <c r="L205" i="8" s="1"/>
  <c r="O122" i="8"/>
  <c r="P782" i="7"/>
  <c r="P795" i="7" s="1"/>
  <c r="P796" i="7" s="1"/>
  <c r="X160" i="8"/>
  <c r="Z70" i="8"/>
  <c r="I122" i="8"/>
  <c r="Y122" i="8"/>
  <c r="H122" i="8"/>
  <c r="F150" i="2"/>
  <c r="K199" i="20" s="1"/>
  <c r="AB199" i="20" s="1"/>
  <c r="DG60" i="6"/>
  <c r="AY81" i="6"/>
  <c r="P420" i="12"/>
  <c r="O203" i="8"/>
  <c r="S122" i="8"/>
  <c r="Q119" i="8"/>
  <c r="X628" i="7"/>
  <c r="X639" i="7" s="1"/>
  <c r="V782" i="7"/>
  <c r="T74" i="8"/>
  <c r="U420" i="12"/>
  <c r="M420" i="12"/>
  <c r="S119" i="8"/>
  <c r="T420" i="12"/>
  <c r="X203" i="8"/>
  <c r="G147" i="8"/>
  <c r="G161" i="8" s="1"/>
  <c r="I206" i="8"/>
  <c r="M782" i="7"/>
  <c r="M783" i="7" s="1"/>
  <c r="M784" i="7" s="1"/>
  <c r="Q782" i="7"/>
  <c r="X204" i="8"/>
  <c r="P628" i="7"/>
  <c r="P639" i="7" s="1"/>
  <c r="BT96" i="6"/>
  <c r="W72" i="8"/>
  <c r="Y568" i="7"/>
  <c r="Y569" i="7" s="1"/>
  <c r="H198" i="8"/>
  <c r="H205" i="8" s="1"/>
  <c r="CS47" i="6"/>
  <c r="CS96" i="6" s="1"/>
  <c r="J195" i="8"/>
  <c r="J202" i="8" s="1"/>
  <c r="V347" i="12"/>
  <c r="AC382" i="12"/>
  <c r="T119" i="8"/>
  <c r="BN96" i="6"/>
  <c r="AA74" i="8"/>
  <c r="AA72" i="8"/>
  <c r="DP64" i="6"/>
  <c r="DM81" i="6"/>
  <c r="G540" i="20"/>
  <c r="X540" i="20" s="1"/>
  <c r="T292" i="7"/>
  <c r="X292" i="7"/>
  <c r="CD31" i="6"/>
  <c r="CD80" i="6" s="1"/>
  <c r="I419" i="20"/>
  <c r="Z419" i="20" s="1"/>
  <c r="DZ31" i="6"/>
  <c r="DZ80" i="6" s="1"/>
  <c r="O178" i="12"/>
  <c r="ED69" i="6"/>
  <c r="BQ81" i="6"/>
  <c r="BM32" i="6"/>
  <c r="BR32" i="6" s="1"/>
  <c r="BR81" i="6" s="1"/>
  <c r="AG81" i="6"/>
  <c r="BW81" i="6"/>
  <c r="DY73" i="6"/>
  <c r="AG64" i="11"/>
  <c r="L170" i="12" s="1"/>
  <c r="AM79" i="6"/>
  <c r="CR89" i="6"/>
  <c r="AU252" i="2"/>
  <c r="CU77" i="6"/>
  <c r="U81" i="6"/>
  <c r="H419" i="20"/>
  <c r="Y419" i="20" s="1"/>
  <c r="AN247" i="17"/>
  <c r="AL248" i="17"/>
  <c r="AE90" i="8"/>
  <c r="F185" i="2"/>
  <c r="AW185" i="2" s="1"/>
  <c r="AE747" i="7"/>
  <c r="EV28" i="6"/>
  <c r="AE759" i="7"/>
  <c r="EV44" i="6"/>
  <c r="AE300" i="7"/>
  <c r="G221" i="2" s="1"/>
  <c r="F221" i="2"/>
  <c r="AW221" i="2" s="1"/>
  <c r="AE483" i="7"/>
  <c r="G248" i="2" s="1"/>
  <c r="AX248" i="2" s="1"/>
  <c r="F248" i="2"/>
  <c r="AW248" i="2" s="1"/>
  <c r="AE694" i="7"/>
  <c r="EV25" i="6"/>
  <c r="F216" i="2"/>
  <c r="J412" i="20" s="1"/>
  <c r="AA412" i="20" s="1"/>
  <c r="P85" i="17"/>
  <c r="X85" i="17"/>
  <c r="AF85" i="17"/>
  <c r="AN85" i="17"/>
  <c r="AV85" i="17"/>
  <c r="BD85" i="17"/>
  <c r="V248" i="17"/>
  <c r="ES7" i="6"/>
  <c r="DZ118" i="11"/>
  <c r="M190" i="17"/>
  <c r="I173" i="17"/>
  <c r="T290" i="7"/>
  <c r="X290" i="7"/>
  <c r="AE422" i="7"/>
  <c r="F244" i="2"/>
  <c r="J483" i="20" s="1"/>
  <c r="AA483" i="20" s="1"/>
  <c r="AE425" i="7"/>
  <c r="AE745" i="7"/>
  <c r="EV10" i="6"/>
  <c r="AE482" i="7"/>
  <c r="G230" i="2" s="1"/>
  <c r="AX230" i="2" s="1"/>
  <c r="F230" i="2"/>
  <c r="AW230" i="2" s="1"/>
  <c r="AC380" i="12"/>
  <c r="CT326" i="17"/>
  <c r="N121" i="2"/>
  <c r="BE121" i="2" s="1"/>
  <c r="J121" i="2"/>
  <c r="DB280" i="17"/>
  <c r="DB281" i="17"/>
  <c r="CY280" i="17"/>
  <c r="J112" i="20"/>
  <c r="AA112" i="20" s="1"/>
  <c r="AZ123" i="2"/>
  <c r="AB780" i="7"/>
  <c r="AE746" i="7"/>
  <c r="EV19" i="6"/>
  <c r="X245" i="7"/>
  <c r="EV33" i="6"/>
  <c r="AE754" i="7"/>
  <c r="O127" i="8"/>
  <c r="O130" i="8" s="1"/>
  <c r="W127" i="8"/>
  <c r="Y74" i="8"/>
  <c r="V549" i="7"/>
  <c r="R203" i="8"/>
  <c r="K83" i="8"/>
  <c r="CZ278" i="17"/>
  <c r="EV9" i="6"/>
  <c r="AE424" i="7"/>
  <c r="AE751" i="7"/>
  <c r="AE753" i="7"/>
  <c r="EV30" i="6"/>
  <c r="AE761" i="7"/>
  <c r="EV45" i="6"/>
  <c r="V83" i="8"/>
  <c r="K182" i="17"/>
  <c r="O182" i="17"/>
  <c r="S182" i="17"/>
  <c r="W182" i="17"/>
  <c r="AA182" i="17"/>
  <c r="AE182" i="17"/>
  <c r="AI182" i="17"/>
  <c r="AM182" i="17"/>
  <c r="AQ182" i="17"/>
  <c r="AU182" i="17"/>
  <c r="AY182" i="17"/>
  <c r="BC182" i="17"/>
  <c r="BG182" i="17"/>
  <c r="CY278" i="17"/>
  <c r="DA281" i="17"/>
  <c r="ES6" i="6"/>
  <c r="DZ117" i="11"/>
  <c r="AE656" i="7"/>
  <c r="AE755" i="7"/>
  <c r="EV35" i="6"/>
  <c r="CZ277" i="17"/>
  <c r="H206" i="8"/>
  <c r="X206" i="8"/>
  <c r="U347" i="12"/>
  <c r="CZ279" i="17"/>
  <c r="C217" i="2"/>
  <c r="AT217" i="2" s="1"/>
  <c r="DS73" i="6"/>
  <c r="T72" i="8"/>
  <c r="K121" i="2"/>
  <c r="W782" i="7"/>
  <c r="W784" i="7" s="1"/>
  <c r="J420" i="12"/>
  <c r="AC301" i="7"/>
  <c r="AD301" i="7" s="1"/>
  <c r="AE301" i="7" s="1"/>
  <c r="AE658" i="7"/>
  <c r="EV21" i="6"/>
  <c r="AE163" i="7"/>
  <c r="Z72" i="8"/>
  <c r="K127" i="8"/>
  <c r="K130" i="8" s="1"/>
  <c r="S127" i="8"/>
  <c r="S130" i="8" s="1"/>
  <c r="AA127" i="8"/>
  <c r="DA279" i="17"/>
  <c r="V736" i="7"/>
  <c r="V737" i="7" s="1"/>
  <c r="S83" i="8"/>
  <c r="DB277" i="17"/>
  <c r="AB72" i="8"/>
  <c r="N782" i="7"/>
  <c r="F15" i="21" s="1"/>
  <c r="F24" i="21" s="1"/>
  <c r="R782" i="7"/>
  <c r="N83" i="8"/>
  <c r="I182" i="17"/>
  <c r="M182" i="17"/>
  <c r="Q182" i="17"/>
  <c r="U182" i="17"/>
  <c r="Y182" i="17"/>
  <c r="AC182" i="17"/>
  <c r="AG182" i="17"/>
  <c r="AK182" i="17"/>
  <c r="AO182" i="17"/>
  <c r="AS182" i="17"/>
  <c r="AW182" i="17"/>
  <c r="BA182" i="17"/>
  <c r="BE182" i="17"/>
  <c r="BI182" i="17"/>
  <c r="EP26" i="6"/>
  <c r="AE254" i="7"/>
  <c r="EV26" i="6" s="1"/>
  <c r="DB278" i="17"/>
  <c r="DB279" i="17"/>
  <c r="CZ281" i="17"/>
  <c r="O347" i="12"/>
  <c r="Y347" i="12"/>
  <c r="S74" i="8"/>
  <c r="V72" i="8"/>
  <c r="W420" i="12"/>
  <c r="CI73" i="6"/>
  <c r="U172" i="12"/>
  <c r="CZ102" i="11"/>
  <c r="BG87" i="11"/>
  <c r="CE105" i="11"/>
  <c r="CK59" i="11"/>
  <c r="AR102" i="11"/>
  <c r="DE101" i="11"/>
  <c r="Z174" i="12"/>
  <c r="S87" i="11"/>
  <c r="X102" i="11"/>
  <c r="AV60" i="11"/>
  <c r="O168" i="12" s="1"/>
  <c r="BL102" i="11"/>
  <c r="CU87" i="11"/>
  <c r="V174" i="12"/>
  <c r="K488" i="20"/>
  <c r="AB488" i="20" s="1"/>
  <c r="D105" i="2"/>
  <c r="D288" i="2" s="1"/>
  <c r="C288" i="2" s="1"/>
  <c r="G152" i="20" s="1"/>
  <c r="X152" i="20" s="1"/>
  <c r="J488" i="20"/>
  <c r="AA488" i="20" s="1"/>
  <c r="CY105" i="11"/>
  <c r="BR31" i="6"/>
  <c r="BR80" i="6" s="1"/>
  <c r="D131" i="2"/>
  <c r="D299" i="2" s="1"/>
  <c r="C299" i="2" s="1"/>
  <c r="G150" i="20" s="1"/>
  <c r="X150" i="20" s="1"/>
  <c r="BP64" i="11"/>
  <c r="S170" i="12" s="1"/>
  <c r="DL64" i="11"/>
  <c r="E252" i="2"/>
  <c r="I540" i="20" s="1"/>
  <c r="Z540" i="20" s="1"/>
  <c r="D109" i="2"/>
  <c r="AU109" i="2" s="1"/>
  <c r="E137" i="2"/>
  <c r="DV81" i="11"/>
  <c r="AD263" i="12" s="1"/>
  <c r="DX81" i="11"/>
  <c r="DZ81" i="11" s="1"/>
  <c r="EA81" i="11" s="1"/>
  <c r="AE263" i="12" s="1"/>
  <c r="N167" i="12"/>
  <c r="EE79" i="6"/>
  <c r="N136" i="12"/>
  <c r="AP23" i="11" s="1"/>
  <c r="DB64" i="11"/>
  <c r="CY64" i="11"/>
  <c r="CZ64" i="11" s="1"/>
  <c r="CE64" i="11"/>
  <c r="V170" i="12" s="1"/>
  <c r="AY96" i="11"/>
  <c r="O77" i="6"/>
  <c r="AO32" i="6"/>
  <c r="AO81" i="6" s="1"/>
  <c r="E24" i="6"/>
  <c r="J31" i="6" s="1"/>
  <c r="AS81" i="6"/>
  <c r="BO22" i="6"/>
  <c r="BO29" i="6" s="1"/>
  <c r="DB13" i="6"/>
  <c r="DB62" i="6" s="1"/>
  <c r="AW68" i="17"/>
  <c r="AC87" i="11"/>
  <c r="N102" i="11"/>
  <c r="BQ86" i="11"/>
  <c r="DB31" i="6"/>
  <c r="DB80" i="6" s="1"/>
  <c r="BO67" i="6"/>
  <c r="CC64" i="11"/>
  <c r="CA67" i="6"/>
  <c r="BZ96" i="6"/>
  <c r="DV96" i="6"/>
  <c r="CY89" i="6"/>
  <c r="U64" i="11"/>
  <c r="DY60" i="6"/>
  <c r="DZ30" i="6"/>
  <c r="DZ79" i="6" s="1"/>
  <c r="DK65" i="11"/>
  <c r="DQ65" i="11" s="1"/>
  <c r="F484" i="20"/>
  <c r="W484" i="20" s="1"/>
  <c r="BE81" i="6"/>
  <c r="Q32" i="6"/>
  <c r="Q81" i="6" s="1"/>
  <c r="DD22" i="6"/>
  <c r="DD29" i="6" s="1"/>
  <c r="O81" i="6"/>
  <c r="CH84" i="17"/>
  <c r="DK67" i="6"/>
  <c r="CW64" i="11"/>
  <c r="DM77" i="6"/>
  <c r="CL67" i="6"/>
  <c r="CF9" i="11"/>
  <c r="DS12" i="6"/>
  <c r="DS61" i="6" s="1"/>
  <c r="W32" i="6"/>
  <c r="DS60" i="6"/>
  <c r="CC81" i="6"/>
  <c r="DP89" i="6"/>
  <c r="Q68" i="17"/>
  <c r="BK64" i="11"/>
  <c r="R170" i="12" s="1"/>
  <c r="V167" i="12"/>
  <c r="CC60" i="6"/>
  <c r="CT64" i="11"/>
  <c r="Y170" i="12" s="1"/>
  <c r="BS32" i="6"/>
  <c r="BX32" i="6" s="1"/>
  <c r="BX81" i="6" s="1"/>
  <c r="DA60" i="6"/>
  <c r="AQ64" i="11"/>
  <c r="AR64" i="11" s="1"/>
  <c r="BI64" i="11"/>
  <c r="CV13" i="6"/>
  <c r="CV62" i="6" s="1"/>
  <c r="BY32" i="6"/>
  <c r="AP84" i="17"/>
  <c r="CY67" i="6"/>
  <c r="AL84" i="17"/>
  <c r="CM96" i="6"/>
  <c r="AD51" i="12"/>
  <c r="AD58" i="12" s="1"/>
  <c r="AE7" i="12"/>
  <c r="DB24" i="17" s="1"/>
  <c r="AD71" i="12"/>
  <c r="AD77" i="12" s="1"/>
  <c r="AE64" i="12"/>
  <c r="DB126" i="17" s="1"/>
  <c r="BV102" i="11"/>
  <c r="CX165" i="17"/>
  <c r="CX178" i="17" s="1"/>
  <c r="AE82" i="12"/>
  <c r="DB165" i="17" s="1"/>
  <c r="AD28" i="12"/>
  <c r="CQ65" i="11"/>
  <c r="CW65" i="11" s="1"/>
  <c r="CD13" i="6"/>
  <c r="CD62" i="6" s="1"/>
  <c r="CO73" i="6"/>
  <c r="DK22" i="6"/>
  <c r="DK29" i="6" s="1"/>
  <c r="CX225" i="17"/>
  <c r="CX238" i="17" s="1"/>
  <c r="AE103" i="12"/>
  <c r="DB225" i="17" s="1"/>
  <c r="AE192" i="12"/>
  <c r="DM79" i="6"/>
  <c r="BO89" i="6"/>
  <c r="DJ96" i="6"/>
  <c r="BZ64" i="11"/>
  <c r="CA64" i="11" s="1"/>
  <c r="BN89" i="6"/>
  <c r="BU89" i="6"/>
  <c r="DW67" i="6"/>
  <c r="CX168" i="17"/>
  <c r="CX181" i="17" s="1"/>
  <c r="AE81" i="12"/>
  <c r="DB168" i="17" s="1"/>
  <c r="AD52" i="12"/>
  <c r="AD59" i="12" s="1"/>
  <c r="AE13" i="12"/>
  <c r="DB43" i="17" s="1"/>
  <c r="CX62" i="17"/>
  <c r="CX78" i="17" s="1"/>
  <c r="AE27" i="12"/>
  <c r="DB62" i="17" s="1"/>
  <c r="CI60" i="6"/>
  <c r="DS81" i="6"/>
  <c r="BU96" i="6"/>
  <c r="M22" i="6"/>
  <c r="DI32" i="6"/>
  <c r="DN32" i="6" s="1"/>
  <c r="DN81" i="6" s="1"/>
  <c r="AW86" i="11"/>
  <c r="CE60" i="11"/>
  <c r="V168" i="12" s="1"/>
  <c r="AT64" i="11"/>
  <c r="BK60" i="6"/>
  <c r="AA79" i="6"/>
  <c r="BT22" i="6"/>
  <c r="BZ71" i="6" s="1"/>
  <c r="DG81" i="6"/>
  <c r="DM73" i="6"/>
  <c r="X174" i="12"/>
  <c r="E40" i="6"/>
  <c r="J40" i="6" s="1"/>
  <c r="I48" i="6"/>
  <c r="I49" i="6" s="1"/>
  <c r="CP30" i="6"/>
  <c r="CP79" i="6" s="1"/>
  <c r="BH22" i="6"/>
  <c r="BH29" i="6" s="1"/>
  <c r="AM81" i="6"/>
  <c r="BK81" i="6"/>
  <c r="DW22" i="6"/>
  <c r="DW29" i="6" s="1"/>
  <c r="BQ77" i="6"/>
  <c r="CW32" i="6"/>
  <c r="DB32" i="6" s="1"/>
  <c r="DB81" i="6" s="1"/>
  <c r="CI77" i="6"/>
  <c r="BT67" i="6"/>
  <c r="CU79" i="6"/>
  <c r="DN31" i="6"/>
  <c r="DN80" i="6" s="1"/>
  <c r="AU243" i="2"/>
  <c r="DY81" i="6"/>
  <c r="DE89" i="6"/>
  <c r="S79" i="8"/>
  <c r="S116" i="8" s="1"/>
  <c r="L203" i="8"/>
  <c r="Q206" i="8"/>
  <c r="CK165" i="17"/>
  <c r="G2" i="12"/>
  <c r="G4" i="11" s="1"/>
  <c r="AC489" i="7"/>
  <c r="AD489" i="7" s="1"/>
  <c r="AE489" i="7" s="1"/>
  <c r="R347" i="12"/>
  <c r="H204" i="8"/>
  <c r="L204" i="8"/>
  <c r="P204" i="8"/>
  <c r="AB628" i="7"/>
  <c r="W491" i="7"/>
  <c r="L206" i="8"/>
  <c r="AV243" i="2"/>
  <c r="K119" i="8"/>
  <c r="K72" i="8"/>
  <c r="O782" i="7"/>
  <c r="G15" i="21" s="1"/>
  <c r="G21" i="21" s="1"/>
  <c r="U782" i="7"/>
  <c r="P198" i="8"/>
  <c r="P205" i="8" s="1"/>
  <c r="T245" i="7"/>
  <c r="J206" i="8"/>
  <c r="L85" i="17"/>
  <c r="T85" i="17"/>
  <c r="AB85" i="17"/>
  <c r="AJ85" i="17"/>
  <c r="AR85" i="17"/>
  <c r="AZ85" i="17"/>
  <c r="BH85" i="17"/>
  <c r="I433" i="12"/>
  <c r="U74" i="8"/>
  <c r="V292" i="7"/>
  <c r="U206" i="8"/>
  <c r="AB740" i="7"/>
  <c r="AB742" i="7" s="1"/>
  <c r="D210" i="2" s="1"/>
  <c r="T628" i="7"/>
  <c r="T639" i="7" s="1"/>
  <c r="Q72" i="8"/>
  <c r="DO32" i="6"/>
  <c r="P206" i="8"/>
  <c r="G484" i="20"/>
  <c r="X484" i="20" s="1"/>
  <c r="G485" i="20"/>
  <c r="X485" i="20" s="1"/>
  <c r="BE79" i="6"/>
  <c r="W74" i="8"/>
  <c r="S72" i="8"/>
  <c r="Y782" i="7"/>
  <c r="Y795" i="7" s="1"/>
  <c r="Y796" i="7" s="1"/>
  <c r="CX291" i="17"/>
  <c r="CX325" i="17" s="1"/>
  <c r="I230" i="17"/>
  <c r="L420" i="12"/>
  <c r="U203" i="8"/>
  <c r="S39" i="7"/>
  <c r="AB491" i="7"/>
  <c r="U122" i="8"/>
  <c r="M127" i="8"/>
  <c r="M130" i="8" s="1"/>
  <c r="U127" i="8"/>
  <c r="H203" i="8"/>
  <c r="P203" i="8"/>
  <c r="W83" i="8"/>
  <c r="S198" i="8"/>
  <c r="S205" i="8" s="1"/>
  <c r="V74" i="8"/>
  <c r="J347" i="12"/>
  <c r="J204" i="8"/>
  <c r="R204" i="8"/>
  <c r="BB86" i="11"/>
  <c r="S347" i="12"/>
  <c r="BF30" i="6"/>
  <c r="BF79" i="6" s="1"/>
  <c r="W64" i="11"/>
  <c r="J170" i="12" s="1"/>
  <c r="P202" i="8"/>
  <c r="DQ67" i="6"/>
  <c r="R64" i="11"/>
  <c r="I170" i="12" s="1"/>
  <c r="T782" i="7"/>
  <c r="T795" i="7" s="1"/>
  <c r="T796" i="7" s="1"/>
  <c r="X782" i="7"/>
  <c r="X461" i="12" s="1"/>
  <c r="X468" i="12" s="1"/>
  <c r="BR30" i="6"/>
  <c r="BR79" i="6" s="1"/>
  <c r="DG73" i="6"/>
  <c r="AH102" i="11"/>
  <c r="P172" i="12"/>
  <c r="BL13" i="6"/>
  <c r="BL62" i="6" s="1"/>
  <c r="BQ87" i="11"/>
  <c r="DJ22" i="6"/>
  <c r="DJ29" i="6" s="1"/>
  <c r="DK89" i="6"/>
  <c r="I485" i="20"/>
  <c r="Z485" i="20" s="1"/>
  <c r="BO96" i="6"/>
  <c r="BN67" i="6"/>
  <c r="CL96" i="6"/>
  <c r="AA81" i="6"/>
  <c r="CU81" i="6"/>
  <c r="CM22" i="6"/>
  <c r="CM29" i="6" s="1"/>
  <c r="BQ60" i="6"/>
  <c r="BD64" i="11"/>
  <c r="CS67" i="6"/>
  <c r="DP96" i="6"/>
  <c r="X10" i="11"/>
  <c r="BB102" i="11"/>
  <c r="CK32" i="6"/>
  <c r="CP32" i="6" s="1"/>
  <c r="CP81" i="6" s="1"/>
  <c r="DQ22" i="6"/>
  <c r="AG60" i="6"/>
  <c r="CA89" i="6"/>
  <c r="CO60" i="6"/>
  <c r="DP67" i="6"/>
  <c r="BX64" i="11"/>
  <c r="C196" i="2"/>
  <c r="AT196" i="2" s="1"/>
  <c r="V290" i="7"/>
  <c r="CX292" i="17"/>
  <c r="CX326" i="17" s="1"/>
  <c r="X568" i="7"/>
  <c r="X569" i="7" s="1"/>
  <c r="R420" i="12"/>
  <c r="R74" i="8"/>
  <c r="Y237" i="7"/>
  <c r="S202" i="8"/>
  <c r="U239" i="7"/>
  <c r="W203" i="8"/>
  <c r="N206" i="8"/>
  <c r="M122" i="8"/>
  <c r="X83" i="8"/>
  <c r="Z83" i="8"/>
  <c r="R72" i="8"/>
  <c r="N85" i="17"/>
  <c r="V85" i="17"/>
  <c r="AD85" i="17"/>
  <c r="AL85" i="17"/>
  <c r="AT85" i="17"/>
  <c r="BB85" i="17"/>
  <c r="M239" i="17"/>
  <c r="U239" i="17"/>
  <c r="AC239" i="17"/>
  <c r="AK239" i="17"/>
  <c r="AS239" i="17"/>
  <c r="BA239" i="17"/>
  <c r="BI239" i="17"/>
  <c r="M433" i="12"/>
  <c r="P74" i="8"/>
  <c r="N123" i="7"/>
  <c r="R123" i="7"/>
  <c r="V123" i="7"/>
  <c r="Z123" i="7"/>
  <c r="N203" i="8"/>
  <c r="N248" i="17"/>
  <c r="AD248" i="17"/>
  <c r="AT248" i="17"/>
  <c r="EC89" i="6"/>
  <c r="L347" i="12"/>
  <c r="R83" i="8"/>
  <c r="AB74" i="8"/>
  <c r="BN22" i="6"/>
  <c r="BN29" i="6" s="1"/>
  <c r="AG68" i="17"/>
  <c r="CL120" i="17"/>
  <c r="AS60" i="6"/>
  <c r="BF64" i="11"/>
  <c r="Q170" i="12" s="1"/>
  <c r="DA79" i="6"/>
  <c r="AC86" i="11"/>
  <c r="CK86" i="11"/>
  <c r="P64" i="11"/>
  <c r="I420" i="12"/>
  <c r="CX293" i="17"/>
  <c r="CX327" i="17" s="1"/>
  <c r="CX294" i="17"/>
  <c r="CX328" i="17" s="1"/>
  <c r="V420" i="12"/>
  <c r="R70" i="8"/>
  <c r="O202" i="8"/>
  <c r="W202" i="8"/>
  <c r="Q122" i="8"/>
  <c r="P83" i="8"/>
  <c r="M119" i="8"/>
  <c r="U119" i="8"/>
  <c r="J85" i="17"/>
  <c r="R85" i="17"/>
  <c r="Z85" i="17"/>
  <c r="AH85" i="17"/>
  <c r="AP85" i="17"/>
  <c r="AX85" i="17"/>
  <c r="BF85" i="17"/>
  <c r="I239" i="17"/>
  <c r="Q239" i="17"/>
  <c r="Y239" i="17"/>
  <c r="AG239" i="17"/>
  <c r="AO239" i="17"/>
  <c r="AW239" i="17"/>
  <c r="BE239" i="17"/>
  <c r="U433" i="12"/>
  <c r="Q74" i="8"/>
  <c r="L123" i="7"/>
  <c r="P123" i="7"/>
  <c r="T123" i="7"/>
  <c r="X123" i="7"/>
  <c r="J203" i="8"/>
  <c r="R248" i="17"/>
  <c r="AH248" i="17"/>
  <c r="AX248" i="17"/>
  <c r="K198" i="8"/>
  <c r="K205" i="8" s="1"/>
  <c r="J83" i="8"/>
  <c r="CL22" i="6"/>
  <c r="CL29" i="6" s="1"/>
  <c r="BI89" i="6"/>
  <c r="CF22" i="6"/>
  <c r="CF29" i="6" s="1"/>
  <c r="CA96" i="6"/>
  <c r="Y420" i="12"/>
  <c r="BQ59" i="11"/>
  <c r="BV9" i="11"/>
  <c r="AC59" i="11"/>
  <c r="DI122" i="11"/>
  <c r="AB60" i="11"/>
  <c r="K168" i="12" s="1"/>
  <c r="AW22" i="6"/>
  <c r="I176" i="12"/>
  <c r="CF101" i="11"/>
  <c r="DD10" i="11"/>
  <c r="AA55" i="12" s="1"/>
  <c r="BG76" i="6"/>
  <c r="CJ60" i="11"/>
  <c r="CK60" i="11" s="1"/>
  <c r="T172" i="12"/>
  <c r="V169" i="12"/>
  <c r="AN75" i="11"/>
  <c r="Y68" i="17"/>
  <c r="BE68" i="17"/>
  <c r="CM97" i="11"/>
  <c r="BG72" i="6"/>
  <c r="L61" i="6"/>
  <c r="I178" i="12"/>
  <c r="AM64" i="11"/>
  <c r="AT96" i="11"/>
  <c r="M11" i="23"/>
  <c r="BA79" i="6"/>
  <c r="F22" i="6"/>
  <c r="F29" i="6" s="1"/>
  <c r="CZ59" i="11"/>
  <c r="BN64" i="11"/>
  <c r="C131" i="2"/>
  <c r="AT131" i="2" s="1"/>
  <c r="Q57" i="6"/>
  <c r="AU94" i="6"/>
  <c r="AH13" i="6"/>
  <c r="AH62" i="6" s="1"/>
  <c r="S167" i="12"/>
  <c r="N59" i="11"/>
  <c r="BL9" i="11"/>
  <c r="CP63" i="11"/>
  <c r="DB33" i="6"/>
  <c r="DB82" i="6" s="1"/>
  <c r="DF65" i="11"/>
  <c r="DF73" i="11" s="1"/>
  <c r="DF74" i="11" s="1"/>
  <c r="AK71" i="11"/>
  <c r="M48" i="12" s="1"/>
  <c r="Q94" i="6"/>
  <c r="AI75" i="11"/>
  <c r="DJ59" i="11"/>
  <c r="X167" i="12"/>
  <c r="CF96" i="6"/>
  <c r="DD64" i="11"/>
  <c r="AA170" i="12" s="1"/>
  <c r="AB16" i="6"/>
  <c r="AB65" i="6" s="1"/>
  <c r="AB8" i="6"/>
  <c r="AB57" i="6" s="1"/>
  <c r="AE22" i="6"/>
  <c r="AE29" i="6" s="1"/>
  <c r="AT30" i="6"/>
  <c r="AT79" i="6" s="1"/>
  <c r="Y12" i="11"/>
  <c r="AB12" i="11" s="1"/>
  <c r="AW87" i="11"/>
  <c r="DZ33" i="6"/>
  <c r="DZ82" i="6" s="1"/>
  <c r="DV22" i="6"/>
  <c r="DV29" i="6" s="1"/>
  <c r="DI60" i="11"/>
  <c r="AB168" i="12" s="1"/>
  <c r="BF84" i="17"/>
  <c r="CX89" i="6"/>
  <c r="CC10" i="11"/>
  <c r="CG67" i="6"/>
  <c r="CA22" i="6"/>
  <c r="CA29" i="6" s="1"/>
  <c r="H172" i="12"/>
  <c r="V175" i="12"/>
  <c r="AJ22" i="6"/>
  <c r="AJ29" i="6" s="1"/>
  <c r="CP87" i="11"/>
  <c r="S17" i="11"/>
  <c r="CX71" i="11"/>
  <c r="Z48" i="12" s="1"/>
  <c r="AH87" i="11"/>
  <c r="CY60" i="11"/>
  <c r="Z24" i="12" s="1"/>
  <c r="AX75" i="11"/>
  <c r="R136" i="12"/>
  <c r="BJ23" i="11" s="1"/>
  <c r="T167" i="12"/>
  <c r="DU32" i="6"/>
  <c r="DZ32" i="6" s="1"/>
  <c r="DZ81" i="6" s="1"/>
  <c r="DE61" i="6"/>
  <c r="M64" i="11"/>
  <c r="N64" i="11" s="1"/>
  <c r="CO64" i="11"/>
  <c r="X170" i="12" s="1"/>
  <c r="CY61" i="6"/>
  <c r="DB97" i="11"/>
  <c r="AS76" i="11"/>
  <c r="S136" i="12"/>
  <c r="BO23" i="11" s="1"/>
  <c r="X9" i="11"/>
  <c r="X59" i="11"/>
  <c r="R60" i="11"/>
  <c r="Q60" i="11" s="1"/>
  <c r="DC57" i="6"/>
  <c r="BD74" i="11"/>
  <c r="Z84" i="17"/>
  <c r="BA64" i="11"/>
  <c r="P170" i="12" s="1"/>
  <c r="AC173" i="12"/>
  <c r="E109" i="2" s="1"/>
  <c r="AV109" i="2" s="1"/>
  <c r="W60" i="11"/>
  <c r="J168" i="12" s="1"/>
  <c r="CS22" i="6"/>
  <c r="AO94" i="6"/>
  <c r="CY10" i="11"/>
  <c r="Z137" i="12" s="1"/>
  <c r="CX24" i="11" s="1"/>
  <c r="AB64" i="11"/>
  <c r="K170" i="12" s="1"/>
  <c r="E144" i="2"/>
  <c r="CS61" i="6"/>
  <c r="CP119" i="11"/>
  <c r="DI57" i="6"/>
  <c r="DA65" i="11"/>
  <c r="DA124" i="11" s="1"/>
  <c r="DA125" i="11" s="1"/>
  <c r="BS64" i="11"/>
  <c r="BU61" i="6"/>
  <c r="BI61" i="6"/>
  <c r="BU22" i="6"/>
  <c r="AC394" i="12"/>
  <c r="AC397" i="12" s="1"/>
  <c r="CX126" i="17"/>
  <c r="CX131" i="17" s="1"/>
  <c r="DG10" i="17" s="1"/>
  <c r="O169" i="12"/>
  <c r="AR59" i="11"/>
  <c r="BA36" i="6"/>
  <c r="AT84" i="17"/>
  <c r="R178" i="12"/>
  <c r="BJ85" i="6"/>
  <c r="Z136" i="12"/>
  <c r="CX23" i="11" s="1"/>
  <c r="AO68" i="17"/>
  <c r="Y22" i="6"/>
  <c r="Y29" i="6" s="1"/>
  <c r="BG65" i="6"/>
  <c r="AQ22" i="6"/>
  <c r="AQ71" i="6" s="1"/>
  <c r="P8" i="6"/>
  <c r="P57" i="6" s="1"/>
  <c r="K79" i="6"/>
  <c r="BM75" i="11"/>
  <c r="BK60" i="11"/>
  <c r="R168" i="12" s="1"/>
  <c r="R172" i="12"/>
  <c r="X136" i="12"/>
  <c r="CN23" i="11" s="1"/>
  <c r="DJ63" i="11"/>
  <c r="V84" i="12"/>
  <c r="I84" i="12"/>
  <c r="J33" i="6"/>
  <c r="AH9" i="11"/>
  <c r="X101" i="11"/>
  <c r="CE58" i="6"/>
  <c r="BV84" i="17"/>
  <c r="CM64" i="11"/>
  <c r="BI96" i="6"/>
  <c r="BH89" i="6"/>
  <c r="DD96" i="6"/>
  <c r="BU64" i="11"/>
  <c r="T170" i="12" s="1"/>
  <c r="P17" i="6"/>
  <c r="P66" i="6" s="1"/>
  <c r="BC22" i="6"/>
  <c r="BC29" i="6" s="1"/>
  <c r="CY22" i="6"/>
  <c r="AT74" i="11"/>
  <c r="S9" i="11"/>
  <c r="CE90" i="11"/>
  <c r="CK101" i="11"/>
  <c r="S101" i="11"/>
  <c r="L167" i="12"/>
  <c r="CL84" i="17"/>
  <c r="CR64" i="11"/>
  <c r="CH74" i="11"/>
  <c r="U96" i="11"/>
  <c r="AY74" i="11"/>
  <c r="J173" i="12"/>
  <c r="CZ9" i="11"/>
  <c r="BY57" i="6"/>
  <c r="DB112" i="11"/>
  <c r="CO90" i="11"/>
  <c r="CL65" i="11"/>
  <c r="CM65" i="11" s="1"/>
  <c r="BI67" i="6"/>
  <c r="DE67" i="6"/>
  <c r="BV61" i="6"/>
  <c r="BT64" i="6"/>
  <c r="BZ10" i="11"/>
  <c r="U55" i="12" s="1"/>
  <c r="CQ65" i="6"/>
  <c r="CH10" i="11"/>
  <c r="P32" i="6"/>
  <c r="P81" i="6" s="1"/>
  <c r="N9" i="11"/>
  <c r="BI74" i="11"/>
  <c r="CJ64" i="11"/>
  <c r="CK64" i="11" s="1"/>
  <c r="AE64" i="11"/>
  <c r="Q175" i="12"/>
  <c r="J136" i="12"/>
  <c r="V23" i="11" s="1"/>
  <c r="BG86" i="11"/>
  <c r="CJ105" i="11"/>
  <c r="DP22" i="6"/>
  <c r="DP29" i="6" s="1"/>
  <c r="CH64" i="11"/>
  <c r="BZ89" i="6"/>
  <c r="DG64" i="11"/>
  <c r="AY64" i="11"/>
  <c r="BN96" i="11"/>
  <c r="BS96" i="11"/>
  <c r="DV67" i="6"/>
  <c r="AV64" i="11"/>
  <c r="O170" i="12" s="1"/>
  <c r="AO456" i="20"/>
  <c r="G456" i="20"/>
  <c r="G462" i="20" s="1"/>
  <c r="AQ450" i="20"/>
  <c r="I450" i="20"/>
  <c r="AO462" i="20"/>
  <c r="F439" i="20"/>
  <c r="W439" i="20" s="1"/>
  <c r="AU235" i="2"/>
  <c r="E256" i="2"/>
  <c r="AV256" i="2" s="1"/>
  <c r="E255" i="2"/>
  <c r="AV255" i="2" s="1"/>
  <c r="E253" i="2"/>
  <c r="AV253" i="2" s="1"/>
  <c r="F100" i="2"/>
  <c r="E254" i="2"/>
  <c r="AV254" i="2" s="1"/>
  <c r="E239" i="2"/>
  <c r="E238" i="2"/>
  <c r="F440" i="20"/>
  <c r="W440" i="20" s="1"/>
  <c r="AU234" i="2"/>
  <c r="F438" i="20"/>
  <c r="W438" i="20" s="1"/>
  <c r="BX10" i="11"/>
  <c r="CP10" i="11"/>
  <c r="AN16" i="6"/>
  <c r="AN65" i="6" s="1"/>
  <c r="BS65" i="6"/>
  <c r="AQ60" i="11"/>
  <c r="N24" i="12" s="1"/>
  <c r="CG61" i="6"/>
  <c r="BO61" i="6"/>
  <c r="CG96" i="6"/>
  <c r="CT90" i="11"/>
  <c r="Z64" i="11"/>
  <c r="AW58" i="11"/>
  <c r="DI64" i="11"/>
  <c r="BH96" i="6"/>
  <c r="AN30" i="6"/>
  <c r="AN79" i="6" s="1"/>
  <c r="O167" i="12"/>
  <c r="S86" i="11"/>
  <c r="CW97" i="11"/>
  <c r="Q174" i="12"/>
  <c r="V84" i="17"/>
  <c r="U68" i="17"/>
  <c r="BB84" i="17"/>
  <c r="BA68" i="17"/>
  <c r="AA420" i="12"/>
  <c r="P110" i="20"/>
  <c r="AG110" i="20" s="1"/>
  <c r="BF121" i="2"/>
  <c r="CX7" i="17"/>
  <c r="O116" i="2" s="1"/>
  <c r="O104" i="20"/>
  <c r="AF104" i="20" s="1"/>
  <c r="BE116" i="2"/>
  <c r="CT7" i="17"/>
  <c r="K116" i="2" s="1"/>
  <c r="DR85" i="6"/>
  <c r="AT31" i="6"/>
  <c r="AT80" i="6" s="1"/>
  <c r="AR73" i="6"/>
  <c r="AI36" i="6"/>
  <c r="V13" i="6"/>
  <c r="V62" i="6" s="1"/>
  <c r="DC58" i="6"/>
  <c r="BR16" i="6"/>
  <c r="BR65" i="6" s="1"/>
  <c r="DC65" i="6"/>
  <c r="AZ17" i="6"/>
  <c r="AZ66" i="6" s="1"/>
  <c r="BB22" i="6"/>
  <c r="V33" i="6"/>
  <c r="V82" i="6" s="1"/>
  <c r="BN10" i="11"/>
  <c r="CD8" i="6"/>
  <c r="CD57" i="6" s="1"/>
  <c r="CK102" i="11"/>
  <c r="M60" i="11"/>
  <c r="H24" i="12" s="1"/>
  <c r="AH63" i="11"/>
  <c r="AT35" i="6"/>
  <c r="AT84" i="6" s="1"/>
  <c r="BN111" i="11"/>
  <c r="CQ77" i="6"/>
  <c r="DV64" i="6"/>
  <c r="BA12" i="6"/>
  <c r="CX24" i="17"/>
  <c r="AB174" i="12"/>
  <c r="AU12" i="6"/>
  <c r="AB45" i="6"/>
  <c r="AB94" i="6" s="1"/>
  <c r="AH32" i="6"/>
  <c r="AH81" i="6" s="1"/>
  <c r="AN32" i="6"/>
  <c r="AN81" i="6" s="1"/>
  <c r="BN74" i="11"/>
  <c r="K167" i="12"/>
  <c r="N61" i="6"/>
  <c r="N22" i="6"/>
  <c r="AL22" i="6"/>
  <c r="AL29" i="6" s="1"/>
  <c r="BJ22" i="6"/>
  <c r="BJ29" i="6" s="1"/>
  <c r="DF22" i="6"/>
  <c r="DF29" i="6" s="1"/>
  <c r="DR22" i="6"/>
  <c r="AZ35" i="6"/>
  <c r="AZ84" i="6" s="1"/>
  <c r="O136" i="12"/>
  <c r="AU23" i="11" s="1"/>
  <c r="CW94" i="6"/>
  <c r="BG94" i="6"/>
  <c r="CR64" i="6"/>
  <c r="CX43" i="17"/>
  <c r="CX48" i="17" s="1"/>
  <c r="DG7" i="17" s="1"/>
  <c r="U10" i="11"/>
  <c r="CY122" i="11"/>
  <c r="CO105" i="11"/>
  <c r="AC57" i="6"/>
  <c r="M61" i="6"/>
  <c r="W65" i="6"/>
  <c r="DO65" i="6"/>
  <c r="AU57" i="6"/>
  <c r="X22" i="6"/>
  <c r="CF61" i="6"/>
  <c r="J137" i="12"/>
  <c r="V24" i="11" s="1"/>
  <c r="Z10" i="11"/>
  <c r="AR284" i="17"/>
  <c r="Y308" i="17"/>
  <c r="DN8" i="6"/>
  <c r="DN57" i="6" s="1"/>
  <c r="AZ13" i="6"/>
  <c r="AZ62" i="6" s="1"/>
  <c r="BF32" i="6"/>
  <c r="BF81" i="6" s="1"/>
  <c r="AA167" i="12"/>
  <c r="C103" i="2" s="1"/>
  <c r="AT103" i="2" s="1"/>
  <c r="CP101" i="11"/>
  <c r="AU36" i="6"/>
  <c r="H167" i="12"/>
  <c r="AM101" i="11"/>
  <c r="BS94" i="6"/>
  <c r="BB119" i="11"/>
  <c r="K136" i="12"/>
  <c r="AA23" i="11" s="1"/>
  <c r="AA136" i="12"/>
  <c r="DC23" i="11" s="1"/>
  <c r="DD60" i="11"/>
  <c r="DC60" i="11" s="1"/>
  <c r="BG81" i="6"/>
  <c r="CU86" i="11"/>
  <c r="X63" i="11"/>
  <c r="DG112" i="11"/>
  <c r="DO94" i="6"/>
  <c r="DU59" i="6"/>
  <c r="BH64" i="6"/>
  <c r="AF22" i="6"/>
  <c r="AF29" i="6" s="1"/>
  <c r="CP17" i="6"/>
  <c r="CP66" i="6" s="1"/>
  <c r="X178" i="12"/>
  <c r="CP33" i="6"/>
  <c r="CP82" i="6" s="1"/>
  <c r="CH97" i="11"/>
  <c r="CW85" i="6"/>
  <c r="CR97" i="11"/>
  <c r="BG57" i="6"/>
  <c r="CA61" i="6"/>
  <c r="CZ61" i="6"/>
  <c r="CX64" i="6"/>
  <c r="AD321" i="12"/>
  <c r="F252" i="2" s="1"/>
  <c r="BG59" i="6"/>
  <c r="BL17" i="6"/>
  <c r="BL66" i="6" s="1"/>
  <c r="AC24" i="6"/>
  <c r="AH31" i="6" s="1"/>
  <c r="AH80" i="6" s="1"/>
  <c r="AL73" i="6"/>
  <c r="DD61" i="6"/>
  <c r="CX22" i="6"/>
  <c r="CX71" i="6" s="1"/>
  <c r="AD61" i="6"/>
  <c r="AU76" i="6"/>
  <c r="AZ32" i="6"/>
  <c r="AZ81" i="6" s="1"/>
  <c r="K94" i="6"/>
  <c r="P45" i="6"/>
  <c r="P94" i="6" s="1"/>
  <c r="L175" i="12"/>
  <c r="AH101" i="11"/>
  <c r="AV61" i="6"/>
  <c r="AV22" i="6"/>
  <c r="AT8" i="6"/>
  <c r="AT57" i="6" s="1"/>
  <c r="AO57" i="6"/>
  <c r="W59" i="6"/>
  <c r="AB17" i="6"/>
  <c r="AB66" i="6" s="1"/>
  <c r="AI66" i="6"/>
  <c r="AN17" i="6"/>
  <c r="AN66" i="6" s="1"/>
  <c r="CE66" i="6"/>
  <c r="CJ17" i="6"/>
  <c r="CJ66" i="6" s="1"/>
  <c r="AT17" i="6"/>
  <c r="AT66" i="6" s="1"/>
  <c r="AO66" i="6"/>
  <c r="AG10" i="11"/>
  <c r="L137" i="12" s="1"/>
  <c r="AF24" i="11" s="1"/>
  <c r="AE10" i="11"/>
  <c r="V177" i="12"/>
  <c r="CD71" i="11"/>
  <c r="V48" i="12" s="1"/>
  <c r="AC59" i="6"/>
  <c r="AH17" i="6"/>
  <c r="AH66" i="6" s="1"/>
  <c r="V30" i="6"/>
  <c r="V79" i="6" s="1"/>
  <c r="Q79" i="6"/>
  <c r="BA94" i="6"/>
  <c r="BF45" i="6"/>
  <c r="BF94" i="6" s="1"/>
  <c r="AI65" i="6"/>
  <c r="AC65" i="6"/>
  <c r="BA72" i="6"/>
  <c r="AU72" i="6"/>
  <c r="T173" i="12"/>
  <c r="BV86" i="11"/>
  <c r="BS24" i="6"/>
  <c r="BS73" i="6" s="1"/>
  <c r="BV73" i="6"/>
  <c r="AI72" i="6"/>
  <c r="AO72" i="6"/>
  <c r="K169" i="12"/>
  <c r="AC63" i="11"/>
  <c r="AI57" i="6"/>
  <c r="AI12" i="6"/>
  <c r="BB9" i="11"/>
  <c r="P136" i="12"/>
  <c r="AZ23" i="11" s="1"/>
  <c r="DB10" i="11"/>
  <c r="DG10" i="11"/>
  <c r="EP38" i="6"/>
  <c r="EP87" i="6" s="1"/>
  <c r="M172" i="12"/>
  <c r="AM87" i="11"/>
  <c r="AC255" i="12"/>
  <c r="DG97" i="11"/>
  <c r="M84" i="12"/>
  <c r="U84" i="12"/>
  <c r="T84" i="12"/>
  <c r="BF35" i="6"/>
  <c r="BF84" i="6" s="1"/>
  <c r="CT105" i="11"/>
  <c r="DC60" i="6"/>
  <c r="DU82" i="6"/>
  <c r="CV30" i="6"/>
  <c r="CV79" i="6" s="1"/>
  <c r="DI94" i="6"/>
  <c r="CE77" i="6"/>
  <c r="BD61" i="6"/>
  <c r="CB61" i="6"/>
  <c r="DX22" i="6"/>
  <c r="DX29" i="6" s="1"/>
  <c r="CQ60" i="6"/>
  <c r="N73" i="6"/>
  <c r="ED73" i="6"/>
  <c r="AC12" i="6"/>
  <c r="CD16" i="6"/>
  <c r="CD65" i="6" s="1"/>
  <c r="AX73" i="6"/>
  <c r="DI105" i="11"/>
  <c r="U173" i="12"/>
  <c r="CA86" i="11"/>
  <c r="AM86" i="11"/>
  <c r="AY10" i="11"/>
  <c r="CW10" i="11"/>
  <c r="P10" i="11"/>
  <c r="BD10" i="11"/>
  <c r="DJ102" i="11"/>
  <c r="BF8" i="6"/>
  <c r="BF57" i="6" s="1"/>
  <c r="BA57" i="6"/>
  <c r="AK61" i="6"/>
  <c r="CG22" i="6"/>
  <c r="CE65" i="6"/>
  <c r="CQ72" i="6"/>
  <c r="CQ57" i="6"/>
  <c r="CX61" i="6"/>
  <c r="AX303" i="17"/>
  <c r="AX308" i="17" s="1"/>
  <c r="AV333" i="17" s="1"/>
  <c r="CK57" i="6"/>
  <c r="CE57" i="6"/>
  <c r="CP16" i="6"/>
  <c r="CP65" i="6" s="1"/>
  <c r="AH30" i="6"/>
  <c r="AH79" i="6" s="1"/>
  <c r="CD33" i="6"/>
  <c r="CD82" i="6" s="1"/>
  <c r="CK87" i="11"/>
  <c r="BF13" i="6"/>
  <c r="BF62" i="6" s="1"/>
  <c r="CA101" i="11"/>
  <c r="L173" i="12"/>
  <c r="Z169" i="12"/>
  <c r="C105" i="2" s="1"/>
  <c r="AT105" i="2" s="1"/>
  <c r="DJ15" i="11"/>
  <c r="AP71" i="11"/>
  <c r="N48" i="12" s="1"/>
  <c r="DZ13" i="6"/>
  <c r="DZ62" i="6" s="1"/>
  <c r="BB63" i="11"/>
  <c r="L106" i="12"/>
  <c r="DN30" i="6"/>
  <c r="DN79" i="6" s="1"/>
  <c r="BM82" i="6"/>
  <c r="DE86" i="11"/>
  <c r="BG82" i="6"/>
  <c r="DC77" i="6"/>
  <c r="AZ30" i="6"/>
  <c r="AZ79" i="6" s="1"/>
  <c r="CB22" i="6"/>
  <c r="CB29" i="6" s="1"/>
  <c r="O12" i="11"/>
  <c r="R12" i="11" s="1"/>
  <c r="I136" i="12"/>
  <c r="Q23" i="11" s="1"/>
  <c r="CR47" i="11"/>
  <c r="AZ71" i="11"/>
  <c r="P48" i="12" s="1"/>
  <c r="BW111" i="11"/>
  <c r="CB111" i="11" s="1"/>
  <c r="CG111" i="11" s="1"/>
  <c r="CG112" i="11" s="1"/>
  <c r="BS12" i="6"/>
  <c r="CF86" i="11"/>
  <c r="DD64" i="6"/>
  <c r="DE59" i="11"/>
  <c r="AJ111" i="11"/>
  <c r="DX61" i="6"/>
  <c r="AL61" i="6"/>
  <c r="BJ61" i="6"/>
  <c r="CQ12" i="6"/>
  <c r="DJ64" i="6"/>
  <c r="DN16" i="6"/>
  <c r="DN65" i="6" s="1"/>
  <c r="AO12" i="6"/>
  <c r="BH61" i="6"/>
  <c r="N10" i="11"/>
  <c r="BV10" i="11"/>
  <c r="AJ10" i="11"/>
  <c r="CY90" i="11"/>
  <c r="T137" i="12"/>
  <c r="BT24" i="11" s="1"/>
  <c r="H137" i="12"/>
  <c r="L24" i="11" s="1"/>
  <c r="CY12" i="11"/>
  <c r="Z139" i="12" s="1"/>
  <c r="CX26" i="11" s="1"/>
  <c r="E111" i="2"/>
  <c r="AV111" i="2" s="1"/>
  <c r="BC12" i="11"/>
  <c r="BF12" i="11" s="1"/>
  <c r="CZ87" i="11"/>
  <c r="Q12" i="6"/>
  <c r="DQ61" i="6"/>
  <c r="DH13" i="6"/>
  <c r="DH62" i="6" s="1"/>
  <c r="AU65" i="6"/>
  <c r="AU66" i="6"/>
  <c r="EA66" i="6"/>
  <c r="R22" i="6"/>
  <c r="R29" i="6" s="1"/>
  <c r="AP22" i="6"/>
  <c r="DF73" i="6"/>
  <c r="DR73" i="6"/>
  <c r="AT33" i="6"/>
  <c r="AT82" i="6" s="1"/>
  <c r="AI94" i="6"/>
  <c r="AB13" i="6"/>
  <c r="AB62" i="6" s="1"/>
  <c r="CE12" i="6"/>
  <c r="V16" i="6"/>
  <c r="V65" i="6" s="1"/>
  <c r="AH16" i="6"/>
  <c r="AH65" i="6" s="1"/>
  <c r="AT16" i="6"/>
  <c r="AT65" i="6" s="1"/>
  <c r="DZ16" i="6"/>
  <c r="DZ65" i="6" s="1"/>
  <c r="AC94" i="6"/>
  <c r="CT60" i="11"/>
  <c r="Y168" i="12" s="1"/>
  <c r="AL60" i="11"/>
  <c r="M24" i="12" s="1"/>
  <c r="BS85" i="6"/>
  <c r="I169" i="12"/>
  <c r="AT13" i="6"/>
  <c r="AT62" i="6" s="1"/>
  <c r="DJ58" i="11"/>
  <c r="BV63" i="11"/>
  <c r="DJ86" i="11"/>
  <c r="Y178" i="12"/>
  <c r="M178" i="12"/>
  <c r="CM112" i="11"/>
  <c r="T178" i="12"/>
  <c r="AE74" i="11"/>
  <c r="AD75" i="11"/>
  <c r="AD76" i="11"/>
  <c r="AR61" i="6"/>
  <c r="BP61" i="6"/>
  <c r="DL61" i="6"/>
  <c r="U111" i="11"/>
  <c r="T61" i="6"/>
  <c r="CN61" i="6"/>
  <c r="AF61" i="6"/>
  <c r="DU60" i="6"/>
  <c r="DT13" i="6"/>
  <c r="DT62" i="6" s="1"/>
  <c r="CQ82" i="6"/>
  <c r="CW82" i="6"/>
  <c r="AX61" i="6"/>
  <c r="W76" i="6"/>
  <c r="BG80" i="6"/>
  <c r="BA80" i="6"/>
  <c r="BL45" i="6"/>
  <c r="BL94" i="6" s="1"/>
  <c r="BM94" i="6"/>
  <c r="CZ119" i="11"/>
  <c r="Z179" i="12"/>
  <c r="C158" i="2" s="1"/>
  <c r="AT158" i="2" s="1"/>
  <c r="L144" i="12"/>
  <c r="AF30" i="11" s="1"/>
  <c r="AH17" i="11"/>
  <c r="AA172" i="12"/>
  <c r="D108" i="2" s="1"/>
  <c r="DD122" i="11"/>
  <c r="DD90" i="11"/>
  <c r="BB58" i="11"/>
  <c r="BA60" i="11"/>
  <c r="P168" i="12" s="1"/>
  <c r="CP58" i="11"/>
  <c r="CO60" i="11"/>
  <c r="X168" i="12" s="1"/>
  <c r="DF12" i="11"/>
  <c r="DI10" i="11"/>
  <c r="AB137" i="12" s="1"/>
  <c r="DH24" i="11" s="1"/>
  <c r="AA177" i="12"/>
  <c r="AA48" i="12"/>
  <c r="BD96" i="11"/>
  <c r="BI96" i="11"/>
  <c r="Z85" i="6"/>
  <c r="W36" i="6"/>
  <c r="CU9" i="11"/>
  <c r="Y136" i="12"/>
  <c r="CS23" i="11" s="1"/>
  <c r="Y167" i="12"/>
  <c r="DO77" i="6"/>
  <c r="BM57" i="6"/>
  <c r="BR8" i="6"/>
  <c r="BR57" i="6" s="1"/>
  <c r="CW57" i="6"/>
  <c r="CW12" i="6"/>
  <c r="Q59" i="6"/>
  <c r="V17" i="6"/>
  <c r="V66" i="6" s="1"/>
  <c r="BF16" i="6"/>
  <c r="BF65" i="6" s="1"/>
  <c r="DB16" i="6"/>
  <c r="DB65" i="6" s="1"/>
  <c r="CF10" i="11"/>
  <c r="M169" i="12"/>
  <c r="AC58" i="11"/>
  <c r="CF59" i="11"/>
  <c r="N84" i="12"/>
  <c r="CH22" i="6"/>
  <c r="CH29" i="6" s="1"/>
  <c r="AN35" i="6"/>
  <c r="AN84" i="6" s="1"/>
  <c r="AS12" i="11"/>
  <c r="AV12" i="11" s="1"/>
  <c r="CG12" i="11"/>
  <c r="CJ12" i="11" s="1"/>
  <c r="P84" i="12"/>
  <c r="Z22" i="6"/>
  <c r="Z29" i="6" s="1"/>
  <c r="AX22" i="6"/>
  <c r="BV22" i="6"/>
  <c r="BV29" i="6" s="1"/>
  <c r="CT22" i="6"/>
  <c r="CT29" i="6" s="1"/>
  <c r="P35" i="6"/>
  <c r="P84" i="6" s="1"/>
  <c r="T22" i="6"/>
  <c r="T29" i="6" s="1"/>
  <c r="AR22" i="6"/>
  <c r="AR29" i="6" s="1"/>
  <c r="BP22" i="6"/>
  <c r="BP29" i="6" s="1"/>
  <c r="DL22" i="6"/>
  <c r="V35" i="6"/>
  <c r="V84" i="6" s="1"/>
  <c r="DO59" i="6"/>
  <c r="BQ63" i="11"/>
  <c r="CA63" i="11"/>
  <c r="DC59" i="6"/>
  <c r="V172" i="12"/>
  <c r="DI77" i="6"/>
  <c r="CK77" i="6"/>
  <c r="CV33" i="6"/>
  <c r="CV82" i="6" s="1"/>
  <c r="AH33" i="6"/>
  <c r="AH82" i="6" s="1"/>
  <c r="DJ61" i="6"/>
  <c r="BM58" i="6"/>
  <c r="AJ96" i="11"/>
  <c r="CR10" i="11"/>
  <c r="AO10" i="11"/>
  <c r="Z96" i="11"/>
  <c r="BR33" i="6"/>
  <c r="BR82" i="6" s="1"/>
  <c r="DN33" i="6"/>
  <c r="DN82" i="6" s="1"/>
  <c r="AT111" i="11"/>
  <c r="CK94" i="6"/>
  <c r="CQ94" i="6"/>
  <c r="AB30" i="6"/>
  <c r="AB79" i="6" s="1"/>
  <c r="W79" i="6"/>
  <c r="T175" i="12"/>
  <c r="BV101" i="11"/>
  <c r="H144" i="12"/>
  <c r="L30" i="11" s="1"/>
  <c r="H176" i="12"/>
  <c r="X173" i="12"/>
  <c r="CP86" i="11"/>
  <c r="BU60" i="11"/>
  <c r="T24" i="12" s="1"/>
  <c r="BV58" i="11"/>
  <c r="Q178" i="12"/>
  <c r="BG59" i="11"/>
  <c r="BF60" i="11"/>
  <c r="Q168" i="12" s="1"/>
  <c r="U178" i="12"/>
  <c r="BZ60" i="11"/>
  <c r="U168" i="12" s="1"/>
  <c r="AB136" i="12"/>
  <c r="DH23" i="11" s="1"/>
  <c r="AB167" i="12"/>
  <c r="BH76" i="11"/>
  <c r="BH75" i="11"/>
  <c r="CV76" i="11"/>
  <c r="CW74" i="11"/>
  <c r="CT85" i="6"/>
  <c r="CZ85" i="6"/>
  <c r="DZ17" i="6"/>
  <c r="DZ66" i="6" s="1"/>
  <c r="CK63" i="11"/>
  <c r="W169" i="12"/>
  <c r="M136" i="12"/>
  <c r="AK23" i="11" s="1"/>
  <c r="AM9" i="11"/>
  <c r="BG9" i="11"/>
  <c r="Q167" i="12"/>
  <c r="CA9" i="11"/>
  <c r="U167" i="12"/>
  <c r="BC76" i="11"/>
  <c r="BC75" i="11"/>
  <c r="R177" i="12"/>
  <c r="BJ71" i="11"/>
  <c r="R48" i="12" s="1"/>
  <c r="BW76" i="11"/>
  <c r="CC74" i="11"/>
  <c r="X177" i="12"/>
  <c r="CN71" i="11"/>
  <c r="X48" i="12" s="1"/>
  <c r="CP13" i="6"/>
  <c r="CP62" i="6" s="1"/>
  <c r="CK60" i="6"/>
  <c r="BA59" i="6"/>
  <c r="BF17" i="6"/>
  <c r="BF66" i="6" s="1"/>
  <c r="Y175" i="12"/>
  <c r="CU101" i="11"/>
  <c r="CK24" i="6"/>
  <c r="CP31" i="6" s="1"/>
  <c r="CP80" i="6" s="1"/>
  <c r="CN73" i="6"/>
  <c r="CL76" i="11"/>
  <c r="CR74" i="11"/>
  <c r="BL30" i="6"/>
  <c r="BL79" i="6" s="1"/>
  <c r="BG79" i="6"/>
  <c r="DO85" i="6"/>
  <c r="U81" i="11"/>
  <c r="AO11" i="11"/>
  <c r="BI81" i="11"/>
  <c r="CC11" i="11"/>
  <c r="BR12" i="11"/>
  <c r="BR14" i="11" s="1"/>
  <c r="BR16" i="11" s="1"/>
  <c r="BY50" i="6"/>
  <c r="CD50" i="6" s="1"/>
  <c r="CE60" i="6"/>
  <c r="CQ59" i="6"/>
  <c r="DI82" i="6"/>
  <c r="CW60" i="6"/>
  <c r="CB85" i="6"/>
  <c r="DK61" i="6"/>
  <c r="AE96" i="11"/>
  <c r="Z237" i="7"/>
  <c r="AG247" i="17"/>
  <c r="M61" i="21"/>
  <c r="U11" i="11"/>
  <c r="AO81" i="11"/>
  <c r="BI11" i="11"/>
  <c r="CC81" i="11"/>
  <c r="CN22" i="6"/>
  <c r="CN29" i="6" s="1"/>
  <c r="AR88" i="11"/>
  <c r="AW282" i="17"/>
  <c r="AW284" i="17" s="1"/>
  <c r="DN17" i="6"/>
  <c r="DN66" i="6" s="1"/>
  <c r="DD105" i="11"/>
  <c r="AC17" i="11"/>
  <c r="DO60" i="6"/>
  <c r="BG77" i="6"/>
  <c r="N17" i="11"/>
  <c r="BL63" i="11"/>
  <c r="BM60" i="6"/>
  <c r="CF88" i="11"/>
  <c r="X84" i="12"/>
  <c r="J12" i="11"/>
  <c r="M12" i="11" s="1"/>
  <c r="H139" i="12" s="1"/>
  <c r="L26" i="11" s="1"/>
  <c r="BD22" i="6"/>
  <c r="CZ22" i="6"/>
  <c r="AI12" i="11"/>
  <c r="AL12" i="11" s="1"/>
  <c r="BW12" i="11"/>
  <c r="BZ12" i="11" s="1"/>
  <c r="Q136" i="12"/>
  <c r="BE23" i="11" s="1"/>
  <c r="BG60" i="6"/>
  <c r="DU79" i="6"/>
  <c r="CU63" i="11"/>
  <c r="CR112" i="11"/>
  <c r="AY111" i="11"/>
  <c r="BS111" i="11"/>
  <c r="BD111" i="11"/>
  <c r="BS60" i="6"/>
  <c r="CW84" i="6"/>
  <c r="L176" i="12"/>
  <c r="DU58" i="6"/>
  <c r="DU77" i="6"/>
  <c r="BY12" i="6"/>
  <c r="CW58" i="6"/>
  <c r="CW59" i="6"/>
  <c r="BN61" i="6"/>
  <c r="CR61" i="6"/>
  <c r="AR10" i="11"/>
  <c r="R84" i="12"/>
  <c r="CK58" i="6"/>
  <c r="DC94" i="6"/>
  <c r="CK66" i="6"/>
  <c r="Z61" i="6"/>
  <c r="CH61" i="6"/>
  <c r="CT61" i="6"/>
  <c r="BS77" i="6"/>
  <c r="DF61" i="6"/>
  <c r="H169" i="12"/>
  <c r="DI58" i="6"/>
  <c r="AO96" i="11"/>
  <c r="BY84" i="6"/>
  <c r="BI111" i="11"/>
  <c r="AO111" i="11"/>
  <c r="AE111" i="11"/>
  <c r="DR61" i="6"/>
  <c r="AB35" i="6"/>
  <c r="AB84" i="6" s="1"/>
  <c r="V31" i="6"/>
  <c r="V80" i="6" s="1"/>
  <c r="CH112" i="11"/>
  <c r="BN64" i="6"/>
  <c r="BZ61" i="6"/>
  <c r="DV61" i="6"/>
  <c r="AH35" i="6"/>
  <c r="AH84" i="6" s="1"/>
  <c r="BZ64" i="6"/>
  <c r="CF64" i="6"/>
  <c r="AG60" i="11"/>
  <c r="L168" i="12" s="1"/>
  <c r="DI90" i="11"/>
  <c r="CM61" i="6"/>
  <c r="DW61" i="6"/>
  <c r="DL73" i="6"/>
  <c r="BG12" i="6"/>
  <c r="CM10" i="11"/>
  <c r="BI10" i="11"/>
  <c r="CH65" i="11"/>
  <c r="DI88" i="11"/>
  <c r="AB84" i="12" s="1"/>
  <c r="BB10" i="11"/>
  <c r="CQ12" i="11"/>
  <c r="CW12" i="11" s="1"/>
  <c r="BB88" i="11"/>
  <c r="BV88" i="11"/>
  <c r="BI22" i="6"/>
  <c r="BI29" i="6" s="1"/>
  <c r="DE22" i="6"/>
  <c r="P13" i="6"/>
  <c r="P62" i="6" s="1"/>
  <c r="AN13" i="6"/>
  <c r="AN62" i="6" s="1"/>
  <c r="CL64" i="6"/>
  <c r="P16" i="6"/>
  <c r="P65" i="6" s="1"/>
  <c r="AZ16" i="6"/>
  <c r="AZ65" i="6" s="1"/>
  <c r="BL16" i="6"/>
  <c r="BL65" i="6" s="1"/>
  <c r="CJ16" i="6"/>
  <c r="CJ65" i="6" s="1"/>
  <c r="CV16" i="6"/>
  <c r="CV65" i="6" s="1"/>
  <c r="DT16" i="6"/>
  <c r="DT65" i="6" s="1"/>
  <c r="EA65" i="6"/>
  <c r="CQ66" i="6"/>
  <c r="W12" i="6"/>
  <c r="BS57" i="6"/>
  <c r="DO12" i="6"/>
  <c r="DO57" i="6"/>
  <c r="BT61" i="6"/>
  <c r="CL61" i="6"/>
  <c r="DP61" i="6"/>
  <c r="BJ73" i="6"/>
  <c r="CH73" i="6"/>
  <c r="DC24" i="6"/>
  <c r="DH31" i="6" s="1"/>
  <c r="DH80" i="6" s="1"/>
  <c r="BF33" i="6"/>
  <c r="BF82" i="6" s="1"/>
  <c r="BS10" i="11"/>
  <c r="AT10" i="11"/>
  <c r="BL10" i="11"/>
  <c r="BG58" i="6"/>
  <c r="DJ87" i="11"/>
  <c r="Z303" i="17"/>
  <c r="Z282" i="17" s="1"/>
  <c r="AW308" i="17"/>
  <c r="DB8" i="6"/>
  <c r="DB57" i="6" s="1"/>
  <c r="DU57" i="6"/>
  <c r="K12" i="6"/>
  <c r="BF31" i="6"/>
  <c r="BF80" i="6" s="1"/>
  <c r="CJ90" i="11"/>
  <c r="DE87" i="11"/>
  <c r="BP73" i="6"/>
  <c r="BP60" i="11"/>
  <c r="BQ60" i="11" s="1"/>
  <c r="BV85" i="6"/>
  <c r="AJ74" i="11"/>
  <c r="AO74" i="11"/>
  <c r="J176" i="12"/>
  <c r="P175" i="12"/>
  <c r="AH59" i="11"/>
  <c r="BB59" i="11"/>
  <c r="DL47" i="11"/>
  <c r="N172" i="12"/>
  <c r="BZ105" i="11"/>
  <c r="DG47" i="11"/>
  <c r="BG63" i="11"/>
  <c r="CA102" i="11"/>
  <c r="BW96" i="11"/>
  <c r="CB96" i="11" s="1"/>
  <c r="CG96" i="11" s="1"/>
  <c r="CL96" i="11" s="1"/>
  <c r="CL97" i="11" s="1"/>
  <c r="S174" i="12"/>
  <c r="V178" i="12"/>
  <c r="DJ101" i="11"/>
  <c r="W84" i="12"/>
  <c r="BM12" i="11"/>
  <c r="BM14" i="11" s="1"/>
  <c r="P106" i="12"/>
  <c r="T106" i="12"/>
  <c r="BM59" i="6"/>
  <c r="CK9" i="11"/>
  <c r="J172" i="12"/>
  <c r="BT71" i="11"/>
  <c r="T48" i="12" s="1"/>
  <c r="DI103" i="11"/>
  <c r="CL12" i="11"/>
  <c r="S175" i="12"/>
  <c r="DE63" i="11"/>
  <c r="P33" i="6"/>
  <c r="P82" i="6" s="1"/>
  <c r="DI60" i="6"/>
  <c r="CE59" i="6"/>
  <c r="BX33" i="6"/>
  <c r="BX82" i="6" s="1"/>
  <c r="W136" i="12"/>
  <c r="CI23" i="11" s="1"/>
  <c r="AR119" i="11"/>
  <c r="CB73" i="6"/>
  <c r="BY58" i="6"/>
  <c r="AC178" i="12"/>
  <c r="E131" i="2" s="1"/>
  <c r="AV131" i="2" s="1"/>
  <c r="AC169" i="12"/>
  <c r="E105" i="2" s="1"/>
  <c r="AV105" i="2" s="1"/>
  <c r="Y239" i="7"/>
  <c r="W39" i="7"/>
  <c r="AA37" i="7"/>
  <c r="AA204" i="8"/>
  <c r="V231" i="7"/>
  <c r="Q247" i="17"/>
  <c r="AJ247" i="17"/>
  <c r="AW247" i="17"/>
  <c r="AA237" i="7"/>
  <c r="T247" i="17"/>
  <c r="AZ247" i="17"/>
  <c r="DU94" i="6"/>
  <c r="N101" i="11"/>
  <c r="H175" i="12"/>
  <c r="V179" i="12"/>
  <c r="CF119" i="11"/>
  <c r="J179" i="12"/>
  <c r="X119" i="11"/>
  <c r="R179" i="12"/>
  <c r="BL119" i="11"/>
  <c r="BY77" i="6"/>
  <c r="BY59" i="6"/>
  <c r="BS58" i="6"/>
  <c r="AF73" i="6"/>
  <c r="CJ33" i="6"/>
  <c r="CJ82" i="6" s="1"/>
  <c r="BM84" i="6"/>
  <c r="CM74" i="11"/>
  <c r="J144" i="12"/>
  <c r="V30" i="11" s="1"/>
  <c r="CE94" i="6"/>
  <c r="BY94" i="6"/>
  <c r="AR63" i="11"/>
  <c r="BS84" i="6"/>
  <c r="X142" i="12"/>
  <c r="CN29" i="11" s="1"/>
  <c r="CZ73" i="6"/>
  <c r="T55" i="12"/>
  <c r="DH33" i="6"/>
  <c r="DH82" i="6" s="1"/>
  <c r="DC84" i="6"/>
  <c r="I174" i="12"/>
  <c r="BY60" i="6"/>
  <c r="AB140" i="12"/>
  <c r="DH27" i="11" s="1"/>
  <c r="BY79" i="6"/>
  <c r="DO58" i="6"/>
  <c r="CQ58" i="6"/>
  <c r="DX73" i="6"/>
  <c r="H173" i="12"/>
  <c r="N86" i="11"/>
  <c r="R173" i="12"/>
  <c r="BL86" i="11"/>
  <c r="N173" i="12"/>
  <c r="AR86" i="11"/>
  <c r="Z173" i="12"/>
  <c r="CZ86" i="11"/>
  <c r="DX85" i="6"/>
  <c r="DU36" i="6"/>
  <c r="DU85" i="6" s="1"/>
  <c r="CZ7" i="11"/>
  <c r="J106" i="12"/>
  <c r="CW47" i="11"/>
  <c r="AM88" i="11"/>
  <c r="CW79" i="6"/>
  <c r="DU84" i="6"/>
  <c r="AV316" i="17"/>
  <c r="AV318" i="17" s="1"/>
  <c r="CE84" i="6"/>
  <c r="CW112" i="11"/>
  <c r="BL33" i="6"/>
  <c r="BL82" i="6" s="1"/>
  <c r="U134" i="12"/>
  <c r="BY21" i="11" s="1"/>
  <c r="CK88" i="11"/>
  <c r="DI123" i="11"/>
  <c r="DE13" i="11"/>
  <c r="W106" i="12"/>
  <c r="DT33" i="6"/>
  <c r="DT82" i="6" s="1"/>
  <c r="CI71" i="11"/>
  <c r="W48" i="12" s="1"/>
  <c r="W177" i="12"/>
  <c r="BD73" i="6"/>
  <c r="T179" i="12"/>
  <c r="BV119" i="11"/>
  <c r="T85" i="6"/>
  <c r="Q36" i="6"/>
  <c r="CW77" i="6"/>
  <c r="DC12" i="6"/>
  <c r="AM102" i="11"/>
  <c r="Z111" i="11"/>
  <c r="CP88" i="11"/>
  <c r="CJ13" i="6"/>
  <c r="CJ62" i="6" s="1"/>
  <c r="DO72" i="6"/>
  <c r="DB30" i="6"/>
  <c r="DB79" i="6" s="1"/>
  <c r="Z73" i="6"/>
  <c r="CT73" i="6"/>
  <c r="Z106" i="12"/>
  <c r="J55" i="12"/>
  <c r="R55" i="12"/>
  <c r="DE35" i="11"/>
  <c r="Y282" i="17"/>
  <c r="Y284" i="17" s="1"/>
  <c r="CK12" i="6"/>
  <c r="DU12" i="6"/>
  <c r="BX13" i="6"/>
  <c r="BX62" i="6" s="1"/>
  <c r="BY82" i="6"/>
  <c r="CK59" i="6"/>
  <c r="T73" i="6"/>
  <c r="O135" i="12"/>
  <c r="AU22" i="11" s="1"/>
  <c r="AH103" i="11"/>
  <c r="AC13" i="11"/>
  <c r="DE15" i="11"/>
  <c r="BS82" i="6"/>
  <c r="CX222" i="17"/>
  <c r="CX235" i="17" s="1"/>
  <c r="AD114" i="12"/>
  <c r="AD118" i="12" s="1"/>
  <c r="DO82" i="6"/>
  <c r="S88" i="11"/>
  <c r="P134" i="12"/>
  <c r="AZ21" i="11" s="1"/>
  <c r="BB15" i="11"/>
  <c r="P55" i="12"/>
  <c r="Y106" i="12"/>
  <c r="I106" i="12"/>
  <c r="Q84" i="12"/>
  <c r="CA15" i="11"/>
  <c r="V106" i="12"/>
  <c r="AM7" i="11"/>
  <c r="BG7" i="11"/>
  <c r="W135" i="12"/>
  <c r="CI22" i="11" s="1"/>
  <c r="I165" i="12"/>
  <c r="CU7" i="11"/>
  <c r="BV103" i="11"/>
  <c r="J134" i="12"/>
  <c r="V21" i="11" s="1"/>
  <c r="X7" i="11"/>
  <c r="Z134" i="12"/>
  <c r="CX21" i="11" s="1"/>
  <c r="S140" i="12"/>
  <c r="BO27" i="11" s="1"/>
  <c r="O142" i="12"/>
  <c r="AU29" i="11" s="1"/>
  <c r="CU15" i="11"/>
  <c r="AS308" i="17"/>
  <c r="BA308" i="17"/>
  <c r="BI308" i="17"/>
  <c r="H134" i="12"/>
  <c r="L21" i="11" s="1"/>
  <c r="BD316" i="17"/>
  <c r="BD318" i="17" s="1"/>
  <c r="CK15" i="11"/>
  <c r="X15" i="11"/>
  <c r="BL15" i="11"/>
  <c r="Q106" i="12"/>
  <c r="S106" i="12"/>
  <c r="CA88" i="11"/>
  <c r="BM77" i="6"/>
  <c r="DT30" i="6"/>
  <c r="DT79" i="6" s="1"/>
  <c r="W82" i="6"/>
  <c r="AU82" i="6"/>
  <c r="AZ33" i="6"/>
  <c r="AZ82" i="6" s="1"/>
  <c r="Y174" i="12"/>
  <c r="CU102" i="11"/>
  <c r="V137" i="12"/>
  <c r="CD24" i="11" s="1"/>
  <c r="S84" i="12"/>
  <c r="DC79" i="6"/>
  <c r="DC82" i="6"/>
  <c r="O175" i="12"/>
  <c r="AW101" i="11"/>
  <c r="H179" i="12"/>
  <c r="N119" i="11"/>
  <c r="N55" i="12"/>
  <c r="K175" i="12"/>
  <c r="AC101" i="11"/>
  <c r="R175" i="12"/>
  <c r="BL101" i="11"/>
  <c r="DB47" i="11"/>
  <c r="N175" i="12"/>
  <c r="AR101" i="11"/>
  <c r="L179" i="12"/>
  <c r="AH119" i="11"/>
  <c r="CJ32" i="6"/>
  <c r="CJ81" i="6" s="1"/>
  <c r="DI84" i="6"/>
  <c r="DO84" i="6"/>
  <c r="O174" i="12"/>
  <c r="AW102" i="11"/>
  <c r="CD30" i="6"/>
  <c r="CD79" i="6" s="1"/>
  <c r="BS59" i="6"/>
  <c r="V55" i="12"/>
  <c r="BG84" i="6"/>
  <c r="AZ316" i="17"/>
  <c r="AZ318" i="17" s="1"/>
  <c r="BE308" i="17"/>
  <c r="BM12" i="6"/>
  <c r="DI12" i="6"/>
  <c r="CK82" i="6"/>
  <c r="BS74" i="11"/>
  <c r="AA106" i="12"/>
  <c r="DI59" i="6"/>
  <c r="M106" i="12"/>
  <c r="K176" i="12"/>
  <c r="K36" i="6"/>
  <c r="K85" i="6" s="1"/>
  <c r="H84" i="12"/>
  <c r="X134" i="12"/>
  <c r="CN21" i="11" s="1"/>
  <c r="CB12" i="11"/>
  <c r="CB14" i="11" s="1"/>
  <c r="CB16" i="11" s="1"/>
  <c r="L84" i="12"/>
  <c r="CZ101" i="11"/>
  <c r="Z175" i="12"/>
  <c r="AB179" i="12"/>
  <c r="D158" i="2" s="1"/>
  <c r="AU158" i="2" s="1"/>
  <c r="DJ119" i="11"/>
  <c r="BL32" i="6"/>
  <c r="BL81" i="6" s="1"/>
  <c r="DH32" i="6"/>
  <c r="DH81" i="6" s="1"/>
  <c r="AI82" i="6"/>
  <c r="AN33" i="6"/>
  <c r="AN82" i="6" s="1"/>
  <c r="CK84" i="6"/>
  <c r="CQ84" i="6"/>
  <c r="K174" i="12"/>
  <c r="AC102" i="11"/>
  <c r="AF85" i="6"/>
  <c r="AC36" i="6"/>
  <c r="AR85" i="6"/>
  <c r="AO36" i="6"/>
  <c r="CE79" i="6"/>
  <c r="BX74" i="11"/>
  <c r="CE82" i="6"/>
  <c r="BE282" i="17"/>
  <c r="BE284" i="17" s="1"/>
  <c r="CA7" i="11"/>
  <c r="Q165" i="12"/>
  <c r="M134" i="12"/>
  <c r="AK21" i="11" s="1"/>
  <c r="J84" i="12"/>
  <c r="D111" i="2"/>
  <c r="I134" i="12"/>
  <c r="Q21" i="11" s="1"/>
  <c r="Y134" i="12"/>
  <c r="CS21" i="11" s="1"/>
  <c r="BL7" i="11"/>
  <c r="R165" i="12"/>
  <c r="H22" i="6"/>
  <c r="H29" i="6" s="1"/>
  <c r="H34" i="6" s="1"/>
  <c r="H39" i="6" s="1"/>
  <c r="H48" i="6" s="1"/>
  <c r="H49" i="6" s="1"/>
  <c r="DC29" i="11"/>
  <c r="AA143" i="12"/>
  <c r="CQ79" i="6"/>
  <c r="CK79" i="6"/>
  <c r="H55" i="12"/>
  <c r="N137" i="12"/>
  <c r="AP24" i="11" s="1"/>
  <c r="AC308" i="17"/>
  <c r="X55" i="12"/>
  <c r="H165" i="12"/>
  <c r="BH316" i="17"/>
  <c r="BH318" i="17" s="1"/>
  <c r="U106" i="12"/>
  <c r="BB7" i="11"/>
  <c r="CP7" i="11"/>
  <c r="AA84" i="12"/>
  <c r="K84" i="12"/>
  <c r="AW8" i="11"/>
  <c r="CK8" i="11"/>
  <c r="O84" i="12"/>
  <c r="CQ85" i="6"/>
  <c r="E12" i="6"/>
  <c r="AN12" i="11"/>
  <c r="BB103" i="11"/>
  <c r="X106" i="12"/>
  <c r="BM79" i="6"/>
  <c r="BS79" i="6"/>
  <c r="DO79" i="6"/>
  <c r="DI79" i="6"/>
  <c r="U285" i="17"/>
  <c r="U319" i="17" s="1"/>
  <c r="U321" i="17" s="1"/>
  <c r="AC282" i="17"/>
  <c r="AC284" i="17" s="1"/>
  <c r="AC285" i="17"/>
  <c r="AC287" i="17" s="1"/>
  <c r="AK282" i="17"/>
  <c r="AO316" i="17" s="1"/>
  <c r="AO318" i="17" s="1"/>
  <c r="AS282" i="17"/>
  <c r="AS284" i="17" s="1"/>
  <c r="AS285" i="17"/>
  <c r="AS319" i="17" s="1"/>
  <c r="AS321" i="17" s="1"/>
  <c r="BA282" i="17"/>
  <c r="BA284" i="17" s="1"/>
  <c r="BA285" i="17"/>
  <c r="BA319" i="17" s="1"/>
  <c r="BA321" i="17" s="1"/>
  <c r="BI282" i="17"/>
  <c r="BI284" i="17" s="1"/>
  <c r="BI285" i="17"/>
  <c r="BI287" i="17" s="1"/>
  <c r="AA174" i="12"/>
  <c r="C110" i="2" s="1"/>
  <c r="DE102" i="11"/>
  <c r="AB660" i="7"/>
  <c r="V237" i="7"/>
  <c r="Q40" i="6"/>
  <c r="BM40" i="6"/>
  <c r="DI40" i="6"/>
  <c r="T791" i="7"/>
  <c r="V791" i="7"/>
  <c r="V466" i="12"/>
  <c r="V473" i="12" s="1"/>
  <c r="W237" i="7"/>
  <c r="L660" i="7"/>
  <c r="L674" i="7" s="1"/>
  <c r="P660" i="7"/>
  <c r="P674" i="7" s="1"/>
  <c r="T660" i="7"/>
  <c r="T674" i="7" s="1"/>
  <c r="X660" i="7"/>
  <c r="X674" i="7" s="1"/>
  <c r="U791" i="7"/>
  <c r="O140" i="12"/>
  <c r="AW13" i="11"/>
  <c r="K253" i="8"/>
  <c r="K249" i="8"/>
  <c r="K250" i="8" s="1"/>
  <c r="O253" i="8"/>
  <c r="O249" i="8"/>
  <c r="O250" i="8" s="1"/>
  <c r="S253" i="8"/>
  <c r="S249" i="8"/>
  <c r="S250" i="8" s="1"/>
  <c r="W253" i="8"/>
  <c r="W249" i="8"/>
  <c r="W250" i="8" s="1"/>
  <c r="AA253" i="8"/>
  <c r="AA249" i="8"/>
  <c r="AA250" i="8" s="1"/>
  <c r="AP116" i="11"/>
  <c r="AQ116" i="11" s="1"/>
  <c r="AR116" i="11" s="1"/>
  <c r="AQ17" i="11"/>
  <c r="AZ116" i="11"/>
  <c r="BA116" i="11" s="1"/>
  <c r="BB116" i="11" s="1"/>
  <c r="BA17" i="11"/>
  <c r="BJ116" i="11"/>
  <c r="BK116" i="11" s="1"/>
  <c r="BL116" i="11" s="1"/>
  <c r="BK17" i="11"/>
  <c r="BT116" i="11"/>
  <c r="BU116" i="11" s="1"/>
  <c r="BV116" i="11" s="1"/>
  <c r="BU17" i="11"/>
  <c r="DQ47" i="6"/>
  <c r="Z736" i="7"/>
  <c r="Z737" i="7" s="1"/>
  <c r="Z555" i="7"/>
  <c r="Z549" i="7"/>
  <c r="Z545" i="7"/>
  <c r="N165" i="12"/>
  <c r="N134" i="12"/>
  <c r="AP21" i="11" s="1"/>
  <c r="V165" i="12"/>
  <c r="V134" i="12"/>
  <c r="CD21" i="11" s="1"/>
  <c r="I135" i="12"/>
  <c r="Q22" i="11" s="1"/>
  <c r="S8" i="11"/>
  <c r="I166" i="12"/>
  <c r="M166" i="12"/>
  <c r="AM8" i="11"/>
  <c r="M135" i="12"/>
  <c r="AK22" i="11" s="1"/>
  <c r="J140" i="12"/>
  <c r="V27" i="11" s="1"/>
  <c r="X13" i="11"/>
  <c r="N140" i="12"/>
  <c r="AR13" i="11"/>
  <c r="R140" i="12"/>
  <c r="BJ27" i="11" s="1"/>
  <c r="BL13" i="11"/>
  <c r="V140" i="12"/>
  <c r="CF13" i="11"/>
  <c r="CY88" i="11"/>
  <c r="J253" i="8"/>
  <c r="J249" i="8"/>
  <c r="J250" i="8" s="1"/>
  <c r="N253" i="8"/>
  <c r="N249" i="8"/>
  <c r="N250" i="8" s="1"/>
  <c r="R253" i="8"/>
  <c r="R249" i="8"/>
  <c r="R250" i="8" s="1"/>
  <c r="V253" i="8"/>
  <c r="V249" i="8"/>
  <c r="V250" i="8" s="1"/>
  <c r="Z253" i="8"/>
  <c r="Z249" i="8"/>
  <c r="Z250" i="8" s="1"/>
  <c r="DC116" i="11"/>
  <c r="DD116" i="11" s="1"/>
  <c r="DE116" i="11" s="1"/>
  <c r="DD17" i="11"/>
  <c r="DW47" i="6"/>
  <c r="AA736" i="7"/>
  <c r="AA737" i="7" s="1"/>
  <c r="AA555" i="7"/>
  <c r="AA545" i="7"/>
  <c r="AA338" i="12"/>
  <c r="AA306" i="12"/>
  <c r="AA301" i="12"/>
  <c r="L773" i="7"/>
  <c r="L774" i="7" s="1"/>
  <c r="P774" i="7"/>
  <c r="T774" i="7"/>
  <c r="M773" i="7"/>
  <c r="M774" i="7" s="1"/>
  <c r="Q774" i="7"/>
  <c r="U774" i="7"/>
  <c r="Z66" i="8"/>
  <c r="Z55" i="8"/>
  <c r="J89" i="21"/>
  <c r="K85" i="21"/>
  <c r="K84" i="21"/>
  <c r="N89" i="21"/>
  <c r="O85" i="21"/>
  <c r="O84" i="21"/>
  <c r="H143" i="8"/>
  <c r="H178" i="8"/>
  <c r="H171" i="8"/>
  <c r="J143" i="8"/>
  <c r="J178" i="8"/>
  <c r="J171" i="8"/>
  <c r="L143" i="8"/>
  <c r="L178" i="8"/>
  <c r="L171" i="8"/>
  <c r="N143" i="8"/>
  <c r="N178" i="8"/>
  <c r="N171" i="8"/>
  <c r="P143" i="8"/>
  <c r="P178" i="8"/>
  <c r="P171" i="8"/>
  <c r="R143" i="8"/>
  <c r="R178" i="8"/>
  <c r="R171" i="8"/>
  <c r="T143" i="8"/>
  <c r="T178" i="8"/>
  <c r="T171" i="8"/>
  <c r="V143" i="8"/>
  <c r="V178" i="8"/>
  <c r="V171" i="8"/>
  <c r="X143" i="8"/>
  <c r="X178" i="8"/>
  <c r="X171" i="8"/>
  <c r="N376" i="7"/>
  <c r="N355" i="7"/>
  <c r="N193" i="7"/>
  <c r="N187" i="7"/>
  <c r="V376" i="7"/>
  <c r="V355" i="7"/>
  <c r="V193" i="7"/>
  <c r="V187" i="7"/>
  <c r="M203" i="8"/>
  <c r="W668" i="7"/>
  <c r="Y668" i="7"/>
  <c r="AA39" i="7"/>
  <c r="K18" i="6"/>
  <c r="N67" i="6"/>
  <c r="AI18" i="6"/>
  <c r="AL67" i="6"/>
  <c r="BG18" i="6"/>
  <c r="BJ67" i="6"/>
  <c r="CE18" i="6"/>
  <c r="CH67" i="6"/>
  <c r="DC18" i="6"/>
  <c r="DF67" i="6"/>
  <c r="ED18" i="6"/>
  <c r="ED67" i="6" s="1"/>
  <c r="L588" i="7"/>
  <c r="L169" i="7"/>
  <c r="P588" i="7"/>
  <c r="P169" i="7"/>
  <c r="T593" i="7"/>
  <c r="T598" i="7"/>
  <c r="X593" i="7"/>
  <c r="X598" i="7"/>
  <c r="AC168" i="7"/>
  <c r="T69" i="6"/>
  <c r="N69" i="6"/>
  <c r="AR69" i="6"/>
  <c r="AL69" i="6"/>
  <c r="BP69" i="6"/>
  <c r="BJ69" i="6"/>
  <c r="CN69" i="6"/>
  <c r="CH69" i="6"/>
  <c r="DL69" i="6"/>
  <c r="DF69" i="6"/>
  <c r="EJ20" i="6"/>
  <c r="EJ69" i="6" s="1"/>
  <c r="AC752" i="7"/>
  <c r="AC756" i="7" s="1"/>
  <c r="E224" i="2" s="1"/>
  <c r="AD138" i="7"/>
  <c r="AE138" i="7" s="1"/>
  <c r="AC626" i="7"/>
  <c r="AC267" i="7"/>
  <c r="EJ74" i="6"/>
  <c r="EJ24" i="6"/>
  <c r="EJ73" i="6" s="1"/>
  <c r="N40" i="6"/>
  <c r="N92" i="6"/>
  <c r="Z92" i="6"/>
  <c r="Z40" i="6"/>
  <c r="AF89" i="6" s="1"/>
  <c r="AL40" i="6"/>
  <c r="AL92" i="6"/>
  <c r="AX92" i="6"/>
  <c r="AX40" i="6"/>
  <c r="BD89" i="6" s="1"/>
  <c r="BJ40" i="6"/>
  <c r="BP89" i="6" s="1"/>
  <c r="BJ92" i="6"/>
  <c r="BV92" i="6"/>
  <c r="BV40" i="6"/>
  <c r="CB89" i="6" s="1"/>
  <c r="CH40" i="6"/>
  <c r="CH92" i="6"/>
  <c r="DF40" i="6"/>
  <c r="DL89" i="6" s="1"/>
  <c r="DF92" i="6"/>
  <c r="EJ43" i="6"/>
  <c r="EJ92" i="6" s="1"/>
  <c r="AD484" i="7"/>
  <c r="AD485" i="7" s="1"/>
  <c r="BA40" i="6"/>
  <c r="CW40" i="6"/>
  <c r="N764" i="7"/>
  <c r="N765" i="7" s="1"/>
  <c r="N663" i="7"/>
  <c r="N677" i="7" s="1"/>
  <c r="R764" i="7"/>
  <c r="R765" i="7" s="1"/>
  <c r="R663" i="7"/>
  <c r="R677" i="7" s="1"/>
  <c r="V764" i="7"/>
  <c r="V765" i="7" s="1"/>
  <c r="V663" i="7"/>
  <c r="V677" i="7" s="1"/>
  <c r="C227" i="2"/>
  <c r="AT227" i="2" s="1"/>
  <c r="Z764" i="7"/>
  <c r="Z765" i="7" s="1"/>
  <c r="Z663" i="7"/>
  <c r="Z677" i="7" s="1"/>
  <c r="O375" i="7"/>
  <c r="O354" i="7"/>
  <c r="O192" i="7"/>
  <c r="O183" i="7"/>
  <c r="O186" i="7"/>
  <c r="S375" i="7"/>
  <c r="S354" i="7"/>
  <c r="S192" i="7"/>
  <c r="S183" i="7"/>
  <c r="S186" i="7"/>
  <c r="W375" i="7"/>
  <c r="W354" i="7"/>
  <c r="W192" i="7"/>
  <c r="W183" i="7"/>
  <c r="W186" i="7"/>
  <c r="EH10" i="6"/>
  <c r="AD46" i="7"/>
  <c r="EB59" i="6"/>
  <c r="EA10" i="6"/>
  <c r="V272" i="7"/>
  <c r="V261" i="7"/>
  <c r="C193" i="2"/>
  <c r="AT193" i="2" s="1"/>
  <c r="EB27" i="6"/>
  <c r="AB707" i="7"/>
  <c r="AB709" i="7" s="1"/>
  <c r="D191" i="2" s="1"/>
  <c r="EB81" i="6"/>
  <c r="AM84" i="6"/>
  <c r="AM48" i="6"/>
  <c r="BL35" i="6"/>
  <c r="BL84" i="6" s="1"/>
  <c r="BK84" i="6"/>
  <c r="BK48" i="6"/>
  <c r="CJ35" i="6"/>
  <c r="CJ84" i="6" s="1"/>
  <c r="CI84" i="6"/>
  <c r="CI48" i="6"/>
  <c r="DH35" i="6"/>
  <c r="DH84" i="6" s="1"/>
  <c r="DG84" i="6"/>
  <c r="DT35" i="6"/>
  <c r="DT84" i="6" s="1"/>
  <c r="DS84" i="6"/>
  <c r="CP45" i="6"/>
  <c r="CP94" i="6" s="1"/>
  <c r="CO94" i="6"/>
  <c r="J61" i="21"/>
  <c r="N61" i="21"/>
  <c r="O790" i="7"/>
  <c r="O791" i="7" s="1"/>
  <c r="F104" i="20"/>
  <c r="W104" i="20" s="1"/>
  <c r="AV116" i="2"/>
  <c r="F105" i="20"/>
  <c r="W105" i="20" s="1"/>
  <c r="AV117" i="2"/>
  <c r="K190" i="17"/>
  <c r="L190" i="17"/>
  <c r="P190" i="17"/>
  <c r="O190" i="17"/>
  <c r="S190" i="17"/>
  <c r="X190" i="17"/>
  <c r="W190" i="17"/>
  <c r="AA190" i="17"/>
  <c r="AF190" i="17"/>
  <c r="AE190" i="17"/>
  <c r="AI190" i="17"/>
  <c r="AN190" i="17"/>
  <c r="AM190" i="17"/>
  <c r="AQ190" i="17"/>
  <c r="AV190" i="17"/>
  <c r="AU190" i="17"/>
  <c r="AY190" i="17"/>
  <c r="BD190" i="17"/>
  <c r="BC190" i="17"/>
  <c r="BG190" i="17"/>
  <c r="BK12" i="17"/>
  <c r="E110" i="20"/>
  <c r="V110" i="20" s="1"/>
  <c r="AU121" i="2"/>
  <c r="E112" i="20"/>
  <c r="V112" i="20" s="1"/>
  <c r="AU123" i="2"/>
  <c r="M155" i="17"/>
  <c r="L155" i="17"/>
  <c r="K155" i="17"/>
  <c r="Z202" i="17"/>
  <c r="AP202" i="17"/>
  <c r="BF202" i="17"/>
  <c r="BV207" i="17"/>
  <c r="BY212" i="17"/>
  <c r="BX212" i="17"/>
  <c r="BU203" i="17"/>
  <c r="W154" i="12"/>
  <c r="BW212" i="17"/>
  <c r="BV213" i="17"/>
  <c r="CL207" i="17"/>
  <c r="CO212" i="17"/>
  <c r="CN212" i="17"/>
  <c r="CK203" i="17"/>
  <c r="AA154" i="12"/>
  <c r="CM212" i="17"/>
  <c r="CL213" i="17"/>
  <c r="CA121" i="17"/>
  <c r="CA17" i="17"/>
  <c r="CE121" i="17"/>
  <c r="CE17" i="17"/>
  <c r="CI121" i="17"/>
  <c r="CI17" i="17"/>
  <c r="CM121" i="17"/>
  <c r="CM17" i="17"/>
  <c r="CP120" i="17"/>
  <c r="E118" i="20"/>
  <c r="V118" i="20" s="1"/>
  <c r="AU267" i="2"/>
  <c r="G122" i="20"/>
  <c r="X122" i="20" s="1"/>
  <c r="AW271" i="2"/>
  <c r="M273" i="12"/>
  <c r="M269" i="12"/>
  <c r="AO96" i="6"/>
  <c r="AT47" i="6"/>
  <c r="AT96" i="6" s="1"/>
  <c r="U273" i="12"/>
  <c r="U269" i="12"/>
  <c r="CK96" i="6"/>
  <c r="CP47" i="6"/>
  <c r="CP96" i="6" s="1"/>
  <c r="I116" i="8"/>
  <c r="Q116" i="8"/>
  <c r="Y116" i="8"/>
  <c r="L79" i="8"/>
  <c r="M84" i="8" s="1"/>
  <c r="P79" i="8"/>
  <c r="T79" i="8"/>
  <c r="U84" i="8" s="1"/>
  <c r="X79" i="8"/>
  <c r="Y84" i="8" s="1"/>
  <c r="K66" i="8"/>
  <c r="K55" i="8"/>
  <c r="O66" i="8"/>
  <c r="O55" i="8"/>
  <c r="S66" i="8"/>
  <c r="S55" i="8"/>
  <c r="W66" i="8"/>
  <c r="W55" i="8"/>
  <c r="I89" i="21"/>
  <c r="J85" i="21"/>
  <c r="J84" i="21"/>
  <c r="G178" i="8"/>
  <c r="G143" i="8"/>
  <c r="G157" i="8" s="1"/>
  <c r="I159" i="8"/>
  <c r="I152" i="8"/>
  <c r="K159" i="8"/>
  <c r="K152" i="8"/>
  <c r="M159" i="8"/>
  <c r="M152" i="8"/>
  <c r="O159" i="8"/>
  <c r="O152" i="8"/>
  <c r="Q159" i="8"/>
  <c r="Q152" i="8"/>
  <c r="S159" i="8"/>
  <c r="S152" i="8"/>
  <c r="U159" i="8"/>
  <c r="U152" i="8"/>
  <c r="W159" i="8"/>
  <c r="W152" i="8"/>
  <c r="Y159" i="8"/>
  <c r="Y152" i="8"/>
  <c r="Y178" i="8"/>
  <c r="Y171" i="8"/>
  <c r="Y143" i="8"/>
  <c r="Y108" i="8" s="1"/>
  <c r="O376" i="7"/>
  <c r="O355" i="7"/>
  <c r="O193" i="7"/>
  <c r="O187" i="7"/>
  <c r="W376" i="7"/>
  <c r="W355" i="7"/>
  <c r="W193" i="7"/>
  <c r="W187" i="7"/>
  <c r="N195" i="8"/>
  <c r="N202" i="8" s="1"/>
  <c r="V195" i="8"/>
  <c r="V202" i="8" s="1"/>
  <c r="T237" i="7"/>
  <c r="X239" i="7"/>
  <c r="C206" i="2"/>
  <c r="AT206" i="2" s="1"/>
  <c r="L448" i="7"/>
  <c r="L437" i="7"/>
  <c r="N448" i="7"/>
  <c r="N437" i="7"/>
  <c r="P448" i="7"/>
  <c r="P437" i="7"/>
  <c r="R448" i="7"/>
  <c r="R437" i="7"/>
  <c r="T448" i="7"/>
  <c r="T437" i="7"/>
  <c r="V448" i="7"/>
  <c r="V437" i="7"/>
  <c r="X448" i="7"/>
  <c r="X437" i="7"/>
  <c r="Z448" i="7"/>
  <c r="Z437" i="7"/>
  <c r="L428" i="7"/>
  <c r="N428" i="7"/>
  <c r="P428" i="7"/>
  <c r="R428" i="7"/>
  <c r="T428" i="7"/>
  <c r="V668" i="7"/>
  <c r="X428" i="7"/>
  <c r="X39" i="7"/>
  <c r="M660" i="7"/>
  <c r="M674" i="7" s="1"/>
  <c r="Q660" i="7"/>
  <c r="Q674" i="7" s="1"/>
  <c r="U660" i="7"/>
  <c r="U674" i="7" s="1"/>
  <c r="Y660" i="7"/>
  <c r="Y674" i="7" s="1"/>
  <c r="M588" i="7"/>
  <c r="M169" i="7"/>
  <c r="Q588" i="7"/>
  <c r="Q169" i="7"/>
  <c r="U598" i="7"/>
  <c r="U593" i="7"/>
  <c r="Y598" i="7"/>
  <c r="Y593" i="7"/>
  <c r="Z290" i="7"/>
  <c r="AB290" i="7"/>
  <c r="AF92" i="6"/>
  <c r="BD92" i="6"/>
  <c r="CB92" i="6"/>
  <c r="CZ92" i="6"/>
  <c r="O764" i="7"/>
  <c r="O765" i="7" s="1"/>
  <c r="O663" i="7"/>
  <c r="O677" i="7" s="1"/>
  <c r="S764" i="7"/>
  <c r="S765" i="7" s="1"/>
  <c r="S663" i="7"/>
  <c r="S677" i="7" s="1"/>
  <c r="W764" i="7"/>
  <c r="W765" i="7" s="1"/>
  <c r="W663" i="7"/>
  <c r="W677" i="7" s="1"/>
  <c r="D227" i="2"/>
  <c r="AA764" i="7"/>
  <c r="AA765" i="7" s="1"/>
  <c r="AA663" i="7"/>
  <c r="AA677" i="7" s="1"/>
  <c r="L375" i="7"/>
  <c r="L354" i="7"/>
  <c r="L192" i="7"/>
  <c r="L183" i="7"/>
  <c r="P186" i="7"/>
  <c r="P375" i="7"/>
  <c r="P354" i="7"/>
  <c r="P192" i="7"/>
  <c r="P183" i="7"/>
  <c r="T186" i="7"/>
  <c r="T375" i="7"/>
  <c r="T354" i="7"/>
  <c r="T192" i="7"/>
  <c r="T183" i="7"/>
  <c r="X186" i="7"/>
  <c r="X375" i="7"/>
  <c r="X354" i="7"/>
  <c r="X192" i="7"/>
  <c r="X183" i="7"/>
  <c r="K181" i="8"/>
  <c r="K174" i="8"/>
  <c r="K146" i="8"/>
  <c r="M206" i="8"/>
  <c r="O181" i="8"/>
  <c r="O174" i="8"/>
  <c r="O146" i="8"/>
  <c r="S181" i="8"/>
  <c r="S174" i="8"/>
  <c r="S146" i="8"/>
  <c r="W272" i="7"/>
  <c r="W261" i="7"/>
  <c r="L122" i="8"/>
  <c r="P122" i="8"/>
  <c r="T122" i="8"/>
  <c r="X122" i="8"/>
  <c r="Z228" i="7"/>
  <c r="EA28" i="6"/>
  <c r="EA77" i="6" s="1"/>
  <c r="EB77" i="6"/>
  <c r="AS84" i="6"/>
  <c r="AS48" i="6"/>
  <c r="BQ48" i="6"/>
  <c r="BR35" i="6"/>
  <c r="BR84" i="6" s="1"/>
  <c r="BQ84" i="6"/>
  <c r="CO48" i="6"/>
  <c r="CP35" i="6"/>
  <c r="CP84" i="6" s="1"/>
  <c r="CO84" i="6"/>
  <c r="DN35" i="6"/>
  <c r="DN84" i="6" s="1"/>
  <c r="DM84" i="6"/>
  <c r="DZ35" i="6"/>
  <c r="DZ84" i="6" s="1"/>
  <c r="DY84" i="6"/>
  <c r="CU94" i="6"/>
  <c r="DG94" i="6"/>
  <c r="DS94" i="6"/>
  <c r="W160" i="8"/>
  <c r="J119" i="8"/>
  <c r="R119" i="8"/>
  <c r="J127" i="8"/>
  <c r="J130" i="8" s="1"/>
  <c r="N127" i="8"/>
  <c r="N130" i="8" s="1"/>
  <c r="R127" i="8"/>
  <c r="R130" i="8" s="1"/>
  <c r="V127" i="8"/>
  <c r="Z127" i="8"/>
  <c r="BB106" i="17"/>
  <c r="BJ106" i="17"/>
  <c r="E103" i="20"/>
  <c r="V103" i="20" s="1"/>
  <c r="AU115" i="2"/>
  <c r="M93" i="17"/>
  <c r="Q93" i="17"/>
  <c r="Y93" i="17"/>
  <c r="AG93" i="17"/>
  <c r="AO93" i="17"/>
  <c r="AW93" i="17"/>
  <c r="BE93" i="17"/>
  <c r="F112" i="20"/>
  <c r="W112" i="20" s="1"/>
  <c r="AV123" i="2"/>
  <c r="H112" i="20"/>
  <c r="Y112" i="20" s="1"/>
  <c r="AX123" i="2"/>
  <c r="BZ17" i="17"/>
  <c r="BZ121" i="17"/>
  <c r="CB17" i="17"/>
  <c r="CB121" i="17"/>
  <c r="CD17" i="17"/>
  <c r="CD121" i="17"/>
  <c r="CH17" i="17"/>
  <c r="CH121" i="17"/>
  <c r="CL17" i="17"/>
  <c r="CL121" i="17"/>
  <c r="CP17" i="17"/>
  <c r="CP121" i="17"/>
  <c r="BR64" i="17"/>
  <c r="BP63" i="17"/>
  <c r="BQ63" i="17" s="1"/>
  <c r="BR63" i="17" s="1"/>
  <c r="BS63" i="17" s="1"/>
  <c r="BN83" i="17"/>
  <c r="BM68" i="17"/>
  <c r="BN237" i="17"/>
  <c r="BM225" i="17"/>
  <c r="Z11" i="11"/>
  <c r="J273" i="12"/>
  <c r="J269" i="12"/>
  <c r="J433" i="12"/>
  <c r="AT81" i="11"/>
  <c r="AU96" i="6"/>
  <c r="AZ47" i="6"/>
  <c r="AZ96" i="6" s="1"/>
  <c r="BN11" i="11"/>
  <c r="R273" i="12"/>
  <c r="R269" i="12"/>
  <c r="R433" i="12"/>
  <c r="CH81" i="11"/>
  <c r="CM81" i="11"/>
  <c r="CQ96" i="6"/>
  <c r="CW96" i="6"/>
  <c r="CV45" i="6"/>
  <c r="CV94" i="6" s="1"/>
  <c r="DT45" i="6"/>
  <c r="DT94" i="6" s="1"/>
  <c r="Q166" i="12"/>
  <c r="Q135" i="12"/>
  <c r="BE22" i="11" s="1"/>
  <c r="BG8" i="11"/>
  <c r="U166" i="12"/>
  <c r="U135" i="12"/>
  <c r="BY22" i="11" s="1"/>
  <c r="CA8" i="11"/>
  <c r="Y135" i="12"/>
  <c r="CS22" i="11" s="1"/>
  <c r="CU8" i="11"/>
  <c r="Y166" i="12"/>
  <c r="I140" i="12"/>
  <c r="S13" i="11"/>
  <c r="M140" i="12"/>
  <c r="AM13" i="11"/>
  <c r="BG13" i="11"/>
  <c r="Q140" i="12"/>
  <c r="U140" i="12"/>
  <c r="CA13" i="11"/>
  <c r="CT88" i="11"/>
  <c r="N103" i="11"/>
  <c r="H106" i="12"/>
  <c r="BL103" i="11"/>
  <c r="R106" i="12"/>
  <c r="CD116" i="11"/>
  <c r="CE116" i="11" s="1"/>
  <c r="CF116" i="11" s="1"/>
  <c r="CE17" i="11"/>
  <c r="CN116" i="11"/>
  <c r="CO116" i="11" s="1"/>
  <c r="CP116" i="11" s="1"/>
  <c r="CO17" i="11"/>
  <c r="CX116" i="11"/>
  <c r="CY116" i="11" s="1"/>
  <c r="CZ116" i="11" s="1"/>
  <c r="CY17" i="11"/>
  <c r="DH116" i="11"/>
  <c r="DI116" i="11" s="1"/>
  <c r="DI17" i="11"/>
  <c r="BG36" i="6"/>
  <c r="BP85" i="6"/>
  <c r="DC36" i="6"/>
  <c r="DF85" i="6"/>
  <c r="DL85" i="6"/>
  <c r="DE47" i="6"/>
  <c r="X736" i="7"/>
  <c r="X737" i="7" s="1"/>
  <c r="X555" i="7"/>
  <c r="X549" i="7"/>
  <c r="X545" i="7"/>
  <c r="H166" i="12"/>
  <c r="H135" i="12"/>
  <c r="L22" i="11" s="1"/>
  <c r="N8" i="11"/>
  <c r="J166" i="12"/>
  <c r="J135" i="12"/>
  <c r="V22" i="11" s="1"/>
  <c r="X8" i="11"/>
  <c r="L166" i="12"/>
  <c r="L135" i="12"/>
  <c r="AF22" i="11" s="1"/>
  <c r="AH8" i="11"/>
  <c r="N166" i="12"/>
  <c r="N135" i="12"/>
  <c r="AP22" i="11" s="1"/>
  <c r="AR8" i="11"/>
  <c r="P166" i="12"/>
  <c r="BB8" i="11"/>
  <c r="P135" i="12"/>
  <c r="AZ22" i="11" s="1"/>
  <c r="R166" i="12"/>
  <c r="R135" i="12"/>
  <c r="BJ22" i="11" s="1"/>
  <c r="BL8" i="11"/>
  <c r="T166" i="12"/>
  <c r="T135" i="12"/>
  <c r="BT22" i="11" s="1"/>
  <c r="BV8" i="11"/>
  <c r="V166" i="12"/>
  <c r="V135" i="12"/>
  <c r="CD22" i="11" s="1"/>
  <c r="CF8" i="11"/>
  <c r="X166" i="12"/>
  <c r="CP8" i="11"/>
  <c r="X135" i="12"/>
  <c r="CN22" i="11" s="1"/>
  <c r="Z166" i="12"/>
  <c r="Z135" i="12"/>
  <c r="CX22" i="11" s="1"/>
  <c r="CZ8" i="11"/>
  <c r="AB166" i="12"/>
  <c r="AB135" i="12"/>
  <c r="DH22" i="11" s="1"/>
  <c r="DJ8" i="11"/>
  <c r="H140" i="12"/>
  <c r="N13" i="11"/>
  <c r="L140" i="12"/>
  <c r="AH13" i="11"/>
  <c r="P140" i="12"/>
  <c r="BB13" i="11"/>
  <c r="T140" i="12"/>
  <c r="BV13" i="11"/>
  <c r="I142" i="12"/>
  <c r="Q29" i="11" s="1"/>
  <c r="S15" i="11"/>
  <c r="K142" i="12"/>
  <c r="AC15" i="11"/>
  <c r="M142" i="12"/>
  <c r="AK29" i="11" s="1"/>
  <c r="AM15" i="11"/>
  <c r="BG15" i="11"/>
  <c r="Q142" i="12"/>
  <c r="BE29" i="11" s="1"/>
  <c r="S142" i="12"/>
  <c r="BQ15" i="11"/>
  <c r="CY47" i="6"/>
  <c r="W736" i="7"/>
  <c r="W737" i="7" s="1"/>
  <c r="W549" i="7"/>
  <c r="W555" i="7"/>
  <c r="W545" i="7"/>
  <c r="DK47" i="6"/>
  <c r="Y736" i="7"/>
  <c r="Y737" i="7" s="1"/>
  <c r="Y549" i="7"/>
  <c r="Y555" i="7"/>
  <c r="Y545" i="7"/>
  <c r="N773" i="7"/>
  <c r="N774" i="7" s="1"/>
  <c r="R774" i="7"/>
  <c r="V774" i="7"/>
  <c r="V464" i="12"/>
  <c r="V471" i="12" s="1"/>
  <c r="X774" i="7"/>
  <c r="X464" i="12"/>
  <c r="S774" i="7"/>
  <c r="Y774" i="7"/>
  <c r="Y464" i="12"/>
  <c r="AA774" i="7"/>
  <c r="AA464" i="12"/>
  <c r="EK30" i="6"/>
  <c r="EK79" i="6" s="1"/>
  <c r="AC777" i="7"/>
  <c r="AD204" i="7"/>
  <c r="AE204" i="7" s="1"/>
  <c r="O79" i="8"/>
  <c r="W79" i="8"/>
  <c r="J66" i="8"/>
  <c r="J55" i="8"/>
  <c r="V42" i="8"/>
  <c r="V41" i="8"/>
  <c r="Z159" i="8"/>
  <c r="Z152" i="8"/>
  <c r="AC50" i="7"/>
  <c r="L376" i="7"/>
  <c r="L355" i="7"/>
  <c r="L193" i="7"/>
  <c r="L187" i="7"/>
  <c r="T376" i="7"/>
  <c r="T355" i="7"/>
  <c r="T193" i="7"/>
  <c r="T187" i="7"/>
  <c r="Z376" i="7"/>
  <c r="Z355" i="7"/>
  <c r="Z193" i="7"/>
  <c r="Z187" i="7"/>
  <c r="AA202" i="8"/>
  <c r="W239" i="7"/>
  <c r="M377" i="7"/>
  <c r="M356" i="7"/>
  <c r="M194" i="7"/>
  <c r="M188" i="7"/>
  <c r="O377" i="7"/>
  <c r="O356" i="7"/>
  <c r="O194" i="7"/>
  <c r="O188" i="7"/>
  <c r="Q377" i="7"/>
  <c r="Q356" i="7"/>
  <c r="Q194" i="7"/>
  <c r="Q188" i="7"/>
  <c r="S377" i="7"/>
  <c r="S356" i="7"/>
  <c r="S194" i="7"/>
  <c r="S188" i="7"/>
  <c r="U377" i="7"/>
  <c r="U356" i="7"/>
  <c r="U194" i="7"/>
  <c r="U188" i="7"/>
  <c r="W377" i="7"/>
  <c r="W356" i="7"/>
  <c r="W194" i="7"/>
  <c r="W188" i="7"/>
  <c r="Y377" i="7"/>
  <c r="Y356" i="7"/>
  <c r="Y194" i="7"/>
  <c r="Y188" i="7"/>
  <c r="AA377" i="7"/>
  <c r="AA356" i="7"/>
  <c r="AA194" i="7"/>
  <c r="AA188" i="7"/>
  <c r="K158" i="8"/>
  <c r="K151" i="8"/>
  <c r="O158" i="8"/>
  <c r="O151" i="8"/>
  <c r="S158" i="8"/>
  <c r="S151" i="8"/>
  <c r="W158" i="8"/>
  <c r="W151" i="8"/>
  <c r="AA203" i="8"/>
  <c r="Y39" i="7"/>
  <c r="Z629" i="7"/>
  <c r="N660" i="7"/>
  <c r="N674" i="7" s="1"/>
  <c r="R660" i="7"/>
  <c r="R674" i="7" s="1"/>
  <c r="V660" i="7"/>
  <c r="V674" i="7" s="1"/>
  <c r="C224" i="2"/>
  <c r="AT224" i="2" s="1"/>
  <c r="Z660" i="7"/>
  <c r="Z674" i="7" s="1"/>
  <c r="AD751" i="7"/>
  <c r="EP9" i="6"/>
  <c r="AD424" i="7"/>
  <c r="AD438" i="7" s="1"/>
  <c r="M628" i="7"/>
  <c r="M639" i="7" s="1"/>
  <c r="Q628" i="7"/>
  <c r="Q639" i="7" s="1"/>
  <c r="U628" i="7"/>
  <c r="U639" i="7" s="1"/>
  <c r="Y628" i="7"/>
  <c r="Y639" i="7" s="1"/>
  <c r="Z593" i="7"/>
  <c r="Z598" i="7"/>
  <c r="U290" i="7"/>
  <c r="W290" i="7"/>
  <c r="Y290" i="7"/>
  <c r="AA290" i="7"/>
  <c r="EP28" i="6"/>
  <c r="AD747" i="7"/>
  <c r="DS40" i="6"/>
  <c r="DS48" i="6" s="1"/>
  <c r="Z787" i="7"/>
  <c r="Z789" i="7" s="1"/>
  <c r="Z790" i="7" s="1"/>
  <c r="Z513" i="7"/>
  <c r="Z502" i="7"/>
  <c r="R20" i="21"/>
  <c r="EP44" i="6"/>
  <c r="AD759" i="7"/>
  <c r="L174" i="8"/>
  <c r="L146" i="8"/>
  <c r="L181" i="8"/>
  <c r="L272" i="7"/>
  <c r="L261" i="7"/>
  <c r="T174" i="8"/>
  <c r="T146" i="8"/>
  <c r="T181" i="8"/>
  <c r="T272" i="7"/>
  <c r="T261" i="7"/>
  <c r="X272" i="7"/>
  <c r="X261" i="7"/>
  <c r="Z272" i="7"/>
  <c r="Z261" i="7"/>
  <c r="AA122" i="8"/>
  <c r="Z231" i="7"/>
  <c r="EE28" i="6"/>
  <c r="EE77" i="6" s="1"/>
  <c r="AB778" i="7"/>
  <c r="AA331" i="7"/>
  <c r="AB339" i="7"/>
  <c r="EA33" i="6"/>
  <c r="EB82" i="6"/>
  <c r="O84" i="6"/>
  <c r="AA84" i="6"/>
  <c r="AY84" i="6"/>
  <c r="AY48" i="6"/>
  <c r="BX35" i="6"/>
  <c r="BX84" i="6" s="1"/>
  <c r="BW84" i="6"/>
  <c r="BW48" i="6"/>
  <c r="CV35" i="6"/>
  <c r="CV84" i="6" s="1"/>
  <c r="CU84" i="6"/>
  <c r="CU48" i="6"/>
  <c r="EK17" i="6"/>
  <c r="EK66" i="6" s="1"/>
  <c r="AC769" i="7"/>
  <c r="AD49" i="7"/>
  <c r="AE49" i="7" s="1"/>
  <c r="EE66" i="6"/>
  <c r="AV233" i="2"/>
  <c r="M790" i="7"/>
  <c r="M791" i="7" s="1"/>
  <c r="F103" i="20"/>
  <c r="W103" i="20" s="1"/>
  <c r="AV115" i="2"/>
  <c r="CR51" i="17"/>
  <c r="CR102" i="17"/>
  <c r="CR53" i="17"/>
  <c r="CR52" i="17"/>
  <c r="CR142" i="17"/>
  <c r="CR129" i="17"/>
  <c r="K12" i="17"/>
  <c r="M12" i="17"/>
  <c r="O12" i="17"/>
  <c r="Q12" i="17"/>
  <c r="S12" i="17"/>
  <c r="U12" i="17"/>
  <c r="W12" i="17"/>
  <c r="Y12" i="17"/>
  <c r="AA12" i="17"/>
  <c r="AC12" i="17"/>
  <c r="AE12" i="17"/>
  <c r="AG12" i="17"/>
  <c r="AI12" i="17"/>
  <c r="AK12" i="17"/>
  <c r="AM12" i="17"/>
  <c r="AO12" i="17"/>
  <c r="AQ12" i="17"/>
  <c r="AS12" i="17"/>
  <c r="AU12" i="17"/>
  <c r="AW12" i="17"/>
  <c r="AY12" i="17"/>
  <c r="BA12" i="17"/>
  <c r="BC12" i="17"/>
  <c r="BE12" i="17"/>
  <c r="BG12" i="17"/>
  <c r="BI12" i="17"/>
  <c r="L247" i="17"/>
  <c r="K247" i="17"/>
  <c r="Z242" i="17"/>
  <c r="AA104" i="11" s="1"/>
  <c r="Y230" i="17"/>
  <c r="K155" i="12"/>
  <c r="AB247" i="17"/>
  <c r="AA247" i="17"/>
  <c r="AP242" i="17"/>
  <c r="AU104" i="11" s="1"/>
  <c r="AO230" i="17"/>
  <c r="O155" i="12"/>
  <c r="AR247" i="17"/>
  <c r="AQ247" i="17"/>
  <c r="BF242" i="17"/>
  <c r="BO104" i="11" s="1"/>
  <c r="BE230" i="17"/>
  <c r="S155" i="12"/>
  <c r="BH247" i="17"/>
  <c r="BG247" i="17"/>
  <c r="G112" i="20"/>
  <c r="X112" i="20" s="1"/>
  <c r="AW123" i="2"/>
  <c r="R150" i="17"/>
  <c r="I152" i="12"/>
  <c r="U155" i="17"/>
  <c r="T155" i="17"/>
  <c r="S155" i="17"/>
  <c r="R156" i="17"/>
  <c r="V150" i="17"/>
  <c r="X155" i="17"/>
  <c r="W155" i="17"/>
  <c r="J152" i="12"/>
  <c r="Y155" i="17"/>
  <c r="V156" i="17"/>
  <c r="AH150" i="17"/>
  <c r="M152" i="12"/>
  <c r="AK155" i="17"/>
  <c r="AJ155" i="17"/>
  <c r="AI155" i="17"/>
  <c r="AH156" i="17"/>
  <c r="AL150" i="17"/>
  <c r="AN155" i="17"/>
  <c r="AM155" i="17"/>
  <c r="N152" i="12"/>
  <c r="AO155" i="17"/>
  <c r="AL156" i="17"/>
  <c r="AX150" i="17"/>
  <c r="Q152" i="12"/>
  <c r="BA155" i="17"/>
  <c r="AZ155" i="17"/>
  <c r="AY155" i="17"/>
  <c r="AX156" i="17"/>
  <c r="BB150" i="17"/>
  <c r="BD155" i="17"/>
  <c r="BC155" i="17"/>
  <c r="R152" i="12"/>
  <c r="BE155" i="17"/>
  <c r="BB156" i="17"/>
  <c r="BN150" i="17"/>
  <c r="U152" i="12"/>
  <c r="BQ155" i="17"/>
  <c r="BP155" i="17"/>
  <c r="BO155" i="17"/>
  <c r="BN156" i="17"/>
  <c r="BR150" i="17"/>
  <c r="BT155" i="17"/>
  <c r="BS155" i="17"/>
  <c r="V152" i="12"/>
  <c r="BU155" i="17"/>
  <c r="BR156" i="17"/>
  <c r="CD150" i="17"/>
  <c r="Y152" i="12"/>
  <c r="CG155" i="17"/>
  <c r="CF155" i="17"/>
  <c r="CE155" i="17"/>
  <c r="CD156" i="17"/>
  <c r="CH150" i="17"/>
  <c r="CJ155" i="17"/>
  <c r="CI155" i="17"/>
  <c r="Z152" i="12"/>
  <c r="CK155" i="17"/>
  <c r="CH156" i="17"/>
  <c r="J202" i="17"/>
  <c r="V202" i="17"/>
  <c r="AL202" i="17"/>
  <c r="BB202" i="17"/>
  <c r="BR207" i="17"/>
  <c r="BT212" i="17"/>
  <c r="BS212" i="17"/>
  <c r="BR213" i="17"/>
  <c r="V154" i="12"/>
  <c r="BU212" i="17"/>
  <c r="BQ203" i="17"/>
  <c r="CH207" i="17"/>
  <c r="CJ212" i="17"/>
  <c r="CI212" i="17"/>
  <c r="CH213" i="17"/>
  <c r="Z154" i="12"/>
  <c r="CK212" i="17"/>
  <c r="CG203" i="17"/>
  <c r="D273" i="2"/>
  <c r="D275" i="2"/>
  <c r="D274" i="2"/>
  <c r="AE81" i="11"/>
  <c r="K433" i="12"/>
  <c r="AX12" i="11"/>
  <c r="AY11" i="11"/>
  <c r="O273" i="12"/>
  <c r="O269" i="12"/>
  <c r="BA96" i="6"/>
  <c r="BF47" i="6"/>
  <c r="BF96" i="6" s="1"/>
  <c r="BS81" i="11"/>
  <c r="S433" i="12"/>
  <c r="AD10" i="8"/>
  <c r="AE10" i="8" s="1"/>
  <c r="AC23" i="8"/>
  <c r="M116" i="8"/>
  <c r="U116" i="8"/>
  <c r="L66" i="8"/>
  <c r="L55" i="8"/>
  <c r="N79" i="8"/>
  <c r="S70" i="8"/>
  <c r="V79" i="8"/>
  <c r="M66" i="8"/>
  <c r="M55" i="8"/>
  <c r="U66" i="8"/>
  <c r="U55" i="8"/>
  <c r="Y66" i="8"/>
  <c r="Y55" i="8"/>
  <c r="AA66" i="8"/>
  <c r="AA55" i="8"/>
  <c r="I204" i="8"/>
  <c r="K204" i="8"/>
  <c r="M204" i="8"/>
  <c r="O204" i="8"/>
  <c r="Q204" i="8"/>
  <c r="S204" i="8"/>
  <c r="U204" i="8"/>
  <c r="W204" i="8"/>
  <c r="Y204" i="8"/>
  <c r="Q376" i="7"/>
  <c r="Q355" i="7"/>
  <c r="Q193" i="7"/>
  <c r="Q187" i="7"/>
  <c r="Y376" i="7"/>
  <c r="Y355" i="7"/>
  <c r="Y193" i="7"/>
  <c r="Y187" i="7"/>
  <c r="Z195" i="8"/>
  <c r="Z202" i="8" s="1"/>
  <c r="EI30" i="6"/>
  <c r="EI79" i="6" s="1"/>
  <c r="AD202" i="7"/>
  <c r="AE202" i="7" s="1"/>
  <c r="AV207" i="2"/>
  <c r="I410" i="20"/>
  <c r="Z410" i="20" s="1"/>
  <c r="H382" i="20"/>
  <c r="Y382" i="20" s="1"/>
  <c r="I382" i="20"/>
  <c r="Z382" i="20" s="1"/>
  <c r="H410" i="20"/>
  <c r="Y410" i="20" s="1"/>
  <c r="H151" i="8"/>
  <c r="H158" i="8"/>
  <c r="L151" i="8"/>
  <c r="L158" i="8"/>
  <c r="P151" i="8"/>
  <c r="P158" i="8"/>
  <c r="T151" i="8"/>
  <c r="T158" i="8"/>
  <c r="X151" i="8"/>
  <c r="X158" i="8"/>
  <c r="Z428" i="7"/>
  <c r="Z39" i="7"/>
  <c r="AF67" i="6"/>
  <c r="BD67" i="6"/>
  <c r="BA18" i="6"/>
  <c r="CB67" i="6"/>
  <c r="BY18" i="6"/>
  <c r="CZ67" i="6"/>
  <c r="CW18" i="6"/>
  <c r="DX67" i="6"/>
  <c r="DU18" i="6"/>
  <c r="AA598" i="7"/>
  <c r="AA593" i="7"/>
  <c r="W245" i="7"/>
  <c r="G246" i="2"/>
  <c r="AD656" i="7"/>
  <c r="EP35" i="6"/>
  <c r="AD755" i="7"/>
  <c r="DA40" i="6"/>
  <c r="DA89" i="6" s="1"/>
  <c r="W787" i="7"/>
  <c r="W789" i="7" s="1"/>
  <c r="W790" i="7" s="1"/>
  <c r="W513" i="7"/>
  <c r="W502" i="7"/>
  <c r="O20" i="21"/>
  <c r="DX92" i="6"/>
  <c r="E225" i="2"/>
  <c r="EJ90" i="6"/>
  <c r="EP42" i="6"/>
  <c r="AD696" i="7"/>
  <c r="N186" i="7"/>
  <c r="N375" i="7"/>
  <c r="N354" i="7"/>
  <c r="N192" i="7"/>
  <c r="N183" i="7"/>
  <c r="R186" i="7"/>
  <c r="R375" i="7"/>
  <c r="R354" i="7"/>
  <c r="R192" i="7"/>
  <c r="R183" i="7"/>
  <c r="V186" i="7"/>
  <c r="V375" i="7"/>
  <c r="V354" i="7"/>
  <c r="V192" i="7"/>
  <c r="V183" i="7"/>
  <c r="Z186" i="7"/>
  <c r="Z375" i="7"/>
  <c r="Z354" i="7"/>
  <c r="Z192" i="7"/>
  <c r="Z183" i="7"/>
  <c r="I181" i="8"/>
  <c r="I174" i="8"/>
  <c r="I146" i="8"/>
  <c r="K199" i="8"/>
  <c r="K206" i="8" s="1"/>
  <c r="M181" i="8"/>
  <c r="M174" i="8"/>
  <c r="M146" i="8"/>
  <c r="O199" i="8"/>
  <c r="O206" i="8" s="1"/>
  <c r="Q181" i="8"/>
  <c r="Q174" i="8"/>
  <c r="Q146" i="8"/>
  <c r="S199" i="8"/>
  <c r="S206" i="8" s="1"/>
  <c r="U181" i="8"/>
  <c r="V174" i="8"/>
  <c r="U174" i="8"/>
  <c r="U146" i="8"/>
  <c r="V153" i="8" s="1"/>
  <c r="W199" i="8"/>
  <c r="W206" i="8" s="1"/>
  <c r="Y272" i="7"/>
  <c r="Y261" i="7"/>
  <c r="AA272" i="7"/>
  <c r="AA261" i="7"/>
  <c r="Z122" i="8"/>
  <c r="P228" i="7"/>
  <c r="U231" i="7"/>
  <c r="T228" i="7"/>
  <c r="Y231" i="7"/>
  <c r="AA231" i="7"/>
  <c r="EH24" i="6"/>
  <c r="AC706" i="7"/>
  <c r="AD256" i="7"/>
  <c r="AE256" i="7" s="1"/>
  <c r="M83" i="8"/>
  <c r="U83" i="8"/>
  <c r="Y160" i="8"/>
  <c r="AA160" i="8"/>
  <c r="K61" i="21"/>
  <c r="O61" i="21"/>
  <c r="L127" i="8"/>
  <c r="L130" i="8" s="1"/>
  <c r="P127" i="8"/>
  <c r="P130" i="8" s="1"/>
  <c r="T127" i="8"/>
  <c r="T130" i="8" s="1"/>
  <c r="X127" i="8"/>
  <c r="J106" i="17"/>
  <c r="Z106" i="17"/>
  <c r="AP106" i="17"/>
  <c r="BF106" i="17"/>
  <c r="E104" i="20"/>
  <c r="V104" i="20" s="1"/>
  <c r="AU116" i="2"/>
  <c r="I85" i="17"/>
  <c r="M85" i="17"/>
  <c r="Q85" i="17"/>
  <c r="U85" i="17"/>
  <c r="Y85" i="17"/>
  <c r="AC85" i="17"/>
  <c r="AG85" i="17"/>
  <c r="AK85" i="17"/>
  <c r="AO85" i="17"/>
  <c r="AS85" i="17"/>
  <c r="AW85" i="17"/>
  <c r="BA85" i="17"/>
  <c r="BE85" i="17"/>
  <c r="BI85" i="17"/>
  <c r="G105" i="20"/>
  <c r="X105" i="20" s="1"/>
  <c r="AW117" i="2"/>
  <c r="L12" i="17"/>
  <c r="N12" i="17"/>
  <c r="P12" i="17"/>
  <c r="R12" i="17"/>
  <c r="T12" i="17"/>
  <c r="V12" i="17"/>
  <c r="X12" i="17"/>
  <c r="Z12" i="17"/>
  <c r="AB12" i="17"/>
  <c r="AD12" i="17"/>
  <c r="AF12" i="17"/>
  <c r="AH12" i="17"/>
  <c r="AJ12" i="17"/>
  <c r="AL12" i="17"/>
  <c r="AN12" i="17"/>
  <c r="AP12" i="17"/>
  <c r="AR12" i="17"/>
  <c r="AT12" i="17"/>
  <c r="AV12" i="17"/>
  <c r="AX12" i="17"/>
  <c r="AZ12" i="17"/>
  <c r="BB12" i="17"/>
  <c r="BD12" i="17"/>
  <c r="BF12" i="17"/>
  <c r="BH12" i="17"/>
  <c r="BK170" i="17"/>
  <c r="F110" i="20"/>
  <c r="W110" i="20" s="1"/>
  <c r="AV121" i="2"/>
  <c r="H110" i="20"/>
  <c r="Y110" i="20" s="1"/>
  <c r="AX121" i="2"/>
  <c r="H239" i="17"/>
  <c r="L239" i="17"/>
  <c r="P239" i="17"/>
  <c r="T239" i="17"/>
  <c r="X239" i="17"/>
  <c r="AB239" i="17"/>
  <c r="AF239" i="17"/>
  <c r="AJ239" i="17"/>
  <c r="AN239" i="17"/>
  <c r="AR239" i="17"/>
  <c r="AV239" i="17"/>
  <c r="AZ239" i="17"/>
  <c r="BD239" i="17"/>
  <c r="BH239" i="17"/>
  <c r="CR248" i="17"/>
  <c r="CR246" i="17"/>
  <c r="CR247" i="17"/>
  <c r="H118" i="20"/>
  <c r="Y118" i="20" s="1"/>
  <c r="AX267" i="2"/>
  <c r="F119" i="20"/>
  <c r="W119" i="20" s="1"/>
  <c r="AV268" i="2"/>
  <c r="F121" i="20"/>
  <c r="W121" i="20" s="1"/>
  <c r="AV270" i="2"/>
  <c r="F120" i="20"/>
  <c r="W120" i="20" s="1"/>
  <c r="AV269" i="2"/>
  <c r="H120" i="20"/>
  <c r="Y120" i="20" s="1"/>
  <c r="AX269" i="2"/>
  <c r="H122" i="20"/>
  <c r="Y122" i="20" s="1"/>
  <c r="AX271" i="2"/>
  <c r="CP164" i="17"/>
  <c r="CN163" i="17"/>
  <c r="CO163" i="17" s="1"/>
  <c r="CP163" i="17" s="1"/>
  <c r="CQ163" i="17" s="1"/>
  <c r="CL180" i="17"/>
  <c r="CK168" i="17"/>
  <c r="BR61" i="17"/>
  <c r="BP60" i="17"/>
  <c r="BQ60" i="17" s="1"/>
  <c r="BR60" i="17" s="1"/>
  <c r="BS60" i="17" s="1"/>
  <c r="BR221" i="17"/>
  <c r="BP220" i="17"/>
  <c r="BQ220" i="17" s="1"/>
  <c r="BR220" i="17" s="1"/>
  <c r="BS220" i="17" s="1"/>
  <c r="P81" i="11"/>
  <c r="K96" i="6"/>
  <c r="AJ11" i="11"/>
  <c r="L273" i="12"/>
  <c r="L269" i="12"/>
  <c r="L433" i="12"/>
  <c r="BD81" i="11"/>
  <c r="BG96" i="6"/>
  <c r="BL47" i="6"/>
  <c r="BL96" i="6" s="1"/>
  <c r="BX11" i="11"/>
  <c r="T273" i="12"/>
  <c r="T269" i="12"/>
  <c r="T433" i="12"/>
  <c r="T12" i="11"/>
  <c r="W140" i="12"/>
  <c r="CK13" i="11"/>
  <c r="I253" i="8"/>
  <c r="I249" i="8"/>
  <c r="I250" i="8" s="1"/>
  <c r="M253" i="8"/>
  <c r="M249" i="8"/>
  <c r="M250" i="8" s="1"/>
  <c r="Q253" i="8"/>
  <c r="Q249" i="8"/>
  <c r="Q250" i="8" s="1"/>
  <c r="U253" i="8"/>
  <c r="U249" i="8"/>
  <c r="U250" i="8" s="1"/>
  <c r="Y253" i="8"/>
  <c r="Y249" i="8"/>
  <c r="Y250" i="8" s="1"/>
  <c r="Z338" i="12"/>
  <c r="Z301" i="12"/>
  <c r="Z306" i="12"/>
  <c r="L134" i="12"/>
  <c r="AF21" i="11" s="1"/>
  <c r="L165" i="12"/>
  <c r="AH7" i="11"/>
  <c r="T165" i="12"/>
  <c r="BV7" i="11"/>
  <c r="T134" i="12"/>
  <c r="BT21" i="11" s="1"/>
  <c r="CY123" i="11"/>
  <c r="CZ35" i="11"/>
  <c r="K135" i="12"/>
  <c r="AA22" i="11" s="1"/>
  <c r="K166" i="12"/>
  <c r="K165" i="12"/>
  <c r="K134" i="12"/>
  <c r="AA21" i="11" s="1"/>
  <c r="AC7" i="11"/>
  <c r="O165" i="12"/>
  <c r="O134" i="12"/>
  <c r="AU21" i="11" s="1"/>
  <c r="AW7" i="11"/>
  <c r="S165" i="12"/>
  <c r="S134" i="12"/>
  <c r="BO21" i="11" s="1"/>
  <c r="BQ7" i="11"/>
  <c r="W165" i="12"/>
  <c r="W134" i="12"/>
  <c r="CI21" i="11" s="1"/>
  <c r="CK7" i="11"/>
  <c r="AA165" i="12"/>
  <c r="C101" i="2" s="1"/>
  <c r="AT101" i="2" s="1"/>
  <c r="AA134" i="12"/>
  <c r="DC21" i="11" s="1"/>
  <c r="DE7" i="11"/>
  <c r="DI7" i="11" s="1"/>
  <c r="AB165" i="12" s="1"/>
  <c r="Z140" i="12"/>
  <c r="CZ13" i="11"/>
  <c r="H253" i="8"/>
  <c r="H249" i="8"/>
  <c r="H250" i="8" s="1"/>
  <c r="H254" i="8" s="1"/>
  <c r="L253" i="8"/>
  <c r="L249" i="8"/>
  <c r="L250" i="8" s="1"/>
  <c r="P253" i="8"/>
  <c r="P249" i="8"/>
  <c r="P250" i="8" s="1"/>
  <c r="T253" i="8"/>
  <c r="T249" i="8"/>
  <c r="T250" i="8" s="1"/>
  <c r="X253" i="8"/>
  <c r="X249" i="8"/>
  <c r="X250" i="8" s="1"/>
  <c r="AB253" i="8"/>
  <c r="AB249" i="8"/>
  <c r="C197" i="2"/>
  <c r="AT197" i="2" s="1"/>
  <c r="I198" i="8"/>
  <c r="I205" i="8" s="1"/>
  <c r="M198" i="8"/>
  <c r="M205" i="8" s="1"/>
  <c r="Q198" i="8"/>
  <c r="Q205" i="8" s="1"/>
  <c r="U198" i="8"/>
  <c r="U205" i="8" s="1"/>
  <c r="K116" i="8"/>
  <c r="N66" i="8"/>
  <c r="N55" i="8"/>
  <c r="V66" i="8"/>
  <c r="V55" i="8"/>
  <c r="L89" i="21"/>
  <c r="M85" i="21"/>
  <c r="M84" i="21"/>
  <c r="H159" i="8"/>
  <c r="H152" i="8"/>
  <c r="J159" i="8"/>
  <c r="J152" i="8"/>
  <c r="L159" i="8"/>
  <c r="L152" i="8"/>
  <c r="N159" i="8"/>
  <c r="N152" i="8"/>
  <c r="P159" i="8"/>
  <c r="P152" i="8"/>
  <c r="R159" i="8"/>
  <c r="R152" i="8"/>
  <c r="T159" i="8"/>
  <c r="T152" i="8"/>
  <c r="V159" i="8"/>
  <c r="V152" i="8"/>
  <c r="X159" i="8"/>
  <c r="X152" i="8"/>
  <c r="R376" i="7"/>
  <c r="R355" i="7"/>
  <c r="R193" i="7"/>
  <c r="R187" i="7"/>
  <c r="EI9" i="6"/>
  <c r="EI58" i="6" s="1"/>
  <c r="AD10" i="7"/>
  <c r="AE10" i="7" s="1"/>
  <c r="AV202" i="2"/>
  <c r="H377" i="20"/>
  <c r="Y377" i="20" s="1"/>
  <c r="I377" i="20"/>
  <c r="Z377" i="20" s="1"/>
  <c r="M202" i="8"/>
  <c r="U237" i="7"/>
  <c r="M668" i="7"/>
  <c r="O668" i="7"/>
  <c r="Q668" i="7"/>
  <c r="S668" i="7"/>
  <c r="U668" i="7"/>
  <c r="AA158" i="8"/>
  <c r="AB117" i="8"/>
  <c r="AB38" i="7"/>
  <c r="AB39" i="7" s="1"/>
  <c r="AB35" i="7"/>
  <c r="Z67" i="6"/>
  <c r="W18" i="6"/>
  <c r="AX67" i="6"/>
  <c r="AU18" i="6"/>
  <c r="BV67" i="6"/>
  <c r="BS18" i="6"/>
  <c r="CT67" i="6"/>
  <c r="CQ18" i="6"/>
  <c r="DR67" i="6"/>
  <c r="DO18" i="6"/>
  <c r="EP19" i="6"/>
  <c r="AD746" i="7"/>
  <c r="EJ68" i="6"/>
  <c r="N588" i="7"/>
  <c r="N169" i="7"/>
  <c r="R588" i="7"/>
  <c r="S593" i="7" s="1"/>
  <c r="R169" i="7"/>
  <c r="V593" i="7"/>
  <c r="V598" i="7"/>
  <c r="G222" i="2"/>
  <c r="EP21" i="6"/>
  <c r="AD658" i="7"/>
  <c r="AD163" i="7"/>
  <c r="G216" i="2"/>
  <c r="EP25" i="6"/>
  <c r="AD694" i="7"/>
  <c r="AD255" i="7"/>
  <c r="F215" i="2" s="1"/>
  <c r="AV215" i="2"/>
  <c r="I411" i="20"/>
  <c r="Z411" i="20" s="1"/>
  <c r="H411" i="20"/>
  <c r="Y411" i="20" s="1"/>
  <c r="EP33" i="6"/>
  <c r="AD754" i="7"/>
  <c r="CT92" i="6"/>
  <c r="CT40" i="6"/>
  <c r="CZ89" i="6" s="1"/>
  <c r="DG40" i="6"/>
  <c r="X787" i="7"/>
  <c r="X789" i="7" s="1"/>
  <c r="X790" i="7" s="1"/>
  <c r="X513" i="7"/>
  <c r="X502" i="7"/>
  <c r="P20" i="21"/>
  <c r="ED40" i="6"/>
  <c r="ED92" i="6"/>
  <c r="AC40" i="6"/>
  <c r="BY40" i="6"/>
  <c r="L764" i="7"/>
  <c r="L765" i="7" s="1"/>
  <c r="L663" i="7"/>
  <c r="L677" i="7" s="1"/>
  <c r="P764" i="7"/>
  <c r="P765" i="7" s="1"/>
  <c r="P663" i="7"/>
  <c r="P677" i="7" s="1"/>
  <c r="T764" i="7"/>
  <c r="T765" i="7" s="1"/>
  <c r="T663" i="7"/>
  <c r="T677" i="7" s="1"/>
  <c r="X764" i="7"/>
  <c r="X765" i="7" s="1"/>
  <c r="X663" i="7"/>
  <c r="X677" i="7" s="1"/>
  <c r="AB663" i="7"/>
  <c r="AA375" i="7"/>
  <c r="AA458" i="7" s="1"/>
  <c r="AA563" i="7" s="1"/>
  <c r="AA354" i="7"/>
  <c r="AA192" i="7"/>
  <c r="AA183" i="7"/>
  <c r="AA186" i="7"/>
  <c r="J174" i="8"/>
  <c r="J146" i="8"/>
  <c r="J181" i="8"/>
  <c r="N174" i="8"/>
  <c r="N146" i="8"/>
  <c r="N181" i="8"/>
  <c r="N272" i="7"/>
  <c r="N261" i="7"/>
  <c r="R174" i="8"/>
  <c r="R146" i="8"/>
  <c r="R181" i="8"/>
  <c r="R272" i="7"/>
  <c r="R261" i="7"/>
  <c r="C191" i="2"/>
  <c r="AT191" i="2" s="1"/>
  <c r="EH32" i="6"/>
  <c r="AC713" i="7"/>
  <c r="AD298" i="7"/>
  <c r="AE298" i="7" s="1"/>
  <c r="DB45" i="6"/>
  <c r="DB94" i="6" s="1"/>
  <c r="DA94" i="6"/>
  <c r="DN45" i="6"/>
  <c r="DN94" i="6" s="1"/>
  <c r="DM94" i="6"/>
  <c r="DZ45" i="6"/>
  <c r="DZ94" i="6" s="1"/>
  <c r="DY94" i="6"/>
  <c r="S791" i="7"/>
  <c r="AC59" i="8"/>
  <c r="AD31" i="8"/>
  <c r="CR101" i="17"/>
  <c r="CR32" i="17"/>
  <c r="CR34" i="17"/>
  <c r="N185" i="17"/>
  <c r="L89" i="11" s="1"/>
  <c r="H153" i="12"/>
  <c r="M173" i="17"/>
  <c r="R185" i="17"/>
  <c r="Q89" i="11" s="1"/>
  <c r="I153" i="12"/>
  <c r="Q173" i="17"/>
  <c r="Q190" i="17"/>
  <c r="V185" i="17"/>
  <c r="V89" i="11" s="1"/>
  <c r="J153" i="12"/>
  <c r="U173" i="17"/>
  <c r="U190" i="17"/>
  <c r="Z185" i="17"/>
  <c r="AA89" i="11" s="1"/>
  <c r="Y173" i="17"/>
  <c r="K153" i="12"/>
  <c r="Y190" i="17"/>
  <c r="AD185" i="17"/>
  <c r="AF89" i="11" s="1"/>
  <c r="L153" i="12"/>
  <c r="AC173" i="17"/>
  <c r="AC190" i="17"/>
  <c r="AH185" i="17"/>
  <c r="AK89" i="11" s="1"/>
  <c r="M153" i="12"/>
  <c r="AG173" i="17"/>
  <c r="AG190" i="17"/>
  <c r="AL185" i="17"/>
  <c r="AP89" i="11" s="1"/>
  <c r="N153" i="12"/>
  <c r="AK173" i="17"/>
  <c r="AK190" i="17"/>
  <c r="AP185" i="17"/>
  <c r="AU89" i="11" s="1"/>
  <c r="AO173" i="17"/>
  <c r="O153" i="12"/>
  <c r="AO190" i="17"/>
  <c r="AT185" i="17"/>
  <c r="AZ89" i="11" s="1"/>
  <c r="P153" i="12"/>
  <c r="AS173" i="17"/>
  <c r="AS190" i="17"/>
  <c r="AX185" i="17"/>
  <c r="BE89" i="11" s="1"/>
  <c r="Q153" i="12"/>
  <c r="AW173" i="17"/>
  <c r="AW190" i="17"/>
  <c r="BB185" i="17"/>
  <c r="BJ89" i="11" s="1"/>
  <c r="R153" i="12"/>
  <c r="BA173" i="17"/>
  <c r="BA190" i="17"/>
  <c r="BF185" i="17"/>
  <c r="BO89" i="11" s="1"/>
  <c r="BE173" i="17"/>
  <c r="S153" i="12"/>
  <c r="BE190" i="17"/>
  <c r="BJ185" i="17"/>
  <c r="BT89" i="11" s="1"/>
  <c r="T153" i="12"/>
  <c r="BK190" i="17"/>
  <c r="BL190" i="17"/>
  <c r="BM190" i="17"/>
  <c r="BI173" i="17"/>
  <c r="BI190" i="17"/>
  <c r="BK240" i="17"/>
  <c r="R202" i="17"/>
  <c r="AH202" i="17"/>
  <c r="AX202" i="17"/>
  <c r="BQ212" i="17"/>
  <c r="BP212" i="17"/>
  <c r="BM203" i="17"/>
  <c r="U154" i="12"/>
  <c r="BO212" i="17"/>
  <c r="BN213" i="17"/>
  <c r="CD207" i="17"/>
  <c r="CG212" i="17"/>
  <c r="CF212" i="17"/>
  <c r="CC203" i="17"/>
  <c r="Y154" i="12"/>
  <c r="CE212" i="17"/>
  <c r="CD213" i="17"/>
  <c r="BW121" i="17"/>
  <c r="BW17" i="17"/>
  <c r="C272" i="2"/>
  <c r="AT272" i="2" s="1"/>
  <c r="D272" i="2"/>
  <c r="C273" i="2"/>
  <c r="AT273" i="2" s="1"/>
  <c r="E273" i="2"/>
  <c r="C275" i="2"/>
  <c r="AT275" i="2" s="1"/>
  <c r="C274" i="2"/>
  <c r="AT274" i="2" s="1"/>
  <c r="C276" i="2"/>
  <c r="AT276" i="2" s="1"/>
  <c r="D276" i="2"/>
  <c r="I273" i="12"/>
  <c r="I269" i="12"/>
  <c r="Q96" i="6"/>
  <c r="V47" i="6"/>
  <c r="V96" i="6" s="1"/>
  <c r="Q273" i="12"/>
  <c r="Q269" i="12"/>
  <c r="BM96" i="6"/>
  <c r="BR47" i="6"/>
  <c r="BR96" i="6" s="1"/>
  <c r="P70" i="8"/>
  <c r="X70" i="8"/>
  <c r="H66" i="8"/>
  <c r="H55" i="8"/>
  <c r="P66" i="8"/>
  <c r="P55" i="8"/>
  <c r="X66" i="8"/>
  <c r="X55" i="8"/>
  <c r="AD7" i="8"/>
  <c r="AE7" i="8" s="1"/>
  <c r="AC22" i="8"/>
  <c r="AV176" i="2"/>
  <c r="G304" i="20"/>
  <c r="X304" i="20" s="1"/>
  <c r="H304" i="20"/>
  <c r="Y304" i="20" s="1"/>
  <c r="H79" i="8"/>
  <c r="Q70" i="8"/>
  <c r="U70" i="8"/>
  <c r="Y70" i="8"/>
  <c r="Z79" i="8"/>
  <c r="AA84" i="8" s="1"/>
  <c r="I178" i="8"/>
  <c r="I171" i="8"/>
  <c r="I143" i="8"/>
  <c r="K178" i="8"/>
  <c r="K171" i="8"/>
  <c r="K143" i="8"/>
  <c r="M178" i="8"/>
  <c r="M171" i="8"/>
  <c r="M143" i="8"/>
  <c r="O178" i="8"/>
  <c r="O171" i="8"/>
  <c r="O143" i="8"/>
  <c r="Q178" i="8"/>
  <c r="Q171" i="8"/>
  <c r="Q143" i="8"/>
  <c r="S178" i="8"/>
  <c r="S171" i="8"/>
  <c r="S143" i="8"/>
  <c r="U178" i="8"/>
  <c r="U171" i="8"/>
  <c r="U143" i="8"/>
  <c r="W178" i="8"/>
  <c r="W171" i="8"/>
  <c r="W143" i="8"/>
  <c r="Y169" i="8"/>
  <c r="S376" i="7"/>
  <c r="S355" i="7"/>
  <c r="S193" i="7"/>
  <c r="S187" i="7"/>
  <c r="EI10" i="6"/>
  <c r="EI59" i="6" s="1"/>
  <c r="AD47" i="7"/>
  <c r="AE47" i="7" s="1"/>
  <c r="AV201" i="2"/>
  <c r="I376" i="20"/>
  <c r="Z376" i="20" s="1"/>
  <c r="H376" i="20"/>
  <c r="Y376" i="20" s="1"/>
  <c r="R195" i="8"/>
  <c r="R202" i="8" s="1"/>
  <c r="T239" i="7"/>
  <c r="X237" i="7"/>
  <c r="EI32" i="6"/>
  <c r="EI81" i="6" s="1"/>
  <c r="AC730" i="7"/>
  <c r="AD299" i="7"/>
  <c r="AE299" i="7" s="1"/>
  <c r="EI33" i="6"/>
  <c r="EI82" i="6" s="1"/>
  <c r="AC731" i="7"/>
  <c r="AD325" i="7"/>
  <c r="AE325" i="7" s="1"/>
  <c r="L188" i="7"/>
  <c r="L377" i="7"/>
  <c r="L356" i="7"/>
  <c r="L194" i="7"/>
  <c r="N188" i="7"/>
  <c r="N377" i="7"/>
  <c r="N356" i="7"/>
  <c r="N194" i="7"/>
  <c r="P188" i="7"/>
  <c r="P377" i="7"/>
  <c r="P356" i="7"/>
  <c r="P194" i="7"/>
  <c r="R188" i="7"/>
  <c r="R377" i="7"/>
  <c r="R356" i="7"/>
  <c r="R194" i="7"/>
  <c r="T188" i="7"/>
  <c r="T377" i="7"/>
  <c r="T356" i="7"/>
  <c r="T194" i="7"/>
  <c r="V188" i="7"/>
  <c r="V377" i="7"/>
  <c r="V356" i="7"/>
  <c r="V194" i="7"/>
  <c r="X188" i="7"/>
  <c r="X377" i="7"/>
  <c r="X356" i="7"/>
  <c r="X194" i="7"/>
  <c r="Z188" i="7"/>
  <c r="Z377" i="7"/>
  <c r="Z356" i="7"/>
  <c r="Z194" i="7"/>
  <c r="L668" i="7"/>
  <c r="N668" i="7"/>
  <c r="P668" i="7"/>
  <c r="R668" i="7"/>
  <c r="T668" i="7"/>
  <c r="V428" i="7"/>
  <c r="X668" i="7"/>
  <c r="Z151" i="8"/>
  <c r="Z158" i="8"/>
  <c r="X37" i="7"/>
  <c r="O660" i="7"/>
  <c r="O674" i="7" s="1"/>
  <c r="S660" i="7"/>
  <c r="S674" i="7" s="1"/>
  <c r="W660" i="7"/>
  <c r="W674" i="7" s="1"/>
  <c r="D224" i="2"/>
  <c r="AA660" i="7"/>
  <c r="AA674" i="7" s="1"/>
  <c r="O588" i="7"/>
  <c r="O169" i="7"/>
  <c r="S598" i="7"/>
  <c r="W598" i="7"/>
  <c r="W593" i="7"/>
  <c r="U245" i="7"/>
  <c r="Y245" i="7"/>
  <c r="Z292" i="7"/>
  <c r="AB292" i="7"/>
  <c r="T92" i="6"/>
  <c r="AR92" i="6"/>
  <c r="BP92" i="6"/>
  <c r="CN92" i="6"/>
  <c r="DL92" i="6"/>
  <c r="DY40" i="6"/>
  <c r="AA787" i="7"/>
  <c r="AA789" i="7" s="1"/>
  <c r="AA790" i="7" s="1"/>
  <c r="AA513" i="7"/>
  <c r="AA502" i="7"/>
  <c r="S20" i="21"/>
  <c r="M764" i="7"/>
  <c r="M765" i="7" s="1"/>
  <c r="M663" i="7"/>
  <c r="M677" i="7" s="1"/>
  <c r="Q764" i="7"/>
  <c r="Q765" i="7" s="1"/>
  <c r="Q663" i="7"/>
  <c r="Q677" i="7" s="1"/>
  <c r="U764" i="7"/>
  <c r="U765" i="7" s="1"/>
  <c r="U663" i="7"/>
  <c r="U677" i="7" s="1"/>
  <c r="Y764" i="7"/>
  <c r="Y765" i="7" s="1"/>
  <c r="Y663" i="7"/>
  <c r="Y677" i="7" s="1"/>
  <c r="G181" i="8"/>
  <c r="G146" i="8"/>
  <c r="G160" i="8" s="1"/>
  <c r="K147" i="8"/>
  <c r="O272" i="7"/>
  <c r="O261" i="7"/>
  <c r="S272" i="7"/>
  <c r="S261" i="7"/>
  <c r="J122" i="8"/>
  <c r="N122" i="8"/>
  <c r="R122" i="8"/>
  <c r="V122" i="8"/>
  <c r="EH28" i="6"/>
  <c r="AC708" i="7"/>
  <c r="AD324" i="7"/>
  <c r="AE324" i="7" s="1"/>
  <c r="N119" i="8"/>
  <c r="V119" i="8"/>
  <c r="I61" i="21"/>
  <c r="EK18" i="6"/>
  <c r="EK67" i="6" s="1"/>
  <c r="AC771" i="7"/>
  <c r="AD142" i="7"/>
  <c r="AE142" i="7" s="1"/>
  <c r="AC140" i="7"/>
  <c r="U17" i="21" s="1"/>
  <c r="N106" i="17"/>
  <c r="V106" i="17"/>
  <c r="AD106" i="17"/>
  <c r="AL106" i="17"/>
  <c r="AT106" i="17"/>
  <c r="K93" i="17"/>
  <c r="N88" i="17"/>
  <c r="L66" i="11" s="1"/>
  <c r="M73" i="17"/>
  <c r="H149" i="12"/>
  <c r="L93" i="17"/>
  <c r="R88" i="17"/>
  <c r="Q66" i="11" s="1"/>
  <c r="I149" i="12"/>
  <c r="Q73" i="17"/>
  <c r="P93" i="17"/>
  <c r="O93" i="17"/>
  <c r="S93" i="17"/>
  <c r="V88" i="17"/>
  <c r="V66" i="11" s="1"/>
  <c r="U73" i="17"/>
  <c r="J149" i="12"/>
  <c r="T93" i="17"/>
  <c r="Z88" i="17"/>
  <c r="AA66" i="11" s="1"/>
  <c r="K149" i="12"/>
  <c r="Y73" i="17"/>
  <c r="X93" i="17"/>
  <c r="W93" i="17"/>
  <c r="AA93" i="17"/>
  <c r="AD88" i="17"/>
  <c r="AF66" i="11" s="1"/>
  <c r="AC73" i="17"/>
  <c r="L149" i="12"/>
  <c r="AB93" i="17"/>
  <c r="AH88" i="17"/>
  <c r="AK66" i="11" s="1"/>
  <c r="M149" i="12"/>
  <c r="AG73" i="17"/>
  <c r="AF93" i="17"/>
  <c r="AE93" i="17"/>
  <c r="AI93" i="17"/>
  <c r="AL88" i="17"/>
  <c r="AP66" i="11" s="1"/>
  <c r="AK73" i="17"/>
  <c r="N149" i="12"/>
  <c r="AJ93" i="17"/>
  <c r="AP88" i="17"/>
  <c r="AU66" i="11" s="1"/>
  <c r="O149" i="12"/>
  <c r="AO73" i="17"/>
  <c r="AN93" i="17"/>
  <c r="AM93" i="17"/>
  <c r="AQ93" i="17"/>
  <c r="AT88" i="17"/>
  <c r="AZ66" i="11" s="1"/>
  <c r="AS73" i="17"/>
  <c r="P149" i="12"/>
  <c r="AR93" i="17"/>
  <c r="AX88" i="17"/>
  <c r="BE66" i="11" s="1"/>
  <c r="Q149" i="12"/>
  <c r="AW73" i="17"/>
  <c r="AV93" i="17"/>
  <c r="AU93" i="17"/>
  <c r="AY93" i="17"/>
  <c r="BB88" i="17"/>
  <c r="BJ66" i="11" s="1"/>
  <c r="BA73" i="17"/>
  <c r="R149" i="12"/>
  <c r="AZ93" i="17"/>
  <c r="BF88" i="17"/>
  <c r="BO66" i="11" s="1"/>
  <c r="S149" i="12"/>
  <c r="BE73" i="17"/>
  <c r="BD93" i="17"/>
  <c r="BC93" i="17"/>
  <c r="BG93" i="17"/>
  <c r="BJ88" i="17"/>
  <c r="BT66" i="11" s="1"/>
  <c r="BM93" i="17"/>
  <c r="BI73" i="17"/>
  <c r="T149" i="12"/>
  <c r="BK93" i="17"/>
  <c r="BL93" i="17"/>
  <c r="BH93" i="17"/>
  <c r="E105" i="20"/>
  <c r="V105" i="20" s="1"/>
  <c r="AU117" i="2"/>
  <c r="R191" i="17"/>
  <c r="Z191" i="17"/>
  <c r="AH191" i="17"/>
  <c r="AP191" i="17"/>
  <c r="AX191" i="17"/>
  <c r="BF191" i="17"/>
  <c r="CR189" i="17"/>
  <c r="CR199" i="17"/>
  <c r="CR191" i="17"/>
  <c r="CR190" i="17"/>
  <c r="F118" i="20"/>
  <c r="W118" i="20" s="1"/>
  <c r="AV267" i="2"/>
  <c r="H119" i="20"/>
  <c r="Y119" i="20" s="1"/>
  <c r="AX268" i="2"/>
  <c r="H121" i="20"/>
  <c r="Y121" i="20" s="1"/>
  <c r="AX270" i="2"/>
  <c r="F122" i="20"/>
  <c r="W122" i="20" s="1"/>
  <c r="AV271" i="2"/>
  <c r="BR67" i="17"/>
  <c r="BP66" i="17"/>
  <c r="BQ66" i="17" s="1"/>
  <c r="BR66" i="17" s="1"/>
  <c r="BS66" i="17" s="1"/>
  <c r="BR224" i="17"/>
  <c r="BP223" i="17"/>
  <c r="BQ223" i="17" s="1"/>
  <c r="BR223" i="17" s="1"/>
  <c r="BS223" i="17" s="1"/>
  <c r="Z81" i="11"/>
  <c r="W96" i="6"/>
  <c r="AT11" i="11"/>
  <c r="N273" i="12"/>
  <c r="N269" i="12"/>
  <c r="N433" i="12"/>
  <c r="BN81" i="11"/>
  <c r="BX47" i="6"/>
  <c r="BX96" i="6" s="1"/>
  <c r="BS96" i="6"/>
  <c r="CH11" i="11"/>
  <c r="CM11" i="11"/>
  <c r="V273" i="12"/>
  <c r="V269" i="12"/>
  <c r="V433" i="12"/>
  <c r="CJ45" i="6"/>
  <c r="CJ94" i="6" s="1"/>
  <c r="DH45" i="6"/>
  <c r="DH94" i="6" s="1"/>
  <c r="S135" i="12"/>
  <c r="BO22" i="11" s="1"/>
  <c r="S166" i="12"/>
  <c r="AA135" i="12"/>
  <c r="DC22" i="11" s="1"/>
  <c r="AA166" i="12"/>
  <c r="I146" i="17"/>
  <c r="Y140" i="12"/>
  <c r="CU13" i="11"/>
  <c r="H142" i="12"/>
  <c r="L29" i="11" s="1"/>
  <c r="N15" i="11"/>
  <c r="L142" i="12"/>
  <c r="AF29" i="11" s="1"/>
  <c r="AH15" i="11"/>
  <c r="N142" i="12"/>
  <c r="AP29" i="11" s="1"/>
  <c r="AR15" i="11"/>
  <c r="T142" i="12"/>
  <c r="BT29" i="11" s="1"/>
  <c r="BV15" i="11"/>
  <c r="V142" i="12"/>
  <c r="CD29" i="11" s="1"/>
  <c r="CF15" i="11"/>
  <c r="Z142" i="12"/>
  <c r="CX29" i="11" s="1"/>
  <c r="CZ15" i="11"/>
  <c r="CH85" i="6"/>
  <c r="CE36" i="6"/>
  <c r="CN85" i="6"/>
  <c r="EA36" i="6"/>
  <c r="ED85" i="6"/>
  <c r="AB338" i="12"/>
  <c r="AB301" i="12"/>
  <c r="AB306" i="12"/>
  <c r="BM65" i="17"/>
  <c r="X140" i="12"/>
  <c r="CP13" i="11"/>
  <c r="AC103" i="11"/>
  <c r="K106" i="12"/>
  <c r="O106" i="12"/>
  <c r="AW103" i="11"/>
  <c r="AK116" i="11"/>
  <c r="AL116" i="11" s="1"/>
  <c r="AM116" i="11" s="1"/>
  <c r="AL17" i="11"/>
  <c r="AU116" i="11"/>
  <c r="AV116" i="11" s="1"/>
  <c r="AW116" i="11" s="1"/>
  <c r="AV17" i="11"/>
  <c r="BE116" i="11"/>
  <c r="BF116" i="11" s="1"/>
  <c r="BG116" i="11" s="1"/>
  <c r="BF17" i="11"/>
  <c r="BO116" i="11"/>
  <c r="BP116" i="11" s="1"/>
  <c r="BQ116" i="11" s="1"/>
  <c r="BP17" i="11"/>
  <c r="BY116" i="11"/>
  <c r="BZ116" i="11" s="1"/>
  <c r="CA116" i="11" s="1"/>
  <c r="BZ17" i="11"/>
  <c r="CI116" i="11"/>
  <c r="CJ116" i="11" s="1"/>
  <c r="CK116" i="11" s="1"/>
  <c r="CJ17" i="11"/>
  <c r="CS116" i="11"/>
  <c r="CT116" i="11" s="1"/>
  <c r="CU116" i="11" s="1"/>
  <c r="CT17" i="11"/>
  <c r="W273" i="12"/>
  <c r="AA568" i="7"/>
  <c r="AA569" i="7" s="1"/>
  <c r="C210" i="2"/>
  <c r="AT210" i="2" s="1"/>
  <c r="J198" i="8"/>
  <c r="J205" i="8" s="1"/>
  <c r="N198" i="8"/>
  <c r="N205" i="8" s="1"/>
  <c r="R198" i="8"/>
  <c r="R205" i="8" s="1"/>
  <c r="V198" i="8"/>
  <c r="V205" i="8" s="1"/>
  <c r="C240" i="2"/>
  <c r="Z774" i="7"/>
  <c r="Z464" i="12"/>
  <c r="O773" i="7"/>
  <c r="O774" i="7" s="1"/>
  <c r="W774" i="7"/>
  <c r="W464" i="12"/>
  <c r="W471" i="12" s="1"/>
  <c r="V70" i="8"/>
  <c r="AA116" i="8"/>
  <c r="R66" i="8"/>
  <c r="R55" i="8"/>
  <c r="I85" i="21"/>
  <c r="I84" i="21"/>
  <c r="Z143" i="8"/>
  <c r="Z108" i="8" s="1"/>
  <c r="Z178" i="8"/>
  <c r="Z171" i="8"/>
  <c r="Z169" i="8"/>
  <c r="G151" i="2"/>
  <c r="EM7" i="6"/>
  <c r="DU118" i="11"/>
  <c r="P376" i="7"/>
  <c r="P355" i="7"/>
  <c r="P193" i="7"/>
  <c r="P187" i="7"/>
  <c r="X376" i="7"/>
  <c r="X355" i="7"/>
  <c r="X193" i="7"/>
  <c r="X187" i="7"/>
  <c r="I202" i="8"/>
  <c r="AA239" i="7"/>
  <c r="EI28" i="6"/>
  <c r="EI77" i="6" s="1"/>
  <c r="AC729" i="7"/>
  <c r="AD326" i="7"/>
  <c r="AE326" i="7" s="1"/>
  <c r="EB35" i="6"/>
  <c r="AB402" i="7"/>
  <c r="EI35" i="6"/>
  <c r="EI84" i="6" s="1"/>
  <c r="AD397" i="7"/>
  <c r="AE397" i="7" s="1"/>
  <c r="M123" i="7"/>
  <c r="M448" i="7"/>
  <c r="M437" i="7"/>
  <c r="O123" i="7"/>
  <c r="O448" i="7"/>
  <c r="O437" i="7"/>
  <c r="Q123" i="7"/>
  <c r="Q448" i="7"/>
  <c r="Q437" i="7"/>
  <c r="S123" i="7"/>
  <c r="S448" i="7"/>
  <c r="S437" i="7"/>
  <c r="U123" i="7"/>
  <c r="U448" i="7"/>
  <c r="U437" i="7"/>
  <c r="W123" i="7"/>
  <c r="W448" i="7"/>
  <c r="W437" i="7"/>
  <c r="Y123" i="7"/>
  <c r="Y448" i="7"/>
  <c r="Y437" i="7"/>
  <c r="AA123" i="7"/>
  <c r="AA448" i="7"/>
  <c r="AA437" i="7"/>
  <c r="I158" i="8"/>
  <c r="I151" i="8"/>
  <c r="M158" i="8"/>
  <c r="M151" i="8"/>
  <c r="Q158" i="8"/>
  <c r="Q151" i="8"/>
  <c r="U158" i="8"/>
  <c r="U151" i="8"/>
  <c r="Y158" i="8"/>
  <c r="Y151" i="8"/>
  <c r="AA668" i="7"/>
  <c r="Y37" i="7"/>
  <c r="O628" i="7"/>
  <c r="S628" i="7"/>
  <c r="W628" i="7"/>
  <c r="D217" i="2"/>
  <c r="AA628" i="7"/>
  <c r="AB588" i="7"/>
  <c r="AC164" i="7"/>
  <c r="AC165" i="7" s="1"/>
  <c r="AF69" i="6"/>
  <c r="Z69" i="6"/>
  <c r="BD69" i="6"/>
  <c r="AX69" i="6"/>
  <c r="CB69" i="6"/>
  <c r="BV69" i="6"/>
  <c r="CZ69" i="6"/>
  <c r="CT69" i="6"/>
  <c r="DX69" i="6"/>
  <c r="DR69" i="6"/>
  <c r="V245" i="7"/>
  <c r="Z245" i="7"/>
  <c r="EP30" i="6"/>
  <c r="AD753" i="7"/>
  <c r="S292" i="7"/>
  <c r="U292" i="7"/>
  <c r="W292" i="7"/>
  <c r="Y292" i="7"/>
  <c r="AA292" i="7"/>
  <c r="DR92" i="6"/>
  <c r="DR40" i="6"/>
  <c r="DX89" i="6" s="1"/>
  <c r="Z491" i="7"/>
  <c r="AR40" i="6"/>
  <c r="CN40" i="6"/>
  <c r="DU40" i="6"/>
  <c r="EP45" i="6"/>
  <c r="AD761" i="7"/>
  <c r="M375" i="7"/>
  <c r="M354" i="7"/>
  <c r="M192" i="7"/>
  <c r="M183" i="7"/>
  <c r="M186" i="7"/>
  <c r="Q375" i="7"/>
  <c r="Q354" i="7"/>
  <c r="Q192" i="7"/>
  <c r="Q183" i="7"/>
  <c r="Q186" i="7"/>
  <c r="U375" i="7"/>
  <c r="U354" i="7"/>
  <c r="U192" i="7"/>
  <c r="U183" i="7"/>
  <c r="U186" i="7"/>
  <c r="Y375" i="7"/>
  <c r="Y354" i="7"/>
  <c r="Y192" i="7"/>
  <c r="Y183" i="7"/>
  <c r="Y186" i="7"/>
  <c r="H174" i="8"/>
  <c r="H146" i="8"/>
  <c r="H181" i="8"/>
  <c r="P174" i="8"/>
  <c r="P146" i="8"/>
  <c r="P181" i="8"/>
  <c r="P272" i="7"/>
  <c r="P261" i="7"/>
  <c r="T231" i="7"/>
  <c r="X231" i="7"/>
  <c r="EH33" i="6"/>
  <c r="AC714" i="7"/>
  <c r="AC329" i="7"/>
  <c r="AD323" i="7"/>
  <c r="AE323" i="7" s="1"/>
  <c r="AB330" i="7"/>
  <c r="V160" i="8"/>
  <c r="L61" i="21"/>
  <c r="P61" i="21"/>
  <c r="Q791" i="7"/>
  <c r="H103" i="20"/>
  <c r="Y103" i="20" s="1"/>
  <c r="AX115" i="2"/>
  <c r="R94" i="17"/>
  <c r="Z94" i="17"/>
  <c r="AH94" i="17"/>
  <c r="AP94" i="17"/>
  <c r="AX94" i="17"/>
  <c r="BF94" i="17"/>
  <c r="BN185" i="17"/>
  <c r="BY89" i="11" s="1"/>
  <c r="N242" i="17"/>
  <c r="L104" i="11" s="1"/>
  <c r="H155" i="12"/>
  <c r="M230" i="17"/>
  <c r="R242" i="17"/>
  <c r="Q104" i="11" s="1"/>
  <c r="Q230" i="17"/>
  <c r="I155" i="12"/>
  <c r="O247" i="17"/>
  <c r="V242" i="17"/>
  <c r="V104" i="11" s="1"/>
  <c r="J155" i="12"/>
  <c r="U230" i="17"/>
  <c r="U247" i="17"/>
  <c r="W247" i="17"/>
  <c r="Y247" i="17"/>
  <c r="AD242" i="17"/>
  <c r="AF104" i="11" s="1"/>
  <c r="L155" i="12"/>
  <c r="AC230" i="17"/>
  <c r="AC247" i="17"/>
  <c r="AH242" i="17"/>
  <c r="AK104" i="11" s="1"/>
  <c r="AG230" i="17"/>
  <c r="M155" i="12"/>
  <c r="AE247" i="17"/>
  <c r="AL242" i="17"/>
  <c r="AP104" i="11" s="1"/>
  <c r="N155" i="12"/>
  <c r="AK230" i="17"/>
  <c r="AK247" i="17"/>
  <c r="AM247" i="17"/>
  <c r="AO247" i="17"/>
  <c r="AT242" i="17"/>
  <c r="AZ104" i="11" s="1"/>
  <c r="P155" i="12"/>
  <c r="AS230" i="17"/>
  <c r="AS247" i="17"/>
  <c r="AX242" i="17"/>
  <c r="BE104" i="11" s="1"/>
  <c r="AW230" i="17"/>
  <c r="Q155" i="12"/>
  <c r="AU247" i="17"/>
  <c r="BB242" i="17"/>
  <c r="BJ104" i="11" s="1"/>
  <c r="R155" i="12"/>
  <c r="BA230" i="17"/>
  <c r="BA247" i="17"/>
  <c r="BC247" i="17"/>
  <c r="BE247" i="17"/>
  <c r="BJ242" i="17"/>
  <c r="BT104" i="11" s="1"/>
  <c r="T155" i="12"/>
  <c r="BL247" i="17"/>
  <c r="BM247" i="17"/>
  <c r="BK247" i="17"/>
  <c r="BI230" i="17"/>
  <c r="BI247" i="17"/>
  <c r="BN242" i="17"/>
  <c r="BY104" i="11" s="1"/>
  <c r="N150" i="17"/>
  <c r="P155" i="17"/>
  <c r="O155" i="17"/>
  <c r="M146" i="17"/>
  <c r="H152" i="12"/>
  <c r="Q155" i="17"/>
  <c r="N156" i="17"/>
  <c r="Z150" i="17"/>
  <c r="K152" i="12"/>
  <c r="AC155" i="17"/>
  <c r="AB155" i="17"/>
  <c r="AA155" i="17"/>
  <c r="Z156" i="17"/>
  <c r="AD150" i="17"/>
  <c r="AF155" i="17"/>
  <c r="AE155" i="17"/>
  <c r="L152" i="12"/>
  <c r="AG155" i="17"/>
  <c r="AD156" i="17"/>
  <c r="AC146" i="17"/>
  <c r="AP150" i="17"/>
  <c r="O152" i="12"/>
  <c r="AS155" i="17"/>
  <c r="AR155" i="17"/>
  <c r="AQ155" i="17"/>
  <c r="AP156" i="17"/>
  <c r="AT150" i="17"/>
  <c r="AV155" i="17"/>
  <c r="AU155" i="17"/>
  <c r="AS146" i="17"/>
  <c r="P152" i="12"/>
  <c r="AW155" i="17"/>
  <c r="AT156" i="17"/>
  <c r="BF150" i="17"/>
  <c r="S152" i="12"/>
  <c r="BI155" i="17"/>
  <c r="BH155" i="17"/>
  <c r="BG155" i="17"/>
  <c r="BF156" i="17"/>
  <c r="BJ150" i="17"/>
  <c r="BL155" i="17"/>
  <c r="BK155" i="17"/>
  <c r="T152" i="12"/>
  <c r="BM155" i="17"/>
  <c r="BJ156" i="17"/>
  <c r="BI146" i="17"/>
  <c r="BV150" i="17"/>
  <c r="BY155" i="17"/>
  <c r="BX155" i="17"/>
  <c r="W152" i="12"/>
  <c r="BW155" i="17"/>
  <c r="BV156" i="17"/>
  <c r="BZ150" i="17"/>
  <c r="X152" i="12"/>
  <c r="CB155" i="17"/>
  <c r="CA155" i="17"/>
  <c r="BY146" i="17"/>
  <c r="CC155" i="17"/>
  <c r="BZ156" i="17"/>
  <c r="CL150" i="17"/>
  <c r="CO155" i="17"/>
  <c r="CN155" i="17"/>
  <c r="AA152" i="12"/>
  <c r="CM155" i="17"/>
  <c r="CL156" i="17"/>
  <c r="CP150" i="17"/>
  <c r="AB152" i="12"/>
  <c r="CP156" i="17"/>
  <c r="CO146" i="17"/>
  <c r="N202" i="17"/>
  <c r="AD202" i="17"/>
  <c r="AT202" i="17"/>
  <c r="BJ202" i="17"/>
  <c r="BZ207" i="17"/>
  <c r="CB212" i="17"/>
  <c r="CA212" i="17"/>
  <c r="BZ213" i="17"/>
  <c r="X154" i="12"/>
  <c r="CC212" i="17"/>
  <c r="BY203" i="17"/>
  <c r="CP207" i="17"/>
  <c r="CP213" i="17"/>
  <c r="AB154" i="12"/>
  <c r="CO203" i="17"/>
  <c r="BY121" i="17"/>
  <c r="BY17" i="17"/>
  <c r="CC121" i="17"/>
  <c r="CC17" i="17"/>
  <c r="CG121" i="17"/>
  <c r="CG17" i="17"/>
  <c r="CK121" i="17"/>
  <c r="CK17" i="17"/>
  <c r="CO121" i="17"/>
  <c r="CO17" i="17"/>
  <c r="E119" i="20"/>
  <c r="V119" i="20" s="1"/>
  <c r="AU268" i="2"/>
  <c r="G119" i="20"/>
  <c r="X119" i="20" s="1"/>
  <c r="AW268" i="2"/>
  <c r="E121" i="20"/>
  <c r="V121" i="20" s="1"/>
  <c r="AU270" i="2"/>
  <c r="G121" i="20"/>
  <c r="X121" i="20" s="1"/>
  <c r="AW270" i="2"/>
  <c r="E120" i="20"/>
  <c r="V120" i="20" s="1"/>
  <c r="AU269" i="2"/>
  <c r="G120" i="20"/>
  <c r="X120" i="20" s="1"/>
  <c r="AW269" i="2"/>
  <c r="E122" i="20"/>
  <c r="V122" i="20" s="1"/>
  <c r="AU271" i="2"/>
  <c r="AE11" i="11"/>
  <c r="K273" i="12"/>
  <c r="K269" i="12"/>
  <c r="AC96" i="6"/>
  <c r="AH47" i="6"/>
  <c r="AH96" i="6" s="1"/>
  <c r="AY81" i="11"/>
  <c r="O433" i="12"/>
  <c r="BS11" i="11"/>
  <c r="S273" i="12"/>
  <c r="S269" i="12"/>
  <c r="BY96" i="6"/>
  <c r="CD47" i="6"/>
  <c r="CD96" i="6" s="1"/>
  <c r="T70" i="8"/>
  <c r="T66" i="8"/>
  <c r="T55" i="8"/>
  <c r="J79" i="8"/>
  <c r="R79" i="8"/>
  <c r="W70" i="8"/>
  <c r="AA70" i="8"/>
  <c r="I66" i="8"/>
  <c r="I55" i="8"/>
  <c r="Q66" i="8"/>
  <c r="Q55" i="8"/>
  <c r="W40" i="8"/>
  <c r="AC12" i="8"/>
  <c r="AC11" i="8" s="1"/>
  <c r="AB43" i="8"/>
  <c r="AB66" i="8" s="1"/>
  <c r="AB24" i="8"/>
  <c r="AB11" i="8"/>
  <c r="AB8" i="8"/>
  <c r="AB39" i="8"/>
  <c r="K89" i="21"/>
  <c r="L85" i="21"/>
  <c r="L84" i="21"/>
  <c r="M89" i="21"/>
  <c r="N85" i="21"/>
  <c r="N84" i="21"/>
  <c r="O89" i="21"/>
  <c r="P85" i="21"/>
  <c r="P84" i="21"/>
  <c r="AA159" i="8"/>
  <c r="AA152" i="8"/>
  <c r="AA178" i="8"/>
  <c r="AA171" i="8"/>
  <c r="AA143" i="8"/>
  <c r="AA108" i="8" s="1"/>
  <c r="G150" i="2"/>
  <c r="EM6" i="6"/>
  <c r="DU117" i="11"/>
  <c r="M376" i="7"/>
  <c r="M355" i="7"/>
  <c r="M193" i="7"/>
  <c r="M187" i="7"/>
  <c r="U376" i="7"/>
  <c r="U355" i="7"/>
  <c r="U193" i="7"/>
  <c r="U187" i="7"/>
  <c r="AA376" i="7"/>
  <c r="AA355" i="7"/>
  <c r="AA193" i="7"/>
  <c r="AA187" i="7"/>
  <c r="V239" i="7"/>
  <c r="Z239" i="7"/>
  <c r="EI45" i="6"/>
  <c r="EI94" i="6" s="1"/>
  <c r="AC741" i="7"/>
  <c r="AD520" i="7"/>
  <c r="AE520" i="7" s="1"/>
  <c r="J151" i="8"/>
  <c r="J158" i="8"/>
  <c r="N151" i="8"/>
  <c r="N158" i="8"/>
  <c r="R151" i="8"/>
  <c r="R158" i="8"/>
  <c r="V151" i="8"/>
  <c r="V158" i="8"/>
  <c r="Z668" i="7"/>
  <c r="Z37" i="7"/>
  <c r="AD745" i="7"/>
  <c r="EP10" i="6"/>
  <c r="AD425" i="7"/>
  <c r="AC748" i="7"/>
  <c r="E217" i="2" s="1"/>
  <c r="T67" i="6"/>
  <c r="AR67" i="6"/>
  <c r="AO18" i="6"/>
  <c r="BP67" i="6"/>
  <c r="BM18" i="6"/>
  <c r="CN67" i="6"/>
  <c r="CK18" i="6"/>
  <c r="DL67" i="6"/>
  <c r="DI18" i="6"/>
  <c r="AA245" i="7"/>
  <c r="AU215" i="2"/>
  <c r="G411" i="20"/>
  <c r="X411" i="20" s="1"/>
  <c r="F411" i="20"/>
  <c r="EP32" i="6"/>
  <c r="AD657" i="7"/>
  <c r="DM40" i="6"/>
  <c r="Y787" i="7"/>
  <c r="Y789" i="7" s="1"/>
  <c r="Y790" i="7" s="1"/>
  <c r="Y513" i="7"/>
  <c r="Y502" i="7"/>
  <c r="Q20" i="21"/>
  <c r="EP41" i="6"/>
  <c r="AD695" i="7"/>
  <c r="I147" i="8"/>
  <c r="M147" i="8"/>
  <c r="M272" i="7"/>
  <c r="M261" i="7"/>
  <c r="Q147" i="8"/>
  <c r="Q272" i="7"/>
  <c r="Q261" i="7"/>
  <c r="U147" i="8"/>
  <c r="U272" i="7"/>
  <c r="U261" i="7"/>
  <c r="Y147" i="8"/>
  <c r="AA147" i="8"/>
  <c r="M229" i="7"/>
  <c r="L228" i="7"/>
  <c r="O229" i="7" s="1"/>
  <c r="N228" i="7"/>
  <c r="R228" i="7"/>
  <c r="W231" i="7"/>
  <c r="V228" i="7"/>
  <c r="X228" i="7"/>
  <c r="U84" i="6"/>
  <c r="U48" i="6"/>
  <c r="AG84" i="6"/>
  <c r="AG48" i="6"/>
  <c r="BE84" i="6"/>
  <c r="BE48" i="6"/>
  <c r="CC48" i="6"/>
  <c r="CD35" i="6"/>
  <c r="CD84" i="6" s="1"/>
  <c r="CC84" i="6"/>
  <c r="DB35" i="6"/>
  <c r="DB84" i="6" s="1"/>
  <c r="DA84" i="6"/>
  <c r="I83" i="8"/>
  <c r="Q83" i="8"/>
  <c r="Y83" i="8"/>
  <c r="AA83" i="8"/>
  <c r="AB78" i="8"/>
  <c r="Z119" i="8"/>
  <c r="AC692" i="7"/>
  <c r="EK16" i="6"/>
  <c r="EK65" i="6" s="1"/>
  <c r="AC770" i="7"/>
  <c r="AD12" i="7"/>
  <c r="AE12" i="7" s="1"/>
  <c r="AV231" i="2"/>
  <c r="R106" i="17"/>
  <c r="AH106" i="17"/>
  <c r="AX106" i="17"/>
  <c r="DH51" i="11"/>
  <c r="K85" i="17"/>
  <c r="O85" i="17"/>
  <c r="S85" i="17"/>
  <c r="W85" i="17"/>
  <c r="AA85" i="17"/>
  <c r="AE85" i="17"/>
  <c r="AI85" i="17"/>
  <c r="AM85" i="17"/>
  <c r="AQ85" i="17"/>
  <c r="AU85" i="17"/>
  <c r="AY85" i="17"/>
  <c r="BC85" i="17"/>
  <c r="BG85" i="17"/>
  <c r="BN88" i="17"/>
  <c r="BY66" i="11" s="1"/>
  <c r="J182" i="17"/>
  <c r="L182" i="17"/>
  <c r="N182" i="17"/>
  <c r="P182" i="17"/>
  <c r="R182" i="17"/>
  <c r="T182" i="17"/>
  <c r="V182" i="17"/>
  <c r="X182" i="17"/>
  <c r="Z182" i="17"/>
  <c r="AB182" i="17"/>
  <c r="AD182" i="17"/>
  <c r="AF182" i="17"/>
  <c r="AH182" i="17"/>
  <c r="AJ182" i="17"/>
  <c r="AL182" i="17"/>
  <c r="AN182" i="17"/>
  <c r="AP182" i="17"/>
  <c r="AR182" i="17"/>
  <c r="AT182" i="17"/>
  <c r="AV182" i="17"/>
  <c r="AX182" i="17"/>
  <c r="AZ182" i="17"/>
  <c r="BB182" i="17"/>
  <c r="BD182" i="17"/>
  <c r="BF182" i="17"/>
  <c r="BH182" i="17"/>
  <c r="BJ182" i="17"/>
  <c r="BJ12" i="17"/>
  <c r="J239" i="17"/>
  <c r="N239" i="17"/>
  <c r="R239" i="17"/>
  <c r="V239" i="17"/>
  <c r="Z239" i="17"/>
  <c r="AD239" i="17"/>
  <c r="AH239" i="17"/>
  <c r="AL239" i="17"/>
  <c r="AP239" i="17"/>
  <c r="AT239" i="17"/>
  <c r="AX239" i="17"/>
  <c r="BB239" i="17"/>
  <c r="BF239" i="17"/>
  <c r="BJ239" i="17"/>
  <c r="BX17" i="17"/>
  <c r="BX121" i="17"/>
  <c r="CF17" i="17"/>
  <c r="CF121" i="17"/>
  <c r="CJ17" i="17"/>
  <c r="CJ121" i="17"/>
  <c r="CN17" i="17"/>
  <c r="CN121" i="17"/>
  <c r="CP167" i="17"/>
  <c r="CN166" i="17"/>
  <c r="CO166" i="17" s="1"/>
  <c r="CP166" i="17" s="1"/>
  <c r="CQ166" i="17" s="1"/>
  <c r="BN77" i="17"/>
  <c r="BM62" i="17"/>
  <c r="BN234" i="17"/>
  <c r="BM222" i="17"/>
  <c r="P11" i="11"/>
  <c r="H273" i="12"/>
  <c r="H269" i="12"/>
  <c r="H433" i="12"/>
  <c r="AJ81" i="11"/>
  <c r="AI96" i="6"/>
  <c r="AN47" i="6"/>
  <c r="AN96" i="6" s="1"/>
  <c r="BD11" i="11"/>
  <c r="P273" i="12"/>
  <c r="P269" i="12"/>
  <c r="P433" i="12"/>
  <c r="BX81" i="11"/>
  <c r="CE96" i="6"/>
  <c r="CJ47" i="6"/>
  <c r="CJ96" i="6" s="1"/>
  <c r="J35" i="6"/>
  <c r="AD12" i="11"/>
  <c r="N106" i="12"/>
  <c r="BH12" i="11"/>
  <c r="O198" i="8"/>
  <c r="O205" i="8" s="1"/>
  <c r="W198" i="8"/>
  <c r="W205" i="8" s="1"/>
  <c r="Z198" i="8"/>
  <c r="Z205" i="8" s="1"/>
  <c r="U282" i="17"/>
  <c r="U316" i="17" s="1"/>
  <c r="U318" i="17" s="1"/>
  <c r="AK285" i="17"/>
  <c r="AK319" i="17" s="1"/>
  <c r="AK321" i="17" s="1"/>
  <c r="BY85" i="6"/>
  <c r="AB319" i="17"/>
  <c r="AB321" i="17" s="1"/>
  <c r="AF319" i="17"/>
  <c r="AF321" i="17" s="1"/>
  <c r="AB287" i="17"/>
  <c r="AR319" i="17"/>
  <c r="AR321" i="17" s="1"/>
  <c r="AV319" i="17"/>
  <c r="AV321" i="17" s="1"/>
  <c r="AR287" i="17"/>
  <c r="AZ319" i="17"/>
  <c r="AZ321" i="17" s="1"/>
  <c r="BD319" i="17"/>
  <c r="BD321" i="17" s="1"/>
  <c r="AZ287" i="17"/>
  <c r="BH319" i="17"/>
  <c r="BH321" i="17" s="1"/>
  <c r="BH287" i="17"/>
  <c r="U308" i="17"/>
  <c r="AK308" i="17"/>
  <c r="T319" i="17"/>
  <c r="T321" i="17" s="1"/>
  <c r="X319" i="17"/>
  <c r="X321" i="17" s="1"/>
  <c r="T287" i="17"/>
  <c r="AN319" i="17"/>
  <c r="AN321" i="17" s="1"/>
  <c r="AJ319" i="17"/>
  <c r="AJ321" i="17" s="1"/>
  <c r="AJ287" i="17"/>
  <c r="I137" i="12"/>
  <c r="Q24" i="11" s="1"/>
  <c r="I55" i="12"/>
  <c r="S10" i="11"/>
  <c r="M137" i="12"/>
  <c r="AK24" i="11" s="1"/>
  <c r="M55" i="12"/>
  <c r="AM10" i="11"/>
  <c r="Q137" i="12"/>
  <c r="BE24" i="11" s="1"/>
  <c r="Q55" i="12"/>
  <c r="BG10" i="11"/>
  <c r="Y137" i="12"/>
  <c r="CS24" i="11" s="1"/>
  <c r="Y55" i="12"/>
  <c r="CU10" i="11"/>
  <c r="BZ29" i="6"/>
  <c r="DU58" i="11"/>
  <c r="DX58" i="11" s="1"/>
  <c r="CV16" i="11"/>
  <c r="CY14" i="11"/>
  <c r="N308" i="17"/>
  <c r="H371" i="12"/>
  <c r="V308" i="17"/>
  <c r="T333" i="17" s="1"/>
  <c r="V282" i="17"/>
  <c r="V285" i="17"/>
  <c r="J371" i="12"/>
  <c r="AD308" i="17"/>
  <c r="AB333" i="17" s="1"/>
  <c r="AD282" i="17"/>
  <c r="AD285" i="17"/>
  <c r="L371" i="12"/>
  <c r="AL308" i="17"/>
  <c r="AJ333" i="17" s="1"/>
  <c r="AL282" i="17"/>
  <c r="AL285" i="17"/>
  <c r="N371" i="12"/>
  <c r="AT308" i="17"/>
  <c r="AR333" i="17" s="1"/>
  <c r="AT282" i="17"/>
  <c r="AT285" i="17"/>
  <c r="P371" i="12"/>
  <c r="BB308" i="17"/>
  <c r="AZ333" i="17" s="1"/>
  <c r="BB282" i="17"/>
  <c r="BB285" i="17"/>
  <c r="R371" i="12"/>
  <c r="BJ308" i="17"/>
  <c r="BH333" i="17" s="1"/>
  <c r="T371" i="12"/>
  <c r="BR308" i="17"/>
  <c r="BP333" i="17" s="1"/>
  <c r="V371" i="12"/>
  <c r="BZ308" i="17"/>
  <c r="BX333" i="17" s="1"/>
  <c r="X371" i="12"/>
  <c r="AK29" i="6"/>
  <c r="P31" i="6"/>
  <c r="P80" i="6" s="1"/>
  <c r="AN31" i="6"/>
  <c r="AN80" i="6" s="1"/>
  <c r="BG73" i="6"/>
  <c r="BL31" i="6"/>
  <c r="BL80" i="6" s="1"/>
  <c r="CE73" i="6"/>
  <c r="CJ31" i="6"/>
  <c r="CJ80" i="6" s="1"/>
  <c r="K137" i="12"/>
  <c r="AA24" i="11" s="1"/>
  <c r="K55" i="12"/>
  <c r="AC10" i="11"/>
  <c r="O137" i="12"/>
  <c r="AU24" i="11" s="1"/>
  <c r="O55" i="12"/>
  <c r="AW10" i="11"/>
  <c r="S137" i="12"/>
  <c r="BO24" i="11" s="1"/>
  <c r="S55" i="12"/>
  <c r="BQ10" i="11"/>
  <c r="W137" i="12"/>
  <c r="CI24" i="11" s="1"/>
  <c r="W55" i="12"/>
  <c r="CK10" i="11"/>
  <c r="DP105" i="11"/>
  <c r="DS102" i="11"/>
  <c r="DS126" i="11" s="1"/>
  <c r="R308" i="17"/>
  <c r="P333" i="17" s="1"/>
  <c r="R282" i="17"/>
  <c r="R285" i="17"/>
  <c r="R298" i="17" s="1"/>
  <c r="R300" i="17" s="1"/>
  <c r="I371" i="12"/>
  <c r="AH308" i="17"/>
  <c r="AF333" i="17" s="1"/>
  <c r="AH282" i="17"/>
  <c r="AH295" i="17" s="1"/>
  <c r="AH297" i="17" s="1"/>
  <c r="AH285" i="17"/>
  <c r="AH298" i="17" s="1"/>
  <c r="AH300" i="17" s="1"/>
  <c r="M371" i="12"/>
  <c r="AP308" i="17"/>
  <c r="AN333" i="17" s="1"/>
  <c r="O371" i="12"/>
  <c r="BF308" i="17"/>
  <c r="BD333" i="17" s="1"/>
  <c r="BF282" i="17"/>
  <c r="BJ282" i="17" s="1"/>
  <c r="BF285" i="17"/>
  <c r="BF298" i="17" s="1"/>
  <c r="BF300" i="17" s="1"/>
  <c r="S371" i="12"/>
  <c r="BN308" i="17"/>
  <c r="BL333" i="17" s="1"/>
  <c r="U371" i="12"/>
  <c r="BV308" i="17"/>
  <c r="BT333" i="17" s="1"/>
  <c r="W371" i="12"/>
  <c r="CD308" i="17"/>
  <c r="CB333" i="17" s="1"/>
  <c r="Y371" i="12"/>
  <c r="BM73" i="6"/>
  <c r="DS87" i="11"/>
  <c r="DS122" i="11" s="1"/>
  <c r="CR29" i="6"/>
  <c r="W73" i="6"/>
  <c r="AB31" i="6"/>
  <c r="AB80" i="6" s="1"/>
  <c r="AU73" i="6"/>
  <c r="AZ31" i="6"/>
  <c r="AZ80" i="6" s="1"/>
  <c r="CV31" i="6"/>
  <c r="CV80" i="6" s="1"/>
  <c r="DO73" i="6"/>
  <c r="DT31" i="6"/>
  <c r="DT80" i="6" s="1"/>
  <c r="AC402" i="12"/>
  <c r="AC414" i="12" s="1"/>
  <c r="DD12" i="11"/>
  <c r="DB12" i="11"/>
  <c r="DA14" i="11"/>
  <c r="E146" i="2"/>
  <c r="DS101" i="11"/>
  <c r="Q287" i="17"/>
  <c r="Y287" i="17"/>
  <c r="AG284" i="17"/>
  <c r="AG287" i="17"/>
  <c r="AW287" i="17"/>
  <c r="BE287" i="17"/>
  <c r="CW73" i="6"/>
  <c r="DU73" i="6"/>
  <c r="AB134" i="12" l="1"/>
  <c r="DH21" i="11" s="1"/>
  <c r="DJ7" i="11"/>
  <c r="X795" i="7"/>
  <c r="X796" i="7" s="1"/>
  <c r="DM103" i="11"/>
  <c r="DN15" i="11" s="1"/>
  <c r="DO103" i="11"/>
  <c r="DO15" i="11" s="1"/>
  <c r="DM88" i="11"/>
  <c r="DN13" i="11" s="1"/>
  <c r="DO88" i="11"/>
  <c r="AC84" i="12"/>
  <c r="DI12" i="11"/>
  <c r="AB139" i="12" s="1"/>
  <c r="DH26" i="11" s="1"/>
  <c r="AO61" i="6"/>
  <c r="AD170" i="12"/>
  <c r="F106" i="2" s="1"/>
  <c r="AW106" i="2" s="1"/>
  <c r="AD166" i="12"/>
  <c r="F102" i="2" s="1"/>
  <c r="AW102" i="2" s="1"/>
  <c r="DN65" i="11"/>
  <c r="AC170" i="12"/>
  <c r="DM60" i="11"/>
  <c r="DO60" i="11"/>
  <c r="AB150" i="8"/>
  <c r="CR118" i="17"/>
  <c r="AP71" i="6"/>
  <c r="CN337" i="17"/>
  <c r="CP335" i="17"/>
  <c r="CP334" i="17"/>
  <c r="CN333" i="17"/>
  <c r="CO337" i="17"/>
  <c r="CP337" i="17"/>
  <c r="CP336" i="17"/>
  <c r="CN336" i="17"/>
  <c r="CN335" i="17"/>
  <c r="CN334" i="17"/>
  <c r="CP333" i="17"/>
  <c r="CM337" i="17"/>
  <c r="CO336" i="17"/>
  <c r="CM336" i="17"/>
  <c r="CO335" i="17"/>
  <c r="CM335" i="17"/>
  <c r="CO334" i="17"/>
  <c r="CM334" i="17"/>
  <c r="CO333" i="17"/>
  <c r="CM333" i="17"/>
  <c r="CH334" i="17"/>
  <c r="CG336" i="17"/>
  <c r="CE335" i="17"/>
  <c r="CG334" i="17"/>
  <c r="CH337" i="17"/>
  <c r="CH336" i="17"/>
  <c r="CH335" i="17"/>
  <c r="CH333" i="17"/>
  <c r="CG337" i="17"/>
  <c r="CE336" i="17"/>
  <c r="CG335" i="17"/>
  <c r="CE334" i="17"/>
  <c r="CF334" i="17"/>
  <c r="CG333" i="17"/>
  <c r="CF337" i="17"/>
  <c r="CF336" i="17"/>
  <c r="CF335" i="17"/>
  <c r="CF333" i="17"/>
  <c r="CE333" i="17"/>
  <c r="CL334" i="17"/>
  <c r="CL336" i="17"/>
  <c r="CL335" i="17"/>
  <c r="CL333" i="17"/>
  <c r="CI333" i="17"/>
  <c r="CJ334" i="17"/>
  <c r="CI336" i="17"/>
  <c r="CK335" i="17"/>
  <c r="CI334" i="17"/>
  <c r="CJ336" i="17"/>
  <c r="CJ335" i="17"/>
  <c r="CJ333" i="17"/>
  <c r="CK336" i="17"/>
  <c r="CI335" i="17"/>
  <c r="CK334" i="17"/>
  <c r="CK333" i="17"/>
  <c r="AT240" i="2"/>
  <c r="W81" i="6"/>
  <c r="G376" i="7"/>
  <c r="G378" i="7" s="1"/>
  <c r="G390" i="7" s="1"/>
  <c r="AV208" i="2"/>
  <c r="K73" i="6"/>
  <c r="AK71" i="6"/>
  <c r="W61" i="6"/>
  <c r="AB36" i="7"/>
  <c r="AB37" i="7" s="1"/>
  <c r="M71" i="6"/>
  <c r="Q229" i="7"/>
  <c r="R229" i="7"/>
  <c r="AI73" i="6"/>
  <c r="AO85" i="6"/>
  <c r="AC85" i="6"/>
  <c r="Q85" i="6"/>
  <c r="K61" i="6"/>
  <c r="Q61" i="6"/>
  <c r="AI61" i="6"/>
  <c r="AV71" i="6"/>
  <c r="X71" i="6"/>
  <c r="AU61" i="6"/>
  <c r="BA61" i="6"/>
  <c r="AW71" i="6"/>
  <c r="L96" i="6"/>
  <c r="AC81" i="6"/>
  <c r="R89" i="6"/>
  <c r="Y67" i="6"/>
  <c r="AE96" i="6"/>
  <c r="S96" i="6"/>
  <c r="S229" i="7"/>
  <c r="W85" i="6"/>
  <c r="AC61" i="6"/>
  <c r="AU85" i="6"/>
  <c r="BB71" i="6"/>
  <c r="AI85" i="6"/>
  <c r="BA85" i="6"/>
  <c r="AU81" i="6"/>
  <c r="M67" i="6"/>
  <c r="AJ67" i="6"/>
  <c r="R96" i="6"/>
  <c r="P229" i="7"/>
  <c r="E18" i="6"/>
  <c r="J18" i="6" s="1"/>
  <c r="H187" i="7"/>
  <c r="G183" i="7"/>
  <c r="G195" i="7" s="1"/>
  <c r="J187" i="7"/>
  <c r="G355" i="7"/>
  <c r="G367" i="7" s="1"/>
  <c r="AA107" i="8"/>
  <c r="I186" i="7"/>
  <c r="H183" i="7"/>
  <c r="H195" i="7" s="1"/>
  <c r="H186" i="7"/>
  <c r="H192" i="7"/>
  <c r="AA48" i="6"/>
  <c r="AA97" i="6" s="1"/>
  <c r="L71" i="6"/>
  <c r="Q18" i="6"/>
  <c r="V18" i="6" s="1"/>
  <c r="V67" i="6" s="1"/>
  <c r="P47" i="6"/>
  <c r="P96" i="6" s="1"/>
  <c r="O48" i="6"/>
  <c r="O97" i="6" s="1"/>
  <c r="AD22" i="6"/>
  <c r="AD71" i="6" s="1"/>
  <c r="P30" i="6"/>
  <c r="P79" i="6" s="1"/>
  <c r="AC18" i="6"/>
  <c r="AH18" i="6" s="1"/>
  <c r="AH67" i="6" s="1"/>
  <c r="S22" i="6"/>
  <c r="S71" i="6" s="1"/>
  <c r="U79" i="6"/>
  <c r="J783" i="7"/>
  <c r="J784" i="7" s="1"/>
  <c r="J795" i="7"/>
  <c r="J796" i="7" s="1"/>
  <c r="K783" i="7"/>
  <c r="K784" i="7" s="1"/>
  <c r="K795" i="7"/>
  <c r="K796" i="7" s="1"/>
  <c r="G388" i="7"/>
  <c r="H383" i="7"/>
  <c r="H460" i="7"/>
  <c r="H389" i="7"/>
  <c r="I360" i="7"/>
  <c r="I366" i="7"/>
  <c r="K460" i="7"/>
  <c r="K383" i="7"/>
  <c r="K389" i="7"/>
  <c r="J362" i="7"/>
  <c r="J368" i="7"/>
  <c r="G675" i="7"/>
  <c r="G665" i="7"/>
  <c r="H367" i="7"/>
  <c r="K382" i="7"/>
  <c r="J388" i="7"/>
  <c r="J459" i="7"/>
  <c r="G458" i="7"/>
  <c r="G387" i="7"/>
  <c r="Y107" i="8"/>
  <c r="AB33" i="6"/>
  <c r="AB82" i="6" s="1"/>
  <c r="J675" i="7"/>
  <c r="J665" i="7"/>
  <c r="H638" i="7"/>
  <c r="H629" i="7"/>
  <c r="I458" i="7"/>
  <c r="I387" i="7"/>
  <c r="I381" i="7"/>
  <c r="H675" i="7"/>
  <c r="H665" i="7"/>
  <c r="K640" i="7"/>
  <c r="K632" i="7"/>
  <c r="I675" i="7"/>
  <c r="I665" i="7"/>
  <c r="H459" i="7"/>
  <c r="H388" i="7"/>
  <c r="K388" i="7"/>
  <c r="K459" i="7"/>
  <c r="J375" i="7"/>
  <c r="J237" i="8" s="1"/>
  <c r="J183" i="7"/>
  <c r="J354" i="7"/>
  <c r="J360" i="7" s="1"/>
  <c r="J186" i="7"/>
  <c r="J192" i="7"/>
  <c r="H381" i="7"/>
  <c r="H387" i="7"/>
  <c r="H378" i="7"/>
  <c r="H458" i="7"/>
  <c r="I368" i="7"/>
  <c r="I362" i="7"/>
  <c r="G460" i="7"/>
  <c r="G389" i="7"/>
  <c r="I783" i="7"/>
  <c r="I784" i="7" s="1"/>
  <c r="I795" i="7"/>
  <c r="I796" i="7" s="1"/>
  <c r="K367" i="7"/>
  <c r="K361" i="7"/>
  <c r="AB47" i="6"/>
  <c r="AB96" i="6" s="1"/>
  <c r="AG77" i="6"/>
  <c r="J640" i="7"/>
  <c r="J632" i="7"/>
  <c r="H368" i="7"/>
  <c r="H362" i="7"/>
  <c r="H783" i="7"/>
  <c r="H784" i="7" s="1"/>
  <c r="G640" i="7"/>
  <c r="G632" i="7"/>
  <c r="G783" i="7"/>
  <c r="G784" i="7" s="1"/>
  <c r="G795" i="7"/>
  <c r="G796" i="7" s="1"/>
  <c r="I195" i="7"/>
  <c r="K368" i="7"/>
  <c r="K362" i="7"/>
  <c r="J460" i="7"/>
  <c r="J383" i="7"/>
  <c r="J389" i="7"/>
  <c r="H357" i="7"/>
  <c r="H360" i="7"/>
  <c r="H366" i="7"/>
  <c r="I193" i="7"/>
  <c r="I187" i="7"/>
  <c r="I376" i="7"/>
  <c r="I355" i="7"/>
  <c r="J361" i="7" s="1"/>
  <c r="I389" i="7"/>
  <c r="I383" i="7"/>
  <c r="I460" i="7"/>
  <c r="K675" i="7"/>
  <c r="K665" i="7"/>
  <c r="K183" i="7"/>
  <c r="L189" i="7" s="1"/>
  <c r="K186" i="7"/>
  <c r="K375" i="7"/>
  <c r="L381" i="7" s="1"/>
  <c r="K192" i="7"/>
  <c r="K354" i="7"/>
  <c r="L360" i="7" s="1"/>
  <c r="I638" i="7"/>
  <c r="I629" i="7"/>
  <c r="J367" i="7"/>
  <c r="G366" i="7"/>
  <c r="S795" i="7"/>
  <c r="S796" i="7" s="1"/>
  <c r="AC723" i="7"/>
  <c r="AC779" i="7"/>
  <c r="EH40" i="6"/>
  <c r="EH89" i="6" s="1"/>
  <c r="V629" i="7"/>
  <c r="V632" i="7" s="1"/>
  <c r="X629" i="7"/>
  <c r="X640" i="7" s="1"/>
  <c r="CS92" i="17"/>
  <c r="AD258" i="7"/>
  <c r="AE258" i="7" s="1"/>
  <c r="AE779" i="7" s="1"/>
  <c r="S784" i="7"/>
  <c r="J15" i="21"/>
  <c r="J24" i="21" s="1"/>
  <c r="CS94" i="17"/>
  <c r="M795" i="7"/>
  <c r="M796" i="7" s="1"/>
  <c r="E15" i="21"/>
  <c r="E21" i="21" s="1"/>
  <c r="H15" i="21"/>
  <c r="H24" i="21" s="1"/>
  <c r="BA116" i="2"/>
  <c r="G116" i="2"/>
  <c r="O123" i="2"/>
  <c r="K123" i="2"/>
  <c r="K112" i="20"/>
  <c r="AB112" i="20" s="1"/>
  <c r="BA123" i="2"/>
  <c r="O112" i="20"/>
  <c r="AF112" i="20" s="1"/>
  <c r="BE123" i="2"/>
  <c r="L15" i="21"/>
  <c r="L19" i="21" s="1"/>
  <c r="BK70" i="17"/>
  <c r="BK103" i="17" s="1"/>
  <c r="BK104" i="17" s="1"/>
  <c r="E263" i="2"/>
  <c r="AV264" i="2" s="1"/>
  <c r="AC375" i="12"/>
  <c r="CU308" i="17"/>
  <c r="CV306" i="17"/>
  <c r="CT308" i="17"/>
  <c r="CQ337" i="17" s="1"/>
  <c r="C260" i="2"/>
  <c r="AT260" i="2" s="1"/>
  <c r="L783" i="7"/>
  <c r="L784" i="7" s="1"/>
  <c r="V461" i="12"/>
  <c r="V468" i="12" s="1"/>
  <c r="L795" i="7"/>
  <c r="L796" i="7" s="1"/>
  <c r="P629" i="7"/>
  <c r="P640" i="7" s="1"/>
  <c r="O783" i="7"/>
  <c r="O784" i="7" s="1"/>
  <c r="N629" i="7"/>
  <c r="N640" i="7" s="1"/>
  <c r="G243" i="2"/>
  <c r="AX243" i="2" s="1"/>
  <c r="EA32" i="6"/>
  <c r="EA81" i="6" s="1"/>
  <c r="Y465" i="12"/>
  <c r="Y472" i="12" s="1"/>
  <c r="F201" i="2"/>
  <c r="K376" i="20" s="1"/>
  <c r="AB376" i="20" s="1"/>
  <c r="EK73" i="6"/>
  <c r="AC740" i="7"/>
  <c r="AC742" i="7" s="1"/>
  <c r="E210" i="2" s="1"/>
  <c r="AV210" i="2" s="1"/>
  <c r="M15" i="21"/>
  <c r="M21" i="21" s="1"/>
  <c r="F202" i="2"/>
  <c r="J377" i="20" s="1"/>
  <c r="AA377" i="20" s="1"/>
  <c r="Q273" i="7"/>
  <c r="N118" i="8"/>
  <c r="N125" i="8" s="1"/>
  <c r="M125" i="8"/>
  <c r="U784" i="7"/>
  <c r="Z465" i="12"/>
  <c r="Z472" i="12" s="1"/>
  <c r="C241" i="2"/>
  <c r="AT241" i="2" s="1"/>
  <c r="AA784" i="7"/>
  <c r="Q15" i="21"/>
  <c r="Q24" i="21" s="1"/>
  <c r="V465" i="12"/>
  <c r="V472" i="12" s="1"/>
  <c r="Y784" i="7"/>
  <c r="AA465" i="12"/>
  <c r="AA472" i="12" s="1"/>
  <c r="S15" i="21"/>
  <c r="S21" i="21" s="1"/>
  <c r="AA795" i="7"/>
  <c r="AA796" i="7" s="1"/>
  <c r="O795" i="7"/>
  <c r="O796" i="7" s="1"/>
  <c r="Z461" i="12"/>
  <c r="Z468" i="12" s="1"/>
  <c r="AW222" i="2"/>
  <c r="V795" i="7"/>
  <c r="V796" i="7" s="1"/>
  <c r="P784" i="7"/>
  <c r="Q784" i="7"/>
  <c r="K482" i="20"/>
  <c r="AB482" i="20" s="1"/>
  <c r="AW246" i="2"/>
  <c r="AD380" i="12"/>
  <c r="F275" i="2" s="1"/>
  <c r="AW275" i="2" s="1"/>
  <c r="P661" i="7"/>
  <c r="P665" i="7" s="1"/>
  <c r="K419" i="20"/>
  <c r="AB419" i="20" s="1"/>
  <c r="J482" i="20"/>
  <c r="AA482" i="20" s="1"/>
  <c r="AB629" i="7"/>
  <c r="AB787" i="7"/>
  <c r="V784" i="7"/>
  <c r="N795" i="7"/>
  <c r="N796" i="7" s="1"/>
  <c r="Y461" i="12"/>
  <c r="Y468" i="12" s="1"/>
  <c r="L629" i="7"/>
  <c r="L632" i="7" s="1"/>
  <c r="AE627" i="7"/>
  <c r="K417" i="20"/>
  <c r="AB417" i="20" s="1"/>
  <c r="EK32" i="6"/>
  <c r="EK81" i="6" s="1"/>
  <c r="N15" i="21"/>
  <c r="N21" i="21" s="1"/>
  <c r="EB47" i="6"/>
  <c r="EB96" i="6" s="1"/>
  <c r="DB293" i="17"/>
  <c r="DB327" i="17" s="1"/>
  <c r="F243" i="2"/>
  <c r="K485" i="20" s="1"/>
  <c r="AB485" i="20" s="1"/>
  <c r="J199" i="20"/>
  <c r="AA199" i="20" s="1"/>
  <c r="E276" i="2"/>
  <c r="F247" i="20" s="1"/>
  <c r="W247" i="20" s="1"/>
  <c r="O110" i="20"/>
  <c r="AF110" i="20" s="1"/>
  <c r="J198" i="20"/>
  <c r="AA198" i="20" s="1"/>
  <c r="K198" i="20"/>
  <c r="AB198" i="20" s="1"/>
  <c r="AW150" i="2"/>
  <c r="J200" i="20"/>
  <c r="AA200" i="20" s="1"/>
  <c r="CV47" i="6"/>
  <c r="CV96" i="6" s="1"/>
  <c r="R795" i="7"/>
  <c r="R796" i="7" s="1"/>
  <c r="U795" i="7"/>
  <c r="U796" i="7" s="1"/>
  <c r="K200" i="20"/>
  <c r="AB200" i="20" s="1"/>
  <c r="Z795" i="7"/>
  <c r="Z796" i="7" s="1"/>
  <c r="F207" i="2"/>
  <c r="K382" i="20" s="1"/>
  <c r="AB382" i="20" s="1"/>
  <c r="EI40" i="6"/>
  <c r="EI89" i="6" s="1"/>
  <c r="R15" i="21"/>
  <c r="R21" i="21" s="1"/>
  <c r="Q795" i="7"/>
  <c r="Q796" i="7" s="1"/>
  <c r="R629" i="7"/>
  <c r="G244" i="2"/>
  <c r="AX244" i="2" s="1"/>
  <c r="S147" i="8"/>
  <c r="S161" i="8" s="1"/>
  <c r="X465" i="12"/>
  <c r="X472" i="12" s="1"/>
  <c r="I15" i="21"/>
  <c r="I19" i="21" s="1"/>
  <c r="AD627" i="7"/>
  <c r="T629" i="7"/>
  <c r="AE438" i="7"/>
  <c r="F208" i="2"/>
  <c r="AW208" i="2" s="1"/>
  <c r="R661" i="7"/>
  <c r="R665" i="7" s="1"/>
  <c r="M629" i="7"/>
  <c r="M632" i="7" s="1"/>
  <c r="F233" i="2"/>
  <c r="AW233" i="2" s="1"/>
  <c r="F177" i="2"/>
  <c r="AW177" i="2" s="1"/>
  <c r="AW216" i="2"/>
  <c r="J418" i="20"/>
  <c r="AA418" i="20" s="1"/>
  <c r="K24" i="21"/>
  <c r="E275" i="2"/>
  <c r="AV275" i="2" s="1"/>
  <c r="EV74" i="6"/>
  <c r="BM81" i="6"/>
  <c r="AH64" i="11"/>
  <c r="EV68" i="6"/>
  <c r="K483" i="20"/>
  <c r="AB483" i="20" s="1"/>
  <c r="K540" i="20"/>
  <c r="AB540" i="20" s="1"/>
  <c r="AW244" i="2"/>
  <c r="CF64" i="11"/>
  <c r="EW32" i="6"/>
  <c r="AE780" i="7"/>
  <c r="AD379" i="12"/>
  <c r="F273" i="2" s="1"/>
  <c r="AW273" i="2" s="1"/>
  <c r="AA229" i="7"/>
  <c r="P273" i="7"/>
  <c r="R784" i="7"/>
  <c r="W795" i="7"/>
  <c r="W796" i="7" s="1"/>
  <c r="X661" i="7"/>
  <c r="X686" i="7" s="1"/>
  <c r="AD381" i="12"/>
  <c r="F274" i="2" s="1"/>
  <c r="AW274" i="2" s="1"/>
  <c r="AE770" i="7"/>
  <c r="EW16" i="6"/>
  <c r="AE692" i="7"/>
  <c r="F231" i="2"/>
  <c r="AW231" i="2" s="1"/>
  <c r="Z661" i="7"/>
  <c r="Z686" i="7" s="1"/>
  <c r="EU28" i="6"/>
  <c r="AE729" i="7"/>
  <c r="W461" i="12"/>
  <c r="W468" i="12" s="1"/>
  <c r="AE708" i="7"/>
  <c r="ET28" i="6"/>
  <c r="AE730" i="7"/>
  <c r="EU32" i="6"/>
  <c r="K412" i="20"/>
  <c r="AB412" i="20" s="1"/>
  <c r="M661" i="7"/>
  <c r="M675" i="7" s="1"/>
  <c r="AC780" i="7"/>
  <c r="T784" i="7"/>
  <c r="ET24" i="6"/>
  <c r="AE706" i="7"/>
  <c r="K418" i="20"/>
  <c r="AB418" i="20" s="1"/>
  <c r="AE23" i="8"/>
  <c r="AE740" i="7"/>
  <c r="EU40" i="6"/>
  <c r="C258" i="2"/>
  <c r="K19" i="21"/>
  <c r="P15" i="21"/>
  <c r="P19" i="21" s="1"/>
  <c r="AE695" i="7"/>
  <c r="EV41" i="6"/>
  <c r="EV90" i="6" s="1"/>
  <c r="AE255" i="7"/>
  <c r="G215" i="2" s="1"/>
  <c r="AE696" i="7"/>
  <c r="EV42" i="6"/>
  <c r="EV91" i="6" s="1"/>
  <c r="AE731" i="7"/>
  <c r="EU33" i="6"/>
  <c r="AE22" i="8"/>
  <c r="AE752" i="7"/>
  <c r="AE756" i="7" s="1"/>
  <c r="EV20" i="6"/>
  <c r="EV18" i="6" s="1"/>
  <c r="DB294" i="17"/>
  <c r="DB292" i="17"/>
  <c r="AD382" i="12"/>
  <c r="F276" i="2" s="1"/>
  <c r="AW276" i="2" s="1"/>
  <c r="U229" i="7"/>
  <c r="EU35" i="6"/>
  <c r="AE396" i="7"/>
  <c r="AE771" i="7"/>
  <c r="EW18" i="6"/>
  <c r="AE140" i="7"/>
  <c r="EU10" i="6"/>
  <c r="G185" i="2"/>
  <c r="AX185" i="2" s="1"/>
  <c r="X784" i="7"/>
  <c r="W465" i="12"/>
  <c r="W472" i="12" s="1"/>
  <c r="EN10" i="6"/>
  <c r="EN59" i="6" s="1"/>
  <c r="AE46" i="7"/>
  <c r="T20" i="21"/>
  <c r="EV75" i="6"/>
  <c r="AE168" i="7"/>
  <c r="L110" i="20"/>
  <c r="AC110" i="20" s="1"/>
  <c r="BB121" i="2"/>
  <c r="AE748" i="7"/>
  <c r="AE657" i="7"/>
  <c r="EV32" i="6"/>
  <c r="EV81" i="6" s="1"/>
  <c r="AE714" i="7"/>
  <c r="ET33" i="6"/>
  <c r="AE329" i="7"/>
  <c r="AE330" i="7" s="1"/>
  <c r="AD59" i="8"/>
  <c r="AE31" i="8"/>
  <c r="AE59" i="8" s="1"/>
  <c r="AE741" i="7"/>
  <c r="EU45" i="6"/>
  <c r="O15" i="21"/>
  <c r="O21" i="21" s="1"/>
  <c r="AE713" i="7"/>
  <c r="ET32" i="6"/>
  <c r="AE302" i="7"/>
  <c r="AE777" i="7"/>
  <c r="EW30" i="6"/>
  <c r="EE40" i="6"/>
  <c r="EE89" i="6" s="1"/>
  <c r="F176" i="2"/>
  <c r="AW176" i="2" s="1"/>
  <c r="AC302" i="7"/>
  <c r="AC310" i="7" s="1"/>
  <c r="U661" i="7"/>
  <c r="U686" i="7" s="1"/>
  <c r="EU9" i="6"/>
  <c r="H425" i="20"/>
  <c r="Y425" i="20" s="1"/>
  <c r="AV225" i="2"/>
  <c r="I425" i="20"/>
  <c r="Z425" i="20" s="1"/>
  <c r="EP75" i="6"/>
  <c r="EU30" i="6"/>
  <c r="EW17" i="6"/>
  <c r="AE769" i="7"/>
  <c r="AC51" i="7"/>
  <c r="E223" i="2"/>
  <c r="N783" i="7"/>
  <c r="N784" i="7" s="1"/>
  <c r="W273" i="7"/>
  <c r="EP43" i="6"/>
  <c r="EP40" i="6" s="1"/>
  <c r="AE484" i="7"/>
  <c r="EV43" i="6" s="1"/>
  <c r="ET40" i="6"/>
  <c r="AE723" i="7"/>
  <c r="DB291" i="17"/>
  <c r="K110" i="20"/>
  <c r="AB110" i="20" s="1"/>
  <c r="BA121" i="2"/>
  <c r="EV24" i="6"/>
  <c r="AU105" i="2"/>
  <c r="O24" i="12"/>
  <c r="AW60" i="11"/>
  <c r="EV38" i="6"/>
  <c r="EV87" i="6" s="1"/>
  <c r="AU60" i="11"/>
  <c r="D301" i="2"/>
  <c r="F278" i="20" s="1"/>
  <c r="W278" i="20" s="1"/>
  <c r="C108" i="2"/>
  <c r="AT108" i="2" s="1"/>
  <c r="D292" i="2"/>
  <c r="E292" i="2" s="1"/>
  <c r="F231" i="20" s="1"/>
  <c r="W231" i="20" s="1"/>
  <c r="BQ64" i="11"/>
  <c r="AU131" i="2"/>
  <c r="AV217" i="2"/>
  <c r="J486" i="20"/>
  <c r="AA486" i="20" s="1"/>
  <c r="AW137" i="2"/>
  <c r="J175" i="20"/>
  <c r="AA175" i="20" s="1"/>
  <c r="K175" i="20"/>
  <c r="AB175" i="20" s="1"/>
  <c r="K486" i="20"/>
  <c r="AB486" i="20" s="1"/>
  <c r="G218" i="2"/>
  <c r="AX218" i="2" s="1"/>
  <c r="D103" i="2"/>
  <c r="AU103" i="2" s="1"/>
  <c r="H190" i="20"/>
  <c r="Y190" i="20" s="1"/>
  <c r="G504" i="20"/>
  <c r="X504" i="20" s="1"/>
  <c r="I182" i="20"/>
  <c r="Z182" i="20" s="1"/>
  <c r="AV144" i="2"/>
  <c r="G506" i="20"/>
  <c r="X506" i="20" s="1"/>
  <c r="H504" i="20"/>
  <c r="Y504" i="20" s="1"/>
  <c r="H182" i="20"/>
  <c r="Y182" i="20" s="1"/>
  <c r="AV137" i="2"/>
  <c r="I486" i="20"/>
  <c r="Z486" i="20" s="1"/>
  <c r="I175" i="20"/>
  <c r="Z175" i="20" s="1"/>
  <c r="H486" i="20"/>
  <c r="Y486" i="20" s="1"/>
  <c r="H175" i="20"/>
  <c r="Y175" i="20" s="1"/>
  <c r="AC408" i="12"/>
  <c r="AC420" i="12" s="1"/>
  <c r="E141" i="2"/>
  <c r="AV141" i="2" s="1"/>
  <c r="AV252" i="2"/>
  <c r="H540" i="20"/>
  <c r="Y540" i="20" s="1"/>
  <c r="AV146" i="2"/>
  <c r="H186" i="20"/>
  <c r="Y186" i="20" s="1"/>
  <c r="H505" i="20"/>
  <c r="Y505" i="20" s="1"/>
  <c r="G505" i="20"/>
  <c r="X505" i="20" s="1"/>
  <c r="I186" i="20"/>
  <c r="Z186" i="20" s="1"/>
  <c r="C128" i="2"/>
  <c r="AT128" i="2" s="1"/>
  <c r="EP94" i="6"/>
  <c r="EV94" i="6"/>
  <c r="EM56" i="6"/>
  <c r="ES56" i="6"/>
  <c r="EP93" i="6"/>
  <c r="EV93" i="6"/>
  <c r="EP77" i="6"/>
  <c r="EV77" i="6"/>
  <c r="EP59" i="6"/>
  <c r="EV59" i="6"/>
  <c r="EP79" i="6"/>
  <c r="EV79" i="6"/>
  <c r="EP70" i="6"/>
  <c r="EV70" i="6"/>
  <c r="EP58" i="6"/>
  <c r="EV58" i="6"/>
  <c r="EP82" i="6"/>
  <c r="EV82" i="6"/>
  <c r="EP91" i="6"/>
  <c r="EP84" i="6"/>
  <c r="EV84" i="6"/>
  <c r="EP81" i="6"/>
  <c r="EM55" i="6"/>
  <c r="ES55" i="6"/>
  <c r="DZ58" i="11"/>
  <c r="DV117" i="11"/>
  <c r="EA117" i="11"/>
  <c r="DV64" i="11"/>
  <c r="AD224" i="12" s="1"/>
  <c r="AD211" i="12" s="1"/>
  <c r="F141" i="2" s="1"/>
  <c r="AW141" i="2" s="1"/>
  <c r="DX64" i="11"/>
  <c r="DV118" i="11"/>
  <c r="EA118" i="11"/>
  <c r="DZ8" i="11"/>
  <c r="EA8" i="11" s="1"/>
  <c r="AE166" i="12"/>
  <c r="CU64" i="11"/>
  <c r="DB48" i="17"/>
  <c r="DB131" i="17"/>
  <c r="DB235" i="17"/>
  <c r="DB178" i="17"/>
  <c r="DB78" i="17"/>
  <c r="DB181" i="17"/>
  <c r="DB238" i="17"/>
  <c r="DB29" i="17"/>
  <c r="V32" i="6"/>
  <c r="V81" i="6" s="1"/>
  <c r="CX29" i="17"/>
  <c r="DG6" i="17" s="1"/>
  <c r="BL64" i="11"/>
  <c r="Z170" i="12"/>
  <c r="C106" i="2" s="1"/>
  <c r="AT106" i="2" s="1"/>
  <c r="AE114" i="12"/>
  <c r="AE118" i="12" s="1"/>
  <c r="AT32" i="6"/>
  <c r="AT81" i="6" s="1"/>
  <c r="DJ71" i="6"/>
  <c r="CD60" i="11"/>
  <c r="N170" i="12"/>
  <c r="X64" i="11"/>
  <c r="BB64" i="11"/>
  <c r="CS71" i="6"/>
  <c r="BY81" i="6"/>
  <c r="CA71" i="6"/>
  <c r="BS81" i="6"/>
  <c r="CE65" i="11"/>
  <c r="V30" i="12" s="1"/>
  <c r="CF60" i="11"/>
  <c r="AB32" i="6"/>
  <c r="AB81" i="6" s="1"/>
  <c r="BT29" i="6"/>
  <c r="BT78" i="6" s="1"/>
  <c r="V24" i="12"/>
  <c r="CF71" i="6"/>
  <c r="DI81" i="6"/>
  <c r="M29" i="6"/>
  <c r="M78" i="6" s="1"/>
  <c r="BN71" i="6"/>
  <c r="DC81" i="6"/>
  <c r="CW81" i="6"/>
  <c r="CD32" i="6"/>
  <c r="CD81" i="6" s="1"/>
  <c r="DI65" i="11"/>
  <c r="DH65" i="11" s="1"/>
  <c r="DV71" i="6"/>
  <c r="I413" i="20"/>
  <c r="Z413" i="20" s="1"/>
  <c r="CE81" i="6"/>
  <c r="DJ60" i="11"/>
  <c r="CZ10" i="11"/>
  <c r="DO81" i="6"/>
  <c r="CX68" i="17"/>
  <c r="CX84" i="17" s="1"/>
  <c r="AE28" i="12"/>
  <c r="AE71" i="12"/>
  <c r="AE77" i="12" s="1"/>
  <c r="G19" i="21"/>
  <c r="U170" i="12"/>
  <c r="K22" i="6"/>
  <c r="DQ71" i="6"/>
  <c r="DV8" i="11"/>
  <c r="AE193" i="12"/>
  <c r="AE51" i="12"/>
  <c r="AE58" i="12" s="1"/>
  <c r="AE321" i="12"/>
  <c r="AE52" i="12"/>
  <c r="AE59" i="12" s="1"/>
  <c r="Z55" i="12"/>
  <c r="H413" i="20"/>
  <c r="Y413" i="20" s="1"/>
  <c r="DT32" i="6"/>
  <c r="DT81" i="6" s="1"/>
  <c r="T168" i="12"/>
  <c r="AW29" i="6"/>
  <c r="BC78" i="6" s="1"/>
  <c r="T661" i="7"/>
  <c r="T665" i="7" s="1"/>
  <c r="L661" i="7"/>
  <c r="L675" i="7" s="1"/>
  <c r="Q661" i="7"/>
  <c r="Q675" i="7" s="1"/>
  <c r="G24" i="21"/>
  <c r="CQ81" i="6"/>
  <c r="S64" i="11"/>
  <c r="S273" i="7"/>
  <c r="N661" i="7"/>
  <c r="N665" i="7" s="1"/>
  <c r="CK81" i="6"/>
  <c r="DE10" i="11"/>
  <c r="DQ29" i="6"/>
  <c r="DQ78" i="6" s="1"/>
  <c r="CY71" i="6"/>
  <c r="DW71" i="6"/>
  <c r="CL71" i="6"/>
  <c r="AD50" i="7"/>
  <c r="EP17" i="6" s="1"/>
  <c r="X273" i="7"/>
  <c r="CR71" i="6"/>
  <c r="BT71" i="6"/>
  <c r="CI60" i="11"/>
  <c r="K24" i="12"/>
  <c r="M273" i="7"/>
  <c r="AC60" i="11"/>
  <c r="BG64" i="11"/>
  <c r="AP60" i="11"/>
  <c r="AA137" i="12"/>
  <c r="DC24" i="11" s="1"/>
  <c r="AX282" i="17"/>
  <c r="AX295" i="17" s="1"/>
  <c r="AX297" i="17" s="1"/>
  <c r="W24" i="12"/>
  <c r="BC71" i="6"/>
  <c r="Y14" i="11"/>
  <c r="Y16" i="11" s="1"/>
  <c r="W168" i="12"/>
  <c r="AA60" i="11"/>
  <c r="AE71" i="6"/>
  <c r="CY29" i="6"/>
  <c r="CY34" i="6" s="1"/>
  <c r="CS29" i="6"/>
  <c r="CQ29" i="6" s="1"/>
  <c r="F21" i="21"/>
  <c r="F22" i="21" s="1"/>
  <c r="F60" i="21" s="1"/>
  <c r="F82" i="21" s="1"/>
  <c r="DP90" i="11"/>
  <c r="AD248" i="12"/>
  <c r="AD255" i="12" s="1"/>
  <c r="E110" i="2"/>
  <c r="AV110" i="2" s="1"/>
  <c r="F19" i="21"/>
  <c r="DH60" i="11"/>
  <c r="AB24" i="12"/>
  <c r="AQ65" i="11"/>
  <c r="AQ76" i="11" s="1"/>
  <c r="AR76" i="11" s="1"/>
  <c r="BD71" i="6"/>
  <c r="DL71" i="6"/>
  <c r="CP64" i="11"/>
  <c r="AR60" i="11"/>
  <c r="Z168" i="12"/>
  <c r="CX60" i="11"/>
  <c r="DF71" i="6"/>
  <c r="R65" i="11"/>
  <c r="S65" i="11" s="1"/>
  <c r="H170" i="12"/>
  <c r="CA10" i="11"/>
  <c r="DL29" i="6"/>
  <c r="DL78" i="6" s="1"/>
  <c r="AI14" i="11"/>
  <c r="AL14" i="11" s="1"/>
  <c r="S60" i="11"/>
  <c r="DK124" i="11"/>
  <c r="DK125" i="11" s="1"/>
  <c r="DL65" i="11"/>
  <c r="DG65" i="11"/>
  <c r="N11" i="23"/>
  <c r="Q371" i="12"/>
  <c r="BU29" i="6"/>
  <c r="CA78" i="6" s="1"/>
  <c r="CG14" i="11"/>
  <c r="CH14" i="11" s="1"/>
  <c r="AE12" i="11"/>
  <c r="Z12" i="11"/>
  <c r="DU81" i="6"/>
  <c r="CZ60" i="11"/>
  <c r="V60" i="11"/>
  <c r="AB65" i="11"/>
  <c r="AC65" i="11" s="1"/>
  <c r="I168" i="12"/>
  <c r="DE64" i="11"/>
  <c r="BY22" i="6"/>
  <c r="AX285" i="17"/>
  <c r="AX298" i="17" s="1"/>
  <c r="AX300" i="17" s="1"/>
  <c r="CS60" i="11"/>
  <c r="CY65" i="11"/>
  <c r="Z30" i="12" s="1"/>
  <c r="I24" i="12"/>
  <c r="BV64" i="11"/>
  <c r="CG71" i="6"/>
  <c r="BY61" i="6"/>
  <c r="N168" i="12"/>
  <c r="AC64" i="11"/>
  <c r="AF71" i="6"/>
  <c r="DS86" i="11"/>
  <c r="DI22" i="6"/>
  <c r="DE71" i="6"/>
  <c r="DF124" i="11"/>
  <c r="DF125" i="11" s="1"/>
  <c r="CJ65" i="11"/>
  <c r="CK65" i="11" s="1"/>
  <c r="DA73" i="11"/>
  <c r="DB65" i="11"/>
  <c r="M11" i="11"/>
  <c r="H73" i="12" s="1"/>
  <c r="BX12" i="11"/>
  <c r="M168" i="12"/>
  <c r="BK65" i="11"/>
  <c r="R30" i="12" s="1"/>
  <c r="DG12" i="11"/>
  <c r="AR71" i="6"/>
  <c r="AI22" i="6"/>
  <c r="W65" i="11"/>
  <c r="W76" i="11" s="1"/>
  <c r="X76" i="11" s="1"/>
  <c r="X60" i="11"/>
  <c r="J24" i="12"/>
  <c r="DF14" i="11"/>
  <c r="DF16" i="11" s="1"/>
  <c r="DP71" i="6"/>
  <c r="BU71" i="6"/>
  <c r="CT12" i="11"/>
  <c r="CT11" i="11" s="1"/>
  <c r="Y73" i="12" s="1"/>
  <c r="BJ60" i="11"/>
  <c r="DO22" i="6"/>
  <c r="AQ29" i="6"/>
  <c r="AQ78" i="6" s="1"/>
  <c r="BB29" i="6"/>
  <c r="AG333" i="17"/>
  <c r="BL60" i="11"/>
  <c r="R24" i="12"/>
  <c r="CR65" i="11"/>
  <c r="BA333" i="17"/>
  <c r="BH71" i="6"/>
  <c r="BE333" i="17"/>
  <c r="U333" i="17"/>
  <c r="W170" i="12"/>
  <c r="R71" i="6"/>
  <c r="CZ29" i="6"/>
  <c r="DF78" i="6" s="1"/>
  <c r="U137" i="12"/>
  <c r="BY24" i="11" s="1"/>
  <c r="BX31" i="6"/>
  <c r="BX80" i="6" s="1"/>
  <c r="AL71" i="6"/>
  <c r="AW333" i="17"/>
  <c r="AK333" i="17"/>
  <c r="CB71" i="6"/>
  <c r="J540" i="20"/>
  <c r="AA540" i="20" s="1"/>
  <c r="AC333" i="17"/>
  <c r="AX71" i="6"/>
  <c r="BV71" i="6"/>
  <c r="AV65" i="11"/>
  <c r="AW65" i="11" s="1"/>
  <c r="BD12" i="11"/>
  <c r="AW64" i="11"/>
  <c r="CM71" i="6"/>
  <c r="AP29" i="6"/>
  <c r="AP78" i="6" s="1"/>
  <c r="CQ96" i="11"/>
  <c r="CV96" i="11" s="1"/>
  <c r="DR29" i="6"/>
  <c r="CT71" i="6"/>
  <c r="DC73" i="6"/>
  <c r="BC14" i="11"/>
  <c r="BF14" i="11" s="1"/>
  <c r="CK22" i="6"/>
  <c r="BM22" i="6"/>
  <c r="X29" i="6"/>
  <c r="X34" i="6" s="1"/>
  <c r="BZ65" i="11"/>
  <c r="BY65" i="11" s="1"/>
  <c r="Y24" i="12"/>
  <c r="S168" i="12"/>
  <c r="H440" i="20"/>
  <c r="Y440" i="20" s="1"/>
  <c r="AV234" i="2"/>
  <c r="H438" i="20"/>
  <c r="Y438" i="20" s="1"/>
  <c r="I456" i="20"/>
  <c r="I462" i="20" s="1"/>
  <c r="K450" i="20"/>
  <c r="K456" i="20" s="1"/>
  <c r="K462" i="20" s="1"/>
  <c r="H439" i="20"/>
  <c r="Y439" i="20" s="1"/>
  <c r="AV235" i="2"/>
  <c r="F255" i="2"/>
  <c r="AW255" i="2" s="1"/>
  <c r="F254" i="2"/>
  <c r="AW254" i="2" s="1"/>
  <c r="F239" i="2"/>
  <c r="F238" i="2"/>
  <c r="F256" i="2"/>
  <c r="AW256" i="2" s="1"/>
  <c r="F253" i="2"/>
  <c r="AW253" i="2" s="1"/>
  <c r="G100" i="2"/>
  <c r="AQ456" i="20"/>
  <c r="AQ462" i="20" s="1"/>
  <c r="AS450" i="20"/>
  <c r="AS456" i="20" s="1"/>
  <c r="AS462" i="20" s="1"/>
  <c r="AB170" i="12"/>
  <c r="D106" i="2" s="1"/>
  <c r="AU106" i="2" s="1"/>
  <c r="DJ64" i="11"/>
  <c r="AC435" i="7"/>
  <c r="AS14" i="11"/>
  <c r="AV14" i="11" s="1"/>
  <c r="AO22" i="6"/>
  <c r="CH71" i="6"/>
  <c r="Z71" i="6"/>
  <c r="CX29" i="6"/>
  <c r="CX34" i="6" s="1"/>
  <c r="AV29" i="6"/>
  <c r="W22" i="6"/>
  <c r="Q24" i="12"/>
  <c r="CT65" i="11"/>
  <c r="CU65" i="11" s="1"/>
  <c r="CU60" i="11"/>
  <c r="S24" i="12"/>
  <c r="BI12" i="11"/>
  <c r="DE60" i="11"/>
  <c r="DD65" i="11"/>
  <c r="DC65" i="11" s="1"/>
  <c r="J14" i="11"/>
  <c r="J16" i="11" s="1"/>
  <c r="AA254" i="8"/>
  <c r="U273" i="7"/>
  <c r="AD748" i="7"/>
  <c r="U629" i="7"/>
  <c r="U640" i="7" s="1"/>
  <c r="W254" i="8"/>
  <c r="S254" i="8"/>
  <c r="O254" i="8"/>
  <c r="K254" i="8"/>
  <c r="AA661" i="7"/>
  <c r="AA665" i="7" s="1"/>
  <c r="O273" i="7"/>
  <c r="AA273" i="7"/>
  <c r="Y273" i="7"/>
  <c r="Y629" i="7"/>
  <c r="Q629" i="7"/>
  <c r="Q632" i="7" s="1"/>
  <c r="AB719" i="7"/>
  <c r="N60" i="11"/>
  <c r="M65" i="11"/>
  <c r="M76" i="11" s="1"/>
  <c r="N76" i="11" s="1"/>
  <c r="L60" i="11"/>
  <c r="H168" i="12"/>
  <c r="CE61" i="6"/>
  <c r="BF116" i="2"/>
  <c r="P104" i="20"/>
  <c r="AG104" i="20" s="1"/>
  <c r="BB116" i="2"/>
  <c r="L104" i="20"/>
  <c r="AC104" i="20" s="1"/>
  <c r="AC73" i="6"/>
  <c r="DR71" i="6"/>
  <c r="DD71" i="6"/>
  <c r="BS22" i="6"/>
  <c r="N29" i="6"/>
  <c r="T78" i="6" s="1"/>
  <c r="CG29" i="6"/>
  <c r="CM78" i="6" s="1"/>
  <c r="BW14" i="11"/>
  <c r="BZ14" i="11" s="1"/>
  <c r="E288" i="2"/>
  <c r="CW22" i="6"/>
  <c r="AM60" i="11"/>
  <c r="BU12" i="11"/>
  <c r="BU11" i="11" s="1"/>
  <c r="T73" i="12" s="1"/>
  <c r="BG22" i="6"/>
  <c r="BG61" i="6"/>
  <c r="AA24" i="12"/>
  <c r="AA168" i="12"/>
  <c r="DX71" i="6"/>
  <c r="DU61" i="6"/>
  <c r="N12" i="11"/>
  <c r="BY73" i="6"/>
  <c r="DU22" i="6"/>
  <c r="CE22" i="6"/>
  <c r="CZ71" i="6"/>
  <c r="CN71" i="6"/>
  <c r="BP71" i="6"/>
  <c r="BD29" i="6"/>
  <c r="BJ78" i="6" s="1"/>
  <c r="T71" i="6"/>
  <c r="AW252" i="2"/>
  <c r="AD394" i="12"/>
  <c r="AD397" i="12" s="1"/>
  <c r="CY11" i="11"/>
  <c r="Z73" i="12" s="1"/>
  <c r="AK60" i="11"/>
  <c r="BE60" i="11"/>
  <c r="U24" i="12"/>
  <c r="AO12" i="11"/>
  <c r="AB55" i="12"/>
  <c r="CO65" i="11"/>
  <c r="X30" i="12" s="1"/>
  <c r="L55" i="12"/>
  <c r="BT60" i="11"/>
  <c r="AH10" i="11"/>
  <c r="CQ61" i="6"/>
  <c r="AU22" i="6"/>
  <c r="CW61" i="6"/>
  <c r="BA65" i="11"/>
  <c r="BA76" i="11" s="1"/>
  <c r="BB76" i="11" s="1"/>
  <c r="P24" i="12"/>
  <c r="X24" i="12"/>
  <c r="BV60" i="11"/>
  <c r="P12" i="11"/>
  <c r="CZ12" i="11"/>
  <c r="CQ73" i="6"/>
  <c r="CQ22" i="6"/>
  <c r="CK73" i="6"/>
  <c r="AX29" i="6"/>
  <c r="AX78" i="6" s="1"/>
  <c r="Z308" i="17"/>
  <c r="X333" i="17" s="1"/>
  <c r="DE29" i="6"/>
  <c r="O14" i="11"/>
  <c r="O16" i="11" s="1"/>
  <c r="BP12" i="11"/>
  <c r="S139" i="12" s="1"/>
  <c r="BO26" i="11" s="1"/>
  <c r="CE14" i="11"/>
  <c r="V141" i="12" s="1"/>
  <c r="CD28" i="11" s="1"/>
  <c r="AL65" i="11"/>
  <c r="AM65" i="11" s="1"/>
  <c r="BF65" i="11"/>
  <c r="Q30" i="12" s="1"/>
  <c r="BG60" i="11"/>
  <c r="CA60" i="11"/>
  <c r="BY60" i="11"/>
  <c r="CN60" i="11"/>
  <c r="AZ60" i="11"/>
  <c r="CP60" i="11"/>
  <c r="BB60" i="11"/>
  <c r="DC61" i="6"/>
  <c r="BU65" i="11"/>
  <c r="BV65" i="11" s="1"/>
  <c r="BA287" i="17"/>
  <c r="EC47" i="6"/>
  <c r="EC96" i="6" s="1"/>
  <c r="AB736" i="7"/>
  <c r="DK71" i="6"/>
  <c r="DC22" i="6"/>
  <c r="BA22" i="6"/>
  <c r="Z285" i="17"/>
  <c r="Z298" i="17" s="1"/>
  <c r="Z300" i="17" s="1"/>
  <c r="CQ14" i="11"/>
  <c r="CT14" i="11" s="1"/>
  <c r="DH88" i="11"/>
  <c r="EA85" i="6"/>
  <c r="BS12" i="11"/>
  <c r="AW316" i="17"/>
  <c r="AW318" i="17" s="1"/>
  <c r="AG319" i="17"/>
  <c r="AG321" i="17" s="1"/>
  <c r="AT12" i="11"/>
  <c r="BU14" i="11"/>
  <c r="T141" i="12" s="1"/>
  <c r="BT28" i="11" s="1"/>
  <c r="AS316" i="17"/>
  <c r="AS318" i="17" s="1"/>
  <c r="BO71" i="6"/>
  <c r="DI73" i="6"/>
  <c r="BJ71" i="6"/>
  <c r="BI71" i="6"/>
  <c r="AD298" i="17"/>
  <c r="AD300" i="17" s="1"/>
  <c r="CR12" i="11"/>
  <c r="DJ88" i="11"/>
  <c r="BO60" i="11"/>
  <c r="BP65" i="11"/>
  <c r="BQ65" i="11" s="1"/>
  <c r="CG97" i="11"/>
  <c r="AF60" i="11"/>
  <c r="AH60" i="11"/>
  <c r="L24" i="12"/>
  <c r="AG65" i="11"/>
  <c r="AF65" i="11" s="1"/>
  <c r="BM61" i="6"/>
  <c r="Y319" i="17"/>
  <c r="Y321" i="17" s="1"/>
  <c r="AC319" i="17"/>
  <c r="AC321" i="17" s="1"/>
  <c r="CH12" i="11"/>
  <c r="BA316" i="17"/>
  <c r="BA318" i="17" s="1"/>
  <c r="U287" i="17"/>
  <c r="EJ18" i="6"/>
  <c r="EJ67" i="6" s="1"/>
  <c r="BI319" i="17"/>
  <c r="BI321" i="17" s="1"/>
  <c r="EJ40" i="6"/>
  <c r="EJ89" i="6" s="1"/>
  <c r="DA48" i="6"/>
  <c r="DA49" i="6" s="1"/>
  <c r="E140" i="2"/>
  <c r="AV140" i="2" s="1"/>
  <c r="DS63" i="11"/>
  <c r="AC168" i="12"/>
  <c r="E104" i="2" s="1"/>
  <c r="AV104" i="2" s="1"/>
  <c r="AC24" i="12"/>
  <c r="CO12" i="11"/>
  <c r="CL14" i="11"/>
  <c r="BE319" i="17"/>
  <c r="BE321" i="17" s="1"/>
  <c r="AS287" i="17"/>
  <c r="CK61" i="6"/>
  <c r="K371" i="12"/>
  <c r="BB298" i="17"/>
  <c r="BB300" i="17" s="1"/>
  <c r="CM12" i="11"/>
  <c r="AK316" i="17"/>
  <c r="AK318" i="17" s="1"/>
  <c r="DO61" i="6"/>
  <c r="E133" i="2"/>
  <c r="AV133" i="2" s="1"/>
  <c r="DS59" i="11"/>
  <c r="DH103" i="11"/>
  <c r="AB106" i="12"/>
  <c r="DJ103" i="11"/>
  <c r="X254" i="8"/>
  <c r="T254" i="8"/>
  <c r="P254" i="8"/>
  <c r="L254" i="8"/>
  <c r="Q333" i="17"/>
  <c r="R143" i="12"/>
  <c r="AC316" i="17"/>
  <c r="AC318" i="17" s="1"/>
  <c r="AS333" i="17"/>
  <c r="AK287" i="17"/>
  <c r="F423" i="20"/>
  <c r="W423" i="20" s="1"/>
  <c r="E299" i="2"/>
  <c r="BE316" i="17"/>
  <c r="BE318" i="17" s="1"/>
  <c r="AW319" i="17"/>
  <c r="AW321" i="17" s="1"/>
  <c r="AG316" i="17"/>
  <c r="AG318" i="17" s="1"/>
  <c r="BI316" i="17"/>
  <c r="BI318" i="17" s="1"/>
  <c r="AT298" i="17"/>
  <c r="AT300" i="17" s="1"/>
  <c r="AD295" i="17"/>
  <c r="AD297" i="17" s="1"/>
  <c r="BS14" i="11"/>
  <c r="AK284" i="17"/>
  <c r="CL111" i="11"/>
  <c r="CQ111" i="11" s="1"/>
  <c r="CQ112" i="11" s="1"/>
  <c r="AB143" i="12"/>
  <c r="J143" i="12"/>
  <c r="C109" i="2"/>
  <c r="AT109" i="2" s="1"/>
  <c r="DI61" i="6"/>
  <c r="AO319" i="17"/>
  <c r="AO321" i="17" s="1"/>
  <c r="BS61" i="6"/>
  <c r="CC12" i="11"/>
  <c r="G414" i="20"/>
  <c r="X414" i="20" s="1"/>
  <c r="AL298" i="17"/>
  <c r="AL300" i="17" s="1"/>
  <c r="DM89" i="6"/>
  <c r="E22" i="6"/>
  <c r="CE12" i="11"/>
  <c r="AJ12" i="11"/>
  <c r="F429" i="20"/>
  <c r="W429" i="20" s="1"/>
  <c r="F414" i="20"/>
  <c r="W414" i="20" s="1"/>
  <c r="C111" i="2"/>
  <c r="AT111" i="2" s="1"/>
  <c r="U284" i="17"/>
  <c r="N71" i="6"/>
  <c r="BN12" i="11"/>
  <c r="G423" i="20"/>
  <c r="X423" i="20" s="1"/>
  <c r="F432" i="20"/>
  <c r="W432" i="20" s="1"/>
  <c r="F431" i="20"/>
  <c r="W431" i="20" s="1"/>
  <c r="DY89" i="6"/>
  <c r="DG89" i="6"/>
  <c r="AU111" i="2"/>
  <c r="D294" i="2"/>
  <c r="AN14" i="11"/>
  <c r="AQ12" i="11"/>
  <c r="D110" i="2"/>
  <c r="G77" i="20" s="1"/>
  <c r="X77" i="20" s="1"/>
  <c r="DS49" i="6"/>
  <c r="CP180" i="17"/>
  <c r="CO168" i="17"/>
  <c r="AX111" i="17"/>
  <c r="Q150" i="12"/>
  <c r="BA116" i="17"/>
  <c r="AX117" i="17"/>
  <c r="AW107" i="17"/>
  <c r="AY116" i="17"/>
  <c r="AZ116" i="17"/>
  <c r="R111" i="17"/>
  <c r="I150" i="12"/>
  <c r="U116" i="17"/>
  <c r="R117" i="17"/>
  <c r="Q107" i="17"/>
  <c r="S116" i="17"/>
  <c r="T116" i="17"/>
  <c r="G231" i="2"/>
  <c r="AX231" i="2" s="1"/>
  <c r="AD770" i="7"/>
  <c r="EQ16" i="6"/>
  <c r="AD692" i="7"/>
  <c r="BE97" i="6"/>
  <c r="BE49" i="6"/>
  <c r="AG97" i="6"/>
  <c r="AG49" i="6"/>
  <c r="U97" i="6"/>
  <c r="U49" i="6"/>
  <c r="Y161" i="8"/>
  <c r="Q161" i="8"/>
  <c r="I161" i="8"/>
  <c r="AD630" i="7"/>
  <c r="AD651" i="7" s="1"/>
  <c r="AD497" i="7"/>
  <c r="AD487" i="7"/>
  <c r="EP90" i="6"/>
  <c r="Y791" i="7"/>
  <c r="Y466" i="12"/>
  <c r="Y473" i="12" s="1"/>
  <c r="AX221" i="2"/>
  <c r="M418" i="20"/>
  <c r="AD418" i="20" s="1"/>
  <c r="L418" i="20"/>
  <c r="AC418" i="20" s="1"/>
  <c r="W411" i="20"/>
  <c r="DN18" i="6"/>
  <c r="DN67" i="6" s="1"/>
  <c r="DI67" i="6"/>
  <c r="CP18" i="6"/>
  <c r="CP67" i="6" s="1"/>
  <c r="CK67" i="6"/>
  <c r="BR18" i="6"/>
  <c r="BR67" i="6" s="1"/>
  <c r="BM67" i="6"/>
  <c r="AT18" i="6"/>
  <c r="AT67" i="6" s="1"/>
  <c r="AO67" i="6"/>
  <c r="AC628" i="7"/>
  <c r="EO45" i="6"/>
  <c r="AD741" i="7"/>
  <c r="AA388" i="7"/>
  <c r="AA382" i="7"/>
  <c r="AA459" i="7"/>
  <c r="U388" i="7"/>
  <c r="U382" i="7"/>
  <c r="U459" i="7"/>
  <c r="M388" i="7"/>
  <c r="M382" i="7"/>
  <c r="M459" i="7"/>
  <c r="AX150" i="2"/>
  <c r="L199" i="20"/>
  <c r="AC199" i="20" s="1"/>
  <c r="M199" i="20"/>
  <c r="AD199" i="20" s="1"/>
  <c r="L198" i="20"/>
  <c r="AC198" i="20" s="1"/>
  <c r="M198" i="20"/>
  <c r="AD198" i="20" s="1"/>
  <c r="AA157" i="8"/>
  <c r="AA150" i="8"/>
  <c r="AC43" i="8"/>
  <c r="AC24" i="8"/>
  <c r="AD12" i="8"/>
  <c r="AE12" i="8" s="1"/>
  <c r="AE11" i="8" s="1"/>
  <c r="AC8" i="8"/>
  <c r="R84" i="8"/>
  <c r="R116" i="8"/>
  <c r="R123" i="8" s="1"/>
  <c r="R147" i="8"/>
  <c r="BJ207" i="17"/>
  <c r="BL212" i="17"/>
  <c r="BK212" i="17"/>
  <c r="BJ213" i="17"/>
  <c r="T154" i="12"/>
  <c r="BM212" i="17"/>
  <c r="BI203" i="17"/>
  <c r="AD207" i="17"/>
  <c r="AF212" i="17"/>
  <c r="AE212" i="17"/>
  <c r="AD213" i="17"/>
  <c r="L154" i="12"/>
  <c r="AG212" i="17"/>
  <c r="AC203" i="17"/>
  <c r="EK28" i="6"/>
  <c r="EK77" i="6" s="1"/>
  <c r="AC778" i="7"/>
  <c r="AC339" i="7"/>
  <c r="P153" i="8"/>
  <c r="P160" i="8"/>
  <c r="Y195" i="7"/>
  <c r="Y189" i="7"/>
  <c r="Y366" i="7"/>
  <c r="Y357" i="7"/>
  <c r="Y360" i="7"/>
  <c r="U387" i="7"/>
  <c r="U378" i="7"/>
  <c r="U458" i="7"/>
  <c r="U381" i="7"/>
  <c r="U237" i="8"/>
  <c r="Q195" i="7"/>
  <c r="Q189" i="7"/>
  <c r="Q366" i="7"/>
  <c r="Q357" i="7"/>
  <c r="Q360" i="7"/>
  <c r="M387" i="7"/>
  <c r="M378" i="7"/>
  <c r="M458" i="7"/>
  <c r="M381" i="7"/>
  <c r="M237" i="8"/>
  <c r="G237" i="8"/>
  <c r="DZ40" i="6"/>
  <c r="DZ89" i="6" s="1"/>
  <c r="CK40" i="6"/>
  <c r="CN89" i="6"/>
  <c r="AC588" i="7"/>
  <c r="AC593" i="7" s="1"/>
  <c r="AD164" i="7"/>
  <c r="AA639" i="7"/>
  <c r="AA629" i="7"/>
  <c r="G208" i="2"/>
  <c r="EO35" i="6"/>
  <c r="AD396" i="7"/>
  <c r="F194" i="2" s="1"/>
  <c r="EA35" i="6"/>
  <c r="EB84" i="6"/>
  <c r="X459" i="7"/>
  <c r="X388" i="7"/>
  <c r="X382" i="7"/>
  <c r="P459" i="7"/>
  <c r="P388" i="7"/>
  <c r="P382" i="7"/>
  <c r="Z157" i="8"/>
  <c r="Z150" i="8"/>
  <c r="Y144" i="12"/>
  <c r="CS30" i="11" s="1"/>
  <c r="CU17" i="11"/>
  <c r="Y176" i="12"/>
  <c r="W176" i="12"/>
  <c r="CK17" i="11"/>
  <c r="W144" i="12"/>
  <c r="CI30" i="11" s="1"/>
  <c r="CA17" i="11"/>
  <c r="U176" i="12"/>
  <c r="U144" i="12"/>
  <c r="BY30" i="11" s="1"/>
  <c r="S176" i="12"/>
  <c r="BQ17" i="11"/>
  <c r="S144" i="12"/>
  <c r="BO30" i="11" s="1"/>
  <c r="Q176" i="12"/>
  <c r="Q144" i="12"/>
  <c r="BE30" i="11" s="1"/>
  <c r="BG17" i="11"/>
  <c r="O144" i="12"/>
  <c r="AU30" i="11" s="1"/>
  <c r="O176" i="12"/>
  <c r="AW17" i="11"/>
  <c r="M176" i="12"/>
  <c r="AM17" i="11"/>
  <c r="M144" i="12"/>
  <c r="AK30" i="11" s="1"/>
  <c r="AB345" i="12"/>
  <c r="CS27" i="11"/>
  <c r="Y143" i="12"/>
  <c r="D102" i="2"/>
  <c r="BR237" i="17"/>
  <c r="BQ225" i="17"/>
  <c r="BR83" i="17"/>
  <c r="BQ68" i="17"/>
  <c r="AT111" i="17"/>
  <c r="P150" i="12"/>
  <c r="AV116" i="17"/>
  <c r="AW116" i="17"/>
  <c r="AU116" i="17"/>
  <c r="AT117" i="17"/>
  <c r="AS107" i="17"/>
  <c r="AD111" i="17"/>
  <c r="L150" i="12"/>
  <c r="AF116" i="17"/>
  <c r="AG116" i="17"/>
  <c r="AE116" i="17"/>
  <c r="AD117" i="17"/>
  <c r="AC107" i="17"/>
  <c r="N111" i="17"/>
  <c r="H150" i="12"/>
  <c r="P116" i="17"/>
  <c r="Q116" i="17"/>
  <c r="O116" i="17"/>
  <c r="N117" i="17"/>
  <c r="M107" i="17"/>
  <c r="EQ18" i="6"/>
  <c r="AD771" i="7"/>
  <c r="AD140" i="7"/>
  <c r="EN28" i="6"/>
  <c r="AD708" i="7"/>
  <c r="EH77" i="6"/>
  <c r="EG28" i="6"/>
  <c r="EG77" i="6" s="1"/>
  <c r="K161" i="8"/>
  <c r="H237" i="8"/>
  <c r="AA791" i="7"/>
  <c r="AA466" i="12"/>
  <c r="AA473" i="12" s="1"/>
  <c r="O598" i="7"/>
  <c r="O593" i="7"/>
  <c r="AU224" i="2"/>
  <c r="F422" i="20"/>
  <c r="W422" i="20" s="1"/>
  <c r="F421" i="20"/>
  <c r="W421" i="20" s="1"/>
  <c r="F430" i="20"/>
  <c r="W430" i="20" s="1"/>
  <c r="G422" i="20"/>
  <c r="X422" i="20" s="1"/>
  <c r="G421" i="20"/>
  <c r="X421" i="20" s="1"/>
  <c r="Z460" i="7"/>
  <c r="Z383" i="7"/>
  <c r="Z389" i="7"/>
  <c r="X460" i="7"/>
  <c r="X383" i="7"/>
  <c r="X389" i="7"/>
  <c r="V460" i="7"/>
  <c r="V383" i="7"/>
  <c r="V389" i="7"/>
  <c r="T460" i="7"/>
  <c r="T383" i="7"/>
  <c r="T389" i="7"/>
  <c r="R460" i="7"/>
  <c r="R383" i="7"/>
  <c r="R389" i="7"/>
  <c r="P460" i="7"/>
  <c r="P383" i="7"/>
  <c r="P389" i="7"/>
  <c r="N460" i="7"/>
  <c r="N383" i="7"/>
  <c r="N389" i="7"/>
  <c r="L460" i="7"/>
  <c r="L383" i="7"/>
  <c r="L389" i="7"/>
  <c r="EO33" i="6"/>
  <c r="AD731" i="7"/>
  <c r="S388" i="7"/>
  <c r="S382" i="7"/>
  <c r="S459" i="7"/>
  <c r="W157" i="8"/>
  <c r="W150" i="8"/>
  <c r="S157" i="8"/>
  <c r="S150" i="8"/>
  <c r="O157" i="8"/>
  <c r="O150" i="8"/>
  <c r="K157" i="8"/>
  <c r="K150" i="8"/>
  <c r="C183" i="2"/>
  <c r="Z84" i="8"/>
  <c r="Z116" i="8"/>
  <c r="Z123" i="8" s="1"/>
  <c r="Z147" i="8"/>
  <c r="H84" i="8"/>
  <c r="H116" i="8"/>
  <c r="H123" i="8" s="1"/>
  <c r="H147" i="8"/>
  <c r="G176" i="2"/>
  <c r="AD22" i="8"/>
  <c r="E247" i="20"/>
  <c r="V247" i="20" s="1"/>
  <c r="AU276" i="2"/>
  <c r="F245" i="20"/>
  <c r="W245" i="20" s="1"/>
  <c r="AV274" i="2"/>
  <c r="F244" i="20"/>
  <c r="W244" i="20" s="1"/>
  <c r="AV273" i="2"/>
  <c r="E243" i="20"/>
  <c r="V243" i="20" s="1"/>
  <c r="AU272" i="2"/>
  <c r="BN207" i="17"/>
  <c r="AH207" i="17"/>
  <c r="AK212" i="17"/>
  <c r="AJ212" i="17"/>
  <c r="AG203" i="17"/>
  <c r="M154" i="12"/>
  <c r="AI212" i="17"/>
  <c r="AH213" i="17"/>
  <c r="BK14" i="17"/>
  <c r="BK227" i="17"/>
  <c r="R273" i="7"/>
  <c r="N153" i="8"/>
  <c r="N160" i="8"/>
  <c r="AA195" i="7"/>
  <c r="AA189" i="7"/>
  <c r="AA366" i="7"/>
  <c r="AA357" i="7"/>
  <c r="AA360" i="7"/>
  <c r="E29" i="6"/>
  <c r="F34" i="6"/>
  <c r="CD40" i="6"/>
  <c r="CD89" i="6" s="1"/>
  <c r="AH40" i="6"/>
  <c r="AH89" i="6" s="1"/>
  <c r="AX216" i="2"/>
  <c r="M412" i="20"/>
  <c r="AD412" i="20" s="1"/>
  <c r="L412" i="20"/>
  <c r="AC412" i="20" s="1"/>
  <c r="AD168" i="7"/>
  <c r="R593" i="7"/>
  <c r="R598" i="7"/>
  <c r="N593" i="7"/>
  <c r="N598" i="7"/>
  <c r="EP68" i="6"/>
  <c r="G202" i="2"/>
  <c r="EO9" i="6"/>
  <c r="R367" i="7"/>
  <c r="R361" i="7"/>
  <c r="S84" i="8"/>
  <c r="CX27" i="11"/>
  <c r="Z143" i="12"/>
  <c r="BT220" i="17"/>
  <c r="BU220" i="17" s="1"/>
  <c r="BV220" i="17" s="1"/>
  <c r="BW220" i="17" s="1"/>
  <c r="BV221" i="17"/>
  <c r="BT60" i="17"/>
  <c r="BU60" i="17" s="1"/>
  <c r="BV60" i="17" s="1"/>
  <c r="BW60" i="17" s="1"/>
  <c r="BV61" i="17"/>
  <c r="CR163" i="17"/>
  <c r="CS163" i="17" s="1"/>
  <c r="CT163" i="17" s="1"/>
  <c r="CU163" i="17" s="1"/>
  <c r="CT164" i="17"/>
  <c r="BL170" i="17"/>
  <c r="BK169" i="17"/>
  <c r="BK182" i="17" s="1"/>
  <c r="AP111" i="17"/>
  <c r="O150" i="12"/>
  <c r="AS116" i="17"/>
  <c r="AP117" i="17"/>
  <c r="AO107" i="17"/>
  <c r="AQ116" i="17"/>
  <c r="AR116" i="17"/>
  <c r="M116" i="17"/>
  <c r="K116" i="17"/>
  <c r="L116" i="17"/>
  <c r="I107" i="17"/>
  <c r="EN24" i="6"/>
  <c r="AD706" i="7"/>
  <c r="EH73" i="6"/>
  <c r="Q160" i="8"/>
  <c r="Q153" i="8"/>
  <c r="M160" i="8"/>
  <c r="M153" i="8"/>
  <c r="I160" i="8"/>
  <c r="I153" i="8"/>
  <c r="Z458" i="7"/>
  <c r="Z381" i="7"/>
  <c r="Z387" i="7"/>
  <c r="Z378" i="7"/>
  <c r="Z237" i="8"/>
  <c r="V195" i="7"/>
  <c r="V189" i="7"/>
  <c r="V360" i="7"/>
  <c r="V366" i="7"/>
  <c r="V357" i="7"/>
  <c r="R458" i="7"/>
  <c r="R381" i="7"/>
  <c r="R387" i="7"/>
  <c r="R378" i="7"/>
  <c r="R237" i="8"/>
  <c r="N195" i="7"/>
  <c r="N189" i="7"/>
  <c r="N360" i="7"/>
  <c r="N366" i="7"/>
  <c r="N357" i="7"/>
  <c r="W791" i="7"/>
  <c r="W466" i="12"/>
  <c r="W473" i="12" s="1"/>
  <c r="AX246" i="2"/>
  <c r="M482" i="20"/>
  <c r="AD482" i="20" s="1"/>
  <c r="L417" i="20"/>
  <c r="AC417" i="20" s="1"/>
  <c r="L482" i="20"/>
  <c r="AC482" i="20" s="1"/>
  <c r="M417" i="20"/>
  <c r="AD417" i="20" s="1"/>
  <c r="DZ18" i="6"/>
  <c r="DZ67" i="6" s="1"/>
  <c r="DU67" i="6"/>
  <c r="DB18" i="6"/>
  <c r="DB67" i="6" s="1"/>
  <c r="CW67" i="6"/>
  <c r="CD18" i="6"/>
  <c r="CD67" i="6" s="1"/>
  <c r="BY67" i="6"/>
  <c r="BF18" i="6"/>
  <c r="BF67" i="6" s="1"/>
  <c r="BA67" i="6"/>
  <c r="Y367" i="7"/>
  <c r="Y361" i="7"/>
  <c r="Q367" i="7"/>
  <c r="Q361" i="7"/>
  <c r="V84" i="8"/>
  <c r="V116" i="8"/>
  <c r="V123" i="8" s="1"/>
  <c r="V147" i="8"/>
  <c r="N84" i="8"/>
  <c r="N116" i="8"/>
  <c r="N123" i="8" s="1"/>
  <c r="N147" i="8"/>
  <c r="BB207" i="17"/>
  <c r="BD212" i="17"/>
  <c r="BC212" i="17"/>
  <c r="BB213" i="17"/>
  <c r="R154" i="12"/>
  <c r="BE212" i="17"/>
  <c r="BA203" i="17"/>
  <c r="V207" i="17"/>
  <c r="X212" i="17"/>
  <c r="W212" i="17"/>
  <c r="V213" i="17"/>
  <c r="J154" i="12"/>
  <c r="Y212" i="17"/>
  <c r="U203" i="17"/>
  <c r="G233" i="2"/>
  <c r="AX233" i="2" s="1"/>
  <c r="AD769" i="7"/>
  <c r="EQ17" i="6"/>
  <c r="CU49" i="6"/>
  <c r="CU97" i="6"/>
  <c r="AY49" i="6"/>
  <c r="AY97" i="6"/>
  <c r="T229" i="7"/>
  <c r="T153" i="8"/>
  <c r="T160" i="8"/>
  <c r="L273" i="7"/>
  <c r="C242" i="2"/>
  <c r="AT242" i="2" s="1"/>
  <c r="Z791" i="7"/>
  <c r="Z466" i="12"/>
  <c r="Z473" i="12" s="1"/>
  <c r="Z650" i="7"/>
  <c r="Z640" i="7"/>
  <c r="AA368" i="7"/>
  <c r="AA362" i="7"/>
  <c r="Y368" i="7"/>
  <c r="Y362" i="7"/>
  <c r="W368" i="7"/>
  <c r="W362" i="7"/>
  <c r="U368" i="7"/>
  <c r="U362" i="7"/>
  <c r="S368" i="7"/>
  <c r="S362" i="7"/>
  <c r="Q368" i="7"/>
  <c r="Q362" i="7"/>
  <c r="O368" i="7"/>
  <c r="O362" i="7"/>
  <c r="M368" i="7"/>
  <c r="M362" i="7"/>
  <c r="Z367" i="7"/>
  <c r="Z361" i="7"/>
  <c r="T367" i="7"/>
  <c r="T361" i="7"/>
  <c r="L367" i="7"/>
  <c r="L361" i="7"/>
  <c r="EJ17" i="6"/>
  <c r="AC659" i="7"/>
  <c r="AC59" i="7"/>
  <c r="V254" i="8"/>
  <c r="R254" i="8"/>
  <c r="N254" i="8"/>
  <c r="J254" i="8"/>
  <c r="W84" i="8"/>
  <c r="W116" i="8"/>
  <c r="W147" i="8"/>
  <c r="EQ30" i="6"/>
  <c r="AD777" i="7"/>
  <c r="AA153" i="7"/>
  <c r="AA471" i="12"/>
  <c r="EO40" i="6"/>
  <c r="AD740" i="7"/>
  <c r="DN47" i="6"/>
  <c r="DN96" i="6" s="1"/>
  <c r="DK96" i="6"/>
  <c r="BO29" i="11"/>
  <c r="S143" i="12"/>
  <c r="AA29" i="11"/>
  <c r="K143" i="12"/>
  <c r="BT27" i="11"/>
  <c r="T143" i="12"/>
  <c r="AZ27" i="11"/>
  <c r="P143" i="12"/>
  <c r="AF27" i="11"/>
  <c r="L143" i="12"/>
  <c r="L27" i="11"/>
  <c r="H143" i="12"/>
  <c r="C102" i="2"/>
  <c r="DC85" i="6"/>
  <c r="DI85" i="6"/>
  <c r="BG85" i="6"/>
  <c r="BM85" i="6"/>
  <c r="BY27" i="11"/>
  <c r="U143" i="12"/>
  <c r="AK27" i="11"/>
  <c r="M143" i="12"/>
  <c r="Q27" i="11"/>
  <c r="I143" i="12"/>
  <c r="BV64" i="17"/>
  <c r="BT63" i="17"/>
  <c r="BU63" i="17" s="1"/>
  <c r="BV63" i="17" s="1"/>
  <c r="BW63" i="17" s="1"/>
  <c r="BB111" i="17"/>
  <c r="R150" i="12"/>
  <c r="BD116" i="17"/>
  <c r="BE116" i="17"/>
  <c r="BC116" i="17"/>
  <c r="BB117" i="17"/>
  <c r="BA107" i="17"/>
  <c r="DY48" i="6"/>
  <c r="CO97" i="6"/>
  <c r="CO49" i="6"/>
  <c r="AS97" i="6"/>
  <c r="AS49" i="6"/>
  <c r="AU191" i="2"/>
  <c r="F341" i="20"/>
  <c r="W341" i="20" s="1"/>
  <c r="G341" i="20"/>
  <c r="X341" i="20" s="1"/>
  <c r="O160" i="8"/>
  <c r="O153" i="8"/>
  <c r="K160" i="8"/>
  <c r="K153" i="8"/>
  <c r="X195" i="7"/>
  <c r="X189" i="7"/>
  <c r="X360" i="7"/>
  <c r="X366" i="7"/>
  <c r="X357" i="7"/>
  <c r="T458" i="7"/>
  <c r="T381" i="7"/>
  <c r="T387" i="7"/>
  <c r="T378" i="7"/>
  <c r="T237" i="8"/>
  <c r="P195" i="7"/>
  <c r="P189" i="7"/>
  <c r="P360" i="7"/>
  <c r="P366" i="7"/>
  <c r="P357" i="7"/>
  <c r="L458" i="7"/>
  <c r="L387" i="7"/>
  <c r="L378" i="7"/>
  <c r="L237" i="8"/>
  <c r="AU227" i="2"/>
  <c r="G427" i="20"/>
  <c r="X427" i="20" s="1"/>
  <c r="F427" i="20"/>
  <c r="W427" i="20" s="1"/>
  <c r="Q598" i="7"/>
  <c r="Q593" i="7"/>
  <c r="M598" i="7"/>
  <c r="M593" i="7"/>
  <c r="V661" i="7"/>
  <c r="W388" i="7"/>
  <c r="W382" i="7"/>
  <c r="W459" i="7"/>
  <c r="O388" i="7"/>
  <c r="O382" i="7"/>
  <c r="O459" i="7"/>
  <c r="Y157" i="8"/>
  <c r="Y150" i="8"/>
  <c r="X84" i="8"/>
  <c r="X116" i="8"/>
  <c r="X147" i="8"/>
  <c r="P84" i="8"/>
  <c r="P116" i="8"/>
  <c r="Q123" i="8" s="1"/>
  <c r="P147" i="8"/>
  <c r="Q84" i="8"/>
  <c r="BF207" i="17"/>
  <c r="BI212" i="17"/>
  <c r="BH212" i="17"/>
  <c r="BE203" i="17"/>
  <c r="S154" i="12"/>
  <c r="BG212" i="17"/>
  <c r="BF213" i="17"/>
  <c r="Z207" i="17"/>
  <c r="AC212" i="17"/>
  <c r="AB212" i="17"/>
  <c r="Y203" i="17"/>
  <c r="K154" i="12"/>
  <c r="AA212" i="17"/>
  <c r="Z213" i="17"/>
  <c r="CI97" i="6"/>
  <c r="CI49" i="6"/>
  <c r="AM49" i="6"/>
  <c r="AM97" i="6"/>
  <c r="EG10" i="6"/>
  <c r="EG59" i="6" s="1"/>
  <c r="EH59" i="6"/>
  <c r="W195" i="7"/>
  <c r="W189" i="7"/>
  <c r="W366" i="7"/>
  <c r="W357" i="7"/>
  <c r="W360" i="7"/>
  <c r="S387" i="7"/>
  <c r="S378" i="7"/>
  <c r="S458" i="7"/>
  <c r="S381" i="7"/>
  <c r="S237" i="8"/>
  <c r="O195" i="7"/>
  <c r="O189" i="7"/>
  <c r="O366" i="7"/>
  <c r="O357" i="7"/>
  <c r="O360" i="7"/>
  <c r="BS40" i="6"/>
  <c r="BY89" i="6" s="1"/>
  <c r="BV89" i="6"/>
  <c r="AU40" i="6"/>
  <c r="BA89" i="6" s="1"/>
  <c r="AX89" i="6"/>
  <c r="W40" i="6"/>
  <c r="AC89" i="6" s="1"/>
  <c r="Z89" i="6"/>
  <c r="AW215" i="2"/>
  <c r="K411" i="20"/>
  <c r="AB411" i="20" s="1"/>
  <c r="J411" i="20"/>
  <c r="AA411" i="20" s="1"/>
  <c r="EP20" i="6"/>
  <c r="AD752" i="7"/>
  <c r="AD756" i="7" s="1"/>
  <c r="F224" i="2" s="1"/>
  <c r="P593" i="7"/>
  <c r="P598" i="7"/>
  <c r="L593" i="7"/>
  <c r="L598" i="7"/>
  <c r="V459" i="7"/>
  <c r="V388" i="7"/>
  <c r="V382" i="7"/>
  <c r="N459" i="7"/>
  <c r="N388" i="7"/>
  <c r="N382" i="7"/>
  <c r="X157" i="8"/>
  <c r="X150" i="8"/>
  <c r="T157" i="8"/>
  <c r="T150" i="8"/>
  <c r="P157" i="8"/>
  <c r="P150" i="8"/>
  <c r="L157" i="8"/>
  <c r="L150" i="8"/>
  <c r="H157" i="8"/>
  <c r="H150" i="8"/>
  <c r="K25" i="21"/>
  <c r="K22" i="21"/>
  <c r="K60" i="21" s="1"/>
  <c r="AA345" i="12"/>
  <c r="AA340" i="12"/>
  <c r="AA144" i="12"/>
  <c r="DC30" i="11" s="1"/>
  <c r="AA176" i="12"/>
  <c r="DE17" i="11"/>
  <c r="CZ88" i="11"/>
  <c r="Z84" i="12"/>
  <c r="C209" i="2"/>
  <c r="AT209" i="2" s="1"/>
  <c r="T176" i="12"/>
  <c r="BV17" i="11"/>
  <c r="T144" i="12"/>
  <c r="BT30" i="11" s="1"/>
  <c r="R144" i="12"/>
  <c r="BJ30" i="11" s="1"/>
  <c r="R176" i="12"/>
  <c r="BL17" i="11"/>
  <c r="P176" i="12"/>
  <c r="BB17" i="11"/>
  <c r="P144" i="12"/>
  <c r="AZ30" i="11" s="1"/>
  <c r="N144" i="12"/>
  <c r="AP30" i="11" s="1"/>
  <c r="N176" i="12"/>
  <c r="AR17" i="11"/>
  <c r="V40" i="6"/>
  <c r="V89" i="6" s="1"/>
  <c r="AV224" i="2"/>
  <c r="I421" i="20"/>
  <c r="Z421" i="20" s="1"/>
  <c r="H421" i="20"/>
  <c r="Y421" i="20" s="1"/>
  <c r="BH14" i="11"/>
  <c r="BK12" i="11"/>
  <c r="AD14" i="11"/>
  <c r="AG12" i="11"/>
  <c r="CT167" i="17"/>
  <c r="CR166" i="17"/>
  <c r="CS166" i="17" s="1"/>
  <c r="CT166" i="17" s="1"/>
  <c r="CU166" i="17" s="1"/>
  <c r="AH111" i="17"/>
  <c r="M150" i="12"/>
  <c r="AK116" i="17"/>
  <c r="AH117" i="17"/>
  <c r="AG107" i="17"/>
  <c r="AI116" i="17"/>
  <c r="AJ116" i="17"/>
  <c r="AB83" i="8"/>
  <c r="AB79" i="8"/>
  <c r="D183" i="2" s="1"/>
  <c r="AU183" i="2" s="1"/>
  <c r="CC97" i="6"/>
  <c r="CC49" i="6"/>
  <c r="Y229" i="7"/>
  <c r="AA161" i="8"/>
  <c r="U161" i="8"/>
  <c r="M161" i="8"/>
  <c r="AA367" i="7"/>
  <c r="AA361" i="7"/>
  <c r="U367" i="7"/>
  <c r="U361" i="7"/>
  <c r="M367" i="7"/>
  <c r="M361" i="7"/>
  <c r="Y254" i="8"/>
  <c r="U254" i="8"/>
  <c r="Q254" i="8"/>
  <c r="M254" i="8"/>
  <c r="I254" i="8"/>
  <c r="AB55" i="8"/>
  <c r="W42" i="8"/>
  <c r="W41" i="8"/>
  <c r="X40" i="8"/>
  <c r="J84" i="8"/>
  <c r="J116" i="8"/>
  <c r="J123" i="8" s="1"/>
  <c r="J147" i="8"/>
  <c r="AT207" i="17"/>
  <c r="AV212" i="17"/>
  <c r="AU212" i="17"/>
  <c r="AT213" i="17"/>
  <c r="P154" i="12"/>
  <c r="AW212" i="17"/>
  <c r="AS203" i="17"/>
  <c r="N207" i="17"/>
  <c r="P212" i="17"/>
  <c r="O212" i="17"/>
  <c r="N213" i="17"/>
  <c r="H154" i="12"/>
  <c r="Q212" i="17"/>
  <c r="M203" i="17"/>
  <c r="EN33" i="6"/>
  <c r="AD714" i="7"/>
  <c r="AD329" i="7"/>
  <c r="AD330" i="7" s="1"/>
  <c r="AC330" i="7"/>
  <c r="EH82" i="6"/>
  <c r="EG33" i="6"/>
  <c r="Z229" i="7"/>
  <c r="V229" i="7"/>
  <c r="H153" i="8"/>
  <c r="H160" i="8"/>
  <c r="Y387" i="7"/>
  <c r="Y378" i="7"/>
  <c r="Y458" i="7"/>
  <c r="Y381" i="7"/>
  <c r="Y237" i="8"/>
  <c r="U195" i="7"/>
  <c r="U189" i="7"/>
  <c r="U366" i="7"/>
  <c r="U357" i="7"/>
  <c r="U360" i="7"/>
  <c r="Q387" i="7"/>
  <c r="Q378" i="7"/>
  <c r="Q458" i="7"/>
  <c r="Q381" i="7"/>
  <c r="Q237" i="8"/>
  <c r="M195" i="7"/>
  <c r="M189" i="7"/>
  <c r="M366" i="7"/>
  <c r="M357" i="7"/>
  <c r="M360" i="7"/>
  <c r="AR89" i="6"/>
  <c r="AO40" i="6"/>
  <c r="DO40" i="6"/>
  <c r="DR89" i="6"/>
  <c r="AB593" i="7"/>
  <c r="AU217" i="2"/>
  <c r="F413" i="20"/>
  <c r="W413" i="20" s="1"/>
  <c r="G413" i="20"/>
  <c r="X413" i="20" s="1"/>
  <c r="W639" i="7"/>
  <c r="W629" i="7"/>
  <c r="S639" i="7"/>
  <c r="S629" i="7"/>
  <c r="O639" i="7"/>
  <c r="O629" i="7"/>
  <c r="AC660" i="7"/>
  <c r="EH35" i="6"/>
  <c r="AC402" i="7"/>
  <c r="AC399" i="7"/>
  <c r="EE35" i="6"/>
  <c r="AB781" i="7"/>
  <c r="AB782" i="7" s="1"/>
  <c r="AB405" i="7"/>
  <c r="AV194" i="2"/>
  <c r="I345" i="20"/>
  <c r="Z345" i="20" s="1"/>
  <c r="H345" i="20"/>
  <c r="Y345" i="20" s="1"/>
  <c r="EO28" i="6"/>
  <c r="AD729" i="7"/>
  <c r="X367" i="7"/>
  <c r="X361" i="7"/>
  <c r="P367" i="7"/>
  <c r="P361" i="7"/>
  <c r="AX151" i="2"/>
  <c r="L200" i="20"/>
  <c r="AC200" i="20" s="1"/>
  <c r="M200" i="20"/>
  <c r="AD200" i="20" s="1"/>
  <c r="Z153" i="7"/>
  <c r="Z471" i="12"/>
  <c r="CN27" i="11"/>
  <c r="X143" i="12"/>
  <c r="CK85" i="6"/>
  <c r="CE85" i="6"/>
  <c r="BT223" i="17"/>
  <c r="BU223" i="17" s="1"/>
  <c r="BV223" i="17" s="1"/>
  <c r="BW223" i="17" s="1"/>
  <c r="BV224" i="17"/>
  <c r="BT66" i="17"/>
  <c r="BU66" i="17" s="1"/>
  <c r="BV66" i="17" s="1"/>
  <c r="BW66" i="17" s="1"/>
  <c r="BV67" i="17"/>
  <c r="AL111" i="17"/>
  <c r="N150" i="12"/>
  <c r="AN116" i="17"/>
  <c r="AO116" i="17"/>
  <c r="AM116" i="17"/>
  <c r="AL117" i="17"/>
  <c r="AK107" i="17"/>
  <c r="V111" i="17"/>
  <c r="J150" i="12"/>
  <c r="X116" i="17"/>
  <c r="Y116" i="17"/>
  <c r="W116" i="17"/>
  <c r="V117" i="17"/>
  <c r="U107" i="17"/>
  <c r="Z362" i="7"/>
  <c r="Z368" i="7"/>
  <c r="X362" i="7"/>
  <c r="X368" i="7"/>
  <c r="V362" i="7"/>
  <c r="V368" i="7"/>
  <c r="T362" i="7"/>
  <c r="T368" i="7"/>
  <c r="R362" i="7"/>
  <c r="R368" i="7"/>
  <c r="P362" i="7"/>
  <c r="P368" i="7"/>
  <c r="N362" i="7"/>
  <c r="N368" i="7"/>
  <c r="L362" i="7"/>
  <c r="L368" i="7"/>
  <c r="EO32" i="6"/>
  <c r="AD730" i="7"/>
  <c r="G201" i="2"/>
  <c r="EO10" i="6"/>
  <c r="S367" i="7"/>
  <c r="S361" i="7"/>
  <c r="U157" i="8"/>
  <c r="U150" i="8"/>
  <c r="Q157" i="8"/>
  <c r="Q150" i="8"/>
  <c r="M157" i="8"/>
  <c r="M150" i="8"/>
  <c r="I157" i="8"/>
  <c r="I150" i="8"/>
  <c r="AD33" i="8"/>
  <c r="AX207" i="17"/>
  <c r="BA212" i="17"/>
  <c r="AZ212" i="17"/>
  <c r="AW203" i="17"/>
  <c r="Q154" i="12"/>
  <c r="AY212" i="17"/>
  <c r="AX213" i="17"/>
  <c r="R207" i="17"/>
  <c r="U212" i="17"/>
  <c r="T212" i="17"/>
  <c r="Q203" i="17"/>
  <c r="I154" i="12"/>
  <c r="S212" i="17"/>
  <c r="R213" i="17"/>
  <c r="EN32" i="6"/>
  <c r="AD713" i="7"/>
  <c r="AD302" i="7"/>
  <c r="AD303" i="7" s="1"/>
  <c r="EH81" i="6"/>
  <c r="R153" i="8"/>
  <c r="R160" i="8"/>
  <c r="N273" i="7"/>
  <c r="J153" i="8"/>
  <c r="J160" i="8"/>
  <c r="AA387" i="7"/>
  <c r="AA378" i="7"/>
  <c r="AA381" i="7"/>
  <c r="AA237" i="8"/>
  <c r="EA40" i="6"/>
  <c r="ED89" i="6"/>
  <c r="X791" i="7"/>
  <c r="X466" i="12"/>
  <c r="X473" i="12" s="1"/>
  <c r="CQ40" i="6"/>
  <c r="CW89" i="6" s="1"/>
  <c r="CT89" i="6"/>
  <c r="AD626" i="7"/>
  <c r="AD267" i="7"/>
  <c r="EP24" i="6"/>
  <c r="EP74" i="6"/>
  <c r="AX222" i="2"/>
  <c r="L419" i="20"/>
  <c r="AC419" i="20" s="1"/>
  <c r="M419" i="20"/>
  <c r="AD419" i="20" s="1"/>
  <c r="DT18" i="6"/>
  <c r="DT67" i="6" s="1"/>
  <c r="DO67" i="6"/>
  <c r="CV18" i="6"/>
  <c r="CV67" i="6" s="1"/>
  <c r="CQ67" i="6"/>
  <c r="BX18" i="6"/>
  <c r="BX67" i="6" s="1"/>
  <c r="BS67" i="6"/>
  <c r="AZ18" i="6"/>
  <c r="AZ67" i="6" s="1"/>
  <c r="AU67" i="6"/>
  <c r="AB18" i="6"/>
  <c r="AB67" i="6" s="1"/>
  <c r="AC144" i="8"/>
  <c r="S661" i="7"/>
  <c r="O661" i="7"/>
  <c r="R459" i="7"/>
  <c r="R388" i="7"/>
  <c r="R382" i="7"/>
  <c r="K84" i="8"/>
  <c r="EQ32" i="6"/>
  <c r="AD780" i="7"/>
  <c r="AU210" i="2"/>
  <c r="G387" i="20"/>
  <c r="X387" i="20" s="1"/>
  <c r="F387" i="20"/>
  <c r="W387" i="20" s="1"/>
  <c r="D101" i="2"/>
  <c r="E101" i="2"/>
  <c r="Z345" i="12"/>
  <c r="Z340" i="12"/>
  <c r="Z347" i="12" s="1"/>
  <c r="W143" i="12"/>
  <c r="CI27" i="11"/>
  <c r="W12" i="11"/>
  <c r="T14" i="11"/>
  <c r="BR234" i="17"/>
  <c r="BQ222" i="17"/>
  <c r="BR77" i="17"/>
  <c r="BQ62" i="17"/>
  <c r="CP177" i="17"/>
  <c r="CO165" i="17"/>
  <c r="CS246" i="17"/>
  <c r="CS248" i="17"/>
  <c r="CS247" i="17"/>
  <c r="BF111" i="17"/>
  <c r="S150" i="12"/>
  <c r="BI116" i="17"/>
  <c r="BF117" i="17"/>
  <c r="BE107" i="17"/>
  <c r="BG116" i="17"/>
  <c r="BH116" i="17"/>
  <c r="Z111" i="17"/>
  <c r="K150" i="12"/>
  <c r="AC116" i="17"/>
  <c r="Z117" i="17"/>
  <c r="Y107" i="17"/>
  <c r="AA116" i="17"/>
  <c r="AB116" i="17"/>
  <c r="AC146" i="8"/>
  <c r="W229" i="7"/>
  <c r="U160" i="8"/>
  <c r="U153" i="8"/>
  <c r="Z195" i="7"/>
  <c r="Z189" i="7"/>
  <c r="Z360" i="7"/>
  <c r="Z366" i="7"/>
  <c r="Z357" i="7"/>
  <c r="V458" i="7"/>
  <c r="V381" i="7"/>
  <c r="V387" i="7"/>
  <c r="V378" i="7"/>
  <c r="V237" i="8"/>
  <c r="R195" i="7"/>
  <c r="R189" i="7"/>
  <c r="R360" i="7"/>
  <c r="R366" i="7"/>
  <c r="R357" i="7"/>
  <c r="N458" i="7"/>
  <c r="N381" i="7"/>
  <c r="N387" i="7"/>
  <c r="N378" i="7"/>
  <c r="N237" i="8"/>
  <c r="F225" i="2"/>
  <c r="AC487" i="7"/>
  <c r="AC630" i="7"/>
  <c r="AC651" i="7" s="1"/>
  <c r="AC497" i="7"/>
  <c r="G207" i="2"/>
  <c r="EO30" i="6"/>
  <c r="Y388" i="7"/>
  <c r="Y382" i="7"/>
  <c r="Y459" i="7"/>
  <c r="Q388" i="7"/>
  <c r="Q382" i="7"/>
  <c r="Q459" i="7"/>
  <c r="AD23" i="8"/>
  <c r="G177" i="2"/>
  <c r="AX177" i="2" s="1"/>
  <c r="AX14" i="11"/>
  <c r="AY12" i="11"/>
  <c r="BA12" i="11"/>
  <c r="AU274" i="2"/>
  <c r="E245" i="20"/>
  <c r="V245" i="20" s="1"/>
  <c r="E246" i="20"/>
  <c r="V246" i="20" s="1"/>
  <c r="AU275" i="2"/>
  <c r="AU273" i="2"/>
  <c r="E244" i="20"/>
  <c r="V244" i="20" s="1"/>
  <c r="AL207" i="17"/>
  <c r="AN212" i="17"/>
  <c r="AM212" i="17"/>
  <c r="AL213" i="17"/>
  <c r="N154" i="12"/>
  <c r="AO212" i="17"/>
  <c r="AK203" i="17"/>
  <c r="M212" i="17"/>
  <c r="L212" i="17"/>
  <c r="K212" i="17"/>
  <c r="I203" i="17"/>
  <c r="CS142" i="17"/>
  <c r="CS129" i="17"/>
  <c r="AC772" i="7"/>
  <c r="BW49" i="6"/>
  <c r="BW97" i="6"/>
  <c r="EF33" i="6"/>
  <c r="EF82" i="6" s="1"/>
  <c r="EA82" i="6"/>
  <c r="X229" i="7"/>
  <c r="Z273" i="7"/>
  <c r="T273" i="7"/>
  <c r="L153" i="8"/>
  <c r="L160" i="8"/>
  <c r="I237" i="8"/>
  <c r="DS89" i="6"/>
  <c r="AA389" i="7"/>
  <c r="AA460" i="7"/>
  <c r="AA383" i="7"/>
  <c r="Y389" i="7"/>
  <c r="Y460" i="7"/>
  <c r="Y383" i="7"/>
  <c r="W389" i="7"/>
  <c r="W460" i="7"/>
  <c r="W383" i="7"/>
  <c r="U389" i="7"/>
  <c r="U460" i="7"/>
  <c r="U383" i="7"/>
  <c r="S389" i="7"/>
  <c r="S460" i="7"/>
  <c r="S383" i="7"/>
  <c r="Q389" i="7"/>
  <c r="Q460" i="7"/>
  <c r="Q383" i="7"/>
  <c r="O389" i="7"/>
  <c r="O460" i="7"/>
  <c r="O383" i="7"/>
  <c r="M389" i="7"/>
  <c r="M460" i="7"/>
  <c r="M383" i="7"/>
  <c r="Z459" i="7"/>
  <c r="Z388" i="7"/>
  <c r="Z382" i="7"/>
  <c r="T459" i="7"/>
  <c r="T388" i="7"/>
  <c r="T382" i="7"/>
  <c r="L459" i="7"/>
  <c r="L388" i="7"/>
  <c r="L382" i="7"/>
  <c r="O84" i="8"/>
  <c r="O116" i="8"/>
  <c r="O147" i="8"/>
  <c r="Y153" i="7"/>
  <c r="Y471" i="12"/>
  <c r="X153" i="7"/>
  <c r="X471" i="12"/>
  <c r="CY96" i="6"/>
  <c r="DB47" i="6"/>
  <c r="DB96" i="6" s="1"/>
  <c r="E102" i="2"/>
  <c r="AV102" i="2" s="1"/>
  <c r="DE96" i="6"/>
  <c r="DH47" i="6"/>
  <c r="DH96" i="6" s="1"/>
  <c r="AB176" i="12"/>
  <c r="AB144" i="12"/>
  <c r="DH30" i="11" s="1"/>
  <c r="Z144" i="12"/>
  <c r="CX30" i="11" s="1"/>
  <c r="Z176" i="12"/>
  <c r="CZ17" i="11"/>
  <c r="X144" i="12"/>
  <c r="CN30" i="11" s="1"/>
  <c r="CP17" i="11"/>
  <c r="X176" i="12"/>
  <c r="V176" i="12"/>
  <c r="CF17" i="11"/>
  <c r="V144" i="12"/>
  <c r="CD30" i="11" s="1"/>
  <c r="CU88" i="11"/>
  <c r="Y84" i="12"/>
  <c r="BE27" i="11"/>
  <c r="Q143" i="12"/>
  <c r="BR80" i="17"/>
  <c r="BQ65" i="17"/>
  <c r="BJ111" i="17"/>
  <c r="T150" i="12"/>
  <c r="BL116" i="17"/>
  <c r="BM116" i="17"/>
  <c r="BK116" i="17"/>
  <c r="BJ117" i="17"/>
  <c r="BI107" i="17"/>
  <c r="DM48" i="6"/>
  <c r="DS97" i="6" s="1"/>
  <c r="BQ97" i="6"/>
  <c r="BQ49" i="6"/>
  <c r="S160" i="8"/>
  <c r="S153" i="8"/>
  <c r="X458" i="7"/>
  <c r="X381" i="7"/>
  <c r="X387" i="7"/>
  <c r="X378" i="7"/>
  <c r="X237" i="8"/>
  <c r="T195" i="7"/>
  <c r="T189" i="7"/>
  <c r="T360" i="7"/>
  <c r="T366" i="7"/>
  <c r="T357" i="7"/>
  <c r="P458" i="7"/>
  <c r="P381" i="7"/>
  <c r="P387" i="7"/>
  <c r="P378" i="7"/>
  <c r="P237" i="8"/>
  <c r="L195" i="7"/>
  <c r="L366" i="7"/>
  <c r="L357" i="7"/>
  <c r="W367" i="7"/>
  <c r="W361" i="7"/>
  <c r="O367" i="7"/>
  <c r="O361" i="7"/>
  <c r="T84" i="8"/>
  <c r="T116" i="8"/>
  <c r="T123" i="8" s="1"/>
  <c r="T147" i="8"/>
  <c r="U154" i="8" s="1"/>
  <c r="L84" i="8"/>
  <c r="L116" i="8"/>
  <c r="L123" i="8" s="1"/>
  <c r="L147" i="8"/>
  <c r="M154" i="8" s="1"/>
  <c r="I84" i="8"/>
  <c r="AP207" i="17"/>
  <c r="AS212" i="17"/>
  <c r="AR212" i="17"/>
  <c r="AO203" i="17"/>
  <c r="O154" i="12"/>
  <c r="AQ212" i="17"/>
  <c r="AP213" i="17"/>
  <c r="DG48" i="6"/>
  <c r="BK97" i="6"/>
  <c r="BK49" i="6"/>
  <c r="EA27" i="6"/>
  <c r="EA76" i="6" s="1"/>
  <c r="EB76" i="6"/>
  <c r="V273" i="7"/>
  <c r="EA59" i="6"/>
  <c r="EF17" i="6"/>
  <c r="EF66" i="6" s="1"/>
  <c r="W387" i="7"/>
  <c r="W378" i="7"/>
  <c r="W458" i="7"/>
  <c r="W381" i="7"/>
  <c r="W237" i="8"/>
  <c r="S195" i="7"/>
  <c r="S189" i="7"/>
  <c r="S366" i="7"/>
  <c r="S357" i="7"/>
  <c r="S360" i="7"/>
  <c r="O387" i="7"/>
  <c r="O378" i="7"/>
  <c r="O458" i="7"/>
  <c r="O381" i="7"/>
  <c r="O237" i="8"/>
  <c r="DB40" i="6"/>
  <c r="DB89" i="6" s="1"/>
  <c r="BF40" i="6"/>
  <c r="BF89" i="6" s="1"/>
  <c r="DC40" i="6"/>
  <c r="DI89" i="6" s="1"/>
  <c r="DF89" i="6"/>
  <c r="CE40" i="6"/>
  <c r="CH89" i="6"/>
  <c r="BG40" i="6"/>
  <c r="BM89" i="6" s="1"/>
  <c r="BJ89" i="6"/>
  <c r="AI40" i="6"/>
  <c r="AL89" i="6"/>
  <c r="K40" i="6"/>
  <c r="Q89" i="6" s="1"/>
  <c r="N89" i="6"/>
  <c r="E232" i="2"/>
  <c r="AV232" i="2" s="1"/>
  <c r="DH18" i="6"/>
  <c r="DH67" i="6" s="1"/>
  <c r="DC67" i="6"/>
  <c r="CJ18" i="6"/>
  <c r="CJ67" i="6" s="1"/>
  <c r="CE67" i="6"/>
  <c r="BL18" i="6"/>
  <c r="BL67" i="6" s="1"/>
  <c r="BG67" i="6"/>
  <c r="AN18" i="6"/>
  <c r="AN67" i="6" s="1"/>
  <c r="P18" i="6"/>
  <c r="P67" i="6" s="1"/>
  <c r="Y661" i="7"/>
  <c r="W661" i="7"/>
  <c r="V367" i="7"/>
  <c r="V361" i="7"/>
  <c r="N367" i="7"/>
  <c r="N361" i="7"/>
  <c r="Z254" i="8"/>
  <c r="V157" i="8"/>
  <c r="V150" i="8"/>
  <c r="R157" i="8"/>
  <c r="R150" i="8"/>
  <c r="N157" i="8"/>
  <c r="N150" i="8"/>
  <c r="J157" i="8"/>
  <c r="J150" i="8"/>
  <c r="EN40" i="6"/>
  <c r="AD723" i="7"/>
  <c r="G25" i="21"/>
  <c r="G22" i="21"/>
  <c r="G60" i="21" s="1"/>
  <c r="G82" i="21" s="1"/>
  <c r="DW96" i="6"/>
  <c r="DZ47" i="6"/>
  <c r="DZ96" i="6" s="1"/>
  <c r="CD27" i="11"/>
  <c r="V143" i="12"/>
  <c r="AP27" i="11"/>
  <c r="N143" i="12"/>
  <c r="DQ96" i="6"/>
  <c r="DT47" i="6"/>
  <c r="DT96" i="6" s="1"/>
  <c r="O143" i="12"/>
  <c r="AU27" i="11"/>
  <c r="U12" i="11"/>
  <c r="D24" i="21"/>
  <c r="D19" i="21"/>
  <c r="D21" i="21"/>
  <c r="DN40" i="6"/>
  <c r="DN89" i="6" s="1"/>
  <c r="BR40" i="6"/>
  <c r="BR89" i="6" s="1"/>
  <c r="T89" i="6"/>
  <c r="Y316" i="17"/>
  <c r="Y318" i="17" s="1"/>
  <c r="V295" i="17"/>
  <c r="V297" i="17" s="1"/>
  <c r="D291" i="2"/>
  <c r="C291" i="2" s="1"/>
  <c r="G67" i="20" s="1"/>
  <c r="X67" i="20" s="1"/>
  <c r="AU108" i="2"/>
  <c r="D312" i="2"/>
  <c r="D313" i="2" s="1"/>
  <c r="BF295" i="17"/>
  <c r="BF297" i="17" s="1"/>
  <c r="BK333" i="17"/>
  <c r="CA333" i="17"/>
  <c r="BI333" i="17"/>
  <c r="BS333" i="17"/>
  <c r="CC333" i="17"/>
  <c r="BM333" i="17"/>
  <c r="AU333" i="17"/>
  <c r="AM333" i="17"/>
  <c r="AE333" i="17"/>
  <c r="O333" i="17"/>
  <c r="BW333" i="17"/>
  <c r="E225" i="20"/>
  <c r="V225" i="20" s="1"/>
  <c r="BC333" i="17"/>
  <c r="AO333" i="17"/>
  <c r="BY333" i="17"/>
  <c r="BQ333" i="17"/>
  <c r="BJ316" i="17"/>
  <c r="BJ283" i="17" s="1"/>
  <c r="BK282" i="17"/>
  <c r="BL282" i="17"/>
  <c r="BL316" i="17" s="1"/>
  <c r="BL283" i="17" s="1"/>
  <c r="BM282" i="17"/>
  <c r="BM316" i="17" s="1"/>
  <c r="BM283" i="17" s="1"/>
  <c r="BJ295" i="17"/>
  <c r="BN282" i="17"/>
  <c r="AT110" i="2"/>
  <c r="AD175" i="12"/>
  <c r="F111" i="2" s="1"/>
  <c r="AW111" i="2" s="1"/>
  <c r="DS103" i="11"/>
  <c r="DU101" i="11"/>
  <c r="DX101" i="11" s="1"/>
  <c r="EJ37" i="6"/>
  <c r="AC427" i="7"/>
  <c r="AC421" i="7"/>
  <c r="AC194" i="12"/>
  <c r="DD14" i="11"/>
  <c r="DB14" i="11"/>
  <c r="CZ14" i="11"/>
  <c r="DA16" i="11"/>
  <c r="DV78" i="6"/>
  <c r="DV34" i="6"/>
  <c r="DU29" i="6"/>
  <c r="DK34" i="6"/>
  <c r="CM34" i="6"/>
  <c r="CA34" i="6"/>
  <c r="BO78" i="6"/>
  <c r="BO34" i="6"/>
  <c r="BC34" i="6"/>
  <c r="AE78" i="6"/>
  <c r="AE34" i="6"/>
  <c r="E312" i="2"/>
  <c r="AV108" i="2"/>
  <c r="AA139" i="12"/>
  <c r="DC26" i="11" s="1"/>
  <c r="DD11" i="11"/>
  <c r="AA73" i="12" s="1"/>
  <c r="DE12" i="11"/>
  <c r="O139" i="12"/>
  <c r="AU26" i="11" s="1"/>
  <c r="AV11" i="11"/>
  <c r="O73" i="12" s="1"/>
  <c r="AW12" i="11"/>
  <c r="K139" i="12"/>
  <c r="AA26" i="11" s="1"/>
  <c r="AB11" i="11"/>
  <c r="K73" i="12" s="1"/>
  <c r="AC12" i="11"/>
  <c r="DW34" i="6"/>
  <c r="DP78" i="6"/>
  <c r="DP34" i="6"/>
  <c r="CR78" i="6"/>
  <c r="CR34" i="6"/>
  <c r="AD172" i="12"/>
  <c r="F108" i="2" s="1"/>
  <c r="AW108" i="2" s="1"/>
  <c r="DU87" i="11"/>
  <c r="DX87" i="11" s="1"/>
  <c r="DF34" i="6"/>
  <c r="CT78" i="6"/>
  <c r="CT34" i="6"/>
  <c r="CN78" i="6"/>
  <c r="CN34" i="6"/>
  <c r="CH78" i="6"/>
  <c r="CH34" i="6"/>
  <c r="CB78" i="6"/>
  <c r="CB34" i="6"/>
  <c r="BV78" i="6"/>
  <c r="BV34" i="6"/>
  <c r="BP78" i="6"/>
  <c r="BP34" i="6"/>
  <c r="BJ34" i="6"/>
  <c r="AR78" i="6"/>
  <c r="AR34" i="6"/>
  <c r="AL78" i="6"/>
  <c r="AL34" i="6"/>
  <c r="AF78" i="6"/>
  <c r="AF34" i="6"/>
  <c r="Z78" i="6"/>
  <c r="Z34" i="6"/>
  <c r="T34" i="6"/>
  <c r="CA334" i="17"/>
  <c r="CB334" i="17"/>
  <c r="CC336" i="17"/>
  <c r="CD336" i="17"/>
  <c r="CB337" i="17"/>
  <c r="CA337" i="17"/>
  <c r="CC334" i="17"/>
  <c r="CD334" i="17"/>
  <c r="CA336" i="17"/>
  <c r="CB336" i="17"/>
  <c r="CD337" i="17"/>
  <c r="CC337" i="17"/>
  <c r="CB335" i="17"/>
  <c r="CA335" i="17"/>
  <c r="CD335" i="17"/>
  <c r="CC335" i="17"/>
  <c r="CD333" i="17"/>
  <c r="BU333" i="17"/>
  <c r="BK334" i="17"/>
  <c r="BL334" i="17"/>
  <c r="BM336" i="17"/>
  <c r="BN336" i="17"/>
  <c r="BL337" i="17"/>
  <c r="BK337" i="17"/>
  <c r="BM334" i="17"/>
  <c r="BN334" i="17"/>
  <c r="BK336" i="17"/>
  <c r="BL336" i="17"/>
  <c r="BN337" i="17"/>
  <c r="BM337" i="17"/>
  <c r="BM335" i="17"/>
  <c r="BL335" i="17"/>
  <c r="BK335" i="17"/>
  <c r="BN335" i="17"/>
  <c r="BN333" i="17"/>
  <c r="BF319" i="17"/>
  <c r="BF321" i="17" s="1"/>
  <c r="BF287" i="17"/>
  <c r="BC338" i="17"/>
  <c r="BD338" i="17"/>
  <c r="BE334" i="17"/>
  <c r="BF334" i="17"/>
  <c r="BC336" i="17"/>
  <c r="BD336" i="17"/>
  <c r="BF337" i="17"/>
  <c r="BE337" i="17"/>
  <c r="BC334" i="17"/>
  <c r="BD334" i="17"/>
  <c r="BE336" i="17"/>
  <c r="BF336" i="17"/>
  <c r="BD337" i="17"/>
  <c r="BC337" i="17"/>
  <c r="BD335" i="17"/>
  <c r="BC335" i="17"/>
  <c r="BF335" i="17"/>
  <c r="BE335" i="17"/>
  <c r="BF333" i="17"/>
  <c r="AU338" i="17"/>
  <c r="AV338" i="17"/>
  <c r="AU334" i="17"/>
  <c r="AV334" i="17"/>
  <c r="AW336" i="17"/>
  <c r="AX336" i="17"/>
  <c r="AV337" i="17"/>
  <c r="AU337" i="17"/>
  <c r="AW334" i="17"/>
  <c r="AX334" i="17"/>
  <c r="AU336" i="17"/>
  <c r="AV336" i="17"/>
  <c r="AX337" i="17"/>
  <c r="AW337" i="17"/>
  <c r="AX335" i="17"/>
  <c r="AW335" i="17"/>
  <c r="AV335" i="17"/>
  <c r="AU335" i="17"/>
  <c r="AX333" i="17"/>
  <c r="AO338" i="17"/>
  <c r="AM338" i="17"/>
  <c r="AN338" i="17"/>
  <c r="AO334" i="17"/>
  <c r="AP334" i="17"/>
  <c r="AM336" i="17"/>
  <c r="AN336" i="17"/>
  <c r="AP337" i="17"/>
  <c r="AO337" i="17"/>
  <c r="AP335" i="17"/>
  <c r="AO335" i="17"/>
  <c r="AM334" i="17"/>
  <c r="AN334" i="17"/>
  <c r="AO336" i="17"/>
  <c r="AP336" i="17"/>
  <c r="AN337" i="17"/>
  <c r="AM337" i="17"/>
  <c r="AN335" i="17"/>
  <c r="AM335" i="17"/>
  <c r="AP333" i="17"/>
  <c r="AH319" i="17"/>
  <c r="AH321" i="17" s="1"/>
  <c r="AH287" i="17"/>
  <c r="AE338" i="17"/>
  <c r="AF338" i="17"/>
  <c r="AE334" i="17"/>
  <c r="AF334" i="17"/>
  <c r="AG336" i="17"/>
  <c r="AH336" i="17"/>
  <c r="AF337" i="17"/>
  <c r="AE337" i="17"/>
  <c r="AG334" i="17"/>
  <c r="AH334" i="17"/>
  <c r="AE336" i="17"/>
  <c r="AF336" i="17"/>
  <c r="AH337" i="17"/>
  <c r="AG337" i="17"/>
  <c r="AF335" i="17"/>
  <c r="AE335" i="17"/>
  <c r="AH335" i="17"/>
  <c r="AG335" i="17"/>
  <c r="AH333" i="17"/>
  <c r="R319" i="17"/>
  <c r="R321" i="17" s="1"/>
  <c r="R287" i="17"/>
  <c r="Q338" i="17"/>
  <c r="O338" i="17"/>
  <c r="P338" i="17"/>
  <c r="O334" i="17"/>
  <c r="P334" i="17"/>
  <c r="Q336" i="17"/>
  <c r="R336" i="17"/>
  <c r="P337" i="17"/>
  <c r="O337" i="17"/>
  <c r="Q334" i="17"/>
  <c r="R334" i="17"/>
  <c r="O336" i="17"/>
  <c r="P336" i="17"/>
  <c r="R337" i="17"/>
  <c r="Q337" i="17"/>
  <c r="R335" i="17"/>
  <c r="Q335" i="17"/>
  <c r="P335" i="17"/>
  <c r="O335" i="17"/>
  <c r="R333" i="17"/>
  <c r="E145" i="2"/>
  <c r="DF76" i="11"/>
  <c r="DX34" i="6"/>
  <c r="BI78" i="6"/>
  <c r="BI34" i="6"/>
  <c r="AK78" i="6"/>
  <c r="AK34" i="6"/>
  <c r="Y34" i="6"/>
  <c r="BW334" i="17"/>
  <c r="BX334" i="17"/>
  <c r="BY336" i="17"/>
  <c r="BZ336" i="17"/>
  <c r="BZ337" i="17"/>
  <c r="BY337" i="17"/>
  <c r="BY334" i="17"/>
  <c r="BZ334" i="17"/>
  <c r="BW336" i="17"/>
  <c r="BX336" i="17"/>
  <c r="BX337" i="17"/>
  <c r="BW337" i="17"/>
  <c r="BW335" i="17"/>
  <c r="BZ335" i="17"/>
  <c r="BY335" i="17"/>
  <c r="BX335" i="17"/>
  <c r="BZ333" i="17"/>
  <c r="BO333" i="17"/>
  <c r="BG333" i="17"/>
  <c r="AY333" i="17"/>
  <c r="BB284" i="17"/>
  <c r="AQ333" i="17"/>
  <c r="AT316" i="17"/>
  <c r="AT318" i="17" s="1"/>
  <c r="AT284" i="17"/>
  <c r="AI333" i="17"/>
  <c r="AP316" i="17"/>
  <c r="AP318" i="17" s="1"/>
  <c r="AL316" i="17"/>
  <c r="AL318" i="17" s="1"/>
  <c r="AL284" i="17"/>
  <c r="AA333" i="17"/>
  <c r="AD316" i="17"/>
  <c r="AD318" i="17" s="1"/>
  <c r="AD284" i="17"/>
  <c r="S333" i="17"/>
  <c r="V316" i="17"/>
  <c r="V318" i="17" s="1"/>
  <c r="V284" i="17"/>
  <c r="AC436" i="12"/>
  <c r="AC441" i="12" s="1"/>
  <c r="W139" i="12"/>
  <c r="CI26" i="11" s="1"/>
  <c r="CJ11" i="11"/>
  <c r="W73" i="12" s="1"/>
  <c r="CK12" i="11"/>
  <c r="BZ34" i="6"/>
  <c r="BY29" i="6"/>
  <c r="AT295" i="17"/>
  <c r="AT297" i="17" s="1"/>
  <c r="AC446" i="12"/>
  <c r="AC451" i="12" s="1"/>
  <c r="DD34" i="6"/>
  <c r="CF78" i="6"/>
  <c r="CF34" i="6"/>
  <c r="R78" i="6"/>
  <c r="R34" i="6"/>
  <c r="E143" i="2"/>
  <c r="BU334" i="17"/>
  <c r="BV334" i="17"/>
  <c r="BS336" i="17"/>
  <c r="BT336" i="17"/>
  <c r="BV337" i="17"/>
  <c r="BU337" i="17"/>
  <c r="BS334" i="17"/>
  <c r="BT334" i="17"/>
  <c r="BU336" i="17"/>
  <c r="BV336" i="17"/>
  <c r="BT337" i="17"/>
  <c r="BS337" i="17"/>
  <c r="BT335" i="17"/>
  <c r="BS335" i="17"/>
  <c r="BV335" i="17"/>
  <c r="BU335" i="17"/>
  <c r="BV333" i="17"/>
  <c r="BF316" i="17"/>
  <c r="BF318" i="17" s="1"/>
  <c r="BF284" i="17"/>
  <c r="AH316" i="17"/>
  <c r="AH318" i="17" s="1"/>
  <c r="AH284" i="17"/>
  <c r="Z316" i="17"/>
  <c r="Z318" i="17" s="1"/>
  <c r="Z284" i="17"/>
  <c r="R316" i="17"/>
  <c r="R318" i="17" s="1"/>
  <c r="R284" i="17"/>
  <c r="R295" i="17"/>
  <c r="R297" i="17" s="1"/>
  <c r="AD174" i="12"/>
  <c r="F110" i="2" s="1"/>
  <c r="DS105" i="11"/>
  <c r="DU102" i="11"/>
  <c r="DX102" i="11" s="1"/>
  <c r="BQ334" i="17"/>
  <c r="BR334" i="17"/>
  <c r="BO336" i="17"/>
  <c r="BP336" i="17"/>
  <c r="BP337" i="17"/>
  <c r="BO337" i="17"/>
  <c r="BO334" i="17"/>
  <c r="BP334" i="17"/>
  <c r="BQ336" i="17"/>
  <c r="BR336" i="17"/>
  <c r="BR337" i="17"/>
  <c r="BQ337" i="17"/>
  <c r="BP335" i="17"/>
  <c r="BO335" i="17"/>
  <c r="BR335" i="17"/>
  <c r="BQ335" i="17"/>
  <c r="BR333" i="17"/>
  <c r="BJ285" i="17"/>
  <c r="BG338" i="17"/>
  <c r="BH338" i="17"/>
  <c r="BG334" i="17"/>
  <c r="BH334" i="17"/>
  <c r="BI336" i="17"/>
  <c r="BJ336" i="17"/>
  <c r="BJ337" i="17"/>
  <c r="BI337" i="17"/>
  <c r="BI334" i="17"/>
  <c r="BJ334" i="17"/>
  <c r="BG336" i="17"/>
  <c r="BH336" i="17"/>
  <c r="BH337" i="17"/>
  <c r="BG337" i="17"/>
  <c r="BJ335" i="17"/>
  <c r="BI335" i="17"/>
  <c r="BH335" i="17"/>
  <c r="BG335" i="17"/>
  <c r="BJ333" i="17"/>
  <c r="BB287" i="17"/>
  <c r="AY338" i="17"/>
  <c r="AZ338" i="17"/>
  <c r="BA334" i="17"/>
  <c r="BB334" i="17"/>
  <c r="AY336" i="17"/>
  <c r="AZ336" i="17"/>
  <c r="AZ337" i="17"/>
  <c r="AY337" i="17"/>
  <c r="AY334" i="17"/>
  <c r="AZ334" i="17"/>
  <c r="BA336" i="17"/>
  <c r="BB336" i="17"/>
  <c r="BB337" i="17"/>
  <c r="BA337" i="17"/>
  <c r="AZ335" i="17"/>
  <c r="AY335" i="17"/>
  <c r="BB335" i="17"/>
  <c r="BA335" i="17"/>
  <c r="BB333" i="17"/>
  <c r="AT319" i="17"/>
  <c r="AT321" i="17" s="1"/>
  <c r="AT287" i="17"/>
  <c r="AQ338" i="17"/>
  <c r="AR338" i="17"/>
  <c r="AQ334" i="17"/>
  <c r="AR334" i="17"/>
  <c r="AS336" i="17"/>
  <c r="AT336" i="17"/>
  <c r="AT337" i="17"/>
  <c r="AS337" i="17"/>
  <c r="AS334" i="17"/>
  <c r="AT334" i="17"/>
  <c r="AQ336" i="17"/>
  <c r="AR336" i="17"/>
  <c r="AR337" i="17"/>
  <c r="AQ337" i="17"/>
  <c r="AR335" i="17"/>
  <c r="AQ335" i="17"/>
  <c r="AT335" i="17"/>
  <c r="AS335" i="17"/>
  <c r="AT333" i="17"/>
  <c r="AP319" i="17"/>
  <c r="AP321" i="17" s="1"/>
  <c r="AL319" i="17"/>
  <c r="AL321" i="17" s="1"/>
  <c r="AL287" i="17"/>
  <c r="AI338" i="17"/>
  <c r="AJ338" i="17"/>
  <c r="AK334" i="17"/>
  <c r="AL334" i="17"/>
  <c r="AI336" i="17"/>
  <c r="AJ336" i="17"/>
  <c r="AJ337" i="17"/>
  <c r="AI337" i="17"/>
  <c r="AI334" i="17"/>
  <c r="AJ334" i="17"/>
  <c r="AK336" i="17"/>
  <c r="AL336" i="17"/>
  <c r="AL337" i="17"/>
  <c r="AK337" i="17"/>
  <c r="AL335" i="17"/>
  <c r="AJ335" i="17"/>
  <c r="AI335" i="17"/>
  <c r="AK335" i="17"/>
  <c r="AL333" i="17"/>
  <c r="AD287" i="17"/>
  <c r="AA338" i="17"/>
  <c r="AB338" i="17"/>
  <c r="AA334" i="17"/>
  <c r="AB334" i="17"/>
  <c r="AC336" i="17"/>
  <c r="AD336" i="17"/>
  <c r="AD337" i="17"/>
  <c r="AC337" i="17"/>
  <c r="AC334" i="17"/>
  <c r="AD334" i="17"/>
  <c r="AA336" i="17"/>
  <c r="AB336" i="17"/>
  <c r="AB337" i="17"/>
  <c r="AA337" i="17"/>
  <c r="AD335" i="17"/>
  <c r="AC335" i="17"/>
  <c r="AB335" i="17"/>
  <c r="AA335" i="17"/>
  <c r="AD333" i="17"/>
  <c r="V319" i="17"/>
  <c r="V321" i="17" s="1"/>
  <c r="V287" i="17"/>
  <c r="U338" i="17"/>
  <c r="S338" i="17"/>
  <c r="T338" i="17"/>
  <c r="U334" i="17"/>
  <c r="V334" i="17"/>
  <c r="S336" i="17"/>
  <c r="T336" i="17"/>
  <c r="T337" i="17"/>
  <c r="S337" i="17"/>
  <c r="S334" i="17"/>
  <c r="T334" i="17"/>
  <c r="U336" i="17"/>
  <c r="V336" i="17"/>
  <c r="V337" i="17"/>
  <c r="U337" i="17"/>
  <c r="T335" i="17"/>
  <c r="S335" i="17"/>
  <c r="V335" i="17"/>
  <c r="U335" i="17"/>
  <c r="V333" i="17"/>
  <c r="U139" i="12"/>
  <c r="BY26" i="11" s="1"/>
  <c r="BZ11" i="11"/>
  <c r="U73" i="12" s="1"/>
  <c r="CA12" i="11"/>
  <c r="Q139" i="12"/>
  <c r="BE26" i="11" s="1"/>
  <c r="BF11" i="11"/>
  <c r="Q73" i="12" s="1"/>
  <c r="BG12" i="11"/>
  <c r="M139" i="12"/>
  <c r="AK26" i="11" s="1"/>
  <c r="AL11" i="11"/>
  <c r="M73" i="12" s="1"/>
  <c r="AM12" i="11"/>
  <c r="I139" i="12"/>
  <c r="Q26" i="11" s="1"/>
  <c r="R11" i="11"/>
  <c r="I73" i="12" s="1"/>
  <c r="S12" i="11"/>
  <c r="Z95" i="12"/>
  <c r="Z141" i="12"/>
  <c r="CX28" i="11" s="1"/>
  <c r="CY16" i="11"/>
  <c r="CX16" i="11" s="1"/>
  <c r="BP14" i="11"/>
  <c r="BM16" i="11"/>
  <c r="DV58" i="11"/>
  <c r="AD218" i="12" s="1"/>
  <c r="AD204" i="12" s="1"/>
  <c r="DJ78" i="6"/>
  <c r="DJ34" i="6"/>
  <c r="CL78" i="6"/>
  <c r="CL34" i="6"/>
  <c r="CK29" i="6"/>
  <c r="BN78" i="6"/>
  <c r="BN34" i="6"/>
  <c r="BM29" i="6"/>
  <c r="BH34" i="6"/>
  <c r="BG29" i="6"/>
  <c r="AJ34" i="6"/>
  <c r="AI29" i="6"/>
  <c r="L78" i="6"/>
  <c r="L34" i="6"/>
  <c r="BB295" i="17"/>
  <c r="BB297" i="17" s="1"/>
  <c r="AL295" i="17"/>
  <c r="AL297" i="17" s="1"/>
  <c r="V298" i="17"/>
  <c r="V300" i="17" s="1"/>
  <c r="Z295" i="17"/>
  <c r="Z297" i="17" s="1"/>
  <c r="AD772" i="7" l="1"/>
  <c r="F240" i="2" s="1"/>
  <c r="DS88" i="11"/>
  <c r="AD84" i="12" s="1"/>
  <c r="DU86" i="11"/>
  <c r="DP15" i="11"/>
  <c r="DQ15" i="11" s="1"/>
  <c r="DI11" i="11"/>
  <c r="AB73" i="12" s="1"/>
  <c r="DM65" i="11"/>
  <c r="DO65" i="11"/>
  <c r="DO9" i="11" s="1"/>
  <c r="CT65" i="17"/>
  <c r="CT81" i="17" s="1"/>
  <c r="E240" i="2"/>
  <c r="AV240" i="2" s="1"/>
  <c r="AC339" i="12"/>
  <c r="AC346" i="12" s="1"/>
  <c r="DQ78" i="11"/>
  <c r="G459" i="7"/>
  <c r="H465" i="7" s="1"/>
  <c r="H382" i="7"/>
  <c r="AU71" i="6"/>
  <c r="I189" i="7"/>
  <c r="H189" i="7"/>
  <c r="BA71" i="6"/>
  <c r="AJ71" i="6"/>
  <c r="AI67" i="6"/>
  <c r="W67" i="6"/>
  <c r="AV78" i="6"/>
  <c r="K67" i="6"/>
  <c r="AO71" i="6"/>
  <c r="Y71" i="6"/>
  <c r="BB78" i="6"/>
  <c r="AW78" i="6"/>
  <c r="K71" i="6"/>
  <c r="K237" i="8"/>
  <c r="F217" i="2"/>
  <c r="AW217" i="2" s="1"/>
  <c r="G357" i="7"/>
  <c r="G369" i="7" s="1"/>
  <c r="H361" i="7"/>
  <c r="AA49" i="6"/>
  <c r="AD29" i="6"/>
  <c r="AC22" i="6"/>
  <c r="AC71" i="6" s="1"/>
  <c r="Q67" i="6"/>
  <c r="O49" i="6"/>
  <c r="Q22" i="6"/>
  <c r="Q71" i="6" s="1"/>
  <c r="S29" i="6"/>
  <c r="AC67" i="6"/>
  <c r="I565" i="7"/>
  <c r="I466" i="7"/>
  <c r="I472" i="7"/>
  <c r="I459" i="7"/>
  <c r="I461" i="7" s="1"/>
  <c r="I388" i="7"/>
  <c r="I382" i="7"/>
  <c r="J466" i="7"/>
  <c r="J472" i="7"/>
  <c r="J565" i="7"/>
  <c r="G565" i="7"/>
  <c r="G472" i="7"/>
  <c r="H384" i="7"/>
  <c r="H390" i="7"/>
  <c r="K471" i="7"/>
  <c r="K564" i="7"/>
  <c r="K465" i="7"/>
  <c r="H564" i="7"/>
  <c r="H471" i="7"/>
  <c r="I378" i="7"/>
  <c r="J471" i="7"/>
  <c r="J564" i="7"/>
  <c r="H466" i="7"/>
  <c r="H472" i="7"/>
  <c r="H565" i="7"/>
  <c r="K360" i="7"/>
  <c r="K366" i="7"/>
  <c r="K357" i="7"/>
  <c r="L363" i="7" s="1"/>
  <c r="K195" i="7"/>
  <c r="K189" i="7"/>
  <c r="H369" i="7"/>
  <c r="J357" i="7"/>
  <c r="J366" i="7"/>
  <c r="J382" i="7"/>
  <c r="J195" i="7"/>
  <c r="J189" i="7"/>
  <c r="I464" i="7"/>
  <c r="I476" i="7"/>
  <c r="I563" i="7"/>
  <c r="I470" i="7"/>
  <c r="G476" i="7"/>
  <c r="G563" i="7"/>
  <c r="G470" i="7"/>
  <c r="K565" i="7"/>
  <c r="K472" i="7"/>
  <c r="K466" i="7"/>
  <c r="I640" i="7"/>
  <c r="I632" i="7"/>
  <c r="K381" i="7"/>
  <c r="K458" i="7"/>
  <c r="L464" i="7" s="1"/>
  <c r="K387" i="7"/>
  <c r="K378" i="7"/>
  <c r="L384" i="7" s="1"/>
  <c r="I361" i="7"/>
  <c r="I367" i="7"/>
  <c r="H470" i="7"/>
  <c r="H563" i="7"/>
  <c r="H461" i="7"/>
  <c r="H464" i="7"/>
  <c r="H476" i="7"/>
  <c r="J387" i="7"/>
  <c r="J458" i="7"/>
  <c r="J461" i="7" s="1"/>
  <c r="J378" i="7"/>
  <c r="J381" i="7"/>
  <c r="H640" i="7"/>
  <c r="H632" i="7"/>
  <c r="I357" i="7"/>
  <c r="AA154" i="8"/>
  <c r="Z107" i="8"/>
  <c r="AD51" i="7"/>
  <c r="EW24" i="6"/>
  <c r="EQ24" i="6"/>
  <c r="EQ73" i="6" s="1"/>
  <c r="AD779" i="7"/>
  <c r="V650" i="7"/>
  <c r="V640" i="7"/>
  <c r="X650" i="7"/>
  <c r="J19" i="21"/>
  <c r="S154" i="8"/>
  <c r="J21" i="21"/>
  <c r="J25" i="21" s="1"/>
  <c r="Z665" i="7"/>
  <c r="AE381" i="12"/>
  <c r="H19" i="21"/>
  <c r="E24" i="21"/>
  <c r="E19" i="21"/>
  <c r="H21" i="21"/>
  <c r="H22" i="21" s="1"/>
  <c r="H60" i="21" s="1"/>
  <c r="H82" i="21" s="1"/>
  <c r="R675" i="7"/>
  <c r="H104" i="20"/>
  <c r="Y104" i="20" s="1"/>
  <c r="AX116" i="2"/>
  <c r="L112" i="20"/>
  <c r="AC112" i="20" s="1"/>
  <c r="BB123" i="2"/>
  <c r="P112" i="20"/>
  <c r="AG112" i="20" s="1"/>
  <c r="BF123" i="2"/>
  <c r="T675" i="7"/>
  <c r="BK69" i="17"/>
  <c r="BK85" i="17" s="1"/>
  <c r="L21" i="21"/>
  <c r="L22" i="21" s="1"/>
  <c r="L60" i="21" s="1"/>
  <c r="L64" i="21" s="1"/>
  <c r="L65" i="21" s="1"/>
  <c r="L88" i="21" s="1"/>
  <c r="L87" i="21" s="1"/>
  <c r="L24" i="21"/>
  <c r="N632" i="7"/>
  <c r="BL70" i="17"/>
  <c r="BM70" i="17" s="1"/>
  <c r="BM69" i="17" s="1"/>
  <c r="CT337" i="17"/>
  <c r="CT335" i="17"/>
  <c r="CR335" i="17"/>
  <c r="CS334" i="17"/>
  <c r="CQ334" i="17"/>
  <c r="CR333" i="17"/>
  <c r="CS335" i="17"/>
  <c r="CQ335" i="17"/>
  <c r="CT334" i="17"/>
  <c r="CR334" i="17"/>
  <c r="CT333" i="17"/>
  <c r="CQ333" i="17"/>
  <c r="CS336" i="17"/>
  <c r="CR336" i="17"/>
  <c r="CQ336" i="17"/>
  <c r="CT336" i="17"/>
  <c r="CV307" i="17"/>
  <c r="CV308" i="17" s="1"/>
  <c r="CW306" i="17"/>
  <c r="CR337" i="17"/>
  <c r="E265" i="2"/>
  <c r="AV265" i="2" s="1"/>
  <c r="CS337" i="17"/>
  <c r="P632" i="7"/>
  <c r="G465" i="20"/>
  <c r="X465" i="20" s="1"/>
  <c r="L640" i="7"/>
  <c r="L485" i="20"/>
  <c r="AC485" i="20" s="1"/>
  <c r="AW201" i="2"/>
  <c r="K377" i="20"/>
  <c r="AB377" i="20" s="1"/>
  <c r="M24" i="21"/>
  <c r="J376" i="20"/>
  <c r="AA376" i="20" s="1"/>
  <c r="M19" i="21"/>
  <c r="AB650" i="7"/>
  <c r="M640" i="7"/>
  <c r="AW202" i="2"/>
  <c r="Q21" i="21"/>
  <c r="Q22" i="21" s="1"/>
  <c r="Q60" i="21" s="1"/>
  <c r="Q82" i="21" s="1"/>
  <c r="Q19" i="21"/>
  <c r="P675" i="7"/>
  <c r="N675" i="7"/>
  <c r="O118" i="8"/>
  <c r="O125" i="8" s="1"/>
  <c r="S24" i="21"/>
  <c r="N19" i="21"/>
  <c r="S19" i="21"/>
  <c r="F223" i="2"/>
  <c r="AW223" i="2" s="1"/>
  <c r="M485" i="20"/>
  <c r="AD485" i="20" s="1"/>
  <c r="N24" i="21"/>
  <c r="EG32" i="6"/>
  <c r="EG81" i="6" s="1"/>
  <c r="AW243" i="2"/>
  <c r="J485" i="20"/>
  <c r="AA485" i="20" s="1"/>
  <c r="Y650" i="7"/>
  <c r="AD59" i="7"/>
  <c r="U675" i="7"/>
  <c r="AD659" i="7"/>
  <c r="EH27" i="6"/>
  <c r="EG27" i="6" s="1"/>
  <c r="EG76" i="6" s="1"/>
  <c r="U665" i="7"/>
  <c r="L483" i="20"/>
  <c r="AC483" i="20" s="1"/>
  <c r="J410" i="20"/>
  <c r="AA410" i="20" s="1"/>
  <c r="AV276" i="2"/>
  <c r="M483" i="20"/>
  <c r="AD483" i="20" s="1"/>
  <c r="J382" i="20"/>
  <c r="AA382" i="20" s="1"/>
  <c r="K410" i="20"/>
  <c r="AB410" i="20" s="1"/>
  <c r="AW207" i="2"/>
  <c r="I21" i="21"/>
  <c r="I25" i="21" s="1"/>
  <c r="R19" i="21"/>
  <c r="I24" i="21"/>
  <c r="R24" i="21"/>
  <c r="AC303" i="7"/>
  <c r="AC707" i="7"/>
  <c r="AC709" i="7" s="1"/>
  <c r="E191" i="2" s="1"/>
  <c r="AV191" i="2" s="1"/>
  <c r="R640" i="7"/>
  <c r="R632" i="7"/>
  <c r="X123" i="8"/>
  <c r="T632" i="7"/>
  <c r="T640" i="7"/>
  <c r="L665" i="7"/>
  <c r="J383" i="20"/>
  <c r="AA383" i="20" s="1"/>
  <c r="I123" i="8"/>
  <c r="AE772" i="7"/>
  <c r="AE773" i="7" s="1"/>
  <c r="AE774" i="7" s="1"/>
  <c r="AE485" i="7"/>
  <c r="AE630" i="7" s="1"/>
  <c r="AE651" i="7" s="1"/>
  <c r="ES28" i="6"/>
  <c r="EP92" i="6"/>
  <c r="AA686" i="7"/>
  <c r="AA675" i="7"/>
  <c r="G245" i="20"/>
  <c r="X245" i="20" s="1"/>
  <c r="F246" i="20"/>
  <c r="W246" i="20" s="1"/>
  <c r="ET81" i="6"/>
  <c r="G246" i="20"/>
  <c r="X246" i="20" s="1"/>
  <c r="ES33" i="6"/>
  <c r="G453" i="20"/>
  <c r="X453" i="20" s="1"/>
  <c r="G247" i="20"/>
  <c r="X247" i="20" s="1"/>
  <c r="P24" i="21"/>
  <c r="P21" i="21"/>
  <c r="P22" i="21" s="1"/>
  <c r="P60" i="21" s="1"/>
  <c r="P82" i="21" s="1"/>
  <c r="ET73" i="6"/>
  <c r="F280" i="20"/>
  <c r="W280" i="20" s="1"/>
  <c r="ET77" i="6"/>
  <c r="G244" i="20"/>
  <c r="X244" i="20" s="1"/>
  <c r="I304" i="20"/>
  <c r="Z304" i="20" s="1"/>
  <c r="O19" i="21"/>
  <c r="I387" i="20"/>
  <c r="Z387" i="20" s="1"/>
  <c r="AD588" i="7"/>
  <c r="AD593" i="7" s="1"/>
  <c r="AE164" i="7"/>
  <c r="DB326" i="17"/>
  <c r="AE380" i="12"/>
  <c r="Q665" i="7"/>
  <c r="Q640" i="7"/>
  <c r="X665" i="7"/>
  <c r="O24" i="21"/>
  <c r="AE303" i="7"/>
  <c r="ET27" i="6"/>
  <c r="ES27" i="6" s="1"/>
  <c r="AE310" i="7"/>
  <c r="AE707" i="7"/>
  <c r="AE709" i="7" s="1"/>
  <c r="AE628" i="7"/>
  <c r="ET10" i="6"/>
  <c r="ES10" i="6" s="1"/>
  <c r="AE50" i="7"/>
  <c r="AE51" i="7" s="1"/>
  <c r="M665" i="7"/>
  <c r="H387" i="20"/>
  <c r="Y387" i="20" s="1"/>
  <c r="D241" i="2"/>
  <c r="AT258" i="2"/>
  <c r="Y640" i="7"/>
  <c r="J304" i="20"/>
  <c r="AA304" i="20" s="1"/>
  <c r="X675" i="7"/>
  <c r="U650" i="7"/>
  <c r="AE660" i="7"/>
  <c r="EV92" i="6"/>
  <c r="EW28" i="6"/>
  <c r="AE339" i="7"/>
  <c r="AE778" i="7"/>
  <c r="ET35" i="6"/>
  <c r="ES35" i="6" s="1"/>
  <c r="AE402" i="7"/>
  <c r="AE399" i="7"/>
  <c r="AE626" i="7"/>
  <c r="AE267" i="7"/>
  <c r="AE742" i="7"/>
  <c r="AD61" i="8"/>
  <c r="AE33" i="8"/>
  <c r="AE61" i="8" s="1"/>
  <c r="Z675" i="7"/>
  <c r="ET82" i="6"/>
  <c r="G217" i="2"/>
  <c r="AX217" i="2" s="1"/>
  <c r="AE43" i="8"/>
  <c r="AE24" i="8"/>
  <c r="AE8" i="8"/>
  <c r="DB325" i="17"/>
  <c r="AE379" i="12"/>
  <c r="AV223" i="2"/>
  <c r="I420" i="20"/>
  <c r="Z420" i="20" s="1"/>
  <c r="H420" i="20"/>
  <c r="Y420" i="20" s="1"/>
  <c r="ES32" i="6"/>
  <c r="DB328" i="17"/>
  <c r="AE382" i="12"/>
  <c r="EV40" i="6"/>
  <c r="EV89" i="6" s="1"/>
  <c r="C292" i="2"/>
  <c r="G68" i="20" s="1"/>
  <c r="X68" i="20" s="1"/>
  <c r="AD408" i="12"/>
  <c r="AD420" i="12" s="1"/>
  <c r="F284" i="20"/>
  <c r="W284" i="20" s="1"/>
  <c r="C301" i="2"/>
  <c r="G278" i="20" s="1"/>
  <c r="X278" i="20" s="1"/>
  <c r="G102" i="2"/>
  <c r="AX102" i="2" s="1"/>
  <c r="F318" i="2"/>
  <c r="G252" i="2"/>
  <c r="M540" i="20" s="1"/>
  <c r="AD540" i="20" s="1"/>
  <c r="G137" i="2"/>
  <c r="L486" i="20" s="1"/>
  <c r="AC486" i="20" s="1"/>
  <c r="H68" i="20"/>
  <c r="Y68" i="20" s="1"/>
  <c r="P30" i="12"/>
  <c r="AW110" i="2"/>
  <c r="C321" i="2"/>
  <c r="M488" i="20"/>
  <c r="AD488" i="20" s="1"/>
  <c r="L488" i="20"/>
  <c r="AC488" i="20" s="1"/>
  <c r="AV145" i="2"/>
  <c r="H185" i="20"/>
  <c r="Y185" i="20" s="1"/>
  <c r="H184" i="20"/>
  <c r="Y184" i="20" s="1"/>
  <c r="I185" i="20"/>
  <c r="Z185" i="20" s="1"/>
  <c r="I184" i="20"/>
  <c r="Z184" i="20" s="1"/>
  <c r="E317" i="2"/>
  <c r="H501" i="20"/>
  <c r="Y501" i="20" s="1"/>
  <c r="G501" i="20"/>
  <c r="X501" i="20" s="1"/>
  <c r="F225" i="20"/>
  <c r="W225" i="20" s="1"/>
  <c r="D286" i="2"/>
  <c r="C286" i="2" s="1"/>
  <c r="G62" i="20" s="1"/>
  <c r="X62" i="20" s="1"/>
  <c r="AV143" i="2"/>
  <c r="H188" i="20"/>
  <c r="Y188" i="20" s="1"/>
  <c r="G500" i="20"/>
  <c r="X500" i="20" s="1"/>
  <c r="I180" i="20"/>
  <c r="Z180" i="20" s="1"/>
  <c r="E311" i="2"/>
  <c r="H189" i="20"/>
  <c r="Y189" i="20" s="1"/>
  <c r="I181" i="20"/>
  <c r="Z181" i="20" s="1"/>
  <c r="G508" i="20"/>
  <c r="X508" i="20" s="1"/>
  <c r="G502" i="20"/>
  <c r="X502" i="20" s="1"/>
  <c r="H181" i="20"/>
  <c r="Y181" i="20" s="1"/>
  <c r="H500" i="20"/>
  <c r="Y500" i="20" s="1"/>
  <c r="H180" i="20"/>
  <c r="Y180" i="20" s="1"/>
  <c r="EP73" i="6"/>
  <c r="EV73" i="6"/>
  <c r="EO59" i="6"/>
  <c r="EU59" i="6"/>
  <c r="EO82" i="6"/>
  <c r="EU82" i="6"/>
  <c r="EQ79" i="6"/>
  <c r="EW79" i="6"/>
  <c r="EQ66" i="6"/>
  <c r="EW66" i="6"/>
  <c r="EQ67" i="6"/>
  <c r="EW67" i="6"/>
  <c r="EQ65" i="6"/>
  <c r="EW65" i="6"/>
  <c r="EN89" i="6"/>
  <c r="ET89" i="6"/>
  <c r="EQ81" i="6"/>
  <c r="EW81" i="6"/>
  <c r="EO58" i="6"/>
  <c r="EU58" i="6"/>
  <c r="EO84" i="6"/>
  <c r="EU84" i="6"/>
  <c r="EO81" i="6"/>
  <c r="EU81" i="6"/>
  <c r="EO77" i="6"/>
  <c r="EU77" i="6"/>
  <c r="EP69" i="6"/>
  <c r="EV69" i="6"/>
  <c r="EO89" i="6"/>
  <c r="EU89" i="6"/>
  <c r="EO94" i="6"/>
  <c r="EU94" i="6"/>
  <c r="EO79" i="6"/>
  <c r="EU79" i="6"/>
  <c r="DX122" i="11"/>
  <c r="DZ87" i="11"/>
  <c r="AE172" i="12"/>
  <c r="DX103" i="11"/>
  <c r="AE175" i="12"/>
  <c r="DZ101" i="11"/>
  <c r="EA58" i="11"/>
  <c r="AE218" i="12" s="1"/>
  <c r="AE204" i="12" s="1"/>
  <c r="AE402" i="12" s="1"/>
  <c r="DX126" i="11"/>
  <c r="AE174" i="12"/>
  <c r="DZ102" i="11"/>
  <c r="DX105" i="11"/>
  <c r="DZ64" i="11"/>
  <c r="EA64" i="11" s="1"/>
  <c r="AE224" i="12" s="1"/>
  <c r="AE211" i="12" s="1"/>
  <c r="AE170" i="12"/>
  <c r="DB68" i="17"/>
  <c r="CE76" i="11"/>
  <c r="CF76" i="11" s="1"/>
  <c r="AX284" i="17"/>
  <c r="M34" i="6"/>
  <c r="M39" i="6" s="1"/>
  <c r="BZ78" i="6"/>
  <c r="BT34" i="6"/>
  <c r="BT39" i="6" s="1"/>
  <c r="AW34" i="6"/>
  <c r="BC83" i="6" s="1"/>
  <c r="CD65" i="11"/>
  <c r="CF65" i="11"/>
  <c r="DQ34" i="6"/>
  <c r="DQ83" i="6" s="1"/>
  <c r="DW78" i="6"/>
  <c r="BB316" i="17"/>
  <c r="BB318" i="17" s="1"/>
  <c r="DJ65" i="11"/>
  <c r="DI124" i="11"/>
  <c r="DI125" i="11" s="1"/>
  <c r="AB30" i="12"/>
  <c r="AD402" i="12"/>
  <c r="AD414" i="12" s="1"/>
  <c r="DO29" i="6"/>
  <c r="DU78" i="6" s="1"/>
  <c r="AE394" i="12"/>
  <c r="AE397" i="12" s="1"/>
  <c r="AE248" i="12"/>
  <c r="AE255" i="12" s="1"/>
  <c r="O123" i="8"/>
  <c r="AA123" i="8"/>
  <c r="AD628" i="7"/>
  <c r="AD165" i="7"/>
  <c r="U632" i="7"/>
  <c r="S123" i="8"/>
  <c r="Y123" i="8"/>
  <c r="AD742" i="7"/>
  <c r="F210" i="2" s="1"/>
  <c r="DE78" i="6"/>
  <c r="AX316" i="17"/>
  <c r="AX318" i="17" s="1"/>
  <c r="R76" i="11"/>
  <c r="S76" i="11" s="1"/>
  <c r="AX319" i="17"/>
  <c r="AX321" i="17" s="1"/>
  <c r="DL34" i="6"/>
  <c r="DI34" i="6" s="1"/>
  <c r="Q65" i="11"/>
  <c r="N30" i="12"/>
  <c r="AB14" i="11"/>
  <c r="AC14" i="11" s="1"/>
  <c r="C104" i="2"/>
  <c r="AT104" i="2" s="1"/>
  <c r="DO71" i="6"/>
  <c r="Z14" i="11"/>
  <c r="AE14" i="11"/>
  <c r="D289" i="2"/>
  <c r="C289" i="2" s="1"/>
  <c r="G153" i="20" s="1"/>
  <c r="X153" i="20" s="1"/>
  <c r="AR65" i="11"/>
  <c r="DI14" i="11"/>
  <c r="DI16" i="11" s="1"/>
  <c r="CY78" i="6"/>
  <c r="F25" i="21"/>
  <c r="E318" i="2"/>
  <c r="AD173" i="12"/>
  <c r="CS34" i="6"/>
  <c r="CS39" i="6" s="1"/>
  <c r="DI29" i="6"/>
  <c r="CG16" i="11"/>
  <c r="CH16" i="11" s="1"/>
  <c r="CS78" i="6"/>
  <c r="W30" i="12"/>
  <c r="K30" i="12"/>
  <c r="DO13" i="11"/>
  <c r="DP13" i="11" s="1"/>
  <c r="DQ13" i="11" s="1"/>
  <c r="AI16" i="11"/>
  <c r="BU78" i="6"/>
  <c r="BU34" i="6"/>
  <c r="BU39" i="6" s="1"/>
  <c r="BS29" i="6"/>
  <c r="BS78" i="6" s="1"/>
  <c r="CS65" i="11"/>
  <c r="DI71" i="6"/>
  <c r="CJ14" i="11"/>
  <c r="W95" i="12" s="1"/>
  <c r="Y139" i="12"/>
  <c r="CS26" i="11" s="1"/>
  <c r="BB319" i="17"/>
  <c r="BB321" i="17" s="1"/>
  <c r="AP65" i="11"/>
  <c r="CQ71" i="6"/>
  <c r="CY76" i="11"/>
  <c r="I30" i="12"/>
  <c r="BY71" i="6"/>
  <c r="DR78" i="6"/>
  <c r="AO14" i="11"/>
  <c r="O11" i="23"/>
  <c r="AX287" i="17"/>
  <c r="DS90" i="11"/>
  <c r="CJ76" i="11"/>
  <c r="CK76" i="11" s="1"/>
  <c r="AA65" i="11"/>
  <c r="AB76" i="11"/>
  <c r="AC76" i="11" s="1"/>
  <c r="CZ65" i="11"/>
  <c r="CY124" i="11"/>
  <c r="CY125" i="11" s="1"/>
  <c r="CE71" i="6"/>
  <c r="CX65" i="11"/>
  <c r="U30" i="12"/>
  <c r="H152" i="20"/>
  <c r="Y152" i="20" s="1"/>
  <c r="DG14" i="11"/>
  <c r="BD34" i="6"/>
  <c r="BD39" i="6" s="1"/>
  <c r="CZ34" i="6"/>
  <c r="CZ39" i="6" s="1"/>
  <c r="DG16" i="11"/>
  <c r="AV76" i="11"/>
  <c r="AW76" i="11" s="1"/>
  <c r="CI65" i="11"/>
  <c r="BC16" i="11"/>
  <c r="N34" i="6"/>
  <c r="DR34" i="6"/>
  <c r="DX83" i="6" s="1"/>
  <c r="H171" i="12"/>
  <c r="DX78" i="6"/>
  <c r="W337" i="17"/>
  <c r="BB34" i="6"/>
  <c r="BB39" i="6" s="1"/>
  <c r="W333" i="17"/>
  <c r="BZ76" i="11"/>
  <c r="DE65" i="11"/>
  <c r="K29" i="6"/>
  <c r="K78" i="6" s="1"/>
  <c r="BH78" i="6"/>
  <c r="H138" i="12"/>
  <c r="L25" i="11" s="1"/>
  <c r="CX78" i="6"/>
  <c r="X336" i="17"/>
  <c r="CA65" i="11"/>
  <c r="BI14" i="11"/>
  <c r="V65" i="11"/>
  <c r="J30" i="12"/>
  <c r="X65" i="11"/>
  <c r="BT11" i="11"/>
  <c r="BT81" i="11" s="1"/>
  <c r="BU81" i="11" s="1"/>
  <c r="BV81" i="11" s="1"/>
  <c r="AP34" i="6"/>
  <c r="AP39" i="6" s="1"/>
  <c r="BL65" i="11"/>
  <c r="BJ65" i="11"/>
  <c r="DU71" i="6"/>
  <c r="N11" i="11"/>
  <c r="CC14" i="11"/>
  <c r="T171" i="12"/>
  <c r="L11" i="11"/>
  <c r="L81" i="11" s="1"/>
  <c r="M81" i="11" s="1"/>
  <c r="N81" i="11" s="1"/>
  <c r="BK76" i="11"/>
  <c r="BL76" i="11" s="1"/>
  <c r="DB73" i="11"/>
  <c r="DG73" i="11"/>
  <c r="DA74" i="11"/>
  <c r="AY14" i="11"/>
  <c r="CZ78" i="6"/>
  <c r="CQ97" i="11"/>
  <c r="AQ34" i="6"/>
  <c r="AQ83" i="6" s="1"/>
  <c r="CL112" i="11"/>
  <c r="X78" i="6"/>
  <c r="CU12" i="11"/>
  <c r="AO29" i="6"/>
  <c r="AO78" i="6" s="1"/>
  <c r="AU65" i="11"/>
  <c r="BS71" i="6"/>
  <c r="O30" i="12"/>
  <c r="DD76" i="11"/>
  <c r="CR14" i="11"/>
  <c r="BM71" i="6"/>
  <c r="CG34" i="6"/>
  <c r="CG83" i="6" s="1"/>
  <c r="CV111" i="11"/>
  <c r="DA111" i="11" s="1"/>
  <c r="Z138" i="12"/>
  <c r="CX25" i="11" s="1"/>
  <c r="W29" i="6"/>
  <c r="AV34" i="6"/>
  <c r="AV39" i="6" s="1"/>
  <c r="DE34" i="6"/>
  <c r="DE39" i="6" s="1"/>
  <c r="Y30" i="12"/>
  <c r="M30" i="12"/>
  <c r="CW71" i="6"/>
  <c r="CE29" i="6"/>
  <c r="CE78" i="6" s="1"/>
  <c r="CZ11" i="11"/>
  <c r="AU29" i="6"/>
  <c r="BP11" i="11"/>
  <c r="S73" i="12" s="1"/>
  <c r="CG78" i="6"/>
  <c r="AX34" i="6"/>
  <c r="AX83" i="6" s="1"/>
  <c r="BA29" i="6"/>
  <c r="DK78" i="6"/>
  <c r="CT76" i="11"/>
  <c r="CU76" i="11" s="1"/>
  <c r="AK65" i="11"/>
  <c r="P14" i="11"/>
  <c r="CW29" i="6"/>
  <c r="CW78" i="6" s="1"/>
  <c r="CE16" i="11"/>
  <c r="CD16" i="11" s="1"/>
  <c r="BX14" i="11"/>
  <c r="Y335" i="17"/>
  <c r="X334" i="17"/>
  <c r="X338" i="17"/>
  <c r="AS16" i="11"/>
  <c r="BG65" i="11"/>
  <c r="DC71" i="6"/>
  <c r="DD124" i="11"/>
  <c r="DD125" i="11" s="1"/>
  <c r="T139" i="12"/>
  <c r="BT26" i="11" s="1"/>
  <c r="T95" i="12"/>
  <c r="J440" i="20"/>
  <c r="AA440" i="20" s="1"/>
  <c r="J438" i="20"/>
  <c r="AA438" i="20" s="1"/>
  <c r="AW234" i="2"/>
  <c r="G256" i="2"/>
  <c r="AX256" i="2" s="1"/>
  <c r="G254" i="2"/>
  <c r="AX254" i="2" s="1"/>
  <c r="G253" i="2"/>
  <c r="AX253" i="2" s="1"/>
  <c r="G255" i="2"/>
  <c r="AX255" i="2" s="1"/>
  <c r="G239" i="2"/>
  <c r="G238" i="2"/>
  <c r="J439" i="20"/>
  <c r="AA439" i="20" s="1"/>
  <c r="AW235" i="2"/>
  <c r="BV11" i="11"/>
  <c r="T138" i="12"/>
  <c r="BT25" i="11" s="1"/>
  <c r="DC29" i="6"/>
  <c r="DD78" i="6"/>
  <c r="CK71" i="6"/>
  <c r="BQ12" i="11"/>
  <c r="BW16" i="11"/>
  <c r="CC16" i="11" s="1"/>
  <c r="Z319" i="17"/>
  <c r="Z321" i="17" s="1"/>
  <c r="N78" i="6"/>
  <c r="AL76" i="11"/>
  <c r="AM76" i="11" s="1"/>
  <c r="EG40" i="6"/>
  <c r="EG89" i="6" s="1"/>
  <c r="L65" i="11"/>
  <c r="AA30" i="12"/>
  <c r="N65" i="11"/>
  <c r="BV12" i="11"/>
  <c r="H30" i="12"/>
  <c r="D104" i="2"/>
  <c r="AU104" i="2" s="1"/>
  <c r="M14" i="11"/>
  <c r="N14" i="11" s="1"/>
  <c r="E106" i="2"/>
  <c r="AV106" i="2" s="1"/>
  <c r="CX11" i="11"/>
  <c r="CX81" i="11" s="1"/>
  <c r="CY81" i="11" s="1"/>
  <c r="CZ81" i="11" s="1"/>
  <c r="Z171" i="12"/>
  <c r="R14" i="11"/>
  <c r="I141" i="12" s="1"/>
  <c r="Q28" i="11" s="1"/>
  <c r="BV14" i="11"/>
  <c r="X335" i="17"/>
  <c r="Z336" i="17"/>
  <c r="Y337" i="17"/>
  <c r="Z334" i="17"/>
  <c r="BD78" i="6"/>
  <c r="BE65" i="11"/>
  <c r="DA97" i="6"/>
  <c r="CN65" i="11"/>
  <c r="CO76" i="11"/>
  <c r="CP76" i="11" s="1"/>
  <c r="CP65" i="11"/>
  <c r="AT14" i="11"/>
  <c r="Y333" i="17"/>
  <c r="AZ65" i="11"/>
  <c r="BB65" i="11"/>
  <c r="CF14" i="11"/>
  <c r="CW14" i="11"/>
  <c r="CQ16" i="11"/>
  <c r="CW16" i="11" s="1"/>
  <c r="Z333" i="17"/>
  <c r="W335" i="17"/>
  <c r="Z335" i="17"/>
  <c r="X337" i="17"/>
  <c r="Y336" i="17"/>
  <c r="W334" i="17"/>
  <c r="Z337" i="17"/>
  <c r="W336" i="17"/>
  <c r="Y334" i="17"/>
  <c r="W338" i="17"/>
  <c r="BU16" i="11"/>
  <c r="BT16" i="11" s="1"/>
  <c r="BF76" i="11"/>
  <c r="BG76" i="11" s="1"/>
  <c r="EF47" i="6"/>
  <c r="EF96" i="6" s="1"/>
  <c r="AH65" i="11"/>
  <c r="V95" i="12"/>
  <c r="T30" i="12"/>
  <c r="BU76" i="11"/>
  <c r="BV76" i="11" s="1"/>
  <c r="BT65" i="11"/>
  <c r="BG71" i="6"/>
  <c r="AD319" i="17"/>
  <c r="AD321" i="17" s="1"/>
  <c r="AS338" i="17"/>
  <c r="BA338" i="17"/>
  <c r="Z287" i="17"/>
  <c r="AW338" i="17"/>
  <c r="BP76" i="11"/>
  <c r="BQ76" i="11" s="1"/>
  <c r="AC338" i="17"/>
  <c r="AK338" i="17"/>
  <c r="H150" i="20"/>
  <c r="Y150" i="20" s="1"/>
  <c r="S30" i="12"/>
  <c r="BO65" i="11"/>
  <c r="AG338" i="17"/>
  <c r="BE338" i="17"/>
  <c r="L30" i="12"/>
  <c r="AG76" i="11"/>
  <c r="DS60" i="11"/>
  <c r="DR60" i="11" s="1"/>
  <c r="AD178" i="12"/>
  <c r="F131" i="2" s="1"/>
  <c r="AW131" i="2" s="1"/>
  <c r="DU59" i="11"/>
  <c r="DX59" i="11" s="1"/>
  <c r="CO14" i="11"/>
  <c r="CL16" i="11"/>
  <c r="AC30" i="12"/>
  <c r="DN124" i="11"/>
  <c r="DN125" i="11" s="1"/>
  <c r="AD169" i="12"/>
  <c r="F105" i="2" s="1"/>
  <c r="AW105" i="2" s="1"/>
  <c r="DU63" i="11"/>
  <c r="CM14" i="11"/>
  <c r="BI338" i="17"/>
  <c r="E139" i="2"/>
  <c r="AV139" i="2" s="1"/>
  <c r="AC403" i="12"/>
  <c r="AC415" i="12" s="1"/>
  <c r="CP12" i="11"/>
  <c r="CO11" i="11"/>
  <c r="X139" i="12"/>
  <c r="CN26" i="11" s="1"/>
  <c r="AC407" i="12"/>
  <c r="AC419" i="12" s="1"/>
  <c r="C312" i="2"/>
  <c r="Z2" i="12"/>
  <c r="CX4" i="11" s="1"/>
  <c r="AJ14" i="11"/>
  <c r="BN14" i="11"/>
  <c r="V338" i="17"/>
  <c r="BJ338" i="17"/>
  <c r="BD14" i="11"/>
  <c r="E230" i="20"/>
  <c r="V230" i="20" s="1"/>
  <c r="CE11" i="11"/>
  <c r="CF12" i="11"/>
  <c r="V139" i="12"/>
  <c r="CD26" i="11" s="1"/>
  <c r="Y338" i="17"/>
  <c r="C318" i="2"/>
  <c r="EM10" i="6"/>
  <c r="C294" i="2"/>
  <c r="E294" i="2"/>
  <c r="AN16" i="11"/>
  <c r="AQ14" i="11"/>
  <c r="AQ11" i="11"/>
  <c r="AR12" i="11"/>
  <c r="N139" i="12"/>
  <c r="AP26" i="11" s="1"/>
  <c r="D318" i="2"/>
  <c r="D319" i="2" s="1"/>
  <c r="D293" i="2"/>
  <c r="AU110" i="2"/>
  <c r="Y686" i="7"/>
  <c r="Y675" i="7"/>
  <c r="Y665" i="7"/>
  <c r="K89" i="6"/>
  <c r="P40" i="6"/>
  <c r="P89" i="6" s="1"/>
  <c r="AI89" i="6"/>
  <c r="AN40" i="6"/>
  <c r="AN89" i="6" s="1"/>
  <c r="BL40" i="6"/>
  <c r="BL89" i="6" s="1"/>
  <c r="BG89" i="6"/>
  <c r="CJ40" i="6"/>
  <c r="CJ89" i="6" s="1"/>
  <c r="CE89" i="6"/>
  <c r="DH40" i="6"/>
  <c r="DH89" i="6" s="1"/>
  <c r="DC89" i="6"/>
  <c r="O390" i="7"/>
  <c r="O384" i="7"/>
  <c r="W390" i="7"/>
  <c r="W384" i="7"/>
  <c r="DG97" i="6"/>
  <c r="DG49" i="6"/>
  <c r="P563" i="7"/>
  <c r="P476" i="7"/>
  <c r="P470" i="7"/>
  <c r="P461" i="7"/>
  <c r="P456" i="7"/>
  <c r="P464" i="7"/>
  <c r="X563" i="7"/>
  <c r="X476" i="7"/>
  <c r="X470" i="7"/>
  <c r="X461" i="7"/>
  <c r="X456" i="7"/>
  <c r="X464" i="7"/>
  <c r="T564" i="7"/>
  <c r="T471" i="7"/>
  <c r="T465" i="7"/>
  <c r="O565" i="7"/>
  <c r="O472" i="7"/>
  <c r="O466" i="7"/>
  <c r="S565" i="7"/>
  <c r="S472" i="7"/>
  <c r="S466" i="7"/>
  <c r="W472" i="7"/>
  <c r="W565" i="7"/>
  <c r="W466" i="7"/>
  <c r="AA472" i="7"/>
  <c r="AA565" i="7"/>
  <c r="AA466" i="7"/>
  <c r="AB632" i="7"/>
  <c r="AC464" i="12"/>
  <c r="AC153" i="7" s="1"/>
  <c r="AC773" i="7"/>
  <c r="AC774" i="7" s="1"/>
  <c r="P139" i="12"/>
  <c r="AZ26" i="11" s="1"/>
  <c r="BA11" i="11"/>
  <c r="BB12" i="11"/>
  <c r="AX16" i="11"/>
  <c r="BA14" i="11"/>
  <c r="Q564" i="7"/>
  <c r="Q471" i="7"/>
  <c r="Q465" i="7"/>
  <c r="AW225" i="2"/>
  <c r="J425" i="20"/>
  <c r="AA425" i="20" s="1"/>
  <c r="K425" i="20"/>
  <c r="AB425" i="20" s="1"/>
  <c r="N563" i="7"/>
  <c r="N476" i="7"/>
  <c r="N470" i="7"/>
  <c r="N461" i="7"/>
  <c r="N456" i="7"/>
  <c r="N464" i="7"/>
  <c r="V563" i="7"/>
  <c r="V476" i="7"/>
  <c r="V470" i="7"/>
  <c r="V461" i="7"/>
  <c r="V456" i="7"/>
  <c r="V464" i="7"/>
  <c r="AD146" i="8"/>
  <c r="AE146" i="8" s="1"/>
  <c r="CT246" i="17"/>
  <c r="CT229" i="17"/>
  <c r="CT242" i="17" s="1"/>
  <c r="T16" i="11"/>
  <c r="U16" i="11" s="1"/>
  <c r="W14" i="11"/>
  <c r="AV101" i="2"/>
  <c r="R564" i="7"/>
  <c r="R471" i="7"/>
  <c r="R465" i="7"/>
  <c r="O675" i="7"/>
  <c r="O665" i="7"/>
  <c r="AX215" i="2"/>
  <c r="M411" i="20"/>
  <c r="AD411" i="20" s="1"/>
  <c r="L411" i="20"/>
  <c r="AC411" i="20" s="1"/>
  <c r="CV40" i="6"/>
  <c r="CV89" i="6" s="1"/>
  <c r="CQ89" i="6"/>
  <c r="AA390" i="7"/>
  <c r="AA384" i="7"/>
  <c r="EN27" i="6"/>
  <c r="AD707" i="7"/>
  <c r="AD709" i="7" s="1"/>
  <c r="F191" i="2" s="1"/>
  <c r="AD310" i="7"/>
  <c r="BV83" i="17"/>
  <c r="BU68" i="17"/>
  <c r="BV237" i="17"/>
  <c r="BU225" i="17"/>
  <c r="EE84" i="6"/>
  <c r="DT40" i="6"/>
  <c r="DT89" i="6" s="1"/>
  <c r="DO89" i="6"/>
  <c r="M369" i="7"/>
  <c r="M363" i="7"/>
  <c r="Q476" i="7"/>
  <c r="Q563" i="7"/>
  <c r="Q464" i="7"/>
  <c r="Q470" i="7"/>
  <c r="Q461" i="7"/>
  <c r="Q456" i="7"/>
  <c r="U369" i="7"/>
  <c r="U363" i="7"/>
  <c r="Y476" i="7"/>
  <c r="Y563" i="7"/>
  <c r="Y464" i="7"/>
  <c r="Y470" i="7"/>
  <c r="Y461" i="7"/>
  <c r="Y456" i="7"/>
  <c r="EQ28" i="6"/>
  <c r="AD778" i="7"/>
  <c r="AD339" i="7"/>
  <c r="AB84" i="8"/>
  <c r="CX167" i="17"/>
  <c r="CV166" i="17"/>
  <c r="CW166" i="17" s="1"/>
  <c r="CX166" i="17" s="1"/>
  <c r="CY166" i="17" s="1"/>
  <c r="AG11" i="11"/>
  <c r="L139" i="12"/>
  <c r="AF26" i="11" s="1"/>
  <c r="AH12" i="11"/>
  <c r="R139" i="12"/>
  <c r="BJ26" i="11" s="1"/>
  <c r="BL12" i="11"/>
  <c r="BK11" i="11"/>
  <c r="U14" i="11"/>
  <c r="N564" i="7"/>
  <c r="N471" i="7"/>
  <c r="N465" i="7"/>
  <c r="O369" i="7"/>
  <c r="O363" i="7"/>
  <c r="S476" i="7"/>
  <c r="S563" i="7"/>
  <c r="S470" i="7"/>
  <c r="S464" i="7"/>
  <c r="S461" i="7"/>
  <c r="S456" i="7"/>
  <c r="W369" i="7"/>
  <c r="W363" i="7"/>
  <c r="P161" i="8"/>
  <c r="P154" i="8"/>
  <c r="X161" i="8"/>
  <c r="X154" i="8"/>
  <c r="O564" i="7"/>
  <c r="O471" i="7"/>
  <c r="O465" i="7"/>
  <c r="L390" i="7"/>
  <c r="P369" i="7"/>
  <c r="P363" i="7"/>
  <c r="T390" i="7"/>
  <c r="T384" i="7"/>
  <c r="X369" i="7"/>
  <c r="X363" i="7"/>
  <c r="BV80" i="17"/>
  <c r="BU65" i="17"/>
  <c r="N25" i="21"/>
  <c r="N22" i="21"/>
  <c r="N60" i="21" s="1"/>
  <c r="W123" i="8"/>
  <c r="Z642" i="7"/>
  <c r="Z632" i="7"/>
  <c r="N161" i="8"/>
  <c r="N154" i="8"/>
  <c r="V161" i="8"/>
  <c r="V154" i="8"/>
  <c r="Y642" i="7"/>
  <c r="Y632" i="7"/>
  <c r="N369" i="7"/>
  <c r="N363" i="7"/>
  <c r="R390" i="7"/>
  <c r="R384" i="7"/>
  <c r="V369" i="7"/>
  <c r="V363" i="7"/>
  <c r="Z390" i="7"/>
  <c r="Z384" i="7"/>
  <c r="BM170" i="17"/>
  <c r="BL169" i="17"/>
  <c r="BL182" i="17" s="1"/>
  <c r="CX164" i="17"/>
  <c r="CV163" i="17"/>
  <c r="CW163" i="17" s="1"/>
  <c r="CX163" i="17" s="1"/>
  <c r="CY163" i="17" s="1"/>
  <c r="BZ61" i="17"/>
  <c r="BX60" i="17"/>
  <c r="BY60" i="17" s="1"/>
  <c r="BZ60" i="17" s="1"/>
  <c r="CA60" i="17" s="1"/>
  <c r="BZ221" i="17"/>
  <c r="BX220" i="17"/>
  <c r="BY220" i="17" s="1"/>
  <c r="BZ220" i="17" s="1"/>
  <c r="CA220" i="17" s="1"/>
  <c r="AX202" i="2"/>
  <c r="M377" i="20"/>
  <c r="AD377" i="20" s="1"/>
  <c r="L377" i="20"/>
  <c r="AC377" i="20" s="1"/>
  <c r="EP18" i="6"/>
  <c r="F39" i="6"/>
  <c r="E34" i="6"/>
  <c r="BK256" i="17"/>
  <c r="BK257" i="17" s="1"/>
  <c r="BK226" i="17"/>
  <c r="BK239" i="17" s="1"/>
  <c r="BL227" i="17"/>
  <c r="S564" i="7"/>
  <c r="S471" i="7"/>
  <c r="S465" i="7"/>
  <c r="L565" i="7"/>
  <c r="L472" i="7"/>
  <c r="L466" i="7"/>
  <c r="P565" i="7"/>
  <c r="P472" i="7"/>
  <c r="P466" i="7"/>
  <c r="T565" i="7"/>
  <c r="T472" i="7"/>
  <c r="T466" i="7"/>
  <c r="X565" i="7"/>
  <c r="X472" i="7"/>
  <c r="X466" i="7"/>
  <c r="EM28" i="6"/>
  <c r="EN77" i="6"/>
  <c r="O25" i="21"/>
  <c r="O22" i="21"/>
  <c r="O60" i="21" s="1"/>
  <c r="EM17" i="6"/>
  <c r="EP66" i="6"/>
  <c r="X564" i="7"/>
  <c r="X471" i="7"/>
  <c r="X465" i="7"/>
  <c r="EF35" i="6"/>
  <c r="EF84" i="6" s="1"/>
  <c r="EA84" i="6"/>
  <c r="CP40" i="6"/>
  <c r="CP89" i="6" s="1"/>
  <c r="CK89" i="6"/>
  <c r="M390" i="7"/>
  <c r="M384" i="7"/>
  <c r="U390" i="7"/>
  <c r="U384" i="7"/>
  <c r="R161" i="8"/>
  <c r="R154" i="8"/>
  <c r="AD43" i="8"/>
  <c r="AD24" i="8"/>
  <c r="AD11" i="8"/>
  <c r="AD8" i="8"/>
  <c r="U564" i="7"/>
  <c r="U471" i="7"/>
  <c r="U465" i="7"/>
  <c r="EM40" i="6"/>
  <c r="EP89" i="6"/>
  <c r="D25" i="21"/>
  <c r="D22" i="21"/>
  <c r="D60" i="21" s="1"/>
  <c r="D82" i="21" s="1"/>
  <c r="S25" i="21"/>
  <c r="S22" i="21"/>
  <c r="S60" i="21" s="1"/>
  <c r="S82" i="21" s="1"/>
  <c r="W686" i="7"/>
  <c r="W675" i="7"/>
  <c r="W665" i="7"/>
  <c r="AC170" i="7"/>
  <c r="O476" i="7"/>
  <c r="O563" i="7"/>
  <c r="O470" i="7"/>
  <c r="O464" i="7"/>
  <c r="O461" i="7"/>
  <c r="O456" i="7"/>
  <c r="S369" i="7"/>
  <c r="S363" i="7"/>
  <c r="W476" i="7"/>
  <c r="W563" i="7"/>
  <c r="W470" i="7"/>
  <c r="W464" i="7"/>
  <c r="W461" i="7"/>
  <c r="W456" i="7"/>
  <c r="EF32" i="6"/>
  <c r="EF81" i="6" s="1"/>
  <c r="L161" i="8"/>
  <c r="L154" i="8"/>
  <c r="T161" i="8"/>
  <c r="T154" i="8"/>
  <c r="L369" i="7"/>
  <c r="P390" i="7"/>
  <c r="P384" i="7"/>
  <c r="T369" i="7"/>
  <c r="T363" i="7"/>
  <c r="X390" i="7"/>
  <c r="X384" i="7"/>
  <c r="DM97" i="6"/>
  <c r="DM49" i="6"/>
  <c r="C112" i="2"/>
  <c r="AT112" i="2" s="1"/>
  <c r="E25" i="21"/>
  <c r="E22" i="21"/>
  <c r="E60" i="21" s="1"/>
  <c r="E82" i="21" s="1"/>
  <c r="O161" i="8"/>
  <c r="O154" i="8"/>
  <c r="L564" i="7"/>
  <c r="L471" i="7"/>
  <c r="L465" i="7"/>
  <c r="Z564" i="7"/>
  <c r="Z471" i="7"/>
  <c r="Z465" i="7"/>
  <c r="M565" i="7"/>
  <c r="M466" i="7"/>
  <c r="M472" i="7"/>
  <c r="Q565" i="7"/>
  <c r="Q466" i="7"/>
  <c r="Q472" i="7"/>
  <c r="U472" i="7"/>
  <c r="U565" i="7"/>
  <c r="U466" i="7"/>
  <c r="Y472" i="7"/>
  <c r="Y565" i="7"/>
  <c r="Y466" i="7"/>
  <c r="G224" i="2"/>
  <c r="AD660" i="7"/>
  <c r="CT142" i="17"/>
  <c r="CT129" i="17"/>
  <c r="CT125" i="17"/>
  <c r="U123" i="8"/>
  <c r="Y564" i="7"/>
  <c r="Y471" i="7"/>
  <c r="Y465" i="7"/>
  <c r="AX207" i="2"/>
  <c r="L382" i="20"/>
  <c r="AC382" i="20" s="1"/>
  <c r="M382" i="20"/>
  <c r="AD382" i="20" s="1"/>
  <c r="L410" i="20"/>
  <c r="AC410" i="20" s="1"/>
  <c r="M410" i="20"/>
  <c r="AD410" i="20" s="1"/>
  <c r="AC499" i="7"/>
  <c r="AC490" i="7"/>
  <c r="AC478" i="7"/>
  <c r="N390" i="7"/>
  <c r="N384" i="7"/>
  <c r="R369" i="7"/>
  <c r="R363" i="7"/>
  <c r="V390" i="7"/>
  <c r="V384" i="7"/>
  <c r="Z369" i="7"/>
  <c r="Z363" i="7"/>
  <c r="J139" i="12"/>
  <c r="V26" i="11" s="1"/>
  <c r="X12" i="11"/>
  <c r="W11" i="11"/>
  <c r="G75" i="20"/>
  <c r="X75" i="20" s="1"/>
  <c r="D306" i="2"/>
  <c r="D307" i="2" s="1"/>
  <c r="D284" i="2"/>
  <c r="AU101" i="2"/>
  <c r="S675" i="7"/>
  <c r="S665" i="7"/>
  <c r="AC165" i="8"/>
  <c r="AD144" i="8"/>
  <c r="AE144" i="8" s="1"/>
  <c r="AB172" i="8"/>
  <c r="EF40" i="6"/>
  <c r="EF89" i="6" s="1"/>
  <c r="EA89" i="6"/>
  <c r="AA476" i="7"/>
  <c r="AA470" i="7"/>
  <c r="AA464" i="7"/>
  <c r="AA461" i="7"/>
  <c r="AA456" i="7"/>
  <c r="EM32" i="6"/>
  <c r="EN81" i="6"/>
  <c r="AX201" i="2"/>
  <c r="L376" i="20"/>
  <c r="AC376" i="20" s="1"/>
  <c r="M376" i="20"/>
  <c r="AD376" i="20" s="1"/>
  <c r="BZ67" i="17"/>
  <c r="BX66" i="17"/>
  <c r="BY66" i="17" s="1"/>
  <c r="BZ66" i="17" s="1"/>
  <c r="CA66" i="17" s="1"/>
  <c r="BZ224" i="17"/>
  <c r="BX223" i="17"/>
  <c r="BY223" i="17" s="1"/>
  <c r="BZ223" i="17" s="1"/>
  <c r="CA223" i="17" s="1"/>
  <c r="AB465" i="12"/>
  <c r="AB783" i="7"/>
  <c r="AB784" i="7" s="1"/>
  <c r="EK35" i="6"/>
  <c r="EK84" i="6" s="1"/>
  <c r="AC781" i="7"/>
  <c r="AC782" i="7" s="1"/>
  <c r="E241" i="2" s="1"/>
  <c r="AC405" i="7"/>
  <c r="EH84" i="6"/>
  <c r="EG35" i="6"/>
  <c r="AW194" i="2"/>
  <c r="J345" i="20"/>
  <c r="AA345" i="20" s="1"/>
  <c r="K345" i="20"/>
  <c r="AB345" i="20" s="1"/>
  <c r="AW224" i="2"/>
  <c r="J421" i="20"/>
  <c r="AA421" i="20" s="1"/>
  <c r="K421" i="20"/>
  <c r="AB421" i="20" s="1"/>
  <c r="O640" i="7"/>
  <c r="O632" i="7"/>
  <c r="S640" i="7"/>
  <c r="S632" i="7"/>
  <c r="W650" i="7"/>
  <c r="W640" i="7"/>
  <c r="W632" i="7"/>
  <c r="AT40" i="6"/>
  <c r="AT89" i="6" s="1"/>
  <c r="AO89" i="6"/>
  <c r="Q390" i="7"/>
  <c r="Q384" i="7"/>
  <c r="Y390" i="7"/>
  <c r="Y384" i="7"/>
  <c r="EL33" i="6"/>
  <c r="EL82" i="6" s="1"/>
  <c r="EG82" i="6"/>
  <c r="EM33" i="6"/>
  <c r="EN82" i="6"/>
  <c r="J161" i="8"/>
  <c r="J154" i="8"/>
  <c r="X42" i="8"/>
  <c r="X41" i="8"/>
  <c r="Y40" i="8"/>
  <c r="CT180" i="17"/>
  <c r="CS168" i="17"/>
  <c r="AG14" i="11"/>
  <c r="AD16" i="11"/>
  <c r="AE16" i="11" s="1"/>
  <c r="BH16" i="11"/>
  <c r="BK14" i="11"/>
  <c r="D112" i="2"/>
  <c r="AA347" i="12"/>
  <c r="K64" i="21"/>
  <c r="K65" i="21" s="1"/>
  <c r="K88" i="21" s="1"/>
  <c r="K87" i="21" s="1"/>
  <c r="K82" i="21"/>
  <c r="V564" i="7"/>
  <c r="V471" i="7"/>
  <c r="V465" i="7"/>
  <c r="W89" i="6"/>
  <c r="AB40" i="6"/>
  <c r="AB89" i="6" s="1"/>
  <c r="AU89" i="6"/>
  <c r="AZ40" i="6"/>
  <c r="AZ89" i="6" s="1"/>
  <c r="BX40" i="6"/>
  <c r="BX89" i="6" s="1"/>
  <c r="BS89" i="6"/>
  <c r="S390" i="7"/>
  <c r="S384" i="7"/>
  <c r="P123" i="8"/>
  <c r="W564" i="7"/>
  <c r="W471" i="7"/>
  <c r="W465" i="7"/>
  <c r="V686" i="7"/>
  <c r="V675" i="7"/>
  <c r="V665" i="7"/>
  <c r="L563" i="7"/>
  <c r="L476" i="7"/>
  <c r="L470" i="7"/>
  <c r="L461" i="7"/>
  <c r="L456" i="7"/>
  <c r="T563" i="7"/>
  <c r="T476" i="7"/>
  <c r="T470" i="7"/>
  <c r="T461" i="7"/>
  <c r="T456" i="7"/>
  <c r="T464" i="7"/>
  <c r="DY97" i="6"/>
  <c r="DY49" i="6"/>
  <c r="BZ64" i="17"/>
  <c r="BX63" i="17"/>
  <c r="BY63" i="17" s="1"/>
  <c r="BZ63" i="17" s="1"/>
  <c r="CA63" i="17" s="1"/>
  <c r="R25" i="21"/>
  <c r="R22" i="21"/>
  <c r="R60" i="21" s="1"/>
  <c r="R82" i="21" s="1"/>
  <c r="AT102" i="2"/>
  <c r="C306" i="2"/>
  <c r="M25" i="21"/>
  <c r="M22" i="21"/>
  <c r="M60" i="21" s="1"/>
  <c r="W161" i="8"/>
  <c r="W154" i="8"/>
  <c r="EJ66" i="6"/>
  <c r="EG17" i="6"/>
  <c r="M123" i="8"/>
  <c r="R563" i="7"/>
  <c r="R476" i="7"/>
  <c r="R470" i="7"/>
  <c r="R461" i="7"/>
  <c r="R456" i="7"/>
  <c r="R464" i="7"/>
  <c r="Z563" i="7"/>
  <c r="Z476" i="7"/>
  <c r="Z470" i="7"/>
  <c r="Z461" i="7"/>
  <c r="Z456" i="7"/>
  <c r="Z464" i="7"/>
  <c r="EN73" i="6"/>
  <c r="CT177" i="17"/>
  <c r="CS165" i="17"/>
  <c r="BV77" i="17"/>
  <c r="BU62" i="17"/>
  <c r="BV234" i="17"/>
  <c r="BU222" i="17"/>
  <c r="K123" i="8"/>
  <c r="AA369" i="7"/>
  <c r="AA363" i="7"/>
  <c r="K304" i="20"/>
  <c r="AB304" i="20" s="1"/>
  <c r="AX176" i="2"/>
  <c r="L304" i="20"/>
  <c r="AC304" i="20" s="1"/>
  <c r="H161" i="8"/>
  <c r="H154" i="8"/>
  <c r="Z161" i="8"/>
  <c r="Z154" i="8"/>
  <c r="AT183" i="2"/>
  <c r="E309" i="20"/>
  <c r="V309" i="20" s="1"/>
  <c r="E308" i="20"/>
  <c r="V308" i="20" s="1"/>
  <c r="F308" i="20"/>
  <c r="W308" i="20" s="1"/>
  <c r="F309" i="20"/>
  <c r="W309" i="20" s="1"/>
  <c r="N565" i="7"/>
  <c r="N472" i="7"/>
  <c r="N466" i="7"/>
  <c r="R565" i="7"/>
  <c r="R472" i="7"/>
  <c r="R466" i="7"/>
  <c r="V565" i="7"/>
  <c r="V472" i="7"/>
  <c r="V466" i="7"/>
  <c r="Z565" i="7"/>
  <c r="Z472" i="7"/>
  <c r="Z466" i="7"/>
  <c r="K154" i="8"/>
  <c r="D285" i="2"/>
  <c r="AU102" i="2"/>
  <c r="P564" i="7"/>
  <c r="P471" i="7"/>
  <c r="P465" i="7"/>
  <c r="G194" i="2"/>
  <c r="EN35" i="6"/>
  <c r="AD399" i="7"/>
  <c r="AD402" i="7"/>
  <c r="L383" i="20"/>
  <c r="AC383" i="20" s="1"/>
  <c r="AX208" i="2"/>
  <c r="AA650" i="7"/>
  <c r="AA640" i="7"/>
  <c r="DU89" i="6"/>
  <c r="M476" i="7"/>
  <c r="M563" i="7"/>
  <c r="M464" i="7"/>
  <c r="M470" i="7"/>
  <c r="M461" i="7"/>
  <c r="M456" i="7"/>
  <c r="Q369" i="7"/>
  <c r="Q363" i="7"/>
  <c r="U476" i="7"/>
  <c r="U563" i="7"/>
  <c r="U464" i="7"/>
  <c r="U470" i="7"/>
  <c r="U461" i="7"/>
  <c r="U456" i="7"/>
  <c r="Y369" i="7"/>
  <c r="Y363" i="7"/>
  <c r="AC66" i="8"/>
  <c r="AC55" i="8"/>
  <c r="M564" i="7"/>
  <c r="M471" i="7"/>
  <c r="M465" i="7"/>
  <c r="AA564" i="7"/>
  <c r="AA471" i="7"/>
  <c r="AA465" i="7"/>
  <c r="AD499" i="7"/>
  <c r="AD490" i="7"/>
  <c r="AD491" i="7" s="1"/>
  <c r="AD478" i="7"/>
  <c r="I154" i="8"/>
  <c r="Q154" i="8"/>
  <c r="Y154" i="8"/>
  <c r="E313" i="2"/>
  <c r="AL338" i="17"/>
  <c r="AT338" i="17"/>
  <c r="E291" i="2"/>
  <c r="F291" i="2" s="1"/>
  <c r="BL338" i="17"/>
  <c r="AD338" i="17"/>
  <c r="C313" i="2"/>
  <c r="G66" i="20" s="1"/>
  <c r="X66" i="20" s="1"/>
  <c r="BM338" i="17"/>
  <c r="L83" i="6"/>
  <c r="L39" i="6"/>
  <c r="BN83" i="6"/>
  <c r="BN39" i="6"/>
  <c r="BM34" i="6"/>
  <c r="AJ39" i="6"/>
  <c r="AI34" i="6"/>
  <c r="BM78" i="6"/>
  <c r="S141" i="12"/>
  <c r="BO28" i="11" s="1"/>
  <c r="S95" i="12"/>
  <c r="BP16" i="11"/>
  <c r="BQ14" i="11"/>
  <c r="I171" i="12"/>
  <c r="I138" i="12"/>
  <c r="Q25" i="11" s="1"/>
  <c r="S11" i="11"/>
  <c r="Q11" i="11"/>
  <c r="Q81" i="11" s="1"/>
  <c r="R81" i="11" s="1"/>
  <c r="S81" i="11" s="1"/>
  <c r="M171" i="12"/>
  <c r="M138" i="12"/>
  <c r="AK25" i="11" s="1"/>
  <c r="AM11" i="11"/>
  <c r="AK11" i="11"/>
  <c r="AK81" i="11" s="1"/>
  <c r="AL81" i="11" s="1"/>
  <c r="AM81" i="11" s="1"/>
  <c r="Q171" i="12"/>
  <c r="Q138" i="12"/>
  <c r="BE25" i="11" s="1"/>
  <c r="BG11" i="11"/>
  <c r="BE11" i="11"/>
  <c r="BE81" i="11" s="1"/>
  <c r="BF81" i="11" s="1"/>
  <c r="BG81" i="11" s="1"/>
  <c r="U171" i="12"/>
  <c r="U138" i="12"/>
  <c r="BY25" i="11" s="1"/>
  <c r="CA11" i="11"/>
  <c r="BY11" i="11"/>
  <c r="BY81" i="11" s="1"/>
  <c r="BZ81" i="11" s="1"/>
  <c r="CA81" i="11" s="1"/>
  <c r="Y171" i="12"/>
  <c r="Y138" i="12"/>
  <c r="CS25" i="11" s="1"/>
  <c r="CU11" i="11"/>
  <c r="CS11" i="11"/>
  <c r="CS81" i="11" s="1"/>
  <c r="CT81" i="11" s="1"/>
  <c r="CU81" i="11" s="1"/>
  <c r="BK285" i="17"/>
  <c r="BJ319" i="17"/>
  <c r="BJ286" i="17" s="1"/>
  <c r="BL285" i="17"/>
  <c r="BL319" i="17" s="1"/>
  <c r="BL286" i="17" s="1"/>
  <c r="BM285" i="17"/>
  <c r="BM319" i="17" s="1"/>
  <c r="BM286" i="17" s="1"/>
  <c r="BN285" i="17"/>
  <c r="BJ298" i="17"/>
  <c r="DD83" i="6"/>
  <c r="DD39" i="6"/>
  <c r="X83" i="6"/>
  <c r="X39" i="6"/>
  <c r="W34" i="6"/>
  <c r="P16" i="11"/>
  <c r="Y39" i="6"/>
  <c r="AK83" i="6"/>
  <c r="AK39" i="6"/>
  <c r="BI83" i="6"/>
  <c r="BI39" i="6"/>
  <c r="DX39" i="6"/>
  <c r="R338" i="17"/>
  <c r="AH338" i="17"/>
  <c r="DU122" i="11"/>
  <c r="DV87" i="11"/>
  <c r="CQ78" i="6"/>
  <c r="DP83" i="6"/>
  <c r="DP39" i="6"/>
  <c r="DW39" i="6"/>
  <c r="K138" i="12"/>
  <c r="AA25" i="11" s="1"/>
  <c r="K171" i="12"/>
  <c r="AC11" i="11"/>
  <c r="AA11" i="11"/>
  <c r="AA81" i="11" s="1"/>
  <c r="AB81" i="11" s="1"/>
  <c r="AC81" i="11" s="1"/>
  <c r="O138" i="12"/>
  <c r="AU25" i="11" s="1"/>
  <c r="O171" i="12"/>
  <c r="AW11" i="11"/>
  <c r="AU11" i="11"/>
  <c r="AU81" i="11" s="1"/>
  <c r="AV81" i="11" s="1"/>
  <c r="AW81" i="11" s="1"/>
  <c r="AA138" i="12"/>
  <c r="DC25" i="11" s="1"/>
  <c r="AA171" i="12"/>
  <c r="DE11" i="11"/>
  <c r="DC11" i="11"/>
  <c r="DC81" i="11" s="1"/>
  <c r="DD81" i="11" s="1"/>
  <c r="DE81" i="11" s="1"/>
  <c r="DV83" i="6"/>
  <c r="DV39" i="6"/>
  <c r="DU34" i="6"/>
  <c r="DB16" i="11"/>
  <c r="CZ16" i="11"/>
  <c r="EJ86" i="6"/>
  <c r="EJ36" i="6"/>
  <c r="EJ85" i="6" s="1"/>
  <c r="AD106" i="12"/>
  <c r="DR103" i="11"/>
  <c r="BL284" i="17"/>
  <c r="BL317" i="17"/>
  <c r="BL318" i="17" s="1"/>
  <c r="BJ284" i="17"/>
  <c r="BJ317" i="17"/>
  <c r="BJ318" i="17" s="1"/>
  <c r="BJ296" i="17"/>
  <c r="BH39" i="6"/>
  <c r="BG34" i="6"/>
  <c r="CL83" i="6"/>
  <c r="CL39" i="6"/>
  <c r="CK34" i="6"/>
  <c r="DJ83" i="6"/>
  <c r="DJ39" i="6"/>
  <c r="AC305" i="12"/>
  <c r="AC280" i="12"/>
  <c r="CT230" i="17"/>
  <c r="CT243" i="17" s="1"/>
  <c r="AC123" i="12"/>
  <c r="AC129" i="12" s="1"/>
  <c r="DU126" i="11"/>
  <c r="DU105" i="11"/>
  <c r="DV102" i="11"/>
  <c r="DA96" i="11"/>
  <c r="CV97" i="11"/>
  <c r="AC437" i="12"/>
  <c r="AC442" i="12" s="1"/>
  <c r="AC330" i="12"/>
  <c r="R83" i="6"/>
  <c r="R39" i="6"/>
  <c r="CF83" i="6"/>
  <c r="CF39" i="6"/>
  <c r="BS16" i="11"/>
  <c r="BZ39" i="6"/>
  <c r="BY34" i="6"/>
  <c r="CX83" i="6"/>
  <c r="CX39" i="6"/>
  <c r="W138" i="12"/>
  <c r="CI25" i="11" s="1"/>
  <c r="W171" i="12"/>
  <c r="CK11" i="11"/>
  <c r="CI11" i="11"/>
  <c r="CI81" i="11" s="1"/>
  <c r="CJ81" i="11" s="1"/>
  <c r="CK81" i="11" s="1"/>
  <c r="M141" i="12"/>
  <c r="AK28" i="11" s="1"/>
  <c r="M95" i="12"/>
  <c r="AL16" i="11"/>
  <c r="AM14" i="11"/>
  <c r="Q141" i="12"/>
  <c r="BE28" i="11" s="1"/>
  <c r="Q95" i="12"/>
  <c r="Q2" i="12" s="1"/>
  <c r="BE4" i="11" s="1"/>
  <c r="BF16" i="11"/>
  <c r="BG14" i="11"/>
  <c r="U141" i="12"/>
  <c r="BY28" i="11" s="1"/>
  <c r="U95" i="12"/>
  <c r="BZ16" i="11"/>
  <c r="CA14" i="11"/>
  <c r="Y141" i="12"/>
  <c r="CS28" i="11" s="1"/>
  <c r="Y95" i="12"/>
  <c r="CT16" i="11"/>
  <c r="CU14" i="11"/>
  <c r="AC447" i="12"/>
  <c r="AC452" i="12" s="1"/>
  <c r="Z338" i="17"/>
  <c r="AP338" i="17"/>
  <c r="BF338" i="17"/>
  <c r="T39" i="6"/>
  <c r="Z83" i="6"/>
  <c r="Z39" i="6"/>
  <c r="AF83" i="6"/>
  <c r="AF39" i="6"/>
  <c r="AL83" i="6"/>
  <c r="AL39" i="6"/>
  <c r="AR83" i="6"/>
  <c r="AR39" i="6"/>
  <c r="BJ39" i="6"/>
  <c r="BP83" i="6"/>
  <c r="BP39" i="6"/>
  <c r="BV83" i="6"/>
  <c r="BV39" i="6"/>
  <c r="CB83" i="6"/>
  <c r="CB39" i="6"/>
  <c r="CH83" i="6"/>
  <c r="CH39" i="6"/>
  <c r="CN83" i="6"/>
  <c r="CN39" i="6"/>
  <c r="CT83" i="6"/>
  <c r="CT39" i="6"/>
  <c r="DF39" i="6"/>
  <c r="CR83" i="6"/>
  <c r="CR39" i="6"/>
  <c r="AE83" i="6"/>
  <c r="AE39" i="6"/>
  <c r="BC39" i="6"/>
  <c r="BO83" i="6"/>
  <c r="BO39" i="6"/>
  <c r="CA39" i="6"/>
  <c r="CM39" i="6"/>
  <c r="CY39" i="6"/>
  <c r="DK39" i="6"/>
  <c r="O141" i="12"/>
  <c r="AU28" i="11" s="1"/>
  <c r="O95" i="12"/>
  <c r="AV16" i="11"/>
  <c r="AW14" i="11"/>
  <c r="AA141" i="12"/>
  <c r="DC28" i="11" s="1"/>
  <c r="AA95" i="12"/>
  <c r="DD16" i="11"/>
  <c r="DC16" i="11" s="1"/>
  <c r="DE14" i="11"/>
  <c r="AC441" i="7"/>
  <c r="DU103" i="11"/>
  <c r="DV101" i="11"/>
  <c r="AD315" i="12" s="1"/>
  <c r="AD309" i="12" s="1"/>
  <c r="F146" i="2" s="1"/>
  <c r="I505" i="20" s="1"/>
  <c r="Z505" i="20" s="1"/>
  <c r="BN316" i="17"/>
  <c r="BN338" i="17" s="1"/>
  <c r="BO282" i="17"/>
  <c r="BP282" i="17"/>
  <c r="BP316" i="17" s="1"/>
  <c r="BP338" i="17" s="1"/>
  <c r="BQ282" i="17"/>
  <c r="BQ316" i="17" s="1"/>
  <c r="BQ338" i="17" s="1"/>
  <c r="BR282" i="17"/>
  <c r="BM317" i="17"/>
  <c r="BM318" i="17" s="1"/>
  <c r="BM284" i="17"/>
  <c r="BN295" i="17"/>
  <c r="BN301" i="17" s="1"/>
  <c r="BK316" i="17"/>
  <c r="DR88" i="11" l="1"/>
  <c r="AD89" i="12" s="1"/>
  <c r="DJ11" i="11"/>
  <c r="AB171" i="12"/>
  <c r="D107" i="2" s="1"/>
  <c r="AB138" i="12"/>
  <c r="DH25" i="11" s="1"/>
  <c r="DH11" i="11"/>
  <c r="DH81" i="11" s="1"/>
  <c r="DI81" i="11" s="1"/>
  <c r="DJ81" i="11" s="1"/>
  <c r="H191" i="20"/>
  <c r="Y191" i="20" s="1"/>
  <c r="G511" i="20"/>
  <c r="X511" i="20" s="1"/>
  <c r="AC491" i="7"/>
  <c r="U20" i="21"/>
  <c r="U15" i="21"/>
  <c r="AC312" i="12"/>
  <c r="AC448" i="12"/>
  <c r="AC453" i="12" s="1"/>
  <c r="AC331" i="12"/>
  <c r="AC462" i="12" s="1"/>
  <c r="G564" i="7"/>
  <c r="G579" i="7" s="1"/>
  <c r="G471" i="7"/>
  <c r="G461" i="7"/>
  <c r="G473" i="7" s="1"/>
  <c r="AU78" i="6"/>
  <c r="DH16" i="11"/>
  <c r="BA78" i="6"/>
  <c r="AW83" i="6"/>
  <c r="AD34" i="6"/>
  <c r="AD39" i="6" s="1"/>
  <c r="AJ78" i="6"/>
  <c r="S34" i="6"/>
  <c r="S39" i="6" s="1"/>
  <c r="Y78" i="6"/>
  <c r="W71" i="6"/>
  <c r="AI71" i="6"/>
  <c r="H363" i="7"/>
  <c r="J413" i="20"/>
  <c r="AA413" i="20" s="1"/>
  <c r="K413" i="20"/>
  <c r="AB413" i="20" s="1"/>
  <c r="J465" i="7"/>
  <c r="S78" i="6"/>
  <c r="Q29" i="6"/>
  <c r="Q78" i="6" s="1"/>
  <c r="AD78" i="6"/>
  <c r="AC29" i="6"/>
  <c r="I363" i="7"/>
  <c r="I369" i="7"/>
  <c r="H579" i="7"/>
  <c r="H573" i="7"/>
  <c r="J603" i="7"/>
  <c r="J574" i="7"/>
  <c r="J580" i="7"/>
  <c r="J587" i="7"/>
  <c r="I603" i="7"/>
  <c r="I587" i="7"/>
  <c r="I580" i="7"/>
  <c r="I574" i="7"/>
  <c r="J470" i="7"/>
  <c r="J563" i="7"/>
  <c r="J572" i="7" s="1"/>
  <c r="J476" i="7"/>
  <c r="J464" i="7"/>
  <c r="H473" i="7"/>
  <c r="H467" i="7"/>
  <c r="I467" i="7"/>
  <c r="I473" i="7"/>
  <c r="J579" i="7"/>
  <c r="I390" i="7"/>
  <c r="I384" i="7"/>
  <c r="I471" i="7"/>
  <c r="I564" i="7"/>
  <c r="I567" i="7" s="1"/>
  <c r="I2" i="7" s="1"/>
  <c r="I465" i="7"/>
  <c r="H567" i="7"/>
  <c r="H2" i="7" s="1"/>
  <c r="H578" i="7"/>
  <c r="H572" i="7"/>
  <c r="K390" i="7"/>
  <c r="K384" i="7"/>
  <c r="I578" i="7"/>
  <c r="I572" i="7"/>
  <c r="J363" i="7"/>
  <c r="J369" i="7"/>
  <c r="H574" i="7"/>
  <c r="H580" i="7"/>
  <c r="H603" i="7"/>
  <c r="H587" i="7"/>
  <c r="K579" i="7"/>
  <c r="K573" i="7"/>
  <c r="G578" i="7"/>
  <c r="K369" i="7"/>
  <c r="K363" i="7"/>
  <c r="G580" i="7"/>
  <c r="G603" i="7"/>
  <c r="G587" i="7"/>
  <c r="J384" i="7"/>
  <c r="J390" i="7"/>
  <c r="K476" i="7"/>
  <c r="K563" i="7"/>
  <c r="K470" i="7"/>
  <c r="K464" i="7"/>
  <c r="K461" i="7"/>
  <c r="L467" i="7" s="1"/>
  <c r="K603" i="7"/>
  <c r="K587" i="7"/>
  <c r="K574" i="7"/>
  <c r="K580" i="7"/>
  <c r="J473" i="7"/>
  <c r="J467" i="7"/>
  <c r="AA567" i="7"/>
  <c r="EW73" i="6"/>
  <c r="BN70" i="17"/>
  <c r="BN69" i="17" s="1"/>
  <c r="BN85" i="17" s="1"/>
  <c r="X642" i="7"/>
  <c r="X632" i="7"/>
  <c r="J22" i="21"/>
  <c r="J60" i="21" s="1"/>
  <c r="J82" i="21" s="1"/>
  <c r="BM103" i="17"/>
  <c r="BM104" i="17" s="1"/>
  <c r="L25" i="21"/>
  <c r="G274" i="2"/>
  <c r="AX274" i="2" s="1"/>
  <c r="BL103" i="17"/>
  <c r="BL104" i="17" s="1"/>
  <c r="BL69" i="17"/>
  <c r="BL85" i="17" s="1"/>
  <c r="L82" i="21"/>
  <c r="L83" i="21" s="1"/>
  <c r="L86" i="21" s="1"/>
  <c r="H25" i="21"/>
  <c r="CW307" i="17"/>
  <c r="CW308" i="17" s="1"/>
  <c r="CX306" i="17"/>
  <c r="AE487" i="7"/>
  <c r="AE490" i="7" s="1"/>
  <c r="AE491" i="7" s="1"/>
  <c r="G225" i="2"/>
  <c r="AX225" i="2" s="1"/>
  <c r="AX137" i="2"/>
  <c r="Q25" i="21"/>
  <c r="AD773" i="7"/>
  <c r="AD774" i="7" s="1"/>
  <c r="EH76" i="6"/>
  <c r="P118" i="8"/>
  <c r="P125" i="8" s="1"/>
  <c r="J420" i="20"/>
  <c r="AA420" i="20" s="1"/>
  <c r="K420" i="20"/>
  <c r="AB420" i="20" s="1"/>
  <c r="AD170" i="7"/>
  <c r="AD464" i="12"/>
  <c r="AD153" i="7" s="1"/>
  <c r="I22" i="21"/>
  <c r="I60" i="21" s="1"/>
  <c r="I82" i="21" s="1"/>
  <c r="H341" i="20"/>
  <c r="Y341" i="20" s="1"/>
  <c r="I341" i="20"/>
  <c r="Z341" i="20" s="1"/>
  <c r="G240" i="2"/>
  <c r="L191" i="20" s="1"/>
  <c r="AC191" i="20" s="1"/>
  <c r="AE464" i="12"/>
  <c r="AE153" i="7" s="1"/>
  <c r="AE497" i="7"/>
  <c r="P64" i="21"/>
  <c r="P40" i="21" s="1"/>
  <c r="P44" i="21" s="1"/>
  <c r="EX33" i="6"/>
  <c r="EX82" i="6" s="1"/>
  <c r="E231" i="20"/>
  <c r="V231" i="20" s="1"/>
  <c r="ES82" i="6"/>
  <c r="ET84" i="6"/>
  <c r="P25" i="21"/>
  <c r="M413" i="20"/>
  <c r="AD413" i="20" s="1"/>
  <c r="EX32" i="6"/>
  <c r="EX81" i="6" s="1"/>
  <c r="ET59" i="6"/>
  <c r="G273" i="2"/>
  <c r="EW35" i="6"/>
  <c r="EX35" i="6" s="1"/>
  <c r="EX84" i="6" s="1"/>
  <c r="AE781" i="7"/>
  <c r="AE782" i="7" s="1"/>
  <c r="AE405" i="7"/>
  <c r="L413" i="20"/>
  <c r="AC413" i="20" s="1"/>
  <c r="AE165" i="8"/>
  <c r="G276" i="2"/>
  <c r="G284" i="20"/>
  <c r="X284" i="20" s="1"/>
  <c r="F232" i="2"/>
  <c r="AW232" i="2" s="1"/>
  <c r="G210" i="2"/>
  <c r="M387" i="20" s="1"/>
  <c r="AD387" i="20" s="1"/>
  <c r="ES40" i="6"/>
  <c r="ES89" i="6" s="1"/>
  <c r="EV17" i="6"/>
  <c r="AE59" i="7"/>
  <c r="AE659" i="7"/>
  <c r="G223" i="2"/>
  <c r="AE588" i="7"/>
  <c r="AE593" i="7" s="1"/>
  <c r="AE165" i="7"/>
  <c r="ES81" i="6"/>
  <c r="DB164" i="17"/>
  <c r="CZ163" i="17"/>
  <c r="DA163" i="17" s="1"/>
  <c r="DB163" i="17" s="1"/>
  <c r="AE66" i="8"/>
  <c r="AE55" i="8"/>
  <c r="AU241" i="2"/>
  <c r="E512" i="20"/>
  <c r="V512" i="20" s="1"/>
  <c r="CZ166" i="17"/>
  <c r="DA166" i="17" s="1"/>
  <c r="DB166" i="17" s="1"/>
  <c r="DB167" i="17"/>
  <c r="G275" i="2"/>
  <c r="ET76" i="6"/>
  <c r="AX252" i="2"/>
  <c r="G280" i="20"/>
  <c r="X280" i="20" s="1"/>
  <c r="E35" i="20"/>
  <c r="V35" i="20" s="1"/>
  <c r="AB95" i="12"/>
  <c r="AB141" i="12"/>
  <c r="DH28" i="11" s="1"/>
  <c r="L175" i="20"/>
  <c r="AC175" i="20" s="1"/>
  <c r="M486" i="20"/>
  <c r="AD486" i="20" s="1"/>
  <c r="M175" i="20"/>
  <c r="AD175" i="20" s="1"/>
  <c r="G111" i="2"/>
  <c r="AX111" i="2" s="1"/>
  <c r="L540" i="20"/>
  <c r="AC540" i="20" s="1"/>
  <c r="G108" i="2"/>
  <c r="AX108" i="2" s="1"/>
  <c r="AE408" i="12"/>
  <c r="AE420" i="12" s="1"/>
  <c r="G106" i="2"/>
  <c r="AX106" i="2" s="1"/>
  <c r="G110" i="2"/>
  <c r="G154" i="20"/>
  <c r="X154" i="20" s="1"/>
  <c r="C107" i="2"/>
  <c r="C309" i="2" s="1"/>
  <c r="E223" i="20"/>
  <c r="V223" i="20" s="1"/>
  <c r="K186" i="20"/>
  <c r="AB186" i="20" s="1"/>
  <c r="J186" i="20"/>
  <c r="AA186" i="20" s="1"/>
  <c r="BB338" i="17"/>
  <c r="J505" i="20"/>
  <c r="AA505" i="20" s="1"/>
  <c r="F299" i="2"/>
  <c r="I150" i="20" s="1"/>
  <c r="Z150" i="20" s="1"/>
  <c r="F288" i="2"/>
  <c r="I152" i="20" s="1"/>
  <c r="Z152" i="20" s="1"/>
  <c r="F109" i="2"/>
  <c r="AW146" i="2"/>
  <c r="G141" i="2"/>
  <c r="AX141" i="2" s="1"/>
  <c r="EQ77" i="6"/>
  <c r="EW77" i="6"/>
  <c r="EM77" i="6"/>
  <c r="ES77" i="6"/>
  <c r="EP67" i="6"/>
  <c r="EV67" i="6"/>
  <c r="EM59" i="6"/>
  <c r="ES59" i="6"/>
  <c r="CD76" i="11"/>
  <c r="DZ59" i="11"/>
  <c r="AE178" i="12"/>
  <c r="DX60" i="11"/>
  <c r="DZ126" i="11"/>
  <c r="DZ105" i="11"/>
  <c r="EA102" i="11"/>
  <c r="EA101" i="11"/>
  <c r="AE315" i="12" s="1"/>
  <c r="AE309" i="12" s="1"/>
  <c r="G146" i="2" s="1"/>
  <c r="DZ103" i="11"/>
  <c r="DV63" i="11"/>
  <c r="AD223" i="12" s="1"/>
  <c r="AD210" i="12" s="1"/>
  <c r="DX63" i="11"/>
  <c r="DV86" i="11"/>
  <c r="AD283" i="12" s="1"/>
  <c r="AD277" i="12" s="1"/>
  <c r="DX86" i="11"/>
  <c r="DC76" i="11"/>
  <c r="DZ122" i="11"/>
  <c r="EA87" i="11"/>
  <c r="AE106" i="12"/>
  <c r="DW103" i="11"/>
  <c r="DB84" i="17"/>
  <c r="M83" i="6"/>
  <c r="BZ83" i="6"/>
  <c r="BT83" i="6"/>
  <c r="K34" i="6"/>
  <c r="K83" i="6" s="1"/>
  <c r="DW83" i="6"/>
  <c r="DQ39" i="6"/>
  <c r="DQ48" i="6" s="1"/>
  <c r="AW39" i="6"/>
  <c r="AW48" i="6" s="1"/>
  <c r="DO78" i="6"/>
  <c r="AE414" i="12"/>
  <c r="W2" i="12"/>
  <c r="CI4" i="11" s="1"/>
  <c r="K141" i="12"/>
  <c r="AA28" i="11" s="1"/>
  <c r="DL39" i="6"/>
  <c r="DL88" i="6" s="1"/>
  <c r="W141" i="12"/>
  <c r="CI28" i="11" s="1"/>
  <c r="AX338" i="17"/>
  <c r="AB16" i="11"/>
  <c r="AA16" i="11" s="1"/>
  <c r="AA76" i="11"/>
  <c r="BG78" i="6"/>
  <c r="CM16" i="11"/>
  <c r="K95" i="12"/>
  <c r="K2" i="12" s="1"/>
  <c r="AA4" i="11" s="1"/>
  <c r="DL83" i="6"/>
  <c r="Q76" i="11"/>
  <c r="V76" i="11"/>
  <c r="E319" i="2"/>
  <c r="F237" i="20" s="1"/>
  <c r="W237" i="20" s="1"/>
  <c r="CS83" i="6"/>
  <c r="CY83" i="6"/>
  <c r="BU83" i="6"/>
  <c r="CA83" i="6"/>
  <c r="CQ34" i="6"/>
  <c r="CQ83" i="6" s="1"/>
  <c r="BS34" i="6"/>
  <c r="BS83" i="6" s="1"/>
  <c r="CJ16" i="11"/>
  <c r="CI16" i="11" s="1"/>
  <c r="CA76" i="11"/>
  <c r="CI76" i="11"/>
  <c r="BI16" i="11"/>
  <c r="AO16" i="11"/>
  <c r="BB83" i="6"/>
  <c r="BY78" i="6"/>
  <c r="DI78" i="6"/>
  <c r="AQ39" i="6"/>
  <c r="AQ48" i="6" s="1"/>
  <c r="BJ83" i="6"/>
  <c r="U2" i="12"/>
  <c r="BY4" i="11" s="1"/>
  <c r="DU88" i="11"/>
  <c r="DV88" i="11" s="1"/>
  <c r="AD285" i="12" s="1"/>
  <c r="AD279" i="12" s="1"/>
  <c r="CZ83" i="6"/>
  <c r="M2" i="12"/>
  <c r="AK4" i="11" s="1"/>
  <c r="S14" i="11"/>
  <c r="CK14" i="11"/>
  <c r="DR83" i="6"/>
  <c r="DF83" i="6"/>
  <c r="CW34" i="6"/>
  <c r="DO34" i="6"/>
  <c r="DU83" i="6" s="1"/>
  <c r="AU76" i="11"/>
  <c r="P11" i="23"/>
  <c r="BA34" i="6"/>
  <c r="N39" i="6"/>
  <c r="N88" i="6" s="1"/>
  <c r="DU90" i="11"/>
  <c r="BH83" i="6"/>
  <c r="AO34" i="6"/>
  <c r="AO83" i="6" s="1"/>
  <c r="AZ76" i="11"/>
  <c r="DR39" i="6"/>
  <c r="BO11" i="11"/>
  <c r="BO81" i="11" s="1"/>
  <c r="BP81" i="11" s="1"/>
  <c r="BQ81" i="11" s="1"/>
  <c r="CE34" i="6"/>
  <c r="CE83" i="6" s="1"/>
  <c r="AP83" i="6"/>
  <c r="T83" i="6"/>
  <c r="N83" i="6"/>
  <c r="AV83" i="6"/>
  <c r="BX16" i="11"/>
  <c r="CM83" i="6"/>
  <c r="I95" i="12"/>
  <c r="I2" i="12" s="1"/>
  <c r="Q4" i="11" s="1"/>
  <c r="S171" i="12"/>
  <c r="CG39" i="6"/>
  <c r="CG48" i="6" s="1"/>
  <c r="AY16" i="11"/>
  <c r="O2" i="12"/>
  <c r="AU4" i="11" s="1"/>
  <c r="BD83" i="6"/>
  <c r="R16" i="11"/>
  <c r="Q16" i="11" s="1"/>
  <c r="BQ11" i="11"/>
  <c r="S138" i="12"/>
  <c r="BO25" i="11" s="1"/>
  <c r="DE83" i="6"/>
  <c r="DC34" i="6"/>
  <c r="DI83" i="6" s="1"/>
  <c r="E289" i="2"/>
  <c r="H153" i="20" s="1"/>
  <c r="Y153" i="20" s="1"/>
  <c r="T2" i="12"/>
  <c r="BT4" i="11" s="1"/>
  <c r="CK78" i="6"/>
  <c r="Y2" i="12"/>
  <c r="CS4" i="11" s="1"/>
  <c r="H95" i="12"/>
  <c r="H2" i="12" s="1"/>
  <c r="L4" i="11" s="1"/>
  <c r="DB74" i="11"/>
  <c r="DA76" i="11"/>
  <c r="CZ76" i="11" s="1"/>
  <c r="DG74" i="11"/>
  <c r="DC78" i="6"/>
  <c r="AX39" i="6"/>
  <c r="AX48" i="6" s="1"/>
  <c r="AA2" i="12"/>
  <c r="DC4" i="11" s="1"/>
  <c r="DK83" i="6"/>
  <c r="CV112" i="11"/>
  <c r="CX76" i="11"/>
  <c r="AU34" i="6"/>
  <c r="DE76" i="11"/>
  <c r="AP76" i="11"/>
  <c r="D287" i="2"/>
  <c r="E287" i="2" s="1"/>
  <c r="CF16" i="11"/>
  <c r="M16" i="11"/>
  <c r="L16" i="11" s="1"/>
  <c r="H141" i="12"/>
  <c r="L28" i="11" s="1"/>
  <c r="L439" i="20"/>
  <c r="AC439" i="20" s="1"/>
  <c r="AX235" i="2"/>
  <c r="L440" i="20"/>
  <c r="AC440" i="20" s="1"/>
  <c r="AX234" i="2"/>
  <c r="L438" i="20"/>
  <c r="AC438" i="20" s="1"/>
  <c r="AC155" i="12"/>
  <c r="CS76" i="11"/>
  <c r="BY76" i="11"/>
  <c r="BO76" i="11"/>
  <c r="CN76" i="11"/>
  <c r="H67" i="20"/>
  <c r="Y67" i="20" s="1"/>
  <c r="BE76" i="11"/>
  <c r="BT76" i="11"/>
  <c r="BJ76" i="11"/>
  <c r="BV16" i="11"/>
  <c r="S2" i="12"/>
  <c r="BO4" i="11" s="1"/>
  <c r="AH76" i="11"/>
  <c r="AK76" i="11"/>
  <c r="AF76" i="11"/>
  <c r="CR16" i="11"/>
  <c r="X73" i="12"/>
  <c r="X138" i="12"/>
  <c r="CN25" i="11" s="1"/>
  <c r="CP11" i="11"/>
  <c r="X171" i="12"/>
  <c r="CN11" i="11"/>
  <c r="CN81" i="11" s="1"/>
  <c r="CO81" i="11" s="1"/>
  <c r="CP81" i="11" s="1"/>
  <c r="AC404" i="12"/>
  <c r="AC416" i="12" s="1"/>
  <c r="AC207" i="12"/>
  <c r="CP14" i="11"/>
  <c r="X95" i="12"/>
  <c r="CO16" i="11"/>
  <c r="X141" i="12"/>
  <c r="CN28" i="11" s="1"/>
  <c r="DP124" i="11"/>
  <c r="DV59" i="11"/>
  <c r="AD219" i="12" s="1"/>
  <c r="AD205" i="12" s="1"/>
  <c r="DU60" i="11"/>
  <c r="AD24" i="12"/>
  <c r="AD37" i="12"/>
  <c r="AD23" i="12" s="1"/>
  <c r="AD168" i="12"/>
  <c r="F104" i="2" s="1"/>
  <c r="AW104" i="2" s="1"/>
  <c r="DS65" i="11"/>
  <c r="DR65" i="11" s="1"/>
  <c r="BN16" i="11"/>
  <c r="AT16" i="11"/>
  <c r="ER33" i="6"/>
  <c r="ER82" i="6" s="1"/>
  <c r="EL32" i="6"/>
  <c r="EL81" i="6" s="1"/>
  <c r="V73" i="12"/>
  <c r="V2" i="12" s="1"/>
  <c r="CD4" i="11" s="1"/>
  <c r="V138" i="12"/>
  <c r="CD25" i="11" s="1"/>
  <c r="CF11" i="11"/>
  <c r="V171" i="12"/>
  <c r="CD11" i="11"/>
  <c r="CD81" i="11" s="1"/>
  <c r="CE81" i="11" s="1"/>
  <c r="CF81" i="11" s="1"/>
  <c r="F230" i="20"/>
  <c r="W230" i="20" s="1"/>
  <c r="H66" i="20"/>
  <c r="Y66" i="20" s="1"/>
  <c r="BD16" i="11"/>
  <c r="Z16" i="11"/>
  <c r="AJ16" i="11"/>
  <c r="F294" i="2"/>
  <c r="F235" i="20"/>
  <c r="W235" i="20" s="1"/>
  <c r="F239" i="20"/>
  <c r="W239" i="20" s="1"/>
  <c r="H72" i="20"/>
  <c r="Y72" i="20" s="1"/>
  <c r="E235" i="20"/>
  <c r="V235" i="20" s="1"/>
  <c r="E239" i="20"/>
  <c r="V239" i="20" s="1"/>
  <c r="G72" i="20"/>
  <c r="X72" i="20" s="1"/>
  <c r="AR14" i="11"/>
  <c r="N141" i="12"/>
  <c r="AP28" i="11" s="1"/>
  <c r="N95" i="12"/>
  <c r="AQ16" i="11"/>
  <c r="N73" i="12"/>
  <c r="N171" i="12"/>
  <c r="AP11" i="11"/>
  <c r="AP81" i="11" s="1"/>
  <c r="AQ81" i="11" s="1"/>
  <c r="AR81" i="11" s="1"/>
  <c r="N138" i="12"/>
  <c r="AP25" i="11" s="1"/>
  <c r="AR11" i="11"/>
  <c r="C319" i="2"/>
  <c r="G70" i="20" s="1"/>
  <c r="X70" i="20" s="1"/>
  <c r="C293" i="2"/>
  <c r="G71" i="20" s="1"/>
  <c r="X71" i="20" s="1"/>
  <c r="E293" i="2"/>
  <c r="EM82" i="6"/>
  <c r="M579" i="7"/>
  <c r="M573" i="7"/>
  <c r="U473" i="7"/>
  <c r="U467" i="7"/>
  <c r="M473" i="7"/>
  <c r="M467" i="7"/>
  <c r="AA642" i="7"/>
  <c r="AA632" i="7"/>
  <c r="EQ35" i="6"/>
  <c r="AD781" i="7"/>
  <c r="AD782" i="7" s="1"/>
  <c r="F241" i="2" s="1"/>
  <c r="I510" i="20" s="1"/>
  <c r="Z510" i="20" s="1"/>
  <c r="AD405" i="7"/>
  <c r="AX194" i="2"/>
  <c r="L345" i="20"/>
  <c r="AC345" i="20" s="1"/>
  <c r="M345" i="20"/>
  <c r="AD345" i="20" s="1"/>
  <c r="P579" i="7"/>
  <c r="P573" i="7"/>
  <c r="V603" i="7"/>
  <c r="V574" i="7"/>
  <c r="V587" i="7"/>
  <c r="V580" i="7"/>
  <c r="N603" i="7"/>
  <c r="N574" i="7"/>
  <c r="N587" i="7"/>
  <c r="N580" i="7"/>
  <c r="Z572" i="7"/>
  <c r="Z578" i="7"/>
  <c r="Z567" i="7"/>
  <c r="Z2" i="7" s="1"/>
  <c r="R572" i="7"/>
  <c r="R578" i="7"/>
  <c r="R567" i="7"/>
  <c r="R2" i="7" s="1"/>
  <c r="EL17" i="6"/>
  <c r="EL66" i="6" s="1"/>
  <c r="EG66" i="6"/>
  <c r="M82" i="21"/>
  <c r="M64" i="21"/>
  <c r="M65" i="21" s="1"/>
  <c r="M88" i="21" s="1"/>
  <c r="M87" i="21" s="1"/>
  <c r="CD64" i="17"/>
  <c r="CB63" i="17"/>
  <c r="CC63" i="17" s="1"/>
  <c r="CD63" i="17" s="1"/>
  <c r="CE63" i="17" s="1"/>
  <c r="T473" i="7"/>
  <c r="T467" i="7"/>
  <c r="L473" i="7"/>
  <c r="K83" i="21"/>
  <c r="K86" i="21" s="1"/>
  <c r="AU112" i="2"/>
  <c r="D295" i="2"/>
  <c r="L141" i="12"/>
  <c r="AF28" i="11" s="1"/>
  <c r="L95" i="12"/>
  <c r="AG16" i="11"/>
  <c r="AH14" i="11"/>
  <c r="G510" i="20"/>
  <c r="X510" i="20" s="1"/>
  <c r="G514" i="20"/>
  <c r="X514" i="20" s="1"/>
  <c r="AC465" i="12"/>
  <c r="AC783" i="7"/>
  <c r="AC784" i="7" s="1"/>
  <c r="BZ237" i="17"/>
  <c r="BY225" i="17"/>
  <c r="BZ83" i="17"/>
  <c r="BY68" i="17"/>
  <c r="EM81" i="6"/>
  <c r="AA578" i="7"/>
  <c r="AA572" i="7"/>
  <c r="C307" i="2"/>
  <c r="J73" i="12"/>
  <c r="J171" i="12"/>
  <c r="V11" i="11"/>
  <c r="V81" i="11" s="1"/>
  <c r="W81" i="11" s="1"/>
  <c r="X81" i="11" s="1"/>
  <c r="J138" i="12"/>
  <c r="V25" i="11" s="1"/>
  <c r="X11" i="11"/>
  <c r="EK40" i="6"/>
  <c r="AC787" i="7"/>
  <c r="AC502" i="7"/>
  <c r="Y579" i="7"/>
  <c r="Y573" i="7"/>
  <c r="CT130" i="17"/>
  <c r="DD10" i="17" s="1"/>
  <c r="AC151" i="12"/>
  <c r="CS126" i="17"/>
  <c r="Y587" i="7"/>
  <c r="Y580" i="7"/>
  <c r="Y603" i="7"/>
  <c r="Y574" i="7"/>
  <c r="M587" i="7"/>
  <c r="M580" i="7"/>
  <c r="M603" i="7"/>
  <c r="M574" i="7"/>
  <c r="Z579" i="7"/>
  <c r="Z573" i="7"/>
  <c r="W473" i="7"/>
  <c r="W467" i="7"/>
  <c r="O473" i="7"/>
  <c r="O467" i="7"/>
  <c r="U579" i="7"/>
  <c r="U573" i="7"/>
  <c r="O82" i="21"/>
  <c r="O64" i="21"/>
  <c r="O65" i="21" s="1"/>
  <c r="O88" i="21" s="1"/>
  <c r="O87" i="21" s="1"/>
  <c r="T603" i="7"/>
  <c r="T574" i="7"/>
  <c r="T587" i="7"/>
  <c r="T580" i="7"/>
  <c r="L603" i="7"/>
  <c r="L574" i="7"/>
  <c r="L587" i="7"/>
  <c r="L580" i="7"/>
  <c r="S579" i="7"/>
  <c r="S573" i="7"/>
  <c r="BZ234" i="17"/>
  <c r="BY222" i="17"/>
  <c r="BZ77" i="17"/>
  <c r="BY62" i="17"/>
  <c r="CX177" i="17"/>
  <c r="CW165" i="17"/>
  <c r="BN170" i="17"/>
  <c r="BM169" i="17"/>
  <c r="BM182" i="17" s="1"/>
  <c r="S578" i="7"/>
  <c r="S567" i="7"/>
  <c r="S2" i="7" s="1"/>
  <c r="S572" i="7"/>
  <c r="R73" i="12"/>
  <c r="R171" i="12"/>
  <c r="BJ11" i="11"/>
  <c r="BJ81" i="11" s="1"/>
  <c r="BK81" i="11" s="1"/>
  <c r="BL81" i="11" s="1"/>
  <c r="R138" i="12"/>
  <c r="BJ25" i="11" s="1"/>
  <c r="BL11" i="11"/>
  <c r="Y578" i="7"/>
  <c r="Y567" i="7"/>
  <c r="Y2" i="7" s="1"/>
  <c r="Y572" i="7"/>
  <c r="Q578" i="7"/>
  <c r="Q567" i="7"/>
  <c r="Q2" i="7" s="1"/>
  <c r="Q572" i="7"/>
  <c r="CU247" i="17"/>
  <c r="CU246" i="17"/>
  <c r="CV228" i="17"/>
  <c r="CT248" i="17"/>
  <c r="V572" i="7"/>
  <c r="V578" i="7"/>
  <c r="V567" i="7"/>
  <c r="V2" i="7" s="1"/>
  <c r="N572" i="7"/>
  <c r="N578" i="7"/>
  <c r="N567" i="7"/>
  <c r="N2" i="7" s="1"/>
  <c r="Q579" i="7"/>
  <c r="Q573" i="7"/>
  <c r="P73" i="12"/>
  <c r="P171" i="12"/>
  <c r="P138" i="12"/>
  <c r="AZ25" i="11" s="1"/>
  <c r="BB11" i="11"/>
  <c r="AZ11" i="11"/>
  <c r="AZ81" i="11" s="1"/>
  <c r="BA81" i="11" s="1"/>
  <c r="BB81" i="11" s="1"/>
  <c r="AA587" i="7"/>
  <c r="AA580" i="7"/>
  <c r="AA603" i="7"/>
  <c r="AA574" i="7"/>
  <c r="O587" i="7"/>
  <c r="O580" i="7"/>
  <c r="O603" i="7"/>
  <c r="O574" i="7"/>
  <c r="T579" i="7"/>
  <c r="T573" i="7"/>
  <c r="X572" i="7"/>
  <c r="X578" i="7"/>
  <c r="X567" i="7"/>
  <c r="P572" i="7"/>
  <c r="P578" i="7"/>
  <c r="P567" i="7"/>
  <c r="P2" i="7" s="1"/>
  <c r="EQ40" i="6"/>
  <c r="AD787" i="7"/>
  <c r="AD502" i="7"/>
  <c r="AA579" i="7"/>
  <c r="AA573" i="7"/>
  <c r="U578" i="7"/>
  <c r="U567" i="7"/>
  <c r="U2" i="7" s="1"/>
  <c r="U572" i="7"/>
  <c r="M578" i="7"/>
  <c r="M567" i="7"/>
  <c r="M2" i="7" s="1"/>
  <c r="M572" i="7"/>
  <c r="EM35" i="6"/>
  <c r="ES84" i="6" s="1"/>
  <c r="EN84" i="6"/>
  <c r="E285" i="2"/>
  <c r="C285" i="2"/>
  <c r="G61" i="20" s="1"/>
  <c r="X61" i="20" s="1"/>
  <c r="Z603" i="7"/>
  <c r="Z574" i="7"/>
  <c r="Z587" i="7"/>
  <c r="Z580" i="7"/>
  <c r="R603" i="7"/>
  <c r="R574" i="7"/>
  <c r="R587" i="7"/>
  <c r="R580" i="7"/>
  <c r="Z473" i="7"/>
  <c r="Z467" i="7"/>
  <c r="R473" i="7"/>
  <c r="R467" i="7"/>
  <c r="BZ80" i="17"/>
  <c r="BY65" i="17"/>
  <c r="T572" i="7"/>
  <c r="T578" i="7"/>
  <c r="T567" i="7"/>
  <c r="T2" i="7" s="1"/>
  <c r="L578" i="7"/>
  <c r="L567" i="7"/>
  <c r="L2" i="7" s="1"/>
  <c r="W579" i="7"/>
  <c r="W573" i="7"/>
  <c r="V579" i="7"/>
  <c r="V573" i="7"/>
  <c r="BL14" i="11"/>
  <c r="R141" i="12"/>
  <c r="BJ28" i="11" s="1"/>
  <c r="R95" i="12"/>
  <c r="BK16" i="11"/>
  <c r="Y42" i="8"/>
  <c r="Y41" i="8"/>
  <c r="Z40" i="8"/>
  <c r="EL35" i="6"/>
  <c r="EL84" i="6" s="1"/>
  <c r="EG84" i="6"/>
  <c r="G512" i="20"/>
  <c r="X512" i="20" s="1"/>
  <c r="AV241" i="2"/>
  <c r="CB223" i="17"/>
  <c r="CC223" i="17" s="1"/>
  <c r="CD223" i="17" s="1"/>
  <c r="CE223" i="17" s="1"/>
  <c r="CD224" i="17"/>
  <c r="CB66" i="17"/>
  <c r="CC66" i="17" s="1"/>
  <c r="CD66" i="17" s="1"/>
  <c r="CE66" i="17" s="1"/>
  <c r="CD67" i="17"/>
  <c r="AA473" i="7"/>
  <c r="AA467" i="7"/>
  <c r="AD165" i="8"/>
  <c r="AC172" i="8"/>
  <c r="E284" i="2"/>
  <c r="C284" i="2"/>
  <c r="AW191" i="2"/>
  <c r="J341" i="20"/>
  <c r="AA341" i="20" s="1"/>
  <c r="K341" i="20"/>
  <c r="AB341" i="20" s="1"/>
  <c r="CU142" i="17"/>
  <c r="CU129" i="17"/>
  <c r="AX224" i="2"/>
  <c r="M421" i="20"/>
  <c r="AD421" i="20" s="1"/>
  <c r="L421" i="20"/>
  <c r="AC421" i="20" s="1"/>
  <c r="U587" i="7"/>
  <c r="U580" i="7"/>
  <c r="U603" i="7"/>
  <c r="U574" i="7"/>
  <c r="Q587" i="7"/>
  <c r="Q580" i="7"/>
  <c r="Q603" i="7"/>
  <c r="Q574" i="7"/>
  <c r="L579" i="7"/>
  <c r="L573" i="7"/>
  <c r="W578" i="7"/>
  <c r="W567" i="7"/>
  <c r="W2" i="7" s="1"/>
  <c r="W572" i="7"/>
  <c r="O578" i="7"/>
  <c r="O567" i="7"/>
  <c r="O2" i="7" s="1"/>
  <c r="O572" i="7"/>
  <c r="EM89" i="6"/>
  <c r="AD66" i="8"/>
  <c r="AD55" i="8"/>
  <c r="X579" i="7"/>
  <c r="X573" i="7"/>
  <c r="ER17" i="6"/>
  <c r="ER66" i="6" s="1"/>
  <c r="EM66" i="6"/>
  <c r="X603" i="7"/>
  <c r="X574" i="7"/>
  <c r="X587" i="7"/>
  <c r="X580" i="7"/>
  <c r="P603" i="7"/>
  <c r="P574" i="7"/>
  <c r="P587" i="7"/>
  <c r="P580" i="7"/>
  <c r="BL256" i="17"/>
  <c r="BL257" i="17" s="1"/>
  <c r="BM227" i="17"/>
  <c r="BL226" i="17"/>
  <c r="BL239" i="17" s="1"/>
  <c r="F48" i="6"/>
  <c r="F49" i="6" s="1"/>
  <c r="E39" i="6"/>
  <c r="E48" i="6" s="1"/>
  <c r="J48" i="6" s="1"/>
  <c r="CB220" i="17"/>
  <c r="CC220" i="17" s="1"/>
  <c r="CD220" i="17" s="1"/>
  <c r="CE220" i="17" s="1"/>
  <c r="CD221" i="17"/>
  <c r="CB60" i="17"/>
  <c r="CD61" i="17"/>
  <c r="G191" i="2"/>
  <c r="N82" i="21"/>
  <c r="N64" i="21"/>
  <c r="N65" i="21" s="1"/>
  <c r="N88" i="21" s="1"/>
  <c r="N87" i="21" s="1"/>
  <c r="O579" i="7"/>
  <c r="O573" i="7"/>
  <c r="S473" i="7"/>
  <c r="S467" i="7"/>
  <c r="N579" i="7"/>
  <c r="N573" i="7"/>
  <c r="L73" i="12"/>
  <c r="L138" i="12"/>
  <c r="AF25" i="11" s="1"/>
  <c r="L171" i="12"/>
  <c r="AF11" i="11"/>
  <c r="AF81" i="11" s="1"/>
  <c r="AG81" i="11" s="1"/>
  <c r="AH81" i="11" s="1"/>
  <c r="AH11" i="11"/>
  <c r="CX180" i="17"/>
  <c r="CW168" i="17"/>
  <c r="Y473" i="7"/>
  <c r="Y467" i="7"/>
  <c r="Q473" i="7"/>
  <c r="Q467" i="7"/>
  <c r="EM27" i="6"/>
  <c r="EN76" i="6"/>
  <c r="R579" i="7"/>
  <c r="R573" i="7"/>
  <c r="J141" i="12"/>
  <c r="V28" i="11" s="1"/>
  <c r="X14" i="11"/>
  <c r="J95" i="12"/>
  <c r="W16" i="11"/>
  <c r="DD14" i="17"/>
  <c r="DM104" i="11"/>
  <c r="V473" i="7"/>
  <c r="V467" i="7"/>
  <c r="N473" i="7"/>
  <c r="N467" i="7"/>
  <c r="P95" i="12"/>
  <c r="BA16" i="11"/>
  <c r="BB14" i="11"/>
  <c r="P141" i="12"/>
  <c r="AZ28" i="11" s="1"/>
  <c r="AW240" i="2"/>
  <c r="I511" i="20"/>
  <c r="Z511" i="20" s="1"/>
  <c r="J191" i="20"/>
  <c r="AA191" i="20" s="1"/>
  <c r="W587" i="7"/>
  <c r="W580" i="7"/>
  <c r="W603" i="7"/>
  <c r="W574" i="7"/>
  <c r="S587" i="7"/>
  <c r="S580" i="7"/>
  <c r="S603" i="7"/>
  <c r="S574" i="7"/>
  <c r="AW210" i="2"/>
  <c r="K387" i="20"/>
  <c r="AB387" i="20" s="1"/>
  <c r="J387" i="20"/>
  <c r="AA387" i="20" s="1"/>
  <c r="X473" i="7"/>
  <c r="X467" i="7"/>
  <c r="P473" i="7"/>
  <c r="P467" i="7"/>
  <c r="F229" i="20"/>
  <c r="W229" i="20" s="1"/>
  <c r="E229" i="20"/>
  <c r="V229" i="20" s="1"/>
  <c r="BO316" i="17"/>
  <c r="BO338" i="17" s="1"/>
  <c r="BR295" i="17"/>
  <c r="BR301" i="17" s="1"/>
  <c r="AD446" i="12"/>
  <c r="AD451" i="12" s="1"/>
  <c r="DE16" i="11"/>
  <c r="AU16" i="11"/>
  <c r="AW16" i="11"/>
  <c r="DK88" i="6"/>
  <c r="DK48" i="6"/>
  <c r="CY88" i="6"/>
  <c r="CY48" i="6"/>
  <c r="CM48" i="6"/>
  <c r="CA88" i="6"/>
  <c r="CA48" i="6"/>
  <c r="BO88" i="6"/>
  <c r="BO48" i="6"/>
  <c r="BC48" i="6"/>
  <c r="AE88" i="6"/>
  <c r="AE48" i="6"/>
  <c r="CR88" i="6"/>
  <c r="CR48" i="6"/>
  <c r="CQ39" i="6"/>
  <c r="BB88" i="6"/>
  <c r="BB48" i="6"/>
  <c r="BA39" i="6"/>
  <c r="CX88" i="6"/>
  <c r="CX48" i="6"/>
  <c r="CW39" i="6"/>
  <c r="AV88" i="6"/>
  <c r="AV48" i="6"/>
  <c r="CF88" i="6"/>
  <c r="CF48" i="6"/>
  <c r="AC463" i="12"/>
  <c r="AC334" i="12"/>
  <c r="DF111" i="11"/>
  <c r="DA112" i="11"/>
  <c r="DF96" i="11"/>
  <c r="DA97" i="11"/>
  <c r="CL88" i="6"/>
  <c r="CL48" i="6"/>
  <c r="CK39" i="6"/>
  <c r="BJ297" i="17"/>
  <c r="BJ329" i="17"/>
  <c r="T383" i="12"/>
  <c r="DV88" i="6"/>
  <c r="DV48" i="6"/>
  <c r="DU39" i="6"/>
  <c r="DP88" i="6"/>
  <c r="DP48" i="6"/>
  <c r="BT88" i="6"/>
  <c r="BT48" i="6"/>
  <c r="BS39" i="6"/>
  <c r="X88" i="6"/>
  <c r="X48" i="6"/>
  <c r="W39" i="6"/>
  <c r="DD88" i="6"/>
  <c r="DD48" i="6"/>
  <c r="DC39" i="6"/>
  <c r="BM320" i="17"/>
  <c r="BM321" i="17" s="1"/>
  <c r="BM287" i="17"/>
  <c r="BJ299" i="17"/>
  <c r="BJ320" i="17"/>
  <c r="BJ321" i="17" s="1"/>
  <c r="BJ287" i="17"/>
  <c r="BO16" i="11"/>
  <c r="BQ16" i="11"/>
  <c r="AJ48" i="6"/>
  <c r="AI39" i="6"/>
  <c r="BM83" i="6"/>
  <c r="L88" i="6"/>
  <c r="L48" i="6"/>
  <c r="BK283" i="17"/>
  <c r="BK338" i="17"/>
  <c r="BQ283" i="17"/>
  <c r="BR316" i="17"/>
  <c r="BR338" i="17" s="1"/>
  <c r="BS282" i="17"/>
  <c r="BT282" i="17"/>
  <c r="BT316" i="17" s="1"/>
  <c r="BT338" i="17" s="1"/>
  <c r="BU282" i="17"/>
  <c r="BU316" i="17" s="1"/>
  <c r="BU338" i="17" s="1"/>
  <c r="BV282" i="17"/>
  <c r="DV103" i="11"/>
  <c r="AD317" i="12" s="1"/>
  <c r="AD311" i="12" s="1"/>
  <c r="DT103" i="11"/>
  <c r="DT15" i="11" s="1"/>
  <c r="DF88" i="6"/>
  <c r="DF48" i="6"/>
  <c r="CZ88" i="6"/>
  <c r="CZ48" i="6"/>
  <c r="CT88" i="6"/>
  <c r="CT48" i="6"/>
  <c r="CN88" i="6"/>
  <c r="CN48" i="6"/>
  <c r="CH88" i="6"/>
  <c r="CH48" i="6"/>
  <c r="CB88" i="6"/>
  <c r="CB48" i="6"/>
  <c r="BV88" i="6"/>
  <c r="BV48" i="6"/>
  <c r="BP88" i="6"/>
  <c r="BP48" i="6"/>
  <c r="BJ88" i="6"/>
  <c r="BJ48" i="6"/>
  <c r="BD48" i="6"/>
  <c r="AR88" i="6"/>
  <c r="AR48" i="6"/>
  <c r="AL88" i="6"/>
  <c r="AL48" i="6"/>
  <c r="AF88" i="6"/>
  <c r="AF48" i="6"/>
  <c r="Z88" i="6"/>
  <c r="Z48" i="6"/>
  <c r="T48" i="6"/>
  <c r="CS16" i="11"/>
  <c r="CU16" i="11"/>
  <c r="BY16" i="11"/>
  <c r="CA16" i="11"/>
  <c r="BE16" i="11"/>
  <c r="BG16" i="11"/>
  <c r="AK16" i="11"/>
  <c r="AM16" i="11"/>
  <c r="BZ88" i="6"/>
  <c r="BZ48" i="6"/>
  <c r="BY39" i="6"/>
  <c r="R88" i="6"/>
  <c r="R48" i="6"/>
  <c r="AD316" i="12"/>
  <c r="AD310" i="12" s="1"/>
  <c r="F145" i="2" s="1"/>
  <c r="J501" i="20" s="1"/>
  <c r="AA501" i="20" s="1"/>
  <c r="DV111" i="11"/>
  <c r="AD327" i="12" s="1"/>
  <c r="AD322" i="12" s="1"/>
  <c r="DE14" i="17"/>
  <c r="CS230" i="17"/>
  <c r="I67" i="20"/>
  <c r="Z67" i="20" s="1"/>
  <c r="DJ88" i="6"/>
  <c r="DJ48" i="6"/>
  <c r="BH88" i="6"/>
  <c r="BH48" i="6"/>
  <c r="BG39" i="6"/>
  <c r="BN283" i="17"/>
  <c r="BP283" i="17"/>
  <c r="AD111" i="12"/>
  <c r="AD105" i="12" s="1"/>
  <c r="DR15" i="11"/>
  <c r="DS15" i="11" s="1"/>
  <c r="DW48" i="6"/>
  <c r="AD284" i="12"/>
  <c r="AD278" i="12" s="1"/>
  <c r="F143" i="2" s="1"/>
  <c r="DV96" i="11"/>
  <c r="AD295" i="12" s="1"/>
  <c r="AD290" i="12" s="1"/>
  <c r="DX48" i="6"/>
  <c r="DE88" i="6"/>
  <c r="DE48" i="6"/>
  <c r="CS88" i="6"/>
  <c r="CS48" i="6"/>
  <c r="BU88" i="6"/>
  <c r="BU48" i="6"/>
  <c r="BI88" i="6"/>
  <c r="BI48" i="6"/>
  <c r="AK88" i="6"/>
  <c r="AK48" i="6"/>
  <c r="Y48" i="6"/>
  <c r="M88" i="6"/>
  <c r="M48" i="6"/>
  <c r="AP88" i="6"/>
  <c r="AP48" i="6"/>
  <c r="BO285" i="17"/>
  <c r="BN319" i="17"/>
  <c r="BN286" i="17" s="1"/>
  <c r="BP285" i="17"/>
  <c r="BP319" i="17" s="1"/>
  <c r="BP286" i="17" s="1"/>
  <c r="BQ285" i="17"/>
  <c r="BQ319" i="17" s="1"/>
  <c r="BQ286" i="17" s="1"/>
  <c r="BR285" i="17"/>
  <c r="BL320" i="17"/>
  <c r="BL321" i="17" s="1"/>
  <c r="BL287" i="17"/>
  <c r="BK319" i="17"/>
  <c r="BK286" i="17" s="1"/>
  <c r="BN298" i="17"/>
  <c r="BN88" i="6"/>
  <c r="BN48" i="6"/>
  <c r="BM39" i="6"/>
  <c r="F133" i="2" l="1"/>
  <c r="AW133" i="2" s="1"/>
  <c r="CC60" i="17"/>
  <c r="CD60" i="17" s="1"/>
  <c r="CE60" i="17" s="1"/>
  <c r="DR13" i="11"/>
  <c r="DS13" i="11" s="1"/>
  <c r="U21" i="21"/>
  <c r="U22" i="21" s="1"/>
  <c r="U19" i="21"/>
  <c r="AC461" i="12"/>
  <c r="AC795" i="7"/>
  <c r="AC797" i="7" s="1"/>
  <c r="AC335" i="12"/>
  <c r="G567" i="7"/>
  <c r="G2" i="7" s="1"/>
  <c r="CV247" i="17"/>
  <c r="S83" i="6"/>
  <c r="BD88" i="6"/>
  <c r="T88" i="6"/>
  <c r="BC88" i="6"/>
  <c r="AD83" i="6"/>
  <c r="S48" i="6"/>
  <c r="Y97" i="6" s="1"/>
  <c r="Y88" i="6"/>
  <c r="AD88" i="6"/>
  <c r="AJ88" i="6"/>
  <c r="AU83" i="6"/>
  <c r="BA83" i="6"/>
  <c r="AC78" i="6"/>
  <c r="AI78" i="6"/>
  <c r="Q34" i="6"/>
  <c r="Y83" i="6"/>
  <c r="AC34" i="6"/>
  <c r="AJ83" i="6"/>
  <c r="W78" i="6"/>
  <c r="J573" i="7"/>
  <c r="AA2" i="7"/>
  <c r="Q39" i="6"/>
  <c r="Q48" i="6" s="1"/>
  <c r="S88" i="6"/>
  <c r="AC39" i="6"/>
  <c r="AC48" i="6" s="1"/>
  <c r="AD48" i="6"/>
  <c r="AD97" i="6" s="1"/>
  <c r="H611" i="7"/>
  <c r="H604" i="7"/>
  <c r="H612" i="7" s="1"/>
  <c r="I611" i="7"/>
  <c r="I604" i="7"/>
  <c r="I612" i="7" s="1"/>
  <c r="J611" i="7"/>
  <c r="J604" i="7"/>
  <c r="J612" i="7" s="1"/>
  <c r="K589" i="7"/>
  <c r="K597" i="7"/>
  <c r="K592" i="7"/>
  <c r="J589" i="7"/>
  <c r="J592" i="7"/>
  <c r="J597" i="7"/>
  <c r="K611" i="7"/>
  <c r="K604" i="7"/>
  <c r="K612" i="7" s="1"/>
  <c r="K572" i="7"/>
  <c r="K578" i="7"/>
  <c r="K567" i="7"/>
  <c r="K2" i="7" s="1"/>
  <c r="G597" i="7"/>
  <c r="G589" i="7"/>
  <c r="G599" i="7" s="1"/>
  <c r="L572" i="7"/>
  <c r="K467" i="7"/>
  <c r="K473" i="7"/>
  <c r="H592" i="7"/>
  <c r="H597" i="7"/>
  <c r="H589" i="7"/>
  <c r="I573" i="7"/>
  <c r="I579" i="7"/>
  <c r="J567" i="7"/>
  <c r="J2" i="7" s="1"/>
  <c r="J578" i="7"/>
  <c r="I592" i="7"/>
  <c r="I589" i="7"/>
  <c r="I597" i="7"/>
  <c r="BN103" i="17"/>
  <c r="BN104" i="17" s="1"/>
  <c r="BO70" i="17"/>
  <c r="BO103" i="17" s="1"/>
  <c r="X2" i="7"/>
  <c r="AE478" i="7"/>
  <c r="J64" i="21"/>
  <c r="J65" i="21" s="1"/>
  <c r="J88" i="21" s="1"/>
  <c r="J87" i="21" s="1"/>
  <c r="J83" i="21" s="1"/>
  <c r="J86" i="21" s="1"/>
  <c r="H245" i="20"/>
  <c r="Y245" i="20" s="1"/>
  <c r="BM85" i="17"/>
  <c r="AE499" i="7"/>
  <c r="CY306" i="17"/>
  <c r="AD374" i="12"/>
  <c r="CX307" i="17"/>
  <c r="L425" i="20"/>
  <c r="AC425" i="20" s="1"/>
  <c r="M425" i="20"/>
  <c r="AD425" i="20" s="1"/>
  <c r="Q125" i="8"/>
  <c r="Q118" i="8"/>
  <c r="AX240" i="2"/>
  <c r="I64" i="21"/>
  <c r="I65" i="21" s="1"/>
  <c r="I88" i="21" s="1"/>
  <c r="I87" i="21" s="1"/>
  <c r="I83" i="21" s="1"/>
  <c r="I86" i="21" s="1"/>
  <c r="K511" i="20"/>
  <c r="AB511" i="20" s="1"/>
  <c r="Q51" i="21"/>
  <c r="Q63" i="21" s="1"/>
  <c r="Q61" i="21" s="1"/>
  <c r="Q64" i="21" s="1"/>
  <c r="Q40" i="21" s="1"/>
  <c r="P76" i="21"/>
  <c r="P66" i="21"/>
  <c r="L387" i="20"/>
  <c r="AC387" i="20" s="1"/>
  <c r="AX210" i="2"/>
  <c r="DB177" i="17"/>
  <c r="DA165" i="17"/>
  <c r="AE170" i="7"/>
  <c r="G232" i="2"/>
  <c r="AX232" i="2" s="1"/>
  <c r="H246" i="20"/>
  <c r="Y246" i="20" s="1"/>
  <c r="AX275" i="2"/>
  <c r="H247" i="20"/>
  <c r="Y247" i="20" s="1"/>
  <c r="AX276" i="2"/>
  <c r="AX273" i="2"/>
  <c r="H244" i="20"/>
  <c r="Y244" i="20" s="1"/>
  <c r="DB180" i="17"/>
  <c r="DA168" i="17"/>
  <c r="AE465" i="12"/>
  <c r="AE783" i="7"/>
  <c r="AE784" i="7" s="1"/>
  <c r="AE172" i="8"/>
  <c r="EW40" i="6"/>
  <c r="EW89" i="6" s="1"/>
  <c r="AE502" i="7"/>
  <c r="AE787" i="7"/>
  <c r="M420" i="20"/>
  <c r="AD420" i="20" s="1"/>
  <c r="AX223" i="2"/>
  <c r="L420" i="20"/>
  <c r="AC420" i="20" s="1"/>
  <c r="ES17" i="6"/>
  <c r="EV66" i="6"/>
  <c r="C315" i="2"/>
  <c r="AT107" i="2"/>
  <c r="G294" i="2"/>
  <c r="J72" i="20" s="1"/>
  <c r="AA72" i="20" s="1"/>
  <c r="G318" i="2"/>
  <c r="AX110" i="2"/>
  <c r="AE446" i="12"/>
  <c r="AE451" i="12" s="1"/>
  <c r="G131" i="2"/>
  <c r="AX131" i="2" s="1"/>
  <c r="K185" i="20"/>
  <c r="AB185" i="20" s="1"/>
  <c r="I502" i="20"/>
  <c r="Z502" i="20" s="1"/>
  <c r="DQ88" i="6"/>
  <c r="G291" i="2"/>
  <c r="J67" i="20" s="1"/>
  <c r="AA67" i="20" s="1"/>
  <c r="G230" i="20"/>
  <c r="X230" i="20" s="1"/>
  <c r="I501" i="20"/>
  <c r="Z501" i="20" s="1"/>
  <c r="J189" i="20"/>
  <c r="AA189" i="20" s="1"/>
  <c r="F144" i="2"/>
  <c r="I514" i="20" s="1"/>
  <c r="Z514" i="20" s="1"/>
  <c r="AW143" i="2"/>
  <c r="J500" i="20"/>
  <c r="AA500" i="20" s="1"/>
  <c r="J184" i="20"/>
  <c r="AA184" i="20" s="1"/>
  <c r="AW109" i="2"/>
  <c r="F292" i="2"/>
  <c r="F312" i="2"/>
  <c r="F313" i="2" s="1"/>
  <c r="I66" i="20" s="1"/>
  <c r="Z66" i="20" s="1"/>
  <c r="J181" i="20"/>
  <c r="AA181" i="20" s="1"/>
  <c r="I500" i="20"/>
  <c r="Z500" i="20" s="1"/>
  <c r="AW145" i="2"/>
  <c r="J185" i="20"/>
  <c r="AA185" i="20" s="1"/>
  <c r="F287" i="2"/>
  <c r="I151" i="20" s="1"/>
  <c r="Z151" i="20" s="1"/>
  <c r="AD407" i="12"/>
  <c r="AD419" i="12" s="1"/>
  <c r="F140" i="2"/>
  <c r="F317" i="2"/>
  <c r="K181" i="20"/>
  <c r="AB181" i="20" s="1"/>
  <c r="K184" i="20"/>
  <c r="AB184" i="20" s="1"/>
  <c r="AD436" i="12"/>
  <c r="AD441" i="12" s="1"/>
  <c r="EM76" i="6"/>
  <c r="ES76" i="6"/>
  <c r="EQ84" i="6"/>
  <c r="EW84" i="6"/>
  <c r="DX65" i="11"/>
  <c r="AE168" i="12"/>
  <c r="DW60" i="11"/>
  <c r="AE37" i="12" s="1"/>
  <c r="AE23" i="12" s="1"/>
  <c r="DB65" i="17" s="1"/>
  <c r="AE24" i="12"/>
  <c r="DZ63" i="11"/>
  <c r="EA63" i="11" s="1"/>
  <c r="AE223" i="12" s="1"/>
  <c r="AE210" i="12" s="1"/>
  <c r="AE169" i="12"/>
  <c r="AE316" i="12"/>
  <c r="AE310" i="12" s="1"/>
  <c r="EA111" i="11"/>
  <c r="AE327" i="12" s="1"/>
  <c r="AE322" i="12" s="1"/>
  <c r="AE284" i="12"/>
  <c r="AE278" i="12" s="1"/>
  <c r="EA96" i="11"/>
  <c r="AE295" i="12" s="1"/>
  <c r="AE290" i="12" s="1"/>
  <c r="EA59" i="11"/>
  <c r="AE219" i="12" s="1"/>
  <c r="AE205" i="12" s="1"/>
  <c r="DZ60" i="11"/>
  <c r="AW88" i="6"/>
  <c r="AE111" i="12"/>
  <c r="AE105" i="12" s="1"/>
  <c r="DW15" i="11"/>
  <c r="DX88" i="11"/>
  <c r="DZ86" i="11"/>
  <c r="AE173" i="12"/>
  <c r="DX90" i="11"/>
  <c r="EA103" i="11"/>
  <c r="AE317" i="12" s="1"/>
  <c r="AE311" i="12" s="1"/>
  <c r="DY103" i="11"/>
  <c r="DY15" i="11" s="1"/>
  <c r="DW88" i="6"/>
  <c r="DI39" i="6"/>
  <c r="DI88" i="6" s="1"/>
  <c r="DL48" i="6"/>
  <c r="DL49" i="6" s="1"/>
  <c r="DO39" i="6"/>
  <c r="DO48" i="6" s="1"/>
  <c r="AC16" i="11"/>
  <c r="CX65" i="17"/>
  <c r="CX81" i="17" s="1"/>
  <c r="F233" i="20"/>
  <c r="W233" i="20" s="1"/>
  <c r="H70" i="20"/>
  <c r="Y70" i="20" s="1"/>
  <c r="F319" i="2"/>
  <c r="I70" i="20" s="1"/>
  <c r="Z70" i="20" s="1"/>
  <c r="N48" i="6"/>
  <c r="N97" i="6" s="1"/>
  <c r="DR48" i="6"/>
  <c r="DX97" i="6" s="1"/>
  <c r="CK16" i="11"/>
  <c r="DO83" i="6"/>
  <c r="K39" i="6"/>
  <c r="K88" i="6" s="1"/>
  <c r="DT88" i="11"/>
  <c r="DT13" i="11" s="1"/>
  <c r="CW83" i="6"/>
  <c r="AQ88" i="6"/>
  <c r="BY83" i="6"/>
  <c r="BG83" i="6"/>
  <c r="AO39" i="6"/>
  <c r="AO48" i="6" s="1"/>
  <c r="DC83" i="6"/>
  <c r="Q11" i="23"/>
  <c r="CG88" i="6"/>
  <c r="DX88" i="6"/>
  <c r="S16" i="11"/>
  <c r="CE39" i="6"/>
  <c r="CE88" i="6" s="1"/>
  <c r="CM88" i="6"/>
  <c r="CK83" i="6"/>
  <c r="DR88" i="6"/>
  <c r="F289" i="2"/>
  <c r="I153" i="20" s="1"/>
  <c r="Z153" i="20" s="1"/>
  <c r="AX88" i="6"/>
  <c r="AU39" i="6"/>
  <c r="AU48" i="6" s="1"/>
  <c r="N16" i="11"/>
  <c r="C287" i="2"/>
  <c r="G149" i="20" s="1"/>
  <c r="X149" i="20" s="1"/>
  <c r="H149" i="20"/>
  <c r="Y149" i="20" s="1"/>
  <c r="H151" i="20"/>
  <c r="Y151" i="20" s="1"/>
  <c r="F224" i="20"/>
  <c r="W224" i="20" s="1"/>
  <c r="E234" i="20"/>
  <c r="V234" i="20" s="1"/>
  <c r="EQ89" i="6"/>
  <c r="AD403" i="12"/>
  <c r="AD415" i="12" s="1"/>
  <c r="CT73" i="17"/>
  <c r="AC53" i="12"/>
  <c r="AC60" i="12" s="1"/>
  <c r="CN16" i="11"/>
  <c r="CP16" i="11"/>
  <c r="AD30" i="12"/>
  <c r="DS124" i="11"/>
  <c r="DU65" i="11"/>
  <c r="DT60" i="11"/>
  <c r="DV60" i="11"/>
  <c r="AD220" i="12" s="1"/>
  <c r="AD206" i="12" s="1"/>
  <c r="F139" i="2" s="1"/>
  <c r="AW139" i="2" s="1"/>
  <c r="X2" i="12"/>
  <c r="CN4" i="11" s="1"/>
  <c r="J2" i="12"/>
  <c r="V4" i="11" s="1"/>
  <c r="R2" i="12"/>
  <c r="BJ4" i="11" s="1"/>
  <c r="E237" i="20"/>
  <c r="V237" i="20" s="1"/>
  <c r="I72" i="20"/>
  <c r="Z72" i="20" s="1"/>
  <c r="G235" i="20"/>
  <c r="X235" i="20" s="1"/>
  <c r="N2" i="12"/>
  <c r="AP4" i="11" s="1"/>
  <c r="P2" i="12"/>
  <c r="AZ4" i="11" s="1"/>
  <c r="ER40" i="6"/>
  <c r="ER89" i="6" s="1"/>
  <c r="O83" i="21"/>
  <c r="O86" i="21" s="1"/>
  <c r="E27" i="20"/>
  <c r="V27" i="20" s="1"/>
  <c r="AP16" i="11"/>
  <c r="AR16" i="11"/>
  <c r="N83" i="21"/>
  <c r="N86" i="21" s="1"/>
  <c r="E238" i="20"/>
  <c r="V238" i="20" s="1"/>
  <c r="H71" i="20"/>
  <c r="Y71" i="20" s="1"/>
  <c r="F234" i="20"/>
  <c r="W234" i="20" s="1"/>
  <c r="F293" i="2"/>
  <c r="F27" i="20"/>
  <c r="W27" i="20" s="1"/>
  <c r="F238" i="20"/>
  <c r="W238" i="20" s="1"/>
  <c r="E233" i="20"/>
  <c r="V233" i="20" s="1"/>
  <c r="M83" i="21"/>
  <c r="M86" i="21" s="1"/>
  <c r="S611" i="7"/>
  <c r="S604" i="7"/>
  <c r="S612" i="7" s="1"/>
  <c r="S597" i="7"/>
  <c r="S592" i="7"/>
  <c r="S589" i="7"/>
  <c r="W611" i="7"/>
  <c r="W604" i="7"/>
  <c r="W612" i="7" s="1"/>
  <c r="W597" i="7"/>
  <c r="W592" i="7"/>
  <c r="W589" i="7"/>
  <c r="CD77" i="17"/>
  <c r="CC62" i="17"/>
  <c r="CD234" i="17"/>
  <c r="CC222" i="17"/>
  <c r="P597" i="7"/>
  <c r="P592" i="7"/>
  <c r="P589" i="7"/>
  <c r="P611" i="7"/>
  <c r="P604" i="7"/>
  <c r="P612" i="7" s="1"/>
  <c r="X597" i="7"/>
  <c r="X592" i="7"/>
  <c r="X589" i="7"/>
  <c r="X611" i="7"/>
  <c r="X604" i="7"/>
  <c r="X612" i="7" s="1"/>
  <c r="CV142" i="17"/>
  <c r="CV129" i="17"/>
  <c r="CD83" i="17"/>
  <c r="CC68" i="17"/>
  <c r="CD237" i="17"/>
  <c r="CC225" i="17"/>
  <c r="Z42" i="8"/>
  <c r="Z41" i="8"/>
  <c r="AA40" i="8"/>
  <c r="R597" i="7"/>
  <c r="R592" i="7"/>
  <c r="R589" i="7"/>
  <c r="R611" i="7"/>
  <c r="R604" i="7"/>
  <c r="R612" i="7" s="1"/>
  <c r="Z597" i="7"/>
  <c r="Z592" i="7"/>
  <c r="Z589" i="7"/>
  <c r="Z611" i="7"/>
  <c r="Z604" i="7"/>
  <c r="Z612" i="7" s="1"/>
  <c r="H61" i="20"/>
  <c r="Y61" i="20" s="1"/>
  <c r="F285" i="2"/>
  <c r="F222" i="20"/>
  <c r="W222" i="20" s="1"/>
  <c r="ER35" i="6"/>
  <c r="ER84" i="6" s="1"/>
  <c r="EM84" i="6"/>
  <c r="O611" i="7"/>
  <c r="O604" i="7"/>
  <c r="O612" i="7" s="1"/>
  <c r="O597" i="7"/>
  <c r="O592" i="7"/>
  <c r="O589" i="7"/>
  <c r="AA611" i="7"/>
  <c r="AA604" i="7"/>
  <c r="AA612" i="7" s="1"/>
  <c r="AA597" i="7"/>
  <c r="AA592" i="7"/>
  <c r="AA589" i="7"/>
  <c r="BO170" i="17"/>
  <c r="BN169" i="17"/>
  <c r="BN182" i="17" s="1"/>
  <c r="L597" i="7"/>
  <c r="L592" i="7"/>
  <c r="L589" i="7"/>
  <c r="L611" i="7"/>
  <c r="L604" i="7"/>
  <c r="L612" i="7" s="1"/>
  <c r="T597" i="7"/>
  <c r="T592" i="7"/>
  <c r="T589" i="7"/>
  <c r="T611" i="7"/>
  <c r="T604" i="7"/>
  <c r="T612" i="7" s="1"/>
  <c r="M611" i="7"/>
  <c r="M604" i="7"/>
  <c r="M612" i="7" s="1"/>
  <c r="M597" i="7"/>
  <c r="M592" i="7"/>
  <c r="M589" i="7"/>
  <c r="Y611" i="7"/>
  <c r="Y604" i="7"/>
  <c r="Y612" i="7" s="1"/>
  <c r="Y597" i="7"/>
  <c r="Y592" i="7"/>
  <c r="Y589" i="7"/>
  <c r="EK89" i="6"/>
  <c r="EL40" i="6"/>
  <c r="EL89" i="6" s="1"/>
  <c r="G63" i="20"/>
  <c r="X63" i="20" s="1"/>
  <c r="E226" i="20"/>
  <c r="V226" i="20" s="1"/>
  <c r="ER32" i="6"/>
  <c r="ER81" i="6" s="1"/>
  <c r="I512" i="20"/>
  <c r="Z512" i="20" s="1"/>
  <c r="AW241" i="2"/>
  <c r="AF16" i="11"/>
  <c r="AH16" i="11"/>
  <c r="CH64" i="17"/>
  <c r="CF63" i="17"/>
  <c r="CG63" i="17" s="1"/>
  <c r="CH63" i="17" s="1"/>
  <c r="CI63" i="17" s="1"/>
  <c r="AZ16" i="11"/>
  <c r="BB16" i="11"/>
  <c r="V16" i="11"/>
  <c r="X16" i="11"/>
  <c r="AX191" i="2"/>
  <c r="L341" i="20"/>
  <c r="AC341" i="20" s="1"/>
  <c r="M341" i="20"/>
  <c r="AD341" i="20" s="1"/>
  <c r="CH221" i="17"/>
  <c r="CF220" i="17"/>
  <c r="CG220" i="17" s="1"/>
  <c r="CH220" i="17" s="1"/>
  <c r="CI220" i="17" s="1"/>
  <c r="BN227" i="17"/>
  <c r="BM256" i="17"/>
  <c r="BM257" i="17" s="1"/>
  <c r="BM226" i="17"/>
  <c r="BM239" i="17" s="1"/>
  <c r="Q611" i="7"/>
  <c r="Q604" i="7"/>
  <c r="Q612" i="7" s="1"/>
  <c r="Q597" i="7"/>
  <c r="Q592" i="7"/>
  <c r="Q589" i="7"/>
  <c r="U611" i="7"/>
  <c r="U604" i="7"/>
  <c r="U612" i="7" s="1"/>
  <c r="U597" i="7"/>
  <c r="U592" i="7"/>
  <c r="U589" i="7"/>
  <c r="G60" i="20"/>
  <c r="X60" i="20" s="1"/>
  <c r="E221" i="20"/>
  <c r="V221" i="20" s="1"/>
  <c r="H60" i="20"/>
  <c r="Y60" i="20" s="1"/>
  <c r="AD172" i="8"/>
  <c r="CH67" i="17"/>
  <c r="CF66" i="17"/>
  <c r="CG66" i="17" s="1"/>
  <c r="CH66" i="17" s="1"/>
  <c r="CI66" i="17" s="1"/>
  <c r="CH224" i="17"/>
  <c r="CF223" i="17"/>
  <c r="CG223" i="17" s="1"/>
  <c r="CH223" i="17" s="1"/>
  <c r="CI223" i="17" s="1"/>
  <c r="BJ16" i="11"/>
  <c r="BL16" i="11"/>
  <c r="CV248" i="17"/>
  <c r="CV246" i="17"/>
  <c r="CW228" i="17"/>
  <c r="L2" i="12"/>
  <c r="AF4" i="11" s="1"/>
  <c r="C295" i="2"/>
  <c r="G73" i="20" s="1"/>
  <c r="X73" i="20" s="1"/>
  <c r="CD80" i="17"/>
  <c r="CC65" i="17"/>
  <c r="N597" i="7"/>
  <c r="N592" i="7"/>
  <c r="N589" i="7"/>
  <c r="N611" i="7"/>
  <c r="N604" i="7"/>
  <c r="N612" i="7" s="1"/>
  <c r="V597" i="7"/>
  <c r="V592" i="7"/>
  <c r="V589" i="7"/>
  <c r="V611" i="7"/>
  <c r="V604" i="7"/>
  <c r="V612" i="7" s="1"/>
  <c r="G241" i="2"/>
  <c r="AD465" i="12"/>
  <c r="AD783" i="7"/>
  <c r="AD784" i="7" s="1"/>
  <c r="E222" i="20"/>
  <c r="V222" i="20" s="1"/>
  <c r="BQ320" i="17"/>
  <c r="BQ321" i="17" s="1"/>
  <c r="BQ287" i="17"/>
  <c r="BN320" i="17"/>
  <c r="BN321" i="17" s="1"/>
  <c r="BN287" i="17"/>
  <c r="BM88" i="6"/>
  <c r="BM48" i="6"/>
  <c r="BS285" i="17"/>
  <c r="BR319" i="17"/>
  <c r="BR286" i="17" s="1"/>
  <c r="BT285" i="17"/>
  <c r="BT319" i="17" s="1"/>
  <c r="BT286" i="17" s="1"/>
  <c r="BU285" i="17"/>
  <c r="BU319" i="17" s="1"/>
  <c r="BU286" i="17" s="1"/>
  <c r="BV285" i="17"/>
  <c r="BO319" i="17"/>
  <c r="BO286" i="17" s="1"/>
  <c r="BR298" i="17"/>
  <c r="AP97" i="6"/>
  <c r="AP49" i="6"/>
  <c r="DW97" i="6"/>
  <c r="DW49" i="6"/>
  <c r="BN97" i="6"/>
  <c r="BN49" i="6"/>
  <c r="BK320" i="17"/>
  <c r="BK321" i="17" s="1"/>
  <c r="BN299" i="17"/>
  <c r="BK287" i="17"/>
  <c r="M97" i="6"/>
  <c r="M49" i="6"/>
  <c r="Y49" i="6"/>
  <c r="AK97" i="6"/>
  <c r="AK49" i="6"/>
  <c r="AW97" i="6"/>
  <c r="AW49" i="6"/>
  <c r="BI97" i="6"/>
  <c r="BI49" i="6"/>
  <c r="BU97" i="6"/>
  <c r="BU49" i="6"/>
  <c r="CG97" i="6"/>
  <c r="CG49" i="6"/>
  <c r="CS97" i="6"/>
  <c r="CS49" i="6"/>
  <c r="DE97" i="6"/>
  <c r="DE49" i="6"/>
  <c r="DQ97" i="6"/>
  <c r="DQ49" i="6"/>
  <c r="DX49" i="6"/>
  <c r="CX230" i="17"/>
  <c r="AD123" i="12"/>
  <c r="AD129" i="12" s="1"/>
  <c r="BN284" i="17"/>
  <c r="BN317" i="17"/>
  <c r="BN318" i="17" s="1"/>
  <c r="BR283" i="17"/>
  <c r="BH97" i="6"/>
  <c r="BH49" i="6"/>
  <c r="DJ97" i="6"/>
  <c r="DJ49" i="6"/>
  <c r="AD447" i="12"/>
  <c r="AD452" i="12" s="1"/>
  <c r="BZ97" i="6"/>
  <c r="BZ49" i="6"/>
  <c r="AD448" i="12"/>
  <c r="AD453" i="12" s="1"/>
  <c r="AD339" i="12"/>
  <c r="AD346" i="12" s="1"/>
  <c r="AD312" i="12"/>
  <c r="BV295" i="17"/>
  <c r="BV301" i="17" s="1"/>
  <c r="BS316" i="17"/>
  <c r="BS338" i="17" s="1"/>
  <c r="BQ317" i="17"/>
  <c r="BQ318" i="17" s="1"/>
  <c r="BU283" i="17"/>
  <c r="BQ284" i="17"/>
  <c r="BK317" i="17"/>
  <c r="BK318" i="17" s="1"/>
  <c r="BO283" i="17"/>
  <c r="BN296" i="17"/>
  <c r="BK284" i="17"/>
  <c r="BL296" i="17"/>
  <c r="U128" i="8" s="1"/>
  <c r="U129" i="8" s="1"/>
  <c r="U130" i="8" s="1"/>
  <c r="L97" i="6"/>
  <c r="L49" i="6"/>
  <c r="AJ49" i="6"/>
  <c r="BL299" i="17"/>
  <c r="DC88" i="6"/>
  <c r="DC48" i="6"/>
  <c r="W48" i="6"/>
  <c r="AD331" i="12"/>
  <c r="AD461" i="12" s="1"/>
  <c r="AD299" i="12"/>
  <c r="AD305" i="12" s="1"/>
  <c r="AD280" i="12"/>
  <c r="BT97" i="6"/>
  <c r="BT49" i="6"/>
  <c r="DU48" i="6"/>
  <c r="CL97" i="6"/>
  <c r="CL49" i="6"/>
  <c r="AV97" i="6"/>
  <c r="AV49" i="6"/>
  <c r="CW88" i="6"/>
  <c r="CW48" i="6"/>
  <c r="BB97" i="6"/>
  <c r="BB49" i="6"/>
  <c r="CQ88" i="6"/>
  <c r="CQ48" i="6"/>
  <c r="K505" i="20"/>
  <c r="AB505" i="20" s="1"/>
  <c r="L505" i="20"/>
  <c r="AC505" i="20" s="1"/>
  <c r="L186" i="20"/>
  <c r="AC186" i="20" s="1"/>
  <c r="M186" i="20"/>
  <c r="AD186" i="20" s="1"/>
  <c r="AX146" i="2"/>
  <c r="BP320" i="17"/>
  <c r="BP321" i="17" s="1"/>
  <c r="BP287" i="17"/>
  <c r="DU15" i="11"/>
  <c r="AD330" i="12"/>
  <c r="AD437" i="12"/>
  <c r="AD442" i="12" s="1"/>
  <c r="G76" i="20"/>
  <c r="X76" i="20" s="1"/>
  <c r="D290" i="2"/>
  <c r="AU107" i="2"/>
  <c r="D309" i="2"/>
  <c r="D310" i="2" s="1"/>
  <c r="E28" i="20"/>
  <c r="V28" i="20" s="1"/>
  <c r="D315" i="2"/>
  <c r="D316" i="2" s="1"/>
  <c r="BP284" i="17"/>
  <c r="BP317" i="17"/>
  <c r="BP318" i="17" s="1"/>
  <c r="BT283" i="17"/>
  <c r="BG88" i="6"/>
  <c r="BG48" i="6"/>
  <c r="R97" i="6"/>
  <c r="R49" i="6"/>
  <c r="BY88" i="6"/>
  <c r="BY48" i="6"/>
  <c r="T49" i="6"/>
  <c r="Z97" i="6"/>
  <c r="Z49" i="6"/>
  <c r="AF97" i="6"/>
  <c r="AF49" i="6"/>
  <c r="AL97" i="6"/>
  <c r="AL49" i="6"/>
  <c r="AR97" i="6"/>
  <c r="AR49" i="6"/>
  <c r="AX97" i="6"/>
  <c r="AX49" i="6"/>
  <c r="BD97" i="6"/>
  <c r="BD49" i="6"/>
  <c r="BJ97" i="6"/>
  <c r="BJ49" i="6"/>
  <c r="BP97" i="6"/>
  <c r="BP49" i="6"/>
  <c r="BV97" i="6"/>
  <c r="BV49" i="6"/>
  <c r="CB97" i="6"/>
  <c r="CB49" i="6"/>
  <c r="CH97" i="6"/>
  <c r="CH49" i="6"/>
  <c r="CN97" i="6"/>
  <c r="CN49" i="6"/>
  <c r="CT97" i="6"/>
  <c r="CT49" i="6"/>
  <c r="CZ97" i="6"/>
  <c r="CZ49" i="6"/>
  <c r="DF97" i="6"/>
  <c r="DF49" i="6"/>
  <c r="BV316" i="17"/>
  <c r="BV338" i="17" s="1"/>
  <c r="BW282" i="17"/>
  <c r="BZ282" i="17"/>
  <c r="AI48" i="6"/>
  <c r="BJ330" i="17"/>
  <c r="BJ300" i="17"/>
  <c r="T384" i="12"/>
  <c r="DD97" i="6"/>
  <c r="DD49" i="6"/>
  <c r="X97" i="6"/>
  <c r="X49" i="6"/>
  <c r="BS88" i="6"/>
  <c r="BS48" i="6"/>
  <c r="DP97" i="6"/>
  <c r="DP49" i="6"/>
  <c r="DV97" i="6"/>
  <c r="DV49" i="6"/>
  <c r="CK48" i="6"/>
  <c r="DK96" i="11"/>
  <c r="DP96" i="11" s="1"/>
  <c r="DU96" i="11" s="1"/>
  <c r="DF97" i="11"/>
  <c r="DK111" i="11"/>
  <c r="DP111" i="11" s="1"/>
  <c r="DF112" i="11"/>
  <c r="CF97" i="6"/>
  <c r="CF49" i="6"/>
  <c r="CX97" i="6"/>
  <c r="CX49" i="6"/>
  <c r="BA48" i="6"/>
  <c r="CR97" i="6"/>
  <c r="CR49" i="6"/>
  <c r="AE97" i="6"/>
  <c r="AE49" i="6"/>
  <c r="AQ97" i="6"/>
  <c r="AQ49" i="6"/>
  <c r="BC97" i="6"/>
  <c r="BC49" i="6"/>
  <c r="BO97" i="6"/>
  <c r="BO49" i="6"/>
  <c r="CA97" i="6"/>
  <c r="CA49" i="6"/>
  <c r="CM97" i="6"/>
  <c r="CM49" i="6"/>
  <c r="CY97" i="6"/>
  <c r="CY49" i="6"/>
  <c r="DK97" i="6"/>
  <c r="DK49" i="6"/>
  <c r="CH61" i="17" l="1"/>
  <c r="CH77" i="17" s="1"/>
  <c r="CF60" i="17"/>
  <c r="CG60" i="17" s="1"/>
  <c r="CH60" i="17" s="1"/>
  <c r="CI60" i="17" s="1"/>
  <c r="CJ60" i="17" s="1"/>
  <c r="CK60" i="17" s="1"/>
  <c r="CL60" i="17" s="1"/>
  <c r="CM60" i="17" s="1"/>
  <c r="CW247" i="17"/>
  <c r="K610" i="7"/>
  <c r="J610" i="7"/>
  <c r="H610" i="7"/>
  <c r="AI88" i="6"/>
  <c r="W88" i="6"/>
  <c r="S49" i="6"/>
  <c r="S97" i="6"/>
  <c r="T97" i="6"/>
  <c r="BA88" i="6"/>
  <c r="AJ97" i="6"/>
  <c r="AC83" i="6"/>
  <c r="AI83" i="6"/>
  <c r="Q83" i="6"/>
  <c r="W83" i="6"/>
  <c r="Q88" i="6"/>
  <c r="AC88" i="6"/>
  <c r="AD49" i="6"/>
  <c r="I610" i="7"/>
  <c r="J599" i="7"/>
  <c r="J594" i="7"/>
  <c r="I594" i="7"/>
  <c r="I599" i="7"/>
  <c r="K599" i="7"/>
  <c r="K594" i="7"/>
  <c r="H594" i="7"/>
  <c r="H599" i="7"/>
  <c r="BN106" i="17"/>
  <c r="BQ116" i="17" s="1"/>
  <c r="BP70" i="17"/>
  <c r="BP69" i="17" s="1"/>
  <c r="BO69" i="17"/>
  <c r="BO85" i="17" s="1"/>
  <c r="AD375" i="12"/>
  <c r="CX308" i="17"/>
  <c r="F263" i="2"/>
  <c r="AW264" i="2" s="1"/>
  <c r="CZ306" i="17"/>
  <c r="CY307" i="17"/>
  <c r="CY308" i="17" s="1"/>
  <c r="R118" i="8"/>
  <c r="J180" i="20"/>
  <c r="AA180" i="20" s="1"/>
  <c r="K180" i="20"/>
  <c r="AB180" i="20" s="1"/>
  <c r="Q84" i="21"/>
  <c r="P89" i="21"/>
  <c r="P87" i="21" s="1"/>
  <c r="P83" i="21" s="1"/>
  <c r="P86" i="21" s="1"/>
  <c r="Q85" i="21"/>
  <c r="EX40" i="6"/>
  <c r="EX89" i="6" s="1"/>
  <c r="EX17" i="6"/>
  <c r="EX66" i="6" s="1"/>
  <c r="ES66" i="6"/>
  <c r="G299" i="2"/>
  <c r="J150" i="20" s="1"/>
  <c r="AA150" i="20" s="1"/>
  <c r="DX15" i="11"/>
  <c r="DZ15" i="11" s="1"/>
  <c r="EA15" i="11" s="1"/>
  <c r="H235" i="20"/>
  <c r="Y235" i="20" s="1"/>
  <c r="G239" i="20"/>
  <c r="X239" i="20" s="1"/>
  <c r="J188" i="20"/>
  <c r="AA188" i="20" s="1"/>
  <c r="AE403" i="12"/>
  <c r="AE415" i="12" s="1"/>
  <c r="AE447" i="12"/>
  <c r="AE452" i="12" s="1"/>
  <c r="G109" i="2"/>
  <c r="AX109" i="2" s="1"/>
  <c r="G105" i="2"/>
  <c r="AX105" i="2" s="1"/>
  <c r="G104" i="2"/>
  <c r="G287" i="2" s="1"/>
  <c r="AE437" i="12"/>
  <c r="AE442" i="12" s="1"/>
  <c r="AE407" i="12"/>
  <c r="AE419" i="12" s="1"/>
  <c r="DU13" i="11"/>
  <c r="DV13" i="11" s="1"/>
  <c r="G140" i="2"/>
  <c r="AX140" i="2" s="1"/>
  <c r="I149" i="20"/>
  <c r="Z149" i="20" s="1"/>
  <c r="G133" i="2"/>
  <c r="AX133" i="2" s="1"/>
  <c r="DU88" i="6"/>
  <c r="I68" i="20"/>
  <c r="Z68" i="20" s="1"/>
  <c r="G224" i="20"/>
  <c r="X224" i="20" s="1"/>
  <c r="G145" i="2"/>
  <c r="L185" i="20" s="1"/>
  <c r="AC185" i="20" s="1"/>
  <c r="AW140" i="2"/>
  <c r="G225" i="20"/>
  <c r="X225" i="20" s="1"/>
  <c r="J504" i="20"/>
  <c r="AA504" i="20" s="1"/>
  <c r="K182" i="20"/>
  <c r="AB182" i="20" s="1"/>
  <c r="J182" i="20"/>
  <c r="AA182" i="20" s="1"/>
  <c r="I504" i="20"/>
  <c r="Z504" i="20" s="1"/>
  <c r="J190" i="20"/>
  <c r="AA190" i="20" s="1"/>
  <c r="AW144" i="2"/>
  <c r="I506" i="20"/>
  <c r="Z506" i="20" s="1"/>
  <c r="G231" i="20"/>
  <c r="X231" i="20" s="1"/>
  <c r="I508" i="20"/>
  <c r="Z508" i="20" s="1"/>
  <c r="F311" i="2"/>
  <c r="G229" i="20" s="1"/>
  <c r="X229" i="20" s="1"/>
  <c r="G143" i="2"/>
  <c r="K500" i="20" s="1"/>
  <c r="AB500" i="20" s="1"/>
  <c r="DB230" i="17"/>
  <c r="AE123" i="12"/>
  <c r="AE129" i="12" s="1"/>
  <c r="AE448" i="12"/>
  <c r="AE453" i="12" s="1"/>
  <c r="AE339" i="12"/>
  <c r="AE346" i="12" s="1"/>
  <c r="AE312" i="12"/>
  <c r="AE330" i="12"/>
  <c r="AE463" i="12" s="1"/>
  <c r="DW88" i="11"/>
  <c r="AE84" i="12"/>
  <c r="DZ65" i="11"/>
  <c r="DY60" i="11"/>
  <c r="EA60" i="11"/>
  <c r="AE220" i="12" s="1"/>
  <c r="AE206" i="12" s="1"/>
  <c r="DX124" i="11"/>
  <c r="DW65" i="11"/>
  <c r="AE30" i="12"/>
  <c r="EA86" i="11"/>
  <c r="AE283" i="12" s="1"/>
  <c r="AE277" i="12" s="1"/>
  <c r="DZ88" i="11"/>
  <c r="DZ90" i="11"/>
  <c r="DB81" i="17"/>
  <c r="DO88" i="6"/>
  <c r="DL97" i="6"/>
  <c r="DI48" i="6"/>
  <c r="DN48" i="6" s="1"/>
  <c r="DN97" i="6" s="1"/>
  <c r="G319" i="2"/>
  <c r="J70" i="20" s="1"/>
  <c r="AA70" i="20" s="1"/>
  <c r="G289" i="2"/>
  <c r="J153" i="20" s="1"/>
  <c r="AA153" i="20" s="1"/>
  <c r="DV15" i="11"/>
  <c r="G233" i="20"/>
  <c r="X233" i="20" s="1"/>
  <c r="N49" i="6"/>
  <c r="M610" i="7"/>
  <c r="R610" i="7"/>
  <c r="AO88" i="6"/>
  <c r="DR49" i="6"/>
  <c r="V610" i="7"/>
  <c r="CE48" i="6"/>
  <c r="CJ48" i="6" s="1"/>
  <c r="CJ97" i="6" s="1"/>
  <c r="DR97" i="6"/>
  <c r="K48" i="6"/>
  <c r="P48" i="6" s="1"/>
  <c r="P97" i="6" s="1"/>
  <c r="CK88" i="6"/>
  <c r="R11" i="23"/>
  <c r="AU88" i="6"/>
  <c r="G151" i="20"/>
  <c r="X151" i="20" s="1"/>
  <c r="E224" i="20"/>
  <c r="V224" i="20" s="1"/>
  <c r="W610" i="7"/>
  <c r="AD207" i="12"/>
  <c r="AD404" i="12"/>
  <c r="AD416" i="12" s="1"/>
  <c r="DU124" i="11"/>
  <c r="DT65" i="11"/>
  <c r="DT9" i="11" s="1"/>
  <c r="DV65" i="11"/>
  <c r="AD225" i="12" s="1"/>
  <c r="AD42" i="12"/>
  <c r="AD29" i="12" s="1"/>
  <c r="DR9" i="11"/>
  <c r="CT89" i="17"/>
  <c r="DE8" i="17" s="1"/>
  <c r="Q610" i="7"/>
  <c r="T610" i="7"/>
  <c r="O610" i="7"/>
  <c r="X610" i="7"/>
  <c r="S610" i="7"/>
  <c r="I71" i="20"/>
  <c r="Z71" i="20" s="1"/>
  <c r="G293" i="2"/>
  <c r="J71" i="20" s="1"/>
  <c r="AA71" i="20" s="1"/>
  <c r="G27" i="20"/>
  <c r="X27" i="20" s="1"/>
  <c r="G234" i="20"/>
  <c r="X234" i="20" s="1"/>
  <c r="G238" i="20"/>
  <c r="X238" i="20" s="1"/>
  <c r="E33" i="20"/>
  <c r="V33" i="20" s="1"/>
  <c r="E29" i="20"/>
  <c r="V29" i="20" s="1"/>
  <c r="K512" i="20"/>
  <c r="AB512" i="20" s="1"/>
  <c r="AX241" i="2"/>
  <c r="K510" i="20"/>
  <c r="AB510" i="20" s="1"/>
  <c r="V599" i="7"/>
  <c r="V594" i="7"/>
  <c r="CH237" i="17"/>
  <c r="CG225" i="17"/>
  <c r="CH83" i="17"/>
  <c r="CG68" i="17"/>
  <c r="U599" i="7"/>
  <c r="U594" i="7"/>
  <c r="CJ220" i="17"/>
  <c r="CK220" i="17" s="1"/>
  <c r="CL220" i="17" s="1"/>
  <c r="CM220" i="17" s="1"/>
  <c r="CL221" i="17"/>
  <c r="CL61" i="17"/>
  <c r="CL64" i="17"/>
  <c r="CJ63" i="17"/>
  <c r="CK63" i="17" s="1"/>
  <c r="CL63" i="17" s="1"/>
  <c r="CM63" i="17" s="1"/>
  <c r="Y599" i="7"/>
  <c r="Y594" i="7"/>
  <c r="Q44" i="21"/>
  <c r="R51" i="21"/>
  <c r="Q66" i="21"/>
  <c r="Q76" i="21"/>
  <c r="T599" i="7"/>
  <c r="T594" i="7"/>
  <c r="AA599" i="7"/>
  <c r="AA594" i="7"/>
  <c r="R599" i="7"/>
  <c r="R594" i="7"/>
  <c r="AA42" i="8"/>
  <c r="AA41" i="8"/>
  <c r="AB40" i="8"/>
  <c r="X599" i="7"/>
  <c r="X594" i="7"/>
  <c r="S599" i="7"/>
  <c r="S594" i="7"/>
  <c r="N610" i="7"/>
  <c r="N599" i="7"/>
  <c r="N594" i="7"/>
  <c r="CW248" i="17"/>
  <c r="CW246" i="17"/>
  <c r="CX228" i="17"/>
  <c r="CJ223" i="17"/>
  <c r="CK223" i="17" s="1"/>
  <c r="CL223" i="17" s="1"/>
  <c r="CM223" i="17" s="1"/>
  <c r="CL224" i="17"/>
  <c r="CJ66" i="17"/>
  <c r="CK66" i="17" s="1"/>
  <c r="CL66" i="17" s="1"/>
  <c r="CM66" i="17" s="1"/>
  <c r="CL67" i="17"/>
  <c r="U610" i="7"/>
  <c r="Q599" i="7"/>
  <c r="Q594" i="7"/>
  <c r="BN256" i="17"/>
  <c r="BN257" i="17" s="1"/>
  <c r="BO227" i="17"/>
  <c r="BN226" i="17"/>
  <c r="BN239" i="17" s="1"/>
  <c r="CH234" i="17"/>
  <c r="CG222" i="17"/>
  <c r="CH80" i="17"/>
  <c r="CG65" i="17"/>
  <c r="Y610" i="7"/>
  <c r="M599" i="7"/>
  <c r="M594" i="7"/>
  <c r="L610" i="7"/>
  <c r="L599" i="7"/>
  <c r="L594" i="7"/>
  <c r="BP170" i="17"/>
  <c r="BO169" i="17"/>
  <c r="BO182" i="17" s="1"/>
  <c r="AA610" i="7"/>
  <c r="O599" i="7"/>
  <c r="O594" i="7"/>
  <c r="I61" i="20"/>
  <c r="Z61" i="20" s="1"/>
  <c r="G222" i="20"/>
  <c r="X222" i="20" s="1"/>
  <c r="G285" i="2"/>
  <c r="Z610" i="7"/>
  <c r="C237" i="2"/>
  <c r="AT237" i="2" s="1"/>
  <c r="Z599" i="7"/>
  <c r="Z594" i="7"/>
  <c r="BO104" i="17"/>
  <c r="CW142" i="17"/>
  <c r="CW129" i="17"/>
  <c r="P610" i="7"/>
  <c r="P599" i="7"/>
  <c r="P594" i="7"/>
  <c r="W599" i="7"/>
  <c r="W594" i="7"/>
  <c r="BO320" i="17"/>
  <c r="BO321" i="17" s="1"/>
  <c r="BR299" i="17"/>
  <c r="BO287" i="17"/>
  <c r="BP299" i="17"/>
  <c r="BU320" i="17"/>
  <c r="BU321" i="17" s="1"/>
  <c r="BU287" i="17"/>
  <c r="BR320" i="17"/>
  <c r="BR321" i="17" s="1"/>
  <c r="BR287" i="17"/>
  <c r="BA97" i="6"/>
  <c r="BF48" i="6"/>
  <c r="BF97" i="6" s="1"/>
  <c r="CP48" i="6"/>
  <c r="CP97" i="6" s="1"/>
  <c r="AI97" i="6"/>
  <c r="AN48" i="6"/>
  <c r="AN97" i="6" s="1"/>
  <c r="BZ316" i="17"/>
  <c r="BZ338" i="17" s="1"/>
  <c r="CA282" i="17"/>
  <c r="CC282" i="17"/>
  <c r="CD282" i="17"/>
  <c r="BG97" i="6"/>
  <c r="BL48" i="6"/>
  <c r="BL97" i="6" s="1"/>
  <c r="BT284" i="17"/>
  <c r="BT317" i="17"/>
  <c r="BT318" i="17" s="1"/>
  <c r="C316" i="2"/>
  <c r="G69" i="20" s="1"/>
  <c r="X69" i="20" s="1"/>
  <c r="C310" i="2"/>
  <c r="G65" i="20" s="1"/>
  <c r="X65" i="20" s="1"/>
  <c r="C290" i="2"/>
  <c r="AC97" i="6"/>
  <c r="AH48" i="6"/>
  <c r="AH97" i="6" s="1"/>
  <c r="CQ97" i="6"/>
  <c r="CV48" i="6"/>
  <c r="CV97" i="6" s="1"/>
  <c r="CW97" i="6"/>
  <c r="DB48" i="6"/>
  <c r="DB97" i="6" s="1"/>
  <c r="DT48" i="6"/>
  <c r="DT97" i="6" s="1"/>
  <c r="W97" i="6"/>
  <c r="AB48" i="6"/>
  <c r="AB97" i="6" s="1"/>
  <c r="DC97" i="6"/>
  <c r="DH48" i="6"/>
  <c r="DH97" i="6" s="1"/>
  <c r="BO317" i="17"/>
  <c r="BO318" i="17" s="1"/>
  <c r="BS283" i="17"/>
  <c r="BR296" i="17"/>
  <c r="BO284" i="17"/>
  <c r="BU317" i="17"/>
  <c r="BU318" i="17" s="1"/>
  <c r="BU284" i="17"/>
  <c r="BP296" i="17"/>
  <c r="V128" i="8" s="1"/>
  <c r="V129" i="8" s="1"/>
  <c r="V130" i="8" s="1"/>
  <c r="AO97" i="6"/>
  <c r="AT48" i="6"/>
  <c r="AT97" i="6" s="1"/>
  <c r="BN330" i="17"/>
  <c r="BN300" i="17"/>
  <c r="U384" i="12"/>
  <c r="BW285" i="17"/>
  <c r="BV319" i="17"/>
  <c r="BV286" i="17" s="1"/>
  <c r="BZ285" i="17"/>
  <c r="BS319" i="17"/>
  <c r="BS286" i="17" s="1"/>
  <c r="BV298" i="17"/>
  <c r="AU97" i="6"/>
  <c r="AZ48" i="6"/>
  <c r="AZ97" i="6" s="1"/>
  <c r="BS97" i="6"/>
  <c r="BX48" i="6"/>
  <c r="BX97" i="6" s="1"/>
  <c r="BW316" i="17"/>
  <c r="BW338" i="17" s="1"/>
  <c r="BX282" i="17"/>
  <c r="BY97" i="6"/>
  <c r="CD48" i="6"/>
  <c r="CD97" i="6" s="1"/>
  <c r="AD463" i="12"/>
  <c r="AD334" i="12"/>
  <c r="BT320" i="17"/>
  <c r="BT321" i="17" s="1"/>
  <c r="BT287" i="17"/>
  <c r="DU97" i="6"/>
  <c r="DZ48" i="6"/>
  <c r="DZ97" i="6" s="1"/>
  <c r="AD795" i="7"/>
  <c r="AD462" i="12"/>
  <c r="AD335" i="12"/>
  <c r="BN329" i="17"/>
  <c r="BN297" i="17"/>
  <c r="U383" i="12"/>
  <c r="V48" i="6"/>
  <c r="V97" i="6" s="1"/>
  <c r="BR284" i="17"/>
  <c r="BR317" i="17"/>
  <c r="BR318" i="17" s="1"/>
  <c r="BV283" i="17"/>
  <c r="CX243" i="17"/>
  <c r="DG14" i="17" s="1"/>
  <c r="BM97" i="6"/>
  <c r="BR48" i="6"/>
  <c r="BR97" i="6" s="1"/>
  <c r="CG62" i="17" l="1"/>
  <c r="BN111" i="17"/>
  <c r="U150" i="12"/>
  <c r="BO116" i="17"/>
  <c r="BM107" i="17"/>
  <c r="BN117" i="17"/>
  <c r="BP116" i="17"/>
  <c r="Q97" i="6"/>
  <c r="BP103" i="17"/>
  <c r="BP104" i="17" s="1"/>
  <c r="BP85" i="17"/>
  <c r="BQ70" i="17"/>
  <c r="BQ69" i="17" s="1"/>
  <c r="BQ85" i="17" s="1"/>
  <c r="CX335" i="17"/>
  <c r="CV335" i="17"/>
  <c r="CW334" i="17"/>
  <c r="CU334" i="17"/>
  <c r="CW333" i="17"/>
  <c r="CU333" i="17"/>
  <c r="CW335" i="17"/>
  <c r="CU335" i="17"/>
  <c r="CX334" i="17"/>
  <c r="CV334" i="17"/>
  <c r="CX333" i="17"/>
  <c r="CV333" i="17"/>
  <c r="CU336" i="17"/>
  <c r="CV336" i="17"/>
  <c r="CW336" i="17"/>
  <c r="CX336" i="17"/>
  <c r="CV337" i="17"/>
  <c r="CU337" i="17"/>
  <c r="DA306" i="17"/>
  <c r="CZ307" i="17"/>
  <c r="CZ308" i="17" s="1"/>
  <c r="F265" i="2"/>
  <c r="AW265" i="2" s="1"/>
  <c r="CX337" i="17"/>
  <c r="CW337" i="17"/>
  <c r="S118" i="8"/>
  <c r="S125" i="8" s="1"/>
  <c r="R125" i="8"/>
  <c r="CY142" i="17"/>
  <c r="CY129" i="17"/>
  <c r="CX229" i="17"/>
  <c r="CW230" i="17" s="1"/>
  <c r="CY228" i="17"/>
  <c r="M184" i="20"/>
  <c r="AD184" i="20" s="1"/>
  <c r="AX104" i="2"/>
  <c r="L501" i="20"/>
  <c r="AC501" i="20" s="1"/>
  <c r="K501" i="20"/>
  <c r="AB501" i="20" s="1"/>
  <c r="AX145" i="2"/>
  <c r="L184" i="20"/>
  <c r="AC184" i="20" s="1"/>
  <c r="G292" i="2"/>
  <c r="J68" i="20" s="1"/>
  <c r="AA68" i="20" s="1"/>
  <c r="M185" i="20"/>
  <c r="AD185" i="20" s="1"/>
  <c r="G317" i="2"/>
  <c r="H233" i="20" s="1"/>
  <c r="Y233" i="20" s="1"/>
  <c r="G288" i="2"/>
  <c r="AE404" i="12"/>
  <c r="AE416" i="12" s="1"/>
  <c r="G312" i="2"/>
  <c r="G313" i="2" s="1"/>
  <c r="J66" i="20" s="1"/>
  <c r="AA66" i="20" s="1"/>
  <c r="M181" i="20"/>
  <c r="AD181" i="20" s="1"/>
  <c r="L181" i="20"/>
  <c r="AC181" i="20" s="1"/>
  <c r="H230" i="20"/>
  <c r="Y230" i="20" s="1"/>
  <c r="L189" i="20"/>
  <c r="AC189" i="20" s="1"/>
  <c r="L500" i="20"/>
  <c r="AC500" i="20" s="1"/>
  <c r="G139" i="2"/>
  <c r="H224" i="20" s="1"/>
  <c r="Y224" i="20" s="1"/>
  <c r="G237" i="20"/>
  <c r="X237" i="20" s="1"/>
  <c r="AE334" i="12"/>
  <c r="AX143" i="2"/>
  <c r="K502" i="20"/>
  <c r="AB502" i="20" s="1"/>
  <c r="AE436" i="12"/>
  <c r="AE441" i="12" s="1"/>
  <c r="G144" i="2"/>
  <c r="DB243" i="17"/>
  <c r="DI97" i="6"/>
  <c r="AE207" i="12"/>
  <c r="EA88" i="11"/>
  <c r="AE285" i="12" s="1"/>
  <c r="AE279" i="12" s="1"/>
  <c r="DY88" i="11"/>
  <c r="DY13" i="11" s="1"/>
  <c r="DW9" i="11"/>
  <c r="AE42" i="12"/>
  <c r="AE29" i="12" s="1"/>
  <c r="DB73" i="17" s="1"/>
  <c r="DW13" i="11"/>
  <c r="DX13" i="11" s="1"/>
  <c r="AE89" i="12"/>
  <c r="DO97" i="6"/>
  <c r="DZ124" i="11"/>
  <c r="DY65" i="11"/>
  <c r="DY9" i="11" s="1"/>
  <c r="EA65" i="11"/>
  <c r="AE225" i="12" s="1"/>
  <c r="K97" i="6"/>
  <c r="CE97" i="6"/>
  <c r="CK97" i="6"/>
  <c r="S11" i="23"/>
  <c r="H27" i="20"/>
  <c r="Y27" i="20" s="1"/>
  <c r="H234" i="20"/>
  <c r="Y234" i="20" s="1"/>
  <c r="J151" i="20"/>
  <c r="AA151" i="20" s="1"/>
  <c r="J149" i="20"/>
  <c r="AA149" i="20" s="1"/>
  <c r="AD53" i="12"/>
  <c r="AD60" i="12" s="1"/>
  <c r="CX73" i="17"/>
  <c r="H238" i="20"/>
  <c r="Y238" i="20" s="1"/>
  <c r="R63" i="21"/>
  <c r="R61" i="21" s="1"/>
  <c r="R64" i="21" s="1"/>
  <c r="R40" i="21" s="1"/>
  <c r="R66" i="21" s="1"/>
  <c r="CX142" i="17"/>
  <c r="CX129" i="17"/>
  <c r="CX125" i="17"/>
  <c r="BO256" i="17"/>
  <c r="BO257" i="17" s="1"/>
  <c r="BO226" i="17"/>
  <c r="BO239" i="17" s="1"/>
  <c r="BP227" i="17"/>
  <c r="CL83" i="17"/>
  <c r="CK68" i="17"/>
  <c r="CL237" i="17"/>
  <c r="CK225" i="17"/>
  <c r="CX246" i="17"/>
  <c r="CL80" i="17"/>
  <c r="CK65" i="17"/>
  <c r="CP61" i="17"/>
  <c r="CN60" i="17"/>
  <c r="CO60" i="17" s="1"/>
  <c r="CP60" i="17" s="1"/>
  <c r="CQ60" i="17" s="1"/>
  <c r="CP221" i="17"/>
  <c r="CN220" i="17"/>
  <c r="CO220" i="17" s="1"/>
  <c r="CP220" i="17" s="1"/>
  <c r="CQ220" i="17" s="1"/>
  <c r="J61" i="20"/>
  <c r="AA61" i="20" s="1"/>
  <c r="H222" i="20"/>
  <c r="Y222" i="20" s="1"/>
  <c r="BQ170" i="17"/>
  <c r="BP169" i="17"/>
  <c r="BP182" i="17" s="1"/>
  <c r="CP67" i="17"/>
  <c r="CN66" i="17"/>
  <c r="CO66" i="17" s="1"/>
  <c r="CP66" i="17" s="1"/>
  <c r="CQ66" i="17" s="1"/>
  <c r="CP224" i="17"/>
  <c r="CN223" i="17"/>
  <c r="CO223" i="17" s="1"/>
  <c r="CP223" i="17" s="1"/>
  <c r="CQ223" i="17" s="1"/>
  <c r="AB42" i="8"/>
  <c r="AB41" i="8"/>
  <c r="Q89" i="21"/>
  <c r="Q87" i="21" s="1"/>
  <c r="Q83" i="21" s="1"/>
  <c r="Q86" i="21" s="1"/>
  <c r="R85" i="21"/>
  <c r="R84" i="21"/>
  <c r="CP64" i="17"/>
  <c r="CN63" i="17"/>
  <c r="CO63" i="17" s="1"/>
  <c r="CP63" i="17" s="1"/>
  <c r="CQ63" i="17" s="1"/>
  <c r="CL77" i="17"/>
  <c r="CK62" i="17"/>
  <c r="CL234" i="17"/>
  <c r="CK222" i="17"/>
  <c r="E228" i="20"/>
  <c r="V228" i="20" s="1"/>
  <c r="BS320" i="17"/>
  <c r="BS321" i="17" s="1"/>
  <c r="BV299" i="17"/>
  <c r="BS287" i="17"/>
  <c r="BT299" i="17"/>
  <c r="BV320" i="17"/>
  <c r="BV321" i="17" s="1"/>
  <c r="BV287" i="17"/>
  <c r="AD797" i="7"/>
  <c r="CA285" i="17"/>
  <c r="BZ319" i="17"/>
  <c r="BZ286" i="17" s="1"/>
  <c r="CC285" i="17"/>
  <c r="CD285" i="17"/>
  <c r="BW319" i="17"/>
  <c r="BW286" i="17" s="1"/>
  <c r="BX285" i="17"/>
  <c r="BR297" i="17"/>
  <c r="BR329" i="17"/>
  <c r="V383" i="12"/>
  <c r="E232" i="20"/>
  <c r="V232" i="20" s="1"/>
  <c r="DU111" i="11"/>
  <c r="BV284" i="17"/>
  <c r="BV317" i="17"/>
  <c r="BV318" i="17" s="1"/>
  <c r="BZ283" i="17"/>
  <c r="BX316" i="17"/>
  <c r="BY282" i="17"/>
  <c r="BY316" i="17" s="1"/>
  <c r="BS317" i="17"/>
  <c r="BS318" i="17" s="1"/>
  <c r="BW283" i="17"/>
  <c r="BV296" i="17"/>
  <c r="BS284" i="17"/>
  <c r="BT296" i="17"/>
  <c r="W128" i="8" s="1"/>
  <c r="W129" i="8" s="1"/>
  <c r="W130" i="8" s="1"/>
  <c r="CD316" i="17"/>
  <c r="CD338" i="17" s="1"/>
  <c r="CH282" i="17"/>
  <c r="CF282" i="17"/>
  <c r="CG282" i="17"/>
  <c r="CG316" i="17" s="1"/>
  <c r="CG338" i="17" s="1"/>
  <c r="CE282" i="17"/>
  <c r="CA316" i="17"/>
  <c r="CA338" i="17" s="1"/>
  <c r="CB282" i="17"/>
  <c r="CB316" i="17" s="1"/>
  <c r="CB338" i="17" s="1"/>
  <c r="BR330" i="17"/>
  <c r="BR300" i="17"/>
  <c r="V384" i="12"/>
  <c r="BQ103" i="17" l="1"/>
  <c r="BQ104" i="17" s="1"/>
  <c r="BR70" i="17"/>
  <c r="BS70" i="17" s="1"/>
  <c r="DB306" i="17"/>
  <c r="DA307" i="17"/>
  <c r="DA308" i="17" s="1"/>
  <c r="T118" i="8"/>
  <c r="T125" i="8"/>
  <c r="CX242" i="17"/>
  <c r="AD155" i="12"/>
  <c r="CZ142" i="17"/>
  <c r="CZ129" i="17"/>
  <c r="CX248" i="17"/>
  <c r="CY247" i="17"/>
  <c r="CZ228" i="17"/>
  <c r="CY246" i="17"/>
  <c r="J152" i="20"/>
  <c r="AA152" i="20" s="1"/>
  <c r="H225" i="20"/>
  <c r="Y225" i="20" s="1"/>
  <c r="AX139" i="2"/>
  <c r="K504" i="20"/>
  <c r="AB504" i="20" s="1"/>
  <c r="H239" i="20"/>
  <c r="Y239" i="20" s="1"/>
  <c r="L182" i="20"/>
  <c r="AC182" i="20" s="1"/>
  <c r="K506" i="20"/>
  <c r="AB506" i="20" s="1"/>
  <c r="M182" i="20"/>
  <c r="AD182" i="20" s="1"/>
  <c r="AX144" i="2"/>
  <c r="L504" i="20"/>
  <c r="AC504" i="20" s="1"/>
  <c r="H231" i="20"/>
  <c r="Y231" i="20" s="1"/>
  <c r="K508" i="20"/>
  <c r="AB508" i="20" s="1"/>
  <c r="L190" i="20"/>
  <c r="AC190" i="20" s="1"/>
  <c r="M180" i="20"/>
  <c r="AD180" i="20" s="1"/>
  <c r="G311" i="2"/>
  <c r="K514" i="20"/>
  <c r="AB514" i="20" s="1"/>
  <c r="L180" i="20"/>
  <c r="AC180" i="20" s="1"/>
  <c r="L188" i="20"/>
  <c r="AC188" i="20" s="1"/>
  <c r="DZ13" i="11"/>
  <c r="EA13" i="11" s="1"/>
  <c r="AE280" i="12"/>
  <c r="AE331" i="12"/>
  <c r="AE299" i="12"/>
  <c r="AE305" i="12" s="1"/>
  <c r="DZ96" i="11"/>
  <c r="DZ111" i="11"/>
  <c r="DB89" i="17"/>
  <c r="AE53" i="12"/>
  <c r="AE60" i="12" s="1"/>
  <c r="T11" i="23"/>
  <c r="CX89" i="17"/>
  <c r="DG8" i="17" s="1"/>
  <c r="S51" i="21"/>
  <c r="R76" i="21"/>
  <c r="S85" i="21" s="1"/>
  <c r="R44" i="21"/>
  <c r="CP80" i="17"/>
  <c r="CO65" i="17"/>
  <c r="CR223" i="17"/>
  <c r="CS223" i="17" s="1"/>
  <c r="CT223" i="17" s="1"/>
  <c r="CU223" i="17" s="1"/>
  <c r="CT224" i="17"/>
  <c r="CR66" i="17"/>
  <c r="CS66" i="17" s="1"/>
  <c r="CT66" i="17" s="1"/>
  <c r="CU66" i="17" s="1"/>
  <c r="CT67" i="17"/>
  <c r="CP234" i="17"/>
  <c r="CO222" i="17"/>
  <c r="CP77" i="17"/>
  <c r="CO62" i="17"/>
  <c r="BP256" i="17"/>
  <c r="BP257" i="17" s="1"/>
  <c r="BQ227" i="17"/>
  <c r="BP226" i="17"/>
  <c r="BP239" i="17" s="1"/>
  <c r="CX130" i="17"/>
  <c r="DF10" i="17" s="1"/>
  <c r="AD151" i="12"/>
  <c r="CW126" i="17"/>
  <c r="CT64" i="17"/>
  <c r="CR63" i="17"/>
  <c r="CS63" i="17" s="1"/>
  <c r="CT63" i="17" s="1"/>
  <c r="CU63" i="17" s="1"/>
  <c r="CP237" i="17"/>
  <c r="CO225" i="17"/>
  <c r="CP83" i="17"/>
  <c r="CO68" i="17"/>
  <c r="BR170" i="17"/>
  <c r="BQ169" i="17"/>
  <c r="BQ182" i="17" s="1"/>
  <c r="CR220" i="17"/>
  <c r="CS220" i="17" s="1"/>
  <c r="CT220" i="17" s="1"/>
  <c r="CU220" i="17" s="1"/>
  <c r="CT221" i="17"/>
  <c r="CR60" i="17"/>
  <c r="CS60" i="17" s="1"/>
  <c r="CT60" i="17" s="1"/>
  <c r="CU60" i="17" s="1"/>
  <c r="CT61" i="17"/>
  <c r="CF316" i="17"/>
  <c r="CF338" i="17" s="1"/>
  <c r="CC316" i="17"/>
  <c r="CC338" i="17" s="1"/>
  <c r="BW320" i="17"/>
  <c r="BW321" i="17" s="1"/>
  <c r="BW287" i="17"/>
  <c r="BZ320" i="17"/>
  <c r="BZ321" i="17" s="1"/>
  <c r="BZ287" i="17"/>
  <c r="D250" i="2"/>
  <c r="CD295" i="17"/>
  <c r="CD301" i="17" s="1"/>
  <c r="CH316" i="17"/>
  <c r="CH338" i="17" s="1"/>
  <c r="CL282" i="17"/>
  <c r="CJ282" i="17"/>
  <c r="CJ316" i="17" s="1"/>
  <c r="CK282" i="17"/>
  <c r="CK316" i="17" s="1"/>
  <c r="CI282" i="17"/>
  <c r="BV329" i="17"/>
  <c r="BV297" i="17"/>
  <c r="W383" i="12"/>
  <c r="BY338" i="17"/>
  <c r="BY283" i="17"/>
  <c r="CG285" i="17"/>
  <c r="CG319" i="17" s="1"/>
  <c r="CE285" i="17"/>
  <c r="CD319" i="17"/>
  <c r="CD286" i="17" s="1"/>
  <c r="CH285" i="17"/>
  <c r="CF285" i="17"/>
  <c r="CE316" i="17"/>
  <c r="CE338" i="17" s="1"/>
  <c r="CH295" i="17"/>
  <c r="CH301" i="17" s="1"/>
  <c r="BW317" i="17"/>
  <c r="BW318" i="17" s="1"/>
  <c r="CA283" i="17"/>
  <c r="BW284" i="17"/>
  <c r="BX338" i="17"/>
  <c r="BX283" i="17"/>
  <c r="BZ284" i="17"/>
  <c r="BZ317" i="17"/>
  <c r="BZ318" i="17" s="1"/>
  <c r="CD283" i="17"/>
  <c r="BX319" i="17"/>
  <c r="BX286" i="17" s="1"/>
  <c r="BY285" i="17"/>
  <c r="BY319" i="17" s="1"/>
  <c r="BY286" i="17" s="1"/>
  <c r="CA319" i="17"/>
  <c r="CA286" i="17" s="1"/>
  <c r="CB285" i="17"/>
  <c r="CB319" i="17" s="1"/>
  <c r="BV330" i="17"/>
  <c r="BV300" i="17"/>
  <c r="W384" i="12"/>
  <c r="BZ295" i="17"/>
  <c r="BZ301" i="17" s="1"/>
  <c r="DF14" i="17" l="1"/>
  <c r="DR104" i="11"/>
  <c r="CZ247" i="17"/>
  <c r="BR69" i="17"/>
  <c r="BR85" i="17" s="1"/>
  <c r="BR103" i="17"/>
  <c r="BR104" i="17" s="1"/>
  <c r="AE374" i="12"/>
  <c r="DB307" i="17"/>
  <c r="DB308" i="17" s="1"/>
  <c r="U118" i="8"/>
  <c r="CZ246" i="17"/>
  <c r="CZ248" i="17"/>
  <c r="DA228" i="17"/>
  <c r="DA129" i="17"/>
  <c r="DA142" i="17"/>
  <c r="H237" i="20"/>
  <c r="Y237" i="20" s="1"/>
  <c r="H229" i="20"/>
  <c r="Y229" i="20" s="1"/>
  <c r="AU250" i="2"/>
  <c r="F539" i="20"/>
  <c r="W539" i="20" s="1"/>
  <c r="F541" i="20"/>
  <c r="W541" i="20" s="1"/>
  <c r="G539" i="20"/>
  <c r="X539" i="20" s="1"/>
  <c r="G541" i="20"/>
  <c r="X541" i="20" s="1"/>
  <c r="E541" i="20"/>
  <c r="V541" i="20" s="1"/>
  <c r="E540" i="20"/>
  <c r="V540" i="20" s="1"/>
  <c r="E539" i="20"/>
  <c r="V539" i="20" s="1"/>
  <c r="AE795" i="7"/>
  <c r="AE797" i="7" s="1"/>
  <c r="AE335" i="12"/>
  <c r="AE461" i="12"/>
  <c r="AE462" i="12"/>
  <c r="U11" i="23"/>
  <c r="S63" i="21"/>
  <c r="S61" i="21" s="1"/>
  <c r="S64" i="21" s="1"/>
  <c r="S40" i="21" s="1"/>
  <c r="S66" i="21" s="1"/>
  <c r="BZ296" i="17"/>
  <c r="BZ297" i="17" s="1"/>
  <c r="S84" i="21"/>
  <c r="R89" i="21"/>
  <c r="R87" i="21" s="1"/>
  <c r="R83" i="21" s="1"/>
  <c r="R86" i="21" s="1"/>
  <c r="CX61" i="17"/>
  <c r="CV60" i="17"/>
  <c r="CW60" i="17" s="1"/>
  <c r="CX60" i="17" s="1"/>
  <c r="CY60" i="17" s="1"/>
  <c r="CX221" i="17"/>
  <c r="CV220" i="17"/>
  <c r="CW220" i="17" s="1"/>
  <c r="CX220" i="17" s="1"/>
  <c r="CY220" i="17" s="1"/>
  <c r="BS170" i="17"/>
  <c r="BR169" i="17"/>
  <c r="BR182" i="17" s="1"/>
  <c r="CT80" i="17"/>
  <c r="CS65" i="17"/>
  <c r="CX67" i="17"/>
  <c r="CV66" i="17"/>
  <c r="CW66" i="17" s="1"/>
  <c r="CX66" i="17" s="1"/>
  <c r="CY66" i="17" s="1"/>
  <c r="CX224" i="17"/>
  <c r="CV223" i="17"/>
  <c r="CW223" i="17" s="1"/>
  <c r="CX223" i="17" s="1"/>
  <c r="CY223" i="17" s="1"/>
  <c r="CT77" i="17"/>
  <c r="CS62" i="17"/>
  <c r="CT234" i="17"/>
  <c r="CS222" i="17"/>
  <c r="CX64" i="17"/>
  <c r="CV63" i="17"/>
  <c r="CW63" i="17" s="1"/>
  <c r="CX63" i="17" s="1"/>
  <c r="CY63" i="17" s="1"/>
  <c r="BR227" i="17"/>
  <c r="BQ256" i="17"/>
  <c r="BQ257" i="17" s="1"/>
  <c r="BQ226" i="17"/>
  <c r="BQ239" i="17" s="1"/>
  <c r="CT83" i="17"/>
  <c r="CS68" i="17"/>
  <c r="CT237" i="17"/>
  <c r="CS225" i="17"/>
  <c r="BT70" i="17"/>
  <c r="BS103" i="17"/>
  <c r="BS69" i="17"/>
  <c r="CA320" i="17"/>
  <c r="CA321" i="17" s="1"/>
  <c r="CA287" i="17"/>
  <c r="CD320" i="17"/>
  <c r="CD321" i="17" s="1"/>
  <c r="CD287" i="17"/>
  <c r="BY320" i="17"/>
  <c r="BY321" i="17" s="1"/>
  <c r="BY287" i="17"/>
  <c r="CA317" i="17"/>
  <c r="CA318" i="17" s="1"/>
  <c r="CE283" i="17"/>
  <c r="CA284" i="17"/>
  <c r="CD298" i="17"/>
  <c r="CC319" i="17"/>
  <c r="CC286" i="17" s="1"/>
  <c r="CB286" i="17"/>
  <c r="BX320" i="17"/>
  <c r="BX321" i="17" s="1"/>
  <c r="BX287" i="17"/>
  <c r="CF319" i="17"/>
  <c r="CL295" i="17"/>
  <c r="CL301" i="17" s="1"/>
  <c r="CI316" i="17"/>
  <c r="CI338" i="17" s="1"/>
  <c r="CJ338" i="17"/>
  <c r="CJ317" i="17"/>
  <c r="CJ318" i="17" s="1"/>
  <c r="BZ298" i="17"/>
  <c r="BX299" i="17"/>
  <c r="CD284" i="17"/>
  <c r="CD317" i="17"/>
  <c r="CD318" i="17" s="1"/>
  <c r="CH283" i="17"/>
  <c r="BX284" i="17"/>
  <c r="BX317" i="17"/>
  <c r="BX318" i="17" s="1"/>
  <c r="CB283" i="17"/>
  <c r="CB296" i="17" s="1"/>
  <c r="Y128" i="8" s="1"/>
  <c r="CK285" i="17"/>
  <c r="CK319" i="17" s="1"/>
  <c r="CK320" i="17" s="1"/>
  <c r="CK321" i="17" s="1"/>
  <c r="CI285" i="17"/>
  <c r="CH319" i="17"/>
  <c r="CH286" i="17" s="1"/>
  <c r="CL285" i="17"/>
  <c r="CJ285" i="17"/>
  <c r="CJ319" i="17" s="1"/>
  <c r="CJ320" i="17" s="1"/>
  <c r="CJ321" i="17" s="1"/>
  <c r="CE319" i="17"/>
  <c r="CE286" i="17" s="1"/>
  <c r="CH298" i="17"/>
  <c r="BY317" i="17"/>
  <c r="BY318" i="17" s="1"/>
  <c r="CC283" i="17"/>
  <c r="BY284" i="17"/>
  <c r="CK338" i="17"/>
  <c r="CK317" i="17"/>
  <c r="CK318" i="17" s="1"/>
  <c r="CL316" i="17"/>
  <c r="CP282" i="17"/>
  <c r="CN282" i="17"/>
  <c r="CN316" i="17" s="1"/>
  <c r="CO282" i="17"/>
  <c r="CO316" i="17" s="1"/>
  <c r="CM282" i="17"/>
  <c r="BX296" i="17"/>
  <c r="X128" i="8" s="1"/>
  <c r="X129" i="8" s="1"/>
  <c r="X130" i="8" s="1"/>
  <c r="BZ299" i="17"/>
  <c r="BS85" i="17" l="1"/>
  <c r="BR106" i="17"/>
  <c r="BR111" i="17" s="1"/>
  <c r="DA336" i="17"/>
  <c r="DB336" i="17"/>
  <c r="CZ336" i="17"/>
  <c r="CY336" i="17"/>
  <c r="CZ337" i="17"/>
  <c r="DB337" i="17"/>
  <c r="CY337" i="17"/>
  <c r="DA337" i="17"/>
  <c r="AE375" i="12"/>
  <c r="CZ334" i="17"/>
  <c r="DA333" i="17"/>
  <c r="DB335" i="17"/>
  <c r="DB333" i="17"/>
  <c r="DA335" i="17"/>
  <c r="CY335" i="17"/>
  <c r="DB334" i="17"/>
  <c r="CY334" i="17"/>
  <c r="DA334" i="17"/>
  <c r="CY333" i="17"/>
  <c r="CZ335" i="17"/>
  <c r="CZ333" i="17"/>
  <c r="G263" i="2"/>
  <c r="AX264" i="2" s="1"/>
  <c r="V118" i="8"/>
  <c r="V125" i="8"/>
  <c r="U125" i="8"/>
  <c r="CZ223" i="17"/>
  <c r="DA223" i="17" s="1"/>
  <c r="DB223" i="17" s="1"/>
  <c r="DB224" i="17"/>
  <c r="DB221" i="17"/>
  <c r="CZ220" i="17"/>
  <c r="DA220" i="17" s="1"/>
  <c r="DB220" i="17" s="1"/>
  <c r="DB142" i="17"/>
  <c r="DB129" i="17"/>
  <c r="DB228" i="17"/>
  <c r="DA246" i="17"/>
  <c r="DA248" i="17"/>
  <c r="DA247" i="17"/>
  <c r="DB125" i="17"/>
  <c r="CZ63" i="17"/>
  <c r="DA63" i="17" s="1"/>
  <c r="DB63" i="17" s="1"/>
  <c r="DB64" i="17"/>
  <c r="DB67" i="17"/>
  <c r="CZ66" i="17"/>
  <c r="DA66" i="17" s="1"/>
  <c r="DB66" i="17" s="1"/>
  <c r="DB61" i="17"/>
  <c r="CZ60" i="17"/>
  <c r="DA60" i="17" s="1"/>
  <c r="DB60" i="17" s="1"/>
  <c r="V11" i="23"/>
  <c r="T51" i="21"/>
  <c r="S44" i="21"/>
  <c r="S76" i="21"/>
  <c r="BZ329" i="17"/>
  <c r="X383" i="12"/>
  <c r="BT103" i="17"/>
  <c r="BT104" i="17" s="1"/>
  <c r="BT69" i="17"/>
  <c r="BT85" i="17" s="1"/>
  <c r="BU70" i="17"/>
  <c r="BR256" i="17"/>
  <c r="BR257" i="17" s="1"/>
  <c r="BS227" i="17"/>
  <c r="BR226" i="17"/>
  <c r="BR239" i="17" s="1"/>
  <c r="BS104" i="17"/>
  <c r="CX80" i="17"/>
  <c r="CW65" i="17"/>
  <c r="CX237" i="17"/>
  <c r="CW225" i="17"/>
  <c r="CX83" i="17"/>
  <c r="CW68" i="17"/>
  <c r="BT170" i="17"/>
  <c r="BS169" i="17"/>
  <c r="BS182" i="17" s="1"/>
  <c r="CX234" i="17"/>
  <c r="CW222" i="17"/>
  <c r="CX77" i="17"/>
  <c r="CW62" i="17"/>
  <c r="CH320" i="17"/>
  <c r="CH321" i="17" s="1"/>
  <c r="CH287" i="17"/>
  <c r="CN338" i="17"/>
  <c r="CN317" i="17"/>
  <c r="CL338" i="17"/>
  <c r="CL317" i="17"/>
  <c r="CL318" i="17" s="1"/>
  <c r="CC317" i="17"/>
  <c r="CC318" i="17" s="1"/>
  <c r="CG283" i="17"/>
  <c r="CC284" i="17"/>
  <c r="BZ330" i="17"/>
  <c r="BZ300" i="17"/>
  <c r="X384" i="12"/>
  <c r="CO338" i="17"/>
  <c r="CO317" i="17"/>
  <c r="CP316" i="17"/>
  <c r="CT282" i="17"/>
  <c r="CT316" i="17" s="1"/>
  <c r="CT317" i="17" s="1"/>
  <c r="CT318" i="17" s="1"/>
  <c r="CR282" i="17"/>
  <c r="CR316" i="17" s="1"/>
  <c r="CQ282" i="17"/>
  <c r="Y129" i="8"/>
  <c r="Y130" i="8" s="1"/>
  <c r="CO285" i="17"/>
  <c r="CO319" i="17" s="1"/>
  <c r="CO320" i="17" s="1"/>
  <c r="CM285" i="17"/>
  <c r="CL319" i="17"/>
  <c r="CL320" i="17" s="1"/>
  <c r="CL321" i="17" s="1"/>
  <c r="CP285" i="17"/>
  <c r="CN285" i="17"/>
  <c r="CN319" i="17" s="1"/>
  <c r="CN320" i="17" s="1"/>
  <c r="CI319" i="17"/>
  <c r="CI286" i="17" s="1"/>
  <c r="CL298" i="17"/>
  <c r="CB284" i="17"/>
  <c r="CB317" i="17"/>
  <c r="CB318" i="17" s="1"/>
  <c r="CF283" i="17"/>
  <c r="CH284" i="17"/>
  <c r="CH317" i="17"/>
  <c r="CH318" i="17" s="1"/>
  <c r="CL283" i="17"/>
  <c r="CF286" i="17"/>
  <c r="CB320" i="17"/>
  <c r="CB321" i="17" s="1"/>
  <c r="CB287" i="17"/>
  <c r="CE317" i="17"/>
  <c r="CE318" i="17" s="1"/>
  <c r="CI283" i="17"/>
  <c r="CE284" i="17"/>
  <c r="CB299" i="17"/>
  <c r="CM316" i="17"/>
  <c r="CP295" i="17"/>
  <c r="CP301" i="17" s="1"/>
  <c r="CD296" i="17"/>
  <c r="CC320" i="17"/>
  <c r="CC321" i="17" s="1"/>
  <c r="CC287" i="17"/>
  <c r="CG286" i="17"/>
  <c r="CE320" i="17"/>
  <c r="CE321" i="17" s="1"/>
  <c r="CE287" i="17"/>
  <c r="CD299" i="17"/>
  <c r="BQ107" i="17" l="1"/>
  <c r="BS116" i="17"/>
  <c r="BT116" i="17"/>
  <c r="V150" i="12"/>
  <c r="BU116" i="17"/>
  <c r="BR117" i="17"/>
  <c r="G265" i="2"/>
  <c r="AX265" i="2" s="1"/>
  <c r="W118" i="8"/>
  <c r="W125" i="8"/>
  <c r="DB83" i="17"/>
  <c r="DA68" i="17"/>
  <c r="DB130" i="17"/>
  <c r="AE151" i="12"/>
  <c r="DA126" i="17"/>
  <c r="DB246" i="17"/>
  <c r="DB80" i="17"/>
  <c r="DA65" i="17"/>
  <c r="DB229" i="17"/>
  <c r="DB248" i="17" s="1"/>
  <c r="DB77" i="17"/>
  <c r="DA62" i="17"/>
  <c r="DB234" i="17"/>
  <c r="DA222" i="17"/>
  <c r="DB237" i="17"/>
  <c r="DA225" i="17"/>
  <c r="W11" i="23"/>
  <c r="T63" i="21"/>
  <c r="T61" i="21" s="1"/>
  <c r="S89" i="21"/>
  <c r="S87" i="21" s="1"/>
  <c r="S83" i="21" s="1"/>
  <c r="S86" i="21" s="1"/>
  <c r="CH296" i="17"/>
  <c r="CH329" i="17" s="1"/>
  <c r="CZ41" i="11" s="1"/>
  <c r="BS256" i="17"/>
  <c r="BS257" i="17" s="1"/>
  <c r="BS226" i="17"/>
  <c r="BS239" i="17" s="1"/>
  <c r="BT227" i="17"/>
  <c r="BV70" i="17"/>
  <c r="BU103" i="17"/>
  <c r="BU69" i="17"/>
  <c r="BU85" i="17" s="1"/>
  <c r="BU170" i="17"/>
  <c r="BT169" i="17"/>
  <c r="BT182" i="17" s="1"/>
  <c r="CD330" i="17"/>
  <c r="CD300" i="17"/>
  <c r="Y384" i="12"/>
  <c r="CG320" i="17"/>
  <c r="CG321" i="17" s="1"/>
  <c r="CG287" i="17"/>
  <c r="CK286" i="17"/>
  <c r="CJ286" i="17"/>
  <c r="CF320" i="17"/>
  <c r="CF321" i="17" s="1"/>
  <c r="CF287" i="17"/>
  <c r="CL284" i="17"/>
  <c r="CP283" i="17"/>
  <c r="CN321" i="17"/>
  <c r="CQ316" i="17"/>
  <c r="CI320" i="17"/>
  <c r="CI321" i="17" s="1"/>
  <c r="CI287" i="17"/>
  <c r="CH299" i="17"/>
  <c r="CF299" i="17"/>
  <c r="CD329" i="17"/>
  <c r="CD297" i="17"/>
  <c r="Y383" i="12"/>
  <c r="CM338" i="17"/>
  <c r="CM317" i="17"/>
  <c r="CI317" i="17"/>
  <c r="CI318" i="17" s="1"/>
  <c r="CM283" i="17"/>
  <c r="CI284" i="17"/>
  <c r="CQ285" i="17"/>
  <c r="CP319" i="17"/>
  <c r="CP320" i="17" s="1"/>
  <c r="CT285" i="17"/>
  <c r="CT319" i="17" s="1"/>
  <c r="CT320" i="17" s="1"/>
  <c r="CR285" i="17"/>
  <c r="CR319" i="17" s="1"/>
  <c r="CR320" i="17" s="1"/>
  <c r="E266" i="2" s="1"/>
  <c r="CM319" i="17"/>
  <c r="CM320" i="17" s="1"/>
  <c r="CP298" i="17"/>
  <c r="CX282" i="17"/>
  <c r="CV282" i="17"/>
  <c r="CV316" i="17" s="1"/>
  <c r="CV317" i="17" s="1"/>
  <c r="CV318" i="17" s="1"/>
  <c r="CU282" i="17"/>
  <c r="CU316" i="17" s="1"/>
  <c r="CU317" i="17" s="1"/>
  <c r="CU318" i="17" s="1"/>
  <c r="CO318" i="17"/>
  <c r="CG317" i="17"/>
  <c r="CG318" i="17" s="1"/>
  <c r="CK283" i="17"/>
  <c r="CG284" i="17"/>
  <c r="CN318" i="17"/>
  <c r="CF284" i="17"/>
  <c r="CF317" i="17"/>
  <c r="CF318" i="17" s="1"/>
  <c r="CJ283" i="17"/>
  <c r="CO321" i="17"/>
  <c r="CR338" i="17"/>
  <c r="CR317" i="17"/>
  <c r="E125" i="2" s="1"/>
  <c r="CP338" i="17"/>
  <c r="CP317" i="17"/>
  <c r="CF296" i="17"/>
  <c r="Z128" i="8" s="1"/>
  <c r="Z129" i="8" s="1"/>
  <c r="Z130" i="8" s="1"/>
  <c r="CL286" i="17"/>
  <c r="X118" i="8" l="1"/>
  <c r="X125" i="8" s="1"/>
  <c r="DB242" i="17"/>
  <c r="DW104" i="11" s="1"/>
  <c r="AE155" i="12"/>
  <c r="DA230" i="17"/>
  <c r="CY282" i="17"/>
  <c r="CZ282" i="17"/>
  <c r="CZ316" i="17" s="1"/>
  <c r="DB282" i="17"/>
  <c r="DB316" i="17" s="1"/>
  <c r="CX316" i="17"/>
  <c r="CX317" i="17" s="1"/>
  <c r="X11" i="23"/>
  <c r="CH297" i="17"/>
  <c r="Z383" i="12"/>
  <c r="BV103" i="17"/>
  <c r="BV104" i="17" s="1"/>
  <c r="BV69" i="17"/>
  <c r="BV85" i="17" s="1"/>
  <c r="BW70" i="17"/>
  <c r="BV170" i="17"/>
  <c r="BU169" i="17"/>
  <c r="BU182" i="17" s="1"/>
  <c r="BU104" i="17"/>
  <c r="BT256" i="17"/>
  <c r="BT257" i="17" s="1"/>
  <c r="BU227" i="17"/>
  <c r="BT226" i="17"/>
  <c r="BT239" i="17" s="1"/>
  <c r="F117" i="20"/>
  <c r="W117" i="20" s="1"/>
  <c r="AV125" i="2"/>
  <c r="CT338" i="17"/>
  <c r="G125" i="2"/>
  <c r="CM321" i="17"/>
  <c r="CU285" i="17"/>
  <c r="CU319" i="17" s="1"/>
  <c r="CU320" i="17" s="1"/>
  <c r="G266" i="2"/>
  <c r="CX285" i="17"/>
  <c r="CV285" i="17"/>
  <c r="CP318" i="17"/>
  <c r="CR318" i="17"/>
  <c r="CJ284" i="17"/>
  <c r="CN283" i="17"/>
  <c r="CN296" i="17" s="1"/>
  <c r="AB128" i="8" s="1"/>
  <c r="CJ296" i="17"/>
  <c r="AA128" i="8" s="1"/>
  <c r="AA129" i="8" s="1"/>
  <c r="AA130" i="8" s="1"/>
  <c r="CR321" i="17"/>
  <c r="CP321" i="17"/>
  <c r="CL296" i="17"/>
  <c r="CM318" i="17"/>
  <c r="CH330" i="17"/>
  <c r="CH300" i="17"/>
  <c r="Z384" i="12"/>
  <c r="CQ338" i="17"/>
  <c r="CQ317" i="17"/>
  <c r="D125" i="2" s="1"/>
  <c r="CP284" i="17"/>
  <c r="CT283" i="17"/>
  <c r="CZ42" i="11"/>
  <c r="DA42" i="11" s="1"/>
  <c r="DA41" i="11"/>
  <c r="CK287" i="17"/>
  <c r="CO286" i="17"/>
  <c r="CP286" i="17"/>
  <c r="CL287" i="17"/>
  <c r="CO283" i="17"/>
  <c r="CK284" i="17"/>
  <c r="CV338" i="17"/>
  <c r="I125" i="2"/>
  <c r="CQ319" i="17"/>
  <c r="CQ320" i="17" s="1"/>
  <c r="D266" i="2" s="1"/>
  <c r="CQ283" i="17"/>
  <c r="CM284" i="17"/>
  <c r="CM286" i="17"/>
  <c r="CL299" i="17"/>
  <c r="F123" i="20"/>
  <c r="W123" i="20" s="1"/>
  <c r="AV266" i="2"/>
  <c r="CN286" i="17"/>
  <c r="CJ287" i="17"/>
  <c r="CJ299" i="17"/>
  <c r="CV319" i="17" l="1"/>
  <c r="CV320" i="17" s="1"/>
  <c r="I266" i="2" s="1"/>
  <c r="Y118" i="8"/>
  <c r="CX338" i="17"/>
  <c r="DB317" i="17"/>
  <c r="DB318" i="17" s="1"/>
  <c r="DB338" i="17"/>
  <c r="CZ285" i="17"/>
  <c r="CZ319" i="17" s="1"/>
  <c r="CZ320" i="17" s="1"/>
  <c r="CZ321" i="17" s="1"/>
  <c r="CY285" i="17"/>
  <c r="DB285" i="17"/>
  <c r="DB319" i="17" s="1"/>
  <c r="DB320" i="17" s="1"/>
  <c r="DB321" i="17" s="1"/>
  <c r="CZ317" i="17"/>
  <c r="CZ318" i="17" s="1"/>
  <c r="CZ338" i="17"/>
  <c r="CY316" i="17"/>
  <c r="CX319" i="17"/>
  <c r="CX320" i="17" s="1"/>
  <c r="CX321" i="17" s="1"/>
  <c r="BV106" i="17"/>
  <c r="BV117" i="17" s="1"/>
  <c r="Y11" i="23"/>
  <c r="CP296" i="17"/>
  <c r="CP297" i="17" s="1"/>
  <c r="BW170" i="17"/>
  <c r="BV169" i="17"/>
  <c r="BV182" i="17" s="1"/>
  <c r="BV227" i="17"/>
  <c r="BU256" i="17"/>
  <c r="BU257" i="17" s="1"/>
  <c r="BU226" i="17"/>
  <c r="BU239" i="17" s="1"/>
  <c r="BX70" i="17"/>
  <c r="BW103" i="17"/>
  <c r="BW69" i="17"/>
  <c r="BW85" i="17" s="1"/>
  <c r="AB129" i="8"/>
  <c r="CP299" i="17"/>
  <c r="CM287" i="17"/>
  <c r="CQ286" i="17"/>
  <c r="CQ321" i="17"/>
  <c r="CT286" i="17"/>
  <c r="CP287" i="17"/>
  <c r="CO287" i="17"/>
  <c r="CT284" i="17"/>
  <c r="CX283" i="17"/>
  <c r="DB283" i="17" s="1"/>
  <c r="J117" i="20"/>
  <c r="AA117" i="20" s="1"/>
  <c r="AZ125" i="2"/>
  <c r="CR286" i="17"/>
  <c r="CN287" i="17"/>
  <c r="CL330" i="17"/>
  <c r="CL300" i="17"/>
  <c r="AA384" i="12"/>
  <c r="C277" i="2" s="1"/>
  <c r="AT277" i="2" s="1"/>
  <c r="CU283" i="17"/>
  <c r="CQ284" i="17"/>
  <c r="CN299" i="17"/>
  <c r="CQ318" i="17"/>
  <c r="E117" i="20"/>
  <c r="V117" i="20" s="1"/>
  <c r="AU125" i="2"/>
  <c r="CX318" i="17"/>
  <c r="CT321" i="17"/>
  <c r="E123" i="20"/>
  <c r="V123" i="20" s="1"/>
  <c r="AU266" i="2"/>
  <c r="CU338" i="17"/>
  <c r="H125" i="2"/>
  <c r="CO284" i="17"/>
  <c r="CL329" i="17"/>
  <c r="DE41" i="11" s="1"/>
  <c r="DE42" i="11" s="1"/>
  <c r="DF42" i="11" s="1"/>
  <c r="CL297" i="17"/>
  <c r="AA383" i="12"/>
  <c r="H123" i="20"/>
  <c r="Y123" i="20" s="1"/>
  <c r="AX266" i="2"/>
  <c r="CN284" i="17"/>
  <c r="CR283" i="17"/>
  <c r="H117" i="20"/>
  <c r="Y117" i="20" s="1"/>
  <c r="AX125" i="2"/>
  <c r="H266" i="2"/>
  <c r="K125" i="2"/>
  <c r="CV321" i="17" l="1"/>
  <c r="J123" i="20"/>
  <c r="AA123" i="20" s="1"/>
  <c r="AZ266" i="2"/>
  <c r="BU107" i="17"/>
  <c r="Z118" i="8"/>
  <c r="Z125" i="8"/>
  <c r="Y125" i="8"/>
  <c r="BY116" i="17"/>
  <c r="BV111" i="17"/>
  <c r="BX116" i="17"/>
  <c r="K266" i="2"/>
  <c r="L123" i="20" s="1"/>
  <c r="AC123" i="20" s="1"/>
  <c r="BW116" i="17"/>
  <c r="W150" i="12"/>
  <c r="DB284" i="17"/>
  <c r="O125" i="2"/>
  <c r="BF125" i="2" s="1"/>
  <c r="M266" i="2"/>
  <c r="N123" i="20" s="1"/>
  <c r="AE123" i="20" s="1"/>
  <c r="O266" i="2"/>
  <c r="BF266" i="2" s="1"/>
  <c r="M125" i="2"/>
  <c r="N117" i="20" s="1"/>
  <c r="AE117" i="20" s="1"/>
  <c r="CY317" i="17"/>
  <c r="CY318" i="17" s="1"/>
  <c r="CY338" i="17"/>
  <c r="CY319" i="17"/>
  <c r="CY320" i="17" s="1"/>
  <c r="CY321" i="17" s="1"/>
  <c r="CY283" i="17"/>
  <c r="Z11" i="23"/>
  <c r="CP329" i="17"/>
  <c r="DJ41" i="11" s="1"/>
  <c r="DJ42" i="11" s="1"/>
  <c r="AB383" i="12"/>
  <c r="BW104" i="17"/>
  <c r="BX103" i="17"/>
  <c r="BX104" i="17" s="1"/>
  <c r="BX69" i="17"/>
  <c r="BX85" i="17" s="1"/>
  <c r="BY70" i="17"/>
  <c r="BV256" i="17"/>
  <c r="BV257" i="17" s="1"/>
  <c r="BW227" i="17"/>
  <c r="BV226" i="17"/>
  <c r="BV239" i="17" s="1"/>
  <c r="BX170" i="17"/>
  <c r="BW169" i="17"/>
  <c r="BW182" i="17" s="1"/>
  <c r="DF41" i="11"/>
  <c r="CQ287" i="17"/>
  <c r="CU286" i="17"/>
  <c r="CP330" i="17"/>
  <c r="CP300" i="17"/>
  <c r="AB384" i="12"/>
  <c r="D277" i="2" s="1"/>
  <c r="CR284" i="17"/>
  <c r="CV283" i="17"/>
  <c r="CZ283" i="17" s="1"/>
  <c r="I117" i="20"/>
  <c r="Z117" i="20" s="1"/>
  <c r="AY125" i="2"/>
  <c r="I123" i="20"/>
  <c r="Z123" i="20" s="1"/>
  <c r="AY266" i="2"/>
  <c r="L117" i="20"/>
  <c r="AC117" i="20" s="1"/>
  <c r="BB125" i="2"/>
  <c r="CU321" i="17"/>
  <c r="CR296" i="17"/>
  <c r="AC128" i="8" s="1"/>
  <c r="AC129" i="8" s="1"/>
  <c r="CU284" i="17"/>
  <c r="CV286" i="17"/>
  <c r="CZ286" i="17" s="1"/>
  <c r="CR287" i="17"/>
  <c r="CX284" i="17"/>
  <c r="CR299" i="17"/>
  <c r="CX286" i="17"/>
  <c r="DB286" i="17" s="1"/>
  <c r="CT287" i="17"/>
  <c r="AA118" i="8" l="1"/>
  <c r="AA125" i="8"/>
  <c r="BB266" i="2"/>
  <c r="P117" i="20"/>
  <c r="AG117" i="20" s="1"/>
  <c r="DB287" i="17"/>
  <c r="P123" i="20"/>
  <c r="AG123" i="20" s="1"/>
  <c r="CZ284" i="17"/>
  <c r="CZ287" i="17"/>
  <c r="CY286" i="17"/>
  <c r="BD266" i="2"/>
  <c r="BD125" i="2"/>
  <c r="L125" i="2"/>
  <c r="M117" i="20" s="1"/>
  <c r="AD117" i="20" s="1"/>
  <c r="L266" i="2"/>
  <c r="M123" i="20" s="1"/>
  <c r="AD123" i="20" s="1"/>
  <c r="D155" i="2"/>
  <c r="CY284" i="17"/>
  <c r="AA11" i="23"/>
  <c r="DK41" i="11"/>
  <c r="DK42" i="11"/>
  <c r="BY170" i="17"/>
  <c r="BX169" i="17"/>
  <c r="BX182" i="17" s="1"/>
  <c r="BW256" i="17"/>
  <c r="BW257" i="17" s="1"/>
  <c r="BW226" i="17"/>
  <c r="BW239" i="17" s="1"/>
  <c r="BX227" i="17"/>
  <c r="BZ70" i="17"/>
  <c r="BY103" i="17"/>
  <c r="BY104" i="17" s="1"/>
  <c r="BY69" i="17"/>
  <c r="BY85" i="17" s="1"/>
  <c r="CX287" i="17"/>
  <c r="CV287" i="17"/>
  <c r="E248" i="20"/>
  <c r="V248" i="20" s="1"/>
  <c r="AU277" i="2"/>
  <c r="CV284" i="17"/>
  <c r="CU287" i="17"/>
  <c r="AB118" i="8" l="1"/>
  <c r="AB125" i="8"/>
  <c r="CY287" i="17"/>
  <c r="BC125" i="2"/>
  <c r="BC266" i="2"/>
  <c r="AU155" i="2"/>
  <c r="E38" i="20"/>
  <c r="V38" i="20" s="1"/>
  <c r="AB11" i="23"/>
  <c r="BX256" i="17"/>
  <c r="BX257" i="17" s="1"/>
  <c r="BY227" i="17"/>
  <c r="BX226" i="17"/>
  <c r="BX239" i="17" s="1"/>
  <c r="BZ170" i="17"/>
  <c r="BY169" i="17"/>
  <c r="BY182" i="17" s="1"/>
  <c r="BZ103" i="17"/>
  <c r="BZ69" i="17"/>
  <c r="BZ85" i="17" s="1"/>
  <c r="CA70" i="17"/>
  <c r="AC118" i="8" l="1"/>
  <c r="DT7" i="11"/>
  <c r="AC11" i="23"/>
  <c r="CB70" i="17"/>
  <c r="CA103" i="17"/>
  <c r="CA69" i="17"/>
  <c r="CA85" i="17" s="1"/>
  <c r="BZ104" i="17"/>
  <c r="BZ106" i="17"/>
  <c r="CA170" i="17"/>
  <c r="BZ169" i="17"/>
  <c r="BZ182" i="17" s="1"/>
  <c r="BZ227" i="17"/>
  <c r="BY256" i="17"/>
  <c r="BY257" i="17" s="1"/>
  <c r="BY226" i="17"/>
  <c r="BY239" i="17" s="1"/>
  <c r="DS7" i="11"/>
  <c r="AD118" i="8" l="1"/>
  <c r="AE118" i="8" s="1"/>
  <c r="AE125" i="8" s="1"/>
  <c r="AC125" i="8"/>
  <c r="AD366" i="12"/>
  <c r="AD361" i="12" s="1"/>
  <c r="AE361" i="12" s="1"/>
  <c r="AD11" i="23"/>
  <c r="AE11" i="23" s="1"/>
  <c r="DP123" i="11"/>
  <c r="DP125" i="11" s="1"/>
  <c r="BZ111" i="17"/>
  <c r="X150" i="12"/>
  <c r="CB116" i="17"/>
  <c r="CC116" i="17"/>
  <c r="CA116" i="17"/>
  <c r="BZ117" i="17"/>
  <c r="BY107" i="17"/>
  <c r="CB103" i="17"/>
  <c r="CB104" i="17" s="1"/>
  <c r="CB69" i="17"/>
  <c r="CB85" i="17" s="1"/>
  <c r="CC70" i="17"/>
  <c r="BZ256" i="17"/>
  <c r="BZ257" i="17" s="1"/>
  <c r="CA227" i="17"/>
  <c r="BZ226" i="17"/>
  <c r="BZ239" i="17" s="1"/>
  <c r="CB170" i="17"/>
  <c r="CA169" i="17"/>
  <c r="CA182" i="17" s="1"/>
  <c r="CA104" i="17"/>
  <c r="DS35" i="11"/>
  <c r="DS123" i="11" s="1"/>
  <c r="DS125" i="11" s="1"/>
  <c r="AD165" i="12"/>
  <c r="F101" i="2" s="1"/>
  <c r="DU7" i="11"/>
  <c r="DX7" i="11" s="1"/>
  <c r="AC23" i="7"/>
  <c r="AD125" i="8" l="1"/>
  <c r="AW101" i="2"/>
  <c r="E136" i="2"/>
  <c r="E195" i="2"/>
  <c r="DZ7" i="11"/>
  <c r="AE165" i="12"/>
  <c r="CC170" i="17"/>
  <c r="CB169" i="17"/>
  <c r="CB182" i="17" s="1"/>
  <c r="CA256" i="17"/>
  <c r="CA257" i="17" s="1"/>
  <c r="CA226" i="17"/>
  <c r="CA239" i="17" s="1"/>
  <c r="CB227" i="17"/>
  <c r="CD70" i="17"/>
  <c r="CC103" i="17"/>
  <c r="CC69" i="17"/>
  <c r="CC85" i="17" s="1"/>
  <c r="DU35" i="11"/>
  <c r="EH36" i="6"/>
  <c r="DV7" i="11"/>
  <c r="G101" i="2" l="1"/>
  <c r="AX101" i="2" s="1"/>
  <c r="I348" i="20"/>
  <c r="Z348" i="20" s="1"/>
  <c r="H348" i="20"/>
  <c r="Y348" i="20" s="1"/>
  <c r="AV195" i="2"/>
  <c r="AV136" i="2"/>
  <c r="H174" i="20"/>
  <c r="Y174" i="20" s="1"/>
  <c r="I174" i="20"/>
  <c r="Z174" i="20" s="1"/>
  <c r="F221" i="20"/>
  <c r="W221" i="20" s="1"/>
  <c r="F284" i="2"/>
  <c r="I60" i="20" s="1"/>
  <c r="Z60" i="20" s="1"/>
  <c r="DU123" i="11"/>
  <c r="DU125" i="11" s="1"/>
  <c r="DX35" i="11"/>
  <c r="EA7" i="11"/>
  <c r="CC104" i="17"/>
  <c r="CB256" i="17"/>
  <c r="CB257" i="17" s="1"/>
  <c r="CC227" i="17"/>
  <c r="CB226" i="17"/>
  <c r="CB239" i="17" s="1"/>
  <c r="CD170" i="17"/>
  <c r="CC169" i="17"/>
  <c r="CC182" i="17" s="1"/>
  <c r="CD103" i="17"/>
  <c r="CD104" i="17" s="1"/>
  <c r="CD69" i="17"/>
  <c r="CD85" i="17" s="1"/>
  <c r="CE70" i="17"/>
  <c r="DV35" i="11"/>
  <c r="AD188" i="12" s="1"/>
  <c r="AD185" i="12" s="1"/>
  <c r="AC254" i="12"/>
  <c r="EH85" i="6"/>
  <c r="EG36" i="6"/>
  <c r="EG85" i="6" s="1"/>
  <c r="F136" i="2" l="1"/>
  <c r="F195" i="2"/>
  <c r="DZ35" i="11"/>
  <c r="DX123" i="11"/>
  <c r="DX125" i="11" s="1"/>
  <c r="AD23" i="7"/>
  <c r="CF70" i="17"/>
  <c r="CE103" i="17"/>
  <c r="CE69" i="17"/>
  <c r="CE85" i="17" s="1"/>
  <c r="CE170" i="17"/>
  <c r="CD169" i="17"/>
  <c r="CD182" i="17" s="1"/>
  <c r="CD227" i="17"/>
  <c r="CC256" i="17"/>
  <c r="CC257" i="17" s="1"/>
  <c r="CC226" i="17"/>
  <c r="CC239" i="17" s="1"/>
  <c r="CD106" i="17"/>
  <c r="AD388" i="12"/>
  <c r="AD391" i="12" s="1"/>
  <c r="AD247" i="12"/>
  <c r="EN36" i="6"/>
  <c r="EN85" i="6" s="1"/>
  <c r="AW195" i="2" l="1"/>
  <c r="J348" i="20"/>
  <c r="AA348" i="20" s="1"/>
  <c r="K348" i="20"/>
  <c r="AB348" i="20" s="1"/>
  <c r="G221" i="20"/>
  <c r="X221" i="20" s="1"/>
  <c r="K174" i="20"/>
  <c r="AB174" i="20" s="1"/>
  <c r="AW136" i="2"/>
  <c r="G284" i="2"/>
  <c r="J60" i="20" s="1"/>
  <c r="AA60" i="20" s="1"/>
  <c r="J174" i="20"/>
  <c r="AA174" i="20" s="1"/>
  <c r="DZ123" i="11"/>
  <c r="DZ125" i="11" s="1"/>
  <c r="EA35" i="11"/>
  <c r="AE188" i="12" s="1"/>
  <c r="AD254" i="12"/>
  <c r="CD111" i="17"/>
  <c r="Y150" i="12"/>
  <c r="CG116" i="17"/>
  <c r="CD117" i="17"/>
  <c r="CC107" i="17"/>
  <c r="CE116" i="17"/>
  <c r="CF116" i="17"/>
  <c r="CF103" i="17"/>
  <c r="CF104" i="17" s="1"/>
  <c r="CF69" i="17"/>
  <c r="CF85" i="17" s="1"/>
  <c r="CG70" i="17"/>
  <c r="CD256" i="17"/>
  <c r="CD257" i="17" s="1"/>
  <c r="CE227" i="17"/>
  <c r="CD226" i="17"/>
  <c r="CD239" i="17" s="1"/>
  <c r="CF170" i="17"/>
  <c r="CE169" i="17"/>
  <c r="CE182" i="17" s="1"/>
  <c r="CE104" i="17"/>
  <c r="AE23" i="7" l="1"/>
  <c r="AE185" i="12"/>
  <c r="CG170" i="17"/>
  <c r="CF169" i="17"/>
  <c r="CF182" i="17" s="1"/>
  <c r="CE256" i="17"/>
  <c r="CE257" i="17" s="1"/>
  <c r="CE226" i="17"/>
  <c r="CE239" i="17" s="1"/>
  <c r="CF227" i="17"/>
  <c r="CH70" i="17"/>
  <c r="CG103" i="17"/>
  <c r="CG69" i="17"/>
  <c r="CG85" i="17" s="1"/>
  <c r="ET36" i="6" l="1"/>
  <c r="G195" i="2"/>
  <c r="G136" i="2"/>
  <c r="AE247" i="12"/>
  <c r="AE254" i="12" s="1"/>
  <c r="AE388" i="12"/>
  <c r="AE391" i="12" s="1"/>
  <c r="CH103" i="17"/>
  <c r="CH104" i="17" s="1"/>
  <c r="CH69" i="17"/>
  <c r="CH85" i="17" s="1"/>
  <c r="CI70" i="17"/>
  <c r="CG104" i="17"/>
  <c r="CF256" i="17"/>
  <c r="CF257" i="17" s="1"/>
  <c r="CG227" i="17"/>
  <c r="CF226" i="17"/>
  <c r="CF239" i="17" s="1"/>
  <c r="CH170" i="17"/>
  <c r="CG169" i="17"/>
  <c r="CG182" i="17" s="1"/>
  <c r="CH106" i="17" l="1"/>
  <c r="CK116" i="17" s="1"/>
  <c r="ET85" i="6"/>
  <c r="AX136" i="2"/>
  <c r="M174" i="20"/>
  <c r="AD174" i="20" s="1"/>
  <c r="L174" i="20"/>
  <c r="AC174" i="20" s="1"/>
  <c r="H221" i="20"/>
  <c r="Y221" i="20" s="1"/>
  <c r="L348" i="20"/>
  <c r="AC348" i="20" s="1"/>
  <c r="M348" i="20"/>
  <c r="AD348" i="20" s="1"/>
  <c r="AX195" i="2"/>
  <c r="CI170" i="17"/>
  <c r="CH169" i="17"/>
  <c r="CH182" i="17" s="1"/>
  <c r="CH227" i="17"/>
  <c r="CG256" i="17"/>
  <c r="CG257" i="17" s="1"/>
  <c r="CG226" i="17"/>
  <c r="CG239" i="17" s="1"/>
  <c r="CJ70" i="17"/>
  <c r="CI103" i="17"/>
  <c r="CI69" i="17"/>
  <c r="CI85" i="17" s="1"/>
  <c r="CG107" i="17" l="1"/>
  <c r="CJ116" i="17"/>
  <c r="CH117" i="17"/>
  <c r="Z150" i="12"/>
  <c r="CI116" i="17"/>
  <c r="CH111" i="17"/>
  <c r="CI104" i="17"/>
  <c r="CJ103" i="17"/>
  <c r="CJ104" i="17" s="1"/>
  <c r="CJ69" i="17"/>
  <c r="CJ85" i="17" s="1"/>
  <c r="CK70" i="17"/>
  <c r="CH256" i="17"/>
  <c r="CH257" i="17" s="1"/>
  <c r="CI227" i="17"/>
  <c r="CH226" i="17"/>
  <c r="CH239" i="17" s="1"/>
  <c r="CJ170" i="17"/>
  <c r="CI169" i="17"/>
  <c r="CI182" i="17" s="1"/>
  <c r="CK170" i="17" l="1"/>
  <c r="CJ169" i="17"/>
  <c r="CJ182" i="17" s="1"/>
  <c r="CI256" i="17"/>
  <c r="CI257" i="17" s="1"/>
  <c r="CI226" i="17"/>
  <c r="CI239" i="17" s="1"/>
  <c r="CJ227" i="17"/>
  <c r="CL70" i="17"/>
  <c r="CK103" i="17"/>
  <c r="CK104" i="17" s="1"/>
  <c r="CK69" i="17"/>
  <c r="CK85" i="17" s="1"/>
  <c r="CL103" i="17" l="1"/>
  <c r="CL69" i="17"/>
  <c r="CL85" i="17" s="1"/>
  <c r="CM70" i="17"/>
  <c r="CJ256" i="17"/>
  <c r="CJ257" i="17" s="1"/>
  <c r="CK227" i="17"/>
  <c r="CJ226" i="17"/>
  <c r="CJ239" i="17" s="1"/>
  <c r="CL170" i="17"/>
  <c r="CK169" i="17"/>
  <c r="CK182" i="17" s="1"/>
  <c r="CM170" i="17" l="1"/>
  <c r="CL169" i="17"/>
  <c r="CL182" i="17" s="1"/>
  <c r="CL227" i="17"/>
  <c r="CK256" i="17"/>
  <c r="CK257" i="17" s="1"/>
  <c r="CK226" i="17"/>
  <c r="CK239" i="17" s="1"/>
  <c r="CN70" i="17"/>
  <c r="CM103" i="17"/>
  <c r="CM69" i="17"/>
  <c r="CM85" i="17" s="1"/>
  <c r="CL104" i="17"/>
  <c r="CL106" i="17"/>
  <c r="CL111" i="17" l="1"/>
  <c r="AA150" i="12"/>
  <c r="CO116" i="17"/>
  <c r="CL117" i="17"/>
  <c r="CK107" i="17"/>
  <c r="CM116" i="17"/>
  <c r="CN116" i="17"/>
  <c r="CN103" i="17"/>
  <c r="CN104" i="17" s="1"/>
  <c r="CN69" i="17"/>
  <c r="CN85" i="17" s="1"/>
  <c r="CO70" i="17"/>
  <c r="CM104" i="17"/>
  <c r="CL256" i="17"/>
  <c r="CL257" i="17" s="1"/>
  <c r="CM227" i="17"/>
  <c r="CL226" i="17"/>
  <c r="CL239" i="17" s="1"/>
  <c r="CN170" i="17"/>
  <c r="CM169" i="17"/>
  <c r="CM182" i="17" s="1"/>
  <c r="CO170" i="17" l="1"/>
  <c r="CN169" i="17"/>
  <c r="CN182" i="17" s="1"/>
  <c r="CM256" i="17"/>
  <c r="CM257" i="17" s="1"/>
  <c r="CM226" i="17"/>
  <c r="CM239" i="17" s="1"/>
  <c r="CN227" i="17"/>
  <c r="CP70" i="17"/>
  <c r="CO103" i="17"/>
  <c r="CO69" i="17"/>
  <c r="CO85" i="17" s="1"/>
  <c r="CO104" i="17" l="1"/>
  <c r="CN256" i="17"/>
  <c r="CN257" i="17" s="1"/>
  <c r="CO227" i="17"/>
  <c r="CN226" i="17"/>
  <c r="CN239" i="17" s="1"/>
  <c r="CP103" i="17"/>
  <c r="CP104" i="17" s="1"/>
  <c r="CP69" i="17"/>
  <c r="CP85" i="17" s="1"/>
  <c r="CQ70" i="17"/>
  <c r="CP170" i="17"/>
  <c r="CQ206" i="17" s="1"/>
  <c r="CO169" i="17"/>
  <c r="CO182" i="17" s="1"/>
  <c r="CQ9" i="17" l="1"/>
  <c r="CQ170" i="17"/>
  <c r="CR206" i="17" s="1"/>
  <c r="CP169" i="17"/>
  <c r="CP182" i="17" s="1"/>
  <c r="CR70" i="17"/>
  <c r="CS70" i="17" s="1"/>
  <c r="CQ69" i="17"/>
  <c r="CQ85" i="17" s="1"/>
  <c r="CQ103" i="17"/>
  <c r="CP227" i="17"/>
  <c r="CO256" i="17"/>
  <c r="CO257" i="17" s="1"/>
  <c r="CO226" i="17"/>
  <c r="CO239" i="17" s="1"/>
  <c r="CP106" i="17"/>
  <c r="D118" i="2" l="1"/>
  <c r="CP256" i="17"/>
  <c r="CP257" i="17" s="1"/>
  <c r="CQ227" i="17"/>
  <c r="CP226" i="17"/>
  <c r="CP239" i="17" s="1"/>
  <c r="CP111" i="17"/>
  <c r="AB150" i="12"/>
  <c r="CP117" i="17"/>
  <c r="CO107" i="17"/>
  <c r="CR9" i="17"/>
  <c r="CQ115" i="17"/>
  <c r="CQ116" i="17"/>
  <c r="CQ141" i="17"/>
  <c r="CR116" i="17"/>
  <c r="CQ104" i="17"/>
  <c r="CR69" i="17"/>
  <c r="CR85" i="17" s="1"/>
  <c r="CR103" i="17"/>
  <c r="CR170" i="17"/>
  <c r="CQ169" i="17"/>
  <c r="CQ182" i="17" s="1"/>
  <c r="E118" i="2" l="1"/>
  <c r="E106" i="20"/>
  <c r="V106" i="20" s="1"/>
  <c r="AU118" i="2"/>
  <c r="CR169" i="17"/>
  <c r="CR182" i="17" s="1"/>
  <c r="CS103" i="17"/>
  <c r="CS69" i="17"/>
  <c r="CS85" i="17" s="1"/>
  <c r="CR117" i="17"/>
  <c r="CR115" i="17"/>
  <c r="CR104" i="17"/>
  <c r="CR141" i="17"/>
  <c r="CQ256" i="17"/>
  <c r="CQ226" i="17"/>
  <c r="CQ239" i="17" s="1"/>
  <c r="CR227" i="17"/>
  <c r="F106" i="20" l="1"/>
  <c r="W106" i="20" s="1"/>
  <c r="AV118" i="2"/>
  <c r="CR256" i="17"/>
  <c r="CS227" i="17"/>
  <c r="CT227" i="17" s="1"/>
  <c r="CR226" i="17"/>
  <c r="CR239" i="17" s="1"/>
  <c r="CQ15" i="17"/>
  <c r="D124" i="2" s="1"/>
  <c r="AU124" i="2" l="1"/>
  <c r="E113" i="20"/>
  <c r="V113" i="20" s="1"/>
  <c r="CQ17" i="17"/>
  <c r="CQ121" i="17"/>
  <c r="CS256" i="17"/>
  <c r="CS226" i="17"/>
  <c r="CS239" i="17" s="1"/>
  <c r="CQ268" i="17"/>
  <c r="CQ134" i="17"/>
  <c r="CQ269" i="17"/>
  <c r="CT256" i="17" l="1"/>
  <c r="CU227" i="17"/>
  <c r="CT226" i="17"/>
  <c r="CT239" i="17" s="1"/>
  <c r="CQ10" i="17"/>
  <c r="D119" i="2" l="1"/>
  <c r="CU256" i="17"/>
  <c r="CU226" i="17"/>
  <c r="CU239" i="17" s="1"/>
  <c r="CV227" i="17"/>
  <c r="AU119" i="2" l="1"/>
  <c r="E107" i="20"/>
  <c r="V107" i="20" s="1"/>
  <c r="CV256" i="17"/>
  <c r="CW227" i="17"/>
  <c r="CV226" i="17"/>
  <c r="CV239" i="17" s="1"/>
  <c r="CX227" i="17" l="1"/>
  <c r="CY227" i="17" s="1"/>
  <c r="CW256" i="17"/>
  <c r="CW226" i="17"/>
  <c r="CW239" i="17" s="1"/>
  <c r="CY256" i="17" l="1"/>
  <c r="CY226" i="17"/>
  <c r="CZ227" i="17"/>
  <c r="CX256" i="17"/>
  <c r="CX226" i="17"/>
  <c r="CX239" i="17" s="1"/>
  <c r="CY239" i="17" l="1"/>
  <c r="DA227" i="17"/>
  <c r="CZ226" i="17"/>
  <c r="CZ239" i="17" s="1"/>
  <c r="CZ256" i="17"/>
  <c r="DA226" i="17" l="1"/>
  <c r="DA239" i="17" s="1"/>
  <c r="DB227" i="17"/>
  <c r="DA256" i="17"/>
  <c r="DB226" i="17" l="1"/>
  <c r="DB239" i="17" s="1"/>
  <c r="DB256" i="17"/>
  <c r="AB179" i="8" l="1"/>
  <c r="AB86" i="7"/>
  <c r="AB109" i="7"/>
  <c r="AB423" i="7" s="1"/>
  <c r="ED11" i="6"/>
  <c r="AB432" i="7" l="1"/>
  <c r="AB654" i="7"/>
  <c r="AB120" i="7"/>
  <c r="AB182" i="7"/>
  <c r="AB87" i="7"/>
  <c r="AB113" i="7"/>
  <c r="AB123" i="7" s="1"/>
  <c r="AC109" i="7"/>
  <c r="ED60" i="6"/>
  <c r="ED12" i="6"/>
  <c r="ED22" i="6" l="1"/>
  <c r="ED61" i="6"/>
  <c r="AB188" i="7"/>
  <c r="AB356" i="7"/>
  <c r="AB377" i="7"/>
  <c r="AB661" i="7"/>
  <c r="AC113" i="7"/>
  <c r="AC123" i="7" s="1"/>
  <c r="AD109" i="7"/>
  <c r="AE109" i="7" s="1"/>
  <c r="AB437" i="7"/>
  <c r="AC423" i="7"/>
  <c r="AB428" i="7"/>
  <c r="AE113" i="7" l="1"/>
  <c r="AB686" i="7"/>
  <c r="AB460" i="7"/>
  <c r="AB383" i="7"/>
  <c r="ED71" i="6"/>
  <c r="ED29" i="6"/>
  <c r="AD423" i="7"/>
  <c r="AE423" i="7" s="1"/>
  <c r="AD113" i="7"/>
  <c r="AD123" i="7" s="1"/>
  <c r="AB362" i="7"/>
  <c r="AE123" i="7" l="1"/>
  <c r="AB466" i="7"/>
  <c r="ED78" i="6"/>
  <c r="ED34" i="6"/>
  <c r="ED83" i="6" l="1"/>
  <c r="ED39" i="6"/>
  <c r="ED88" i="6" l="1"/>
  <c r="EB30" i="6" l="1"/>
  <c r="AC201" i="7"/>
  <c r="E192" i="2" s="1"/>
  <c r="AB206" i="7"/>
  <c r="AD201" i="7" l="1"/>
  <c r="AC205" i="7"/>
  <c r="E214" i="2" s="1"/>
  <c r="EH30" i="6"/>
  <c r="EB79" i="6"/>
  <c r="EA30" i="6"/>
  <c r="AV192" i="2"/>
  <c r="I342" i="20"/>
  <c r="Z342" i="20" s="1"/>
  <c r="H342" i="20"/>
  <c r="Y342" i="20" s="1"/>
  <c r="I409" i="20"/>
  <c r="Z409" i="20" s="1"/>
  <c r="H409" i="20"/>
  <c r="Y409" i="20" s="1"/>
  <c r="AE201" i="7" l="1"/>
  <c r="ET30" i="6" s="1"/>
  <c r="ES30" i="6" s="1"/>
  <c r="AD198" i="7"/>
  <c r="I408" i="20"/>
  <c r="Z408" i="20" s="1"/>
  <c r="AV214" i="2"/>
  <c r="H408" i="20"/>
  <c r="Y408" i="20" s="1"/>
  <c r="F192" i="2"/>
  <c r="K409" i="20" s="1"/>
  <c r="AB409" i="20" s="1"/>
  <c r="AC625" i="7"/>
  <c r="AC693" i="7"/>
  <c r="AC213" i="7"/>
  <c r="EJ23" i="6"/>
  <c r="AC206" i="7"/>
  <c r="EA79" i="6"/>
  <c r="EF30" i="6"/>
  <c r="EF79" i="6" s="1"/>
  <c r="EH79" i="6"/>
  <c r="EG30" i="6"/>
  <c r="AD205" i="7"/>
  <c r="AD206" i="7" s="1"/>
  <c r="EN30" i="6"/>
  <c r="G192" i="2" l="1"/>
  <c r="L342" i="20" s="1"/>
  <c r="AC342" i="20" s="1"/>
  <c r="AE205" i="7"/>
  <c r="AE206" i="7" s="1"/>
  <c r="ET79" i="6"/>
  <c r="J409" i="20"/>
  <c r="AA409" i="20" s="1"/>
  <c r="AW192" i="2"/>
  <c r="K342" i="20"/>
  <c r="AB342" i="20" s="1"/>
  <c r="J342" i="20"/>
  <c r="AA342" i="20" s="1"/>
  <c r="F214" i="2"/>
  <c r="J408" i="20" s="1"/>
  <c r="AA408" i="20" s="1"/>
  <c r="AD213" i="7"/>
  <c r="AD625" i="7"/>
  <c r="AD693" i="7"/>
  <c r="EP23" i="6"/>
  <c r="EG79" i="6"/>
  <c r="EN79" i="6"/>
  <c r="EM30" i="6"/>
  <c r="ES79" i="6" s="1"/>
  <c r="EJ72" i="6"/>
  <c r="EG23" i="6"/>
  <c r="EG72" i="6" s="1"/>
  <c r="G214" i="2" l="1"/>
  <c r="AX214" i="2" s="1"/>
  <c r="AE625" i="7"/>
  <c r="AE213" i="7"/>
  <c r="L409" i="20"/>
  <c r="AC409" i="20" s="1"/>
  <c r="M409" i="20"/>
  <c r="AD409" i="20" s="1"/>
  <c r="M342" i="20"/>
  <c r="AD342" i="20" s="1"/>
  <c r="AX192" i="2"/>
  <c r="AE693" i="7"/>
  <c r="EV23" i="6"/>
  <c r="EV72" i="6" s="1"/>
  <c r="K408" i="20"/>
  <c r="AB408" i="20" s="1"/>
  <c r="AW214" i="2"/>
  <c r="EM79" i="6"/>
  <c r="EL30" i="6"/>
  <c r="EL79" i="6" s="1"/>
  <c r="EP72" i="6"/>
  <c r="EM23" i="6"/>
  <c r="M408" i="20" l="1"/>
  <c r="AD408" i="20" s="1"/>
  <c r="L408" i="20"/>
  <c r="AC408" i="20" s="1"/>
  <c r="ES23" i="6"/>
  <c r="EX30" i="6" s="1"/>
  <c r="EX79" i="6" s="1"/>
  <c r="EM72" i="6"/>
  <c r="ER30" i="6"/>
  <c r="ER79" i="6" s="1"/>
  <c r="ES72" i="6" l="1"/>
  <c r="AB158" i="8"/>
  <c r="AB213" i="8"/>
  <c r="AC113" i="8"/>
  <c r="AC134" i="8" s="1"/>
  <c r="AB126" i="8"/>
  <c r="AB127" i="8" s="1"/>
  <c r="AB130" i="8" s="1"/>
  <c r="AC117" i="8" l="1"/>
  <c r="AC189" i="8"/>
  <c r="AC211" i="8" s="1"/>
  <c r="AD113" i="8"/>
  <c r="AC158" i="8"/>
  <c r="AC126" i="8"/>
  <c r="AC127" i="8" s="1"/>
  <c r="AC130" i="8" s="1"/>
  <c r="AB196" i="8"/>
  <c r="AB203" i="8" s="1"/>
  <c r="AD158" i="8" l="1"/>
  <c r="AD117" i="8"/>
  <c r="AD126" i="8"/>
  <c r="AD127" i="8" s="1"/>
  <c r="AD189" i="8"/>
  <c r="AE113" i="8"/>
  <c r="AD134" i="8"/>
  <c r="AD211" i="8" l="1"/>
  <c r="AE189" i="8"/>
  <c r="AE117" i="8"/>
  <c r="AE134" i="8"/>
  <c r="AE158" i="8"/>
  <c r="AE126" i="8"/>
  <c r="AE127" i="8" s="1"/>
  <c r="AE196" i="8" l="1"/>
  <c r="AE203" i="8" s="1"/>
  <c r="AE211" i="8"/>
  <c r="AE223" i="8" s="1"/>
  <c r="AB565" i="7"/>
  <c r="AB574" i="7" l="1"/>
  <c r="AB603" i="7"/>
  <c r="AB604" i="7" s="1"/>
  <c r="AB587" i="7"/>
  <c r="AB662" i="7"/>
  <c r="ED46" i="6"/>
  <c r="AB763" i="7"/>
  <c r="AB764" i="7" s="1"/>
  <c r="D229" i="2" l="1"/>
  <c r="AU229" i="2" s="1"/>
  <c r="AB592" i="7"/>
  <c r="AB589" i="7"/>
  <c r="ED95" i="6"/>
  <c r="ED48" i="6"/>
  <c r="D228" i="2"/>
  <c r="D237" i="2" l="1"/>
  <c r="AU237" i="2" s="1"/>
  <c r="AU228" i="2"/>
  <c r="F435" i="20"/>
  <c r="W435" i="20" s="1"/>
  <c r="AC173" i="7"/>
  <c r="AB606" i="7"/>
  <c r="AC174" i="7"/>
  <c r="AC602" i="7"/>
  <c r="ED97" i="6"/>
  <c r="AB594" i="7"/>
  <c r="AB687" i="7"/>
  <c r="AB665" i="7"/>
  <c r="F433" i="20" l="1"/>
  <c r="W433" i="20" s="1"/>
  <c r="AB313" i="12"/>
  <c r="AB307" i="12" s="1"/>
  <c r="AB249" i="12"/>
  <c r="AB250" i="12" s="1"/>
  <c r="AB409" i="12"/>
  <c r="AB421" i="12" s="1"/>
  <c r="EA46" i="6"/>
  <c r="AD212" i="12"/>
  <c r="AB225" i="12"/>
  <c r="DK9" i="11"/>
  <c r="DN9" i="11" s="1"/>
  <c r="AE212" i="12" l="1"/>
  <c r="DP9" i="11"/>
  <c r="DN10" i="11"/>
  <c r="E138" i="2"/>
  <c r="AD213" i="12"/>
  <c r="AD409" i="12"/>
  <c r="AD313" i="12"/>
  <c r="AD307" i="12" s="1"/>
  <c r="AD249" i="12"/>
  <c r="AD231" i="12"/>
  <c r="EM46" i="6"/>
  <c r="EA95" i="6"/>
  <c r="DL9" i="11"/>
  <c r="DK10" i="11"/>
  <c r="DJ9" i="11"/>
  <c r="AC167" i="12"/>
  <c r="E103" i="2" s="1"/>
  <c r="AC213" i="12"/>
  <c r="AC409" i="12"/>
  <c r="AC421" i="12" s="1"/>
  <c r="AC313" i="12"/>
  <c r="AC307" i="12" s="1"/>
  <c r="F138" i="2"/>
  <c r="EG46" i="6"/>
  <c r="AB257" i="12"/>
  <c r="AB266" i="12"/>
  <c r="AB251" i="12"/>
  <c r="AB256" i="12"/>
  <c r="ES46" i="6" l="1"/>
  <c r="ES95" i="6" s="1"/>
  <c r="G138" i="2"/>
  <c r="AX138" i="2" s="1"/>
  <c r="AE249" i="12"/>
  <c r="AE256" i="12" s="1"/>
  <c r="AE409" i="12"/>
  <c r="AE421" i="12" s="1"/>
  <c r="AE213" i="12"/>
  <c r="AE313" i="12"/>
  <c r="AE307" i="12" s="1"/>
  <c r="AE231" i="12"/>
  <c r="DM10" i="11"/>
  <c r="DQ9" i="11"/>
  <c r="DP10" i="11"/>
  <c r="H177" i="20"/>
  <c r="Y177" i="20" s="1"/>
  <c r="H176" i="20"/>
  <c r="Y176" i="20" s="1"/>
  <c r="I176" i="20"/>
  <c r="Z176" i="20" s="1"/>
  <c r="I177" i="20"/>
  <c r="Z177" i="20" s="1"/>
  <c r="AV138" i="2"/>
  <c r="AV103" i="2"/>
  <c r="E286" i="2"/>
  <c r="E306" i="2"/>
  <c r="E307" i="2" s="1"/>
  <c r="H63" i="20" s="1"/>
  <c r="Y63" i="20" s="1"/>
  <c r="E305" i="2"/>
  <c r="AC256" i="12"/>
  <c r="AC266" i="12"/>
  <c r="K177" i="20"/>
  <c r="AB177" i="20" s="1"/>
  <c r="J176" i="20"/>
  <c r="AA176" i="20" s="1"/>
  <c r="K176" i="20"/>
  <c r="AB176" i="20" s="1"/>
  <c r="J177" i="20"/>
  <c r="AA177" i="20" s="1"/>
  <c r="F305" i="2"/>
  <c r="AW138" i="2"/>
  <c r="EM95" i="6"/>
  <c r="AD256" i="12"/>
  <c r="AD250" i="12"/>
  <c r="AD421" i="12"/>
  <c r="AB272" i="12"/>
  <c r="AB269" i="12"/>
  <c r="EG95" i="6"/>
  <c r="DL10" i="11"/>
  <c r="DJ10" i="11"/>
  <c r="DK12" i="11"/>
  <c r="DS9" i="11"/>
  <c r="G305" i="2" l="1"/>
  <c r="L177" i="20"/>
  <c r="AC177" i="20" s="1"/>
  <c r="M176" i="20"/>
  <c r="AD176" i="20" s="1"/>
  <c r="L176" i="20"/>
  <c r="AC176" i="20" s="1"/>
  <c r="M177" i="20"/>
  <c r="AD177" i="20" s="1"/>
  <c r="AE250" i="12"/>
  <c r="AE251" i="12" s="1"/>
  <c r="DQ10" i="11"/>
  <c r="DO10" i="11"/>
  <c r="F226" i="20"/>
  <c r="W226" i="20" s="1"/>
  <c r="H62" i="20"/>
  <c r="Y62" i="20" s="1"/>
  <c r="H154" i="20"/>
  <c r="Y154" i="20" s="1"/>
  <c r="F223" i="20"/>
  <c r="W223" i="20" s="1"/>
  <c r="DU9" i="11"/>
  <c r="DX9" i="11" s="1"/>
  <c r="AD167" i="12"/>
  <c r="F103" i="2" s="1"/>
  <c r="AW103" i="2" s="1"/>
  <c r="DS10" i="11"/>
  <c r="DJ12" i="11"/>
  <c r="DK14" i="11"/>
  <c r="DL12" i="11"/>
  <c r="AD251" i="12"/>
  <c r="AD257" i="12"/>
  <c r="AD266" i="12"/>
  <c r="AC251" i="12"/>
  <c r="AC257" i="12"/>
  <c r="AE257" i="12" l="1"/>
  <c r="AE266" i="12"/>
  <c r="AE272" i="12" s="1"/>
  <c r="F286" i="2"/>
  <c r="I154" i="20" s="1"/>
  <c r="Z154" i="20" s="1"/>
  <c r="F306" i="2"/>
  <c r="F307" i="2" s="1"/>
  <c r="G226" i="20" s="1"/>
  <c r="X226" i="20" s="1"/>
  <c r="AE167" i="12"/>
  <c r="DZ9" i="11"/>
  <c r="DX10" i="11"/>
  <c r="AC272" i="12"/>
  <c r="AD272" i="12"/>
  <c r="DJ14" i="11"/>
  <c r="DL14" i="11"/>
  <c r="DR10" i="11"/>
  <c r="AD61" i="12" s="1"/>
  <c r="AD55" i="12"/>
  <c r="DV9" i="11"/>
  <c r="DU10" i="11"/>
  <c r="G103" i="2" l="1"/>
  <c r="G286" i="2" s="1"/>
  <c r="G223" i="20"/>
  <c r="X223" i="20" s="1"/>
  <c r="I62" i="20"/>
  <c r="Z62" i="20" s="1"/>
  <c r="I63" i="20"/>
  <c r="Z63" i="20" s="1"/>
  <c r="DW10" i="11"/>
  <c r="AE61" i="12" s="1"/>
  <c r="AE55" i="12"/>
  <c r="EA9" i="11"/>
  <c r="DZ10" i="11"/>
  <c r="DT10" i="11"/>
  <c r="DV10" i="11"/>
  <c r="AX103" i="2" l="1"/>
  <c r="G306" i="2"/>
  <c r="G307" i="2" s="1"/>
  <c r="J63" i="20" s="1"/>
  <c r="AA63" i="20" s="1"/>
  <c r="J154" i="20"/>
  <c r="AA154" i="20" s="1"/>
  <c r="J62" i="20"/>
  <c r="AA62" i="20" s="1"/>
  <c r="H223" i="20"/>
  <c r="Y223" i="20" s="1"/>
  <c r="EA10" i="11"/>
  <c r="DY10" i="11"/>
  <c r="H226" i="20" l="1"/>
  <c r="Y226" i="20" s="1"/>
  <c r="D175" i="2" l="1"/>
  <c r="F303" i="20" s="1"/>
  <c r="W303" i="20" s="1"/>
  <c r="AB9" i="8"/>
  <c r="AC21" i="8"/>
  <c r="AU175" i="2" l="1"/>
  <c r="AC9" i="8"/>
  <c r="AB6" i="8"/>
  <c r="AC6" i="8"/>
  <c r="AD5" i="8"/>
  <c r="E303" i="20"/>
  <c r="V303" i="20" s="1"/>
  <c r="E175" i="2"/>
  <c r="AE5" i="8" l="1"/>
  <c r="F175" i="2"/>
  <c r="AD6" i="8"/>
  <c r="AD21" i="8"/>
  <c r="AD9" i="8"/>
  <c r="AV175" i="2"/>
  <c r="G303" i="20"/>
  <c r="X303" i="20" s="1"/>
  <c r="AW175" i="2" l="1"/>
  <c r="J303" i="20"/>
  <c r="AA303" i="20" s="1"/>
  <c r="I303" i="20"/>
  <c r="Z303" i="20" s="1"/>
  <c r="AE6" i="8"/>
  <c r="AE21" i="8"/>
  <c r="G175" i="2"/>
  <c r="AE9" i="8"/>
  <c r="K303" i="20" l="1"/>
  <c r="AB303" i="20" s="1"/>
  <c r="AX175" i="2"/>
  <c r="L303" i="20"/>
  <c r="AC303" i="20" s="1"/>
  <c r="AB47" i="8"/>
  <c r="AB69" i="8" s="1"/>
  <c r="AC51" i="8" l="1"/>
  <c r="AC58" i="8"/>
  <c r="AD30" i="8"/>
  <c r="AB70" i="8"/>
  <c r="AC49" i="8" l="1"/>
  <c r="AE30" i="8"/>
  <c r="AD58" i="8"/>
  <c r="AD32" i="8"/>
  <c r="AD49" i="8" s="1"/>
  <c r="E163" i="2"/>
  <c r="AV163" i="2" s="1"/>
  <c r="AC60" i="8"/>
  <c r="AC77" i="8"/>
  <c r="AC100" i="8" l="1"/>
  <c r="AC244" i="8"/>
  <c r="E159" i="2"/>
  <c r="AC28" i="8"/>
  <c r="AC62" i="8"/>
  <c r="AE58" i="8"/>
  <c r="AE32" i="8"/>
  <c r="AE49" i="8" s="1"/>
  <c r="AC82" i="8"/>
  <c r="AC102" i="8"/>
  <c r="F163" i="2"/>
  <c r="AW163" i="2" s="1"/>
  <c r="AD77" i="8"/>
  <c r="AD60" i="8"/>
  <c r="AD34" i="8"/>
  <c r="AC78" i="8" l="1"/>
  <c r="G163" i="2"/>
  <c r="AX163" i="2" s="1"/>
  <c r="AE60" i="8"/>
  <c r="AE77" i="8"/>
  <c r="AE34" i="8"/>
  <c r="AV159" i="2"/>
  <c r="F31" i="20"/>
  <c r="W31" i="20" s="1"/>
  <c r="I279" i="20"/>
  <c r="Z279" i="20" s="1"/>
  <c r="H279" i="20"/>
  <c r="Y279" i="20" s="1"/>
  <c r="AD100" i="8"/>
  <c r="F159" i="2"/>
  <c r="AD62" i="8"/>
  <c r="AD51" i="8"/>
  <c r="AD52" i="8" s="1"/>
  <c r="AD35" i="8" s="1"/>
  <c r="AD244" i="8"/>
  <c r="AD102" i="8"/>
  <c r="AD82" i="8"/>
  <c r="AD63" i="8" l="1"/>
  <c r="AD78" i="8"/>
  <c r="AE82" i="8"/>
  <c r="AE102" i="8"/>
  <c r="AC83" i="8"/>
  <c r="AC79" i="8"/>
  <c r="AC53" i="8"/>
  <c r="AC64" i="8"/>
  <c r="AC37" i="8"/>
  <c r="E179" i="2"/>
  <c r="AD36" i="8"/>
  <c r="AD28" i="8" s="1"/>
  <c r="G31" i="20"/>
  <c r="X31" i="20" s="1"/>
  <c r="AW159" i="2"/>
  <c r="K279" i="20"/>
  <c r="AB279" i="20" s="1"/>
  <c r="J279" i="20"/>
  <c r="AA279" i="20" s="1"/>
  <c r="AE100" i="8"/>
  <c r="AE62" i="8"/>
  <c r="AE51" i="8"/>
  <c r="AE52" i="8" s="1"/>
  <c r="AE35" i="8" s="1"/>
  <c r="AE244" i="8"/>
  <c r="G159" i="2"/>
  <c r="AE63" i="8" l="1"/>
  <c r="AE78" i="8"/>
  <c r="AE36" i="8"/>
  <c r="AE28" i="8" s="1"/>
  <c r="AD83" i="8"/>
  <c r="AD79" i="8"/>
  <c r="AD53" i="8"/>
  <c r="AD64" i="8"/>
  <c r="AD38" i="8"/>
  <c r="AD39" i="8" s="1"/>
  <c r="AD37" i="8"/>
  <c r="F179" i="2"/>
  <c r="AC54" i="8"/>
  <c r="AC39" i="8"/>
  <c r="AC40" i="8"/>
  <c r="E178" i="2"/>
  <c r="AC84" i="8"/>
  <c r="E183" i="2"/>
  <c r="G309" i="20" s="1"/>
  <c r="X309" i="20" s="1"/>
  <c r="G307" i="20"/>
  <c r="X307" i="20" s="1"/>
  <c r="AV179" i="2"/>
  <c r="G310" i="20"/>
  <c r="X310" i="20" s="1"/>
  <c r="H307" i="20"/>
  <c r="Y307" i="20" s="1"/>
  <c r="AX159" i="2"/>
  <c r="L279" i="20"/>
  <c r="AC279" i="20" s="1"/>
  <c r="H31" i="20"/>
  <c r="Y31" i="20" s="1"/>
  <c r="M279" i="20"/>
  <c r="AD279" i="20" s="1"/>
  <c r="H309" i="20" l="1"/>
  <c r="Y309" i="20" s="1"/>
  <c r="J307" i="20"/>
  <c r="AA307" i="20" s="1"/>
  <c r="I307" i="20"/>
  <c r="Z307" i="20" s="1"/>
  <c r="AW179" i="2"/>
  <c r="I310" i="20"/>
  <c r="Z310" i="20" s="1"/>
  <c r="AV183" i="2"/>
  <c r="H308" i="20"/>
  <c r="Y308" i="20" s="1"/>
  <c r="G308" i="20"/>
  <c r="X308" i="20" s="1"/>
  <c r="G306" i="20"/>
  <c r="X306" i="20" s="1"/>
  <c r="AV178" i="2"/>
  <c r="G305" i="20"/>
  <c r="X305" i="20" s="1"/>
  <c r="H305" i="20"/>
  <c r="Y305" i="20" s="1"/>
  <c r="H311" i="20"/>
  <c r="Y311" i="20" s="1"/>
  <c r="G312" i="20"/>
  <c r="X312" i="20" s="1"/>
  <c r="G311" i="20"/>
  <c r="X311" i="20" s="1"/>
  <c r="AD65" i="8"/>
  <c r="AD40" i="8" s="1"/>
  <c r="F178" i="2"/>
  <c r="AD54" i="8"/>
  <c r="AC42" i="8"/>
  <c r="AC41" i="8"/>
  <c r="AD84" i="8"/>
  <c r="F183" i="2"/>
  <c r="J308" i="20" s="1"/>
  <c r="AA308" i="20" s="1"/>
  <c r="AE37" i="8"/>
  <c r="AE53" i="8"/>
  <c r="AE38" i="8"/>
  <c r="AE64" i="8"/>
  <c r="G179" i="2"/>
  <c r="AE83" i="8"/>
  <c r="AE79" i="8"/>
  <c r="I308" i="20" l="1"/>
  <c r="Z308" i="20" s="1"/>
  <c r="J309" i="20"/>
  <c r="AA309" i="20" s="1"/>
  <c r="I309" i="20"/>
  <c r="Z309" i="20" s="1"/>
  <c r="AE54" i="8"/>
  <c r="AE39" i="8"/>
  <c r="G178" i="2"/>
  <c r="AE65" i="8"/>
  <c r="AE40" i="8" s="1"/>
  <c r="AW178" i="2"/>
  <c r="J305" i="20"/>
  <c r="AA305" i="20" s="1"/>
  <c r="I306" i="20"/>
  <c r="Z306" i="20" s="1"/>
  <c r="J311" i="20"/>
  <c r="AA311" i="20" s="1"/>
  <c r="I312" i="20"/>
  <c r="Z312" i="20" s="1"/>
  <c r="I305" i="20"/>
  <c r="Z305" i="20" s="1"/>
  <c r="I311" i="20"/>
  <c r="Z311" i="20" s="1"/>
  <c r="AE84" i="8"/>
  <c r="G183" i="2"/>
  <c r="AX183" i="2" s="1"/>
  <c r="K307" i="20"/>
  <c r="AB307" i="20" s="1"/>
  <c r="K310" i="20"/>
  <c r="AB310" i="20" s="1"/>
  <c r="L307" i="20"/>
  <c r="AC307" i="20" s="1"/>
  <c r="AX179" i="2"/>
  <c r="AW183" i="2"/>
  <c r="AD41" i="8"/>
  <c r="AD42" i="8"/>
  <c r="K308" i="20" l="1"/>
  <c r="AB308" i="20" s="1"/>
  <c r="L308" i="20"/>
  <c r="AC308" i="20" s="1"/>
  <c r="K309" i="20"/>
  <c r="AB309" i="20" s="1"/>
  <c r="L309" i="20"/>
  <c r="AC309" i="20" s="1"/>
  <c r="AX178" i="2"/>
  <c r="K311" i="20"/>
  <c r="AB311" i="20" s="1"/>
  <c r="L311" i="20"/>
  <c r="AC311" i="20" s="1"/>
  <c r="K306" i="20"/>
  <c r="AB306" i="20" s="1"/>
  <c r="K305" i="20"/>
  <c r="AB305" i="20" s="1"/>
  <c r="L305" i="20"/>
  <c r="AC305" i="20" s="1"/>
  <c r="K312" i="20"/>
  <c r="AB312" i="20" s="1"/>
  <c r="AE41" i="8"/>
  <c r="AE42" i="8"/>
  <c r="EB11" i="6" l="1"/>
  <c r="AB215" i="8"/>
  <c r="EB60" i="6" l="1"/>
  <c r="EC11" i="6"/>
  <c r="EC60" i="6" s="1"/>
  <c r="AB222" i="8"/>
  <c r="D203" i="2"/>
  <c r="EA11" i="6" l="1"/>
  <c r="AU203" i="2"/>
  <c r="F378" i="20"/>
  <c r="W378" i="20" s="1"/>
  <c r="G378" i="20"/>
  <c r="X378" i="20" s="1"/>
  <c r="EA60" i="6" l="1"/>
  <c r="EP11" i="6" l="1"/>
  <c r="AD179" i="8"/>
  <c r="AD213" i="8"/>
  <c r="AD418" i="7"/>
  <c r="AD83" i="7"/>
  <c r="F220" i="2"/>
  <c r="AD87" i="7" l="1"/>
  <c r="EP8" i="6"/>
  <c r="AD85" i="7"/>
  <c r="AD654" i="7"/>
  <c r="AD86" i="7"/>
  <c r="AW220" i="2"/>
  <c r="J480" i="20"/>
  <c r="AA480" i="20" s="1"/>
  <c r="J415" i="20"/>
  <c r="AA415" i="20" s="1"/>
  <c r="AE179" i="8"/>
  <c r="EV11" i="6"/>
  <c r="EV60" i="6" s="1"/>
  <c r="AE213" i="8"/>
  <c r="G220" i="2"/>
  <c r="AE83" i="7"/>
  <c r="AE86" i="7" s="1"/>
  <c r="AE418" i="7"/>
  <c r="AE432" i="7" l="1"/>
  <c r="AE654" i="7"/>
  <c r="EP12" i="6"/>
  <c r="AE85" i="7"/>
  <c r="AE87" i="7"/>
  <c r="AE94" i="7"/>
  <c r="EV8" i="6"/>
  <c r="M415" i="20"/>
  <c r="AD415" i="20" s="1"/>
  <c r="M480" i="20"/>
  <c r="AD480" i="20" s="1"/>
  <c r="L415" i="20"/>
  <c r="AC415" i="20" s="1"/>
  <c r="L480" i="20"/>
  <c r="AC480" i="20" s="1"/>
  <c r="AX220" i="2"/>
  <c r="EV12" i="6" l="1"/>
  <c r="EV57" i="6"/>
  <c r="EV61" i="6" l="1"/>
  <c r="D249" i="2" l="1"/>
  <c r="AU249" i="2" s="1"/>
  <c r="G536" i="20" l="1"/>
  <c r="X536" i="20" s="1"/>
  <c r="F536" i="20"/>
  <c r="W536" i="20" s="1"/>
  <c r="E537" i="20"/>
  <c r="V537" i="20" s="1"/>
  <c r="E249" i="2" l="1"/>
  <c r="AD289" i="12"/>
  <c r="DU95" i="11"/>
  <c r="DU94" i="11" s="1"/>
  <c r="DK97" i="11"/>
  <c r="DL97" i="11" l="1"/>
  <c r="DZ95" i="11"/>
  <c r="DZ94" i="11" s="1"/>
  <c r="AE289" i="12"/>
  <c r="F249" i="2"/>
  <c r="I536" i="20"/>
  <c r="Z536" i="20" s="1"/>
  <c r="H536" i="20"/>
  <c r="Y536" i="20" s="1"/>
  <c r="AV249" i="2"/>
  <c r="DZ97" i="11" l="1"/>
  <c r="EA94" i="11"/>
  <c r="J536" i="20"/>
  <c r="AA536" i="20" s="1"/>
  <c r="AW249" i="2"/>
  <c r="K536" i="20"/>
  <c r="AB536" i="20" s="1"/>
  <c r="DU97" i="11"/>
  <c r="D247" i="2"/>
  <c r="G249" i="2"/>
  <c r="AX249" i="2" l="1"/>
  <c r="L536" i="20"/>
  <c r="AC536" i="20" s="1"/>
  <c r="M536" i="20"/>
  <c r="AD536" i="20" s="1"/>
  <c r="F535" i="20"/>
  <c r="W535" i="20" s="1"/>
  <c r="F537" i="20"/>
  <c r="W537" i="20" s="1"/>
  <c r="G535" i="20"/>
  <c r="X535" i="20" s="1"/>
  <c r="G537" i="20"/>
  <c r="X537" i="20" s="1"/>
  <c r="E535" i="20"/>
  <c r="V535" i="20" s="1"/>
  <c r="AU247" i="2"/>
  <c r="F542" i="20"/>
  <c r="W542" i="20" s="1"/>
  <c r="E536" i="20"/>
  <c r="V536" i="20" s="1"/>
  <c r="EA97" i="11"/>
  <c r="AE293" i="12"/>
  <c r="EB9" i="6" l="1"/>
  <c r="AB14" i="7"/>
  <c r="EB58" i="6" l="1"/>
  <c r="EA9" i="6"/>
  <c r="EF16" i="6" l="1"/>
  <c r="EF65" i="6" s="1"/>
  <c r="EA58" i="6"/>
  <c r="AC257" i="7" l="1"/>
  <c r="AC728" i="7" s="1"/>
  <c r="AC732" i="7" s="1"/>
  <c r="AB728" i="7"/>
  <c r="AB732" i="7" s="1"/>
  <c r="D206" i="2" s="1"/>
  <c r="AB271" i="7"/>
  <c r="EB31" i="6"/>
  <c r="AB262" i="7"/>
  <c r="AB712" i="7"/>
  <c r="AB715" i="7" s="1"/>
  <c r="EC24" i="6"/>
  <c r="AC259" i="7" l="1"/>
  <c r="AC262" i="7" s="1"/>
  <c r="EI24" i="6"/>
  <c r="AD257" i="7"/>
  <c r="EA31" i="6"/>
  <c r="EB80" i="6"/>
  <c r="D193" i="2"/>
  <c r="E206" i="2"/>
  <c r="EC73" i="6"/>
  <c r="EA24" i="6"/>
  <c r="EA73" i="6" s="1"/>
  <c r="AU206" i="2"/>
  <c r="F381" i="20"/>
  <c r="W381" i="20" s="1"/>
  <c r="G381" i="20"/>
  <c r="X381" i="20" s="1"/>
  <c r="AC712" i="7" l="1"/>
  <c r="AC715" i="7" s="1"/>
  <c r="E193" i="2" s="1"/>
  <c r="AC271" i="7"/>
  <c r="EH31" i="6"/>
  <c r="EH80" i="6" s="1"/>
  <c r="AE257" i="7"/>
  <c r="AE728" i="7" s="1"/>
  <c r="AE732" i="7" s="1"/>
  <c r="EO24" i="6"/>
  <c r="EO73" i="6" s="1"/>
  <c r="AD259" i="7"/>
  <c r="AD262" i="7" s="1"/>
  <c r="AD728" i="7"/>
  <c r="AD732" i="7" s="1"/>
  <c r="EG24" i="6"/>
  <c r="EG73" i="6" s="1"/>
  <c r="EI73" i="6"/>
  <c r="I381" i="20"/>
  <c r="Z381" i="20" s="1"/>
  <c r="H381" i="20"/>
  <c r="Y381" i="20" s="1"/>
  <c r="AV206" i="2"/>
  <c r="EA80" i="6"/>
  <c r="EF31" i="6"/>
  <c r="EF80" i="6" s="1"/>
  <c r="AU193" i="2"/>
  <c r="F343" i="20"/>
  <c r="W343" i="20" s="1"/>
  <c r="G343" i="20"/>
  <c r="X343" i="20" s="1"/>
  <c r="EG31" i="6" l="1"/>
  <c r="EL31" i="6" s="1"/>
  <c r="EL80" i="6" s="1"/>
  <c r="AE259" i="7"/>
  <c r="AE262" i="7" s="1"/>
  <c r="F206" i="2"/>
  <c r="J381" i="20" s="1"/>
  <c r="AA381" i="20" s="1"/>
  <c r="EU24" i="6"/>
  <c r="AD712" i="7"/>
  <c r="AD715" i="7" s="1"/>
  <c r="EM24" i="6"/>
  <c r="EM73" i="6" s="1"/>
  <c r="EN31" i="6"/>
  <c r="EM31" i="6" s="1"/>
  <c r="AD271" i="7"/>
  <c r="G206" i="2"/>
  <c r="AV193" i="2"/>
  <c r="H343" i="20"/>
  <c r="Y343" i="20" s="1"/>
  <c r="I343" i="20"/>
  <c r="Z343" i="20" s="1"/>
  <c r="F193" i="2" l="1"/>
  <c r="AW193" i="2" s="1"/>
  <c r="AE712" i="7"/>
  <c r="AE715" i="7" s="1"/>
  <c r="ET31" i="6"/>
  <c r="K381" i="20"/>
  <c r="AB381" i="20" s="1"/>
  <c r="AW206" i="2"/>
  <c r="EG80" i="6"/>
  <c r="ES24" i="6"/>
  <c r="ES73" i="6" s="1"/>
  <c r="EU73" i="6"/>
  <c r="AE271" i="7"/>
  <c r="EN80" i="6"/>
  <c r="L381" i="20"/>
  <c r="AC381" i="20" s="1"/>
  <c r="AX206" i="2"/>
  <c r="M381" i="20"/>
  <c r="AD381" i="20" s="1"/>
  <c r="EM80" i="6"/>
  <c r="ER31" i="6"/>
  <c r="ER80" i="6" s="1"/>
  <c r="J343" i="20" l="1"/>
  <c r="AA343" i="20" s="1"/>
  <c r="K343" i="20"/>
  <c r="AB343" i="20" s="1"/>
  <c r="G193" i="2"/>
  <c r="ET80" i="6"/>
  <c r="ES31" i="6"/>
  <c r="ES80" i="6" s="1"/>
  <c r="L343" i="20" l="1"/>
  <c r="AC343" i="20" s="1"/>
  <c r="M343" i="20"/>
  <c r="AD343" i="20" s="1"/>
  <c r="AX193" i="2"/>
  <c r="EX31" i="6"/>
  <c r="EX80" i="6" s="1"/>
  <c r="CS333" i="17" l="1"/>
  <c r="F267" i="2"/>
  <c r="AW267" i="2" s="1"/>
  <c r="CS282" i="17"/>
  <c r="CT295" i="17" l="1"/>
  <c r="CS316" i="17"/>
  <c r="CS317" i="17" s="1"/>
  <c r="CS318" i="17" s="1"/>
  <c r="CW277" i="17"/>
  <c r="CT290" i="17"/>
  <c r="CS285" i="17"/>
  <c r="CS319" i="17" s="1"/>
  <c r="CS320" i="17" s="1"/>
  <c r="G118" i="20"/>
  <c r="X118" i="20" s="1"/>
  <c r="CT324" i="17" l="1"/>
  <c r="AC378" i="12"/>
  <c r="CT301" i="17"/>
  <c r="CT298" i="17"/>
  <c r="CW285" i="17"/>
  <c r="CW319" i="17" s="1"/>
  <c r="CW320" i="17" s="1"/>
  <c r="CX290" i="17"/>
  <c r="CW282" i="17"/>
  <c r="CW316" i="17" s="1"/>
  <c r="CW317" i="17" s="1"/>
  <c r="CW318" i="17" s="1"/>
  <c r="DA277" i="17"/>
  <c r="CS338" i="17"/>
  <c r="CS283" i="17"/>
  <c r="F125" i="2" l="1"/>
  <c r="DB290" i="17"/>
  <c r="DA285" i="17"/>
  <c r="DA282" i="17"/>
  <c r="AD378" i="12"/>
  <c r="CX324" i="17"/>
  <c r="CX298" i="17"/>
  <c r="E272" i="2"/>
  <c r="CS284" i="17"/>
  <c r="CT296" i="17"/>
  <c r="CT329" i="17" s="1"/>
  <c r="CV296" i="17"/>
  <c r="AD128" i="8" s="1"/>
  <c r="AD129" i="8" s="1"/>
  <c r="AD130" i="8" s="1"/>
  <c r="CX295" i="17"/>
  <c r="CX301" i="17" s="1"/>
  <c r="CS286" i="17"/>
  <c r="CS321" i="17" l="1"/>
  <c r="F266" i="2"/>
  <c r="CW338" i="17"/>
  <c r="CS287" i="17"/>
  <c r="CT299" i="17"/>
  <c r="CT330" i="17" s="1"/>
  <c r="CW286" i="17"/>
  <c r="CV299" i="17"/>
  <c r="CW283" i="17"/>
  <c r="F272" i="2"/>
  <c r="DB295" i="17"/>
  <c r="DB301" i="17" s="1"/>
  <c r="DA316" i="17"/>
  <c r="DB324" i="17"/>
  <c r="AE378" i="12"/>
  <c r="CT297" i="17"/>
  <c r="AC383" i="12"/>
  <c r="DO41" i="11"/>
  <c r="AV272" i="2"/>
  <c r="F243" i="20"/>
  <c r="W243" i="20" s="1"/>
  <c r="CW321" i="17"/>
  <c r="J266" i="2"/>
  <c r="DB298" i="17"/>
  <c r="DA319" i="17"/>
  <c r="DA320" i="17" s="1"/>
  <c r="G117" i="20"/>
  <c r="X117" i="20" s="1"/>
  <c r="AW125" i="2"/>
  <c r="DP41" i="11" l="1"/>
  <c r="K123" i="20"/>
  <c r="AB123" i="20" s="1"/>
  <c r="BA266" i="2"/>
  <c r="DO42" i="11"/>
  <c r="DA338" i="17"/>
  <c r="DA317" i="17"/>
  <c r="AW272" i="2"/>
  <c r="G243" i="20"/>
  <c r="X243" i="20" s="1"/>
  <c r="CW284" i="17"/>
  <c r="DA283" i="17"/>
  <c r="CX296" i="17"/>
  <c r="CZ296" i="17"/>
  <c r="AE128" i="8" s="1"/>
  <c r="AE129" i="8" s="1"/>
  <c r="AE130" i="8" s="1"/>
  <c r="CW287" i="17"/>
  <c r="CZ299" i="17"/>
  <c r="CX299" i="17"/>
  <c r="DA286" i="17"/>
  <c r="J125" i="2"/>
  <c r="G123" i="20"/>
  <c r="X123" i="20" s="1"/>
  <c r="AW266" i="2"/>
  <c r="DA321" i="17"/>
  <c r="N266" i="2"/>
  <c r="G272" i="2"/>
  <c r="CT300" i="17"/>
  <c r="AC384" i="12"/>
  <c r="O123" i="20" l="1"/>
  <c r="AF123" i="20" s="1"/>
  <c r="BE266" i="2"/>
  <c r="E277" i="2"/>
  <c r="AX272" i="2"/>
  <c r="H243" i="20"/>
  <c r="Y243" i="20" s="1"/>
  <c r="CX300" i="17"/>
  <c r="AD384" i="12"/>
  <c r="CX330" i="17"/>
  <c r="CX297" i="17"/>
  <c r="AD383" i="12"/>
  <c r="CX329" i="17"/>
  <c r="DT41" i="11" s="1"/>
  <c r="DU41" i="11" s="1"/>
  <c r="DP42" i="11"/>
  <c r="AC367" i="12"/>
  <c r="AC362" i="12" s="1"/>
  <c r="BA125" i="2"/>
  <c r="K117" i="20"/>
  <c r="AB117" i="20" s="1"/>
  <c r="DB299" i="17"/>
  <c r="DA287" i="17"/>
  <c r="DA284" i="17"/>
  <c r="DB296" i="17"/>
  <c r="DA318" i="17"/>
  <c r="N125" i="2"/>
  <c r="E154" i="2"/>
  <c r="BE125" i="2" l="1"/>
  <c r="O117" i="20"/>
  <c r="AF117" i="20" s="1"/>
  <c r="DB300" i="17"/>
  <c r="DB330" i="17"/>
  <c r="AE384" i="12"/>
  <c r="E155" i="2"/>
  <c r="AD368" i="12"/>
  <c r="AD363" i="12" s="1"/>
  <c r="DT42" i="11"/>
  <c r="AD367" i="12" s="1"/>
  <c r="AD362" i="12" s="1"/>
  <c r="F277" i="2"/>
  <c r="AV277" i="2"/>
  <c r="F248" i="20"/>
  <c r="W248" i="20" s="1"/>
  <c r="AV154" i="2"/>
  <c r="F37" i="20"/>
  <c r="W37" i="20" s="1"/>
  <c r="F242" i="20"/>
  <c r="W242" i="20" s="1"/>
  <c r="DB297" i="17"/>
  <c r="DB329" i="17"/>
  <c r="DY41" i="11" s="1"/>
  <c r="AE383" i="12"/>
  <c r="DU42" i="11" l="1"/>
  <c r="F155" i="2"/>
  <c r="AE368" i="12"/>
  <c r="AE363" i="12" s="1"/>
  <c r="DY42" i="11"/>
  <c r="AE367" i="12" s="1"/>
  <c r="AE362" i="12" s="1"/>
  <c r="F154" i="2"/>
  <c r="AV155" i="2"/>
  <c r="F38" i="20"/>
  <c r="W38" i="20" s="1"/>
  <c r="G277" i="2"/>
  <c r="G248" i="20"/>
  <c r="X248" i="20" s="1"/>
  <c r="AW277" i="2"/>
  <c r="DZ41" i="11"/>
  <c r="G155" i="2" l="1"/>
  <c r="G154" i="2"/>
  <c r="AX277" i="2"/>
  <c r="H248" i="20"/>
  <c r="Y248" i="20" s="1"/>
  <c r="DZ42" i="11"/>
  <c r="G242" i="20"/>
  <c r="X242" i="20" s="1"/>
  <c r="AW154" i="2"/>
  <c r="G37" i="20"/>
  <c r="X37" i="20" s="1"/>
  <c r="G38" i="20"/>
  <c r="X38" i="20" s="1"/>
  <c r="AW155" i="2"/>
  <c r="H242" i="20" l="1"/>
  <c r="Y242" i="20" s="1"/>
  <c r="AX154" i="2"/>
  <c r="H37" i="20"/>
  <c r="Y37" i="20" s="1"/>
  <c r="H38" i="20"/>
  <c r="Y38" i="20" s="1"/>
  <c r="AX155" i="2"/>
  <c r="AC174" i="8" l="1"/>
  <c r="AB174" i="8"/>
  <c r="AB181" i="8" l="1"/>
  <c r="EB13" i="6"/>
  <c r="EE11" i="6"/>
  <c r="AB226" i="8"/>
  <c r="AB225" i="8"/>
  <c r="AB768" i="7"/>
  <c r="AB772" i="7" s="1"/>
  <c r="D187" i="2"/>
  <c r="AC225" i="8"/>
  <c r="AB218" i="8" l="1"/>
  <c r="F338" i="20"/>
  <c r="W338" i="20" s="1"/>
  <c r="G338" i="20"/>
  <c r="X338" i="20" s="1"/>
  <c r="AU187" i="2"/>
  <c r="EE60" i="6"/>
  <c r="EK60" i="6"/>
  <c r="D240" i="2"/>
  <c r="AB795" i="7"/>
  <c r="AB773" i="7"/>
  <c r="AB774" i="7" s="1"/>
  <c r="AB464" i="12"/>
  <c r="T15" i="21"/>
  <c r="AB461" i="12"/>
  <c r="EA13" i="6"/>
  <c r="EB62" i="6"/>
  <c r="AU240" i="2" l="1"/>
  <c r="E510" i="20"/>
  <c r="V510" i="20" s="1"/>
  <c r="F191" i="20"/>
  <c r="W191" i="20" s="1"/>
  <c r="E511" i="20"/>
  <c r="V511" i="20" s="1"/>
  <c r="E514" i="20"/>
  <c r="V514" i="20" s="1"/>
  <c r="AB153" i="7"/>
  <c r="T21" i="21"/>
  <c r="T19" i="21"/>
  <c r="EA62" i="6"/>
  <c r="EF13" i="6"/>
  <c r="EF62" i="6" s="1"/>
  <c r="T22" i="21" l="1"/>
  <c r="T60" i="21" s="1"/>
  <c r="T64" i="21" l="1"/>
  <c r="T40" i="21" s="1"/>
  <c r="AB575" i="7" l="1"/>
  <c r="T44" i="21"/>
  <c r="T66" i="21"/>
  <c r="CS183" i="17" l="1"/>
  <c r="CS190" i="17" l="1"/>
  <c r="CS250" i="17"/>
  <c r="CS12" i="17"/>
  <c r="F121" i="2" s="1"/>
  <c r="CS189" i="17"/>
  <c r="CS191" i="17"/>
  <c r="CS170" i="17"/>
  <c r="CS199" i="17"/>
  <c r="CT172" i="17" l="1"/>
  <c r="CT185" i="17" s="1"/>
  <c r="CT250" i="17"/>
  <c r="CS169" i="17"/>
  <c r="CS182" i="17" s="1"/>
  <c r="CT170" i="17"/>
  <c r="CT189" i="17"/>
  <c r="CT199" i="17"/>
  <c r="CU250" i="17"/>
  <c r="AW121" i="2"/>
  <c r="G110" i="20"/>
  <c r="X110" i="20" s="1"/>
  <c r="CT191" i="17" l="1"/>
  <c r="DD12" i="17"/>
  <c r="DM89" i="11"/>
  <c r="CT169" i="17"/>
  <c r="CT182" i="17" s="1"/>
  <c r="CU170" i="17"/>
  <c r="CU189" i="17"/>
  <c r="CU199" i="17"/>
  <c r="CU190" i="17"/>
  <c r="CV171" i="17"/>
  <c r="CV250" i="17" l="1"/>
  <c r="CV189" i="17"/>
  <c r="CV191" i="17"/>
  <c r="CV199" i="17"/>
  <c r="CW171" i="17"/>
  <c r="CV170" i="17"/>
  <c r="CU169" i="17"/>
  <c r="CU182" i="17" s="1"/>
  <c r="CV190" i="17"/>
  <c r="CW190" i="17" l="1"/>
  <c r="CW250" i="17"/>
  <c r="CW191" i="17"/>
  <c r="CW199" i="17"/>
  <c r="CX171" i="17"/>
  <c r="CX250" i="17" s="1"/>
  <c r="CW189" i="17"/>
  <c r="CV169" i="17"/>
  <c r="CV182" i="17" s="1"/>
  <c r="CW170" i="17"/>
  <c r="CX172" i="17" l="1"/>
  <c r="CX185" i="17" s="1"/>
  <c r="CW169" i="17"/>
  <c r="CW182" i="17" s="1"/>
  <c r="CX170" i="17"/>
  <c r="CX199" i="17"/>
  <c r="CX189" i="17"/>
  <c r="CY171" i="17"/>
  <c r="CY250" i="17" s="1"/>
  <c r="CX191" i="17" l="1"/>
  <c r="CY189" i="17"/>
  <c r="CY199" i="17"/>
  <c r="CY190" i="17"/>
  <c r="CZ171" i="17"/>
  <c r="CX169" i="17"/>
  <c r="CX182" i="17" s="1"/>
  <c r="CY170" i="17"/>
  <c r="CZ190" i="17" l="1"/>
  <c r="CZ250" i="17"/>
  <c r="DR89" i="11"/>
  <c r="DF12" i="17"/>
  <c r="CZ189" i="17"/>
  <c r="CZ199" i="17"/>
  <c r="CZ191" i="17"/>
  <c r="DA171" i="17"/>
  <c r="DA250" i="17" s="1"/>
  <c r="CY169" i="17"/>
  <c r="CY182" i="17" s="1"/>
  <c r="CZ170" i="17"/>
  <c r="DA191" i="17" l="1"/>
  <c r="DA189" i="17"/>
  <c r="DB171" i="17"/>
  <c r="DB250" i="17" s="1"/>
  <c r="DA199" i="17"/>
  <c r="DA190" i="17"/>
  <c r="DA170" i="17"/>
  <c r="CZ169" i="17"/>
  <c r="CZ182" i="17" s="1"/>
  <c r="DA169" i="17" l="1"/>
  <c r="DA182" i="17" s="1"/>
  <c r="DB170" i="17"/>
  <c r="DB169" i="17" s="1"/>
  <c r="DB189" i="17"/>
  <c r="DB199" i="17"/>
  <c r="DB172" i="17"/>
  <c r="DB191" i="17" s="1"/>
  <c r="DB185" i="17" l="1"/>
  <c r="DW89" i="11" s="1"/>
  <c r="DB182" i="17"/>
  <c r="CR269" i="17" l="1"/>
  <c r="CR270" i="17"/>
  <c r="CR268" i="17"/>
  <c r="CR134" i="17"/>
  <c r="CR15" i="17" l="1"/>
  <c r="CR10" i="17"/>
  <c r="E119" i="2" s="1"/>
  <c r="F107" i="20" l="1"/>
  <c r="W107" i="20" s="1"/>
  <c r="AV119" i="2"/>
  <c r="CR121" i="17"/>
  <c r="E124" i="2"/>
  <c r="CR17" i="17"/>
  <c r="AV124" i="2" l="1"/>
  <c r="F113" i="20"/>
  <c r="W113" i="20" s="1"/>
  <c r="AB724" i="7" l="1"/>
  <c r="AB725" i="7" s="1"/>
  <c r="AC519" i="7"/>
  <c r="AB523" i="7"/>
  <c r="EB45" i="6"/>
  <c r="EB94" i="6" l="1"/>
  <c r="EA45" i="6"/>
  <c r="AC522" i="7"/>
  <c r="AC724" i="7"/>
  <c r="AC725" i="7" s="1"/>
  <c r="EH45" i="6"/>
  <c r="AD519" i="7"/>
  <c r="AB569" i="7"/>
  <c r="EE45" i="6"/>
  <c r="AB788" i="7"/>
  <c r="AB789" i="7" s="1"/>
  <c r="AB790" i="7" s="1"/>
  <c r="D197" i="2"/>
  <c r="AC523" i="7" l="1"/>
  <c r="AC568" i="7"/>
  <c r="F352" i="20"/>
  <c r="W352" i="20" s="1"/>
  <c r="AU197" i="2"/>
  <c r="G352" i="20"/>
  <c r="X352" i="20" s="1"/>
  <c r="E197" i="2"/>
  <c r="D242" i="2"/>
  <c r="AB466" i="12"/>
  <c r="AB791" i="7"/>
  <c r="AD724" i="7"/>
  <c r="AD725" i="7" s="1"/>
  <c r="AE519" i="7"/>
  <c r="AD522" i="7"/>
  <c r="AD523" i="7" s="1"/>
  <c r="EN45" i="6"/>
  <c r="AC788" i="7"/>
  <c r="AC789" i="7" s="1"/>
  <c r="AC529" i="7"/>
  <c r="EK45" i="6"/>
  <c r="EE94" i="6"/>
  <c r="EE48" i="6"/>
  <c r="EH94" i="6"/>
  <c r="EG45" i="6"/>
  <c r="EA94" i="6"/>
  <c r="EF45" i="6"/>
  <c r="EF94" i="6" s="1"/>
  <c r="EE97" i="6" l="1"/>
  <c r="EK48" i="6"/>
  <c r="EK94" i="6"/>
  <c r="F197" i="2"/>
  <c r="E516" i="20"/>
  <c r="V516" i="20" s="1"/>
  <c r="AU242" i="2"/>
  <c r="E517" i="20"/>
  <c r="V517" i="20" s="1"/>
  <c r="AC790" i="7"/>
  <c r="AC791" i="7" s="1"/>
  <c r="E242" i="2"/>
  <c r="AC466" i="12"/>
  <c r="AD568" i="7"/>
  <c r="AD788" i="7"/>
  <c r="AD789" i="7" s="1"/>
  <c r="AD529" i="7"/>
  <c r="EQ45" i="6"/>
  <c r="I352" i="20"/>
  <c r="Z352" i="20" s="1"/>
  <c r="AV197" i="2"/>
  <c r="H352" i="20"/>
  <c r="Y352" i="20" s="1"/>
  <c r="EM45" i="6"/>
  <c r="EN94" i="6"/>
  <c r="AE724" i="7"/>
  <c r="AE725" i="7" s="1"/>
  <c r="AE522" i="7"/>
  <c r="AE523" i="7" s="1"/>
  <c r="ET45" i="6"/>
  <c r="EG94" i="6"/>
  <c r="EL45" i="6"/>
  <c r="EL94" i="6" s="1"/>
  <c r="EQ94" i="6" l="1"/>
  <c r="EQ48" i="6"/>
  <c r="AE788" i="7"/>
  <c r="AE789" i="7" s="1"/>
  <c r="AE529" i="7"/>
  <c r="AE568" i="7"/>
  <c r="EW45" i="6"/>
  <c r="G517" i="20"/>
  <c r="X517" i="20" s="1"/>
  <c r="G516" i="20"/>
  <c r="X516" i="20" s="1"/>
  <c r="AV242" i="2"/>
  <c r="K352" i="20"/>
  <c r="AB352" i="20" s="1"/>
  <c r="J352" i="20"/>
  <c r="AA352" i="20" s="1"/>
  <c r="AW197" i="2"/>
  <c r="G197" i="2"/>
  <c r="ES45" i="6"/>
  <c r="ET94" i="6"/>
  <c r="ER45" i="6"/>
  <c r="ER94" i="6" s="1"/>
  <c r="EM94" i="6"/>
  <c r="AD466" i="12"/>
  <c r="AD790" i="7"/>
  <c r="AD791" i="7" s="1"/>
  <c r="F242" i="2"/>
  <c r="EK97" i="6"/>
  <c r="EX45" i="6" l="1"/>
  <c r="EX94" i="6" s="1"/>
  <c r="ES94" i="6"/>
  <c r="AE790" i="7"/>
  <c r="AE791" i="7" s="1"/>
  <c r="AE466" i="12"/>
  <c r="G242" i="2"/>
  <c r="EW48" i="6"/>
  <c r="EW94" i="6"/>
  <c r="I516" i="20"/>
  <c r="Z516" i="20" s="1"/>
  <c r="I517" i="20"/>
  <c r="Z517" i="20" s="1"/>
  <c r="AW242" i="2"/>
  <c r="M352" i="20"/>
  <c r="AD352" i="20" s="1"/>
  <c r="L352" i="20"/>
  <c r="AC352" i="20" s="1"/>
  <c r="AX197" i="2"/>
  <c r="EQ97" i="6"/>
  <c r="EW97" i="6" l="1"/>
  <c r="K516" i="20"/>
  <c r="AB516" i="20" s="1"/>
  <c r="K517" i="20"/>
  <c r="AB517" i="20" s="1"/>
  <c r="AX242" i="2"/>
  <c r="AB182" i="8" l="1"/>
  <c r="AB175" i="8"/>
  <c r="AB147" i="8"/>
  <c r="AB260" i="7"/>
  <c r="AB154" i="8" l="1"/>
  <c r="AB272" i="7"/>
  <c r="AB261" i="7"/>
  <c r="AB273" i="7" l="1"/>
  <c r="D205" i="2" l="1"/>
  <c r="F380" i="20" s="1"/>
  <c r="W380" i="20" s="1"/>
  <c r="AD136" i="7" l="1"/>
  <c r="EO18" i="6" s="1"/>
  <c r="AU205" i="2"/>
  <c r="G380" i="20"/>
  <c r="X380" i="20" s="1"/>
  <c r="EC18" i="6"/>
  <c r="E205" i="2" l="1"/>
  <c r="AV205" i="2" s="1"/>
  <c r="AE136" i="7"/>
  <c r="EU18" i="6" s="1"/>
  <c r="AD143" i="7"/>
  <c r="EI18" i="6"/>
  <c r="EI67" i="6" s="1"/>
  <c r="F205" i="2"/>
  <c r="J380" i="20" s="1"/>
  <c r="AA380" i="20" s="1"/>
  <c r="EC67" i="6"/>
  <c r="AB152" i="7"/>
  <c r="AB144" i="7"/>
  <c r="EB18" i="6"/>
  <c r="D190" i="2"/>
  <c r="AE143" i="7" l="1"/>
  <c r="EN18" i="6"/>
  <c r="EM18" i="6" s="1"/>
  <c r="AC144" i="7"/>
  <c r="AD152" i="7"/>
  <c r="G205" i="2"/>
  <c r="L380" i="20" s="1"/>
  <c r="AC380" i="20" s="1"/>
  <c r="F190" i="2"/>
  <c r="AW190" i="2" s="1"/>
  <c r="AC152" i="7"/>
  <c r="AD144" i="7"/>
  <c r="EH18" i="6"/>
  <c r="EG18" i="6" s="1"/>
  <c r="H380" i="20"/>
  <c r="Y380" i="20" s="1"/>
  <c r="K380" i="20"/>
  <c r="AB380" i="20" s="1"/>
  <c r="I380" i="20"/>
  <c r="Z380" i="20" s="1"/>
  <c r="AW205" i="2"/>
  <c r="EO67" i="6"/>
  <c r="E190" i="2"/>
  <c r="AV190" i="2" s="1"/>
  <c r="AU190" i="2"/>
  <c r="EU67" i="6"/>
  <c r="EB67" i="6"/>
  <c r="EA18" i="6"/>
  <c r="AE152" i="7" l="1"/>
  <c r="ET18" i="6"/>
  <c r="ET67" i="6" s="1"/>
  <c r="AE144" i="7"/>
  <c r="G190" i="2"/>
  <c r="AX190" i="2" s="1"/>
  <c r="AX205" i="2"/>
  <c r="M380" i="20"/>
  <c r="AD380" i="20" s="1"/>
  <c r="EH67" i="6"/>
  <c r="EN67" i="6"/>
  <c r="EA67" i="6"/>
  <c r="EF18" i="6"/>
  <c r="EF67" i="6" s="1"/>
  <c r="EG67" i="6"/>
  <c r="EL18" i="6"/>
  <c r="EL67" i="6" s="1"/>
  <c r="EM67" i="6"/>
  <c r="ER18" i="6"/>
  <c r="ER67" i="6" s="1"/>
  <c r="ES18" i="6" l="1"/>
  <c r="ES67" i="6" s="1"/>
  <c r="D189" i="2"/>
  <c r="F349" i="20" s="1"/>
  <c r="W349" i="20" s="1"/>
  <c r="AB180" i="7"/>
  <c r="EX18" i="6" l="1"/>
  <c r="EX67" i="6" s="1"/>
  <c r="F344" i="20"/>
  <c r="W344" i="20" s="1"/>
  <c r="AB98" i="7"/>
  <c r="AB76" i="7"/>
  <c r="AB75" i="7"/>
  <c r="AB92" i="7"/>
  <c r="AB77" i="7"/>
  <c r="EB8" i="6"/>
  <c r="AB186" i="7"/>
  <c r="AB375" i="7"/>
  <c r="AB354" i="7"/>
  <c r="F346" i="20"/>
  <c r="W346" i="20" s="1"/>
  <c r="G349" i="20"/>
  <c r="X349" i="20" s="1"/>
  <c r="F340" i="20"/>
  <c r="W340" i="20" s="1"/>
  <c r="AU189" i="2"/>
  <c r="G344" i="20"/>
  <c r="X344" i="20" s="1"/>
  <c r="F350" i="20"/>
  <c r="W350" i="20" s="1"/>
  <c r="G340" i="20"/>
  <c r="X340" i="20" s="1"/>
  <c r="F347" i="20"/>
  <c r="W347" i="20" s="1"/>
  <c r="G347" i="20"/>
  <c r="X347" i="20" s="1"/>
  <c r="G346" i="20"/>
  <c r="X346" i="20" s="1"/>
  <c r="AB89" i="7" l="1"/>
  <c r="AB381" i="7"/>
  <c r="AB458" i="7"/>
  <c r="AB237" i="8"/>
  <c r="EB57" i="6"/>
  <c r="EB12" i="6"/>
  <c r="AB360" i="7"/>
  <c r="AB81" i="7"/>
  <c r="AB93" i="7"/>
  <c r="AB80" i="7"/>
  <c r="AB99" i="7"/>
  <c r="D200" i="2"/>
  <c r="EC8" i="6"/>
  <c r="G375" i="20" l="1"/>
  <c r="X375" i="20" s="1"/>
  <c r="F375" i="20"/>
  <c r="W375" i="20" s="1"/>
  <c r="AU200" i="2"/>
  <c r="G379" i="20"/>
  <c r="X379" i="20" s="1"/>
  <c r="F379" i="20"/>
  <c r="W379" i="20" s="1"/>
  <c r="G384" i="20"/>
  <c r="X384" i="20" s="1"/>
  <c r="F384" i="20"/>
  <c r="W384" i="20" s="1"/>
  <c r="AB115" i="7"/>
  <c r="AB82" i="7"/>
  <c r="AB119" i="7"/>
  <c r="AB236" i="7" s="1"/>
  <c r="D204" i="2"/>
  <c r="AU204" i="2" s="1"/>
  <c r="AB181" i="7"/>
  <c r="EB61" i="6"/>
  <c r="EB22" i="6"/>
  <c r="AB476" i="7"/>
  <c r="AB464" i="7"/>
  <c r="AB456" i="7"/>
  <c r="EC57" i="6"/>
  <c r="EC12" i="6"/>
  <c r="EC61" i="6" l="1"/>
  <c r="EC22" i="6"/>
  <c r="EA22" i="6" s="1"/>
  <c r="EA71" i="6" s="1"/>
  <c r="EB71" i="6"/>
  <c r="EB29" i="6"/>
  <c r="AB187" i="7"/>
  <c r="AB355" i="7"/>
  <c r="AB376" i="7"/>
  <c r="AB183" i="7"/>
  <c r="AB237" i="7"/>
  <c r="AB189" i="7" l="1"/>
  <c r="EC29" i="6"/>
  <c r="EA29" i="6" s="1"/>
  <c r="EA78" i="6" s="1"/>
  <c r="EC71" i="6"/>
  <c r="AB382" i="7"/>
  <c r="AB459" i="7"/>
  <c r="AB378" i="7"/>
  <c r="AB361" i="7"/>
  <c r="AB357" i="7"/>
  <c r="EB78" i="6"/>
  <c r="EB34" i="6"/>
  <c r="EB83" i="6" l="1"/>
  <c r="EB39" i="6"/>
  <c r="AB384" i="7"/>
  <c r="EC78" i="6"/>
  <c r="EC34" i="6"/>
  <c r="AB363" i="7"/>
  <c r="AB465" i="7"/>
  <c r="AB461" i="7"/>
  <c r="AB467" i="7" l="1"/>
  <c r="EC39" i="6"/>
  <c r="EA39" i="6" s="1"/>
  <c r="EC83" i="6"/>
  <c r="EB88" i="6"/>
  <c r="EA34" i="6"/>
  <c r="EA83" i="6" s="1"/>
  <c r="EA88" i="6" l="1"/>
  <c r="EA48" i="6"/>
  <c r="EC88" i="6"/>
  <c r="EF48" i="6" l="1"/>
  <c r="EF97" i="6" s="1"/>
  <c r="EA97" i="6"/>
  <c r="D188" i="2" l="1"/>
  <c r="EB14" i="6"/>
  <c r="AB116" i="8"/>
  <c r="AB107" i="8" l="1"/>
  <c r="EB15" i="6"/>
  <c r="EB63" i="6"/>
  <c r="AU188" i="2"/>
  <c r="G339" i="20"/>
  <c r="X339" i="20" s="1"/>
  <c r="F339" i="20"/>
  <c r="W339" i="20" s="1"/>
  <c r="AB161" i="8"/>
  <c r="AB123" i="8"/>
  <c r="EB64" i="6" l="1"/>
  <c r="AB199" i="8"/>
  <c r="AB206" i="8" s="1"/>
  <c r="EB46" i="6" l="1"/>
  <c r="EB48" i="6" l="1"/>
  <c r="EB95" i="6"/>
  <c r="AB718" i="7"/>
  <c r="AB720" i="7" s="1"/>
  <c r="AB563" i="7"/>
  <c r="AB572" i="7" l="1"/>
  <c r="EB97" i="6"/>
  <c r="D196" i="2"/>
  <c r="G353" i="20" l="1"/>
  <c r="X353" i="20" s="1"/>
  <c r="AU196" i="2"/>
  <c r="G351" i="20"/>
  <c r="X351" i="20" s="1"/>
  <c r="F351" i="20"/>
  <c r="W351" i="20" s="1"/>
  <c r="F353" i="20"/>
  <c r="W353" i="20" s="1"/>
  <c r="DL71" i="11" l="1"/>
  <c r="DI76" i="11" l="1"/>
  <c r="DH76" i="11" l="1"/>
  <c r="AB424" i="12"/>
  <c r="AB427" i="12" s="1"/>
  <c r="AB177" i="12"/>
  <c r="D128" i="2" l="1"/>
  <c r="AU128" i="2" l="1"/>
  <c r="D296" i="2"/>
  <c r="D321" i="2"/>
  <c r="D322" i="2" s="1"/>
  <c r="C296" i="2" l="1"/>
  <c r="G146" i="20" s="1"/>
  <c r="X146" i="20" s="1"/>
  <c r="C322" i="2"/>
  <c r="G147" i="20" s="1"/>
  <c r="X147" i="20" s="1"/>
  <c r="CQ155" i="17" l="1"/>
  <c r="CQ154" i="17"/>
  <c r="CQ143" i="17"/>
  <c r="CQ198" i="17"/>
  <c r="CQ11" i="17"/>
  <c r="D120" i="2" s="1"/>
  <c r="AU120" i="2" l="1"/>
  <c r="E109" i="20"/>
  <c r="V109" i="20" s="1"/>
  <c r="CR156" i="17" l="1"/>
  <c r="CR143" i="17"/>
  <c r="CR154" i="17"/>
  <c r="CR155" i="17"/>
  <c r="CR198" i="17"/>
  <c r="CR11" i="17" l="1"/>
  <c r="E120" i="2" s="1"/>
  <c r="AV120" i="2" l="1"/>
  <c r="F109" i="20"/>
  <c r="W109" i="20" s="1"/>
  <c r="DK73" i="11" l="1"/>
  <c r="DL73" i="11" l="1"/>
  <c r="DK74" i="11"/>
  <c r="DL74" i="11" l="1"/>
  <c r="DK76" i="11"/>
  <c r="DJ76" i="11" s="1"/>
  <c r="EC46" i="6" l="1"/>
  <c r="EC48" i="6" s="1"/>
  <c r="AB564" i="7"/>
  <c r="AB567" i="7" s="1"/>
  <c r="AB2" i="7" s="1"/>
  <c r="AB232" i="12"/>
  <c r="AB2" i="12" s="1"/>
  <c r="DH4" i="11" s="1"/>
  <c r="AB735" i="7"/>
  <c r="AB737" i="7" s="1"/>
  <c r="AB237" i="12"/>
  <c r="EC97" i="6" l="1"/>
  <c r="D209" i="2"/>
  <c r="EF46" i="6"/>
  <c r="AB573" i="7"/>
  <c r="EC95" i="6"/>
  <c r="G386" i="20" l="1"/>
  <c r="X386" i="20" s="1"/>
  <c r="F388" i="20"/>
  <c r="W388" i="20" s="1"/>
  <c r="AU209" i="2"/>
  <c r="F386" i="20"/>
  <c r="W386" i="20" s="1"/>
  <c r="AB31" i="7" l="1"/>
  <c r="AB505" i="7"/>
  <c r="AB452" i="7"/>
  <c r="AB223" i="7"/>
  <c r="AB158" i="7"/>
  <c r="AB280" i="7"/>
  <c r="AB509" i="7"/>
  <c r="AB347" i="7"/>
  <c r="AB284" i="7"/>
  <c r="AB557" i="7"/>
  <c r="AB64" i="7"/>
  <c r="AB671" i="7"/>
  <c r="AB313" i="7"/>
  <c r="AB66" i="7"/>
  <c r="AB222" i="7"/>
  <c r="AB30" i="7"/>
  <c r="AB317" i="7"/>
  <c r="AB638" i="7"/>
  <c r="AB348" i="7"/>
  <c r="AB554" i="7"/>
  <c r="AB598" i="7"/>
  <c r="AB231" i="8"/>
  <c r="AB668" i="7"/>
  <c r="AB389" i="7"/>
  <c r="AB580" i="7"/>
  <c r="AB611" i="7"/>
  <c r="AB244" i="12"/>
  <c r="AB285" i="7"/>
  <c r="AB468" i="12"/>
  <c r="AB581" i="7"/>
  <c r="AB155" i="7"/>
  <c r="AB387" i="7"/>
  <c r="AB193" i="7"/>
  <c r="AB471" i="7"/>
  <c r="AB241" i="12"/>
  <c r="AB534" i="7"/>
  <c r="AB621" i="7"/>
  <c r="AB62" i="7"/>
  <c r="AB279" i="7"/>
  <c r="AB346" i="7"/>
  <c r="AB315" i="7"/>
  <c r="AB450" i="7"/>
  <c r="AB506" i="7"/>
  <c r="AB342" i="7"/>
  <c r="AB159" i="7"/>
  <c r="AB63" i="7"/>
  <c r="AB669" i="7"/>
  <c r="AB510" i="7"/>
  <c r="AB636" i="7"/>
  <c r="AB635" i="7"/>
  <c r="AB507" i="7"/>
  <c r="AB469" i="12"/>
  <c r="AB316" i="7"/>
  <c r="AB677" i="7"/>
  <c r="AB555" i="7"/>
  <c r="AB640" i="7"/>
  <c r="AB444" i="7"/>
  <c r="AB448" i="7"/>
  <c r="AB472" i="7"/>
  <c r="AB765" i="7"/>
  <c r="AB676" i="7"/>
  <c r="AB229" i="8"/>
  <c r="AB283" i="7"/>
  <c r="AB471" i="12"/>
  <c r="AB532" i="7"/>
  <c r="AB160" i="7"/>
  <c r="AB366" i="7"/>
  <c r="AB195" i="7"/>
  <c r="AB390" i="7"/>
  <c r="AB578" i="7"/>
  <c r="AB130" i="7"/>
  <c r="AB508" i="7"/>
  <c r="AB156" i="7"/>
  <c r="AB65" i="7"/>
  <c r="AB26" i="7"/>
  <c r="AB556" i="7"/>
  <c r="AB446" i="7"/>
  <c r="AB673" i="7"/>
  <c r="AB449" i="7"/>
  <c r="AB344" i="7"/>
  <c r="AB28" i="7"/>
  <c r="AB451" i="7"/>
  <c r="AB641" i="7"/>
  <c r="AB282" i="7"/>
  <c r="AB224" i="7"/>
  <c r="AB281" i="7"/>
  <c r="AB470" i="12"/>
  <c r="AB511" i="7"/>
  <c r="AB513" i="7"/>
  <c r="AB639" i="7"/>
  <c r="AB642" i="7"/>
  <c r="AB129" i="7"/>
  <c r="AB675" i="7"/>
  <c r="AB221" i="7"/>
  <c r="AB612" i="7"/>
  <c r="AB599" i="7"/>
  <c r="AB230" i="8"/>
  <c r="AB234" i="8"/>
  <c r="AB796" i="7"/>
  <c r="AB535" i="7"/>
  <c r="AB127" i="7"/>
  <c r="AB470" i="7"/>
  <c r="AB388" i="7"/>
  <c r="AB369" i="7"/>
  <c r="AB243" i="12"/>
  <c r="AB447" i="7"/>
  <c r="AB29" i="7"/>
  <c r="AB672" i="7"/>
  <c r="AB409" i="7"/>
  <c r="AB637" i="7"/>
  <c r="AB674" i="7"/>
  <c r="AB242" i="12"/>
  <c r="AB233" i="8"/>
  <c r="AB128" i="7"/>
  <c r="AB410" i="7"/>
  <c r="AB225" i="7"/>
  <c r="AB345" i="7"/>
  <c r="AB670" i="7"/>
  <c r="AB408" i="7"/>
  <c r="AB472" i="12"/>
  <c r="AB597" i="7"/>
  <c r="AB798" i="7"/>
  <c r="AB367" i="7"/>
  <c r="AB67" i="7"/>
  <c r="AB445" i="7"/>
  <c r="AB314" i="7"/>
  <c r="AB533" i="7"/>
  <c r="AB512" i="7"/>
  <c r="AB194" i="7"/>
  <c r="AB678" i="7"/>
  <c r="AB473" i="12"/>
  <c r="AB473" i="7"/>
  <c r="AB232" i="8"/>
  <c r="AB411" i="7"/>
  <c r="AB579" i="7"/>
  <c r="AB368" i="7"/>
  <c r="AB157" i="7"/>
  <c r="AB27" i="7"/>
  <c r="AB343" i="7"/>
  <c r="AB192" i="7"/>
  <c r="AB456" i="12"/>
  <c r="AB459" i="12" s="1"/>
  <c r="AB698" i="7"/>
  <c r="AB699" i="7" s="1"/>
  <c r="AB340" i="12"/>
  <c r="AB347" i="12" s="1"/>
  <c r="AB607" i="7"/>
  <c r="AB613" i="7" s="1"/>
  <c r="AB232" i="7"/>
  <c r="T6" i="21"/>
  <c r="T24" i="21" s="1"/>
  <c r="AB246" i="7"/>
  <c r="AB247" i="7" s="1"/>
  <c r="C259" i="2" s="1"/>
  <c r="AB240" i="7"/>
  <c r="AB241" i="7" s="1"/>
  <c r="EA5" i="6"/>
  <c r="ED49" i="6" s="1"/>
  <c r="DK17" i="11"/>
  <c r="DK16" i="11" s="1"/>
  <c r="D147" i="2"/>
  <c r="G196" i="20" s="1"/>
  <c r="X196" i="20" s="1"/>
  <c r="DK116" i="11"/>
  <c r="AB348" i="12"/>
  <c r="T9" i="21" l="1"/>
  <c r="T85" i="21" s="1"/>
  <c r="AB610" i="7"/>
  <c r="T88" i="21"/>
  <c r="G429" i="20"/>
  <c r="X429" i="20" s="1"/>
  <c r="T82" i="21"/>
  <c r="AB244" i="7"/>
  <c r="AB217" i="7"/>
  <c r="AB238" i="7"/>
  <c r="AB230" i="7"/>
  <c r="AB218" i="7"/>
  <c r="AB216" i="7"/>
  <c r="AB233" i="7"/>
  <c r="DJ116" i="11"/>
  <c r="DL116" i="11"/>
  <c r="DL16" i="11"/>
  <c r="DJ16" i="11"/>
  <c r="E507" i="20"/>
  <c r="V507" i="20" s="1"/>
  <c r="F187" i="20"/>
  <c r="W187" i="20" s="1"/>
  <c r="G201" i="20"/>
  <c r="X201" i="20" s="1"/>
  <c r="G438" i="20"/>
  <c r="X438" i="20" s="1"/>
  <c r="G430" i="20"/>
  <c r="X430" i="20" s="1"/>
  <c r="E257" i="20"/>
  <c r="V257" i="20" s="1"/>
  <c r="E256" i="20"/>
  <c r="V256" i="20" s="1"/>
  <c r="G433" i="20"/>
  <c r="X433" i="20" s="1"/>
  <c r="E513" i="20"/>
  <c r="V513" i="20" s="1"/>
  <c r="F385" i="20"/>
  <c r="W385" i="20" s="1"/>
  <c r="E503" i="20"/>
  <c r="V503" i="20" s="1"/>
  <c r="G187" i="20"/>
  <c r="X187" i="20" s="1"/>
  <c r="G432" i="20"/>
  <c r="X432" i="20" s="1"/>
  <c r="F424" i="20"/>
  <c r="W424" i="20" s="1"/>
  <c r="E259" i="20"/>
  <c r="V259" i="20" s="1"/>
  <c r="E45" i="20"/>
  <c r="V45" i="20" s="1"/>
  <c r="H75" i="20"/>
  <c r="Y75" i="20" s="1"/>
  <c r="E515" i="20"/>
  <c r="V515" i="20" s="1"/>
  <c r="F354" i="20"/>
  <c r="W354" i="20" s="1"/>
  <c r="AU147" i="2"/>
  <c r="G436" i="20"/>
  <c r="X436" i="20" s="1"/>
  <c r="G195" i="20"/>
  <c r="X195" i="20" s="1"/>
  <c r="F178" i="20"/>
  <c r="W178" i="20" s="1"/>
  <c r="G439" i="20"/>
  <c r="X439" i="20" s="1"/>
  <c r="G431" i="20"/>
  <c r="X431" i="20" s="1"/>
  <c r="H77" i="20"/>
  <c r="Y77" i="20" s="1"/>
  <c r="E258" i="20"/>
  <c r="V258" i="20" s="1"/>
  <c r="G435" i="20"/>
  <c r="X435" i="20" s="1"/>
  <c r="E40" i="20"/>
  <c r="V40" i="20" s="1"/>
  <c r="F192" i="20"/>
  <c r="W192" i="20" s="1"/>
  <c r="F389" i="20"/>
  <c r="W389" i="20" s="1"/>
  <c r="F201" i="20"/>
  <c r="F195" i="20"/>
  <c r="W195" i="20" s="1"/>
  <c r="E509" i="20"/>
  <c r="V509" i="20" s="1"/>
  <c r="E236" i="20"/>
  <c r="V236" i="20" s="1"/>
  <c r="E41" i="20"/>
  <c r="V41" i="20" s="1"/>
  <c r="F196" i="20"/>
  <c r="W196" i="20" s="1"/>
  <c r="G440" i="20"/>
  <c r="X440" i="20" s="1"/>
  <c r="E43" i="20"/>
  <c r="V43" i="20" s="1"/>
  <c r="G192" i="20"/>
  <c r="X192" i="20" s="1"/>
  <c r="E518" i="20"/>
  <c r="V518" i="20" s="1"/>
  <c r="DL17" i="11"/>
  <c r="DJ17" i="11"/>
  <c r="AC142" i="12"/>
  <c r="DM29" i="11" s="1"/>
  <c r="AC134" i="12"/>
  <c r="DM21" i="11" s="1"/>
  <c r="AC140" i="12"/>
  <c r="AC135" i="12"/>
  <c r="DM22" i="11" s="1"/>
  <c r="AC136" i="12"/>
  <c r="DM23" i="11" s="1"/>
  <c r="E253" i="20"/>
  <c r="G459" i="20"/>
  <c r="X459" i="20" s="1"/>
  <c r="AT259" i="2"/>
  <c r="EE49" i="6"/>
  <c r="EA54" i="6"/>
  <c r="EB49" i="6"/>
  <c r="EC49" i="6"/>
  <c r="EA8" i="6"/>
  <c r="T76" i="21"/>
  <c r="T89" i="21" s="1"/>
  <c r="T75" i="21"/>
  <c r="T73" i="21"/>
  <c r="T25" i="21"/>
  <c r="T77" i="21"/>
  <c r="T74" i="21"/>
  <c r="T71" i="21"/>
  <c r="T70" i="21"/>
  <c r="T78" i="21"/>
  <c r="T7" i="21"/>
  <c r="T72" i="21"/>
  <c r="T87" i="21" l="1"/>
  <c r="T83" i="21" s="1"/>
  <c r="T10" i="21"/>
  <c r="T84" i="21"/>
  <c r="AB239" i="7"/>
  <c r="W201" i="20"/>
  <c r="F404" i="20"/>
  <c r="EA57" i="6"/>
  <c r="EA12" i="6"/>
  <c r="EA61" i="6" s="1"/>
  <c r="EF8" i="6"/>
  <c r="EF57" i="6" s="1"/>
  <c r="V253" i="20"/>
  <c r="AB231" i="7"/>
  <c r="AC143" i="12"/>
  <c r="DM27" i="11"/>
  <c r="AB245" i="7"/>
  <c r="T86" i="21" l="1"/>
  <c r="AC45" i="8" l="1"/>
  <c r="AC71" i="8"/>
  <c r="AC73" i="8"/>
  <c r="U8" i="21"/>
  <c r="AC74" i="8" l="1"/>
  <c r="AC72" i="8"/>
  <c r="AC70" i="8"/>
  <c r="CT260" i="17"/>
  <c r="CT265" i="17" l="1"/>
  <c r="AC95" i="7"/>
  <c r="AC352" i="12"/>
  <c r="AC355" i="12" s="1"/>
  <c r="E157" i="2"/>
  <c r="AV157" i="2" s="1"/>
  <c r="AC101" i="7"/>
  <c r="DE15" i="17" l="1"/>
  <c r="AC243" i="8"/>
  <c r="AC245" i="8" s="1"/>
  <c r="AC253" i="8" l="1"/>
  <c r="AC249" i="8"/>
  <c r="DK110" i="11" l="1"/>
  <c r="DP110" i="11" s="1"/>
  <c r="DP109" i="11" s="1"/>
  <c r="DU110" i="11" l="1"/>
  <c r="DK109" i="11"/>
  <c r="DQ109" i="11" s="1"/>
  <c r="DP112" i="11" l="1"/>
  <c r="DK112" i="11"/>
  <c r="DL109" i="11"/>
  <c r="DL112" i="11" s="1"/>
  <c r="DZ110" i="11"/>
  <c r="DZ109" i="11" s="1"/>
  <c r="DU109" i="11"/>
  <c r="DV109" i="11" s="1"/>
  <c r="DU112" i="11" l="1"/>
  <c r="DZ112" i="11"/>
  <c r="EA109" i="11"/>
  <c r="DQ112" i="11"/>
  <c r="E250" i="2" l="1"/>
  <c r="AE325" i="12"/>
  <c r="EA112" i="11"/>
  <c r="AD325" i="12"/>
  <c r="AD320" i="12" s="1"/>
  <c r="DV112" i="11"/>
  <c r="F250" i="2" l="1"/>
  <c r="AE320" i="12"/>
  <c r="AV250" i="2"/>
  <c r="I539" i="20"/>
  <c r="Z539" i="20" s="1"/>
  <c r="I541" i="20"/>
  <c r="Z541" i="20" s="1"/>
  <c r="H539" i="20"/>
  <c r="Y539" i="20" s="1"/>
  <c r="H541" i="20"/>
  <c r="Y541" i="20" s="1"/>
  <c r="K539" i="20" l="1"/>
  <c r="AB539" i="20" s="1"/>
  <c r="AW250" i="2"/>
  <c r="J539" i="20"/>
  <c r="AA539" i="20" s="1"/>
  <c r="J541" i="20"/>
  <c r="AA541" i="20" s="1"/>
  <c r="K541" i="20"/>
  <c r="AB541" i="20" s="1"/>
  <c r="G250" i="2"/>
  <c r="M541" i="20" l="1"/>
  <c r="AD541" i="20" s="1"/>
  <c r="L541" i="20"/>
  <c r="AC541" i="20" s="1"/>
  <c r="L539" i="20"/>
  <c r="AC539" i="20" s="1"/>
  <c r="AX250" i="2"/>
  <c r="M539" i="20"/>
  <c r="AD539" i="20" s="1"/>
  <c r="J115" i="2" l="1"/>
  <c r="K103" i="20" s="1"/>
  <c r="AB103" i="20" s="1"/>
  <c r="CS6" i="17"/>
  <c r="F115" i="2" s="1"/>
  <c r="AW115" i="2" s="1"/>
  <c r="CS33" i="17"/>
  <c r="BA115" i="2" l="1"/>
  <c r="CS34" i="17"/>
  <c r="CS32" i="17"/>
  <c r="CS101" i="17"/>
  <c r="G103" i="20"/>
  <c r="X103" i="20" s="1"/>
  <c r="CT32" i="17" l="1"/>
  <c r="CT34" i="17"/>
  <c r="CT101" i="17"/>
  <c r="CV22" i="17" l="1"/>
  <c r="CV33" i="17" s="1"/>
  <c r="CU33" i="17"/>
  <c r="CU32" i="17"/>
  <c r="CU101" i="17"/>
  <c r="CS24" i="17"/>
  <c r="AC147" i="12"/>
  <c r="DD6" i="17" l="1"/>
  <c r="DM36" i="11"/>
  <c r="CV32" i="17"/>
  <c r="CV34" i="17"/>
  <c r="CV101" i="17"/>
  <c r="CW22" i="17"/>
  <c r="CW34" i="17" l="1"/>
  <c r="CX22" i="17"/>
  <c r="CX23" i="17" s="1"/>
  <c r="CW32" i="17"/>
  <c r="CW101" i="17"/>
  <c r="CW33" i="17"/>
  <c r="AD147" i="12" l="1"/>
  <c r="CX28" i="17"/>
  <c r="CW24" i="17"/>
  <c r="CX34" i="17"/>
  <c r="CX32" i="17"/>
  <c r="CX101" i="17"/>
  <c r="CY22" i="17"/>
  <c r="DR36" i="11" l="1"/>
  <c r="DF6" i="17"/>
  <c r="CY33" i="17"/>
  <c r="CZ22" i="17"/>
  <c r="CZ33" i="17" s="1"/>
  <c r="CY101" i="17"/>
  <c r="CY32" i="17"/>
  <c r="CZ32" i="17" l="1"/>
  <c r="CZ101" i="17"/>
  <c r="CZ34" i="17"/>
  <c r="DA22" i="17"/>
  <c r="DA34" i="17" l="1"/>
  <c r="DA101" i="17"/>
  <c r="DA32" i="17"/>
  <c r="DB22" i="17"/>
  <c r="DB23" i="17" s="1"/>
  <c r="DA24" i="17" s="1"/>
  <c r="DA33" i="17"/>
  <c r="AE147" i="12" l="1"/>
  <c r="DB28" i="17"/>
  <c r="DW36" i="11" s="1"/>
  <c r="DB34" i="17"/>
  <c r="DB32" i="17"/>
  <c r="DB101" i="17"/>
  <c r="CS7" i="17"/>
  <c r="F116" i="2" s="1"/>
  <c r="CS51" i="17" l="1"/>
  <c r="CS102" i="17"/>
  <c r="CS52" i="17"/>
  <c r="CS53" i="17"/>
  <c r="CS117" i="17"/>
  <c r="CS116" i="17"/>
  <c r="CS115" i="17"/>
  <c r="CS141" i="17"/>
  <c r="AW116" i="2"/>
  <c r="G104" i="20"/>
  <c r="X104" i="20" s="1"/>
  <c r="CS9" i="17"/>
  <c r="F118" i="2" s="1"/>
  <c r="CT102" i="17" l="1"/>
  <c r="CT51" i="17"/>
  <c r="CU41" i="17"/>
  <c r="CS104" i="17"/>
  <c r="G106" i="20"/>
  <c r="X106" i="20" s="1"/>
  <c r="AW118" i="2"/>
  <c r="CT42" i="17"/>
  <c r="CS43" i="17" l="1"/>
  <c r="CT47" i="17"/>
  <c r="AC148" i="12"/>
  <c r="CU52" i="17"/>
  <c r="CV41" i="17"/>
  <c r="CV52" i="17" s="1"/>
  <c r="CU51" i="17"/>
  <c r="CU102" i="17"/>
  <c r="CT53" i="17"/>
  <c r="CT118" i="17"/>
  <c r="CT11" i="17"/>
  <c r="G120" i="2" s="1"/>
  <c r="H109" i="20" l="1"/>
  <c r="Y109" i="20" s="1"/>
  <c r="AX120" i="2"/>
  <c r="DM51" i="11"/>
  <c r="DD7" i="17"/>
  <c r="CV51" i="17"/>
  <c r="CV102" i="17"/>
  <c r="CV53" i="17"/>
  <c r="CW41" i="17"/>
  <c r="CW53" i="17" l="1"/>
  <c r="CW51" i="17"/>
  <c r="CW102" i="17"/>
  <c r="CX41" i="17"/>
  <c r="CX42" i="17" s="1"/>
  <c r="CW52" i="17"/>
  <c r="CW43" i="17" l="1"/>
  <c r="AD148" i="12"/>
  <c r="CX47" i="17"/>
  <c r="CX53" i="17"/>
  <c r="CX51" i="17"/>
  <c r="CX102" i="17"/>
  <c r="CY41" i="17"/>
  <c r="DF7" i="17" l="1"/>
  <c r="DR51" i="11"/>
  <c r="CY51" i="17"/>
  <c r="CZ41" i="17"/>
  <c r="CZ52" i="17" s="1"/>
  <c r="CY52" i="17"/>
  <c r="CY102" i="17"/>
  <c r="CZ51" i="17" l="1"/>
  <c r="CZ53" i="17"/>
  <c r="CZ102" i="17"/>
  <c r="DA41" i="17"/>
  <c r="DA51" i="17" l="1"/>
  <c r="DB41" i="17"/>
  <c r="DB42" i="17" s="1"/>
  <c r="DA53" i="17"/>
  <c r="DA102" i="17"/>
  <c r="DA52" i="17"/>
  <c r="AE148" i="12" l="1"/>
  <c r="DA43" i="17"/>
  <c r="DB47" i="17"/>
  <c r="DW51" i="11" s="1"/>
  <c r="DB53" i="17"/>
  <c r="DB51" i="17"/>
  <c r="DB102" i="17"/>
  <c r="CQ119" i="17" l="1"/>
  <c r="CR119" i="17"/>
  <c r="CQ13" i="17"/>
  <c r="D122" i="2" s="1"/>
  <c r="CR13" i="17"/>
  <c r="E122" i="2" s="1"/>
  <c r="AV122" i="2" s="1"/>
  <c r="E111" i="20" l="1"/>
  <c r="V111" i="20" s="1"/>
  <c r="AU122" i="2"/>
  <c r="CQ212" i="17"/>
  <c r="CQ211" i="17"/>
  <c r="CQ255" i="17"/>
  <c r="CQ257" i="17" s="1"/>
  <c r="CQ200" i="17"/>
  <c r="F111" i="20"/>
  <c r="W111" i="20" s="1"/>
  <c r="CR213" i="17" l="1"/>
  <c r="CR200" i="17"/>
  <c r="CR211" i="17"/>
  <c r="CR255" i="17"/>
  <c r="CR257" i="17" s="1"/>
  <c r="CR212" i="17"/>
  <c r="DP97" i="11" l="1"/>
  <c r="DV94" i="11"/>
  <c r="AD293" i="12" s="1"/>
  <c r="DV97" i="11" l="1"/>
  <c r="E247" i="2"/>
  <c r="AD288" i="12"/>
  <c r="DQ97" i="11"/>
  <c r="AE288" i="12" l="1"/>
  <c r="F247" i="2"/>
  <c r="H542" i="20"/>
  <c r="Y542" i="20" s="1"/>
  <c r="I535" i="20"/>
  <c r="Z535" i="20" s="1"/>
  <c r="I537" i="20"/>
  <c r="Z537" i="20" s="1"/>
  <c r="H535" i="20"/>
  <c r="Y535" i="20" s="1"/>
  <c r="AV247" i="2"/>
  <c r="H537" i="20"/>
  <c r="Y537" i="20" s="1"/>
  <c r="K537" i="20" l="1"/>
  <c r="AB537" i="20" s="1"/>
  <c r="K535" i="20"/>
  <c r="AB535" i="20" s="1"/>
  <c r="J535" i="20"/>
  <c r="AA535" i="20" s="1"/>
  <c r="J537" i="20"/>
  <c r="AA537" i="20" s="1"/>
  <c r="AW247" i="2"/>
  <c r="J542" i="20"/>
  <c r="AA542" i="20" s="1"/>
  <c r="G247" i="2"/>
  <c r="L535" i="20" l="1"/>
  <c r="AC535" i="20" s="1"/>
  <c r="M535" i="20"/>
  <c r="AD535" i="20" s="1"/>
  <c r="L537" i="20"/>
  <c r="AC537" i="20" s="1"/>
  <c r="L542" i="20"/>
  <c r="AC542" i="20" s="1"/>
  <c r="AX247" i="2"/>
  <c r="M537" i="20"/>
  <c r="AD537" i="20" s="1"/>
  <c r="CS269" i="17"/>
  <c r="CS134" i="17"/>
  <c r="CS15" i="17"/>
  <c r="CS121" i="17" s="1"/>
  <c r="CS268" i="17"/>
  <c r="CS10" i="17" l="1"/>
  <c r="F119" i="2" s="1"/>
  <c r="G107" i="20" s="1"/>
  <c r="X107" i="20" s="1"/>
  <c r="CS17" i="17"/>
  <c r="CS270" i="17"/>
  <c r="F124" i="2"/>
  <c r="AW119" i="2" l="1"/>
  <c r="G113" i="20"/>
  <c r="X113" i="20" s="1"/>
  <c r="AW124" i="2"/>
  <c r="CS155" i="17"/>
  <c r="CS143" i="17"/>
  <c r="CS156" i="17"/>
  <c r="CS154" i="17"/>
  <c r="CS198" i="17"/>
  <c r="CT206" i="17"/>
  <c r="CT154" i="17" l="1"/>
  <c r="CS118" i="17"/>
  <c r="CS206" i="17"/>
  <c r="CS11" i="17"/>
  <c r="F120" i="2" s="1"/>
  <c r="CT119" i="17"/>
  <c r="CT13" i="17"/>
  <c r="G122" i="2" s="1"/>
  <c r="CT198" i="17"/>
  <c r="CS212" i="17" l="1"/>
  <c r="CS255" i="17"/>
  <c r="CS257" i="17" s="1"/>
  <c r="CS211" i="17"/>
  <c r="CS213" i="17"/>
  <c r="CS200" i="17"/>
  <c r="CT202" i="17"/>
  <c r="AW120" i="2"/>
  <c r="G109" i="20"/>
  <c r="X109" i="20" s="1"/>
  <c r="CS13" i="17"/>
  <c r="F122" i="2" s="1"/>
  <c r="CS119" i="17"/>
  <c r="H111" i="20"/>
  <c r="Y111" i="20" s="1"/>
  <c r="AX122" i="2"/>
  <c r="CT255" i="17" l="1"/>
  <c r="CT211" i="17"/>
  <c r="CT213" i="17"/>
  <c r="CT200" i="17"/>
  <c r="CT207" i="17"/>
  <c r="DD13" i="17" s="1"/>
  <c r="G111" i="20"/>
  <c r="X111" i="20" s="1"/>
  <c r="AW122" i="2"/>
  <c r="AB109" i="8" l="1"/>
  <c r="AB195" i="8"/>
  <c r="AB202" i="8" s="1"/>
  <c r="AC112" i="8"/>
  <c r="AD112" i="8" l="1"/>
  <c r="AE112" i="8" s="1"/>
  <c r="AE109" i="8" s="1"/>
  <c r="AC109" i="8"/>
  <c r="AC133" i="8"/>
  <c r="AC135" i="8" s="1"/>
  <c r="AD133" i="8" l="1"/>
  <c r="AD135" i="8" s="1"/>
  <c r="AD137" i="8" s="1"/>
  <c r="AD109" i="8"/>
  <c r="AE133" i="8"/>
  <c r="AE135" i="8" s="1"/>
  <c r="AE137" i="8" s="1"/>
  <c r="AE114" i="8"/>
  <c r="AC137" i="8"/>
  <c r="E162" i="2"/>
  <c r="AC114" i="8"/>
  <c r="F162" i="2"/>
  <c r="G162" i="2" l="1"/>
  <c r="L282" i="20" s="1"/>
  <c r="AC282" i="20" s="1"/>
  <c r="AD114" i="8"/>
  <c r="AD121" i="8" s="1"/>
  <c r="AD122" i="8" s="1"/>
  <c r="K282" i="20"/>
  <c r="AB282" i="20" s="1"/>
  <c r="AW162" i="2"/>
  <c r="J282" i="20"/>
  <c r="AA282" i="20" s="1"/>
  <c r="AE121" i="8"/>
  <c r="AE122" i="8" s="1"/>
  <c r="F188" i="2"/>
  <c r="AD116" i="8"/>
  <c r="EN14" i="6"/>
  <c r="EH14" i="6"/>
  <c r="EH63" i="6" s="1"/>
  <c r="AC116" i="8"/>
  <c r="E188" i="2"/>
  <c r="ET14" i="6"/>
  <c r="AE116" i="8"/>
  <c r="G188" i="2"/>
  <c r="AV162" i="2"/>
  <c r="H282" i="20"/>
  <c r="Y282" i="20" s="1"/>
  <c r="M282" i="20" l="1"/>
  <c r="AD282" i="20" s="1"/>
  <c r="AX162" i="2"/>
  <c r="EN63" i="6"/>
  <c r="AX188" i="2"/>
  <c r="M339" i="20"/>
  <c r="AD339" i="20" s="1"/>
  <c r="L339" i="20"/>
  <c r="AC339" i="20" s="1"/>
  <c r="ET63" i="6"/>
  <c r="AC123" i="8"/>
  <c r="AD123" i="8"/>
  <c r="AE123" i="8"/>
  <c r="AV188" i="2"/>
  <c r="H339" i="20"/>
  <c r="Y339" i="20" s="1"/>
  <c r="I339" i="20"/>
  <c r="Z339" i="20" s="1"/>
  <c r="K339" i="20"/>
  <c r="AB339" i="20" s="1"/>
  <c r="AW188" i="2"/>
  <c r="J339" i="20"/>
  <c r="AA339" i="20" s="1"/>
  <c r="AB121" i="8" l="1"/>
  <c r="AB198" i="8" l="1"/>
  <c r="AB205" i="8" s="1"/>
  <c r="AC121" i="8"/>
  <c r="AC122" i="8" s="1"/>
  <c r="D162" i="2"/>
  <c r="DL32" i="11"/>
  <c r="AB248" i="8" l="1"/>
  <c r="AB250" i="8" s="1"/>
  <c r="AB197" i="8"/>
  <c r="AB193" i="8"/>
  <c r="AF149" i="8" s="1"/>
  <c r="F282" i="20"/>
  <c r="W282" i="20" s="1"/>
  <c r="I282" i="20"/>
  <c r="Z282" i="20" s="1"/>
  <c r="F283" i="20"/>
  <c r="W283" i="20" s="1"/>
  <c r="AU162" i="2"/>
  <c r="G283" i="20"/>
  <c r="X283" i="20" s="1"/>
  <c r="G282" i="20"/>
  <c r="X282" i="20" s="1"/>
  <c r="E254" i="20"/>
  <c r="AB228" i="7" l="1"/>
  <c r="AB204" i="8"/>
  <c r="V254" i="20"/>
  <c r="E255" i="20"/>
  <c r="V255" i="20" s="1"/>
  <c r="AB254" i="8"/>
  <c r="AB229" i="7" l="1"/>
  <c r="AB157" i="8"/>
  <c r="AB108" i="8"/>
  <c r="AB171" i="8" l="1"/>
  <c r="AB178" i="8"/>
  <c r="AB180" i="8"/>
  <c r="AB173" i="8" l="1"/>
  <c r="AB169" i="8"/>
  <c r="AB152" i="8" l="1"/>
  <c r="AB159" i="8"/>
  <c r="AC115" i="8"/>
  <c r="AC191" i="8" s="1"/>
  <c r="AC198" i="8" l="1"/>
  <c r="AC205" i="8" s="1"/>
  <c r="AD115" i="8"/>
  <c r="AC160" i="8"/>
  <c r="AB160" i="8"/>
  <c r="AD160" i="8" l="1"/>
  <c r="AD191" i="8"/>
  <c r="AD198" i="8" s="1"/>
  <c r="AD205" i="8" s="1"/>
  <c r="AE115" i="8"/>
  <c r="AE191" i="8" l="1"/>
  <c r="AE198" i="8" s="1"/>
  <c r="AE205" i="8" s="1"/>
  <c r="AE160" i="8"/>
  <c r="AC143" i="8"/>
  <c r="AC188" i="8" l="1"/>
  <c r="AC164" i="8"/>
  <c r="AD143" i="8"/>
  <c r="AD108" i="8" s="1"/>
  <c r="AC108" i="8"/>
  <c r="AC157" i="8"/>
  <c r="AD188" i="8" l="1"/>
  <c r="AD164" i="8"/>
  <c r="AD166" i="8" s="1"/>
  <c r="AD214" i="8" s="1"/>
  <c r="AD157" i="8"/>
  <c r="AE143" i="8"/>
  <c r="AE164" i="8" s="1"/>
  <c r="AE166" i="8" s="1"/>
  <c r="AE214" i="8" s="1"/>
  <c r="AE180" i="8" s="1"/>
  <c r="AE157" i="8" l="1"/>
  <c r="AD145" i="8"/>
  <c r="AD169" i="8" s="1"/>
  <c r="AD168" i="8"/>
  <c r="AD260" i="7" s="1"/>
  <c r="AE145" i="8"/>
  <c r="AE169" i="8" s="1"/>
  <c r="AE168" i="8"/>
  <c r="AE171" i="8"/>
  <c r="AE173" i="8"/>
  <c r="AE188" i="8"/>
  <c r="AE195" i="8" s="1"/>
  <c r="AE202" i="8" s="1"/>
  <c r="AE108" i="8"/>
  <c r="AE291" i="7"/>
  <c r="AE224" i="8"/>
  <c r="G161" i="2"/>
  <c r="AE217" i="8"/>
  <c r="AD291" i="7"/>
  <c r="F161" i="2"/>
  <c r="AD217" i="8"/>
  <c r="AD180" i="8"/>
  <c r="AE159" i="8" l="1"/>
  <c r="AD190" i="8"/>
  <c r="AD193" i="8" s="1"/>
  <c r="AD159" i="8"/>
  <c r="AE190" i="8"/>
  <c r="AE193" i="8" s="1"/>
  <c r="AE152" i="8"/>
  <c r="AE175" i="8"/>
  <c r="AD147" i="8"/>
  <c r="AD192" i="8" s="1"/>
  <c r="AE260" i="7"/>
  <c r="AE261" i="7" s="1"/>
  <c r="AD182" i="8"/>
  <c r="AE147" i="8"/>
  <c r="AD224" i="8"/>
  <c r="AD276" i="7" s="1"/>
  <c r="J194" i="20"/>
  <c r="AA194" i="20" s="1"/>
  <c r="J283" i="20"/>
  <c r="AA283" i="20" s="1"/>
  <c r="AW161" i="2"/>
  <c r="I466" i="20"/>
  <c r="Z466" i="20" s="1"/>
  <c r="J281" i="20"/>
  <c r="AA281" i="20" s="1"/>
  <c r="J197" i="20"/>
  <c r="AA197" i="20" s="1"/>
  <c r="L197" i="20"/>
  <c r="AC197" i="20" s="1"/>
  <c r="M197" i="20"/>
  <c r="AD197" i="20" s="1"/>
  <c r="AX161" i="2"/>
  <c r="L281" i="20"/>
  <c r="AC281" i="20" s="1"/>
  <c r="K464" i="20"/>
  <c r="AB464" i="20" s="1"/>
  <c r="K466" i="20"/>
  <c r="AB466" i="20" s="1"/>
  <c r="L283" i="20"/>
  <c r="AC283" i="20" s="1"/>
  <c r="H34" i="20"/>
  <c r="Y34" i="20" s="1"/>
  <c r="L194" i="20"/>
  <c r="AC194" i="20" s="1"/>
  <c r="M281" i="20"/>
  <c r="AD281" i="20" s="1"/>
  <c r="M194" i="20"/>
  <c r="AD194" i="20" s="1"/>
  <c r="M283" i="20"/>
  <c r="AD283" i="20" s="1"/>
  <c r="AD261" i="7"/>
  <c r="AE226" i="8"/>
  <c r="ET13" i="6"/>
  <c r="G187" i="2"/>
  <c r="AE276" i="7"/>
  <c r="AE289" i="7"/>
  <c r="AE182" i="8"/>
  <c r="F187" i="2"/>
  <c r="EN13" i="6"/>
  <c r="AD218" i="8"/>
  <c r="AE218" i="8"/>
  <c r="AC291" i="7"/>
  <c r="E161" i="2"/>
  <c r="AC218" i="8"/>
  <c r="AC224" i="8"/>
  <c r="AD248" i="8" l="1"/>
  <c r="AE154" i="8"/>
  <c r="AE248" i="8"/>
  <c r="AE107" i="8"/>
  <c r="AE197" i="8"/>
  <c r="AE204" i="8" s="1"/>
  <c r="AE272" i="7"/>
  <c r="AD107" i="8"/>
  <c r="AE161" i="8"/>
  <c r="AD161" i="8"/>
  <c r="AE192" i="8"/>
  <c r="AE199" i="8" s="1"/>
  <c r="AE206" i="8" s="1"/>
  <c r="AD289" i="7"/>
  <c r="K283" i="20"/>
  <c r="AB283" i="20" s="1"/>
  <c r="K194" i="20"/>
  <c r="AB194" i="20" s="1"/>
  <c r="AE292" i="7"/>
  <c r="AC292" i="7"/>
  <c r="AD292" i="7"/>
  <c r="AC226" i="8"/>
  <c r="EH13" i="6"/>
  <c r="EN62" i="6" s="1"/>
  <c r="E187" i="2"/>
  <c r="AW187" i="2"/>
  <c r="J338" i="20"/>
  <c r="AA338" i="20" s="1"/>
  <c r="AV161" i="2"/>
  <c r="I281" i="20"/>
  <c r="Z281" i="20" s="1"/>
  <c r="H197" i="20"/>
  <c r="Y197" i="20" s="1"/>
  <c r="F34" i="20"/>
  <c r="W34" i="20" s="1"/>
  <c r="G464" i="20"/>
  <c r="X464" i="20" s="1"/>
  <c r="H283" i="20"/>
  <c r="Y283" i="20" s="1"/>
  <c r="H281" i="20"/>
  <c r="Y281" i="20" s="1"/>
  <c r="H194" i="20"/>
  <c r="Y194" i="20" s="1"/>
  <c r="I197" i="20"/>
  <c r="Z197" i="20" s="1"/>
  <c r="I283" i="20"/>
  <c r="Z283" i="20" s="1"/>
  <c r="I194" i="20"/>
  <c r="Z194" i="20" s="1"/>
  <c r="G466" i="20"/>
  <c r="X466" i="20" s="1"/>
  <c r="EM13" i="6"/>
  <c r="EN15" i="6"/>
  <c r="AD226" i="8"/>
  <c r="I464" i="20"/>
  <c r="Z464" i="20" s="1"/>
  <c r="K197" i="20"/>
  <c r="AB197" i="20" s="1"/>
  <c r="K281" i="20"/>
  <c r="AB281" i="20" s="1"/>
  <c r="AC289" i="7"/>
  <c r="AC276" i="7"/>
  <c r="M338" i="20"/>
  <c r="AD338" i="20" s="1"/>
  <c r="AX187" i="2"/>
  <c r="L338" i="20"/>
  <c r="AC338" i="20" s="1"/>
  <c r="ET62" i="6"/>
  <c r="ET15" i="6"/>
  <c r="ES13" i="6"/>
  <c r="G34" i="20"/>
  <c r="X34" i="20" s="1"/>
  <c r="AE273" i="7"/>
  <c r="AE228" i="7" l="1"/>
  <c r="ET64" i="6"/>
  <c r="K338" i="20"/>
  <c r="AB338" i="20" s="1"/>
  <c r="EH62" i="6"/>
  <c r="EG13" i="6"/>
  <c r="EM62" i="6" s="1"/>
  <c r="EH15" i="6"/>
  <c r="EH64" i="6" s="1"/>
  <c r="AD290" i="7"/>
  <c r="AE290" i="7"/>
  <c r="AC290" i="7"/>
  <c r="ES62" i="6"/>
  <c r="AV187" i="2"/>
  <c r="H338" i="20"/>
  <c r="Y338" i="20" s="1"/>
  <c r="I338" i="20"/>
  <c r="Z338" i="20" s="1"/>
  <c r="EN64" i="6" l="1"/>
  <c r="EG62" i="6"/>
  <c r="CT15" i="17" l="1"/>
  <c r="CT121" i="17" s="1"/>
  <c r="CT268" i="17"/>
  <c r="G124" i="2" l="1"/>
  <c r="AX124" i="2" s="1"/>
  <c r="CT17" i="17"/>
  <c r="CT257" i="17"/>
  <c r="CT259" i="17"/>
  <c r="CT270" i="17" s="1"/>
  <c r="CT134" i="17"/>
  <c r="H113" i="20" l="1"/>
  <c r="Y113" i="20" s="1"/>
  <c r="AC156" i="12"/>
  <c r="CS260" i="17"/>
  <c r="CT264" i="17"/>
  <c r="DD15" i="17" s="1"/>
  <c r="CT273" i="17"/>
  <c r="CT10" i="17"/>
  <c r="G119" i="2" s="1"/>
  <c r="AX119" i="2" l="1"/>
  <c r="H107" i="20"/>
  <c r="Y107" i="20" s="1"/>
  <c r="E189" i="2" l="1"/>
  <c r="AC180" i="7"/>
  <c r="AC186" i="7" s="1"/>
  <c r="AD107" i="7"/>
  <c r="AD180" i="7" s="1"/>
  <c r="AE107" i="7" l="1"/>
  <c r="AE180" i="7" s="1"/>
  <c r="AC354" i="7"/>
  <c r="AC360" i="7" s="1"/>
  <c r="AC375" i="7"/>
  <c r="AC237" i="8" s="1"/>
  <c r="I347" i="20"/>
  <c r="Z347" i="20" s="1"/>
  <c r="AD375" i="7"/>
  <c r="AD186" i="7"/>
  <c r="AD354" i="7"/>
  <c r="F189" i="2"/>
  <c r="I340" i="20"/>
  <c r="Z340" i="20" s="1"/>
  <c r="I349" i="20"/>
  <c r="Z349" i="20" s="1"/>
  <c r="H344" i="20"/>
  <c r="Y344" i="20" s="1"/>
  <c r="AV189" i="2"/>
  <c r="H349" i="20"/>
  <c r="Y349" i="20" s="1"/>
  <c r="H340" i="20"/>
  <c r="Y340" i="20" s="1"/>
  <c r="H346" i="20"/>
  <c r="Y346" i="20" s="1"/>
  <c r="I344" i="20"/>
  <c r="Z344" i="20" s="1"/>
  <c r="H350" i="20"/>
  <c r="Y350" i="20" s="1"/>
  <c r="I346" i="20"/>
  <c r="Z346" i="20" s="1"/>
  <c r="H347" i="20"/>
  <c r="Y347" i="20" s="1"/>
  <c r="H355" i="20"/>
  <c r="G189" i="2" l="1"/>
  <c r="AX189" i="2" s="1"/>
  <c r="AC381" i="7"/>
  <c r="AC458" i="7"/>
  <c r="AC476" i="7" s="1"/>
  <c r="J340" i="20"/>
  <c r="AA340" i="20" s="1"/>
  <c r="J344" i="20"/>
  <c r="AA344" i="20" s="1"/>
  <c r="K346" i="20"/>
  <c r="AB346" i="20" s="1"/>
  <c r="J346" i="20"/>
  <c r="AA346" i="20" s="1"/>
  <c r="J350" i="20"/>
  <c r="AA350" i="20" s="1"/>
  <c r="K344" i="20"/>
  <c r="AB344" i="20" s="1"/>
  <c r="J347" i="20"/>
  <c r="AA347" i="20" s="1"/>
  <c r="K347" i="20"/>
  <c r="AB347" i="20" s="1"/>
  <c r="AW189" i="2"/>
  <c r="K340" i="20"/>
  <c r="AB340" i="20" s="1"/>
  <c r="K349" i="20"/>
  <c r="AB349" i="20" s="1"/>
  <c r="J349" i="20"/>
  <c r="AA349" i="20" s="1"/>
  <c r="AD381" i="7"/>
  <c r="AD237" i="8"/>
  <c r="AD458" i="7"/>
  <c r="AE186" i="7"/>
  <c r="AE375" i="7"/>
  <c r="AE354" i="7"/>
  <c r="AD360" i="7"/>
  <c r="M346" i="20" l="1"/>
  <c r="AD346" i="20" s="1"/>
  <c r="L340" i="20"/>
  <c r="AC340" i="20" s="1"/>
  <c r="M349" i="20"/>
  <c r="AD349" i="20" s="1"/>
  <c r="M340" i="20"/>
  <c r="AD340" i="20" s="1"/>
  <c r="L347" i="20"/>
  <c r="AC347" i="20" s="1"/>
  <c r="L346" i="20"/>
  <c r="AC346" i="20" s="1"/>
  <c r="M347" i="20"/>
  <c r="AD347" i="20" s="1"/>
  <c r="L349" i="20"/>
  <c r="AC349" i="20" s="1"/>
  <c r="L350" i="20"/>
  <c r="AC350" i="20" s="1"/>
  <c r="L344" i="20"/>
  <c r="AC344" i="20" s="1"/>
  <c r="M344" i="20"/>
  <c r="AD344" i="20" s="1"/>
  <c r="AC464" i="7"/>
  <c r="AC456" i="7"/>
  <c r="AE237" i="8"/>
  <c r="AE381" i="7"/>
  <c r="AE458" i="7"/>
  <c r="AE360" i="7"/>
  <c r="AD464" i="7"/>
  <c r="AD476" i="7"/>
  <c r="AD456" i="7"/>
  <c r="AE464" i="7" l="1"/>
  <c r="AE456" i="7"/>
  <c r="AE476" i="7"/>
  <c r="AC70" i="12" l="1"/>
  <c r="AC76" i="12" s="1"/>
  <c r="CT107" i="17"/>
  <c r="CT112" i="17" l="1"/>
  <c r="DE9" i="17" s="1"/>
  <c r="AD54" i="12"/>
  <c r="CX107" i="17" s="1"/>
  <c r="AD70" i="12" l="1"/>
  <c r="AD76" i="12" s="1"/>
  <c r="AE54" i="12"/>
  <c r="CX112" i="17" l="1"/>
  <c r="DG9" i="17" s="1"/>
  <c r="DB107" i="17"/>
  <c r="AE70" i="12"/>
  <c r="AE76" i="12" s="1"/>
  <c r="DB112" i="17" l="1"/>
  <c r="CT173" i="17"/>
  <c r="AC438" i="12" l="1"/>
  <c r="AC443" i="12" s="1"/>
  <c r="AD83" i="12"/>
  <c r="CX173" i="17" s="1"/>
  <c r="CX186" i="17" s="1"/>
  <c r="DG12" i="17" s="1"/>
  <c r="AC115" i="12"/>
  <c r="AC119" i="12" s="1"/>
  <c r="AC93" i="12"/>
  <c r="AC99" i="12" s="1"/>
  <c r="AC153" i="12"/>
  <c r="CS173" i="17"/>
  <c r="CT186" i="17"/>
  <c r="DE12" i="17" s="1"/>
  <c r="AE83" i="12" l="1"/>
  <c r="AE153" i="12" s="1"/>
  <c r="CW173" i="17"/>
  <c r="AD93" i="12"/>
  <c r="AD99" i="12" s="1"/>
  <c r="AD153" i="12"/>
  <c r="AD438" i="12"/>
  <c r="AD443" i="12" s="1"/>
  <c r="AD115" i="12"/>
  <c r="AD119" i="12" s="1"/>
  <c r="AE438" i="12" l="1"/>
  <c r="AE443" i="12" s="1"/>
  <c r="AE115" i="12"/>
  <c r="AE119" i="12" s="1"/>
  <c r="DB173" i="17"/>
  <c r="DB186" i="17" s="1"/>
  <c r="AE93" i="12"/>
  <c r="AE99" i="12" s="1"/>
  <c r="AC122" i="12"/>
  <c r="AC128" i="12" s="1"/>
  <c r="AC112" i="12"/>
  <c r="CT203" i="17"/>
  <c r="CS203" i="17" s="1"/>
  <c r="AC154" i="12"/>
  <c r="DA173" i="17" l="1"/>
  <c r="CT208" i="17"/>
  <c r="DE13" i="17" s="1"/>
  <c r="E219" i="2" l="1"/>
  <c r="AV219" i="2" s="1"/>
  <c r="DS49" i="11"/>
  <c r="DU49" i="11" s="1"/>
  <c r="DX49" i="11" s="1"/>
  <c r="DZ49" i="11" s="1"/>
  <c r="I487" i="20" l="1"/>
  <c r="Z487" i="20" s="1"/>
  <c r="DV49" i="11"/>
  <c r="DU47" i="11"/>
  <c r="DV47" i="11" s="1"/>
  <c r="AD197" i="12" s="1"/>
  <c r="H487" i="20"/>
  <c r="Y487" i="20" s="1"/>
  <c r="EA49" i="11"/>
  <c r="DZ47" i="11"/>
  <c r="EA47" i="11" l="1"/>
  <c r="AE197" i="12" s="1"/>
  <c r="AE435" i="7" s="1"/>
  <c r="AD191" i="12"/>
  <c r="AD435" i="7"/>
  <c r="AE191" i="12" l="1"/>
  <c r="F219" i="2"/>
  <c r="AD421" i="7"/>
  <c r="AD194" i="12"/>
  <c r="EP37" i="6"/>
  <c r="AD427" i="7"/>
  <c r="AE421" i="7" l="1"/>
  <c r="AE194" i="12"/>
  <c r="G219" i="2"/>
  <c r="AE427" i="7"/>
  <c r="EV37" i="6"/>
  <c r="AD419" i="7"/>
  <c r="AD433" i="7" s="1"/>
  <c r="AD441" i="7"/>
  <c r="EP36" i="6"/>
  <c r="EP86" i="6"/>
  <c r="AW219" i="2"/>
  <c r="J487" i="20"/>
  <c r="AA487" i="20" s="1"/>
  <c r="K487" i="20"/>
  <c r="AB487" i="20" s="1"/>
  <c r="AE419" i="7" l="1"/>
  <c r="AE441" i="7"/>
  <c r="AD428" i="7"/>
  <c r="F245" i="2"/>
  <c r="AD655" i="7"/>
  <c r="AX219" i="2"/>
  <c r="M487" i="20"/>
  <c r="AD487" i="20" s="1"/>
  <c r="L487" i="20"/>
  <c r="AC487" i="20" s="1"/>
  <c r="EM36" i="6"/>
  <c r="EM85" i="6" s="1"/>
  <c r="EP85" i="6"/>
  <c r="EV86" i="6"/>
  <c r="EV36" i="6"/>
  <c r="AD661" i="7" l="1"/>
  <c r="AW245" i="2"/>
  <c r="J422" i="20"/>
  <c r="AA422" i="20" s="1"/>
  <c r="J481" i="20"/>
  <c r="AA481" i="20" s="1"/>
  <c r="J416" i="20"/>
  <c r="AA416" i="20" s="1"/>
  <c r="J484" i="20"/>
  <c r="AA484" i="20" s="1"/>
  <c r="ES36" i="6"/>
  <c r="ES85" i="6" s="1"/>
  <c r="EV85" i="6"/>
  <c r="AE655" i="7"/>
  <c r="G245" i="2"/>
  <c r="AE433" i="7"/>
  <c r="AE428" i="7"/>
  <c r="L481" i="20" l="1"/>
  <c r="AC481" i="20" s="1"/>
  <c r="L484" i="20"/>
  <c r="AC484" i="20" s="1"/>
  <c r="L416" i="20"/>
  <c r="AC416" i="20" s="1"/>
  <c r="L422" i="20"/>
  <c r="AC422" i="20" s="1"/>
  <c r="M484" i="20"/>
  <c r="AD484" i="20" s="1"/>
  <c r="M481" i="20"/>
  <c r="AD481" i="20" s="1"/>
  <c r="AX245" i="2"/>
  <c r="M422" i="20"/>
  <c r="AD422" i="20" s="1"/>
  <c r="M416" i="20"/>
  <c r="AD416" i="20" s="1"/>
  <c r="AE661" i="7"/>
  <c r="AD686" i="7"/>
  <c r="AE686" i="7" l="1"/>
  <c r="DU72" i="11" l="1"/>
  <c r="AC235" i="12"/>
  <c r="AC228" i="12" s="1"/>
  <c r="AC718" i="7" s="1"/>
  <c r="DZ72" i="11" l="1"/>
  <c r="AD228" i="12"/>
  <c r="EH46" i="6"/>
  <c r="EH95" i="6" l="1"/>
  <c r="EN46" i="6"/>
  <c r="AE228" i="12"/>
  <c r="AD718" i="7"/>
  <c r="EN95" i="6" l="1"/>
  <c r="AE718" i="7"/>
  <c r="ET46" i="6"/>
  <c r="ET95" i="6" l="1"/>
  <c r="AC130" i="12" l="1"/>
  <c r="AC179" i="12" l="1"/>
  <c r="E158" i="2" l="1"/>
  <c r="E301" i="2" l="1"/>
  <c r="AV158" i="2"/>
  <c r="H284" i="20" l="1"/>
  <c r="Y284" i="20" s="1"/>
  <c r="I278" i="20"/>
  <c r="Z278" i="20" s="1"/>
  <c r="H278" i="20"/>
  <c r="Y278" i="20" s="1"/>
  <c r="H280" i="20"/>
  <c r="Y280" i="20" s="1"/>
  <c r="F35" i="20"/>
  <c r="W35" i="20" s="1"/>
  <c r="I280" i="20"/>
  <c r="Z280" i="20" s="1"/>
  <c r="I284" i="20"/>
  <c r="Z284" i="20" s="1"/>
  <c r="AC55" i="12" l="1"/>
  <c r="AC137" i="12"/>
  <c r="DM24" i="11" s="1"/>
  <c r="AC61" i="12"/>
  <c r="AC196" i="8" l="1"/>
  <c r="AC203" i="8" s="1"/>
  <c r="AD196" i="8"/>
  <c r="AD203" i="8" s="1"/>
  <c r="AD223" i="8"/>
  <c r="E220" i="2" l="1"/>
  <c r="I480" i="20" s="1"/>
  <c r="Z480" i="20" s="1"/>
  <c r="AC213" i="8"/>
  <c r="AC83" i="7"/>
  <c r="AC86" i="7" s="1"/>
  <c r="AC418" i="7"/>
  <c r="EJ11" i="6"/>
  <c r="AC179" i="8"/>
  <c r="AC223" i="8"/>
  <c r="K415" i="20" l="1"/>
  <c r="AB415" i="20" s="1"/>
  <c r="I415" i="20"/>
  <c r="Z415" i="20" s="1"/>
  <c r="AV220" i="2"/>
  <c r="K480" i="20"/>
  <c r="AB480" i="20" s="1"/>
  <c r="H480" i="20"/>
  <c r="Y480" i="20" s="1"/>
  <c r="H415" i="20"/>
  <c r="Y415" i="20" s="1"/>
  <c r="AC94" i="7"/>
  <c r="AC100" i="7"/>
  <c r="EJ8" i="6"/>
  <c r="EP57" i="6" s="1"/>
  <c r="AD94" i="7"/>
  <c r="AC87" i="7"/>
  <c r="AC85" i="7"/>
  <c r="AC432" i="7"/>
  <c r="AD432" i="7"/>
  <c r="AC654" i="7"/>
  <c r="AC419" i="7"/>
  <c r="EJ60" i="6"/>
  <c r="EP60" i="6"/>
  <c r="EJ57" i="6" l="1"/>
  <c r="EJ12" i="6"/>
  <c r="EJ61" i="6" s="1"/>
  <c r="AC655" i="7"/>
  <c r="E245" i="2"/>
  <c r="AC433" i="7"/>
  <c r="AC428" i="7"/>
  <c r="AC195" i="8"/>
  <c r="AC202" i="8" s="1"/>
  <c r="AD195" i="8"/>
  <c r="AD202" i="8" s="1"/>
  <c r="EP61" i="6" l="1"/>
  <c r="AC661" i="7"/>
  <c r="AC686" i="7" s="1"/>
  <c r="AV245" i="2"/>
  <c r="K416" i="20"/>
  <c r="AB416" i="20" s="1"/>
  <c r="I416" i="20"/>
  <c r="Z416" i="20" s="1"/>
  <c r="I481" i="20"/>
  <c r="Z481" i="20" s="1"/>
  <c r="K481" i="20"/>
  <c r="AB481" i="20" s="1"/>
  <c r="H416" i="20"/>
  <c r="Y416" i="20" s="1"/>
  <c r="I484" i="20"/>
  <c r="Z484" i="20" s="1"/>
  <c r="H481" i="20"/>
  <c r="Y481" i="20" s="1"/>
  <c r="I422" i="20"/>
  <c r="Z422" i="20" s="1"/>
  <c r="K484" i="20"/>
  <c r="AB484" i="20" s="1"/>
  <c r="H422" i="20"/>
  <c r="Y422" i="20" s="1"/>
  <c r="H484" i="20"/>
  <c r="Y484" i="20" s="1"/>
  <c r="K422" i="20"/>
  <c r="AB422" i="20" s="1"/>
  <c r="AC210" i="8" l="1"/>
  <c r="EI11" i="6" l="1"/>
  <c r="EI60" i="6" s="1"/>
  <c r="AC222" i="8"/>
  <c r="E203" i="2"/>
  <c r="AD209" i="8"/>
  <c r="AC215" i="8"/>
  <c r="EH11" i="6"/>
  <c r="H378" i="20" l="1"/>
  <c r="Y378" i="20" s="1"/>
  <c r="AV203" i="2"/>
  <c r="I378" i="20"/>
  <c r="Z378" i="20" s="1"/>
  <c r="EH60" i="6"/>
  <c r="EG11" i="6"/>
  <c r="AD210" i="8"/>
  <c r="AD215" i="8" s="1"/>
  <c r="AE209" i="8"/>
  <c r="EN11" i="6"/>
  <c r="EN60" i="6" l="1"/>
  <c r="ET11" i="6"/>
  <c r="AE210" i="8"/>
  <c r="AD178" i="8"/>
  <c r="AD222" i="8"/>
  <c r="EO11" i="6"/>
  <c r="EO60" i="6" s="1"/>
  <c r="F203" i="2"/>
  <c r="EG60" i="6"/>
  <c r="EL13" i="6"/>
  <c r="EL62" i="6" s="1"/>
  <c r="K378" i="20" l="1"/>
  <c r="AB378" i="20" s="1"/>
  <c r="J378" i="20"/>
  <c r="AA378" i="20" s="1"/>
  <c r="AW203" i="2"/>
  <c r="ET60" i="6"/>
  <c r="EU11" i="6"/>
  <c r="EU60" i="6" s="1"/>
  <c r="AE222" i="8"/>
  <c r="G203" i="2"/>
  <c r="AE178" i="8"/>
  <c r="EM11" i="6"/>
  <c r="AE215" i="8"/>
  <c r="EM60" i="6" l="1"/>
  <c r="ER13" i="6"/>
  <c r="ER62" i="6" s="1"/>
  <c r="ES11" i="6"/>
  <c r="M378" i="20"/>
  <c r="AD378" i="20" s="1"/>
  <c r="AX203" i="2"/>
  <c r="L378" i="20"/>
  <c r="AC378" i="20" s="1"/>
  <c r="EX13" i="6" l="1"/>
  <c r="EX62" i="6" s="1"/>
  <c r="ES60" i="6"/>
  <c r="CT86" i="17" l="1"/>
  <c r="CT8" i="17" s="1"/>
  <c r="G117" i="2" s="1"/>
  <c r="CT141" i="17" l="1"/>
  <c r="CT115" i="17"/>
  <c r="CT72" i="17"/>
  <c r="CT92" i="17"/>
  <c r="CT70" i="17"/>
  <c r="CU110" i="17" s="1"/>
  <c r="CU105" i="17" s="1"/>
  <c r="CT9" i="17"/>
  <c r="G118" i="2" s="1"/>
  <c r="H105" i="20"/>
  <c r="Y105" i="20" s="1"/>
  <c r="AX117" i="2"/>
  <c r="CU92" i="17" l="1"/>
  <c r="CU93" i="17"/>
  <c r="CV71" i="17"/>
  <c r="CV93" i="17" s="1"/>
  <c r="H106" i="20"/>
  <c r="Y106" i="20" s="1"/>
  <c r="AX118" i="2"/>
  <c r="CT103" i="17"/>
  <c r="CT69" i="17"/>
  <c r="CT85" i="17" s="1"/>
  <c r="CU70" i="17"/>
  <c r="CV110" i="17" s="1"/>
  <c r="AC149" i="12"/>
  <c r="CS73" i="17"/>
  <c r="CT88" i="17"/>
  <c r="CT94" i="17"/>
  <c r="CT143" i="17"/>
  <c r="CT145" i="17"/>
  <c r="CU9" i="17" l="1"/>
  <c r="H118" i="2" s="1"/>
  <c r="CU149" i="17"/>
  <c r="CU103" i="17"/>
  <c r="CU69" i="17"/>
  <c r="CU85" i="17" s="1"/>
  <c r="CV70" i="17"/>
  <c r="CW110" i="17" s="1"/>
  <c r="CT150" i="17"/>
  <c r="DD11" i="17" s="1"/>
  <c r="CT156" i="17"/>
  <c r="CV92" i="17"/>
  <c r="CW71" i="17"/>
  <c r="CV94" i="17"/>
  <c r="DD8" i="17"/>
  <c r="DM66" i="11"/>
  <c r="CT104" i="17"/>
  <c r="CT106" i="17"/>
  <c r="CU104" i="17" l="1"/>
  <c r="CV69" i="17"/>
  <c r="CV85" i="17" s="1"/>
  <c r="CV103" i="17"/>
  <c r="CW70" i="17"/>
  <c r="CX110" i="17" s="1"/>
  <c r="CU115" i="17"/>
  <c r="CV149" i="17"/>
  <c r="CU141" i="17"/>
  <c r="CU116" i="17"/>
  <c r="CV105" i="17"/>
  <c r="CV9" i="17"/>
  <c r="I118" i="2" s="1"/>
  <c r="CU118" i="17"/>
  <c r="CU11" i="17"/>
  <c r="H120" i="2" s="1"/>
  <c r="CU206" i="17"/>
  <c r="CU144" i="17"/>
  <c r="CT111" i="17"/>
  <c r="DD9" i="17" s="1"/>
  <c r="AC150" i="12"/>
  <c r="CS107" i="17"/>
  <c r="CT117" i="17"/>
  <c r="AY118" i="2"/>
  <c r="I106" i="20"/>
  <c r="Z106" i="20" s="1"/>
  <c r="CX71" i="17"/>
  <c r="CW94" i="17"/>
  <c r="CW92" i="17"/>
  <c r="CW93" i="17"/>
  <c r="CV104" i="17" l="1"/>
  <c r="I109" i="20"/>
  <c r="Z109" i="20" s="1"/>
  <c r="AY120" i="2"/>
  <c r="CW103" i="17"/>
  <c r="CW69" i="17"/>
  <c r="CW85" i="17" s="1"/>
  <c r="CX70" i="17"/>
  <c r="CW149" i="17"/>
  <c r="CV117" i="17"/>
  <c r="CV115" i="17"/>
  <c r="CV141" i="17"/>
  <c r="CW105" i="17"/>
  <c r="CV118" i="17"/>
  <c r="CV11" i="17"/>
  <c r="I120" i="2" s="1"/>
  <c r="CW9" i="17"/>
  <c r="J118" i="2" s="1"/>
  <c r="CU154" i="17"/>
  <c r="CU155" i="17"/>
  <c r="CU198" i="17"/>
  <c r="CV206" i="17"/>
  <c r="CV144" i="17"/>
  <c r="CV116" i="17"/>
  <c r="CX92" i="17"/>
  <c r="CY71" i="17"/>
  <c r="CX72" i="17"/>
  <c r="CX88" i="17" s="1"/>
  <c r="CU119" i="17"/>
  <c r="CU13" i="17"/>
  <c r="H122" i="2" s="1"/>
  <c r="CU263" i="17"/>
  <c r="CU201" i="17"/>
  <c r="AZ118" i="2"/>
  <c r="J106" i="20"/>
  <c r="AA106" i="20" s="1"/>
  <c r="CU143" i="17"/>
  <c r="CY93" i="17" l="1"/>
  <c r="CZ71" i="17"/>
  <c r="CZ93" i="17" s="1"/>
  <c r="CY92" i="17"/>
  <c r="CV156" i="17"/>
  <c r="CV154" i="17"/>
  <c r="CV198" i="17"/>
  <c r="CW144" i="17"/>
  <c r="CW155" i="17" s="1"/>
  <c r="CW206" i="17"/>
  <c r="CW117" i="17"/>
  <c r="CW115" i="17"/>
  <c r="CW141" i="17"/>
  <c r="CX149" i="17"/>
  <c r="CX105" i="17"/>
  <c r="CW11" i="17"/>
  <c r="J120" i="2" s="1"/>
  <c r="CW118" i="17"/>
  <c r="CW104" i="17"/>
  <c r="CU212" i="17"/>
  <c r="CU211" i="17"/>
  <c r="CU255" i="17"/>
  <c r="CV201" i="17"/>
  <c r="CV212" i="17" s="1"/>
  <c r="CV263" i="17"/>
  <c r="CV119" i="17"/>
  <c r="CV13" i="17"/>
  <c r="I122" i="2" s="1"/>
  <c r="CV155" i="17"/>
  <c r="CV143" i="17"/>
  <c r="CX103" i="17"/>
  <c r="CX106" i="17" s="1"/>
  <c r="CX111" i="17" s="1"/>
  <c r="CX69" i="17"/>
  <c r="CX85" i="17" s="1"/>
  <c r="CY110" i="17"/>
  <c r="CY70" i="17"/>
  <c r="CU15" i="17"/>
  <c r="CU258" i="17"/>
  <c r="CW73" i="17"/>
  <c r="AD149" i="12"/>
  <c r="CU200" i="17"/>
  <c r="AZ120" i="2"/>
  <c r="J109" i="20"/>
  <c r="AA109" i="20" s="1"/>
  <c r="CX9" i="17"/>
  <c r="K118" i="2" s="1"/>
  <c r="AY122" i="2"/>
  <c r="I111" i="20"/>
  <c r="Z111" i="20" s="1"/>
  <c r="CX94" i="17"/>
  <c r="BA118" i="2"/>
  <c r="K106" i="20"/>
  <c r="AB106" i="20" s="1"/>
  <c r="CW116" i="17"/>
  <c r="CX104" i="17" l="1"/>
  <c r="CU134" i="17"/>
  <c r="CU269" i="17"/>
  <c r="CU268" i="17"/>
  <c r="CV258" i="17"/>
  <c r="CY9" i="17"/>
  <c r="L118" i="2" s="1"/>
  <c r="CV15" i="17"/>
  <c r="CX115" i="17"/>
  <c r="CY149" i="17"/>
  <c r="CX141" i="17"/>
  <c r="CX145" i="17" s="1"/>
  <c r="CY105" i="17"/>
  <c r="DR66" i="11"/>
  <c r="DF8" i="17"/>
  <c r="CU17" i="17"/>
  <c r="CU121" i="17"/>
  <c r="H124" i="2"/>
  <c r="AZ122" i="2"/>
  <c r="J111" i="20"/>
  <c r="AA111" i="20" s="1"/>
  <c r="CV213" i="17"/>
  <c r="CV211" i="17"/>
  <c r="CV255" i="17"/>
  <c r="CW201" i="17"/>
  <c r="CW263" i="17"/>
  <c r="CX118" i="17"/>
  <c r="CX11" i="17"/>
  <c r="K120" i="2" s="1"/>
  <c r="CW119" i="17"/>
  <c r="CW13" i="17"/>
  <c r="J122" i="2" s="1"/>
  <c r="CU257" i="17"/>
  <c r="CW143" i="17"/>
  <c r="CW154" i="17"/>
  <c r="CW198" i="17"/>
  <c r="CW156" i="17"/>
  <c r="CX206" i="17"/>
  <c r="CX144" i="17"/>
  <c r="DA71" i="17"/>
  <c r="CZ92" i="17"/>
  <c r="CZ94" i="17"/>
  <c r="L106" i="20"/>
  <c r="AC106" i="20" s="1"/>
  <c r="BB118" i="2"/>
  <c r="CY69" i="17"/>
  <c r="CY85" i="17" s="1"/>
  <c r="CY103" i="17"/>
  <c r="CZ70" i="17"/>
  <c r="CZ110" i="17"/>
  <c r="CX117" i="17"/>
  <c r="K109" i="20"/>
  <c r="AB109" i="20" s="1"/>
  <c r="BA120" i="2"/>
  <c r="CV200" i="17"/>
  <c r="CV257" i="17" l="1"/>
  <c r="CZ9" i="17"/>
  <c r="M118" i="2" s="1"/>
  <c r="DB71" i="17"/>
  <c r="DB72" i="17" s="1"/>
  <c r="DA92" i="17"/>
  <c r="DA94" i="17"/>
  <c r="DA93" i="17"/>
  <c r="CW200" i="17"/>
  <c r="BB120" i="2"/>
  <c r="L109" i="20"/>
  <c r="AC109" i="20" s="1"/>
  <c r="CW15" i="17"/>
  <c r="CY116" i="17"/>
  <c r="CY141" i="17"/>
  <c r="CY115" i="17"/>
  <c r="CZ149" i="17"/>
  <c r="CZ105" i="17"/>
  <c r="M106" i="20"/>
  <c r="AD106" i="20" s="1"/>
  <c r="BC118" i="2"/>
  <c r="CX154" i="17"/>
  <c r="CX198" i="17"/>
  <c r="CY144" i="17"/>
  <c r="CX156" i="17"/>
  <c r="CY206" i="17"/>
  <c r="BA122" i="2"/>
  <c r="K111" i="20"/>
  <c r="AB111" i="20" s="1"/>
  <c r="CW213" i="17"/>
  <c r="CX263" i="17"/>
  <c r="CW255" i="17"/>
  <c r="CX201" i="17"/>
  <c r="CW211" i="17"/>
  <c r="CX143" i="17"/>
  <c r="CV17" i="17"/>
  <c r="CV121" i="17"/>
  <c r="I124" i="2"/>
  <c r="CW258" i="17"/>
  <c r="CW269" i="17" s="1"/>
  <c r="CV270" i="17"/>
  <c r="CV268" i="17"/>
  <c r="CV134" i="17"/>
  <c r="CZ69" i="17"/>
  <c r="CZ85" i="17" s="1"/>
  <c r="CZ103" i="17"/>
  <c r="CZ104" i="17" s="1"/>
  <c r="DA70" i="17"/>
  <c r="DA110" i="17"/>
  <c r="CY104" i="17"/>
  <c r="CX119" i="17"/>
  <c r="CX13" i="17"/>
  <c r="K122" i="2" s="1"/>
  <c r="CX150" i="17"/>
  <c r="DF11" i="17" s="1"/>
  <c r="CU10" i="17"/>
  <c r="H119" i="2" s="1"/>
  <c r="AD150" i="12"/>
  <c r="CW107" i="17"/>
  <c r="DF9" i="17"/>
  <c r="CW212" i="17"/>
  <c r="AY124" i="2"/>
  <c r="I113" i="20"/>
  <c r="Z113" i="20" s="1"/>
  <c r="CY118" i="17"/>
  <c r="CY11" i="17"/>
  <c r="L120" i="2" s="1"/>
  <c r="CV269" i="17"/>
  <c r="AY119" i="2" l="1"/>
  <c r="I107" i="20"/>
  <c r="Z107" i="20" s="1"/>
  <c r="CW257" i="17"/>
  <c r="CX200" i="17"/>
  <c r="DA149" i="17"/>
  <c r="CZ117" i="17"/>
  <c r="CZ141" i="17"/>
  <c r="CZ115" i="17"/>
  <c r="DA105" i="17"/>
  <c r="CZ116" i="17"/>
  <c r="L111" i="20"/>
  <c r="AC111" i="20" s="1"/>
  <c r="BB122" i="2"/>
  <c r="CW270" i="17"/>
  <c r="CW268" i="17"/>
  <c r="CW134" i="17"/>
  <c r="CX258" i="17"/>
  <c r="CX15" i="17"/>
  <c r="CY119" i="17"/>
  <c r="CY13" i="17"/>
  <c r="L122" i="2" s="1"/>
  <c r="CY143" i="17"/>
  <c r="DA73" i="17"/>
  <c r="DB88" i="17"/>
  <c r="DW66" i="11" s="1"/>
  <c r="AE149" i="12"/>
  <c r="DB92" i="17"/>
  <c r="DB94" i="17"/>
  <c r="DA9" i="17"/>
  <c r="N118" i="2" s="1"/>
  <c r="CV10" i="17"/>
  <c r="I119" i="2" s="1"/>
  <c r="J113" i="20"/>
  <c r="AA113" i="20" s="1"/>
  <c r="AZ124" i="2"/>
  <c r="CZ118" i="17"/>
  <c r="CZ11" i="17"/>
  <c r="M120" i="2" s="1"/>
  <c r="BD118" i="2"/>
  <c r="N106" i="20"/>
  <c r="AE106" i="20" s="1"/>
  <c r="M109" i="20"/>
  <c r="AD109" i="20" s="1"/>
  <c r="BC120" i="2"/>
  <c r="DA69" i="17"/>
  <c r="DA85" i="17" s="1"/>
  <c r="DB70" i="17"/>
  <c r="DA103" i="17"/>
  <c r="DB110" i="17"/>
  <c r="CX211" i="17"/>
  <c r="CY263" i="17"/>
  <c r="CY201" i="17"/>
  <c r="CX255" i="17"/>
  <c r="CX257" i="17" s="1"/>
  <c r="CY155" i="17"/>
  <c r="CY154" i="17"/>
  <c r="CY198" i="17"/>
  <c r="CZ206" i="17"/>
  <c r="CZ144" i="17"/>
  <c r="CZ155" i="17" s="1"/>
  <c r="J124" i="2"/>
  <c r="CW121" i="17"/>
  <c r="CW17" i="17"/>
  <c r="CX202" i="17"/>
  <c r="CX213" i="17" s="1"/>
  <c r="CZ119" i="17" l="1"/>
  <c r="CZ13" i="17"/>
  <c r="M122" i="2" s="1"/>
  <c r="DA104" i="17"/>
  <c r="J107" i="20"/>
  <c r="AA107" i="20" s="1"/>
  <c r="AZ119" i="2"/>
  <c r="CX268" i="17"/>
  <c r="CX134" i="17"/>
  <c r="CY258" i="17"/>
  <c r="CX259" i="17"/>
  <c r="CY200" i="17"/>
  <c r="CY15" i="17"/>
  <c r="DB103" i="17"/>
  <c r="DB69" i="17"/>
  <c r="DB85" i="17" s="1"/>
  <c r="CW10" i="17"/>
  <c r="J119" i="2" s="1"/>
  <c r="CZ143" i="17"/>
  <c r="K113" i="20"/>
  <c r="AB113" i="20" s="1"/>
  <c r="BA124" i="2"/>
  <c r="BE118" i="2"/>
  <c r="O106" i="20"/>
  <c r="AF106" i="20" s="1"/>
  <c r="CX17" i="17"/>
  <c r="CX121" i="17"/>
  <c r="K124" i="2"/>
  <c r="CX207" i="17"/>
  <c r="DF13" i="17" s="1"/>
  <c r="CZ154" i="17"/>
  <c r="CZ156" i="17"/>
  <c r="DA206" i="17"/>
  <c r="DA144" i="17"/>
  <c r="CZ198" i="17"/>
  <c r="CY211" i="17"/>
  <c r="CY212" i="17"/>
  <c r="CZ263" i="17"/>
  <c r="CY255" i="17"/>
  <c r="CZ201" i="17"/>
  <c r="DB9" i="17"/>
  <c r="O118" i="2" s="1"/>
  <c r="N109" i="20"/>
  <c r="AE109" i="20" s="1"/>
  <c r="BD120" i="2"/>
  <c r="M111" i="20"/>
  <c r="AD111" i="20" s="1"/>
  <c r="BC122" i="2"/>
  <c r="DB149" i="17"/>
  <c r="DA115" i="17"/>
  <c r="DA117" i="17"/>
  <c r="DB105" i="17"/>
  <c r="DA141" i="17"/>
  <c r="DA116" i="17"/>
  <c r="DA11" i="17"/>
  <c r="N120" i="2" s="1"/>
  <c r="DA118" i="17"/>
  <c r="CY257" i="17" l="1"/>
  <c r="CZ211" i="17"/>
  <c r="DA201" i="17"/>
  <c r="DA263" i="17"/>
  <c r="CZ213" i="17"/>
  <c r="CZ255" i="17"/>
  <c r="CZ200" i="17"/>
  <c r="BB124" i="2"/>
  <c r="L113" i="20"/>
  <c r="AC113" i="20" s="1"/>
  <c r="CX273" i="17"/>
  <c r="CX264" i="17"/>
  <c r="DF15" i="17" s="1"/>
  <c r="DA143" i="17"/>
  <c r="DB11" i="17"/>
  <c r="O120" i="2" s="1"/>
  <c r="DB118" i="17"/>
  <c r="CZ212" i="17"/>
  <c r="DA156" i="17"/>
  <c r="DA154" i="17"/>
  <c r="DB206" i="17"/>
  <c r="DB144" i="17"/>
  <c r="DA198" i="17"/>
  <c r="DA200" i="17" s="1"/>
  <c r="BA119" i="2"/>
  <c r="K107" i="20"/>
  <c r="AB107" i="20" s="1"/>
  <c r="CY121" i="17"/>
  <c r="CY17" i="17"/>
  <c r="L124" i="2"/>
  <c r="CY134" i="17"/>
  <c r="CY269" i="17"/>
  <c r="CY268" i="17"/>
  <c r="CZ258" i="17"/>
  <c r="DB141" i="17"/>
  <c r="DB115" i="17"/>
  <c r="CZ15" i="17"/>
  <c r="DA119" i="17"/>
  <c r="DA13" i="17"/>
  <c r="N122" i="2" s="1"/>
  <c r="CX10" i="17"/>
  <c r="K119" i="2" s="1"/>
  <c r="BD122" i="2"/>
  <c r="N111" i="20"/>
  <c r="AE111" i="20" s="1"/>
  <c r="BE120" i="2"/>
  <c r="O109" i="20"/>
  <c r="AF109" i="20" s="1"/>
  <c r="P106" i="20"/>
  <c r="AG106" i="20" s="1"/>
  <c r="BF118" i="2"/>
  <c r="DA155" i="17"/>
  <c r="DB104" i="17"/>
  <c r="CX270" i="17"/>
  <c r="DB106" i="17"/>
  <c r="DB117" i="17" s="1"/>
  <c r="DB143" i="17" l="1"/>
  <c r="BC124" i="2"/>
  <c r="M113" i="20"/>
  <c r="AD113" i="20" s="1"/>
  <c r="BE122" i="2"/>
  <c r="O111" i="20"/>
  <c r="AF111" i="20" s="1"/>
  <c r="CZ17" i="17"/>
  <c r="CZ121" i="17"/>
  <c r="M124" i="2"/>
  <c r="CZ270" i="17"/>
  <c r="CZ268" i="17"/>
  <c r="CZ134" i="17"/>
  <c r="DA258" i="17"/>
  <c r="DA269" i="17" s="1"/>
  <c r="CY10" i="17"/>
  <c r="L119" i="2" s="1"/>
  <c r="BF120" i="2"/>
  <c r="P109" i="20"/>
  <c r="AG109" i="20" s="1"/>
  <c r="DA15" i="17"/>
  <c r="CZ269" i="17"/>
  <c r="DB154" i="17"/>
  <c r="DB198" i="17"/>
  <c r="DB145" i="17"/>
  <c r="DA213" i="17"/>
  <c r="DB201" i="17"/>
  <c r="DA211" i="17"/>
  <c r="DB263" i="17"/>
  <c r="DA255" i="17"/>
  <c r="DA212" i="17"/>
  <c r="AE150" i="12"/>
  <c r="DB111" i="17"/>
  <c r="DA107" i="17"/>
  <c r="BB119" i="2"/>
  <c r="L107" i="20"/>
  <c r="AC107" i="20" s="1"/>
  <c r="DB119" i="17"/>
  <c r="DB13" i="17"/>
  <c r="O122" i="2" s="1"/>
  <c r="CZ257" i="17"/>
  <c r="DA257" i="17" l="1"/>
  <c r="DA121" i="17"/>
  <c r="DA17" i="17"/>
  <c r="N124" i="2"/>
  <c r="DB15" i="17"/>
  <c r="DB150" i="17"/>
  <c r="DA268" i="17"/>
  <c r="DB258" i="17"/>
  <c r="DA270" i="17"/>
  <c r="DA134" i="17"/>
  <c r="N113" i="20"/>
  <c r="AE113" i="20" s="1"/>
  <c r="BD124" i="2"/>
  <c r="BF122" i="2"/>
  <c r="P111" i="20"/>
  <c r="AG111" i="20" s="1"/>
  <c r="DB156" i="17"/>
  <c r="CZ10" i="17"/>
  <c r="M119" i="2" s="1"/>
  <c r="DB211" i="17"/>
  <c r="DB255" i="17"/>
  <c r="DB200" i="17"/>
  <c r="DB202" i="17"/>
  <c r="DB213" i="17" s="1"/>
  <c r="M107" i="20"/>
  <c r="AD107" i="20" s="1"/>
  <c r="BC119" i="2"/>
  <c r="DB257" i="17" l="1"/>
  <c r="DA10" i="17"/>
  <c r="N119" i="2" s="1"/>
  <c r="O113" i="20"/>
  <c r="AF113" i="20" s="1"/>
  <c r="BE124" i="2"/>
  <c r="BD119" i="2"/>
  <c r="N107" i="20"/>
  <c r="AE107" i="20" s="1"/>
  <c r="DB134" i="17"/>
  <c r="DB268" i="17"/>
  <c r="DB259" i="17"/>
  <c r="DB270" i="17" s="1"/>
  <c r="DB207" i="17"/>
  <c r="DB17" i="17"/>
  <c r="O124" i="2"/>
  <c r="DB121" i="17"/>
  <c r="DB10" i="17" l="1"/>
  <c r="O119" i="2" s="1"/>
  <c r="P113" i="20"/>
  <c r="AG113" i="20" s="1"/>
  <c r="BF124" i="2"/>
  <c r="O107" i="20"/>
  <c r="AF107" i="20" s="1"/>
  <c r="BE119" i="2"/>
  <c r="DB264" i="17"/>
  <c r="DB273" i="17"/>
  <c r="BF119" i="2" l="1"/>
  <c r="P107" i="20"/>
  <c r="AG107" i="20" s="1"/>
  <c r="AD171" i="8" l="1"/>
  <c r="AC178" i="8"/>
  <c r="AC171" i="8"/>
  <c r="AC166" i="8"/>
  <c r="AD173" i="8" s="1"/>
  <c r="AC145" i="8" l="1"/>
  <c r="AC169" i="8" s="1"/>
  <c r="AC180" i="8"/>
  <c r="AC173" i="8"/>
  <c r="AC168" i="8"/>
  <c r="AD175" i="8" l="1"/>
  <c r="AC260" i="7"/>
  <c r="AC147" i="8"/>
  <c r="AC175" i="8"/>
  <c r="AC182" i="8"/>
  <c r="AC190" i="8"/>
  <c r="AC152" i="8"/>
  <c r="AD152" i="8"/>
  <c r="AC159" i="8"/>
  <c r="AD272" i="7" l="1"/>
  <c r="AC272" i="7"/>
  <c r="AC261" i="7"/>
  <c r="AC161" i="8"/>
  <c r="AC154" i="8"/>
  <c r="AD154" i="8"/>
  <c r="AC192" i="8"/>
  <c r="AC107" i="8"/>
  <c r="AC248" i="8"/>
  <c r="AC250" i="8" s="1"/>
  <c r="AC193" i="8"/>
  <c r="AD197" i="8"/>
  <c r="AC197" i="8"/>
  <c r="AD204" i="8" l="1"/>
  <c r="AD228" i="7"/>
  <c r="AC199" i="8"/>
  <c r="AC206" i="8" s="1"/>
  <c r="AD199" i="8"/>
  <c r="AD206" i="8" s="1"/>
  <c r="AC228" i="7"/>
  <c r="AC204" i="8"/>
  <c r="AD273" i="7"/>
  <c r="AC273" i="7"/>
  <c r="AC254" i="8"/>
  <c r="AE229" i="7" l="1"/>
  <c r="AC229" i="7"/>
  <c r="AD229" i="7"/>
  <c r="AC9" i="7"/>
  <c r="AD9" i="7" l="1"/>
  <c r="EN9" i="6" s="1"/>
  <c r="AC73" i="7"/>
  <c r="EH8" i="6" s="1"/>
  <c r="EH57" i="6" s="1"/>
  <c r="EH9" i="6"/>
  <c r="EG9" i="6" s="1"/>
  <c r="EG58" i="6" s="1"/>
  <c r="AC13" i="7"/>
  <c r="AD73" i="7"/>
  <c r="AD75" i="7" s="1"/>
  <c r="AD13" i="7"/>
  <c r="AE9" i="7"/>
  <c r="AC77" i="7"/>
  <c r="AC92" i="7"/>
  <c r="AC75" i="7"/>
  <c r="E213" i="2" l="1"/>
  <c r="H407" i="20" s="1"/>
  <c r="Y407" i="20" s="1"/>
  <c r="AC624" i="7"/>
  <c r="AC22" i="7"/>
  <c r="EJ16" i="6"/>
  <c r="EJ22" i="6" s="1"/>
  <c r="AC691" i="7"/>
  <c r="AC697" i="7" s="1"/>
  <c r="AC34" i="7"/>
  <c r="AC35" i="7" s="1"/>
  <c r="AC36" i="7" s="1"/>
  <c r="AC14" i="7"/>
  <c r="AC182" i="7"/>
  <c r="AC356" i="7" s="1"/>
  <c r="EH12" i="6"/>
  <c r="EH61" i="6" s="1"/>
  <c r="AC78" i="7"/>
  <c r="AC89" i="7" s="1"/>
  <c r="EH58" i="6"/>
  <c r="AC76" i="7"/>
  <c r="AC98" i="7"/>
  <c r="ET9" i="6"/>
  <c r="AE13" i="7"/>
  <c r="AE14" i="7" s="1"/>
  <c r="AE73" i="7"/>
  <c r="AE75" i="7" s="1"/>
  <c r="EN58" i="6"/>
  <c r="EM9" i="6"/>
  <c r="AD22" i="7"/>
  <c r="AD624" i="7"/>
  <c r="EP16" i="6"/>
  <c r="AD34" i="7"/>
  <c r="AD691" i="7"/>
  <c r="AD697" i="7" s="1"/>
  <c r="F213" i="2"/>
  <c r="AD182" i="7"/>
  <c r="AC99" i="7"/>
  <c r="AC81" i="7"/>
  <c r="AC108" i="7"/>
  <c r="AC188" i="7"/>
  <c r="AD92" i="7"/>
  <c r="AD76" i="7"/>
  <c r="AD77" i="7"/>
  <c r="EN8" i="6"/>
  <c r="AD14" i="7"/>
  <c r="I414" i="20" l="1"/>
  <c r="Z414" i="20" s="1"/>
  <c r="G452" i="20"/>
  <c r="X452" i="20" s="1"/>
  <c r="H414" i="20"/>
  <c r="Y414" i="20" s="1"/>
  <c r="I423" i="20"/>
  <c r="Z423" i="20" s="1"/>
  <c r="AV213" i="2"/>
  <c r="H423" i="20"/>
  <c r="Y423" i="20" s="1"/>
  <c r="EJ65" i="6"/>
  <c r="H429" i="20"/>
  <c r="Y429" i="20" s="1"/>
  <c r="G454" i="20"/>
  <c r="X454" i="20" s="1"/>
  <c r="I407" i="20"/>
  <c r="Z407" i="20" s="1"/>
  <c r="AC38" i="7"/>
  <c r="AC629" i="7"/>
  <c r="AC377" i="7"/>
  <c r="AC80" i="7"/>
  <c r="EG16" i="6"/>
  <c r="EG65" i="6" s="1"/>
  <c r="EI8" i="6"/>
  <c r="E200" i="2"/>
  <c r="AC93" i="7"/>
  <c r="EH22" i="6"/>
  <c r="EH71" i="6" s="1"/>
  <c r="AC383" i="7"/>
  <c r="AC460" i="7"/>
  <c r="AD356" i="7"/>
  <c r="AD188" i="7"/>
  <c r="AD377" i="7"/>
  <c r="AC37" i="7"/>
  <c r="EN57" i="6"/>
  <c r="EN12" i="6"/>
  <c r="AC362" i="7"/>
  <c r="J407" i="20"/>
  <c r="AA407" i="20" s="1"/>
  <c r="K407" i="20"/>
  <c r="AB407" i="20" s="1"/>
  <c r="I454" i="20"/>
  <c r="Z454" i="20" s="1"/>
  <c r="K423" i="20"/>
  <c r="AB423" i="20" s="1"/>
  <c r="I452" i="20"/>
  <c r="Z452" i="20" s="1"/>
  <c r="J429" i="20"/>
  <c r="AA429" i="20" s="1"/>
  <c r="K414" i="20"/>
  <c r="AB414" i="20" s="1"/>
  <c r="J423" i="20"/>
  <c r="AA423" i="20" s="1"/>
  <c r="AW213" i="2"/>
  <c r="J414" i="20"/>
  <c r="AA414" i="20" s="1"/>
  <c r="EM16" i="6"/>
  <c r="EP65" i="6"/>
  <c r="EP22" i="6"/>
  <c r="EJ29" i="6"/>
  <c r="EJ71" i="6"/>
  <c r="AE92" i="7"/>
  <c r="AE76" i="7"/>
  <c r="ET8" i="6"/>
  <c r="AE77" i="7"/>
  <c r="AC82" i="7"/>
  <c r="AC181" i="7"/>
  <c r="AC115" i="7"/>
  <c r="AC119" i="7"/>
  <c r="AC236" i="7" s="1"/>
  <c r="E204" i="2"/>
  <c r="AV204" i="2" s="1"/>
  <c r="AE22" i="7"/>
  <c r="AE624" i="7"/>
  <c r="EV16" i="6"/>
  <c r="AE34" i="7"/>
  <c r="G213" i="2"/>
  <c r="AE182" i="7"/>
  <c r="AE691" i="7"/>
  <c r="AE697" i="7" s="1"/>
  <c r="ET58" i="6"/>
  <c r="ES9" i="6"/>
  <c r="AC650" i="7"/>
  <c r="AC631" i="7"/>
  <c r="AD35" i="7"/>
  <c r="AD36" i="7" s="1"/>
  <c r="AD37" i="7" s="1"/>
  <c r="AD38" i="7"/>
  <c r="AD39" i="7" s="1"/>
  <c r="AD629" i="7"/>
  <c r="EM58" i="6"/>
  <c r="AC39" i="7"/>
  <c r="EL16" i="6" l="1"/>
  <c r="EL65" i="6" s="1"/>
  <c r="I384" i="20"/>
  <c r="Z384" i="20" s="1"/>
  <c r="H379" i="20"/>
  <c r="Y379" i="20" s="1"/>
  <c r="I379" i="20"/>
  <c r="Z379" i="20" s="1"/>
  <c r="AV200" i="2"/>
  <c r="H375" i="20"/>
  <c r="Y375" i="20" s="1"/>
  <c r="I375" i="20"/>
  <c r="Z375" i="20" s="1"/>
  <c r="H384" i="20"/>
  <c r="Y384" i="20" s="1"/>
  <c r="EI12" i="6"/>
  <c r="EI22" i="6" s="1"/>
  <c r="EI57" i="6"/>
  <c r="EH29" i="6"/>
  <c r="EH78" i="6" s="1"/>
  <c r="L414" i="20"/>
  <c r="AC414" i="20" s="1"/>
  <c r="M414" i="20"/>
  <c r="AD414" i="20" s="1"/>
  <c r="M407" i="20"/>
  <c r="AD407" i="20" s="1"/>
  <c r="M423" i="20"/>
  <c r="AD423" i="20" s="1"/>
  <c r="K454" i="20"/>
  <c r="AB454" i="20" s="1"/>
  <c r="L423" i="20"/>
  <c r="AC423" i="20" s="1"/>
  <c r="K452" i="20"/>
  <c r="AB452" i="20" s="1"/>
  <c r="AX213" i="2"/>
  <c r="L407" i="20"/>
  <c r="AC407" i="20" s="1"/>
  <c r="L429" i="20"/>
  <c r="AC429" i="20" s="1"/>
  <c r="AC237" i="7"/>
  <c r="AC466" i="7"/>
  <c r="AC632" i="7"/>
  <c r="AE629" i="7"/>
  <c r="EP29" i="6"/>
  <c r="EP71" i="6"/>
  <c r="AD650" i="7"/>
  <c r="AD631" i="7"/>
  <c r="ET57" i="6"/>
  <c r="ET12" i="6"/>
  <c r="AE356" i="7"/>
  <c r="AE188" i="7"/>
  <c r="AE377" i="7"/>
  <c r="ES16" i="6"/>
  <c r="EV65" i="6"/>
  <c r="EV22" i="6"/>
  <c r="AC355" i="7"/>
  <c r="AC376" i="7"/>
  <c r="AC183" i="7"/>
  <c r="AC187" i="7"/>
  <c r="EM65" i="6"/>
  <c r="ER16" i="6"/>
  <c r="ER65" i="6" s="1"/>
  <c r="EN61" i="6"/>
  <c r="EN22" i="6"/>
  <c r="AD362" i="7"/>
  <c r="ES58" i="6"/>
  <c r="EJ78" i="6"/>
  <c r="EJ34" i="6"/>
  <c r="AE38" i="7"/>
  <c r="AE39" i="7" s="1"/>
  <c r="AE35" i="7"/>
  <c r="AE36" i="7" s="1"/>
  <c r="AE37" i="7" s="1"/>
  <c r="AD383" i="7"/>
  <c r="AD460" i="7"/>
  <c r="EI61" i="6" l="1"/>
  <c r="EH34" i="6"/>
  <c r="EH39" i="6" s="1"/>
  <c r="EJ39" i="6"/>
  <c r="EJ83" i="6"/>
  <c r="AC382" i="7"/>
  <c r="AC459" i="7"/>
  <c r="AC378" i="7"/>
  <c r="AE362" i="7"/>
  <c r="ET22" i="6"/>
  <c r="ET61" i="6"/>
  <c r="EN71" i="6"/>
  <c r="EN29" i="6"/>
  <c r="ES65" i="6"/>
  <c r="EX16" i="6"/>
  <c r="EX65" i="6" s="1"/>
  <c r="AD466" i="7"/>
  <c r="AC357" i="7"/>
  <c r="AC361" i="7"/>
  <c r="AE383" i="7"/>
  <c r="AE460" i="7"/>
  <c r="EI71" i="6"/>
  <c r="EI29" i="6"/>
  <c r="EG22" i="6"/>
  <c r="EG71" i="6" s="1"/>
  <c r="AD632" i="7"/>
  <c r="EP34" i="6"/>
  <c r="EP78" i="6"/>
  <c r="AC189" i="7"/>
  <c r="EV71" i="6"/>
  <c r="EV29" i="6"/>
  <c r="AE650" i="7"/>
  <c r="AE631" i="7"/>
  <c r="EH83" i="6" l="1"/>
  <c r="AE632" i="7"/>
  <c r="AE466" i="7"/>
  <c r="AC363" i="7"/>
  <c r="EN78" i="6"/>
  <c r="EN34" i="6"/>
  <c r="AC384" i="7"/>
  <c r="EV34" i="6"/>
  <c r="EV78" i="6"/>
  <c r="EH88" i="6"/>
  <c r="ET71" i="6"/>
  <c r="ET29" i="6"/>
  <c r="EJ88" i="6"/>
  <c r="AC461" i="7"/>
  <c r="AC465" i="7"/>
  <c r="EP39" i="6"/>
  <c r="EP83" i="6"/>
  <c r="EI78" i="6"/>
  <c r="EI34" i="6"/>
  <c r="EG29" i="6"/>
  <c r="EG78" i="6" s="1"/>
  <c r="EP88" i="6" l="1"/>
  <c r="ET78" i="6"/>
  <c r="ET34" i="6"/>
  <c r="EI39" i="6"/>
  <c r="EI83" i="6"/>
  <c r="EG34" i="6"/>
  <c r="EG83" i="6" s="1"/>
  <c r="AC467" i="7"/>
  <c r="EV39" i="6"/>
  <c r="EV83" i="6"/>
  <c r="EN83" i="6"/>
  <c r="EN39" i="6"/>
  <c r="EI88" i="6" l="1"/>
  <c r="EG39" i="6"/>
  <c r="EN88" i="6"/>
  <c r="EV88" i="6"/>
  <c r="ET83" i="6"/>
  <c r="ET39" i="6"/>
  <c r="ET88" i="6" l="1"/>
  <c r="EG88" i="6"/>
  <c r="AC430" i="12" l="1"/>
  <c r="AC433" i="12" s="1"/>
  <c r="AC267" i="12"/>
  <c r="AC268" i="12" s="1"/>
  <c r="AC298" i="12" s="1"/>
  <c r="EG47" i="6"/>
  <c r="EG96" i="6" s="1"/>
  <c r="E142" i="2"/>
  <c r="AD260" i="12"/>
  <c r="AD544" i="7" s="1"/>
  <c r="AC544" i="7"/>
  <c r="AE260" i="12" l="1"/>
  <c r="AE267" i="12" s="1"/>
  <c r="AE268" i="12" s="1"/>
  <c r="AC551" i="7"/>
  <c r="AC273" i="12"/>
  <c r="EG48" i="6"/>
  <c r="EG97" i="6" s="1"/>
  <c r="AD551" i="7"/>
  <c r="AV142" i="2"/>
  <c r="H183" i="20"/>
  <c r="Y183" i="20" s="1"/>
  <c r="H179" i="20"/>
  <c r="Y179" i="20" s="1"/>
  <c r="E314" i="2"/>
  <c r="E308" i="2"/>
  <c r="I179" i="20"/>
  <c r="Z179" i="20" s="1"/>
  <c r="I183" i="20"/>
  <c r="Z183" i="20" s="1"/>
  <c r="AD430" i="12"/>
  <c r="AD433" i="12" s="1"/>
  <c r="EM47" i="6"/>
  <c r="F142" i="2"/>
  <c r="AD267" i="12"/>
  <c r="AC304" i="12"/>
  <c r="AC300" i="12"/>
  <c r="AC274" i="12"/>
  <c r="AC269" i="12"/>
  <c r="AE544" i="7" l="1"/>
  <c r="AE551" i="7" s="1"/>
  <c r="G142" i="2"/>
  <c r="M183" i="20" s="1"/>
  <c r="AD183" i="20" s="1"/>
  <c r="AE273" i="12"/>
  <c r="AE430" i="12"/>
  <c r="AE433" i="12" s="1"/>
  <c r="ES47" i="6"/>
  <c r="ES96" i="6" s="1"/>
  <c r="EL48" i="6"/>
  <c r="EL97" i="6" s="1"/>
  <c r="AC548" i="7"/>
  <c r="AC541" i="7" s="1"/>
  <c r="AC550" i="7"/>
  <c r="AC543" i="7" s="1"/>
  <c r="EM96" i="6"/>
  <c r="AC306" i="12"/>
  <c r="AC338" i="12"/>
  <c r="AC301" i="12"/>
  <c r="AD550" i="7"/>
  <c r="AD548" i="7"/>
  <c r="L179" i="20"/>
  <c r="AC179" i="20" s="1"/>
  <c r="AD268" i="12"/>
  <c r="AE274" i="12" s="1"/>
  <c r="AD273" i="12"/>
  <c r="K179" i="20"/>
  <c r="AB179" i="20" s="1"/>
  <c r="J183" i="20"/>
  <c r="AA183" i="20" s="1"/>
  <c r="F314" i="2"/>
  <c r="J179" i="20"/>
  <c r="AA179" i="20" s="1"/>
  <c r="AW142" i="2"/>
  <c r="K183" i="20"/>
  <c r="AB183" i="20" s="1"/>
  <c r="F308" i="2"/>
  <c r="AE298" i="12"/>
  <c r="AE269" i="12"/>
  <c r="M179" i="20" l="1"/>
  <c r="AD179" i="20" s="1"/>
  <c r="AX142" i="2"/>
  <c r="G314" i="2"/>
  <c r="G308" i="2"/>
  <c r="L183" i="20"/>
  <c r="AC183" i="20" s="1"/>
  <c r="AD543" i="7"/>
  <c r="AD760" i="7" s="1"/>
  <c r="AD762" i="7" s="1"/>
  <c r="AD541" i="7"/>
  <c r="AD719" i="7" s="1"/>
  <c r="AD720" i="7" s="1"/>
  <c r="EJ47" i="6"/>
  <c r="AC760" i="7"/>
  <c r="AC762" i="7" s="1"/>
  <c r="AC563" i="7"/>
  <c r="AC719" i="7"/>
  <c r="AC720" i="7" s="1"/>
  <c r="EH47" i="6"/>
  <c r="AC542" i="7"/>
  <c r="AC545" i="7" s="1"/>
  <c r="AE300" i="12"/>
  <c r="AE548" i="7"/>
  <c r="AE550" i="7"/>
  <c r="AD298" i="12"/>
  <c r="AD269" i="12"/>
  <c r="AD274" i="12"/>
  <c r="AC345" i="12"/>
  <c r="AE543" i="7" l="1"/>
  <c r="EV47" i="6" s="1"/>
  <c r="EP47" i="6"/>
  <c r="AE541" i="7"/>
  <c r="AE719" i="7" s="1"/>
  <c r="AE720" i="7" s="1"/>
  <c r="EN47" i="6"/>
  <c r="EN96" i="6" s="1"/>
  <c r="AD563" i="7"/>
  <c r="AD542" i="7"/>
  <c r="E196" i="2"/>
  <c r="AC663" i="7"/>
  <c r="E227" i="2"/>
  <c r="AC736" i="7"/>
  <c r="EI47" i="6"/>
  <c r="EJ96" i="6"/>
  <c r="EH96" i="6"/>
  <c r="EH48" i="6"/>
  <c r="AC572" i="7"/>
  <c r="AD300" i="12"/>
  <c r="AE306" i="12" s="1"/>
  <c r="AD304" i="12"/>
  <c r="AE304" i="12"/>
  <c r="F196" i="2"/>
  <c r="EP96" i="6"/>
  <c r="AD663" i="7"/>
  <c r="F227" i="2"/>
  <c r="AE301" i="12"/>
  <c r="AE338" i="12"/>
  <c r="AE760" i="7" l="1"/>
  <c r="AE762" i="7" s="1"/>
  <c r="G227" i="2" s="1"/>
  <c r="AE542" i="7"/>
  <c r="AE736" i="7" s="1"/>
  <c r="AE563" i="7"/>
  <c r="AE572" i="7" s="1"/>
  <c r="EN48" i="6"/>
  <c r="EN97" i="6" s="1"/>
  <c r="AD572" i="7"/>
  <c r="AD736" i="7"/>
  <c r="AD545" i="7"/>
  <c r="ET47" i="6"/>
  <c r="EO47" i="6"/>
  <c r="ER47" i="6" s="1"/>
  <c r="ER96" i="6" s="1"/>
  <c r="EL47" i="6"/>
  <c r="EL96" i="6" s="1"/>
  <c r="EI96" i="6"/>
  <c r="EH97" i="6"/>
  <c r="AV227" i="2"/>
  <c r="I427" i="20"/>
  <c r="Z427" i="20" s="1"/>
  <c r="H427" i="20"/>
  <c r="Y427" i="20" s="1"/>
  <c r="I351" i="20"/>
  <c r="Z351" i="20" s="1"/>
  <c r="AV196" i="2"/>
  <c r="H351" i="20"/>
  <c r="Y351" i="20" s="1"/>
  <c r="I353" i="20"/>
  <c r="Z353" i="20" s="1"/>
  <c r="H353" i="20"/>
  <c r="Y353" i="20" s="1"/>
  <c r="G196" i="2"/>
  <c r="AD306" i="12"/>
  <c r="AD301" i="12"/>
  <c r="AD338" i="12"/>
  <c r="AE345" i="12" s="1"/>
  <c r="AE663" i="7"/>
  <c r="J351" i="20"/>
  <c r="AA351" i="20" s="1"/>
  <c r="K353" i="20"/>
  <c r="AB353" i="20" s="1"/>
  <c r="AW196" i="2"/>
  <c r="J353" i="20"/>
  <c r="AA353" i="20" s="1"/>
  <c r="K351" i="20"/>
  <c r="AB351" i="20" s="1"/>
  <c r="EU47" i="6"/>
  <c r="EV96" i="6"/>
  <c r="K427" i="20"/>
  <c r="AB427" i="20" s="1"/>
  <c r="J427" i="20"/>
  <c r="AA427" i="20" s="1"/>
  <c r="AW227" i="2"/>
  <c r="AE545" i="7" l="1"/>
  <c r="EO96" i="6"/>
  <c r="EX47" i="6"/>
  <c r="EX96" i="6" s="1"/>
  <c r="ET96" i="6"/>
  <c r="ET48" i="6"/>
  <c r="AX227" i="2"/>
  <c r="M427" i="20"/>
  <c r="AD427" i="20" s="1"/>
  <c r="L427" i="20"/>
  <c r="AC427" i="20" s="1"/>
  <c r="AX196" i="2"/>
  <c r="M353" i="20"/>
  <c r="AD353" i="20" s="1"/>
  <c r="L353" i="20"/>
  <c r="AC353" i="20" s="1"/>
  <c r="L351" i="20"/>
  <c r="AC351" i="20" s="1"/>
  <c r="M351" i="20"/>
  <c r="AD351" i="20" s="1"/>
  <c r="EU96" i="6"/>
  <c r="AD345" i="12"/>
  <c r="AC48" i="12"/>
  <c r="AC45" i="12" s="1"/>
  <c r="AD45" i="12" s="1"/>
  <c r="AE45" i="12" s="1"/>
  <c r="DN71" i="11"/>
  <c r="AC177" i="12" s="1"/>
  <c r="DP71" i="11" l="1"/>
  <c r="E128" i="2"/>
  <c r="E321" i="2" s="1"/>
  <c r="E322" i="2" s="1"/>
  <c r="ET97" i="6"/>
  <c r="DN76" i="11"/>
  <c r="DM76" i="11" s="1"/>
  <c r="AV128" i="2" l="1"/>
  <c r="E296" i="2"/>
  <c r="H146" i="20" s="1"/>
  <c r="Y146" i="20" s="1"/>
  <c r="DS71" i="11"/>
  <c r="DP73" i="11"/>
  <c r="DQ71" i="11"/>
  <c r="AC236" i="12" s="1"/>
  <c r="AC229" i="12" s="1"/>
  <c r="H147" i="20"/>
  <c r="Y147" i="20" s="1"/>
  <c r="AC565" i="7" l="1"/>
  <c r="AC424" i="12"/>
  <c r="AC427" i="12" s="1"/>
  <c r="AC763" i="7"/>
  <c r="AC764" i="7" s="1"/>
  <c r="AC662" i="7"/>
  <c r="EJ46" i="6"/>
  <c r="E226" i="2"/>
  <c r="DQ73" i="11"/>
  <c r="AC237" i="12" s="1"/>
  <c r="AC230" i="12" s="1"/>
  <c r="DP74" i="11"/>
  <c r="DS76" i="11"/>
  <c r="DR76" i="11" s="1"/>
  <c r="DU71" i="11"/>
  <c r="AD177" i="12"/>
  <c r="H431" i="20" l="1"/>
  <c r="Y431" i="20" s="1"/>
  <c r="H432" i="20"/>
  <c r="Y432" i="20" s="1"/>
  <c r="E320" i="2"/>
  <c r="H426" i="20"/>
  <c r="Y426" i="20" s="1"/>
  <c r="I426" i="20"/>
  <c r="Z426" i="20" s="1"/>
  <c r="AV226" i="2"/>
  <c r="H430" i="20"/>
  <c r="Y430" i="20" s="1"/>
  <c r="DQ74" i="11"/>
  <c r="AC238" i="12" s="1"/>
  <c r="DP76" i="11"/>
  <c r="DO76" i="11" s="1"/>
  <c r="EJ48" i="6"/>
  <c r="EJ95" i="6"/>
  <c r="DX71" i="11"/>
  <c r="DV71" i="11"/>
  <c r="AD236" i="12" s="1"/>
  <c r="AD229" i="12" s="1"/>
  <c r="DU73" i="11"/>
  <c r="DV73" i="11" s="1"/>
  <c r="AD237" i="12" s="1"/>
  <c r="AD230" i="12" s="1"/>
  <c r="F128" i="2"/>
  <c r="AC735" i="7"/>
  <c r="AC737" i="7" s="1"/>
  <c r="AC232" i="12"/>
  <c r="EI46" i="6"/>
  <c r="AC564" i="7"/>
  <c r="AC664" i="7"/>
  <c r="AC587" i="7"/>
  <c r="AC574" i="7"/>
  <c r="AC603" i="7"/>
  <c r="DU74" i="11" l="1"/>
  <c r="DU76" i="11" s="1"/>
  <c r="DT76" i="11" s="1"/>
  <c r="AC573" i="7"/>
  <c r="AC566" i="7"/>
  <c r="AC567" i="7" s="1"/>
  <c r="AC605" i="7"/>
  <c r="F296" i="2"/>
  <c r="I146" i="20" s="1"/>
  <c r="Z146" i="20" s="1"/>
  <c r="AW128" i="2"/>
  <c r="F321" i="2"/>
  <c r="F322" i="2" s="1"/>
  <c r="I147" i="20" s="1"/>
  <c r="Z147" i="20" s="1"/>
  <c r="AC589" i="7"/>
  <c r="AC592" i="7"/>
  <c r="E209" i="2"/>
  <c r="AD763" i="7"/>
  <c r="AD764" i="7" s="1"/>
  <c r="AD565" i="7"/>
  <c r="F226" i="2"/>
  <c r="AD424" i="12"/>
  <c r="AD427" i="12" s="1"/>
  <c r="EP46" i="6"/>
  <c r="AD662" i="7"/>
  <c r="EI95" i="6"/>
  <c r="EL46" i="6"/>
  <c r="EI48" i="6"/>
  <c r="DX76" i="11"/>
  <c r="DW76" i="11" s="1"/>
  <c r="AE177" i="12"/>
  <c r="DZ71" i="11"/>
  <c r="AC665" i="7"/>
  <c r="E229" i="2"/>
  <c r="AV229" i="2" s="1"/>
  <c r="AC687" i="7"/>
  <c r="AD232" i="12"/>
  <c r="AD735" i="7"/>
  <c r="AD737" i="7" s="1"/>
  <c r="EO46" i="6"/>
  <c r="EJ97" i="6"/>
  <c r="DV74" i="11" l="1"/>
  <c r="AD238" i="12" s="1"/>
  <c r="EP95" i="6"/>
  <c r="EP48" i="6"/>
  <c r="F209" i="2"/>
  <c r="J432" i="20"/>
  <c r="AA432" i="20" s="1"/>
  <c r="J431" i="20"/>
  <c r="AA431" i="20" s="1"/>
  <c r="F320" i="2"/>
  <c r="J426" i="20"/>
  <c r="AA426" i="20" s="1"/>
  <c r="J430" i="20"/>
  <c r="AA430" i="20" s="1"/>
  <c r="AW226" i="2"/>
  <c r="K426" i="20"/>
  <c r="AB426" i="20" s="1"/>
  <c r="AV209" i="2"/>
  <c r="I386" i="20"/>
  <c r="Z386" i="20" s="1"/>
  <c r="H386" i="20"/>
  <c r="Y386" i="20" s="1"/>
  <c r="H388" i="20"/>
  <c r="Y388" i="20" s="1"/>
  <c r="E237" i="2"/>
  <c r="AC594" i="7"/>
  <c r="EA71" i="11"/>
  <c r="AE236" i="12" s="1"/>
  <c r="AE229" i="12" s="1"/>
  <c r="DZ73" i="11"/>
  <c r="EA73" i="11" s="1"/>
  <c r="AE237" i="12" s="1"/>
  <c r="AE230" i="12" s="1"/>
  <c r="G128" i="2"/>
  <c r="G296" i="2" s="1"/>
  <c r="J146" i="20" s="1"/>
  <c r="AA146" i="20" s="1"/>
  <c r="ER46" i="6"/>
  <c r="EO95" i="6"/>
  <c r="EI97" i="6"/>
  <c r="AD664" i="7"/>
  <c r="AD587" i="7"/>
  <c r="AD603" i="7"/>
  <c r="AD574" i="7"/>
  <c r="E228" i="2"/>
  <c r="AD174" i="7"/>
  <c r="AC606" i="7"/>
  <c r="AD602" i="7"/>
  <c r="AD173" i="7"/>
  <c r="AC569" i="7"/>
  <c r="AC2" i="7" s="1"/>
  <c r="AC575" i="7"/>
  <c r="AE735" i="7" l="1"/>
  <c r="AE737" i="7" s="1"/>
  <c r="EU46" i="6"/>
  <c r="AE232" i="12"/>
  <c r="H433" i="20"/>
  <c r="Y433" i="20" s="1"/>
  <c r="AV237" i="2"/>
  <c r="AD605" i="7"/>
  <c r="AD592" i="7"/>
  <c r="AD589" i="7"/>
  <c r="G226" i="2"/>
  <c r="AE424" i="12"/>
  <c r="AE427" i="12" s="1"/>
  <c r="AE565" i="7"/>
  <c r="EV46" i="6"/>
  <c r="AE662" i="7"/>
  <c r="AE763" i="7"/>
  <c r="AE764" i="7" s="1"/>
  <c r="J386" i="20"/>
  <c r="AA386" i="20" s="1"/>
  <c r="K386" i="20"/>
  <c r="AB386" i="20" s="1"/>
  <c r="AW209" i="2"/>
  <c r="H435" i="20"/>
  <c r="Y435" i="20" s="1"/>
  <c r="AV228" i="2"/>
  <c r="AD665" i="7"/>
  <c r="F229" i="2"/>
  <c r="AW229" i="2" s="1"/>
  <c r="AD687" i="7"/>
  <c r="DZ74" i="11"/>
  <c r="G321" i="2"/>
  <c r="G322" i="2" s="1"/>
  <c r="J147" i="20" s="1"/>
  <c r="AA147" i="20" s="1"/>
  <c r="AX128" i="2"/>
  <c r="EP97" i="6"/>
  <c r="EU95" i="6" l="1"/>
  <c r="EX46" i="6"/>
  <c r="EV95" i="6"/>
  <c r="EV48" i="6"/>
  <c r="EA74" i="11"/>
  <c r="AE238" i="12" s="1"/>
  <c r="DZ76" i="11"/>
  <c r="DY76" i="11" s="1"/>
  <c r="L430" i="20"/>
  <c r="AC430" i="20" s="1"/>
  <c r="G320" i="2"/>
  <c r="AX226" i="2"/>
  <c r="L432" i="20"/>
  <c r="AC432" i="20" s="1"/>
  <c r="M426" i="20"/>
  <c r="AD426" i="20" s="1"/>
  <c r="L426" i="20"/>
  <c r="AC426" i="20" s="1"/>
  <c r="L431" i="20"/>
  <c r="AC431" i="20" s="1"/>
  <c r="F228" i="2"/>
  <c r="AD606" i="7"/>
  <c r="AE174" i="7"/>
  <c r="AE602" i="7"/>
  <c r="AE173" i="7"/>
  <c r="G209" i="2"/>
  <c r="AE664" i="7"/>
  <c r="AE587" i="7"/>
  <c r="AE574" i="7"/>
  <c r="AE603" i="7"/>
  <c r="F237" i="2"/>
  <c r="AD594" i="7"/>
  <c r="AE589" i="7" l="1"/>
  <c r="AE592" i="7"/>
  <c r="L386" i="20"/>
  <c r="AC386" i="20" s="1"/>
  <c r="AX209" i="2"/>
  <c r="M386" i="20"/>
  <c r="AD386" i="20" s="1"/>
  <c r="G229" i="2"/>
  <c r="AX229" i="2" s="1"/>
  <c r="AE665" i="7"/>
  <c r="AE687" i="7"/>
  <c r="AW237" i="2"/>
  <c r="J433" i="20"/>
  <c r="AA433" i="20" s="1"/>
  <c r="AE605" i="7"/>
  <c r="J435" i="20"/>
  <c r="AA435" i="20" s="1"/>
  <c r="AW228" i="2"/>
  <c r="EV97" i="6"/>
  <c r="G237" i="2" l="1"/>
  <c r="AE594" i="7"/>
  <c r="AE606" i="7"/>
  <c r="G228" i="2"/>
  <c r="AX228" i="2" l="1"/>
  <c r="L435" i="20"/>
  <c r="AC435" i="20" s="1"/>
  <c r="L433" i="20"/>
  <c r="AC433" i="20" s="1"/>
  <c r="AX237" i="2"/>
  <c r="DN16" i="11" l="1"/>
  <c r="DP16" i="11" l="1"/>
  <c r="DQ16" i="11" s="1"/>
  <c r="AC347" i="12" s="1"/>
  <c r="DS16" i="11" l="1"/>
  <c r="DU16" i="11" s="1"/>
  <c r="DV16" i="11" l="1"/>
  <c r="AD347" i="12" s="1"/>
  <c r="DX16" i="11"/>
  <c r="DZ16" i="11" l="1"/>
  <c r="EA16" i="11" l="1"/>
  <c r="AE347" i="12" s="1"/>
  <c r="AC138" i="12"/>
  <c r="DM25" i="11" s="1"/>
  <c r="AC171" i="12"/>
  <c r="DN12" i="11"/>
  <c r="DP11" i="11"/>
  <c r="DQ11" i="11" s="1"/>
  <c r="DP12" i="11" l="1"/>
  <c r="DP14" i="11" s="1"/>
  <c r="DQ14" i="11" s="1"/>
  <c r="AC139" i="12"/>
  <c r="DM26" i="11" s="1"/>
  <c r="DM12" i="11"/>
  <c r="AC78" i="12" s="1"/>
  <c r="AC72" i="12" s="1"/>
  <c r="DS11" i="11"/>
  <c r="DN14" i="11"/>
  <c r="AC73" i="12"/>
  <c r="E107" i="2"/>
  <c r="DO14" i="11" l="1"/>
  <c r="DQ12" i="11"/>
  <c r="DP17" i="11"/>
  <c r="AD140" i="12" s="1"/>
  <c r="DO12" i="11"/>
  <c r="CT146" i="17"/>
  <c r="AC74" i="12"/>
  <c r="AC152" i="12"/>
  <c r="AC92" i="12"/>
  <c r="AC98" i="12" s="1"/>
  <c r="H76" i="20"/>
  <c r="Y76" i="20" s="1"/>
  <c r="F28" i="20"/>
  <c r="W28" i="20" s="1"/>
  <c r="E315" i="2"/>
  <c r="E316" i="2" s="1"/>
  <c r="AV107" i="2"/>
  <c r="E290" i="2"/>
  <c r="E309" i="2"/>
  <c r="E310" i="2" s="1"/>
  <c r="DU11" i="11"/>
  <c r="AD171" i="12"/>
  <c r="DS12" i="11"/>
  <c r="AC141" i="12"/>
  <c r="DM28" i="11" s="1"/>
  <c r="AC95" i="12"/>
  <c r="AC2" i="12" s="1"/>
  <c r="DM4" i="11" s="1"/>
  <c r="DN17" i="11"/>
  <c r="DR78" i="11" l="1"/>
  <c r="AD138" i="12"/>
  <c r="DR25" i="11" s="1"/>
  <c r="AD134" i="12"/>
  <c r="DR21" i="11" s="1"/>
  <c r="AD136" i="12"/>
  <c r="DR23" i="11" s="1"/>
  <c r="AD142" i="12"/>
  <c r="DR29" i="11" s="1"/>
  <c r="AD137" i="12"/>
  <c r="DR24" i="11" s="1"/>
  <c r="DQ17" i="11"/>
  <c r="AC348" i="12" s="1"/>
  <c r="AC341" i="12" s="1"/>
  <c r="AD135" i="12"/>
  <c r="DR22" i="11" s="1"/>
  <c r="DM17" i="11"/>
  <c r="DM116" i="11" s="1"/>
  <c r="DN116" i="11" s="1"/>
  <c r="AC144" i="12"/>
  <c r="DM30" i="11" s="1"/>
  <c r="AC176" i="12"/>
  <c r="AD139" i="12"/>
  <c r="DR26" i="11" s="1"/>
  <c r="DR12" i="11"/>
  <c r="AD78" i="12" s="1"/>
  <c r="AD72" i="12" s="1"/>
  <c r="AD73" i="12"/>
  <c r="DS14" i="11"/>
  <c r="H65" i="20"/>
  <c r="Y65" i="20" s="1"/>
  <c r="F228" i="20"/>
  <c r="W228" i="20" s="1"/>
  <c r="DR27" i="11"/>
  <c r="F107" i="2"/>
  <c r="F290" i="2" s="1"/>
  <c r="DO17" i="11"/>
  <c r="DV11" i="11"/>
  <c r="DU12" i="11"/>
  <c r="DX11" i="11"/>
  <c r="F232" i="20"/>
  <c r="W232" i="20" s="1"/>
  <c r="H69" i="20"/>
  <c r="Y69" i="20" s="1"/>
  <c r="CT151" i="17"/>
  <c r="DE11" i="17" s="1"/>
  <c r="CS146" i="17"/>
  <c r="AC230" i="7" l="1"/>
  <c r="AC238" i="7"/>
  <c r="AC216" i="7"/>
  <c r="AD143" i="12"/>
  <c r="AC349" i="12"/>
  <c r="AC342" i="12" s="1"/>
  <c r="E236" i="2" s="1"/>
  <c r="AV236" i="2" s="1"/>
  <c r="AC217" i="7"/>
  <c r="AC244" i="7"/>
  <c r="AC245" i="7" s="1"/>
  <c r="AC218" i="7"/>
  <c r="AC231" i="7"/>
  <c r="AE171" i="12"/>
  <c r="DX12" i="11"/>
  <c r="DZ11" i="11"/>
  <c r="AD95" i="12"/>
  <c r="AD2" i="12" s="1"/>
  <c r="DR4" i="11" s="1"/>
  <c r="AD141" i="12"/>
  <c r="DR28" i="11" s="1"/>
  <c r="DS17" i="11"/>
  <c r="DR14" i="11"/>
  <c r="AD100" i="12" s="1"/>
  <c r="E112" i="2"/>
  <c r="DT12" i="11"/>
  <c r="DV12" i="11"/>
  <c r="DU14" i="11"/>
  <c r="F309" i="2"/>
  <c r="F310" i="2" s="1"/>
  <c r="F315" i="2"/>
  <c r="F316" i="2" s="1"/>
  <c r="G28" i="20"/>
  <c r="X28" i="20" s="1"/>
  <c r="AW107" i="2"/>
  <c r="AC243" i="12"/>
  <c r="AC346" i="7"/>
  <c r="AC28" i="7"/>
  <c r="AC640" i="7"/>
  <c r="AC578" i="7"/>
  <c r="AC158" i="7"/>
  <c r="AC678" i="7"/>
  <c r="AC557" i="7"/>
  <c r="AC368" i="7"/>
  <c r="AC194" i="7"/>
  <c r="AC765" i="7"/>
  <c r="AC387" i="7"/>
  <c r="AC448" i="7"/>
  <c r="AC671" i="7"/>
  <c r="AC63" i="7"/>
  <c r="AC450" i="7"/>
  <c r="AC612" i="7"/>
  <c r="AC367" i="7"/>
  <c r="AC230" i="8"/>
  <c r="AC639" i="7"/>
  <c r="AC471" i="7"/>
  <c r="AC579" i="7"/>
  <c r="AC222" i="7"/>
  <c r="AC509" i="7"/>
  <c r="AC532" i="7"/>
  <c r="AC388" i="7"/>
  <c r="AC281" i="7"/>
  <c r="AC224" i="7"/>
  <c r="AC234" i="8"/>
  <c r="AC510" i="7"/>
  <c r="AC343" i="7"/>
  <c r="AC282" i="7"/>
  <c r="AC555" i="7"/>
  <c r="AC369" i="7"/>
  <c r="AC195" i="7"/>
  <c r="AC390" i="7"/>
  <c r="AC641" i="7"/>
  <c r="AC29" i="7"/>
  <c r="AC468" i="12"/>
  <c r="AC225" i="7"/>
  <c r="AC317" i="7"/>
  <c r="AC67" i="7"/>
  <c r="AC229" i="8"/>
  <c r="AC62" i="7"/>
  <c r="AC674" i="7"/>
  <c r="AC411" i="7"/>
  <c r="AC470" i="12"/>
  <c r="AC472" i="7"/>
  <c r="AC599" i="7"/>
  <c r="AC637" i="7"/>
  <c r="AC241" i="12"/>
  <c r="AC284" i="7"/>
  <c r="AC316" i="7"/>
  <c r="AC233" i="8"/>
  <c r="AC342" i="7"/>
  <c r="AC512" i="7"/>
  <c r="AC636" i="7"/>
  <c r="AC452" i="7"/>
  <c r="AC157" i="7"/>
  <c r="AC221" i="7"/>
  <c r="AC471" i="12"/>
  <c r="AC313" i="7"/>
  <c r="AC598" i="7"/>
  <c r="AC314" i="7"/>
  <c r="AC507" i="7"/>
  <c r="AC798" i="7"/>
  <c r="AC410" i="7"/>
  <c r="AC160" i="7"/>
  <c r="AC472" i="12"/>
  <c r="AC345" i="7"/>
  <c r="AC156" i="7"/>
  <c r="AC348" i="7"/>
  <c r="AC130" i="7"/>
  <c r="AC635" i="7"/>
  <c r="AC611" i="7"/>
  <c r="AC30" i="7"/>
  <c r="AC673" i="7"/>
  <c r="AC340" i="12"/>
  <c r="AC232" i="8"/>
  <c r="AC473" i="12"/>
  <c r="AC511" i="7"/>
  <c r="AC446" i="7"/>
  <c r="AC513" i="7"/>
  <c r="AC128" i="7"/>
  <c r="AC534" i="7"/>
  <c r="AC27" i="7"/>
  <c r="AC675" i="7"/>
  <c r="AC556" i="7"/>
  <c r="AC676" i="7"/>
  <c r="AC506" i="7"/>
  <c r="AC581" i="7"/>
  <c r="AC127" i="7"/>
  <c r="AC642" i="7"/>
  <c r="AC347" i="7"/>
  <c r="AC66" i="7"/>
  <c r="AC31" i="7"/>
  <c r="AC677" i="7"/>
  <c r="AC26" i="7"/>
  <c r="AC64" i="7"/>
  <c r="AC285" i="7"/>
  <c r="AC159" i="7"/>
  <c r="AC192" i="7"/>
  <c r="AC223" i="7"/>
  <c r="AC672" i="7"/>
  <c r="AC554" i="7"/>
  <c r="AC698" i="7"/>
  <c r="AC699" i="7" s="1"/>
  <c r="AC129" i="7"/>
  <c r="AC408" i="7"/>
  <c r="AC280" i="7"/>
  <c r="AC447" i="7"/>
  <c r="AC451" i="7"/>
  <c r="AC469" i="12"/>
  <c r="AC283" i="7"/>
  <c r="AC669" i="7"/>
  <c r="AC535" i="7"/>
  <c r="AC796" i="7"/>
  <c r="AC473" i="7"/>
  <c r="AC505" i="7"/>
  <c r="AC315" i="7"/>
  <c r="AC621" i="7"/>
  <c r="AC508" i="7"/>
  <c r="AC470" i="7"/>
  <c r="AC366" i="7"/>
  <c r="AC638" i="7"/>
  <c r="AC232" i="7"/>
  <c r="AC580" i="7"/>
  <c r="AC668" i="7"/>
  <c r="AC155" i="7"/>
  <c r="AC445" i="7"/>
  <c r="AC533" i="7"/>
  <c r="AC231" i="8"/>
  <c r="AC279" i="7"/>
  <c r="AC389" i="7"/>
  <c r="AC670" i="7"/>
  <c r="U6" i="21"/>
  <c r="AC240" i="7"/>
  <c r="AC244" i="12"/>
  <c r="AC449" i="7"/>
  <c r="AC444" i="7"/>
  <c r="AC409" i="7"/>
  <c r="AC242" i="12"/>
  <c r="AC65" i="7"/>
  <c r="AC597" i="7"/>
  <c r="AC193" i="7"/>
  <c r="AC344" i="7"/>
  <c r="AC246" i="7"/>
  <c r="AC607" i="7"/>
  <c r="AC613" i="7" s="1"/>
  <c r="AC456" i="12"/>
  <c r="EG5" i="6"/>
  <c r="E147" i="2"/>
  <c r="I76" i="20" s="1"/>
  <c r="Z76" i="20" s="1"/>
  <c r="DP116" i="11"/>
  <c r="AC239" i="7"/>
  <c r="AD152" i="12"/>
  <c r="AD92" i="12"/>
  <c r="AD98" i="12" s="1"/>
  <c r="CX146" i="17"/>
  <c r="EG54" i="6" l="1"/>
  <c r="EK49" i="6"/>
  <c r="EI49" i="6"/>
  <c r="EJ49" i="6"/>
  <c r="EH49" i="6"/>
  <c r="EG8" i="6"/>
  <c r="AD112" i="12"/>
  <c r="AD94" i="12"/>
  <c r="EA11" i="11"/>
  <c r="DZ12" i="11"/>
  <c r="AC459" i="12"/>
  <c r="U9" i="21"/>
  <c r="U10" i="21" s="1"/>
  <c r="AC241" i="7"/>
  <c r="G232" i="20"/>
  <c r="X232" i="20" s="1"/>
  <c r="I69" i="20"/>
  <c r="Z69" i="20" s="1"/>
  <c r="AD144" i="12"/>
  <c r="DR30" i="11" s="1"/>
  <c r="AD176" i="12"/>
  <c r="DR17" i="11"/>
  <c r="AE73" i="12"/>
  <c r="DW12" i="11"/>
  <c r="AE78" i="12" s="1"/>
  <c r="AE72" i="12" s="1"/>
  <c r="DX14" i="11"/>
  <c r="DO116" i="11"/>
  <c r="DQ116" i="11"/>
  <c r="AC610" i="7"/>
  <c r="U25" i="21"/>
  <c r="U7" i="21"/>
  <c r="U24" i="21"/>
  <c r="G228" i="20"/>
  <c r="X228" i="20" s="1"/>
  <c r="I65" i="20"/>
  <c r="Z65" i="20" s="1"/>
  <c r="AV112" i="2"/>
  <c r="E295" i="2"/>
  <c r="F257" i="20" s="1"/>
  <c r="W257" i="20" s="1"/>
  <c r="G107" i="2"/>
  <c r="AC233" i="7"/>
  <c r="CW146" i="17"/>
  <c r="CX151" i="17"/>
  <c r="DG11" i="17" s="1"/>
  <c r="I195" i="20"/>
  <c r="Z195" i="20" s="1"/>
  <c r="I433" i="20"/>
  <c r="Z433" i="20" s="1"/>
  <c r="I429" i="20"/>
  <c r="Z429" i="20" s="1"/>
  <c r="H389" i="20"/>
  <c r="Y389" i="20" s="1"/>
  <c r="I436" i="20"/>
  <c r="Z436" i="20" s="1"/>
  <c r="I438" i="20"/>
  <c r="Z438" i="20" s="1"/>
  <c r="I201" i="20"/>
  <c r="Z201" i="20" s="1"/>
  <c r="G460" i="20"/>
  <c r="X460" i="20" s="1"/>
  <c r="AV147" i="2"/>
  <c r="I439" i="20"/>
  <c r="Z439" i="20" s="1"/>
  <c r="G513" i="20"/>
  <c r="X513" i="20" s="1"/>
  <c r="H187" i="20"/>
  <c r="Y187" i="20" s="1"/>
  <c r="H385" i="20"/>
  <c r="Y385" i="20" s="1"/>
  <c r="G518" i="20"/>
  <c r="X518" i="20" s="1"/>
  <c r="F40" i="20"/>
  <c r="W40" i="20" s="1"/>
  <c r="H178" i="20"/>
  <c r="Y178" i="20" s="1"/>
  <c r="H195" i="20"/>
  <c r="Y195" i="20" s="1"/>
  <c r="I431" i="20"/>
  <c r="Z431" i="20" s="1"/>
  <c r="H424" i="20"/>
  <c r="Y424" i="20" s="1"/>
  <c r="H354" i="20"/>
  <c r="Y354" i="20" s="1"/>
  <c r="F45" i="20"/>
  <c r="W45" i="20" s="1"/>
  <c r="I196" i="20"/>
  <c r="Z196" i="20" s="1"/>
  <c r="I75" i="20"/>
  <c r="Z75" i="20" s="1"/>
  <c r="G458" i="20"/>
  <c r="X458" i="20" s="1"/>
  <c r="I187" i="20"/>
  <c r="Z187" i="20" s="1"/>
  <c r="G503" i="20"/>
  <c r="X503" i="20" s="1"/>
  <c r="H196" i="20"/>
  <c r="Y196" i="20" s="1"/>
  <c r="G467" i="20"/>
  <c r="X467" i="20" s="1"/>
  <c r="F43" i="20"/>
  <c r="W43" i="20" s="1"/>
  <c r="I192" i="20"/>
  <c r="Z192" i="20" s="1"/>
  <c r="I77" i="20"/>
  <c r="Z77" i="20" s="1"/>
  <c r="H192" i="20"/>
  <c r="Y192" i="20" s="1"/>
  <c r="G461" i="20"/>
  <c r="X461" i="20" s="1"/>
  <c r="G509" i="20"/>
  <c r="X509" i="20" s="1"/>
  <c r="H201" i="20"/>
  <c r="Y201" i="20" s="1"/>
  <c r="G515" i="20"/>
  <c r="X515" i="20" s="1"/>
  <c r="F41" i="20"/>
  <c r="W41" i="20" s="1"/>
  <c r="I430" i="20"/>
  <c r="Z430" i="20" s="1"/>
  <c r="G455" i="20"/>
  <c r="X455" i="20" s="1"/>
  <c r="I435" i="20"/>
  <c r="Z435" i="20" s="1"/>
  <c r="G507" i="20"/>
  <c r="X507" i="20" s="1"/>
  <c r="I432" i="20"/>
  <c r="Z432" i="20" s="1"/>
  <c r="I440" i="20"/>
  <c r="Z440" i="20" s="1"/>
  <c r="AC247" i="7"/>
  <c r="DT14" i="11"/>
  <c r="DV14" i="11"/>
  <c r="DU17" i="11"/>
  <c r="F254" i="20" l="1"/>
  <c r="W254" i="20" s="1"/>
  <c r="F259" i="20"/>
  <c r="W259" i="20" s="1"/>
  <c r="F258" i="20"/>
  <c r="W258" i="20" s="1"/>
  <c r="F253" i="20"/>
  <c r="W253" i="20" s="1"/>
  <c r="F256" i="20"/>
  <c r="W256" i="20" s="1"/>
  <c r="F236" i="20"/>
  <c r="W236" i="20" s="1"/>
  <c r="AE134" i="12"/>
  <c r="DW21" i="11" s="1"/>
  <c r="AE137" i="12"/>
  <c r="DW24" i="11" s="1"/>
  <c r="AE136" i="12"/>
  <c r="DW23" i="11" s="1"/>
  <c r="AE140" i="12"/>
  <c r="DV17" i="11"/>
  <c r="AD348" i="12" s="1"/>
  <c r="DT17" i="11"/>
  <c r="DT116" i="11" s="1"/>
  <c r="DT119" i="11" s="1"/>
  <c r="AE142" i="12"/>
  <c r="DW29" i="11" s="1"/>
  <c r="AE135" i="12"/>
  <c r="DW22" i="11" s="1"/>
  <c r="AE138" i="12"/>
  <c r="DW25" i="11" s="1"/>
  <c r="F112" i="2"/>
  <c r="AW112" i="2" s="1"/>
  <c r="EA12" i="11"/>
  <c r="DY12" i="11"/>
  <c r="DZ14" i="11"/>
  <c r="EG12" i="6"/>
  <c r="EG61" i="6" s="1"/>
  <c r="EL8" i="6"/>
  <c r="EL57" i="6" s="1"/>
  <c r="EG57" i="6"/>
  <c r="DB146" i="17"/>
  <c r="AE152" i="12"/>
  <c r="AE92" i="12"/>
  <c r="AE98" i="12" s="1"/>
  <c r="AD154" i="12"/>
  <c r="AD122" i="12"/>
  <c r="AD128" i="12" s="1"/>
  <c r="CX203" i="17"/>
  <c r="G315" i="2"/>
  <c r="G316" i="2" s="1"/>
  <c r="AX107" i="2"/>
  <c r="G309" i="2"/>
  <c r="G310" i="2" s="1"/>
  <c r="H28" i="20"/>
  <c r="Y28" i="20" s="1"/>
  <c r="G290" i="2"/>
  <c r="AE139" i="12"/>
  <c r="DW26" i="11" s="1"/>
  <c r="F33" i="20"/>
  <c r="W33" i="20" s="1"/>
  <c r="F29" i="20"/>
  <c r="W29" i="20" s="1"/>
  <c r="H73" i="20"/>
  <c r="Y73" i="20" s="1"/>
  <c r="AE95" i="12"/>
  <c r="AE2" i="12" s="1"/>
  <c r="DW4" i="11" s="1"/>
  <c r="AE141" i="12"/>
  <c r="DW28" i="11" s="1"/>
  <c r="DX17" i="11"/>
  <c r="DW14" i="11"/>
  <c r="AE100" i="12" s="1"/>
  <c r="AE112" i="12" s="1"/>
  <c r="DR116" i="11"/>
  <c r="DS116" i="11" s="1"/>
  <c r="AD131" i="12"/>
  <c r="F255" i="20" l="1"/>
  <c r="W255" i="20" s="1"/>
  <c r="DU116" i="11"/>
  <c r="DV116" i="11" s="1"/>
  <c r="AE94" i="12"/>
  <c r="DB203" i="17" s="1"/>
  <c r="AD45" i="8"/>
  <c r="AD71" i="8"/>
  <c r="AD73" i="8"/>
  <c r="AD69" i="8"/>
  <c r="AD125" i="12"/>
  <c r="DW27" i="11"/>
  <c r="AE143" i="12"/>
  <c r="CX208" i="17"/>
  <c r="DG13" i="17" s="1"/>
  <c r="CW203" i="17"/>
  <c r="J69" i="20"/>
  <c r="AA69" i="20" s="1"/>
  <c r="H232" i="20"/>
  <c r="Y232" i="20" s="1"/>
  <c r="H228" i="20"/>
  <c r="Y228" i="20" s="1"/>
  <c r="J65" i="20"/>
  <c r="AA65" i="20" s="1"/>
  <c r="F295" i="2"/>
  <c r="AE144" i="12"/>
  <c r="DW30" i="11" s="1"/>
  <c r="DW17" i="11"/>
  <c r="AE176" i="12"/>
  <c r="DA146" i="17"/>
  <c r="DB151" i="17"/>
  <c r="DY14" i="11"/>
  <c r="DZ17" i="11"/>
  <c r="EA14" i="11"/>
  <c r="AD244" i="7"/>
  <c r="AD216" i="7"/>
  <c r="AD217" i="7"/>
  <c r="AD230" i="7"/>
  <c r="AD218" i="7"/>
  <c r="AD349" i="12"/>
  <c r="AD342" i="12" s="1"/>
  <c r="AD238" i="7"/>
  <c r="AD341" i="12"/>
  <c r="AE154" i="12" l="1"/>
  <c r="AE122" i="12"/>
  <c r="AE128" i="12" s="1"/>
  <c r="DU119" i="11"/>
  <c r="DS119" i="11" s="1"/>
  <c r="AD231" i="7"/>
  <c r="AD70" i="8"/>
  <c r="G112" i="2"/>
  <c r="AX112" i="2" s="1"/>
  <c r="AD74" i="8"/>
  <c r="F236" i="2"/>
  <c r="AW236" i="2" s="1"/>
  <c r="AE131" i="12"/>
  <c r="DW116" i="11"/>
  <c r="DX116" i="11" s="1"/>
  <c r="DA203" i="17"/>
  <c r="DB208" i="17"/>
  <c r="AD72" i="8"/>
  <c r="AD510" i="7"/>
  <c r="AD158" i="7"/>
  <c r="AD230" i="8"/>
  <c r="AD240" i="7"/>
  <c r="AD471" i="12"/>
  <c r="AD244" i="12"/>
  <c r="AD535" i="7"/>
  <c r="AD30" i="7"/>
  <c r="AD280" i="7"/>
  <c r="AD509" i="7"/>
  <c r="AD231" i="8"/>
  <c r="AD194" i="7"/>
  <c r="AD674" i="7"/>
  <c r="AD345" i="7"/>
  <c r="AD279" i="7"/>
  <c r="AD67" i="7"/>
  <c r="AD129" i="7"/>
  <c r="AD533" i="7"/>
  <c r="AD449" i="7"/>
  <c r="AD448" i="7"/>
  <c r="AD242" i="12"/>
  <c r="AD66" i="7"/>
  <c r="AD798" i="7"/>
  <c r="AD157" i="7"/>
  <c r="AD65" i="7"/>
  <c r="AD62" i="7"/>
  <c r="AD282" i="7"/>
  <c r="AD450" i="7"/>
  <c r="AD638" i="7"/>
  <c r="AD26" i="7"/>
  <c r="AD408" i="7"/>
  <c r="AD621" i="7"/>
  <c r="AD578" i="7"/>
  <c r="AD796" i="7"/>
  <c r="AD232" i="7"/>
  <c r="AD469" i="12"/>
  <c r="AD556" i="7"/>
  <c r="AD445" i="7"/>
  <c r="AD284" i="7"/>
  <c r="AD28" i="7"/>
  <c r="AD192" i="7"/>
  <c r="AD316" i="7"/>
  <c r="AD281" i="7"/>
  <c r="AD472" i="7"/>
  <c r="AD31" i="7"/>
  <c r="AD314" i="7"/>
  <c r="AD29" i="7"/>
  <c r="AD246" i="7"/>
  <c r="AD313" i="7"/>
  <c r="AD532" i="7"/>
  <c r="AD507" i="7"/>
  <c r="AD446" i="7"/>
  <c r="AD470" i="12"/>
  <c r="AD468" i="12"/>
  <c r="AD669" i="7"/>
  <c r="AD513" i="7"/>
  <c r="AD160" i="7"/>
  <c r="AD554" i="7"/>
  <c r="AD597" i="7"/>
  <c r="AD639" i="7"/>
  <c r="AD508" i="7"/>
  <c r="AD642" i="7"/>
  <c r="AD447" i="7"/>
  <c r="AD229" i="8"/>
  <c r="AD580" i="7"/>
  <c r="AD241" i="12"/>
  <c r="AD315" i="7"/>
  <c r="AD557" i="7"/>
  <c r="AD505" i="7"/>
  <c r="AD673" i="7"/>
  <c r="AD343" i="7"/>
  <c r="AD637" i="7"/>
  <c r="AD347" i="7"/>
  <c r="AD387" i="7"/>
  <c r="AD636" i="7"/>
  <c r="AD222" i="7"/>
  <c r="AD283" i="7"/>
  <c r="AD127" i="7"/>
  <c r="AD678" i="7"/>
  <c r="AD243" i="12"/>
  <c r="AD765" i="7"/>
  <c r="AD452" i="7"/>
  <c r="AD285" i="7"/>
  <c r="AD234" i="8"/>
  <c r="AD472" i="12"/>
  <c r="AD155" i="7"/>
  <c r="AD27" i="7"/>
  <c r="AD342" i="7"/>
  <c r="AD63" i="7"/>
  <c r="AD641" i="7"/>
  <c r="AD444" i="7"/>
  <c r="AD675" i="7"/>
  <c r="AD555" i="7"/>
  <c r="AD668" i="7"/>
  <c r="AD635" i="7"/>
  <c r="AD225" i="7"/>
  <c r="AD346" i="7"/>
  <c r="AD451" i="7"/>
  <c r="AD612" i="7"/>
  <c r="AD506" i="7"/>
  <c r="AD159" i="7"/>
  <c r="AD640" i="7"/>
  <c r="AD671" i="7"/>
  <c r="AD389" i="7"/>
  <c r="AD534" i="7"/>
  <c r="AD410" i="7"/>
  <c r="AD232" i="8"/>
  <c r="AD672" i="7"/>
  <c r="AD317" i="7"/>
  <c r="AD677" i="7"/>
  <c r="AD340" i="12"/>
  <c r="AD223" i="7"/>
  <c r="AD676" i="7"/>
  <c r="AD473" i="12"/>
  <c r="AD156" i="7"/>
  <c r="AD599" i="7"/>
  <c r="AD411" i="7"/>
  <c r="AD221" i="7"/>
  <c r="AD348" i="7"/>
  <c r="AD366" i="7"/>
  <c r="AD511" i="7"/>
  <c r="AD64" i="7"/>
  <c r="AD409" i="7"/>
  <c r="AD224" i="7"/>
  <c r="AD598" i="7"/>
  <c r="AD344" i="7"/>
  <c r="AD470" i="7"/>
  <c r="AD611" i="7"/>
  <c r="AD670" i="7"/>
  <c r="AD233" i="8"/>
  <c r="AD368" i="7"/>
  <c r="AD512" i="7"/>
  <c r="AD456" i="12"/>
  <c r="AD459" i="12" s="1"/>
  <c r="AD607" i="7"/>
  <c r="AD613" i="7" s="1"/>
  <c r="EM5" i="6"/>
  <c r="F147" i="2"/>
  <c r="AD698" i="7"/>
  <c r="AD699" i="7" s="1"/>
  <c r="AD88" i="7"/>
  <c r="G29" i="20"/>
  <c r="X29" i="20" s="1"/>
  <c r="G33" i="20"/>
  <c r="X33" i="20" s="1"/>
  <c r="I73" i="20"/>
  <c r="Z73" i="20" s="1"/>
  <c r="AD239" i="7"/>
  <c r="EA17" i="11"/>
  <c r="AE348" i="12" s="1"/>
  <c r="AE341" i="12" s="1"/>
  <c r="DY17" i="11"/>
  <c r="DY116" i="11" s="1"/>
  <c r="DY119" i="11" s="1"/>
  <c r="AD245" i="7"/>
  <c r="AD156" i="12"/>
  <c r="CX260" i="17"/>
  <c r="DV119" i="11" l="1"/>
  <c r="CW260" i="17"/>
  <c r="CX265" i="17"/>
  <c r="DG15" i="17" s="1"/>
  <c r="K195" i="20"/>
  <c r="AB195" i="20" s="1"/>
  <c r="G259" i="20"/>
  <c r="X259" i="20" s="1"/>
  <c r="I458" i="20"/>
  <c r="Z458" i="20" s="1"/>
  <c r="AW147" i="2"/>
  <c r="K432" i="20"/>
  <c r="AB432" i="20" s="1"/>
  <c r="J75" i="20"/>
  <c r="AA75" i="20" s="1"/>
  <c r="J192" i="20"/>
  <c r="AA192" i="20" s="1"/>
  <c r="J201" i="20"/>
  <c r="AA201" i="20" s="1"/>
  <c r="K433" i="20"/>
  <c r="AB433" i="20" s="1"/>
  <c r="G258" i="20"/>
  <c r="X258" i="20" s="1"/>
  <c r="K429" i="20"/>
  <c r="AB429" i="20" s="1"/>
  <c r="K435" i="20"/>
  <c r="AB435" i="20" s="1"/>
  <c r="I461" i="20"/>
  <c r="Z461" i="20" s="1"/>
  <c r="J77" i="20"/>
  <c r="AA77" i="20" s="1"/>
  <c r="I460" i="20"/>
  <c r="Z460" i="20" s="1"/>
  <c r="J196" i="20"/>
  <c r="AA196" i="20" s="1"/>
  <c r="I515" i="20"/>
  <c r="Z515" i="20" s="1"/>
  <c r="K201" i="20"/>
  <c r="AB201" i="20" s="1"/>
  <c r="J354" i="20"/>
  <c r="AA354" i="20" s="1"/>
  <c r="K438" i="20"/>
  <c r="AB438" i="20" s="1"/>
  <c r="K431" i="20"/>
  <c r="AB431" i="20" s="1"/>
  <c r="G45" i="20"/>
  <c r="X45" i="20" s="1"/>
  <c r="K192" i="20"/>
  <c r="AB192" i="20" s="1"/>
  <c r="G257" i="20"/>
  <c r="X257" i="20" s="1"/>
  <c r="G236" i="20"/>
  <c r="X236" i="20" s="1"/>
  <c r="I518" i="20"/>
  <c r="Z518" i="20" s="1"/>
  <c r="J178" i="20"/>
  <c r="AA178" i="20" s="1"/>
  <c r="G40" i="20"/>
  <c r="X40" i="20" s="1"/>
  <c r="G43" i="20"/>
  <c r="X43" i="20" s="1"/>
  <c r="I507" i="20"/>
  <c r="Z507" i="20" s="1"/>
  <c r="G253" i="20"/>
  <c r="I509" i="20"/>
  <c r="Z509" i="20" s="1"/>
  <c r="G256" i="20"/>
  <c r="X256" i="20" s="1"/>
  <c r="I467" i="20"/>
  <c r="Z467" i="20" s="1"/>
  <c r="K430" i="20"/>
  <c r="AB430" i="20" s="1"/>
  <c r="J195" i="20"/>
  <c r="AA195" i="20" s="1"/>
  <c r="J424" i="20"/>
  <c r="AA424" i="20" s="1"/>
  <c r="K436" i="20"/>
  <c r="AB436" i="20" s="1"/>
  <c r="K440" i="20"/>
  <c r="AB440" i="20" s="1"/>
  <c r="I455" i="20"/>
  <c r="Z455" i="20" s="1"/>
  <c r="K439" i="20"/>
  <c r="AB439" i="20" s="1"/>
  <c r="K196" i="20"/>
  <c r="AB196" i="20" s="1"/>
  <c r="J187" i="20"/>
  <c r="AA187" i="20" s="1"/>
  <c r="I513" i="20"/>
  <c r="Z513" i="20" s="1"/>
  <c r="G254" i="20"/>
  <c r="X254" i="20" s="1"/>
  <c r="I503" i="20"/>
  <c r="Z503" i="20" s="1"/>
  <c r="K187" i="20"/>
  <c r="AB187" i="20" s="1"/>
  <c r="J76" i="20"/>
  <c r="AA76" i="20" s="1"/>
  <c r="AE69" i="8"/>
  <c r="AE70" i="8" s="1"/>
  <c r="AE71" i="8"/>
  <c r="AE72" i="8" s="1"/>
  <c r="AE45" i="8"/>
  <c r="AE73" i="8"/>
  <c r="AE74" i="8" s="1"/>
  <c r="EN49" i="6"/>
  <c r="EQ49" i="6"/>
  <c r="EM54" i="6"/>
  <c r="EP49" i="6"/>
  <c r="EM8" i="6"/>
  <c r="AD247" i="7"/>
  <c r="AE238" i="7"/>
  <c r="AE239" i="7" s="1"/>
  <c r="AE216" i="7"/>
  <c r="AE217" i="7"/>
  <c r="AE244" i="7"/>
  <c r="AE245" i="7" s="1"/>
  <c r="AE218" i="7"/>
  <c r="AE230" i="7"/>
  <c r="AE231" i="7" s="1"/>
  <c r="AE349" i="12"/>
  <c r="AE342" i="12" s="1"/>
  <c r="AD100" i="7"/>
  <c r="AD95" i="7"/>
  <c r="AD101" i="7"/>
  <c r="F157" i="2"/>
  <c r="AW157" i="2" s="1"/>
  <c r="AD78" i="7"/>
  <c r="AD98" i="7"/>
  <c r="AD352" i="12"/>
  <c r="AD355" i="12" s="1"/>
  <c r="AD610" i="7"/>
  <c r="AD233" i="7"/>
  <c r="AE125" i="12"/>
  <c r="G295" i="2"/>
  <c r="AE232" i="7"/>
  <c r="AE233" i="7" s="1"/>
  <c r="AE26" i="7"/>
  <c r="AE506" i="7"/>
  <c r="AE554" i="7"/>
  <c r="AE509" i="7"/>
  <c r="AE281" i="7"/>
  <c r="AE192" i="7"/>
  <c r="AE348" i="7"/>
  <c r="AE233" i="8"/>
  <c r="AE621" i="7"/>
  <c r="AE638" i="7"/>
  <c r="AE452" i="7"/>
  <c r="AE678" i="7"/>
  <c r="AE765" i="7"/>
  <c r="AE313" i="7"/>
  <c r="AE27" i="7"/>
  <c r="AE448" i="7"/>
  <c r="AE675" i="7"/>
  <c r="AE533" i="7"/>
  <c r="AE597" i="7"/>
  <c r="AE508" i="7"/>
  <c r="AE451" i="7"/>
  <c r="AE346" i="7"/>
  <c r="AE158" i="7"/>
  <c r="AE599" i="7"/>
  <c r="AE637" i="7"/>
  <c r="AE240" i="7"/>
  <c r="AE241" i="7" s="1"/>
  <c r="AE505" i="7"/>
  <c r="AE555" i="7"/>
  <c r="AE317" i="7"/>
  <c r="AE231" i="8"/>
  <c r="AE224" i="7"/>
  <c r="AE468" i="12"/>
  <c r="AE129" i="7"/>
  <c r="AE446" i="7"/>
  <c r="AE640" i="7"/>
  <c r="AE246" i="7"/>
  <c r="AE247" i="7" s="1"/>
  <c r="AE642" i="7"/>
  <c r="AE408" i="7"/>
  <c r="AE532" i="7"/>
  <c r="AE242" i="12"/>
  <c r="AE65" i="7"/>
  <c r="AE67" i="7"/>
  <c r="AE234" i="8"/>
  <c r="AE578" i="7"/>
  <c r="AE347" i="7"/>
  <c r="AE241" i="12"/>
  <c r="AE387" i="7"/>
  <c r="AE225" i="7"/>
  <c r="AE157" i="7"/>
  <c r="AE668" i="7"/>
  <c r="AE510" i="7"/>
  <c r="AE243" i="12"/>
  <c r="AE639" i="7"/>
  <c r="AE344" i="7"/>
  <c r="AE580" i="7"/>
  <c r="AE470" i="12"/>
  <c r="AE282" i="7"/>
  <c r="AE28" i="7"/>
  <c r="AE285" i="7"/>
  <c r="AE673" i="7"/>
  <c r="AE636" i="7"/>
  <c r="AE534" i="7"/>
  <c r="AE796" i="7"/>
  <c r="AE472" i="7"/>
  <c r="AE512" i="7"/>
  <c r="AE669" i="7"/>
  <c r="AE471" i="12"/>
  <c r="AE345" i="7"/>
  <c r="AE611" i="7"/>
  <c r="AE156" i="7"/>
  <c r="AE221" i="7"/>
  <c r="AE342" i="7"/>
  <c r="AE409" i="7"/>
  <c r="AE315" i="7"/>
  <c r="AE511" i="7"/>
  <c r="AE66" i="7"/>
  <c r="AE29" i="7"/>
  <c r="AE159" i="7"/>
  <c r="AE677" i="7"/>
  <c r="AE127" i="7"/>
  <c r="AE676" i="7"/>
  <c r="AE194" i="7"/>
  <c r="AE469" i="12"/>
  <c r="AE314" i="7"/>
  <c r="AE635" i="7"/>
  <c r="AE389" i="7"/>
  <c r="AE366" i="7"/>
  <c r="AE472" i="12"/>
  <c r="AE64" i="7"/>
  <c r="AE31" i="7"/>
  <c r="AE473" i="12"/>
  <c r="AE62" i="7"/>
  <c r="AE340" i="12"/>
  <c r="AE368" i="7"/>
  <c r="AE343" i="7"/>
  <c r="AE316" i="7"/>
  <c r="AE244" i="12"/>
  <c r="AE280" i="7"/>
  <c r="AE556" i="7"/>
  <c r="AE30" i="7"/>
  <c r="AE223" i="7"/>
  <c r="AE449" i="7"/>
  <c r="AE411" i="7"/>
  <c r="AE507" i="7"/>
  <c r="AE557" i="7"/>
  <c r="AE513" i="7"/>
  <c r="AE230" i="8"/>
  <c r="AE445" i="7"/>
  <c r="AE598" i="7"/>
  <c r="AE535" i="7"/>
  <c r="AE410" i="7"/>
  <c r="AE284" i="7"/>
  <c r="AE641" i="7"/>
  <c r="AE470" i="7"/>
  <c r="AE798" i="7"/>
  <c r="AE444" i="7"/>
  <c r="AE155" i="7"/>
  <c r="AE698" i="7"/>
  <c r="AE699" i="7" s="1"/>
  <c r="AE607" i="7"/>
  <c r="AE613" i="7" s="1"/>
  <c r="AE232" i="8"/>
  <c r="AE160" i="7"/>
  <c r="AE447" i="7"/>
  <c r="AE674" i="7"/>
  <c r="AE672" i="7"/>
  <c r="AE450" i="7"/>
  <c r="AE612" i="7"/>
  <c r="AE229" i="8"/>
  <c r="AE670" i="7"/>
  <c r="AE283" i="7"/>
  <c r="ES5" i="6"/>
  <c r="G147" i="2"/>
  <c r="AE88" i="7"/>
  <c r="AE63" i="7"/>
  <c r="AE671" i="7"/>
  <c r="AE279" i="7"/>
  <c r="AE222" i="7"/>
  <c r="AD241" i="7"/>
  <c r="AD179" i="12"/>
  <c r="DR119" i="11"/>
  <c r="AD162" i="12" s="1"/>
  <c r="AD159" i="12" s="1"/>
  <c r="DZ116" i="11"/>
  <c r="AD243" i="8" l="1"/>
  <c r="AD245" i="8" s="1"/>
  <c r="AE101" i="7"/>
  <c r="AE100" i="7"/>
  <c r="AE98" i="7"/>
  <c r="AE95" i="7"/>
  <c r="AE352" i="12"/>
  <c r="AE355" i="12" s="1"/>
  <c r="G157" i="2"/>
  <c r="AX157" i="2" s="1"/>
  <c r="AE78" i="7"/>
  <c r="DB260" i="17"/>
  <c r="AE156" i="12"/>
  <c r="G236" i="2"/>
  <c r="AX236" i="2" s="1"/>
  <c r="F158" i="2"/>
  <c r="L196" i="20"/>
  <c r="AC196" i="20" s="1"/>
  <c r="AX147" i="2"/>
  <c r="K461" i="20"/>
  <c r="AB461" i="20" s="1"/>
  <c r="L178" i="20"/>
  <c r="AC178" i="20" s="1"/>
  <c r="H258" i="20"/>
  <c r="Y258" i="20" s="1"/>
  <c r="M430" i="20"/>
  <c r="AD430" i="20" s="1"/>
  <c r="K518" i="20"/>
  <c r="AB518" i="20" s="1"/>
  <c r="M195" i="20"/>
  <c r="AD195" i="20" s="1"/>
  <c r="H256" i="20"/>
  <c r="Y256" i="20" s="1"/>
  <c r="M435" i="20"/>
  <c r="AD435" i="20" s="1"/>
  <c r="K458" i="20"/>
  <c r="AB458" i="20" s="1"/>
  <c r="M192" i="20"/>
  <c r="AD192" i="20" s="1"/>
  <c r="H40" i="20"/>
  <c r="Y40" i="20" s="1"/>
  <c r="L187" i="20"/>
  <c r="AC187" i="20" s="1"/>
  <c r="K467" i="20"/>
  <c r="AB467" i="20" s="1"/>
  <c r="M440" i="20"/>
  <c r="AD440" i="20" s="1"/>
  <c r="K503" i="20"/>
  <c r="AB503" i="20" s="1"/>
  <c r="K460" i="20"/>
  <c r="AB460" i="20" s="1"/>
  <c r="L195" i="20"/>
  <c r="AC195" i="20" s="1"/>
  <c r="K509" i="20"/>
  <c r="AB509" i="20" s="1"/>
  <c r="H254" i="20"/>
  <c r="Y254" i="20" s="1"/>
  <c r="K513" i="20"/>
  <c r="AB513" i="20" s="1"/>
  <c r="H253" i="20"/>
  <c r="M436" i="20"/>
  <c r="AD436" i="20" s="1"/>
  <c r="M201" i="20"/>
  <c r="AD201" i="20" s="1"/>
  <c r="L424" i="20"/>
  <c r="AC424" i="20" s="1"/>
  <c r="K455" i="20"/>
  <c r="AB455" i="20" s="1"/>
  <c r="H43" i="20"/>
  <c r="Y43" i="20" s="1"/>
  <c r="M433" i="20"/>
  <c r="AD433" i="20" s="1"/>
  <c r="M429" i="20"/>
  <c r="AD429" i="20" s="1"/>
  <c r="L354" i="20"/>
  <c r="AC354" i="20" s="1"/>
  <c r="K515" i="20"/>
  <c r="AB515" i="20" s="1"/>
  <c r="M432" i="20"/>
  <c r="AD432" i="20" s="1"/>
  <c r="M439" i="20"/>
  <c r="AD439" i="20" s="1"/>
  <c r="K507" i="20"/>
  <c r="AB507" i="20" s="1"/>
  <c r="H45" i="20"/>
  <c r="Y45" i="20" s="1"/>
  <c r="M438" i="20"/>
  <c r="AD438" i="20" s="1"/>
  <c r="H257" i="20"/>
  <c r="Y257" i="20" s="1"/>
  <c r="M196" i="20"/>
  <c r="AD196" i="20" s="1"/>
  <c r="H236" i="20"/>
  <c r="Y236" i="20" s="1"/>
  <c r="M187" i="20"/>
  <c r="AD187" i="20" s="1"/>
  <c r="M431" i="20"/>
  <c r="AD431" i="20" s="1"/>
  <c r="L201" i="20"/>
  <c r="AC201" i="20" s="1"/>
  <c r="L192" i="20"/>
  <c r="AC192" i="20" s="1"/>
  <c r="H259" i="20"/>
  <c r="Y259" i="20" s="1"/>
  <c r="EM57" i="6"/>
  <c r="EM12" i="6"/>
  <c r="EM61" i="6" s="1"/>
  <c r="ET49" i="6"/>
  <c r="EW49" i="6"/>
  <c r="ES54" i="6"/>
  <c r="ES8" i="6"/>
  <c r="EV49" i="6"/>
  <c r="AE610" i="7"/>
  <c r="AD81" i="7"/>
  <c r="AD99" i="7"/>
  <c r="AD80" i="7"/>
  <c r="AD108" i="7"/>
  <c r="F200" i="2"/>
  <c r="AD93" i="7"/>
  <c r="EO8" i="6"/>
  <c r="ER8" i="6" s="1"/>
  <c r="ER57" i="6" s="1"/>
  <c r="AD89" i="7"/>
  <c r="DZ119" i="11"/>
  <c r="EA116" i="11"/>
  <c r="AE456" i="12"/>
  <c r="AE459" i="12" s="1"/>
  <c r="H33" i="20"/>
  <c r="Y33" i="20" s="1"/>
  <c r="H29" i="20"/>
  <c r="Y29" i="20" s="1"/>
  <c r="J73" i="20"/>
  <c r="AA73" i="20" s="1"/>
  <c r="G255" i="20"/>
  <c r="X255" i="20" s="1"/>
  <c r="X253" i="20"/>
  <c r="AE81" i="7" l="1"/>
  <c r="AE99" i="7"/>
  <c r="AE93" i="7"/>
  <c r="AE80" i="7"/>
  <c r="AE89" i="7"/>
  <c r="G200" i="2"/>
  <c r="EU8" i="6"/>
  <c r="AE108" i="7"/>
  <c r="EA119" i="11"/>
  <c r="DX119" i="11"/>
  <c r="J389" i="20"/>
  <c r="AA389" i="20" s="1"/>
  <c r="J385" i="20"/>
  <c r="AA385" i="20" s="1"/>
  <c r="K379" i="20"/>
  <c r="AB379" i="20" s="1"/>
  <c r="J384" i="20"/>
  <c r="AA384" i="20" s="1"/>
  <c r="G41" i="20"/>
  <c r="X41" i="20" s="1"/>
  <c r="J379" i="20"/>
  <c r="AA379" i="20" s="1"/>
  <c r="K384" i="20"/>
  <c r="AB384" i="20" s="1"/>
  <c r="J375" i="20"/>
  <c r="AA375" i="20" s="1"/>
  <c r="J388" i="20"/>
  <c r="AA388" i="20" s="1"/>
  <c r="AW200" i="2"/>
  <c r="K375" i="20"/>
  <c r="AB375" i="20" s="1"/>
  <c r="ES57" i="6"/>
  <c r="ES12" i="6"/>
  <c r="ES61" i="6" s="1"/>
  <c r="AW158" i="2"/>
  <c r="F301" i="2"/>
  <c r="AD82" i="7"/>
  <c r="AD114" i="7"/>
  <c r="AD115" i="7" s="1"/>
  <c r="AD181" i="7"/>
  <c r="AD128" i="7"/>
  <c r="AD119" i="7"/>
  <c r="AD236" i="7" s="1"/>
  <c r="F204" i="2"/>
  <c r="AW204" i="2" s="1"/>
  <c r="H255" i="20"/>
  <c r="Y255" i="20" s="1"/>
  <c r="Y253" i="20"/>
  <c r="DB265" i="17"/>
  <c r="DB120" i="17" s="1"/>
  <c r="DA260" i="17"/>
  <c r="EO57" i="6"/>
  <c r="EO12" i="6"/>
  <c r="AD253" i="8"/>
  <c r="AD249" i="8"/>
  <c r="AD250" i="8" s="1"/>
  <c r="AD254" i="8" s="1"/>
  <c r="AD130" i="7" l="1"/>
  <c r="AD124" i="7"/>
  <c r="L375" i="20"/>
  <c r="AC375" i="20" s="1"/>
  <c r="AX200" i="2"/>
  <c r="L389" i="20"/>
  <c r="AC389" i="20" s="1"/>
  <c r="M379" i="20"/>
  <c r="AD379" i="20" s="1"/>
  <c r="L385" i="20"/>
  <c r="AC385" i="20" s="1"/>
  <c r="M384" i="20"/>
  <c r="AD384" i="20" s="1"/>
  <c r="H41" i="20"/>
  <c r="Y41" i="20" s="1"/>
  <c r="L384" i="20"/>
  <c r="AC384" i="20" s="1"/>
  <c r="L379" i="20"/>
  <c r="AC379" i="20" s="1"/>
  <c r="M375" i="20"/>
  <c r="AD375" i="20" s="1"/>
  <c r="L388" i="20"/>
  <c r="AC388" i="20" s="1"/>
  <c r="EO61" i="6"/>
  <c r="EO22" i="6"/>
  <c r="EU57" i="6"/>
  <c r="EU12" i="6"/>
  <c r="AD237" i="7"/>
  <c r="K284" i="20"/>
  <c r="AB284" i="20" s="1"/>
  <c r="G35" i="20"/>
  <c r="X35" i="20" s="1"/>
  <c r="J284" i="20"/>
  <c r="AA284" i="20" s="1"/>
  <c r="K278" i="20"/>
  <c r="AB278" i="20" s="1"/>
  <c r="K280" i="20"/>
  <c r="AB280" i="20" s="1"/>
  <c r="J278" i="20"/>
  <c r="AA278" i="20" s="1"/>
  <c r="J280" i="20"/>
  <c r="AA280" i="20" s="1"/>
  <c r="AE179" i="12"/>
  <c r="DW119" i="11"/>
  <c r="AE162" i="12" s="1"/>
  <c r="AE159" i="12" s="1"/>
  <c r="AE243" i="8" s="1"/>
  <c r="AE245" i="8" s="1"/>
  <c r="AD193" i="7"/>
  <c r="AD187" i="7"/>
  <c r="AD355" i="7"/>
  <c r="AD183" i="7"/>
  <c r="AD376" i="7"/>
  <c r="EX8" i="6"/>
  <c r="EX57" i="6" s="1"/>
  <c r="AE128" i="7"/>
  <c r="AE119" i="7"/>
  <c r="AE236" i="7" s="1"/>
  <c r="AE237" i="7" s="1"/>
  <c r="AE181" i="7"/>
  <c r="AE82" i="7"/>
  <c r="AE114" i="7"/>
  <c r="G204" i="2"/>
  <c r="AX204" i="2" s="1"/>
  <c r="AE124" i="7" l="1"/>
  <c r="AE130" i="7"/>
  <c r="AD388" i="7"/>
  <c r="AD382" i="7"/>
  <c r="AD378" i="7"/>
  <c r="AD459" i="7"/>
  <c r="AD189" i="7"/>
  <c r="AD195" i="7"/>
  <c r="AE249" i="8"/>
  <c r="AE250" i="8" s="1"/>
  <c r="AE254" i="8" s="1"/>
  <c r="AE253" i="8"/>
  <c r="EU61" i="6"/>
  <c r="EU22" i="6"/>
  <c r="AE187" i="7"/>
  <c r="AE183" i="7"/>
  <c r="AE355" i="7"/>
  <c r="AE193" i="7"/>
  <c r="AE376" i="7"/>
  <c r="AD361" i="7"/>
  <c r="AD367" i="7"/>
  <c r="AD357" i="7"/>
  <c r="G158" i="2"/>
  <c r="EO71" i="6"/>
  <c r="EM22" i="6"/>
  <c r="EM71" i="6" s="1"/>
  <c r="EO29" i="6"/>
  <c r="AE115" i="7"/>
  <c r="AD363" i="7" l="1"/>
  <c r="AD369" i="7"/>
  <c r="AE189" i="7"/>
  <c r="AE195" i="7"/>
  <c r="AD564" i="7"/>
  <c r="AD471" i="7"/>
  <c r="AD465" i="7"/>
  <c r="AD461" i="7"/>
  <c r="EU71" i="6"/>
  <c r="EU29" i="6"/>
  <c r="ES22" i="6"/>
  <c r="ES71" i="6" s="1"/>
  <c r="AE357" i="7"/>
  <c r="AE367" i="7"/>
  <c r="AE361" i="7"/>
  <c r="EO78" i="6"/>
  <c r="EO34" i="6"/>
  <c r="EM29" i="6"/>
  <c r="EM78" i="6" s="1"/>
  <c r="AX158" i="2"/>
  <c r="G301" i="2"/>
  <c r="AE382" i="7"/>
  <c r="AE388" i="7"/>
  <c r="AE378" i="7"/>
  <c r="AE459" i="7"/>
  <c r="AD390" i="7"/>
  <c r="AD384" i="7"/>
  <c r="M280" i="20" l="1"/>
  <c r="AD280" i="20" s="1"/>
  <c r="M284" i="20"/>
  <c r="AD284" i="20" s="1"/>
  <c r="L284" i="20"/>
  <c r="AC284" i="20" s="1"/>
  <c r="L280" i="20"/>
  <c r="AC280" i="20" s="1"/>
  <c r="L278" i="20"/>
  <c r="AC278" i="20" s="1"/>
  <c r="H35" i="20"/>
  <c r="Y35" i="20" s="1"/>
  <c r="M278" i="20"/>
  <c r="AD278" i="20" s="1"/>
  <c r="AE390" i="7"/>
  <c r="AE384" i="7"/>
  <c r="ES29" i="6"/>
  <c r="ES78" i="6" s="1"/>
  <c r="EU78" i="6"/>
  <c r="EU34" i="6"/>
  <c r="AD573" i="7"/>
  <c r="AD566" i="7"/>
  <c r="AD567" i="7" s="1"/>
  <c r="AD579" i="7"/>
  <c r="AE471" i="7"/>
  <c r="AE564" i="7"/>
  <c r="AE461" i="7"/>
  <c r="AE465" i="7"/>
  <c r="EO83" i="6"/>
  <c r="EM34" i="6"/>
  <c r="EM83" i="6" s="1"/>
  <c r="EO39" i="6"/>
  <c r="AE363" i="7"/>
  <c r="AE369" i="7"/>
  <c r="AD467" i="7"/>
  <c r="AD473" i="7"/>
  <c r="ES34" i="6" l="1"/>
  <c r="ES83" i="6" s="1"/>
  <c r="EU39" i="6"/>
  <c r="EU83" i="6"/>
  <c r="AE579" i="7"/>
  <c r="AE566" i="7"/>
  <c r="AE567" i="7" s="1"/>
  <c r="AE573" i="7"/>
  <c r="AD575" i="7"/>
  <c r="AD569" i="7"/>
  <c r="AD2" i="7" s="1"/>
  <c r="AD581" i="7"/>
  <c r="EO88" i="6"/>
  <c r="EM39" i="6"/>
  <c r="EO48" i="6"/>
  <c r="AE473" i="7"/>
  <c r="AE467" i="7"/>
  <c r="EO97" i="6" l="1"/>
  <c r="EO49" i="6"/>
  <c r="AE569" i="7"/>
  <c r="AE2" i="7" s="1"/>
  <c r="AE575" i="7"/>
  <c r="AE581" i="7"/>
  <c r="EU88" i="6"/>
  <c r="ES39" i="6"/>
  <c r="EU48" i="6"/>
  <c r="EM48" i="6"/>
  <c r="EM88" i="6"/>
  <c r="ES88" i="6" l="1"/>
  <c r="ES48" i="6"/>
  <c r="ER48" i="6"/>
  <c r="ER97" i="6" s="1"/>
  <c r="EM97" i="6"/>
  <c r="EU49" i="6"/>
  <c r="EU97" i="6"/>
  <c r="EX48" i="6" l="1"/>
  <c r="EX97" i="6" s="1"/>
  <c r="ES97" i="6"/>
</calcChain>
</file>

<file path=xl/comments1.xml><?xml version="1.0" encoding="utf-8"?>
<comments xmlns="http://schemas.openxmlformats.org/spreadsheetml/2006/main">
  <authors>
    <author>bethuge</author>
    <author>FLORIAN Miroslav (ECFIN)</author>
  </authors>
  <commentList>
    <comment ref="A9" authorId="0">
      <text>
        <r>
          <rPr>
            <b/>
            <sz val="8"/>
            <color indexed="81"/>
            <rFont val="Tahoma"/>
            <family val="2"/>
          </rPr>
          <t>bethuge:</t>
        </r>
        <r>
          <rPr>
            <sz val="8"/>
            <color indexed="81"/>
            <rFont val="Tahoma"/>
            <family val="2"/>
          </rPr>
          <t xml:space="preserve">
For BE no FTE data exists. We use totals instead.</t>
        </r>
      </text>
    </comment>
    <comment ref="A10" authorId="0">
      <text>
        <r>
          <rPr>
            <b/>
            <sz val="8"/>
            <color indexed="81"/>
            <rFont val="Tahoma"/>
            <family val="2"/>
          </rPr>
          <t>bethuge:</t>
        </r>
        <r>
          <rPr>
            <sz val="8"/>
            <color indexed="81"/>
            <rFont val="Tahoma"/>
            <family val="2"/>
          </rPr>
          <t xml:space="preserve">
For BE no FTE data exists. We use totals instead.</t>
        </r>
      </text>
    </comment>
    <comment ref="A24" authorId="0">
      <text>
        <r>
          <rPr>
            <b/>
            <sz val="8"/>
            <color indexed="81"/>
            <rFont val="Tahoma"/>
            <family val="2"/>
          </rPr>
          <t>bethuge:</t>
        </r>
        <r>
          <rPr>
            <sz val="8"/>
            <color indexed="81"/>
            <rFont val="Tahoma"/>
            <family val="2"/>
          </rPr>
          <t xml:space="preserve">
Not available for BE</t>
        </r>
      </text>
    </comment>
    <comment ref="A25" authorId="0">
      <text>
        <r>
          <rPr>
            <b/>
            <sz val="8"/>
            <color indexed="81"/>
            <rFont val="Tahoma"/>
            <family val="2"/>
          </rPr>
          <t>bethuge:</t>
        </r>
        <r>
          <rPr>
            <sz val="8"/>
            <color indexed="81"/>
            <rFont val="Tahoma"/>
            <family val="2"/>
          </rPr>
          <t xml:space="preserve">
Not available for BE</t>
        </r>
      </text>
    </comment>
    <comment ref="A30" authorId="0">
      <text>
        <r>
          <rPr>
            <b/>
            <sz val="8"/>
            <color indexed="81"/>
            <rFont val="Tahoma"/>
            <family val="2"/>
          </rPr>
          <t>bethuge:</t>
        </r>
        <r>
          <rPr>
            <sz val="8"/>
            <color indexed="81"/>
            <rFont val="Tahoma"/>
            <family val="2"/>
          </rPr>
          <t xml:space="preserve">
Not available for BE</t>
        </r>
      </text>
    </comment>
    <comment ref="A31" authorId="0">
      <text>
        <r>
          <rPr>
            <b/>
            <sz val="8"/>
            <color indexed="81"/>
            <rFont val="Tahoma"/>
            <family val="2"/>
          </rPr>
          <t>bethuge:</t>
        </r>
        <r>
          <rPr>
            <sz val="8"/>
            <color indexed="81"/>
            <rFont val="Tahoma"/>
            <family val="2"/>
          </rPr>
          <t xml:space="preserve">
Not available for BE</t>
        </r>
      </text>
    </comment>
    <comment ref="A36" authorId="0">
      <text>
        <r>
          <rPr>
            <b/>
            <sz val="8"/>
            <color indexed="81"/>
            <rFont val="Tahoma"/>
            <family val="2"/>
          </rPr>
          <t>bethuge:</t>
        </r>
        <r>
          <rPr>
            <sz val="8"/>
            <color indexed="81"/>
            <rFont val="Tahoma"/>
            <family val="2"/>
          </rPr>
          <t xml:space="preserve">
PROBLEM WITH CHAINLINKING:
This variable needs to be loaded separately when chainlinking, instead of as an aggregation of two other variables</t>
        </r>
      </text>
    </comment>
    <comment ref="A41" authorId="0">
      <text>
        <r>
          <rPr>
            <b/>
            <sz val="8"/>
            <color indexed="81"/>
            <rFont val="Tahoma"/>
            <family val="2"/>
          </rPr>
          <t>bethuge:</t>
        </r>
        <r>
          <rPr>
            <sz val="8"/>
            <color indexed="81"/>
            <rFont val="Tahoma"/>
            <family val="2"/>
          </rPr>
          <t xml:space="preserve">
For BE this is constructed on the basis of Belgostat as total consumption plus GFCF, assuming additivity !!!</t>
        </r>
      </text>
    </comment>
    <comment ref="E64" authorId="1">
      <text>
        <r>
          <rPr>
            <b/>
            <sz val="9"/>
            <color indexed="81"/>
            <rFont val="Tahoma"/>
            <family val="2"/>
          </rPr>
          <t>19/10/2012</t>
        </r>
        <r>
          <rPr>
            <sz val="9"/>
            <color indexed="81"/>
            <rFont val="Tahoma"/>
            <family val="2"/>
          </rPr>
          <t xml:space="preserve">
added with Martin due to an inconsistency in the fiscal deficit forecast - this line now feeds into Sector1 line 427</t>
        </r>
      </text>
    </comment>
    <comment ref="A66" authorId="0">
      <text>
        <r>
          <rPr>
            <b/>
            <sz val="8"/>
            <color indexed="81"/>
            <rFont val="Tahoma"/>
            <family val="2"/>
          </rPr>
          <t>bethuge:</t>
        </r>
        <r>
          <rPr>
            <sz val="8"/>
            <color indexed="81"/>
            <rFont val="Tahoma"/>
            <family val="2"/>
          </rPr>
          <t xml:space="preserve">
Not available for BE</t>
        </r>
      </text>
    </comment>
    <comment ref="A67" authorId="0">
      <text>
        <r>
          <rPr>
            <b/>
            <sz val="8"/>
            <color indexed="81"/>
            <rFont val="Tahoma"/>
            <family val="2"/>
          </rPr>
          <t>bethuge:</t>
        </r>
        <r>
          <rPr>
            <sz val="8"/>
            <color indexed="81"/>
            <rFont val="Tahoma"/>
            <family val="2"/>
          </rPr>
          <t xml:space="preserve">
Not available for BE</t>
        </r>
      </text>
    </comment>
    <comment ref="A71" authorId="0">
      <text>
        <r>
          <rPr>
            <b/>
            <sz val="8"/>
            <color indexed="81"/>
            <rFont val="Tahoma"/>
            <family val="2"/>
          </rPr>
          <t>bethuge:</t>
        </r>
        <r>
          <rPr>
            <sz val="8"/>
            <color indexed="81"/>
            <rFont val="Tahoma"/>
            <family val="2"/>
          </rPr>
          <t xml:space="preserve">
Not available for BE</t>
        </r>
      </text>
    </comment>
    <comment ref="A72" authorId="0">
      <text>
        <r>
          <rPr>
            <b/>
            <sz val="8"/>
            <color indexed="81"/>
            <rFont val="Tahoma"/>
            <family val="2"/>
          </rPr>
          <t>bethuge:</t>
        </r>
        <r>
          <rPr>
            <sz val="8"/>
            <color indexed="81"/>
            <rFont val="Tahoma"/>
            <family val="2"/>
          </rPr>
          <t xml:space="preserve">
Not available for BE</t>
        </r>
      </text>
    </comment>
    <comment ref="A85"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94" authorId="0">
      <text>
        <r>
          <rPr>
            <b/>
            <sz val="8"/>
            <color indexed="81"/>
            <rFont val="Tahoma"/>
            <family val="2"/>
          </rPr>
          <t>bethuge:</t>
        </r>
        <r>
          <rPr>
            <sz val="8"/>
            <color indexed="81"/>
            <rFont val="Tahoma"/>
            <family val="2"/>
          </rPr>
          <t xml:space="preserve">
This variable is for consistency checking only. </t>
        </r>
      </text>
    </comment>
    <comment ref="A95" authorId="0">
      <text>
        <r>
          <rPr>
            <b/>
            <sz val="8"/>
            <color indexed="81"/>
            <rFont val="Tahoma"/>
            <family val="2"/>
          </rPr>
          <t>bethuge:</t>
        </r>
        <r>
          <rPr>
            <sz val="8"/>
            <color indexed="81"/>
            <rFont val="Tahoma"/>
            <family val="2"/>
          </rPr>
          <t xml:space="preserve">
This variable is for consistency checking only. </t>
        </r>
      </text>
    </comment>
    <comment ref="A96" authorId="0">
      <text>
        <r>
          <rPr>
            <b/>
            <sz val="8"/>
            <color indexed="81"/>
            <rFont val="Tahoma"/>
            <family val="2"/>
          </rPr>
          <t>bethuge:</t>
        </r>
        <r>
          <rPr>
            <sz val="8"/>
            <color indexed="81"/>
            <rFont val="Tahoma"/>
            <family val="2"/>
          </rPr>
          <t xml:space="preserve">
This variable is for consistency checking only. </t>
        </r>
      </text>
    </comment>
    <comment ref="A100"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101"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106"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1"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3"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5"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8"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2"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6"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0"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4"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6"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7"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68" authorId="0">
      <text>
        <r>
          <rPr>
            <b/>
            <sz val="8"/>
            <color indexed="81"/>
            <rFont val="Tahoma"/>
            <family val="2"/>
          </rPr>
          <t>bethuge:</t>
        </r>
        <r>
          <rPr>
            <sz val="8"/>
            <color indexed="81"/>
            <rFont val="Tahoma"/>
            <family val="2"/>
          </rPr>
          <t xml:space="preserve">
No longer in use for BE</t>
        </r>
      </text>
    </comment>
  </commentList>
</comments>
</file>

<file path=xl/comments2.xml><?xml version="1.0" encoding="utf-8"?>
<comments xmlns="http://schemas.openxmlformats.org/spreadsheetml/2006/main">
  <authors>
    <author>bethuge</author>
  </authors>
  <commentList>
    <comment ref="A25"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6"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7"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8"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9"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0"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1"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2"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2"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2"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7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List>
</comments>
</file>

<file path=xl/comments3.xml><?xml version="1.0" encoding="utf-8"?>
<comments xmlns="http://schemas.openxmlformats.org/spreadsheetml/2006/main">
  <authors>
    <author>bethuge</author>
    <author>ECFIN F4 (Sidlauskas)</author>
  </authors>
  <commentList>
    <comment ref="E2" authorId="0">
      <text>
        <r>
          <rPr>
            <b/>
            <sz val="8"/>
            <color indexed="81"/>
            <rFont val="Tahoma"/>
            <family val="2"/>
          </rPr>
          <t>bethuge:</t>
        </r>
        <r>
          <rPr>
            <sz val="8"/>
            <color indexed="81"/>
            <rFont val="Tahoma"/>
            <family val="2"/>
          </rPr>
          <t xml:space="preserve">
If the country </t>
        </r>
        <r>
          <rPr>
            <u/>
            <sz val="8"/>
            <color indexed="81"/>
            <rFont val="Tahoma"/>
            <family val="2"/>
          </rPr>
          <t>does not use chain linking</t>
        </r>
        <r>
          <rPr>
            <sz val="8"/>
            <color indexed="81"/>
            <rFont val="Tahoma"/>
            <family val="2"/>
          </rPr>
          <t>, all aggregates (AG) are calculated in VVP2, because previous year prices is non-additive.
If the</t>
        </r>
        <r>
          <rPr>
            <sz val="8"/>
            <color indexed="81"/>
            <rFont val="Tahoma"/>
            <family val="2"/>
          </rPr>
          <t xml:space="preserve"> country </t>
        </r>
        <r>
          <rPr>
            <u/>
            <sz val="8"/>
            <color indexed="81"/>
            <rFont val="Tahoma"/>
            <family val="2"/>
          </rPr>
          <t>uses chain linking</t>
        </r>
        <r>
          <rPr>
            <sz val="8"/>
            <color indexed="81"/>
            <rFont val="Tahoma"/>
            <family val="2"/>
          </rPr>
          <t>, all a</t>
        </r>
        <r>
          <rPr>
            <sz val="8"/>
            <color indexed="81"/>
            <rFont val="Tahoma"/>
            <family val="2"/>
          </rPr>
          <t xml:space="preserve">ggregates (AG) are calculated in previous year's prices, because constant prices is non-additive.
Aggregates are marked as </t>
        </r>
        <r>
          <rPr>
            <b/>
            <sz val="8"/>
            <color indexed="10"/>
            <rFont val="Tahoma"/>
            <family val="2"/>
          </rPr>
          <t>AG</t>
        </r>
        <r>
          <rPr>
            <sz val="8"/>
            <color indexed="81"/>
            <rFont val="Tahoma"/>
            <family val="2"/>
          </rPr>
          <t xml:space="preserve">. 
</t>
        </r>
      </text>
    </comment>
    <comment ref="E16" authorId="0">
      <text>
        <r>
          <rPr>
            <b/>
            <sz val="10"/>
            <color indexed="81"/>
            <rFont val="Tahoma"/>
            <family val="2"/>
          </rPr>
          <t>bethuge:</t>
        </r>
        <r>
          <rPr>
            <sz val="10"/>
            <color indexed="81"/>
            <rFont val="Tahoma"/>
            <family val="2"/>
          </rPr>
          <t xml:space="preserve">
In a limited number of countries expenditure components do not add up to GDP. If this is the case, this line captures the residu. 
However, in most cases a statistical discrepancy shown in this line indicates inconsistent input data. Please verify that your country really has statistical discrepancies before proceeding. 
As for the forecast years, unless there is compelling evidence that the statistical discrepancy is changing, it is usually best to assume that growth of this component is 0. 
Note: This should not be confused with a chainlinking residual, which is the difference between the sum of expenditure compenents and GDP due to non-additivity of chainlinked data.</t>
        </r>
      </text>
    </comment>
    <comment ref="E41" authorId="0">
      <text>
        <r>
          <rPr>
            <b/>
            <sz val="8"/>
            <color indexed="81"/>
            <rFont val="Tahoma"/>
            <family val="2"/>
          </rPr>
          <t>bethuge:</t>
        </r>
        <r>
          <rPr>
            <sz val="8"/>
            <color indexed="81"/>
            <rFont val="Tahoma"/>
            <family val="2"/>
          </rPr>
          <t xml:space="preserve">
Annual forecast is automatically linked to the cumulative forecast for the corresponding quarters.</t>
        </r>
      </text>
    </comment>
    <comment ref="E42" authorId="0">
      <text>
        <r>
          <rPr>
            <b/>
            <sz val="8"/>
            <color indexed="81"/>
            <rFont val="Tahoma"/>
            <family val="2"/>
          </rPr>
          <t>bethuge:</t>
        </r>
        <r>
          <rPr>
            <sz val="8"/>
            <color indexed="81"/>
            <rFont val="Tahoma"/>
            <family val="2"/>
          </rPr>
          <t xml:space="preserve">
This line is optional if HICP is forecasted</t>
        </r>
      </text>
    </comment>
    <comment ref="DH71" authorId="1">
      <text>
        <r>
          <rPr>
            <b/>
            <sz val="9"/>
            <color indexed="81"/>
            <rFont val="Tahoma"/>
            <family val="2"/>
          </rPr>
          <t>ECFIN F4 (Sidlauskas):</t>
        </r>
        <r>
          <rPr>
            <sz val="9"/>
            <color indexed="81"/>
            <rFont val="Tahoma"/>
            <family val="2"/>
          </rPr>
          <t xml:space="preserve">
updatedpost TCE5 AF</t>
        </r>
      </text>
    </comment>
    <comment ref="DI71" authorId="1">
      <text>
        <r>
          <rPr>
            <b/>
            <sz val="9"/>
            <color indexed="81"/>
            <rFont val="Tahoma"/>
            <family val="2"/>
          </rPr>
          <t>ECFIN F4 (Sidlauskas):</t>
        </r>
        <r>
          <rPr>
            <sz val="9"/>
            <color indexed="81"/>
            <rFont val="Tahoma"/>
            <family val="2"/>
          </rPr>
          <t xml:space="preserve">
Post TCE2017 - perkopijuota ant virsaus formule is 2015 m</t>
        </r>
      </text>
    </comment>
    <comment ref="E73" authorId="0">
      <text>
        <r>
          <rPr>
            <b/>
            <sz val="8"/>
            <color indexed="81"/>
            <rFont val="Tahoma"/>
            <family val="2"/>
          </rPr>
          <t>bethuge:</t>
        </r>
        <r>
          <rPr>
            <sz val="8"/>
            <color indexed="81"/>
            <rFont val="Tahoma"/>
            <family val="2"/>
          </rPr>
          <t xml:space="preserve">
Implicit residual.
</t>
        </r>
      </text>
    </comment>
    <comment ref="CQ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CV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A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F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K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P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U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Z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E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J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O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T75"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110" authorId="0">
      <text>
        <r>
          <rPr>
            <b/>
            <sz val="8"/>
            <color indexed="81"/>
            <rFont val="Tahoma"/>
            <family val="2"/>
          </rPr>
          <t>bethuge:</t>
        </r>
        <r>
          <rPr>
            <sz val="8"/>
            <color indexed="81"/>
            <rFont val="Tahoma"/>
            <family val="2"/>
          </rPr>
          <t xml:space="preserve">
Attention: this variable is used by DG BUDG for the estimation of import duties.</t>
        </r>
      </text>
    </comment>
  </commentList>
</comments>
</file>

<file path=xl/comments4.xml><?xml version="1.0" encoding="utf-8"?>
<comments xmlns="http://schemas.openxmlformats.org/spreadsheetml/2006/main">
  <authors>
    <author>bethuge</author>
    <author>ECFIN F4 (Sidlauskas)</author>
    <author>ANCIUTE Aurelija (ECFIN)</author>
  </authors>
  <commentList>
    <comment ref="F2" authorId="0">
      <text>
        <r>
          <rPr>
            <b/>
            <sz val="8"/>
            <color indexed="81"/>
            <rFont val="Tahoma"/>
            <family val="2"/>
          </rPr>
          <t>bethuge:</t>
        </r>
        <r>
          <rPr>
            <sz val="8"/>
            <color indexed="81"/>
            <rFont val="Tahoma"/>
            <family val="2"/>
          </rPr>
          <t xml:space="preserve">
Sets the maximum tolerance for inconsistencies to be ignored (in bn euro).</t>
        </r>
      </text>
    </comment>
    <comment ref="E54" authorId="0">
      <text>
        <r>
          <rPr>
            <b/>
            <sz val="8"/>
            <color indexed="81"/>
            <rFont val="Tahoma"/>
            <family val="2"/>
          </rPr>
          <t>bethuge:</t>
        </r>
        <r>
          <rPr>
            <sz val="8"/>
            <color indexed="81"/>
            <rFont val="Tahoma"/>
            <family val="2"/>
          </rPr>
          <t xml:space="preserve">
Constructed on the basis of Belgostat as total consumption plus GFCF, assuming additivity !!!</t>
        </r>
      </text>
    </comment>
    <comment ref="E194" authorId="0">
      <text>
        <r>
          <rPr>
            <b/>
            <sz val="8"/>
            <color indexed="81"/>
            <rFont val="Tahoma"/>
            <family val="2"/>
          </rPr>
          <t>bethuge:</t>
        </r>
        <r>
          <rPr>
            <sz val="8"/>
            <color indexed="81"/>
            <rFont val="Tahoma"/>
            <family val="2"/>
          </rPr>
          <t xml:space="preserve">
Inconsistent data can result from different vintages of nationa accounts data</t>
        </r>
      </text>
    </comment>
    <comment ref="E213" authorId="0">
      <text>
        <r>
          <rPr>
            <b/>
            <sz val="8"/>
            <color indexed="81"/>
            <rFont val="Tahoma"/>
            <family val="2"/>
          </rPr>
          <t>bethuge:</t>
        </r>
        <r>
          <rPr>
            <sz val="8"/>
            <color indexed="81"/>
            <rFont val="Tahoma"/>
            <family val="2"/>
          </rPr>
          <t xml:space="preserve">
Inconsistent data can result from different vintages of nationa accounts data</t>
        </r>
      </text>
    </comment>
    <comment ref="AB228" authorId="1">
      <text>
        <r>
          <rPr>
            <b/>
            <sz val="9"/>
            <color indexed="81"/>
            <rFont val="Tahoma"/>
            <family val="2"/>
          </rPr>
          <t>ECFIN F4 (Sidlauskas):</t>
        </r>
        <r>
          <rPr>
            <sz val="9"/>
            <color indexed="81"/>
            <rFont val="Tahoma"/>
            <family val="2"/>
          </rPr>
          <t xml:space="preserve">
Updated post TCE5 AF2017</t>
        </r>
      </text>
    </comment>
    <comment ref="Y230" authorId="2">
      <text>
        <r>
          <rPr>
            <b/>
            <sz val="9"/>
            <color indexed="81"/>
            <rFont val="Tahoma"/>
            <family val="2"/>
          </rPr>
          <t>ANCIUTE Aurelija (ECFIN):</t>
        </r>
        <r>
          <rPr>
            <sz val="9"/>
            <color indexed="81"/>
            <rFont val="Tahoma"/>
            <family val="2"/>
          </rPr>
          <t xml:space="preserve">
There was inconsistency with factual data as series are not cleared up. Later change to the factual numbers</t>
        </r>
      </text>
    </comment>
    <comment ref="Z230" authorId="2">
      <text>
        <r>
          <rPr>
            <b/>
            <sz val="9"/>
            <color indexed="81"/>
            <rFont val="Tahoma"/>
            <family val="2"/>
          </rPr>
          <t xml:space="preserve">ANCIUTE Aurelija (ECFIN):
</t>
        </r>
        <r>
          <rPr>
            <sz val="9"/>
            <color indexed="81"/>
            <rFont val="Tahoma"/>
            <family val="2"/>
          </rPr>
          <t>There was inconsistency with factual data as series are not cleared up. Later change to the factual numbers</t>
        </r>
      </text>
    </comment>
    <comment ref="AA230" authorId="2">
      <text>
        <r>
          <rPr>
            <b/>
            <sz val="9"/>
            <color indexed="81"/>
            <rFont val="Tahoma"/>
            <family val="2"/>
          </rPr>
          <t xml:space="preserve">ANCIUTE Aurelija (ECFIN):
</t>
        </r>
        <r>
          <rPr>
            <sz val="9"/>
            <color indexed="81"/>
            <rFont val="Tahoma"/>
            <family val="2"/>
          </rPr>
          <t>There was inconsistency with factual data as series are not cleared up. Later change to the factual numbers</t>
        </r>
      </text>
    </comment>
    <comment ref="AB230" authorId="1">
      <text>
        <r>
          <rPr>
            <b/>
            <sz val="9"/>
            <color indexed="81"/>
            <rFont val="Tahoma"/>
            <family val="2"/>
          </rPr>
          <t>ECFIN F4 (Sidlauskas):</t>
        </r>
        <r>
          <rPr>
            <sz val="9"/>
            <color indexed="81"/>
            <rFont val="Tahoma"/>
            <family val="2"/>
          </rPr>
          <t xml:space="preserve">
Updated post TCE5 AF2017 - no incosistencies:)</t>
        </r>
      </text>
    </comment>
    <comment ref="AC230" authorId="2">
      <text>
        <r>
          <rPr>
            <b/>
            <sz val="9"/>
            <color indexed="81"/>
            <rFont val="Tahoma"/>
            <family val="2"/>
          </rPr>
          <t>ANCIUTE Aurelija (ECFIN):</t>
        </r>
        <r>
          <rPr>
            <sz val="9"/>
            <color indexed="81"/>
            <rFont val="Tahoma"/>
            <family val="2"/>
          </rPr>
          <t xml:space="preserve">
Correct later</t>
        </r>
      </text>
    </comment>
    <comment ref="E232" authorId="0">
      <text>
        <r>
          <rPr>
            <b/>
            <sz val="8"/>
            <color indexed="81"/>
            <rFont val="Tahoma"/>
            <family val="2"/>
          </rPr>
          <t>bethuge:</t>
        </r>
        <r>
          <rPr>
            <sz val="8"/>
            <color indexed="81"/>
            <rFont val="Tahoma"/>
            <family val="2"/>
          </rPr>
          <t xml:space="preserve">
Inconsistent data can result from different vintages of nationa accounts data</t>
        </r>
      </text>
    </comment>
    <comment ref="E251" authorId="0">
      <text>
        <r>
          <rPr>
            <b/>
            <sz val="8"/>
            <color indexed="81"/>
            <rFont val="Tahoma"/>
            <family val="2"/>
          </rPr>
          <t>bethuge:</t>
        </r>
        <r>
          <rPr>
            <sz val="8"/>
            <color indexed="81"/>
            <rFont val="Tahoma"/>
            <family val="2"/>
          </rPr>
          <t xml:space="preserve">
Inconsistent data can result from different vintages of nationa accounts data</t>
        </r>
      </text>
    </comment>
  </commentList>
</comments>
</file>

<file path=xl/comments5.xml><?xml version="1.0" encoding="utf-8"?>
<comments xmlns="http://schemas.openxmlformats.org/spreadsheetml/2006/main">
  <authors>
    <author>FLORIAN Miroslav (ECFIN)</author>
    <author>bethuge</author>
    <author>SIDLAUSKAS Giedrius (ECFIN)</author>
    <author>Author</author>
    <author>ECFIN F4 (Sidlauskas)</author>
  </authors>
  <commentList>
    <comment ref="BY18" authorId="0">
      <text>
        <r>
          <rPr>
            <b/>
            <sz val="9"/>
            <color indexed="81"/>
            <rFont val="Tahoma"/>
            <family val="2"/>
          </rPr>
          <t>FLORIAN Miroslav (ECFIN):</t>
        </r>
        <r>
          <rPr>
            <sz val="9"/>
            <color indexed="81"/>
            <rFont val="Tahoma"/>
            <family val="2"/>
          </rPr>
          <t xml:space="preserve">
.7</t>
        </r>
      </text>
    </comment>
    <comment ref="BZ18" authorId="0">
      <text>
        <r>
          <rPr>
            <b/>
            <sz val="9"/>
            <color indexed="81"/>
            <rFont val="Tahoma"/>
            <family val="2"/>
          </rPr>
          <t>FLORIAN Miroslav (ECFIN):</t>
        </r>
        <r>
          <rPr>
            <sz val="9"/>
            <color indexed="81"/>
            <rFont val="Tahoma"/>
            <family val="2"/>
          </rPr>
          <t xml:space="preserve">
.5
</t>
        </r>
      </text>
    </comment>
    <comment ref="F87" authorId="1">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CD88" authorId="2">
      <text>
        <r>
          <rPr>
            <b/>
            <sz val="9"/>
            <color indexed="81"/>
            <rFont val="Tahoma"/>
            <family val="2"/>
          </rPr>
          <t>SIDLAUSKAS Giedrius (ECFIN):</t>
        </r>
        <r>
          <rPr>
            <sz val="9"/>
            <color indexed="81"/>
            <rFont val="Tahoma"/>
            <family val="2"/>
          </rPr>
          <t xml:space="preserve">
AMECO Q data not consistent with annual data</t>
        </r>
      </text>
    </comment>
    <comment ref="B105" authorId="1">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CH124" authorId="3">
      <text>
        <r>
          <rPr>
            <b/>
            <sz val="8"/>
            <color indexed="81"/>
            <rFont val="Tahoma"/>
            <family val="2"/>
          </rPr>
          <t xml:space="preserve">GS: historical data = </t>
        </r>
        <r>
          <rPr>
            <sz val="8"/>
            <color indexed="81"/>
            <rFont val="Tahoma"/>
            <family val="2"/>
          </rPr>
          <t>0, adjusted to avoid/0 errors in formulas for 1st SF15 storage</t>
        </r>
        <r>
          <rPr>
            <sz val="8"/>
            <color indexed="81"/>
            <rFont val="Tahoma"/>
            <family val="2"/>
          </rPr>
          <t xml:space="preserve">
</t>
        </r>
      </text>
    </comment>
    <comment ref="B144" authorId="1">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CQ144" authorId="4">
      <text>
        <r>
          <rPr>
            <b/>
            <sz val="9"/>
            <color indexed="81"/>
            <rFont val="Tahoma"/>
            <family val="2"/>
          </rPr>
          <t>ECFIN F4 (Sidlauskas):</t>
        </r>
        <r>
          <rPr>
            <sz val="9"/>
            <color indexed="81"/>
            <rFont val="Tahoma"/>
            <family val="2"/>
          </rPr>
          <t xml:space="preserve">
Updated post TCE5 AF2017</t>
        </r>
      </text>
    </comment>
    <comment ref="CR144" authorId="4">
      <text>
        <r>
          <rPr>
            <b/>
            <sz val="9"/>
            <color indexed="81"/>
            <rFont val="Tahoma"/>
            <family val="2"/>
          </rPr>
          <t>ECFIN F4 (Sidlauskas):</t>
        </r>
        <r>
          <rPr>
            <sz val="9"/>
            <color indexed="81"/>
            <rFont val="Tahoma"/>
            <family val="2"/>
          </rPr>
          <t xml:space="preserve">
Updated post TCE5 AF2017</t>
        </r>
      </text>
    </comment>
    <comment ref="F184" authorId="1">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B201" authorId="1">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F241" authorId="1">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B258" authorId="1">
      <text>
        <r>
          <rPr>
            <b/>
            <sz val="8"/>
            <color indexed="81"/>
            <rFont val="Tahoma"/>
            <family val="2"/>
          </rPr>
          <t>bethuge:</t>
        </r>
        <r>
          <rPr>
            <sz val="8"/>
            <color indexed="81"/>
            <rFont val="Tahoma"/>
            <family val="2"/>
          </rPr>
          <t xml:space="preserve">
With chainlinked data, these should not add up precisely. </t>
        </r>
      </text>
    </comment>
    <comment ref="CE307" authorId="1">
      <text>
        <r>
          <rPr>
            <b/>
            <sz val="8"/>
            <color indexed="81"/>
            <rFont val="Tahoma"/>
            <family val="2"/>
          </rPr>
          <t>bethuge:</t>
        </r>
        <r>
          <rPr>
            <sz val="8"/>
            <color indexed="81"/>
            <rFont val="Tahoma"/>
            <family val="2"/>
          </rPr>
          <t xml:space="preserve">
Weight adjusts automatically to ensure sum of weights equals 1000</t>
        </r>
      </text>
    </comment>
    <comment ref="CI307" authorId="1">
      <text>
        <r>
          <rPr>
            <b/>
            <sz val="8"/>
            <color indexed="81"/>
            <rFont val="Tahoma"/>
            <family val="2"/>
          </rPr>
          <t>bethuge:</t>
        </r>
        <r>
          <rPr>
            <sz val="8"/>
            <color indexed="81"/>
            <rFont val="Tahoma"/>
            <family val="2"/>
          </rPr>
          <t xml:space="preserve">
Weight adjusts automatically to ensure sum of weights equals 1000</t>
        </r>
      </text>
    </comment>
    <comment ref="E317" authorId="1">
      <text>
        <r>
          <rPr>
            <b/>
            <sz val="8"/>
            <color indexed="81"/>
            <rFont val="Tahoma"/>
            <family val="2"/>
          </rPr>
          <t>bethuge:</t>
        </r>
        <r>
          <rPr>
            <sz val="8"/>
            <color indexed="81"/>
            <rFont val="Tahoma"/>
            <family val="2"/>
          </rPr>
          <t xml:space="preserve">
By default, HICP forecast is identical to the aggregate on a quarterly basis. 
However, this is only approximately correct (need to make a forecast on a monthly basis to do it entirely correct). 
Calculated growth rates can be overwritten manually if desired. </t>
        </r>
      </text>
    </comment>
    <comment ref="E320" authorId="1">
      <text>
        <r>
          <rPr>
            <b/>
            <sz val="8"/>
            <color indexed="81"/>
            <rFont val="Tahoma"/>
            <family val="2"/>
          </rPr>
          <t>bethuge:</t>
        </r>
        <r>
          <rPr>
            <sz val="8"/>
            <color indexed="81"/>
            <rFont val="Tahoma"/>
            <family val="2"/>
          </rPr>
          <t xml:space="preserve">
By default, HICP forecast is identical to the aggregate on a quarterly basis. 
However, this is only approximately correct (need to make a forecast on a monthly basis to do it entirely correct). 
Calculated growth rates can be overwritten manually if desired. </t>
        </r>
      </text>
    </comment>
  </commentList>
</comments>
</file>

<file path=xl/comments6.xml><?xml version="1.0" encoding="utf-8"?>
<comments xmlns="http://schemas.openxmlformats.org/spreadsheetml/2006/main">
  <authors>
    <author>bethuge</author>
    <author>SIDLAUSKAS Giedrius (ECFIN)</author>
    <author>ECFIN F4 (Sidlauskas)</author>
    <author>FLORIAN Miroslav (ECFIN)</author>
    <author>Author</author>
  </authors>
  <commentList>
    <comment ref="E40" authorId="0">
      <text>
        <r>
          <rPr>
            <b/>
            <sz val="8"/>
            <color indexed="81"/>
            <rFont val="Tahoma"/>
            <family val="2"/>
          </rPr>
          <t>bethuge:</t>
        </r>
        <r>
          <rPr>
            <sz val="8"/>
            <color indexed="81"/>
            <rFont val="Tahoma"/>
            <family val="2"/>
          </rPr>
          <t xml:space="preserve">
For BE this overestimates true unemployment due to long-term unemployed, no longer looking for a job.</t>
        </r>
      </text>
    </comment>
    <comment ref="Y48" authorId="1">
      <text>
        <r>
          <rPr>
            <b/>
            <sz val="9"/>
            <color indexed="81"/>
            <rFont val="Tahoma"/>
            <family val="2"/>
          </rPr>
          <t>Giedrius:</t>
        </r>
        <r>
          <rPr>
            <sz val="9"/>
            <color indexed="81"/>
            <rFont val="Tahoma"/>
            <family val="2"/>
          </rPr>
          <t xml:space="preserve">
adjusted to avoid inconsistencies</t>
        </r>
      </text>
    </comment>
    <comment ref="AB120" authorId="2">
      <text>
        <r>
          <rPr>
            <b/>
            <sz val="9"/>
            <color indexed="81"/>
            <rFont val="Tahoma"/>
            <family val="2"/>
          </rPr>
          <t>ECFIN F4 (Sidlauskas):</t>
        </r>
        <r>
          <rPr>
            <sz val="9"/>
            <color indexed="81"/>
            <rFont val="Tahoma"/>
            <family val="2"/>
          </rPr>
          <t xml:space="preserve">
Updated 2017.10.20</t>
        </r>
      </text>
    </comment>
    <comment ref="E125" authorId="0">
      <text>
        <r>
          <rPr>
            <b/>
            <sz val="8"/>
            <color indexed="81"/>
            <rFont val="Tahoma"/>
            <family val="2"/>
          </rPr>
          <t>bethuge:</t>
        </r>
        <r>
          <rPr>
            <sz val="8"/>
            <color indexed="81"/>
            <rFont val="Tahoma"/>
            <family val="2"/>
          </rPr>
          <t xml:space="preserve">
Bit unorthodox, I know.</t>
        </r>
      </text>
    </comment>
    <comment ref="X135" authorId="3">
      <text>
        <r>
          <rPr>
            <b/>
            <sz val="9"/>
            <color indexed="81"/>
            <rFont val="Tahoma"/>
            <family val="2"/>
          </rPr>
          <t>34782</t>
        </r>
        <r>
          <rPr>
            <sz val="9"/>
            <color indexed="81"/>
            <rFont val="Tahoma"/>
            <family val="2"/>
          </rPr>
          <t xml:space="preserve">
</t>
        </r>
      </text>
    </comment>
    <comment ref="Y136" authorId="4">
      <text>
        <r>
          <rPr>
            <b/>
            <sz val="9"/>
            <color indexed="81"/>
            <rFont val="Tahoma"/>
            <family val="2"/>
          </rPr>
          <t xml:space="preserve">GS WF2015: Adjusted to get </t>
        </r>
        <r>
          <rPr>
            <sz val="9"/>
            <color indexed="81"/>
            <rFont val="Tahoma"/>
            <family val="2"/>
          </rPr>
          <t xml:space="preserve">
Sector 1 line 569 value=0</t>
        </r>
      </text>
    </comment>
    <comment ref="Z136" authorId="4">
      <text>
        <r>
          <rPr>
            <b/>
            <sz val="8"/>
            <color indexed="81"/>
            <rFont val="Tahoma"/>
            <family val="2"/>
          </rPr>
          <t>Author:</t>
        </r>
        <r>
          <rPr>
            <sz val="8"/>
            <color indexed="81"/>
            <rFont val="Tahoma"/>
            <family val="2"/>
          </rPr>
          <t xml:space="preserve">
To get CAB</t>
        </r>
      </text>
    </comment>
    <comment ref="AB151" authorId="2">
      <text>
        <r>
          <rPr>
            <b/>
            <sz val="9"/>
            <color indexed="81"/>
            <rFont val="Tahoma"/>
            <family val="2"/>
          </rPr>
          <t>ECFIN F4 (Sidlauskas):</t>
        </r>
        <r>
          <rPr>
            <sz val="9"/>
            <color indexed="81"/>
            <rFont val="Tahoma"/>
            <family val="2"/>
          </rPr>
          <t xml:space="preserve">
Atnujinta post TCE5 AF2017</t>
        </r>
      </text>
    </comment>
    <comment ref="E166" authorId="0">
      <text>
        <r>
          <rPr>
            <b/>
            <sz val="8"/>
            <color indexed="81"/>
            <rFont val="Tahoma"/>
            <family val="2"/>
          </rPr>
          <t>bethuge:</t>
        </r>
        <r>
          <rPr>
            <sz val="8"/>
            <color indexed="81"/>
            <rFont val="Tahoma"/>
            <family val="2"/>
          </rPr>
          <t xml:space="preserve">
In ESA95, employers' social contributions are treated as if they were received by households as parrt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E168" authorId="0">
      <text>
        <r>
          <rPr>
            <b/>
            <sz val="8"/>
            <color indexed="81"/>
            <rFont val="Tahoma"/>
            <family val="2"/>
          </rPr>
          <t>bethuge:</t>
        </r>
        <r>
          <rPr>
            <sz val="8"/>
            <color indexed="81"/>
            <rFont val="Tahoma"/>
            <family val="2"/>
          </rPr>
          <t xml:space="preserve">
In ESA95, employers' social contributions are treated as if they were received by households as parrt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AB192" authorId="2">
      <text>
        <r>
          <rPr>
            <b/>
            <sz val="9"/>
            <color indexed="81"/>
            <rFont val="Tahoma"/>
            <family val="2"/>
          </rPr>
          <t>ECFIN F4 (Sidlauskas):</t>
        </r>
        <r>
          <rPr>
            <sz val="9"/>
            <color indexed="81"/>
            <rFont val="Tahoma"/>
            <family val="2"/>
          </rPr>
          <t xml:space="preserve">
Updated post TCE5 AF2017</t>
        </r>
      </text>
    </comment>
    <comment ref="E210" authorId="0">
      <text>
        <r>
          <rPr>
            <b/>
            <sz val="8"/>
            <color indexed="81"/>
            <rFont val="Tahoma"/>
            <family val="2"/>
          </rPr>
          <t>bethuge:</t>
        </r>
        <r>
          <rPr>
            <sz val="8"/>
            <color indexed="81"/>
            <rFont val="Tahoma"/>
            <family val="2"/>
          </rPr>
          <t xml:space="preserve">
Implicit residual</t>
        </r>
      </text>
    </comment>
    <comment ref="E211" authorId="0">
      <text>
        <r>
          <rPr>
            <b/>
            <sz val="8"/>
            <color indexed="81"/>
            <rFont val="Tahoma"/>
            <family val="2"/>
          </rPr>
          <t>bethuge:</t>
        </r>
        <r>
          <rPr>
            <sz val="8"/>
            <color indexed="81"/>
            <rFont val="Tahoma"/>
            <family val="2"/>
          </rPr>
          <t xml:space="preserve">
GVT D.1p is part of government final consumption expenditure (P.3) - See link.</t>
        </r>
      </text>
    </comment>
    <comment ref="E213" authorId="0">
      <text>
        <r>
          <rPr>
            <b/>
            <sz val="8"/>
            <color indexed="81"/>
            <rFont val="Tahoma"/>
            <family val="2"/>
          </rPr>
          <t>bethuge:</t>
        </r>
        <r>
          <rPr>
            <sz val="8"/>
            <color indexed="81"/>
            <rFont val="Tahoma"/>
            <family val="2"/>
          </rPr>
          <t xml:space="preserve">
Inconsistent data can result from different vintages of national accounts data</t>
        </r>
      </text>
    </comment>
    <comment ref="A214"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15" authorId="0">
      <text>
        <r>
          <rPr>
            <b/>
            <sz val="8"/>
            <color indexed="81"/>
            <rFont val="Tahoma"/>
            <family val="2"/>
          </rPr>
          <t>bethuge:</t>
        </r>
        <r>
          <rPr>
            <sz val="8"/>
            <color indexed="81"/>
            <rFont val="Tahoma"/>
            <family val="2"/>
          </rPr>
          <t xml:space="preserve">
Inconsistent data can result from different vintages of nationa accounts data</t>
        </r>
      </text>
    </comment>
    <comment ref="A216"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Y216" authorId="4">
      <text>
        <r>
          <rPr>
            <b/>
            <sz val="9"/>
            <color indexed="81"/>
            <rFont val="Tahoma"/>
            <family val="2"/>
          </rPr>
          <t>Author:</t>
        </r>
        <r>
          <rPr>
            <sz val="9"/>
            <color indexed="81"/>
            <rFont val="Tahoma"/>
            <family val="2"/>
          </rPr>
          <t xml:space="preserve">
GS WF2015: residual-adjust? Check!</t>
        </r>
      </text>
    </comment>
    <comment ref="E218" authorId="0">
      <text>
        <r>
          <rPr>
            <b/>
            <sz val="8"/>
            <color indexed="81"/>
            <rFont val="Tahoma"/>
            <family val="2"/>
          </rPr>
          <t>bethuge:</t>
        </r>
        <r>
          <rPr>
            <sz val="8"/>
            <color indexed="81"/>
            <rFont val="Tahoma"/>
            <family val="2"/>
          </rPr>
          <t xml:space="preserve">
Inconsistent data can result from different vintages of national accounts data</t>
        </r>
      </text>
    </comment>
    <comment ref="E222" authorId="0">
      <text>
        <r>
          <rPr>
            <b/>
            <sz val="8"/>
            <color indexed="81"/>
            <rFont val="Tahoma"/>
            <family val="2"/>
          </rPr>
          <t>bethuge:</t>
        </r>
        <r>
          <rPr>
            <sz val="8"/>
            <color indexed="81"/>
            <rFont val="Tahoma"/>
            <family val="2"/>
          </rPr>
          <t xml:space="preserve">
Implicit residual</t>
        </r>
      </text>
    </comment>
  </commentList>
</comments>
</file>

<file path=xl/comments7.xml><?xml version="1.0" encoding="utf-8"?>
<comments xmlns="http://schemas.openxmlformats.org/spreadsheetml/2006/main">
  <authors>
    <author>SIDLAUSKAS Giedrius (ECFIN)</author>
    <author>Author</author>
    <author>ANCIUTE Aurelija (ECFIN)</author>
    <author>ECFIN F4 (Sidlauskas)</author>
    <author>KIELYTE Julda (ECFIN)</author>
    <author>SCHROEDER Martin (ECFIN)</author>
    <author>Martin Hradisky</author>
    <author>FLORIAN Miroslav (ECFIN)</author>
  </authors>
  <commentList>
    <comment ref="Z17" authorId="0">
      <text>
        <r>
          <rPr>
            <b/>
            <sz val="9"/>
            <color indexed="81"/>
            <rFont val="Tahoma"/>
            <family val="2"/>
          </rPr>
          <t>Giedrius:</t>
        </r>
        <r>
          <rPr>
            <sz val="9"/>
            <color indexed="81"/>
            <rFont val="Tahoma"/>
            <family val="2"/>
          </rPr>
          <t xml:space="preserve">
MoF planned growth (10% for VAT), reflecting poor '13 collection 200 mn from better administration not fully taken into account/ +increase in tobaco and alco exises from spring 2014// AF: factual yoy increase in 9 months VAT+Excise - 6,77%, adjusted down to normal elasticity for whole year due worsening sentiment and outlook
WF 2015 So far: closer to 6,5</t>
        </r>
      </text>
    </comment>
    <comment ref="AA17" authorId="0">
      <text>
        <r>
          <rPr>
            <sz val="9"/>
            <color indexed="81"/>
            <rFont val="Tahoma"/>
            <family val="2"/>
          </rPr>
          <t>Giedrius AF2015: drop VAT from 21% to 9%  for hotels from 2015. Increase in excise for tobacco and alcohol</t>
        </r>
        <r>
          <rPr>
            <b/>
            <sz val="9"/>
            <color indexed="81"/>
            <rFont val="Tahoma"/>
            <family val="2"/>
          </rPr>
          <t>, good excize collection. Up from 4,81</t>
        </r>
        <r>
          <rPr>
            <sz val="9"/>
            <color indexed="81"/>
            <rFont val="Tahoma"/>
            <family val="2"/>
          </rPr>
          <t xml:space="preserve">
</t>
        </r>
      </text>
    </comment>
    <comment ref="AC17" authorId="1">
      <text>
        <r>
          <rPr>
            <sz val="9"/>
            <color indexed="81"/>
            <rFont val="Tahoma"/>
            <family val="2"/>
          </rPr>
          <t xml:space="preserve">VAT pref. rate for residential heating taken as unchanged, +accelerated increase in alcochol exises
</t>
        </r>
      </text>
    </comment>
    <comment ref="F36" authorId="0">
      <text>
        <r>
          <rPr>
            <b/>
            <sz val="9"/>
            <color indexed="81"/>
            <rFont val="Tahoma"/>
            <family val="2"/>
          </rPr>
          <t xml:space="preserve"> 2014AF-Giedrius: OECD calc. of year 2005=2014 (taxes on production and imports to revenue base)</t>
        </r>
        <r>
          <rPr>
            <sz val="9"/>
            <color indexed="81"/>
            <rFont val="Tahoma"/>
            <family val="2"/>
          </rPr>
          <t xml:space="preserve">
</t>
        </r>
      </text>
    </comment>
    <comment ref="Z36" authorId="0">
      <text>
        <r>
          <rPr>
            <b/>
            <sz val="9"/>
            <color indexed="81"/>
            <rFont val="Tahoma"/>
            <family val="2"/>
          </rPr>
          <t>SIDLAUSKAS Giedrius (ECFIN):</t>
        </r>
        <r>
          <rPr>
            <sz val="9"/>
            <color indexed="81"/>
            <rFont val="Tahoma"/>
            <family val="2"/>
          </rPr>
          <t xml:space="preserve">
Increase in exise on tobacco and alcohol, + some eefect from increased enforcement</t>
        </r>
      </text>
    </comment>
    <comment ref="AA36" authorId="0">
      <text>
        <r>
          <rPr>
            <b/>
            <sz val="9"/>
            <color indexed="81"/>
            <rFont val="Tahoma"/>
            <family val="2"/>
          </rPr>
          <t>Giedrius AF2014: drop VAT to 5%  for hotels from 2015. Botched cancellation of pref. VAT rate (9% to 21%, +61,4 m eur in VAT revenues for 2015) was not taken in to account</t>
        </r>
      </text>
    </comment>
    <comment ref="AB58" authorId="2">
      <text>
        <r>
          <rPr>
            <sz val="9"/>
            <color indexed="81"/>
            <rFont val="Tahoma"/>
            <family val="2"/>
          </rPr>
          <t xml:space="preserve">Adjusted to residual in line 50
</t>
        </r>
      </text>
    </comment>
    <comment ref="Z150" authorId="0">
      <text>
        <r>
          <rPr>
            <b/>
            <sz val="9"/>
            <color indexed="81"/>
            <rFont val="Tahoma"/>
            <family val="2"/>
          </rPr>
          <t>Giedrius (ECFIN):</t>
        </r>
        <r>
          <rPr>
            <sz val="9"/>
            <color indexed="81"/>
            <rFont val="Tahoma"/>
            <family val="2"/>
          </rPr>
          <t xml:space="preserve">
2014/10 - Treasury planned to pay 655,5 mn euros in 2014</t>
        </r>
      </text>
    </comment>
    <comment ref="AA150" authorId="0">
      <text>
        <r>
          <rPr>
            <b/>
            <sz val="9"/>
            <color indexed="81"/>
            <rFont val="Tahoma"/>
            <family val="2"/>
          </rPr>
          <t>:</t>
        </r>
        <r>
          <rPr>
            <sz val="9"/>
            <color indexed="81"/>
            <rFont val="Tahoma"/>
            <family val="2"/>
          </rPr>
          <t xml:space="preserve">
2015 MoF plan 09.2015 - 617 mn euros</t>
        </r>
      </text>
    </comment>
    <comment ref="AB151" authorId="3">
      <text>
        <r>
          <rPr>
            <b/>
            <sz val="9"/>
            <color indexed="81"/>
            <rFont val="Tahoma"/>
            <family val="2"/>
          </rPr>
          <t>ECFIN F4 (Sidlauskas):</t>
        </r>
        <r>
          <rPr>
            <sz val="9"/>
            <color indexed="81"/>
            <rFont val="Tahoma"/>
            <family val="2"/>
          </rPr>
          <t xml:space="preserve">
Adjusted to minimise residual in line 144</t>
        </r>
      </text>
    </comment>
    <comment ref="AC202" authorId="2">
      <text>
        <r>
          <rPr>
            <b/>
            <sz val="9"/>
            <color indexed="81"/>
            <rFont val="Tahoma"/>
            <family val="2"/>
          </rPr>
          <t>ANCIUTE Aurelija (ECFIN):</t>
        </r>
        <r>
          <rPr>
            <sz val="9"/>
            <color indexed="81"/>
            <rFont val="Tahoma"/>
            <family val="2"/>
          </rPr>
          <t xml:space="preserve">
Updated 23/01</t>
        </r>
      </text>
    </comment>
    <comment ref="AB209" authorId="1">
      <text>
        <r>
          <rPr>
            <b/>
            <sz val="8"/>
            <color indexed="81"/>
            <rFont val="Tahoma"/>
            <family val="2"/>
          </rPr>
          <t>2015AF;</t>
        </r>
        <r>
          <rPr>
            <sz val="8"/>
            <color indexed="81"/>
            <rFont val="Tahoma"/>
            <family val="2"/>
          </rPr>
          <t xml:space="preserve">
(Non-tax-allowance increased = minus 65 mn eur in 2016 for PIT, all in all - 19 m., CIP growth of 7% looks optimistic// -1,45 = 19 m decrease) </t>
        </r>
        <r>
          <rPr>
            <b/>
            <sz val="8"/>
            <color indexed="81"/>
            <rFont val="Tahoma"/>
            <family val="2"/>
          </rPr>
          <t>2016AF</t>
        </r>
        <r>
          <rPr>
            <sz val="8"/>
            <color indexed="81"/>
            <rFont val="Tahoma"/>
            <family val="2"/>
          </rPr>
          <t xml:space="preserve"> up from 0.47 percen</t>
        </r>
      </text>
    </comment>
    <comment ref="AC209" authorId="1">
      <text>
        <r>
          <rPr>
            <b/>
            <sz val="9"/>
            <color indexed="81"/>
            <rFont val="Tahoma"/>
            <family val="2"/>
          </rPr>
          <t>Author:</t>
        </r>
        <r>
          <rPr>
            <sz val="9"/>
            <color indexed="81"/>
            <rFont val="Tahoma"/>
            <family val="2"/>
          </rPr>
          <t xml:space="preserve">
1.09 elasticty to wages minus 144 mn eur due to increase in mom-taxabe treshold</t>
        </r>
      </text>
    </comment>
    <comment ref="AD209" authorId="3">
      <text>
        <r>
          <rPr>
            <b/>
            <sz val="9"/>
            <color indexed="81"/>
            <rFont val="Tahoma"/>
            <family val="2"/>
          </rPr>
          <t>ECFIN F4 (Sidlauskas):</t>
        </r>
        <r>
          <rPr>
            <sz val="9"/>
            <color indexed="81"/>
            <rFont val="Tahoma"/>
            <family val="2"/>
          </rPr>
          <t xml:space="preserve">
-100mn eur due to an increase in non-taxable treshold</t>
        </r>
      </text>
    </comment>
    <comment ref="X210" authorId="0">
      <text>
        <r>
          <rPr>
            <b/>
            <sz val="9"/>
            <color indexed="81"/>
            <rFont val="Tahoma"/>
            <family val="2"/>
          </rPr>
          <t>SIDLAUSKAS Giedrius (ECFIN):</t>
        </r>
        <r>
          <rPr>
            <sz val="9"/>
            <color indexed="81"/>
            <rFont val="Tahoma"/>
            <family val="2"/>
          </rPr>
          <t xml:space="preserve">
2012  was around 1,2273 bn LTL</t>
        </r>
      </text>
    </comment>
    <comment ref="AA210" authorId="0">
      <text>
        <r>
          <rPr>
            <b/>
            <sz val="9"/>
            <color indexed="81"/>
            <rFont val="Tahoma"/>
            <family val="2"/>
          </rPr>
          <t>WF16 cash data for 2015- +14.8%, First time tax on dividends and interest income over 10thnd LT has to be paid, 9 mnt 2015 +12,5 yoy</t>
        </r>
      </text>
    </comment>
    <comment ref="AB210" authorId="1">
      <text>
        <r>
          <rPr>
            <b/>
            <sz val="9"/>
            <color indexed="81"/>
            <rFont val="Tahoma"/>
            <family val="2"/>
          </rPr>
          <t>Author:</t>
        </r>
        <r>
          <rPr>
            <sz val="9"/>
            <color indexed="81"/>
            <rFont val="Tahoma"/>
            <family val="2"/>
          </rPr>
          <t xml:space="preserve">
Up from 7.05%. 2016 8 month data so far 11.6%</t>
        </r>
      </text>
    </comment>
    <comment ref="Y238" authorId="0">
      <text>
        <r>
          <rPr>
            <b/>
            <sz val="9"/>
            <color indexed="81"/>
            <rFont val="Tahoma"/>
            <family val="2"/>
          </rPr>
          <t>SIDLAUSKAS Giedrius (ECFIN):</t>
        </r>
        <r>
          <rPr>
            <sz val="9"/>
            <color indexed="81"/>
            <rFont val="Tahoma"/>
            <family val="2"/>
          </rPr>
          <t xml:space="preserve">
CIT strong growth in 2013, 2014 - flat</t>
        </r>
      </text>
    </comment>
    <comment ref="X265" authorId="4">
      <text>
        <r>
          <rPr>
            <b/>
            <sz val="9"/>
            <color indexed="81"/>
            <rFont val="Tahoma"/>
            <family val="2"/>
            <charset val="238"/>
          </rPr>
          <t xml:space="preserve">0.1pp discretion, decrease in transfers to II pillar pension funds/ </t>
        </r>
        <r>
          <rPr>
            <b/>
            <u val="double"/>
            <sz val="9"/>
            <color indexed="81"/>
            <rFont val="Tahoma"/>
            <family val="2"/>
          </rPr>
          <t>Giedrius</t>
        </r>
        <r>
          <rPr>
            <b/>
            <sz val="9"/>
            <color indexed="81"/>
            <rFont val="Tahoma"/>
            <family val="2"/>
            <charset val="238"/>
          </rPr>
          <t>: deacresed a bit to reflect actual revenue-11,56bn</t>
        </r>
      </text>
    </comment>
    <comment ref="Y265" authorId="4">
      <text>
        <r>
          <rPr>
            <b/>
            <sz val="9"/>
            <color indexed="81"/>
            <rFont val="Tahoma"/>
            <family val="2"/>
            <charset val="238"/>
          </rPr>
          <t>2014wf ADJUST UP BY 10PRCN. -0.2 discretion, restoration of second pillar to 2.5% //Giedrius: plus small increase to reflect 180 mn. from min wage increase</t>
        </r>
      </text>
    </comment>
    <comment ref="Z265" authorId="5">
      <text>
        <r>
          <rPr>
            <b/>
            <sz val="9"/>
            <color indexed="81"/>
            <rFont val="Tahoma"/>
            <family val="2"/>
          </rPr>
          <t>Giedrius:</t>
        </r>
        <r>
          <rPr>
            <sz val="9"/>
            <color indexed="81"/>
            <rFont val="Tahoma"/>
            <family val="2"/>
          </rPr>
          <t xml:space="preserve">
reduced payments by SODRA to private pension funds from 2.5 to 2.0 in 2014
// Sodra's plan 5,38%// AF2014 - in 9 mnth growth 7,3% i.e.2,5%above sodras plan// down reflect worsening sentiments</t>
        </r>
      </text>
    </comment>
    <comment ref="AC265" authorId="1">
      <text>
        <r>
          <rPr>
            <b/>
            <sz val="9"/>
            <color indexed="81"/>
            <rFont val="Tahoma"/>
            <family val="2"/>
          </rPr>
          <t>Author: elast=1 minus 40 mn due social reform
AA atnaujinau</t>
        </r>
      </text>
    </comment>
    <comment ref="F289" authorId="0">
      <text>
        <r>
          <rPr>
            <b/>
            <sz val="9"/>
            <color indexed="81"/>
            <rFont val="Tahoma"/>
            <family val="2"/>
          </rPr>
          <t xml:space="preserve"> Giedrius: in 2005 was 1.1, updated in 2014</t>
        </r>
        <r>
          <rPr>
            <sz val="9"/>
            <color indexed="81"/>
            <rFont val="Tahoma"/>
            <family val="2"/>
          </rPr>
          <t xml:space="preserve">
</t>
        </r>
      </text>
    </comment>
    <comment ref="Z289" authorId="0">
      <text>
        <r>
          <rPr>
            <b/>
            <sz val="9"/>
            <color indexed="81"/>
            <rFont val="Tahoma"/>
            <family val="2"/>
          </rPr>
          <t xml:space="preserve"> Giedrius: adjust compoensation of employees in Labour1</t>
        </r>
        <r>
          <rPr>
            <sz val="9"/>
            <color indexed="81"/>
            <rFont val="Tahoma"/>
            <family val="2"/>
          </rPr>
          <t xml:space="preserve">
</t>
        </r>
      </text>
    </comment>
    <comment ref="Y308" authorId="0">
      <text>
        <r>
          <rPr>
            <b/>
            <sz val="9"/>
            <color indexed="81"/>
            <rFont val="Tahoma"/>
            <family val="2"/>
          </rPr>
          <t>SIDLAUSKAS Giedrius (ECFIN):</t>
        </r>
        <r>
          <rPr>
            <sz val="9"/>
            <color indexed="81"/>
            <rFont val="Tahoma"/>
            <family val="2"/>
          </rPr>
          <t xml:space="preserve">
SODRA </t>
        </r>
      </text>
    </comment>
    <comment ref="AA308" authorId="0">
      <text>
        <r>
          <rPr>
            <b/>
            <sz val="9"/>
            <color indexed="81"/>
            <rFont val="Tahoma"/>
            <family val="2"/>
          </rPr>
          <t xml:space="preserve">SIDLAUSKAS Giedrius (ECFIN): </t>
        </r>
        <r>
          <rPr>
            <sz val="9"/>
            <color indexed="81"/>
            <rFont val="Tahoma"/>
            <family val="2"/>
          </rPr>
          <t xml:space="preserve"> Increase by 0,3 for gov. incentives for II tier pensions// sodra plan sligtly negative exp. Growth//AF2014 - rounding of pensions, +increase in pensions+increase in sickness leave benefits//9 mnth of 2015 +3,6% yoy
</t>
        </r>
      </text>
    </comment>
    <comment ref="AB308" authorId="1">
      <text>
        <r>
          <rPr>
            <sz val="8"/>
            <color indexed="81"/>
            <rFont val="Tahoma"/>
            <family val="2"/>
          </rPr>
          <t xml:space="preserve">Including 75 mn extra for pesnion increase from 01.2016// down from 6.7%
</t>
        </r>
      </text>
    </comment>
    <comment ref="AC308" authorId="1">
      <text>
        <r>
          <rPr>
            <b/>
            <sz val="9"/>
            <color indexed="81"/>
            <rFont val="Tahoma"/>
            <family val="2"/>
          </rPr>
          <t>Author:</t>
        </r>
        <r>
          <rPr>
            <sz val="9"/>
            <color indexed="81"/>
            <rFont val="Tahoma"/>
            <family val="2"/>
          </rPr>
          <t xml:space="preserve">
extra 167 in expenditures due to indexation of pensions
AA pataisiau</t>
        </r>
      </text>
    </comment>
    <comment ref="AE308" authorId="1">
      <text>
        <r>
          <rPr>
            <b/>
            <sz val="9"/>
            <color indexed="81"/>
            <rFont val="Tahoma"/>
            <family val="2"/>
          </rPr>
          <t>2016.10 - sodra's plans</t>
        </r>
        <r>
          <rPr>
            <sz val="9"/>
            <color indexed="81"/>
            <rFont val="Tahoma"/>
            <family val="2"/>
          </rPr>
          <t xml:space="preserve">
</t>
        </r>
      </text>
    </comment>
    <comment ref="AB436" authorId="6">
      <text>
        <r>
          <rPr>
            <b/>
            <sz val="8"/>
            <color indexed="81"/>
            <rFont val="Tahoma"/>
            <family val="2"/>
          </rPr>
          <t>Martin Hradisky:</t>
        </r>
        <r>
          <rPr>
            <sz val="8"/>
            <color indexed="81"/>
            <rFont val="Tahoma"/>
            <family val="2"/>
          </rPr>
          <t xml:space="preserve">
Linear convergence to long-term average</t>
        </r>
      </text>
    </comment>
    <comment ref="AC436" authorId="6">
      <text>
        <r>
          <rPr>
            <b/>
            <sz val="8"/>
            <color indexed="81"/>
            <rFont val="Tahoma"/>
            <family val="2"/>
          </rPr>
          <t>Martin Hradisky:</t>
        </r>
        <r>
          <rPr>
            <sz val="8"/>
            <color indexed="81"/>
            <rFont val="Tahoma"/>
            <family val="2"/>
          </rPr>
          <t xml:space="preserve">
Linear convergence to long-term average</t>
        </r>
      </text>
    </comment>
    <comment ref="AD436" authorId="6">
      <text>
        <r>
          <rPr>
            <b/>
            <sz val="8"/>
            <color indexed="81"/>
            <rFont val="Tahoma"/>
            <family val="2"/>
          </rPr>
          <t>Martin Hradisky:</t>
        </r>
        <r>
          <rPr>
            <sz val="8"/>
            <color indexed="81"/>
            <rFont val="Tahoma"/>
            <family val="2"/>
          </rPr>
          <t xml:space="preserve">
Linear convergence to long-term average</t>
        </r>
      </text>
    </comment>
    <comment ref="AE436" authorId="6">
      <text>
        <r>
          <rPr>
            <b/>
            <sz val="8"/>
            <color indexed="81"/>
            <rFont val="Tahoma"/>
            <family val="2"/>
          </rPr>
          <t>Martin Hradisky:</t>
        </r>
        <r>
          <rPr>
            <sz val="8"/>
            <color indexed="81"/>
            <rFont val="Tahoma"/>
            <family val="2"/>
          </rPr>
          <t xml:space="preserve">
Linear convergence to long-term average</t>
        </r>
      </text>
    </comment>
    <comment ref="Z478" authorId="7">
      <text>
        <r>
          <rPr>
            <b/>
            <sz val="9"/>
            <color indexed="81"/>
            <rFont val="Tahoma"/>
            <family val="2"/>
          </rPr>
          <t xml:space="preserve">3.7
</t>
        </r>
      </text>
    </comment>
    <comment ref="AA478" authorId="7">
      <text>
        <r>
          <rPr>
            <b/>
            <sz val="9"/>
            <color indexed="81"/>
            <rFont val="Tahoma"/>
            <family val="2"/>
          </rPr>
          <t xml:space="preserve">3.7
</t>
        </r>
      </text>
    </comment>
    <comment ref="Z484" authorId="0">
      <text>
        <r>
          <rPr>
            <b/>
            <sz val="9"/>
            <color indexed="81"/>
            <rFont val="Tahoma"/>
            <family val="2"/>
          </rPr>
          <t>Giedrius:</t>
        </r>
        <r>
          <rPr>
            <sz val="9"/>
            <color indexed="81"/>
            <rFont val="Tahoma"/>
            <family val="2"/>
          </rPr>
          <t xml:space="preserve">
+ 1,89bn litas returned to DIF from Snoras assets</t>
        </r>
      </text>
    </comment>
    <comment ref="AA484" authorId="0">
      <text>
        <r>
          <rPr>
            <b/>
            <sz val="9"/>
            <color indexed="81"/>
            <rFont val="Tahoma"/>
            <family val="2"/>
          </rPr>
          <t xml:space="preserve"> + [ 0,162 bn euro to be returned to DIF from Snoras/Ukio assets (MoF 09.2015 estimates)]</t>
        </r>
      </text>
    </comment>
    <comment ref="AC484" authorId="0">
      <text>
        <r>
          <rPr>
            <b/>
            <sz val="9"/>
            <color indexed="81"/>
            <rFont val="Tahoma"/>
            <family val="2"/>
          </rPr>
          <t>Giedrius:
0,7 bn euro + 0,031bn euro (107 m litas) to be returned to DIF from Snoras assets</t>
        </r>
      </text>
    </comment>
    <comment ref="AD484" authorId="0">
      <text>
        <r>
          <rPr>
            <b/>
            <sz val="9"/>
            <color indexed="81"/>
            <rFont val="Tahoma"/>
            <family val="2"/>
          </rPr>
          <t>Giedrius:
0,7 bn euro + 0,031bn euro (107 m litas) to be returned to DIF from Snoras assets</t>
        </r>
      </text>
    </comment>
    <comment ref="AE484" authorId="0">
      <text>
        <r>
          <rPr>
            <b/>
            <sz val="9"/>
            <color indexed="81"/>
            <rFont val="Tahoma"/>
            <family val="2"/>
          </rPr>
          <t>Giedrius:
0,7 bn euro + 0,031bn euro (107 m litas) to be returned to DIF from Snoras assets</t>
        </r>
      </text>
    </comment>
    <comment ref="W486" authorId="0">
      <text>
        <r>
          <rPr>
            <b/>
            <sz val="9"/>
            <color indexed="81"/>
            <rFont val="Tahoma"/>
            <family val="2"/>
          </rPr>
          <t>SIDLAUSKAS Giedrius (ECFIN):</t>
        </r>
        <r>
          <rPr>
            <sz val="9"/>
            <color indexed="81"/>
            <rFont val="Tahoma"/>
            <family val="2"/>
          </rPr>
          <t xml:space="preserve">
DIF paymemts to Snoras depositors</t>
        </r>
      </text>
    </comment>
    <comment ref="Y486" authorId="0">
      <text>
        <r>
          <rPr>
            <b/>
            <sz val="9"/>
            <color indexed="81"/>
            <rFont val="Tahoma"/>
            <family val="2"/>
          </rPr>
          <t>SIDLAUSKAS Giedrius (ECFIN):</t>
        </r>
        <r>
          <rPr>
            <sz val="9"/>
            <color indexed="81"/>
            <rFont val="Tahoma"/>
            <family val="2"/>
          </rPr>
          <t xml:space="preserve">
DIF payment to Ukio bankas and Credit Union depositors</t>
        </r>
      </text>
    </comment>
    <comment ref="Z486" authorId="0">
      <text>
        <r>
          <rPr>
            <sz val="9"/>
            <color indexed="81"/>
            <rFont val="Tahoma"/>
            <family val="2"/>
          </rPr>
          <t>Giedrius: + 220,9 mn litas in deposit insurance payments by DIF for CU depositors (ESA10) +(?) EUR 302 mn Sodra pension compensation (?)</t>
        </r>
      </text>
    </comment>
    <comment ref="AA486" authorId="1">
      <text>
        <r>
          <rPr>
            <sz val="8"/>
            <color indexed="81"/>
            <rFont val="Tahoma"/>
            <family val="2"/>
          </rPr>
          <t xml:space="preserve">Giedrius WF2016: back to normal levels of ≈0,1 bn euro, just 30 (istead of AF 2015 12 mn) mn DIF insurance payouts + 121 mn accrual wage compnesation imposed by Const. court
</t>
        </r>
      </text>
    </comment>
    <comment ref="AB486" authorId="1">
      <text>
        <r>
          <rPr>
            <b/>
            <sz val="8"/>
            <color indexed="81"/>
            <rFont val="Tahoma"/>
            <family val="2"/>
          </rPr>
          <t>+21mn paid by DIF to banckrupt CU depositors</t>
        </r>
      </text>
    </comment>
    <comment ref="AC486" authorId="1">
      <text>
        <r>
          <rPr>
            <b/>
            <sz val="9"/>
            <color indexed="81"/>
            <rFont val="Tahoma"/>
            <family val="2"/>
          </rPr>
          <t>to normal levels of to normal levels of ≈0,1 bn euro, + 60 mn DIF insurance payouts for CU depositors</t>
        </r>
        <r>
          <rPr>
            <sz val="9"/>
            <color indexed="81"/>
            <rFont val="Tahoma"/>
            <family val="2"/>
          </rPr>
          <t xml:space="preserve">
</t>
        </r>
      </text>
    </comment>
    <comment ref="X496" authorId="5">
      <text>
        <r>
          <rPr>
            <b/>
            <sz val="9"/>
            <color indexed="81"/>
            <rFont val="Tahoma"/>
            <family val="2"/>
          </rPr>
          <t>SCHROEDER Martin (ECFIN):</t>
        </r>
        <r>
          <rPr>
            <sz val="9"/>
            <color indexed="81"/>
            <rFont val="Tahoma"/>
            <family val="2"/>
          </rPr>
          <t xml:space="preserve">
CHECK?//Giedrius-down from 15% to reflect lower CO2 revenues</t>
        </r>
      </text>
    </comment>
    <comment ref="Y496" authorId="0">
      <text>
        <r>
          <rPr>
            <b/>
            <sz val="9"/>
            <color indexed="81"/>
            <rFont val="Tahoma"/>
            <family val="2"/>
          </rPr>
          <t>SIDLAUSKAS Giedrius (ECFIN):</t>
        </r>
        <r>
          <rPr>
            <sz val="9"/>
            <color indexed="81"/>
            <rFont val="Tahoma"/>
            <family val="2"/>
          </rPr>
          <t xml:space="preserve">
Up from 4% to add 50mn from hiher CO2 rev//back to 4%, sinc no C02 increase for 2013</t>
        </r>
      </text>
    </comment>
    <comment ref="Z496" authorId="7">
      <text>
        <r>
          <rPr>
            <b/>
            <sz val="9"/>
            <color indexed="81"/>
            <rFont val="Tahoma"/>
            <family val="2"/>
          </rPr>
          <t>Giedrius:
+ 1,89bn litas returned to DIF from Snoras assets</t>
        </r>
      </text>
    </comment>
    <comment ref="AA496" authorId="0">
      <text>
        <r>
          <rPr>
            <b/>
            <sz val="9"/>
            <color indexed="81"/>
            <rFont val="Tahoma"/>
            <family val="2"/>
          </rPr>
          <t>bn euro + [ 0,166 bn euro returned to DIF from Snoras/Ukio assets (MoF 09.2015 estimates)]</t>
        </r>
        <r>
          <rPr>
            <sz val="9"/>
            <color indexed="81"/>
            <rFont val="Tahoma"/>
            <family val="2"/>
          </rPr>
          <t xml:space="preserve">
</t>
        </r>
      </text>
    </comment>
    <comment ref="AB496" authorId="1">
      <text>
        <r>
          <rPr>
            <b/>
            <sz val="9"/>
            <color indexed="81"/>
            <rFont val="Tahoma"/>
            <family val="2"/>
          </rPr>
          <t>+79.232 mn from liquidation for assest by DIIF (fact)</t>
        </r>
        <r>
          <rPr>
            <sz val="9"/>
            <color indexed="81"/>
            <rFont val="Tahoma"/>
            <family val="2"/>
          </rPr>
          <t xml:space="preserve">
</t>
        </r>
      </text>
    </comment>
    <comment ref="AC496" authorId="1">
      <text>
        <r>
          <rPr>
            <b/>
            <sz val="9"/>
            <color indexed="81"/>
            <rFont val="Tahoma"/>
            <family val="2"/>
          </rPr>
          <t>Author:</t>
        </r>
        <r>
          <rPr>
            <sz val="9"/>
            <color indexed="81"/>
            <rFont val="Tahoma"/>
            <family val="2"/>
          </rPr>
          <t xml:space="preserve">
+47 mn from liquidation for assest by DIIF</t>
        </r>
      </text>
    </comment>
    <comment ref="W498" authorId="0">
      <text>
        <r>
          <rPr>
            <b/>
            <sz val="9"/>
            <color indexed="81"/>
            <rFont val="Tahoma"/>
            <family val="2"/>
          </rPr>
          <t>Giedrius: payment of 4 bn litas by DIF to Snoras depositors</t>
        </r>
        <r>
          <rPr>
            <sz val="9"/>
            <color indexed="81"/>
            <rFont val="Tahoma"/>
            <family val="2"/>
          </rPr>
          <t xml:space="preserve">
</t>
        </r>
      </text>
    </comment>
    <comment ref="Y498" authorId="0">
      <text>
        <r>
          <rPr>
            <b/>
            <sz val="9"/>
            <color indexed="81"/>
            <rFont val="Tahoma"/>
            <family val="2"/>
          </rPr>
          <t xml:space="preserve"> Giedrius: ESA10: DIF insurance payments to UB and CU depositors</t>
        </r>
        <r>
          <rPr>
            <sz val="9"/>
            <color indexed="81"/>
            <rFont val="Tahoma"/>
            <family val="2"/>
          </rPr>
          <t xml:space="preserve">
</t>
        </r>
      </text>
    </comment>
    <comment ref="Z498" authorId="0">
      <text>
        <r>
          <rPr>
            <b/>
            <sz val="9"/>
            <color indexed="81"/>
            <rFont val="Tahoma"/>
            <family val="2"/>
          </rPr>
          <t>Giedrius:+ 220,9 mn litas in deposit insurance payments by DIF for CU depositors (ESA10)</t>
        </r>
        <r>
          <rPr>
            <sz val="9"/>
            <color indexed="81"/>
            <rFont val="Tahoma"/>
            <family val="2"/>
          </rPr>
          <t xml:space="preserve">
</t>
        </r>
      </text>
    </comment>
    <comment ref="AA498" authorId="0">
      <text>
        <r>
          <rPr>
            <sz val="9"/>
            <color indexed="81"/>
            <rFont val="Tahoma"/>
            <family val="2"/>
          </rPr>
          <t>Giedrius WF2016: back to normal levels of ≈0,1 bn euro, just 30 mn DIF insurance payouts + 121 mn accrual wage compnesation imposed by Const. court</t>
        </r>
      </text>
    </comment>
    <comment ref="AB498" authorId="1">
      <text>
        <r>
          <rPr>
            <b/>
            <sz val="8"/>
            <color indexed="81"/>
            <rFont val="Tahoma"/>
            <family val="2"/>
          </rPr>
          <t>Giedrius WF2016: back to normal levels of ≈0,1 bn euro, + 25 mn DIF insurance payouts for CU depositors</t>
        </r>
      </text>
    </comment>
    <comment ref="AC498" authorId="1">
      <text>
        <r>
          <rPr>
            <b/>
            <sz val="9"/>
            <color indexed="81"/>
            <rFont val="Tahoma"/>
            <family val="2"/>
          </rPr>
          <t>to normal levels of ≈0,1 bn euro, + 25 mn DIF insurance payouts for CU depositors</t>
        </r>
        <r>
          <rPr>
            <sz val="9"/>
            <color indexed="81"/>
            <rFont val="Tahoma"/>
            <family val="2"/>
          </rPr>
          <t xml:space="preserve">
</t>
        </r>
      </text>
    </comment>
    <comment ref="Y567" authorId="0">
      <text>
        <r>
          <rPr>
            <b/>
            <sz val="9"/>
            <color indexed="81"/>
            <rFont val="Tahoma"/>
            <family val="2"/>
          </rPr>
          <t>SIDLAUSKAS Giedrius (ECFIN):</t>
        </r>
        <r>
          <rPr>
            <sz val="9"/>
            <color indexed="81"/>
            <rFont val="Tahoma"/>
            <family val="2"/>
          </rPr>
          <t xml:space="preserve">
adjust via Y501</t>
        </r>
      </text>
    </comment>
    <comment ref="Y569" authorId="0">
      <text>
        <r>
          <rPr>
            <b/>
            <sz val="9"/>
            <color indexed="81"/>
            <rFont val="Tahoma"/>
            <family val="2"/>
          </rPr>
          <t>SIDLAUSKAS Giedrius (ECFIN):</t>
        </r>
        <r>
          <rPr>
            <sz val="9"/>
            <color indexed="81"/>
            <rFont val="Tahoma"/>
            <family val="2"/>
          </rPr>
          <t xml:space="preserve">
adjust via Labour 136</t>
        </r>
      </text>
    </comment>
    <comment ref="AA605" authorId="1">
      <text>
        <r>
          <rPr>
            <b/>
            <sz val="8"/>
            <color indexed="81"/>
            <rFont val="Tahoma"/>
            <family val="2"/>
          </rPr>
          <t>WF2015: 15,901566</t>
        </r>
        <r>
          <rPr>
            <sz val="8"/>
            <color indexed="81"/>
            <rFont val="Tahoma"/>
            <family val="2"/>
          </rPr>
          <t xml:space="preserve">
</t>
        </r>
      </text>
    </comment>
    <comment ref="Y616" authorId="0">
      <text>
        <r>
          <rPr>
            <b/>
            <sz val="9"/>
            <color indexed="81"/>
            <rFont val="Tahoma"/>
            <family val="2"/>
          </rPr>
          <t>SIDLAUSKAS Giedrius (ECFIN):</t>
        </r>
        <r>
          <rPr>
            <sz val="9"/>
            <color indexed="81"/>
            <rFont val="Tahoma"/>
            <family val="2"/>
          </rPr>
          <t xml:space="preserve">
C02 + 142mn in windfall from land sales+392,58m lt DIF recovered ammount</t>
        </r>
      </text>
    </comment>
    <comment ref="Z616" authorId="0">
      <text>
        <r>
          <rPr>
            <b/>
            <sz val="9"/>
            <color indexed="81"/>
            <rFont val="Tahoma"/>
            <family val="2"/>
          </rPr>
          <t>SIDLAUSKAS Giedrius (ECFIN):</t>
        </r>
        <r>
          <rPr>
            <sz val="9"/>
            <color indexed="81"/>
            <rFont val="Tahoma"/>
            <family val="2"/>
          </rPr>
          <t xml:space="preserve">
+1,86bn Snoras repayment to DIF</t>
        </r>
      </text>
    </comment>
    <comment ref="AA616" authorId="0">
      <text>
        <r>
          <rPr>
            <b/>
            <sz val="9"/>
            <color indexed="81"/>
            <rFont val="Tahoma"/>
            <family val="2"/>
          </rPr>
          <t>SIDLAUSKAS Giedrius (ECFIN):</t>
        </r>
        <r>
          <rPr>
            <sz val="9"/>
            <color indexed="81"/>
            <rFont val="Tahoma"/>
            <family val="2"/>
          </rPr>
          <t xml:space="preserve">
+76 mn euro to DIF from assest (MoF plans)</t>
        </r>
      </text>
    </comment>
    <comment ref="AB616" authorId="0">
      <text>
        <r>
          <rPr>
            <b/>
            <sz val="9"/>
            <color indexed="81"/>
            <rFont val="Tahoma"/>
            <family val="2"/>
          </rPr>
          <t>+107mn LT MoF plans for DIF to receibed from sale of Snoras/Ukio/CU assests</t>
        </r>
        <r>
          <rPr>
            <sz val="9"/>
            <color indexed="81"/>
            <rFont val="Tahoma"/>
            <family val="2"/>
          </rPr>
          <t xml:space="preserve">
</t>
        </r>
      </text>
    </comment>
    <comment ref="AC616" authorId="0">
      <text>
        <r>
          <rPr>
            <b/>
            <sz val="9"/>
            <color indexed="81"/>
            <rFont val="Tahoma"/>
            <family val="2"/>
          </rPr>
          <t>+107mn LT MoF plans for DIF to receibed from sale of Snoras/Ukio/CU assests</t>
        </r>
        <r>
          <rPr>
            <sz val="9"/>
            <color indexed="81"/>
            <rFont val="Tahoma"/>
            <family val="2"/>
          </rPr>
          <t xml:space="preserve">
</t>
        </r>
      </text>
    </comment>
    <comment ref="AD616" authorId="0">
      <text>
        <r>
          <rPr>
            <b/>
            <sz val="9"/>
            <color indexed="81"/>
            <rFont val="Tahoma"/>
            <family val="2"/>
          </rPr>
          <t>+107mn LT MoF plans for DIF to receibed from sale of Snoras/Ukio/CU assests</t>
        </r>
        <r>
          <rPr>
            <sz val="9"/>
            <color indexed="81"/>
            <rFont val="Tahoma"/>
            <family val="2"/>
          </rPr>
          <t xml:space="preserve">
</t>
        </r>
      </text>
    </comment>
    <comment ref="AE616" authorId="0">
      <text>
        <r>
          <rPr>
            <b/>
            <sz val="9"/>
            <color indexed="81"/>
            <rFont val="Tahoma"/>
            <family val="2"/>
          </rPr>
          <t>+107mn LT MoF plans for DIF to receibed from sale of Snoras/Ukio/CU assests</t>
        </r>
        <r>
          <rPr>
            <sz val="9"/>
            <color indexed="81"/>
            <rFont val="Tahoma"/>
            <family val="2"/>
          </rPr>
          <t xml:space="preserve">
</t>
        </r>
      </text>
    </comment>
    <comment ref="W618" authorId="0">
      <text>
        <r>
          <rPr>
            <b/>
            <sz val="9"/>
            <color indexed="81"/>
            <rFont val="Tahoma"/>
            <family val="2"/>
          </rPr>
          <t>Giedrius: as of AF2014 (ESA2010) added compensation to Snoras depositors (eur1,1595bn-4bn litas) by LT DIF</t>
        </r>
        <r>
          <rPr>
            <sz val="9"/>
            <color indexed="81"/>
            <rFont val="Tahoma"/>
            <family val="2"/>
          </rPr>
          <t xml:space="preserve">
</t>
        </r>
      </text>
    </comment>
    <comment ref="X618" authorId="0">
      <text>
        <r>
          <rPr>
            <b/>
            <sz val="9"/>
            <color indexed="81"/>
            <rFont val="Tahoma"/>
            <family val="2"/>
          </rPr>
          <t>Giedrius: as of AF2014 (ESA2010) added compensation to Snoras depositors (38 m litas) by LT DIF (snoras not takent into account for 2014AF)</t>
        </r>
        <r>
          <rPr>
            <sz val="9"/>
            <color indexed="81"/>
            <rFont val="Tahoma"/>
            <family val="2"/>
          </rPr>
          <t xml:space="preserve">
</t>
        </r>
      </text>
    </comment>
    <comment ref="Y618" authorId="5">
      <text>
        <r>
          <rPr>
            <b/>
            <sz val="9"/>
            <color indexed="81"/>
            <rFont val="Tahoma"/>
            <family val="2"/>
          </rPr>
          <t>SCHROEDER Martin (ECFIN):</t>
        </r>
        <r>
          <rPr>
            <sz val="9"/>
            <color indexed="81"/>
            <rFont val="Tahoma"/>
            <family val="2"/>
          </rPr>
          <t xml:space="preserve">
Factual CO2 revenue spent, MoF data//Giedrius: as of AF2014 (ESA2010) added compensation to UB and CUs depositors (1bn litas) by LT DIF</t>
        </r>
      </text>
    </comment>
    <comment ref="Z618" authorId="0">
      <text>
        <r>
          <rPr>
            <b/>
            <sz val="9"/>
            <color indexed="81"/>
            <rFont val="Tahoma"/>
            <family val="2"/>
          </rPr>
          <t>SIDLAUSKAS Giedrius (ECFIN):</t>
        </r>
        <r>
          <rPr>
            <sz val="9"/>
            <color indexed="81"/>
            <rFont val="Tahoma"/>
            <family val="2"/>
          </rPr>
          <t xml:space="preserve">
Plans to spend accumulated C02 revenues-</t>
        </r>
        <r>
          <rPr>
            <b/>
            <sz val="9"/>
            <color indexed="81"/>
            <rFont val="Tahoma"/>
            <family val="2"/>
          </rPr>
          <t>check fact</t>
        </r>
        <r>
          <rPr>
            <sz val="9"/>
            <color indexed="81"/>
            <rFont val="Tahoma"/>
            <family val="2"/>
          </rPr>
          <t xml:space="preserve"> // 855,4 m LT of pension compensations //  220mn Lt DIF payments to closed CU depositors</t>
        </r>
      </text>
    </comment>
    <comment ref="AA618" authorId="0">
      <text>
        <r>
          <rPr>
            <b/>
            <sz val="9"/>
            <color indexed="81"/>
            <rFont val="Tahoma"/>
            <family val="2"/>
          </rPr>
          <t>SIDLAUSKAS Giedrius (ECFIN):</t>
        </r>
        <r>
          <rPr>
            <sz val="9"/>
            <color indexed="81"/>
            <rFont val="Tahoma"/>
            <family val="2"/>
          </rPr>
          <t xml:space="preserve">
Plans to spend accumulated C02 revenue</t>
        </r>
      </text>
    </comment>
    <comment ref="AB618" authorId="0">
      <text>
        <r>
          <rPr>
            <b/>
            <sz val="9"/>
            <color indexed="81"/>
            <rFont val="Tahoma"/>
            <family val="2"/>
          </rPr>
          <t>SIDLAUSKAS Giedrius (ECFIN):</t>
        </r>
        <r>
          <rPr>
            <sz val="9"/>
            <color indexed="81"/>
            <rFont val="Tahoma"/>
            <family val="2"/>
          </rPr>
          <t xml:space="preserve">
85 mn Lt to be received for CO2 sale in 2015 spent in 2016</t>
        </r>
      </text>
    </comment>
    <comment ref="AC618" authorId="0">
      <text>
        <r>
          <rPr>
            <b/>
            <sz val="9"/>
            <color indexed="81"/>
            <rFont val="Tahoma"/>
            <family val="2"/>
          </rPr>
          <t>SIDLAUSKAS Giedrius (ECFIN):</t>
        </r>
        <r>
          <rPr>
            <sz val="9"/>
            <color indexed="81"/>
            <rFont val="Tahoma"/>
            <family val="2"/>
          </rPr>
          <t xml:space="preserve">
85 mn Lt to be received for CO2 sale in 2015 spent in 2016</t>
        </r>
      </text>
    </comment>
    <comment ref="AD618" authorId="0">
      <text>
        <r>
          <rPr>
            <b/>
            <sz val="9"/>
            <color indexed="81"/>
            <rFont val="Tahoma"/>
            <family val="2"/>
          </rPr>
          <t>SIDLAUSKAS Giedrius (ECFIN):</t>
        </r>
        <r>
          <rPr>
            <sz val="9"/>
            <color indexed="81"/>
            <rFont val="Tahoma"/>
            <family val="2"/>
          </rPr>
          <t xml:space="preserve">
85 mn Lt to be received for CO2 sale in 2015 spent in 2016</t>
        </r>
      </text>
    </comment>
    <comment ref="AE618" authorId="0">
      <text>
        <r>
          <rPr>
            <b/>
            <sz val="9"/>
            <color indexed="81"/>
            <rFont val="Tahoma"/>
            <family val="2"/>
          </rPr>
          <t>SIDLAUSKAS Giedrius (ECFIN):</t>
        </r>
        <r>
          <rPr>
            <sz val="9"/>
            <color indexed="81"/>
            <rFont val="Tahoma"/>
            <family val="2"/>
          </rPr>
          <t xml:space="preserve">
85 mn Lt to be received for CO2 sale in 2015 spent in 2016</t>
        </r>
      </text>
    </comment>
    <comment ref="Y645" authorId="5">
      <text>
        <r>
          <rPr>
            <b/>
            <sz val="9"/>
            <color indexed="81"/>
            <rFont val="Tahoma"/>
            <family val="2"/>
          </rPr>
          <t>SCHROEDER Martin (ECFIN):</t>
        </r>
        <r>
          <rPr>
            <sz val="9"/>
            <color indexed="81"/>
            <rFont val="Tahoma"/>
            <family val="2"/>
          </rPr>
          <t xml:space="preserve">
VAT reduction 0.05, Excise increase of 0.1 SODRA increase to 2.5% from 1.5% //Giedrius: +LTL200mn from PIT&amp;Soc.cntrbt due increase in min. wages</t>
        </r>
      </text>
    </comment>
    <comment ref="Z645" authorId="5">
      <text>
        <r>
          <rPr>
            <b/>
            <sz val="9"/>
            <color indexed="81"/>
            <rFont val="Tahoma"/>
            <family val="2"/>
          </rPr>
          <t>SCHROEDER Martin (ECFIN):</t>
        </r>
        <r>
          <rPr>
            <sz val="9"/>
            <color indexed="81"/>
            <rFont val="Tahoma"/>
            <family val="2"/>
          </rPr>
          <t xml:space="preserve">
reduction of 2nd pillar contribution 2.5% to 2.0%</t>
        </r>
      </text>
    </comment>
    <comment ref="AA645" authorId="5">
      <text>
        <r>
          <rPr>
            <sz val="9"/>
            <color indexed="81"/>
            <rFont val="Tahoma"/>
            <family val="2"/>
          </rPr>
          <t>reduction of 2nd pillar contribution 2.5% to 2.0%//AF2014 - increase inexcises for alcohol and tobacco (in 2015+15 m eur) and increase in social ins. Contributions of self-employed (in 2015+ 22 m eur)
Limit on loss from ealier years transfer to the next year for CIT reduction to 70% (14 m euro, MoF estimate 50 mn LT)</t>
        </r>
      </text>
    </comment>
    <comment ref="U681" authorId="0">
      <text>
        <r>
          <rPr>
            <b/>
            <sz val="9"/>
            <color indexed="81"/>
            <rFont val="Tahoma"/>
            <family val="2"/>
          </rPr>
          <t>This is not entered in DFM detabase</t>
        </r>
      </text>
    </comment>
    <comment ref="Y681" authorId="5">
      <text>
        <r>
          <rPr>
            <b/>
            <sz val="9"/>
            <color indexed="81"/>
            <rFont val="Tahoma"/>
            <family val="2"/>
          </rPr>
          <t>SCHROEDER Martin (ECFIN):</t>
        </r>
        <r>
          <rPr>
            <sz val="9"/>
            <color indexed="81"/>
            <rFont val="Tahoma"/>
            <family val="2"/>
          </rPr>
          <t xml:space="preserve">
[partial] extension of wage freeze, EU presidency costs //Giedrius: +LTL200mn for public sector wages due min wage increase//</t>
        </r>
      </text>
    </comment>
    <comment ref="Z681" authorId="5">
      <text>
        <r>
          <rPr>
            <b/>
            <sz val="9"/>
            <color indexed="81"/>
            <rFont val="Tahoma"/>
            <family val="2"/>
          </rPr>
          <t>SCHROEDER Martin (ECFIN):</t>
        </r>
        <r>
          <rPr>
            <sz val="9"/>
            <color indexed="81"/>
            <rFont val="Tahoma"/>
            <family val="2"/>
          </rPr>
          <t xml:space="preserve">
subsidies to contributions to private pensions//partial restoration of public wages
+SODRA accrual conpensation 855,4 mn litas</t>
        </r>
      </text>
    </comment>
    <comment ref="AA681" authorId="5">
      <text>
        <r>
          <rPr>
            <sz val="9"/>
            <color indexed="81"/>
            <rFont val="Tahoma"/>
            <family val="2"/>
          </rPr>
          <t>including 300mn lt estimated cost of motivational pension contribution
------------
+0,075bn litas:
Increase of the insured income by LTL 0.16 up to LTL 1488.16 (EUR 431) and EUR 3 from 1 July  2015
Increase of gross income by LTL 2.54  up to LTL 362.55 Lt (EUR 105) and EUR 3 from 1 July    2015
Increase of the basic amount of widows PENSION by LTL 2.51 Lt up to LTL 72.51 (EUR 21)    
Recovery of sickness allowances up to 80% from 40%    
Pensions for mothers who raised 5 or more children 
+END of ONE OFF (-855,4 mn litas) from Sodra compensation</t>
        </r>
      </text>
    </comment>
    <comment ref="U682" authorId="0">
      <text>
        <r>
          <rPr>
            <b/>
            <sz val="9"/>
            <color indexed="81"/>
            <rFont val="Tahoma"/>
            <family val="2"/>
          </rPr>
          <t>Not in line with DFM database</t>
        </r>
      </text>
    </comment>
    <comment ref="W682" authorId="0">
      <text>
        <r>
          <rPr>
            <b/>
            <sz val="9"/>
            <color indexed="81"/>
            <rFont val="Tahoma"/>
            <family val="2"/>
          </rPr>
          <t>Snoras one-off</t>
        </r>
        <r>
          <rPr>
            <sz val="9"/>
            <color indexed="81"/>
            <rFont val="Tahoma"/>
            <family val="2"/>
          </rPr>
          <t xml:space="preserve">
</t>
        </r>
      </text>
    </comment>
    <comment ref="X682" authorId="5">
      <text>
        <r>
          <rPr>
            <b/>
            <sz val="9"/>
            <color indexed="81"/>
            <rFont val="Tahoma"/>
            <family val="2"/>
          </rPr>
          <t>SCHROEDER Martin (ECFIN):</t>
        </r>
        <r>
          <rPr>
            <sz val="9"/>
            <color indexed="81"/>
            <rFont val="Tahoma"/>
            <family val="2"/>
          </rPr>
          <t xml:space="preserve">
CO2 quotas</t>
        </r>
      </text>
    </comment>
    <comment ref="X782" authorId="7">
      <text>
        <r>
          <rPr>
            <b/>
            <sz val="9"/>
            <color indexed="81"/>
            <rFont val="Tahoma"/>
            <family val="2"/>
          </rPr>
          <t>FLORIAN Miroslav (ECFIN):</t>
        </r>
        <r>
          <rPr>
            <sz val="9"/>
            <color indexed="81"/>
            <rFont val="Tahoma"/>
            <family val="2"/>
          </rPr>
          <t xml:space="preserve">
Should be 3.4375</t>
        </r>
      </text>
    </comment>
    <comment ref="X789" authorId="7">
      <text>
        <r>
          <rPr>
            <b/>
            <sz val="9"/>
            <color indexed="81"/>
            <rFont val="Tahoma"/>
            <family val="2"/>
            <charset val="238"/>
          </rPr>
          <t>AMECO 2.6055</t>
        </r>
      </text>
    </comment>
  </commentList>
</comments>
</file>

<file path=xl/comments8.xml><?xml version="1.0" encoding="utf-8"?>
<comments xmlns="http://schemas.openxmlformats.org/spreadsheetml/2006/main">
  <authors>
    <author>Author</author>
  </authors>
  <commentList>
    <comment ref="E236" authorId="0">
      <text>
        <r>
          <rPr>
            <b/>
            <sz val="8"/>
            <color indexed="81"/>
            <rFont val="Tahoma"/>
            <family val="2"/>
          </rPr>
          <t>Different from EDP notification !!</t>
        </r>
        <r>
          <rPr>
            <sz val="8"/>
            <color indexed="81"/>
            <rFont val="Tahoma"/>
            <family val="2"/>
          </rPr>
          <t xml:space="preserve">
</t>
        </r>
      </text>
    </comment>
  </commentList>
</comments>
</file>

<file path=xl/comments9.xml><?xml version="1.0" encoding="utf-8"?>
<comments xmlns="http://schemas.openxmlformats.org/spreadsheetml/2006/main">
  <authors>
    <author>Author</author>
    <author>H.2</author>
  </authors>
  <commentList>
    <comment ref="H415" authorId="0">
      <text>
        <r>
          <rPr>
            <b/>
            <sz val="8"/>
            <color indexed="81"/>
            <rFont val="Tahoma"/>
            <family val="2"/>
          </rPr>
          <t>6-7-8 adjust together</t>
        </r>
        <r>
          <rPr>
            <sz val="8"/>
            <color indexed="81"/>
            <rFont val="Tahoma"/>
            <family val="2"/>
          </rPr>
          <t xml:space="preserve">
</t>
        </r>
      </text>
    </comment>
    <comment ref="H431" authorId="1">
      <text>
        <r>
          <rPr>
            <b/>
            <sz val="8"/>
            <color indexed="81"/>
            <rFont val="Tahoma"/>
            <family val="2"/>
          </rPr>
          <t>H.2:</t>
        </r>
        <r>
          <rPr>
            <sz val="8"/>
            <color indexed="81"/>
            <rFont val="Tahoma"/>
            <family val="2"/>
          </rPr>
          <t xml:space="preserve">
Check-inconsistent with Sector 1! For 2013-15</t>
        </r>
      </text>
    </comment>
  </commentList>
</comments>
</file>

<file path=xl/comments10.xml><?xml version="1.0" encoding="utf-8"?>
<comments xmlns="http://schemas.openxmlformats.org/spreadsheetml/2006/main">
  <authors>
    <author>RODRIGUEZ DEL RIO Carlos (ECFIN)</author>
  </authors>
  <commentList>
    <comment ref="A11" authorId="0">
      <text>
        <r>
          <rPr>
            <sz val="9"/>
            <color indexed="81"/>
            <rFont val="Tahoma"/>
            <family val="2"/>
          </rPr>
          <t>Saved by NET1\RODCARL on 26/06/2018 15:43:23
Latest revision date 26/06/2018 15:43:21</t>
        </r>
      </text>
    </comment>
  </commentList>
</comments>
</file>

<file path=xl/comments11.xml><?xml version="1.0" encoding="utf-8"?>
<comments xmlns="http://schemas.openxmlformats.org/spreadsheetml/2006/main">
  <authors>
    <author>RODRIGUEZ DEL RIO Carlos (ECFIN)</author>
  </authors>
  <commentList>
    <comment ref="A11" authorId="0">
      <text>
        <r>
          <rPr>
            <sz val="9"/>
            <color indexed="81"/>
            <rFont val="Tahoma"/>
            <family val="2"/>
          </rPr>
          <t>Saved by NET1\RODCARL on 26/06/2018 15:43:26
Latest revision date 26/06/2018 15:43:25</t>
        </r>
      </text>
    </comment>
  </commentList>
</comments>
</file>

<file path=xl/connections.xml><?xml version="1.0" encoding="utf-8"?>
<connections xmlns="http://schemas.openxmlformats.org/spreadsheetml/2006/main">
  <connection id="1" name="Connection34" type="4" refreshedVersion="4" background="1" saveData="1">
    <webPr sourceData="1" parsePre="1" consecutive="1" xl2000="1" url="http://intragate.ec.europa.eu/scopax/dfm/web_query/qy_transfer_matrix.cfm?cty=LT" htmlTables="1" htmlFormat="all"/>
  </connection>
  <connection id="2" name="Connection341" type="4" refreshedVersion="4" background="1" saveData="1">
    <webPr sourceData="1" parsePre="1" consecutive="1" xl2000="1" url="http://intragate.ec.europa.eu/scopax/dfm/web_query/qy_transfer_matrix.cfm?cty=LT&amp;cvt=1" htmlTables="1" htmlFormat="all"/>
  </connection>
  <connection id="3" name="Connection342" type="4" refreshedVersion="4" background="1" saveData="1">
    <webPr sourceData="1" parsePre="1" consecutive="1" xl2000="1" url="http://intragate.ec.europa.eu/scopax/dfm/web_query/qy_transfer_matrix.cfm?cty=LT&amp;cvt=1" htmlTables="1" htmlFormat="all"/>
  </connection>
  <connection id="4" name="Connection35" type="4" refreshedVersion="4" background="1" saveData="1">
    <webPr sourceData="1" parsePre="1" consecutive="1" xl2000="1" url="http://intragate.ec.europa.eu/scopax/dfm/web_query/qy_additional_impact.cfm?cty=LT" htmlTables="1" htmlFormat="all"/>
  </connection>
  <connection id="5" name="Connection351" type="4" refreshedVersion="4" background="1" saveData="1">
    <webPr sourceData="1" parsePre="1" consecutive="1" xl2000="1" url="http://intragate.ec.europa.eu/scopax/dfm/web_query/qy_additional_impact.cfm?cty=LT&amp;cvt=1" htmlTables="1" htmlFormat="all"/>
  </connection>
  <connection id="6" name="Connection352" type="4" refreshedVersion="4" background="1" saveData="1">
    <webPr sourceData="1" parsePre="1" consecutive="1" xl2000="1" url="http://intragate.ec.europa.eu/scopax/dfm/web_query/qy_additional_impact.cfm?cty=LT&amp;cvt=1" htmlTables="1" htmlFormat="all"/>
  </connection>
</connections>
</file>

<file path=xl/sharedStrings.xml><?xml version="1.0" encoding="utf-8"?>
<sst xmlns="http://schemas.openxmlformats.org/spreadsheetml/2006/main" count="12840" uniqueCount="2612">
  <si>
    <t>Other current transfers (Net) (D.7)</t>
  </si>
  <si>
    <t>RowTON</t>
  </si>
  <si>
    <t xml:space="preserve"> L36+L37+L38+L42+L43+L44</t>
  </si>
  <si>
    <t xml:space="preserve"> L45+L46</t>
  </si>
  <si>
    <t xml:space="preserve"> L61</t>
  </si>
  <si>
    <t xml:space="preserve"> L36:L1</t>
  </si>
  <si>
    <t xml:space="preserve"> L37:L2</t>
  </si>
  <si>
    <t xml:space="preserve"> L38:L3</t>
  </si>
  <si>
    <t xml:space="preserve"> L39:L4</t>
  </si>
  <si>
    <t xml:space="preserve"> L40:L5</t>
  </si>
  <si>
    <t>$HComp</t>
  </si>
  <si>
    <t>YHTSoc(1)</t>
  </si>
  <si>
    <t>YHTSoc(2)</t>
  </si>
  <si>
    <t>YHTO</t>
  </si>
  <si>
    <t>$HTaxSoc</t>
  </si>
  <si>
    <t>$HTO</t>
  </si>
  <si>
    <t>HChEqPenR</t>
  </si>
  <si>
    <t>YHTCap</t>
  </si>
  <si>
    <t>$HTCap</t>
  </si>
  <si>
    <t>HNonFinN</t>
  </si>
  <si>
    <t>B.1g (HH)</t>
  </si>
  <si>
    <t>D.29p (HH)</t>
  </si>
  <si>
    <t>D.39r (HH)</t>
  </si>
  <si>
    <t>D.1r (HH)</t>
  </si>
  <si>
    <r>
      <t>Quart</t>
    </r>
    <r>
      <rPr>
        <sz val="11"/>
        <rFont val="Arial"/>
        <family val="2"/>
      </rPr>
      <t xml:space="preserve"> contains all variables to be forecasted on a quarterly basis and has </t>
    </r>
    <r>
      <rPr>
        <b/>
        <sz val="11"/>
        <rFont val="Arial"/>
        <family val="2"/>
      </rPr>
      <t>one column per quarter</t>
    </r>
    <r>
      <rPr>
        <sz val="11"/>
        <rFont val="Arial"/>
        <family val="2"/>
      </rPr>
      <t>.</t>
    </r>
  </si>
  <si>
    <r>
      <t xml:space="preserve">The sheet also checks the </t>
    </r>
    <r>
      <rPr>
        <b/>
        <sz val="11"/>
        <rFont val="Arial"/>
        <family val="2"/>
      </rPr>
      <t>consistency</t>
    </r>
    <r>
      <rPr>
        <sz val="11"/>
        <rFont val="Arial"/>
        <family val="2"/>
      </rPr>
      <t xml:space="preserve"> between annual figures and quarters.</t>
    </r>
  </si>
  <si>
    <t>HICP Q UNPROCESSED FOOD</t>
  </si>
  <si>
    <t>2007Q2</t>
  </si>
  <si>
    <t>2007Q3</t>
  </si>
  <si>
    <t>2007Q4</t>
  </si>
  <si>
    <t>2008Q1</t>
  </si>
  <si>
    <t>2008Q2</t>
  </si>
  <si>
    <t>2008Q3</t>
  </si>
  <si>
    <t>2008Q4</t>
  </si>
  <si>
    <t>D.11r (HH)</t>
  </si>
  <si>
    <t>D.1p</t>
  </si>
  <si>
    <t>D.4r (HH)</t>
  </si>
  <si>
    <t>D.4p (HH)</t>
  </si>
  <si>
    <t>D.61r (HH)</t>
  </si>
  <si>
    <t>D.62r (HH)</t>
  </si>
  <si>
    <t>Contribution to % change in cost</t>
  </si>
  <si>
    <r>
      <t xml:space="preserve">All variables (aggregates) affected by chain linking are marked in </t>
    </r>
    <r>
      <rPr>
        <b/>
        <sz val="11"/>
        <color indexed="10"/>
        <rFont val="Arial"/>
        <family val="2"/>
      </rPr>
      <t xml:space="preserve">red </t>
    </r>
    <r>
      <rPr>
        <sz val="11"/>
        <rFont val="Arial"/>
        <family val="2"/>
      </rPr>
      <t xml:space="preserve">and have </t>
    </r>
    <r>
      <rPr>
        <b/>
        <sz val="11"/>
        <color indexed="10"/>
        <rFont val="Arial"/>
        <family val="2"/>
      </rPr>
      <t>AG</t>
    </r>
    <r>
      <rPr>
        <sz val="11"/>
        <rFont val="Arial"/>
        <family val="2"/>
      </rPr>
      <t xml:space="preserve"> in the left margin. </t>
    </r>
  </si>
  <si>
    <t>Hours worked per person</t>
  </si>
  <si>
    <t>Other capital transfers (D.9r-D.91r)</t>
  </si>
  <si>
    <t xml:space="preserve">   6. Export markets total</t>
  </si>
  <si>
    <t xml:space="preserve">   Domestic demand</t>
  </si>
  <si>
    <t>VDDE</t>
  </si>
  <si>
    <t>VDDI</t>
  </si>
  <si>
    <t>VFD</t>
  </si>
  <si>
    <t xml:space="preserve">   Consumption expenditure (P.3)</t>
  </si>
  <si>
    <t xml:space="preserve">   Employment</t>
  </si>
  <si>
    <t xml:space="preserve">   Hours worked / FTE Employment</t>
  </si>
  <si>
    <t>HICP (calculated)</t>
  </si>
  <si>
    <t>*172</t>
  </si>
  <si>
    <t>*173</t>
  </si>
  <si>
    <t>*174</t>
  </si>
  <si>
    <t>*175</t>
  </si>
  <si>
    <t>In sheet Transfer: change the global setting 'Last forecast year' to the desired value.</t>
  </si>
  <si>
    <t>Employer's social contr. / employee (private)</t>
  </si>
  <si>
    <t>Employer's social contr. / employee (public)</t>
  </si>
  <si>
    <t>Table 3</t>
  </si>
  <si>
    <t xml:space="preserve">  By sector</t>
  </si>
  <si>
    <t xml:space="preserve">  1. General government</t>
  </si>
  <si>
    <t>S13</t>
  </si>
  <si>
    <t xml:space="preserve">  2. Other domestic sectors</t>
  </si>
  <si>
    <t>S1-S13</t>
  </si>
  <si>
    <t>This table is used for ...</t>
  </si>
  <si>
    <t>wages and salaries</t>
  </si>
  <si>
    <t>Global settings:</t>
  </si>
  <si>
    <t xml:space="preserve">VAL. Exports of goods and services </t>
  </si>
  <si>
    <t>The growth rates will then be calculated in VVP1 (in previous year's prices) and used to calculate aggregates in constant prices.</t>
  </si>
  <si>
    <r>
      <t xml:space="preserve">The labour sheet is used to forecast all variables related to the </t>
    </r>
    <r>
      <rPr>
        <b/>
        <sz val="11"/>
        <rFont val="Arial"/>
        <family val="2"/>
      </rPr>
      <t>labour market</t>
    </r>
    <r>
      <rPr>
        <sz val="11"/>
        <rFont val="Arial"/>
        <family val="2"/>
      </rPr>
      <t xml:space="preserve"> (population, employment, wages &amp; productivity).</t>
    </r>
  </si>
  <si>
    <t>Here, volumes are expressed in constant prices (e.g. prices of 2000).</t>
  </si>
  <si>
    <t>HICP mid-year index average</t>
  </si>
  <si>
    <t xml:space="preserve">   20. Gross domestic product at market prices ( 16 + 17 )</t>
  </si>
  <si>
    <t xml:space="preserve"> L47-L50+L51</t>
  </si>
  <si>
    <t>volumes (only for the major expenditure variables)</t>
  </si>
  <si>
    <t>values (euro, persons, ...), and in some cases also:</t>
  </si>
  <si>
    <t>EXPORTS OF GOODS INTRA-EU (FOB)</t>
  </si>
  <si>
    <t>$XGIntr</t>
  </si>
  <si>
    <t>EXPORTS OF GOODS EXTRA-EU (FOB)</t>
  </si>
  <si>
    <t>$XGExtr</t>
  </si>
  <si>
    <t>IMPORTS OF GOODS INTRA-EU (CIF)</t>
  </si>
  <si>
    <t>$MGIntr</t>
  </si>
  <si>
    <t>IMPORTS OF GOODS EXTRA-EU (CIF)</t>
  </si>
  <si>
    <t>$MGExtr</t>
  </si>
  <si>
    <t xml:space="preserve">  25. One-off measures (expenditure side)</t>
  </si>
  <si>
    <t xml:space="preserve">  24. One-off measures (revenue side)</t>
  </si>
  <si>
    <t>GG COLLECTIVE CONSUMPTION EXPENDITURE</t>
  </si>
  <si>
    <t>GG SOCIAL TRANSFERS IN KIND</t>
  </si>
  <si>
    <t>GG COMPENSATION OF EMPLOYEES</t>
  </si>
  <si>
    <t>[Table 8.12]</t>
  </si>
  <si>
    <t xml:space="preserve">   Gross savings (B.8g - private sector)</t>
  </si>
  <si>
    <t>growth rates</t>
  </si>
  <si>
    <t>Structure</t>
  </si>
  <si>
    <t>Balances (constant prices)</t>
  </si>
  <si>
    <t>Imports (current prices)</t>
  </si>
  <si>
    <t>Balances (current prices)</t>
  </si>
  <si>
    <t>$Pr$ICstNonR</t>
  </si>
  <si>
    <t>$Pr$Eq</t>
  </si>
  <si>
    <t>Table 11</t>
  </si>
  <si>
    <t>This will store the matrix as a txt file on your local D:\data folder.</t>
  </si>
  <si>
    <t>((L113+L131 t ÷ L113+L131 t-1) - (L162 col 1 × (L36 t ÷ L36 t-1))) × (L113+L131 t-1 ÷ L47 t)</t>
  </si>
  <si>
    <t>Try this only if you feel lucky or if you are a very experienced user who is fully aware of the deep consequences.</t>
  </si>
  <si>
    <r>
      <t>Important remark 1</t>
    </r>
    <r>
      <rPr>
        <sz val="11"/>
        <rFont val="Arial"/>
        <family val="2"/>
      </rPr>
      <t xml:space="preserve">: indicate if the country uses </t>
    </r>
    <r>
      <rPr>
        <b/>
        <sz val="11"/>
        <color indexed="10"/>
        <rFont val="Arial"/>
        <family val="2"/>
      </rPr>
      <t>chain linking</t>
    </r>
    <r>
      <rPr>
        <sz val="11"/>
        <rFont val="Arial"/>
        <family val="2"/>
      </rPr>
      <t xml:space="preserve"> (YES / NO) in VVP1 (top left corner)</t>
    </r>
  </si>
  <si>
    <r>
      <t>Important remark 2</t>
    </r>
    <r>
      <rPr>
        <sz val="11"/>
        <rFont val="Arial"/>
        <family val="2"/>
      </rPr>
      <t xml:space="preserve">: indicate if you want to report in </t>
    </r>
    <r>
      <rPr>
        <b/>
        <sz val="11"/>
        <color indexed="10"/>
        <rFont val="Arial"/>
        <family val="2"/>
      </rPr>
      <t>previous year prices</t>
    </r>
    <r>
      <rPr>
        <sz val="11"/>
        <rFont val="Arial"/>
        <family val="2"/>
      </rPr>
      <t xml:space="preserve"> (YES / NO) in VVP1 (top left corner)</t>
    </r>
  </si>
  <si>
    <t xml:space="preserve">   11. - of wich, external balance of goods and services</t>
  </si>
  <si>
    <t xml:space="preserve">   11a. - of wich, goods</t>
  </si>
  <si>
    <t xml:space="preserve">   11b. - of wich, services</t>
  </si>
  <si>
    <t xml:space="preserve">   13. Gross national income at market prices (10+12)</t>
  </si>
  <si>
    <t xml:space="preserve">   14. Compensation of employees</t>
  </si>
  <si>
    <t xml:space="preserve">   15. Gross operating surplus and mixed income</t>
  </si>
  <si>
    <t xml:space="preserve">If you choose NO your volume data will be transfered in constant prices. </t>
  </si>
  <si>
    <t>$IO(2)</t>
  </si>
  <si>
    <t>ETCapN</t>
  </si>
  <si>
    <t>D.9 (E)</t>
  </si>
  <si>
    <t>D.4 (E)</t>
  </si>
  <si>
    <r>
      <t xml:space="preserve">Then use the shortcut </t>
    </r>
    <r>
      <rPr>
        <b/>
        <sz val="11"/>
        <rFont val="Arial"/>
        <family val="2"/>
      </rPr>
      <t>EU4CAST</t>
    </r>
    <r>
      <rPr>
        <sz val="11"/>
        <rFont val="Arial"/>
        <family val="2"/>
      </rPr>
      <t xml:space="preserve"> on your desktop to store this file into the central forecast system. </t>
    </r>
  </si>
  <si>
    <r>
      <t xml:space="preserve">The information in Sectors 1 is </t>
    </r>
    <r>
      <rPr>
        <b/>
        <sz val="11"/>
        <rFont val="Arial"/>
        <family val="2"/>
      </rPr>
      <t>a more detailed version of standard output tables</t>
    </r>
    <r>
      <rPr>
        <sz val="11"/>
        <rFont val="Arial"/>
        <family val="2"/>
      </rPr>
      <t xml:space="preserve"> 8 - 11.</t>
    </r>
  </si>
  <si>
    <t xml:space="preserve">  9a.  - of which, services</t>
  </si>
  <si>
    <t xml:space="preserve"> L46</t>
  </si>
  <si>
    <t xml:space="preserve"> L47</t>
  </si>
  <si>
    <t>B.11</t>
  </si>
  <si>
    <t>HH GROSS OPERATION SURPLUS</t>
  </si>
  <si>
    <t>YHGos</t>
  </si>
  <si>
    <t xml:space="preserve"> (L113+L114+L115+L117+L143) - (L120+L121+L122+L123+L124+L145+L146)</t>
  </si>
  <si>
    <t xml:space="preserve"> L126</t>
  </si>
  <si>
    <t xml:space="preserve"> L100</t>
  </si>
  <si>
    <t xml:space="preserve"> L101</t>
  </si>
  <si>
    <t xml:space="preserve"> L102</t>
  </si>
  <si>
    <t xml:space="preserve"> L103</t>
  </si>
  <si>
    <t xml:space="preserve"> L105</t>
  </si>
  <si>
    <t xml:space="preserve"> L106</t>
  </si>
  <si>
    <t xml:space="preserve"> L108</t>
  </si>
  <si>
    <t>2. Taxes less subsidies on products (D.21 - D.31) are forecasted for the total economy in Sector1</t>
  </si>
  <si>
    <t>At sectoral level:</t>
  </si>
  <si>
    <t>Implicitly, GVA for the total economy is forecasted as B.1g - (D.21 - D.31)</t>
  </si>
  <si>
    <t xml:space="preserve"> External files XXXKEY (XXX : 3-letter country name) created in ECFIN A-4 Consistency exercise</t>
  </si>
  <si>
    <t>a. Volumes, value and prices</t>
  </si>
  <si>
    <t>b. Quarterly sheet</t>
  </si>
  <si>
    <t>c. Labour sheet</t>
  </si>
  <si>
    <t>As a rule, the user can insert as many additional lines as needed without impact on the transfer matrix.</t>
  </si>
  <si>
    <t>Extra-EU imports of goods</t>
  </si>
  <si>
    <t>Imports of goods (P.61)</t>
  </si>
  <si>
    <t>MGIntr</t>
  </si>
  <si>
    <t>$MFob</t>
  </si>
  <si>
    <t>MGExtr</t>
  </si>
  <si>
    <t>In sheets VVP2, Labour1 and Sector1: select the column for t-2 and copy it to the right (overwriting the old forecast column for t-1).</t>
  </si>
  <si>
    <t>External balance as % of GDP</t>
  </si>
  <si>
    <t>C.</t>
  </si>
  <si>
    <t>International investment position</t>
  </si>
  <si>
    <t>Gross assets</t>
  </si>
  <si>
    <t>BoL</t>
  </si>
  <si>
    <t>AMECO: USLFRW</t>
  </si>
  <si>
    <t xml:space="preserve">  of which, equity</t>
  </si>
  <si>
    <t>AMECO: USLF5RW</t>
  </si>
  <si>
    <t xml:space="preserve">  4. Equipment</t>
  </si>
  <si>
    <t>Pi6(2+3)</t>
  </si>
  <si>
    <t>Total current resources</t>
  </si>
  <si>
    <t>Total current expenditure</t>
  </si>
  <si>
    <t>[Table 10.5]</t>
  </si>
  <si>
    <t>$AO</t>
  </si>
  <si>
    <t>[Table 10.14]</t>
  </si>
  <si>
    <t>Total expenditure</t>
  </si>
  <si>
    <t>Capital expenditure</t>
  </si>
  <si>
    <t>INDUSTRIAL PRODUCTION</t>
  </si>
  <si>
    <t>Debt dynamics</t>
  </si>
  <si>
    <t>Gross value added</t>
  </si>
  <si>
    <t>XFob</t>
  </si>
  <si>
    <t>XG</t>
  </si>
  <si>
    <t xml:space="preserve">MCif </t>
  </si>
  <si>
    <t>XS</t>
  </si>
  <si>
    <t>MS</t>
  </si>
  <si>
    <t>MG</t>
  </si>
  <si>
    <t>ATaxProd</t>
  </si>
  <si>
    <t xml:space="preserve"> 15. Compensation of employees</t>
  </si>
  <si>
    <t xml:space="preserve"> 10. Output gap (relative to trend)</t>
  </si>
  <si>
    <t xml:space="preserve"> 11. Employment</t>
  </si>
  <si>
    <t xml:space="preserve"> 12. Unemployment rate (level) (Eurostat)</t>
  </si>
  <si>
    <r>
      <t>&lt;</t>
    </r>
    <r>
      <rPr>
        <sz val="12"/>
        <color indexed="9"/>
        <rFont val="Arial"/>
        <family val="2"/>
      </rPr>
      <t>===</t>
    </r>
  </si>
  <si>
    <t>and here is the comparison matrix.</t>
  </si>
  <si>
    <t xml:space="preserve"> 21. Net lending (EDP)</t>
  </si>
  <si>
    <t xml:space="preserve">   4. Exports of services (a)</t>
  </si>
  <si>
    <t xml:space="preserve">   8a. - of which, balance of primary income</t>
  </si>
  <si>
    <t xml:space="preserve"> 13. GDP per person employed</t>
  </si>
  <si>
    <t>Capital transfers (D.9p)</t>
  </si>
  <si>
    <t xml:space="preserve"> (((L47+L123+L133) - (L113+L131)) : L47) x (((L47+L123+L133) - (L113+L131)) : L12)</t>
  </si>
  <si>
    <t>Table 6</t>
  </si>
  <si>
    <t>ESA</t>
  </si>
  <si>
    <t>WHOLE ECONOMY</t>
  </si>
  <si>
    <t>Table 7</t>
  </si>
  <si>
    <t xml:space="preserve">   2b.  - of which, paid by corporations</t>
  </si>
  <si>
    <t xml:space="preserve">   5. Total current revenue (1+2+3+4)</t>
  </si>
  <si>
    <t xml:space="preserve">   Wages and salaries, employer's social contributions and compensation of employees</t>
  </si>
  <si>
    <t xml:space="preserve"> ((L43-L45) + (L44-L46)) + (L140+L141)</t>
  </si>
  <si>
    <t xml:space="preserve"> Table-line 8 : L47</t>
  </si>
  <si>
    <t xml:space="preserve"> L43</t>
  </si>
  <si>
    <t xml:space="preserve"> L45</t>
  </si>
  <si>
    <t xml:space="preserve"> Table-line 3 : L47</t>
  </si>
  <si>
    <t xml:space="preserve"> Table-line 6 : L47</t>
  </si>
  <si>
    <t xml:space="preserve"> (L43-L45) + (L44-L46)</t>
  </si>
  <si>
    <t xml:space="preserve"> Table-line 7 : L47</t>
  </si>
  <si>
    <t xml:space="preserve"> L140+L141</t>
  </si>
  <si>
    <t xml:space="preserve"> L141</t>
  </si>
  <si>
    <t xml:space="preserve"> L147</t>
  </si>
  <si>
    <t>CONSISTENCY ANALYSIS OF REVENUE FORECASTS</t>
  </si>
  <si>
    <t>Capital transfers (paid - received) (D.9)</t>
  </si>
  <si>
    <t>YECapN</t>
  </si>
  <si>
    <t>Current transfers (Net)</t>
  </si>
  <si>
    <t>ETN</t>
  </si>
  <si>
    <t>Swaps</t>
  </si>
  <si>
    <t>$Swap</t>
  </si>
  <si>
    <t>Interest paid (D.41p - EDP)</t>
  </si>
  <si>
    <t xml:space="preserve">   18. - taxes on products</t>
  </si>
  <si>
    <t xml:space="preserve">   19. - subsidies on products</t>
  </si>
  <si>
    <t>$ATaxProd</t>
  </si>
  <si>
    <t>D.29p (GVT)</t>
  </si>
  <si>
    <t>D.39r (GVT)</t>
  </si>
  <si>
    <t>YASubProd</t>
  </si>
  <si>
    <t>Check:</t>
  </si>
  <si>
    <t>Employer's social contributions (% of total compensation)</t>
  </si>
  <si>
    <t xml:space="preserve">  10. Gross domestic product at market prices</t>
  </si>
  <si>
    <t xml:space="preserve"> L24</t>
  </si>
  <si>
    <t>VAL. FIXED INVESTMENT MANUFACTURING</t>
  </si>
  <si>
    <t xml:space="preserve">   1. Taxes on production and imports</t>
  </si>
  <si>
    <t>D2</t>
  </si>
  <si>
    <t>International investment position (external assets and liabilities)</t>
  </si>
  <si>
    <r>
      <t>Capital transfers (</t>
    </r>
    <r>
      <rPr>
        <b/>
        <sz val="10"/>
        <color indexed="10"/>
        <rFont val="Arial"/>
        <family val="2"/>
      </rPr>
      <t>paid - received</t>
    </r>
    <r>
      <rPr>
        <sz val="10"/>
        <rFont val="Arial"/>
        <family val="2"/>
      </rPr>
      <t>) (D.9)</t>
    </r>
  </si>
  <si>
    <t>Employer's social contr. / employee (in % of wages)</t>
  </si>
  <si>
    <t xml:space="preserve"> 12. HICP</t>
  </si>
  <si>
    <t xml:space="preserve">   8. Social transfers in kind supplied via market producers</t>
  </si>
  <si>
    <t xml:space="preserve">  10. Interest</t>
  </si>
  <si>
    <t xml:space="preserve">  11. Subsidies</t>
  </si>
  <si>
    <t xml:space="preserve">  12. Other current expenditure</t>
  </si>
  <si>
    <t xml:space="preserve">  13. Total current expenditure (6+7+8+9+10+11+12)</t>
  </si>
  <si>
    <t>N</t>
  </si>
  <si>
    <t>p.m. Employers' social contributions</t>
  </si>
  <si>
    <t>$ETSocD</t>
  </si>
  <si>
    <t>Self employed</t>
  </si>
  <si>
    <t>$AIswap / $Debt(t-1)</t>
  </si>
  <si>
    <t>Government consumption</t>
  </si>
  <si>
    <t>ACIndv</t>
  </si>
  <si>
    <t>ACColl</t>
  </si>
  <si>
    <r>
      <t>You can make as many '</t>
    </r>
    <r>
      <rPr>
        <b/>
        <sz val="11"/>
        <rFont val="Arial"/>
        <family val="2"/>
      </rPr>
      <t>private storages</t>
    </r>
    <r>
      <rPr>
        <sz val="11"/>
        <rFont val="Arial"/>
        <family val="2"/>
      </rPr>
      <t>' as you wish. However, a '</t>
    </r>
    <r>
      <rPr>
        <b/>
        <sz val="11"/>
        <rFont val="Arial"/>
        <family val="2"/>
      </rPr>
      <t>shared storage</t>
    </r>
    <r>
      <rPr>
        <sz val="11"/>
        <rFont val="Arial"/>
        <family val="2"/>
      </rPr>
      <t>' is final and irreversible.</t>
    </r>
  </si>
  <si>
    <t>For example: In the quarterly sheet, usually information on HICP available sooner than data on expenditure.</t>
  </si>
  <si>
    <t>*1</t>
  </si>
  <si>
    <t>*2</t>
  </si>
  <si>
    <t>*4</t>
  </si>
  <si>
    <t>*5</t>
  </si>
  <si>
    <t>*6</t>
  </si>
  <si>
    <t>*3</t>
  </si>
  <si>
    <t>*7</t>
  </si>
  <si>
    <t>*9</t>
  </si>
  <si>
    <t>*8</t>
  </si>
  <si>
    <t>*11</t>
  </si>
  <si>
    <t>*10</t>
  </si>
  <si>
    <t>*12</t>
  </si>
  <si>
    <t>*28</t>
  </si>
  <si>
    <t>*58</t>
  </si>
  <si>
    <t xml:space="preserve">   2. Intermediate consumption</t>
  </si>
  <si>
    <t xml:space="preserve">   3. Social transfers in kind via market producers</t>
  </si>
  <si>
    <t xml:space="preserve">   2. Non-labour income, net</t>
  </si>
  <si>
    <t>B2g+B3g+D4</t>
  </si>
  <si>
    <t xml:space="preserve">   9. Imports of goods and services </t>
  </si>
  <si>
    <t>P7</t>
  </si>
  <si>
    <t>European Commission, Office BU-1 01/111</t>
  </si>
  <si>
    <t>Year total implicit in quarterly profile</t>
  </si>
  <si>
    <t>USE AND SUPPLY OF GOODS AND SERVICES, VOLUMES (ESA, AT 1995 PRICES)</t>
  </si>
  <si>
    <t>Percentage change from previous quarter</t>
  </si>
  <si>
    <t xml:space="preserve"> L16</t>
  </si>
  <si>
    <t xml:space="preserve"> L19</t>
  </si>
  <si>
    <t xml:space="preserve"> L21</t>
  </si>
  <si>
    <t>LempRow</t>
  </si>
  <si>
    <t>LempD</t>
  </si>
  <si>
    <t>Wages &amp; salaries / employee (private)</t>
  </si>
  <si>
    <t>Wages &amp; salaries / employee (public)</t>
  </si>
  <si>
    <t>--</t>
  </si>
  <si>
    <t xml:space="preserve">  5. Other</t>
  </si>
  <si>
    <t>GG ONE-OFF MEASURES</t>
  </si>
  <si>
    <t>Volumes</t>
  </si>
  <si>
    <t>AC</t>
  </si>
  <si>
    <t>GDP</t>
  </si>
  <si>
    <t>TC</t>
  </si>
  <si>
    <t>Avg. ann. hours worked / person</t>
  </si>
  <si>
    <t>Growth rate</t>
  </si>
  <si>
    <t>IIP as percentages of GDP</t>
  </si>
  <si>
    <t>H.</t>
  </si>
  <si>
    <t>In the input sheets, fill in the name of the sheet in data_p where a variable is stored (in column D) and its identifying number (in column E).</t>
  </si>
  <si>
    <t xml:space="preserve">  3b.  - of which, equipment </t>
  </si>
  <si>
    <t>ACTIVITY RATE (Struct. Ind. def, calc by B-5)</t>
  </si>
  <si>
    <t xml:space="preserve">   6. Compensation of employees</t>
  </si>
  <si>
    <t xml:space="preserve">   7. Intermediate consumption</t>
  </si>
  <si>
    <t>GG OTHER CAPITAL EXPENDITURE, NET</t>
  </si>
  <si>
    <t xml:space="preserve"> (L113+L114+L115+L117+L125+L143)-(L120+L121+L123+L124+L126+L127+L145+L146)</t>
  </si>
  <si>
    <t xml:space="preserve">   6. Total imports (4 + 5)</t>
  </si>
  <si>
    <t xml:space="preserve">   7. Trade balance (fob/cif) (3 - 6)</t>
  </si>
  <si>
    <t>Table 0</t>
  </si>
  <si>
    <t>ESA 95</t>
  </si>
  <si>
    <t>Level</t>
  </si>
  <si>
    <t>Exchange rates, annual average</t>
  </si>
  <si>
    <t xml:space="preserve">   1. Effective (%change)</t>
  </si>
  <si>
    <t xml:space="preserve"> 11. Terms of trade of goods and services</t>
  </si>
  <si>
    <t>LUemp (Eurostat)</t>
  </si>
  <si>
    <t xml:space="preserve"> % GDP. Value divided by L47 (current GDP)</t>
  </si>
  <si>
    <t>GG UNPAID TAXES</t>
  </si>
  <si>
    <t xml:space="preserve"> ((L1+L2+L3(T)) - (L1+L2+L3(T-1))) : L12(T-1)</t>
  </si>
  <si>
    <t xml:space="preserve"> ((L7(T)) - (L7(T-1))) : L12(T-1)</t>
  </si>
  <si>
    <t xml:space="preserve"> ((L8+L9-L10-L11(T)) - (L8+L9-L10-L11(T-1))) : L12(T-1)</t>
  </si>
  <si>
    <t>Registered unemployment (Eurostat)</t>
  </si>
  <si>
    <t>LUempEstat</t>
  </si>
  <si>
    <t>Unemployment rate (Eurostat)</t>
  </si>
  <si>
    <t>p.m. Registered unemployment (national definition)</t>
  </si>
  <si>
    <t>B.1g</t>
  </si>
  <si>
    <t>B.1g (E)</t>
  </si>
  <si>
    <t>D.29p (E)</t>
  </si>
  <si>
    <t>D.1p (E)</t>
  </si>
  <si>
    <t>D.7r (E)</t>
  </si>
  <si>
    <t>YATO</t>
  </si>
  <si>
    <t>$ATO</t>
  </si>
  <si>
    <t>YACapTax</t>
  </si>
  <si>
    <t>YACapTO</t>
  </si>
  <si>
    <t>$AComp</t>
  </si>
  <si>
    <t xml:space="preserve">  12. Other capital expenditure, net</t>
  </si>
  <si>
    <t xml:space="preserve">  13a. p.m. 13 as % of GDP</t>
  </si>
  <si>
    <t>Table 10</t>
  </si>
  <si>
    <t>RESOURCES AND EXPENDITURE OF GENERAL GOVERNMENT (S13)</t>
  </si>
  <si>
    <t xml:space="preserve">   2. Current taxes on income and wealth</t>
  </si>
  <si>
    <t>Property income from ROW (negative means paid) (D.4)</t>
  </si>
  <si>
    <t>Net liability dynamics (percentages of GDP)</t>
  </si>
  <si>
    <t xml:space="preserve">  o/w real GDP growth</t>
  </si>
  <si>
    <t xml:space="preserve">  o/w price and ER changes</t>
  </si>
  <si>
    <t>Change in NL ratio</t>
  </si>
  <si>
    <t>Table 10b</t>
  </si>
  <si>
    <t>HH GROSS WAGES AND SALARIES</t>
  </si>
  <si>
    <t>YHW</t>
  </si>
  <si>
    <t xml:space="preserve">   1. Ex ante elasticity with respect to nominal GDP</t>
  </si>
  <si>
    <t xml:space="preserve">   1. Ex ante elasticity with respect to compensation of employees</t>
  </si>
  <si>
    <t>GVT+EXT</t>
  </si>
  <si>
    <t>/</t>
  </si>
  <si>
    <t>YCompAvD</t>
  </si>
  <si>
    <t xml:space="preserve">   3a.  - of which, actual social contributions</t>
  </si>
  <si>
    <t>D611</t>
  </si>
  <si>
    <t>Table 9</t>
  </si>
  <si>
    <t>YHComp</t>
  </si>
  <si>
    <t>Employer's social contributions</t>
  </si>
  <si>
    <t>Productivity</t>
  </si>
  <si>
    <t xml:space="preserve">  By type of asset</t>
  </si>
  <si>
    <t>Pi6</t>
  </si>
  <si>
    <t xml:space="preserve">  3. Construction</t>
  </si>
  <si>
    <t>HARMONISED INDEX OF CONSUMER PRICES</t>
  </si>
  <si>
    <t>Percentage change from four quarters earlier</t>
  </si>
  <si>
    <t xml:space="preserve">Although the previous example is still relatively easy, integrating partial historical data can in some cases cause some complications. </t>
  </si>
  <si>
    <t>Annual HICP INDEX</t>
  </si>
  <si>
    <t>HICP Y INDEX NON-ENERGY INDUSTRIAL GOODS</t>
  </si>
  <si>
    <t>HICP Y INDEX ENERGY</t>
  </si>
  <si>
    <t>HICP Y INDEX PROCESSED FOOD INCL. ALCOHOL AND TOBACCO</t>
  </si>
  <si>
    <t>HICP Y INDEX UNPROCESSED FOOD</t>
  </si>
  <si>
    <t>HICP Y INDEX SERVICES</t>
  </si>
  <si>
    <t>Employer's social contributions (growth rates)</t>
  </si>
  <si>
    <t xml:space="preserve"> L1</t>
  </si>
  <si>
    <t xml:space="preserve"> L2</t>
  </si>
  <si>
    <t xml:space="preserve"> L1+L2+L3</t>
  </si>
  <si>
    <t xml:space="preserve"> L1+L2+L3+L7</t>
  </si>
  <si>
    <t xml:space="preserve"> L8+L9</t>
  </si>
  <si>
    <t xml:space="preserve"> L8</t>
  </si>
  <si>
    <t xml:space="preserve"> L9</t>
  </si>
  <si>
    <t xml:space="preserve"> L1+L2+L3+L7+L8+L9</t>
  </si>
  <si>
    <t xml:space="preserve"> L10+L11</t>
  </si>
  <si>
    <t xml:space="preserve"> L10</t>
  </si>
  <si>
    <t xml:space="preserve"> L11</t>
  </si>
  <si>
    <t xml:space="preserve"> L12</t>
  </si>
  <si>
    <t xml:space="preserve">  19. Total government expenditure (13+16+17)</t>
  </si>
  <si>
    <t xml:space="preserve">  18. Total government revenue (5+15)</t>
  </si>
  <si>
    <r>
      <t>VVP</t>
    </r>
    <r>
      <rPr>
        <sz val="11"/>
        <rFont val="Arial"/>
        <family val="2"/>
      </rPr>
      <t xml:space="preserve"> contains all variables for which volume, value and price developments have to be forecasted.</t>
    </r>
  </si>
  <si>
    <t>GVT: Capital transfers (D.9p)</t>
  </si>
  <si>
    <t>Acq. less disp. of non-fin. non-prod. assets (K.2)</t>
  </si>
  <si>
    <t>Gross fixed capital formation (P.51)</t>
  </si>
  <si>
    <t>Changes in inventories / valuables (P.52 + P.53)</t>
  </si>
  <si>
    <t>Net lending / net borrowing (B.9)</t>
  </si>
  <si>
    <t>As % of GDP</t>
  </si>
  <si>
    <t>The information in columns A, B and C of the input sheets is optional and for information only.</t>
  </si>
  <si>
    <t>P.53 (E)</t>
  </si>
  <si>
    <t>$EIny</t>
  </si>
  <si>
    <t>YESubProd</t>
  </si>
  <si>
    <t>$ATaxDir</t>
  </si>
  <si>
    <t>YATaxSocImp</t>
  </si>
  <si>
    <t>AChEqPenR</t>
  </si>
  <si>
    <t>YAProp</t>
  </si>
  <si>
    <t>COSTS AND PRICES</t>
  </si>
  <si>
    <t>PRODUCTIVITY AND UNIT LABOUR COSTS</t>
  </si>
  <si>
    <t>Compared to:</t>
  </si>
  <si>
    <t xml:space="preserve">  7b.  - of which, services</t>
  </si>
  <si>
    <t xml:space="preserve">  8. Final demand</t>
  </si>
  <si>
    <t xml:space="preserve">The identifying number is a unique code assigned to each variable in data_p. </t>
  </si>
  <si>
    <t>YHSubOth</t>
  </si>
  <si>
    <t>1. The input sheets</t>
  </si>
  <si>
    <t xml:space="preserve">   6. Services balance (a) (4-5)</t>
  </si>
  <si>
    <t>QUART. VOL. G.F.C.F. TOTAL (cols 2-13)</t>
  </si>
  <si>
    <r>
      <t xml:space="preserve">There is </t>
    </r>
    <r>
      <rPr>
        <b/>
        <sz val="11"/>
        <rFont val="Arial"/>
        <family val="2"/>
      </rPr>
      <t>no forecasting</t>
    </r>
    <r>
      <rPr>
        <sz val="11"/>
        <rFont val="Arial"/>
        <family val="2"/>
      </rPr>
      <t xml:space="preserve"> in Sectors2. All variables are forecasted in previous sheets.</t>
    </r>
  </si>
  <si>
    <t>3. Transfer matrix and tables</t>
  </si>
  <si>
    <t>VOL. FIXED INVESTMENT MANUFACTURING</t>
  </si>
  <si>
    <t>-</t>
  </si>
  <si>
    <t>Intra-EU imports of goods</t>
  </si>
  <si>
    <t>D.31p (GVT)</t>
  </si>
  <si>
    <t>$IO(1)</t>
  </si>
  <si>
    <t xml:space="preserve"> External file EFFC (ECFIN A-4 database)</t>
  </si>
  <si>
    <t xml:space="preserve">GG CAPITAL TRANSFERS, RECEIVED </t>
  </si>
  <si>
    <t>GG GROSS FIXED CAPITAL FORMATION</t>
  </si>
  <si>
    <t>% change on previous year</t>
  </si>
  <si>
    <t xml:space="preserve">  14. Other capital expenditure, net</t>
  </si>
  <si>
    <t>D9+K2</t>
  </si>
  <si>
    <t>D.5p (E)</t>
  </si>
  <si>
    <t>D.9r (E)</t>
  </si>
  <si>
    <t>UC</t>
  </si>
  <si>
    <t>YETCap</t>
  </si>
  <si>
    <t>D.9p (E)</t>
  </si>
  <si>
    <t>K.2</t>
  </si>
  <si>
    <t>P.51</t>
  </si>
  <si>
    <t>YEProp</t>
  </si>
  <si>
    <t>$Eprop</t>
  </si>
  <si>
    <t>D.39r (E)</t>
  </si>
  <si>
    <t>D.4r (E)</t>
  </si>
  <si>
    <t>D.4p (E)</t>
  </si>
  <si>
    <t>P.52 (E)</t>
  </si>
  <si>
    <t>2. The forecast sheets</t>
  </si>
  <si>
    <t xml:space="preserve"> External file USDM  (ECFIN A-4 database)</t>
  </si>
  <si>
    <t xml:space="preserve"> External file ECUS  (ECFIN A-4 database)</t>
  </si>
  <si>
    <t>HH GROSS CAPITAL FORMATION</t>
  </si>
  <si>
    <t>$HI</t>
  </si>
  <si>
    <t>HH OTHER CAPITAL EXPENDITURE (PAID-REC.)</t>
  </si>
  <si>
    <t xml:space="preserve">COR GROSS VALUE ADDED </t>
  </si>
  <si>
    <t xml:space="preserve">   3. Other taxes on production</t>
  </si>
  <si>
    <t>D29</t>
  </si>
  <si>
    <t xml:space="preserve">   4. Compensation of employees</t>
  </si>
  <si>
    <r>
      <t xml:space="preserve">The sheet </t>
    </r>
    <r>
      <rPr>
        <b/>
        <sz val="11"/>
        <rFont val="Arial"/>
        <family val="2"/>
      </rPr>
      <t xml:space="preserve">Transfer </t>
    </r>
    <r>
      <rPr>
        <sz val="11"/>
        <rFont val="Arial"/>
        <family val="2"/>
      </rPr>
      <t>contains</t>
    </r>
    <r>
      <rPr>
        <b/>
        <sz val="11"/>
        <rFont val="Arial"/>
        <family val="2"/>
      </rPr>
      <t xml:space="preserve"> </t>
    </r>
    <r>
      <rPr>
        <sz val="11"/>
        <rFont val="Arial"/>
        <family val="2"/>
      </rPr>
      <t>the matrix of country variables and forecasts that will be sent to the central system.</t>
    </r>
  </si>
  <si>
    <t>Non-energy industrial goods</t>
  </si>
  <si>
    <t>Energy</t>
  </si>
  <si>
    <t xml:space="preserve">   7a.  - of which, services</t>
  </si>
  <si>
    <t xml:space="preserve">   8. Final demand (6+7)</t>
  </si>
  <si>
    <t xml:space="preserve">   9a.  - of which, services</t>
  </si>
  <si>
    <t xml:space="preserve">   10. Gross domestic product at market prices ( 8-9 )</t>
  </si>
  <si>
    <t>QUART. VOL. PRIV. CONS. EXP. (cols 2-13)</t>
  </si>
  <si>
    <t>QUART. VOL. GVMNT CONS. EXP. (cols 2-13)</t>
  </si>
  <si>
    <t>HICP Index</t>
  </si>
  <si>
    <t>HICP Index unprocessed food</t>
  </si>
  <si>
    <t>HICP Index processed food incl. alcohol and tobacco</t>
  </si>
  <si>
    <t>HICP Index energy</t>
  </si>
  <si>
    <r>
      <t xml:space="preserve">All forecasts are grouped by variable, to ensure </t>
    </r>
    <r>
      <rPr>
        <b/>
        <sz val="11"/>
        <rFont val="Arial"/>
        <family val="2"/>
      </rPr>
      <t>consistency</t>
    </r>
    <r>
      <rPr>
        <sz val="11"/>
        <rFont val="Arial"/>
        <family val="2"/>
      </rPr>
      <t xml:space="preserve">. </t>
    </r>
  </si>
  <si>
    <t>Gross real wage growth per employee in public sector (July - July estimates)</t>
  </si>
  <si>
    <t>Employer's social contr. (private)</t>
  </si>
  <si>
    <t>Employer's social contr. (public)</t>
  </si>
  <si>
    <t>Employer's social contr. (domestic)</t>
  </si>
  <si>
    <t xml:space="preserve">  7. Unemployment (3 - 5)</t>
  </si>
  <si>
    <t xml:space="preserve">- Households and non-profit institutions serving households (S.14 + S.15) </t>
  </si>
  <si>
    <t>- Rest of the world (S.2)</t>
  </si>
  <si>
    <t>d. Sector sheets</t>
  </si>
  <si>
    <t>Exports of goods by region</t>
  </si>
  <si>
    <t>Sheets with blue tabs are for information or (in some cases) contain necessary calculations.</t>
  </si>
  <si>
    <t>EDP B9</t>
  </si>
  <si>
    <t>Table 10a</t>
  </si>
  <si>
    <t>ASubProd</t>
  </si>
  <si>
    <t>GVA</t>
  </si>
  <si>
    <t>Gross value added (constant prices)</t>
  </si>
  <si>
    <t>GVAdd</t>
  </si>
  <si>
    <t>$GVAdd</t>
  </si>
  <si>
    <t>VGVAdd</t>
  </si>
  <si>
    <t>INDICATOR CHAINED INDEX (col 1)</t>
  </si>
  <si>
    <t xml:space="preserve">  13. Net lending (+) or net borrowing (-) (10-11-12)</t>
  </si>
  <si>
    <t>P62</t>
  </si>
  <si>
    <t>$AIEq</t>
  </si>
  <si>
    <t>$PrvIEq</t>
  </si>
  <si>
    <t>$IEq</t>
  </si>
  <si>
    <t>$X</t>
  </si>
  <si>
    <t>$M</t>
  </si>
  <si>
    <t>YCompD</t>
  </si>
  <si>
    <t>UN</t>
  </si>
  <si>
    <t>P.52 + P.53</t>
  </si>
  <si>
    <t xml:space="preserve">   6. Property income, net</t>
  </si>
  <si>
    <t>D4</t>
  </si>
  <si>
    <t xml:space="preserve">   7. Current Transfers, net receipts</t>
  </si>
  <si>
    <t>D7+D6</t>
  </si>
  <si>
    <t xml:space="preserve"> L78 : (L78 + L79)</t>
  </si>
  <si>
    <t xml:space="preserve">  6. Calculated employment rate (5:2)</t>
  </si>
  <si>
    <t>ADebt[t-1]</t>
  </si>
  <si>
    <t>D.8r (HH)</t>
  </si>
  <si>
    <t>D.8p (E)</t>
  </si>
  <si>
    <t>Adj. for change in net eq. of pens. fund res. (D.8r)</t>
  </si>
  <si>
    <t>Adj. for change in net eq. of pens. fund res. (D.8p)</t>
  </si>
  <si>
    <t>QUART. VOL. FINAL DOM. DEMAND (cols 2-13)</t>
  </si>
  <si>
    <t>Investment by type of asset (constant prices)</t>
  </si>
  <si>
    <t xml:space="preserve">   7. Exports of goods and services </t>
  </si>
  <si>
    <t>P6</t>
  </si>
  <si>
    <t>P.61</t>
  </si>
  <si>
    <t>P.62</t>
  </si>
  <si>
    <t>P.6</t>
  </si>
  <si>
    <t>P.71</t>
  </si>
  <si>
    <t>P.72</t>
  </si>
  <si>
    <t>P.7</t>
  </si>
  <si>
    <t>Investment by sector (constant prices)</t>
  </si>
  <si>
    <t>Investment in inventories (constant prices)</t>
  </si>
  <si>
    <t>Disposable income (B.6g)</t>
  </si>
  <si>
    <t>Other subsidies on production received (D.39r)</t>
  </si>
  <si>
    <t>Other taxes on production paid (D.29p)</t>
  </si>
  <si>
    <t>$Einy</t>
  </si>
  <si>
    <t>$Ainy</t>
  </si>
  <si>
    <t>HLend</t>
  </si>
  <si>
    <t>Elend</t>
  </si>
  <si>
    <t>Alend</t>
  </si>
  <si>
    <t>RowLend</t>
  </si>
  <si>
    <t>VAL GROSS VALUE ADDED</t>
  </si>
  <si>
    <t>VOL GROSS VALUE ADDED</t>
  </si>
  <si>
    <t>D.7r (HH)</t>
  </si>
  <si>
    <t>Values as percent of GDP</t>
  </si>
  <si>
    <t xml:space="preserve"> (L47+L123+L133) - (L61+L113+L131)</t>
  </si>
  <si>
    <t>B1g</t>
  </si>
  <si>
    <t xml:space="preserve"> (L59xL61) : L63</t>
  </si>
  <si>
    <t xml:space="preserve"> L50-L51</t>
  </si>
  <si>
    <t>D21</t>
  </si>
  <si>
    <t xml:space="preserve"> L50</t>
  </si>
  <si>
    <t>D31</t>
  </si>
  <si>
    <t xml:space="preserve"> L51</t>
  </si>
  <si>
    <t>Last forecast year</t>
  </si>
  <si>
    <t xml:space="preserve"> L47 (repeat of line 10)</t>
  </si>
  <si>
    <t>Table 5</t>
  </si>
  <si>
    <t>% change in implicit price deflator</t>
  </si>
  <si>
    <t xml:space="preserve">  1. Private consumption expenditure</t>
  </si>
  <si>
    <t xml:space="preserve">   5. Other</t>
  </si>
  <si>
    <t xml:space="preserve">   6. Sales</t>
  </si>
  <si>
    <t>Country acronym:</t>
  </si>
  <si>
    <t>Label part</t>
  </si>
  <si>
    <t>T row</t>
  </si>
  <si>
    <t>ESA code</t>
  </si>
  <si>
    <t xml:space="preserve">VOL. GOVERNMENT CONSUMPTION EXPEND. </t>
  </si>
  <si>
    <t>VAC</t>
  </si>
  <si>
    <t>VOL. G.F.C.F. TOTAL</t>
  </si>
  <si>
    <t xml:space="preserve"> (((L47+L123+L133) - (L61+L113+L131)) : L47) x (((L47+L123+L133) - (L61+L113+L131)) : L12)</t>
  </si>
  <si>
    <t xml:space="preserve"> ((L50-L51) : L47) x ((L50-L51) : L12)</t>
  </si>
  <si>
    <t xml:space="preserve"> 12. Change in inventories + net acq. of valuables</t>
  </si>
  <si>
    <t xml:space="preserve"> 13. External balance of goods and services </t>
  </si>
  <si>
    <t>INCOME AND EXPENDITURE OF HOUSEHOLDS AND NON-PROFIT INSTITUTIONS SERVING HOUSEHOLDS (S14+S15)</t>
  </si>
  <si>
    <t>ESA -95</t>
  </si>
  <si>
    <t>Code</t>
  </si>
  <si>
    <t xml:space="preserve">   1. Compensation of employees</t>
  </si>
  <si>
    <t>European Commission</t>
  </si>
  <si>
    <t>Directorate-General for Economic and Financial Affairs</t>
  </si>
  <si>
    <t>Economies of the Member States</t>
  </si>
  <si>
    <t>Desk Belgium</t>
  </si>
  <si>
    <t>Author: G. Bethuyne</t>
  </si>
  <si>
    <t xml:space="preserve">Last update: </t>
  </si>
  <si>
    <t>Avenue de Beaulieu 1, B-1160 Brussels</t>
  </si>
  <si>
    <t>Email:</t>
  </si>
  <si>
    <t>CPI</t>
  </si>
  <si>
    <t>TOT. EMPLOYMENT PERSONS</t>
  </si>
  <si>
    <t>LEmpTotD</t>
  </si>
  <si>
    <t>TOT. COMPENSATION OF EMPLOYEES</t>
  </si>
  <si>
    <t>TOT. WAGES AND SALARIES</t>
  </si>
  <si>
    <t>TOT. WAGE AND SALARY EARNERS PERSONS</t>
  </si>
  <si>
    <t>LEmpD</t>
  </si>
  <si>
    <t>TOT. WAGE AND SALARY EARNERS F.T.E.</t>
  </si>
  <si>
    <t>MAN. EMPLOYMENT PERSONS</t>
  </si>
  <si>
    <t>MAN. COMPENSATION OF EMPLOYEES</t>
  </si>
  <si>
    <t>MAN. WAGES AND SALARIES</t>
  </si>
  <si>
    <t>MAN. WAGE AND SALARY EARNERS PERSONS</t>
  </si>
  <si>
    <t>QPrvC</t>
  </si>
  <si>
    <t>QAC</t>
  </si>
  <si>
    <t xml:space="preserve">Sheets with yellow tabs contain the actual forecast. </t>
  </si>
  <si>
    <t>Final consumption expenditure (P.3 - Notification)</t>
  </si>
  <si>
    <t>Social contributions (D.61r)</t>
  </si>
  <si>
    <t xml:space="preserve"> 17. HICP</t>
  </si>
  <si>
    <t xml:space="preserve"> L54</t>
  </si>
  <si>
    <t xml:space="preserve"> 18. National CPI</t>
  </si>
  <si>
    <t>TOTAL EMPLOYMENT LAB. FORCE STATISTICS</t>
  </si>
  <si>
    <t>Net exports</t>
  </si>
  <si>
    <t>VNX</t>
  </si>
  <si>
    <t xml:space="preserve"> Structural Indicators definitions</t>
  </si>
  <si>
    <t>Household consumption (constant prices)</t>
  </si>
  <si>
    <t>Government net-lending (EDP definition) - Growth rate</t>
  </si>
  <si>
    <t>Government net-lending (EDP definition) - as % of GDP</t>
  </si>
  <si>
    <t>Debt current year - as % of GDP</t>
  </si>
  <si>
    <t>Debt current year - Growth rate</t>
  </si>
  <si>
    <t>VAL. Gross value added (non-manufacturing)</t>
  </si>
  <si>
    <t>MAN. GROSS VALUE ADDED (VAL)</t>
  </si>
  <si>
    <t>MAN. GROSS VALUE ADDED (VOL)</t>
  </si>
  <si>
    <t>Gross capital formation (P.5)</t>
  </si>
  <si>
    <t>VAL</t>
  </si>
  <si>
    <t>Net-lending (EDP)</t>
  </si>
  <si>
    <t>Debt previous year</t>
  </si>
  <si>
    <t>Stock-flow adjustment</t>
  </si>
  <si>
    <t>Debt current year</t>
  </si>
  <si>
    <t>Wages &amp; salaries / employee (frontier workers)</t>
  </si>
  <si>
    <t>Wages &amp; salaries / employee (domestic)</t>
  </si>
  <si>
    <t xml:space="preserve"> 17. Gross value added at basic prices</t>
  </si>
  <si>
    <t xml:space="preserve"> 18. Taxes net of subsidies</t>
  </si>
  <si>
    <t xml:space="preserve"> 19. Gross domestic product at market prices</t>
  </si>
  <si>
    <r>
      <t xml:space="preserve">A very </t>
    </r>
    <r>
      <rPr>
        <b/>
        <sz val="11"/>
        <rFont val="Arial"/>
        <family val="2"/>
      </rPr>
      <t>useful feature</t>
    </r>
    <r>
      <rPr>
        <sz val="11"/>
        <rFont val="Arial"/>
        <family val="2"/>
      </rPr>
      <t xml:space="preserve"> is the "save values" button.</t>
    </r>
  </si>
  <si>
    <t>This allows you to store the values of up to five transfer matrices.</t>
  </si>
  <si>
    <t>You can use them to save the values as they were transfered in the preliminary or provisional storage (or any other you prefer).</t>
  </si>
  <si>
    <t xml:space="preserve">These can be used for comparison, to see what has changed between two storages. </t>
  </si>
  <si>
    <t>CONSUMER PRICE HARMONIZED INDEX</t>
  </si>
  <si>
    <t>HICP</t>
  </si>
  <si>
    <t>CONSUMER PRICE GENERAL INDEX</t>
  </si>
  <si>
    <t>REVENUE AND EXPENDITURE OF GENERAL GOVERNMENT (S13)</t>
  </si>
  <si>
    <t>TR</t>
  </si>
  <si>
    <t>TE</t>
  </si>
  <si>
    <t xml:space="preserve">   7a. - individual consumption = social transfers in kind</t>
  </si>
  <si>
    <t xml:space="preserve">   7b. - collective consumption</t>
  </si>
  <si>
    <t xml:space="preserve">  20a. - primary balance (20+10)</t>
  </si>
  <si>
    <t xml:space="preserve"> L107</t>
  </si>
  <si>
    <t xml:space="preserve"> L143+L117</t>
  </si>
  <si>
    <t xml:space="preserve"> L113+L114+L115+L117+L143</t>
  </si>
  <si>
    <t xml:space="preserve"> L120</t>
  </si>
  <si>
    <t xml:space="preserve"> L146</t>
  </si>
  <si>
    <t xml:space="preserve"> L120+L121+L122+L123+L124+L145+L146</t>
  </si>
  <si>
    <t xml:space="preserve"> 10. Gross domestic product at market prices</t>
  </si>
  <si>
    <t xml:space="preserve">Current taxes on income and wealth (D.5r)  </t>
  </si>
  <si>
    <t>Forecast file LT</t>
  </si>
  <si>
    <t>Residual due to chainlinking</t>
  </si>
  <si>
    <t>POPULATION OF WORKING AGE (15-64)</t>
  </si>
  <si>
    <t>CIVILIAN LABOUR FORCE</t>
  </si>
  <si>
    <t>REGISTERED UNEMPLOYED PERSONS</t>
  </si>
  <si>
    <t>LUemp</t>
  </si>
  <si>
    <r>
      <t xml:space="preserve">Data_p can also contain </t>
    </r>
    <r>
      <rPr>
        <u/>
        <sz val="11"/>
        <rFont val="Arial"/>
        <family val="2"/>
      </rPr>
      <t>additional sheets</t>
    </r>
    <r>
      <rPr>
        <sz val="11"/>
        <rFont val="Arial"/>
        <family val="2"/>
      </rPr>
      <t xml:space="preserve"> (at least two, although it is possible to add more).</t>
    </r>
  </si>
  <si>
    <t>XGIntr</t>
  </si>
  <si>
    <t>XGExtr</t>
  </si>
  <si>
    <t>Intra-EU exports of goods</t>
  </si>
  <si>
    <t>Extra-EU exports of goods</t>
  </si>
  <si>
    <t>Imports of goods by region</t>
  </si>
  <si>
    <t xml:space="preserve">TRADE IN GOODS BY REGION (CUSTOMS BASIS) </t>
  </si>
  <si>
    <t>% trade</t>
  </si>
  <si>
    <t xml:space="preserve">   Exports of goods (fob)</t>
  </si>
  <si>
    <t xml:space="preserve">   Imports of goods (cif)</t>
  </si>
  <si>
    <t xml:space="preserve">  11. Net lending (+)/ net borrowing (-) (9+10)</t>
  </si>
  <si>
    <t xml:space="preserve">   3. Total exports (1 + 2)</t>
  </si>
  <si>
    <t>historical year = a year for which data is available in the input sheet</t>
  </si>
  <si>
    <t>forecast year = a year for which a variable needs to be forecasted</t>
  </si>
  <si>
    <t xml:space="preserve"> L100+L101-L102-L103 (or if any of these 4 line are missing : L104)</t>
  </si>
  <si>
    <t>Investment in inventories</t>
  </si>
  <si>
    <t xml:space="preserve">  3a.  - of which, construction </t>
  </si>
  <si>
    <t xml:space="preserve">   7. Government consumption (1+2+3+4+5-6)</t>
  </si>
  <si>
    <t>P31=D63</t>
  </si>
  <si>
    <r>
      <t>DO NOT INSERT OR DELETE COLUMNS (NEVER, NEVER, NEVER !!!)</t>
    </r>
    <r>
      <rPr>
        <sz val="11"/>
        <rFont val="Arial"/>
        <family val="2"/>
      </rPr>
      <t>. Such operation will inevitably damage the transfer matrix.</t>
    </r>
  </si>
  <si>
    <t>These contain quarterly data (usually in QUART) and additional annual data which is not in Ameco (usually in Data_A11).</t>
  </si>
  <si>
    <t>When forecasting a variable (e.g. social contributions - D.61), the sheet automatically enforces consistency between</t>
  </si>
  <si>
    <t xml:space="preserve">sums received and paid and between the aggregates and their components. </t>
  </si>
  <si>
    <t>Non-residential construction and civil engineering</t>
  </si>
  <si>
    <t>D.4 (EXT)</t>
  </si>
  <si>
    <t>D.5r (EXT)</t>
  </si>
  <si>
    <t>Percentage change</t>
  </si>
  <si>
    <t xml:space="preserve">   1. Private consumption expenditure</t>
  </si>
  <si>
    <t>P3</t>
  </si>
  <si>
    <r>
      <t xml:space="preserve">Historical data should be put in a file called </t>
    </r>
    <r>
      <rPr>
        <b/>
        <sz val="11"/>
        <color indexed="10"/>
        <rFont val="Arial"/>
        <family val="2"/>
      </rPr>
      <t>data_p.xls</t>
    </r>
    <r>
      <rPr>
        <sz val="11"/>
        <rFont val="Arial"/>
        <family val="2"/>
      </rPr>
      <t xml:space="preserve">, stored in the </t>
    </r>
    <r>
      <rPr>
        <b/>
        <sz val="11"/>
        <color indexed="10"/>
        <rFont val="Arial"/>
        <family val="2"/>
      </rPr>
      <t>same folder as the forecast sheet</t>
    </r>
    <r>
      <rPr>
        <sz val="11"/>
        <rFont val="Arial"/>
        <family val="2"/>
      </rPr>
      <t xml:space="preserve">. </t>
    </r>
  </si>
  <si>
    <t xml:space="preserve">This file is produced by the Ameco team. </t>
  </si>
  <si>
    <t>Currency:</t>
  </si>
  <si>
    <t>Formats and colour codes</t>
  </si>
  <si>
    <t>4 year average</t>
  </si>
  <si>
    <t>Taxes on production and imports (D.2r)</t>
  </si>
  <si>
    <t>Elasticity w.r.t. GDP</t>
  </si>
  <si>
    <t>D61+D7</t>
  </si>
  <si>
    <t xml:space="preserve">   6. Gross disposable income (1+2+3-4-5)</t>
  </si>
  <si>
    <t>B6g</t>
  </si>
  <si>
    <t>Value according to theoretical OECD elasticity</t>
  </si>
  <si>
    <t>OECD</t>
  </si>
  <si>
    <t>Tax rate relative to GDP</t>
  </si>
  <si>
    <t>There are no further forecasts below this line</t>
  </si>
  <si>
    <t>Consumption price indices</t>
  </si>
  <si>
    <t>Harmonized index</t>
  </si>
  <si>
    <t>IND</t>
  </si>
  <si>
    <t>Household consumption prices</t>
  </si>
  <si>
    <t>Deflator</t>
  </si>
  <si>
    <t>*110</t>
  </si>
  <si>
    <t>YACapTN</t>
  </si>
  <si>
    <t>**125</t>
  </si>
  <si>
    <t>*127</t>
  </si>
  <si>
    <t>YANonFinN</t>
  </si>
  <si>
    <t>???</t>
  </si>
  <si>
    <t>*96</t>
  </si>
  <si>
    <t>*109</t>
  </si>
  <si>
    <t>$Hiny</t>
  </si>
  <si>
    <t>Gross value added (current prices)</t>
  </si>
  <si>
    <t>$HTaxSoc(1)</t>
  </si>
  <si>
    <t>$HTaxSoc(2)</t>
  </si>
  <si>
    <t>D.4 (HH)</t>
  </si>
  <si>
    <t>HPropN</t>
  </si>
  <si>
    <t>$Hprop</t>
  </si>
  <si>
    <t>ECO</t>
  </si>
  <si>
    <t>HH</t>
  </si>
  <si>
    <t>E</t>
  </si>
  <si>
    <t>GVT</t>
  </si>
  <si>
    <t>EXT</t>
  </si>
  <si>
    <t>CHK</t>
  </si>
  <si>
    <t>Total employment (domestic - full time equivalent)</t>
  </si>
  <si>
    <t xml:space="preserve"> L152</t>
  </si>
  <si>
    <t xml:space="preserve"> L150+L152</t>
  </si>
  <si>
    <t xml:space="preserve">   5. Gross operating surplus (1+2-3-4)</t>
  </si>
  <si>
    <t>B2g</t>
  </si>
  <si>
    <t>Debt increase as % of GDP</t>
  </si>
  <si>
    <t>Stock-flow adjustment as % of GDP</t>
  </si>
  <si>
    <t>Snowball effect</t>
  </si>
  <si>
    <t>Net borrowing as % of GDP</t>
  </si>
  <si>
    <t>- ALend</t>
  </si>
  <si>
    <t>ADebt[t] - ADebt[t-1]</t>
  </si>
  <si>
    <t>- growth rate in values</t>
  </si>
  <si>
    <t>The reference storage is one of the five storages you have savedusing the "save values" button described above.</t>
  </si>
  <si>
    <t>PPrvC</t>
  </si>
  <si>
    <t>PAIEq</t>
  </si>
  <si>
    <t>PIEq</t>
  </si>
  <si>
    <t>PIO</t>
  </si>
  <si>
    <t>PI</t>
  </si>
  <si>
    <t>PAI</t>
  </si>
  <si>
    <t>Net-lending</t>
  </si>
  <si>
    <t>Employer's social contr. / employee (domestic)</t>
  </si>
  <si>
    <t>Employer's social contr. / employee (frontier workers)</t>
  </si>
  <si>
    <t>Participation ratio</t>
  </si>
  <si>
    <t>UL</t>
  </si>
  <si>
    <t>Total labour force</t>
  </si>
  <si>
    <t>L</t>
  </si>
  <si>
    <t>Wage and salary earners (domestic)</t>
  </si>
  <si>
    <t>LEmpSelfD</t>
  </si>
  <si>
    <t>Employment (domestic)</t>
  </si>
  <si>
    <t>Frontier workers</t>
  </si>
  <si>
    <t>LEmp</t>
  </si>
  <si>
    <t>VOL. GFCF in other domestic sectors</t>
  </si>
  <si>
    <t>QUART. VOL. FINAL DEMAND (cols 2-13)</t>
  </si>
  <si>
    <t>QUART. VOL. IMPORTS G AND S (cols 2-13)</t>
  </si>
  <si>
    <t>short-term 2010</t>
  </si>
  <si>
    <t>Follow this link to the detailed breakdown of nominal government consumption in the sector sheet</t>
  </si>
  <si>
    <t>Follow this link to the total consumption forecast in VVP1</t>
  </si>
  <si>
    <t>Of which:</t>
  </si>
  <si>
    <t>Gross operating surplus / mixed income (B.2g)</t>
  </si>
  <si>
    <t xml:space="preserve">Compensation of employees (D.1p) </t>
  </si>
  <si>
    <t>Net operating surplus (B.2n)</t>
  </si>
  <si>
    <t>Consumption of fixed capital (K.1)</t>
  </si>
  <si>
    <t>Gross operating surplus (B.2g) / Mixed income</t>
  </si>
  <si>
    <t>Wage &amp; salary earners (private sector)</t>
  </si>
  <si>
    <t>LEmpDPriv</t>
  </si>
  <si>
    <t>D62+D7</t>
  </si>
  <si>
    <t>Report in transfer in PYP (Y / N)?</t>
  </si>
  <si>
    <t>CHECK: Residual should be zero for consistency</t>
  </si>
  <si>
    <t>Consistency checks</t>
  </si>
  <si>
    <t>Imports (constant prices)</t>
  </si>
  <si>
    <t xml:space="preserve"> L137 : L47</t>
  </si>
  <si>
    <t>Tel. +32-2-29 52214</t>
  </si>
  <si>
    <t>ON</t>
  </si>
  <si>
    <t>VIO</t>
  </si>
  <si>
    <t>$ACIndv</t>
  </si>
  <si>
    <t>$ACColl</t>
  </si>
  <si>
    <t>36/95</t>
  </si>
  <si>
    <t>*137</t>
  </si>
  <si>
    <t>Imports  (deflator)</t>
  </si>
  <si>
    <t>Gross domestic product (B.1g - deflator)</t>
  </si>
  <si>
    <t>FOR INFORMATION ONLY - There are no forecasts in this sheet</t>
  </si>
  <si>
    <t>Pi6(1,6)</t>
  </si>
  <si>
    <t>Total employment (domestic)</t>
  </si>
  <si>
    <t>Total employment (national)</t>
  </si>
  <si>
    <t xml:space="preserve">  11. Gross capital formation</t>
  </si>
  <si>
    <t>Select the entire column for Qn(t-1) and copy it over the old forecast column for Qn(t), for all quarters with historical data.</t>
  </si>
  <si>
    <t>How to overwrite forecast columns with columns linking to historical data?</t>
  </si>
  <si>
    <t>calendar factor:</t>
  </si>
  <si>
    <t>p.m. corresponding number in quarterly sheet</t>
  </si>
  <si>
    <t>USE AND SUPPLY OF GOODS AND SERVICES</t>
  </si>
  <si>
    <r>
      <t xml:space="preserve">The Labour sheet has </t>
    </r>
    <r>
      <rPr>
        <b/>
        <sz val="11"/>
        <rFont val="Arial"/>
        <family val="2"/>
      </rPr>
      <t>one column for each year</t>
    </r>
    <r>
      <rPr>
        <sz val="11"/>
        <rFont val="Arial"/>
        <family val="2"/>
      </rPr>
      <t xml:space="preserve"> (historical and forecast years).</t>
    </r>
  </si>
  <si>
    <t>QUART. VOL. GROSS DOM. PRODUCT (cols 2-13)</t>
  </si>
  <si>
    <t>Growth rates (quarter-on-quarter)</t>
  </si>
  <si>
    <t>Yearly growth implicit in quarterly profile</t>
  </si>
  <si>
    <t xml:space="preserve">Government final consumption expenditure                                        </t>
  </si>
  <si>
    <t xml:space="preserve"> 12c. Processed food (incl. alcohol and tobacco)</t>
  </si>
  <si>
    <t xml:space="preserve"> 12d. Unprocessed food</t>
  </si>
  <si>
    <t>Although not strictly necessary, the storage will be executed much faster if you close Excel before you use EU4CAST.</t>
  </si>
  <si>
    <t>Taxes on products (D.2r) (Taxes paid to RoW)</t>
  </si>
  <si>
    <t>Adding forecast years / changing old forecast years into historical years</t>
  </si>
  <si>
    <t>Sales (P.11 + P.12 + P.131)</t>
  </si>
  <si>
    <t>P.11 + P.12</t>
  </si>
  <si>
    <t>P.131</t>
  </si>
  <si>
    <t>P.11 + P.12 + P.131</t>
  </si>
  <si>
    <t>D.6311p + D.63121p + D.63131p</t>
  </si>
  <si>
    <t>GG SALES</t>
  </si>
  <si>
    <t xml:space="preserve"> 12e. Services</t>
  </si>
  <si>
    <t xml:space="preserve"> 13. HICP excl. energy and unprocessed food</t>
  </si>
  <si>
    <t xml:space="preserve">  5. Total employment</t>
  </si>
  <si>
    <t xml:space="preserve">  5a. - of which, employees</t>
  </si>
  <si>
    <t xml:space="preserve">  5b. - of which, self-employed</t>
  </si>
  <si>
    <t>Wage and salary earners (domestic - full time equivalent)</t>
  </si>
  <si>
    <t>Wage &amp; salary earners (national)</t>
  </si>
  <si>
    <t>Elasticity w.r.t. GOS</t>
  </si>
  <si>
    <t xml:space="preserve">Note: </t>
  </si>
  <si>
    <t>To see labels attached to the data points,</t>
  </si>
  <si>
    <t>VBG</t>
  </si>
  <si>
    <t>VGDP</t>
  </si>
  <si>
    <t>Total compensation per employee (values in 1000 euro)</t>
  </si>
  <si>
    <t>GG SOC TRANSF IN KIND VIA MARKET PRODUCERS</t>
  </si>
  <si>
    <t>Other current revenue</t>
  </si>
  <si>
    <t>p.m. growth of total social transfers in kind (D.63 = P.31)</t>
  </si>
  <si>
    <t>YATotRev</t>
  </si>
  <si>
    <t>Total government revenue (harmonised)</t>
  </si>
  <si>
    <t>Total government expenditure (harmonised)</t>
  </si>
  <si>
    <t>HICP Q SERVICES</t>
  </si>
  <si>
    <t xml:space="preserve">  5. Inventories</t>
  </si>
  <si>
    <t xml:space="preserve">  6. Domestic demand (incl. inventories)</t>
  </si>
  <si>
    <t xml:space="preserve">   17. Taxes net of subsidies (18-19)</t>
  </si>
  <si>
    <t>GG ONE-OFF MEASURES (REVENUE SIDE)</t>
  </si>
  <si>
    <t>GG ONE-OFF MEASURES (EXPENDITURE SIDE)</t>
  </si>
  <si>
    <t>1OFS (REVENUE SIDE)</t>
  </si>
  <si>
    <t>1OFS (EXPENDITURE SIDE)</t>
  </si>
  <si>
    <t>One-offs (Revenue side)</t>
  </si>
  <si>
    <t>One-offs (Expenditure side)</t>
  </si>
  <si>
    <t>1FSR</t>
  </si>
  <si>
    <t>1FSE</t>
  </si>
  <si>
    <t>p.m. implicit values for private sector</t>
  </si>
  <si>
    <t>HICP Y WEIGHT NON-ENERGY INDUSTRIAL GOODS</t>
  </si>
  <si>
    <t>HICP Y WEIGHT ENERGY</t>
  </si>
  <si>
    <t>HICP Y WEIGHT PROCESSED FOOD INCL. ALCOHOL AND TOBACCO</t>
  </si>
  <si>
    <t>HICP Y WEIGHT UNPROCESSED FOOD</t>
  </si>
  <si>
    <t>HICP Y WEIGHT SERVICES</t>
  </si>
  <si>
    <t>HICP Y INDEX EXCL. ENERGY AND UNPROCESSED FOOD</t>
  </si>
  <si>
    <t>Residual</t>
  </si>
  <si>
    <t>*161</t>
  </si>
  <si>
    <t>*162</t>
  </si>
  <si>
    <t>*163</t>
  </si>
  <si>
    <t>*164</t>
  </si>
  <si>
    <t>*165</t>
  </si>
  <si>
    <t>Growth July - July</t>
  </si>
  <si>
    <t>Final consumption expenditure (P.3)</t>
  </si>
  <si>
    <r>
      <t xml:space="preserve">Don't forget to fill in the </t>
    </r>
    <r>
      <rPr>
        <b/>
        <sz val="11"/>
        <rFont val="Arial"/>
        <family val="2"/>
      </rPr>
      <t>global settings</t>
    </r>
    <r>
      <rPr>
        <sz val="11"/>
        <rFont val="Arial"/>
        <family val="2"/>
      </rPr>
      <t xml:space="preserve"> at the top before you decide to store your data in the central system.</t>
    </r>
  </si>
  <si>
    <t>GVA[ECO] = B.1g - (D.21 - D.31)</t>
  </si>
  <si>
    <t>GVA[E] = GVA[ECO]
 - GVA[HH] - GVA[GVT]</t>
  </si>
  <si>
    <t>B.2g[E] = GVA[E] - D.1p[E] - (D.29p[E] - D.39r[E])</t>
  </si>
  <si>
    <t>D.1p[HH]</t>
  </si>
  <si>
    <t>D29p[HH] - D39r[HH]</t>
  </si>
  <si>
    <t>B.2g[HH]</t>
  </si>
  <si>
    <t xml:space="preserve"> ((L100+L101-L102-L103) + L105 + L106 - L107 - L108) - L109 - L110</t>
  </si>
  <si>
    <t xml:space="preserve"> Table-line 13 : L47</t>
  </si>
  <si>
    <t xml:space="preserve">   Social contributions (D.61r)</t>
  </si>
  <si>
    <t xml:space="preserve">   Government and EDP</t>
  </si>
  <si>
    <t>Hours / year</t>
  </si>
  <si>
    <t>GG VOL. COLLECTIVE CONSUMPT. EXPENDITURE</t>
  </si>
  <si>
    <t>EXPORTS OF TOURISM</t>
  </si>
  <si>
    <t>IMPORTS OF TOURISM</t>
  </si>
  <si>
    <t>BALANCE OF PRIMARY INCOME</t>
  </si>
  <si>
    <t>NET CURRENT TRANSFERS</t>
  </si>
  <si>
    <t>NTRow</t>
  </si>
  <si>
    <t>Social contributions (Net) (D.61)</t>
  </si>
  <si>
    <t>RowTaxSocN</t>
  </si>
  <si>
    <t>RowTSocN</t>
  </si>
  <si>
    <t>GG SOCIAL TRANSFERS OTHER THAN IN KIND</t>
  </si>
  <si>
    <t>$ATToH</t>
  </si>
  <si>
    <t>GG INTEREST excl SWAPS</t>
  </si>
  <si>
    <t>$AInt</t>
  </si>
  <si>
    <t>If YES, aggregates are not additive in constant prices, but they are additive in previous year's prices.</t>
  </si>
  <si>
    <t>VHI</t>
  </si>
  <si>
    <t>VEI</t>
  </si>
  <si>
    <t>VI</t>
  </si>
  <si>
    <t>Property income (paid, excluding interests) (D.4p-D.41p)</t>
  </si>
  <si>
    <t>Property income (received) (D.4r)</t>
  </si>
  <si>
    <t>D.4p - D.41p (GVT)</t>
  </si>
  <si>
    <t>$AProp - $AInt</t>
  </si>
  <si>
    <t xml:space="preserve"> (L36+L37+L38+L42+L43+L44) : (L1+L2+L3+L7+L8+L9)</t>
  </si>
  <si>
    <t xml:space="preserve"> (L45+L46) : (L10+L11)</t>
  </si>
  <si>
    <t xml:space="preserve"> L46:L11</t>
  </si>
  <si>
    <t xml:space="preserve"> L47:L12</t>
  </si>
  <si>
    <t xml:space="preserve"> ((L43+L44) : (L8+L9)) : ((L45+L46) : (L10+L11))</t>
  </si>
  <si>
    <t xml:space="preserve"> (L43:L8) : (L45:L10)</t>
  </si>
  <si>
    <t xml:space="preserve"> (L44:L9) : (L46:L11)</t>
  </si>
  <si>
    <t xml:space="preserve">  5. Change in inventories and net-acquisition of valuables</t>
  </si>
  <si>
    <t xml:space="preserve">  7a.  - of which goods</t>
  </si>
  <si>
    <t xml:space="preserve">  7b.  - of which services</t>
  </si>
  <si>
    <t xml:space="preserve">  6. Domestic demand (incl. inventories) (4+5)</t>
  </si>
  <si>
    <t xml:space="preserve">  9a.  - of which goods</t>
  </si>
  <si>
    <t xml:space="preserve">  9b.  - of which services</t>
  </si>
  <si>
    <t xml:space="preserve">  11c. Processed food (incl. alcohol and tobacco)</t>
  </si>
  <si>
    <t xml:space="preserve">  11d. Unprocessed food</t>
  </si>
  <si>
    <t xml:space="preserve">  11e. Services</t>
  </si>
  <si>
    <t xml:space="preserve">  11b. Energy</t>
  </si>
  <si>
    <t>2. Taxes less subsidies on production (D.29 - D.39) is forecasted for HH, E and GVT (in Sector1)</t>
  </si>
  <si>
    <t>3. Gross operating surplus (B.2g) is forecasted for HH and GVT in Sector1 (but not for E !)</t>
  </si>
  <si>
    <t>1. Gross value added of HH and GVT = B.2g + (D.29 - D.39) + D.1p</t>
  </si>
  <si>
    <t>2. Gross value added of E = GVA(ECO) - GVA(GVT) - GVA(HH)</t>
  </si>
  <si>
    <t xml:space="preserve">   Private consumption expenditure (P.3)</t>
  </si>
  <si>
    <t xml:space="preserve">   Gross fixed capital formation (P.51)</t>
  </si>
  <si>
    <t>P.53 (HH)</t>
  </si>
  <si>
    <t>DATA_A11</t>
  </si>
  <si>
    <t>YCompD W&amp;S</t>
  </si>
  <si>
    <t>LEmpTot</t>
  </si>
  <si>
    <t>CompFrRow</t>
  </si>
  <si>
    <t>CompToRow</t>
  </si>
  <si>
    <t>GDP (EDP)</t>
  </si>
  <si>
    <t>PropFrRowN</t>
  </si>
  <si>
    <t>CapTRowN</t>
  </si>
  <si>
    <t>RowNonFinN</t>
  </si>
  <si>
    <t>$ASubProd</t>
  </si>
  <si>
    <t>AvHoursWorked</t>
  </si>
  <si>
    <t>D.1p (EXT)</t>
  </si>
  <si>
    <t>D.1r (EXT)</t>
  </si>
  <si>
    <t>B.1g (EDP)</t>
  </si>
  <si>
    <t>$RowTaxDir</t>
  </si>
  <si>
    <t>TOFrRow</t>
  </si>
  <si>
    <t>TOToRow</t>
  </si>
  <si>
    <t xml:space="preserve"> (L61:L47) x (L61:L12)</t>
  </si>
  <si>
    <t xml:space="preserve"> (L62:L47) x (L62:L12)</t>
  </si>
  <si>
    <t xml:space="preserve"> ((L61:L47) x (L61:L12)) : ((L62:L47) x (L62:L12))</t>
  </si>
  <si>
    <r>
      <t xml:space="preserve">In the </t>
    </r>
    <r>
      <rPr>
        <b/>
        <sz val="11"/>
        <rFont val="Arial"/>
        <family val="2"/>
      </rPr>
      <t xml:space="preserve">Autumn </t>
    </r>
    <r>
      <rPr>
        <sz val="11"/>
        <rFont val="Arial"/>
        <family val="2"/>
      </rPr>
      <t>and</t>
    </r>
    <r>
      <rPr>
        <b/>
        <sz val="11"/>
        <rFont val="Arial"/>
        <family val="2"/>
      </rPr>
      <t xml:space="preserve"> Spring forecast</t>
    </r>
    <r>
      <rPr>
        <sz val="11"/>
        <rFont val="Arial"/>
        <family val="2"/>
      </rPr>
      <t>, you should have historical data for the early quarters of the first forecast year.</t>
    </r>
  </si>
  <si>
    <t>To integrate historical data for Qn(t) (the n'th quarter of year t), use the following procedure:</t>
  </si>
  <si>
    <t xml:space="preserve">  3a. -of which, housing</t>
  </si>
  <si>
    <t>Pi6(4)</t>
  </si>
  <si>
    <t>RES</t>
  </si>
  <si>
    <t>National index (optional)</t>
  </si>
  <si>
    <t>Property income to ROW (D.4)</t>
  </si>
  <si>
    <t>Total compensation / employee (domestic)</t>
  </si>
  <si>
    <t>Total compensation / employee (frontier workers)</t>
  </si>
  <si>
    <t>Other current expenditure</t>
  </si>
  <si>
    <t>Residual summary needed for transfer matrix</t>
  </si>
  <si>
    <t>Government &amp; EDP</t>
  </si>
  <si>
    <t>Dom. demand incl. ch. in invent. &amp; incl. net acq. of val.</t>
  </si>
  <si>
    <t>Exports of goods and services</t>
  </si>
  <si>
    <t>If NO, aggregates (like GDP) are additive in constant prices and therefore they will be calculated in VVP2.</t>
  </si>
  <si>
    <t>Country:</t>
  </si>
  <si>
    <t>Employment rate</t>
  </si>
  <si>
    <t>Household consumption</t>
  </si>
  <si>
    <t>Quarter on quarter growth rates</t>
  </si>
  <si>
    <t>You can store a transfer matrix for later comparison</t>
  </si>
  <si>
    <t>and here are all stored transfer matrices (up to five).</t>
  </si>
  <si>
    <t>This matrix is transfered to the central forecast system</t>
  </si>
  <si>
    <t>Volumes are stored in constant or previous year prices</t>
  </si>
  <si>
    <t>depending on your choice in sheet VVP1</t>
  </si>
  <si>
    <t>by pressing "save values" in the Transfer sheet</t>
  </si>
  <si>
    <t>Core inflation</t>
  </si>
  <si>
    <t>Core inflation (calculated)</t>
  </si>
  <si>
    <t>HICP Index core inflation</t>
  </si>
  <si>
    <t xml:space="preserve"> L87+L89+L90+L91-L92-L93</t>
  </si>
  <si>
    <t xml:space="preserve"> L94</t>
  </si>
  <si>
    <r>
      <t>Labour</t>
    </r>
    <r>
      <rPr>
        <sz val="11"/>
        <rFont val="Arial"/>
        <family val="2"/>
      </rPr>
      <t xml:space="preserve"> contains all data related to population and labour market (employment, wages &amp; productivity)</t>
    </r>
  </si>
  <si>
    <t>Total compensation / employee (public)</t>
  </si>
  <si>
    <t>((L115 t ÷ L115 t-1) - (L164 col 1 × (L61 t ÷ L61 t-1))) × (L115 t-1 ÷ L47 t)</t>
  </si>
  <si>
    <t xml:space="preserve"> L113</t>
  </si>
  <si>
    <t xml:space="preserve"> L114</t>
  </si>
  <si>
    <t xml:space="preserve"> L92</t>
  </si>
  <si>
    <t xml:space="preserve"> L115</t>
  </si>
  <si>
    <t xml:space="preserve"> L116</t>
  </si>
  <si>
    <t xml:space="preserve"> L145</t>
  </si>
  <si>
    <t xml:space="preserve"> L121</t>
  </si>
  <si>
    <t xml:space="preserve"> L122</t>
  </si>
  <si>
    <t xml:space="preserve"> L123</t>
  </si>
  <si>
    <t xml:space="preserve"> L124</t>
  </si>
  <si>
    <t xml:space="preserve"> External file UNEMPLR (ECFIN A-4 database, source : Ameco + nat. uneployment rates)</t>
  </si>
  <si>
    <t xml:space="preserve"> L12:L59</t>
  </si>
  <si>
    <t xml:space="preserve"> L61:L63</t>
  </si>
  <si>
    <t xml:space="preserve"> (L61:L63) : (L58:L59)</t>
  </si>
  <si>
    <t xml:space="preserve"> External file RULCU (ECFIN A-4 database, source : Ameco)</t>
  </si>
  <si>
    <t xml:space="preserve"> L55</t>
  </si>
  <si>
    <t xml:space="preserve"> L15</t>
  </si>
  <si>
    <t xml:space="preserve"> L17</t>
  </si>
  <si>
    <t xml:space="preserve"> L18</t>
  </si>
  <si>
    <t xml:space="preserve"> L20</t>
  </si>
  <si>
    <t xml:space="preserve"> L22</t>
  </si>
  <si>
    <t xml:space="preserve"> L23</t>
  </si>
  <si>
    <t xml:space="preserve"> L36</t>
  </si>
  <si>
    <t xml:space="preserve"> L37</t>
  </si>
  <si>
    <t xml:space="preserve"> L38</t>
  </si>
  <si>
    <t xml:space="preserve"> L36+L37+L38</t>
  </si>
  <si>
    <t xml:space="preserve"> L36+L37+L38+L42</t>
  </si>
  <si>
    <t xml:space="preserve"> L43+L44</t>
  </si>
  <si>
    <t xml:space="preserve"> 10. Unemployment rate, Eurostat definition (%)</t>
  </si>
  <si>
    <t xml:space="preserve"> 11. Activity rate (%)</t>
  </si>
  <si>
    <t xml:space="preserve"> 12. Employment rate (%)</t>
  </si>
  <si>
    <t>Table 8</t>
  </si>
  <si>
    <t>Government net-lending (EDP definition) - Values</t>
  </si>
  <si>
    <t>Employment / Unemployment</t>
  </si>
  <si>
    <t>Registered unemployment</t>
  </si>
  <si>
    <t>ULUemp</t>
  </si>
  <si>
    <t>LEmpTot / Lage</t>
  </si>
  <si>
    <t>1000 persons</t>
  </si>
  <si>
    <t>x</t>
  </si>
  <si>
    <t>Growth (1000 persons)</t>
  </si>
  <si>
    <t>ULage</t>
  </si>
  <si>
    <t xml:space="preserve">   3. Gross fixed capital formation</t>
  </si>
  <si>
    <t xml:space="preserve">Current taxes on income and wealth (D.5)  </t>
  </si>
  <si>
    <t>Compensation of employees (D.1)</t>
  </si>
  <si>
    <t>Taxes on production and imports (D.2 = D.21+D.29)</t>
  </si>
  <si>
    <t>Subsidies (D.3 = D.31+D.39)</t>
  </si>
  <si>
    <t xml:space="preserve">Current taxes on income and wealth (D.5p)  </t>
  </si>
  <si>
    <t xml:space="preserve">Current taxes on income and wealth (Net) (D.5)  </t>
  </si>
  <si>
    <t>RowTaxDirN</t>
  </si>
  <si>
    <t>Social contributions (D.61)</t>
  </si>
  <si>
    <t>Actual social contributions (D.611r)</t>
  </si>
  <si>
    <r>
      <t>Sector</t>
    </r>
    <r>
      <rPr>
        <sz val="11"/>
        <rFont val="Arial"/>
        <family val="2"/>
      </rPr>
      <t xml:space="preserve"> contains all data attributed to different sectors (government, households, corporations and rest of the world).</t>
    </r>
  </si>
  <si>
    <t>VOL. CHANGE IN INVENTORIES</t>
  </si>
  <si>
    <t>GVT: Property income (received) (D.4r)</t>
  </si>
  <si>
    <t>GVT: Property income (paid, excluding interests) (D.4-D.41p)</t>
  </si>
  <si>
    <t>Scrolling down, the first part of the sheet contains all volumes developments, the second part values and the third implicit prices.</t>
  </si>
  <si>
    <t>*141</t>
  </si>
  <si>
    <t>YTaxDir</t>
  </si>
  <si>
    <t>YRowTaxDir</t>
  </si>
  <si>
    <t>*93</t>
  </si>
  <si>
    <t>*106</t>
  </si>
  <si>
    <t>YHTSoc (*)</t>
  </si>
  <si>
    <t>YESoc (*)</t>
  </si>
  <si>
    <t>AYTaxSoc</t>
  </si>
  <si>
    <t>TSocToRow (*)</t>
  </si>
  <si>
    <t>*91</t>
  </si>
  <si>
    <t>YHTot</t>
  </si>
  <si>
    <t>YETot</t>
  </si>
  <si>
    <t>YATot</t>
  </si>
  <si>
    <t xml:space="preserve"> ((L115 t - L115 t-1) ÷ L115 t-1) ÷ ((L61 t - L61 t-1) ÷ L61 t-1)</t>
  </si>
  <si>
    <t xml:space="preserve"> L160 col 1</t>
  </si>
  <si>
    <t xml:space="preserve"> L115 ÷ L61</t>
  </si>
  <si>
    <t>Net current transfers (rest of the world)</t>
  </si>
  <si>
    <t xml:space="preserve"> L87</t>
  </si>
  <si>
    <t xml:space="preserve"> L88</t>
  </si>
  <si>
    <t>GG SUBSIDIES</t>
  </si>
  <si>
    <t>AGG. Final demand</t>
  </si>
  <si>
    <t>VOL. Final demand</t>
  </si>
  <si>
    <t xml:space="preserve">VAL. Imports of goods and services </t>
  </si>
  <si>
    <t xml:space="preserve">AGG. Imports of goods and services </t>
  </si>
  <si>
    <t>EXTERNAL TRANSACTIONS ACCOUNT OF THE NATION (S2)</t>
  </si>
  <si>
    <t xml:space="preserve">   1. Exports of goods (fob)</t>
  </si>
  <si>
    <t>KEY POINTS OF THE FORECAST</t>
  </si>
  <si>
    <t>VOLUMES</t>
  </si>
  <si>
    <t>VOL. PRIVATE CONSUMPTION EXPEND.</t>
  </si>
  <si>
    <t>VPrvC</t>
  </si>
  <si>
    <t>gerrit.bethuyne@ec.europa.eu</t>
  </si>
  <si>
    <t>Compare with the following saved matrix</t>
  </si>
  <si>
    <t>EDP</t>
  </si>
  <si>
    <t xml:space="preserve">   3. Current Transfers received</t>
  </si>
  <si>
    <t>Wage &amp; salary earners (public sector)</t>
  </si>
  <si>
    <t>LEmpDPubl</t>
  </si>
  <si>
    <t>Between here</t>
  </si>
  <si>
    <r>
      <t>===</t>
    </r>
    <r>
      <rPr>
        <b/>
        <sz val="12"/>
        <color indexed="9"/>
        <rFont val="Arial"/>
        <family val="2"/>
      </rPr>
      <t>&gt;</t>
    </r>
  </si>
  <si>
    <t>ANonFinN</t>
  </si>
  <si>
    <t>YAGVadd</t>
  </si>
  <si>
    <t>$Aiswap</t>
  </si>
  <si>
    <t>D.2r (GVT)</t>
  </si>
  <si>
    <t>In that case, you can use the procedure explained in 3., but instead of selecting an entire column, only select the relevant part.</t>
  </si>
  <si>
    <t>QUARTERLY PROFILES</t>
  </si>
  <si>
    <t>FURTHER ANALYSIS OF FIXED INVESTMENT</t>
  </si>
  <si>
    <t>USE AND SUPPLY OF GOODS AND SERVICES (VALUES)</t>
  </si>
  <si>
    <t xml:space="preserve">  11. HICP</t>
  </si>
  <si>
    <t>The forecast system contains four actual forecast sheets:</t>
  </si>
  <si>
    <t xml:space="preserve">  L120</t>
  </si>
  <si>
    <t xml:space="preserve">  L145</t>
  </si>
  <si>
    <t xml:space="preserve">  L146</t>
  </si>
  <si>
    <t xml:space="preserve">  L144</t>
  </si>
  <si>
    <t xml:space="preserve">  L143</t>
  </si>
  <si>
    <t xml:space="preserve">   1. Intra-EU</t>
  </si>
  <si>
    <t xml:space="preserve">   2. Extra-EU</t>
  </si>
  <si>
    <t xml:space="preserve">   4. Intra-EU</t>
  </si>
  <si>
    <t xml:space="preserve">   5. Extra-EU</t>
  </si>
  <si>
    <t>P32</t>
  </si>
  <si>
    <t>$RowTaxDirNet</t>
  </si>
  <si>
    <t>D.5 (EXT)</t>
  </si>
  <si>
    <t>D.61 (EXT)</t>
  </si>
  <si>
    <t>D.62 (EXT)</t>
  </si>
  <si>
    <t>D.7</t>
  </si>
  <si>
    <t>CompRowNet</t>
  </si>
  <si>
    <t>D.1 (EXT)</t>
  </si>
  <si>
    <t xml:space="preserve">   9. Change in HH's net equity in pension funds</t>
  </si>
  <si>
    <t xml:space="preserve">  10. Gross saving (5+6+7-8-9)</t>
  </si>
  <si>
    <t>In sheet Quart1: select the block of 4 columns for t-2 and copy to the right (overwriting the old forecast columns for t-1).</t>
  </si>
  <si>
    <t>Somewhat longer instructions:</t>
  </si>
  <si>
    <r>
      <t xml:space="preserve">Fields marked in </t>
    </r>
    <r>
      <rPr>
        <b/>
        <sz val="11"/>
        <rFont val="Arial"/>
        <family val="2"/>
      </rPr>
      <t>yellow</t>
    </r>
    <r>
      <rPr>
        <sz val="11"/>
        <rFont val="Arial"/>
        <family val="2"/>
      </rPr>
      <t xml:space="preserve"> need</t>
    </r>
    <r>
      <rPr>
        <sz val="11"/>
        <rFont val="Arial"/>
        <family val="2"/>
      </rPr>
      <t xml:space="preserve"> to be filled in by the forecaster. These are the </t>
    </r>
    <r>
      <rPr>
        <b/>
        <sz val="11"/>
        <color indexed="10"/>
        <rFont val="Arial"/>
        <family val="2"/>
      </rPr>
      <t>ONLY</t>
    </r>
    <r>
      <rPr>
        <sz val="11"/>
        <rFont val="Arial"/>
        <family val="2"/>
      </rPr>
      <t xml:space="preserve"> fields that should be filled in. </t>
    </r>
  </si>
  <si>
    <t xml:space="preserve">VAL. FIXED INVESTMENT HOUSING </t>
  </si>
  <si>
    <t>$ETaxProd</t>
  </si>
  <si>
    <t xml:space="preserve">  1. Gross value added in volumes</t>
  </si>
  <si>
    <t xml:space="preserve">  13. Gross capital formation</t>
  </si>
  <si>
    <t>P5</t>
  </si>
  <si>
    <t>D.9 (HH)</t>
  </si>
  <si>
    <t>HTCapN</t>
  </si>
  <si>
    <t>Gross operating surplus (B.2g) / Mixed income (implicit residual)</t>
  </si>
  <si>
    <t>The easiest way is to fill the sheet from left to right, top to bottom (in that case new inputs do not affect your previous forecasts).</t>
  </si>
  <si>
    <t>Gross fixed capital formation</t>
  </si>
  <si>
    <t>Domestic demand (excl. Inventories)</t>
  </si>
  <si>
    <t>Household final consumption expenditure</t>
  </si>
  <si>
    <t>Contributions to growth</t>
  </si>
  <si>
    <t>Domestic demand</t>
  </si>
  <si>
    <t>Text</t>
  </si>
  <si>
    <t>Lpop</t>
  </si>
  <si>
    <t>Lage</t>
  </si>
  <si>
    <t>NP</t>
  </si>
  <si>
    <t>NN</t>
  </si>
  <si>
    <t>GG TAXES ON PRODUCTION AND IMPORTS</t>
  </si>
  <si>
    <t>Elasticity w.r.t. private consumption</t>
  </si>
  <si>
    <t>Implicit employees' social contributions</t>
  </si>
  <si>
    <t>Elasticity w.r.t. compensation of employees</t>
  </si>
  <si>
    <t>Tax rate relative to compensation of employees</t>
  </si>
  <si>
    <t>Fields in this colour contain forecasts made elsewhere in the workbook</t>
  </si>
  <si>
    <t>Other capital expenditure (K.2 + P.52 + P.53 + D.9p)</t>
  </si>
  <si>
    <t>Other current expenditure (D.29p + D.4p - D.41p + D.5p + D.7p + D.8p)</t>
  </si>
  <si>
    <t xml:space="preserve">Final demand                                                                    </t>
  </si>
  <si>
    <t>Imports of goods and services</t>
  </si>
  <si>
    <t>FOR INTERNAL CALCULATIONS BY A4</t>
  </si>
  <si>
    <t xml:space="preserve">  of which, debt</t>
  </si>
  <si>
    <t xml:space="preserve">  of which, dom. crncy.</t>
  </si>
  <si>
    <t xml:space="preserve">  % in dom. currency</t>
  </si>
  <si>
    <t>Gross liabilities</t>
  </si>
  <si>
    <t>AMECO: USAFRW</t>
  </si>
  <si>
    <t>AMECO: USAF5RW</t>
  </si>
  <si>
    <t>All equity +% of debt close to that of EE</t>
  </si>
  <si>
    <t>Net liabilities</t>
  </si>
  <si>
    <t>NB different formulas between outturns and forecast periods!</t>
  </si>
  <si>
    <t xml:space="preserve">  of which, dom. currency</t>
  </si>
  <si>
    <t xml:space="preserve">  % in dom.currency</t>
  </si>
  <si>
    <t>D.</t>
  </si>
  <si>
    <t>D.1p[GVT]</t>
  </si>
  <si>
    <t>D29p[GVT] - D39r[GVT]</t>
  </si>
  <si>
    <t>B.2g[GVT]</t>
  </si>
  <si>
    <t>D.1p[E]</t>
  </si>
  <si>
    <t>D29p[E] - D39r[E]</t>
  </si>
  <si>
    <t>Taxes on income and wealth (direct taxes)</t>
  </si>
  <si>
    <t>Social contributions</t>
  </si>
  <si>
    <t>Ygos</t>
  </si>
  <si>
    <t>$GNI</t>
  </si>
  <si>
    <t>GOVERNMENT CONSUMPTION EXPENDITURE</t>
  </si>
  <si>
    <t>EMPLOYMENT RATE (Struct. Ind. def, calc by B-5)</t>
  </si>
  <si>
    <t>AV. HOURS WORKED</t>
  </si>
  <si>
    <t>HH COMPENSATION OF EMPLOYEES</t>
  </si>
  <si>
    <t xml:space="preserve">  7. Exports of goods and services </t>
  </si>
  <si>
    <t xml:space="preserve">   3. Trade balance (goods, fob/fob) (1-2)</t>
  </si>
  <si>
    <t>Other capital transfers (D.9r-D.91r-D.995)</t>
  </si>
  <si>
    <t>Unpaid taxes (D.995)</t>
  </si>
  <si>
    <t xml:space="preserve"> (L43+L44) - (L45+L46)</t>
  </si>
  <si>
    <t xml:space="preserve"> L43-L45</t>
  </si>
  <si>
    <t xml:space="preserve"> L44-L46</t>
  </si>
  <si>
    <t xml:space="preserve">Gross value added (B.1g-D.21+D.31 - Volumes) </t>
  </si>
  <si>
    <t>GG GEN. GVMNT CONSOLIDATED GROSS DEBT</t>
  </si>
  <si>
    <t>MFob</t>
  </si>
  <si>
    <t>QDDE</t>
  </si>
  <si>
    <t>QDDI</t>
  </si>
  <si>
    <t>QIny</t>
  </si>
  <si>
    <t>QFD</t>
  </si>
  <si>
    <t>Total revenue (harmonised)</t>
  </si>
  <si>
    <t>Total expenditure (harmonised)</t>
  </si>
  <si>
    <t>Transfer sheet</t>
  </si>
  <si>
    <t>P2</t>
  </si>
  <si>
    <t xml:space="preserve"> L142                                                                </t>
  </si>
  <si>
    <t xml:space="preserve"> (((L43-L45) + (L44-L46)) + (L140+L141)) + L142</t>
  </si>
  <si>
    <t xml:space="preserve">  11a. p.m. 11 as % of GDP</t>
  </si>
  <si>
    <t>Table 12</t>
  </si>
  <si>
    <r>
      <t xml:space="preserve">When the </t>
    </r>
    <r>
      <rPr>
        <b/>
        <sz val="11"/>
        <rFont val="Arial"/>
        <family val="2"/>
      </rPr>
      <t>forecast is finished</t>
    </r>
    <r>
      <rPr>
        <sz val="11"/>
        <rFont val="Arial"/>
        <family val="2"/>
      </rPr>
      <t>, press the button "transfer forecast".</t>
    </r>
  </si>
  <si>
    <t>Pi6(4+5)</t>
  </si>
  <si>
    <t>QGDP</t>
  </si>
  <si>
    <t xml:space="preserve">   7. Import prices of goods</t>
  </si>
  <si>
    <t xml:space="preserve">   8. Final demand</t>
  </si>
  <si>
    <t xml:space="preserve">   9. GDP</t>
  </si>
  <si>
    <t>GG TOTAL GOVERNMENT EXPENDITURE</t>
  </si>
  <si>
    <t>$ATotExp</t>
  </si>
  <si>
    <t>GG CAPITAL TAXES</t>
  </si>
  <si>
    <t>GG TAXES TO EU</t>
  </si>
  <si>
    <t>GG INTEREST incl. SWAPS</t>
  </si>
  <si>
    <t>GG SUBSIDIES FROM EU</t>
  </si>
  <si>
    <t>GG VOL. INDIVIDUAL CONSUMPT. EXPENDITURE</t>
  </si>
  <si>
    <t>A.</t>
  </si>
  <si>
    <t>Nominal GDP</t>
  </si>
  <si>
    <t>Total population</t>
  </si>
  <si>
    <t>*176</t>
  </si>
  <si>
    <t>When copying formulas, always copy Q1 into Q1 etc. (instead of Q1 into Q2)</t>
  </si>
  <si>
    <t>YACap</t>
  </si>
  <si>
    <t>D.9r (GVT)</t>
  </si>
  <si>
    <t>D.995</t>
  </si>
  <si>
    <t>GVT: Unpaid taxes (D.995)</t>
  </si>
  <si>
    <t xml:space="preserve">COR COMPENSATION OF EMPLOYEES </t>
  </si>
  <si>
    <t>$EComp</t>
  </si>
  <si>
    <t>COR GROSS OPERATING SURPLUS</t>
  </si>
  <si>
    <t>YEGos</t>
  </si>
  <si>
    <t>COR PROPERTY INCOME (NET)</t>
  </si>
  <si>
    <t>YEPropN</t>
  </si>
  <si>
    <t>Compensation of employees (D.1p) (Domestic)</t>
  </si>
  <si>
    <t>Compensation of employees (Net) (D.1)</t>
  </si>
  <si>
    <t>CompRowN</t>
  </si>
  <si>
    <t>Gross domestic product (B.1g)</t>
  </si>
  <si>
    <t>Sectors as % of total economy</t>
  </si>
  <si>
    <t>Value at current prices</t>
  </si>
  <si>
    <t>level</t>
  </si>
  <si>
    <t>% change</t>
  </si>
  <si>
    <r>
      <t xml:space="preserve">In the </t>
    </r>
    <r>
      <rPr>
        <b/>
        <sz val="11"/>
        <rFont val="Arial"/>
        <family val="2"/>
      </rPr>
      <t>Autumn forecast</t>
    </r>
    <r>
      <rPr>
        <sz val="11"/>
        <rFont val="Arial"/>
        <family val="2"/>
      </rPr>
      <t xml:space="preserve"> of year t, historical data should be available for t-1 (see also item 1).</t>
    </r>
  </si>
  <si>
    <t xml:space="preserve">   2. US dollar (1 USD = )</t>
  </si>
  <si>
    <t>Interest rates, annual average</t>
  </si>
  <si>
    <t>$ADebt[t-1]</t>
  </si>
  <si>
    <t>$ACapT</t>
  </si>
  <si>
    <t>$AI</t>
  </si>
  <si>
    <t>$AIny</t>
  </si>
  <si>
    <t>Gross domestic product (constant prices)</t>
  </si>
  <si>
    <t>D.21r (GVT)</t>
  </si>
  <si>
    <t>need to check 2011 and 2012</t>
  </si>
  <si>
    <t>Implicit FTE per employed person</t>
  </si>
  <si>
    <t>Social benefits (D.62)</t>
  </si>
  <si>
    <t xml:space="preserve">Note: A positive sign indicates an expenditure increasing measure. Incremental impact compared to previous year, in national currency. </t>
  </si>
  <si>
    <t>03.08.2009</t>
  </si>
  <si>
    <t>Auxiliary table (constant prices)</t>
  </si>
  <si>
    <t xml:space="preserve">AGG. Exports of goods and services </t>
  </si>
  <si>
    <t xml:space="preserve">VOL. Exports of goods and services </t>
  </si>
  <si>
    <t>Other current transfers (D.7)</t>
  </si>
  <si>
    <t>GROWTH RATES</t>
  </si>
  <si>
    <t xml:space="preserve"> L42:L47</t>
  </si>
  <si>
    <t xml:space="preserve"> L28</t>
  </si>
  <si>
    <t xml:space="preserve"> External file CYCLPBAL (ECFIN B-5 database, source : Ameco)</t>
  </si>
  <si>
    <t xml:space="preserve"> ((L43+L44+L140+L141) - (L45+L46)) : L47</t>
  </si>
  <si>
    <t xml:space="preserve">   Social benefits (D.61)</t>
  </si>
  <si>
    <t>Values as % of GDP</t>
  </si>
  <si>
    <t xml:space="preserve">HSav </t>
  </si>
  <si>
    <t>Household savings rate</t>
  </si>
  <si>
    <t>Gross saving (B.8g) / Adj. Disp. Income (B.6g + D.8)</t>
  </si>
  <si>
    <t xml:space="preserve">   7a.  - of which, goods</t>
  </si>
  <si>
    <t xml:space="preserve">  14. Gross saving (5-13)</t>
  </si>
  <si>
    <r>
      <t>Sectors2</t>
    </r>
    <r>
      <rPr>
        <sz val="11"/>
        <rFont val="Arial"/>
        <family val="2"/>
      </rPr>
      <t xml:space="preserve"> is</t>
    </r>
    <r>
      <rPr>
        <b/>
        <sz val="11"/>
        <rFont val="Arial"/>
        <family val="2"/>
      </rPr>
      <t xml:space="preserve"> </t>
    </r>
    <r>
      <rPr>
        <sz val="11"/>
        <rFont val="Arial"/>
        <family val="2"/>
      </rPr>
      <t>an</t>
    </r>
    <r>
      <rPr>
        <b/>
        <sz val="11"/>
        <rFont val="Arial"/>
        <family val="2"/>
      </rPr>
      <t xml:space="preserve"> </t>
    </r>
    <r>
      <rPr>
        <sz val="11"/>
        <rFont val="Arial"/>
        <family val="2"/>
      </rPr>
      <t xml:space="preserve">overview sheet </t>
    </r>
    <r>
      <rPr>
        <sz val="11"/>
        <rFont val="Arial"/>
        <family val="2"/>
      </rPr>
      <t>and follows the standard order of ESA95. It groups information in 4 economic sectors</t>
    </r>
  </si>
  <si>
    <t xml:space="preserve">   Taxes on production and imports (D.2r = D.21r+D.29r)</t>
  </si>
  <si>
    <t xml:space="preserve">   Current taxes on income and wealth (D.5r)  </t>
  </si>
  <si>
    <t>Gross operating surplus (B.2g) / Mixed income (implicit)</t>
  </si>
  <si>
    <t>Interest paid (D.41p)</t>
  </si>
  <si>
    <t>Previous year prices series</t>
  </si>
  <si>
    <t>D.3p (GVT)</t>
  </si>
  <si>
    <t>D.62p (GVT)</t>
  </si>
  <si>
    <t>D.91r (GVT)</t>
  </si>
  <si>
    <t>D.1p (GVT)</t>
  </si>
  <si>
    <t>D.9p</t>
  </si>
  <si>
    <t>P.51 (GVT)</t>
  </si>
  <si>
    <t>D.41p (GVT - EDP)</t>
  </si>
  <si>
    <t>UG</t>
  </si>
  <si>
    <t>YHGrVadd</t>
  </si>
  <si>
    <t>UH</t>
  </si>
  <si>
    <t>$HTaxOth</t>
  </si>
  <si>
    <t>Comment: differences are usually the result of seasonal or working day adjustments in the quarterly pattern.</t>
  </si>
  <si>
    <t xml:space="preserve"> External file NOMM  (ECFIN A-4 database)</t>
  </si>
  <si>
    <t xml:space="preserve"> External file LONGM  (ECFIN A-4 database)</t>
  </si>
  <si>
    <t xml:space="preserve"> L45:L10</t>
  </si>
  <si>
    <t xml:space="preserve"> External file GDPGAP (ECFIN A-4 database, source : Ameco)</t>
  </si>
  <si>
    <t xml:space="preserve"> L59</t>
  </si>
  <si>
    <t>Impact of discretionary measures on revenue</t>
  </si>
  <si>
    <t>Current revenue</t>
  </si>
  <si>
    <t>Capital transfers received</t>
  </si>
  <si>
    <t>Impact of discretionary measures on expenditure</t>
  </si>
  <si>
    <t>Current expenditure</t>
  </si>
  <si>
    <t>Capital expenditure (GFCF and other)</t>
  </si>
  <si>
    <t>DISCRETIONARY MEASURES CURRENT EXPENDITURE</t>
  </si>
  <si>
    <t xml:space="preserve"> ((L87+89+90+91+94+100+101+105+106) - (L92+93+95+96+97+102+103+107+108+109+110)) : L47</t>
  </si>
  <si>
    <t>Taxes on production and imports (Indirect taxes)</t>
  </si>
  <si>
    <t xml:space="preserve"> (L100+L101-L102-L103) + L105 + L106 - L107 - L108</t>
  </si>
  <si>
    <t xml:space="preserve"> Table-line 10 : L47</t>
  </si>
  <si>
    <t xml:space="preserve"> L109</t>
  </si>
  <si>
    <t>LT_</t>
  </si>
  <si>
    <r>
      <t>Sectors1</t>
    </r>
    <r>
      <rPr>
        <sz val="11"/>
        <rFont val="Arial"/>
        <family val="2"/>
      </rPr>
      <t xml:space="preserve"> is used to forecast variables on a sectoral basis. It contains </t>
    </r>
    <r>
      <rPr>
        <b/>
        <sz val="11"/>
        <rFont val="Arial"/>
        <family val="2"/>
      </rPr>
      <t>one column per year</t>
    </r>
    <r>
      <rPr>
        <sz val="11"/>
        <rFont val="Arial"/>
        <family val="2"/>
      </rPr>
      <t xml:space="preserve">. </t>
    </r>
  </si>
  <si>
    <t>Processed food (incl. Alcohol and tobacco)</t>
  </si>
  <si>
    <t>Unprocessed food</t>
  </si>
  <si>
    <t>Services</t>
  </si>
  <si>
    <t>Index</t>
  </si>
  <si>
    <t>HICP Index services</t>
  </si>
  <si>
    <t xml:space="preserve">   6. Domestic demand (incl. inventories) (4+5)</t>
  </si>
  <si>
    <t xml:space="preserve">   8. Balance of primary incomes and current Transfers</t>
  </si>
  <si>
    <t xml:space="preserve">  9. Imports of goods and services </t>
  </si>
  <si>
    <t xml:space="preserve">  9a.  - of which, goods</t>
  </si>
  <si>
    <t xml:space="preserve">   3. euro (1 EUR = )</t>
  </si>
  <si>
    <t>Columns F and following will be filled automatically. The sheet can hold data till 2020.</t>
  </si>
  <si>
    <t xml:space="preserve">  8c. p.m. 8 as % of GDP</t>
  </si>
  <si>
    <t xml:space="preserve">  9a. p.m. 9 as % of GDP</t>
  </si>
  <si>
    <t xml:space="preserve">  10. Net capital transactions</t>
  </si>
  <si>
    <t xml:space="preserve">   6a. p.m. 6 as % of GDP</t>
  </si>
  <si>
    <t xml:space="preserve">   7a. p.m. 7 as % of GDP</t>
  </si>
  <si>
    <t xml:space="preserve">   4. Short-term interest rate</t>
  </si>
  <si>
    <t xml:space="preserve">   5. Long-term interest rate</t>
  </si>
  <si>
    <r>
      <t xml:space="preserve">This is a technical feature that should not be used lightly: people from Ameco </t>
    </r>
    <r>
      <rPr>
        <b/>
        <sz val="11"/>
        <color indexed="10"/>
        <rFont val="Arial"/>
        <family val="2"/>
      </rPr>
      <t>DO NOT LIKE IT AT ALL</t>
    </r>
    <r>
      <rPr>
        <sz val="11"/>
        <rFont val="Arial"/>
        <family val="2"/>
      </rPr>
      <t>!!!</t>
    </r>
  </si>
  <si>
    <t>HH OTHER NON-LABOUR INCOME (NET)</t>
  </si>
  <si>
    <t>YHProp</t>
  </si>
  <si>
    <t>HH CURRENT TRANSFERS RECEIVED</t>
  </si>
  <si>
    <t>YHT</t>
  </si>
  <si>
    <t xml:space="preserve">   Labour productivity and unit labour cost</t>
  </si>
  <si>
    <t>Values as percent of HH disposable income</t>
  </si>
  <si>
    <t>Discrepancies due to calendar effects</t>
  </si>
  <si>
    <t>GG CONSUMPTION OF FIXED CAPITAL</t>
  </si>
  <si>
    <t xml:space="preserve"> L91</t>
  </si>
  <si>
    <t xml:space="preserve"> L93</t>
  </si>
  <si>
    <t>Real total compensation per employee (GDP deflator)</t>
  </si>
  <si>
    <t xml:space="preserve">  26. One-off measures (total)</t>
  </si>
  <si>
    <t>Gross domestic product at market prices</t>
  </si>
  <si>
    <t>Private consumption expenditure</t>
  </si>
  <si>
    <t>Government consumption expenditure</t>
  </si>
  <si>
    <t>Changes in inventories / valuables (P.52+P.53)</t>
  </si>
  <si>
    <t>Household consumption (current prices)</t>
  </si>
  <si>
    <t>Government consumption (current prices)</t>
  </si>
  <si>
    <t>Investment by type of asset (current prices)</t>
  </si>
  <si>
    <t>Investment by sector (current prices)</t>
  </si>
  <si>
    <t>DISCRETIONARY MEASURES CURRENT REVENUE</t>
  </si>
  <si>
    <t>DISCRETIONARY MEASURES CAPITAL EXPENDITURE</t>
  </si>
  <si>
    <t>DISCRETIONARY MEASURES CAPITAL TRANSFERS RECEIVED</t>
  </si>
  <si>
    <r>
      <t xml:space="preserve">Note: A positive sign means that expenditure </t>
    </r>
    <r>
      <rPr>
        <b/>
        <u/>
        <sz val="10"/>
        <color indexed="10"/>
        <rFont val="Arial"/>
        <family val="2"/>
      </rPr>
      <t>decreases</t>
    </r>
    <r>
      <rPr>
        <b/>
        <sz val="10"/>
        <color indexed="10"/>
        <rFont val="Arial"/>
        <family val="2"/>
      </rPr>
      <t xml:space="preserve">. Total amount, in national currency. </t>
    </r>
  </si>
  <si>
    <t xml:space="preserve">Note: A positive sign means that revenue increases. Total amount, in national currency. </t>
  </si>
  <si>
    <t>Implicit interest rates</t>
  </si>
  <si>
    <t>$AInt / $Debt(t-1)</t>
  </si>
  <si>
    <t xml:space="preserve">  L37</t>
  </si>
  <si>
    <t xml:space="preserve"> Table-line 11 : L47</t>
  </si>
  <si>
    <t xml:space="preserve"> Table-line 9 : L47</t>
  </si>
  <si>
    <t>Productivity and unit labour cost</t>
  </si>
  <si>
    <t>Unit labour cost</t>
  </si>
  <si>
    <t>Unit labour productivity</t>
  </si>
  <si>
    <t>ULCost</t>
  </si>
  <si>
    <t>YWAvDPu x LEmpDPu</t>
  </si>
  <si>
    <t>YWAvDPr x LempDpr</t>
  </si>
  <si>
    <t>YWAvRow x LEmpRow</t>
  </si>
  <si>
    <r>
      <t xml:space="preserve">Statistical discrepancy </t>
    </r>
    <r>
      <rPr>
        <b/>
        <sz val="10"/>
        <color indexed="10"/>
        <rFont val="Arial"/>
        <family val="2"/>
      </rPr>
      <t>(read comment)</t>
    </r>
  </si>
  <si>
    <t>Adjustment for change in net equity of pension fund reserves (D.8)</t>
  </si>
  <si>
    <t>Employer's social contr. / employee (national)</t>
  </si>
  <si>
    <t>Wages &amp; salaries (values)</t>
  </si>
  <si>
    <t>Wages &amp; salaries (private)</t>
  </si>
  <si>
    <t>Wages &amp; salaries (public)</t>
  </si>
  <si>
    <t>Wages &amp; salaries (domestic)</t>
  </si>
  <si>
    <t>Wages &amp; salaries (frontier workers)</t>
  </si>
  <si>
    <t>Wages &amp; salaries (national)</t>
  </si>
  <si>
    <t xml:space="preserve"> Levels as % of GDP</t>
  </si>
  <si>
    <t xml:space="preserve"> 19. Current external balance</t>
  </si>
  <si>
    <t>VOL. G.F.C.F. CONSTRUCTION</t>
  </si>
  <si>
    <t>VICst</t>
  </si>
  <si>
    <t>VOL. G.F.C.F. EQUIPMENT</t>
  </si>
  <si>
    <t>VOL. G.F.C.F. OTHER</t>
  </si>
  <si>
    <t xml:space="preserve"> L113+L114+L115+L117+L125+L143</t>
  </si>
  <si>
    <t xml:space="preserve"> L120+L121+L122+L123+L124+L126+L127+L145+L146</t>
  </si>
  <si>
    <t>Growth rates</t>
  </si>
  <si>
    <r>
      <t>PLEASE MAKE SURE THAT THE DATA_P.XLS FILE IS IN THE SAME FOLDER AS THIS FORECAST SHEET!</t>
    </r>
    <r>
      <rPr>
        <b/>
        <sz val="10"/>
        <rFont val="Arial"/>
        <family val="2"/>
      </rPr>
      <t xml:space="preserve"> </t>
    </r>
    <r>
      <rPr>
        <b/>
        <u/>
        <sz val="10"/>
        <rFont val="Arial"/>
        <family val="2"/>
      </rPr>
      <t>Instruction</t>
    </r>
    <r>
      <rPr>
        <b/>
        <sz val="10"/>
        <rFont val="Arial"/>
        <family val="2"/>
      </rPr>
      <t>: To create a link to data_p, enter the data_p sheetname (e.g. UG) in column D and the data_p row number in column E. Columns F - AF will be filled automatically.</t>
    </r>
    <r>
      <rPr>
        <b/>
        <sz val="10"/>
        <color indexed="10"/>
        <rFont val="Arial"/>
        <family val="2"/>
      </rPr>
      <t xml:space="preserve"> </t>
    </r>
  </si>
  <si>
    <t>Employer's social contr. (frontier workers)</t>
  </si>
  <si>
    <t>Employer's social contr. (national)</t>
  </si>
  <si>
    <t>YWD</t>
  </si>
  <si>
    <t>ETSocAvDPr</t>
  </si>
  <si>
    <t>ETSocAvDPu</t>
  </si>
  <si>
    <t>ETSocAvD</t>
  </si>
  <si>
    <t>ETSocAvRow</t>
  </si>
  <si>
    <t>ETSocAv</t>
  </si>
  <si>
    <t>ETSocAvDPr x LempDpr</t>
  </si>
  <si>
    <t>ETSocAvDPu x LEmpDPu</t>
  </si>
  <si>
    <t>Gross saving (B.8g)</t>
  </si>
  <si>
    <t>Capital transfers (net) (D.9)</t>
  </si>
  <si>
    <t xml:space="preserve">   9a.  - of which goods</t>
  </si>
  <si>
    <t>P71</t>
  </si>
  <si>
    <t>P72</t>
  </si>
  <si>
    <t>B1*g</t>
  </si>
  <si>
    <t xml:space="preserve">TAX RATE DIRECT TAXES PAST 4-Y AVG (col 1) </t>
  </si>
  <si>
    <t>TAX RATE SOCIAL CONTR. PAST 4-Y AVG (col 1)</t>
  </si>
  <si>
    <t>TAX ELASTICITY OECD INDIRECT TAXES (col 1)</t>
  </si>
  <si>
    <t>VXG</t>
  </si>
  <si>
    <t>TAX ELASTICITY OECD DIRECT TAXES (col 1)</t>
  </si>
  <si>
    <t>GVT: Imputed social contributions (D.612r)</t>
  </si>
  <si>
    <t>Social benefits (D.62r)</t>
  </si>
  <si>
    <t>Other current transfers (D.7r)</t>
  </si>
  <si>
    <t>Total revenue</t>
  </si>
  <si>
    <t>Current taxes on income and wealth (D.5p)</t>
  </si>
  <si>
    <t>Social contributions (D.61p)</t>
  </si>
  <si>
    <t>Social benefits (D.62p)</t>
  </si>
  <si>
    <t>Other current transfers (D.7p)</t>
  </si>
  <si>
    <t xml:space="preserve">   1. Ex ante elasticity with respect to private consumption</t>
  </si>
  <si>
    <t>Final domestic demand</t>
  </si>
  <si>
    <t>in columns A and B means that the variable comes from row 11 in the input sheet and goes to row 23 of the transfer matrix.</t>
  </si>
  <si>
    <t xml:space="preserve"> From line 18 onwards : % GDP instead of % change in every second column. Value divided by L47 (current GDP)</t>
  </si>
  <si>
    <t>Primary ext. deficit</t>
  </si>
  <si>
    <t xml:space="preserve">  o/w rate of return</t>
  </si>
  <si>
    <t xml:space="preserve">  o/w ER changes</t>
  </si>
  <si>
    <t>Total identified</t>
  </si>
  <si>
    <t>Stock-flow residual</t>
  </si>
  <si>
    <t>Change in net liab.</t>
  </si>
  <si>
    <t>G.</t>
  </si>
  <si>
    <t xml:space="preserve"> 15a. - of which, gross wages and salaries</t>
  </si>
  <si>
    <t xml:space="preserve"> 15b. - of which, employers' social contributions</t>
  </si>
  <si>
    <t xml:space="preserve"> 16. Gross operating surplus/mixed income</t>
  </si>
  <si>
    <r>
      <t xml:space="preserve">Information is </t>
    </r>
    <r>
      <rPr>
        <b/>
        <sz val="11"/>
        <rFont val="Arial"/>
        <family val="2"/>
      </rPr>
      <t>grouped by type of variable</t>
    </r>
    <r>
      <rPr>
        <sz val="11"/>
        <rFont val="Arial"/>
        <family val="2"/>
      </rPr>
      <t xml:space="preserve">, to ensure that aggregates are equal to the sum of the components. </t>
    </r>
  </si>
  <si>
    <r>
      <t xml:space="preserve">In the </t>
    </r>
    <r>
      <rPr>
        <b/>
        <sz val="11"/>
        <rFont val="Arial"/>
        <family val="2"/>
      </rPr>
      <t>Autumn forecast</t>
    </r>
    <r>
      <rPr>
        <sz val="11"/>
        <rFont val="Arial"/>
        <family val="2"/>
      </rPr>
      <t xml:space="preserve"> of year t, an </t>
    </r>
    <r>
      <rPr>
        <b/>
        <sz val="11"/>
        <rFont val="Arial"/>
        <family val="2"/>
      </rPr>
      <t>additional forecast year</t>
    </r>
    <r>
      <rPr>
        <sz val="11"/>
        <rFont val="Arial"/>
        <family val="2"/>
      </rPr>
      <t xml:space="preserve"> is added: t, t+1 and</t>
    </r>
    <r>
      <rPr>
        <b/>
        <sz val="11"/>
        <rFont val="Arial"/>
        <family val="2"/>
      </rPr>
      <t xml:space="preserve"> t+2.</t>
    </r>
  </si>
  <si>
    <t>Exports of goods and services (P.6)</t>
  </si>
  <si>
    <t>Final demand</t>
  </si>
  <si>
    <t>Final consumption expenditure</t>
  </si>
  <si>
    <t xml:space="preserve">   2a.  - of which, paid by households and NPISH</t>
  </si>
  <si>
    <r>
      <t xml:space="preserve">There are </t>
    </r>
    <r>
      <rPr>
        <b/>
        <sz val="11"/>
        <rFont val="Arial"/>
        <family val="2"/>
      </rPr>
      <t xml:space="preserve">two input sheets </t>
    </r>
    <r>
      <rPr>
        <sz val="11"/>
        <rFont val="Arial"/>
        <family val="2"/>
      </rPr>
      <t>for historical data; one for annual data and one for quarterly data.</t>
    </r>
  </si>
  <si>
    <r>
      <t xml:space="preserve">In principle, data_p has the same </t>
    </r>
    <r>
      <rPr>
        <b/>
        <sz val="11"/>
        <rFont val="Arial"/>
        <family val="2"/>
      </rPr>
      <t>structure</t>
    </r>
    <r>
      <rPr>
        <sz val="11"/>
        <rFont val="Arial"/>
        <family val="2"/>
      </rPr>
      <t xml:space="preserve"> for all countries.</t>
    </r>
  </si>
  <si>
    <r>
      <t>Capital transfers (</t>
    </r>
    <r>
      <rPr>
        <b/>
        <sz val="10"/>
        <color indexed="10"/>
        <rFont val="Arial"/>
        <family val="2"/>
      </rPr>
      <t>received - paid</t>
    </r>
    <r>
      <rPr>
        <sz val="10"/>
        <rFont val="Arial"/>
        <family val="2"/>
      </rPr>
      <t>) (D.9)</t>
    </r>
  </si>
  <si>
    <t>D.8p (GVT)</t>
  </si>
  <si>
    <t>RowChEqPenR</t>
  </si>
  <si>
    <t>Taxes on production and imports (D.2r) - Elasticities table 10a</t>
  </si>
  <si>
    <t>D3</t>
  </si>
  <si>
    <t>D9</t>
  </si>
  <si>
    <t xml:space="preserve"> L125</t>
  </si>
  <si>
    <t xml:space="preserve"> L127</t>
  </si>
  <si>
    <t>% of GDP</t>
  </si>
  <si>
    <t>Gross value added (B.1g-D.21+D.31)</t>
  </si>
  <si>
    <t>Other taxes on production (D.29p)</t>
  </si>
  <si>
    <t>Other subsidies on production (D.39r)</t>
  </si>
  <si>
    <t>Compensation of employees (D.1p)</t>
  </si>
  <si>
    <t>Gross operating surplus (B.2g) / mixed income (B.3g)</t>
  </si>
  <si>
    <t>Compensation of employees (D.1r)</t>
  </si>
  <si>
    <t>HH: Wages and salaries (D.11r)</t>
  </si>
  <si>
    <t>HH: Employer's social contributions (D.12r)</t>
  </si>
  <si>
    <t>Taxes on production and imports (D.2r = D.21r+D.29r)</t>
  </si>
  <si>
    <t>Short instructions:</t>
  </si>
  <si>
    <t xml:space="preserve">   2. Imports of goods (fob) </t>
  </si>
  <si>
    <t>Values</t>
  </si>
  <si>
    <t>!!!</t>
  </si>
  <si>
    <r>
      <t xml:space="preserve">Above all: </t>
    </r>
    <r>
      <rPr>
        <b/>
        <sz val="11"/>
        <color indexed="10"/>
        <rFont val="Arial"/>
        <family val="2"/>
      </rPr>
      <t>DO NOT INSERT OR DELETE COLUMNS (NEVER, NEVER, NEVER !!!)</t>
    </r>
    <r>
      <rPr>
        <sz val="11"/>
        <rFont val="Arial"/>
        <family val="2"/>
      </rPr>
      <t xml:space="preserve">. </t>
    </r>
  </si>
  <si>
    <t xml:space="preserve">   2. Apparent elasticity of forecast</t>
  </si>
  <si>
    <t xml:space="preserve">   3. Past average tax rate</t>
  </si>
  <si>
    <t xml:space="preserve">   4. Average tax rate of forecast (in percent)</t>
  </si>
  <si>
    <t xml:space="preserve">   5. Other factors including discretionary measures implied by forecast (% GDP)</t>
  </si>
  <si>
    <t xml:space="preserve"> L43-L45                                                                    </t>
  </si>
  <si>
    <t xml:space="preserve">   3a. p.m. (3) as % of GDP</t>
  </si>
  <si>
    <t>B11</t>
  </si>
  <si>
    <t>Table 2</t>
  </si>
  <si>
    <t>I</t>
  </si>
  <si>
    <t>II</t>
  </si>
  <si>
    <t>III</t>
  </si>
  <si>
    <t>IV</t>
  </si>
  <si>
    <t>Harmonized consumer price index</t>
  </si>
  <si>
    <t>INCOME AND EXPENDITURE OF CORPORATIONS (S11+S12)</t>
  </si>
  <si>
    <t>code</t>
  </si>
  <si>
    <t xml:space="preserve">   12. Balance of primary income with rest of the world</t>
  </si>
  <si>
    <t>B5</t>
  </si>
  <si>
    <t xml:space="preserve"> L140</t>
  </si>
  <si>
    <t>B5*g</t>
  </si>
  <si>
    <t xml:space="preserve"> L47+L140</t>
  </si>
  <si>
    <t>D1</t>
  </si>
  <si>
    <t>B2g+B3g</t>
  </si>
  <si>
    <t>PIny</t>
  </si>
  <si>
    <t>PXS</t>
  </si>
  <si>
    <t>PXG</t>
  </si>
  <si>
    <t>PXFob</t>
  </si>
  <si>
    <t xml:space="preserve">  2. Government consumption expenditure</t>
  </si>
  <si>
    <t xml:space="preserve">  3. Gross fixed capital formation</t>
  </si>
  <si>
    <t>For the first forecast year, it often happens that you have historical data for some variables (but not for all).</t>
  </si>
  <si>
    <t xml:space="preserve">   4. Sales and other current revenue</t>
  </si>
  <si>
    <t>HICP Index non-energy industrial goods</t>
  </si>
  <si>
    <t>Weights</t>
  </si>
  <si>
    <t>Contributions</t>
  </si>
  <si>
    <t>Corresponding annual index</t>
  </si>
  <si>
    <t>Corresponding annual growth rate</t>
  </si>
  <si>
    <t>HICP Non-energy industrial goods - weight</t>
  </si>
  <si>
    <t>HICP Energy - weight</t>
  </si>
  <si>
    <t>HICP Unprocessed food - weight</t>
  </si>
  <si>
    <t>HICP Processed food incl. alcohol and tobacco - weight</t>
  </si>
  <si>
    <t>HICP Services - weight</t>
  </si>
  <si>
    <t xml:space="preserve">   9. Social transfers other than in kind</t>
  </si>
  <si>
    <t>D.61r (EXT)</t>
  </si>
  <si>
    <t>D.62r (EXT)</t>
  </si>
  <si>
    <t>D.7r (EXT)</t>
  </si>
  <si>
    <t>D.5p (EXT)</t>
  </si>
  <si>
    <t>D.61p (EXT)</t>
  </si>
  <si>
    <t>D.62p (EXT)</t>
  </si>
  <si>
    <t>D.7p (EXT)</t>
  </si>
  <si>
    <t>K.2 (EXT)</t>
  </si>
  <si>
    <t>$MG</t>
  </si>
  <si>
    <t>HH CURRENT TAXES ON INCOME AND WEALTH</t>
  </si>
  <si>
    <t>$HTaxDir</t>
  </si>
  <si>
    <t>HH CURRENT TRANSFERS PAID</t>
  </si>
  <si>
    <t>$HT</t>
  </si>
  <si>
    <t>HH CHANGE IN NET EQUITY IN PENSION FUNDS</t>
  </si>
  <si>
    <t>HH FINAL CONSUMPTION EXPENDITURE</t>
  </si>
  <si>
    <t>Dwellings</t>
  </si>
  <si>
    <t>Construction</t>
  </si>
  <si>
    <t>Equipment</t>
  </si>
  <si>
    <t>Others</t>
  </si>
  <si>
    <t>HH+E</t>
  </si>
  <si>
    <t>==</t>
  </si>
  <si>
    <t>Changes in inventories / valuables (P.51+P.52)</t>
  </si>
  <si>
    <t>Exports of services (P.62)</t>
  </si>
  <si>
    <t>Exports of goods (P.61)</t>
  </si>
  <si>
    <t>Exports (P.6)</t>
  </si>
  <si>
    <t>Imports of services (P.72)</t>
  </si>
  <si>
    <t>Imports of goods (P.71)</t>
  </si>
  <si>
    <t>Imports of goods and services (P.7)</t>
  </si>
  <si>
    <t xml:space="preserve">  15. Capital Transfers, received</t>
  </si>
  <si>
    <t xml:space="preserve">  16. Gross fixed capital formation</t>
  </si>
  <si>
    <t xml:space="preserve">  17. Other capital expenditure</t>
  </si>
  <si>
    <t xml:space="preserve">  14a. p.m. as % of GDP</t>
  </si>
  <si>
    <t xml:space="preserve">  20. Net lending (+) / net borrowing (-) (18-19)</t>
  </si>
  <si>
    <t>GVT: Actual social contributions (D.611r)</t>
  </si>
  <si>
    <t>EYDisp</t>
  </si>
  <si>
    <t>YADisp</t>
  </si>
  <si>
    <t>ERR</t>
  </si>
  <si>
    <t>Hsav</t>
  </si>
  <si>
    <t>Esav</t>
  </si>
  <si>
    <t>Asav</t>
  </si>
  <si>
    <t>*97</t>
  </si>
  <si>
    <t>(This description may seem somewhat long, but in practice most procedures will only take a couple of seconds for an experienced user)</t>
  </si>
  <si>
    <t xml:space="preserve">VOL. Imports of goods and services </t>
  </si>
  <si>
    <t>VAL. GFCF in other domestic sectors</t>
  </si>
  <si>
    <t>AGG. GFCF in other domestic sectors</t>
  </si>
  <si>
    <t>In sheets VVP2, Labour1 and Sector1: select the last column and copy it to the right.</t>
  </si>
  <si>
    <t>In sheet Quart1: select the last block of 4 columns and copy it to the right.</t>
  </si>
  <si>
    <t>In sheet VVP1: select the last block of 5 columns and copy it to the right.</t>
  </si>
  <si>
    <t>Capital taxes (D.91r)</t>
  </si>
  <si>
    <t>RoWTCapN</t>
  </si>
  <si>
    <t>Acquisition less disposal of non-fin. non-prod. assets (K.2)</t>
  </si>
  <si>
    <t>Capital transfers (D.9r)</t>
  </si>
  <si>
    <t xml:space="preserve"> L149</t>
  </si>
  <si>
    <t xml:space="preserve"> L147+L149</t>
  </si>
  <si>
    <t xml:space="preserve"> L150</t>
  </si>
  <si>
    <t>(in the example: only select the part of the column covering HICP).</t>
  </si>
  <si>
    <r>
      <t>VVP2</t>
    </r>
    <r>
      <rPr>
        <sz val="11"/>
        <rFont val="Arial"/>
        <family val="2"/>
      </rPr>
      <t xml:space="preserve"> has only </t>
    </r>
    <r>
      <rPr>
        <b/>
        <sz val="11"/>
        <rFont val="Arial"/>
        <family val="2"/>
      </rPr>
      <t>one column for each year</t>
    </r>
    <r>
      <rPr>
        <sz val="11"/>
        <rFont val="Arial"/>
        <family val="2"/>
      </rPr>
      <t>.</t>
    </r>
  </si>
  <si>
    <t>Non-residential construction</t>
  </si>
  <si>
    <r>
      <t xml:space="preserve">% vol </t>
    </r>
    <r>
      <rPr>
        <b/>
        <sz val="10"/>
        <color indexed="9"/>
        <rFont val="Symbol"/>
        <family val="1"/>
        <charset val="2"/>
      </rPr>
      <t>D</t>
    </r>
  </si>
  <si>
    <t>Unless better / earlier data are available from an alternative source, these Ameco figures can be copied directly in data_p.</t>
  </si>
  <si>
    <t>Subsidies (D.3p = D.31p+D.39p)</t>
  </si>
  <si>
    <t>Property income (net) (D.4)</t>
  </si>
  <si>
    <t>GVT: Interest paid (D.41p)</t>
  </si>
  <si>
    <t>Balance of primary income (gross) / Gross national income (B.5g)</t>
  </si>
  <si>
    <t>VAL. GROSS DOMESTIC PRODUCT</t>
  </si>
  <si>
    <t>TAXES ON PRODUCTS</t>
  </si>
  <si>
    <t>YATaxProd</t>
  </si>
  <si>
    <t>SUBSIDIES ON PRODUCTS</t>
  </si>
  <si>
    <t>Total imports of goods</t>
  </si>
  <si>
    <t>Gross domestic product (B.1g - current prices)</t>
  </si>
  <si>
    <t>Before you start making a forecast, some preparations need to be made:</t>
  </si>
  <si>
    <r>
      <t xml:space="preserve">1. </t>
    </r>
    <r>
      <rPr>
        <b/>
        <sz val="11"/>
        <rFont val="Arial"/>
        <family val="2"/>
      </rPr>
      <t>Update data_p</t>
    </r>
    <r>
      <rPr>
        <sz val="11"/>
        <rFont val="Arial"/>
        <family val="2"/>
      </rPr>
      <t xml:space="preserve"> with the latest available historical data</t>
    </r>
  </si>
  <si>
    <t xml:space="preserve">  10a. p.m. 10 as % of GDP</t>
  </si>
  <si>
    <t>Y</t>
  </si>
  <si>
    <t xml:space="preserve">  21. Net lending/borrowing for EDP purposes</t>
  </si>
  <si>
    <t>Elasticity of domestic employment w.r.t. GDP growth</t>
  </si>
  <si>
    <t>Employer's social contr. / employee (values in 1000 euro)</t>
  </si>
  <si>
    <t>Wages &amp; salaries</t>
  </si>
  <si>
    <t xml:space="preserve"> ((L87+L89+L90+L91-L92-L93) + L94) : (L36:L1)    L36:L1 = private consumption deflator</t>
  </si>
  <si>
    <t xml:space="preserve"> L95</t>
  </si>
  <si>
    <t>Wages &amp; salaries / employee (national)</t>
  </si>
  <si>
    <t>YWAvDPr</t>
  </si>
  <si>
    <t>YWAvDPu</t>
  </si>
  <si>
    <t>YWAvD</t>
  </si>
  <si>
    <t>YWAvRow</t>
  </si>
  <si>
    <t>YWAv</t>
  </si>
  <si>
    <r>
      <t xml:space="preserve">For each year there is a </t>
    </r>
    <r>
      <rPr>
        <b/>
        <sz val="11"/>
        <rFont val="Arial"/>
        <family val="2"/>
      </rPr>
      <t>consistency check</t>
    </r>
    <r>
      <rPr>
        <sz val="11"/>
        <rFont val="Arial"/>
        <family val="2"/>
      </rPr>
      <t>, which makes sure that:</t>
    </r>
  </si>
  <si>
    <t>$AICstNonR</t>
  </si>
  <si>
    <t>$PrvICstNonR</t>
  </si>
  <si>
    <t>$ICstNonR</t>
  </si>
  <si>
    <t>$ICstR</t>
  </si>
  <si>
    <t>Exports (constant prices)</t>
  </si>
  <si>
    <t>TAX ELASTICITY OECD SOCIAL CONTR. (col 1)</t>
  </si>
  <si>
    <t>VMG</t>
  </si>
  <si>
    <t>$XG</t>
  </si>
  <si>
    <r>
      <t xml:space="preserve">Normally, in the </t>
    </r>
    <r>
      <rPr>
        <b/>
        <sz val="11"/>
        <rFont val="Arial"/>
        <family val="2"/>
      </rPr>
      <t>Spring forecast</t>
    </r>
    <r>
      <rPr>
        <sz val="11"/>
        <rFont val="Arial"/>
        <family val="2"/>
      </rPr>
      <t xml:space="preserve"> of year t, columns should be available for t-1 (which is estimated), t and t+1 (forecasted).</t>
    </r>
  </si>
  <si>
    <r>
      <t xml:space="preserve">The sheet </t>
    </r>
    <r>
      <rPr>
        <b/>
        <sz val="11"/>
        <rFont val="Arial"/>
        <family val="2"/>
      </rPr>
      <t>Tables</t>
    </r>
    <r>
      <rPr>
        <sz val="11"/>
        <rFont val="Arial"/>
        <family val="2"/>
      </rPr>
      <t xml:space="preserve"> gives the main tables that will be produced centrally after a storage.</t>
    </r>
  </si>
  <si>
    <r>
      <t xml:space="preserve">The </t>
    </r>
    <r>
      <rPr>
        <u/>
        <sz val="11"/>
        <rFont val="Arial"/>
        <family val="2"/>
      </rPr>
      <t>first sheets</t>
    </r>
    <r>
      <rPr>
        <sz val="11"/>
        <rFont val="Arial"/>
        <family val="2"/>
      </rPr>
      <t xml:space="preserve"> of data_p have a structure identical to a file ( XXX-Ameco.xls, where XXX is a country code).</t>
    </r>
  </si>
  <si>
    <t>D.612r (GVT)</t>
  </si>
  <si>
    <t>K.2 (GVT)</t>
  </si>
  <si>
    <t>P.52 + P.53 (GVT)</t>
  </si>
  <si>
    <t>D.9 (EXT)</t>
  </si>
  <si>
    <t>other useful information (% of GDP, elasticities, ...)</t>
  </si>
  <si>
    <t>Tax rate relative to private consumption expenditure</t>
  </si>
  <si>
    <t xml:space="preserve">Current taxes on income and wealth (D.5p) </t>
  </si>
  <si>
    <t>VAL. G.F.C.F. OTHER</t>
  </si>
  <si>
    <t>$IO</t>
  </si>
  <si>
    <t>VAL. CHANGE IN INVENTORIES</t>
  </si>
  <si>
    <t>$Iny</t>
  </si>
  <si>
    <t>VAL. EXPORTS OF GOODS (FOB)</t>
  </si>
  <si>
    <t>VAL. EXPORTS OF SERVICES</t>
  </si>
  <si>
    <t>$XS</t>
  </si>
  <si>
    <t>VAL. IMPORTS OF GOODS (FOB)</t>
  </si>
  <si>
    <t>VAL. IMPORTS OF SERVICES</t>
  </si>
  <si>
    <t>$MS</t>
  </si>
  <si>
    <t>Hint: updating charts is easier if you do it before all the empty values are filled.</t>
  </si>
  <si>
    <t>YATaxIndir + TaxToRow(1)</t>
  </si>
  <si>
    <t>(although somehow, in real life, it may take slightly longer than this box seems to suggest).</t>
  </si>
  <si>
    <t xml:space="preserve"> Special calculation A-4 based on Benchmark activity rates</t>
  </si>
  <si>
    <t xml:space="preserve"> Special calculation A-4 based on Benchmark employment rates</t>
  </si>
  <si>
    <t>Unit: '000 persons</t>
  </si>
  <si>
    <t>ETSocAvRow x LEmpRow</t>
  </si>
  <si>
    <t>Changes in inventories / net acq. of valuables</t>
  </si>
  <si>
    <t>YEGrVadd</t>
  </si>
  <si>
    <t>EChEqPenR</t>
  </si>
  <si>
    <t>YETO</t>
  </si>
  <si>
    <t>$ETO</t>
  </si>
  <si>
    <t>YESoc</t>
  </si>
  <si>
    <t>$ETSoc</t>
  </si>
  <si>
    <t>ENonFinN</t>
  </si>
  <si>
    <t>$EI</t>
  </si>
  <si>
    <t xml:space="preserve">   7. External balance of goods &amp; services (3+6)</t>
  </si>
  <si>
    <t xml:space="preserve">   9. Current external balance (7+8)</t>
  </si>
  <si>
    <t xml:space="preserve">   8. Current taxes on income and wealth</t>
  </si>
  <si>
    <t xml:space="preserve">  15a. p.m. 15 as % of GDP</t>
  </si>
  <si>
    <t xml:space="preserve">  15. Net lending (+) or net borrowing (-) (11-13-14)</t>
  </si>
  <si>
    <t>B9</t>
  </si>
  <si>
    <t>Change in civil servants purchasing power (July - July estimates)</t>
  </si>
  <si>
    <t>However, after that new forecast years will no longer be shown in the charts unless the data range in all charts is updated.</t>
  </si>
  <si>
    <t xml:space="preserve">Changes in inventories and net acquisition of valuables                         </t>
  </si>
  <si>
    <t>in % GDP</t>
  </si>
  <si>
    <t>Change in inventories in % of GDP</t>
  </si>
  <si>
    <t>If necessary ask someone who is more familiar with the system.</t>
  </si>
  <si>
    <r>
      <t xml:space="preserve">5. Updating the </t>
    </r>
    <r>
      <rPr>
        <b/>
        <sz val="11"/>
        <rFont val="Arial"/>
        <family val="2"/>
      </rPr>
      <t>charts.</t>
    </r>
  </si>
  <si>
    <t>====&gt;  ADDITIONAL COUNTRY SPECIFIC DATA SERIES:</t>
  </si>
  <si>
    <t>to 2704</t>
  </si>
  <si>
    <t>Government consumption (constant prices)</t>
  </si>
  <si>
    <t>- sums received are equal to sums paid</t>
  </si>
  <si>
    <t>- the sum of the domestic sectors is equal to the total economy</t>
  </si>
  <si>
    <t>- Government (S.13)</t>
  </si>
  <si>
    <t>GVA[HH] 
= B.2g[HH] + D.29[HH] - D.39[HH] + D.1p[HH]</t>
  </si>
  <si>
    <t>GVA[GVT] 
= B.2g[GVT] + D.29[GVT] - D.39[GVT] + D.1p[GVT]</t>
  </si>
  <si>
    <t xml:space="preserve">   1a.  - of which, gross wages and salaries</t>
  </si>
  <si>
    <t>D11</t>
  </si>
  <si>
    <t>Sheets with green tabs contain charts for illustration.</t>
  </si>
  <si>
    <t>- price growth</t>
  </si>
  <si>
    <t>GG INTERMEDIATE CONSUMPTION</t>
  </si>
  <si>
    <t>D62</t>
  </si>
  <si>
    <t>Investment by type of asset</t>
  </si>
  <si>
    <t>Investment by sector</t>
  </si>
  <si>
    <t>Exports</t>
  </si>
  <si>
    <t>Imports</t>
  </si>
  <si>
    <t>VXFob</t>
  </si>
  <si>
    <t xml:space="preserve">VMCif </t>
  </si>
  <si>
    <t xml:space="preserve">  L37-L120-L144-L145-L146+L143</t>
  </si>
  <si>
    <t xml:space="preserve">  L119</t>
  </si>
  <si>
    <t xml:space="preserve">  L118</t>
  </si>
  <si>
    <t xml:space="preserve"> L137</t>
  </si>
  <si>
    <t xml:space="preserve">   7. Change in net equity in pension funds</t>
  </si>
  <si>
    <t>D8</t>
  </si>
  <si>
    <t xml:space="preserve">   8. Adjusted gross disposable income (6+7)</t>
  </si>
  <si>
    <t>B7g</t>
  </si>
  <si>
    <t xml:space="preserve">   9. Real adjusted gross disposable income</t>
  </si>
  <si>
    <t xml:space="preserve">  10. Final consumption expenditure</t>
  </si>
  <si>
    <t xml:space="preserve">  11. Gross saving (8-10)</t>
  </si>
  <si>
    <t>B8g</t>
  </si>
  <si>
    <t>HSav</t>
  </si>
  <si>
    <t>ESav</t>
  </si>
  <si>
    <t>ASav</t>
  </si>
  <si>
    <t>Sav</t>
  </si>
  <si>
    <t>ELend</t>
  </si>
  <si>
    <t>RoWLend</t>
  </si>
  <si>
    <t>Country uses chain linking (Y / N) ?</t>
  </si>
  <si>
    <t xml:space="preserve">   HICP</t>
  </si>
  <si>
    <t xml:space="preserve"> L89+L90</t>
  </si>
  <si>
    <t xml:space="preserve"> (L36+L37+L38+L42) : (L1+L2+L3+L7)</t>
  </si>
  <si>
    <t xml:space="preserve"> (L43+L44) : (L8+L9)</t>
  </si>
  <si>
    <t xml:space="preserve"> L43:L8</t>
  </si>
  <si>
    <t xml:space="preserve"> L44:L9</t>
  </si>
  <si>
    <t xml:space="preserve"> (L113+L114+L115+L117+L125+L143)-(L120+L121+L122+L123+L124+L126+L127+L145+L146)</t>
  </si>
  <si>
    <t>Balance of goods</t>
  </si>
  <si>
    <t>Balance of goods and services</t>
  </si>
  <si>
    <t>Gross domestic product (B.1g - constant prices)</t>
  </si>
  <si>
    <t>VB</t>
  </si>
  <si>
    <t>to correct formulas</t>
  </si>
  <si>
    <t>Intermediate consumption (P.2)</t>
  </si>
  <si>
    <t>Social transfers in kind via market producers (D.6311+D.63121+D.63122)</t>
  </si>
  <si>
    <t>p.m. as % of total social transfers in kind (D.63 = P.31)</t>
  </si>
  <si>
    <t>K.1</t>
  </si>
  <si>
    <t>P.2</t>
  </si>
  <si>
    <t>P.51 (HH)</t>
  </si>
  <si>
    <t>K.2 (HH)</t>
  </si>
  <si>
    <t>P.52 (HH)</t>
  </si>
  <si>
    <t>D.5p (HH)</t>
  </si>
  <si>
    <t>D.61p (HH)</t>
  </si>
  <si>
    <t>D.62p (HH)</t>
  </si>
  <si>
    <t>D.7p (HH)</t>
  </si>
  <si>
    <t>D.9r (HH)</t>
  </si>
  <si>
    <t>D.9p (HH)</t>
  </si>
  <si>
    <t xml:space="preserve"> 20. Private sector net lending</t>
  </si>
  <si>
    <t>General Government</t>
  </si>
  <si>
    <t xml:space="preserve"> 21. Net lending</t>
  </si>
  <si>
    <t xml:space="preserve"> 22. Cyclically-adjusted primary balance</t>
  </si>
  <si>
    <t xml:space="preserve"> 23. Gross debt</t>
  </si>
  <si>
    <t xml:space="preserve"> L128:L47</t>
  </si>
  <si>
    <t>Table 1</t>
  </si>
  <si>
    <t>GVT: Individual consumption expenditure (P.31)</t>
  </si>
  <si>
    <t>GVT: Collective consumption expenditure (P.32)</t>
  </si>
  <si>
    <t>$AProp</t>
  </si>
  <si>
    <t>TAX RATE INDIRECT TAXES PAST 4-Y AVG (col 1)</t>
  </si>
  <si>
    <t xml:space="preserve">   4. Consumption of fixed capital</t>
  </si>
  <si>
    <t>K1</t>
  </si>
  <si>
    <t>Follow this link to GVT final consumption expenditure</t>
  </si>
  <si>
    <t>Follow this link to GVT final consumption expenditure (P.3)</t>
  </si>
  <si>
    <t>Tax burden as % of GDP</t>
  </si>
  <si>
    <t>Other current resources</t>
  </si>
  <si>
    <t xml:space="preserve">   4. Domestic demand (excl. inventories)</t>
  </si>
  <si>
    <t xml:space="preserve">   6. Domestic demand (incl. inventories)</t>
  </si>
  <si>
    <t xml:space="preserve">   5. Change in inventories + net acquisition of valuables</t>
  </si>
  <si>
    <t xml:space="preserve">       (as % of GDP)</t>
  </si>
  <si>
    <t xml:space="preserve">   5. Change in inventories + net acq. of valuables (% of GDP)</t>
  </si>
  <si>
    <t xml:space="preserve"> 11b. - of which, terms of trade of services</t>
  </si>
  <si>
    <t>PAC</t>
  </si>
  <si>
    <t>PAICstNonR</t>
  </si>
  <si>
    <t>PPr$ICstNonR</t>
  </si>
  <si>
    <t>PICstNonR</t>
  </si>
  <si>
    <t>PICstR</t>
  </si>
  <si>
    <t>PICst</t>
  </si>
  <si>
    <t xml:space="preserve">   Domestic demand (Excl. Inventories)</t>
  </si>
  <si>
    <t xml:space="preserve">   Domestic demand (Incl. Inventories)</t>
  </si>
  <si>
    <t xml:space="preserve">   Exports (P.6)</t>
  </si>
  <si>
    <t xml:space="preserve">   Final demand</t>
  </si>
  <si>
    <t xml:space="preserve">   Imports (P.7)</t>
  </si>
  <si>
    <t xml:space="preserve">   Gross domestic product (B.1g)</t>
  </si>
  <si>
    <t>Net operating surplus</t>
  </si>
  <si>
    <r>
      <t xml:space="preserve">To </t>
    </r>
    <r>
      <rPr>
        <b/>
        <sz val="11"/>
        <rFont val="Arial"/>
        <family val="2"/>
      </rPr>
      <t>make a forecast</t>
    </r>
    <r>
      <rPr>
        <sz val="11"/>
        <rFont val="Arial"/>
        <family val="2"/>
      </rPr>
      <t>, fill the yellow cells, go to the transfer sheet, press the button 'transfer forecast data' and you're done.</t>
    </r>
  </si>
  <si>
    <t xml:space="preserve">   Government consumption expenditure (P.3)</t>
  </si>
  <si>
    <t xml:space="preserve"> L79:L76</t>
  </si>
  <si>
    <t xml:space="preserve"> L78</t>
  </si>
  <si>
    <t xml:space="preserve"> L58:L59</t>
  </si>
  <si>
    <t>ALend</t>
  </si>
  <si>
    <t>AStockflow</t>
  </si>
  <si>
    <t>ADebt [t]</t>
  </si>
  <si>
    <t>ALend (EDP)</t>
  </si>
  <si>
    <t>Tax burden</t>
  </si>
  <si>
    <r>
      <t xml:space="preserve">To </t>
    </r>
    <r>
      <rPr>
        <b/>
        <sz val="11"/>
        <rFont val="Arial"/>
        <family val="2"/>
      </rPr>
      <t xml:space="preserve">add additional years </t>
    </r>
    <r>
      <rPr>
        <sz val="11"/>
        <rFont val="Arial"/>
        <family val="2"/>
      </rPr>
      <t>or change forecast year into historical year, read the somewhat longer instructions (sorry for that).</t>
    </r>
  </si>
  <si>
    <t xml:space="preserve">The growth rates obtained in VVP2 will then be used to determine the volume growth in previous year's prices. </t>
  </si>
  <si>
    <t xml:space="preserve">   3. Social contributions</t>
  </si>
  <si>
    <t>D61</t>
  </si>
  <si>
    <r>
      <t>Quart</t>
    </r>
    <r>
      <rPr>
        <sz val="11"/>
        <rFont val="Arial"/>
        <family val="2"/>
      </rPr>
      <t xml:space="preserve"> contains all variables forecasted on a quarterly basis.</t>
    </r>
  </si>
  <si>
    <r>
      <t>PLEASE MAKE SURE THAT THE DATA_P.XLS FILE IS IN THE SAME FOLDER AS THIS FORECAST SHEET!</t>
    </r>
    <r>
      <rPr>
        <b/>
        <sz val="10"/>
        <rFont val="Arial"/>
        <family val="2"/>
      </rPr>
      <t xml:space="preserve"> </t>
    </r>
    <r>
      <rPr>
        <b/>
        <u/>
        <sz val="10"/>
        <rFont val="Arial"/>
        <family val="2"/>
      </rPr>
      <t>Instruction</t>
    </r>
    <r>
      <rPr>
        <b/>
        <sz val="10"/>
        <rFont val="Arial"/>
        <family val="2"/>
      </rPr>
      <t>: To create a link to data_p, enter the data_p sheetname (e.g. UG) in column D and the data_p row number in column E. Columns F - AF will be filled automatically</t>
    </r>
    <r>
      <rPr>
        <b/>
        <sz val="10"/>
        <color indexed="10"/>
        <rFont val="Arial"/>
        <family val="2"/>
      </rPr>
      <t/>
    </r>
  </si>
  <si>
    <t xml:space="preserve"> L47:L12 (repeat of line 10)</t>
  </si>
  <si>
    <t xml:space="preserve"> L75</t>
  </si>
  <si>
    <r>
      <t xml:space="preserve">2. In the forecast sheet, make sure all sheets have </t>
    </r>
    <r>
      <rPr>
        <b/>
        <sz val="11"/>
        <rFont val="Arial"/>
        <family val="2"/>
      </rPr>
      <t>sufficient forecast columns</t>
    </r>
    <r>
      <rPr>
        <sz val="11"/>
        <rFont val="Arial"/>
        <family val="2"/>
      </rPr>
      <t xml:space="preserve"> to reach the forecast horizon.</t>
    </r>
  </si>
  <si>
    <t>Property income (net - negative means paid) (D.4)</t>
  </si>
  <si>
    <t>UNEMPLOYMENT RATE (Eurostat def, calc by B-5)</t>
  </si>
  <si>
    <t>How to add a forecast year?</t>
  </si>
  <si>
    <t>*124</t>
  </si>
  <si>
    <t>$HTSoc (*)</t>
  </si>
  <si>
    <t>TSocFrRow (*)</t>
  </si>
  <si>
    <t>$ATH</t>
  </si>
  <si>
    <t>YHDisp</t>
  </si>
  <si>
    <r>
      <t>VVP1</t>
    </r>
    <r>
      <rPr>
        <sz val="11"/>
        <rFont val="Arial"/>
        <family val="2"/>
      </rPr>
      <t xml:space="preserve"> contains </t>
    </r>
    <r>
      <rPr>
        <b/>
        <sz val="11"/>
        <rFont val="Arial"/>
        <family val="2"/>
      </rPr>
      <t>five columns for every year</t>
    </r>
    <r>
      <rPr>
        <sz val="11"/>
        <rFont val="Arial"/>
        <family val="2"/>
      </rPr>
      <t>, expressing:</t>
    </r>
  </si>
  <si>
    <t>VOL. IMPORTS OF GOODS (FOB)</t>
  </si>
  <si>
    <t>VOL. IMPORTS OF SERVICES</t>
  </si>
  <si>
    <t>VMS</t>
  </si>
  <si>
    <t>VOL. GROSS DOMESTIC PRODUCT</t>
  </si>
  <si>
    <t>FOR FUTURE USE</t>
  </si>
  <si>
    <t xml:space="preserve"> </t>
  </si>
  <si>
    <t>CompAvRowN</t>
  </si>
  <si>
    <t>YCompAv</t>
  </si>
  <si>
    <t>LEmpPrivD</t>
  </si>
  <si>
    <t>LEmpPublD</t>
  </si>
  <si>
    <t>Wage &amp; salary earners (domestic)</t>
  </si>
  <si>
    <t>Domestic demand (incl. inventories)</t>
  </si>
  <si>
    <t>Overview table</t>
  </si>
  <si>
    <t>HICP Q EXCL. ENERGY AND UNPROCESSED FOOD</t>
  </si>
  <si>
    <t>HICP Q NON-ENERGY INDUSTRIAL GOODS</t>
  </si>
  <si>
    <t>HICP Q ENERGY</t>
  </si>
  <si>
    <t>HICP Q PROCESSED FOOD INCL. ALCOHOL AND TOBACCO</t>
  </si>
  <si>
    <t>VAL. G.F.C.F. EQUIPMENT</t>
  </si>
  <si>
    <t xml:space="preserve"> ((L87+L89+L90+L91-L92-L93) + L94) - L95</t>
  </si>
  <si>
    <t xml:space="preserve"> (((L87+L89+L90+L91-L92-L93) + L94) - L95) : ((L87+L89+L90+L91-L92-L93) + L94)</t>
  </si>
  <si>
    <t xml:space="preserve"> L96</t>
  </si>
  <si>
    <t xml:space="preserve"> L97</t>
  </si>
  <si>
    <t xml:space="preserve"> (((L87+L89+L90+L91-L92-L93) + L94) - L95) - L96 - L97</t>
  </si>
  <si>
    <t xml:space="preserve"> Table-line 15 : L47</t>
  </si>
  <si>
    <t xml:space="preserve"> L76</t>
  </si>
  <si>
    <t xml:space="preserve"> L78+L79</t>
  </si>
  <si>
    <t xml:space="preserve"> (L78+L79) : L76</t>
  </si>
  <si>
    <t xml:space="preserve"> L79</t>
  </si>
  <si>
    <t xml:space="preserve"> L83 or L63 (if L83 is not filled)</t>
  </si>
  <si>
    <t xml:space="preserve"> L79-L83 or L79-L63 (if L83 is not filled)</t>
  </si>
  <si>
    <t>PrvC</t>
  </si>
  <si>
    <t>PYP</t>
  </si>
  <si>
    <t xml:space="preserve"> Special calculation A-4 based on Eurostat unemployment rates</t>
  </si>
  <si>
    <t>MAN. WAGE AND SALARY EARNERS F.T.E.</t>
  </si>
  <si>
    <t>TOTAL POPULATION</t>
  </si>
  <si>
    <t>GG OTHER CURRENT EXPENDITURE</t>
  </si>
  <si>
    <t>Be careful: you should normally use previous year prices if the country uses chain linking, and constant prices otherwise.</t>
  </si>
  <si>
    <t>D.7p (E)</t>
  </si>
  <si>
    <t>D.61r (E)</t>
  </si>
  <si>
    <t>D.62p (E)</t>
  </si>
  <si>
    <t>Individual consumption expenditure (P.31)</t>
  </si>
  <si>
    <t>Collective consumption expenditure (P.32)</t>
  </si>
  <si>
    <t>Pi6(5)</t>
  </si>
  <si>
    <t xml:space="preserve"> (L147+L149) - (L150-L152)</t>
  </si>
  <si>
    <t xml:space="preserve"> L58</t>
  </si>
  <si>
    <t xml:space="preserve"> L60</t>
  </si>
  <si>
    <t xml:space="preserve"> L58:L60</t>
  </si>
  <si>
    <t xml:space="preserve"> L61:L64</t>
  </si>
  <si>
    <t xml:space="preserve"> L62:L64</t>
  </si>
  <si>
    <t xml:space="preserve"> (L61-L62) : L64</t>
  </si>
  <si>
    <t xml:space="preserve"> (L61:L64) : (L58:L60)</t>
  </si>
  <si>
    <t>NET CAPITAL TRANSACTIONS (RECEIV - PAYED)</t>
  </si>
  <si>
    <t>It is selected from the stored transfer matrices</t>
  </si>
  <si>
    <t>by selecting an option in the Tables sheet</t>
  </si>
  <si>
    <t>Difference matrix</t>
  </si>
  <si>
    <t>2006Q1</t>
  </si>
  <si>
    <t>2006Q2</t>
  </si>
  <si>
    <t>2006Q3</t>
  </si>
  <si>
    <t>2006Q4</t>
  </si>
  <si>
    <t>2007Q1</t>
  </si>
  <si>
    <t xml:space="preserve">   1. Gross value added at basic prices</t>
  </si>
  <si>
    <t xml:space="preserve">   2. Other subsidies on production </t>
  </si>
  <si>
    <t>D39</t>
  </si>
  <si>
    <t>Removing sheets can damage the workbook beyond repair.</t>
  </si>
  <si>
    <t>Gross value added / Gross domestic product (B.1g)</t>
  </si>
  <si>
    <t>Taxes on products (D.21p)</t>
  </si>
  <si>
    <t>+</t>
  </si>
  <si>
    <t>Subsidies on products (D.31r)</t>
  </si>
  <si>
    <t>=</t>
  </si>
  <si>
    <t>CODE</t>
  </si>
  <si>
    <t>EMPLOYMENT AND UNEMPLOYMENT</t>
  </si>
  <si>
    <t xml:space="preserve">  1. Total population</t>
  </si>
  <si>
    <t xml:space="preserve"> 14. Compensation of employees per head</t>
  </si>
  <si>
    <t xml:space="preserve"> 15. Unit labour costs</t>
  </si>
  <si>
    <t xml:space="preserve"> 16. Relative unit labour costs in USD</t>
  </si>
  <si>
    <t xml:space="preserve">  8. Final demand (6+7)</t>
  </si>
  <si>
    <t xml:space="preserve"> 10. Gross domestic product at market prices (8-9)</t>
  </si>
  <si>
    <t>per unit of real GDP at market prices</t>
  </si>
  <si>
    <t>In sheet Sector2, select the block of 6 columns for t-2 ad copy it to the right (overwriting the old forecast columns for t-1).</t>
  </si>
  <si>
    <t>In principle, for a variable we report:</t>
  </si>
  <si>
    <t>Residual due to chainlinking and statistical discrepancy</t>
  </si>
  <si>
    <t>Export of goods</t>
  </si>
  <si>
    <t>Export of services</t>
  </si>
  <si>
    <t xml:space="preserve">Careful: The sheet approximates chainlinked aggregates with weighted averages of growth rates. </t>
  </si>
  <si>
    <t>Import of services</t>
  </si>
  <si>
    <t>Import of goods</t>
  </si>
  <si>
    <t>Import of goods and services</t>
  </si>
  <si>
    <t>Export of goods and services</t>
  </si>
  <si>
    <t>GFCF: Equipment</t>
  </si>
  <si>
    <t>GFCF: Construction</t>
  </si>
  <si>
    <t>GFCF: Other</t>
  </si>
  <si>
    <t>Total revenue (excluding impact of discretionary measures)</t>
  </si>
  <si>
    <t xml:space="preserve">Note: A positive sign indicates a revenue increasing measure. Incremental impact compared to previous year, in national currency. </t>
  </si>
  <si>
    <t xml:space="preserve">COR OTHER SUBSIDIES ON PRODUCTION </t>
  </si>
  <si>
    <t>COR OTHER TAXES ON PRODUCTS</t>
  </si>
  <si>
    <t>National consumer price index</t>
  </si>
  <si>
    <t>A particular section is the calculation of gross value added (GVA) and Gross operating surplus (GOS)</t>
  </si>
  <si>
    <t>In doing so, we also implicitly forecast:</t>
  </si>
  <si>
    <t>1. Compensation of employees (D.1p) is forecasted for HH, E and GVT (in Labour1)</t>
  </si>
  <si>
    <t xml:space="preserve">  4. Domestic demand (excl. inventories)</t>
  </si>
  <si>
    <t>YATaxIndir</t>
  </si>
  <si>
    <t xml:space="preserve">GG CURRENT TAXES ON INCOME AND WEALTH </t>
  </si>
  <si>
    <t>YATaxDir</t>
  </si>
  <si>
    <t>GG SOCIAL CONTRIBUTIONS</t>
  </si>
  <si>
    <t>YATaxSoc</t>
  </si>
  <si>
    <t>GG ACTUAL SOCIAL CONTRIBUTIONS</t>
  </si>
  <si>
    <t>Carry-over to next year</t>
  </si>
  <si>
    <r>
      <t xml:space="preserve">Fields marked in this colour need to be filled in by the forecaster. These are the </t>
    </r>
    <r>
      <rPr>
        <b/>
        <sz val="11"/>
        <color indexed="10"/>
        <rFont val="Arial"/>
        <family val="2"/>
      </rPr>
      <t>ONLY</t>
    </r>
    <r>
      <rPr>
        <sz val="11"/>
        <rFont val="Arial"/>
        <family val="2"/>
      </rPr>
      <t xml:space="preserve"> fields that should be filled in. </t>
    </r>
  </si>
  <si>
    <t xml:space="preserve">  2. Population of working age (15-64 years)</t>
  </si>
  <si>
    <t xml:space="preserve">  3. Total labour force</t>
  </si>
  <si>
    <t>D41</t>
  </si>
  <si>
    <t>Statistical discrepancy</t>
  </si>
  <si>
    <t>GVT: Capital taxes (D.91r)</t>
  </si>
  <si>
    <t xml:space="preserve">  5. Unit labour costs (4:3)</t>
  </si>
  <si>
    <t>Total current revenue</t>
  </si>
  <si>
    <t>[Table 10.15]</t>
  </si>
  <si>
    <t>[Table 10.13]</t>
  </si>
  <si>
    <t>[Table 10.17]</t>
  </si>
  <si>
    <t xml:space="preserve">  12. Saving rate (%) (11:8)</t>
  </si>
  <si>
    <t>per unit of real GDP at market prices*</t>
  </si>
  <si>
    <r>
      <t xml:space="preserve">4. You can also </t>
    </r>
    <r>
      <rPr>
        <b/>
        <sz val="11"/>
        <rFont val="Arial"/>
        <family val="2"/>
      </rPr>
      <t>integrate partial historical data</t>
    </r>
  </si>
  <si>
    <t xml:space="preserve">When this system was created (2007), charts were created to cover the period 1995 - 2014. </t>
  </si>
  <si>
    <t xml:space="preserve"> (L87+L89+L90+L91-L92-L93) + L94</t>
  </si>
  <si>
    <t xml:space="preserve">   4. Exports of services</t>
  </si>
  <si>
    <t xml:space="preserve">   5. Imports of services</t>
  </si>
  <si>
    <t xml:space="preserve">   6. Services balance (4-5)</t>
  </si>
  <si>
    <t xml:space="preserve">  8. Calculated unemployment rate (%) (7:3)</t>
  </si>
  <si>
    <t>The sheet also provides comparison tables, which clearly indicate all cells that have changed compared to a reference storage.</t>
  </si>
  <si>
    <t xml:space="preserve">  12. HICP excl. energy and unprocessed food</t>
  </si>
  <si>
    <t>You will find pup6 on your c drive under program files</t>
  </si>
  <si>
    <t>Investment in inventories  (deflator)</t>
  </si>
  <si>
    <t>Exports  (deflator)</t>
  </si>
  <si>
    <t>Exports (deflator)</t>
  </si>
  <si>
    <t xml:space="preserve">   2. Government consumption expenditure</t>
  </si>
  <si>
    <t xml:space="preserve">  4. Calculated activity rate (%) (3:2)</t>
  </si>
  <si>
    <t>P51</t>
  </si>
  <si>
    <t>P52+P53</t>
  </si>
  <si>
    <r>
      <t xml:space="preserve">3. Also in the forecast sheet, </t>
    </r>
    <r>
      <rPr>
        <b/>
        <sz val="11"/>
        <rFont val="Arial"/>
        <family val="2"/>
      </rPr>
      <t>overwrite previous forecast years</t>
    </r>
    <r>
      <rPr>
        <sz val="11"/>
        <rFont val="Arial"/>
        <family val="2"/>
      </rPr>
      <t xml:space="preserve"> for which you now have a full set of historical data.</t>
    </r>
  </si>
  <si>
    <t xml:space="preserve">  8b. - of which, net current Transfers</t>
  </si>
  <si>
    <t xml:space="preserve">Gross domestic product at market prices                                         </t>
  </si>
  <si>
    <t>QUART</t>
  </si>
  <si>
    <t>Q1</t>
  </si>
  <si>
    <t>Q2</t>
  </si>
  <si>
    <t>Q3</t>
  </si>
  <si>
    <t>Q4</t>
  </si>
  <si>
    <t>Government final consumption expenditure</t>
  </si>
  <si>
    <t>Year total from annual forecast</t>
  </si>
  <si>
    <t>Growth rate (year-on-year)</t>
  </si>
  <si>
    <t>ULPdty</t>
  </si>
  <si>
    <t>Balance of primary income (gross) / GNI (B.5g)</t>
  </si>
  <si>
    <t>COR CURRENT TRANSFERS (NET RECEIPTS)</t>
  </si>
  <si>
    <t>COR CURRENT TAXES ON INCOME AND WEALTH</t>
  </si>
  <si>
    <t>QUART. HICP (cols 2-13)</t>
  </si>
  <si>
    <t xml:space="preserve">VOL. FIXED INVESTMENT GOVERNMENT  </t>
  </si>
  <si>
    <t>VAI</t>
  </si>
  <si>
    <t xml:space="preserve">VOL. FIXED INVESTMENT CORPORATIONS </t>
  </si>
  <si>
    <t>VOL. FIXED INVESTMENT HH AND NPISH</t>
  </si>
  <si>
    <t>VOL. FIXED INVESTMENT HOUSING</t>
  </si>
  <si>
    <t xml:space="preserve">   4. Domestic demand (excl. inventories) (1+2+3)</t>
  </si>
  <si>
    <t xml:space="preserve"> 12a. Non-energy industrial goods</t>
  </si>
  <si>
    <t xml:space="preserve"> 12b. Energy</t>
  </si>
  <si>
    <t>It ensures the consistency between GDP from expenditure and income side. The forecast of this section is set up as follows:</t>
  </si>
  <si>
    <t>1. GDP (B.1g) is first forecasted from the expenditure side in VVP1</t>
  </si>
  <si>
    <t>you need to install pup6 add in.</t>
  </si>
  <si>
    <t>Go to Tools, Add-in and browse.</t>
  </si>
  <si>
    <t>Nominal GDP % ch</t>
  </si>
  <si>
    <t>Real GDP % ch</t>
  </si>
  <si>
    <t>GDP deflator %</t>
  </si>
  <si>
    <t xml:space="preserve"> in euro terms, %</t>
  </si>
  <si>
    <t>B.</t>
  </si>
  <si>
    <t>External account balances</t>
  </si>
  <si>
    <t>Current balance</t>
  </si>
  <si>
    <t xml:space="preserve"> of which, net prop credits</t>
  </si>
  <si>
    <t xml:space="preserve"> L25</t>
  </si>
  <si>
    <t xml:space="preserve">   Balance of goods and services</t>
  </si>
  <si>
    <t xml:space="preserve">   GDP and GVA</t>
  </si>
  <si>
    <t>D.2r (EXT)</t>
  </si>
  <si>
    <t>D.3p (EXT)</t>
  </si>
  <si>
    <t>133/*141</t>
  </si>
  <si>
    <t>Subsidies on products (D.3p) (Subsidies from RoW)</t>
  </si>
  <si>
    <t>Nevertheless, the system is capable to transfer in constant prices when using chain linking (or vice versa).</t>
  </si>
  <si>
    <t>LEmpTotDFTE</t>
  </si>
  <si>
    <t xml:space="preserve">  8. Calculated unemployment rate (%) (8:5)</t>
  </si>
  <si>
    <t>$I</t>
  </si>
  <si>
    <t>$XFob</t>
  </si>
  <si>
    <t xml:space="preserve">$MCif </t>
  </si>
  <si>
    <t>$BG</t>
  </si>
  <si>
    <t>$B</t>
  </si>
  <si>
    <t xml:space="preserve">  6. Gross fixed capital formation</t>
  </si>
  <si>
    <t xml:space="preserve">      (whole economy)  (=1+2=3+4+5)</t>
  </si>
  <si>
    <t>Table 4</t>
  </si>
  <si>
    <t>Volume</t>
  </si>
  <si>
    <t>EMPLOYEES LAB. FORCE STATISTICS</t>
  </si>
  <si>
    <t xml:space="preserve">VAL. PRIVATE CONSUMPTION EXPEND. </t>
  </si>
  <si>
    <t>$PrvC</t>
  </si>
  <si>
    <t xml:space="preserve">VAL. GOVERNMENT CONSUMPTION EXPEND. </t>
  </si>
  <si>
    <t>$AC</t>
  </si>
  <si>
    <t>VAL. G.F.C.F. TOTAL</t>
  </si>
  <si>
    <t>VAL. G.F.C.F. CONSTRUCTION</t>
  </si>
  <si>
    <t>$ICst</t>
  </si>
  <si>
    <t>Consumption of fixed capital</t>
  </si>
  <si>
    <t>Taxes on products (D.21)</t>
  </si>
  <si>
    <t>Subsidies on products (D.31)</t>
  </si>
  <si>
    <t>CORRESPONDANCE</t>
  </si>
  <si>
    <t>TRANSFER MATRIX</t>
  </si>
  <si>
    <t>VARIABLES</t>
  </si>
  <si>
    <t>$GDP</t>
  </si>
  <si>
    <t>$Gvadd</t>
  </si>
  <si>
    <t>*140</t>
  </si>
  <si>
    <t>$Hcomp</t>
  </si>
  <si>
    <t>$Ecomp</t>
  </si>
  <si>
    <t>$Acomp</t>
  </si>
  <si>
    <t>*117</t>
  </si>
  <si>
    <t>YAGos</t>
  </si>
  <si>
    <t>$ETaxSoc</t>
  </si>
  <si>
    <t>131/*140</t>
  </si>
  <si>
    <t xml:space="preserve">   prop inc credits</t>
  </si>
  <si>
    <t xml:space="preserve">   prop inc debits</t>
  </si>
  <si>
    <t xml:space="preserve"> of which, primary</t>
  </si>
  <si>
    <t>Capital balance</t>
  </si>
  <si>
    <t>External balance</t>
  </si>
  <si>
    <t>Current balance as % of GDP</t>
  </si>
  <si>
    <t>Effective rates of return on international investment position</t>
  </si>
  <si>
    <t>On assets</t>
  </si>
  <si>
    <t>Forecast</t>
  </si>
  <si>
    <t>On liabilities</t>
  </si>
  <si>
    <t>On net liabilities</t>
  </si>
  <si>
    <t>E.</t>
  </si>
  <si>
    <t>Exchange rate against euro</t>
  </si>
  <si>
    <t>Dom. crncy per euro</t>
  </si>
  <si>
    <t>AMECO: XNE / External assumptions</t>
  </si>
  <si>
    <t>Euro per dom. crncy</t>
  </si>
  <si>
    <t>F.</t>
  </si>
  <si>
    <t>Net liability dynamics (nominal, domestic currency)</t>
  </si>
  <si>
    <t>Annual HICP WEIGHTS</t>
  </si>
  <si>
    <t>*177</t>
  </si>
  <si>
    <t xml:space="preserve">  11a. Non-energy industrial goods</t>
  </si>
  <si>
    <t>Ann. growth if qoq growth is zero in the next quarters</t>
  </si>
  <si>
    <t>YACapT</t>
  </si>
  <si>
    <t>AG</t>
  </si>
  <si>
    <t>Domestic demand excluding inventories</t>
  </si>
  <si>
    <t>Domestic demand including inventories</t>
  </si>
  <si>
    <t>If you start with the autumn forecast from the previous year, these columns should already be present.</t>
  </si>
  <si>
    <t>Contribution to change in GDP</t>
  </si>
  <si>
    <t>Other current revenue (D.39r + D.4r + D.7r)</t>
  </si>
  <si>
    <t>3. Gross operating surplus (B.2g) of E = GVA[E] - D.1p - (D.29 - D.39)</t>
  </si>
  <si>
    <t>For the total economy (ECO):</t>
  </si>
  <si>
    <t>D.21 - D.31</t>
  </si>
  <si>
    <t xml:space="preserve"> (L36+L37+L38) : (L1+L2+L3)</t>
  </si>
  <si>
    <t>Lithuania</t>
  </si>
  <si>
    <t xml:space="preserve"> L110</t>
  </si>
  <si>
    <t>Taxes on production to the rest of the world</t>
  </si>
  <si>
    <t>NYPrimRow</t>
  </si>
  <si>
    <t>Balance of primary income (rest of the world)</t>
  </si>
  <si>
    <t xml:space="preserve">In sheet Sector2: select the last block of 6 columns and copy it to the right. </t>
  </si>
  <si>
    <t xml:space="preserve"> L62:L63</t>
  </si>
  <si>
    <t xml:space="preserve"> (L61-L62) : L63</t>
  </si>
  <si>
    <t xml:space="preserve">  3b. - of which other construction</t>
  </si>
  <si>
    <t>* Note: Contributions are non-additive and may differ from results in official forecast tables</t>
  </si>
  <si>
    <t>MAN. EMPLOYMENT F.T.E.</t>
  </si>
  <si>
    <t>TOT. EMPLOYMENT F.T.E.</t>
  </si>
  <si>
    <t>One-off measures</t>
  </si>
  <si>
    <t>One-offs</t>
  </si>
  <si>
    <t>1FS</t>
  </si>
  <si>
    <t xml:space="preserve">  4. Domestic demand (excl. inventories) (1+2+3)</t>
  </si>
  <si>
    <t>$ETaxDir</t>
  </si>
  <si>
    <t>COR CHANGE IN NET EQUITY IN PENSION FUNDS</t>
  </si>
  <si>
    <t>COR GROSS CAPITAL FORMATION</t>
  </si>
  <si>
    <t>COR OTHER CAPITAL EXPENDITURE (PAID-REC.)</t>
  </si>
  <si>
    <t>$ETCap</t>
  </si>
  <si>
    <t>To use these data, you need to overwrite the forecast columns for t-1 with columns linking to historical data.</t>
  </si>
  <si>
    <t>Subsidies on production from the rest of the world</t>
  </si>
  <si>
    <t>VAL. Domestic demand excl. Inventories</t>
  </si>
  <si>
    <t>AGG. Domestic demand excl. Inventories</t>
  </si>
  <si>
    <t>VOL. Domestic demand excl. Inventories</t>
  </si>
  <si>
    <t xml:space="preserve">   5. Imports of services (a)</t>
  </si>
  <si>
    <t>p.m. Total labour force</t>
  </si>
  <si>
    <t xml:space="preserve"> 11. Domestic demand (excl. inventories)</t>
  </si>
  <si>
    <t xml:space="preserve"> 14. Consumer prices national index)</t>
  </si>
  <si>
    <t xml:space="preserve"> L167</t>
  </si>
  <si>
    <t xml:space="preserve"> L168</t>
  </si>
  <si>
    <t xml:space="preserve"> L169</t>
  </si>
  <si>
    <t xml:space="preserve"> L170</t>
  </si>
  <si>
    <t xml:space="preserve"> L171</t>
  </si>
  <si>
    <t xml:space="preserve"> L166</t>
  </si>
  <si>
    <t xml:space="preserve"> L172</t>
  </si>
  <si>
    <t xml:space="preserve"> L173</t>
  </si>
  <si>
    <t xml:space="preserve"> L174</t>
  </si>
  <si>
    <t xml:space="preserve"> L175</t>
  </si>
  <si>
    <t xml:space="preserve"> L176</t>
  </si>
  <si>
    <t xml:space="preserve"> L177</t>
  </si>
  <si>
    <t>VIny</t>
  </si>
  <si>
    <t>VOL. EXPORTS OF GOODS (FOB)</t>
  </si>
  <si>
    <t>VOL. EXPORTS OF SERVICES</t>
  </si>
  <si>
    <t>VXS</t>
  </si>
  <si>
    <r>
      <t xml:space="preserve">All </t>
    </r>
    <r>
      <rPr>
        <b/>
        <sz val="11"/>
        <rFont val="Arial"/>
        <family val="2"/>
      </rPr>
      <t>forecasts</t>
    </r>
    <r>
      <rPr>
        <sz val="11"/>
        <rFont val="Arial"/>
        <family val="2"/>
      </rPr>
      <t xml:space="preserve"> are made in VVP1. The second sheet is only used for calculations and to make the charts.</t>
    </r>
  </si>
  <si>
    <t>Differences exceeding a chosen tolerance level will be highlighted.</t>
  </si>
  <si>
    <t>Sheet</t>
  </si>
  <si>
    <t>Row</t>
  </si>
  <si>
    <t>Database Text</t>
  </si>
  <si>
    <t xml:space="preserve">   16. Gross value added at basic prices* </t>
  </si>
  <si>
    <t>* Note: 16 = 14 + 15 + Other taxes less subsidies on production (D.29r - D.39p)</t>
  </si>
  <si>
    <t>Employer's social contributions (values)</t>
  </si>
  <si>
    <t>Domestic demand (incl. Inventories)</t>
  </si>
  <si>
    <r>
      <t xml:space="preserve">Growth rates </t>
    </r>
    <r>
      <rPr>
        <b/>
        <sz val="10"/>
        <color indexed="10"/>
        <rFont val="Arial"/>
        <family val="2"/>
      </rPr>
      <t>(year-on-year)</t>
    </r>
  </si>
  <si>
    <t>YATaxActSoc</t>
  </si>
  <si>
    <t>GG OTHER CURRENT RESOURCES</t>
  </si>
  <si>
    <t>YAO</t>
  </si>
  <si>
    <t>Total compensation / employee (national)</t>
  </si>
  <si>
    <t>YCompAvDPr</t>
  </si>
  <si>
    <t>YCompAvDPu</t>
  </si>
  <si>
    <t>Employment / Wage &amp; salary earners (FTE)</t>
  </si>
  <si>
    <t>Implicit FTE per salary earner</t>
  </si>
  <si>
    <t>All links should be updated automatically.</t>
  </si>
  <si>
    <t>Property income (net, excluding interests paid) (D.4-D.41p)</t>
  </si>
  <si>
    <t xml:space="preserve"> L128</t>
  </si>
  <si>
    <t xml:space="preserve"> L113+L114+L116+L130+L131</t>
  </si>
  <si>
    <t>Other taxes less subsidies on production (D.29p - D.39r)</t>
  </si>
  <si>
    <t>- growth rate in volumes</t>
  </si>
  <si>
    <t>- level, expressed in previous year's prices (PYP)</t>
  </si>
  <si>
    <t>- level in values</t>
  </si>
  <si>
    <r>
      <t xml:space="preserve">% p </t>
    </r>
    <r>
      <rPr>
        <b/>
        <sz val="10"/>
        <color indexed="9"/>
        <rFont val="Symbol"/>
        <family val="1"/>
        <charset val="2"/>
      </rPr>
      <t>D</t>
    </r>
  </si>
  <si>
    <r>
      <t xml:space="preserve">% val </t>
    </r>
    <r>
      <rPr>
        <b/>
        <sz val="10"/>
        <color indexed="9"/>
        <rFont val="Symbol"/>
        <family val="1"/>
        <charset val="2"/>
      </rPr>
      <t>D</t>
    </r>
  </si>
  <si>
    <t>YEDisp</t>
  </si>
  <si>
    <t>YDisp</t>
  </si>
  <si>
    <t xml:space="preserve">   Subsidies (D.3 = D.31+D.39)</t>
  </si>
  <si>
    <t xml:space="preserve">   Gross value added (B.1g-D.21+D.31)</t>
  </si>
  <si>
    <t xml:space="preserve"> 11a. - of which, terms of trade of goods</t>
  </si>
  <si>
    <t>GG NOTIFIED GDP FOR PUBLIC FINANCE</t>
  </si>
  <si>
    <t>GG EDP REPORTED DEFICIT / SURPLUS</t>
  </si>
  <si>
    <t>Prices</t>
  </si>
  <si>
    <t>Household consumption (deflator)</t>
  </si>
  <si>
    <t>Government consumption (deflator)</t>
  </si>
  <si>
    <t>Investment by type of asset  (deflator)</t>
  </si>
  <si>
    <t>Investment by sector  (deflator)</t>
  </si>
  <si>
    <t>Investment in inventories (current prices)</t>
  </si>
  <si>
    <t>Exports (current prices)</t>
  </si>
  <si>
    <t xml:space="preserve"> ((L114 t - L114 t-1) ÷ L114 t-1) ÷ ((L47 t - L47 t-1) ÷ L47 t-1)</t>
  </si>
  <si>
    <t xml:space="preserve"> L159 col 1</t>
  </si>
  <si>
    <t xml:space="preserve"> L114 ÷ L47</t>
  </si>
  <si>
    <t>((L114 t ÷ L114 t-1) - (L163 col 1 × (L47 t ÷ L47 t-1))) × (L114 t-1 ÷ L47 t)</t>
  </si>
  <si>
    <t>Total compensation / employee (private)</t>
  </si>
  <si>
    <t xml:space="preserve"> L29+L30 or L3-L28 if these lines are missing</t>
  </si>
  <si>
    <t xml:space="preserve"> L4</t>
  </si>
  <si>
    <t xml:space="preserve"> L31</t>
  </si>
  <si>
    <t xml:space="preserve"> L4-L31</t>
  </si>
  <si>
    <t xml:space="preserve"> L5</t>
  </si>
  <si>
    <t xml:space="preserve"> L6</t>
  </si>
  <si>
    <t xml:space="preserve"> L3</t>
  </si>
  <si>
    <t>LEmpDFTE</t>
  </si>
  <si>
    <t>VAICstNonR</t>
  </si>
  <si>
    <t>VPrvICstNonR</t>
  </si>
  <si>
    <t>VICstNonR</t>
  </si>
  <si>
    <t>VICstR</t>
  </si>
  <si>
    <t>VAIEq</t>
  </si>
  <si>
    <t>VPrvEq</t>
  </si>
  <si>
    <t>VIEq</t>
  </si>
  <si>
    <t>VIO(1)</t>
  </si>
  <si>
    <t>VIO(2)</t>
  </si>
  <si>
    <t>Viny</t>
  </si>
  <si>
    <t>VX</t>
  </si>
  <si>
    <t>VM</t>
  </si>
  <si>
    <t>VGrVadd</t>
  </si>
  <si>
    <t>P.3 (HH)</t>
  </si>
  <si>
    <t>P.31 (GVT)</t>
  </si>
  <si>
    <t>P.32 (GVT)</t>
  </si>
  <si>
    <t>P.3 (GVT)</t>
  </si>
  <si>
    <t>P61</t>
  </si>
  <si>
    <t>$Aint</t>
  </si>
  <si>
    <t>$HGNI</t>
  </si>
  <si>
    <t>$EGNI</t>
  </si>
  <si>
    <t>$AGNI</t>
  </si>
  <si>
    <t xml:space="preserve"> ((L113+L131 t - L113+L131 t-1) ÷ L113+L131 t-1) ÷ ((L36 t - L36 t-1) ÷ L36 t-1)</t>
  </si>
  <si>
    <t xml:space="preserve"> L158 col 1</t>
  </si>
  <si>
    <t xml:space="preserve"> (L113+L131) ÷ L36</t>
  </si>
  <si>
    <t>$HIny</t>
  </si>
  <si>
    <t xml:space="preserve">   16a. - of which, labour costs, including self-employed</t>
  </si>
  <si>
    <t>- Non-financial and financial corporations (S.11 + S.12)</t>
  </si>
  <si>
    <t>Imputed social contributions (D.612r)</t>
  </si>
  <si>
    <t>QUART. VOL. CHANGE IN INVENTORIES (cols 2-13)</t>
  </si>
  <si>
    <t>QUART. VOL. DOMESTIC DEMAND (cols 2-13)</t>
  </si>
  <si>
    <t>QUART. VOL. EXPORTS G AND S (cols 2-13)</t>
  </si>
  <si>
    <t>GVT: Other capital transfers (D.9r-D.91r-D.995)</t>
  </si>
  <si>
    <t>TaxToRow</t>
  </si>
  <si>
    <t>133/*140</t>
  </si>
  <si>
    <t>$ATE</t>
  </si>
  <si>
    <t>SubFrRow</t>
  </si>
  <si>
    <t>YHPropN</t>
  </si>
  <si>
    <t>D.5r (GVT)</t>
  </si>
  <si>
    <t>D.5p (GVT)</t>
  </si>
  <si>
    <t>D.4r (GVT)</t>
  </si>
  <si>
    <t>D.4p (GVT)</t>
  </si>
  <si>
    <t>D.41p (GVT)</t>
  </si>
  <si>
    <t>YAPropN</t>
  </si>
  <si>
    <t>D.7r (GVT)</t>
  </si>
  <si>
    <t>D.7p (GVT)</t>
  </si>
  <si>
    <t>D.611r (GVT)</t>
  </si>
  <si>
    <t xml:space="preserve">   4. Current taxes on income and wealth</t>
  </si>
  <si>
    <t>D5K</t>
  </si>
  <si>
    <t>D5</t>
  </si>
  <si>
    <t xml:space="preserve">   5. Current Transfers paid</t>
  </si>
  <si>
    <t>*142</t>
  </si>
  <si>
    <t>Net capital transactions (rest of the world)</t>
  </si>
  <si>
    <t xml:space="preserve">  22. General government consolidated gross debt</t>
  </si>
  <si>
    <t xml:space="preserve">  23. Tax burden = D2(incl. paid to EU)+D5+D611+D91-D995</t>
  </si>
  <si>
    <t xml:space="preserve">  23. Tax burden = D2 (incl. paid to EU)+D5+D611+D91-D995</t>
  </si>
  <si>
    <t>Final domestic demand (excl. inventories)</t>
  </si>
  <si>
    <t xml:space="preserve">Changes in inventories and net acquisition of valuables as % of GDP                        </t>
  </si>
  <si>
    <t>However, some of the variables are not filled in because they are produced by the central system.</t>
  </si>
  <si>
    <t>VAL. Domestic demand</t>
  </si>
  <si>
    <t>AGG. Domestic demand</t>
  </si>
  <si>
    <t>VOL. Domestic demand</t>
  </si>
  <si>
    <t>VAL. Final demand</t>
  </si>
  <si>
    <t>Auxiliary table (aggregates)</t>
  </si>
  <si>
    <t>*31</t>
  </si>
  <si>
    <t>Current transfers received</t>
  </si>
  <si>
    <t>Current transfers paid</t>
  </si>
  <si>
    <t>Other capital expenditure</t>
  </si>
  <si>
    <t>YHCapN</t>
  </si>
  <si>
    <t>- ACapTN</t>
  </si>
  <si>
    <t>- HTCapN</t>
  </si>
  <si>
    <t>- ETCapN</t>
  </si>
  <si>
    <t>Capital transfers (received - paid) (D.9)</t>
  </si>
  <si>
    <t xml:space="preserve">  7a.  - of which, goods</t>
  </si>
  <si>
    <t xml:space="preserve"> L44</t>
  </si>
  <si>
    <t>In sheet VVP1, select the block of 5 columns for t-2 and copy to the right (overwriting the old forecast columns for t-1).</t>
  </si>
  <si>
    <t>Unemployment rate (national definition)</t>
  </si>
  <si>
    <t>Difference with Eurostat</t>
  </si>
  <si>
    <t>Now</t>
  </si>
  <si>
    <t>Wages &amp; salaries / employee (nominal growth rates)</t>
  </si>
  <si>
    <t xml:space="preserve">Household final consumption expenditure (domestic HH + NPISH)            </t>
  </si>
  <si>
    <t>POPULATION OF WORKING AGE (15-74)</t>
  </si>
  <si>
    <t>Fraction at working age (15-74)</t>
  </si>
  <si>
    <t>Population at working age (15-64)</t>
  </si>
  <si>
    <t>Fraction at working age (15-64)</t>
  </si>
  <si>
    <t>Population at working age (15-74)</t>
  </si>
  <si>
    <t>Saving rate</t>
  </si>
  <si>
    <t>AF2012</t>
  </si>
  <si>
    <t>\\DG ECFIN\Forecast\Country databases\Desk transfer databases\</t>
  </si>
  <si>
    <t>Variable code</t>
  </si>
  <si>
    <t>Unit</t>
  </si>
  <si>
    <t>TM line</t>
  </si>
  <si>
    <t>EcDatabase</t>
  </si>
  <si>
    <t>Country</t>
  </si>
  <si>
    <t>Frequency</t>
  </si>
  <si>
    <t>Variable</t>
  </si>
  <si>
    <t>Annual</t>
  </si>
  <si>
    <t>OCPH</t>
  </si>
  <si>
    <t>billions</t>
  </si>
  <si>
    <t>OCTG</t>
  </si>
  <si>
    <t>OIGT</t>
  </si>
  <si>
    <t>OIGCO</t>
  </si>
  <si>
    <t>OIGEQ</t>
  </si>
  <si>
    <t>OIGOT</t>
  </si>
  <si>
    <t>OIST</t>
  </si>
  <si>
    <t>OXGN</t>
  </si>
  <si>
    <t>OXSN</t>
  </si>
  <si>
    <t>OMGN</t>
  </si>
  <si>
    <t>OMSN</t>
  </si>
  <si>
    <t>OVGD</t>
  </si>
  <si>
    <t>OIGG</t>
  </si>
  <si>
    <t>OIGDW</t>
  </si>
  <si>
    <t>UIGDW</t>
  </si>
  <si>
    <t>UCPH</t>
  </si>
  <si>
    <t>UCTG</t>
  </si>
  <si>
    <t>UIGT</t>
  </si>
  <si>
    <t>UIGCO</t>
  </si>
  <si>
    <t>UIGEQ</t>
  </si>
  <si>
    <t>UIGOT</t>
  </si>
  <si>
    <t>UIST</t>
  </si>
  <si>
    <t>UXGN</t>
  </si>
  <si>
    <t>UXSN</t>
  </si>
  <si>
    <t>UMGN</t>
  </si>
  <si>
    <t>UMSN</t>
  </si>
  <si>
    <t>UVGD</t>
  </si>
  <si>
    <t>UTVTBP</t>
  </si>
  <si>
    <t>UYVTBP</t>
  </si>
  <si>
    <t>ZCPIH</t>
  </si>
  <si>
    <t>ZCPIN</t>
  </si>
  <si>
    <t>n.a.</t>
  </si>
  <si>
    <t>UVGE</t>
  </si>
  <si>
    <t>OVGE</t>
  </si>
  <si>
    <t>NETD</t>
  </si>
  <si>
    <t>thousands</t>
  </si>
  <si>
    <t>FETD</t>
  </si>
  <si>
    <t>UWCD</t>
  </si>
  <si>
    <t>UWWD</t>
  </si>
  <si>
    <t>NWTD</t>
  </si>
  <si>
    <t>FWTD</t>
  </si>
  <si>
    <t>NPTD</t>
  </si>
  <si>
    <t>NPAN</t>
  </si>
  <si>
    <t>NPAN1</t>
  </si>
  <si>
    <t>NUTN</t>
  </si>
  <si>
    <t>NETN</t>
  </si>
  <si>
    <t>NLFS</t>
  </si>
  <si>
    <t>NLHA</t>
  </si>
  <si>
    <t>UWCH</t>
  </si>
  <si>
    <t>UWSH</t>
  </si>
  <si>
    <t>UOGH</t>
  </si>
  <si>
    <t>UYNH</t>
  </si>
  <si>
    <t>UCTRH</t>
  </si>
  <si>
    <t>UTYH</t>
  </si>
  <si>
    <t>UCTPH</t>
  </si>
  <si>
    <t>UEHH</t>
  </si>
  <si>
    <t>UCPH0</t>
  </si>
  <si>
    <t>UITH</t>
  </si>
  <si>
    <t>UKOH</t>
  </si>
  <si>
    <t>UGVAC</t>
  </si>
  <si>
    <t>UYVC</t>
  </si>
  <si>
    <t>UTVC</t>
  </si>
  <si>
    <t>UWCC</t>
  </si>
  <si>
    <t>UOGC</t>
  </si>
  <si>
    <t>UYNC</t>
  </si>
  <si>
    <t>UCTRC</t>
  </si>
  <si>
    <t>UTYC</t>
  </si>
  <si>
    <t>UEHC</t>
  </si>
  <si>
    <t>UITC</t>
  </si>
  <si>
    <t>UKOC</t>
  </si>
  <si>
    <t>UTVG</t>
  </si>
  <si>
    <t>UTYG</t>
  </si>
  <si>
    <t>UTSG</t>
  </si>
  <si>
    <t>UTAG</t>
  </si>
  <si>
    <t>UROG</t>
  </si>
  <si>
    <t>UCCG0</t>
  </si>
  <si>
    <t>UCIG0</t>
  </si>
  <si>
    <t>UWCG</t>
  </si>
  <si>
    <t>UYTGH</t>
  </si>
  <si>
    <t>UYIG</t>
  </si>
  <si>
    <t>UYVG</t>
  </si>
  <si>
    <t>UUOG</t>
  </si>
  <si>
    <t>UKTTG</t>
  </si>
  <si>
    <t>UIGG0</t>
  </si>
  <si>
    <t>UKOG</t>
  </si>
  <si>
    <t>UDGG</t>
  </si>
  <si>
    <t>UUTG</t>
  </si>
  <si>
    <t>UTKG</t>
  </si>
  <si>
    <t>UTEU</t>
  </si>
  <si>
    <t>GG TAXES TO THE REST OF THE WORLD</t>
  </si>
  <si>
    <t>UYIGE</t>
  </si>
  <si>
    <t>UYEU</t>
  </si>
  <si>
    <t>GG SUBSIDIES FROM THE REST OF THE WORLD</t>
  </si>
  <si>
    <t>UVGDH</t>
  </si>
  <si>
    <t>UBLGE</t>
  </si>
  <si>
    <t>UOOMSR</t>
  </si>
  <si>
    <t>UOOMSE</t>
  </si>
  <si>
    <t>UBRA</t>
  </si>
  <si>
    <t>UBTA</t>
  </si>
  <si>
    <t>UBKA</t>
  </si>
  <si>
    <t>UPOMN</t>
  </si>
  <si>
    <t>UKCG0</t>
  </si>
  <si>
    <t>UCTGI</t>
  </si>
  <si>
    <t>UYTGM</t>
  </si>
  <si>
    <t>DXGI</t>
  </si>
  <si>
    <t>UKTG995</t>
  </si>
  <si>
    <t>DXGE</t>
  </si>
  <si>
    <t>DMGI</t>
  </si>
  <si>
    <t>DMGE</t>
  </si>
  <si>
    <t>UDMGCE</t>
  </si>
  <si>
    <t>UDMGCR</t>
  </si>
  <si>
    <t>UDMGKE</t>
  </si>
  <si>
    <t>UDMGKTR</t>
  </si>
  <si>
    <t>TRIT</t>
  </si>
  <si>
    <t>TAX RATE INDIRECT TAXES PAST 4-Y AVG</t>
  </si>
  <si>
    <t>TRDT</t>
  </si>
  <si>
    <t xml:space="preserve">TAX RATE DIRECT TAXES PAST 4-Y AVG </t>
  </si>
  <si>
    <t>TRSC</t>
  </si>
  <si>
    <t>TAX RATE SOCIAL CONTR. PAST 4-Y AVG</t>
  </si>
  <si>
    <t>WCPINEG</t>
  </si>
  <si>
    <t>WCPIENG</t>
  </si>
  <si>
    <t>WCPIFOO</t>
  </si>
  <si>
    <t>WCPIUNF</t>
  </si>
  <si>
    <t>WCPISER</t>
  </si>
  <si>
    <t>ZCPINEG</t>
  </si>
  <si>
    <t>ZCPIENG</t>
  </si>
  <si>
    <t>ZCPIFOO</t>
  </si>
  <si>
    <t>ZCPIUNF</t>
  </si>
  <si>
    <t>ZCPISER</t>
  </si>
  <si>
    <t>ZCPIXEF</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</si>
  <si>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</si>
  <si>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</si>
  <si>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</si>
  <si>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</si>
  <si>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</si>
  <si>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</si>
  <si>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</si>
  <si>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</si>
  <si>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</si>
  <si>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</si>
  <si>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</si>
  <si>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</si>
  <si>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</si>
  <si>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</si>
  <si>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</si>
  <si>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</si>
  <si>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</si>
  <si>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</si>
  <si>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</si>
  <si>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</si>
  <si>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</si>
  <si>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</si>
  <si>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</si>
  <si>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</si>
  <si>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</si>
  <si>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</si>
  <si>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</si>
  <si>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</si>
  <si>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</si>
  <si>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</si>
  <si>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</si>
  <si>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</si>
  <si>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</si>
  <si>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</si>
  <si>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</si>
  <si>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</si>
  <si>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</si>
  <si>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</si>
  <si>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</si>
  <si>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</si>
  <si>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</si>
  <si>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</si>
  <si>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</si>
  <si>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</si>
  <si>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</si>
  <si>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</si>
  <si>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</si>
  <si>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</si>
  <si>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</si>
  <si>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</si>
  <si>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</si>
  <si>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</si>
  <si>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</si>
  <si>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</si>
  <si>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</si>
  <si>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</si>
  <si>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</si>
  <si>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</si>
  <si>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</si>
  <si>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</si>
  <si>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</si>
  <si>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</si>
  <si>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</si>
  <si>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</si>
  <si>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Quarterly</t>
  </si>
  <si>
    <t>OUNF</t>
  </si>
  <si>
    <t>OUNT</t>
  </si>
  <si>
    <t>OXGS</t>
  </si>
  <si>
    <t>OUTT</t>
  </si>
  <si>
    <t>OMGS</t>
  </si>
  <si>
    <t>growth of nominal wages in the economy</t>
  </si>
  <si>
    <t>WF2012</t>
  </si>
  <si>
    <t>2015Q1</t>
  </si>
  <si>
    <t>2015Q2</t>
  </si>
  <si>
    <t>2015Q3</t>
  </si>
  <si>
    <t>2015Q4</t>
  </si>
  <si>
    <t>W</t>
  </si>
  <si>
    <t>CAB</t>
  </si>
  <si>
    <t>TCE1</t>
  </si>
  <si>
    <t>1st storage</t>
  </si>
  <si>
    <t>TCE3</t>
  </si>
  <si>
    <t>2nd storage</t>
  </si>
  <si>
    <t>Final storage</t>
  </si>
  <si>
    <t>Scale</t>
  </si>
  <si>
    <t>units</t>
  </si>
  <si>
    <t>UTNXTMR</t>
  </si>
  <si>
    <t>millions</t>
  </si>
  <si>
    <t>dNFAmfi_Mon</t>
  </si>
  <si>
    <t>Net foreign assets (MFI)</t>
  </si>
  <si>
    <t>UTNDCMG</t>
  </si>
  <si>
    <t>dNDCgvt</t>
  </si>
  <si>
    <t>Net credit to the general government (MFI)</t>
  </si>
  <si>
    <t>UTADCMY</t>
  </si>
  <si>
    <t>dDCprv</t>
  </si>
  <si>
    <t>Credit to the domestic private sector (MFI)</t>
  </si>
  <si>
    <t>UTLCDMY</t>
  </si>
  <si>
    <t>d(C+D)</t>
  </si>
  <si>
    <t>Currency and deposits (MFI)</t>
  </si>
  <si>
    <t>UTNOIMU</t>
  </si>
  <si>
    <t>OINmfi</t>
  </si>
  <si>
    <t>UTNFBRG</t>
  </si>
  <si>
    <t>NFBgvt</t>
  </si>
  <si>
    <t>Net foreign borrowing of the general government</t>
  </si>
  <si>
    <t>UTNFBRY</t>
  </si>
  <si>
    <t>NFBprv</t>
  </si>
  <si>
    <t>Net foreign borrowing of the private sector</t>
  </si>
  <si>
    <t>UTNNBYG</t>
  </si>
  <si>
    <t>NB</t>
  </si>
  <si>
    <t>Non-bank domestic borrowing (GVT)</t>
  </si>
  <si>
    <t>UTNOIGU</t>
  </si>
  <si>
    <t>OINgvt</t>
  </si>
  <si>
    <t>UTNOIYU</t>
  </si>
  <si>
    <t>OINprv</t>
  </si>
  <si>
    <t>NFAmfi</t>
  </si>
  <si>
    <t>USNXTMRB</t>
  </si>
  <si>
    <t>Net foreign assets of MFI sector (BoP)</t>
  </si>
  <si>
    <t>USNDCMG</t>
  </si>
  <si>
    <t>NDCgvt</t>
  </si>
  <si>
    <t>Net claims of MFI sector on government</t>
  </si>
  <si>
    <t>USADCMY</t>
  </si>
  <si>
    <t>DCprv</t>
  </si>
  <si>
    <t>Credit (all instruments) of the MFI sector to the domestic private sector</t>
  </si>
  <si>
    <t>USLCUMY</t>
  </si>
  <si>
    <t>C</t>
  </si>
  <si>
    <t>Currency in circulation</t>
  </si>
  <si>
    <t>USLDPMY</t>
  </si>
  <si>
    <t>D</t>
  </si>
  <si>
    <t>Deposits of the domestic private sector with MFI</t>
  </si>
  <si>
    <t>USLCDMY</t>
  </si>
  <si>
    <t>C+D</t>
  </si>
  <si>
    <t>Currency and deposits (MFI liabilities)</t>
  </si>
  <si>
    <t>USNOIMU</t>
  </si>
  <si>
    <t>ONAmfi</t>
  </si>
  <si>
    <t>Other net assets of the MFI sector</t>
  </si>
  <si>
    <t>USNFBTR</t>
  </si>
  <si>
    <t>2016Q1</t>
  </si>
  <si>
    <t>2016Q2</t>
  </si>
  <si>
    <t>2016Q3</t>
  </si>
  <si>
    <t>2016Q4</t>
  </si>
  <si>
    <t>2017Q1</t>
  </si>
  <si>
    <t>2017Q2</t>
  </si>
  <si>
    <t>bn EUR</t>
  </si>
  <si>
    <r>
      <t>Wages &amp; salaries / employee (values in 1000</t>
    </r>
    <r>
      <rPr>
        <b/>
        <sz val="10"/>
        <color indexed="10"/>
        <rFont val="Arial"/>
        <family val="2"/>
      </rPr>
      <t xml:space="preserve"> EUROS?</t>
    </r>
    <r>
      <rPr>
        <b/>
        <sz val="10"/>
        <rFont val="Arial"/>
        <family val="2"/>
      </rPr>
      <t>)</t>
    </r>
  </si>
  <si>
    <t>78.5</t>
  </si>
  <si>
    <t>corrected</t>
  </si>
  <si>
    <t>Transfer!E240;Transfer!E241)/Transfer!E147</t>
  </si>
  <si>
    <t>SF 2015</t>
  </si>
  <si>
    <t>WF 2015</t>
  </si>
  <si>
    <t>delta</t>
  </si>
  <si>
    <t>Carry over</t>
  </si>
  <si>
    <t>Possibel breakdown of series due to ESA2010 available only from 2004 while data needed from 1995-INVESTIGATE</t>
  </si>
  <si>
    <t>2017Q3</t>
  </si>
  <si>
    <t>2017Q4</t>
  </si>
  <si>
    <t>Indicator</t>
  </si>
  <si>
    <t>Description</t>
  </si>
  <si>
    <t xml:space="preserve">GG CAPITAL TRANSFERS; RECEIVED </t>
  </si>
  <si>
    <t>GG OTHER CAPITAL EXPENDITURE; NET</t>
  </si>
  <si>
    <t>Other items; net (MFI)</t>
  </si>
  <si>
    <t>Other items; net (GVT)</t>
  </si>
  <si>
    <t>Other items; net (PRV)</t>
  </si>
  <si>
    <t>External debt; net</t>
  </si>
  <si>
    <t>TRADE BALANCE</t>
  </si>
  <si>
    <t>PRIMARY INCOME BALANCE</t>
  </si>
  <si>
    <t>CAB, % of GDP</t>
  </si>
  <si>
    <t>TRADE BALANCE, % of GDP</t>
  </si>
  <si>
    <t>PRIMARY INCOME BALANCE, % of GDP</t>
  </si>
  <si>
    <t>NET CURRENT TRANSFERS, % of GDP</t>
  </si>
  <si>
    <t>&lt;-delete</t>
  </si>
  <si>
    <t>CAPITAL ACCOUNT</t>
  </si>
  <si>
    <t>CAPITAL ACCOUNT, % of GDP</t>
  </si>
  <si>
    <t>TRADE BALANCE (goods)</t>
  </si>
  <si>
    <t>TRADE BALANCE (goods), % of GDP</t>
  </si>
  <si>
    <t>consistency check (tot.comp/empl.=comp.per.empl)</t>
  </si>
  <si>
    <t>2018Q1</t>
  </si>
  <si>
    <t>2018Q2</t>
  </si>
  <si>
    <t>2018Q3</t>
  </si>
  <si>
    <t>2018Q4</t>
  </si>
  <si>
    <t>Import consistency</t>
  </si>
  <si>
    <t>goods exports x 60% = intermediate imports</t>
  </si>
  <si>
    <t>investment x 50% = capital imports</t>
  </si>
  <si>
    <t>total value change</t>
  </si>
  <si>
    <t>HH consumption x 28% = consumption imports</t>
  </si>
  <si>
    <t>forecast value change</t>
  </si>
  <si>
    <t>VAT+Excise+import duties</t>
  </si>
  <si>
    <t>taxes on production</t>
  </si>
  <si>
    <t>taxes to EU, up by 0.13 bn for 2013 according to MoF</t>
  </si>
  <si>
    <t>Q</t>
  </si>
  <si>
    <t>A</t>
  </si>
  <si>
    <t>NL example</t>
  </si>
  <si>
    <t>Use these additives to arrive at the needed annual growth rate. They help to smooth out the growth</t>
  </si>
  <si>
    <t>D.29r-G</t>
  </si>
  <si>
    <t>D.2p</t>
  </si>
  <si>
    <t>D.39r</t>
  </si>
  <si>
    <t>D.4r</t>
  </si>
  <si>
    <t>D.5r-H</t>
  </si>
  <si>
    <t>D.5r-C</t>
  </si>
  <si>
    <t>D.5r-R</t>
  </si>
  <si>
    <t>D.611r</t>
  </si>
  <si>
    <t>D.621r</t>
  </si>
  <si>
    <t>D.7r</t>
  </si>
  <si>
    <t>D.9r</t>
  </si>
  <si>
    <t>P.2 - Intermediate consumption</t>
  </si>
  <si>
    <t>D.29p</t>
  </si>
  <si>
    <t>D.31p</t>
  </si>
  <si>
    <t>D.39p-H</t>
  </si>
  <si>
    <t>D.39p-C</t>
  </si>
  <si>
    <t>D.39-G</t>
  </si>
  <si>
    <t>D.3r</t>
  </si>
  <si>
    <t>D.4p</t>
  </si>
  <si>
    <t>D.41p</t>
  </si>
  <si>
    <t>D.5p</t>
  </si>
  <si>
    <t>D.62p</t>
  </si>
  <si>
    <t>D.63p</t>
  </si>
  <si>
    <t>D.7p</t>
  </si>
  <si>
    <t>D.8</t>
  </si>
  <si>
    <t>P.52-53</t>
  </si>
  <si>
    <t>P.52/53 - Changes in inventories / valuables</t>
  </si>
  <si>
    <t>UBCABOP</t>
  </si>
  <si>
    <t>Current account balance (BPM6 - Balance of payments statistics)</t>
  </si>
  <si>
    <t>Current account balance (NA)</t>
  </si>
  <si>
    <t>Current account balance (NA) as % of GDP</t>
  </si>
  <si>
    <t>Current account balance (BOP)</t>
  </si>
  <si>
    <t>Current account balance (BOP) as % of GDP</t>
  </si>
  <si>
    <t>USADCMYH</t>
  </si>
  <si>
    <t>Credit (all instruments) of the MFI sector to the domestic private sector - households</t>
  </si>
  <si>
    <t>USADCMYC</t>
  </si>
  <si>
    <t>Credit (all instruments) of the MFI sector to the domestic private sector - domestic non-financial corporations (inc. securities)</t>
  </si>
  <si>
    <t>USADCMYO</t>
  </si>
  <si>
    <t>Credit (all instruments) of the MFI sector to the domestic private sector - other domestic financial intermediaries and auxiliaries</t>
  </si>
  <si>
    <t>UTADCMYH</t>
  </si>
  <si>
    <t>Credit to the domestic private sector (MFI) - households</t>
  </si>
  <si>
    <t>UTADCMYC</t>
  </si>
  <si>
    <t>Credit to the domestic private sector (MFI) - domestic non-financial corporations (inc. securities)</t>
  </si>
  <si>
    <t>UTADCMYO</t>
  </si>
  <si>
    <t>Credit to the domestic private sector (MFI) - other domestic financial intermediaries and auxiliaries</t>
  </si>
  <si>
    <t>56 Current transfers from EU Institutions</t>
  </si>
  <si>
    <t>57 Capital transfers from EU Institutions</t>
  </si>
  <si>
    <t>Capital transfers from EU Institutions</t>
  </si>
  <si>
    <t>Current transfers from EU Institutions</t>
  </si>
  <si>
    <t>UOOMSR.1.0.0.0</t>
  </si>
  <si>
    <t>138 GG ONE-OFF MEASURES (REVENUE SIDE)</t>
  </si>
  <si>
    <t>UOOMSE.1.0.0.0</t>
  </si>
  <si>
    <t>139 GG ONE-OFF MEASURES (EXPENDITURE SIDE)</t>
  </si>
  <si>
    <t>UDMGCE.1.0.0.0</t>
  </si>
  <si>
    <t>153 DISCRETIONARY MEASURES CURRENT EXPENDITURE</t>
  </si>
  <si>
    <t>UDMGCR.1.0.0.0</t>
  </si>
  <si>
    <t>154 DISCRETIONARY MEASURES CURRENT REVENUE</t>
  </si>
  <si>
    <t>UDMGKE.1.0.0.0</t>
  </si>
  <si>
    <t>155 DISCRETIONARY MEASURES CAPITAL EXPENDITURE</t>
  </si>
  <si>
    <t>UDMGKTR.1.0.0.0</t>
  </si>
  <si>
    <t>156 DISCRETIONARY MEASURES CAPITAL TRANSFERS RECEIVED</t>
  </si>
  <si>
    <t>2019Q1</t>
  </si>
  <si>
    <t>2019Q2</t>
  </si>
  <si>
    <t>2019Q3</t>
  </si>
  <si>
    <t>2019Q4</t>
  </si>
  <si>
    <t>P.11+P.12+</t>
  </si>
  <si>
    <t>P.11+P.12+P.131 - 'Total sales of goods and services'</t>
  </si>
  <si>
    <t>D.21</t>
  </si>
  <si>
    <t>D.21 - Taxes on products (received from the domestic economy)</t>
  </si>
  <si>
    <t>D.29</t>
  </si>
  <si>
    <t>D.29 - Other taxes on production (received from households)</t>
  </si>
  <si>
    <t>D.29 - Other taxes on production (received from corporations)</t>
  </si>
  <si>
    <t>D.29 - Other taxes on production (received from government)</t>
  </si>
  <si>
    <t>D.2</t>
  </si>
  <si>
    <t>D.2 - Taxes on production and imports (received from RoW)</t>
  </si>
  <si>
    <t>D.39</t>
  </si>
  <si>
    <t>D.39 - Other subsidies on production (received from government)</t>
  </si>
  <si>
    <t>D.3</t>
  </si>
  <si>
    <t>D.3 - Subsidies (received from RoW)</t>
  </si>
  <si>
    <t>D.4</t>
  </si>
  <si>
    <t>D.4 - Property income (received)</t>
  </si>
  <si>
    <t>D.5</t>
  </si>
  <si>
    <t>D.5 - Current taxes on income and wealth (received from households)</t>
  </si>
  <si>
    <t>D.5 - Current taxes on income and wealth (received from corporations)</t>
  </si>
  <si>
    <t>D.5 - Current taxes on income and wealth (received from government)</t>
  </si>
  <si>
    <t>D.5 - Current taxes on income and wealth (received from RoW)</t>
  </si>
  <si>
    <t>D.611+D.61</t>
  </si>
  <si>
    <t>D.611+D.613 - Actual social contributions (received)</t>
  </si>
  <si>
    <t>D.612+D.61</t>
  </si>
  <si>
    <t>D.612+D.614-D.61SC - Imputed and other social contributions (received)</t>
  </si>
  <si>
    <t>D.7 - Other current transfers (received)</t>
  </si>
  <si>
    <t>D.9</t>
  </si>
  <si>
    <t>D.9 - Capital transfers (received)</t>
  </si>
  <si>
    <t>D.1</t>
  </si>
  <si>
    <t>D.1 - Compensation of employees</t>
  </si>
  <si>
    <t>D.29 - Other taxes on production (paid to government)</t>
  </si>
  <si>
    <t>D.2 - Taxes on production and imports (paid to RoW)</t>
  </si>
  <si>
    <t>D.31</t>
  </si>
  <si>
    <t>D.31 - Subsidies on products (paid to the domestic economy)</t>
  </si>
  <si>
    <t>D.39 - Other subsidies on production (paid to households)</t>
  </si>
  <si>
    <t>D.39 - Other subsidies on production (paid to corporations)</t>
  </si>
  <si>
    <t>D.39 - Other subsidies on production (paid to government)</t>
  </si>
  <si>
    <t>D.3 - Subsidies (paid to RoW)</t>
  </si>
  <si>
    <t>D.4-D.41</t>
  </si>
  <si>
    <t>D.4-D.41 - Property income (paid, excluding interests)</t>
  </si>
  <si>
    <t>D.41</t>
  </si>
  <si>
    <t>D.41 - Interest (paid)</t>
  </si>
  <si>
    <t>D.5 - Current taxes on income and wealth (paid to government)</t>
  </si>
  <si>
    <t>D.5 - Current taxes on income and wealth (paid to RoW)</t>
  </si>
  <si>
    <t>D.62</t>
  </si>
  <si>
    <t>D.62 - Social benefits other than in kind (paid)</t>
  </si>
  <si>
    <t>D.632</t>
  </si>
  <si>
    <t>D.632 - Social transfers in kind supplied via market producers (paid)</t>
  </si>
  <si>
    <t>D.7 - Other current transfers (paid)</t>
  </si>
  <si>
    <t>D.8 - Adjustment for change in pension entitlements</t>
  </si>
  <si>
    <t>D.9 - Capital transfers (paid)</t>
  </si>
  <si>
    <t>P.51g</t>
  </si>
  <si>
    <t>P.51g - Gross fixed capital expenditure</t>
  </si>
  <si>
    <t>P.52/53</t>
  </si>
  <si>
    <t>NP - Acquisition less disposal of non-produced assets</t>
  </si>
  <si>
    <t>Makes no sense</t>
  </si>
  <si>
    <t>UPDATE</t>
  </si>
  <si>
    <t>Almost no effect</t>
  </si>
  <si>
    <t>Kas tai?</t>
  </si>
  <si>
    <t>ES fondai??</t>
  </si>
  <si>
    <t>Iždo duomenys</t>
  </si>
  <si>
    <t>CIT</t>
  </si>
  <si>
    <t>PIT</t>
  </si>
  <si>
    <t>diskrecin priemon?</t>
  </si>
  <si>
    <t>Surast</t>
  </si>
  <si>
    <t>likutinis dydis</t>
  </si>
  <si>
    <t>SVARBU</t>
  </si>
  <si>
    <t>Indėlių draudimo išmokos</t>
  </si>
  <si>
    <t>atgauti indėliai</t>
  </si>
  <si>
    <t>Nominalus balansas</t>
  </si>
  <si>
    <t>Užimtųjų skaičius</t>
  </si>
  <si>
    <t>Neaišku</t>
  </si>
  <si>
    <t>Perbalansuoti</t>
  </si>
  <si>
    <t>Country: LT - Scale: Billions - Last update (server time): 2017.10.23 - 15:31:51</t>
  </si>
  <si>
    <t>AA calculations</t>
  </si>
  <si>
    <t>BE</t>
  </si>
  <si>
    <t>CURRENT ACCOUNT BALANCE (BPM6 - BALANCE OF PAYMENTS STATISTICS)</t>
  </si>
  <si>
    <t>DE</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</si>
</sst>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43" formatCode="_-* #,##0.00_-;\-* #,##0.00_-;_-* &quot;-&quot;??_-;_-@_-"/>
    <numFmt numFmtId="164" formatCode="_-* #,##0.00\ _€_-;\-* #,##0.00\ _€_-;_-* &quot;-&quot;??\ _€_-;_-@_-"/>
    <numFmt numFmtId="165" formatCode="0.0"/>
    <numFmt numFmtId="166" formatCode="0.0%"/>
    <numFmt numFmtId="167" formatCode="0.000"/>
    <numFmt numFmtId="168" formatCode="0.0000"/>
    <numFmt numFmtId="169" formatCode="0.0_)"/>
    <numFmt numFmtId="170" formatCode="0.0_);[Red]\-0.0_)"/>
    <numFmt numFmtId="171" formatCode="0.00_);[Red]\-0.00_)"/>
    <numFmt numFmtId="172" formatCode="#,##0.0"/>
    <numFmt numFmtId="173" formatCode="0.0000000"/>
    <numFmt numFmtId="174" formatCode="dd/mm/yyyy\ hh:mm:ss"/>
    <numFmt numFmtId="175" formatCode="#,##0\ &quot;Kč&quot;;\-#,##0\ &quot;Kč&quot;"/>
    <numFmt numFmtId="176" formatCode="0.000000"/>
    <numFmt numFmtId="177" formatCode="0.00_#"/>
    <numFmt numFmtId="178" formatCode="0.00000"/>
    <numFmt numFmtId="179" formatCode="0.00000000"/>
    <numFmt numFmtId="180" formatCode="0.0000000000"/>
    <numFmt numFmtId="181" formatCode="0.000000000"/>
    <numFmt numFmtId="182" formatCode="&quot;€&quot;\ #,##0;&quot;€&quot;\ \-#,##0"/>
    <numFmt numFmtId="183" formatCode="#\ ###\ ##0;&quot;-&quot;#\ ###\ ##0"/>
    <numFmt numFmtId="184" formatCode="&quot;€&quot;\ #,##0_-;&quot;€&quot;\ #,##0\-"/>
    <numFmt numFmtId="185" formatCode="0.0000%"/>
    <numFmt numFmtId="186" formatCode="0.00000%"/>
    <numFmt numFmtId="187" formatCode="0.000%"/>
    <numFmt numFmtId="188" formatCode="#,##0.0000"/>
    <numFmt numFmtId="189" formatCode="0.000000000000000"/>
  </numFmts>
  <fonts count="166">
    <font>
      <sz val="10"/>
      <name val="Arial"/>
    </font>
    <font>
      <sz val="10"/>
      <name val="Arial"/>
      <family val="2"/>
    </font>
    <font>
      <sz val="10"/>
      <color indexed="9"/>
      <name val="Arial"/>
      <family val="2"/>
    </font>
    <font>
      <sz val="8"/>
      <name val="Arial"/>
      <family val="2"/>
    </font>
    <font>
      <b/>
      <sz val="8"/>
      <name val="Arial"/>
      <family val="2"/>
    </font>
    <font>
      <sz val="8"/>
      <name val="Tms Rmn"/>
    </font>
    <font>
      <b/>
      <sz val="11"/>
      <name val="Gentle Sans"/>
    </font>
    <font>
      <sz val="10"/>
      <color indexed="14"/>
      <name val="Arial MT"/>
    </font>
    <font>
      <sz val="10"/>
      <color indexed="8"/>
      <name val="Arial MT"/>
    </font>
    <font>
      <b/>
      <i/>
      <sz val="12"/>
      <name val="Gentle Sans"/>
    </font>
    <font>
      <u/>
      <sz val="10"/>
      <color indexed="20"/>
      <name val="Arial"/>
      <family val="2"/>
    </font>
    <font>
      <sz val="10"/>
      <name val="Helv"/>
    </font>
    <font>
      <u/>
      <sz val="7.5"/>
      <color indexed="12"/>
      <name val="Arial"/>
      <family val="2"/>
    </font>
    <font>
      <u/>
      <sz val="10"/>
      <color indexed="12"/>
      <name val="Arial"/>
      <family val="2"/>
    </font>
    <font>
      <b/>
      <sz val="10"/>
      <color indexed="8"/>
      <name val="Arial MT"/>
    </font>
    <font>
      <sz val="12"/>
      <name val="Arial CE"/>
      <family val="2"/>
      <charset val="238"/>
    </font>
    <font>
      <sz val="9"/>
      <name val="Times New Roman"/>
      <family val="1"/>
    </font>
    <font>
      <sz val="11"/>
      <name val="Tms Rmn"/>
    </font>
    <font>
      <i/>
      <sz val="12"/>
      <name val="Gentle Sans"/>
    </font>
    <font>
      <sz val="9"/>
      <name val="Gentle Sans"/>
    </font>
    <font>
      <sz val="9"/>
      <name val="Gentle Sans Light"/>
    </font>
    <font>
      <sz val="8"/>
      <name val="Helvetica"/>
      <family val="2"/>
    </font>
    <font>
      <sz val="10"/>
      <name val="Gentle Sans"/>
    </font>
    <font>
      <i/>
      <sz val="8"/>
      <name val="Tms Rmn"/>
    </font>
    <font>
      <b/>
      <sz val="14"/>
      <color indexed="8"/>
      <name val="CG Times (WN)"/>
    </font>
    <font>
      <b/>
      <sz val="8"/>
      <name val="Tms Rmn"/>
    </font>
    <font>
      <b/>
      <sz val="10"/>
      <color indexed="9"/>
      <name val="Arial MT"/>
    </font>
    <font>
      <sz val="10"/>
      <name val="New Baskerville"/>
    </font>
    <font>
      <sz val="10"/>
      <name val="Arial"/>
      <family val="2"/>
    </font>
    <font>
      <b/>
      <sz val="10"/>
      <color indexed="9"/>
      <name val="Arial"/>
      <family val="2"/>
    </font>
    <font>
      <b/>
      <sz val="10"/>
      <name val="Arial"/>
      <family val="2"/>
    </font>
    <font>
      <sz val="10"/>
      <color indexed="12"/>
      <name val="Arial"/>
      <family val="2"/>
    </font>
    <font>
      <b/>
      <sz val="10"/>
      <name val="Arial"/>
      <family val="2"/>
    </font>
    <font>
      <i/>
      <sz val="10"/>
      <name val="Arial"/>
      <family val="2"/>
    </font>
    <font>
      <sz val="10"/>
      <color indexed="8"/>
      <name val="Arial"/>
      <family val="2"/>
    </font>
    <font>
      <sz val="10"/>
      <name val="Arial MT"/>
    </font>
    <font>
      <sz val="9"/>
      <color indexed="8"/>
      <name val="Arial"/>
      <family val="2"/>
    </font>
    <font>
      <b/>
      <sz val="9"/>
      <color indexed="9"/>
      <name val="Arial"/>
      <family val="2"/>
    </font>
    <font>
      <b/>
      <sz val="9"/>
      <color indexed="8"/>
      <name val="Arial"/>
      <family val="2"/>
    </font>
    <font>
      <b/>
      <sz val="10"/>
      <color indexed="8"/>
      <name val="Arial"/>
      <family val="2"/>
    </font>
    <font>
      <b/>
      <sz val="10"/>
      <color indexed="8"/>
      <name val="Arial"/>
      <family val="2"/>
    </font>
    <font>
      <b/>
      <sz val="12"/>
      <color indexed="8"/>
      <name val="Arial"/>
      <family val="2"/>
    </font>
    <font>
      <sz val="8"/>
      <color indexed="8"/>
      <name val="Arial"/>
      <family val="2"/>
    </font>
    <font>
      <i/>
      <sz val="10"/>
      <color indexed="8"/>
      <name val="Arial"/>
      <family val="2"/>
    </font>
    <font>
      <sz val="12"/>
      <color indexed="8"/>
      <name val="Arial"/>
      <family val="2"/>
    </font>
    <font>
      <sz val="10"/>
      <color indexed="55"/>
      <name val="Arial"/>
      <family val="2"/>
    </font>
    <font>
      <sz val="10"/>
      <color indexed="11"/>
      <name val="Arial"/>
      <family val="2"/>
    </font>
    <font>
      <sz val="8"/>
      <color indexed="10"/>
      <name val="Arial"/>
      <family val="2"/>
    </font>
    <font>
      <b/>
      <sz val="8"/>
      <color indexed="8"/>
      <name val="Arial"/>
      <family val="2"/>
    </font>
    <font>
      <sz val="10"/>
      <color indexed="10"/>
      <name val="Arial"/>
      <family val="2"/>
    </font>
    <font>
      <b/>
      <i/>
      <sz val="10"/>
      <color indexed="8"/>
      <name val="Arial"/>
      <family val="2"/>
    </font>
    <font>
      <sz val="12"/>
      <name val="Arial"/>
      <family val="2"/>
    </font>
    <font>
      <i/>
      <sz val="8"/>
      <color indexed="8"/>
      <name val="Arial"/>
      <family val="2"/>
    </font>
    <font>
      <u/>
      <sz val="10"/>
      <color indexed="8"/>
      <name val="Arial"/>
      <family val="2"/>
    </font>
    <font>
      <sz val="7"/>
      <name val="Arial"/>
      <family val="2"/>
    </font>
    <font>
      <b/>
      <sz val="10"/>
      <color indexed="10"/>
      <name val="Arial"/>
      <family val="2"/>
    </font>
    <font>
      <sz val="8"/>
      <color indexed="81"/>
      <name val="Tahoma"/>
      <family val="2"/>
    </font>
    <font>
      <b/>
      <sz val="8"/>
      <color indexed="81"/>
      <name val="Tahoma"/>
      <family val="2"/>
    </font>
    <font>
      <b/>
      <i/>
      <sz val="8"/>
      <name val="Arial"/>
      <family val="2"/>
    </font>
    <font>
      <i/>
      <sz val="8"/>
      <name val="Arial"/>
      <family val="2"/>
    </font>
    <font>
      <sz val="8"/>
      <name val="Arial"/>
      <family val="2"/>
    </font>
    <font>
      <sz val="8"/>
      <color indexed="9"/>
      <name val="Arial"/>
      <family val="2"/>
    </font>
    <font>
      <b/>
      <sz val="10"/>
      <color indexed="62"/>
      <name val="Arial"/>
      <family val="2"/>
    </font>
    <font>
      <b/>
      <sz val="10"/>
      <color indexed="9"/>
      <name val="Arial"/>
      <family val="2"/>
    </font>
    <font>
      <b/>
      <sz val="8"/>
      <name val="Arial"/>
      <family val="2"/>
    </font>
    <font>
      <sz val="7"/>
      <color indexed="9"/>
      <name val="Arial"/>
      <family val="2"/>
    </font>
    <font>
      <b/>
      <i/>
      <sz val="12"/>
      <color indexed="9"/>
      <name val="Arial"/>
      <family val="2"/>
    </font>
    <font>
      <b/>
      <i/>
      <sz val="10"/>
      <name val="Arial"/>
      <family val="2"/>
    </font>
    <font>
      <b/>
      <sz val="8"/>
      <color indexed="10"/>
      <name val="Arial"/>
      <family val="2"/>
    </font>
    <font>
      <sz val="10"/>
      <name val="Arial CE"/>
      <charset val="238"/>
    </font>
    <font>
      <sz val="10"/>
      <name val="Times New Roman CE"/>
      <charset val="238"/>
    </font>
    <font>
      <b/>
      <sz val="18"/>
      <name val="Arial CE"/>
      <charset val="238"/>
    </font>
    <font>
      <b/>
      <sz val="12"/>
      <name val="Arial CE"/>
      <charset val="238"/>
    </font>
    <font>
      <b/>
      <sz val="14"/>
      <name val="Arial"/>
      <family val="2"/>
    </font>
    <font>
      <i/>
      <sz val="12"/>
      <name val="Arial"/>
      <family val="2"/>
    </font>
    <font>
      <sz val="24"/>
      <name val="Arial"/>
      <family val="2"/>
    </font>
    <font>
      <b/>
      <sz val="12"/>
      <name val="Arial"/>
      <family val="2"/>
    </font>
    <font>
      <b/>
      <sz val="6"/>
      <name val="Arial"/>
      <family val="2"/>
    </font>
    <font>
      <b/>
      <sz val="8"/>
      <color indexed="9"/>
      <name val="Arial"/>
      <family val="2"/>
    </font>
    <font>
      <sz val="10"/>
      <color indexed="9"/>
      <name val="Arial"/>
      <family val="2"/>
    </font>
    <font>
      <sz val="10"/>
      <name val="Arial"/>
      <family val="2"/>
    </font>
    <font>
      <b/>
      <sz val="10"/>
      <color indexed="9"/>
      <name val="Symbol"/>
      <family val="1"/>
      <charset val="2"/>
    </font>
    <font>
      <b/>
      <u/>
      <sz val="10"/>
      <name val="Arial"/>
      <family val="2"/>
    </font>
    <font>
      <b/>
      <sz val="14"/>
      <color indexed="9"/>
      <name val="Arial"/>
      <family val="2"/>
    </font>
    <font>
      <i/>
      <sz val="8"/>
      <color indexed="17"/>
      <name val="Arial"/>
      <family val="2"/>
    </font>
    <font>
      <b/>
      <i/>
      <sz val="8"/>
      <color indexed="17"/>
      <name val="Arial"/>
      <family val="2"/>
    </font>
    <font>
      <sz val="12"/>
      <color indexed="12"/>
      <name val="Arial"/>
      <family val="2"/>
    </font>
    <font>
      <b/>
      <sz val="12"/>
      <color indexed="10"/>
      <name val="Arial"/>
      <family val="2"/>
    </font>
    <font>
      <sz val="12"/>
      <color indexed="13"/>
      <name val="Arial"/>
      <family val="2"/>
    </font>
    <font>
      <u/>
      <sz val="8"/>
      <color indexed="81"/>
      <name val="Tahoma"/>
      <family val="2"/>
    </font>
    <font>
      <b/>
      <sz val="8"/>
      <color indexed="10"/>
      <name val="Tahoma"/>
      <family val="2"/>
    </font>
    <font>
      <sz val="10"/>
      <color indexed="8"/>
      <name val="Arial"/>
      <family val="2"/>
    </font>
    <font>
      <sz val="10"/>
      <name val="Arial"/>
      <family val="2"/>
    </font>
    <font>
      <sz val="11"/>
      <name val="Arial"/>
      <family val="2"/>
    </font>
    <font>
      <b/>
      <sz val="11"/>
      <name val="Arial"/>
      <family val="2"/>
    </font>
    <font>
      <b/>
      <sz val="11"/>
      <color indexed="10"/>
      <name val="Arial"/>
      <family val="2"/>
    </font>
    <font>
      <b/>
      <i/>
      <sz val="11"/>
      <name val="Arial"/>
      <family val="2"/>
    </font>
    <font>
      <b/>
      <sz val="11"/>
      <color indexed="10"/>
      <name val="Arial"/>
      <family val="2"/>
    </font>
    <font>
      <u/>
      <sz val="11"/>
      <name val="Arial"/>
      <family val="2"/>
    </font>
    <font>
      <b/>
      <sz val="11"/>
      <name val="Arial"/>
      <family val="2"/>
    </font>
    <font>
      <sz val="11"/>
      <name val="Arial"/>
      <family val="2"/>
    </font>
    <font>
      <sz val="10"/>
      <name val="Arial"/>
      <family val="2"/>
    </font>
    <font>
      <sz val="11"/>
      <color indexed="9"/>
      <name val="Arial"/>
      <family val="2"/>
    </font>
    <font>
      <b/>
      <i/>
      <sz val="14"/>
      <color indexed="9"/>
      <name val="Arial"/>
      <family val="2"/>
    </font>
    <font>
      <b/>
      <i/>
      <sz val="10"/>
      <color indexed="9"/>
      <name val="Arial"/>
      <family val="2"/>
    </font>
    <font>
      <b/>
      <sz val="10"/>
      <color indexed="12"/>
      <name val="Arial"/>
      <family val="2"/>
    </font>
    <font>
      <b/>
      <sz val="12"/>
      <color indexed="9"/>
      <name val="Arial"/>
      <family val="2"/>
    </font>
    <font>
      <sz val="12"/>
      <color indexed="9"/>
      <name val="Arial"/>
      <family val="2"/>
    </font>
    <font>
      <b/>
      <u/>
      <sz val="12"/>
      <color indexed="9"/>
      <name val="Arial"/>
      <family val="2"/>
    </font>
    <font>
      <sz val="8"/>
      <color indexed="9"/>
      <name val="Arial"/>
      <family val="2"/>
    </font>
    <font>
      <i/>
      <sz val="10"/>
      <color indexed="12"/>
      <name val="Arial"/>
      <family val="2"/>
    </font>
    <font>
      <sz val="8"/>
      <color indexed="12"/>
      <name val="Arial"/>
      <family val="2"/>
    </font>
    <font>
      <i/>
      <sz val="8"/>
      <color indexed="12"/>
      <name val="Arial"/>
      <family val="2"/>
    </font>
    <font>
      <b/>
      <sz val="8"/>
      <color indexed="12"/>
      <name val="Arial"/>
      <family val="2"/>
    </font>
    <font>
      <b/>
      <i/>
      <sz val="8"/>
      <color indexed="8"/>
      <name val="Arial"/>
      <family val="2"/>
    </font>
    <font>
      <sz val="10"/>
      <color indexed="48"/>
      <name val="Arial"/>
      <family val="2"/>
    </font>
    <font>
      <b/>
      <u/>
      <sz val="10"/>
      <color indexed="10"/>
      <name val="Arial"/>
      <family val="2"/>
    </font>
    <font>
      <b/>
      <i/>
      <sz val="10"/>
      <color indexed="10"/>
      <name val="Arial"/>
      <family val="2"/>
    </font>
    <font>
      <b/>
      <sz val="10"/>
      <color indexed="81"/>
      <name val="Tahoma"/>
      <family val="2"/>
    </font>
    <font>
      <sz val="10"/>
      <color indexed="81"/>
      <name val="Tahoma"/>
      <family val="2"/>
    </font>
    <font>
      <b/>
      <sz val="8"/>
      <color indexed="53"/>
      <name val="Arial"/>
      <family val="2"/>
    </font>
    <font>
      <b/>
      <sz val="10"/>
      <color indexed="10"/>
      <name val="Arial"/>
      <family val="2"/>
    </font>
    <font>
      <b/>
      <sz val="9"/>
      <color indexed="81"/>
      <name val="Tahoma"/>
      <family val="2"/>
      <charset val="238"/>
    </font>
    <font>
      <b/>
      <sz val="10"/>
      <color indexed="10"/>
      <name val="Arial"/>
      <family val="2"/>
    </font>
    <font>
      <sz val="9"/>
      <color indexed="63"/>
      <name val="Arial"/>
      <family val="2"/>
    </font>
    <font>
      <b/>
      <sz val="10"/>
      <color indexed="10"/>
      <name val="Arial"/>
      <family val="2"/>
    </font>
    <font>
      <sz val="10"/>
      <color indexed="10"/>
      <name val="Arial"/>
      <family val="2"/>
    </font>
    <font>
      <sz val="9"/>
      <color indexed="81"/>
      <name val="Tahoma"/>
      <family val="2"/>
    </font>
    <font>
      <b/>
      <sz val="9"/>
      <color indexed="81"/>
      <name val="Tahoma"/>
      <family val="2"/>
    </font>
    <font>
      <b/>
      <u val="double"/>
      <sz val="9"/>
      <color indexed="81"/>
      <name val="Tahoma"/>
      <family val="2"/>
    </font>
    <font>
      <sz val="11"/>
      <color indexed="8"/>
      <name val="Calibri"/>
      <family val="2"/>
    </font>
    <font>
      <b/>
      <sz val="10"/>
      <color indexed="23"/>
      <name val="Arial"/>
      <family val="2"/>
    </font>
    <font>
      <b/>
      <i/>
      <sz val="10"/>
      <color indexed="55"/>
      <name val="Arial"/>
      <family val="2"/>
    </font>
    <font>
      <b/>
      <sz val="10"/>
      <color indexed="10"/>
      <name val="Arial"/>
      <family val="2"/>
    </font>
    <font>
      <b/>
      <sz val="10"/>
      <color indexed="17"/>
      <name val="Arial"/>
      <family val="2"/>
    </font>
    <font>
      <sz val="10"/>
      <name val="Arial"/>
      <family val="2"/>
    </font>
    <font>
      <b/>
      <sz val="10"/>
      <color indexed="10"/>
      <name val="Arial"/>
      <family val="2"/>
    </font>
    <font>
      <b/>
      <sz val="10"/>
      <color indexed="17"/>
      <name val="Arial"/>
      <family val="2"/>
    </font>
    <font>
      <sz val="10"/>
      <color indexed="10"/>
      <name val="Arial"/>
      <family val="2"/>
    </font>
    <font>
      <b/>
      <sz val="8"/>
      <color indexed="10"/>
      <name val="Arial"/>
      <family val="2"/>
    </font>
    <font>
      <sz val="8"/>
      <color indexed="10"/>
      <name val="Arial"/>
      <family val="2"/>
    </font>
    <font>
      <b/>
      <sz val="10"/>
      <color indexed="9"/>
      <name val="Arial"/>
      <family val="2"/>
    </font>
    <font>
      <b/>
      <sz val="10"/>
      <color indexed="10"/>
      <name val="Arial"/>
      <family val="2"/>
    </font>
    <font>
      <b/>
      <sz val="10"/>
      <color indexed="9"/>
      <name val="Arial"/>
      <family val="2"/>
    </font>
    <font>
      <sz val="10"/>
      <color indexed="10"/>
      <name val="Arial"/>
      <family val="2"/>
    </font>
    <font>
      <b/>
      <sz val="10"/>
      <color indexed="17"/>
      <name val="Arial"/>
      <family val="2"/>
    </font>
    <font>
      <b/>
      <i/>
      <sz val="10"/>
      <color indexed="10"/>
      <name val="Arial"/>
      <family val="2"/>
    </font>
    <font>
      <b/>
      <sz val="8"/>
      <color indexed="10"/>
      <name val="Arial"/>
      <family val="2"/>
    </font>
    <font>
      <i/>
      <sz val="10"/>
      <color indexed="10"/>
      <name val="Arial"/>
      <family val="2"/>
    </font>
    <font>
      <sz val="12"/>
      <name val="Times New Roman"/>
      <family val="1"/>
      <charset val="186"/>
    </font>
    <font>
      <sz val="11"/>
      <color indexed="8"/>
      <name val="Calibri"/>
      <family val="2"/>
      <charset val="134"/>
    </font>
    <font>
      <sz val="11"/>
      <color indexed="8"/>
      <name val="Calibri"/>
      <family val="2"/>
    </font>
    <font>
      <sz val="11"/>
      <color indexed="8"/>
      <name val="Calibri"/>
      <family val="2"/>
    </font>
    <font>
      <sz val="6.5"/>
      <name val="Univers"/>
      <family val="2"/>
    </font>
    <font>
      <b/>
      <sz val="18"/>
      <name val="Arial"/>
      <family val="2"/>
    </font>
    <font>
      <sz val="11"/>
      <color theme="1"/>
      <name val="Calibri"/>
      <family val="2"/>
      <scheme val="minor"/>
    </font>
    <font>
      <u/>
      <sz val="11"/>
      <color theme="10"/>
      <name val="Calibri"/>
      <family val="2"/>
      <scheme val="minor"/>
    </font>
    <font>
      <sz val="10"/>
      <color theme="1"/>
      <name val="Calibri"/>
      <family val="2"/>
    </font>
    <font>
      <sz val="10"/>
      <color theme="1"/>
      <name val="Arial"/>
      <family val="2"/>
    </font>
    <font>
      <b/>
      <sz val="10"/>
      <color rgb="FFFF0000"/>
      <name val="Arial"/>
      <family val="2"/>
    </font>
    <font>
      <b/>
      <i/>
      <sz val="12"/>
      <color indexed="13"/>
      <name val="Arial"/>
      <family val="2"/>
    </font>
    <font>
      <sz val="10"/>
      <color rgb="FFFF0000"/>
      <name val="Arial"/>
      <family val="2"/>
    </font>
    <font>
      <sz val="10"/>
      <color theme="0"/>
      <name val="Arial"/>
      <family val="2"/>
    </font>
    <font>
      <sz val="10"/>
      <name val="Arial"/>
      <family val="2"/>
    </font>
    <font>
      <b/>
      <sz val="12"/>
      <color rgb="FF000000"/>
      <name val="Arial"/>
      <family val="2"/>
      <charset val="238"/>
    </font>
    <font>
      <sz val="10"/>
      <color rgb="FF000000"/>
      <name val="Arial"/>
      <family val="2"/>
      <charset val="238"/>
    </font>
  </fonts>
  <fills count="49">
    <fill>
      <patternFill patternType="none"/>
    </fill>
    <fill>
      <patternFill patternType="gray125"/>
    </fill>
    <fill>
      <patternFill patternType="solid">
        <fgColor indexed="22"/>
      </patternFill>
    </fill>
    <fill>
      <patternFill patternType="solid">
        <fgColor indexed="43"/>
      </patternFill>
    </fill>
    <fill>
      <patternFill patternType="solid">
        <fgColor indexed="52"/>
      </patternFill>
    </fill>
    <fill>
      <patternFill patternType="solid">
        <fgColor indexed="55"/>
      </patternFill>
    </fill>
    <fill>
      <patternFill patternType="solid">
        <fgColor indexed="19"/>
      </patternFill>
    </fill>
    <fill>
      <patternFill patternType="solid">
        <fgColor indexed="13"/>
      </patternFill>
    </fill>
    <fill>
      <patternFill patternType="solid">
        <fgColor indexed="9"/>
      </patternFill>
    </fill>
    <fill>
      <patternFill patternType="solid">
        <fgColor indexed="9"/>
        <bgColor indexed="8"/>
      </patternFill>
    </fill>
    <fill>
      <patternFill patternType="solid">
        <fgColor indexed="48"/>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30"/>
        <bgColor indexed="64"/>
      </patternFill>
    </fill>
    <fill>
      <patternFill patternType="solid">
        <fgColor indexed="65"/>
        <bgColor indexed="44"/>
      </patternFill>
    </fill>
    <fill>
      <patternFill patternType="lightUp">
        <fgColor indexed="41"/>
        <bgColor indexed="30"/>
      </patternFill>
    </fill>
    <fill>
      <patternFill patternType="solid">
        <fgColor indexed="41"/>
        <bgColor indexed="64"/>
      </patternFill>
    </fill>
    <fill>
      <patternFill patternType="solid">
        <fgColor indexed="31"/>
        <bgColor indexed="64"/>
      </patternFill>
    </fill>
    <fill>
      <patternFill patternType="solid">
        <fgColor indexed="42"/>
        <bgColor indexed="64"/>
      </patternFill>
    </fill>
    <fill>
      <patternFill patternType="solid">
        <fgColor indexed="31"/>
        <bgColor indexed="12"/>
      </patternFill>
    </fill>
    <fill>
      <patternFill patternType="solid">
        <fgColor indexed="45"/>
        <bgColor indexed="64"/>
      </patternFill>
    </fill>
    <fill>
      <patternFill patternType="solid">
        <fgColor indexed="43"/>
        <bgColor indexed="44"/>
      </patternFill>
    </fill>
    <fill>
      <patternFill patternType="solid">
        <fgColor indexed="51"/>
        <bgColor indexed="44"/>
      </patternFill>
    </fill>
    <fill>
      <patternFill patternType="solid">
        <fgColor indexed="62"/>
        <bgColor indexed="64"/>
      </patternFill>
    </fill>
    <fill>
      <patternFill patternType="gray125">
        <bgColor indexed="41"/>
      </patternFill>
    </fill>
    <fill>
      <patternFill patternType="gray125">
        <bgColor indexed="42"/>
      </patternFill>
    </fill>
    <fill>
      <patternFill patternType="solid">
        <fgColor indexed="65"/>
        <bgColor indexed="64"/>
      </patternFill>
    </fill>
    <fill>
      <patternFill patternType="gray125">
        <bgColor indexed="31"/>
      </patternFill>
    </fill>
    <fill>
      <patternFill patternType="solid">
        <fgColor indexed="47"/>
        <bgColor indexed="64"/>
      </patternFill>
    </fill>
    <fill>
      <patternFill patternType="gray125">
        <bgColor indexed="44"/>
      </patternFill>
    </fill>
    <fill>
      <patternFill patternType="gray125">
        <bgColor indexed="22"/>
      </patternFill>
    </fill>
    <fill>
      <patternFill patternType="solid">
        <fgColor indexed="51"/>
        <bgColor indexed="64"/>
      </patternFill>
    </fill>
    <fill>
      <patternFill patternType="solid">
        <fgColor indexed="31"/>
        <bgColor indexed="44"/>
      </patternFill>
    </fill>
    <fill>
      <patternFill patternType="solid">
        <fgColor indexed="22"/>
        <bgColor indexed="42"/>
      </patternFill>
    </fill>
    <fill>
      <patternFill patternType="gray125">
        <bgColor indexed="43"/>
      </patternFill>
    </fill>
    <fill>
      <patternFill patternType="solid">
        <fgColor indexed="13"/>
        <bgColor indexed="64"/>
      </patternFill>
    </fill>
    <fill>
      <patternFill patternType="solid">
        <fgColor indexed="10"/>
        <bgColor indexed="64"/>
      </patternFill>
    </fill>
    <fill>
      <patternFill patternType="solid">
        <fgColor indexed="53"/>
        <bgColor indexed="64"/>
      </patternFill>
    </fill>
    <fill>
      <patternFill patternType="solid">
        <fgColor indexed="31"/>
        <bgColor indexed="8"/>
      </patternFill>
    </fill>
    <fill>
      <patternFill patternType="solid">
        <fgColor rgb="FFFFFFCC"/>
      </patternFill>
    </fill>
    <fill>
      <patternFill patternType="solid">
        <fgColor rgb="FFFFFF00"/>
        <bgColor indexed="64"/>
      </patternFill>
    </fill>
    <fill>
      <patternFill patternType="solid">
        <fgColor theme="6" tint="0.79998168889431442"/>
        <bgColor indexed="64"/>
      </patternFill>
    </fill>
    <fill>
      <patternFill patternType="solid">
        <fgColor rgb="FFFF0000"/>
        <bgColor indexed="64"/>
      </patternFill>
    </fill>
    <fill>
      <patternFill patternType="solid">
        <fgColor theme="0"/>
        <bgColor indexed="64"/>
      </patternFill>
    </fill>
    <fill>
      <patternFill patternType="solid">
        <fgColor theme="9" tint="-0.249977111117893"/>
        <bgColor indexed="64"/>
      </patternFill>
    </fill>
    <fill>
      <patternFill patternType="solid">
        <fgColor rgb="FFFFC000"/>
        <bgColor indexed="64"/>
      </patternFill>
    </fill>
  </fills>
  <borders count="160">
    <border>
      <left/>
      <right/>
      <top/>
      <bottom/>
      <diagonal/>
    </border>
    <border>
      <left/>
      <right/>
      <top style="double">
        <color indexed="8"/>
      </top>
      <bottom/>
      <diagonal/>
    </border>
    <border>
      <left style="thin">
        <color indexed="64"/>
      </left>
      <right/>
      <top/>
      <bottom/>
      <diagonal/>
    </border>
    <border>
      <left/>
      <right/>
      <top/>
      <bottom style="medium">
        <color indexed="64"/>
      </bottom>
      <diagonal/>
    </border>
    <border>
      <left/>
      <right/>
      <top/>
      <bottom style="thin">
        <color indexed="8"/>
      </bottom>
      <diagonal/>
    </border>
    <border>
      <left/>
      <right/>
      <top style="double">
        <color indexed="0"/>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top style="thin">
        <color indexed="64"/>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style="thin">
        <color indexed="44"/>
      </left>
      <right style="thin">
        <color indexed="44"/>
      </right>
      <top style="thin">
        <color indexed="44"/>
      </top>
      <bottom/>
      <diagonal/>
    </border>
    <border>
      <left style="thin">
        <color indexed="12"/>
      </left>
      <right/>
      <top style="thin">
        <color indexed="12"/>
      </top>
      <bottom/>
      <diagonal/>
    </border>
    <border>
      <left style="thin">
        <color indexed="12"/>
      </left>
      <right style="thin">
        <color indexed="12"/>
      </right>
      <top style="thin">
        <color indexed="12"/>
      </top>
      <bottom/>
      <diagonal/>
    </border>
    <border>
      <left style="thin">
        <color indexed="12"/>
      </left>
      <right style="thin">
        <color indexed="12"/>
      </right>
      <top/>
      <bottom/>
      <diagonal/>
    </border>
    <border>
      <left style="thin">
        <color indexed="12"/>
      </left>
      <right/>
      <top/>
      <bottom/>
      <diagonal/>
    </border>
    <border>
      <left/>
      <right style="thin">
        <color indexed="12"/>
      </right>
      <top/>
      <bottom/>
      <diagonal/>
    </border>
    <border>
      <left style="medium">
        <color indexed="12"/>
      </left>
      <right style="medium">
        <color indexed="12"/>
      </right>
      <top/>
      <bottom/>
      <diagonal/>
    </border>
    <border>
      <left style="medium">
        <color indexed="12"/>
      </left>
      <right style="medium">
        <color indexed="12"/>
      </right>
      <top/>
      <bottom style="medium">
        <color indexed="12"/>
      </bottom>
      <diagonal/>
    </border>
    <border>
      <left/>
      <right/>
      <top/>
      <bottom style="thin">
        <color indexed="12"/>
      </bottom>
      <diagonal/>
    </border>
    <border>
      <left/>
      <right/>
      <top style="thin">
        <color indexed="12"/>
      </top>
      <bottom style="thin">
        <color indexed="12"/>
      </bottom>
      <diagonal/>
    </border>
    <border>
      <left style="medium">
        <color indexed="12"/>
      </left>
      <right style="medium">
        <color indexed="12"/>
      </right>
      <top style="medium">
        <color indexed="12"/>
      </top>
      <bottom/>
      <diagonal/>
    </border>
    <border>
      <left style="thin">
        <color indexed="12"/>
      </left>
      <right style="thin">
        <color indexed="12"/>
      </right>
      <top/>
      <bottom style="thin">
        <color indexed="12"/>
      </bottom>
      <diagonal/>
    </border>
    <border>
      <left style="thin">
        <color indexed="12"/>
      </left>
      <right style="thin">
        <color indexed="12"/>
      </right>
      <top style="thin">
        <color indexed="12"/>
      </top>
      <bottom style="thin">
        <color indexed="12"/>
      </bottom>
      <diagonal/>
    </border>
    <border>
      <left/>
      <right/>
      <top style="thin">
        <color indexed="12"/>
      </top>
      <bottom/>
      <diagonal/>
    </border>
    <border>
      <left style="thin">
        <color indexed="12"/>
      </left>
      <right/>
      <top/>
      <bottom style="thin">
        <color indexed="12"/>
      </bottom>
      <diagonal/>
    </border>
    <border>
      <left style="thin">
        <color indexed="12"/>
      </left>
      <right/>
      <top style="thin">
        <color indexed="12"/>
      </top>
      <bottom style="thin">
        <color indexed="12"/>
      </bottom>
      <diagonal/>
    </border>
    <border>
      <left style="thin">
        <color indexed="17"/>
      </left>
      <right/>
      <top style="thin">
        <color indexed="17"/>
      </top>
      <bottom/>
      <diagonal/>
    </border>
    <border>
      <left/>
      <right/>
      <top style="thin">
        <color indexed="17"/>
      </top>
      <bottom/>
      <diagonal/>
    </border>
    <border>
      <left style="thin">
        <color indexed="17"/>
      </left>
      <right/>
      <top/>
      <bottom style="thin">
        <color indexed="17"/>
      </bottom>
      <diagonal/>
    </border>
    <border>
      <left/>
      <right/>
      <top/>
      <bottom style="thin">
        <color indexed="17"/>
      </bottom>
      <diagonal/>
    </border>
    <border>
      <left style="thin">
        <color indexed="57"/>
      </left>
      <right/>
      <top/>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style="thin">
        <color indexed="57"/>
      </left>
      <right/>
      <top style="thin">
        <color indexed="57"/>
      </top>
      <bottom/>
      <diagonal/>
    </border>
    <border>
      <left/>
      <right/>
      <top style="thin">
        <color indexed="57"/>
      </top>
      <bottom/>
      <diagonal/>
    </border>
    <border>
      <left style="thin">
        <color indexed="17"/>
      </left>
      <right/>
      <top style="thin">
        <color indexed="17"/>
      </top>
      <bottom style="thin">
        <color indexed="17"/>
      </bottom>
      <diagonal/>
    </border>
    <border>
      <left/>
      <right/>
      <top style="thin">
        <color indexed="17"/>
      </top>
      <bottom style="thin">
        <color indexed="17"/>
      </bottom>
      <diagonal/>
    </border>
    <border>
      <left style="thin">
        <color indexed="17"/>
      </left>
      <right/>
      <top/>
      <bottom/>
      <diagonal/>
    </border>
    <border>
      <left style="thin">
        <color indexed="8"/>
      </left>
      <right/>
      <top style="thin">
        <color indexed="8"/>
      </top>
      <bottom/>
      <diagonal/>
    </border>
    <border>
      <left/>
      <right/>
      <top style="thin">
        <color indexed="8"/>
      </top>
      <bottom/>
      <diagonal/>
    </border>
    <border>
      <left style="thin">
        <color indexed="8"/>
      </left>
      <right/>
      <top/>
      <bottom style="thin">
        <color indexed="8"/>
      </bottom>
      <diagonal/>
    </border>
    <border>
      <left style="thin">
        <color indexed="57"/>
      </left>
      <right/>
      <top/>
      <bottom style="thin">
        <color indexed="17"/>
      </bottom>
      <diagonal/>
    </border>
    <border>
      <left style="thin">
        <color indexed="8"/>
      </left>
      <right/>
      <top/>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12"/>
      </right>
      <top/>
      <bottom style="thin">
        <color indexed="12"/>
      </bottom>
      <diagonal/>
    </border>
    <border>
      <left/>
      <right style="thin">
        <color indexed="12"/>
      </right>
      <top style="thin">
        <color indexed="12"/>
      </top>
      <bottom/>
      <diagonal/>
    </border>
    <border>
      <left style="thin">
        <color indexed="41"/>
      </left>
      <right style="thin">
        <color indexed="41"/>
      </right>
      <top style="thin">
        <color indexed="41"/>
      </top>
      <bottom style="thin">
        <color indexed="12"/>
      </bottom>
      <diagonal/>
    </border>
    <border>
      <left style="thin">
        <color indexed="41"/>
      </left>
      <right style="thin">
        <color indexed="41"/>
      </right>
      <top style="thin">
        <color indexed="41"/>
      </top>
      <bottom/>
      <diagonal/>
    </border>
    <border>
      <left style="thin">
        <color indexed="12"/>
      </left>
      <right style="thin">
        <color indexed="41"/>
      </right>
      <top style="thin">
        <color indexed="41"/>
      </top>
      <bottom style="thin">
        <color indexed="12"/>
      </bottom>
      <diagonal/>
    </border>
    <border>
      <left style="thin">
        <color indexed="12"/>
      </left>
      <right style="thin">
        <color indexed="41"/>
      </right>
      <top style="thin">
        <color indexed="41"/>
      </top>
      <bottom/>
      <diagonal/>
    </border>
    <border>
      <left/>
      <right style="thin">
        <color indexed="12"/>
      </right>
      <top style="thin">
        <color indexed="12"/>
      </top>
      <bottom style="thin">
        <color indexed="12"/>
      </bottom>
      <diagonal/>
    </border>
    <border>
      <left style="thin">
        <color indexed="48"/>
      </left>
      <right/>
      <top style="thin">
        <color indexed="48"/>
      </top>
      <bottom/>
      <diagonal/>
    </border>
    <border>
      <left/>
      <right/>
      <top style="thin">
        <color indexed="48"/>
      </top>
      <bottom/>
      <diagonal/>
    </border>
    <border>
      <left style="thin">
        <color indexed="48"/>
      </left>
      <right/>
      <top/>
      <bottom style="thin">
        <color indexed="48"/>
      </bottom>
      <diagonal/>
    </border>
    <border>
      <left/>
      <right/>
      <top/>
      <bottom style="thin">
        <color indexed="48"/>
      </bottom>
      <diagonal/>
    </border>
    <border>
      <left style="medium">
        <color indexed="64"/>
      </left>
      <right/>
      <top/>
      <bottom style="hair">
        <color indexed="64"/>
      </bottom>
      <diagonal/>
    </border>
    <border>
      <left/>
      <right style="medium">
        <color indexed="64"/>
      </right>
      <top/>
      <bottom style="hair">
        <color indexed="64"/>
      </bottom>
      <diagonal/>
    </border>
    <border>
      <left style="medium">
        <color indexed="64"/>
      </left>
      <right style="medium">
        <color indexed="64"/>
      </right>
      <top/>
      <bottom style="hair">
        <color indexed="64"/>
      </bottom>
      <diagonal/>
    </border>
    <border>
      <left/>
      <right/>
      <top/>
      <bottom style="hair">
        <color indexed="64"/>
      </bottom>
      <diagonal/>
    </border>
    <border>
      <left/>
      <right style="thin">
        <color indexed="17"/>
      </right>
      <top/>
      <bottom style="thin">
        <color indexed="57"/>
      </bottom>
      <diagonal/>
    </border>
    <border>
      <left style="thin">
        <color indexed="17"/>
      </left>
      <right/>
      <top/>
      <bottom style="thin">
        <color indexed="57"/>
      </bottom>
      <diagonal/>
    </border>
    <border>
      <left style="thin">
        <color indexed="8"/>
      </left>
      <right/>
      <top/>
      <bottom style="thin">
        <color indexed="64"/>
      </bottom>
      <diagonal/>
    </border>
    <border>
      <left/>
      <right style="thin">
        <color indexed="57"/>
      </right>
      <top/>
      <bottom/>
      <diagonal/>
    </border>
    <border>
      <left style="thin">
        <color indexed="57"/>
      </left>
      <right/>
      <top/>
      <bottom style="thin">
        <color indexed="57"/>
      </bottom>
      <diagonal/>
    </border>
    <border>
      <left/>
      <right style="thin">
        <color indexed="17"/>
      </right>
      <top style="thin">
        <color indexed="17"/>
      </top>
      <bottom style="thin">
        <color indexed="17"/>
      </bottom>
      <diagonal/>
    </border>
    <border>
      <left/>
      <right/>
      <top/>
      <bottom style="thin">
        <color indexed="57"/>
      </bottom>
      <diagonal/>
    </border>
    <border>
      <left style="thin">
        <color indexed="17"/>
      </left>
      <right style="thin">
        <color indexed="17"/>
      </right>
      <top style="thin">
        <color indexed="17"/>
      </top>
      <bottom style="thin">
        <color indexed="17"/>
      </bottom>
      <diagonal/>
    </border>
    <border>
      <left style="thin">
        <color indexed="17"/>
      </left>
      <right style="thin">
        <color indexed="17"/>
      </right>
      <top/>
      <bottom style="thin">
        <color indexed="17"/>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right style="thin">
        <color indexed="9"/>
      </right>
      <top/>
      <bottom/>
      <diagonal/>
    </border>
    <border>
      <left style="medium">
        <color indexed="10"/>
      </left>
      <right style="medium">
        <color indexed="10"/>
      </right>
      <top style="medium">
        <color indexed="10"/>
      </top>
      <bottom style="medium">
        <color indexed="10"/>
      </bottom>
      <diagonal/>
    </border>
    <border>
      <left/>
      <right style="medium">
        <color indexed="64"/>
      </right>
      <top style="medium">
        <color indexed="64"/>
      </top>
      <bottom style="thin">
        <color indexed="64"/>
      </bottom>
      <diagonal/>
    </border>
    <border>
      <left style="medium">
        <color indexed="42"/>
      </left>
      <right style="medium">
        <color indexed="42"/>
      </right>
      <top style="medium">
        <color indexed="42"/>
      </top>
      <bottom style="medium">
        <color indexed="42"/>
      </bottom>
      <diagonal/>
    </border>
    <border>
      <left style="thin">
        <color indexed="12"/>
      </left>
      <right/>
      <top style="thin">
        <color indexed="12"/>
      </top>
      <bottom style="thin">
        <color indexed="64"/>
      </bottom>
      <diagonal/>
    </border>
    <border>
      <left style="thin">
        <color rgb="FFB2B2B2"/>
      </left>
      <right style="thin">
        <color rgb="FFB2B2B2"/>
      </right>
      <top style="thin">
        <color rgb="FFB2B2B2"/>
      </top>
      <bottom style="thin">
        <color rgb="FFB2B2B2"/>
      </bottom>
      <diagonal/>
    </border>
    <border>
      <left/>
      <right/>
      <top/>
      <bottom style="thin">
        <color indexed="41"/>
      </bottom>
      <diagonal/>
    </border>
    <border>
      <left/>
      <right style="thin">
        <color indexed="41"/>
      </right>
      <top/>
      <bottom style="thin">
        <color indexed="41"/>
      </bottom>
      <diagonal/>
    </border>
    <border>
      <left style="thin">
        <color indexed="41"/>
      </left>
      <right/>
      <top style="thin">
        <color indexed="41"/>
      </top>
      <bottom/>
      <diagonal/>
    </border>
    <border>
      <left/>
      <right/>
      <top style="thin">
        <color indexed="41"/>
      </top>
      <bottom/>
      <diagonal/>
    </border>
    <border>
      <left/>
      <right style="thin">
        <color indexed="41"/>
      </right>
      <top style="thin">
        <color indexed="41"/>
      </top>
      <bottom/>
      <diagonal/>
    </border>
    <border>
      <left style="thin">
        <color indexed="41"/>
      </left>
      <right/>
      <top style="thin">
        <color indexed="12"/>
      </top>
      <bottom style="thin">
        <color indexed="41"/>
      </bottom>
      <diagonal/>
    </border>
    <border>
      <left/>
      <right/>
      <top style="thin">
        <color indexed="12"/>
      </top>
      <bottom style="thin">
        <color indexed="41"/>
      </bottom>
      <diagonal/>
    </border>
    <border>
      <left/>
      <right style="thin">
        <color indexed="41"/>
      </right>
      <top style="thin">
        <color indexed="12"/>
      </top>
      <bottom style="thin">
        <color indexed="41"/>
      </bottom>
      <diagonal/>
    </border>
    <border>
      <left style="thin">
        <color indexed="44"/>
      </left>
      <right/>
      <top style="thin">
        <color indexed="44"/>
      </top>
      <bottom style="thin">
        <color indexed="12"/>
      </bottom>
      <diagonal/>
    </border>
    <border>
      <left/>
      <right/>
      <top style="thin">
        <color indexed="44"/>
      </top>
      <bottom style="thin">
        <color indexed="12"/>
      </bottom>
      <diagonal/>
    </border>
    <border>
      <left/>
      <right style="thin">
        <color indexed="44"/>
      </right>
      <top style="thin">
        <color indexed="44"/>
      </top>
      <bottom style="thin">
        <color indexed="12"/>
      </bottom>
      <diagonal/>
    </border>
    <border>
      <left style="thin">
        <color indexed="44"/>
      </left>
      <right/>
      <top style="thin">
        <color indexed="44"/>
      </top>
      <bottom/>
      <diagonal/>
    </border>
    <border>
      <left/>
      <right/>
      <top style="thin">
        <color indexed="44"/>
      </top>
      <bottom/>
      <diagonal/>
    </border>
    <border>
      <left/>
      <right style="thin">
        <color indexed="44"/>
      </right>
      <top style="thin">
        <color indexed="44"/>
      </top>
      <bottom/>
      <diagonal/>
    </border>
    <border>
      <left style="thin">
        <color indexed="44"/>
      </left>
      <right/>
      <top/>
      <bottom style="thin">
        <color indexed="44"/>
      </bottom>
      <diagonal/>
    </border>
    <border>
      <left/>
      <right/>
      <top/>
      <bottom style="thin">
        <color indexed="44"/>
      </bottom>
      <diagonal/>
    </border>
    <border>
      <left/>
      <right style="thin">
        <color indexed="44"/>
      </right>
      <top/>
      <bottom style="thin">
        <color indexed="44"/>
      </bottom>
      <diagonal/>
    </border>
  </borders>
  <cellStyleXfs count="493">
    <xf numFmtId="0" fontId="0" fillId="0" borderId="0"/>
    <xf numFmtId="0" fontId="1" fillId="0" borderId="0" applyFont="0" applyFill="0" applyBorder="0" applyAlignment="0" applyProtection="0"/>
    <xf numFmtId="0" fontId="28" fillId="0" borderId="0" applyFont="0" applyFill="0" applyBorder="0" applyAlignment="0" applyProtection="0"/>
    <xf numFmtId="0" fontId="1" fillId="0" borderId="0" applyFont="0" applyFill="0" applyBorder="0" applyAlignment="0" applyProtection="0"/>
    <xf numFmtId="0" fontId="28" fillId="0" borderId="0" applyFont="0" applyFill="0" applyBorder="0" applyAlignment="0" applyProtection="0"/>
    <xf numFmtId="0" fontId="1" fillId="0" borderId="0" applyFont="0" applyFill="0" applyBorder="0" applyAlignment="0" applyProtection="0"/>
    <xf numFmtId="0" fontId="28" fillId="0" borderId="0" applyFont="0" applyFill="0" applyBorder="0" applyAlignment="0" applyProtection="0"/>
    <xf numFmtId="0" fontId="1" fillId="0" borderId="0" applyFont="0" applyFill="0" applyBorder="0" applyAlignment="0" applyProtection="0"/>
    <xf numFmtId="0" fontId="28" fillId="0" borderId="0" applyFont="0" applyFill="0" applyBorder="0" applyAlignment="0" applyProtection="0"/>
    <xf numFmtId="0" fontId="1" fillId="0" borderId="0" applyFont="0" applyFill="0" applyBorder="0" applyAlignment="0" applyProtection="0"/>
    <xf numFmtId="0" fontId="28" fillId="0" borderId="0" applyFont="0" applyFill="0" applyBorder="0" applyAlignment="0" applyProtection="0"/>
    <xf numFmtId="0" fontId="5" fillId="0" borderId="0">
      <alignment horizontal="left" vertical="center"/>
    </xf>
    <xf numFmtId="0" fontId="6" fillId="0" borderId="0">
      <alignment horizontal="right"/>
    </xf>
    <xf numFmtId="0" fontId="69" fillId="0" borderId="1" applyNumberFormat="0" applyFont="0" applyFill="0" applyAlignment="0" applyProtection="0"/>
    <xf numFmtId="164" fontId="28" fillId="0" borderId="0" applyFont="0" applyFill="0" applyBorder="0" applyAlignment="0" applyProtection="0"/>
    <xf numFmtId="164" fontId="28" fillId="0" borderId="0" applyFont="0" applyFill="0" applyBorder="0" applyAlignment="0" applyProtection="0"/>
    <xf numFmtId="171" fontId="7" fillId="2" borderId="0"/>
    <xf numFmtId="171" fontId="8" fillId="3" borderId="0"/>
    <xf numFmtId="0" fontId="69" fillId="0" borderId="0" applyFont="0" applyFill="0" applyBorder="0" applyAlignment="0" applyProtection="0"/>
    <xf numFmtId="14" fontId="28" fillId="0" borderId="0" applyFont="0" applyFill="0" applyBorder="0" applyAlignment="0" applyProtection="0"/>
    <xf numFmtId="177" fontId="1" fillId="0" borderId="0" applyBorder="0" applyProtection="0"/>
    <xf numFmtId="177" fontId="28" fillId="0" borderId="0" applyBorder="0" applyProtection="0"/>
    <xf numFmtId="0" fontId="5" fillId="0" borderId="0"/>
    <xf numFmtId="0" fontId="5" fillId="0" borderId="2"/>
    <xf numFmtId="170" fontId="8" fillId="6" borderId="0">
      <protection locked="0"/>
    </xf>
    <xf numFmtId="171" fontId="8" fillId="6" borderId="0">
      <protection locked="0"/>
    </xf>
    <xf numFmtId="0" fontId="9" fillId="0" borderId="0"/>
    <xf numFmtId="3" fontId="69" fillId="0" borderId="0" applyFont="0" applyFill="0" applyBorder="0" applyAlignment="0" applyProtection="0"/>
    <xf numFmtId="0" fontId="10" fillId="0" borderId="0" applyNumberFormat="0" applyFill="0" applyBorder="0" applyAlignment="0" applyProtection="0">
      <alignment vertical="top"/>
      <protection locked="0"/>
    </xf>
    <xf numFmtId="0" fontId="11" fillId="7" borderId="0" applyNumberFormat="0" applyFont="0" applyBorder="0" applyAlignment="0" applyProtection="0"/>
    <xf numFmtId="165" fontId="49" fillId="0" borderId="0"/>
    <xf numFmtId="0" fontId="12"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xf numFmtId="0" fontId="156" fillId="0" borderId="0" applyNumberFormat="0" applyFill="0" applyBorder="0" applyAlignment="0" applyProtection="0"/>
    <xf numFmtId="0" fontId="150" fillId="0" borderId="0">
      <alignment vertical="center"/>
    </xf>
    <xf numFmtId="0" fontId="149" fillId="0" borderId="0">
      <alignment vertical="center"/>
    </xf>
    <xf numFmtId="3" fontId="28" fillId="0" borderId="0" applyFont="0" applyFill="0" applyBorder="0" applyAlignment="0" applyProtection="0"/>
    <xf numFmtId="0" fontId="154" fillId="0" borderId="0" applyNumberFormat="0" applyFont="0" applyFill="0" applyAlignment="0" applyProtection="0"/>
    <xf numFmtId="0" fontId="76" fillId="0" borderId="0" applyNumberFormat="0" applyFont="0" applyFill="0" applyAlignment="0" applyProtection="0"/>
    <xf numFmtId="0" fontId="115" fillId="0" borderId="0"/>
    <xf numFmtId="175" fontId="69" fillId="0" borderId="0" applyFont="0" applyFill="0" applyBorder="0" applyAlignment="0" applyProtection="0"/>
    <xf numFmtId="0" fontId="80" fillId="0" borderId="0"/>
    <xf numFmtId="0" fontId="28" fillId="0" borderId="0"/>
    <xf numFmtId="169" fontId="14" fillId="0" borderId="0">
      <alignment horizontal="center" vertical="center"/>
    </xf>
    <xf numFmtId="0" fontId="2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28" fillId="0" borderId="0"/>
    <xf numFmtId="0" fontId="155" fillId="0" borderId="0"/>
    <xf numFmtId="0" fontId="28" fillId="0" borderId="0"/>
    <xf numFmtId="0" fontId="155" fillId="0" borderId="0"/>
    <xf numFmtId="0" fontId="155" fillId="0" borderId="0"/>
    <xf numFmtId="0" fontId="155" fillId="0" borderId="0"/>
    <xf numFmtId="0" fontId="28" fillId="0" borderId="0"/>
    <xf numFmtId="0" fontId="28" fillId="0" borderId="0"/>
    <xf numFmtId="0" fontId="28" fillId="0" borderId="0"/>
    <xf numFmtId="0" fontId="28" fillId="0" borderId="0"/>
    <xf numFmtId="0" fontId="28" fillId="0" borderId="0"/>
    <xf numFmtId="0" fontId="152" fillId="0" borderId="0"/>
    <xf numFmtId="0" fontId="28" fillId="0" borderId="0"/>
    <xf numFmtId="0" fontId="28" fillId="0" borderId="0"/>
    <xf numFmtId="0" fontId="15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9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15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28" fillId="0" borderId="0"/>
    <xf numFmtId="0" fontId="152"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28" fillId="0" borderId="0"/>
    <xf numFmtId="0" fontId="158" fillId="0" borderId="0"/>
    <xf numFmtId="0" fontId="2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28"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155" fillId="0" borderId="0"/>
    <xf numFmtId="0" fontId="35" fillId="0" borderId="0"/>
    <xf numFmtId="0" fontId="15" fillId="0" borderId="0"/>
    <xf numFmtId="165" fontId="1" fillId="0" borderId="0"/>
    <xf numFmtId="165" fontId="28" fillId="0" borderId="0"/>
    <xf numFmtId="0" fontId="70" fillId="0" borderId="0"/>
    <xf numFmtId="0" fontId="5" fillId="0" borderId="2"/>
    <xf numFmtId="0" fontId="130"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51" fillId="42" borderId="142" applyNumberFormat="0" applyFont="0" applyAlignment="0" applyProtection="0"/>
    <xf numFmtId="0" fontId="16" fillId="0" borderId="0"/>
    <xf numFmtId="0" fontId="17" fillId="0" borderId="0"/>
    <xf numFmtId="9" fontId="1"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151" fillId="0" borderId="0" applyFont="0" applyFill="0" applyBorder="0" applyAlignment="0" applyProtection="0"/>
    <xf numFmtId="9" fontId="151"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152"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2" fontId="69" fillId="0" borderId="0" applyFont="0" applyFill="0" applyBorder="0" applyAlignment="0" applyProtection="0"/>
    <xf numFmtId="9" fontId="1" fillId="0" borderId="0" applyFont="0" applyFill="0" applyProtection="0"/>
    <xf numFmtId="0" fontId="18" fillId="0" borderId="0"/>
    <xf numFmtId="0" fontId="19" fillId="0" borderId="0"/>
    <xf numFmtId="0" fontId="20" fillId="0" borderId="0"/>
    <xf numFmtId="0" fontId="5" fillId="0" borderId="3">
      <alignment horizontal="right" vertical="center"/>
    </xf>
    <xf numFmtId="171" fontId="8" fillId="8" borderId="0"/>
    <xf numFmtId="183" fontId="153" fillId="0" borderId="0"/>
    <xf numFmtId="0" fontId="21" fillId="0" borderId="0"/>
    <xf numFmtId="0" fontId="1" fillId="0" borderId="0" applyFont="0" applyFill="0" applyBorder="0" applyAlignment="0" applyProtection="0"/>
    <xf numFmtId="0" fontId="28" fillId="0" borderId="0" applyFont="0" applyFill="0" applyBorder="0" applyAlignment="0" applyProtection="0"/>
    <xf numFmtId="0" fontId="9" fillId="0" borderId="0"/>
    <xf numFmtId="0" fontId="22" fillId="0" borderId="0"/>
    <xf numFmtId="0" fontId="19" fillId="0" borderId="0"/>
    <xf numFmtId="0" fontId="20" fillId="0" borderId="0"/>
    <xf numFmtId="0" fontId="23" fillId="0" borderId="0"/>
    <xf numFmtId="169" fontId="24" fillId="5" borderId="4">
      <alignment vertical="center"/>
    </xf>
    <xf numFmtId="0" fontId="25" fillId="0" borderId="0"/>
    <xf numFmtId="0" fontId="28" fillId="0" borderId="5" applyNumberFormat="0" applyFont="0" applyBorder="0" applyAlignment="0" applyProtection="0"/>
    <xf numFmtId="169" fontId="26" fillId="4" borderId="0">
      <alignment horizontal="center" vertical="center"/>
    </xf>
    <xf numFmtId="0" fontId="27" fillId="0" borderId="0" applyFont="0" applyFill="0" applyBorder="0" applyAlignment="0" applyProtection="0"/>
    <xf numFmtId="0" fontId="27" fillId="0" borderId="0" applyFont="0" applyFill="0" applyBorder="0" applyAlignment="0" applyProtection="0"/>
    <xf numFmtId="0" fontId="27" fillId="0" borderId="0" applyFont="0" applyFill="0" applyBorder="0" applyAlignment="0" applyProtection="0"/>
    <xf numFmtId="182" fontId="28" fillId="0" borderId="0" applyFont="0" applyFill="0" applyBorder="0" applyAlignment="0" applyProtection="0"/>
    <xf numFmtId="182" fontId="28" fillId="0" borderId="0" applyFont="0" applyFill="0" applyBorder="0" applyAlignment="0" applyProtection="0"/>
    <xf numFmtId="182"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2" fontId="28" fillId="0" borderId="0" applyFont="0" applyFill="0" applyBorder="0" applyAlignment="0" applyProtection="0"/>
    <xf numFmtId="184" fontId="28" fillId="0" borderId="0" applyFont="0" applyFill="0" applyBorder="0" applyAlignment="0" applyProtection="0"/>
    <xf numFmtId="184" fontId="28" fillId="0" borderId="0" applyFont="0" applyFill="0" applyBorder="0" applyAlignment="0" applyProtection="0"/>
    <xf numFmtId="2" fontId="28" fillId="0" borderId="0" applyFont="0" applyFill="0" applyBorder="0" applyAlignment="0" applyProtection="0"/>
    <xf numFmtId="165" fontId="28" fillId="9" borderId="0"/>
    <xf numFmtId="0" fontId="71" fillId="0" borderId="0" applyNumberFormat="0" applyFill="0" applyBorder="0" applyAlignment="0" applyProtection="0"/>
    <xf numFmtId="0" fontId="72" fillId="0" borderId="0" applyNumberFormat="0" applyFill="0" applyBorder="0" applyAlignment="0" applyProtection="0"/>
    <xf numFmtId="0" fontId="1" fillId="0" borderId="0"/>
    <xf numFmtId="43" fontId="163" fillId="0" borderId="0" applyFont="0" applyFill="0" applyBorder="0" applyAlignment="0" applyProtection="0"/>
  </cellStyleXfs>
  <cellXfs count="3800">
    <xf numFmtId="0" fontId="0" fillId="0" borderId="0" xfId="0"/>
    <xf numFmtId="0" fontId="0" fillId="0" borderId="0" xfId="42" applyFont="1" applyBorder="1"/>
    <xf numFmtId="0" fontId="0" fillId="0" borderId="0" xfId="42" applyFont="1" applyBorder="1" applyAlignment="1">
      <alignment horizontal="left"/>
    </xf>
    <xf numFmtId="0" fontId="0" fillId="0" borderId="0" xfId="42" applyFont="1" applyBorder="1" applyAlignment="1">
      <alignment horizontal="center"/>
    </xf>
    <xf numFmtId="0" fontId="2" fillId="10" borderId="6" xfId="42" applyFont="1" applyFill="1" applyBorder="1" applyAlignment="1">
      <alignment horizontal="center"/>
    </xf>
    <xf numFmtId="0" fontId="2" fillId="10" borderId="7" xfId="42" applyFont="1" applyFill="1" applyBorder="1" applyAlignment="1">
      <alignment horizontal="center"/>
    </xf>
    <xf numFmtId="0" fontId="2" fillId="10" borderId="8" xfId="42" applyFont="1" applyFill="1" applyBorder="1" applyAlignment="1">
      <alignment horizontal="center"/>
    </xf>
    <xf numFmtId="0" fontId="2" fillId="10" borderId="9" xfId="42" applyFont="1" applyFill="1" applyBorder="1"/>
    <xf numFmtId="0" fontId="2" fillId="10" borderId="10" xfId="42" applyFont="1" applyFill="1" applyBorder="1" applyAlignment="1">
      <alignment horizontal="left"/>
    </xf>
    <xf numFmtId="0" fontId="0" fillId="11" borderId="11" xfId="42" applyFont="1" applyFill="1" applyBorder="1" applyAlignment="1">
      <alignment horizontal="center"/>
    </xf>
    <xf numFmtId="0" fontId="0" fillId="11" borderId="12" xfId="42" applyFont="1" applyFill="1" applyBorder="1" applyAlignment="1">
      <alignment horizontal="center"/>
    </xf>
    <xf numFmtId="0" fontId="4" fillId="0" borderId="13" xfId="42" applyFont="1" applyFill="1" applyBorder="1"/>
    <xf numFmtId="0" fontId="0" fillId="11" borderId="14" xfId="42" applyFont="1" applyFill="1" applyBorder="1" applyAlignment="1">
      <alignment horizontal="center"/>
    </xf>
    <xf numFmtId="0" fontId="0" fillId="11" borderId="15" xfId="42" applyFont="1" applyFill="1" applyBorder="1" applyAlignment="1">
      <alignment horizontal="center"/>
    </xf>
    <xf numFmtId="0" fontId="4" fillId="0" borderId="16" xfId="42" applyFont="1" applyFill="1" applyBorder="1"/>
    <xf numFmtId="0" fontId="28" fillId="0" borderId="0" xfId="42" applyFont="1" applyProtection="1"/>
    <xf numFmtId="0" fontId="0" fillId="0" borderId="0" xfId="42" applyFont="1" applyProtection="1"/>
    <xf numFmtId="0" fontId="31" fillId="0" borderId="0" xfId="42" applyFont="1" applyProtection="1"/>
    <xf numFmtId="0" fontId="0" fillId="0" borderId="0" xfId="42" applyFont="1" applyAlignment="1" applyProtection="1">
      <alignment horizontal="center"/>
    </xf>
    <xf numFmtId="1" fontId="0" fillId="0" borderId="0" xfId="42" applyNumberFormat="1" applyFont="1" applyBorder="1" applyAlignment="1" applyProtection="1">
      <alignment horizontal="center"/>
    </xf>
    <xf numFmtId="1" fontId="0" fillId="0" borderId="0" xfId="42" applyNumberFormat="1" applyFont="1" applyBorder="1" applyProtection="1"/>
    <xf numFmtId="0" fontId="0" fillId="0" borderId="0" xfId="42" applyFont="1" applyBorder="1" applyProtection="1"/>
    <xf numFmtId="0" fontId="32" fillId="12" borderId="0" xfId="42" applyFont="1" applyFill="1" applyAlignment="1">
      <alignment horizontal="center"/>
    </xf>
    <xf numFmtId="0" fontId="0" fillId="0" borderId="17" xfId="42" applyFont="1" applyBorder="1"/>
    <xf numFmtId="167" fontId="0" fillId="0" borderId="0" xfId="42" applyNumberFormat="1" applyFont="1" applyBorder="1" applyProtection="1"/>
    <xf numFmtId="0" fontId="0" fillId="13" borderId="0" xfId="42" applyNumberFormat="1" applyFont="1" applyFill="1" applyBorder="1" applyProtection="1"/>
    <xf numFmtId="0" fontId="33" fillId="0" borderId="0" xfId="42" applyFont="1"/>
    <xf numFmtId="0" fontId="28" fillId="0" borderId="0" xfId="42" applyFont="1" applyBorder="1" applyAlignment="1">
      <alignment horizontal="left"/>
    </xf>
    <xf numFmtId="0" fontId="0" fillId="0" borderId="0" xfId="42" applyFont="1" applyFill="1"/>
    <xf numFmtId="0" fontId="0" fillId="0" borderId="0" xfId="42" applyFont="1" applyFill="1" applyBorder="1"/>
    <xf numFmtId="0" fontId="0" fillId="13" borderId="0" xfId="42" applyFont="1" applyFill="1" applyBorder="1" applyAlignment="1">
      <alignment horizontal="center"/>
    </xf>
    <xf numFmtId="0" fontId="28" fillId="0" borderId="0" xfId="42" applyFont="1" applyAlignment="1" applyProtection="1">
      <alignment horizontal="left"/>
    </xf>
    <xf numFmtId="0" fontId="33" fillId="0" borderId="0" xfId="42" applyFont="1" applyFill="1" applyProtection="1"/>
    <xf numFmtId="0" fontId="0" fillId="0" borderId="0" xfId="42" applyFont="1" applyFill="1" applyBorder="1" applyAlignment="1">
      <alignment horizontal="left"/>
    </xf>
    <xf numFmtId="0" fontId="0" fillId="0" borderId="0" xfId="42" applyNumberFormat="1" applyFont="1" applyFill="1" applyBorder="1" applyProtection="1"/>
    <xf numFmtId="167" fontId="0" fillId="0" borderId="0" xfId="42" applyNumberFormat="1" applyFont="1" applyFill="1" applyBorder="1" applyProtection="1"/>
    <xf numFmtId="0" fontId="28" fillId="13" borderId="0" xfId="42" applyFont="1" applyFill="1" applyBorder="1" applyAlignment="1">
      <alignment horizontal="left"/>
    </xf>
    <xf numFmtId="0" fontId="0" fillId="13" borderId="0" xfId="42" applyFont="1" applyFill="1" applyBorder="1" applyAlignment="1">
      <alignment horizontal="left"/>
    </xf>
    <xf numFmtId="0" fontId="0" fillId="0" borderId="0" xfId="42" applyNumberFormat="1" applyFont="1" applyBorder="1" applyProtection="1"/>
    <xf numFmtId="0" fontId="0" fillId="0" borderId="18" xfId="42" applyFont="1" applyBorder="1"/>
    <xf numFmtId="0" fontId="34" fillId="0" borderId="18" xfId="42" applyFont="1" applyBorder="1" applyProtection="1"/>
    <xf numFmtId="0" fontId="0" fillId="14" borderId="0" xfId="42" applyFont="1" applyFill="1"/>
    <xf numFmtId="0" fontId="38" fillId="14" borderId="0" xfId="42" applyFont="1" applyFill="1" applyProtection="1"/>
    <xf numFmtId="0" fontId="28" fillId="14" borderId="0" xfId="42" applyFont="1" applyFill="1"/>
    <xf numFmtId="0" fontId="36" fillId="0" borderId="0" xfId="42" applyFont="1" applyFill="1" applyBorder="1" applyProtection="1"/>
    <xf numFmtId="0" fontId="0" fillId="13" borderId="0" xfId="42" applyFont="1" applyFill="1"/>
    <xf numFmtId="0" fontId="0" fillId="14" borderId="0" xfId="42" applyFont="1" applyFill="1" applyBorder="1"/>
    <xf numFmtId="0" fontId="38" fillId="14" borderId="0" xfId="42" applyFont="1" applyFill="1" applyBorder="1" applyProtection="1"/>
    <xf numFmtId="0" fontId="39" fillId="0" borderId="0" xfId="42" applyFont="1" applyFill="1" applyBorder="1" applyProtection="1"/>
    <xf numFmtId="0" fontId="34" fillId="0" borderId="0" xfId="42" applyFont="1" applyFill="1" applyBorder="1" applyProtection="1"/>
    <xf numFmtId="0" fontId="0" fillId="13" borderId="0" xfId="42" applyFont="1" applyFill="1" applyBorder="1"/>
    <xf numFmtId="14" fontId="37" fillId="13" borderId="0" xfId="42" applyNumberFormat="1" applyFont="1" applyFill="1" applyBorder="1" applyAlignment="1" applyProtection="1">
      <alignment horizontal="left"/>
    </xf>
    <xf numFmtId="0" fontId="38" fillId="13" borderId="0" xfId="42" applyFont="1" applyFill="1" applyBorder="1" applyProtection="1"/>
    <xf numFmtId="0" fontId="38" fillId="13" borderId="0" xfId="42" applyFont="1" applyFill="1" applyProtection="1"/>
    <xf numFmtId="0" fontId="28" fillId="13" borderId="0" xfId="42" applyFont="1" applyFill="1"/>
    <xf numFmtId="0" fontId="0" fillId="0" borderId="19" xfId="42" applyFont="1" applyBorder="1"/>
    <xf numFmtId="0" fontId="40" fillId="0" borderId="17" xfId="42" applyFont="1" applyFill="1" applyBorder="1" applyProtection="1"/>
    <xf numFmtId="0" fontId="34" fillId="0" borderId="17" xfId="42" applyFont="1" applyBorder="1" applyProtection="1"/>
    <xf numFmtId="15" fontId="40" fillId="0" borderId="17" xfId="42" applyNumberFormat="1" applyFont="1" applyFill="1" applyBorder="1" applyAlignment="1" applyProtection="1">
      <alignment horizontal="left"/>
    </xf>
    <xf numFmtId="0" fontId="40" fillId="0" borderId="20" xfId="42" applyFont="1" applyFill="1" applyBorder="1" applyProtection="1"/>
    <xf numFmtId="0" fontId="0" fillId="0" borderId="2" xfId="42" applyFont="1" applyBorder="1"/>
    <xf numFmtId="0" fontId="41" fillId="0" borderId="21" xfId="42" applyFont="1" applyBorder="1" applyAlignment="1" applyProtection="1">
      <alignment horizontal="center"/>
    </xf>
    <xf numFmtId="0" fontId="40" fillId="0" borderId="21" xfId="42" applyFont="1" applyBorder="1" applyAlignment="1" applyProtection="1">
      <alignment horizontal="center"/>
    </xf>
    <xf numFmtId="0" fontId="34" fillId="0" borderId="0" xfId="42" quotePrefix="1" applyFont="1" applyBorder="1" applyAlignment="1" applyProtection="1">
      <alignment horizontal="left"/>
    </xf>
    <xf numFmtId="0" fontId="40" fillId="0" borderId="0" xfId="42" applyFont="1" applyBorder="1" applyAlignment="1" applyProtection="1">
      <alignment horizontal="left"/>
    </xf>
    <xf numFmtId="0" fontId="34" fillId="0" borderId="0" xfId="42" applyFont="1" applyBorder="1" applyProtection="1"/>
    <xf numFmtId="3" fontId="34" fillId="0" borderId="21" xfId="42" applyNumberFormat="1" applyFont="1" applyBorder="1" applyProtection="1"/>
    <xf numFmtId="0" fontId="40" fillId="0" borderId="0" xfId="42" applyFont="1" applyBorder="1" applyProtection="1"/>
    <xf numFmtId="3" fontId="34" fillId="0" borderId="0" xfId="42" applyNumberFormat="1" applyFont="1" applyBorder="1" applyProtection="1"/>
    <xf numFmtId="0" fontId="34" fillId="0" borderId="0" xfId="42" applyFont="1" applyBorder="1" applyAlignment="1" applyProtection="1">
      <alignment horizontal="left"/>
    </xf>
    <xf numFmtId="0" fontId="34" fillId="0" borderId="0" xfId="42" applyFont="1" applyBorder="1" applyAlignment="1" applyProtection="1">
      <alignment horizontal="right"/>
    </xf>
    <xf numFmtId="15" fontId="42" fillId="0" borderId="21" xfId="42" applyNumberFormat="1" applyFont="1" applyBorder="1" applyAlignment="1" applyProtection="1">
      <alignment horizontal="left"/>
    </xf>
    <xf numFmtId="0" fontId="34" fillId="0" borderId="7" xfId="42" applyFont="1" applyFill="1" applyBorder="1" applyProtection="1"/>
    <xf numFmtId="0" fontId="34" fillId="0" borderId="6" xfId="42" applyFont="1" applyBorder="1" applyProtection="1"/>
    <xf numFmtId="1" fontId="40" fillId="0" borderId="22" xfId="42" applyNumberFormat="1" applyFont="1" applyBorder="1" applyAlignment="1" applyProtection="1">
      <alignment horizontal="center"/>
    </xf>
    <xf numFmtId="1" fontId="40" fillId="0" borderId="23" xfId="42" applyNumberFormat="1" applyFont="1" applyBorder="1" applyAlignment="1" applyProtection="1">
      <alignment horizontal="center"/>
    </xf>
    <xf numFmtId="1" fontId="40" fillId="0" borderId="21" xfId="42" applyNumberFormat="1" applyFont="1" applyFill="1" applyBorder="1" applyProtection="1"/>
    <xf numFmtId="0" fontId="40" fillId="0" borderId="21" xfId="42" applyFont="1" applyFill="1" applyBorder="1" applyAlignment="1" applyProtection="1">
      <alignment horizontal="centerContinuous"/>
    </xf>
    <xf numFmtId="0" fontId="43" fillId="0" borderId="24" xfId="42" applyFont="1" applyBorder="1" applyProtection="1"/>
    <xf numFmtId="165" fontId="34" fillId="0" borderId="25" xfId="42" applyNumberFormat="1" applyFont="1" applyFill="1" applyBorder="1" applyAlignment="1" applyProtection="1">
      <alignment horizontal="right"/>
    </xf>
    <xf numFmtId="165" fontId="34" fillId="0" borderId="17" xfId="42" applyNumberFormat="1" applyFont="1" applyFill="1" applyBorder="1" applyAlignment="1" applyProtection="1">
      <alignment horizontal="right"/>
    </xf>
    <xf numFmtId="165" fontId="34" fillId="0" borderId="26" xfId="42" applyNumberFormat="1" applyFont="1" applyFill="1" applyBorder="1" applyAlignment="1" applyProtection="1">
      <alignment horizontal="right"/>
    </xf>
    <xf numFmtId="0" fontId="34" fillId="0" borderId="21" xfId="42" applyFont="1" applyFill="1" applyBorder="1" applyAlignment="1" applyProtection="1">
      <alignment horizontal="right"/>
    </xf>
    <xf numFmtId="0" fontId="0" fillId="0" borderId="27" xfId="42" applyFont="1" applyBorder="1"/>
    <xf numFmtId="0" fontId="0" fillId="0" borderId="28" xfId="42" applyFont="1" applyFill="1" applyBorder="1"/>
    <xf numFmtId="0" fontId="40" fillId="0" borderId="21" xfId="42" applyFont="1" applyFill="1" applyBorder="1" applyAlignment="1" applyProtection="1">
      <alignment horizontal="right"/>
    </xf>
    <xf numFmtId="0" fontId="43" fillId="0" borderId="18" xfId="42" applyFont="1" applyBorder="1" applyProtection="1"/>
    <xf numFmtId="165" fontId="28" fillId="0" borderId="27" xfId="42" applyNumberFormat="1" applyFont="1" applyBorder="1"/>
    <xf numFmtId="165" fontId="28" fillId="0" borderId="27" xfId="42" applyNumberFormat="1" applyFont="1" applyFill="1" applyBorder="1"/>
    <xf numFmtId="165" fontId="28" fillId="0" borderId="28" xfId="42" applyNumberFormat="1" applyFont="1" applyBorder="1"/>
    <xf numFmtId="0" fontId="0" fillId="0" borderId="21" xfId="42" applyFont="1" applyBorder="1"/>
    <xf numFmtId="165" fontId="34" fillId="0" borderId="27" xfId="42" applyNumberFormat="1" applyFont="1" applyFill="1" applyBorder="1" applyAlignment="1" applyProtection="1">
      <alignment horizontal="right"/>
    </xf>
    <xf numFmtId="165" fontId="34" fillId="0" borderId="0" xfId="42" applyNumberFormat="1" applyFont="1" applyFill="1" applyBorder="1" applyAlignment="1" applyProtection="1">
      <alignment horizontal="right"/>
    </xf>
    <xf numFmtId="165" fontId="34" fillId="0" borderId="28" xfId="42" applyNumberFormat="1" applyFont="1" applyFill="1" applyBorder="1" applyAlignment="1" applyProtection="1">
      <alignment horizontal="right"/>
    </xf>
    <xf numFmtId="0" fontId="34" fillId="0" borderId="29" xfId="42" applyFont="1" applyBorder="1" applyProtection="1"/>
    <xf numFmtId="0" fontId="34" fillId="0" borderId="30" xfId="42" applyFont="1" applyFill="1" applyBorder="1" applyProtection="1"/>
    <xf numFmtId="165" fontId="34" fillId="0" borderId="31" xfId="42" applyNumberFormat="1" applyFont="1" applyFill="1" applyBorder="1" applyAlignment="1" applyProtection="1">
      <alignment horizontal="right"/>
    </xf>
    <xf numFmtId="165" fontId="34" fillId="0" borderId="30" xfId="42" applyNumberFormat="1" applyFont="1" applyFill="1" applyBorder="1" applyAlignment="1" applyProtection="1">
      <alignment horizontal="right"/>
    </xf>
    <xf numFmtId="165" fontId="34" fillId="0" borderId="32" xfId="42" applyNumberFormat="1" applyFont="1" applyFill="1" applyBorder="1" applyAlignment="1" applyProtection="1">
      <alignment horizontal="right"/>
    </xf>
    <xf numFmtId="0" fontId="34" fillId="0" borderId="24" xfId="42" applyFont="1" applyFill="1" applyBorder="1" applyProtection="1"/>
    <xf numFmtId="0" fontId="34" fillId="0" borderId="17" xfId="42" applyFont="1" applyFill="1" applyBorder="1" applyProtection="1"/>
    <xf numFmtId="0" fontId="34" fillId="0" borderId="18" xfId="42" applyFont="1" applyFill="1" applyBorder="1" applyProtection="1"/>
    <xf numFmtId="0" fontId="43" fillId="0" borderId="0" xfId="42" applyFont="1" applyFill="1" applyBorder="1" applyProtection="1"/>
    <xf numFmtId="0" fontId="43" fillId="0" borderId="21" xfId="42" applyFont="1" applyFill="1" applyBorder="1" applyAlignment="1" applyProtection="1">
      <alignment horizontal="right"/>
    </xf>
    <xf numFmtId="0" fontId="40" fillId="0" borderId="0" xfId="42" applyFont="1" applyFill="1" applyBorder="1" applyProtection="1"/>
    <xf numFmtId="0" fontId="43" fillId="0" borderId="0" xfId="42" applyFont="1" applyBorder="1" applyProtection="1"/>
    <xf numFmtId="0" fontId="40" fillId="0" borderId="21" xfId="42" applyFont="1" applyFill="1" applyBorder="1" applyAlignment="1" applyProtection="1">
      <alignment horizontal="center"/>
    </xf>
    <xf numFmtId="165" fontId="34" fillId="0" borderId="2" xfId="42" applyNumberFormat="1" applyFont="1" applyFill="1" applyBorder="1" applyAlignment="1" applyProtection="1">
      <alignment horizontal="right"/>
    </xf>
    <xf numFmtId="0" fontId="36" fillId="13" borderId="0" xfId="42" applyFont="1" applyFill="1" applyBorder="1" applyProtection="1"/>
    <xf numFmtId="0" fontId="34" fillId="0" borderId="33" xfId="42" applyFont="1" applyFill="1" applyBorder="1" applyProtection="1"/>
    <xf numFmtId="0" fontId="36" fillId="0" borderId="3" xfId="42" applyFont="1" applyFill="1" applyBorder="1" applyProtection="1"/>
    <xf numFmtId="165" fontId="34" fillId="0" borderId="34" xfId="42" applyNumberFormat="1" applyFont="1" applyFill="1" applyBorder="1" applyAlignment="1" applyProtection="1">
      <alignment horizontal="right"/>
    </xf>
    <xf numFmtId="165" fontId="34" fillId="0" borderId="35" xfId="42" applyNumberFormat="1" applyFont="1" applyFill="1" applyBorder="1" applyAlignment="1" applyProtection="1">
      <alignment horizontal="right"/>
    </xf>
    <xf numFmtId="0" fontId="0" fillId="0" borderId="30" xfId="42" applyFont="1" applyBorder="1"/>
    <xf numFmtId="0" fontId="0" fillId="0" borderId="36" xfId="42" applyFont="1" applyBorder="1"/>
    <xf numFmtId="0" fontId="34" fillId="0" borderId="30" xfId="42" applyFont="1" applyBorder="1" applyProtection="1"/>
    <xf numFmtId="0" fontId="28" fillId="0" borderId="30" xfId="42" applyFont="1" applyBorder="1"/>
    <xf numFmtId="0" fontId="28" fillId="0" borderId="30" xfId="42" applyFont="1" applyFill="1" applyBorder="1"/>
    <xf numFmtId="0" fontId="40" fillId="0" borderId="30" xfId="42" applyFont="1" applyBorder="1" applyAlignment="1" applyProtection="1">
      <alignment horizontal="right"/>
    </xf>
    <xf numFmtId="0" fontId="28" fillId="0" borderId="37" xfId="42" applyFont="1" applyBorder="1"/>
    <xf numFmtId="167" fontId="36" fillId="13" borderId="0" xfId="42" applyNumberFormat="1" applyFont="1" applyFill="1" applyBorder="1" applyProtection="1"/>
    <xf numFmtId="0" fontId="44" fillId="13" borderId="0" xfId="42" quotePrefix="1" applyFont="1" applyFill="1" applyBorder="1" applyProtection="1"/>
    <xf numFmtId="173" fontId="36" fillId="13" borderId="0" xfId="42" applyNumberFormat="1" applyFont="1" applyFill="1" applyBorder="1" applyProtection="1"/>
    <xf numFmtId="0" fontId="40" fillId="13" borderId="0" xfId="42" applyFont="1" applyFill="1" applyProtection="1"/>
    <xf numFmtId="0" fontId="40" fillId="0" borderId="0" xfId="42" quotePrefix="1" applyFont="1" applyFill="1" applyBorder="1" applyAlignment="1" applyProtection="1">
      <alignment horizontal="left"/>
    </xf>
    <xf numFmtId="0" fontId="39" fillId="0" borderId="0" xfId="42" quotePrefix="1" applyFont="1" applyFill="1" applyBorder="1" applyAlignment="1" applyProtection="1">
      <alignment horizontal="left"/>
    </xf>
    <xf numFmtId="0" fontId="40" fillId="0" borderId="0" xfId="42" applyFont="1" applyBorder="1" applyAlignment="1" applyProtection="1">
      <alignment horizontal="center"/>
    </xf>
    <xf numFmtId="0" fontId="34" fillId="0" borderId="21" xfId="42" applyNumberFormat="1" applyFont="1" applyBorder="1" applyAlignment="1" applyProtection="1">
      <alignment horizontal="centerContinuous"/>
    </xf>
    <xf numFmtId="0" fontId="34" fillId="13" borderId="2" xfId="42" applyNumberFormat="1" applyFont="1" applyFill="1" applyBorder="1" applyAlignment="1" applyProtection="1">
      <alignment horizontal="centerContinuous"/>
    </xf>
    <xf numFmtId="0" fontId="34" fillId="13" borderId="0" xfId="42" applyNumberFormat="1" applyFont="1" applyFill="1" applyAlignment="1" applyProtection="1">
      <alignment horizontal="centerContinuous"/>
    </xf>
    <xf numFmtId="0" fontId="34" fillId="0" borderId="0" xfId="42" quotePrefix="1" applyFont="1" applyFill="1" applyBorder="1" applyAlignment="1" applyProtection="1">
      <alignment horizontal="left"/>
    </xf>
    <xf numFmtId="0" fontId="34" fillId="0" borderId="21" xfId="42" applyNumberFormat="1" applyFont="1" applyBorder="1" applyProtection="1"/>
    <xf numFmtId="0" fontId="34" fillId="13" borderId="0" xfId="42" applyNumberFormat="1" applyFont="1" applyFill="1" applyProtection="1"/>
    <xf numFmtId="3" fontId="34" fillId="13" borderId="0" xfId="42" applyNumberFormat="1" applyFont="1" applyFill="1" applyProtection="1"/>
    <xf numFmtId="0" fontId="34" fillId="0" borderId="0" xfId="42" applyFont="1" applyFill="1" applyBorder="1" applyAlignment="1" applyProtection="1">
      <alignment horizontal="left"/>
    </xf>
    <xf numFmtId="3" fontId="46" fillId="13" borderId="0" xfId="42" applyNumberFormat="1" applyFont="1" applyFill="1" applyProtection="1"/>
    <xf numFmtId="0" fontId="34" fillId="0" borderId="0" xfId="42" applyFont="1" applyFill="1" applyBorder="1" applyAlignment="1" applyProtection="1">
      <alignment horizontal="right"/>
    </xf>
    <xf numFmtId="0" fontId="38" fillId="0" borderId="0" xfId="42" applyFont="1" applyFill="1" applyBorder="1" applyAlignment="1" applyProtection="1">
      <alignment horizontal="center"/>
    </xf>
    <xf numFmtId="0" fontId="42" fillId="0" borderId="21" xfId="42" applyFont="1" applyBorder="1" applyProtection="1"/>
    <xf numFmtId="0" fontId="42" fillId="13" borderId="0" xfId="42" applyFont="1" applyFill="1" applyProtection="1"/>
    <xf numFmtId="0" fontId="34" fillId="0" borderId="0" xfId="42" applyFont="1" applyFill="1" applyBorder="1" applyAlignment="1" applyProtection="1">
      <alignment horizontal="center"/>
    </xf>
    <xf numFmtId="165" fontId="34" fillId="0" borderId="0" xfId="42" applyNumberFormat="1" applyFont="1" applyFill="1" applyBorder="1" applyProtection="1"/>
    <xf numFmtId="0" fontId="40" fillId="0" borderId="38" xfId="42" applyFont="1" applyBorder="1" applyAlignment="1" applyProtection="1">
      <alignment horizontal="center"/>
    </xf>
    <xf numFmtId="1" fontId="40" fillId="13" borderId="0" xfId="42" applyNumberFormat="1" applyFont="1" applyFill="1" applyBorder="1" applyProtection="1"/>
    <xf numFmtId="0" fontId="28" fillId="0" borderId="0" xfId="42" applyFont="1" applyFill="1" applyBorder="1" applyProtection="1"/>
    <xf numFmtId="165" fontId="28" fillId="0" borderId="0" xfId="42" applyNumberFormat="1" applyFont="1" applyFill="1" applyBorder="1" applyProtection="1"/>
    <xf numFmtId="0" fontId="40" fillId="0" borderId="27" xfId="42" applyFont="1" applyBorder="1" applyAlignment="1" applyProtection="1">
      <alignment horizontal="center"/>
    </xf>
    <xf numFmtId="0" fontId="40" fillId="13" borderId="0" xfId="42" applyFont="1" applyFill="1" applyBorder="1" applyAlignment="1" applyProtection="1">
      <alignment horizontal="centerContinuous"/>
    </xf>
    <xf numFmtId="0" fontId="34" fillId="0" borderId="24" xfId="42" applyFont="1" applyBorder="1" applyProtection="1"/>
    <xf numFmtId="0" fontId="42" fillId="0" borderId="25" xfId="42" applyFont="1" applyBorder="1" applyAlignment="1" applyProtection="1">
      <alignment horizontal="center"/>
    </xf>
    <xf numFmtId="0" fontId="34" fillId="13" borderId="0" xfId="42" applyFont="1" applyFill="1" applyBorder="1" applyAlignment="1" applyProtection="1">
      <alignment horizontal="right"/>
    </xf>
    <xf numFmtId="0" fontId="43" fillId="0" borderId="0" xfId="42" applyFont="1" applyFill="1" applyBorder="1" applyAlignment="1" applyProtection="1">
      <alignment horizontal="center"/>
    </xf>
    <xf numFmtId="0" fontId="42" fillId="0" borderId="27" xfId="42" applyFont="1" applyBorder="1" applyAlignment="1" applyProtection="1">
      <alignment horizontal="center"/>
    </xf>
    <xf numFmtId="0" fontId="42" fillId="0" borderId="0" xfId="42" applyFont="1" applyBorder="1" applyProtection="1"/>
    <xf numFmtId="0" fontId="40" fillId="0" borderId="29" xfId="42" applyFont="1" applyBorder="1" applyAlignment="1" applyProtection="1"/>
    <xf numFmtId="0" fontId="42" fillId="0" borderId="31" xfId="42" applyFont="1" applyBorder="1" applyAlignment="1" applyProtection="1">
      <alignment horizontal="center"/>
    </xf>
    <xf numFmtId="165" fontId="40" fillId="0" borderId="31" xfId="42" applyNumberFormat="1" applyFont="1" applyFill="1" applyBorder="1" applyAlignment="1" applyProtection="1">
      <alignment horizontal="right"/>
    </xf>
    <xf numFmtId="0" fontId="40" fillId="13" borderId="0" xfId="42" applyFont="1" applyFill="1" applyBorder="1" applyAlignment="1" applyProtection="1">
      <alignment horizontal="right"/>
    </xf>
    <xf numFmtId="0" fontId="34" fillId="0" borderId="18" xfId="42" applyFont="1" applyBorder="1" applyAlignment="1" applyProtection="1"/>
    <xf numFmtId="0" fontId="40" fillId="0" borderId="29" xfId="42" applyFont="1" applyFill="1" applyBorder="1" applyProtection="1"/>
    <xf numFmtId="0" fontId="42" fillId="0" borderId="31" xfId="42" applyFont="1" applyFill="1" applyBorder="1" applyAlignment="1" applyProtection="1">
      <alignment horizontal="center"/>
    </xf>
    <xf numFmtId="0" fontId="42" fillId="0" borderId="25" xfId="42" applyFont="1" applyFill="1" applyBorder="1" applyAlignment="1" applyProtection="1">
      <alignment horizontal="center"/>
    </xf>
    <xf numFmtId="0" fontId="43" fillId="0" borderId="18" xfId="42" applyFont="1" applyFill="1" applyBorder="1" applyProtection="1"/>
    <xf numFmtId="0" fontId="52" fillId="0" borderId="27" xfId="42" applyFont="1" applyFill="1" applyBorder="1" applyAlignment="1" applyProtection="1">
      <alignment horizontal="center"/>
    </xf>
    <xf numFmtId="0" fontId="40" fillId="0" borderId="18" xfId="42" quotePrefix="1" applyFont="1" applyFill="1" applyBorder="1" applyAlignment="1" applyProtection="1">
      <alignment horizontal="left"/>
    </xf>
    <xf numFmtId="0" fontId="48" fillId="0" borderId="27" xfId="42" applyFont="1" applyFill="1" applyBorder="1" applyAlignment="1" applyProtection="1">
      <alignment horizontal="center"/>
    </xf>
    <xf numFmtId="0" fontId="34" fillId="0" borderId="24" xfId="42" quotePrefix="1" applyFont="1" applyBorder="1" applyAlignment="1" applyProtection="1">
      <alignment horizontal="left"/>
    </xf>
    <xf numFmtId="0" fontId="28" fillId="0" borderId="0" xfId="42" applyFont="1" applyFill="1" applyBorder="1"/>
    <xf numFmtId="0" fontId="43" fillId="0" borderId="18" xfId="42" quotePrefix="1" applyFont="1" applyBorder="1" applyAlignment="1" applyProtection="1">
      <alignment horizontal="left"/>
    </xf>
    <xf numFmtId="0" fontId="52" fillId="0" borderId="27" xfId="42" applyFont="1" applyBorder="1" applyAlignment="1" applyProtection="1">
      <alignment horizontal="center"/>
    </xf>
    <xf numFmtId="0" fontId="43" fillId="0" borderId="29" xfId="42" quotePrefix="1" applyFont="1" applyBorder="1" applyAlignment="1" applyProtection="1">
      <alignment horizontal="left"/>
    </xf>
    <xf numFmtId="0" fontId="43" fillId="0" borderId="30" xfId="42" applyFont="1" applyBorder="1" applyProtection="1"/>
    <xf numFmtId="0" fontId="52" fillId="0" borderId="31" xfId="42" applyFont="1" applyBorder="1" applyAlignment="1" applyProtection="1">
      <alignment horizontal="center"/>
    </xf>
    <xf numFmtId="0" fontId="40" fillId="0" borderId="39" xfId="42" applyFont="1" applyBorder="1" applyAlignment="1" applyProtection="1">
      <alignment horizontal="left"/>
    </xf>
    <xf numFmtId="0" fontId="40" fillId="0" borderId="40" xfId="42" applyFont="1" applyBorder="1" applyProtection="1"/>
    <xf numFmtId="0" fontId="48" fillId="0" borderId="41" xfId="42" applyFont="1" applyBorder="1" applyAlignment="1" applyProtection="1">
      <alignment horizontal="center"/>
    </xf>
    <xf numFmtId="0" fontId="0" fillId="0" borderId="0" xfId="42" applyFont="1" applyFill="1" applyBorder="1" applyAlignment="1">
      <alignment horizontal="center"/>
    </xf>
    <xf numFmtId="165" fontId="28" fillId="0" borderId="0" xfId="42" applyNumberFormat="1" applyFont="1" applyFill="1" applyBorder="1" applyAlignment="1" applyProtection="1">
      <alignment horizontal="right"/>
    </xf>
    <xf numFmtId="0" fontId="40" fillId="13" borderId="0" xfId="42" applyFont="1" applyFill="1" applyBorder="1" applyAlignment="1" applyProtection="1">
      <alignment horizontal="center"/>
    </xf>
    <xf numFmtId="0" fontId="34" fillId="0" borderId="18" xfId="42" quotePrefix="1" applyFont="1" applyBorder="1" applyAlignment="1" applyProtection="1">
      <alignment horizontal="left"/>
    </xf>
    <xf numFmtId="0" fontId="34" fillId="0" borderId="18" xfId="42" quotePrefix="1" applyFont="1" applyFill="1" applyBorder="1" applyAlignment="1" applyProtection="1">
      <alignment horizontal="left"/>
    </xf>
    <xf numFmtId="0" fontId="42" fillId="0" borderId="27" xfId="42" applyFont="1" applyFill="1" applyBorder="1" applyAlignment="1" applyProtection="1">
      <alignment horizontal="center"/>
    </xf>
    <xf numFmtId="0" fontId="34" fillId="0" borderId="33" xfId="42" quotePrefix="1" applyFont="1" applyFill="1" applyBorder="1" applyAlignment="1" applyProtection="1">
      <alignment horizontal="left"/>
    </xf>
    <xf numFmtId="0" fontId="34" fillId="0" borderId="3" xfId="42" applyFont="1" applyFill="1" applyBorder="1" applyProtection="1"/>
    <xf numFmtId="0" fontId="42" fillId="0" borderId="42" xfId="42" applyFont="1" applyFill="1" applyBorder="1" applyAlignment="1" applyProtection="1">
      <alignment horizontal="center"/>
    </xf>
    <xf numFmtId="0" fontId="28" fillId="13" borderId="17" xfId="42" applyFont="1" applyFill="1" applyBorder="1"/>
    <xf numFmtId="0" fontId="0" fillId="13" borderId="17" xfId="42" applyFont="1" applyFill="1" applyBorder="1"/>
    <xf numFmtId="0" fontId="28" fillId="13" borderId="0" xfId="42" applyFont="1" applyFill="1" applyBorder="1" applyAlignment="1">
      <alignment horizontal="center"/>
    </xf>
    <xf numFmtId="0" fontId="0" fillId="0" borderId="19" xfId="42" applyFont="1" applyFill="1" applyBorder="1"/>
    <xf numFmtId="0" fontId="0" fillId="0" borderId="20" xfId="42" applyFont="1" applyBorder="1"/>
    <xf numFmtId="0" fontId="0" fillId="0" borderId="2" xfId="42" applyFont="1" applyFill="1" applyBorder="1"/>
    <xf numFmtId="0" fontId="34" fillId="0" borderId="7" xfId="42" applyFont="1" applyBorder="1" applyProtection="1"/>
    <xf numFmtId="1" fontId="40" fillId="0" borderId="21" xfId="42" applyNumberFormat="1" applyFont="1" applyBorder="1" applyAlignment="1" applyProtection="1">
      <alignment horizontal="center"/>
    </xf>
    <xf numFmtId="1" fontId="40" fillId="0" borderId="41" xfId="42" applyNumberFormat="1" applyFont="1" applyBorder="1" applyAlignment="1" applyProtection="1">
      <alignment horizontal="center"/>
    </xf>
    <xf numFmtId="1" fontId="40" fillId="0" borderId="43" xfId="42" applyNumberFormat="1" applyFont="1" applyBorder="1" applyAlignment="1" applyProtection="1">
      <alignment horizontal="center"/>
    </xf>
    <xf numFmtId="165" fontId="34" fillId="0" borderId="25" xfId="42" applyNumberFormat="1" applyFont="1" applyBorder="1" applyProtection="1"/>
    <xf numFmtId="0" fontId="34" fillId="0" borderId="21" xfId="42" applyFont="1" applyBorder="1" applyProtection="1"/>
    <xf numFmtId="165" fontId="34" fillId="0" borderId="27" xfId="42" applyNumberFormat="1" applyFont="1" applyBorder="1" applyProtection="1"/>
    <xf numFmtId="0" fontId="28" fillId="0" borderId="0" xfId="42" applyFont="1" applyBorder="1" applyProtection="1"/>
    <xf numFmtId="0" fontId="34" fillId="0" borderId="21" xfId="42" applyFont="1" applyFill="1" applyBorder="1" applyProtection="1"/>
    <xf numFmtId="0" fontId="32" fillId="0" borderId="29" xfId="42" applyFont="1" applyBorder="1" applyAlignment="1" applyProtection="1">
      <alignment horizontal="left"/>
    </xf>
    <xf numFmtId="0" fontId="32" fillId="0" borderId="30" xfId="42" applyFont="1" applyBorder="1" applyAlignment="1" applyProtection="1">
      <alignment horizontal="left"/>
    </xf>
    <xf numFmtId="165" fontId="40" fillId="0" borderId="31" xfId="42" applyNumberFormat="1" applyFont="1" applyBorder="1" applyProtection="1"/>
    <xf numFmtId="0" fontId="40" fillId="0" borderId="21" xfId="42" applyFont="1" applyBorder="1" applyProtection="1"/>
    <xf numFmtId="0" fontId="28" fillId="0" borderId="18" xfId="42" applyFont="1" applyBorder="1" applyAlignment="1" applyProtection="1">
      <alignment horizontal="left"/>
    </xf>
    <xf numFmtId="0" fontId="28" fillId="0" borderId="0" xfId="42" applyFont="1" applyBorder="1" applyAlignment="1" applyProtection="1">
      <alignment horizontal="left"/>
    </xf>
    <xf numFmtId="0" fontId="40" fillId="0" borderId="29" xfId="42" applyFont="1" applyBorder="1" applyProtection="1"/>
    <xf numFmtId="0" fontId="40" fillId="0" borderId="30" xfId="42" applyFont="1" applyBorder="1" applyProtection="1"/>
    <xf numFmtId="0" fontId="32" fillId="0" borderId="21" xfId="42" applyFont="1" applyBorder="1" applyProtection="1"/>
    <xf numFmtId="0" fontId="40" fillId="0" borderId="29" xfId="42" applyFont="1" applyBorder="1" applyAlignment="1" applyProtection="1">
      <alignment horizontal="left"/>
    </xf>
    <xf numFmtId="0" fontId="40" fillId="0" borderId="30" xfId="42" quotePrefix="1" applyFont="1" applyBorder="1" applyAlignment="1" applyProtection="1">
      <alignment horizontal="left"/>
    </xf>
    <xf numFmtId="0" fontId="34" fillId="0" borderId="6" xfId="42" applyFont="1" applyFill="1" applyBorder="1" applyProtection="1"/>
    <xf numFmtId="0" fontId="34" fillId="0" borderId="23" xfId="42" quotePrefix="1" applyFont="1" applyBorder="1" applyAlignment="1" applyProtection="1">
      <alignment horizontal="left"/>
    </xf>
    <xf numFmtId="0" fontId="34" fillId="0" borderId="33" xfId="42" applyFont="1" applyBorder="1" applyAlignment="1" applyProtection="1">
      <alignment horizontal="left"/>
    </xf>
    <xf numFmtId="0" fontId="34" fillId="0" borderId="3" xfId="42" quotePrefix="1" applyFont="1" applyBorder="1" applyAlignment="1" applyProtection="1">
      <alignment horizontal="left"/>
    </xf>
    <xf numFmtId="0" fontId="0" fillId="0" borderId="36" xfId="42" applyFont="1" applyFill="1" applyBorder="1"/>
    <xf numFmtId="0" fontId="40" fillId="0" borderId="37" xfId="42" applyFont="1" applyBorder="1" applyAlignment="1" applyProtection="1">
      <alignment horizontal="right"/>
    </xf>
    <xf numFmtId="0" fontId="28" fillId="0" borderId="0" xfId="42" applyFont="1"/>
    <xf numFmtId="0" fontId="28" fillId="0" borderId="17" xfId="42" applyFont="1" applyBorder="1"/>
    <xf numFmtId="0" fontId="28" fillId="0" borderId="20" xfId="42" applyFont="1" applyBorder="1"/>
    <xf numFmtId="0" fontId="28" fillId="0" borderId="0" xfId="42" applyFont="1" applyBorder="1"/>
    <xf numFmtId="0" fontId="28" fillId="0" borderId="21" xfId="42" applyFont="1" applyBorder="1"/>
    <xf numFmtId="0" fontId="40" fillId="0" borderId="0" xfId="42" quotePrefix="1" applyFont="1" applyBorder="1" applyAlignment="1" applyProtection="1">
      <alignment horizontal="left"/>
    </xf>
    <xf numFmtId="3" fontId="34" fillId="0" borderId="7" xfId="42" applyNumberFormat="1" applyFont="1" applyFill="1" applyBorder="1" applyProtection="1"/>
    <xf numFmtId="3" fontId="34" fillId="0" borderId="23" xfId="42" applyNumberFormat="1" applyFont="1" applyFill="1" applyBorder="1" applyProtection="1"/>
    <xf numFmtId="3" fontId="40" fillId="0" borderId="38" xfId="42" applyNumberFormat="1" applyFont="1" applyFill="1" applyBorder="1" applyAlignment="1" applyProtection="1">
      <alignment horizontal="center"/>
    </xf>
    <xf numFmtId="1" fontId="40" fillId="0" borderId="44" xfId="42" applyNumberFormat="1" applyFont="1" applyFill="1" applyBorder="1" applyAlignment="1" applyProtection="1">
      <alignment horizontal="center"/>
    </xf>
    <xf numFmtId="1" fontId="40" fillId="0" borderId="21" xfId="42" applyNumberFormat="1" applyFont="1" applyFill="1" applyBorder="1" applyAlignment="1" applyProtection="1">
      <alignment horizontal="center"/>
    </xf>
    <xf numFmtId="1" fontId="40" fillId="13" borderId="0" xfId="42" applyNumberFormat="1" applyFont="1" applyFill="1" applyBorder="1" applyAlignment="1" applyProtection="1">
      <alignment horizontal="center"/>
    </xf>
    <xf numFmtId="3" fontId="34" fillId="0" borderId="18" xfId="42" applyNumberFormat="1" applyFont="1" applyFill="1" applyBorder="1" applyProtection="1"/>
    <xf numFmtId="3" fontId="34" fillId="0" borderId="21" xfId="42" applyNumberFormat="1" applyFont="1" applyFill="1" applyBorder="1" applyProtection="1"/>
    <xf numFmtId="3" fontId="40" fillId="0" borderId="27" xfId="42" applyNumberFormat="1" applyFont="1" applyFill="1" applyBorder="1" applyAlignment="1" applyProtection="1">
      <alignment horizontal="center"/>
    </xf>
    <xf numFmtId="3" fontId="53" fillId="0" borderId="24" xfId="42" applyNumberFormat="1" applyFont="1" applyFill="1" applyBorder="1" applyProtection="1"/>
    <xf numFmtId="3" fontId="53" fillId="0" borderId="20" xfId="42" applyNumberFormat="1" applyFont="1" applyFill="1" applyBorder="1" applyProtection="1"/>
    <xf numFmtId="3" fontId="53" fillId="0" borderId="25" xfId="42" applyNumberFormat="1" applyFont="1" applyFill="1" applyBorder="1" applyAlignment="1" applyProtection="1">
      <alignment horizontal="center"/>
    </xf>
    <xf numFmtId="172" fontId="34" fillId="0" borderId="20" xfId="42" applyNumberFormat="1" applyFont="1" applyFill="1" applyBorder="1" applyProtection="1"/>
    <xf numFmtId="3" fontId="34" fillId="0" borderId="17" xfId="42" applyNumberFormat="1" applyFont="1" applyFill="1" applyBorder="1" applyProtection="1"/>
    <xf numFmtId="3" fontId="34" fillId="0" borderId="25" xfId="42" applyNumberFormat="1" applyFont="1" applyFill="1" applyBorder="1" applyProtection="1"/>
    <xf numFmtId="0" fontId="34" fillId="0" borderId="20" xfId="42" applyFont="1" applyFill="1" applyBorder="1" applyProtection="1"/>
    <xf numFmtId="0" fontId="34" fillId="0" borderId="45" xfId="42" applyFont="1" applyFill="1" applyBorder="1" applyProtection="1"/>
    <xf numFmtId="0" fontId="34" fillId="13" borderId="0" xfId="42" applyFont="1" applyFill="1" applyBorder="1" applyProtection="1"/>
    <xf numFmtId="3" fontId="34" fillId="0" borderId="27" xfId="42" applyNumberFormat="1" applyFont="1" applyFill="1" applyBorder="1" applyAlignment="1" applyProtection="1">
      <alignment horizontal="center"/>
    </xf>
    <xf numFmtId="165" fontId="34" fillId="0" borderId="21" xfId="42" applyNumberFormat="1" applyFont="1" applyFill="1" applyBorder="1" applyAlignment="1" applyProtection="1">
      <alignment horizontal="right"/>
    </xf>
    <xf numFmtId="165" fontId="34" fillId="0" borderId="46" xfId="42" applyNumberFormat="1" applyFont="1" applyFill="1" applyBorder="1" applyAlignment="1" applyProtection="1">
      <alignment horizontal="right"/>
    </xf>
    <xf numFmtId="3" fontId="43" fillId="0" borderId="18" xfId="42" applyNumberFormat="1" applyFont="1" applyFill="1" applyBorder="1" applyProtection="1"/>
    <xf numFmtId="165" fontId="34" fillId="0" borderId="27" xfId="42" applyNumberFormat="1" applyFont="1" applyFill="1" applyBorder="1" applyProtection="1"/>
    <xf numFmtId="3" fontId="53" fillId="0" borderId="18" xfId="42" applyNumberFormat="1" applyFont="1" applyFill="1" applyBorder="1" applyProtection="1"/>
    <xf numFmtId="3" fontId="53" fillId="0" borderId="21" xfId="42" applyNumberFormat="1" applyFont="1" applyFill="1" applyBorder="1" applyProtection="1"/>
    <xf numFmtId="165" fontId="34" fillId="0" borderId="21" xfId="42" applyNumberFormat="1" applyFont="1" applyFill="1" applyBorder="1" applyProtection="1"/>
    <xf numFmtId="165" fontId="34" fillId="0" borderId="46" xfId="42" applyNumberFormat="1" applyFont="1" applyFill="1" applyBorder="1" applyProtection="1"/>
    <xf numFmtId="3" fontId="43" fillId="0" borderId="27" xfId="42" applyNumberFormat="1" applyFont="1" applyFill="1" applyBorder="1" applyAlignment="1" applyProtection="1">
      <alignment horizontal="center"/>
    </xf>
    <xf numFmtId="3" fontId="34" fillId="0" borderId="24" xfId="42" applyNumberFormat="1" applyFont="1" applyFill="1" applyBorder="1" applyProtection="1"/>
    <xf numFmtId="3" fontId="34" fillId="0" borderId="20" xfId="42" applyNumberFormat="1" applyFont="1" applyFill="1" applyBorder="1" applyProtection="1"/>
    <xf numFmtId="3" fontId="34" fillId="0" borderId="25" xfId="42" applyNumberFormat="1" applyFont="1" applyFill="1" applyBorder="1" applyAlignment="1" applyProtection="1">
      <alignment horizontal="center"/>
    </xf>
    <xf numFmtId="0" fontId="34" fillId="0" borderId="27" xfId="42" applyFont="1" applyFill="1" applyBorder="1" applyAlignment="1" applyProtection="1">
      <alignment horizontal="center"/>
    </xf>
    <xf numFmtId="0" fontId="0" fillId="0" borderId="30" xfId="42" applyFont="1" applyFill="1" applyBorder="1"/>
    <xf numFmtId="0" fontId="40" fillId="13" borderId="0" xfId="42" applyFont="1" applyFill="1" applyAlignment="1" applyProtection="1">
      <alignment horizontal="right"/>
    </xf>
    <xf numFmtId="0" fontId="28" fillId="0" borderId="19" xfId="42" applyFont="1" applyFill="1" applyBorder="1"/>
    <xf numFmtId="0" fontId="34" fillId="13" borderId="0" xfId="42" applyFont="1" applyFill="1" applyProtection="1"/>
    <xf numFmtId="0" fontId="28" fillId="0" borderId="2" xfId="42" applyFont="1" applyFill="1" applyBorder="1"/>
    <xf numFmtId="0" fontId="34" fillId="0" borderId="21" xfId="42" applyFont="1" applyBorder="1" applyAlignment="1" applyProtection="1">
      <alignment horizontal="centerContinuous"/>
    </xf>
    <xf numFmtId="0" fontId="34" fillId="13" borderId="0" xfId="42" applyFont="1" applyFill="1" applyAlignment="1" applyProtection="1">
      <alignment horizontal="centerContinuous"/>
    </xf>
    <xf numFmtId="0" fontId="34" fillId="0" borderId="38" xfId="42" applyFont="1" applyBorder="1" applyProtection="1"/>
    <xf numFmtId="0" fontId="0" fillId="0" borderId="6" xfId="42" applyFont="1" applyBorder="1"/>
    <xf numFmtId="0" fontId="40" fillId="0" borderId="6" xfId="42" applyFont="1" applyBorder="1" applyAlignment="1" applyProtection="1">
      <alignment horizontal="left"/>
    </xf>
    <xf numFmtId="0" fontId="40" fillId="0" borderId="6" xfId="42" applyFont="1" applyBorder="1" applyAlignment="1" applyProtection="1">
      <alignment horizontal="centerContinuous"/>
    </xf>
    <xf numFmtId="0" fontId="40" fillId="0" borderId="8" xfId="42" applyFont="1" applyBorder="1" applyAlignment="1" applyProtection="1">
      <alignment horizontal="centerContinuous"/>
    </xf>
    <xf numFmtId="0" fontId="40" fillId="0" borderId="21" xfId="42" applyFont="1" applyBorder="1" applyAlignment="1" applyProtection="1">
      <alignment horizontal="centerContinuous"/>
    </xf>
    <xf numFmtId="1" fontId="40" fillId="0" borderId="2" xfId="42" applyNumberFormat="1" applyFont="1" applyFill="1" applyBorder="1" applyAlignment="1" applyProtection="1">
      <alignment horizontal="center"/>
    </xf>
    <xf numFmtId="0" fontId="40" fillId="0" borderId="31" xfId="42" applyFont="1" applyBorder="1" applyAlignment="1" applyProtection="1">
      <alignment horizontal="center"/>
    </xf>
    <xf numFmtId="0" fontId="48" fillId="0" borderId="41" xfId="42" applyFont="1" applyBorder="1" applyAlignment="1" applyProtection="1">
      <alignment horizontal="left"/>
    </xf>
    <xf numFmtId="0" fontId="48" fillId="0" borderId="31" xfId="42" applyFont="1" applyBorder="1" applyAlignment="1" applyProtection="1">
      <alignment horizontal="center"/>
    </xf>
    <xf numFmtId="0" fontId="48" fillId="0" borderId="43" xfId="42" applyFont="1" applyBorder="1" applyAlignment="1" applyProtection="1">
      <alignment horizontal="center"/>
    </xf>
    <xf numFmtId="0" fontId="48" fillId="0" borderId="21" xfId="42" applyFont="1" applyBorder="1" applyAlignment="1" applyProtection="1">
      <alignment horizontal="center"/>
    </xf>
    <xf numFmtId="0" fontId="40" fillId="0" borderId="2" xfId="42" applyFont="1" applyFill="1" applyBorder="1" applyAlignment="1" applyProtection="1">
      <alignment horizontal="centerContinuous"/>
    </xf>
    <xf numFmtId="0" fontId="34" fillId="0" borderId="2" xfId="42" applyFont="1" applyFill="1" applyBorder="1" applyProtection="1"/>
    <xf numFmtId="0" fontId="34" fillId="0" borderId="2" xfId="42" applyFont="1" applyFill="1" applyBorder="1" applyAlignment="1" applyProtection="1">
      <alignment horizontal="right"/>
    </xf>
    <xf numFmtId="0" fontId="34" fillId="0" borderId="30" xfId="42" quotePrefix="1" applyFont="1" applyBorder="1" applyAlignment="1" applyProtection="1">
      <alignment horizontal="left"/>
    </xf>
    <xf numFmtId="165" fontId="34" fillId="0" borderId="25" xfId="42" quotePrefix="1" applyNumberFormat="1" applyFont="1" applyFill="1" applyBorder="1" applyAlignment="1" applyProtection="1">
      <alignment horizontal="center"/>
    </xf>
    <xf numFmtId="165" fontId="34" fillId="0" borderId="17" xfId="42" quotePrefix="1" applyNumberFormat="1" applyFont="1" applyFill="1" applyBorder="1" applyAlignment="1" applyProtection="1">
      <alignment horizontal="right"/>
    </xf>
    <xf numFmtId="165" fontId="34" fillId="0" borderId="26" xfId="42" applyNumberFormat="1" applyFont="1" applyFill="1" applyBorder="1" applyAlignment="1" applyProtection="1">
      <alignment horizontal="center"/>
    </xf>
    <xf numFmtId="0" fontId="34" fillId="0" borderId="21" xfId="42" applyFont="1" applyFill="1" applyBorder="1" applyAlignment="1" applyProtection="1">
      <alignment horizontal="center"/>
    </xf>
    <xf numFmtId="165" fontId="40" fillId="0" borderId="37" xfId="42" applyNumberFormat="1" applyFont="1" applyFill="1" applyBorder="1" applyAlignment="1" applyProtection="1">
      <alignment horizontal="right"/>
    </xf>
    <xf numFmtId="165" fontId="40" fillId="0" borderId="32" xfId="42" applyNumberFormat="1" applyFont="1" applyFill="1" applyBorder="1" applyAlignment="1" applyProtection="1">
      <alignment horizontal="right"/>
    </xf>
    <xf numFmtId="0" fontId="48" fillId="0" borderId="31" xfId="42" applyFont="1" applyFill="1" applyBorder="1" applyAlignment="1" applyProtection="1">
      <alignment horizontal="center"/>
    </xf>
    <xf numFmtId="0" fontId="34" fillId="0" borderId="24" xfId="42" quotePrefix="1" applyFont="1" applyFill="1" applyBorder="1" applyAlignment="1" applyProtection="1">
      <alignment horizontal="left"/>
    </xf>
    <xf numFmtId="0" fontId="34" fillId="0" borderId="17" xfId="42" quotePrefix="1" applyFont="1" applyFill="1" applyBorder="1" applyAlignment="1" applyProtection="1">
      <alignment horizontal="left"/>
    </xf>
    <xf numFmtId="0" fontId="43" fillId="0" borderId="18" xfId="42" applyFont="1" applyFill="1" applyBorder="1" applyAlignment="1" applyProtection="1">
      <alignment horizontal="left"/>
    </xf>
    <xf numFmtId="0" fontId="40" fillId="0" borderId="29" xfId="42" quotePrefix="1" applyFont="1" applyBorder="1" applyAlignment="1" applyProtection="1">
      <alignment horizontal="left"/>
    </xf>
    <xf numFmtId="0" fontId="48" fillId="0" borderId="27" xfId="42" applyFont="1" applyBorder="1" applyAlignment="1" applyProtection="1">
      <alignment horizontal="center"/>
    </xf>
    <xf numFmtId="165" fontId="40" fillId="0" borderId="27" xfId="42" applyNumberFormat="1" applyFont="1" applyFill="1" applyBorder="1" applyAlignment="1" applyProtection="1">
      <alignment horizontal="right"/>
    </xf>
    <xf numFmtId="0" fontId="40" fillId="0" borderId="2" xfId="42" applyFont="1" applyFill="1" applyBorder="1" applyAlignment="1" applyProtection="1">
      <alignment horizontal="right"/>
    </xf>
    <xf numFmtId="165" fontId="34" fillId="0" borderId="45" xfId="42" applyNumberFormat="1" applyFont="1" applyFill="1" applyBorder="1" applyAlignment="1" applyProtection="1">
      <alignment horizontal="center"/>
    </xf>
    <xf numFmtId="0" fontId="0" fillId="0" borderId="27" xfId="42" applyFont="1" applyFill="1" applyBorder="1"/>
    <xf numFmtId="165" fontId="0" fillId="0" borderId="27" xfId="42" applyNumberFormat="1" applyFont="1" applyFill="1" applyBorder="1"/>
    <xf numFmtId="165" fontId="0" fillId="0" borderId="27" xfId="42" quotePrefix="1" applyNumberFormat="1" applyFont="1" applyFill="1" applyBorder="1" applyAlignment="1">
      <alignment horizontal="center"/>
    </xf>
    <xf numFmtId="165" fontId="0" fillId="0" borderId="46" xfId="42" applyNumberFormat="1" applyFont="1" applyFill="1" applyBorder="1" applyAlignment="1">
      <alignment horizontal="center"/>
    </xf>
    <xf numFmtId="0" fontId="0" fillId="0" borderId="21" xfId="42" applyFont="1" applyFill="1" applyBorder="1" applyAlignment="1">
      <alignment horizontal="center"/>
    </xf>
    <xf numFmtId="0" fontId="43" fillId="0" borderId="29" xfId="42" applyFont="1" applyFill="1" applyBorder="1" applyAlignment="1" applyProtection="1">
      <alignment horizontal="left"/>
    </xf>
    <xf numFmtId="0" fontId="0" fillId="0" borderId="31" xfId="42" applyFont="1" applyFill="1" applyBorder="1"/>
    <xf numFmtId="165" fontId="0" fillId="0" borderId="31" xfId="42" applyNumberFormat="1" applyFont="1" applyFill="1" applyBorder="1"/>
    <xf numFmtId="165" fontId="0" fillId="0" borderId="31" xfId="42" quotePrefix="1" applyNumberFormat="1" applyFont="1" applyFill="1" applyBorder="1" applyAlignment="1">
      <alignment horizontal="center"/>
    </xf>
    <xf numFmtId="165" fontId="0" fillId="0" borderId="47" xfId="42" applyNumberFormat="1" applyFont="1" applyFill="1" applyBorder="1" applyAlignment="1">
      <alignment horizontal="center"/>
    </xf>
    <xf numFmtId="0" fontId="3" fillId="0" borderId="36" xfId="42" applyFont="1" applyBorder="1" applyAlignment="1">
      <alignment horizontal="center"/>
    </xf>
    <xf numFmtId="0" fontId="40" fillId="0" borderId="48" xfId="42" quotePrefix="1" applyFont="1" applyBorder="1" applyAlignment="1" applyProtection="1">
      <alignment horizontal="left"/>
    </xf>
    <xf numFmtId="0" fontId="48" fillId="0" borderId="49" xfId="42" applyFont="1" applyBorder="1" applyAlignment="1" applyProtection="1">
      <alignment horizontal="center"/>
    </xf>
    <xf numFmtId="165" fontId="40" fillId="0" borderId="49" xfId="42" applyNumberFormat="1" applyFont="1" applyFill="1" applyBorder="1" applyAlignment="1" applyProtection="1">
      <alignment horizontal="right"/>
    </xf>
    <xf numFmtId="165" fontId="40" fillId="0" borderId="50" xfId="42" applyNumberFormat="1" applyFont="1" applyFill="1" applyBorder="1" applyAlignment="1" applyProtection="1">
      <alignment horizontal="right"/>
    </xf>
    <xf numFmtId="0" fontId="42" fillId="0" borderId="0" xfId="42" applyFont="1" applyBorder="1" applyAlignment="1" applyProtection="1">
      <alignment horizontal="center"/>
    </xf>
    <xf numFmtId="0" fontId="34" fillId="0" borderId="7" xfId="42" applyFont="1" applyFill="1" applyBorder="1" applyAlignment="1" applyProtection="1">
      <alignment horizontal="left"/>
    </xf>
    <xf numFmtId="0" fontId="34" fillId="0" borderId="6" xfId="42" quotePrefix="1" applyFont="1" applyFill="1" applyBorder="1" applyAlignment="1" applyProtection="1">
      <alignment horizontal="left"/>
    </xf>
    <xf numFmtId="0" fontId="42" fillId="0" borderId="38" xfId="42" applyFont="1" applyFill="1" applyBorder="1" applyAlignment="1" applyProtection="1">
      <alignment horizontal="center"/>
    </xf>
    <xf numFmtId="165" fontId="34" fillId="0" borderId="38" xfId="42" applyNumberFormat="1" applyFont="1" applyFill="1" applyBorder="1" applyAlignment="1" applyProtection="1">
      <alignment horizontal="right"/>
    </xf>
    <xf numFmtId="165" fontId="34" fillId="0" borderId="6" xfId="42" applyNumberFormat="1" applyFont="1" applyFill="1" applyBorder="1" applyAlignment="1" applyProtection="1">
      <alignment horizontal="right"/>
    </xf>
    <xf numFmtId="165" fontId="34" fillId="0" borderId="51" xfId="42" applyNumberFormat="1" applyFont="1" applyFill="1" applyBorder="1" applyAlignment="1" applyProtection="1">
      <alignment horizontal="right"/>
    </xf>
    <xf numFmtId="0" fontId="34" fillId="0" borderId="18" xfId="42" applyFont="1" applyFill="1" applyBorder="1" applyAlignment="1" applyProtection="1">
      <alignment horizontal="left"/>
    </xf>
    <xf numFmtId="0" fontId="40" fillId="0" borderId="18" xfId="42" applyFont="1" applyBorder="1" applyAlignment="1" applyProtection="1">
      <alignment horizontal="left"/>
    </xf>
    <xf numFmtId="165" fontId="40" fillId="0" borderId="28" xfId="42" applyNumberFormat="1" applyFont="1" applyFill="1" applyBorder="1" applyAlignment="1" applyProtection="1">
      <alignment horizontal="right"/>
    </xf>
    <xf numFmtId="0" fontId="43" fillId="0" borderId="18" xfId="42" applyFont="1" applyBorder="1" applyAlignment="1" applyProtection="1">
      <alignment horizontal="left"/>
    </xf>
    <xf numFmtId="0" fontId="43" fillId="0" borderId="0" xfId="42" quotePrefix="1" applyFont="1" applyBorder="1" applyAlignment="1" applyProtection="1">
      <alignment horizontal="left"/>
    </xf>
    <xf numFmtId="165" fontId="34" fillId="0" borderId="28" xfId="42" applyNumberFormat="1" applyFont="1" applyFill="1" applyBorder="1" applyProtection="1"/>
    <xf numFmtId="0" fontId="40" fillId="0" borderId="33" xfId="42" applyFont="1" applyFill="1" applyBorder="1" applyAlignment="1" applyProtection="1">
      <alignment horizontal="left"/>
    </xf>
    <xf numFmtId="0" fontId="40" fillId="0" borderId="3" xfId="42" quotePrefix="1" applyFont="1" applyFill="1" applyBorder="1" applyAlignment="1" applyProtection="1">
      <alignment horizontal="left"/>
    </xf>
    <xf numFmtId="0" fontId="48" fillId="0" borderId="42" xfId="42" applyFont="1" applyFill="1" applyBorder="1" applyAlignment="1" applyProtection="1">
      <alignment horizontal="center"/>
    </xf>
    <xf numFmtId="165" fontId="40" fillId="0" borderId="42" xfId="42" applyNumberFormat="1" applyFont="1" applyFill="1" applyBorder="1" applyAlignment="1" applyProtection="1">
      <alignment horizontal="right"/>
    </xf>
    <xf numFmtId="165" fontId="40" fillId="0" borderId="3" xfId="42" applyNumberFormat="1" applyFont="1" applyFill="1" applyBorder="1" applyAlignment="1" applyProtection="1">
      <alignment horizontal="right"/>
    </xf>
    <xf numFmtId="165" fontId="40" fillId="0" borderId="35" xfId="42" applyNumberFormat="1" applyFont="1" applyFill="1" applyBorder="1" applyAlignment="1" applyProtection="1">
      <alignment horizontal="right"/>
    </xf>
    <xf numFmtId="0" fontId="28" fillId="0" borderId="36" xfId="42" applyFont="1" applyFill="1" applyBorder="1"/>
    <xf numFmtId="0" fontId="34" fillId="0" borderId="30" xfId="42" applyFont="1" applyBorder="1" applyAlignment="1" applyProtection="1">
      <alignment horizontal="left"/>
    </xf>
    <xf numFmtId="0" fontId="40" fillId="0" borderId="30" xfId="42" quotePrefix="1" applyFont="1" applyBorder="1" applyAlignment="1" applyProtection="1">
      <alignment horizontal="right"/>
    </xf>
    <xf numFmtId="0" fontId="40" fillId="0" borderId="37" xfId="42" quotePrefix="1" applyFont="1" applyBorder="1" applyAlignment="1" applyProtection="1">
      <alignment horizontal="right"/>
    </xf>
    <xf numFmtId="0" fontId="40" fillId="13" borderId="0" xfId="42" quotePrefix="1" applyFont="1" applyFill="1" applyAlignment="1" applyProtection="1">
      <alignment horizontal="left"/>
    </xf>
    <xf numFmtId="0" fontId="34" fillId="13" borderId="0" xfId="42" applyFont="1" applyFill="1" applyBorder="1" applyAlignment="1" applyProtection="1">
      <alignment horizontal="left"/>
    </xf>
    <xf numFmtId="0" fontId="34" fillId="13" borderId="0" xfId="42" quotePrefix="1" applyFont="1" applyFill="1" applyBorder="1" applyAlignment="1" applyProtection="1">
      <alignment horizontal="left"/>
    </xf>
    <xf numFmtId="0" fontId="28" fillId="13" borderId="0" xfId="42" applyFont="1" applyFill="1" applyBorder="1"/>
    <xf numFmtId="0" fontId="34" fillId="0" borderId="19" xfId="42" applyFont="1" applyFill="1" applyBorder="1" applyProtection="1"/>
    <xf numFmtId="0" fontId="39" fillId="0" borderId="17" xfId="42" applyFont="1" applyFill="1" applyBorder="1" applyProtection="1"/>
    <xf numFmtId="14" fontId="36" fillId="0" borderId="21" xfId="42" applyNumberFormat="1" applyFont="1" applyBorder="1" applyAlignment="1" applyProtection="1">
      <alignment horizontal="center"/>
    </xf>
    <xf numFmtId="1" fontId="39" fillId="0" borderId="22" xfId="42" applyNumberFormat="1" applyFont="1" applyBorder="1" applyAlignment="1" applyProtection="1">
      <alignment horizontal="center"/>
    </xf>
    <xf numFmtId="1" fontId="39" fillId="0" borderId="21" xfId="42" applyNumberFormat="1" applyFont="1" applyBorder="1" applyAlignment="1" applyProtection="1">
      <alignment horizontal="center"/>
    </xf>
    <xf numFmtId="165" fontId="34" fillId="0" borderId="21" xfId="42" applyNumberFormat="1" applyFont="1" applyBorder="1" applyProtection="1"/>
    <xf numFmtId="165" fontId="34" fillId="0" borderId="28" xfId="42" applyNumberFormat="1" applyFont="1" applyBorder="1" applyProtection="1"/>
    <xf numFmtId="0" fontId="43" fillId="0" borderId="0" xfId="42" applyFont="1" applyBorder="1" applyAlignment="1" applyProtection="1">
      <alignment horizontal="left"/>
    </xf>
    <xf numFmtId="0" fontId="43" fillId="0" borderId="21" xfId="42" applyFont="1" applyBorder="1" applyProtection="1"/>
    <xf numFmtId="0" fontId="43" fillId="0" borderId="2" xfId="42" applyFont="1" applyFill="1" applyBorder="1" applyProtection="1"/>
    <xf numFmtId="165" fontId="40" fillId="0" borderId="32" xfId="42" applyNumberFormat="1" applyFont="1" applyBorder="1" applyProtection="1"/>
    <xf numFmtId="0" fontId="43" fillId="0" borderId="2" xfId="42" quotePrefix="1" applyFont="1" applyFill="1" applyBorder="1" applyAlignment="1" applyProtection="1">
      <alignment horizontal="left"/>
    </xf>
    <xf numFmtId="0" fontId="34" fillId="0" borderId="2" xfId="42" applyFont="1" applyFill="1" applyBorder="1" applyAlignment="1" applyProtection="1">
      <alignment horizontal="left"/>
    </xf>
    <xf numFmtId="0" fontId="43" fillId="0" borderId="2" xfId="42" applyFont="1" applyFill="1" applyBorder="1" applyAlignment="1" applyProtection="1">
      <alignment horizontal="left"/>
    </xf>
    <xf numFmtId="0" fontId="34" fillId="0" borderId="18" xfId="42" applyFont="1" applyBorder="1" applyAlignment="1" applyProtection="1">
      <alignment horizontal="left"/>
    </xf>
    <xf numFmtId="0" fontId="43" fillId="0" borderId="33" xfId="42" applyFont="1" applyBorder="1" applyAlignment="1" applyProtection="1">
      <alignment horizontal="left"/>
    </xf>
    <xf numFmtId="0" fontId="43" fillId="0" borderId="3" xfId="42" applyFont="1" applyBorder="1" applyAlignment="1" applyProtection="1">
      <alignment horizontal="left"/>
    </xf>
    <xf numFmtId="0" fontId="32" fillId="0" borderId="0" xfId="42" applyFont="1" applyBorder="1"/>
    <xf numFmtId="165" fontId="40" fillId="0" borderId="25" xfId="42" applyNumberFormat="1" applyFont="1" applyBorder="1" applyProtection="1"/>
    <xf numFmtId="165" fontId="40" fillId="0" borderId="46" xfId="42" applyNumberFormat="1" applyFont="1" applyBorder="1" applyProtection="1"/>
    <xf numFmtId="0" fontId="34" fillId="0" borderId="23" xfId="42" applyFont="1" applyBorder="1" applyProtection="1"/>
    <xf numFmtId="0" fontId="34" fillId="0" borderId="2" xfId="42" applyFont="1" applyFill="1" applyBorder="1" applyAlignment="1" applyProtection="1">
      <alignment horizontal="center"/>
    </xf>
    <xf numFmtId="0" fontId="34" fillId="0" borderId="20" xfId="42" quotePrefix="1" applyFont="1" applyFill="1" applyBorder="1" applyAlignment="1" applyProtection="1">
      <alignment horizontal="left"/>
    </xf>
    <xf numFmtId="165" fontId="34" fillId="0" borderId="26" xfId="42" applyNumberFormat="1" applyFont="1" applyBorder="1" applyProtection="1"/>
    <xf numFmtId="165" fontId="34" fillId="0" borderId="27" xfId="42" applyNumberFormat="1" applyFont="1" applyBorder="1" applyAlignment="1" applyProtection="1">
      <alignment horizontal="right"/>
    </xf>
    <xf numFmtId="165" fontId="34" fillId="0" borderId="28" xfId="42" applyNumberFormat="1" applyFont="1" applyBorder="1" applyAlignment="1" applyProtection="1">
      <alignment horizontal="right"/>
    </xf>
    <xf numFmtId="0" fontId="43" fillId="0" borderId="21" xfId="42" applyFont="1" applyBorder="1" applyAlignment="1" applyProtection="1">
      <alignment horizontal="right"/>
    </xf>
    <xf numFmtId="165" fontId="34" fillId="0" borderId="27" xfId="42" quotePrefix="1" applyNumberFormat="1" applyFont="1" applyBorder="1" applyAlignment="1" applyProtection="1">
      <alignment horizontal="right"/>
    </xf>
    <xf numFmtId="0" fontId="34" fillId="0" borderId="21" xfId="42" quotePrefix="1" applyFont="1" applyFill="1" applyBorder="1" applyAlignment="1" applyProtection="1">
      <alignment horizontal="left"/>
    </xf>
    <xf numFmtId="0" fontId="34" fillId="0" borderId="21" xfId="42" applyFont="1" applyBorder="1" applyAlignment="1" applyProtection="1">
      <alignment horizontal="right"/>
    </xf>
    <xf numFmtId="0" fontId="40" fillId="0" borderId="37" xfId="42" quotePrefix="1" applyFont="1" applyBorder="1" applyAlignment="1" applyProtection="1">
      <alignment horizontal="left"/>
    </xf>
    <xf numFmtId="0" fontId="40" fillId="0" borderId="21" xfId="42" applyFont="1" applyBorder="1" applyAlignment="1" applyProtection="1">
      <alignment horizontal="right"/>
    </xf>
    <xf numFmtId="165" fontId="34" fillId="0" borderId="25" xfId="42" applyNumberFormat="1" applyFont="1" applyBorder="1" applyAlignment="1" applyProtection="1">
      <alignment horizontal="right"/>
    </xf>
    <xf numFmtId="165" fontId="34" fillId="0" borderId="26" xfId="42" applyNumberFormat="1" applyFont="1" applyBorder="1" applyAlignment="1" applyProtection="1">
      <alignment horizontal="right"/>
    </xf>
    <xf numFmtId="0" fontId="40" fillId="0" borderId="33" xfId="42" quotePrefix="1" applyFont="1" applyBorder="1" applyAlignment="1" applyProtection="1">
      <alignment horizontal="left"/>
    </xf>
    <xf numFmtId="0" fontId="40" fillId="0" borderId="52" xfId="42" quotePrefix="1" applyFont="1" applyBorder="1" applyAlignment="1" applyProtection="1">
      <alignment horizontal="left"/>
    </xf>
    <xf numFmtId="165" fontId="40" fillId="0" borderId="42" xfId="42" applyNumberFormat="1" applyFont="1" applyBorder="1" applyProtection="1"/>
    <xf numFmtId="165" fontId="40" fillId="0" borderId="35" xfId="42" applyNumberFormat="1" applyFont="1" applyBorder="1" applyProtection="1"/>
    <xf numFmtId="0" fontId="45" fillId="13" borderId="0" xfId="42" applyFont="1" applyFill="1"/>
    <xf numFmtId="14" fontId="34" fillId="0" borderId="0" xfId="42" applyNumberFormat="1" applyFont="1" applyBorder="1" applyProtection="1"/>
    <xf numFmtId="14" fontId="34" fillId="0" borderId="21" xfId="42" applyNumberFormat="1" applyFont="1" applyBorder="1" applyProtection="1"/>
    <xf numFmtId="14" fontId="34" fillId="13" borderId="0" xfId="42" applyNumberFormat="1" applyFont="1" applyFill="1" applyProtection="1"/>
    <xf numFmtId="0" fontId="28" fillId="0" borderId="27" xfId="42" applyFont="1" applyBorder="1" applyProtection="1"/>
    <xf numFmtId="0" fontId="40" fillId="0" borderId="21" xfId="42" quotePrefix="1" applyFont="1" applyBorder="1" applyAlignment="1" applyProtection="1">
      <alignment horizontal="center"/>
    </xf>
    <xf numFmtId="0" fontId="34" fillId="0" borderId="25" xfId="42" applyFont="1" applyBorder="1" applyAlignment="1" applyProtection="1">
      <alignment horizontal="center"/>
    </xf>
    <xf numFmtId="0" fontId="34" fillId="0" borderId="53" xfId="42" applyFont="1" applyBorder="1" applyAlignment="1" applyProtection="1">
      <alignment horizontal="center"/>
    </xf>
    <xf numFmtId="0" fontId="40" fillId="0" borderId="54" xfId="42" applyFont="1" applyBorder="1" applyAlignment="1" applyProtection="1">
      <alignment horizontal="centerContinuous"/>
    </xf>
    <xf numFmtId="0" fontId="34" fillId="0" borderId="27" xfId="42" applyFont="1" applyBorder="1" applyAlignment="1" applyProtection="1">
      <alignment horizontal="center"/>
    </xf>
    <xf numFmtId="0" fontId="43" fillId="0" borderId="27" xfId="42" applyFont="1" applyFill="1" applyBorder="1" applyAlignment="1" applyProtection="1">
      <alignment horizontal="center"/>
    </xf>
    <xf numFmtId="0" fontId="34" fillId="0" borderId="31" xfId="42" applyFont="1" applyFill="1" applyBorder="1" applyAlignment="1" applyProtection="1">
      <alignment horizontal="center"/>
    </xf>
    <xf numFmtId="0" fontId="34" fillId="0" borderId="3" xfId="42" quotePrefix="1" applyFont="1" applyFill="1" applyBorder="1" applyAlignment="1" applyProtection="1">
      <alignment horizontal="left"/>
    </xf>
    <xf numFmtId="0" fontId="34" fillId="0" borderId="42" xfId="42" applyFont="1" applyFill="1" applyBorder="1" applyAlignment="1" applyProtection="1">
      <alignment horizontal="center"/>
    </xf>
    <xf numFmtId="0" fontId="43" fillId="0" borderId="36" xfId="42" applyFont="1" applyFill="1" applyBorder="1" applyProtection="1"/>
    <xf numFmtId="0" fontId="34" fillId="0" borderId="0" xfId="42" quotePrefix="1" applyFont="1" applyBorder="1" applyProtection="1"/>
    <xf numFmtId="0" fontId="28" fillId="0" borderId="2" xfId="42" applyFont="1" applyFill="1" applyBorder="1" applyAlignment="1" applyProtection="1">
      <alignment horizontal="centerContinuous"/>
    </xf>
    <xf numFmtId="0" fontId="38" fillId="0" borderId="41" xfId="42" applyFont="1" applyFill="1" applyBorder="1" applyAlignment="1" applyProtection="1">
      <alignment horizontal="center"/>
    </xf>
    <xf numFmtId="0" fontId="38" fillId="0" borderId="41" xfId="42" quotePrefix="1" applyFont="1" applyFill="1" applyBorder="1" applyAlignment="1" applyProtection="1">
      <alignment horizontal="center"/>
    </xf>
    <xf numFmtId="0" fontId="38" fillId="0" borderId="43" xfId="42" quotePrefix="1" applyFont="1" applyFill="1" applyBorder="1" applyAlignment="1" applyProtection="1">
      <alignment horizontal="center"/>
    </xf>
    <xf numFmtId="0" fontId="38" fillId="0" borderId="21" xfId="42" quotePrefix="1" applyFont="1" applyFill="1" applyBorder="1" applyAlignment="1" applyProtection="1">
      <alignment horizontal="center"/>
    </xf>
    <xf numFmtId="165" fontId="34" fillId="0" borderId="19" xfId="42" applyNumberFormat="1" applyFont="1" applyBorder="1" applyAlignment="1" applyProtection="1">
      <alignment horizontal="right"/>
    </xf>
    <xf numFmtId="165" fontId="34" fillId="0" borderId="17" xfId="42" applyNumberFormat="1" applyFont="1" applyBorder="1" applyAlignment="1" applyProtection="1">
      <alignment horizontal="right"/>
    </xf>
    <xf numFmtId="165" fontId="34" fillId="0" borderId="2" xfId="42" applyNumberFormat="1" applyFont="1" applyBorder="1" applyAlignment="1" applyProtection="1">
      <alignment horizontal="right"/>
    </xf>
    <xf numFmtId="165" fontId="34" fillId="0" borderId="0" xfId="42" applyNumberFormat="1" applyFont="1" applyBorder="1" applyAlignment="1" applyProtection="1">
      <alignment horizontal="right"/>
    </xf>
    <xf numFmtId="0" fontId="40" fillId="0" borderId="18" xfId="42" applyFont="1" applyBorder="1" applyProtection="1"/>
    <xf numFmtId="165" fontId="40" fillId="0" borderId="2" xfId="42" applyNumberFormat="1" applyFont="1" applyBorder="1" applyAlignment="1" applyProtection="1">
      <alignment horizontal="right"/>
    </xf>
    <xf numFmtId="165" fontId="40" fillId="0" borderId="27" xfId="42" applyNumberFormat="1" applyFont="1" applyBorder="1" applyAlignment="1" applyProtection="1">
      <alignment horizontal="right"/>
    </xf>
    <xf numFmtId="165" fontId="40" fillId="0" borderId="0" xfId="42" applyNumberFormat="1" applyFont="1" applyBorder="1" applyAlignment="1" applyProtection="1">
      <alignment horizontal="right"/>
    </xf>
    <xf numFmtId="165" fontId="40" fillId="0" borderId="28" xfId="42" applyNumberFormat="1" applyFont="1" applyBorder="1" applyAlignment="1" applyProtection="1">
      <alignment horizontal="right"/>
    </xf>
    <xf numFmtId="0" fontId="43" fillId="0" borderId="3" xfId="42" applyFont="1" applyBorder="1" applyProtection="1"/>
    <xf numFmtId="165" fontId="34" fillId="0" borderId="34" xfId="42" applyNumberFormat="1" applyFont="1" applyBorder="1" applyAlignment="1" applyProtection="1">
      <alignment horizontal="right"/>
    </xf>
    <xf numFmtId="165" fontId="34" fillId="0" borderId="42" xfId="42" applyNumberFormat="1" applyFont="1" applyFill="1" applyBorder="1" applyAlignment="1" applyProtection="1">
      <alignment horizontal="right"/>
    </xf>
    <xf numFmtId="165" fontId="34" fillId="0" borderId="3" xfId="42" applyNumberFormat="1" applyFont="1" applyBorder="1" applyAlignment="1" applyProtection="1">
      <alignment horizontal="right"/>
    </xf>
    <xf numFmtId="0" fontId="0" fillId="0" borderId="46" xfId="42" applyFont="1" applyBorder="1"/>
    <xf numFmtId="0" fontId="0" fillId="0" borderId="55" xfId="42" applyFont="1" applyBorder="1"/>
    <xf numFmtId="0" fontId="0" fillId="0" borderId="51" xfId="42" applyFont="1" applyBorder="1"/>
    <xf numFmtId="0" fontId="40" fillId="0" borderId="2" xfId="42" quotePrefix="1" applyFont="1" applyBorder="1" applyAlignment="1" applyProtection="1">
      <alignment horizontal="right"/>
    </xf>
    <xf numFmtId="0" fontId="40" fillId="0" borderId="27" xfId="42" applyFont="1" applyBorder="1" applyAlignment="1" applyProtection="1">
      <alignment horizontal="right"/>
    </xf>
    <xf numFmtId="0" fontId="40" fillId="0" borderId="0" xfId="42" quotePrefix="1" applyFont="1" applyBorder="1" applyAlignment="1" applyProtection="1">
      <alignment horizontal="right"/>
    </xf>
    <xf numFmtId="0" fontId="40" fillId="0" borderId="28" xfId="42" applyFont="1" applyBorder="1" applyAlignment="1" applyProtection="1">
      <alignment horizontal="right"/>
    </xf>
    <xf numFmtId="0" fontId="34" fillId="0" borderId="2" xfId="42" applyFont="1" applyBorder="1" applyAlignment="1" applyProtection="1">
      <alignment horizontal="right"/>
    </xf>
    <xf numFmtId="0" fontId="40" fillId="0" borderId="3" xfId="42" applyFont="1" applyBorder="1" applyProtection="1"/>
    <xf numFmtId="0" fontId="34" fillId="0" borderId="34" xfId="42" applyFont="1" applyBorder="1" applyAlignment="1" applyProtection="1">
      <alignment horizontal="right"/>
    </xf>
    <xf numFmtId="0" fontId="40" fillId="0" borderId="42" xfId="42" applyFont="1" applyBorder="1" applyAlignment="1" applyProtection="1">
      <alignment horizontal="right"/>
    </xf>
    <xf numFmtId="0" fontId="40" fillId="0" borderId="35" xfId="42" applyFont="1" applyBorder="1" applyAlignment="1" applyProtection="1">
      <alignment horizontal="right"/>
    </xf>
    <xf numFmtId="0" fontId="34" fillId="0" borderId="23" xfId="42" applyFont="1" applyFill="1" applyBorder="1" applyProtection="1"/>
    <xf numFmtId="0" fontId="40" fillId="0" borderId="38" xfId="42" applyFont="1" applyFill="1" applyBorder="1" applyAlignment="1" applyProtection="1">
      <alignment horizontal="center"/>
    </xf>
    <xf numFmtId="1" fontId="40" fillId="0" borderId="55" xfId="42" applyNumberFormat="1" applyFont="1" applyBorder="1" applyAlignment="1" applyProtection="1">
      <alignment horizontal="center"/>
    </xf>
    <xf numFmtId="0" fontId="34" fillId="0" borderId="37" xfId="42" applyFont="1" applyFill="1" applyBorder="1" applyProtection="1"/>
    <xf numFmtId="0" fontId="40" fillId="0" borderId="27" xfId="42" applyFont="1" applyFill="1" applyBorder="1" applyAlignment="1" applyProtection="1">
      <alignment horizontal="center"/>
    </xf>
    <xf numFmtId="0" fontId="40" fillId="0" borderId="24" xfId="42" applyFont="1" applyFill="1" applyBorder="1" applyProtection="1"/>
    <xf numFmtId="0" fontId="40" fillId="0" borderId="25" xfId="42" applyFont="1" applyFill="1" applyBorder="1" applyAlignment="1" applyProtection="1">
      <alignment horizontal="center"/>
    </xf>
    <xf numFmtId="165" fontId="40" fillId="0" borderId="25" xfId="42" applyNumberFormat="1" applyFont="1" applyFill="1" applyBorder="1" applyProtection="1"/>
    <xf numFmtId="0" fontId="34" fillId="0" borderId="29" xfId="42" applyFont="1" applyFill="1" applyBorder="1" applyProtection="1"/>
    <xf numFmtId="165" fontId="34" fillId="0" borderId="31" xfId="42" applyNumberFormat="1" applyFont="1" applyFill="1" applyBorder="1" applyProtection="1"/>
    <xf numFmtId="165" fontId="34" fillId="0" borderId="37" xfId="42" applyNumberFormat="1" applyFont="1" applyFill="1" applyBorder="1" applyProtection="1"/>
    <xf numFmtId="165" fontId="34" fillId="0" borderId="30" xfId="42" applyNumberFormat="1" applyFont="1" applyFill="1" applyBorder="1" applyProtection="1"/>
    <xf numFmtId="165" fontId="34" fillId="0" borderId="47" xfId="42" applyNumberFormat="1" applyFont="1" applyFill="1" applyBorder="1" applyProtection="1"/>
    <xf numFmtId="0" fontId="32" fillId="0" borderId="29" xfId="42" applyFont="1" applyFill="1" applyBorder="1" applyProtection="1"/>
    <xf numFmtId="0" fontId="40" fillId="0" borderId="31" xfId="42" applyFont="1" applyFill="1" applyBorder="1" applyAlignment="1" applyProtection="1">
      <alignment horizontal="center"/>
    </xf>
    <xf numFmtId="0" fontId="28" fillId="0" borderId="18" xfId="42" applyFont="1" applyFill="1" applyBorder="1" applyProtection="1"/>
    <xf numFmtId="165" fontId="28" fillId="0" borderId="21" xfId="42" applyNumberFormat="1" applyFont="1" applyFill="1" applyBorder="1" applyAlignment="1" applyProtection="1">
      <alignment horizontal="right"/>
    </xf>
    <xf numFmtId="0" fontId="40" fillId="0" borderId="33" xfId="42" applyFont="1" applyFill="1" applyBorder="1" applyProtection="1"/>
    <xf numFmtId="0" fontId="50" fillId="0" borderId="42" xfId="42" applyFont="1" applyFill="1" applyBorder="1" applyProtection="1"/>
    <xf numFmtId="165" fontId="40" fillId="0" borderId="52" xfId="42" applyNumberFormat="1" applyFont="1" applyFill="1" applyBorder="1" applyAlignment="1" applyProtection="1">
      <alignment horizontal="right"/>
    </xf>
    <xf numFmtId="0" fontId="34" fillId="0" borderId="21" xfId="42" applyFont="1" applyFill="1" applyBorder="1" applyAlignment="1" applyProtection="1">
      <alignment horizontal="centerContinuous"/>
    </xf>
    <xf numFmtId="1" fontId="39" fillId="0" borderId="21" xfId="42" applyNumberFormat="1" applyFont="1" applyFill="1" applyBorder="1" applyAlignment="1" applyProtection="1">
      <alignment horizontal="center"/>
    </xf>
    <xf numFmtId="165" fontId="40" fillId="0" borderId="26" xfId="42" applyNumberFormat="1" applyFont="1" applyFill="1" applyBorder="1" applyProtection="1"/>
    <xf numFmtId="0" fontId="40" fillId="0" borderId="21" xfId="42" applyFont="1" applyFill="1" applyBorder="1" applyProtection="1"/>
    <xf numFmtId="165" fontId="40" fillId="0" borderId="31" xfId="42" applyNumberFormat="1" applyFont="1" applyFill="1" applyBorder="1" applyProtection="1"/>
    <xf numFmtId="165" fontId="40" fillId="0" borderId="32" xfId="42" applyNumberFormat="1" applyFont="1" applyFill="1" applyBorder="1" applyProtection="1"/>
    <xf numFmtId="0" fontId="50" fillId="0" borderId="29" xfId="42" applyFont="1" applyFill="1" applyBorder="1" applyProtection="1"/>
    <xf numFmtId="0" fontId="50" fillId="0" borderId="31" xfId="42" applyFont="1" applyFill="1" applyBorder="1" applyAlignment="1" applyProtection="1">
      <alignment horizontal="center"/>
    </xf>
    <xf numFmtId="165" fontId="50" fillId="0" borderId="37" xfId="42" applyNumberFormat="1" applyFont="1" applyFill="1" applyBorder="1" applyProtection="1"/>
    <xf numFmtId="0" fontId="50" fillId="0" borderId="21" xfId="42" applyFont="1" applyFill="1" applyBorder="1" applyProtection="1"/>
    <xf numFmtId="0" fontId="28" fillId="0" borderId="27" xfId="42" applyFont="1" applyFill="1" applyBorder="1" applyAlignment="1" applyProtection="1">
      <alignment horizontal="center"/>
    </xf>
    <xf numFmtId="165" fontId="28" fillId="0" borderId="27" xfId="42" applyNumberFormat="1" applyFont="1" applyFill="1" applyBorder="1" applyProtection="1"/>
    <xf numFmtId="165" fontId="28" fillId="0" borderId="21" xfId="42" applyNumberFormat="1" applyFont="1" applyFill="1" applyBorder="1" applyProtection="1"/>
    <xf numFmtId="165" fontId="28" fillId="0" borderId="46" xfId="42" applyNumberFormat="1" applyFont="1" applyFill="1" applyBorder="1" applyProtection="1"/>
    <xf numFmtId="0" fontId="28" fillId="0" borderId="21" xfId="42" applyFont="1" applyFill="1" applyBorder="1" applyProtection="1"/>
    <xf numFmtId="0" fontId="50" fillId="0" borderId="33" xfId="42" applyFont="1" applyFill="1" applyBorder="1" applyProtection="1"/>
    <xf numFmtId="165" fontId="50" fillId="0" borderId="42" xfId="42" applyNumberFormat="1" applyFont="1" applyFill="1" applyBorder="1" applyProtection="1"/>
    <xf numFmtId="165" fontId="50" fillId="0" borderId="35" xfId="42" applyNumberFormat="1" applyFont="1" applyFill="1" applyBorder="1" applyProtection="1"/>
    <xf numFmtId="0" fontId="39" fillId="0" borderId="17" xfId="42" applyFont="1" applyBorder="1" applyProtection="1"/>
    <xf numFmtId="0" fontId="0" fillId="0" borderId="17" xfId="42" applyFont="1" applyBorder="1" applyProtection="1"/>
    <xf numFmtId="0" fontId="0" fillId="0" borderId="20" xfId="42" applyFont="1" applyBorder="1" applyProtection="1"/>
    <xf numFmtId="0" fontId="39" fillId="0" borderId="38" xfId="42" applyFont="1" applyBorder="1" applyAlignment="1" applyProtection="1">
      <alignment horizontal="center"/>
    </xf>
    <xf numFmtId="0" fontId="30" fillId="0" borderId="31" xfId="42" applyFont="1" applyBorder="1" applyAlignment="1" applyProtection="1">
      <alignment horizontal="center"/>
    </xf>
    <xf numFmtId="165" fontId="34" fillId="0" borderId="0" xfId="42" applyNumberFormat="1" applyFont="1" applyBorder="1" applyProtection="1"/>
    <xf numFmtId="165" fontId="34" fillId="0" borderId="46" xfId="42" applyNumberFormat="1" applyFont="1" applyBorder="1" applyProtection="1"/>
    <xf numFmtId="0" fontId="43" fillId="0" borderId="21" xfId="42" applyFont="1" applyFill="1" applyBorder="1" applyProtection="1"/>
    <xf numFmtId="0" fontId="43" fillId="0" borderId="30" xfId="42" applyFont="1" applyFill="1" applyBorder="1" applyProtection="1"/>
    <xf numFmtId="0" fontId="43" fillId="0" borderId="31" xfId="42" applyFont="1" applyFill="1" applyBorder="1" applyAlignment="1" applyProtection="1">
      <alignment horizontal="center"/>
    </xf>
    <xf numFmtId="165" fontId="34" fillId="0" borderId="32" xfId="42" applyNumberFormat="1" applyFont="1" applyFill="1" applyBorder="1" applyProtection="1"/>
    <xf numFmtId="0" fontId="34" fillId="0" borderId="21" xfId="42" quotePrefix="1" applyFont="1" applyFill="1" applyBorder="1" applyAlignment="1" applyProtection="1">
      <alignment horizontal="right"/>
    </xf>
    <xf numFmtId="165" fontId="34" fillId="0" borderId="3" xfId="42" applyNumberFormat="1" applyFont="1" applyFill="1" applyBorder="1" applyProtection="1"/>
    <xf numFmtId="165" fontId="34" fillId="0" borderId="42" xfId="42" applyNumberFormat="1" applyFont="1" applyFill="1" applyBorder="1" applyProtection="1"/>
    <xf numFmtId="165" fontId="34" fillId="0" borderId="35" xfId="42" applyNumberFormat="1" applyFont="1" applyFill="1" applyBorder="1" applyProtection="1"/>
    <xf numFmtId="165" fontId="40" fillId="0" borderId="27" xfId="42" applyNumberFormat="1" applyFont="1" applyFill="1" applyBorder="1" applyProtection="1"/>
    <xf numFmtId="165" fontId="40" fillId="0" borderId="56" xfId="42" applyNumberFormat="1" applyFont="1" applyFill="1" applyBorder="1" applyProtection="1"/>
    <xf numFmtId="165" fontId="34" fillId="0" borderId="38" xfId="42" applyNumberFormat="1" applyFont="1" applyFill="1" applyBorder="1" applyProtection="1"/>
    <xf numFmtId="165" fontId="40" fillId="0" borderId="28" xfId="42" applyNumberFormat="1" applyFont="1" applyFill="1" applyBorder="1" applyProtection="1"/>
    <xf numFmtId="0" fontId="40" fillId="0" borderId="49" xfId="42" applyFont="1" applyFill="1" applyBorder="1" applyAlignment="1" applyProtection="1">
      <alignment horizontal="center"/>
    </xf>
    <xf numFmtId="165" fontId="34" fillId="0" borderId="49" xfId="42" applyNumberFormat="1" applyFont="1" applyFill="1" applyBorder="1" applyProtection="1"/>
    <xf numFmtId="0" fontId="40" fillId="0" borderId="21" xfId="42" quotePrefix="1" applyFont="1" applyFill="1" applyBorder="1" applyAlignment="1" applyProtection="1">
      <alignment horizontal="right"/>
    </xf>
    <xf numFmtId="0" fontId="34" fillId="0" borderId="57" xfId="42" applyFont="1" applyFill="1" applyBorder="1" applyProtection="1"/>
    <xf numFmtId="0" fontId="40" fillId="0" borderId="46" xfId="42" quotePrefix="1" applyFont="1" applyFill="1" applyBorder="1" applyAlignment="1" applyProtection="1">
      <alignment horizontal="right"/>
    </xf>
    <xf numFmtId="165" fontId="34" fillId="0" borderId="57" xfId="42" applyNumberFormat="1" applyFont="1" applyFill="1" applyBorder="1" applyProtection="1"/>
    <xf numFmtId="0" fontId="34" fillId="0" borderId="57" xfId="42" quotePrefix="1" applyFont="1" applyFill="1" applyBorder="1" applyAlignment="1" applyProtection="1">
      <alignment horizontal="left"/>
    </xf>
    <xf numFmtId="0" fontId="34" fillId="0" borderId="58" xfId="42" applyFont="1" applyFill="1" applyBorder="1" applyAlignment="1" applyProtection="1">
      <alignment horizontal="center"/>
    </xf>
    <xf numFmtId="0" fontId="34" fillId="0" borderId="57" xfId="42" quotePrefix="1" applyFont="1" applyFill="1" applyBorder="1" applyAlignment="1" applyProtection="1">
      <alignment horizontal="center"/>
    </xf>
    <xf numFmtId="165" fontId="34" fillId="0" borderId="58" xfId="42" applyNumberFormat="1" applyFont="1" applyFill="1" applyBorder="1" applyAlignment="1" applyProtection="1">
      <alignment horizontal="right"/>
    </xf>
    <xf numFmtId="165" fontId="34" fillId="0" borderId="57" xfId="42" quotePrefix="1" applyNumberFormat="1" applyFont="1" applyFill="1" applyBorder="1" applyAlignment="1" applyProtection="1">
      <alignment horizontal="center"/>
    </xf>
    <xf numFmtId="165" fontId="34" fillId="0" borderId="56" xfId="42" applyNumberFormat="1" applyFont="1" applyFill="1" applyBorder="1" applyAlignment="1" applyProtection="1">
      <alignment horizontal="right"/>
    </xf>
    <xf numFmtId="0" fontId="34" fillId="0" borderId="37" xfId="42" applyFont="1" applyBorder="1" applyProtection="1"/>
    <xf numFmtId="0" fontId="38" fillId="0" borderId="41" xfId="42" applyFont="1" applyBorder="1" applyAlignment="1" applyProtection="1">
      <alignment horizontal="center"/>
    </xf>
    <xf numFmtId="0" fontId="39" fillId="0" borderId="21" xfId="42" applyFont="1" applyBorder="1" applyAlignment="1" applyProtection="1">
      <alignment horizontal="center"/>
    </xf>
    <xf numFmtId="165" fontId="34" fillId="0" borderId="20" xfId="42" applyNumberFormat="1" applyFont="1" applyBorder="1" applyProtection="1"/>
    <xf numFmtId="165" fontId="34" fillId="0" borderId="45" xfId="42" applyNumberFormat="1" applyFont="1" applyBorder="1" applyProtection="1"/>
    <xf numFmtId="165" fontId="40" fillId="0" borderId="21" xfId="42" applyNumberFormat="1" applyFont="1" applyBorder="1" applyAlignment="1" applyProtection="1">
      <alignment horizontal="center"/>
    </xf>
    <xf numFmtId="165" fontId="40" fillId="0" borderId="46" xfId="42" applyNumberFormat="1" applyFont="1" applyBorder="1" applyAlignment="1" applyProtection="1">
      <alignment horizontal="center"/>
    </xf>
    <xf numFmtId="0" fontId="50" fillId="0" borderId="18" xfId="42" applyFont="1" applyBorder="1" applyProtection="1"/>
    <xf numFmtId="0" fontId="50" fillId="0" borderId="21" xfId="42" applyFont="1" applyBorder="1" applyAlignment="1" applyProtection="1">
      <alignment horizontal="center"/>
    </xf>
    <xf numFmtId="165" fontId="34" fillId="0" borderId="21" xfId="42" applyNumberFormat="1" applyFont="1" applyBorder="1" applyAlignment="1" applyProtection="1">
      <alignment horizontal="right"/>
    </xf>
    <xf numFmtId="165" fontId="34" fillId="0" borderId="46" xfId="42" applyNumberFormat="1" applyFont="1" applyBorder="1" applyAlignment="1" applyProtection="1">
      <alignment horizontal="right"/>
    </xf>
    <xf numFmtId="165" fontId="40" fillId="0" borderId="37" xfId="42" applyNumberFormat="1" applyFont="1" applyBorder="1" applyAlignment="1" applyProtection="1">
      <alignment horizontal="center"/>
    </xf>
    <xf numFmtId="165" fontId="40" fillId="0" borderId="37" xfId="42" quotePrefix="1" applyNumberFormat="1" applyFont="1" applyBorder="1" applyAlignment="1" applyProtection="1">
      <alignment horizontal="center"/>
    </xf>
    <xf numFmtId="0" fontId="50" fillId="0" borderId="29" xfId="42" applyFont="1" applyBorder="1" applyProtection="1"/>
    <xf numFmtId="165" fontId="50" fillId="0" borderId="47" xfId="42" quotePrefix="1" applyNumberFormat="1" applyFont="1" applyBorder="1" applyAlignment="1" applyProtection="1">
      <alignment horizontal="center"/>
    </xf>
    <xf numFmtId="0" fontId="50" fillId="0" borderId="21" xfId="42" quotePrefix="1" applyFont="1" applyBorder="1" applyAlignment="1" applyProtection="1">
      <alignment horizontal="center"/>
    </xf>
    <xf numFmtId="165" fontId="40" fillId="0" borderId="20" xfId="42" applyNumberFormat="1" applyFont="1" applyBorder="1" applyAlignment="1" applyProtection="1">
      <alignment horizontal="center"/>
    </xf>
    <xf numFmtId="165" fontId="40" fillId="0" borderId="45" xfId="42" applyNumberFormat="1" applyFont="1" applyBorder="1" applyAlignment="1" applyProtection="1">
      <alignment horizontal="center"/>
    </xf>
    <xf numFmtId="165" fontId="34" fillId="0" borderId="21" xfId="42" applyNumberFormat="1" applyFont="1" applyBorder="1" applyAlignment="1" applyProtection="1">
      <alignment horizontal="center"/>
    </xf>
    <xf numFmtId="165" fontId="34" fillId="0" borderId="46" xfId="42" applyNumberFormat="1" applyFont="1" applyBorder="1" applyAlignment="1" applyProtection="1">
      <alignment horizontal="center"/>
    </xf>
    <xf numFmtId="0" fontId="34" fillId="0" borderId="21" xfId="42" applyFont="1" applyBorder="1" applyAlignment="1" applyProtection="1">
      <alignment horizontal="center"/>
    </xf>
    <xf numFmtId="165" fontId="43" fillId="0" borderId="46" xfId="42" applyNumberFormat="1" applyFont="1" applyBorder="1" applyAlignment="1" applyProtection="1">
      <alignment horizontal="center"/>
    </xf>
    <xf numFmtId="0" fontId="43" fillId="0" borderId="21" xfId="42" applyFont="1" applyBorder="1" applyAlignment="1" applyProtection="1">
      <alignment horizontal="center"/>
    </xf>
    <xf numFmtId="165" fontId="40" fillId="0" borderId="21" xfId="42" applyNumberFormat="1" applyFont="1" applyBorder="1" applyProtection="1"/>
    <xf numFmtId="165" fontId="50" fillId="0" borderId="46" xfId="42" applyNumberFormat="1" applyFont="1" applyBorder="1" applyProtection="1"/>
    <xf numFmtId="0" fontId="50" fillId="0" borderId="21" xfId="42" applyFont="1" applyBorder="1" applyProtection="1"/>
    <xf numFmtId="165" fontId="34" fillId="0" borderId="20" xfId="42" applyNumberFormat="1" applyFont="1" applyBorder="1" applyAlignment="1" applyProtection="1">
      <alignment horizontal="center"/>
    </xf>
    <xf numFmtId="0" fontId="50" fillId="0" borderId="33" xfId="42" applyFont="1" applyBorder="1" applyProtection="1"/>
    <xf numFmtId="165" fontId="40" fillId="0" borderId="52" xfId="42" applyNumberFormat="1" applyFont="1" applyBorder="1" applyProtection="1"/>
    <xf numFmtId="165" fontId="50" fillId="0" borderId="59" xfId="42" applyNumberFormat="1" applyFont="1" applyBorder="1" applyProtection="1"/>
    <xf numFmtId="0" fontId="48" fillId="0" borderId="21" xfId="42" quotePrefix="1" applyFont="1" applyBorder="1" applyAlignment="1" applyProtection="1">
      <alignment horizontal="right"/>
    </xf>
    <xf numFmtId="0" fontId="34" fillId="0" borderId="25" xfId="42" applyFont="1" applyBorder="1" applyProtection="1"/>
    <xf numFmtId="165" fontId="2" fillId="10" borderId="6" xfId="42" applyNumberFormat="1" applyFont="1" applyFill="1" applyBorder="1" applyAlignment="1">
      <alignment horizontal="right"/>
    </xf>
    <xf numFmtId="0" fontId="3" fillId="15" borderId="39" xfId="42" applyFont="1" applyFill="1" applyBorder="1" applyAlignment="1">
      <alignment horizontal="center" vertical="top"/>
    </xf>
    <xf numFmtId="0" fontId="3" fillId="15" borderId="40" xfId="42" applyFont="1" applyFill="1" applyBorder="1" applyAlignment="1">
      <alignment horizontal="center" vertical="top"/>
    </xf>
    <xf numFmtId="0" fontId="3" fillId="15" borderId="39" xfId="42" applyFont="1" applyFill="1" applyBorder="1" applyAlignment="1">
      <alignment horizontal="left" vertical="top"/>
    </xf>
    <xf numFmtId="0" fontId="3" fillId="15" borderId="54" xfId="42" applyFont="1" applyFill="1" applyBorder="1" applyAlignment="1">
      <alignment horizontal="left" vertical="top"/>
    </xf>
    <xf numFmtId="0" fontId="3" fillId="15" borderId="60" xfId="42" applyFont="1" applyFill="1" applyBorder="1" applyAlignment="1">
      <alignment vertical="top"/>
    </xf>
    <xf numFmtId="1" fontId="3" fillId="15" borderId="40" xfId="42" applyNumberFormat="1" applyFont="1" applyFill="1" applyBorder="1" applyAlignment="1">
      <alignment horizontal="right" vertical="top"/>
    </xf>
    <xf numFmtId="0" fontId="0" fillId="0" borderId="0" xfId="42" applyFont="1" applyBorder="1" applyAlignment="1">
      <alignment vertical="top"/>
    </xf>
    <xf numFmtId="0" fontId="33" fillId="11" borderId="14" xfId="42" applyFont="1" applyFill="1" applyBorder="1" applyAlignment="1">
      <alignment horizontal="center"/>
    </xf>
    <xf numFmtId="0" fontId="33" fillId="11" borderId="15" xfId="42" applyFont="1" applyFill="1" applyBorder="1" applyAlignment="1">
      <alignment horizontal="center"/>
    </xf>
    <xf numFmtId="0" fontId="4" fillId="11" borderId="11" xfId="42" applyFont="1" applyFill="1" applyBorder="1" applyAlignment="1">
      <alignment horizontal="center"/>
    </xf>
    <xf numFmtId="0" fontId="4" fillId="11" borderId="61" xfId="42" applyFont="1" applyFill="1" applyBorder="1"/>
    <xf numFmtId="0" fontId="0" fillId="11" borderId="61" xfId="42" applyFont="1" applyFill="1" applyBorder="1"/>
    <xf numFmtId="0" fontId="4" fillId="11" borderId="14" xfId="42" applyFont="1" applyFill="1" applyBorder="1" applyAlignment="1">
      <alignment horizontal="center"/>
    </xf>
    <xf numFmtId="0" fontId="4" fillId="11" borderId="62" xfId="42" applyFont="1" applyFill="1" applyBorder="1"/>
    <xf numFmtId="0" fontId="0" fillId="11" borderId="62" xfId="42" applyFont="1" applyFill="1" applyBorder="1"/>
    <xf numFmtId="0" fontId="58" fillId="11" borderId="14" xfId="42" applyFont="1" applyFill="1" applyBorder="1" applyAlignment="1">
      <alignment horizontal="center"/>
    </xf>
    <xf numFmtId="0" fontId="58" fillId="11" borderId="62" xfId="42" applyFont="1" applyFill="1" applyBorder="1"/>
    <xf numFmtId="0" fontId="33" fillId="11" borderId="62" xfId="42" applyFont="1" applyFill="1" applyBorder="1"/>
    <xf numFmtId="0" fontId="58" fillId="11" borderId="16" xfId="42" applyFont="1" applyFill="1" applyBorder="1"/>
    <xf numFmtId="0" fontId="33" fillId="11" borderId="0" xfId="42" applyFont="1" applyFill="1" applyBorder="1"/>
    <xf numFmtId="165" fontId="55" fillId="0" borderId="3" xfId="42" applyNumberFormat="1" applyFont="1" applyBorder="1" applyAlignment="1">
      <alignment horizontal="right"/>
    </xf>
    <xf numFmtId="165" fontId="0" fillId="0" borderId="0" xfId="42" applyNumberFormat="1" applyFont="1" applyBorder="1" applyAlignment="1">
      <alignment horizontal="right"/>
    </xf>
    <xf numFmtId="165" fontId="3" fillId="0" borderId="61" xfId="42" applyNumberFormat="1" applyFont="1" applyFill="1" applyBorder="1" applyAlignment="1">
      <alignment horizontal="right"/>
    </xf>
    <xf numFmtId="165" fontId="3" fillId="0" borderId="62" xfId="42" applyNumberFormat="1" applyFont="1" applyFill="1" applyBorder="1" applyAlignment="1">
      <alignment horizontal="right"/>
    </xf>
    <xf numFmtId="165" fontId="59" fillId="11" borderId="62" xfId="42" applyNumberFormat="1" applyFont="1" applyFill="1" applyBorder="1" applyAlignment="1">
      <alignment horizontal="right"/>
    </xf>
    <xf numFmtId="0" fontId="0" fillId="0" borderId="0" xfId="42" applyFont="1" applyAlignment="1">
      <alignment horizontal="center"/>
    </xf>
    <xf numFmtId="0" fontId="1" fillId="0" borderId="0" xfId="42" applyFont="1" applyAlignment="1"/>
    <xf numFmtId="0" fontId="0" fillId="0" borderId="0" xfId="42" applyFont="1" applyAlignment="1">
      <alignment horizontal="center" wrapText="1"/>
    </xf>
    <xf numFmtId="174" fontId="0" fillId="0" borderId="0" xfId="42" applyNumberFormat="1" applyFont="1" applyAlignment="1">
      <alignment horizontal="center" wrapText="1"/>
    </xf>
    <xf numFmtId="0" fontId="29" fillId="16" borderId="63" xfId="42" applyFont="1" applyFill="1" applyBorder="1" applyAlignment="1" applyProtection="1">
      <alignment horizontal="center"/>
    </xf>
    <xf numFmtId="15" fontId="2" fillId="0" borderId="0" xfId="42" applyNumberFormat="1" applyFont="1" applyFill="1" applyAlignment="1" applyProtection="1">
      <alignment horizontal="center" vertical="center"/>
    </xf>
    <xf numFmtId="15" fontId="28" fillId="0" borderId="64" xfId="42" applyNumberFormat="1" applyFont="1" applyFill="1" applyBorder="1" applyAlignment="1" applyProtection="1">
      <alignment horizontal="center" vertical="center"/>
    </xf>
    <xf numFmtId="15" fontId="2" fillId="0" borderId="0" xfId="42" applyNumberFormat="1" applyFont="1" applyFill="1" applyAlignment="1" applyProtection="1">
      <alignment horizontal="center"/>
    </xf>
    <xf numFmtId="15" fontId="28" fillId="0" borderId="67" xfId="42" applyNumberFormat="1" applyFont="1" applyFill="1" applyBorder="1" applyAlignment="1" applyProtection="1">
      <alignment horizontal="center" vertical="center"/>
    </xf>
    <xf numFmtId="15" fontId="29" fillId="0" borderId="0" xfId="42" applyNumberFormat="1" applyFont="1" applyFill="1" applyAlignment="1" applyProtection="1">
      <alignment horizontal="center"/>
    </xf>
    <xf numFmtId="165" fontId="29" fillId="16" borderId="68" xfId="42" applyNumberFormat="1" applyFont="1" applyFill="1" applyBorder="1" applyAlignment="1" applyProtection="1">
      <alignment horizontal="center" wrapText="1"/>
    </xf>
    <xf numFmtId="0" fontId="32" fillId="0" borderId="0" xfId="42" applyFont="1"/>
    <xf numFmtId="0" fontId="60" fillId="0" borderId="0" xfId="42" applyFont="1"/>
    <xf numFmtId="15" fontId="60" fillId="0" borderId="67" xfId="42" applyNumberFormat="1" applyFont="1" applyFill="1" applyBorder="1" applyAlignment="1" applyProtection="1">
      <alignment horizontal="center" vertical="center"/>
    </xf>
    <xf numFmtId="14" fontId="60" fillId="0" borderId="0" xfId="42" applyNumberFormat="1" applyFont="1" applyFill="1" applyBorder="1" applyAlignment="1" applyProtection="1">
      <alignment horizontal="left" vertical="center" wrapText="1"/>
    </xf>
    <xf numFmtId="14" fontId="60" fillId="0" borderId="68" xfId="42" applyNumberFormat="1" applyFont="1" applyFill="1" applyBorder="1" applyAlignment="1" applyProtection="1">
      <alignment horizontal="left" vertical="center" wrapText="1"/>
    </xf>
    <xf numFmtId="165" fontId="3" fillId="0" borderId="69" xfId="42" applyNumberFormat="1" applyFont="1" applyFill="1" applyBorder="1" applyAlignment="1" applyProtection="1">
      <alignment vertical="center"/>
    </xf>
    <xf numFmtId="15" fontId="61" fillId="0" borderId="0" xfId="42" applyNumberFormat="1" applyFont="1" applyFill="1" applyAlignment="1" applyProtection="1">
      <alignment horizontal="center"/>
    </xf>
    <xf numFmtId="15" fontId="3" fillId="0" borderId="67" xfId="42" applyNumberFormat="1" applyFont="1" applyFill="1" applyBorder="1" applyAlignment="1" applyProtection="1">
      <alignment horizontal="center" vertical="center"/>
    </xf>
    <xf numFmtId="14" fontId="3" fillId="0" borderId="0" xfId="42" applyNumberFormat="1" applyFont="1" applyFill="1" applyBorder="1" applyAlignment="1" applyProtection="1">
      <alignment horizontal="left" vertical="center" wrapText="1"/>
    </xf>
    <xf numFmtId="14" fontId="3" fillId="0" borderId="68" xfId="42" applyNumberFormat="1" applyFont="1" applyFill="1" applyBorder="1" applyAlignment="1" applyProtection="1">
      <alignment horizontal="left" vertical="center" wrapText="1"/>
    </xf>
    <xf numFmtId="165" fontId="3" fillId="19" borderId="66" xfId="42" applyNumberFormat="1" applyFont="1" applyFill="1" applyBorder="1" applyAlignment="1" applyProtection="1">
      <alignment vertical="center"/>
    </xf>
    <xf numFmtId="0" fontId="3" fillId="0" borderId="0" xfId="42" applyFont="1"/>
    <xf numFmtId="165" fontId="3" fillId="0" borderId="70" xfId="42" applyNumberFormat="1" applyFont="1" applyFill="1" applyBorder="1" applyAlignment="1" applyProtection="1">
      <alignment vertical="center"/>
    </xf>
    <xf numFmtId="165" fontId="29" fillId="16" borderId="66" xfId="42" applyNumberFormat="1" applyFont="1" applyFill="1" applyBorder="1" applyAlignment="1" applyProtection="1">
      <alignment horizontal="center" vertical="center"/>
    </xf>
    <xf numFmtId="0" fontId="3" fillId="0" borderId="0" xfId="42" applyFont="1" applyAlignment="1">
      <alignment wrapText="1"/>
    </xf>
    <xf numFmtId="14" fontId="3" fillId="0" borderId="68" xfId="42" applyNumberFormat="1" applyFont="1" applyFill="1" applyBorder="1" applyAlignment="1" applyProtection="1">
      <alignment vertical="center" wrapText="1"/>
    </xf>
    <xf numFmtId="15" fontId="61" fillId="0" borderId="0" xfId="42" applyNumberFormat="1" applyFont="1" applyFill="1" applyAlignment="1" applyProtection="1"/>
    <xf numFmtId="0" fontId="3" fillId="0" borderId="0" xfId="42" applyFont="1" applyAlignment="1"/>
    <xf numFmtId="165" fontId="3" fillId="0" borderId="66" xfId="42" applyNumberFormat="1" applyFont="1" applyFill="1" applyBorder="1" applyAlignment="1" applyProtection="1">
      <alignment vertical="center"/>
    </xf>
    <xf numFmtId="165" fontId="3" fillId="0" borderId="67" xfId="42" applyNumberFormat="1" applyFont="1" applyFill="1" applyBorder="1" applyAlignment="1" applyProtection="1">
      <alignment vertical="center"/>
    </xf>
    <xf numFmtId="165" fontId="3" fillId="0" borderId="69" xfId="42" applyNumberFormat="1" applyFont="1" applyFill="1" applyBorder="1" applyAlignment="1" applyProtection="1">
      <alignment horizontal="right" vertical="center"/>
    </xf>
    <xf numFmtId="165" fontId="3" fillId="0" borderId="68" xfId="42" applyNumberFormat="1" applyFont="1" applyFill="1" applyBorder="1" applyAlignment="1" applyProtection="1">
      <alignment vertical="center"/>
    </xf>
    <xf numFmtId="165" fontId="4" fillId="18" borderId="66" xfId="42" applyNumberFormat="1" applyFont="1" applyFill="1" applyBorder="1" applyAlignment="1" applyProtection="1">
      <alignment horizontal="center" vertical="center"/>
    </xf>
    <xf numFmtId="165" fontId="3" fillId="0" borderId="70" xfId="42" applyNumberFormat="1" applyFont="1" applyFill="1" applyBorder="1" applyAlignment="1" applyProtection="1">
      <alignment horizontal="right" vertical="center"/>
    </xf>
    <xf numFmtId="165" fontId="29" fillId="16" borderId="68" xfId="42" applyNumberFormat="1" applyFont="1" applyFill="1" applyBorder="1" applyAlignment="1" applyProtection="1">
      <alignment horizontal="center" vertical="center" wrapText="1"/>
    </xf>
    <xf numFmtId="14" fontId="3" fillId="0" borderId="0" xfId="42" applyNumberFormat="1" applyFont="1" applyFill="1" applyBorder="1" applyAlignment="1" applyProtection="1">
      <alignment vertical="center" wrapText="1"/>
    </xf>
    <xf numFmtId="15" fontId="3" fillId="0" borderId="0" xfId="42" applyNumberFormat="1" applyFont="1" applyFill="1" applyBorder="1" applyAlignment="1" applyProtection="1">
      <alignment horizontal="left" vertical="center" wrapText="1"/>
    </xf>
    <xf numFmtId="165" fontId="4" fillId="18" borderId="68" xfId="42" applyNumberFormat="1" applyFont="1" applyFill="1" applyBorder="1" applyAlignment="1" applyProtection="1">
      <alignment horizontal="center" vertical="center"/>
    </xf>
    <xf numFmtId="165" fontId="3" fillId="19" borderId="66" xfId="42" applyNumberFormat="1" applyFont="1" applyFill="1" applyBorder="1" applyAlignment="1" applyProtection="1">
      <alignment horizontal="right" vertical="center"/>
    </xf>
    <xf numFmtId="165" fontId="29" fillId="16" borderId="66" xfId="42" applyNumberFormat="1" applyFont="1" applyFill="1" applyBorder="1" applyAlignment="1" applyProtection="1">
      <alignment horizontal="center" vertical="center" wrapText="1"/>
    </xf>
    <xf numFmtId="165" fontId="29" fillId="16" borderId="71" xfId="42" applyNumberFormat="1" applyFont="1" applyFill="1" applyBorder="1" applyAlignment="1" applyProtection="1">
      <alignment horizontal="center"/>
    </xf>
    <xf numFmtId="165" fontId="29" fillId="16" borderId="71" xfId="42" applyNumberFormat="1" applyFont="1" applyFill="1" applyBorder="1" applyProtection="1"/>
    <xf numFmtId="165" fontId="29" fillId="16" borderId="71" xfId="42" applyNumberFormat="1" applyFont="1" applyFill="1" applyBorder="1" applyAlignment="1" applyProtection="1">
      <alignment horizontal="center" wrapText="1"/>
    </xf>
    <xf numFmtId="9" fontId="32" fillId="0" borderId="0" xfId="398" applyFont="1" applyFill="1" applyBorder="1" applyAlignment="1" applyProtection="1">
      <alignment horizontal="center"/>
    </xf>
    <xf numFmtId="9" fontId="32" fillId="0" borderId="0" xfId="398" applyFont="1" applyFill="1" applyAlignment="1" applyProtection="1">
      <alignment horizontal="center" vertical="center"/>
    </xf>
    <xf numFmtId="9" fontId="62" fillId="0" borderId="72" xfId="398" quotePrefix="1" applyFont="1" applyFill="1" applyBorder="1" applyAlignment="1" applyProtection="1">
      <alignment horizontal="center" wrapText="1"/>
    </xf>
    <xf numFmtId="0" fontId="1" fillId="0" borderId="0" xfId="42" applyFont="1" applyAlignment="1">
      <alignment wrapText="1"/>
    </xf>
    <xf numFmtId="1" fontId="3" fillId="21" borderId="67" xfId="42" applyNumberFormat="1" applyFont="1" applyFill="1" applyBorder="1" applyAlignment="1" applyProtection="1">
      <alignment horizontal="right" vertical="center"/>
    </xf>
    <xf numFmtId="1" fontId="3" fillId="0" borderId="68" xfId="42" applyNumberFormat="1" applyFont="1" applyFill="1" applyBorder="1" applyAlignment="1" applyProtection="1">
      <alignment horizontal="right"/>
    </xf>
    <xf numFmtId="1" fontId="3" fillId="0" borderId="66" xfId="42" applyNumberFormat="1" applyFont="1" applyFill="1" applyBorder="1" applyAlignment="1" applyProtection="1">
      <alignment horizontal="right"/>
    </xf>
    <xf numFmtId="165" fontId="47" fillId="0" borderId="70" xfId="42" applyNumberFormat="1" applyFont="1" applyFill="1" applyBorder="1" applyAlignment="1" applyProtection="1">
      <alignment horizontal="right" vertical="center"/>
    </xf>
    <xf numFmtId="165" fontId="3" fillId="21" borderId="66" xfId="42" applyNumberFormat="1" applyFont="1" applyFill="1" applyBorder="1" applyAlignment="1" applyProtection="1">
      <alignment horizontal="right" vertical="center"/>
    </xf>
    <xf numFmtId="0" fontId="1" fillId="0" borderId="0" xfId="42" applyFont="1"/>
    <xf numFmtId="15" fontId="1" fillId="0" borderId="67" xfId="42" applyNumberFormat="1" applyFont="1" applyFill="1" applyBorder="1" applyAlignment="1" applyProtection="1">
      <alignment horizontal="center" vertical="center"/>
    </xf>
    <xf numFmtId="165" fontId="1" fillId="21" borderId="66" xfId="42" applyNumberFormat="1" applyFont="1" applyFill="1" applyBorder="1" applyAlignment="1" applyProtection="1">
      <alignment horizontal="right" vertical="center"/>
    </xf>
    <xf numFmtId="165" fontId="1" fillId="0" borderId="66" xfId="42" applyNumberFormat="1" applyFont="1" applyFill="1" applyBorder="1" applyAlignment="1" applyProtection="1">
      <alignment horizontal="right"/>
    </xf>
    <xf numFmtId="165" fontId="1" fillId="0" borderId="66" xfId="42" applyNumberFormat="1" applyFont="1" applyFill="1" applyBorder="1" applyAlignment="1" applyProtection="1">
      <alignment horizontal="right" vertical="center"/>
    </xf>
    <xf numFmtId="165" fontId="30" fillId="18" borderId="66" xfId="42" applyNumberFormat="1" applyFont="1" applyFill="1" applyBorder="1" applyAlignment="1" applyProtection="1">
      <alignment horizontal="center" vertical="center"/>
    </xf>
    <xf numFmtId="165" fontId="3" fillId="0" borderId="66" xfId="42" applyNumberFormat="1" applyFont="1" applyFill="1" applyBorder="1" applyAlignment="1" applyProtection="1">
      <alignment horizontal="right" vertical="center"/>
    </xf>
    <xf numFmtId="165" fontId="3" fillId="0" borderId="67" xfId="42" applyNumberFormat="1" applyFont="1" applyFill="1" applyBorder="1" applyAlignment="1" applyProtection="1">
      <alignment horizontal="right" vertical="center"/>
    </xf>
    <xf numFmtId="165" fontId="3" fillId="0" borderId="68" xfId="42" applyNumberFormat="1" applyFont="1" applyFill="1" applyBorder="1" applyAlignment="1" applyProtection="1">
      <alignment horizontal="right" vertical="center"/>
    </xf>
    <xf numFmtId="165" fontId="2" fillId="16" borderId="71" xfId="42" applyNumberFormat="1" applyFont="1" applyFill="1" applyBorder="1" applyAlignment="1" applyProtection="1">
      <alignment horizontal="center"/>
    </xf>
    <xf numFmtId="1" fontId="32" fillId="23" borderId="65" xfId="42" applyNumberFormat="1" applyFont="1" applyFill="1" applyBorder="1" applyAlignment="1" applyProtection="1">
      <alignment horizontal="center" vertical="center"/>
    </xf>
    <xf numFmtId="1" fontId="32" fillId="17" borderId="65" xfId="42" applyNumberFormat="1" applyFont="1" applyFill="1" applyBorder="1" applyAlignment="1" applyProtection="1">
      <alignment horizontal="center" vertical="center"/>
    </xf>
    <xf numFmtId="1" fontId="29" fillId="16" borderId="68" xfId="42" applyNumberFormat="1" applyFont="1" applyFill="1" applyBorder="1" applyAlignment="1" applyProtection="1">
      <alignment horizontal="center" wrapText="1"/>
    </xf>
    <xf numFmtId="1" fontId="54" fillId="23" borderId="65" xfId="42" applyNumberFormat="1" applyFont="1" applyFill="1" applyBorder="1" applyAlignment="1" applyProtection="1">
      <alignment horizontal="center" vertical="center"/>
    </xf>
    <xf numFmtId="1" fontId="54" fillId="17" borderId="65" xfId="42" applyNumberFormat="1" applyFont="1" applyFill="1" applyBorder="1" applyAlignment="1" applyProtection="1">
      <alignment horizontal="center" vertical="center"/>
    </xf>
    <xf numFmtId="1" fontId="32" fillId="11" borderId="67" xfId="42" applyNumberFormat="1" applyFont="1" applyFill="1" applyBorder="1" applyAlignment="1" applyProtection="1">
      <alignment horizontal="center"/>
    </xf>
    <xf numFmtId="1" fontId="32" fillId="17" borderId="66" xfId="42" applyNumberFormat="1" applyFont="1" applyFill="1" applyBorder="1" applyAlignment="1" applyProtection="1">
      <alignment horizontal="center"/>
    </xf>
    <xf numFmtId="1" fontId="54" fillId="11" borderId="67" xfId="42" applyNumberFormat="1" applyFont="1" applyFill="1" applyBorder="1" applyAlignment="1" applyProtection="1">
      <alignment horizontal="center"/>
    </xf>
    <xf numFmtId="1" fontId="54" fillId="17" borderId="66" xfId="42" applyNumberFormat="1" applyFont="1" applyFill="1" applyBorder="1" applyAlignment="1" applyProtection="1">
      <alignment horizontal="center"/>
    </xf>
    <xf numFmtId="1" fontId="32" fillId="11" borderId="66" xfId="42" applyNumberFormat="1" applyFont="1" applyFill="1" applyBorder="1" applyAlignment="1" applyProtection="1">
      <alignment horizontal="center"/>
    </xf>
    <xf numFmtId="1" fontId="54" fillId="11" borderId="66" xfId="42" applyNumberFormat="1" applyFont="1" applyFill="1" applyBorder="1" applyAlignment="1" applyProtection="1">
      <alignment horizontal="center"/>
    </xf>
    <xf numFmtId="1" fontId="32" fillId="20" borderId="66" xfId="42" applyNumberFormat="1" applyFont="1" applyFill="1" applyBorder="1" applyAlignment="1" applyProtection="1">
      <alignment horizontal="center"/>
    </xf>
    <xf numFmtId="1" fontId="32" fillId="11" borderId="75" xfId="42" applyNumberFormat="1" applyFont="1" applyFill="1" applyBorder="1" applyAlignment="1" applyProtection="1">
      <alignment horizontal="center"/>
    </xf>
    <xf numFmtId="1" fontId="32" fillId="22" borderId="66" xfId="42" applyNumberFormat="1" applyFont="1" applyFill="1" applyBorder="1" applyAlignment="1" applyProtection="1">
      <alignment horizontal="center"/>
    </xf>
    <xf numFmtId="1" fontId="54" fillId="20" borderId="66" xfId="42" applyNumberFormat="1" applyFont="1" applyFill="1" applyBorder="1" applyAlignment="1" applyProtection="1">
      <alignment horizontal="center"/>
    </xf>
    <xf numFmtId="1" fontId="54" fillId="11" borderId="75" xfId="42" applyNumberFormat="1" applyFont="1" applyFill="1" applyBorder="1" applyAlignment="1" applyProtection="1">
      <alignment horizontal="center"/>
    </xf>
    <xf numFmtId="1" fontId="54" fillId="22" borderId="66" xfId="42" applyNumberFormat="1" applyFont="1" applyFill="1" applyBorder="1" applyAlignment="1" applyProtection="1">
      <alignment horizontal="center"/>
    </xf>
    <xf numFmtId="1" fontId="32" fillId="19" borderId="66" xfId="42" applyNumberFormat="1" applyFont="1" applyFill="1" applyBorder="1" applyAlignment="1" applyProtection="1">
      <alignment horizontal="center" vertical="center"/>
    </xf>
    <xf numFmtId="1" fontId="32" fillId="11" borderId="66" xfId="42" applyNumberFormat="1" applyFont="1" applyFill="1" applyBorder="1" applyAlignment="1" applyProtection="1">
      <alignment horizontal="center" vertical="center"/>
    </xf>
    <xf numFmtId="1" fontId="54" fillId="19" borderId="66" xfId="42" applyNumberFormat="1" applyFont="1" applyFill="1" applyBorder="1" applyAlignment="1" applyProtection="1">
      <alignment horizontal="center" vertical="center"/>
    </xf>
    <xf numFmtId="1" fontId="54" fillId="11" borderId="66" xfId="42" applyNumberFormat="1" applyFont="1" applyFill="1" applyBorder="1" applyAlignment="1" applyProtection="1">
      <alignment horizontal="center" vertical="center"/>
    </xf>
    <xf numFmtId="1" fontId="32" fillId="24" borderId="66" xfId="42" applyNumberFormat="1" applyFont="1" applyFill="1" applyBorder="1" applyAlignment="1" applyProtection="1">
      <alignment horizontal="center" vertical="center"/>
    </xf>
    <xf numFmtId="1" fontId="54" fillId="24" borderId="66" xfId="42" applyNumberFormat="1" applyFont="1" applyFill="1" applyBorder="1" applyAlignment="1" applyProtection="1">
      <alignment horizontal="center" vertical="center"/>
    </xf>
    <xf numFmtId="1" fontId="32" fillId="20" borderId="66" xfId="42" applyNumberFormat="1" applyFont="1" applyFill="1" applyBorder="1" applyAlignment="1" applyProtection="1">
      <alignment horizontal="center" vertical="center"/>
    </xf>
    <xf numFmtId="1" fontId="54" fillId="20" borderId="66" xfId="42" applyNumberFormat="1" applyFont="1" applyFill="1" applyBorder="1" applyAlignment="1" applyProtection="1">
      <alignment horizontal="center" vertical="center"/>
    </xf>
    <xf numFmtId="1" fontId="64" fillId="19" borderId="66" xfId="42" applyNumberFormat="1" applyFont="1" applyFill="1" applyBorder="1" applyAlignment="1" applyProtection="1">
      <alignment horizontal="center" vertical="center"/>
    </xf>
    <xf numFmtId="1" fontId="64" fillId="11" borderId="66" xfId="42" applyNumberFormat="1" applyFont="1" applyFill="1" applyBorder="1" applyAlignment="1" applyProtection="1">
      <alignment horizontal="center" vertical="center"/>
    </xf>
    <xf numFmtId="1" fontId="64" fillId="17" borderId="66" xfId="42" applyNumberFormat="1" applyFont="1" applyFill="1" applyBorder="1" applyAlignment="1" applyProtection="1">
      <alignment horizontal="center"/>
    </xf>
    <xf numFmtId="1" fontId="32" fillId="19" borderId="73" xfId="42" applyNumberFormat="1" applyFont="1" applyFill="1" applyBorder="1" applyAlignment="1" applyProtection="1">
      <alignment horizontal="center" vertical="center"/>
    </xf>
    <xf numFmtId="1" fontId="54" fillId="19" borderId="73" xfId="42" applyNumberFormat="1" applyFont="1" applyFill="1" applyBorder="1" applyAlignment="1" applyProtection="1">
      <alignment horizontal="center" vertical="center"/>
    </xf>
    <xf numFmtId="1" fontId="4" fillId="11" borderId="69" xfId="42" applyNumberFormat="1" applyFont="1" applyFill="1" applyBorder="1" applyAlignment="1" applyProtection="1">
      <alignment horizontal="center" vertical="center"/>
    </xf>
    <xf numFmtId="1" fontId="54" fillId="11" borderId="69" xfId="42" applyNumberFormat="1" applyFont="1" applyFill="1" applyBorder="1" applyAlignment="1" applyProtection="1">
      <alignment horizontal="center" vertical="center"/>
    </xf>
    <xf numFmtId="1" fontId="4" fillId="11" borderId="70" xfId="42" applyNumberFormat="1" applyFont="1" applyFill="1" applyBorder="1" applyAlignment="1" applyProtection="1">
      <alignment horizontal="center" vertical="center"/>
    </xf>
    <xf numFmtId="1" fontId="54" fillId="11" borderId="70" xfId="42" applyNumberFormat="1" applyFont="1" applyFill="1" applyBorder="1" applyAlignment="1" applyProtection="1">
      <alignment horizontal="center" vertical="center"/>
    </xf>
    <xf numFmtId="1" fontId="4" fillId="19" borderId="66" xfId="42" applyNumberFormat="1" applyFont="1" applyFill="1" applyBorder="1" applyAlignment="1" applyProtection="1">
      <alignment horizontal="center" vertical="center"/>
    </xf>
    <xf numFmtId="1" fontId="32" fillId="25" borderId="66" xfId="42" applyNumberFormat="1" applyFont="1" applyFill="1" applyBorder="1" applyAlignment="1" applyProtection="1">
      <alignment horizontal="center"/>
    </xf>
    <xf numFmtId="1" fontId="54" fillId="25" borderId="66" xfId="42" applyNumberFormat="1" applyFont="1" applyFill="1" applyBorder="1" applyAlignment="1" applyProtection="1">
      <alignment horizontal="center"/>
    </xf>
    <xf numFmtId="1" fontId="4" fillId="0" borderId="66" xfId="42" applyNumberFormat="1" applyFont="1" applyFill="1" applyBorder="1" applyAlignment="1" applyProtection="1">
      <alignment horizontal="center" vertical="center"/>
    </xf>
    <xf numFmtId="1" fontId="54" fillId="0" borderId="66" xfId="42" applyNumberFormat="1" applyFont="1" applyFill="1" applyBorder="1" applyAlignment="1" applyProtection="1">
      <alignment horizontal="center" vertical="center"/>
    </xf>
    <xf numFmtId="1" fontId="32" fillId="23" borderId="66" xfId="42" applyNumberFormat="1" applyFont="1" applyFill="1" applyBorder="1" applyAlignment="1" applyProtection="1">
      <alignment horizontal="center" vertical="center"/>
    </xf>
    <xf numFmtId="1" fontId="32" fillId="17" borderId="67" xfId="42" applyNumberFormat="1" applyFont="1" applyFill="1" applyBorder="1" applyAlignment="1" applyProtection="1">
      <alignment horizontal="center"/>
    </xf>
    <xf numFmtId="1" fontId="32" fillId="17" borderId="68" xfId="42" applyNumberFormat="1" applyFont="1" applyFill="1" applyBorder="1" applyAlignment="1" applyProtection="1">
      <alignment horizontal="center"/>
    </xf>
    <xf numFmtId="1" fontId="54" fillId="23" borderId="66" xfId="42" applyNumberFormat="1" applyFont="1" applyFill="1" applyBorder="1" applyAlignment="1" applyProtection="1">
      <alignment horizontal="center" vertical="center"/>
    </xf>
    <xf numFmtId="1" fontId="54" fillId="17" borderId="67" xfId="42" applyNumberFormat="1" applyFont="1" applyFill="1" applyBorder="1" applyAlignment="1" applyProtection="1">
      <alignment horizontal="center"/>
    </xf>
    <xf numFmtId="1" fontId="54" fillId="17" borderId="68" xfId="42" applyNumberFormat="1" applyFont="1" applyFill="1" applyBorder="1" applyAlignment="1" applyProtection="1">
      <alignment horizontal="center"/>
    </xf>
    <xf numFmtId="1" fontId="4" fillId="23" borderId="69" xfId="42" applyNumberFormat="1" applyFont="1" applyFill="1" applyBorder="1" applyAlignment="1" applyProtection="1">
      <alignment horizontal="center" vertical="center"/>
    </xf>
    <xf numFmtId="1" fontId="54" fillId="23" borderId="69" xfId="42" applyNumberFormat="1" applyFont="1" applyFill="1" applyBorder="1" applyAlignment="1" applyProtection="1">
      <alignment horizontal="center" vertical="center"/>
    </xf>
    <xf numFmtId="1" fontId="4" fillId="23" borderId="70" xfId="42" applyNumberFormat="1" applyFont="1" applyFill="1" applyBorder="1" applyAlignment="1" applyProtection="1">
      <alignment horizontal="center" vertical="center"/>
    </xf>
    <xf numFmtId="1" fontId="54" fillId="23" borderId="70" xfId="42" applyNumberFormat="1" applyFont="1" applyFill="1" applyBorder="1" applyAlignment="1" applyProtection="1">
      <alignment horizontal="center" vertical="center"/>
    </xf>
    <xf numFmtId="1" fontId="4" fillId="11" borderId="66" xfId="42" applyNumberFormat="1" applyFont="1" applyFill="1" applyBorder="1" applyAlignment="1" applyProtection="1">
      <alignment horizontal="center" vertical="center"/>
    </xf>
    <xf numFmtId="1" fontId="63" fillId="16" borderId="71" xfId="42" applyNumberFormat="1" applyFont="1" applyFill="1" applyBorder="1" applyAlignment="1" applyProtection="1">
      <alignment horizontal="center"/>
    </xf>
    <xf numFmtId="1" fontId="65" fillId="16" borderId="71" xfId="42" applyNumberFormat="1" applyFont="1" applyFill="1" applyBorder="1" applyAlignment="1" applyProtection="1">
      <alignment horizontal="center"/>
    </xf>
    <xf numFmtId="1" fontId="32" fillId="0" borderId="72" xfId="398" applyNumberFormat="1" applyFont="1" applyBorder="1" applyAlignment="1" applyProtection="1">
      <alignment horizontal="center"/>
    </xf>
    <xf numFmtId="1" fontId="32" fillId="0" borderId="72" xfId="398" applyNumberFormat="1" applyFont="1" applyFill="1" applyBorder="1" applyAlignment="1" applyProtection="1">
      <alignment horizontal="center"/>
    </xf>
    <xf numFmtId="1" fontId="4" fillId="0" borderId="0" xfId="42" applyNumberFormat="1" applyFont="1" applyAlignment="1">
      <alignment horizontal="center"/>
    </xf>
    <xf numFmtId="1" fontId="4" fillId="0" borderId="0" xfId="42" applyNumberFormat="1" applyFont="1" applyFill="1" applyBorder="1" applyAlignment="1" applyProtection="1">
      <alignment horizontal="center" vertical="center"/>
    </xf>
    <xf numFmtId="0" fontId="4" fillId="0" borderId="0" xfId="42" applyFont="1" applyAlignment="1">
      <alignment horizontal="center"/>
    </xf>
    <xf numFmtId="14" fontId="3" fillId="0" borderId="0" xfId="42" applyNumberFormat="1" applyFont="1" applyFill="1" applyBorder="1" applyAlignment="1" applyProtection="1">
      <alignment horizontal="center" vertical="center"/>
    </xf>
    <xf numFmtId="14" fontId="3" fillId="0" borderId="64" xfId="42" applyNumberFormat="1" applyFont="1" applyFill="1" applyBorder="1" applyAlignment="1" applyProtection="1">
      <alignment horizontal="center" vertical="center"/>
    </xf>
    <xf numFmtId="0" fontId="3" fillId="0" borderId="76" xfId="42" applyFont="1" applyBorder="1" applyAlignment="1">
      <alignment horizontal="center"/>
    </xf>
    <xf numFmtId="14" fontId="3" fillId="0" borderId="76" xfId="42" applyNumberFormat="1" applyFont="1" applyFill="1" applyBorder="1" applyAlignment="1" applyProtection="1">
      <alignment horizontal="center" vertical="center"/>
    </xf>
    <xf numFmtId="0" fontId="3" fillId="0" borderId="0" xfId="42" applyFont="1" applyAlignment="1">
      <alignment horizontal="center"/>
    </xf>
    <xf numFmtId="0" fontId="3" fillId="0" borderId="67" xfId="42" applyFont="1" applyBorder="1" applyAlignment="1">
      <alignment horizontal="center"/>
    </xf>
    <xf numFmtId="0" fontId="3" fillId="0" borderId="77" xfId="42" applyFont="1" applyBorder="1" applyAlignment="1">
      <alignment horizontal="center"/>
    </xf>
    <xf numFmtId="0" fontId="58" fillId="0" borderId="0" xfId="42" applyFont="1" applyAlignment="1">
      <alignment horizontal="center"/>
    </xf>
    <xf numFmtId="0" fontId="3" fillId="0" borderId="0" xfId="42" applyFont="1" applyBorder="1" applyAlignment="1">
      <alignment horizontal="center"/>
    </xf>
    <xf numFmtId="0" fontId="3" fillId="0" borderId="64" xfId="42" applyFont="1" applyBorder="1" applyAlignment="1">
      <alignment horizontal="center"/>
    </xf>
    <xf numFmtId="0" fontId="3" fillId="0" borderId="71" xfId="42" applyFont="1" applyBorder="1" applyAlignment="1">
      <alignment horizontal="center"/>
    </xf>
    <xf numFmtId="0" fontId="3" fillId="0" borderId="78" xfId="42" applyFont="1" applyBorder="1" applyAlignment="1">
      <alignment horizontal="center"/>
    </xf>
    <xf numFmtId="0" fontId="3" fillId="0" borderId="72" xfId="42" applyFont="1" applyBorder="1" applyAlignment="1">
      <alignment horizontal="center"/>
    </xf>
    <xf numFmtId="0" fontId="59" fillId="19" borderId="0" xfId="42" applyFont="1" applyFill="1" applyBorder="1" applyAlignment="1">
      <alignment horizontal="center"/>
    </xf>
    <xf numFmtId="0" fontId="33" fillId="19" borderId="0" xfId="42" applyFont="1" applyFill="1" applyBorder="1"/>
    <xf numFmtId="165" fontId="33" fillId="19" borderId="0" xfId="42" applyNumberFormat="1" applyFont="1" applyFill="1" applyBorder="1" applyAlignment="1">
      <alignment horizontal="center"/>
    </xf>
    <xf numFmtId="166" fontId="33" fillId="19" borderId="0" xfId="398" applyNumberFormat="1" applyFont="1" applyFill="1" applyBorder="1" applyAlignment="1"/>
    <xf numFmtId="0" fontId="59" fillId="19" borderId="71" xfId="42" applyFont="1" applyFill="1" applyBorder="1" applyAlignment="1">
      <alignment horizontal="center"/>
    </xf>
    <xf numFmtId="0" fontId="33" fillId="19" borderId="71" xfId="42" applyFont="1" applyFill="1" applyBorder="1"/>
    <xf numFmtId="0" fontId="33" fillId="19" borderId="71" xfId="42" applyFont="1" applyFill="1" applyBorder="1" applyAlignment="1">
      <alignment horizontal="center"/>
    </xf>
    <xf numFmtId="166" fontId="33" fillId="19" borderId="71" xfId="398" applyNumberFormat="1" applyFont="1" applyFill="1" applyBorder="1"/>
    <xf numFmtId="0" fontId="59" fillId="0" borderId="77" xfId="42" applyFont="1" applyBorder="1" applyAlignment="1">
      <alignment horizontal="center"/>
    </xf>
    <xf numFmtId="14" fontId="3" fillId="0" borderId="79" xfId="42" applyNumberFormat="1" applyFont="1" applyFill="1" applyBorder="1" applyAlignment="1" applyProtection="1">
      <alignment horizontal="center" vertical="center"/>
    </xf>
    <xf numFmtId="0" fontId="3" fillId="0" borderId="80" xfId="42" applyFont="1" applyBorder="1" applyAlignment="1">
      <alignment horizontal="center"/>
    </xf>
    <xf numFmtId="0" fontId="3" fillId="0" borderId="81" xfId="42" applyFont="1" applyBorder="1" applyAlignment="1">
      <alignment horizontal="center"/>
    </xf>
    <xf numFmtId="0" fontId="3" fillId="0" borderId="82" xfId="42" applyFont="1" applyBorder="1" applyAlignment="1">
      <alignment horizontal="center"/>
    </xf>
    <xf numFmtId="14" fontId="3" fillId="0" borderId="83" xfId="42" applyNumberFormat="1" applyFont="1" applyFill="1" applyBorder="1" applyAlignment="1" applyProtection="1">
      <alignment horizontal="center" vertical="center"/>
    </xf>
    <xf numFmtId="0" fontId="3" fillId="0" borderId="83" xfId="42" applyFont="1" applyBorder="1" applyAlignment="1">
      <alignment horizontal="center"/>
    </xf>
    <xf numFmtId="0" fontId="28" fillId="0" borderId="0" xfId="42" applyFont="1" applyAlignment="1">
      <alignment horizontal="center"/>
    </xf>
    <xf numFmtId="0" fontId="4" fillId="15" borderId="64" xfId="42" applyFont="1" applyFill="1" applyBorder="1" applyAlignment="1">
      <alignment horizontal="center"/>
    </xf>
    <xf numFmtId="0" fontId="32" fillId="15" borderId="76" xfId="42" applyFont="1" applyFill="1" applyBorder="1" applyAlignment="1"/>
    <xf numFmtId="0" fontId="32" fillId="15" borderId="76" xfId="42" applyFont="1" applyFill="1" applyBorder="1" applyAlignment="1">
      <alignment horizontal="center"/>
    </xf>
    <xf numFmtId="1" fontId="32" fillId="15" borderId="76" xfId="42" applyNumberFormat="1" applyFont="1" applyFill="1" applyBorder="1" applyAlignment="1"/>
    <xf numFmtId="0" fontId="28" fillId="0" borderId="0" xfId="42" applyFont="1" applyAlignment="1"/>
    <xf numFmtId="14" fontId="28" fillId="0" borderId="76" xfId="42" applyNumberFormat="1" applyFont="1" applyBorder="1" applyAlignment="1"/>
    <xf numFmtId="165" fontId="28" fillId="0" borderId="76" xfId="42" applyNumberFormat="1" applyFont="1" applyBorder="1" applyAlignment="1">
      <alignment horizontal="center"/>
    </xf>
    <xf numFmtId="1" fontId="28" fillId="0" borderId="76" xfId="42" applyNumberFormat="1" applyFont="1" applyBorder="1" applyAlignment="1"/>
    <xf numFmtId="165" fontId="28" fillId="0" borderId="0" xfId="42" applyNumberFormat="1" applyFont="1" applyAlignment="1"/>
    <xf numFmtId="165" fontId="28" fillId="0" borderId="0" xfId="42" applyNumberFormat="1" applyFont="1" applyBorder="1" applyAlignment="1">
      <alignment horizontal="center"/>
    </xf>
    <xf numFmtId="1" fontId="28" fillId="0" borderId="0" xfId="42" applyNumberFormat="1" applyFont="1" applyBorder="1" applyAlignment="1"/>
    <xf numFmtId="165" fontId="28" fillId="0" borderId="0" xfId="42" applyNumberFormat="1" applyFont="1" applyBorder="1" applyAlignment="1"/>
    <xf numFmtId="1" fontId="32" fillId="20" borderId="76" xfId="42" applyNumberFormat="1" applyFont="1" applyFill="1" applyBorder="1" applyAlignment="1"/>
    <xf numFmtId="0" fontId="28" fillId="0" borderId="76" xfId="42" applyFont="1" applyBorder="1"/>
    <xf numFmtId="1" fontId="28" fillId="0" borderId="76" xfId="42" applyNumberFormat="1" applyFont="1" applyBorder="1" applyAlignment="1">
      <alignment horizontal="center"/>
    </xf>
    <xf numFmtId="0" fontId="28" fillId="0" borderId="0" xfId="42" applyFont="1" applyBorder="1" applyAlignment="1">
      <alignment horizontal="center"/>
    </xf>
    <xf numFmtId="0" fontId="28" fillId="0" borderId="71" xfId="42" applyFont="1" applyBorder="1"/>
    <xf numFmtId="1" fontId="28" fillId="0" borderId="71" xfId="42" applyNumberFormat="1" applyFont="1" applyBorder="1"/>
    <xf numFmtId="0" fontId="4" fillId="21" borderId="84" xfId="42" applyFont="1" applyFill="1" applyBorder="1" applyAlignment="1">
      <alignment horizontal="center"/>
    </xf>
    <xf numFmtId="0" fontId="32" fillId="21" borderId="85" xfId="42" applyFont="1" applyFill="1" applyBorder="1" applyAlignment="1"/>
    <xf numFmtId="0" fontId="32" fillId="21" borderId="85" xfId="42" applyFont="1" applyFill="1" applyBorder="1" applyAlignment="1">
      <alignment horizontal="center"/>
    </xf>
    <xf numFmtId="1" fontId="32" fillId="21" borderId="85" xfId="42" applyNumberFormat="1" applyFont="1" applyFill="1" applyBorder="1" applyAlignment="1"/>
    <xf numFmtId="0" fontId="3" fillId="21" borderId="0" xfId="42" applyFont="1" applyFill="1" applyBorder="1" applyAlignment="1">
      <alignment horizontal="center"/>
    </xf>
    <xf numFmtId="0" fontId="28" fillId="21" borderId="0" xfId="42" applyFont="1" applyFill="1" applyBorder="1"/>
    <xf numFmtId="1" fontId="28" fillId="21" borderId="0" xfId="42" applyNumberFormat="1" applyFont="1" applyFill="1" applyBorder="1" applyAlignment="1">
      <alignment horizontal="center"/>
    </xf>
    <xf numFmtId="1" fontId="28" fillId="21" borderId="0" xfId="42" applyNumberFormat="1" applyFont="1" applyFill="1" applyBorder="1" applyAlignment="1"/>
    <xf numFmtId="165" fontId="28" fillId="21" borderId="0" xfId="42" applyNumberFormat="1" applyFont="1" applyFill="1" applyBorder="1" applyAlignment="1"/>
    <xf numFmtId="14" fontId="28" fillId="21" borderId="0" xfId="42" applyNumberFormat="1" applyFont="1" applyFill="1" applyBorder="1" applyAlignment="1"/>
    <xf numFmtId="165" fontId="28" fillId="21" borderId="0" xfId="42" applyNumberFormat="1" applyFont="1" applyFill="1" applyBorder="1" applyAlignment="1">
      <alignment horizontal="center"/>
    </xf>
    <xf numFmtId="0" fontId="28" fillId="0" borderId="76" xfId="42" applyFont="1" applyBorder="1" applyAlignment="1">
      <alignment horizontal="center"/>
    </xf>
    <xf numFmtId="1" fontId="28" fillId="0" borderId="0" xfId="42" applyNumberFormat="1" applyFont="1" applyBorder="1" applyAlignment="1">
      <alignment horizontal="center"/>
    </xf>
    <xf numFmtId="0" fontId="28" fillId="0" borderId="72" xfId="42" applyFont="1" applyBorder="1"/>
    <xf numFmtId="1" fontId="28" fillId="0" borderId="72" xfId="42" applyNumberFormat="1" applyFont="1" applyBorder="1" applyAlignment="1"/>
    <xf numFmtId="0" fontId="4" fillId="21" borderId="86" xfId="42" applyFont="1" applyFill="1" applyBorder="1" applyAlignment="1">
      <alignment horizontal="center"/>
    </xf>
    <xf numFmtId="0" fontId="32" fillId="21" borderId="87" xfId="42" applyFont="1" applyFill="1" applyBorder="1" applyAlignment="1"/>
    <xf numFmtId="0" fontId="32" fillId="21" borderId="87" xfId="42" applyFont="1" applyFill="1" applyBorder="1" applyAlignment="1">
      <alignment horizontal="center"/>
    </xf>
    <xf numFmtId="1" fontId="32" fillId="21" borderId="87" xfId="42" applyNumberFormat="1" applyFont="1" applyFill="1" applyBorder="1" applyAlignment="1"/>
    <xf numFmtId="0" fontId="28" fillId="0" borderId="80" xfId="42" applyFont="1" applyBorder="1"/>
    <xf numFmtId="165" fontId="28" fillId="0" borderId="80" xfId="42" applyNumberFormat="1" applyFont="1" applyBorder="1" applyAlignment="1">
      <alignment horizontal="center"/>
    </xf>
    <xf numFmtId="1" fontId="28" fillId="0" borderId="80" xfId="42" applyNumberFormat="1" applyFont="1" applyBorder="1" applyAlignment="1"/>
    <xf numFmtId="0" fontId="28" fillId="0" borderId="82" xfId="42" applyFont="1" applyBorder="1"/>
    <xf numFmtId="165" fontId="28" fillId="0" borderId="82" xfId="42" applyNumberFormat="1" applyFont="1" applyBorder="1" applyAlignment="1">
      <alignment horizontal="center"/>
    </xf>
    <xf numFmtId="1" fontId="28" fillId="0" borderId="82" xfId="42" applyNumberFormat="1" applyFont="1" applyBorder="1" applyAlignment="1"/>
    <xf numFmtId="14" fontId="28" fillId="0" borderId="80" xfId="42" applyNumberFormat="1" applyFont="1" applyBorder="1" applyAlignment="1"/>
    <xf numFmtId="165" fontId="28" fillId="0" borderId="80" xfId="42" applyNumberFormat="1" applyFont="1" applyBorder="1" applyAlignment="1"/>
    <xf numFmtId="2" fontId="32" fillId="11" borderId="80" xfId="42" applyNumberFormat="1" applyFont="1" applyFill="1" applyBorder="1" applyAlignment="1"/>
    <xf numFmtId="165" fontId="28" fillId="0" borderId="82" xfId="42" applyNumberFormat="1" applyFont="1" applyBorder="1" applyAlignment="1"/>
    <xf numFmtId="0" fontId="4" fillId="21" borderId="88" xfId="42" applyFont="1" applyFill="1" applyBorder="1" applyAlignment="1">
      <alignment horizontal="center"/>
    </xf>
    <xf numFmtId="0" fontId="32" fillId="21" borderId="89" xfId="42" applyFont="1" applyFill="1" applyBorder="1" applyAlignment="1"/>
    <xf numFmtId="0" fontId="32" fillId="21" borderId="89" xfId="42" applyFont="1" applyFill="1" applyBorder="1" applyAlignment="1">
      <alignment horizontal="center"/>
    </xf>
    <xf numFmtId="1" fontId="32" fillId="21" borderId="89" xfId="42" applyNumberFormat="1" applyFont="1" applyFill="1" applyBorder="1" applyAlignment="1"/>
    <xf numFmtId="0" fontId="3" fillId="15" borderId="0" xfId="42" applyFont="1" applyFill="1" applyBorder="1" applyAlignment="1">
      <alignment horizontal="center"/>
    </xf>
    <xf numFmtId="14" fontId="28" fillId="15" borderId="0" xfId="42" applyNumberFormat="1" applyFont="1" applyFill="1" applyBorder="1" applyAlignment="1"/>
    <xf numFmtId="165" fontId="28" fillId="15" borderId="0" xfId="42" applyNumberFormat="1" applyFont="1" applyFill="1" applyBorder="1" applyAlignment="1">
      <alignment horizontal="center"/>
    </xf>
    <xf numFmtId="1" fontId="28" fillId="15" borderId="0" xfId="42" applyNumberFormat="1" applyFont="1" applyFill="1" applyBorder="1" applyAlignment="1"/>
    <xf numFmtId="0" fontId="28" fillId="15" borderId="0" xfId="42" applyFont="1" applyFill="1" applyBorder="1"/>
    <xf numFmtId="1" fontId="28" fillId="15" borderId="0" xfId="42" applyNumberFormat="1" applyFont="1" applyFill="1" applyBorder="1" applyAlignment="1">
      <alignment horizontal="center"/>
    </xf>
    <xf numFmtId="0" fontId="3" fillId="15" borderId="76" xfId="42" applyFont="1" applyFill="1" applyBorder="1" applyAlignment="1">
      <alignment horizontal="center"/>
    </xf>
    <xf numFmtId="14" fontId="28" fillId="15" borderId="76" xfId="42" applyNumberFormat="1" applyFont="1" applyFill="1" applyBorder="1" applyAlignment="1"/>
    <xf numFmtId="165" fontId="28" fillId="15" borderId="76" xfId="42" applyNumberFormat="1" applyFont="1" applyFill="1" applyBorder="1" applyAlignment="1">
      <alignment horizontal="center"/>
    </xf>
    <xf numFmtId="1" fontId="28" fillId="15" borderId="76" xfId="42" applyNumberFormat="1" applyFont="1" applyFill="1" applyBorder="1" applyAlignment="1"/>
    <xf numFmtId="14" fontId="3" fillId="0" borderId="84" xfId="42" applyNumberFormat="1" applyFont="1" applyFill="1" applyBorder="1" applyAlignment="1" applyProtection="1">
      <alignment horizontal="center" vertical="center"/>
    </xf>
    <xf numFmtId="0" fontId="3" fillId="0" borderId="85" xfId="42" applyFont="1" applyBorder="1" applyAlignment="1">
      <alignment horizontal="center"/>
    </xf>
    <xf numFmtId="0" fontId="28" fillId="0" borderId="85" xfId="42" applyFont="1" applyBorder="1"/>
    <xf numFmtId="165" fontId="28" fillId="0" borderId="85" xfId="42" applyNumberFormat="1" applyFont="1" applyBorder="1" applyAlignment="1">
      <alignment horizontal="center"/>
    </xf>
    <xf numFmtId="1" fontId="28" fillId="0" borderId="85" xfId="42" applyNumberFormat="1" applyFont="1" applyBorder="1" applyAlignment="1"/>
    <xf numFmtId="2" fontId="28" fillId="0" borderId="85" xfId="42" applyNumberFormat="1" applyFont="1" applyBorder="1" applyAlignment="1"/>
    <xf numFmtId="0" fontId="3" fillId="0" borderId="79" xfId="42" applyFont="1" applyBorder="1" applyAlignment="1">
      <alignment horizontal="center"/>
    </xf>
    <xf numFmtId="0" fontId="28" fillId="0" borderId="80" xfId="42" applyFont="1" applyBorder="1" applyAlignment="1">
      <alignment horizontal="center"/>
    </xf>
    <xf numFmtId="1" fontId="28" fillId="0" borderId="82" xfId="42" applyNumberFormat="1" applyFont="1" applyBorder="1" applyAlignment="1">
      <alignment horizontal="center"/>
    </xf>
    <xf numFmtId="2" fontId="28" fillId="0" borderId="82" xfId="42" applyNumberFormat="1" applyFont="1" applyBorder="1" applyAlignment="1"/>
    <xf numFmtId="1" fontId="28" fillId="0" borderId="71" xfId="42" applyNumberFormat="1" applyFont="1" applyBorder="1" applyAlignment="1">
      <alignment horizontal="center"/>
    </xf>
    <xf numFmtId="1" fontId="33" fillId="19" borderId="71" xfId="42" applyNumberFormat="1" applyFont="1" applyFill="1" applyBorder="1" applyAlignment="1">
      <alignment horizontal="center"/>
    </xf>
    <xf numFmtId="0" fontId="3" fillId="0" borderId="77" xfId="42" quotePrefix="1" applyFont="1" applyBorder="1" applyAlignment="1">
      <alignment horizontal="center"/>
    </xf>
    <xf numFmtId="0" fontId="3" fillId="15" borderId="0" xfId="42" applyFont="1" applyFill="1" applyAlignment="1">
      <alignment horizontal="center"/>
    </xf>
    <xf numFmtId="0" fontId="28" fillId="15" borderId="0" xfId="42" applyFont="1" applyFill="1"/>
    <xf numFmtId="0" fontId="28" fillId="15" borderId="0" xfId="42" applyFont="1" applyFill="1" applyAlignment="1">
      <alignment horizontal="center"/>
    </xf>
    <xf numFmtId="165" fontId="28" fillId="15" borderId="0" xfId="42" applyNumberFormat="1" applyFont="1" applyFill="1"/>
    <xf numFmtId="0" fontId="3" fillId="0" borderId="76" xfId="42" applyFont="1" applyFill="1" applyBorder="1" applyAlignment="1">
      <alignment horizontal="center"/>
    </xf>
    <xf numFmtId="14" fontId="28" fillId="0" borderId="0" xfId="42" applyNumberFormat="1" applyFont="1" applyFill="1" applyBorder="1" applyAlignment="1" applyProtection="1">
      <alignment horizontal="center" vertical="center"/>
    </xf>
    <xf numFmtId="0" fontId="4" fillId="15" borderId="78" xfId="42" applyFont="1" applyFill="1" applyBorder="1" applyAlignment="1">
      <alignment horizontal="center"/>
    </xf>
    <xf numFmtId="0" fontId="32" fillId="15" borderId="72" xfId="42" applyFont="1" applyFill="1" applyBorder="1" applyAlignment="1"/>
    <xf numFmtId="0" fontId="32" fillId="15" borderId="72" xfId="42" applyFont="1" applyFill="1" applyBorder="1" applyAlignment="1">
      <alignment horizontal="center"/>
    </xf>
    <xf numFmtId="1" fontId="32" fillId="15" borderId="72" xfId="42" applyNumberFormat="1" applyFont="1" applyFill="1" applyBorder="1" applyAlignment="1"/>
    <xf numFmtId="14" fontId="28" fillId="0" borderId="64" xfId="42" applyNumberFormat="1" applyFont="1" applyFill="1" applyBorder="1" applyAlignment="1" applyProtection="1">
      <alignment horizontal="center" vertical="center"/>
    </xf>
    <xf numFmtId="165" fontId="28" fillId="0" borderId="76" xfId="42" applyNumberFormat="1" applyFont="1" applyBorder="1" applyAlignment="1"/>
    <xf numFmtId="165" fontId="32" fillId="20" borderId="76" xfId="42" applyNumberFormat="1" applyFont="1" applyFill="1" applyBorder="1" applyAlignment="1"/>
    <xf numFmtId="14" fontId="28" fillId="0" borderId="67" xfId="42" applyNumberFormat="1" applyFont="1" applyFill="1" applyBorder="1" applyAlignment="1" applyProtection="1">
      <alignment horizontal="center" vertical="center"/>
    </xf>
    <xf numFmtId="14" fontId="28" fillId="0" borderId="0" xfId="42" applyNumberFormat="1" applyFont="1" applyBorder="1" applyAlignment="1"/>
    <xf numFmtId="14" fontId="28" fillId="0" borderId="76" xfId="42" applyNumberFormat="1" applyFont="1" applyFill="1" applyBorder="1" applyAlignment="1" applyProtection="1">
      <alignment horizontal="center" vertical="center"/>
    </xf>
    <xf numFmtId="165" fontId="28" fillId="15" borderId="76" xfId="42" applyNumberFormat="1" applyFont="1" applyFill="1" applyBorder="1" applyAlignment="1"/>
    <xf numFmtId="14" fontId="28" fillId="0" borderId="0" xfId="42" applyNumberFormat="1" applyFont="1" applyAlignment="1"/>
    <xf numFmtId="14" fontId="28" fillId="0" borderId="0" xfId="42" applyNumberFormat="1" applyFont="1" applyAlignment="1">
      <alignment horizontal="center"/>
    </xf>
    <xf numFmtId="2" fontId="28" fillId="0" borderId="0" xfId="42" applyNumberFormat="1" applyFont="1" applyAlignment="1"/>
    <xf numFmtId="14" fontId="28" fillId="0" borderId="78" xfId="42" applyNumberFormat="1" applyFont="1" applyFill="1" applyBorder="1" applyAlignment="1" applyProtection="1">
      <alignment horizontal="center" vertical="center"/>
    </xf>
    <xf numFmtId="14" fontId="28" fillId="0" borderId="72" xfId="42" applyNumberFormat="1" applyFont="1" applyBorder="1" applyAlignment="1"/>
    <xf numFmtId="165" fontId="28" fillId="0" borderId="72" xfId="42" applyNumberFormat="1" applyFont="1" applyBorder="1" applyAlignment="1">
      <alignment horizontal="center"/>
    </xf>
    <xf numFmtId="165" fontId="32" fillId="0" borderId="0" xfId="42" applyNumberFormat="1" applyFont="1" applyBorder="1" applyAlignment="1"/>
    <xf numFmtId="0" fontId="32" fillId="0" borderId="0" xfId="42" applyFont="1" applyBorder="1" applyAlignment="1"/>
    <xf numFmtId="14" fontId="28" fillId="0" borderId="79" xfId="42" applyNumberFormat="1" applyFont="1" applyFill="1" applyBorder="1" applyAlignment="1" applyProtection="1">
      <alignment horizontal="center" vertical="center"/>
    </xf>
    <xf numFmtId="14" fontId="28" fillId="0" borderId="90" xfId="42" applyNumberFormat="1" applyFont="1" applyFill="1" applyBorder="1" applyAlignment="1" applyProtection="1">
      <alignment horizontal="center" vertical="center"/>
    </xf>
    <xf numFmtId="14" fontId="28" fillId="0" borderId="81" xfId="42" applyNumberFormat="1" applyFont="1" applyFill="1" applyBorder="1" applyAlignment="1" applyProtection="1">
      <alignment horizontal="center" vertical="center"/>
    </xf>
    <xf numFmtId="14" fontId="28" fillId="0" borderId="82" xfId="42" applyNumberFormat="1" applyFont="1" applyBorder="1" applyAlignment="1"/>
    <xf numFmtId="14" fontId="28" fillId="0" borderId="88" xfId="42" applyNumberFormat="1" applyFont="1" applyFill="1" applyBorder="1" applyAlignment="1" applyProtection="1">
      <alignment horizontal="center" vertical="center"/>
    </xf>
    <xf numFmtId="165" fontId="28" fillId="15" borderId="0" xfId="42" applyNumberFormat="1" applyFont="1" applyFill="1" applyBorder="1" applyAlignment="1"/>
    <xf numFmtId="165" fontId="32" fillId="15" borderId="0" xfId="42" applyNumberFormat="1" applyFont="1" applyFill="1" applyBorder="1" applyAlignment="1"/>
    <xf numFmtId="165" fontId="32" fillId="21" borderId="0" xfId="42" applyNumberFormat="1" applyFont="1" applyFill="1" applyBorder="1" applyAlignment="1"/>
    <xf numFmtId="2" fontId="32" fillId="13" borderId="0" xfId="42" applyNumberFormat="1" applyFont="1" applyFill="1" applyBorder="1" applyAlignment="1">
      <alignment horizontal="right"/>
    </xf>
    <xf numFmtId="0" fontId="4" fillId="13" borderId="0" xfId="42" applyFont="1" applyFill="1" applyBorder="1" applyAlignment="1">
      <alignment horizontal="center"/>
    </xf>
    <xf numFmtId="14" fontId="32" fillId="13" borderId="0" xfId="42" applyNumberFormat="1" applyFont="1" applyFill="1" applyBorder="1" applyAlignment="1"/>
    <xf numFmtId="165" fontId="32" fillId="13" borderId="0" xfId="42" applyNumberFormat="1" applyFont="1" applyFill="1" applyBorder="1" applyAlignment="1">
      <alignment horizontal="center"/>
    </xf>
    <xf numFmtId="0" fontId="3" fillId="13" borderId="0" xfId="42" applyFont="1" applyFill="1" applyBorder="1" applyAlignment="1">
      <alignment horizontal="center"/>
    </xf>
    <xf numFmtId="14" fontId="28" fillId="13" borderId="0" xfId="42" applyNumberFormat="1" applyFont="1" applyFill="1" applyBorder="1" applyAlignment="1"/>
    <xf numFmtId="165" fontId="28" fillId="13" borderId="0" xfId="42" applyNumberFormat="1" applyFont="1" applyFill="1" applyBorder="1" applyAlignment="1">
      <alignment horizontal="center"/>
    </xf>
    <xf numFmtId="165" fontId="28" fillId="13" borderId="0" xfId="42" applyNumberFormat="1" applyFont="1" applyFill="1" applyBorder="1" applyAlignment="1"/>
    <xf numFmtId="14" fontId="28" fillId="0" borderId="53" xfId="42" applyNumberFormat="1" applyFont="1" applyFill="1" applyBorder="1" applyAlignment="1" applyProtection="1">
      <alignment horizontal="center" vertical="center"/>
    </xf>
    <xf numFmtId="0" fontId="3" fillId="0" borderId="40" xfId="42" applyFont="1" applyFill="1" applyBorder="1" applyAlignment="1">
      <alignment horizontal="center"/>
    </xf>
    <xf numFmtId="14" fontId="28" fillId="0" borderId="40" xfId="42" applyNumberFormat="1" applyFont="1" applyFill="1" applyBorder="1" applyAlignment="1"/>
    <xf numFmtId="165" fontId="28" fillId="0" borderId="40" xfId="42" applyNumberFormat="1" applyFont="1" applyFill="1" applyBorder="1" applyAlignment="1">
      <alignment horizontal="center"/>
    </xf>
    <xf numFmtId="0" fontId="4" fillId="13" borderId="53" xfId="42" applyFont="1" applyFill="1" applyBorder="1" applyAlignment="1">
      <alignment horizontal="center"/>
    </xf>
    <xf numFmtId="0" fontId="32" fillId="13" borderId="40" xfId="42" applyFont="1" applyFill="1" applyBorder="1" applyAlignment="1"/>
    <xf numFmtId="0" fontId="32" fillId="13" borderId="40" xfId="42" applyFont="1" applyFill="1" applyBorder="1" applyAlignment="1">
      <alignment horizontal="center"/>
    </xf>
    <xf numFmtId="1" fontId="32" fillId="13" borderId="40" xfId="42" applyNumberFormat="1" applyFont="1" applyFill="1" applyBorder="1" applyAlignment="1"/>
    <xf numFmtId="0" fontId="4" fillId="13" borderId="19" xfId="42" applyFont="1" applyFill="1" applyBorder="1" applyAlignment="1">
      <alignment horizontal="center"/>
    </xf>
    <xf numFmtId="0" fontId="32" fillId="13" borderId="17" xfId="42" applyFont="1" applyFill="1" applyBorder="1" applyAlignment="1"/>
    <xf numFmtId="0" fontId="32" fillId="13" borderId="17" xfId="42" applyFont="1" applyFill="1" applyBorder="1" applyAlignment="1">
      <alignment horizontal="center"/>
    </xf>
    <xf numFmtId="1" fontId="32" fillId="13" borderId="17" xfId="42" applyNumberFormat="1" applyFont="1" applyFill="1" applyBorder="1" applyAlignment="1"/>
    <xf numFmtId="14" fontId="28" fillId="0" borderId="19" xfId="42" applyNumberFormat="1" applyFont="1" applyFill="1" applyBorder="1" applyAlignment="1" applyProtection="1">
      <alignment horizontal="center" vertical="center"/>
    </xf>
    <xf numFmtId="0" fontId="3" fillId="0" borderId="17" xfId="42" applyFont="1" applyBorder="1" applyAlignment="1">
      <alignment horizontal="center"/>
    </xf>
    <xf numFmtId="14" fontId="28" fillId="0" borderId="17" xfId="42" applyNumberFormat="1" applyFont="1" applyBorder="1" applyAlignment="1"/>
    <xf numFmtId="165" fontId="28" fillId="0" borderId="17" xfId="42" applyNumberFormat="1" applyFont="1" applyBorder="1" applyAlignment="1">
      <alignment horizontal="center"/>
    </xf>
    <xf numFmtId="14" fontId="28" fillId="0" borderId="2" xfId="42" applyNumberFormat="1" applyFont="1" applyFill="1" applyBorder="1" applyAlignment="1" applyProtection="1">
      <alignment horizontal="center" vertical="center"/>
    </xf>
    <xf numFmtId="14" fontId="28" fillId="0" borderId="36" xfId="42" applyNumberFormat="1" applyFont="1" applyFill="1" applyBorder="1" applyAlignment="1" applyProtection="1">
      <alignment horizontal="center" vertical="center"/>
    </xf>
    <xf numFmtId="0" fontId="3" fillId="0" borderId="30" xfId="42" applyFont="1" applyBorder="1" applyAlignment="1">
      <alignment horizontal="center"/>
    </xf>
    <xf numFmtId="14" fontId="28" fillId="0" borderId="30" xfId="42" applyNumberFormat="1" applyFont="1" applyBorder="1" applyAlignment="1"/>
    <xf numFmtId="165" fontId="28" fillId="0" borderId="30" xfId="42" applyNumberFormat="1" applyFont="1" applyBorder="1" applyAlignment="1">
      <alignment horizontal="center"/>
    </xf>
    <xf numFmtId="0" fontId="68" fillId="0" borderId="0" xfId="42" applyFont="1" applyBorder="1" applyAlignment="1">
      <alignment horizontal="center"/>
    </xf>
    <xf numFmtId="14" fontId="55" fillId="0" borderId="0" xfId="42" applyNumberFormat="1" applyFont="1" applyBorder="1" applyAlignment="1"/>
    <xf numFmtId="0" fontId="3" fillId="0" borderId="89" xfId="42" applyFont="1" applyBorder="1" applyAlignment="1">
      <alignment horizontal="center"/>
    </xf>
    <xf numFmtId="14" fontId="28" fillId="0" borderId="89" xfId="42" applyNumberFormat="1" applyFont="1" applyBorder="1" applyAlignment="1"/>
    <xf numFmtId="165" fontId="28" fillId="0" borderId="89" xfId="42" applyNumberFormat="1" applyFont="1" applyBorder="1" applyAlignment="1">
      <alignment horizontal="center"/>
    </xf>
    <xf numFmtId="165" fontId="28" fillId="0" borderId="89" xfId="42" applyNumberFormat="1" applyFont="1" applyBorder="1" applyAlignment="1"/>
    <xf numFmtId="165" fontId="55" fillId="0" borderId="0" xfId="42" applyNumberFormat="1" applyFont="1" applyBorder="1" applyAlignment="1"/>
    <xf numFmtId="166" fontId="28" fillId="0" borderId="17" xfId="398" applyNumberFormat="1" applyFont="1" applyBorder="1" applyAlignment="1"/>
    <xf numFmtId="166" fontId="28" fillId="0" borderId="0" xfId="398" applyNumberFormat="1" applyFont="1" applyBorder="1" applyAlignment="1"/>
    <xf numFmtId="166" fontId="28" fillId="0" borderId="30" xfId="398" applyNumberFormat="1" applyFont="1" applyBorder="1" applyAlignment="1"/>
    <xf numFmtId="166" fontId="28" fillId="13" borderId="0" xfId="398" applyNumberFormat="1" applyFont="1" applyFill="1" applyBorder="1" applyAlignment="1"/>
    <xf numFmtId="14" fontId="28" fillId="0" borderId="77" xfId="42" applyNumberFormat="1" applyFont="1" applyFill="1" applyBorder="1" applyAlignment="1" applyProtection="1">
      <alignment horizontal="center" vertical="center"/>
    </xf>
    <xf numFmtId="0" fontId="32" fillId="0" borderId="0" xfId="42" applyFont="1" applyAlignment="1"/>
    <xf numFmtId="165" fontId="32" fillId="15" borderId="76" xfId="42" applyNumberFormat="1" applyFont="1" applyFill="1" applyBorder="1" applyAlignment="1"/>
    <xf numFmtId="165" fontId="32" fillId="0" borderId="0" xfId="42" applyNumberFormat="1" applyFont="1" applyAlignment="1"/>
    <xf numFmtId="165" fontId="32" fillId="0" borderId="76" xfId="42" applyNumberFormat="1" applyFont="1" applyBorder="1" applyAlignment="1"/>
    <xf numFmtId="0" fontId="4" fillId="23" borderId="14" xfId="42" applyFont="1" applyFill="1" applyBorder="1" applyAlignment="1">
      <alignment horizontal="center"/>
    </xf>
    <xf numFmtId="2" fontId="32" fillId="0" borderId="0" xfId="42" applyNumberFormat="1" applyFont="1" applyAlignment="1"/>
    <xf numFmtId="168" fontId="28" fillId="0" borderId="0" xfId="42" applyNumberFormat="1" applyFont="1" applyAlignment="1"/>
    <xf numFmtId="0" fontId="73" fillId="0" borderId="0" xfId="42" applyFont="1"/>
    <xf numFmtId="0" fontId="74" fillId="0" borderId="0" xfId="42" applyFont="1"/>
    <xf numFmtId="0" fontId="51" fillId="0" borderId="0" xfId="42" applyFont="1"/>
    <xf numFmtId="0" fontId="75" fillId="0" borderId="0" xfId="42" applyFont="1" applyProtection="1">
      <protection locked="0"/>
    </xf>
    <xf numFmtId="14" fontId="0" fillId="0" borderId="0" xfId="42" applyNumberFormat="1" applyFont="1" applyAlignment="1" applyProtection="1">
      <alignment horizontal="center"/>
      <protection locked="0"/>
    </xf>
    <xf numFmtId="0" fontId="0" fillId="0" borderId="0" xfId="42" applyFont="1" applyProtection="1">
      <protection locked="0"/>
    </xf>
    <xf numFmtId="0" fontId="13" fillId="0" borderId="0" xfId="32" applyAlignment="1" applyProtection="1">
      <protection locked="0"/>
    </xf>
    <xf numFmtId="1" fontId="28" fillId="13" borderId="0" xfId="42" applyNumberFormat="1" applyFont="1" applyFill="1" applyBorder="1" applyAlignment="1"/>
    <xf numFmtId="0" fontId="4" fillId="13" borderId="91" xfId="42" applyFont="1" applyFill="1" applyBorder="1" applyAlignment="1">
      <alignment horizontal="center"/>
    </xf>
    <xf numFmtId="0" fontId="32" fillId="13" borderId="92" xfId="42" applyFont="1" applyFill="1" applyBorder="1" applyAlignment="1"/>
    <xf numFmtId="0" fontId="32" fillId="13" borderId="92" xfId="42" applyFont="1" applyFill="1" applyBorder="1" applyAlignment="1">
      <alignment horizontal="center"/>
    </xf>
    <xf numFmtId="1" fontId="32" fillId="13" borderId="92" xfId="42" applyNumberFormat="1" applyFont="1" applyFill="1" applyBorder="1" applyAlignment="1"/>
    <xf numFmtId="14" fontId="3" fillId="0" borderId="91" xfId="42" applyNumberFormat="1" applyFont="1" applyFill="1" applyBorder="1" applyAlignment="1" applyProtection="1">
      <alignment horizontal="center" vertical="center"/>
    </xf>
    <xf numFmtId="0" fontId="3" fillId="0" borderId="92" xfId="42" applyFont="1" applyBorder="1" applyAlignment="1">
      <alignment horizontal="center"/>
    </xf>
    <xf numFmtId="14" fontId="28" fillId="0" borderId="92" xfId="42" applyNumberFormat="1" applyFont="1" applyBorder="1" applyAlignment="1"/>
    <xf numFmtId="165" fontId="28" fillId="0" borderId="92" xfId="42" applyNumberFormat="1" applyFont="1" applyBorder="1" applyAlignment="1">
      <alignment horizontal="center"/>
    </xf>
    <xf numFmtId="1" fontId="28" fillId="0" borderId="92" xfId="42" applyNumberFormat="1" applyFont="1" applyBorder="1" applyAlignment="1"/>
    <xf numFmtId="0" fontId="3" fillId="0" borderId="93" xfId="42" applyFont="1" applyBorder="1" applyAlignment="1">
      <alignment horizontal="center"/>
    </xf>
    <xf numFmtId="0" fontId="3" fillId="0" borderId="4" xfId="42" applyFont="1" applyBorder="1" applyAlignment="1">
      <alignment horizontal="center"/>
    </xf>
    <xf numFmtId="0" fontId="28" fillId="0" borderId="4" xfId="42" applyFont="1" applyBorder="1"/>
    <xf numFmtId="165" fontId="28" fillId="0" borderId="4" xfId="42" applyNumberFormat="1" applyFont="1" applyBorder="1" applyAlignment="1">
      <alignment horizontal="center"/>
    </xf>
    <xf numFmtId="1" fontId="28" fillId="0" borderId="4" xfId="42" applyNumberFormat="1" applyFont="1" applyBorder="1" applyAlignment="1"/>
    <xf numFmtId="165" fontId="32" fillId="15" borderId="0" xfId="42" applyNumberFormat="1" applyFont="1" applyFill="1"/>
    <xf numFmtId="1" fontId="28" fillId="13" borderId="0" xfId="42" applyNumberFormat="1" applyFont="1" applyFill="1" applyBorder="1" applyAlignment="1">
      <alignment horizontal="center"/>
    </xf>
    <xf numFmtId="14" fontId="3" fillId="0" borderId="2" xfId="42" applyNumberFormat="1" applyFont="1" applyFill="1" applyBorder="1" applyAlignment="1" applyProtection="1">
      <alignment horizontal="center" vertical="center"/>
    </xf>
    <xf numFmtId="0" fontId="3" fillId="0" borderId="2" xfId="42" applyFont="1" applyBorder="1" applyAlignment="1">
      <alignment horizontal="center"/>
    </xf>
    <xf numFmtId="1" fontId="28" fillId="0" borderId="30" xfId="42" applyNumberFormat="1" applyFont="1" applyBorder="1" applyAlignment="1"/>
    <xf numFmtId="1" fontId="28" fillId="0" borderId="0" xfId="42" applyNumberFormat="1" applyFont="1" applyBorder="1"/>
    <xf numFmtId="14" fontId="3" fillId="0" borderId="67" xfId="42" applyNumberFormat="1" applyFont="1" applyFill="1" applyBorder="1" applyAlignment="1" applyProtection="1">
      <alignment horizontal="center" vertical="center"/>
    </xf>
    <xf numFmtId="0" fontId="59" fillId="0" borderId="67" xfId="42" applyFont="1" applyBorder="1" applyAlignment="1">
      <alignment horizontal="center"/>
    </xf>
    <xf numFmtId="0" fontId="3" fillId="0" borderId="94" xfId="42" applyFont="1" applyBorder="1" applyAlignment="1">
      <alignment horizontal="center"/>
    </xf>
    <xf numFmtId="165" fontId="28" fillId="1" borderId="0" xfId="42" applyNumberFormat="1" applyFont="1" applyFill="1" applyBorder="1" applyAlignment="1"/>
    <xf numFmtId="1" fontId="28" fillId="0" borderId="30" xfId="42" applyNumberFormat="1" applyFont="1" applyBorder="1" applyAlignment="1">
      <alignment horizontal="center"/>
    </xf>
    <xf numFmtId="2" fontId="28" fillId="0" borderId="30" xfId="42" applyNumberFormat="1" applyFont="1" applyBorder="1" applyAlignment="1"/>
    <xf numFmtId="0" fontId="28" fillId="0" borderId="0" xfId="42" applyFont="1" applyFill="1" applyAlignment="1"/>
    <xf numFmtId="0" fontId="28" fillId="0" borderId="0" xfId="42" applyFont="1" applyFill="1" applyBorder="1" applyAlignment="1"/>
    <xf numFmtId="14" fontId="3" fillId="0" borderId="77" xfId="42" applyNumberFormat="1" applyFont="1" applyFill="1" applyBorder="1" applyAlignment="1" applyProtection="1">
      <alignment horizontal="center" vertical="center"/>
    </xf>
    <xf numFmtId="0" fontId="28" fillId="0" borderId="76" xfId="42" applyFont="1" applyFill="1" applyBorder="1" applyAlignment="1"/>
    <xf numFmtId="0" fontId="28" fillId="0" borderId="76" xfId="42" applyFont="1" applyFill="1" applyBorder="1" applyAlignment="1">
      <alignment horizontal="center"/>
    </xf>
    <xf numFmtId="1" fontId="28" fillId="0" borderId="76" xfId="42" applyNumberFormat="1" applyFont="1" applyFill="1" applyBorder="1" applyAlignment="1"/>
    <xf numFmtId="0" fontId="3" fillId="0" borderId="71" xfId="42" applyFont="1" applyFill="1" applyBorder="1" applyAlignment="1">
      <alignment horizontal="center"/>
    </xf>
    <xf numFmtId="0" fontId="28" fillId="0" borderId="71" xfId="42" applyFont="1" applyFill="1" applyBorder="1" applyAlignment="1"/>
    <xf numFmtId="0" fontId="28" fillId="0" borderId="71" xfId="42" applyFont="1" applyFill="1" applyBorder="1" applyAlignment="1">
      <alignment horizontal="center"/>
    </xf>
    <xf numFmtId="1" fontId="28" fillId="0" borderId="71" xfId="42" applyNumberFormat="1" applyFont="1" applyFill="1" applyBorder="1" applyAlignment="1"/>
    <xf numFmtId="0" fontId="28" fillId="15" borderId="0" xfId="42" applyFont="1" applyFill="1" applyBorder="1" applyAlignment="1"/>
    <xf numFmtId="0" fontId="28" fillId="15" borderId="0" xfId="42" applyFont="1" applyFill="1" applyBorder="1" applyAlignment="1">
      <alignment horizontal="center"/>
    </xf>
    <xf numFmtId="1" fontId="32" fillId="21" borderId="80" xfId="42" applyNumberFormat="1" applyFont="1" applyFill="1" applyBorder="1" applyAlignment="1"/>
    <xf numFmtId="0" fontId="4" fillId="0" borderId="0" xfId="42" applyFont="1" applyAlignment="1">
      <alignment horizontal="center" vertical="center"/>
    </xf>
    <xf numFmtId="0" fontId="28" fillId="0" borderId="0" xfId="42" applyFont="1" applyAlignment="1">
      <alignment vertical="center"/>
    </xf>
    <xf numFmtId="0" fontId="28" fillId="0" borderId="71" xfId="42" applyFont="1" applyBorder="1" applyAlignment="1">
      <alignment horizontal="center"/>
    </xf>
    <xf numFmtId="0" fontId="3" fillId="15" borderId="78" xfId="42" applyFont="1" applyFill="1" applyBorder="1" applyAlignment="1">
      <alignment horizontal="center"/>
    </xf>
    <xf numFmtId="0" fontId="32" fillId="15" borderId="72" xfId="42" applyFont="1" applyFill="1" applyBorder="1"/>
    <xf numFmtId="0" fontId="28" fillId="15" borderId="72" xfId="42" applyFont="1" applyFill="1" applyBorder="1" applyAlignment="1">
      <alignment horizontal="center"/>
    </xf>
    <xf numFmtId="0" fontId="4" fillId="0" borderId="0" xfId="42" applyFont="1" applyBorder="1" applyAlignment="1">
      <alignment horizontal="center"/>
    </xf>
    <xf numFmtId="0" fontId="3" fillId="0" borderId="64" xfId="42" applyFont="1" applyBorder="1" applyAlignment="1">
      <alignment horizontal="center" vertical="center"/>
    </xf>
    <xf numFmtId="0" fontId="3" fillId="0" borderId="76" xfId="42" applyFont="1" applyBorder="1" applyAlignment="1">
      <alignment horizontal="center" vertical="center"/>
    </xf>
    <xf numFmtId="0" fontId="28" fillId="0" borderId="76" xfId="42" applyFont="1" applyBorder="1" applyAlignment="1">
      <alignment vertical="center"/>
    </xf>
    <xf numFmtId="0" fontId="3" fillId="0" borderId="67" xfId="42" applyFont="1" applyBorder="1" applyAlignment="1">
      <alignment horizontal="center" vertical="center"/>
    </xf>
    <xf numFmtId="0" fontId="3" fillId="0" borderId="0" xfId="42" applyFont="1" applyBorder="1" applyAlignment="1">
      <alignment horizontal="center" vertical="center"/>
    </xf>
    <xf numFmtId="0" fontId="28" fillId="0" borderId="0" xfId="42" applyFont="1" applyBorder="1" applyAlignment="1">
      <alignment vertical="center"/>
    </xf>
    <xf numFmtId="0" fontId="3" fillId="15" borderId="0" xfId="42" applyFont="1" applyFill="1" applyBorder="1" applyAlignment="1">
      <alignment horizontal="center" vertical="center"/>
    </xf>
    <xf numFmtId="0" fontId="28" fillId="15" borderId="0" xfId="42" applyFont="1" applyFill="1" applyBorder="1" applyAlignment="1">
      <alignment vertical="center"/>
    </xf>
    <xf numFmtId="0" fontId="3" fillId="0" borderId="77" xfId="42" applyFont="1" applyBorder="1" applyAlignment="1">
      <alignment horizontal="center" vertical="center"/>
    </xf>
    <xf numFmtId="0" fontId="3" fillId="0" borderId="71" xfId="42" applyFont="1" applyBorder="1" applyAlignment="1">
      <alignment horizontal="center" vertical="center"/>
    </xf>
    <xf numFmtId="0" fontId="28" fillId="0" borderId="71" xfId="42" applyFont="1" applyBorder="1" applyAlignment="1">
      <alignment vertical="center"/>
    </xf>
    <xf numFmtId="0" fontId="4" fillId="0" borderId="0" xfId="42" applyFont="1" applyBorder="1" applyAlignment="1">
      <alignment horizontal="center" vertical="center"/>
    </xf>
    <xf numFmtId="0" fontId="28" fillId="15" borderId="0" xfId="42" applyFont="1" applyFill="1" applyBorder="1" applyAlignment="1">
      <alignment horizontal="center" vertical="center" wrapText="1"/>
    </xf>
    <xf numFmtId="0" fontId="3" fillId="0" borderId="76" xfId="42" applyFont="1" applyBorder="1" applyAlignment="1">
      <alignment horizontal="center" vertical="center" wrapText="1"/>
    </xf>
    <xf numFmtId="0" fontId="3" fillId="0" borderId="0" xfId="42" applyFont="1" applyBorder="1" applyAlignment="1">
      <alignment horizontal="center" vertical="center" wrapText="1"/>
    </xf>
    <xf numFmtId="0" fontId="3" fillId="0" borderId="71" xfId="42" applyFont="1" applyBorder="1" applyAlignment="1">
      <alignment horizontal="center" vertical="center" wrapText="1"/>
    </xf>
    <xf numFmtId="165" fontId="28" fillId="15" borderId="0" xfId="42" applyNumberFormat="1" applyFont="1" applyFill="1" applyBorder="1" applyAlignment="1">
      <alignment vertical="center"/>
    </xf>
    <xf numFmtId="165" fontId="28" fillId="0" borderId="71" xfId="42" applyNumberFormat="1" applyFont="1" applyBorder="1" applyAlignment="1">
      <alignment vertical="center"/>
    </xf>
    <xf numFmtId="165" fontId="28" fillId="15" borderId="0" xfId="42" applyNumberFormat="1" applyFont="1" applyFill="1" applyBorder="1"/>
    <xf numFmtId="165" fontId="28" fillId="0" borderId="71" xfId="42" applyNumberFormat="1" applyFont="1" applyBorder="1"/>
    <xf numFmtId="0" fontId="28" fillId="21" borderId="0" xfId="42" applyFont="1" applyFill="1" applyBorder="1" applyAlignment="1">
      <alignment horizontal="center"/>
    </xf>
    <xf numFmtId="165" fontId="28" fillId="21" borderId="0" xfId="42" applyNumberFormat="1" applyFont="1" applyFill="1" applyBorder="1"/>
    <xf numFmtId="0" fontId="3" fillId="21" borderId="88" xfId="42" applyFont="1" applyFill="1" applyBorder="1" applyAlignment="1">
      <alignment horizontal="center"/>
    </xf>
    <xf numFmtId="0" fontId="32" fillId="21" borderId="89" xfId="42" applyFont="1" applyFill="1" applyBorder="1"/>
    <xf numFmtId="0" fontId="28" fillId="21" borderId="89" xfId="42" applyFont="1" applyFill="1" applyBorder="1" applyAlignment="1">
      <alignment horizontal="center"/>
    </xf>
    <xf numFmtId="0" fontId="3" fillId="21" borderId="79" xfId="42" applyFont="1" applyFill="1" applyBorder="1" applyAlignment="1">
      <alignment horizontal="center"/>
    </xf>
    <xf numFmtId="0" fontId="32" fillId="21" borderId="80" xfId="42" applyFont="1" applyFill="1" applyBorder="1"/>
    <xf numFmtId="0" fontId="28" fillId="21" borderId="80" xfId="42" applyFont="1" applyFill="1" applyBorder="1" applyAlignment="1">
      <alignment horizontal="center"/>
    </xf>
    <xf numFmtId="0" fontId="3" fillId="0" borderId="90" xfId="42" applyFont="1" applyBorder="1" applyAlignment="1">
      <alignment horizontal="center"/>
    </xf>
    <xf numFmtId="0" fontId="28" fillId="0" borderId="82" xfId="42" applyFont="1" applyBorder="1" applyAlignment="1">
      <alignment horizontal="center"/>
    </xf>
    <xf numFmtId="165" fontId="28" fillId="0" borderId="82" xfId="42" applyNumberFormat="1" applyFont="1" applyBorder="1"/>
    <xf numFmtId="165" fontId="32" fillId="1" borderId="0" xfId="42" applyNumberFormat="1" applyFont="1" applyFill="1" applyBorder="1" applyAlignment="1"/>
    <xf numFmtId="2" fontId="32" fillId="0" borderId="80" xfId="42" applyNumberFormat="1" applyFont="1" applyBorder="1" applyAlignment="1"/>
    <xf numFmtId="165" fontId="32" fillId="15" borderId="0" xfId="42" applyNumberFormat="1" applyFont="1" applyFill="1" applyBorder="1"/>
    <xf numFmtId="165" fontId="32" fillId="0" borderId="71" xfId="42" applyNumberFormat="1" applyFont="1" applyBorder="1"/>
    <xf numFmtId="165" fontId="32" fillId="20" borderId="0" xfId="42" applyNumberFormat="1" applyFont="1" applyFill="1" applyBorder="1"/>
    <xf numFmtId="165" fontId="32" fillId="20" borderId="71" xfId="42" applyNumberFormat="1" applyFont="1" applyFill="1" applyBorder="1"/>
    <xf numFmtId="14" fontId="28" fillId="0" borderId="82" xfId="42" applyNumberFormat="1" applyFont="1" applyBorder="1" applyAlignment="1">
      <alignment horizontal="center"/>
    </xf>
    <xf numFmtId="14" fontId="3" fillId="0" borderId="90" xfId="42" applyNumberFormat="1" applyFont="1" applyFill="1" applyBorder="1" applyAlignment="1" applyProtection="1">
      <alignment horizontal="center" vertical="center"/>
    </xf>
    <xf numFmtId="0" fontId="3" fillId="0" borderId="95" xfId="42" applyFont="1" applyBorder="1" applyAlignment="1">
      <alignment horizontal="center"/>
    </xf>
    <xf numFmtId="14" fontId="3" fillId="0" borderId="95" xfId="42" applyNumberFormat="1" applyFont="1" applyFill="1" applyBorder="1" applyAlignment="1" applyProtection="1">
      <alignment horizontal="center" vertical="center"/>
    </xf>
    <xf numFmtId="0" fontId="3" fillId="21" borderId="0" xfId="42" applyFont="1" applyFill="1" applyBorder="1" applyAlignment="1">
      <alignment horizontal="center" vertical="center"/>
    </xf>
    <xf numFmtId="0" fontId="28" fillId="21" borderId="0" xfId="42" applyFont="1" applyFill="1" applyBorder="1" applyAlignment="1">
      <alignment vertical="center"/>
    </xf>
    <xf numFmtId="0" fontId="28" fillId="21" borderId="0" xfId="42" applyFont="1" applyFill="1" applyBorder="1" applyAlignment="1">
      <alignment horizontal="center" vertical="center" wrapText="1"/>
    </xf>
    <xf numFmtId="165" fontId="28" fillId="21" borderId="0" xfId="42" applyNumberFormat="1" applyFont="1" applyFill="1" applyBorder="1" applyAlignment="1">
      <alignment vertical="center"/>
    </xf>
    <xf numFmtId="0" fontId="3" fillId="0" borderId="79" xfId="42" applyFont="1" applyBorder="1" applyAlignment="1">
      <alignment horizontal="center" vertical="center"/>
    </xf>
    <xf numFmtId="0" fontId="3" fillId="0" borderId="80" xfId="42" applyFont="1" applyBorder="1" applyAlignment="1">
      <alignment horizontal="center" vertical="center"/>
    </xf>
    <xf numFmtId="0" fontId="28" fillId="0" borderId="80" xfId="42" applyFont="1" applyBorder="1" applyAlignment="1">
      <alignment vertical="center"/>
    </xf>
    <xf numFmtId="0" fontId="3" fillId="0" borderId="80" xfId="42" applyFont="1" applyBorder="1" applyAlignment="1">
      <alignment horizontal="center" vertical="center" wrapText="1"/>
    </xf>
    <xf numFmtId="0" fontId="3" fillId="0" borderId="90" xfId="42" applyFont="1" applyBorder="1" applyAlignment="1">
      <alignment horizontal="center" vertical="center"/>
    </xf>
    <xf numFmtId="0" fontId="3" fillId="0" borderId="81" xfId="42" applyFont="1" applyBorder="1" applyAlignment="1">
      <alignment horizontal="center" vertical="center"/>
    </xf>
    <xf numFmtId="0" fontId="3" fillId="0" borderId="82" xfId="42" applyFont="1" applyBorder="1" applyAlignment="1">
      <alignment horizontal="center" vertical="center"/>
    </xf>
    <xf numFmtId="0" fontId="28" fillId="0" borderId="82" xfId="42" applyFont="1" applyBorder="1" applyAlignment="1">
      <alignment vertical="center"/>
    </xf>
    <xf numFmtId="0" fontId="3" fillId="0" borderId="82" xfId="42" applyFont="1" applyBorder="1" applyAlignment="1">
      <alignment horizontal="center" vertical="center" wrapText="1"/>
    </xf>
    <xf numFmtId="165" fontId="28" fillId="0" borderId="82" xfId="42" applyNumberFormat="1" applyFont="1" applyBorder="1" applyAlignment="1">
      <alignment vertical="center"/>
    </xf>
    <xf numFmtId="0" fontId="3" fillId="13" borderId="0" xfId="42" applyFont="1" applyFill="1" applyBorder="1" applyAlignment="1">
      <alignment horizontal="center" vertical="center"/>
    </xf>
    <xf numFmtId="0" fontId="28" fillId="13" borderId="0" xfId="42" applyFont="1" applyFill="1" applyBorder="1" applyAlignment="1">
      <alignment vertical="center"/>
    </xf>
    <xf numFmtId="0" fontId="28" fillId="13" borderId="0" xfId="42" applyFont="1" applyFill="1" applyBorder="1" applyAlignment="1">
      <alignment horizontal="center" vertical="center" wrapText="1"/>
    </xf>
    <xf numFmtId="0" fontId="3" fillId="0" borderId="19" xfId="42" applyFont="1" applyBorder="1" applyAlignment="1">
      <alignment horizontal="center" vertical="center"/>
    </xf>
    <xf numFmtId="0" fontId="3" fillId="0" borderId="17" xfId="42" applyFont="1" applyBorder="1" applyAlignment="1">
      <alignment horizontal="center" vertical="center"/>
    </xf>
    <xf numFmtId="0" fontId="28" fillId="0" borderId="17" xfId="42" applyFont="1" applyBorder="1" applyAlignment="1">
      <alignment vertical="center"/>
    </xf>
    <xf numFmtId="0" fontId="3" fillId="0" borderId="17" xfId="42" applyFont="1" applyBorder="1" applyAlignment="1">
      <alignment horizontal="center" vertical="center" wrapText="1"/>
    </xf>
    <xf numFmtId="0" fontId="3" fillId="0" borderId="2" xfId="42" applyFont="1" applyBorder="1" applyAlignment="1">
      <alignment horizontal="center" vertical="center"/>
    </xf>
    <xf numFmtId="0" fontId="3" fillId="0" borderId="36" xfId="42" applyFont="1" applyBorder="1" applyAlignment="1">
      <alignment horizontal="center" vertical="center"/>
    </xf>
    <xf numFmtId="0" fontId="3" fillId="0" borderId="30" xfId="42" applyFont="1" applyBorder="1" applyAlignment="1">
      <alignment horizontal="center" vertical="center"/>
    </xf>
    <xf numFmtId="0" fontId="28" fillId="0" borderId="30" xfId="42" applyFont="1" applyBorder="1" applyAlignment="1">
      <alignment vertical="center"/>
    </xf>
    <xf numFmtId="0" fontId="3" fillId="0" borderId="30" xfId="42" applyFont="1" applyBorder="1" applyAlignment="1">
      <alignment horizontal="center" vertical="center" wrapText="1"/>
    </xf>
    <xf numFmtId="0" fontId="3" fillId="13" borderId="96" xfId="42" applyFont="1" applyFill="1" applyBorder="1" applyAlignment="1">
      <alignment horizontal="center"/>
    </xf>
    <xf numFmtId="0" fontId="32" fillId="13" borderId="97" xfId="42" applyFont="1" applyFill="1" applyBorder="1"/>
    <xf numFmtId="0" fontId="28" fillId="13" borderId="97" xfId="42" applyFont="1" applyFill="1" applyBorder="1" applyAlignment="1">
      <alignment horizontal="center"/>
    </xf>
    <xf numFmtId="1" fontId="32" fillId="13" borderId="97" xfId="42" applyNumberFormat="1" applyFont="1" applyFill="1" applyBorder="1" applyAlignment="1"/>
    <xf numFmtId="166" fontId="28" fillId="13" borderId="0" xfId="398" applyNumberFormat="1" applyFont="1" applyFill="1" applyBorder="1" applyAlignment="1">
      <alignment vertical="center"/>
    </xf>
    <xf numFmtId="166" fontId="28" fillId="0" borderId="30" xfId="398" applyNumberFormat="1" applyFont="1" applyBorder="1" applyAlignment="1">
      <alignment vertical="center"/>
    </xf>
    <xf numFmtId="165" fontId="28" fillId="0" borderId="76" xfId="42" applyNumberFormat="1" applyFont="1" applyBorder="1"/>
    <xf numFmtId="2" fontId="28" fillId="0" borderId="80" xfId="42" applyNumberFormat="1" applyFont="1" applyBorder="1" applyAlignment="1"/>
    <xf numFmtId="0" fontId="28" fillId="0" borderId="81" xfId="42" applyFont="1" applyBorder="1" applyAlignment="1">
      <alignment horizontal="center"/>
    </xf>
    <xf numFmtId="0" fontId="28" fillId="0" borderId="82" xfId="42" applyFont="1" applyBorder="1" applyAlignment="1"/>
    <xf numFmtId="165" fontId="3" fillId="0" borderId="0" xfId="42" applyNumberFormat="1" applyFont="1" applyBorder="1" applyAlignment="1">
      <alignment horizontal="center"/>
    </xf>
    <xf numFmtId="0" fontId="4" fillId="13" borderId="98" xfId="42" applyFont="1" applyFill="1" applyBorder="1" applyAlignment="1">
      <alignment horizontal="center"/>
    </xf>
    <xf numFmtId="0" fontId="32" fillId="13" borderId="99" xfId="42" applyFont="1" applyFill="1" applyBorder="1" applyAlignment="1"/>
    <xf numFmtId="1" fontId="32" fillId="13" borderId="99" xfId="42" applyNumberFormat="1" applyFont="1" applyFill="1" applyBorder="1" applyAlignment="1"/>
    <xf numFmtId="0" fontId="3" fillId="0" borderId="64" xfId="42" applyFont="1" applyFill="1" applyBorder="1" applyAlignment="1">
      <alignment horizontal="center"/>
    </xf>
    <xf numFmtId="0" fontId="28" fillId="0" borderId="76" xfId="42" applyFont="1" applyFill="1" applyBorder="1"/>
    <xf numFmtId="165" fontId="28" fillId="1" borderId="80" xfId="42" applyNumberFormat="1" applyFont="1" applyFill="1" applyBorder="1" applyAlignment="1"/>
    <xf numFmtId="165" fontId="32" fillId="1" borderId="80" xfId="42" applyNumberFormat="1" applyFont="1" applyFill="1" applyBorder="1" applyAlignment="1"/>
    <xf numFmtId="0" fontId="3" fillId="0" borderId="80" xfId="42" applyFont="1" applyFill="1" applyBorder="1" applyAlignment="1">
      <alignment horizontal="center"/>
    </xf>
    <xf numFmtId="0" fontId="28" fillId="0" borderId="80" xfId="42" applyFont="1" applyFill="1" applyBorder="1"/>
    <xf numFmtId="1" fontId="28" fillId="0" borderId="80" xfId="42" applyNumberFormat="1" applyFont="1" applyFill="1" applyBorder="1" applyAlignment="1">
      <alignment horizontal="center"/>
    </xf>
    <xf numFmtId="0" fontId="3" fillId="0" borderId="91" xfId="42" applyFont="1" applyBorder="1" applyAlignment="1">
      <alignment horizontal="center"/>
    </xf>
    <xf numFmtId="0" fontId="3" fillId="0" borderId="92" xfId="42" applyFont="1" applyFill="1" applyBorder="1" applyAlignment="1">
      <alignment horizontal="center"/>
    </xf>
    <xf numFmtId="0" fontId="28" fillId="0" borderId="92" xfId="42" applyFont="1" applyFill="1" applyBorder="1"/>
    <xf numFmtId="1" fontId="28" fillId="0" borderId="92" xfId="42" applyNumberFormat="1" applyFont="1" applyFill="1" applyBorder="1" applyAlignment="1">
      <alignment horizontal="center"/>
    </xf>
    <xf numFmtId="165" fontId="28" fillId="0" borderId="76" xfId="42" applyNumberFormat="1" applyFont="1" applyFill="1" applyBorder="1" applyAlignment="1"/>
    <xf numFmtId="165" fontId="32" fillId="20" borderId="0" xfId="42" applyNumberFormat="1" applyFont="1" applyFill="1"/>
    <xf numFmtId="1" fontId="58" fillId="0" borderId="0" xfId="42" applyNumberFormat="1" applyFont="1" applyFill="1" applyBorder="1" applyAlignment="1" applyProtection="1">
      <alignment horizontal="center" vertical="center"/>
    </xf>
    <xf numFmtId="14" fontId="59" fillId="0" borderId="90" xfId="42" applyNumberFormat="1" applyFont="1" applyFill="1" applyBorder="1" applyAlignment="1" applyProtection="1">
      <alignment horizontal="center" vertical="center"/>
    </xf>
    <xf numFmtId="0" fontId="59" fillId="21" borderId="0" xfId="42" applyFont="1" applyFill="1" applyBorder="1" applyAlignment="1">
      <alignment horizontal="center"/>
    </xf>
    <xf numFmtId="165" fontId="59" fillId="21" borderId="0" xfId="42" applyNumberFormat="1" applyFont="1" applyFill="1" applyBorder="1" applyAlignment="1">
      <alignment horizontal="center"/>
    </xf>
    <xf numFmtId="165" fontId="59" fillId="19" borderId="0" xfId="42" applyNumberFormat="1" applyFont="1" applyFill="1" applyBorder="1" applyAlignment="1">
      <alignment horizontal="right"/>
    </xf>
    <xf numFmtId="0" fontId="59" fillId="0" borderId="0" xfId="42" applyFont="1"/>
    <xf numFmtId="14" fontId="59" fillId="21" borderId="0" xfId="42" applyNumberFormat="1" applyFont="1" applyFill="1" applyBorder="1" applyAlignment="1"/>
    <xf numFmtId="165" fontId="59" fillId="21" borderId="0" xfId="42" applyNumberFormat="1" applyFont="1" applyFill="1" applyBorder="1" applyAlignment="1"/>
    <xf numFmtId="0" fontId="59" fillId="0" borderId="0" xfId="42" applyFont="1" applyAlignment="1"/>
    <xf numFmtId="0" fontId="59" fillId="0" borderId="0" xfId="42" applyFont="1" applyAlignment="1">
      <alignment horizontal="center"/>
    </xf>
    <xf numFmtId="0" fontId="59" fillId="19" borderId="0" xfId="42" applyFont="1" applyFill="1" applyAlignment="1">
      <alignment horizontal="center"/>
    </xf>
    <xf numFmtId="0" fontId="59" fillId="19" borderId="0" xfId="42" applyFont="1" applyFill="1"/>
    <xf numFmtId="165" fontId="59" fillId="19" borderId="0" xfId="42" applyNumberFormat="1" applyFont="1" applyFill="1" applyAlignment="1">
      <alignment horizontal="right"/>
    </xf>
    <xf numFmtId="0" fontId="59" fillId="19" borderId="0" xfId="42" applyFont="1" applyFill="1" applyAlignment="1"/>
    <xf numFmtId="165" fontId="59" fillId="19" borderId="0" xfId="42" applyNumberFormat="1" applyFont="1" applyFill="1" applyAlignment="1"/>
    <xf numFmtId="0" fontId="59" fillId="21" borderId="0" xfId="42" applyFont="1" applyFill="1" applyAlignment="1">
      <alignment horizontal="center"/>
    </xf>
    <xf numFmtId="0" fontId="59" fillId="21" borderId="0" xfId="42" applyFont="1" applyFill="1" applyAlignment="1"/>
    <xf numFmtId="165" fontId="59" fillId="21" borderId="0" xfId="42" applyNumberFormat="1" applyFont="1" applyFill="1" applyAlignment="1"/>
    <xf numFmtId="14" fontId="28" fillId="0" borderId="76" xfId="42" applyNumberFormat="1" applyFont="1" applyBorder="1" applyAlignment="1">
      <alignment horizontal="center"/>
    </xf>
    <xf numFmtId="14" fontId="28" fillId="0" borderId="0" xfId="42" applyNumberFormat="1" applyFont="1" applyBorder="1" applyAlignment="1">
      <alignment horizontal="center"/>
    </xf>
    <xf numFmtId="165" fontId="28" fillId="0" borderId="76" xfId="42" applyNumberFormat="1" applyFont="1" applyBorder="1" applyAlignment="1">
      <alignment horizontal="right"/>
    </xf>
    <xf numFmtId="165" fontId="28" fillId="0" borderId="0" xfId="42" applyNumberFormat="1" applyFont="1" applyBorder="1" applyAlignment="1">
      <alignment horizontal="right"/>
    </xf>
    <xf numFmtId="165" fontId="28" fillId="15" borderId="0" xfId="42" quotePrefix="1" applyNumberFormat="1" applyFont="1" applyFill="1" applyBorder="1" applyAlignment="1">
      <alignment horizontal="center"/>
    </xf>
    <xf numFmtId="165" fontId="28" fillId="0" borderId="0" xfId="42" quotePrefix="1" applyNumberFormat="1" applyFont="1" applyBorder="1" applyAlignment="1">
      <alignment horizontal="center"/>
    </xf>
    <xf numFmtId="14" fontId="28" fillId="15" borderId="76" xfId="42" applyNumberFormat="1" applyFont="1" applyFill="1" applyBorder="1" applyAlignment="1">
      <alignment horizontal="center"/>
    </xf>
    <xf numFmtId="2" fontId="28" fillId="0" borderId="0" xfId="42" applyNumberFormat="1" applyFont="1" applyAlignment="1">
      <alignment horizontal="center"/>
    </xf>
    <xf numFmtId="14" fontId="28" fillId="0" borderId="67" xfId="42" quotePrefix="1" applyNumberFormat="1" applyFont="1" applyFill="1" applyBorder="1" applyAlignment="1" applyProtection="1">
      <alignment horizontal="center" vertical="center"/>
    </xf>
    <xf numFmtId="165" fontId="28" fillId="0" borderId="0" xfId="42" applyNumberFormat="1" applyFont="1" applyBorder="1" applyAlignment="1">
      <alignment horizontal="left"/>
    </xf>
    <xf numFmtId="165" fontId="28" fillId="15" borderId="76" xfId="42" applyNumberFormat="1" applyFont="1" applyFill="1" applyBorder="1" applyAlignment="1">
      <alignment horizontal="left"/>
    </xf>
    <xf numFmtId="0" fontId="30" fillId="26" borderId="0" xfId="42" applyFont="1" applyFill="1" applyProtection="1"/>
    <xf numFmtId="0" fontId="0" fillId="26" borderId="0" xfId="42" applyFont="1" applyFill="1" applyProtection="1"/>
    <xf numFmtId="0" fontId="31" fillId="26" borderId="0" xfId="42" applyFont="1" applyFill="1" applyProtection="1"/>
    <xf numFmtId="0" fontId="28" fillId="26" borderId="0" xfId="42" applyFont="1" applyFill="1" applyProtection="1"/>
    <xf numFmtId="14" fontId="29" fillId="26" borderId="0" xfId="42" applyNumberFormat="1" applyFont="1" applyFill="1" applyAlignment="1" applyProtection="1">
      <alignment horizontal="left"/>
    </xf>
    <xf numFmtId="0" fontId="2" fillId="26" borderId="0" xfId="42" applyFont="1" applyFill="1" applyProtection="1"/>
    <xf numFmtId="0" fontId="29" fillId="26" borderId="0" xfId="42" applyFont="1" applyFill="1" applyBorder="1" applyProtection="1"/>
    <xf numFmtId="0" fontId="28" fillId="26" borderId="0" xfId="42" applyFont="1" applyFill="1" applyBorder="1" applyProtection="1"/>
    <xf numFmtId="0" fontId="55" fillId="0" borderId="0" xfId="42" applyFont="1" applyFill="1" applyBorder="1" applyAlignment="1">
      <alignment horizontal="left"/>
    </xf>
    <xf numFmtId="0" fontId="32" fillId="0" borderId="0" xfId="42" applyFont="1" applyAlignment="1">
      <alignment horizontal="center"/>
    </xf>
    <xf numFmtId="0" fontId="0" fillId="15" borderId="72" xfId="42" applyFont="1" applyFill="1" applyBorder="1"/>
    <xf numFmtId="0" fontId="0" fillId="0" borderId="76" xfId="42" applyFont="1" applyFill="1" applyBorder="1"/>
    <xf numFmtId="0" fontId="0" fillId="0" borderId="71" xfId="42" applyFont="1" applyFill="1" applyBorder="1"/>
    <xf numFmtId="2" fontId="0" fillId="0" borderId="0" xfId="42" applyNumberFormat="1" applyFont="1" applyFill="1" applyBorder="1" applyProtection="1"/>
    <xf numFmtId="0" fontId="3" fillId="0" borderId="0" xfId="42" applyFont="1" applyFill="1" applyBorder="1" applyAlignment="1">
      <alignment horizontal="center"/>
    </xf>
    <xf numFmtId="14" fontId="28" fillId="0" borderId="0" xfId="42" applyNumberFormat="1" applyFont="1" applyFill="1" applyBorder="1" applyAlignment="1"/>
    <xf numFmtId="165" fontId="28" fillId="0" borderId="0" xfId="42" applyNumberFormat="1" applyFont="1" applyFill="1" applyBorder="1" applyAlignment="1">
      <alignment horizontal="center"/>
    </xf>
    <xf numFmtId="165" fontId="28" fillId="0" borderId="0" xfId="42" applyNumberFormat="1" applyFont="1" applyFill="1" applyBorder="1" applyAlignment="1"/>
    <xf numFmtId="0" fontId="3" fillId="0" borderId="17" xfId="42" applyFont="1" applyFill="1" applyBorder="1" applyAlignment="1">
      <alignment horizontal="center"/>
    </xf>
    <xf numFmtId="14" fontId="28" fillId="0" borderId="17" xfId="42" applyNumberFormat="1" applyFont="1" applyFill="1" applyBorder="1" applyAlignment="1"/>
    <xf numFmtId="165" fontId="28" fillId="0" borderId="17" xfId="42" applyNumberFormat="1" applyFont="1" applyFill="1" applyBorder="1" applyAlignment="1">
      <alignment horizontal="center"/>
    </xf>
    <xf numFmtId="165" fontId="28" fillId="0" borderId="17" xfId="42" applyNumberFormat="1" applyFont="1" applyFill="1" applyBorder="1" applyAlignment="1"/>
    <xf numFmtId="0" fontId="3" fillId="13" borderId="30" xfId="42" applyFont="1" applyFill="1" applyBorder="1" applyAlignment="1">
      <alignment horizontal="center"/>
    </xf>
    <xf numFmtId="14" fontId="28" fillId="13" borderId="30" xfId="42" applyNumberFormat="1" applyFont="1" applyFill="1" applyBorder="1" applyAlignment="1"/>
    <xf numFmtId="165" fontId="28" fillId="13" borderId="30" xfId="42" applyNumberFormat="1" applyFont="1" applyFill="1" applyBorder="1" applyAlignment="1">
      <alignment horizontal="center"/>
    </xf>
    <xf numFmtId="14" fontId="32" fillId="13" borderId="17" xfId="42" applyNumberFormat="1" applyFont="1" applyFill="1" applyBorder="1" applyAlignment="1"/>
    <xf numFmtId="167" fontId="0" fillId="0" borderId="0" xfId="42" applyNumberFormat="1" applyFont="1"/>
    <xf numFmtId="165" fontId="28" fillId="1" borderId="76" xfId="42" applyNumberFormat="1" applyFont="1" applyFill="1" applyBorder="1" applyAlignment="1"/>
    <xf numFmtId="0" fontId="0" fillId="15" borderId="0" xfId="42" applyFont="1" applyFill="1" applyAlignment="1">
      <alignment horizontal="center"/>
    </xf>
    <xf numFmtId="0" fontId="0" fillId="15" borderId="0" xfId="42" applyFont="1" applyFill="1"/>
    <xf numFmtId="165" fontId="0" fillId="15" borderId="0" xfId="42" applyNumberFormat="1" applyFont="1" applyFill="1"/>
    <xf numFmtId="0" fontId="0" fillId="0" borderId="76" xfId="42" applyFont="1" applyBorder="1" applyAlignment="1">
      <alignment horizontal="center"/>
    </xf>
    <xf numFmtId="0" fontId="0" fillId="0" borderId="76" xfId="42" applyFont="1" applyBorder="1"/>
    <xf numFmtId="0" fontId="0" fillId="15" borderId="0" xfId="42" applyFont="1" applyFill="1" applyBorder="1"/>
    <xf numFmtId="165" fontId="0" fillId="15" borderId="0" xfId="42" applyNumberFormat="1" applyFont="1" applyFill="1" applyBorder="1"/>
    <xf numFmtId="165" fontId="0" fillId="0" borderId="0" xfId="42" applyNumberFormat="1" applyFont="1" applyBorder="1"/>
    <xf numFmtId="0" fontId="0" fillId="15" borderId="71" xfId="42" applyFont="1" applyFill="1" applyBorder="1"/>
    <xf numFmtId="165" fontId="0" fillId="15" borderId="71" xfId="42" applyNumberFormat="1" applyFont="1" applyFill="1" applyBorder="1"/>
    <xf numFmtId="0" fontId="0" fillId="15" borderId="72" xfId="42" applyFont="1" applyFill="1" applyBorder="1" applyAlignment="1">
      <alignment horizontal="center"/>
    </xf>
    <xf numFmtId="165" fontId="0" fillId="15" borderId="72" xfId="42" applyNumberFormat="1" applyFont="1" applyFill="1" applyBorder="1"/>
    <xf numFmtId="0" fontId="0" fillId="19" borderId="0" xfId="42" applyFont="1" applyFill="1" applyBorder="1"/>
    <xf numFmtId="165" fontId="0" fillId="19" borderId="0" xfId="42" applyNumberFormat="1" applyFont="1" applyFill="1" applyBorder="1"/>
    <xf numFmtId="0" fontId="60" fillId="0" borderId="76" xfId="42" applyFont="1" applyBorder="1" applyAlignment="1">
      <alignment horizontal="center"/>
    </xf>
    <xf numFmtId="0" fontId="60" fillId="0" borderId="0" xfId="42" applyFont="1" applyBorder="1" applyAlignment="1">
      <alignment horizontal="center"/>
    </xf>
    <xf numFmtId="0" fontId="0" fillId="19" borderId="0" xfId="42" applyFont="1" applyFill="1" applyBorder="1" applyAlignment="1">
      <alignment horizontal="center"/>
    </xf>
    <xf numFmtId="0" fontId="0" fillId="15" borderId="71" xfId="42" applyFont="1" applyFill="1" applyBorder="1" applyAlignment="1">
      <alignment horizontal="center"/>
    </xf>
    <xf numFmtId="0" fontId="0" fillId="15" borderId="78" xfId="42" applyFont="1" applyFill="1" applyBorder="1" applyAlignment="1">
      <alignment horizontal="center"/>
    </xf>
    <xf numFmtId="0" fontId="0" fillId="15" borderId="64" xfId="42" applyFont="1" applyFill="1" applyBorder="1" applyAlignment="1">
      <alignment horizontal="center"/>
    </xf>
    <xf numFmtId="0" fontId="32" fillId="15" borderId="76" xfId="42" applyFont="1" applyFill="1" applyBorder="1"/>
    <xf numFmtId="0" fontId="0" fillId="15" borderId="76" xfId="42" applyFont="1" applyFill="1" applyBorder="1" applyAlignment="1">
      <alignment horizontal="center"/>
    </xf>
    <xf numFmtId="0" fontId="0" fillId="0" borderId="71" xfId="42" applyFont="1" applyBorder="1" applyAlignment="1">
      <alignment horizontal="center"/>
    </xf>
    <xf numFmtId="0" fontId="0" fillId="0" borderId="71" xfId="42" applyFont="1" applyBorder="1"/>
    <xf numFmtId="0" fontId="28" fillId="0" borderId="64" xfId="42" applyFont="1" applyBorder="1" applyAlignment="1">
      <alignment horizontal="center"/>
    </xf>
    <xf numFmtId="0" fontId="28" fillId="0" borderId="67" xfId="42" applyFont="1" applyBorder="1" applyAlignment="1">
      <alignment horizontal="center"/>
    </xf>
    <xf numFmtId="0" fontId="28" fillId="0" borderId="77" xfId="42" applyFont="1" applyBorder="1" applyAlignment="1">
      <alignment horizontal="center"/>
    </xf>
    <xf numFmtId="0" fontId="28" fillId="0" borderId="78" xfId="42" applyFont="1" applyBorder="1" applyAlignment="1">
      <alignment horizontal="center"/>
    </xf>
    <xf numFmtId="0" fontId="28" fillId="0" borderId="0" xfId="42" quotePrefix="1" applyFont="1" applyAlignment="1">
      <alignment horizontal="center"/>
    </xf>
    <xf numFmtId="165" fontId="0" fillId="0" borderId="76" xfId="42" applyNumberFormat="1" applyFont="1" applyBorder="1"/>
    <xf numFmtId="165" fontId="0" fillId="0" borderId="71" xfId="42" applyNumberFormat="1" applyFont="1" applyBorder="1"/>
    <xf numFmtId="0" fontId="0" fillId="0" borderId="72" xfId="42" applyFont="1" applyBorder="1" applyAlignment="1">
      <alignment horizontal="center"/>
    </xf>
    <xf numFmtId="0" fontId="0" fillId="0" borderId="72" xfId="42" applyFont="1" applyBorder="1"/>
    <xf numFmtId="165" fontId="0" fillId="0" borderId="72" xfId="42" applyNumberFormat="1" applyFont="1" applyBorder="1"/>
    <xf numFmtId="0" fontId="60" fillId="0" borderId="72" xfId="42" applyFont="1" applyBorder="1" applyAlignment="1">
      <alignment horizontal="center"/>
    </xf>
    <xf numFmtId="0" fontId="28" fillId="0" borderId="64" xfId="42" applyFont="1" applyFill="1" applyBorder="1" applyAlignment="1">
      <alignment horizontal="center"/>
    </xf>
    <xf numFmtId="0" fontId="0" fillId="0" borderId="76" xfId="42" applyFont="1" applyFill="1" applyBorder="1" applyAlignment="1">
      <alignment horizontal="center"/>
    </xf>
    <xf numFmtId="0" fontId="4" fillId="21" borderId="79" xfId="42" applyFont="1" applyFill="1" applyBorder="1" applyAlignment="1">
      <alignment horizontal="center"/>
    </xf>
    <xf numFmtId="0" fontId="32" fillId="21" borderId="80" xfId="42" applyFont="1" applyFill="1" applyBorder="1" applyAlignment="1"/>
    <xf numFmtId="0" fontId="32" fillId="21" borderId="80" xfId="42" applyFont="1" applyFill="1" applyBorder="1" applyAlignment="1">
      <alignment horizontal="center"/>
    </xf>
    <xf numFmtId="165" fontId="28" fillId="0" borderId="80" xfId="42" applyNumberFormat="1" applyFont="1" applyFill="1" applyBorder="1" applyAlignment="1"/>
    <xf numFmtId="165" fontId="28" fillId="0" borderId="82" xfId="42" applyNumberFormat="1" applyFont="1" applyFill="1" applyBorder="1" applyAlignment="1"/>
    <xf numFmtId="0" fontId="0" fillId="21" borderId="0" xfId="42" applyFont="1" applyFill="1" applyAlignment="1">
      <alignment horizontal="center"/>
    </xf>
    <xf numFmtId="0" fontId="0" fillId="21" borderId="0" xfId="42" applyFont="1" applyFill="1"/>
    <xf numFmtId="165" fontId="0" fillId="21" borderId="0" xfId="42" applyNumberFormat="1" applyFont="1" applyFill="1"/>
    <xf numFmtId="0" fontId="28" fillId="0" borderId="90" xfId="42" applyFont="1" applyBorder="1" applyAlignment="1">
      <alignment horizontal="center"/>
    </xf>
    <xf numFmtId="0" fontId="0" fillId="21" borderId="82" xfId="42" applyFont="1" applyFill="1" applyBorder="1" applyAlignment="1">
      <alignment horizontal="center"/>
    </xf>
    <xf numFmtId="0" fontId="0" fillId="21" borderId="82" xfId="42" applyFont="1" applyFill="1" applyBorder="1"/>
    <xf numFmtId="165" fontId="0" fillId="21" borderId="82" xfId="42" applyNumberFormat="1" applyFont="1" applyFill="1" applyBorder="1"/>
    <xf numFmtId="0" fontId="28" fillId="0" borderId="79" xfId="42" applyFont="1" applyBorder="1" applyAlignment="1">
      <alignment horizontal="center"/>
    </xf>
    <xf numFmtId="0" fontId="0" fillId="0" borderId="80" xfId="42" applyFont="1" applyBorder="1" applyAlignment="1">
      <alignment horizontal="center"/>
    </xf>
    <xf numFmtId="0" fontId="0" fillId="0" borderId="80" xfId="42" applyFont="1" applyFill="1" applyBorder="1"/>
    <xf numFmtId="0" fontId="28" fillId="0" borderId="88" xfId="42" applyFont="1" applyBorder="1" applyAlignment="1">
      <alignment horizontal="center"/>
    </xf>
    <xf numFmtId="0" fontId="0" fillId="21" borderId="89" xfId="42" applyFont="1" applyFill="1" applyBorder="1" applyAlignment="1">
      <alignment horizontal="center"/>
    </xf>
    <xf numFmtId="0" fontId="0" fillId="21" borderId="89" xfId="42" applyFont="1" applyFill="1" applyBorder="1"/>
    <xf numFmtId="165" fontId="0" fillId="21" borderId="89" xfId="42" applyNumberFormat="1" applyFont="1" applyFill="1" applyBorder="1"/>
    <xf numFmtId="0" fontId="0" fillId="21" borderId="0" xfId="42" applyFont="1" applyFill="1" applyBorder="1" applyAlignment="1">
      <alignment horizontal="center"/>
    </xf>
    <xf numFmtId="0" fontId="0" fillId="21" borderId="0" xfId="42" applyFont="1" applyFill="1" applyBorder="1"/>
    <xf numFmtId="165" fontId="0" fillId="21" borderId="0" xfId="42" applyNumberFormat="1" applyFont="1" applyFill="1" applyBorder="1"/>
    <xf numFmtId="165" fontId="3" fillId="0" borderId="89" xfId="42" applyNumberFormat="1" applyFont="1" applyBorder="1" applyAlignment="1">
      <alignment horizontal="center"/>
    </xf>
    <xf numFmtId="165" fontId="28" fillId="0" borderId="89" xfId="42" applyNumberFormat="1" applyFont="1" applyFill="1" applyBorder="1" applyAlignment="1"/>
    <xf numFmtId="0" fontId="0" fillId="21" borderId="88" xfId="42" applyFont="1" applyFill="1" applyBorder="1" applyAlignment="1">
      <alignment horizontal="center"/>
    </xf>
    <xf numFmtId="0" fontId="0" fillId="21" borderId="79" xfId="42" applyFont="1" applyFill="1" applyBorder="1" applyAlignment="1">
      <alignment horizontal="center"/>
    </xf>
    <xf numFmtId="0" fontId="0" fillId="21" borderId="80" xfId="42" applyFont="1" applyFill="1" applyBorder="1" applyAlignment="1">
      <alignment horizontal="center"/>
    </xf>
    <xf numFmtId="0" fontId="28" fillId="0" borderId="79" xfId="42" applyFont="1" applyFill="1" applyBorder="1" applyAlignment="1">
      <alignment horizontal="center"/>
    </xf>
    <xf numFmtId="0" fontId="0" fillId="0" borderId="80" xfId="42" applyFont="1" applyFill="1" applyBorder="1" applyAlignment="1">
      <alignment horizontal="center"/>
    </xf>
    <xf numFmtId="0" fontId="0" fillId="0" borderId="82" xfId="42" applyFont="1" applyBorder="1" applyAlignment="1">
      <alignment horizontal="center"/>
    </xf>
    <xf numFmtId="0" fontId="0" fillId="0" borderId="82" xfId="42" applyFont="1" applyBorder="1"/>
    <xf numFmtId="165" fontId="0" fillId="0" borderId="82" xfId="42" applyNumberFormat="1" applyFont="1" applyBorder="1"/>
    <xf numFmtId="165" fontId="0" fillId="0" borderId="82" xfId="42" applyNumberFormat="1" applyFont="1" applyFill="1" applyBorder="1"/>
    <xf numFmtId="1" fontId="32" fillId="20" borderId="72" xfId="42" applyNumberFormat="1" applyFont="1" applyFill="1" applyBorder="1" applyAlignment="1"/>
    <xf numFmtId="0" fontId="4" fillId="20" borderId="64" xfId="42" applyFont="1" applyFill="1" applyBorder="1" applyAlignment="1">
      <alignment horizontal="center"/>
    </xf>
    <xf numFmtId="0" fontId="32" fillId="20" borderId="76" xfId="42" applyFont="1" applyFill="1" applyBorder="1" applyAlignment="1"/>
    <xf numFmtId="0" fontId="32" fillId="20" borderId="76" xfId="42" applyFont="1" applyFill="1" applyBorder="1" applyAlignment="1">
      <alignment horizontal="center"/>
    </xf>
    <xf numFmtId="0" fontId="32" fillId="20" borderId="76" xfId="42" applyFont="1" applyFill="1" applyBorder="1"/>
    <xf numFmtId="0" fontId="4" fillId="0" borderId="0" xfId="42" applyFont="1" applyFill="1" applyAlignment="1">
      <alignment horizontal="center"/>
    </xf>
    <xf numFmtId="1" fontId="4" fillId="0" borderId="0" xfId="42" applyNumberFormat="1" applyFont="1" applyFill="1" applyAlignment="1">
      <alignment horizontal="center"/>
    </xf>
    <xf numFmtId="1" fontId="4" fillId="0" borderId="0" xfId="42" quotePrefix="1" applyNumberFormat="1" applyFont="1" applyFill="1" applyBorder="1" applyAlignment="1" applyProtection="1">
      <alignment horizontal="center" vertical="center"/>
    </xf>
    <xf numFmtId="165" fontId="28" fillId="0" borderId="71" xfId="42" applyNumberFormat="1" applyFont="1" applyBorder="1" applyAlignment="1"/>
    <xf numFmtId="0" fontId="78" fillId="16" borderId="78" xfId="42" applyFont="1" applyFill="1" applyBorder="1" applyAlignment="1">
      <alignment horizontal="center"/>
    </xf>
    <xf numFmtId="0" fontId="29" fillId="16" borderId="72" xfId="42" applyFont="1" applyFill="1" applyBorder="1" applyAlignment="1"/>
    <xf numFmtId="0" fontId="29" fillId="16" borderId="72" xfId="42" applyFont="1" applyFill="1" applyBorder="1" applyAlignment="1">
      <alignment horizontal="center"/>
    </xf>
    <xf numFmtId="1" fontId="29" fillId="16" borderId="72" xfId="42" applyNumberFormat="1" applyFont="1" applyFill="1" applyBorder="1" applyAlignment="1"/>
    <xf numFmtId="0" fontId="78" fillId="16" borderId="64" xfId="42" applyFont="1" applyFill="1" applyBorder="1" applyAlignment="1">
      <alignment horizontal="center"/>
    </xf>
    <xf numFmtId="0" fontId="29" fillId="16" borderId="76" xfId="42" applyFont="1" applyFill="1" applyBorder="1" applyAlignment="1"/>
    <xf numFmtId="0" fontId="29" fillId="16" borderId="76" xfId="42" applyFont="1" applyFill="1" applyBorder="1" applyAlignment="1">
      <alignment horizontal="center"/>
    </xf>
    <xf numFmtId="1" fontId="29" fillId="16" borderId="76" xfId="42" applyNumberFormat="1" applyFont="1" applyFill="1" applyBorder="1" applyAlignment="1"/>
    <xf numFmtId="0" fontId="2" fillId="16" borderId="71" xfId="42" applyFont="1" applyFill="1" applyBorder="1" applyAlignment="1">
      <alignment horizontal="center"/>
    </xf>
    <xf numFmtId="0" fontId="2" fillId="16" borderId="71" xfId="42" applyFont="1" applyFill="1" applyBorder="1"/>
    <xf numFmtId="165" fontId="2" fillId="16" borderId="71" xfId="42" applyNumberFormat="1" applyFont="1" applyFill="1" applyBorder="1"/>
    <xf numFmtId="0" fontId="2" fillId="16" borderId="72" xfId="42" applyFont="1" applyFill="1" applyBorder="1" applyAlignment="1">
      <alignment horizontal="center"/>
    </xf>
    <xf numFmtId="0" fontId="2" fillId="16" borderId="0" xfId="42" applyFont="1" applyFill="1" applyAlignment="1">
      <alignment horizontal="center"/>
    </xf>
    <xf numFmtId="0" fontId="2" fillId="16" borderId="0" xfId="42" applyFont="1" applyFill="1"/>
    <xf numFmtId="165" fontId="2" fillId="16" borderId="0" xfId="42" applyNumberFormat="1" applyFont="1" applyFill="1"/>
    <xf numFmtId="0" fontId="2" fillId="16" borderId="64" xfId="42" applyFont="1" applyFill="1" applyBorder="1" applyAlignment="1">
      <alignment horizontal="center"/>
    </xf>
    <xf numFmtId="0" fontId="29" fillId="16" borderId="76" xfId="42" applyFont="1" applyFill="1" applyBorder="1"/>
    <xf numFmtId="0" fontId="2" fillId="16" borderId="76" xfId="42" applyFont="1" applyFill="1" applyBorder="1" applyAlignment="1">
      <alignment horizontal="center"/>
    </xf>
    <xf numFmtId="0" fontId="79" fillId="16" borderId="64" xfId="42" applyFont="1" applyFill="1" applyBorder="1" applyAlignment="1">
      <alignment horizontal="center"/>
    </xf>
    <xf numFmtId="0" fontId="63" fillId="16" borderId="76" xfId="42" applyFont="1" applyFill="1" applyBorder="1"/>
    <xf numFmtId="1" fontId="63" fillId="16" borderId="72" xfId="42" applyNumberFormat="1" applyFont="1" applyFill="1" applyBorder="1" applyAlignment="1"/>
    <xf numFmtId="0" fontId="79" fillId="16" borderId="76" xfId="42" applyFont="1" applyFill="1" applyBorder="1" applyAlignment="1">
      <alignment horizontal="center"/>
    </xf>
    <xf numFmtId="0" fontId="2" fillId="16" borderId="100" xfId="42" applyFont="1" applyFill="1" applyBorder="1" applyAlignment="1">
      <alignment horizontal="center"/>
    </xf>
    <xf numFmtId="0" fontId="2" fillId="16" borderId="100" xfId="42" applyFont="1" applyFill="1" applyBorder="1"/>
    <xf numFmtId="165" fontId="2" fillId="16" borderId="100" xfId="42" applyNumberFormat="1" applyFont="1" applyFill="1" applyBorder="1"/>
    <xf numFmtId="0" fontId="2" fillId="16" borderId="101" xfId="42" applyFont="1" applyFill="1" applyBorder="1" applyAlignment="1">
      <alignment horizontal="center"/>
    </xf>
    <xf numFmtId="0" fontId="2" fillId="16" borderId="101" xfId="42" applyFont="1" applyFill="1" applyBorder="1"/>
    <xf numFmtId="165" fontId="2" fillId="16" borderId="101" xfId="42" applyNumberFormat="1" applyFont="1" applyFill="1" applyBorder="1"/>
    <xf numFmtId="0" fontId="2" fillId="16" borderId="102" xfId="42" applyFont="1" applyFill="1" applyBorder="1" applyAlignment="1">
      <alignment horizontal="center"/>
    </xf>
    <xf numFmtId="0" fontId="2" fillId="16" borderId="102" xfId="42" applyFont="1" applyFill="1" applyBorder="1"/>
    <xf numFmtId="165" fontId="2" fillId="16" borderId="102" xfId="42" applyNumberFormat="1" applyFont="1" applyFill="1" applyBorder="1"/>
    <xf numFmtId="0" fontId="1" fillId="20" borderId="64" xfId="42" applyFont="1" applyFill="1" applyBorder="1" applyAlignment="1">
      <alignment horizontal="center"/>
    </xf>
    <xf numFmtId="0" fontId="30" fillId="20" borderId="76" xfId="42" applyFont="1" applyFill="1" applyBorder="1"/>
    <xf numFmtId="0" fontId="80" fillId="20" borderId="76" xfId="42" applyFont="1" applyFill="1" applyBorder="1" applyAlignment="1">
      <alignment horizontal="center"/>
    </xf>
    <xf numFmtId="1" fontId="30" fillId="20" borderId="72" xfId="42" applyNumberFormat="1" applyFont="1" applyFill="1" applyBorder="1" applyAlignment="1"/>
    <xf numFmtId="0" fontId="80" fillId="20" borderId="64" xfId="42" applyFont="1" applyFill="1" applyBorder="1" applyAlignment="1">
      <alignment horizontal="center"/>
    </xf>
    <xf numFmtId="0" fontId="80" fillId="20" borderId="72" xfId="42" applyFont="1" applyFill="1" applyBorder="1" applyAlignment="1">
      <alignment horizontal="center"/>
    </xf>
    <xf numFmtId="0" fontId="80" fillId="20" borderId="0" xfId="42" applyFont="1" applyFill="1" applyAlignment="1">
      <alignment horizontal="center"/>
    </xf>
    <xf numFmtId="165" fontId="80" fillId="20" borderId="0" xfId="42" applyNumberFormat="1" applyFont="1" applyFill="1"/>
    <xf numFmtId="0" fontId="80" fillId="20" borderId="78" xfId="42" applyFont="1" applyFill="1" applyBorder="1" applyAlignment="1">
      <alignment horizontal="center"/>
    </xf>
    <xf numFmtId="0" fontId="30" fillId="20" borderId="72" xfId="42" applyFont="1" applyFill="1" applyBorder="1"/>
    <xf numFmtId="0" fontId="28" fillId="20" borderId="64" xfId="42" applyFont="1" applyFill="1" applyBorder="1" applyAlignment="1">
      <alignment horizontal="center"/>
    </xf>
    <xf numFmtId="0" fontId="28" fillId="20" borderId="76" xfId="42" applyFont="1" applyFill="1" applyBorder="1" applyAlignment="1">
      <alignment horizontal="center"/>
    </xf>
    <xf numFmtId="0" fontId="28" fillId="20" borderId="0" xfId="42" applyFont="1" applyFill="1" applyAlignment="1">
      <alignment horizontal="center"/>
    </xf>
    <xf numFmtId="0" fontId="28" fillId="20" borderId="71" xfId="42" applyFont="1" applyFill="1" applyBorder="1" applyAlignment="1">
      <alignment horizontal="center"/>
    </xf>
    <xf numFmtId="0" fontId="28" fillId="20" borderId="71" xfId="42" applyFont="1" applyFill="1" applyBorder="1"/>
    <xf numFmtId="165" fontId="28" fillId="20" borderId="71" xfId="42" applyNumberFormat="1" applyFont="1" applyFill="1" applyBorder="1"/>
    <xf numFmtId="0" fontId="28" fillId="20" borderId="72" xfId="42" applyFont="1" applyFill="1" applyBorder="1" applyAlignment="1">
      <alignment horizontal="center"/>
    </xf>
    <xf numFmtId="0" fontId="28" fillId="20" borderId="72" xfId="42" applyFont="1" applyFill="1" applyBorder="1"/>
    <xf numFmtId="165" fontId="28" fillId="20" borderId="72" xfId="42" applyNumberFormat="1" applyFont="1" applyFill="1" applyBorder="1"/>
    <xf numFmtId="165" fontId="28" fillId="20" borderId="76" xfId="42" applyNumberFormat="1" applyFont="1" applyFill="1" applyBorder="1"/>
    <xf numFmtId="0" fontId="2" fillId="16" borderId="78" xfId="42" applyFont="1" applyFill="1" applyBorder="1" applyAlignment="1">
      <alignment horizontal="center"/>
    </xf>
    <xf numFmtId="0" fontId="29" fillId="16" borderId="72" xfId="42" applyFont="1" applyFill="1" applyBorder="1"/>
    <xf numFmtId="0" fontId="55" fillId="0" borderId="0" xfId="42" applyFont="1"/>
    <xf numFmtId="165" fontId="3" fillId="15" borderId="69" xfId="42" applyNumberFormat="1" applyFont="1" applyFill="1" applyBorder="1" applyAlignment="1" applyProtection="1">
      <alignment vertical="center"/>
    </xf>
    <xf numFmtId="165" fontId="47" fillId="15" borderId="70" xfId="42" applyNumberFormat="1" applyFont="1" applyFill="1" applyBorder="1" applyAlignment="1" applyProtection="1">
      <alignment vertical="center"/>
    </xf>
    <xf numFmtId="165" fontId="3" fillId="15" borderId="69" xfId="42" applyNumberFormat="1" applyFont="1" applyFill="1" applyBorder="1" applyAlignment="1" applyProtection="1">
      <alignment horizontal="right" vertical="center"/>
    </xf>
    <xf numFmtId="165" fontId="3" fillId="15" borderId="70" xfId="42" applyNumberFormat="1" applyFont="1" applyFill="1" applyBorder="1" applyAlignment="1" applyProtection="1">
      <alignment horizontal="right" vertical="center"/>
    </xf>
    <xf numFmtId="168" fontId="0" fillId="0" borderId="0" xfId="42" applyNumberFormat="1" applyFont="1"/>
    <xf numFmtId="165" fontId="3" fillId="19" borderId="67" xfId="42" applyNumberFormat="1" applyFont="1" applyFill="1" applyBorder="1" applyAlignment="1" applyProtection="1">
      <alignment horizontal="center" vertical="center"/>
    </xf>
    <xf numFmtId="165" fontId="3" fillId="0" borderId="68" xfId="42" applyNumberFormat="1" applyFont="1" applyFill="1" applyBorder="1" applyAlignment="1" applyProtection="1">
      <alignment horizontal="center"/>
    </xf>
    <xf numFmtId="165" fontId="3" fillId="0" borderId="66" xfId="42" applyNumberFormat="1" applyFont="1" applyFill="1" applyBorder="1" applyAlignment="1" applyProtection="1">
      <alignment horizontal="center"/>
    </xf>
    <xf numFmtId="0" fontId="77" fillId="0" borderId="0" xfId="42" applyFont="1" applyFill="1" applyAlignment="1">
      <alignment horizontal="center"/>
    </xf>
    <xf numFmtId="0" fontId="0" fillId="1" borderId="76" xfId="42" applyFont="1" applyFill="1" applyBorder="1"/>
    <xf numFmtId="0" fontId="0" fillId="1" borderId="0" xfId="42" applyFont="1" applyFill="1" applyBorder="1"/>
    <xf numFmtId="0" fontId="78" fillId="16" borderId="0" xfId="42" applyFont="1" applyFill="1" applyBorder="1" applyAlignment="1">
      <alignment horizontal="center"/>
    </xf>
    <xf numFmtId="0" fontId="29" fillId="16" borderId="0" xfId="42" applyFont="1" applyFill="1" applyBorder="1" applyAlignment="1">
      <alignment horizontal="center"/>
    </xf>
    <xf numFmtId="0" fontId="28" fillId="0" borderId="0" xfId="42" quotePrefix="1" applyFont="1" applyBorder="1" applyAlignment="1">
      <alignment horizontal="center"/>
    </xf>
    <xf numFmtId="0" fontId="60" fillId="0" borderId="0" xfId="42" applyFont="1" applyFill="1" applyBorder="1" applyAlignment="1">
      <alignment horizontal="center"/>
    </xf>
    <xf numFmtId="0" fontId="0" fillId="20" borderId="0" xfId="42" applyFont="1" applyFill="1" applyBorder="1"/>
    <xf numFmtId="0" fontId="60" fillId="1" borderId="67" xfId="42" applyFont="1" applyFill="1" applyBorder="1" applyAlignment="1">
      <alignment horizontal="center"/>
    </xf>
    <xf numFmtId="165" fontId="28" fillId="1" borderId="67" xfId="42" applyNumberFormat="1" applyFont="1" applyFill="1" applyBorder="1" applyAlignment="1"/>
    <xf numFmtId="0" fontId="0" fillId="21" borderId="68" xfId="42" applyFont="1" applyFill="1" applyBorder="1" applyAlignment="1">
      <alignment horizontal="right"/>
    </xf>
    <xf numFmtId="165" fontId="0" fillId="15" borderId="0" xfId="42" applyNumberFormat="1" applyFont="1" applyFill="1" applyBorder="1" applyAlignment="1">
      <alignment horizontal="right"/>
    </xf>
    <xf numFmtId="165" fontId="0" fillId="15" borderId="71" xfId="42" applyNumberFormat="1" applyFont="1" applyFill="1" applyBorder="1" applyAlignment="1">
      <alignment horizontal="right"/>
    </xf>
    <xf numFmtId="165" fontId="32" fillId="0" borderId="0" xfId="42" applyNumberFormat="1" applyFont="1" applyFill="1" applyBorder="1" applyAlignment="1">
      <alignment horizontal="right"/>
    </xf>
    <xf numFmtId="165" fontId="28" fillId="15" borderId="0" xfId="42" applyNumberFormat="1" applyFont="1" applyFill="1" applyBorder="1" applyAlignment="1">
      <alignment horizontal="right"/>
    </xf>
    <xf numFmtId="165" fontId="28" fillId="15" borderId="71" xfId="42" applyNumberFormat="1" applyFont="1" applyFill="1" applyBorder="1" applyAlignment="1">
      <alignment horizontal="right"/>
    </xf>
    <xf numFmtId="165" fontId="28" fillId="20" borderId="0" xfId="42" applyNumberFormat="1" applyFont="1" applyFill="1" applyBorder="1" applyAlignment="1">
      <alignment horizontal="right"/>
    </xf>
    <xf numFmtId="165" fontId="32" fillId="0" borderId="71" xfId="42" applyNumberFormat="1" applyFont="1" applyFill="1" applyBorder="1" applyAlignment="1">
      <alignment horizontal="right"/>
    </xf>
    <xf numFmtId="165" fontId="28" fillId="20" borderId="71" xfId="42" applyNumberFormat="1" applyFont="1" applyFill="1" applyBorder="1" applyAlignment="1">
      <alignment horizontal="right"/>
    </xf>
    <xf numFmtId="0" fontId="60" fillId="0" borderId="71" xfId="42" applyFont="1" applyBorder="1" applyAlignment="1">
      <alignment horizontal="center"/>
    </xf>
    <xf numFmtId="165" fontId="0" fillId="20" borderId="0" xfId="42" applyNumberFormat="1" applyFont="1" applyFill="1" applyBorder="1" applyAlignment="1">
      <alignment horizontal="right"/>
    </xf>
    <xf numFmtId="165" fontId="0" fillId="21" borderId="68" xfId="42" applyNumberFormat="1" applyFont="1" applyFill="1" applyBorder="1" applyAlignment="1">
      <alignment horizontal="right"/>
    </xf>
    <xf numFmtId="165" fontId="0" fillId="21" borderId="103" xfId="42" applyNumberFormat="1" applyFont="1" applyFill="1" applyBorder="1" applyAlignment="1">
      <alignment horizontal="right"/>
    </xf>
    <xf numFmtId="14" fontId="28" fillId="0" borderId="76" xfId="42" applyNumberFormat="1" applyFont="1" applyFill="1" applyBorder="1" applyAlignment="1"/>
    <xf numFmtId="165" fontId="28" fillId="0" borderId="76" xfId="42" applyNumberFormat="1" applyFont="1" applyFill="1" applyBorder="1" applyAlignment="1">
      <alignment horizontal="center"/>
    </xf>
    <xf numFmtId="165" fontId="28" fillId="21" borderId="104" xfId="42" applyNumberFormat="1" applyFont="1" applyFill="1" applyBorder="1" applyAlignment="1">
      <alignment horizontal="right"/>
    </xf>
    <xf numFmtId="165" fontId="32" fillId="0" borderId="76" xfId="42" applyNumberFormat="1" applyFont="1" applyFill="1" applyBorder="1" applyAlignment="1">
      <alignment horizontal="right"/>
    </xf>
    <xf numFmtId="165" fontId="28" fillId="15" borderId="76" xfId="42" applyNumberFormat="1" applyFont="1" applyFill="1" applyBorder="1" applyAlignment="1">
      <alignment horizontal="right"/>
    </xf>
    <xf numFmtId="0" fontId="0" fillId="0" borderId="67" xfId="42" applyFont="1" applyBorder="1" applyAlignment="1">
      <alignment horizontal="center"/>
    </xf>
    <xf numFmtId="165" fontId="28" fillId="1" borderId="71" xfId="42" applyNumberFormat="1" applyFont="1" applyFill="1" applyBorder="1" applyAlignment="1"/>
    <xf numFmtId="165" fontId="28" fillId="0" borderId="71" xfId="42" applyNumberFormat="1" applyFont="1" applyBorder="1" applyAlignment="1">
      <alignment horizontal="center"/>
    </xf>
    <xf numFmtId="0" fontId="0" fillId="20" borderId="0" xfId="42" applyFont="1" applyFill="1" applyBorder="1" applyAlignment="1">
      <alignment horizontal="center"/>
    </xf>
    <xf numFmtId="165" fontId="28" fillId="19" borderId="76" xfId="42" applyNumberFormat="1" applyFont="1" applyFill="1" applyBorder="1" applyAlignment="1">
      <alignment horizontal="right"/>
    </xf>
    <xf numFmtId="0" fontId="0" fillId="19" borderId="71" xfId="42" applyFont="1" applyFill="1" applyBorder="1" applyAlignment="1">
      <alignment horizontal="right"/>
    </xf>
    <xf numFmtId="165" fontId="0" fillId="20" borderId="68" xfId="42" applyNumberFormat="1" applyFont="1" applyFill="1" applyBorder="1" applyAlignment="1">
      <alignment horizontal="right"/>
    </xf>
    <xf numFmtId="165" fontId="28" fillId="19" borderId="71" xfId="42" applyNumberFormat="1" applyFont="1" applyFill="1" applyBorder="1" applyAlignment="1">
      <alignment horizontal="right"/>
    </xf>
    <xf numFmtId="165" fontId="28" fillId="19" borderId="0" xfId="42" applyNumberFormat="1" applyFont="1" applyFill="1" applyBorder="1" applyAlignment="1">
      <alignment horizontal="right"/>
    </xf>
    <xf numFmtId="0" fontId="29" fillId="16" borderId="76" xfId="42" applyFont="1" applyFill="1" applyBorder="1" applyAlignment="1">
      <alignment horizontal="right"/>
    </xf>
    <xf numFmtId="165" fontId="29" fillId="16" borderId="76" xfId="42" applyNumberFormat="1" applyFont="1" applyFill="1" applyBorder="1" applyAlignment="1">
      <alignment horizontal="right"/>
    </xf>
    <xf numFmtId="165" fontId="0" fillId="19" borderId="0" xfId="42" applyNumberFormat="1" applyFont="1" applyFill="1" applyBorder="1" applyAlignment="1">
      <alignment horizontal="right"/>
    </xf>
    <xf numFmtId="165" fontId="0" fillId="19" borderId="71" xfId="42" applyNumberFormat="1" applyFont="1" applyFill="1" applyBorder="1" applyAlignment="1">
      <alignment horizontal="right"/>
    </xf>
    <xf numFmtId="165" fontId="28" fillId="1" borderId="64" xfId="42" applyNumberFormat="1" applyFont="1" applyFill="1" applyBorder="1" applyAlignment="1">
      <alignment horizontal="right"/>
    </xf>
    <xf numFmtId="165" fontId="28" fillId="27" borderId="76" xfId="42" applyNumberFormat="1" applyFont="1" applyFill="1" applyBorder="1" applyAlignment="1">
      <alignment horizontal="right"/>
    </xf>
    <xf numFmtId="165" fontId="28" fillId="1" borderId="76" xfId="42" applyNumberFormat="1" applyFont="1" applyFill="1" applyBorder="1" applyAlignment="1">
      <alignment horizontal="right"/>
    </xf>
    <xf numFmtId="165" fontId="28" fillId="28" borderId="104" xfId="42" applyNumberFormat="1" applyFont="1" applyFill="1" applyBorder="1" applyAlignment="1">
      <alignment horizontal="right"/>
    </xf>
    <xf numFmtId="0" fontId="0" fillId="1" borderId="67" xfId="42" applyFont="1" applyFill="1" applyBorder="1" applyAlignment="1">
      <alignment horizontal="right"/>
    </xf>
    <xf numFmtId="0" fontId="0" fillId="27" borderId="0" xfId="42" applyFont="1" applyFill="1" applyBorder="1" applyAlignment="1">
      <alignment horizontal="right"/>
    </xf>
    <xf numFmtId="0" fontId="0" fillId="1" borderId="0" xfId="42" applyFont="1" applyFill="1" applyBorder="1" applyAlignment="1">
      <alignment horizontal="right"/>
    </xf>
    <xf numFmtId="165" fontId="28" fillId="27" borderId="0" xfId="42" applyNumberFormat="1" applyFont="1" applyFill="1" applyBorder="1" applyAlignment="1">
      <alignment horizontal="right"/>
    </xf>
    <xf numFmtId="0" fontId="0" fillId="28" borderId="68" xfId="42" applyFont="1" applyFill="1" applyBorder="1" applyAlignment="1">
      <alignment horizontal="right"/>
    </xf>
    <xf numFmtId="0" fontId="0" fillId="1" borderId="77" xfId="42" applyFont="1" applyFill="1" applyBorder="1" applyAlignment="1">
      <alignment horizontal="right"/>
    </xf>
    <xf numFmtId="0" fontId="0" fillId="27" borderId="71" xfId="42" applyFont="1" applyFill="1" applyBorder="1" applyAlignment="1">
      <alignment horizontal="right"/>
    </xf>
    <xf numFmtId="0" fontId="0" fillId="1" borderId="71" xfId="42" applyFont="1" applyFill="1" applyBorder="1" applyAlignment="1">
      <alignment horizontal="right"/>
    </xf>
    <xf numFmtId="0" fontId="0" fillId="28" borderId="103" xfId="42" applyFont="1" applyFill="1" applyBorder="1" applyAlignment="1">
      <alignment horizontal="right"/>
    </xf>
    <xf numFmtId="2" fontId="29" fillId="16" borderId="105" xfId="42" applyNumberFormat="1" applyFont="1" applyFill="1" applyBorder="1" applyAlignment="1" applyProtection="1">
      <alignment horizontal="center"/>
    </xf>
    <xf numFmtId="0" fontId="29" fillId="16" borderId="105" xfId="42" applyFont="1" applyFill="1" applyBorder="1" applyAlignment="1" applyProtection="1">
      <alignment horizontal="center"/>
    </xf>
    <xf numFmtId="2" fontId="29" fillId="16" borderId="106" xfId="42" applyNumberFormat="1" applyFont="1" applyFill="1" applyBorder="1" applyAlignment="1" applyProtection="1">
      <alignment horizontal="center"/>
    </xf>
    <xf numFmtId="0" fontId="29" fillId="16" borderId="106" xfId="42" applyFont="1" applyFill="1" applyBorder="1" applyAlignment="1" applyProtection="1">
      <alignment horizontal="center"/>
    </xf>
    <xf numFmtId="0" fontId="0" fillId="16" borderId="0" xfId="42" applyFont="1" applyFill="1"/>
    <xf numFmtId="2" fontId="29" fillId="16" borderId="107" xfId="42" applyNumberFormat="1" applyFont="1" applyFill="1" applyBorder="1" applyAlignment="1" applyProtection="1">
      <alignment horizontal="center"/>
    </xf>
    <xf numFmtId="2" fontId="29" fillId="16" borderId="108" xfId="42" applyNumberFormat="1" applyFont="1" applyFill="1" applyBorder="1" applyAlignment="1" applyProtection="1">
      <alignment horizontal="center"/>
    </xf>
    <xf numFmtId="0" fontId="29" fillId="16" borderId="0" xfId="42" applyFont="1" applyFill="1" applyBorder="1"/>
    <xf numFmtId="0" fontId="29" fillId="16" borderId="0" xfId="42" applyFont="1" applyFill="1" applyBorder="1" applyAlignment="1">
      <alignment horizontal="right"/>
    </xf>
    <xf numFmtId="165" fontId="29" fillId="16" borderId="0" xfId="42" applyNumberFormat="1" applyFont="1" applyFill="1" applyBorder="1" applyAlignment="1">
      <alignment horizontal="right"/>
    </xf>
    <xf numFmtId="14" fontId="28" fillId="0" borderId="71" xfId="42" applyNumberFormat="1" applyFont="1" applyBorder="1" applyAlignment="1"/>
    <xf numFmtId="0" fontId="0" fillId="1" borderId="64" xfId="42" applyFont="1" applyFill="1" applyBorder="1" applyAlignment="1">
      <alignment horizontal="center"/>
    </xf>
    <xf numFmtId="0" fontId="0" fillId="20" borderId="71" xfId="42" applyFont="1" applyFill="1" applyBorder="1"/>
    <xf numFmtId="0" fontId="0" fillId="20" borderId="71" xfId="42" applyFont="1" applyFill="1" applyBorder="1" applyAlignment="1">
      <alignment horizontal="center"/>
    </xf>
    <xf numFmtId="165" fontId="32" fillId="20" borderId="71" xfId="42" applyNumberFormat="1" applyFont="1" applyFill="1" applyBorder="1" applyAlignment="1">
      <alignment horizontal="right"/>
    </xf>
    <xf numFmtId="165" fontId="0" fillId="20" borderId="71" xfId="42" applyNumberFormat="1" applyFont="1" applyFill="1" applyBorder="1" applyAlignment="1">
      <alignment horizontal="right"/>
    </xf>
    <xf numFmtId="165" fontId="0" fillId="20" borderId="103" xfId="42" applyNumberFormat="1" applyFont="1" applyFill="1" applyBorder="1" applyAlignment="1">
      <alignment horizontal="right"/>
    </xf>
    <xf numFmtId="0" fontId="0" fillId="20" borderId="72" xfId="42" applyFont="1" applyFill="1" applyBorder="1"/>
    <xf numFmtId="0" fontId="0" fillId="20" borderId="72" xfId="42" applyFont="1" applyFill="1" applyBorder="1" applyAlignment="1">
      <alignment horizontal="center"/>
    </xf>
    <xf numFmtId="165" fontId="28" fillId="20" borderId="72" xfId="42" applyNumberFormat="1" applyFont="1" applyFill="1" applyBorder="1" applyAlignment="1">
      <alignment horizontal="right"/>
    </xf>
    <xf numFmtId="165" fontId="32" fillId="20" borderId="72" xfId="42" applyNumberFormat="1" applyFont="1" applyFill="1" applyBorder="1" applyAlignment="1">
      <alignment horizontal="right"/>
    </xf>
    <xf numFmtId="165" fontId="0" fillId="20" borderId="72" xfId="42" applyNumberFormat="1" applyFont="1" applyFill="1" applyBorder="1" applyAlignment="1">
      <alignment horizontal="right"/>
    </xf>
    <xf numFmtId="165" fontId="0" fillId="20" borderId="109" xfId="42" applyNumberFormat="1" applyFont="1" applyFill="1" applyBorder="1" applyAlignment="1">
      <alignment horizontal="right"/>
    </xf>
    <xf numFmtId="0" fontId="0" fillId="27" borderId="76" xfId="42" applyFont="1" applyFill="1" applyBorder="1"/>
    <xf numFmtId="0" fontId="0" fillId="27" borderId="0" xfId="42" applyFont="1" applyFill="1" applyBorder="1"/>
    <xf numFmtId="0" fontId="0" fillId="28" borderId="104" xfId="42" applyFont="1" applyFill="1" applyBorder="1"/>
    <xf numFmtId="0" fontId="0" fillId="28" borderId="68" xfId="42" applyFont="1" applyFill="1" applyBorder="1"/>
    <xf numFmtId="165" fontId="32" fillId="1" borderId="64" xfId="42" applyNumberFormat="1" applyFont="1" applyFill="1" applyBorder="1" applyAlignment="1">
      <alignment horizontal="right"/>
    </xf>
    <xf numFmtId="165" fontId="4" fillId="1" borderId="67" xfId="42" applyNumberFormat="1" applyFont="1" applyFill="1" applyBorder="1" applyAlignment="1">
      <alignment horizontal="right"/>
    </xf>
    <xf numFmtId="165" fontId="32" fillId="20" borderId="67" xfId="42" applyNumberFormat="1" applyFont="1" applyFill="1" applyBorder="1" applyAlignment="1">
      <alignment horizontal="right"/>
    </xf>
    <xf numFmtId="165" fontId="32" fillId="0" borderId="67" xfId="42" applyNumberFormat="1" applyFont="1" applyBorder="1" applyAlignment="1">
      <alignment horizontal="right"/>
    </xf>
    <xf numFmtId="165" fontId="0" fillId="21" borderId="68" xfId="42" applyNumberFormat="1" applyFont="1" applyFill="1" applyBorder="1"/>
    <xf numFmtId="165" fontId="0" fillId="28" borderId="104" xfId="42" applyNumberFormat="1" applyFont="1" applyFill="1" applyBorder="1"/>
    <xf numFmtId="165" fontId="0" fillId="28" borderId="68" xfId="42" applyNumberFormat="1" applyFont="1" applyFill="1" applyBorder="1"/>
    <xf numFmtId="165" fontId="30" fillId="0" borderId="0" xfId="42" applyNumberFormat="1" applyFont="1" applyBorder="1" applyAlignment="1">
      <alignment horizontal="right"/>
    </xf>
    <xf numFmtId="165" fontId="30" fillId="0" borderId="71" xfId="42" applyNumberFormat="1" applyFont="1" applyBorder="1" applyAlignment="1">
      <alignment horizontal="right"/>
    </xf>
    <xf numFmtId="165" fontId="30" fillId="20" borderId="0" xfId="42" applyNumberFormat="1" applyFont="1" applyFill="1" applyBorder="1" applyAlignment="1">
      <alignment horizontal="right"/>
    </xf>
    <xf numFmtId="0" fontId="30" fillId="0" borderId="0" xfId="42" applyFont="1"/>
    <xf numFmtId="0" fontId="30" fillId="1" borderId="76" xfId="42" applyFont="1" applyFill="1" applyBorder="1"/>
    <xf numFmtId="0" fontId="30" fillId="1" borderId="0" xfId="42" applyFont="1" applyFill="1" applyBorder="1"/>
    <xf numFmtId="165" fontId="30" fillId="0" borderId="0" xfId="42" applyNumberFormat="1" applyFont="1" applyBorder="1"/>
    <xf numFmtId="165" fontId="30" fillId="20" borderId="71" xfId="42" applyNumberFormat="1" applyFont="1" applyFill="1" applyBorder="1" applyAlignment="1">
      <alignment horizontal="right"/>
    </xf>
    <xf numFmtId="165" fontId="30" fillId="1" borderId="76" xfId="42" applyNumberFormat="1" applyFont="1" applyFill="1" applyBorder="1"/>
    <xf numFmtId="165" fontId="30" fillId="1" borderId="0" xfId="42" applyNumberFormat="1" applyFont="1" applyFill="1" applyBorder="1"/>
    <xf numFmtId="165" fontId="30" fillId="20" borderId="72" xfId="42" applyNumberFormat="1" applyFont="1" applyFill="1" applyBorder="1" applyAlignment="1">
      <alignment horizontal="right"/>
    </xf>
    <xf numFmtId="0" fontId="0" fillId="29" borderId="0" xfId="42" applyFont="1" applyFill="1"/>
    <xf numFmtId="14" fontId="28" fillId="29" borderId="64" xfId="42" applyNumberFormat="1" applyFont="1" applyFill="1" applyBorder="1" applyAlignment="1" applyProtection="1">
      <alignment horizontal="center" vertical="center"/>
    </xf>
    <xf numFmtId="165" fontId="28" fillId="29" borderId="0" xfId="42" applyNumberFormat="1" applyFont="1" applyFill="1" applyBorder="1" applyAlignment="1"/>
    <xf numFmtId="165" fontId="28" fillId="29" borderId="0" xfId="42" applyNumberFormat="1" applyFont="1" applyFill="1" applyBorder="1" applyAlignment="1">
      <alignment horizontal="center"/>
    </xf>
    <xf numFmtId="165" fontId="32" fillId="29" borderId="76" xfId="42" applyNumberFormat="1" applyFont="1" applyFill="1" applyBorder="1" applyAlignment="1">
      <alignment horizontal="right"/>
    </xf>
    <xf numFmtId="14" fontId="28" fillId="29" borderId="67" xfId="42" applyNumberFormat="1" applyFont="1" applyFill="1" applyBorder="1" applyAlignment="1" applyProtection="1">
      <alignment horizontal="center" vertical="center"/>
    </xf>
    <xf numFmtId="14" fontId="28" fillId="29" borderId="77" xfId="42" applyNumberFormat="1" applyFont="1" applyFill="1" applyBorder="1" applyAlignment="1" applyProtection="1">
      <alignment horizontal="center" vertical="center"/>
    </xf>
    <xf numFmtId="165" fontId="28" fillId="29" borderId="71" xfId="42" applyNumberFormat="1" applyFont="1" applyFill="1" applyBorder="1" applyAlignment="1"/>
    <xf numFmtId="165" fontId="28" fillId="29" borderId="71" xfId="42" applyNumberFormat="1" applyFont="1" applyFill="1" applyBorder="1" applyAlignment="1">
      <alignment horizontal="center"/>
    </xf>
    <xf numFmtId="0" fontId="0" fillId="29" borderId="77" xfId="42" applyFont="1" applyFill="1" applyBorder="1" applyAlignment="1">
      <alignment horizontal="right"/>
    </xf>
    <xf numFmtId="0" fontId="0" fillId="29" borderId="71" xfId="42" applyFont="1" applyFill="1" applyBorder="1" applyAlignment="1">
      <alignment horizontal="right"/>
    </xf>
    <xf numFmtId="165" fontId="28" fillId="27" borderId="0" xfId="42" applyNumberFormat="1" applyFont="1" applyFill="1" applyBorder="1" applyAlignment="1"/>
    <xf numFmtId="165" fontId="28" fillId="21" borderId="68" xfId="42" applyNumberFormat="1" applyFont="1" applyFill="1" applyBorder="1" applyAlignment="1"/>
    <xf numFmtId="165" fontId="28" fillId="1" borderId="64" xfId="42" applyNumberFormat="1" applyFont="1" applyFill="1" applyBorder="1" applyAlignment="1"/>
    <xf numFmtId="165" fontId="28" fillId="27" borderId="76" xfId="42" applyNumberFormat="1" applyFont="1" applyFill="1" applyBorder="1" applyAlignment="1"/>
    <xf numFmtId="165" fontId="28" fillId="21" borderId="104" xfId="42" applyNumberFormat="1" applyFont="1" applyFill="1" applyBorder="1" applyAlignment="1"/>
    <xf numFmtId="165" fontId="28" fillId="0" borderId="72" xfId="42" applyNumberFormat="1" applyFont="1" applyFill="1" applyBorder="1" applyAlignment="1"/>
    <xf numFmtId="165" fontId="32" fillId="0" borderId="0" xfId="42" applyNumberFormat="1" applyFont="1" applyFill="1" applyBorder="1" applyAlignment="1"/>
    <xf numFmtId="0" fontId="28" fillId="15" borderId="0" xfId="42" applyFont="1" applyFill="1" applyAlignment="1"/>
    <xf numFmtId="165" fontId="28" fillId="15" borderId="0" xfId="42" applyNumberFormat="1" applyFont="1" applyFill="1" applyAlignment="1"/>
    <xf numFmtId="2" fontId="28" fillId="15" borderId="0" xfId="42" applyNumberFormat="1" applyFont="1" applyFill="1" applyAlignment="1">
      <alignment horizontal="center"/>
    </xf>
    <xf numFmtId="0" fontId="28" fillId="0" borderId="110" xfId="42" applyFont="1" applyBorder="1" applyAlignment="1">
      <alignment horizontal="center"/>
    </xf>
    <xf numFmtId="0" fontId="3" fillId="0" borderId="111" xfId="42" applyFont="1" applyBorder="1" applyAlignment="1">
      <alignment horizontal="center"/>
    </xf>
    <xf numFmtId="0" fontId="28" fillId="0" borderId="111" xfId="42" applyFont="1" applyBorder="1" applyAlignment="1"/>
    <xf numFmtId="0" fontId="28" fillId="0" borderId="111" xfId="42" applyFont="1" applyBorder="1" applyAlignment="1">
      <alignment horizontal="center"/>
    </xf>
    <xf numFmtId="165" fontId="28" fillId="0" borderId="111" xfId="42" applyNumberFormat="1" applyFont="1" applyBorder="1" applyAlignment="1"/>
    <xf numFmtId="0" fontId="28" fillId="0" borderId="112" xfId="42" applyFont="1" applyBorder="1" applyAlignment="1">
      <alignment horizontal="center"/>
    </xf>
    <xf numFmtId="0" fontId="3" fillId="0" borderId="113" xfId="42" applyFont="1" applyBorder="1" applyAlignment="1">
      <alignment horizontal="center"/>
    </xf>
    <xf numFmtId="165" fontId="28" fillId="0" borderId="113" xfId="42" applyNumberFormat="1" applyFont="1" applyBorder="1" applyAlignment="1"/>
    <xf numFmtId="165" fontId="28" fillId="0" borderId="113" xfId="42" applyNumberFormat="1" applyFont="1" applyBorder="1" applyAlignment="1">
      <alignment horizontal="center"/>
    </xf>
    <xf numFmtId="0" fontId="28" fillId="0" borderId="76" xfId="42" applyFont="1" applyBorder="1" applyAlignment="1"/>
    <xf numFmtId="2" fontId="28" fillId="0" borderId="76" xfId="42" applyNumberFormat="1" applyFont="1" applyBorder="1" applyAlignment="1">
      <alignment horizontal="center"/>
    </xf>
    <xf numFmtId="0" fontId="28" fillId="0" borderId="0" xfId="42" applyFont="1" applyBorder="1" applyAlignment="1"/>
    <xf numFmtId="2" fontId="28" fillId="0" borderId="0" xfId="42" applyNumberFormat="1" applyFont="1" applyBorder="1" applyAlignment="1">
      <alignment horizontal="center"/>
    </xf>
    <xf numFmtId="0" fontId="28" fillId="0" borderId="71" xfId="42" applyFont="1" applyBorder="1" applyAlignment="1"/>
    <xf numFmtId="2" fontId="28" fillId="0" borderId="71" xfId="42" applyNumberFormat="1" applyFont="1" applyBorder="1" applyAlignment="1">
      <alignment horizontal="center"/>
    </xf>
    <xf numFmtId="0" fontId="3" fillId="13" borderId="76" xfId="42" applyFont="1" applyFill="1" applyBorder="1" applyAlignment="1">
      <alignment horizontal="center"/>
    </xf>
    <xf numFmtId="166" fontId="28" fillId="13" borderId="76" xfId="398" applyNumberFormat="1" applyFont="1" applyFill="1" applyBorder="1" applyAlignment="1"/>
    <xf numFmtId="0" fontId="3" fillId="21" borderId="0" xfId="42" applyFont="1" applyFill="1" applyAlignment="1">
      <alignment horizontal="center"/>
    </xf>
    <xf numFmtId="0" fontId="28" fillId="21" borderId="0" xfId="42" applyFont="1" applyFill="1" applyAlignment="1"/>
    <xf numFmtId="2" fontId="28" fillId="21" borderId="0" xfId="42" applyNumberFormat="1" applyFont="1" applyFill="1" applyAlignment="1">
      <alignment horizontal="center"/>
    </xf>
    <xf numFmtId="0" fontId="3" fillId="13" borderId="0" xfId="42" applyFont="1" applyFill="1" applyAlignment="1">
      <alignment horizontal="center"/>
    </xf>
    <xf numFmtId="0" fontId="28" fillId="13" borderId="0" xfId="42" applyFont="1" applyFill="1" applyAlignment="1"/>
    <xf numFmtId="2" fontId="28" fillId="13" borderId="0" xfId="42" applyNumberFormat="1" applyFont="1" applyFill="1" applyAlignment="1">
      <alignment horizontal="center"/>
    </xf>
    <xf numFmtId="165" fontId="32" fillId="1" borderId="76" xfId="42" applyNumberFormat="1" applyFont="1" applyFill="1" applyBorder="1" applyAlignment="1"/>
    <xf numFmtId="165" fontId="32" fillId="20" borderId="72" xfId="42" applyNumberFormat="1" applyFont="1" applyFill="1" applyBorder="1"/>
    <xf numFmtId="165" fontId="32" fillId="20" borderId="76" xfId="42" applyNumberFormat="1" applyFont="1" applyFill="1" applyBorder="1"/>
    <xf numFmtId="165" fontId="32" fillId="15" borderId="71" xfId="42" applyNumberFormat="1" applyFont="1" applyFill="1" applyBorder="1"/>
    <xf numFmtId="165" fontId="32" fillId="15" borderId="72" xfId="42" applyNumberFormat="1" applyFont="1" applyFill="1" applyBorder="1"/>
    <xf numFmtId="167" fontId="1" fillId="0" borderId="0" xfId="42" applyNumberFormat="1" applyFont="1" applyBorder="1" applyProtection="1"/>
    <xf numFmtId="165" fontId="28" fillId="21" borderId="0" xfId="42" applyNumberFormat="1" applyFont="1" applyFill="1" applyAlignment="1"/>
    <xf numFmtId="0" fontId="28" fillId="11" borderId="62" xfId="42" applyFont="1" applyFill="1" applyBorder="1"/>
    <xf numFmtId="0" fontId="28" fillId="11" borderId="14" xfId="42" applyFont="1" applyFill="1" applyBorder="1" applyAlignment="1">
      <alignment horizontal="center"/>
    </xf>
    <xf numFmtId="0" fontId="28" fillId="11" borderId="15" xfId="42" applyFont="1" applyFill="1" applyBorder="1" applyAlignment="1">
      <alignment horizontal="center"/>
    </xf>
    <xf numFmtId="165" fontId="0" fillId="19" borderId="72" xfId="42" applyNumberFormat="1" applyFont="1" applyFill="1" applyBorder="1"/>
    <xf numFmtId="165" fontId="0" fillId="20" borderId="0" xfId="42" applyNumberFormat="1" applyFont="1" applyFill="1" applyBorder="1"/>
    <xf numFmtId="165" fontId="0" fillId="19" borderId="71" xfId="42" applyNumberFormat="1" applyFont="1" applyFill="1" applyBorder="1"/>
    <xf numFmtId="165" fontId="28" fillId="19" borderId="76" xfId="42" applyNumberFormat="1" applyFont="1" applyFill="1" applyBorder="1" applyAlignment="1"/>
    <xf numFmtId="165" fontId="28" fillId="19" borderId="0" xfId="42" applyNumberFormat="1" applyFont="1" applyFill="1" applyBorder="1" applyAlignment="1"/>
    <xf numFmtId="14" fontId="29" fillId="16" borderId="0" xfId="42" applyNumberFormat="1" applyFont="1" applyFill="1" applyBorder="1"/>
    <xf numFmtId="165" fontId="30" fillId="0" borderId="78" xfId="42" applyNumberFormat="1" applyFont="1" applyBorder="1"/>
    <xf numFmtId="165" fontId="30" fillId="0" borderId="72" xfId="42" applyNumberFormat="1" applyFont="1" applyBorder="1"/>
    <xf numFmtId="165" fontId="0" fillId="21" borderId="109" xfId="42" applyNumberFormat="1" applyFont="1" applyFill="1" applyBorder="1"/>
    <xf numFmtId="165" fontId="0" fillId="21" borderId="103" xfId="42" applyNumberFormat="1" applyFont="1" applyFill="1" applyBorder="1"/>
    <xf numFmtId="165" fontId="30" fillId="0" borderId="77" xfId="42" applyNumberFormat="1" applyFont="1" applyBorder="1"/>
    <xf numFmtId="165" fontId="30" fillId="0" borderId="71" xfId="42" applyNumberFormat="1" applyFont="1" applyBorder="1"/>
    <xf numFmtId="165" fontId="32" fillId="29" borderId="64" xfId="42" applyNumberFormat="1" applyFont="1" applyFill="1" applyBorder="1" applyAlignment="1"/>
    <xf numFmtId="165" fontId="32" fillId="29" borderId="76" xfId="42" applyNumberFormat="1" applyFont="1" applyFill="1" applyBorder="1" applyAlignment="1"/>
    <xf numFmtId="165" fontId="28" fillId="1" borderId="67" xfId="42" applyNumberFormat="1" applyFont="1" applyFill="1" applyBorder="1" applyAlignment="1">
      <alignment horizontal="right"/>
    </xf>
    <xf numFmtId="165" fontId="28" fillId="1" borderId="0" xfId="42" applyNumberFormat="1" applyFont="1" applyFill="1" applyBorder="1" applyAlignment="1">
      <alignment horizontal="right"/>
    </xf>
    <xf numFmtId="0" fontId="0" fillId="30" borderId="67" xfId="42" applyFont="1" applyFill="1" applyBorder="1" applyAlignment="1">
      <alignment horizontal="right"/>
    </xf>
    <xf numFmtId="0" fontId="0" fillId="30" borderId="0" xfId="42" applyFont="1" applyFill="1" applyBorder="1" applyAlignment="1">
      <alignment horizontal="right"/>
    </xf>
    <xf numFmtId="165" fontId="28" fillId="28" borderId="68" xfId="42" applyNumberFormat="1" applyFont="1" applyFill="1" applyBorder="1" applyAlignment="1">
      <alignment horizontal="right"/>
    </xf>
    <xf numFmtId="0" fontId="0" fillId="30" borderId="68" xfId="42" applyFont="1" applyFill="1" applyBorder="1" applyAlignment="1">
      <alignment horizontal="right"/>
    </xf>
    <xf numFmtId="0" fontId="0" fillId="1" borderId="67" xfId="42" applyFont="1" applyFill="1" applyBorder="1"/>
    <xf numFmtId="0" fontId="0" fillId="30" borderId="77" xfId="42" applyFont="1" applyFill="1" applyBorder="1" applyAlignment="1">
      <alignment horizontal="right"/>
    </xf>
    <xf numFmtId="0" fontId="0" fillId="30" borderId="71" xfId="42" applyFont="1" applyFill="1" applyBorder="1" applyAlignment="1">
      <alignment horizontal="right"/>
    </xf>
    <xf numFmtId="0" fontId="0" fillId="30" borderId="78" xfId="42" applyFont="1" applyFill="1" applyBorder="1" applyAlignment="1">
      <alignment horizontal="right"/>
    </xf>
    <xf numFmtId="0" fontId="0" fillId="30" borderId="72" xfId="42" applyFont="1" applyFill="1" applyBorder="1" applyAlignment="1">
      <alignment horizontal="right"/>
    </xf>
    <xf numFmtId="0" fontId="0" fillId="30" borderId="103" xfId="42" applyFont="1" applyFill="1" applyBorder="1" applyAlignment="1">
      <alignment horizontal="right"/>
    </xf>
    <xf numFmtId="0" fontId="0" fillId="30" borderId="109" xfId="42" applyFont="1" applyFill="1" applyBorder="1" applyAlignment="1">
      <alignment horizontal="right"/>
    </xf>
    <xf numFmtId="0" fontId="0" fillId="1" borderId="78" xfId="42" applyFont="1" applyFill="1" applyBorder="1"/>
    <xf numFmtId="0" fontId="0" fillId="27" borderId="72" xfId="42" applyFont="1" applyFill="1" applyBorder="1"/>
    <xf numFmtId="0" fontId="0" fillId="1" borderId="72" xfId="42" applyFont="1" applyFill="1" applyBorder="1"/>
    <xf numFmtId="0" fontId="0" fillId="28" borderId="109" xfId="42" applyFont="1" applyFill="1" applyBorder="1"/>
    <xf numFmtId="165" fontId="28" fillId="28" borderId="104" xfId="42" applyNumberFormat="1" applyFont="1" applyFill="1" applyBorder="1" applyAlignment="1"/>
    <xf numFmtId="165" fontId="28" fillId="28" borderId="68" xfId="42" applyNumberFormat="1" applyFont="1" applyFill="1" applyBorder="1" applyAlignment="1"/>
    <xf numFmtId="165" fontId="0" fillId="28" borderId="103" xfId="42" applyNumberFormat="1" applyFont="1" applyFill="1" applyBorder="1"/>
    <xf numFmtId="0" fontId="30" fillId="1" borderId="77" xfId="42" applyFont="1" applyFill="1" applyBorder="1"/>
    <xf numFmtId="0" fontId="0" fillId="27" borderId="71" xfId="42" applyFont="1" applyFill="1" applyBorder="1"/>
    <xf numFmtId="0" fontId="30" fillId="1" borderId="71" xfId="42" applyFont="1" applyFill="1" applyBorder="1"/>
    <xf numFmtId="165" fontId="0" fillId="27" borderId="71" xfId="42" applyNumberFormat="1" applyFont="1" applyFill="1" applyBorder="1"/>
    <xf numFmtId="0" fontId="0" fillId="28" borderId="103" xfId="42" applyFont="1" applyFill="1" applyBorder="1"/>
    <xf numFmtId="165" fontId="32" fillId="0" borderId="72" xfId="42" applyNumberFormat="1" applyFont="1" applyFill="1" applyBorder="1" applyAlignment="1"/>
    <xf numFmtId="0" fontId="28" fillId="0" borderId="78" xfId="42" applyFont="1" applyFill="1" applyBorder="1" applyAlignment="1">
      <alignment horizontal="center"/>
    </xf>
    <xf numFmtId="0" fontId="0" fillId="0" borderId="72" xfId="42" applyFont="1" applyFill="1" applyBorder="1" applyAlignment="1">
      <alignment horizontal="center"/>
    </xf>
    <xf numFmtId="165" fontId="28" fillId="1" borderId="78" xfId="42" applyNumberFormat="1" applyFont="1" applyFill="1" applyBorder="1" applyAlignment="1"/>
    <xf numFmtId="165" fontId="28" fillId="1" borderId="72" xfId="42" applyNumberFormat="1" applyFont="1" applyFill="1" applyBorder="1" applyAlignment="1"/>
    <xf numFmtId="165" fontId="28" fillId="19" borderId="72" xfId="42" applyNumberFormat="1" applyFont="1" applyFill="1" applyBorder="1" applyAlignment="1"/>
    <xf numFmtId="166" fontId="0" fillId="0" borderId="0" xfId="398" applyNumberFormat="1" applyFont="1"/>
    <xf numFmtId="2" fontId="28" fillId="21" borderId="104" xfId="42" applyNumberFormat="1" applyFont="1" applyFill="1" applyBorder="1" applyAlignment="1">
      <alignment horizontal="right"/>
    </xf>
    <xf numFmtId="2" fontId="0" fillId="21" borderId="68" xfId="42" applyNumberFormat="1" applyFont="1" applyFill="1" applyBorder="1" applyAlignment="1">
      <alignment horizontal="right"/>
    </xf>
    <xf numFmtId="2" fontId="0" fillId="21" borderId="103" xfId="42" applyNumberFormat="1" applyFont="1" applyFill="1" applyBorder="1" applyAlignment="1">
      <alignment horizontal="right"/>
    </xf>
    <xf numFmtId="165" fontId="32" fillId="15" borderId="72" xfId="42" applyNumberFormat="1" applyFont="1" applyFill="1" applyBorder="1" applyAlignment="1">
      <alignment horizontal="right"/>
    </xf>
    <xf numFmtId="2" fontId="32" fillId="15" borderId="109" xfId="42" applyNumberFormat="1" applyFont="1" applyFill="1" applyBorder="1" applyAlignment="1">
      <alignment horizontal="right"/>
    </xf>
    <xf numFmtId="165" fontId="0" fillId="15" borderId="72" xfId="42" applyNumberFormat="1" applyFont="1" applyFill="1" applyBorder="1" applyAlignment="1">
      <alignment horizontal="right"/>
    </xf>
    <xf numFmtId="165" fontId="28" fillId="15" borderId="72" xfId="42" applyNumberFormat="1" applyFont="1" applyFill="1" applyBorder="1" applyAlignment="1">
      <alignment horizontal="right"/>
    </xf>
    <xf numFmtId="165" fontId="0" fillId="21" borderId="109" xfId="42" applyNumberFormat="1" applyFont="1" applyFill="1" applyBorder="1" applyAlignment="1">
      <alignment horizontal="right"/>
    </xf>
    <xf numFmtId="165" fontId="0" fillId="15" borderId="103" xfId="42" applyNumberFormat="1" applyFont="1" applyFill="1" applyBorder="1" applyAlignment="1">
      <alignment horizontal="right"/>
    </xf>
    <xf numFmtId="165" fontId="32" fillId="15" borderId="78" xfId="42" applyNumberFormat="1" applyFont="1" applyFill="1" applyBorder="1" applyAlignment="1">
      <alignment horizontal="right"/>
    </xf>
    <xf numFmtId="165" fontId="32" fillId="15" borderId="109" xfId="42" applyNumberFormat="1" applyFont="1" applyFill="1" applyBorder="1" applyAlignment="1">
      <alignment horizontal="right"/>
    </xf>
    <xf numFmtId="165" fontId="32" fillId="31" borderId="64" xfId="42" applyNumberFormat="1" applyFont="1" applyFill="1" applyBorder="1" applyAlignment="1"/>
    <xf numFmtId="165" fontId="32" fillId="31" borderId="76" xfId="42" applyNumberFormat="1" applyFont="1" applyFill="1" applyBorder="1" applyAlignment="1"/>
    <xf numFmtId="165" fontId="28" fillId="32" borderId="0" xfId="42" applyNumberFormat="1" applyFont="1" applyFill="1" applyBorder="1" applyAlignment="1"/>
    <xf numFmtId="165" fontId="32" fillId="31" borderId="72" xfId="42" applyNumberFormat="1" applyFont="1" applyFill="1" applyBorder="1" applyAlignment="1">
      <alignment horizontal="right"/>
    </xf>
    <xf numFmtId="2" fontId="32" fillId="31" borderId="0" xfId="42" applyNumberFormat="1" applyFont="1" applyFill="1" applyBorder="1" applyAlignment="1"/>
    <xf numFmtId="165" fontId="32" fillId="31" borderId="80" xfId="42" applyNumberFormat="1" applyFont="1" applyFill="1" applyBorder="1" applyAlignment="1"/>
    <xf numFmtId="165" fontId="32" fillId="31" borderId="82" xfId="42" applyNumberFormat="1" applyFont="1" applyFill="1" applyBorder="1" applyAlignment="1"/>
    <xf numFmtId="165" fontId="32" fillId="31" borderId="0" xfId="42" applyNumberFormat="1" applyFont="1" applyFill="1" applyBorder="1" applyAlignment="1"/>
    <xf numFmtId="0" fontId="0" fillId="32" borderId="76" xfId="42" applyFont="1" applyFill="1" applyBorder="1"/>
    <xf numFmtId="0" fontId="0" fillId="32" borderId="0" xfId="42" applyFont="1" applyFill="1" applyBorder="1"/>
    <xf numFmtId="165" fontId="32" fillId="15" borderId="76" xfId="42" applyNumberFormat="1" applyFont="1" applyFill="1" applyBorder="1"/>
    <xf numFmtId="0" fontId="28" fillId="15" borderId="64" xfId="42" applyFont="1" applyFill="1" applyBorder="1" applyAlignment="1">
      <alignment horizontal="center"/>
    </xf>
    <xf numFmtId="0" fontId="28" fillId="15" borderId="76" xfId="42" applyFont="1" applyFill="1" applyBorder="1" applyAlignment="1">
      <alignment horizontal="center"/>
    </xf>
    <xf numFmtId="165" fontId="28" fillId="15" borderId="76" xfId="42" applyNumberFormat="1" applyFont="1" applyFill="1" applyBorder="1"/>
    <xf numFmtId="165" fontId="32" fillId="31" borderId="78" xfId="42" applyNumberFormat="1" applyFont="1" applyFill="1" applyBorder="1" applyAlignment="1">
      <alignment horizontal="right"/>
    </xf>
    <xf numFmtId="2" fontId="32" fillId="31" borderId="80" xfId="42" applyNumberFormat="1" applyFont="1" applyFill="1" applyBorder="1" applyAlignment="1"/>
    <xf numFmtId="2" fontId="32" fillId="31" borderId="82" xfId="42" applyNumberFormat="1" applyFont="1" applyFill="1" applyBorder="1" applyAlignment="1"/>
    <xf numFmtId="2" fontId="32" fillId="31" borderId="0" xfId="42" applyNumberFormat="1" applyFont="1" applyFill="1" applyBorder="1"/>
    <xf numFmtId="2" fontId="32" fillId="31" borderId="82" xfId="42" applyNumberFormat="1" applyFont="1" applyFill="1" applyBorder="1"/>
    <xf numFmtId="2" fontId="32" fillId="31" borderId="89" xfId="42" applyNumberFormat="1" applyFont="1" applyFill="1" applyBorder="1"/>
    <xf numFmtId="2" fontId="32" fillId="31" borderId="0" xfId="42" applyNumberFormat="1" applyFont="1" applyFill="1"/>
    <xf numFmtId="2" fontId="32" fillId="31" borderId="89" xfId="42" applyNumberFormat="1" applyFont="1" applyFill="1" applyBorder="1" applyAlignment="1"/>
    <xf numFmtId="165" fontId="32" fillId="20" borderId="71" xfId="42" applyNumberFormat="1" applyFont="1" applyFill="1" applyBorder="1" applyAlignment="1"/>
    <xf numFmtId="165" fontId="28" fillId="32" borderId="76" xfId="42" applyNumberFormat="1" applyFont="1" applyFill="1" applyBorder="1" applyAlignment="1"/>
    <xf numFmtId="2" fontId="55" fillId="31" borderId="68" xfId="42" applyNumberFormat="1" applyFont="1" applyFill="1" applyBorder="1" applyAlignment="1">
      <alignment horizontal="right"/>
    </xf>
    <xf numFmtId="2" fontId="29" fillId="16" borderId="76" xfId="42" applyNumberFormat="1" applyFont="1" applyFill="1" applyBorder="1" applyAlignment="1">
      <alignment horizontal="right"/>
    </xf>
    <xf numFmtId="2" fontId="0" fillId="20" borderId="68" xfId="42" applyNumberFormat="1" applyFont="1" applyFill="1" applyBorder="1" applyAlignment="1">
      <alignment horizontal="right"/>
    </xf>
    <xf numFmtId="0" fontId="68" fillId="0" borderId="0" xfId="42" applyFont="1" applyAlignment="1">
      <alignment horizontal="left"/>
    </xf>
    <xf numFmtId="166" fontId="28" fillId="13" borderId="0" xfId="398" applyNumberFormat="1" applyFont="1" applyFill="1" applyAlignment="1"/>
    <xf numFmtId="1" fontId="55" fillId="0" borderId="0" xfId="42" applyNumberFormat="1" applyFont="1" applyAlignment="1">
      <alignment horizontal="left"/>
    </xf>
    <xf numFmtId="165" fontId="28" fillId="1" borderId="109" xfId="42" applyNumberFormat="1" applyFont="1" applyFill="1" applyBorder="1" applyAlignment="1"/>
    <xf numFmtId="165" fontId="28" fillId="15" borderId="72" xfId="42" applyNumberFormat="1" applyFont="1" applyFill="1" applyBorder="1" applyAlignment="1"/>
    <xf numFmtId="165" fontId="28" fillId="0" borderId="71" xfId="42" applyNumberFormat="1" applyFont="1" applyFill="1" applyBorder="1" applyAlignment="1"/>
    <xf numFmtId="165" fontId="28" fillId="0" borderId="71" xfId="42" applyNumberFormat="1" applyFont="1" applyFill="1" applyBorder="1" applyAlignment="1">
      <alignment horizontal="center"/>
    </xf>
    <xf numFmtId="165" fontId="28" fillId="0" borderId="82" xfId="42" applyNumberFormat="1" applyFont="1" applyFill="1" applyBorder="1" applyAlignment="1">
      <alignment horizontal="center"/>
    </xf>
    <xf numFmtId="165" fontId="32" fillId="19" borderId="76" xfId="42" applyNumberFormat="1" applyFont="1" applyFill="1" applyBorder="1" applyAlignment="1"/>
    <xf numFmtId="165" fontId="32" fillId="19" borderId="0" xfId="42" applyNumberFormat="1" applyFont="1" applyFill="1" applyBorder="1" applyAlignment="1"/>
    <xf numFmtId="165" fontId="32" fillId="19" borderId="71" xfId="42" applyNumberFormat="1" applyFont="1" applyFill="1" applyBorder="1" applyAlignment="1"/>
    <xf numFmtId="165" fontId="0" fillId="0" borderId="0" xfId="42" applyNumberFormat="1" applyFont="1"/>
    <xf numFmtId="0" fontId="60" fillId="13" borderId="0" xfId="42" applyFont="1" applyFill="1" applyBorder="1" applyAlignment="1">
      <alignment horizontal="center"/>
    </xf>
    <xf numFmtId="0" fontId="1" fillId="13" borderId="0" xfId="42" applyFont="1" applyFill="1" applyBorder="1" applyAlignment="1">
      <alignment horizontal="center"/>
    </xf>
    <xf numFmtId="166" fontId="28" fillId="33" borderId="0" xfId="398" applyNumberFormat="1" applyFont="1" applyFill="1" applyAlignment="1"/>
    <xf numFmtId="1" fontId="4" fillId="29" borderId="0" xfId="42" applyNumberFormat="1" applyFont="1" applyFill="1" applyBorder="1" applyAlignment="1" applyProtection="1">
      <alignment horizontal="center" vertical="center"/>
    </xf>
    <xf numFmtId="0" fontId="0" fillId="29" borderId="0" xfId="42" applyFont="1" applyFill="1" applyBorder="1" applyAlignment="1">
      <alignment horizontal="center"/>
    </xf>
    <xf numFmtId="0" fontId="28" fillId="29" borderId="79" xfId="42" applyFont="1" applyFill="1" applyBorder="1" applyAlignment="1">
      <alignment horizontal="center"/>
    </xf>
    <xf numFmtId="165" fontId="28" fillId="29" borderId="80" xfId="42" applyNumberFormat="1" applyFont="1" applyFill="1" applyBorder="1" applyAlignment="1"/>
    <xf numFmtId="0" fontId="0" fillId="29" borderId="80" xfId="42" applyFont="1" applyFill="1" applyBorder="1" applyAlignment="1">
      <alignment horizontal="center"/>
    </xf>
    <xf numFmtId="0" fontId="32" fillId="23" borderId="0" xfId="42" applyFont="1" applyFill="1" applyAlignment="1">
      <alignment horizontal="center"/>
    </xf>
    <xf numFmtId="165" fontId="28" fillId="0" borderId="76" xfId="42" applyNumberFormat="1" applyFont="1" applyFill="1" applyBorder="1"/>
    <xf numFmtId="167" fontId="28" fillId="0" borderId="0" xfId="42" applyNumberFormat="1" applyFont="1" applyBorder="1" applyAlignment="1"/>
    <xf numFmtId="0" fontId="55" fillId="0" borderId="0" xfId="42" applyFont="1" applyAlignment="1">
      <alignment horizontal="center"/>
    </xf>
    <xf numFmtId="0" fontId="55" fillId="0" borderId="0" xfId="42" applyFont="1" applyFill="1" applyAlignment="1">
      <alignment horizontal="center"/>
    </xf>
    <xf numFmtId="0" fontId="55" fillId="29" borderId="0" xfId="42" applyFont="1" applyFill="1" applyAlignment="1">
      <alignment horizontal="center"/>
    </xf>
    <xf numFmtId="0" fontId="55" fillId="20" borderId="76" xfId="42" applyFont="1" applyFill="1" applyBorder="1" applyAlignment="1">
      <alignment horizontal="center"/>
    </xf>
    <xf numFmtId="0" fontId="55" fillId="20" borderId="0" xfId="42" applyFont="1" applyFill="1" applyAlignment="1">
      <alignment horizontal="center"/>
    </xf>
    <xf numFmtId="0" fontId="55" fillId="20" borderId="0" xfId="42" applyFont="1" applyFill="1"/>
    <xf numFmtId="0" fontId="55" fillId="20" borderId="76" xfId="42" applyFont="1" applyFill="1" applyBorder="1"/>
    <xf numFmtId="2" fontId="55" fillId="31" borderId="0" xfId="42" applyNumberFormat="1" applyFont="1" applyFill="1" applyBorder="1" applyAlignment="1"/>
    <xf numFmtId="165" fontId="55" fillId="15" borderId="76" xfId="42" applyNumberFormat="1" applyFont="1" applyFill="1" applyBorder="1"/>
    <xf numFmtId="2" fontId="55" fillId="31" borderId="82" xfId="42" applyNumberFormat="1" applyFont="1" applyFill="1" applyBorder="1"/>
    <xf numFmtId="2" fontId="55" fillId="31" borderId="0" xfId="42" applyNumberFormat="1" applyFont="1" applyFill="1"/>
    <xf numFmtId="165" fontId="55" fillId="15" borderId="0" xfId="42" applyNumberFormat="1" applyFont="1" applyFill="1"/>
    <xf numFmtId="14" fontId="55" fillId="21" borderId="0" xfId="42" applyNumberFormat="1" applyFont="1" applyFill="1" applyBorder="1" applyAlignment="1"/>
    <xf numFmtId="0" fontId="55" fillId="21" borderId="82" xfId="42" applyFont="1" applyFill="1" applyBorder="1"/>
    <xf numFmtId="0" fontId="55" fillId="21" borderId="0" xfId="42" applyFont="1" applyFill="1"/>
    <xf numFmtId="165" fontId="55" fillId="16" borderId="76" xfId="42" applyNumberFormat="1" applyFont="1" applyFill="1" applyBorder="1" applyAlignment="1">
      <alignment horizontal="right"/>
    </xf>
    <xf numFmtId="165" fontId="55" fillId="16" borderId="0" xfId="42" applyNumberFormat="1" applyFont="1" applyFill="1" applyBorder="1" applyAlignment="1">
      <alignment horizontal="right"/>
    </xf>
    <xf numFmtId="165" fontId="55" fillId="20" borderId="77" xfId="42" applyNumberFormat="1" applyFont="1" applyFill="1" applyBorder="1" applyAlignment="1">
      <alignment horizontal="right"/>
    </xf>
    <xf numFmtId="165" fontId="49" fillId="20" borderId="71" xfId="42" applyNumberFormat="1" applyFont="1" applyFill="1" applyBorder="1" applyAlignment="1">
      <alignment horizontal="right"/>
    </xf>
    <xf numFmtId="0" fontId="55" fillId="21" borderId="0" xfId="42" applyFont="1" applyFill="1" applyAlignment="1">
      <alignment horizontal="center"/>
    </xf>
    <xf numFmtId="0" fontId="0" fillId="13" borderId="0" xfId="42" applyFont="1" applyFill="1" applyAlignment="1">
      <alignment horizontal="center"/>
    </xf>
    <xf numFmtId="0" fontId="28" fillId="13" borderId="19" xfId="42" applyFont="1" applyFill="1" applyBorder="1"/>
    <xf numFmtId="0" fontId="32" fillId="13" borderId="17" xfId="42" applyFont="1" applyFill="1" applyBorder="1" applyAlignment="1">
      <alignment vertical="center"/>
    </xf>
    <xf numFmtId="0" fontId="0" fillId="0" borderId="19" xfId="42" applyFont="1" applyBorder="1" applyAlignment="1">
      <alignment horizontal="center"/>
    </xf>
    <xf numFmtId="0" fontId="0" fillId="0" borderId="2" xfId="42" applyFont="1" applyBorder="1" applyAlignment="1">
      <alignment horizontal="center"/>
    </xf>
    <xf numFmtId="0" fontId="0" fillId="0" borderId="21" xfId="42" applyFont="1" applyBorder="1" applyAlignment="1">
      <alignment horizontal="center"/>
    </xf>
    <xf numFmtId="0" fontId="0" fillId="0" borderId="37" xfId="42" applyFont="1" applyBorder="1" applyAlignment="1">
      <alignment horizontal="center"/>
    </xf>
    <xf numFmtId="0" fontId="0" fillId="13" borderId="21" xfId="42" applyFont="1" applyFill="1" applyBorder="1" applyAlignment="1">
      <alignment horizontal="center"/>
    </xf>
    <xf numFmtId="0" fontId="0" fillId="0" borderId="36" xfId="42" applyFont="1" applyBorder="1" applyAlignment="1">
      <alignment horizontal="center"/>
    </xf>
    <xf numFmtId="0" fontId="0" fillId="13" borderId="30" xfId="42" applyFont="1" applyFill="1" applyBorder="1"/>
    <xf numFmtId="0" fontId="0" fillId="1" borderId="17" xfId="42" applyFont="1" applyFill="1" applyBorder="1"/>
    <xf numFmtId="0" fontId="0" fillId="1" borderId="20" xfId="42" applyFont="1" applyFill="1" applyBorder="1"/>
    <xf numFmtId="0" fontId="0" fillId="1" borderId="21" xfId="42" applyFont="1" applyFill="1" applyBorder="1"/>
    <xf numFmtId="0" fontId="0" fillId="1" borderId="30" xfId="42" applyFont="1" applyFill="1" applyBorder="1"/>
    <xf numFmtId="0" fontId="0" fillId="1" borderId="37" xfId="42" applyFont="1" applyFill="1" applyBorder="1"/>
    <xf numFmtId="0" fontId="0" fillId="33" borderId="0" xfId="42" applyFont="1" applyFill="1" applyBorder="1"/>
    <xf numFmtId="0" fontId="0" fillId="33" borderId="21" xfId="42" applyFont="1" applyFill="1" applyBorder="1"/>
    <xf numFmtId="0" fontId="32" fillId="13" borderId="20" xfId="42" applyFont="1" applyFill="1" applyBorder="1" applyAlignment="1">
      <alignment horizontal="center" vertical="center"/>
    </xf>
    <xf numFmtId="0" fontId="0" fillId="0" borderId="20" xfId="42" applyFont="1" applyBorder="1" applyAlignment="1">
      <alignment horizontal="center"/>
    </xf>
    <xf numFmtId="165" fontId="55" fillId="15" borderId="72" xfId="42" applyNumberFormat="1" applyFont="1" applyFill="1" applyBorder="1" applyAlignment="1">
      <alignment horizontal="right"/>
    </xf>
    <xf numFmtId="165" fontId="49" fillId="15" borderId="71" xfId="42" applyNumberFormat="1" applyFont="1" applyFill="1" applyBorder="1" applyAlignment="1">
      <alignment horizontal="right"/>
    </xf>
    <xf numFmtId="2" fontId="55" fillId="15" borderId="77" xfId="42" applyNumberFormat="1" applyFont="1" applyFill="1" applyBorder="1" applyAlignment="1">
      <alignment horizontal="right"/>
    </xf>
    <xf numFmtId="2" fontId="30" fillId="15" borderId="71" xfId="42" applyNumberFormat="1" applyFont="1" applyFill="1" applyBorder="1" applyAlignment="1">
      <alignment horizontal="right"/>
    </xf>
    <xf numFmtId="2" fontId="55" fillId="15" borderId="78" xfId="42" applyNumberFormat="1" applyFont="1" applyFill="1" applyBorder="1" applyAlignment="1">
      <alignment horizontal="right"/>
    </xf>
    <xf numFmtId="166" fontId="28" fillId="13" borderId="30" xfId="42" applyNumberFormat="1" applyFont="1" applyFill="1" applyBorder="1" applyAlignment="1"/>
    <xf numFmtId="166" fontId="28" fillId="13" borderId="30" xfId="398" applyNumberFormat="1" applyFont="1" applyFill="1" applyBorder="1" applyAlignment="1"/>
    <xf numFmtId="166" fontId="28" fillId="0" borderId="0" xfId="398" applyNumberFormat="1" applyFont="1" applyFill="1" applyBorder="1" applyAlignment="1"/>
    <xf numFmtId="0" fontId="79" fillId="16" borderId="0" xfId="42" applyFont="1" applyFill="1"/>
    <xf numFmtId="14" fontId="83" fillId="16" borderId="0" xfId="42" applyNumberFormat="1" applyFont="1" applyFill="1" applyBorder="1" applyAlignment="1"/>
    <xf numFmtId="2" fontId="32" fillId="11" borderId="41" xfId="42" applyNumberFormat="1" applyFont="1" applyFill="1" applyBorder="1" applyAlignment="1">
      <alignment horizontal="center"/>
    </xf>
    <xf numFmtId="0" fontId="3" fillId="0" borderId="30" xfId="42" applyFont="1" applyFill="1" applyBorder="1" applyAlignment="1">
      <alignment horizontal="center"/>
    </xf>
    <xf numFmtId="14" fontId="28" fillId="0" borderId="30" xfId="42" applyNumberFormat="1" applyFont="1" applyFill="1" applyBorder="1" applyAlignment="1"/>
    <xf numFmtId="165" fontId="28" fillId="0" borderId="30" xfId="42" applyNumberFormat="1" applyFont="1" applyFill="1" applyBorder="1" applyAlignment="1">
      <alignment horizontal="center"/>
    </xf>
    <xf numFmtId="165" fontId="28" fillId="0" borderId="30" xfId="42" applyNumberFormat="1" applyFont="1" applyFill="1" applyBorder="1" applyAlignment="1"/>
    <xf numFmtId="2" fontId="0" fillId="13" borderId="17" xfId="42" applyNumberFormat="1" applyFont="1" applyFill="1" applyBorder="1"/>
    <xf numFmtId="0" fontId="32" fillId="13" borderId="40" xfId="42" applyFont="1" applyFill="1" applyBorder="1" applyAlignment="1">
      <alignment vertical="center"/>
    </xf>
    <xf numFmtId="0" fontId="32" fillId="13" borderId="40" xfId="42" applyFont="1" applyFill="1" applyBorder="1" applyAlignment="1">
      <alignment horizontal="center" vertical="center"/>
    </xf>
    <xf numFmtId="0" fontId="0" fillId="0" borderId="30" xfId="42" applyFont="1" applyBorder="1" applyAlignment="1">
      <alignment horizontal="center"/>
    </xf>
    <xf numFmtId="165" fontId="0" fillId="0" borderId="30" xfId="42" applyNumberFormat="1" applyFont="1" applyBorder="1"/>
    <xf numFmtId="2" fontId="0" fillId="13" borderId="0" xfId="42" applyNumberFormat="1" applyFont="1" applyFill="1" applyBorder="1"/>
    <xf numFmtId="2" fontId="0" fillId="13" borderId="30" xfId="42" applyNumberFormat="1" applyFont="1" applyFill="1" applyBorder="1"/>
    <xf numFmtId="2" fontId="0" fillId="13" borderId="0" xfId="42" applyNumberFormat="1" applyFont="1" applyFill="1"/>
    <xf numFmtId="2" fontId="32" fillId="0" borderId="0" xfId="42" applyNumberFormat="1" applyFont="1" applyBorder="1"/>
    <xf numFmtId="2" fontId="32" fillId="0" borderId="0" xfId="42" applyNumberFormat="1" applyFont="1" applyBorder="1" applyAlignment="1">
      <alignment horizontal="right"/>
    </xf>
    <xf numFmtId="0" fontId="0" fillId="33" borderId="17" xfId="42" applyFont="1" applyFill="1" applyBorder="1"/>
    <xf numFmtId="0" fontId="0" fillId="33" borderId="30" xfId="42" applyFont="1" applyFill="1" applyBorder="1"/>
    <xf numFmtId="0" fontId="0" fillId="13" borderId="30" xfId="42" applyFont="1" applyFill="1" applyBorder="1" applyAlignment="1">
      <alignment horizontal="center"/>
    </xf>
    <xf numFmtId="165" fontId="0" fillId="0" borderId="30" xfId="42" applyNumberFormat="1" applyFont="1" applyBorder="1" applyAlignment="1">
      <alignment horizontal="right"/>
    </xf>
    <xf numFmtId="165" fontId="0" fillId="13" borderId="0" xfId="42" applyNumberFormat="1" applyFont="1" applyFill="1" applyBorder="1" applyAlignment="1">
      <alignment horizontal="right"/>
    </xf>
    <xf numFmtId="165" fontId="0" fillId="13" borderId="30" xfId="42" applyNumberFormat="1" applyFont="1" applyFill="1" applyBorder="1" applyAlignment="1">
      <alignment horizontal="right"/>
    </xf>
    <xf numFmtId="166" fontId="28" fillId="13" borderId="0" xfId="398" applyNumberFormat="1" applyFont="1" applyFill="1" applyBorder="1" applyAlignment="1">
      <alignment horizontal="right"/>
    </xf>
    <xf numFmtId="166" fontId="28" fillId="0" borderId="40" xfId="398" applyNumberFormat="1" applyFont="1" applyFill="1" applyBorder="1" applyAlignment="1"/>
    <xf numFmtId="166" fontId="28" fillId="13" borderId="76" xfId="398" applyNumberFormat="1" applyFont="1" applyFill="1" applyBorder="1" applyAlignment="1">
      <alignment horizontal="center"/>
    </xf>
    <xf numFmtId="165" fontId="28" fillId="0" borderId="71" xfId="42" applyNumberFormat="1" applyFont="1" applyBorder="1" applyAlignment="1">
      <alignment horizontal="right"/>
    </xf>
    <xf numFmtId="1" fontId="4" fillId="0" borderId="0" xfId="42" applyNumberFormat="1" applyFont="1" applyAlignment="1">
      <alignment horizontal="center" vertical="center"/>
    </xf>
    <xf numFmtId="0" fontId="28" fillId="0" borderId="0" xfId="42" applyFont="1" applyAlignment="1">
      <alignment horizontal="center" vertical="center"/>
    </xf>
    <xf numFmtId="166" fontId="28" fillId="13" borderId="0" xfId="398" applyNumberFormat="1" applyFont="1" applyFill="1" applyAlignment="1">
      <alignment vertical="center"/>
    </xf>
    <xf numFmtId="2" fontId="28" fillId="0" borderId="0" xfId="42" quotePrefix="1" applyNumberFormat="1" applyFont="1" applyBorder="1" applyAlignment="1">
      <alignment horizontal="center"/>
    </xf>
    <xf numFmtId="0" fontId="28" fillId="0" borderId="19" xfId="42" applyFont="1" applyBorder="1" applyAlignment="1">
      <alignment horizontal="center"/>
    </xf>
    <xf numFmtId="0" fontId="28" fillId="0" borderId="17" xfId="42" applyFont="1" applyBorder="1" applyAlignment="1"/>
    <xf numFmtId="2" fontId="28" fillId="0" borderId="17" xfId="42" quotePrefix="1" applyNumberFormat="1" applyFont="1" applyBorder="1" applyAlignment="1">
      <alignment horizontal="center"/>
    </xf>
    <xf numFmtId="0" fontId="28" fillId="0" borderId="2" xfId="42" applyFont="1" applyBorder="1" applyAlignment="1">
      <alignment horizontal="center"/>
    </xf>
    <xf numFmtId="0" fontId="28" fillId="0" borderId="36" xfId="42" applyFont="1" applyBorder="1" applyAlignment="1">
      <alignment horizontal="center"/>
    </xf>
    <xf numFmtId="0" fontId="28" fillId="0" borderId="30" xfId="42" applyFont="1" applyBorder="1" applyAlignment="1"/>
    <xf numFmtId="2" fontId="28" fillId="0" borderId="30" xfId="42" applyNumberFormat="1" applyFont="1" applyBorder="1" applyAlignment="1">
      <alignment horizontal="center"/>
    </xf>
    <xf numFmtId="0" fontId="3" fillId="13" borderId="0" xfId="42" applyFont="1" applyFill="1" applyAlignment="1">
      <alignment horizontal="center" vertical="center"/>
    </xf>
    <xf numFmtId="0" fontId="28" fillId="13" borderId="0" xfId="42" applyFont="1" applyFill="1" applyAlignment="1">
      <alignment vertical="center"/>
    </xf>
    <xf numFmtId="2" fontId="28" fillId="13" borderId="0" xfId="42" applyNumberFormat="1" applyFont="1" applyFill="1" applyAlignment="1">
      <alignment horizontal="center" vertical="center" wrapText="1"/>
    </xf>
    <xf numFmtId="165" fontId="28" fillId="13" borderId="0" xfId="42" applyNumberFormat="1" applyFont="1" applyFill="1" applyAlignment="1">
      <alignment vertical="center"/>
    </xf>
    <xf numFmtId="166" fontId="28" fillId="0" borderId="30" xfId="398" applyNumberFormat="1" applyFont="1" applyFill="1" applyBorder="1" applyAlignment="1"/>
    <xf numFmtId="0" fontId="4" fillId="11" borderId="114" xfId="42" applyFont="1" applyFill="1" applyBorder="1" applyAlignment="1">
      <alignment horizontal="center"/>
    </xf>
    <xf numFmtId="0" fontId="0" fillId="11" borderId="114" xfId="42" applyFont="1" applyFill="1" applyBorder="1" applyAlignment="1">
      <alignment horizontal="center"/>
    </xf>
    <xf numFmtId="0" fontId="0" fillId="11" borderId="115" xfId="42" applyFont="1" applyFill="1" applyBorder="1" applyAlignment="1">
      <alignment horizontal="center"/>
    </xf>
    <xf numFmtId="0" fontId="4" fillId="0" borderId="116" xfId="42" applyFont="1" applyFill="1" applyBorder="1"/>
    <xf numFmtId="165" fontId="3" fillId="0" borderId="117" xfId="42" applyNumberFormat="1" applyFont="1" applyFill="1" applyBorder="1" applyAlignment="1">
      <alignment horizontal="right"/>
    </xf>
    <xf numFmtId="0" fontId="4" fillId="11" borderId="117" xfId="42" applyFont="1" applyFill="1" applyBorder="1"/>
    <xf numFmtId="0" fontId="0" fillId="11" borderId="117" xfId="42" applyFont="1" applyFill="1" applyBorder="1"/>
    <xf numFmtId="14" fontId="3" fillId="0" borderId="118" xfId="42" applyNumberFormat="1" applyFont="1" applyFill="1" applyBorder="1" applyAlignment="1" applyProtection="1">
      <alignment horizontal="center" vertical="center"/>
    </xf>
    <xf numFmtId="1" fontId="32" fillId="21" borderId="89" xfId="42" applyNumberFormat="1" applyFont="1" applyFill="1" applyBorder="1" applyAlignment="1">
      <alignment horizontal="right"/>
    </xf>
    <xf numFmtId="0" fontId="3" fillId="0" borderId="119" xfId="42" applyFont="1" applyBorder="1" applyAlignment="1">
      <alignment horizontal="center"/>
    </xf>
    <xf numFmtId="1" fontId="32" fillId="13" borderId="92" xfId="42" applyNumberFormat="1" applyFont="1" applyFill="1" applyBorder="1" applyAlignment="1">
      <alignment horizontal="right"/>
    </xf>
    <xf numFmtId="0" fontId="3" fillId="0" borderId="120" xfId="42" applyFont="1" applyBorder="1" applyAlignment="1">
      <alignment horizontal="center"/>
    </xf>
    <xf numFmtId="0" fontId="28" fillId="0" borderId="0" xfId="42" applyFont="1" applyFill="1" applyBorder="1" applyAlignment="1">
      <alignment horizontal="left"/>
    </xf>
    <xf numFmtId="1" fontId="28" fillId="0" borderId="0" xfId="42" applyNumberFormat="1" applyFont="1" applyFill="1" applyBorder="1" applyAlignment="1"/>
    <xf numFmtId="1" fontId="32" fillId="0" borderId="0" xfId="42" applyNumberFormat="1" applyFont="1" applyFill="1" applyBorder="1" applyAlignment="1"/>
    <xf numFmtId="14" fontId="3" fillId="0" borderId="64" xfId="42" quotePrefix="1" applyNumberFormat="1" applyFont="1" applyFill="1" applyBorder="1" applyAlignment="1" applyProtection="1">
      <alignment horizontal="center" vertical="center"/>
    </xf>
    <xf numFmtId="14" fontId="3" fillId="0" borderId="67" xfId="42" quotePrefix="1" applyNumberFormat="1" applyFont="1" applyFill="1" applyBorder="1" applyAlignment="1" applyProtection="1">
      <alignment horizontal="center" vertical="center"/>
    </xf>
    <xf numFmtId="1" fontId="4" fillId="0" borderId="121" xfId="42" applyNumberFormat="1" applyFont="1" applyFill="1" applyBorder="1" applyAlignment="1" applyProtection="1">
      <alignment horizontal="center" vertical="center"/>
    </xf>
    <xf numFmtId="2" fontId="28" fillId="0" borderId="0" xfId="42" applyNumberFormat="1" applyFont="1" applyBorder="1" applyAlignment="1"/>
    <xf numFmtId="165" fontId="28" fillId="0" borderId="64" xfId="42" applyNumberFormat="1" applyFont="1" applyBorder="1" applyAlignment="1"/>
    <xf numFmtId="1" fontId="32" fillId="15" borderId="64" xfId="42" applyNumberFormat="1" applyFont="1" applyFill="1" applyBorder="1" applyAlignment="1">
      <alignment horizontal="center"/>
    </xf>
    <xf numFmtId="1" fontId="32" fillId="15" borderId="76" xfId="42" applyNumberFormat="1" applyFont="1" applyFill="1" applyBorder="1" applyAlignment="1">
      <alignment horizontal="center"/>
    </xf>
    <xf numFmtId="1" fontId="32" fillId="15" borderId="104" xfId="42" applyNumberFormat="1" applyFont="1" applyFill="1" applyBorder="1" applyAlignment="1">
      <alignment horizontal="center"/>
    </xf>
    <xf numFmtId="2" fontId="28" fillId="0" borderId="79" xfId="42" applyNumberFormat="1" applyFont="1" applyBorder="1" applyAlignment="1"/>
    <xf numFmtId="165" fontId="33" fillId="19" borderId="77" xfId="398" applyNumberFormat="1" applyFont="1" applyFill="1" applyBorder="1"/>
    <xf numFmtId="165" fontId="33" fillId="19" borderId="71" xfId="398" applyNumberFormat="1" applyFont="1" applyFill="1" applyBorder="1"/>
    <xf numFmtId="0" fontId="33" fillId="19" borderId="0" xfId="42" applyFont="1" applyFill="1" applyBorder="1" applyAlignment="1">
      <alignment horizontal="left"/>
    </xf>
    <xf numFmtId="165" fontId="33" fillId="19" borderId="76" xfId="42" applyNumberFormat="1" applyFont="1" applyFill="1" applyBorder="1" applyAlignment="1"/>
    <xf numFmtId="165" fontId="33" fillId="19" borderId="75" xfId="42" applyNumberFormat="1" applyFont="1" applyFill="1" applyBorder="1" applyAlignment="1">
      <alignment horizontal="right"/>
    </xf>
    <xf numFmtId="165" fontId="33" fillId="19" borderId="75" xfId="398" applyNumberFormat="1" applyFont="1" applyFill="1" applyBorder="1"/>
    <xf numFmtId="14" fontId="3" fillId="0" borderId="86" xfId="42" applyNumberFormat="1" applyFont="1" applyFill="1" applyBorder="1" applyAlignment="1" applyProtection="1">
      <alignment horizontal="center" vertical="center"/>
    </xf>
    <xf numFmtId="0" fontId="3" fillId="0" borderId="122" xfId="42" applyFont="1" applyBorder="1" applyAlignment="1">
      <alignment horizontal="center"/>
    </xf>
    <xf numFmtId="1" fontId="32" fillId="21" borderId="88" xfId="42" applyNumberFormat="1" applyFont="1" applyFill="1" applyBorder="1" applyAlignment="1">
      <alignment horizontal="center"/>
    </xf>
    <xf numFmtId="1" fontId="32" fillId="21" borderId="89" xfId="42" applyNumberFormat="1" applyFont="1" applyFill="1" applyBorder="1" applyAlignment="1">
      <alignment horizontal="center"/>
    </xf>
    <xf numFmtId="1" fontId="32" fillId="21" borderId="123" xfId="42" applyNumberFormat="1" applyFont="1" applyFill="1" applyBorder="1" applyAlignment="1">
      <alignment horizontal="center"/>
    </xf>
    <xf numFmtId="0" fontId="3" fillId="21" borderId="124" xfId="42" applyFont="1" applyFill="1" applyBorder="1" applyAlignment="1">
      <alignment horizontal="center"/>
    </xf>
    <xf numFmtId="0" fontId="33" fillId="21" borderId="124" xfId="42" applyFont="1" applyFill="1" applyBorder="1"/>
    <xf numFmtId="2" fontId="28" fillId="21" borderId="82" xfId="42" applyNumberFormat="1" applyFont="1" applyFill="1" applyBorder="1" applyAlignment="1"/>
    <xf numFmtId="2" fontId="28" fillId="21" borderId="0" xfId="42" applyNumberFormat="1" applyFont="1" applyFill="1" applyBorder="1" applyAlignment="1"/>
    <xf numFmtId="2" fontId="28" fillId="21" borderId="0" xfId="42" applyNumberFormat="1" applyFont="1" applyFill="1" applyBorder="1" applyAlignment="1">
      <alignment horizontal="right"/>
    </xf>
    <xf numFmtId="2" fontId="28" fillId="21" borderId="125" xfId="42" applyNumberFormat="1" applyFont="1" applyFill="1" applyBorder="1" applyAlignment="1"/>
    <xf numFmtId="2" fontId="28" fillId="21" borderId="126" xfId="42" applyNumberFormat="1" applyFont="1" applyFill="1" applyBorder="1" applyAlignment="1">
      <alignment horizontal="right"/>
    </xf>
    <xf numFmtId="1" fontId="32" fillId="13" borderId="40" xfId="42" applyNumberFormat="1" applyFont="1" applyFill="1" applyBorder="1" applyAlignment="1">
      <alignment horizontal="center"/>
    </xf>
    <xf numFmtId="165" fontId="28" fillId="0" borderId="72" xfId="42" applyNumberFormat="1" applyFont="1" applyBorder="1" applyAlignment="1"/>
    <xf numFmtId="2" fontId="28" fillId="0" borderId="89" xfId="42" applyNumberFormat="1" applyFont="1" applyBorder="1" applyAlignment="1"/>
    <xf numFmtId="2" fontId="32" fillId="20" borderId="76" xfId="42" applyNumberFormat="1" applyFont="1" applyFill="1" applyBorder="1" applyAlignment="1"/>
    <xf numFmtId="2" fontId="67" fillId="19" borderId="75" xfId="398" applyNumberFormat="1" applyFont="1" applyFill="1" applyBorder="1"/>
    <xf numFmtId="1" fontId="32" fillId="13" borderId="53" xfId="42" applyNumberFormat="1" applyFont="1" applyFill="1" applyBorder="1" applyAlignment="1">
      <alignment horizontal="center"/>
    </xf>
    <xf numFmtId="1" fontId="32" fillId="13" borderId="127" xfId="42" applyNumberFormat="1" applyFont="1" applyFill="1" applyBorder="1" applyAlignment="1">
      <alignment horizontal="center"/>
    </xf>
    <xf numFmtId="14" fontId="59" fillId="0" borderId="0" xfId="42" applyNumberFormat="1" applyFont="1" applyFill="1" applyBorder="1" applyAlignment="1" applyProtection="1">
      <alignment horizontal="center" vertical="center"/>
    </xf>
    <xf numFmtId="0" fontId="33" fillId="21" borderId="0" xfId="42" applyFont="1" applyFill="1" applyBorder="1" applyAlignment="1">
      <alignment horizontal="left"/>
    </xf>
    <xf numFmtId="2" fontId="33" fillId="21" borderId="0" xfId="42" applyNumberFormat="1" applyFont="1" applyFill="1" applyBorder="1" applyAlignment="1"/>
    <xf numFmtId="2" fontId="33" fillId="21" borderId="0" xfId="42" applyNumberFormat="1" applyFont="1" applyFill="1" applyBorder="1" applyAlignment="1">
      <alignment horizontal="right"/>
    </xf>
    <xf numFmtId="2" fontId="33" fillId="21" borderId="126" xfId="42" applyNumberFormat="1" applyFont="1" applyFill="1" applyBorder="1" applyAlignment="1">
      <alignment horizontal="right"/>
    </xf>
    <xf numFmtId="0" fontId="33" fillId="0" borderId="0" xfId="42" applyFont="1" applyAlignment="1"/>
    <xf numFmtId="0" fontId="33" fillId="0" borderId="0" xfId="42" applyFont="1" applyAlignment="1">
      <alignment horizontal="center"/>
    </xf>
    <xf numFmtId="0" fontId="67" fillId="0" borderId="0" xfId="42" applyFont="1"/>
    <xf numFmtId="0" fontId="59" fillId="0" borderId="122" xfId="42" applyFont="1" applyBorder="1" applyAlignment="1">
      <alignment horizontal="center"/>
    </xf>
    <xf numFmtId="0" fontId="59" fillId="21" borderId="124" xfId="42" applyFont="1" applyFill="1" applyBorder="1" applyAlignment="1">
      <alignment horizontal="center"/>
    </xf>
    <xf numFmtId="2" fontId="33" fillId="21" borderId="81" xfId="42" applyNumberFormat="1" applyFont="1" applyFill="1" applyBorder="1" applyAlignment="1"/>
    <xf numFmtId="2" fontId="33" fillId="21" borderId="82" xfId="42" applyNumberFormat="1" applyFont="1" applyFill="1" applyBorder="1" applyAlignment="1"/>
    <xf numFmtId="2" fontId="84" fillId="21" borderId="82" xfId="42" applyNumberFormat="1" applyFont="1" applyFill="1" applyBorder="1" applyAlignment="1"/>
    <xf numFmtId="2" fontId="33" fillId="21" borderId="125" xfId="42" applyNumberFormat="1" applyFont="1" applyFill="1" applyBorder="1" applyAlignment="1"/>
    <xf numFmtId="2" fontId="85" fillId="21" borderId="82" xfId="42" applyNumberFormat="1" applyFont="1" applyFill="1" applyBorder="1" applyAlignment="1"/>
    <xf numFmtId="2" fontId="67" fillId="21" borderId="125" xfId="42" applyNumberFormat="1" applyFont="1" applyFill="1" applyBorder="1" applyAlignment="1"/>
    <xf numFmtId="2" fontId="67" fillId="21" borderId="0" xfId="42" applyNumberFormat="1" applyFont="1" applyFill="1" applyBorder="1" applyAlignment="1"/>
    <xf numFmtId="2" fontId="67" fillId="21" borderId="126" xfId="42" applyNumberFormat="1" applyFont="1" applyFill="1" applyBorder="1" applyAlignment="1">
      <alignment horizontal="right"/>
    </xf>
    <xf numFmtId="0" fontId="59" fillId="0" borderId="77" xfId="42" quotePrefix="1" applyFont="1" applyBorder="1" applyAlignment="1">
      <alignment horizontal="center"/>
    </xf>
    <xf numFmtId="14" fontId="59" fillId="0" borderId="76" xfId="42" applyNumberFormat="1" applyFont="1" applyFill="1" applyBorder="1" applyAlignment="1" applyProtection="1">
      <alignment horizontal="center" vertical="center"/>
    </xf>
    <xf numFmtId="165" fontId="33" fillId="19" borderId="74" xfId="42" applyNumberFormat="1" applyFont="1" applyFill="1" applyBorder="1" applyAlignment="1">
      <alignment horizontal="right"/>
    </xf>
    <xf numFmtId="2" fontId="33" fillId="19" borderId="75" xfId="398" applyNumberFormat="1" applyFont="1" applyFill="1" applyBorder="1"/>
    <xf numFmtId="2" fontId="33" fillId="19" borderId="75" xfId="42" applyNumberFormat="1" applyFont="1" applyFill="1" applyBorder="1" applyAlignment="1">
      <alignment horizontal="right"/>
    </xf>
    <xf numFmtId="2" fontId="67" fillId="19" borderId="71" xfId="398" applyNumberFormat="1" applyFont="1" applyFill="1" applyBorder="1"/>
    <xf numFmtId="2" fontId="67" fillId="19" borderId="74" xfId="42" applyNumberFormat="1" applyFont="1" applyFill="1" applyBorder="1" applyAlignment="1">
      <alignment horizontal="right"/>
    </xf>
    <xf numFmtId="2" fontId="28" fillId="1" borderId="30" xfId="42" applyNumberFormat="1" applyFont="1" applyFill="1" applyBorder="1" applyAlignment="1"/>
    <xf numFmtId="2" fontId="28" fillId="1" borderId="0" xfId="42" applyNumberFormat="1" applyFont="1" applyFill="1" applyBorder="1" applyAlignment="1"/>
    <xf numFmtId="1" fontId="32" fillId="13" borderId="17" xfId="42" applyNumberFormat="1" applyFont="1" applyFill="1" applyBorder="1" applyAlignment="1">
      <alignment horizontal="center"/>
    </xf>
    <xf numFmtId="1" fontId="32" fillId="13" borderId="19" xfId="42" applyNumberFormat="1" applyFont="1" applyFill="1" applyBorder="1" applyAlignment="1">
      <alignment horizontal="center"/>
    </xf>
    <xf numFmtId="1" fontId="32" fillId="13" borderId="20" xfId="42" applyNumberFormat="1" applyFont="1" applyFill="1" applyBorder="1" applyAlignment="1">
      <alignment horizontal="center"/>
    </xf>
    <xf numFmtId="14" fontId="3" fillId="0" borderId="98" xfId="42" applyNumberFormat="1" applyFont="1" applyFill="1" applyBorder="1" applyAlignment="1" applyProtection="1">
      <alignment horizontal="center" vertical="center"/>
    </xf>
    <xf numFmtId="0" fontId="3" fillId="0" borderId="99" xfId="42" applyFont="1" applyBorder="1" applyAlignment="1">
      <alignment horizontal="center"/>
    </xf>
    <xf numFmtId="2" fontId="28" fillId="0" borderId="99" xfId="42" applyNumberFormat="1" applyFont="1" applyBorder="1" applyAlignment="1"/>
    <xf numFmtId="2" fontId="32" fillId="0" borderId="99" xfId="42" applyNumberFormat="1" applyFont="1" applyBorder="1" applyAlignment="1"/>
    <xf numFmtId="0" fontId="51" fillId="26" borderId="0" xfId="42" applyFont="1" applyFill="1" applyProtection="1"/>
    <xf numFmtId="0" fontId="86" fillId="26" borderId="0" xfId="42" applyFont="1" applyFill="1" applyProtection="1"/>
    <xf numFmtId="0" fontId="41" fillId="15" borderId="53" xfId="42" applyFont="1" applyFill="1" applyBorder="1" applyAlignment="1" applyProtection="1">
      <alignment horizontal="left"/>
    </xf>
    <xf numFmtId="0" fontId="51" fillId="15" borderId="40" xfId="42" applyFont="1" applyFill="1" applyBorder="1" applyProtection="1"/>
    <xf numFmtId="0" fontId="51" fillId="15" borderId="40" xfId="42" applyFont="1" applyFill="1" applyBorder="1"/>
    <xf numFmtId="0" fontId="51" fillId="15" borderId="127" xfId="42" applyFont="1" applyFill="1" applyBorder="1" applyProtection="1"/>
    <xf numFmtId="0" fontId="44" fillId="12" borderId="36" xfId="42" applyFont="1" applyFill="1" applyBorder="1" applyAlignment="1" applyProtection="1">
      <alignment horizontal="left"/>
    </xf>
    <xf numFmtId="0" fontId="51" fillId="12" borderId="30" xfId="42" applyFont="1" applyFill="1" applyBorder="1" applyProtection="1"/>
    <xf numFmtId="0" fontId="76" fillId="11" borderId="37" xfId="42" applyFont="1" applyFill="1" applyBorder="1" applyAlignment="1" applyProtection="1">
      <alignment horizontal="center"/>
    </xf>
    <xf numFmtId="0" fontId="44" fillId="12" borderId="19" xfId="42" applyFont="1" applyFill="1" applyBorder="1" applyAlignment="1" applyProtection="1">
      <alignment horizontal="left"/>
    </xf>
    <xf numFmtId="0" fontId="51" fillId="12" borderId="17" xfId="42" applyFont="1" applyFill="1" applyBorder="1" applyProtection="1"/>
    <xf numFmtId="14" fontId="76" fillId="11" borderId="20" xfId="42" applyNumberFormat="1" applyFont="1" applyFill="1" applyBorder="1" applyAlignment="1" applyProtection="1">
      <alignment horizontal="center"/>
    </xf>
    <xf numFmtId="0" fontId="76" fillId="11" borderId="109" xfId="42" applyFont="1" applyFill="1" applyBorder="1" applyAlignment="1">
      <alignment horizontal="center"/>
    </xf>
    <xf numFmtId="1" fontId="61" fillId="10" borderId="6" xfId="42" applyNumberFormat="1" applyFont="1" applyFill="1" applyBorder="1" applyAlignment="1">
      <alignment horizontal="right"/>
    </xf>
    <xf numFmtId="0" fontId="61" fillId="10" borderId="10" xfId="42" applyFont="1" applyFill="1" applyBorder="1" applyAlignment="1">
      <alignment horizontal="left"/>
    </xf>
    <xf numFmtId="0" fontId="61" fillId="10" borderId="6" xfId="42" applyFont="1" applyFill="1" applyBorder="1" applyAlignment="1">
      <alignment horizontal="center"/>
    </xf>
    <xf numFmtId="0" fontId="61" fillId="10" borderId="7" xfId="42" applyFont="1" applyFill="1" applyBorder="1" applyAlignment="1">
      <alignment horizontal="center"/>
    </xf>
    <xf numFmtId="0" fontId="61" fillId="10" borderId="8" xfId="42" applyFont="1" applyFill="1" applyBorder="1" applyAlignment="1">
      <alignment horizontal="center"/>
    </xf>
    <xf numFmtId="0" fontId="61" fillId="10" borderId="9" xfId="42" applyFont="1" applyFill="1" applyBorder="1"/>
    <xf numFmtId="0" fontId="3" fillId="0" borderId="0" xfId="42" applyFont="1" applyBorder="1"/>
    <xf numFmtId="0" fontId="33" fillId="21" borderId="124" xfId="42" applyFont="1" applyFill="1" applyBorder="1" applyAlignment="1">
      <alignment horizontal="center"/>
    </xf>
    <xf numFmtId="0" fontId="87" fillId="19" borderId="78" xfId="42" applyFont="1" applyFill="1" applyBorder="1" applyAlignment="1" applyProtection="1">
      <alignment horizontal="left"/>
    </xf>
    <xf numFmtId="0" fontId="88" fillId="19" borderId="72" xfId="42" applyFont="1" applyFill="1" applyBorder="1"/>
    <xf numFmtId="165" fontId="28" fillId="0" borderId="76" xfId="42" applyNumberFormat="1" applyFont="1" applyFill="1" applyBorder="1" applyAlignment="1">
      <alignment horizontal="right"/>
    </xf>
    <xf numFmtId="165" fontId="28" fillId="0" borderId="0" xfId="42" applyNumberFormat="1" applyFont="1" applyFill="1" applyBorder="1" applyAlignment="1">
      <alignment horizontal="right"/>
    </xf>
    <xf numFmtId="165" fontId="28" fillId="0" borderId="71" xfId="42" applyNumberFormat="1" applyFont="1" applyFill="1" applyBorder="1" applyAlignment="1">
      <alignment horizontal="right"/>
    </xf>
    <xf numFmtId="0" fontId="3" fillId="0" borderId="40" xfId="42" applyFont="1" applyBorder="1" applyAlignment="1">
      <alignment horizontal="center"/>
    </xf>
    <xf numFmtId="14" fontId="28" fillId="0" borderId="40" xfId="42" applyNumberFormat="1" applyFont="1" applyBorder="1" applyAlignment="1"/>
    <xf numFmtId="165" fontId="28" fillId="0" borderId="40" xfId="42" applyNumberFormat="1" applyFont="1" applyBorder="1" applyAlignment="1">
      <alignment horizontal="center"/>
    </xf>
    <xf numFmtId="166" fontId="28" fillId="0" borderId="40" xfId="398" applyNumberFormat="1" applyFont="1" applyBorder="1" applyAlignment="1"/>
    <xf numFmtId="165" fontId="28" fillId="13" borderId="0" xfId="398" applyNumberFormat="1" applyFont="1" applyFill="1" applyBorder="1" applyAlignment="1"/>
    <xf numFmtId="165" fontId="28" fillId="0" borderId="30" xfId="398" applyNumberFormat="1" applyFont="1" applyBorder="1" applyAlignment="1"/>
    <xf numFmtId="14" fontId="28" fillId="0" borderId="17" xfId="42" applyNumberFormat="1" applyFont="1" applyBorder="1" applyAlignment="1">
      <alignment horizontal="center"/>
    </xf>
    <xf numFmtId="14" fontId="28" fillId="13" borderId="0" xfId="42" applyNumberFormat="1" applyFont="1" applyFill="1" applyBorder="1" applyAlignment="1">
      <alignment horizontal="center"/>
    </xf>
    <xf numFmtId="14" fontId="28" fillId="0" borderId="30" xfId="42" applyNumberFormat="1" applyFont="1" applyBorder="1" applyAlignment="1">
      <alignment horizontal="center"/>
    </xf>
    <xf numFmtId="0" fontId="0" fillId="12" borderId="21" xfId="42" applyFont="1" applyFill="1" applyBorder="1"/>
    <xf numFmtId="0" fontId="0" fillId="12" borderId="2" xfId="42" applyFont="1" applyFill="1" applyBorder="1"/>
    <xf numFmtId="0" fontId="34" fillId="12" borderId="18" xfId="42" applyFont="1" applyFill="1" applyBorder="1" applyProtection="1"/>
    <xf numFmtId="0" fontId="36" fillId="12" borderId="0" xfId="42" applyFont="1" applyFill="1" applyBorder="1" applyProtection="1"/>
    <xf numFmtId="165" fontId="28" fillId="12" borderId="27" xfId="42" applyNumberFormat="1" applyFont="1" applyFill="1" applyBorder="1" applyAlignment="1" applyProtection="1">
      <alignment horizontal="right"/>
    </xf>
    <xf numFmtId="165" fontId="28" fillId="12" borderId="28" xfId="42" applyNumberFormat="1" applyFont="1" applyFill="1" applyBorder="1" applyAlignment="1" applyProtection="1">
      <alignment horizontal="right"/>
    </xf>
    <xf numFmtId="0" fontId="34" fillId="0" borderId="19" xfId="42" applyFont="1" applyBorder="1" applyProtection="1"/>
    <xf numFmtId="0" fontId="34" fillId="0" borderId="2" xfId="42" applyFont="1" applyBorder="1" applyProtection="1"/>
    <xf numFmtId="0" fontId="28" fillId="0" borderId="2" xfId="42" applyFont="1" applyBorder="1"/>
    <xf numFmtId="0" fontId="34" fillId="12" borderId="2" xfId="42" applyFont="1" applyFill="1" applyBorder="1" applyProtection="1"/>
    <xf numFmtId="0" fontId="34" fillId="0" borderId="36" xfId="42" applyFont="1" applyBorder="1" applyProtection="1"/>
    <xf numFmtId="1" fontId="40" fillId="0" borderId="8" xfId="42" applyNumberFormat="1" applyFont="1" applyBorder="1" applyAlignment="1" applyProtection="1">
      <alignment horizontal="center"/>
    </xf>
    <xf numFmtId="0" fontId="34" fillId="0" borderId="20" xfId="42" applyFont="1" applyBorder="1" applyProtection="1"/>
    <xf numFmtId="0" fontId="34" fillId="0" borderId="27" xfId="42" applyFont="1" applyBorder="1" applyProtection="1"/>
    <xf numFmtId="0" fontId="34" fillId="0" borderId="31" xfId="42" applyFont="1" applyBorder="1" applyProtection="1"/>
    <xf numFmtId="0" fontId="40" fillId="0" borderId="18" xfId="42" applyFont="1" applyFill="1" applyBorder="1" applyAlignment="1" applyProtection="1">
      <alignment horizontal="left"/>
    </xf>
    <xf numFmtId="0" fontId="40" fillId="0" borderId="128" xfId="42" applyFont="1" applyBorder="1" applyAlignment="1" applyProtection="1">
      <alignment horizontal="left"/>
    </xf>
    <xf numFmtId="0" fontId="43" fillId="0" borderId="129" xfId="42" applyFont="1" applyFill="1" applyBorder="1" applyAlignment="1" applyProtection="1">
      <alignment horizontal="left"/>
    </xf>
    <xf numFmtId="0" fontId="0" fillId="0" borderId="57" xfId="42" applyFont="1" applyBorder="1"/>
    <xf numFmtId="0" fontId="0" fillId="0" borderId="57" xfId="42" applyFont="1" applyFill="1" applyBorder="1"/>
    <xf numFmtId="0" fontId="0" fillId="0" borderId="130" xfId="42" applyFont="1" applyBorder="1"/>
    <xf numFmtId="167" fontId="28" fillId="0" borderId="30" xfId="42" applyNumberFormat="1" applyFont="1" applyBorder="1"/>
    <xf numFmtId="1" fontId="28" fillId="0" borderId="80" xfId="42" applyNumberFormat="1" applyFont="1" applyFill="1" applyBorder="1" applyAlignment="1"/>
    <xf numFmtId="1" fontId="28" fillId="0" borderId="92" xfId="42" applyNumberFormat="1" applyFont="1" applyFill="1" applyBorder="1" applyAlignment="1"/>
    <xf numFmtId="1" fontId="28" fillId="0" borderId="80" xfId="42" applyNumberFormat="1" applyFont="1" applyFill="1" applyBorder="1"/>
    <xf numFmtId="165" fontId="28" fillId="0" borderId="80" xfId="42" applyNumberFormat="1" applyFont="1" applyFill="1" applyBorder="1"/>
    <xf numFmtId="165" fontId="28" fillId="0" borderId="0" xfId="42" applyNumberFormat="1" applyFont="1" applyFill="1" applyBorder="1"/>
    <xf numFmtId="166" fontId="28" fillId="0" borderId="17" xfId="398" applyNumberFormat="1" applyFont="1" applyFill="1" applyBorder="1"/>
    <xf numFmtId="165" fontId="28" fillId="0" borderId="0" xfId="42" applyNumberFormat="1" applyFont="1"/>
    <xf numFmtId="2" fontId="32" fillId="0" borderId="0" xfId="42" applyNumberFormat="1" applyFont="1"/>
    <xf numFmtId="0" fontId="0" fillId="0" borderId="129" xfId="42" applyFont="1" applyBorder="1"/>
    <xf numFmtId="0" fontId="0" fillId="0" borderId="130" xfId="42" applyFont="1" applyFill="1" applyBorder="1"/>
    <xf numFmtId="0" fontId="1" fillId="12" borderId="19" xfId="42" applyFont="1" applyFill="1" applyBorder="1"/>
    <xf numFmtId="0" fontId="28" fillId="12" borderId="20" xfId="42" applyFont="1" applyFill="1" applyBorder="1"/>
    <xf numFmtId="0" fontId="92" fillId="12" borderId="2" xfId="42" applyFont="1" applyFill="1" applyBorder="1"/>
    <xf numFmtId="0" fontId="28" fillId="12" borderId="21" xfId="42" applyFont="1" applyFill="1" applyBorder="1"/>
    <xf numFmtId="0" fontId="91" fillId="12" borderId="2" xfId="42" applyFont="1" applyFill="1" applyBorder="1" applyProtection="1"/>
    <xf numFmtId="0" fontId="0" fillId="12" borderId="36" xfId="42" applyFont="1" applyFill="1" applyBorder="1"/>
    <xf numFmtId="0" fontId="28" fillId="12" borderId="37" xfId="42" applyFont="1" applyFill="1" applyBorder="1"/>
    <xf numFmtId="0" fontId="32" fillId="0" borderId="30" xfId="42" applyFont="1" applyFill="1" applyBorder="1" applyProtection="1"/>
    <xf numFmtId="0" fontId="40" fillId="0" borderId="30" xfId="42" applyFont="1" applyFill="1" applyBorder="1" applyProtection="1"/>
    <xf numFmtId="0" fontId="40" fillId="0" borderId="3" xfId="42" applyFont="1" applyFill="1" applyBorder="1" applyProtection="1"/>
    <xf numFmtId="0" fontId="1" fillId="0" borderId="25" xfId="42" applyFont="1" applyBorder="1"/>
    <xf numFmtId="0" fontId="92" fillId="0" borderId="27" xfId="42" applyFont="1" applyBorder="1"/>
    <xf numFmtId="0" fontId="92" fillId="0" borderId="31" xfId="42" applyFont="1" applyBorder="1"/>
    <xf numFmtId="165" fontId="34" fillId="0" borderId="49" xfId="42" applyNumberFormat="1" applyFont="1" applyBorder="1" applyProtection="1"/>
    <xf numFmtId="165" fontId="34" fillId="0" borderId="50" xfId="42" applyNumberFormat="1" applyFont="1" applyBorder="1" applyProtection="1"/>
    <xf numFmtId="0" fontId="40" fillId="0" borderId="37" xfId="42" applyFont="1" applyFill="1" applyBorder="1" applyProtection="1"/>
    <xf numFmtId="0" fontId="50" fillId="0" borderId="37" xfId="42" applyFont="1" applyFill="1" applyBorder="1" applyProtection="1"/>
    <xf numFmtId="0" fontId="50" fillId="0" borderId="52" xfId="42" applyFont="1" applyFill="1" applyBorder="1" applyProtection="1"/>
    <xf numFmtId="0" fontId="40" fillId="0" borderId="6" xfId="42" applyFont="1" applyFill="1" applyBorder="1" applyProtection="1"/>
    <xf numFmtId="165" fontId="40" fillId="0" borderId="8" xfId="42" applyNumberFormat="1" applyFont="1" applyFill="1" applyBorder="1" applyProtection="1"/>
    <xf numFmtId="165" fontId="40" fillId="0" borderId="46" xfId="42" applyNumberFormat="1" applyFont="1" applyFill="1" applyBorder="1" applyProtection="1"/>
    <xf numFmtId="165" fontId="40" fillId="0" borderId="38" xfId="42" applyNumberFormat="1" applyFont="1" applyFill="1" applyBorder="1" applyProtection="1"/>
    <xf numFmtId="0" fontId="40" fillId="0" borderId="42" xfId="42" applyFont="1" applyFill="1" applyBorder="1" applyAlignment="1" applyProtection="1">
      <alignment horizontal="center"/>
    </xf>
    <xf numFmtId="165" fontId="40" fillId="0" borderId="42" xfId="42" applyNumberFormat="1" applyFont="1" applyFill="1" applyBorder="1" applyProtection="1"/>
    <xf numFmtId="167" fontId="0" fillId="13" borderId="0" xfId="42" applyNumberFormat="1" applyFont="1" applyFill="1"/>
    <xf numFmtId="165" fontId="0" fillId="13" borderId="0" xfId="42" applyNumberFormat="1" applyFont="1" applyFill="1"/>
    <xf numFmtId="0" fontId="30" fillId="0" borderId="0" xfId="42" applyFont="1" applyBorder="1" applyAlignment="1" applyProtection="1">
      <alignment horizontal="center"/>
    </xf>
    <xf numFmtId="0" fontId="34" fillId="0" borderId="0" xfId="42" applyFont="1" applyBorder="1" applyAlignment="1" applyProtection="1">
      <alignment horizontal="center"/>
    </xf>
    <xf numFmtId="3" fontId="40" fillId="0" borderId="20" xfId="42" applyNumberFormat="1" applyFont="1" applyFill="1" applyBorder="1" applyAlignment="1" applyProtection="1">
      <alignment horizontal="center"/>
    </xf>
    <xf numFmtId="0" fontId="34" fillId="0" borderId="3" xfId="42" applyFont="1" applyFill="1" applyBorder="1" applyAlignment="1" applyProtection="1">
      <alignment horizontal="center"/>
    </xf>
    <xf numFmtId="0" fontId="40" fillId="0" borderId="129" xfId="42" applyFont="1" applyFill="1" applyBorder="1" applyProtection="1"/>
    <xf numFmtId="0" fontId="34" fillId="0" borderId="57" xfId="42" applyFont="1" applyFill="1" applyBorder="1" applyAlignment="1" applyProtection="1">
      <alignment horizontal="center"/>
    </xf>
    <xf numFmtId="165" fontId="34" fillId="0" borderId="57" xfId="42" applyNumberFormat="1" applyFont="1" applyFill="1" applyBorder="1" applyAlignment="1" applyProtection="1">
      <alignment horizontal="right"/>
    </xf>
    <xf numFmtId="0" fontId="40" fillId="0" borderId="129" xfId="42" applyFont="1" applyBorder="1" applyProtection="1"/>
    <xf numFmtId="0" fontId="34" fillId="0" borderId="57" xfId="42" applyFont="1" applyBorder="1" applyProtection="1"/>
    <xf numFmtId="0" fontId="39" fillId="0" borderId="57" xfId="42" applyFont="1" applyBorder="1" applyAlignment="1" applyProtection="1">
      <alignment horizontal="center"/>
    </xf>
    <xf numFmtId="1" fontId="40" fillId="0" borderId="57" xfId="42" applyNumberFormat="1" applyFont="1" applyBorder="1" applyAlignment="1" applyProtection="1">
      <alignment horizontal="center"/>
    </xf>
    <xf numFmtId="0" fontId="28" fillId="13" borderId="0" xfId="42" applyFont="1" applyFill="1" applyBorder="1" applyAlignment="1"/>
    <xf numFmtId="0" fontId="1" fillId="12" borderId="2" xfId="42" applyFont="1" applyFill="1" applyBorder="1"/>
    <xf numFmtId="0" fontId="92" fillId="12" borderId="21" xfId="42" applyFont="1" applyFill="1" applyBorder="1"/>
    <xf numFmtId="0" fontId="92" fillId="12" borderId="36" xfId="42" applyFont="1" applyFill="1" applyBorder="1"/>
    <xf numFmtId="0" fontId="34" fillId="0" borderId="21" xfId="42" quotePrefix="1" applyFont="1" applyBorder="1" applyAlignment="1" applyProtection="1">
      <alignment horizontal="left"/>
    </xf>
    <xf numFmtId="0" fontId="34" fillId="0" borderId="20" xfId="42" quotePrefix="1" applyFont="1" applyBorder="1" applyAlignment="1" applyProtection="1">
      <alignment horizontal="left"/>
    </xf>
    <xf numFmtId="0" fontId="50" fillId="0" borderId="37" xfId="42" applyFont="1" applyBorder="1" applyProtection="1"/>
    <xf numFmtId="0" fontId="34" fillId="0" borderId="21" xfId="42" applyFont="1" applyBorder="1" applyAlignment="1" applyProtection="1">
      <alignment horizontal="left"/>
    </xf>
    <xf numFmtId="0" fontId="43" fillId="0" borderId="21" xfId="42" applyFont="1" applyBorder="1" applyAlignment="1" applyProtection="1">
      <alignment horizontal="left"/>
    </xf>
    <xf numFmtId="0" fontId="50" fillId="0" borderId="52" xfId="42" applyFont="1" applyBorder="1" applyProtection="1"/>
    <xf numFmtId="0" fontId="38" fillId="0" borderId="41" xfId="42" applyFont="1" applyBorder="1" applyAlignment="1" applyProtection="1">
      <alignment horizontal="center" wrapText="1"/>
    </xf>
    <xf numFmtId="165" fontId="40" fillId="0" borderId="21" xfId="42" quotePrefix="1" applyNumberFormat="1" applyFont="1" applyBorder="1" applyAlignment="1" applyProtection="1">
      <alignment horizontal="center"/>
    </xf>
    <xf numFmtId="165" fontId="40" fillId="0" borderId="46" xfId="42" quotePrefix="1" applyNumberFormat="1" applyFont="1" applyBorder="1" applyAlignment="1" applyProtection="1">
      <alignment horizontal="center"/>
    </xf>
    <xf numFmtId="0" fontId="38" fillId="0" borderId="127" xfId="42" applyFont="1" applyBorder="1" applyAlignment="1" applyProtection="1">
      <alignment horizontal="center" wrapText="1"/>
    </xf>
    <xf numFmtId="0" fontId="38" fillId="0" borderId="43" xfId="42" applyFont="1" applyBorder="1" applyAlignment="1" applyProtection="1">
      <alignment horizontal="center" wrapText="1"/>
    </xf>
    <xf numFmtId="0" fontId="38" fillId="0" borderId="41" xfId="42" quotePrefix="1" applyFont="1" applyBorder="1" applyAlignment="1" applyProtection="1">
      <alignment horizontal="center"/>
    </xf>
    <xf numFmtId="0" fontId="38" fillId="0" borderId="43" xfId="42" quotePrefix="1" applyFont="1" applyBorder="1" applyAlignment="1" applyProtection="1">
      <alignment horizontal="center"/>
    </xf>
    <xf numFmtId="0" fontId="38" fillId="0" borderId="0" xfId="42" quotePrefix="1" applyFont="1" applyBorder="1" applyAlignment="1" applyProtection="1">
      <alignment horizontal="center"/>
    </xf>
    <xf numFmtId="0" fontId="38" fillId="0" borderId="0" xfId="42" applyFont="1" applyBorder="1" applyAlignment="1" applyProtection="1">
      <alignment horizontal="center"/>
    </xf>
    <xf numFmtId="0" fontId="38" fillId="0" borderId="2" xfId="42" applyFont="1" applyBorder="1" applyAlignment="1" applyProtection="1">
      <alignment horizontal="center"/>
    </xf>
    <xf numFmtId="0" fontId="38" fillId="0" borderId="21" xfId="42" quotePrefix="1" applyFont="1" applyBorder="1" applyAlignment="1" applyProtection="1">
      <alignment horizontal="center"/>
    </xf>
    <xf numFmtId="0" fontId="40" fillId="0" borderId="0" xfId="42" applyFont="1" applyBorder="1" applyAlignment="1" applyProtection="1">
      <alignment horizontal="right"/>
    </xf>
    <xf numFmtId="165" fontId="40" fillId="0" borderId="21" xfId="42" applyNumberFormat="1" applyFont="1" applyBorder="1" applyAlignment="1" applyProtection="1">
      <alignment horizontal="right"/>
    </xf>
    <xf numFmtId="0" fontId="34" fillId="0" borderId="17" xfId="42" applyFont="1" applyBorder="1" applyAlignment="1" applyProtection="1">
      <alignment horizontal="right"/>
    </xf>
    <xf numFmtId="0" fontId="34" fillId="0" borderId="19" xfId="42" applyFont="1" applyBorder="1" applyAlignment="1" applyProtection="1">
      <alignment horizontal="right"/>
    </xf>
    <xf numFmtId="0" fontId="43" fillId="0" borderId="20" xfId="42" applyFont="1" applyBorder="1" applyAlignment="1" applyProtection="1">
      <alignment horizontal="right"/>
    </xf>
    <xf numFmtId="0" fontId="34" fillId="0" borderId="20" xfId="42" applyFont="1" applyBorder="1" applyAlignment="1" applyProtection="1">
      <alignment horizontal="right"/>
    </xf>
    <xf numFmtId="0" fontId="34" fillId="0" borderId="30" xfId="42" applyFont="1" applyBorder="1" applyAlignment="1" applyProtection="1">
      <alignment horizontal="right"/>
    </xf>
    <xf numFmtId="165" fontId="34" fillId="0" borderId="36" xfId="42" applyNumberFormat="1" applyFont="1" applyBorder="1" applyAlignment="1" applyProtection="1">
      <alignment horizontal="right"/>
    </xf>
    <xf numFmtId="165" fontId="34" fillId="0" borderId="37" xfId="42" applyNumberFormat="1" applyFont="1" applyBorder="1" applyAlignment="1" applyProtection="1">
      <alignment horizontal="right"/>
    </xf>
    <xf numFmtId="165" fontId="34" fillId="0" borderId="30" xfId="42" applyNumberFormat="1" applyFont="1" applyBorder="1" applyAlignment="1" applyProtection="1">
      <alignment horizontal="right"/>
    </xf>
    <xf numFmtId="165" fontId="34" fillId="0" borderId="20" xfId="42" applyNumberFormat="1" applyFont="1" applyBorder="1" applyAlignment="1" applyProtection="1">
      <alignment horizontal="right"/>
    </xf>
    <xf numFmtId="0" fontId="38" fillId="0" borderId="27" xfId="42" quotePrefix="1" applyFont="1" applyBorder="1" applyAlignment="1" applyProtection="1">
      <alignment horizontal="center"/>
    </xf>
    <xf numFmtId="0" fontId="38" fillId="0" borderId="46" xfId="42" quotePrefix="1" applyFont="1" applyBorder="1" applyAlignment="1" applyProtection="1">
      <alignment horizontal="center"/>
    </xf>
    <xf numFmtId="0" fontId="43" fillId="0" borderId="45" xfId="42" applyFont="1" applyBorder="1" applyAlignment="1" applyProtection="1">
      <alignment horizontal="right"/>
    </xf>
    <xf numFmtId="0" fontId="34" fillId="0" borderId="29" xfId="42" applyFont="1" applyBorder="1" applyAlignment="1" applyProtection="1">
      <alignment horizontal="left"/>
    </xf>
    <xf numFmtId="165" fontId="34" fillId="0" borderId="47" xfId="42" applyNumberFormat="1" applyFont="1" applyBorder="1" applyAlignment="1" applyProtection="1">
      <alignment horizontal="right"/>
    </xf>
    <xf numFmtId="165" fontId="40" fillId="0" borderId="46" xfId="42" applyNumberFormat="1" applyFont="1" applyBorder="1" applyAlignment="1" applyProtection="1">
      <alignment horizontal="right"/>
    </xf>
    <xf numFmtId="165" fontId="34" fillId="0" borderId="45" xfId="42" applyNumberFormat="1" applyFont="1" applyBorder="1" applyAlignment="1" applyProtection="1">
      <alignment horizontal="right"/>
    </xf>
    <xf numFmtId="0" fontId="40" fillId="0" borderId="48" xfId="42" applyFont="1" applyBorder="1" applyAlignment="1" applyProtection="1">
      <alignment horizontal="right"/>
    </xf>
    <xf numFmtId="165" fontId="40" fillId="0" borderId="48" xfId="42" applyNumberFormat="1" applyFont="1" applyBorder="1" applyAlignment="1" applyProtection="1">
      <alignment horizontal="right"/>
    </xf>
    <xf numFmtId="165" fontId="40" fillId="0" borderId="131" xfId="42" applyNumberFormat="1" applyFont="1" applyBorder="1" applyAlignment="1" applyProtection="1">
      <alignment horizontal="right"/>
    </xf>
    <xf numFmtId="165" fontId="40" fillId="0" borderId="132" xfId="42" applyNumberFormat="1" applyFont="1" applyBorder="1" applyAlignment="1" applyProtection="1">
      <alignment horizontal="right"/>
    </xf>
    <xf numFmtId="165" fontId="40" fillId="0" borderId="133" xfId="42" applyNumberFormat="1" applyFont="1" applyBorder="1" applyAlignment="1" applyProtection="1">
      <alignment horizontal="right"/>
    </xf>
    <xf numFmtId="166" fontId="0" fillId="0" borderId="27" xfId="398" applyNumberFormat="1" applyFont="1" applyBorder="1" applyAlignment="1">
      <alignment horizontal="center"/>
    </xf>
    <xf numFmtId="166" fontId="0" fillId="0" borderId="31" xfId="398" applyNumberFormat="1" applyFont="1" applyBorder="1" applyAlignment="1">
      <alignment horizontal="center"/>
    </xf>
    <xf numFmtId="0" fontId="0" fillId="0" borderId="25" xfId="42" applyFont="1" applyBorder="1" applyAlignment="1">
      <alignment horizontal="center"/>
    </xf>
    <xf numFmtId="0" fontId="0" fillId="0" borderId="49" xfId="42" applyFont="1" applyBorder="1" applyAlignment="1">
      <alignment horizontal="center"/>
    </xf>
    <xf numFmtId="0" fontId="40" fillId="0" borderId="24" xfId="42" applyFont="1" applyBorder="1" applyAlignment="1" applyProtection="1">
      <alignment horizontal="left"/>
    </xf>
    <xf numFmtId="0" fontId="28" fillId="19" borderId="0" xfId="42" applyFont="1" applyFill="1" applyBorder="1"/>
    <xf numFmtId="0" fontId="34" fillId="0" borderId="46" xfId="42" applyFont="1" applyBorder="1" applyProtection="1"/>
    <xf numFmtId="0" fontId="40" fillId="0" borderId="3" xfId="42" quotePrefix="1" applyFont="1" applyBorder="1" applyAlignment="1" applyProtection="1">
      <alignment horizontal="left"/>
    </xf>
    <xf numFmtId="165" fontId="32" fillId="21" borderId="80" xfId="42" applyNumberFormat="1" applyFont="1" applyFill="1" applyBorder="1" applyAlignment="1"/>
    <xf numFmtId="0" fontId="93" fillId="0" borderId="0" xfId="42" applyFont="1"/>
    <xf numFmtId="0" fontId="93" fillId="0" borderId="0" xfId="42" applyFont="1" applyAlignment="1"/>
    <xf numFmtId="0" fontId="94" fillId="0" borderId="0" xfId="42" applyFont="1" applyAlignment="1">
      <alignment horizontal="center"/>
    </xf>
    <xf numFmtId="0" fontId="93" fillId="11" borderId="0" xfId="42" applyFont="1" applyFill="1"/>
    <xf numFmtId="0" fontId="93" fillId="31" borderId="0" xfId="42" applyFont="1" applyFill="1"/>
    <xf numFmtId="0" fontId="93" fillId="15" borderId="78" xfId="42" applyFont="1" applyFill="1" applyBorder="1"/>
    <xf numFmtId="0" fontId="93" fillId="20" borderId="78" xfId="42" applyFont="1" applyFill="1" applyBorder="1" applyAlignment="1">
      <alignment horizontal="center"/>
    </xf>
    <xf numFmtId="0" fontId="93" fillId="21" borderId="88" xfId="42" applyFont="1" applyFill="1" applyBorder="1"/>
    <xf numFmtId="0" fontId="93" fillId="13" borderId="53" xfId="42" applyFont="1" applyFill="1" applyBorder="1"/>
    <xf numFmtId="0" fontId="94" fillId="0" borderId="0" xfId="42" applyFont="1"/>
    <xf numFmtId="0" fontId="94" fillId="0" borderId="0" xfId="42" applyFont="1" applyAlignment="1"/>
    <xf numFmtId="0" fontId="93" fillId="0" borderId="0" xfId="42" quotePrefix="1" applyFont="1" applyAlignment="1"/>
    <xf numFmtId="0" fontId="93" fillId="0" borderId="0" xfId="42" applyFont="1" applyAlignment="1">
      <alignment wrapText="1"/>
    </xf>
    <xf numFmtId="0" fontId="93" fillId="13" borderId="7" xfId="42" applyFont="1" applyFill="1" applyBorder="1"/>
    <xf numFmtId="0" fontId="93" fillId="13" borderId="6" xfId="42" applyFont="1" applyFill="1" applyBorder="1"/>
    <xf numFmtId="0" fontId="93" fillId="13" borderId="6" xfId="42" applyFont="1" applyFill="1" applyBorder="1" applyAlignment="1"/>
    <xf numFmtId="0" fontId="93" fillId="13" borderId="8" xfId="42" applyFont="1" applyFill="1" applyBorder="1"/>
    <xf numFmtId="0" fontId="93" fillId="13" borderId="18" xfId="42" applyFont="1" applyFill="1" applyBorder="1"/>
    <xf numFmtId="0" fontId="93" fillId="11" borderId="0" xfId="42" applyFont="1" applyFill="1" applyBorder="1" applyAlignment="1"/>
    <xf numFmtId="0" fontId="93" fillId="11" borderId="0" xfId="42" applyFont="1" applyFill="1" applyAlignment="1"/>
    <xf numFmtId="0" fontId="93" fillId="11" borderId="0" xfId="42" applyFont="1" applyFill="1" applyBorder="1"/>
    <xf numFmtId="0" fontId="93" fillId="13" borderId="46" xfId="42" applyFont="1" applyFill="1" applyBorder="1"/>
    <xf numFmtId="0" fontId="93" fillId="13" borderId="0" xfId="42" applyFont="1" applyFill="1" applyBorder="1"/>
    <xf numFmtId="0" fontId="93" fillId="13" borderId="0" xfId="42" applyFont="1" applyFill="1" applyBorder="1" applyAlignment="1"/>
    <xf numFmtId="0" fontId="93" fillId="13" borderId="0" xfId="42" applyFont="1" applyFill="1"/>
    <xf numFmtId="0" fontId="93" fillId="13" borderId="0" xfId="42" applyFont="1" applyFill="1" applyAlignment="1"/>
    <xf numFmtId="0" fontId="93" fillId="13" borderId="33" xfId="42" applyFont="1" applyFill="1" applyBorder="1"/>
    <xf numFmtId="0" fontId="99" fillId="13" borderId="3" xfId="42" applyFont="1" applyFill="1" applyBorder="1"/>
    <xf numFmtId="0" fontId="93" fillId="13" borderId="3" xfId="42" applyFont="1" applyFill="1" applyBorder="1" applyAlignment="1"/>
    <xf numFmtId="0" fontId="93" fillId="13" borderId="3" xfId="42" applyFont="1" applyFill="1" applyBorder="1"/>
    <xf numFmtId="0" fontId="93" fillId="13" borderId="59" xfId="42" applyFont="1" applyFill="1" applyBorder="1"/>
    <xf numFmtId="0" fontId="93" fillId="15" borderId="72" xfId="42" applyFont="1" applyFill="1" applyBorder="1"/>
    <xf numFmtId="0" fontId="93" fillId="0" borderId="0" xfId="42" applyFont="1" applyBorder="1" applyAlignment="1"/>
    <xf numFmtId="0" fontId="93" fillId="21" borderId="89" xfId="42" applyFont="1" applyFill="1" applyBorder="1"/>
    <xf numFmtId="0" fontId="93" fillId="13" borderId="40" xfId="42" applyFont="1" applyFill="1" applyBorder="1"/>
    <xf numFmtId="0" fontId="99" fillId="0" borderId="0" xfId="42" applyFont="1" applyAlignment="1"/>
    <xf numFmtId="0" fontId="97" fillId="0" borderId="0" xfId="42" applyFont="1" applyAlignment="1"/>
    <xf numFmtId="0" fontId="95" fillId="0" borderId="0" xfId="42" applyFont="1"/>
    <xf numFmtId="0" fontId="99" fillId="0" borderId="0" xfId="42" applyFont="1"/>
    <xf numFmtId="0" fontId="93" fillId="0" borderId="0" xfId="42" quotePrefix="1" applyFont="1"/>
    <xf numFmtId="0" fontId="93" fillId="0" borderId="0" xfId="42" applyFont="1" applyAlignment="1">
      <alignment horizontal="center"/>
    </xf>
    <xf numFmtId="0" fontId="101" fillId="0" borderId="0" xfId="42" applyFont="1"/>
    <xf numFmtId="0" fontId="102" fillId="16" borderId="0" xfId="42" applyFont="1" applyFill="1"/>
    <xf numFmtId="0" fontId="102" fillId="16" borderId="0" xfId="42" applyFont="1" applyFill="1" applyAlignment="1"/>
    <xf numFmtId="0" fontId="103" fillId="16" borderId="0" xfId="42" applyFont="1" applyFill="1"/>
    <xf numFmtId="0" fontId="104" fillId="16" borderId="0" xfId="42" applyFont="1" applyFill="1"/>
    <xf numFmtId="0" fontId="79" fillId="16" borderId="0" xfId="42" applyFont="1" applyFill="1" applyAlignment="1"/>
    <xf numFmtId="0" fontId="102" fillId="16" borderId="0" xfId="42" applyFont="1" applyFill="1" applyAlignment="1">
      <alignment vertical="center"/>
    </xf>
    <xf numFmtId="0" fontId="93" fillId="0" borderId="0" xfId="42" applyFont="1" applyAlignment="1">
      <alignment vertical="center"/>
    </xf>
    <xf numFmtId="0" fontId="3" fillId="0" borderId="17" xfId="42" applyFont="1" applyBorder="1" applyAlignment="1">
      <alignment horizontal="right" vertical="center"/>
    </xf>
    <xf numFmtId="14" fontId="28" fillId="0" borderId="17" xfId="42" applyNumberFormat="1" applyFont="1" applyFill="1" applyBorder="1" applyAlignment="1">
      <alignment vertical="center"/>
    </xf>
    <xf numFmtId="0" fontId="28" fillId="0" borderId="17" xfId="42" applyFont="1" applyBorder="1" applyAlignment="1">
      <alignment horizontal="center" vertical="center" wrapText="1"/>
    </xf>
    <xf numFmtId="165" fontId="28" fillId="0" borderId="17" xfId="42" applyNumberFormat="1" applyFont="1" applyBorder="1" applyAlignment="1">
      <alignment vertical="center"/>
    </xf>
    <xf numFmtId="0" fontId="66" fillId="16" borderId="0" xfId="42" applyFont="1" applyFill="1" applyAlignment="1">
      <alignment vertical="center"/>
    </xf>
    <xf numFmtId="0" fontId="96" fillId="19" borderId="53" xfId="42" applyFont="1" applyFill="1" applyBorder="1"/>
    <xf numFmtId="0" fontId="93" fillId="19" borderId="40" xfId="42" applyFont="1" applyFill="1" applyBorder="1" applyAlignment="1"/>
    <xf numFmtId="0" fontId="93" fillId="19" borderId="40" xfId="42" applyFont="1" applyFill="1" applyBorder="1"/>
    <xf numFmtId="0" fontId="93" fillId="19" borderId="127" xfId="42" applyFont="1" applyFill="1" applyBorder="1"/>
    <xf numFmtId="0" fontId="94" fillId="15" borderId="53" xfId="42" applyFont="1" applyFill="1" applyBorder="1"/>
    <xf numFmtId="0" fontId="93" fillId="15" borderId="40" xfId="42" applyFont="1" applyFill="1" applyBorder="1"/>
    <xf numFmtId="0" fontId="93" fillId="15" borderId="40" xfId="42" applyFont="1" applyFill="1" applyBorder="1" applyAlignment="1"/>
    <xf numFmtId="0" fontId="93" fillId="15" borderId="127" xfId="42" applyFont="1" applyFill="1" applyBorder="1"/>
    <xf numFmtId="2" fontId="32" fillId="31" borderId="72" xfId="42" applyNumberFormat="1" applyFont="1" applyFill="1" applyBorder="1" applyAlignment="1" applyProtection="1">
      <protection locked="0"/>
    </xf>
    <xf numFmtId="0" fontId="59" fillId="0" borderId="0" xfId="42" applyFont="1" applyBorder="1" applyAlignment="1">
      <alignment horizontal="center"/>
    </xf>
    <xf numFmtId="1" fontId="33" fillId="19" borderId="0" xfId="42" applyNumberFormat="1" applyFont="1" applyFill="1" applyBorder="1" applyAlignment="1">
      <alignment horizontal="center"/>
    </xf>
    <xf numFmtId="0" fontId="58" fillId="0" borderId="68" xfId="42" applyFont="1" applyBorder="1" applyAlignment="1">
      <alignment horizontal="center"/>
    </xf>
    <xf numFmtId="14" fontId="3" fillId="0" borderId="122" xfId="42" applyNumberFormat="1" applyFont="1" applyFill="1" applyBorder="1" applyAlignment="1" applyProtection="1">
      <alignment horizontal="center" vertical="center"/>
    </xf>
    <xf numFmtId="0" fontId="3" fillId="0" borderId="124" xfId="42" applyFont="1" applyBorder="1" applyAlignment="1">
      <alignment horizontal="center"/>
    </xf>
    <xf numFmtId="0" fontId="28" fillId="0" borderId="124" xfId="42" applyFont="1" applyBorder="1"/>
    <xf numFmtId="165" fontId="28" fillId="0" borderId="124" xfId="42" applyNumberFormat="1" applyFont="1" applyBorder="1" applyAlignment="1">
      <alignment horizontal="center"/>
    </xf>
    <xf numFmtId="0" fontId="3" fillId="0" borderId="87" xfId="42" applyFont="1" applyBorder="1" applyAlignment="1">
      <alignment horizontal="center"/>
    </xf>
    <xf numFmtId="0" fontId="28" fillId="0" borderId="87" xfId="42" applyFont="1" applyBorder="1"/>
    <xf numFmtId="165" fontId="28" fillId="0" borderId="87" xfId="42" applyNumberFormat="1" applyFont="1" applyBorder="1" applyAlignment="1">
      <alignment horizontal="center"/>
    </xf>
    <xf numFmtId="167" fontId="0" fillId="12" borderId="0" xfId="42" applyNumberFormat="1" applyFont="1" applyFill="1" applyBorder="1" applyProtection="1"/>
    <xf numFmtId="1" fontId="28" fillId="1" borderId="76" xfId="42" applyNumberFormat="1" applyFont="1" applyFill="1" applyBorder="1" applyAlignment="1"/>
    <xf numFmtId="165" fontId="33" fillId="27" borderId="0" xfId="42" applyNumberFormat="1" applyFont="1" applyFill="1" applyBorder="1" applyAlignment="1"/>
    <xf numFmtId="1" fontId="28" fillId="1" borderId="0" xfId="42" applyNumberFormat="1" applyFont="1" applyFill="1" applyBorder="1" applyAlignment="1"/>
    <xf numFmtId="165" fontId="33" fillId="27" borderId="71" xfId="42" applyNumberFormat="1" applyFont="1" applyFill="1" applyBorder="1" applyAlignment="1"/>
    <xf numFmtId="1" fontId="28" fillId="1" borderId="87" xfId="42" applyNumberFormat="1" applyFont="1" applyFill="1" applyBorder="1" applyAlignment="1"/>
    <xf numFmtId="2" fontId="28" fillId="1" borderId="87" xfId="42" applyNumberFormat="1" applyFont="1" applyFill="1" applyBorder="1" applyAlignment="1"/>
    <xf numFmtId="1" fontId="28" fillId="1" borderId="124" xfId="42" applyNumberFormat="1" applyFont="1" applyFill="1" applyBorder="1" applyAlignment="1"/>
    <xf numFmtId="2" fontId="28" fillId="1" borderId="124" xfId="42" applyNumberFormat="1" applyFont="1" applyFill="1" applyBorder="1" applyAlignment="1"/>
    <xf numFmtId="9" fontId="32" fillId="0" borderId="0" xfId="398" applyFont="1" applyAlignment="1"/>
    <xf numFmtId="2" fontId="55" fillId="0" borderId="0" xfId="42" applyNumberFormat="1" applyFont="1" applyAlignment="1"/>
    <xf numFmtId="2" fontId="55" fillId="0" borderId="0" xfId="42" applyNumberFormat="1" applyFont="1" applyBorder="1"/>
    <xf numFmtId="2" fontId="32" fillId="29" borderId="64" xfId="42" applyNumberFormat="1" applyFont="1" applyFill="1" applyBorder="1" applyAlignment="1"/>
    <xf numFmtId="1" fontId="32" fillId="0" borderId="0" xfId="398" applyNumberFormat="1" applyFont="1" applyAlignment="1"/>
    <xf numFmtId="14" fontId="28" fillId="0" borderId="91" xfId="42" applyNumberFormat="1" applyFont="1" applyFill="1" applyBorder="1" applyAlignment="1" applyProtection="1">
      <alignment horizontal="center" vertical="center"/>
    </xf>
    <xf numFmtId="14" fontId="28" fillId="0" borderId="95" xfId="42" applyNumberFormat="1" applyFont="1" applyFill="1" applyBorder="1" applyAlignment="1" applyProtection="1">
      <alignment horizontal="center" vertical="center"/>
    </xf>
    <xf numFmtId="14" fontId="28" fillId="0" borderId="93" xfId="42" applyNumberFormat="1" applyFont="1" applyFill="1" applyBorder="1" applyAlignment="1" applyProtection="1">
      <alignment horizontal="center" vertical="center"/>
    </xf>
    <xf numFmtId="0" fontId="32" fillId="13" borderId="99" xfId="42" applyFont="1" applyFill="1" applyBorder="1" applyAlignment="1">
      <alignment horizontal="center"/>
    </xf>
    <xf numFmtId="166" fontId="28" fillId="0" borderId="92" xfId="398" applyNumberFormat="1" applyFont="1" applyFill="1" applyBorder="1" applyAlignment="1"/>
    <xf numFmtId="166" fontId="28" fillId="0" borderId="4" xfId="398" applyNumberFormat="1" applyFont="1" applyFill="1" applyBorder="1" applyAlignment="1"/>
    <xf numFmtId="166" fontId="28" fillId="13" borderId="0" xfId="398" applyNumberFormat="1" applyFont="1" applyFill="1" applyBorder="1"/>
    <xf numFmtId="0" fontId="28" fillId="0" borderId="92" xfId="42" applyFont="1" applyBorder="1"/>
    <xf numFmtId="0" fontId="28" fillId="0" borderId="92" xfId="42" applyFont="1" applyBorder="1" applyAlignment="1">
      <alignment horizontal="center"/>
    </xf>
    <xf numFmtId="166" fontId="28" fillId="0" borderId="92" xfId="398" applyNumberFormat="1" applyFont="1" applyFill="1" applyBorder="1"/>
    <xf numFmtId="0" fontId="28" fillId="0" borderId="4" xfId="42" applyFont="1" applyBorder="1" applyAlignment="1">
      <alignment horizontal="center"/>
    </xf>
    <xf numFmtId="166" fontId="28" fillId="0" borderId="4" xfId="398" applyNumberFormat="1" applyFont="1" applyBorder="1"/>
    <xf numFmtId="0" fontId="3" fillId="13" borderId="98" xfId="42" applyFont="1" applyFill="1" applyBorder="1" applyAlignment="1">
      <alignment horizontal="center"/>
    </xf>
    <xf numFmtId="0" fontId="32" fillId="13" borderId="99" xfId="42" applyFont="1" applyFill="1" applyBorder="1"/>
    <xf numFmtId="0" fontId="28" fillId="13" borderId="99" xfId="42" applyFont="1" applyFill="1" applyBorder="1" applyAlignment="1">
      <alignment horizontal="center"/>
    </xf>
    <xf numFmtId="165" fontId="28" fillId="0" borderId="92" xfId="42" applyNumberFormat="1" applyFont="1" applyBorder="1" applyAlignment="1"/>
    <xf numFmtId="0" fontId="3" fillId="0" borderId="4" xfId="42" applyFont="1" applyFill="1" applyBorder="1" applyAlignment="1">
      <alignment horizontal="center"/>
    </xf>
    <xf numFmtId="165" fontId="28" fillId="0" borderId="4" xfId="42" applyNumberFormat="1" applyFont="1" applyFill="1" applyBorder="1" applyAlignment="1"/>
    <xf numFmtId="165" fontId="28" fillId="0" borderId="4" xfId="42" applyNumberFormat="1" applyFont="1" applyFill="1" applyBorder="1" applyAlignment="1">
      <alignment horizontal="center"/>
    </xf>
    <xf numFmtId="166" fontId="28" fillId="0" borderId="92" xfId="398" applyNumberFormat="1" applyFont="1" applyBorder="1" applyAlignment="1"/>
    <xf numFmtId="166" fontId="28" fillId="0" borderId="0" xfId="42" applyNumberFormat="1" applyFont="1" applyBorder="1" applyAlignment="1"/>
    <xf numFmtId="166" fontId="28" fillId="13" borderId="0" xfId="42" applyNumberFormat="1" applyFont="1" applyFill="1" applyBorder="1" applyAlignment="1"/>
    <xf numFmtId="166" fontId="28" fillId="0" borderId="4" xfId="42" applyNumberFormat="1" applyFont="1" applyFill="1" applyBorder="1" applyAlignment="1"/>
    <xf numFmtId="166" fontId="32" fillId="0" borderId="0" xfId="42" applyNumberFormat="1" applyFont="1" applyAlignment="1"/>
    <xf numFmtId="165" fontId="40" fillId="0" borderId="66" xfId="42" applyNumberFormat="1" applyFont="1" applyFill="1" applyBorder="1" applyProtection="1"/>
    <xf numFmtId="165" fontId="40" fillId="0" borderId="59" xfId="42" applyNumberFormat="1" applyFont="1" applyFill="1" applyBorder="1" applyProtection="1"/>
    <xf numFmtId="165" fontId="55" fillId="19" borderId="0" xfId="42" applyNumberFormat="1" applyFont="1" applyFill="1" applyBorder="1" applyAlignment="1">
      <alignment horizontal="right"/>
    </xf>
    <xf numFmtId="165" fontId="55" fillId="29" borderId="71" xfId="42" applyNumberFormat="1" applyFont="1" applyFill="1" applyBorder="1" applyAlignment="1"/>
    <xf numFmtId="165" fontId="55" fillId="29" borderId="71" xfId="42" applyNumberFormat="1" applyFont="1" applyFill="1" applyBorder="1" applyAlignment="1">
      <alignment horizontal="center"/>
    </xf>
    <xf numFmtId="0" fontId="4" fillId="0" borderId="0" xfId="42" applyFont="1" applyFill="1" applyAlignment="1">
      <alignment horizontal="center" vertical="center"/>
    </xf>
    <xf numFmtId="0" fontId="58" fillId="0" borderId="0" xfId="42" applyFont="1" applyFill="1" applyAlignment="1">
      <alignment horizontal="center"/>
    </xf>
    <xf numFmtId="167" fontId="34" fillId="0" borderId="0" xfId="42" applyNumberFormat="1" applyFont="1" applyBorder="1" applyProtection="1"/>
    <xf numFmtId="165" fontId="0" fillId="0" borderId="17" xfId="42" applyNumberFormat="1" applyFont="1" applyBorder="1"/>
    <xf numFmtId="0" fontId="32" fillId="0" borderId="0" xfId="42" applyFont="1" applyFill="1" applyAlignment="1">
      <alignment horizontal="center"/>
    </xf>
    <xf numFmtId="167" fontId="32" fillId="0" borderId="0" xfId="42" applyNumberFormat="1" applyFont="1" applyAlignment="1"/>
    <xf numFmtId="0" fontId="33" fillId="19" borderId="0" xfId="42" applyFont="1" applyFill="1" applyBorder="1" applyAlignment="1">
      <alignment horizontal="center"/>
    </xf>
    <xf numFmtId="166" fontId="33" fillId="19" borderId="0" xfId="398" applyNumberFormat="1" applyFont="1" applyFill="1" applyBorder="1"/>
    <xf numFmtId="0" fontId="59" fillId="15" borderId="71" xfId="42" applyFont="1" applyFill="1" applyBorder="1" applyAlignment="1">
      <alignment horizontal="center"/>
    </xf>
    <xf numFmtId="0" fontId="59" fillId="15" borderId="0" xfId="42" applyFont="1" applyFill="1" applyBorder="1" applyAlignment="1">
      <alignment horizontal="center"/>
    </xf>
    <xf numFmtId="0" fontId="59" fillId="15" borderId="0" xfId="42" applyFont="1" applyFill="1" applyBorder="1"/>
    <xf numFmtId="1" fontId="59" fillId="15" borderId="0" xfId="42" applyNumberFormat="1" applyFont="1" applyFill="1" applyBorder="1" applyAlignment="1">
      <alignment horizontal="center"/>
    </xf>
    <xf numFmtId="1" fontId="59" fillId="15" borderId="0" xfId="42" applyNumberFormat="1" applyFont="1" applyFill="1" applyBorder="1" applyAlignment="1"/>
    <xf numFmtId="0" fontId="59" fillId="15" borderId="71" xfId="42" applyFont="1" applyFill="1" applyBorder="1"/>
    <xf numFmtId="166" fontId="59" fillId="15" borderId="71" xfId="398" applyNumberFormat="1" applyFont="1" applyFill="1" applyBorder="1" applyAlignment="1"/>
    <xf numFmtId="2" fontId="55" fillId="0" borderId="0" xfId="42" applyNumberFormat="1" applyFont="1"/>
    <xf numFmtId="0" fontId="55" fillId="0" borderId="0" xfId="42" applyFont="1" applyFill="1"/>
    <xf numFmtId="2" fontId="28" fillId="0" borderId="92" xfId="398" applyNumberFormat="1" applyFont="1" applyFill="1" applyBorder="1" applyAlignment="1"/>
    <xf numFmtId="2" fontId="28" fillId="13" borderId="0" xfId="398" applyNumberFormat="1" applyFont="1" applyFill="1" applyBorder="1" applyAlignment="1"/>
    <xf numFmtId="2" fontId="28" fillId="13" borderId="4" xfId="398" applyNumberFormat="1" applyFont="1" applyFill="1" applyBorder="1" applyAlignment="1"/>
    <xf numFmtId="2" fontId="28" fillId="0" borderId="0" xfId="398" applyNumberFormat="1" applyFont="1" applyFill="1" applyBorder="1" applyAlignment="1"/>
    <xf numFmtId="0" fontId="3" fillId="13" borderId="4" xfId="42" applyFont="1" applyFill="1" applyBorder="1" applyAlignment="1">
      <alignment horizontal="center"/>
    </xf>
    <xf numFmtId="0" fontId="28" fillId="13" borderId="4" xfId="42" applyFont="1" applyFill="1" applyBorder="1"/>
    <xf numFmtId="1" fontId="28" fillId="13" borderId="4" xfId="42" applyNumberFormat="1" applyFont="1" applyFill="1" applyBorder="1" applyAlignment="1">
      <alignment horizontal="center"/>
    </xf>
    <xf numFmtId="1" fontId="28" fillId="13" borderId="4" xfId="42" applyNumberFormat="1" applyFont="1" applyFill="1" applyBorder="1" applyAlignment="1"/>
    <xf numFmtId="165" fontId="28" fillId="0" borderId="0" xfId="42" applyNumberFormat="1" applyFont="1" applyBorder="1"/>
    <xf numFmtId="0" fontId="3" fillId="0" borderId="19" xfId="42" applyFont="1" applyBorder="1" applyAlignment="1">
      <alignment horizontal="center"/>
    </xf>
    <xf numFmtId="0" fontId="28" fillId="0" borderId="17" xfId="42" applyFont="1" applyBorder="1" applyAlignment="1">
      <alignment horizontal="center"/>
    </xf>
    <xf numFmtId="165" fontId="28" fillId="0" borderId="17" xfId="42" applyNumberFormat="1" applyFont="1" applyBorder="1"/>
    <xf numFmtId="0" fontId="58" fillId="0" borderId="0" xfId="42" applyFont="1" applyBorder="1" applyAlignment="1">
      <alignment horizontal="center"/>
    </xf>
    <xf numFmtId="0" fontId="59" fillId="0" borderId="2" xfId="42" applyFont="1" applyBorder="1" applyAlignment="1">
      <alignment horizontal="center"/>
    </xf>
    <xf numFmtId="0" fontId="33" fillId="0" borderId="0" xfId="42" applyFont="1" applyBorder="1"/>
    <xf numFmtId="0" fontId="59" fillId="0" borderId="36" xfId="42" applyFont="1" applyBorder="1" applyAlignment="1">
      <alignment horizontal="center"/>
    </xf>
    <xf numFmtId="0" fontId="28" fillId="0" borderId="0" xfId="42" applyFont="1" applyAlignment="1">
      <alignment horizontal="right" vertical="top"/>
    </xf>
    <xf numFmtId="0" fontId="4" fillId="34" borderId="19" xfId="42" applyFont="1" applyFill="1" applyBorder="1" applyAlignment="1">
      <alignment horizontal="center"/>
    </xf>
    <xf numFmtId="0" fontId="32" fillId="34" borderId="17" xfId="42" applyFont="1" applyFill="1" applyBorder="1"/>
    <xf numFmtId="0" fontId="32" fillId="34" borderId="17" xfId="42" applyFont="1" applyFill="1" applyBorder="1" applyAlignment="1">
      <alignment horizontal="center"/>
    </xf>
    <xf numFmtId="1" fontId="32" fillId="34" borderId="17" xfId="42" applyNumberFormat="1" applyFont="1" applyFill="1" applyBorder="1" applyAlignment="1"/>
    <xf numFmtId="0" fontId="4" fillId="34" borderId="17" xfId="42" applyFont="1" applyFill="1" applyBorder="1" applyAlignment="1">
      <alignment horizontal="right"/>
    </xf>
    <xf numFmtId="0" fontId="59" fillId="34" borderId="0" xfId="42" applyFont="1" applyFill="1" applyBorder="1" applyAlignment="1">
      <alignment horizontal="center"/>
    </xf>
    <xf numFmtId="0" fontId="33" fillId="34" borderId="0" xfId="42" applyFont="1" applyFill="1" applyBorder="1"/>
    <xf numFmtId="0" fontId="33" fillId="34" borderId="0" xfId="42" applyFont="1" applyFill="1" applyBorder="1" applyAlignment="1">
      <alignment horizontal="center"/>
    </xf>
    <xf numFmtId="166" fontId="33" fillId="34" borderId="0" xfId="398" applyNumberFormat="1" applyFont="1" applyFill="1" applyBorder="1"/>
    <xf numFmtId="0" fontId="59" fillId="34" borderId="30" xfId="42" applyFont="1" applyFill="1" applyBorder="1" applyAlignment="1">
      <alignment horizontal="center"/>
    </xf>
    <xf numFmtId="0" fontId="33" fillId="34" borderId="30" xfId="42" applyFont="1" applyFill="1" applyBorder="1"/>
    <xf numFmtId="0" fontId="33" fillId="34" borderId="30" xfId="42" applyFont="1" applyFill="1" applyBorder="1" applyAlignment="1">
      <alignment horizontal="center"/>
    </xf>
    <xf numFmtId="166" fontId="33" fillId="34" borderId="30" xfId="398" applyNumberFormat="1" applyFont="1" applyFill="1" applyBorder="1"/>
    <xf numFmtId="0" fontId="3" fillId="34" borderId="0" xfId="42" applyFont="1" applyFill="1" applyBorder="1" applyAlignment="1">
      <alignment horizontal="center"/>
    </xf>
    <xf numFmtId="0" fontId="28" fillId="34" borderId="0" xfId="42" applyFont="1" applyFill="1" applyBorder="1"/>
    <xf numFmtId="0" fontId="28" fillId="34" borderId="0" xfId="42" applyFont="1" applyFill="1" applyBorder="1" applyAlignment="1">
      <alignment horizontal="center"/>
    </xf>
    <xf numFmtId="166" fontId="28" fillId="34" borderId="0" xfId="42" applyNumberFormat="1" applyFont="1" applyFill="1" applyBorder="1"/>
    <xf numFmtId="1" fontId="68" fillId="0" borderId="0" xfId="42" applyNumberFormat="1" applyFont="1" applyFill="1" applyBorder="1" applyAlignment="1" applyProtection="1">
      <alignment horizontal="center" vertical="center"/>
    </xf>
    <xf numFmtId="0" fontId="4" fillId="19" borderId="14" xfId="42" applyFont="1" applyFill="1" applyBorder="1" applyAlignment="1">
      <alignment horizontal="center"/>
    </xf>
    <xf numFmtId="166" fontId="32" fillId="0" borderId="0" xfId="398" applyNumberFormat="1" applyFont="1"/>
    <xf numFmtId="167" fontId="0" fillId="0" borderId="0" xfId="42" applyNumberFormat="1" applyFont="1" applyBorder="1"/>
    <xf numFmtId="2" fontId="4" fillId="0" borderId="0" xfId="42" applyNumberFormat="1" applyFont="1" applyFill="1" applyBorder="1" applyAlignment="1" applyProtection="1">
      <alignment horizontal="center" vertical="center"/>
    </xf>
    <xf numFmtId="2" fontId="3" fillId="0" borderId="0" xfId="42" applyNumberFormat="1" applyFont="1" applyBorder="1" applyAlignment="1">
      <alignment horizontal="center"/>
    </xf>
    <xf numFmtId="2" fontId="59" fillId="0" borderId="0" xfId="42" applyNumberFormat="1" applyFont="1" applyBorder="1" applyAlignment="1"/>
    <xf numFmtId="2" fontId="3" fillId="0" borderId="0" xfId="42" applyNumberFormat="1" applyFont="1" applyAlignment="1"/>
    <xf numFmtId="2" fontId="3" fillId="0" borderId="67" xfId="42" applyNumberFormat="1" applyFont="1" applyFill="1" applyBorder="1" applyAlignment="1" applyProtection="1">
      <alignment horizontal="center" vertical="center"/>
    </xf>
    <xf numFmtId="2" fontId="32" fillId="21" borderId="80" xfId="42" applyNumberFormat="1" applyFont="1" applyFill="1" applyBorder="1" applyAlignment="1"/>
    <xf numFmtId="0" fontId="60" fillId="0" borderId="17" xfId="42" applyFont="1" applyBorder="1" applyAlignment="1">
      <alignment horizontal="center"/>
    </xf>
    <xf numFmtId="0" fontId="60" fillId="0" borderId="30" xfId="42" applyFont="1" applyBorder="1" applyAlignment="1">
      <alignment horizontal="center"/>
    </xf>
    <xf numFmtId="0" fontId="60" fillId="13" borderId="30" xfId="42" applyFont="1" applyFill="1" applyBorder="1" applyAlignment="1">
      <alignment horizontal="center"/>
    </xf>
    <xf numFmtId="0" fontId="60" fillId="13" borderId="0" xfId="42" applyFont="1" applyFill="1" applyAlignment="1">
      <alignment horizontal="center"/>
    </xf>
    <xf numFmtId="166" fontId="0" fillId="0" borderId="17" xfId="398" applyNumberFormat="1" applyFont="1" applyBorder="1"/>
    <xf numFmtId="166" fontId="0" fillId="0" borderId="0" xfId="398" applyNumberFormat="1" applyFont="1" applyBorder="1" applyAlignment="1">
      <alignment horizontal="right"/>
    </xf>
    <xf numFmtId="166" fontId="0" fillId="0" borderId="30" xfId="398" applyNumberFormat="1" applyFont="1" applyBorder="1" applyAlignment="1">
      <alignment horizontal="right"/>
    </xf>
    <xf numFmtId="166" fontId="0" fillId="13" borderId="0" xfId="398" applyNumberFormat="1" applyFont="1" applyFill="1" applyBorder="1" applyAlignment="1">
      <alignment horizontal="right"/>
    </xf>
    <xf numFmtId="166" fontId="32" fillId="13" borderId="0" xfId="398" applyNumberFormat="1" applyFont="1" applyFill="1" applyBorder="1" applyAlignment="1">
      <alignment horizontal="right"/>
    </xf>
    <xf numFmtId="0" fontId="59" fillId="0" borderId="0" xfId="42" applyFont="1" applyFill="1" applyAlignment="1"/>
    <xf numFmtId="0" fontId="59" fillId="19" borderId="0" xfId="42" applyFont="1" applyFill="1" applyBorder="1" applyAlignment="1">
      <alignment horizontal="left"/>
    </xf>
    <xf numFmtId="165" fontId="59" fillId="19" borderId="0" xfId="42" applyNumberFormat="1" applyFont="1" applyFill="1" applyBorder="1" applyAlignment="1">
      <alignment horizontal="center"/>
    </xf>
    <xf numFmtId="0" fontId="59" fillId="19" borderId="0" xfId="42" applyFont="1" applyFill="1" applyBorder="1" applyAlignment="1"/>
    <xf numFmtId="0" fontId="59" fillId="0" borderId="0" xfId="42" applyFont="1" applyFill="1" applyBorder="1" applyAlignment="1"/>
    <xf numFmtId="0" fontId="29" fillId="16" borderId="0" xfId="42" applyFont="1" applyFill="1" applyAlignment="1">
      <alignment horizontal="center" vertical="center"/>
    </xf>
    <xf numFmtId="165" fontId="28" fillId="20" borderId="0" xfId="42" applyNumberFormat="1" applyFont="1" applyFill="1" applyBorder="1"/>
    <xf numFmtId="0" fontId="106" fillId="26" borderId="0" xfId="42" applyFont="1" applyFill="1" applyProtection="1"/>
    <xf numFmtId="0" fontId="61" fillId="26" borderId="0" xfId="42" applyFont="1" applyFill="1" applyProtection="1"/>
    <xf numFmtId="0" fontId="32" fillId="0" borderId="0" xfId="42" applyNumberFormat="1" applyFont="1" applyFill="1" applyBorder="1" applyProtection="1"/>
    <xf numFmtId="165" fontId="28" fillId="0" borderId="27" xfId="42" applyNumberFormat="1" applyFont="1" applyFill="1" applyBorder="1" applyAlignment="1" applyProtection="1">
      <alignment horizontal="right"/>
    </xf>
    <xf numFmtId="165" fontId="28" fillId="0" borderId="28" xfId="42" applyNumberFormat="1" applyFont="1" applyFill="1" applyBorder="1" applyAlignment="1" applyProtection="1">
      <alignment horizontal="right"/>
    </xf>
    <xf numFmtId="165" fontId="3" fillId="0" borderId="0" xfId="42" applyNumberFormat="1" applyFont="1" applyFill="1" applyBorder="1" applyAlignment="1" applyProtection="1">
      <alignment horizontal="center"/>
    </xf>
    <xf numFmtId="165" fontId="28" fillId="0" borderId="46" xfId="42" applyNumberFormat="1" applyFont="1" applyFill="1" applyBorder="1" applyAlignment="1" applyProtection="1">
      <alignment horizontal="right"/>
    </xf>
    <xf numFmtId="0" fontId="28" fillId="0" borderId="27" xfId="42" applyFont="1" applyBorder="1"/>
    <xf numFmtId="0" fontId="34" fillId="12" borderId="25" xfId="42" applyFont="1" applyFill="1" applyBorder="1" applyProtection="1"/>
    <xf numFmtId="0" fontId="34" fillId="12" borderId="27" xfId="42" applyFont="1" applyFill="1" applyBorder="1" applyProtection="1"/>
    <xf numFmtId="0" fontId="28" fillId="12" borderId="27" xfId="42" applyFont="1" applyFill="1" applyBorder="1"/>
    <xf numFmtId="0" fontId="28" fillId="12" borderId="31" xfId="42" applyFont="1" applyFill="1" applyBorder="1"/>
    <xf numFmtId="0" fontId="34" fillId="12" borderId="19" xfId="42" applyFont="1" applyFill="1" applyBorder="1" applyProtection="1"/>
    <xf numFmtId="0" fontId="28" fillId="12" borderId="2" xfId="42" applyFont="1" applyFill="1" applyBorder="1"/>
    <xf numFmtId="0" fontId="40" fillId="12" borderId="2" xfId="42" applyFont="1" applyFill="1" applyBorder="1" applyProtection="1"/>
    <xf numFmtId="0" fontId="34" fillId="12" borderId="36" xfId="42" applyFont="1" applyFill="1" applyBorder="1" applyProtection="1"/>
    <xf numFmtId="0" fontId="55" fillId="0" borderId="27" xfId="42" applyFont="1" applyBorder="1"/>
    <xf numFmtId="0" fontId="55" fillId="12" borderId="2" xfId="42" applyFont="1" applyFill="1" applyBorder="1" applyProtection="1"/>
    <xf numFmtId="0" fontId="92" fillId="12" borderId="20" xfId="42" applyFont="1" applyFill="1" applyBorder="1"/>
    <xf numFmtId="0" fontId="0" fillId="12" borderId="37" xfId="42" applyFont="1" applyFill="1" applyBorder="1"/>
    <xf numFmtId="0" fontId="1" fillId="12" borderId="25" xfId="42" applyFont="1" applyFill="1" applyBorder="1"/>
    <xf numFmtId="0" fontId="92" fillId="12" borderId="27" xfId="42" applyFont="1" applyFill="1" applyBorder="1"/>
    <xf numFmtId="0" fontId="92" fillId="12" borderId="31" xfId="42" applyFont="1" applyFill="1" applyBorder="1"/>
    <xf numFmtId="0" fontId="91" fillId="12" borderId="36" xfId="42" applyFont="1" applyFill="1" applyBorder="1" applyProtection="1"/>
    <xf numFmtId="0" fontId="34" fillId="12" borderId="31" xfId="42" applyFont="1" applyFill="1" applyBorder="1" applyProtection="1"/>
    <xf numFmtId="0" fontId="28" fillId="13" borderId="2" xfId="42" applyFont="1" applyFill="1" applyBorder="1"/>
    <xf numFmtId="0" fontId="108" fillId="26" borderId="0" xfId="42" applyFont="1" applyFill="1" applyProtection="1"/>
    <xf numFmtId="0" fontId="87" fillId="0" borderId="0" xfId="42" applyFont="1" applyBorder="1" applyProtection="1"/>
    <xf numFmtId="168" fontId="34" fillId="0" borderId="27" xfId="42" applyNumberFormat="1" applyFont="1" applyFill="1" applyBorder="1" applyAlignment="1" applyProtection="1">
      <alignment horizontal="right"/>
    </xf>
    <xf numFmtId="165" fontId="34" fillId="0" borderId="19" xfId="42" applyNumberFormat="1" applyFont="1" applyFill="1" applyBorder="1" applyAlignment="1" applyProtection="1">
      <alignment horizontal="right"/>
    </xf>
    <xf numFmtId="165" fontId="40" fillId="0" borderId="30" xfId="42" applyNumberFormat="1" applyFont="1" applyFill="1" applyBorder="1" applyAlignment="1" applyProtection="1">
      <alignment horizontal="right"/>
    </xf>
    <xf numFmtId="165" fontId="42" fillId="0" borderId="25" xfId="42" applyNumberFormat="1" applyFont="1" applyFill="1" applyBorder="1" applyAlignment="1" applyProtection="1">
      <alignment horizontal="center"/>
    </xf>
    <xf numFmtId="1" fontId="40" fillId="0" borderId="134" xfId="42" applyNumberFormat="1" applyFont="1" applyFill="1" applyBorder="1" applyAlignment="1" applyProtection="1">
      <alignment horizontal="center"/>
    </xf>
    <xf numFmtId="165" fontId="34" fillId="0" borderId="37" xfId="42" applyNumberFormat="1" applyFont="1" applyFill="1" applyBorder="1" applyAlignment="1" applyProtection="1">
      <alignment horizontal="right"/>
    </xf>
    <xf numFmtId="165" fontId="34" fillId="0" borderId="3" xfId="42" applyNumberFormat="1" applyFont="1" applyFill="1" applyBorder="1" applyAlignment="1" applyProtection="1">
      <alignment horizontal="right"/>
    </xf>
    <xf numFmtId="0" fontId="34" fillId="0" borderId="59" xfId="42" applyFont="1" applyFill="1" applyBorder="1" applyAlignment="1" applyProtection="1">
      <alignment horizontal="right"/>
    </xf>
    <xf numFmtId="165" fontId="40" fillId="0" borderId="26" xfId="42" applyNumberFormat="1" applyFont="1" applyFill="1" applyBorder="1" applyAlignment="1" applyProtection="1">
      <alignment horizontal="right"/>
    </xf>
    <xf numFmtId="165" fontId="34" fillId="0" borderId="35" xfId="42" applyNumberFormat="1" applyFont="1" applyBorder="1" applyAlignment="1" applyProtection="1">
      <alignment horizontal="right"/>
    </xf>
    <xf numFmtId="0" fontId="0" fillId="0" borderId="59" xfId="42" applyFont="1" applyBorder="1"/>
    <xf numFmtId="165" fontId="50" fillId="0" borderId="32" xfId="42" applyNumberFormat="1" applyFont="1" applyFill="1" applyBorder="1" applyProtection="1"/>
    <xf numFmtId="165" fontId="34" fillId="0" borderId="20" xfId="42" applyNumberFormat="1" applyFont="1" applyFill="1" applyBorder="1" applyProtection="1"/>
    <xf numFmtId="165" fontId="34" fillId="0" borderId="25" xfId="42" applyNumberFormat="1" applyFont="1" applyFill="1" applyBorder="1" applyProtection="1"/>
    <xf numFmtId="165" fontId="34" fillId="0" borderId="135" xfId="42" applyNumberFormat="1" applyFont="1" applyFill="1" applyBorder="1" applyProtection="1"/>
    <xf numFmtId="165" fontId="34" fillId="0" borderId="58" xfId="42" applyNumberFormat="1" applyFont="1" applyFill="1" applyBorder="1" applyProtection="1"/>
    <xf numFmtId="165" fontId="34" fillId="0" borderId="52" xfId="42" applyNumberFormat="1" applyFont="1" applyFill="1" applyBorder="1" applyProtection="1"/>
    <xf numFmtId="165" fontId="34" fillId="0" borderId="59" xfId="42" applyNumberFormat="1" applyFont="1" applyFill="1" applyBorder="1" applyProtection="1"/>
    <xf numFmtId="165" fontId="34" fillId="0" borderId="130" xfId="42" applyNumberFormat="1" applyFont="1" applyFill="1" applyBorder="1" applyProtection="1"/>
    <xf numFmtId="165" fontId="40" fillId="0" borderId="27" xfId="42" applyNumberFormat="1" applyFont="1" applyBorder="1" applyProtection="1"/>
    <xf numFmtId="165" fontId="40" fillId="0" borderId="28" xfId="42" applyNumberFormat="1" applyFont="1" applyBorder="1" applyAlignment="1" applyProtection="1">
      <alignment horizontal="center"/>
    </xf>
    <xf numFmtId="165" fontId="50" fillId="0" borderId="28" xfId="42" applyNumberFormat="1" applyFont="1" applyBorder="1" applyAlignment="1" applyProtection="1">
      <alignment horizontal="center"/>
    </xf>
    <xf numFmtId="0" fontId="38" fillId="0" borderId="54" xfId="42" quotePrefix="1" applyFont="1" applyBorder="1" applyAlignment="1" applyProtection="1">
      <alignment horizontal="center"/>
    </xf>
    <xf numFmtId="0" fontId="48" fillId="0" borderId="136" xfId="42" quotePrefix="1" applyFont="1" applyBorder="1" applyAlignment="1" applyProtection="1">
      <alignment horizontal="right"/>
    </xf>
    <xf numFmtId="166" fontId="32" fillId="0" borderId="27" xfId="398" applyNumberFormat="1" applyFont="1" applyBorder="1" applyAlignment="1">
      <alignment horizontal="center"/>
    </xf>
    <xf numFmtId="166" fontId="0" fillId="0" borderId="25" xfId="398" applyNumberFormat="1" applyFont="1" applyBorder="1" applyAlignment="1">
      <alignment horizontal="center"/>
    </xf>
    <xf numFmtId="165" fontId="40" fillId="0" borderId="53" xfId="42" applyNumberFormat="1" applyFont="1" applyBorder="1" applyAlignment="1" applyProtection="1">
      <alignment horizontal="right"/>
    </xf>
    <xf numFmtId="165" fontId="40" fillId="0" borderId="127" xfId="42" applyNumberFormat="1" applyFont="1" applyBorder="1" applyAlignment="1" applyProtection="1">
      <alignment horizontal="right"/>
    </xf>
    <xf numFmtId="165" fontId="40" fillId="0" borderId="40" xfId="42" applyNumberFormat="1" applyFont="1" applyBorder="1" applyAlignment="1" applyProtection="1">
      <alignment horizontal="right"/>
    </xf>
    <xf numFmtId="165" fontId="40" fillId="0" borderId="54" xfId="42" applyNumberFormat="1" applyFont="1" applyBorder="1" applyAlignment="1" applyProtection="1">
      <alignment horizontal="right"/>
    </xf>
    <xf numFmtId="0" fontId="32" fillId="0" borderId="49" xfId="42" applyFont="1" applyBorder="1" applyAlignment="1">
      <alignment horizontal="center"/>
    </xf>
    <xf numFmtId="165" fontId="40" fillId="0" borderId="59" xfId="42" applyNumberFormat="1" applyFont="1" applyBorder="1" applyAlignment="1" applyProtection="1">
      <alignment horizontal="right"/>
    </xf>
    <xf numFmtId="0" fontId="29" fillId="14" borderId="0" xfId="42" applyFont="1" applyFill="1"/>
    <xf numFmtId="165" fontId="40" fillId="0" borderId="27" xfId="42" quotePrefix="1" applyNumberFormat="1" applyFont="1" applyBorder="1" applyAlignment="1" applyProtection="1">
      <alignment horizontal="right"/>
    </xf>
    <xf numFmtId="165" fontId="50" fillId="0" borderId="46" xfId="42" applyNumberFormat="1" applyFont="1" applyBorder="1" applyAlignment="1" applyProtection="1">
      <alignment horizontal="right"/>
    </xf>
    <xf numFmtId="165" fontId="40" fillId="0" borderId="21" xfId="42" quotePrefix="1" applyNumberFormat="1" applyFont="1" applyBorder="1" applyAlignment="1" applyProtection="1">
      <alignment horizontal="right"/>
    </xf>
    <xf numFmtId="165" fontId="40" fillId="0" borderId="46" xfId="42" quotePrefix="1" applyNumberFormat="1" applyFont="1" applyBorder="1" applyAlignment="1" applyProtection="1">
      <alignment horizontal="right"/>
    </xf>
    <xf numFmtId="165" fontId="40" fillId="0" borderId="31" xfId="42" quotePrefix="1" applyNumberFormat="1" applyFont="1" applyBorder="1" applyAlignment="1" applyProtection="1">
      <alignment horizontal="right"/>
    </xf>
    <xf numFmtId="165" fontId="40" fillId="0" borderId="37" xfId="42" applyNumberFormat="1" applyFont="1" applyBorder="1" applyAlignment="1" applyProtection="1">
      <alignment horizontal="right"/>
    </xf>
    <xf numFmtId="165" fontId="40" fillId="0" borderId="37" xfId="42" quotePrefix="1" applyNumberFormat="1" applyFont="1" applyBorder="1" applyAlignment="1" applyProtection="1">
      <alignment horizontal="right"/>
    </xf>
    <xf numFmtId="165" fontId="50" fillId="0" borderId="47" xfId="42" quotePrefix="1" applyNumberFormat="1" applyFont="1" applyBorder="1" applyAlignment="1" applyProtection="1">
      <alignment horizontal="right"/>
    </xf>
    <xf numFmtId="165" fontId="40" fillId="0" borderId="25" xfId="42" quotePrefix="1" applyNumberFormat="1" applyFont="1" applyBorder="1" applyAlignment="1" applyProtection="1">
      <alignment horizontal="right"/>
    </xf>
    <xf numFmtId="165" fontId="40" fillId="0" borderId="20" xfId="42" applyNumberFormat="1" applyFont="1" applyBorder="1" applyAlignment="1" applyProtection="1">
      <alignment horizontal="right"/>
    </xf>
    <xf numFmtId="165" fontId="40" fillId="0" borderId="45" xfId="42" applyNumberFormat="1" applyFont="1" applyBorder="1" applyAlignment="1" applyProtection="1">
      <alignment horizontal="right"/>
    </xf>
    <xf numFmtId="165" fontId="43" fillId="0" borderId="46" xfId="42" applyNumberFormat="1" applyFont="1" applyBorder="1" applyAlignment="1" applyProtection="1">
      <alignment horizontal="right"/>
    </xf>
    <xf numFmtId="165" fontId="34" fillId="0" borderId="25" xfId="42" quotePrefix="1" applyNumberFormat="1" applyFont="1" applyBorder="1" applyAlignment="1" applyProtection="1">
      <alignment horizontal="right"/>
    </xf>
    <xf numFmtId="165" fontId="40" fillId="0" borderId="42" xfId="42" quotePrefix="1" applyNumberFormat="1" applyFont="1" applyBorder="1" applyAlignment="1" applyProtection="1">
      <alignment horizontal="right"/>
    </xf>
    <xf numFmtId="165" fontId="40" fillId="0" borderId="52" xfId="42" applyNumberFormat="1" applyFont="1" applyBorder="1" applyAlignment="1" applyProtection="1">
      <alignment horizontal="right"/>
    </xf>
    <xf numFmtId="165" fontId="50" fillId="0" borderId="59" xfId="42" applyNumberFormat="1" applyFont="1" applyBorder="1" applyAlignment="1" applyProtection="1">
      <alignment horizontal="right"/>
    </xf>
    <xf numFmtId="165" fontId="34" fillId="0" borderId="47" xfId="42" applyNumberFormat="1" applyFont="1" applyFill="1" applyBorder="1" applyAlignment="1" applyProtection="1">
      <alignment horizontal="right"/>
    </xf>
    <xf numFmtId="165" fontId="40" fillId="0" borderId="25" xfId="42" applyNumberFormat="1" applyFont="1" applyFill="1" applyBorder="1" applyAlignment="1" applyProtection="1">
      <alignment horizontal="right"/>
    </xf>
    <xf numFmtId="165" fontId="40" fillId="0" borderId="20" xfId="42" applyNumberFormat="1" applyFont="1" applyFill="1" applyBorder="1" applyAlignment="1" applyProtection="1">
      <alignment horizontal="right"/>
    </xf>
    <xf numFmtId="165" fontId="50" fillId="0" borderId="37" xfId="42" applyNumberFormat="1" applyFont="1" applyFill="1" applyBorder="1" applyAlignment="1" applyProtection="1">
      <alignment horizontal="right"/>
    </xf>
    <xf numFmtId="165" fontId="50" fillId="0" borderId="47" xfId="42" applyNumberFormat="1" applyFont="1" applyFill="1" applyBorder="1" applyAlignment="1" applyProtection="1">
      <alignment horizontal="right"/>
    </xf>
    <xf numFmtId="165" fontId="50" fillId="0" borderId="42" xfId="42" applyNumberFormat="1" applyFont="1" applyFill="1" applyBorder="1" applyAlignment="1" applyProtection="1">
      <alignment horizontal="right"/>
    </xf>
    <xf numFmtId="165" fontId="50" fillId="0" borderId="35" xfId="42" applyNumberFormat="1" applyFont="1" applyFill="1" applyBorder="1" applyAlignment="1" applyProtection="1">
      <alignment horizontal="right"/>
    </xf>
    <xf numFmtId="165" fontId="40" fillId="0" borderId="17" xfId="42" applyNumberFormat="1" applyFont="1" applyFill="1" applyBorder="1" applyAlignment="1" applyProtection="1">
      <alignment horizontal="right"/>
    </xf>
    <xf numFmtId="165" fontId="40" fillId="0" borderId="45" xfId="42" applyNumberFormat="1" applyFont="1" applyFill="1" applyBorder="1" applyAlignment="1" applyProtection="1">
      <alignment horizontal="right"/>
    </xf>
    <xf numFmtId="165" fontId="34" fillId="0" borderId="42" xfId="42" applyNumberFormat="1" applyFont="1" applyBorder="1" applyAlignment="1" applyProtection="1">
      <alignment horizontal="right"/>
    </xf>
    <xf numFmtId="0" fontId="107" fillId="26" borderId="137" xfId="42" quotePrefix="1" applyFont="1" applyFill="1" applyBorder="1" applyAlignment="1" applyProtection="1">
      <alignment horizontal="right"/>
    </xf>
    <xf numFmtId="0" fontId="106" fillId="26" borderId="137" xfId="42" applyFont="1" applyFill="1" applyBorder="1" applyAlignment="1" applyProtection="1">
      <alignment horizontal="right"/>
    </xf>
    <xf numFmtId="1" fontId="0" fillId="0" borderId="0" xfId="42" applyNumberFormat="1" applyFont="1" applyFill="1" applyBorder="1" applyProtection="1"/>
    <xf numFmtId="0" fontId="28" fillId="0" borderId="0" xfId="42" applyNumberFormat="1" applyFont="1" applyFill="1" applyBorder="1" applyProtection="1"/>
    <xf numFmtId="1" fontId="28" fillId="0" borderId="0" xfId="42" applyNumberFormat="1" applyFont="1" applyFill="1" applyBorder="1" applyProtection="1"/>
    <xf numFmtId="0" fontId="109" fillId="26" borderId="0" xfId="42" applyFont="1" applyFill="1" applyProtection="1"/>
    <xf numFmtId="0" fontId="100" fillId="0" borderId="0" xfId="42" applyFont="1" applyAlignment="1"/>
    <xf numFmtId="0" fontId="28" fillId="14" borderId="0" xfId="42" applyFont="1" applyFill="1" applyBorder="1"/>
    <xf numFmtId="0" fontId="0" fillId="14" borderId="30" xfId="42" applyFont="1" applyFill="1" applyBorder="1"/>
    <xf numFmtId="0" fontId="38" fillId="14" borderId="30" xfId="42" applyFont="1" applyFill="1" applyBorder="1" applyProtection="1"/>
    <xf numFmtId="0" fontId="28" fillId="14" borderId="30" xfId="42" applyFont="1" applyFill="1" applyBorder="1"/>
    <xf numFmtId="0" fontId="29" fillId="14" borderId="0" xfId="42" applyFont="1" applyFill="1" applyBorder="1"/>
    <xf numFmtId="0" fontId="32" fillId="11" borderId="41" xfId="42" applyFont="1" applyFill="1" applyBorder="1" applyAlignment="1" applyProtection="1">
      <alignment horizontal="center"/>
    </xf>
    <xf numFmtId="0" fontId="28" fillId="14" borderId="0" xfId="42" applyFont="1" applyFill="1" applyAlignment="1">
      <alignment horizontal="left"/>
    </xf>
    <xf numFmtId="49" fontId="2" fillId="26" borderId="0" xfId="42" applyNumberFormat="1" applyFont="1" applyFill="1" applyProtection="1"/>
    <xf numFmtId="165" fontId="34" fillId="0" borderId="27" xfId="42" applyNumberFormat="1" applyFont="1" applyFill="1" applyBorder="1" applyAlignment="1" applyProtection="1"/>
    <xf numFmtId="165" fontId="34" fillId="0" borderId="26" xfId="42" applyNumberFormat="1" applyFont="1" applyFill="1" applyBorder="1" applyAlignment="1" applyProtection="1"/>
    <xf numFmtId="165" fontId="34" fillId="0" borderId="28" xfId="42" applyNumberFormat="1" applyFont="1" applyFill="1" applyBorder="1" applyAlignment="1" applyProtection="1"/>
    <xf numFmtId="165" fontId="34" fillId="0" borderId="31" xfId="42" applyNumberFormat="1" applyFont="1" applyFill="1" applyBorder="1" applyAlignment="1" applyProtection="1"/>
    <xf numFmtId="165" fontId="34" fillId="0" borderId="32" xfId="42" applyNumberFormat="1" applyFont="1" applyFill="1" applyBorder="1" applyAlignment="1" applyProtection="1"/>
    <xf numFmtId="165" fontId="34" fillId="0" borderId="27" xfId="42" quotePrefix="1" applyNumberFormat="1" applyFont="1" applyFill="1" applyBorder="1" applyAlignment="1" applyProtection="1"/>
    <xf numFmtId="165" fontId="34" fillId="0" borderId="46" xfId="42" applyNumberFormat="1" applyFont="1" applyFill="1" applyBorder="1" applyAlignment="1" applyProtection="1"/>
    <xf numFmtId="165" fontId="0" fillId="0" borderId="27" xfId="42" quotePrefix="1" applyNumberFormat="1" applyFont="1" applyFill="1" applyBorder="1" applyAlignment="1"/>
    <xf numFmtId="165" fontId="0" fillId="0" borderId="46" xfId="42" applyNumberFormat="1" applyFont="1" applyFill="1" applyBorder="1" applyAlignment="1"/>
    <xf numFmtId="165" fontId="0" fillId="0" borderId="31" xfId="42" quotePrefix="1" applyNumberFormat="1" applyFont="1" applyFill="1" applyBorder="1" applyAlignment="1"/>
    <xf numFmtId="165" fontId="0" fillId="0" borderId="47" xfId="42" applyNumberFormat="1" applyFont="1" applyFill="1" applyBorder="1" applyAlignment="1"/>
    <xf numFmtId="165" fontId="34" fillId="0" borderId="41" xfId="42" applyNumberFormat="1" applyFont="1" applyFill="1" applyBorder="1" applyAlignment="1" applyProtection="1"/>
    <xf numFmtId="165" fontId="34" fillId="0" borderId="42" xfId="42" applyNumberFormat="1" applyFont="1" applyFill="1" applyBorder="1" applyAlignment="1" applyProtection="1"/>
    <xf numFmtId="165" fontId="34" fillId="0" borderId="35" xfId="42" applyNumberFormat="1" applyFont="1" applyFill="1" applyBorder="1" applyAlignment="1" applyProtection="1"/>
    <xf numFmtId="0" fontId="43" fillId="0" borderId="52" xfId="42" applyFont="1" applyBorder="1" applyProtection="1"/>
    <xf numFmtId="2" fontId="29" fillId="14" borderId="0" xfId="42" applyNumberFormat="1" applyFont="1" applyFill="1"/>
    <xf numFmtId="2" fontId="32" fillId="11" borderId="31" xfId="42" applyNumberFormat="1" applyFont="1" applyFill="1" applyBorder="1" applyAlignment="1">
      <alignment horizontal="center"/>
    </xf>
    <xf numFmtId="14" fontId="32" fillId="13" borderId="40" xfId="42" applyNumberFormat="1" applyFont="1" applyFill="1" applyBorder="1" applyAlignment="1"/>
    <xf numFmtId="167" fontId="28" fillId="15" borderId="76" xfId="42" applyNumberFormat="1" applyFont="1" applyFill="1" applyBorder="1" applyAlignment="1"/>
    <xf numFmtId="165" fontId="28" fillId="13" borderId="26" xfId="42" applyNumberFormat="1" applyFont="1" applyFill="1" applyBorder="1" applyAlignment="1" applyProtection="1">
      <alignment horizontal="right"/>
    </xf>
    <xf numFmtId="165" fontId="28" fillId="13" borderId="28" xfId="42" applyNumberFormat="1" applyFont="1" applyFill="1" applyBorder="1" applyAlignment="1" applyProtection="1">
      <alignment horizontal="right"/>
    </xf>
    <xf numFmtId="165" fontId="28" fillId="13" borderId="2" xfId="42" applyNumberFormat="1" applyFont="1" applyFill="1" applyBorder="1" applyAlignment="1" applyProtection="1">
      <alignment horizontal="right"/>
    </xf>
    <xf numFmtId="165" fontId="28" fillId="13" borderId="34" xfId="42" applyNumberFormat="1" applyFont="1" applyFill="1" applyBorder="1" applyAlignment="1" applyProtection="1">
      <alignment horizontal="right"/>
    </xf>
    <xf numFmtId="165" fontId="28" fillId="13" borderId="19" xfId="42" applyNumberFormat="1" applyFont="1" applyFill="1" applyBorder="1" applyAlignment="1" applyProtection="1">
      <alignment horizontal="right"/>
    </xf>
    <xf numFmtId="165" fontId="28" fillId="13" borderId="35" xfId="42" applyNumberFormat="1" applyFont="1" applyFill="1" applyBorder="1" applyAlignment="1" applyProtection="1">
      <alignment horizontal="right"/>
    </xf>
    <xf numFmtId="0" fontId="32" fillId="12" borderId="0" xfId="42" applyFont="1" applyFill="1" applyAlignment="1" applyProtection="1">
      <alignment horizontal="center"/>
    </xf>
    <xf numFmtId="0" fontId="32" fillId="13" borderId="0" xfId="42" applyFont="1" applyFill="1" applyBorder="1" applyAlignment="1" applyProtection="1">
      <alignment horizontal="left"/>
    </xf>
    <xf numFmtId="0" fontId="0" fillId="13" borderId="0" xfId="42" applyFont="1" applyFill="1" applyProtection="1"/>
    <xf numFmtId="0" fontId="0" fillId="20" borderId="0" xfId="42" applyFont="1" applyFill="1" applyProtection="1"/>
    <xf numFmtId="167" fontId="0" fillId="20" borderId="0" xfId="42" applyNumberFormat="1" applyFont="1" applyFill="1" applyProtection="1"/>
    <xf numFmtId="0" fontId="31" fillId="0" borderId="18" xfId="42" applyFont="1" applyFill="1" applyBorder="1" applyProtection="1"/>
    <xf numFmtId="0" fontId="110" fillId="0" borderId="0" xfId="42" applyFont="1" applyFill="1" applyBorder="1" applyProtection="1"/>
    <xf numFmtId="165" fontId="31" fillId="0" borderId="27" xfId="42" applyNumberFormat="1" applyFont="1" applyFill="1" applyBorder="1" applyAlignment="1" applyProtection="1">
      <alignment horizontal="right"/>
    </xf>
    <xf numFmtId="165" fontId="31" fillId="0" borderId="0" xfId="42" applyNumberFormat="1" applyFont="1" applyFill="1" applyBorder="1" applyAlignment="1" applyProtection="1">
      <alignment horizontal="right"/>
    </xf>
    <xf numFmtId="165" fontId="31" fillId="0" borderId="28" xfId="42" applyNumberFormat="1" applyFont="1" applyFill="1" applyBorder="1" applyAlignment="1" applyProtection="1">
      <alignment horizontal="right"/>
    </xf>
    <xf numFmtId="0" fontId="31" fillId="0" borderId="24" xfId="42" applyFont="1" applyBorder="1" applyProtection="1"/>
    <xf numFmtId="0" fontId="31" fillId="0" borderId="17" xfId="42" applyFont="1" applyBorder="1" applyProtection="1"/>
    <xf numFmtId="0" fontId="111" fillId="0" borderId="25" xfId="42" applyFont="1" applyBorder="1" applyAlignment="1" applyProtection="1">
      <alignment horizontal="center"/>
    </xf>
    <xf numFmtId="165" fontId="31" fillId="0" borderId="19" xfId="42" applyNumberFormat="1" applyFont="1" applyFill="1" applyBorder="1" applyAlignment="1" applyProtection="1">
      <alignment horizontal="right"/>
    </xf>
    <xf numFmtId="165" fontId="31" fillId="0" borderId="25" xfId="42" applyNumberFormat="1" applyFont="1" applyFill="1" applyBorder="1" applyAlignment="1" applyProtection="1">
      <alignment horizontal="right"/>
    </xf>
    <xf numFmtId="165" fontId="31" fillId="0" borderId="26" xfId="42" applyNumberFormat="1" applyFont="1" applyFill="1" applyBorder="1" applyAlignment="1" applyProtection="1">
      <alignment horizontal="right"/>
    </xf>
    <xf numFmtId="0" fontId="31" fillId="0" borderId="18" xfId="42" applyFont="1" applyBorder="1" applyProtection="1"/>
    <xf numFmtId="0" fontId="31" fillId="0" borderId="0" xfId="42" applyFont="1" applyBorder="1" applyProtection="1"/>
    <xf numFmtId="0" fontId="111" fillId="0" borderId="27" xfId="42" applyFont="1" applyBorder="1" applyAlignment="1" applyProtection="1">
      <alignment horizontal="center"/>
    </xf>
    <xf numFmtId="0" fontId="110" fillId="0" borderId="18" xfId="42" applyFont="1" applyFill="1" applyBorder="1" applyProtection="1"/>
    <xf numFmtId="0" fontId="112" fillId="0" borderId="27" xfId="42" applyFont="1" applyFill="1" applyBorder="1" applyAlignment="1" applyProtection="1">
      <alignment horizontal="center"/>
    </xf>
    <xf numFmtId="165" fontId="31" fillId="0" borderId="30" xfId="42" applyNumberFormat="1" applyFont="1" applyFill="1" applyBorder="1" applyAlignment="1" applyProtection="1">
      <alignment horizontal="right"/>
    </xf>
    <xf numFmtId="0" fontId="105" fillId="0" borderId="39" xfId="42" applyFont="1" applyBorder="1" applyAlignment="1" applyProtection="1">
      <alignment horizontal="left"/>
    </xf>
    <xf numFmtId="0" fontId="105" fillId="0" borderId="40" xfId="42" applyFont="1" applyBorder="1" applyProtection="1"/>
    <xf numFmtId="0" fontId="113" fillId="0" borderId="41" xfId="42" applyFont="1" applyBorder="1" applyAlignment="1" applyProtection="1">
      <alignment horizontal="center"/>
    </xf>
    <xf numFmtId="165" fontId="105" fillId="0" borderId="40" xfId="42" applyNumberFormat="1" applyFont="1" applyFill="1" applyBorder="1" applyAlignment="1" applyProtection="1">
      <alignment horizontal="right"/>
    </xf>
    <xf numFmtId="165" fontId="105" fillId="0" borderId="41" xfId="42" applyNumberFormat="1" applyFont="1" applyFill="1" applyBorder="1" applyAlignment="1" applyProtection="1">
      <alignment horizontal="right"/>
    </xf>
    <xf numFmtId="165" fontId="105" fillId="0" borderId="43" xfId="42" applyNumberFormat="1" applyFont="1" applyFill="1" applyBorder="1" applyAlignment="1" applyProtection="1">
      <alignment horizontal="right"/>
    </xf>
    <xf numFmtId="0" fontId="28" fillId="13" borderId="18" xfId="42" quotePrefix="1" applyFont="1" applyFill="1" applyBorder="1" applyAlignment="1" applyProtection="1">
      <alignment horizontal="left"/>
    </xf>
    <xf numFmtId="0" fontId="28" fillId="13" borderId="0" xfId="42" applyFont="1" applyFill="1" applyBorder="1" applyProtection="1"/>
    <xf numFmtId="0" fontId="3" fillId="13" borderId="27" xfId="42" applyFont="1" applyFill="1" applyBorder="1" applyAlignment="1" applyProtection="1">
      <alignment horizontal="center"/>
    </xf>
    <xf numFmtId="0" fontId="28" fillId="13" borderId="33" xfId="42" quotePrefix="1" applyFont="1" applyFill="1" applyBorder="1" applyAlignment="1" applyProtection="1">
      <alignment horizontal="left"/>
    </xf>
    <xf numFmtId="0" fontId="28" fillId="13" borderId="3" xfId="42" applyFont="1" applyFill="1" applyBorder="1" applyProtection="1"/>
    <xf numFmtId="0" fontId="3" fillId="13" borderId="42" xfId="42" applyFont="1" applyFill="1" applyBorder="1" applyAlignment="1" applyProtection="1">
      <alignment horizontal="center"/>
    </xf>
    <xf numFmtId="165" fontId="31" fillId="0" borderId="2" xfId="42" applyNumberFormat="1" applyFont="1" applyFill="1" applyBorder="1" applyAlignment="1" applyProtection="1">
      <alignment horizontal="right"/>
    </xf>
    <xf numFmtId="3" fontId="110" fillId="0" borderId="18" xfId="42" applyNumberFormat="1" applyFont="1" applyFill="1" applyBorder="1" applyProtection="1"/>
    <xf numFmtId="3" fontId="110" fillId="0" borderId="21" xfId="42" applyNumberFormat="1" applyFont="1" applyFill="1" applyBorder="1" applyProtection="1"/>
    <xf numFmtId="3" fontId="112" fillId="0" borderId="27" xfId="42" applyNumberFormat="1" applyFont="1" applyFill="1" applyBorder="1" applyAlignment="1" applyProtection="1">
      <alignment horizontal="center"/>
    </xf>
    <xf numFmtId="165" fontId="31" fillId="0" borderId="21" xfId="42" applyNumberFormat="1" applyFont="1" applyFill="1" applyBorder="1" applyAlignment="1" applyProtection="1">
      <alignment horizontal="right"/>
    </xf>
    <xf numFmtId="165" fontId="31" fillId="0" borderId="27" xfId="42" applyNumberFormat="1" applyFont="1" applyFill="1" applyBorder="1" applyProtection="1"/>
    <xf numFmtId="165" fontId="31" fillId="0" borderId="46" xfId="42" applyNumberFormat="1" applyFont="1" applyFill="1" applyBorder="1" applyAlignment="1" applyProtection="1">
      <alignment horizontal="right"/>
    </xf>
    <xf numFmtId="165" fontId="31" fillId="0" borderId="37" xfId="42" applyNumberFormat="1" applyFont="1" applyFill="1" applyBorder="1" applyAlignment="1" applyProtection="1">
      <alignment horizontal="right"/>
    </xf>
    <xf numFmtId="165" fontId="31" fillId="0" borderId="47" xfId="42" applyNumberFormat="1" applyFont="1" applyFill="1" applyBorder="1" applyAlignment="1" applyProtection="1">
      <alignment horizontal="right"/>
    </xf>
    <xf numFmtId="1" fontId="39" fillId="0" borderId="134" xfId="42" applyNumberFormat="1" applyFont="1" applyBorder="1" applyAlignment="1" applyProtection="1">
      <alignment horizontal="center"/>
    </xf>
    <xf numFmtId="0" fontId="110" fillId="0" borderId="18" xfId="42" applyFont="1" applyBorder="1" applyAlignment="1" applyProtection="1">
      <alignment horizontal="left"/>
    </xf>
    <xf numFmtId="0" fontId="110" fillId="0" borderId="0" xfId="42" applyFont="1" applyBorder="1" applyAlignment="1" applyProtection="1">
      <alignment horizontal="left"/>
    </xf>
    <xf numFmtId="0" fontId="110" fillId="0" borderId="33" xfId="42" applyFont="1" applyBorder="1" applyAlignment="1" applyProtection="1">
      <alignment horizontal="left"/>
    </xf>
    <xf numFmtId="0" fontId="110" fillId="0" borderId="3" xfId="42" applyFont="1" applyBorder="1" applyAlignment="1" applyProtection="1">
      <alignment horizontal="left"/>
    </xf>
    <xf numFmtId="0" fontId="34" fillId="0" borderId="7" xfId="42" applyFont="1" applyBorder="1" applyAlignment="1" applyProtection="1">
      <alignment horizontal="left"/>
    </xf>
    <xf numFmtId="0" fontId="34" fillId="0" borderId="6" xfId="42" applyFont="1" applyBorder="1" applyAlignment="1" applyProtection="1">
      <alignment horizontal="left"/>
    </xf>
    <xf numFmtId="0" fontId="105" fillId="0" borderId="29" xfId="42" applyFont="1" applyBorder="1"/>
    <xf numFmtId="0" fontId="105" fillId="0" borderId="30" xfId="42" applyFont="1" applyBorder="1"/>
    <xf numFmtId="0" fontId="0" fillId="19" borderId="0" xfId="42" applyFont="1" applyFill="1" applyProtection="1"/>
    <xf numFmtId="167" fontId="0" fillId="19" borderId="0" xfId="42" applyNumberFormat="1" applyFont="1" applyFill="1" applyProtection="1"/>
    <xf numFmtId="1" fontId="0" fillId="19" borderId="0" xfId="42" applyNumberFormat="1" applyFont="1" applyFill="1" applyProtection="1"/>
    <xf numFmtId="0" fontId="105" fillId="0" borderId="29" xfId="42" applyFont="1" applyFill="1" applyBorder="1" applyAlignment="1" applyProtection="1"/>
    <xf numFmtId="0" fontId="31" fillId="0" borderId="30" xfId="42" applyFont="1" applyFill="1" applyBorder="1" applyProtection="1"/>
    <xf numFmtId="0" fontId="111" fillId="0" borderId="31" xfId="42" applyFont="1" applyFill="1" applyBorder="1" applyAlignment="1" applyProtection="1">
      <alignment horizontal="center"/>
    </xf>
    <xf numFmtId="165" fontId="105" fillId="0" borderId="30" xfId="42" applyNumberFormat="1" applyFont="1" applyFill="1" applyBorder="1" applyAlignment="1" applyProtection="1">
      <alignment horizontal="right"/>
    </xf>
    <xf numFmtId="165" fontId="105" fillId="0" borderId="31" xfId="42" applyNumberFormat="1" applyFont="1" applyFill="1" applyBorder="1" applyAlignment="1" applyProtection="1">
      <alignment horizontal="right"/>
    </xf>
    <xf numFmtId="165" fontId="105" fillId="0" borderId="32" xfId="42" applyNumberFormat="1" applyFont="1" applyFill="1" applyBorder="1" applyAlignment="1" applyProtection="1">
      <alignment horizontal="right"/>
    </xf>
    <xf numFmtId="3" fontId="31" fillId="0" borderId="18" xfId="42" applyNumberFormat="1" applyFont="1" applyFill="1" applyBorder="1" applyProtection="1"/>
    <xf numFmtId="3" fontId="31" fillId="0" borderId="21" xfId="42" applyNumberFormat="1" applyFont="1" applyFill="1" applyBorder="1" applyProtection="1"/>
    <xf numFmtId="3" fontId="31" fillId="0" borderId="27" xfId="42" applyNumberFormat="1" applyFont="1" applyFill="1" applyBorder="1" applyAlignment="1" applyProtection="1">
      <alignment horizontal="center"/>
    </xf>
    <xf numFmtId="165" fontId="31" fillId="0" borderId="0" xfId="42" applyNumberFormat="1" applyFont="1" applyFill="1" applyBorder="1" applyProtection="1"/>
    <xf numFmtId="3" fontId="31" fillId="0" borderId="29" xfId="42" applyNumberFormat="1" applyFont="1" applyFill="1" applyBorder="1" applyProtection="1"/>
    <xf numFmtId="3" fontId="31" fillId="0" borderId="37" xfId="42" applyNumberFormat="1" applyFont="1" applyFill="1" applyBorder="1" applyProtection="1"/>
    <xf numFmtId="3" fontId="31" fillId="0" borderId="31" xfId="42" applyNumberFormat="1" applyFont="1" applyFill="1" applyBorder="1" applyAlignment="1" applyProtection="1">
      <alignment horizontal="center"/>
    </xf>
    <xf numFmtId="165" fontId="31" fillId="0" borderId="31" xfId="42" applyNumberFormat="1" applyFont="1" applyFill="1" applyBorder="1" applyProtection="1"/>
    <xf numFmtId="3" fontId="31" fillId="0" borderId="33" xfId="42" applyNumberFormat="1" applyFont="1" applyFill="1" applyBorder="1" applyProtection="1"/>
    <xf numFmtId="3" fontId="31" fillId="0" borderId="52" xfId="42" applyNumberFormat="1" applyFont="1" applyFill="1" applyBorder="1" applyProtection="1"/>
    <xf numFmtId="3" fontId="31" fillId="0" borderId="42" xfId="42" applyNumberFormat="1" applyFont="1" applyFill="1" applyBorder="1" applyAlignment="1" applyProtection="1">
      <alignment horizontal="center"/>
    </xf>
    <xf numFmtId="165" fontId="31" fillId="0" borderId="52" xfId="42" applyNumberFormat="1" applyFont="1" applyFill="1" applyBorder="1" applyAlignment="1" applyProtection="1">
      <alignment horizontal="right"/>
    </xf>
    <xf numFmtId="165" fontId="31" fillId="0" borderId="3" xfId="42" applyNumberFormat="1" applyFont="1" applyFill="1" applyBorder="1" applyAlignment="1" applyProtection="1">
      <alignment horizontal="right"/>
    </xf>
    <xf numFmtId="165" fontId="31" fillId="0" borderId="42" xfId="42" applyNumberFormat="1" applyFont="1" applyFill="1" applyBorder="1" applyProtection="1"/>
    <xf numFmtId="165" fontId="31" fillId="0" borderId="59" xfId="42" applyNumberFormat="1" applyFont="1" applyFill="1" applyBorder="1" applyAlignment="1" applyProtection="1">
      <alignment horizontal="right"/>
    </xf>
    <xf numFmtId="0" fontId="105" fillId="0" borderId="29" xfId="42" applyFont="1" applyFill="1" applyBorder="1"/>
    <xf numFmtId="0" fontId="105" fillId="0" borderId="30" xfId="42" applyFont="1" applyFill="1" applyBorder="1"/>
    <xf numFmtId="165" fontId="105" fillId="0" borderId="36" xfId="42" applyNumberFormat="1" applyFont="1" applyFill="1" applyBorder="1" applyProtection="1"/>
    <xf numFmtId="165" fontId="105" fillId="0" borderId="31" xfId="42" applyNumberFormat="1" applyFont="1" applyFill="1" applyBorder="1" applyProtection="1"/>
    <xf numFmtId="165" fontId="105" fillId="0" borderId="47" xfId="42" applyNumberFormat="1" applyFont="1" applyFill="1" applyBorder="1" applyProtection="1"/>
    <xf numFmtId="0" fontId="31" fillId="0" borderId="18" xfId="42" quotePrefix="1" applyFont="1" applyBorder="1" applyAlignment="1" applyProtection="1">
      <alignment horizontal="left"/>
    </xf>
    <xf numFmtId="0" fontId="31" fillId="0" borderId="0" xfId="42" quotePrefix="1" applyFont="1" applyBorder="1" applyAlignment="1" applyProtection="1">
      <alignment horizontal="left"/>
    </xf>
    <xf numFmtId="0" fontId="31" fillId="0" borderId="27" xfId="42" applyFont="1" applyBorder="1" applyAlignment="1" applyProtection="1">
      <alignment horizontal="center"/>
    </xf>
    <xf numFmtId="0" fontId="31" fillId="0" borderId="33" xfId="42" quotePrefix="1" applyFont="1" applyBorder="1" applyAlignment="1" applyProtection="1">
      <alignment horizontal="left"/>
    </xf>
    <xf numFmtId="0" fontId="31" fillId="0" borderId="3" xfId="42" quotePrefix="1" applyFont="1" applyBorder="1" applyAlignment="1" applyProtection="1">
      <alignment horizontal="left"/>
    </xf>
    <xf numFmtId="0" fontId="31" fillId="0" borderId="42" xfId="42" applyFont="1" applyBorder="1" applyAlignment="1" applyProtection="1">
      <alignment horizontal="center"/>
    </xf>
    <xf numFmtId="165" fontId="31" fillId="0" borderId="34" xfId="42" applyNumberFormat="1" applyFont="1" applyFill="1" applyBorder="1" applyAlignment="1" applyProtection="1">
      <alignment horizontal="right"/>
    </xf>
    <xf numFmtId="165" fontId="31" fillId="0" borderId="42" xfId="42" applyNumberFormat="1" applyFont="1" applyFill="1" applyBorder="1" applyAlignment="1" applyProtection="1">
      <alignment horizontal="right"/>
    </xf>
    <xf numFmtId="165" fontId="31" fillId="0" borderId="35" xfId="42" applyNumberFormat="1" applyFont="1" applyFill="1" applyBorder="1" applyAlignment="1" applyProtection="1">
      <alignment horizontal="right"/>
    </xf>
    <xf numFmtId="167" fontId="0" fillId="0" borderId="0" xfId="42" applyNumberFormat="1" applyFont="1" applyProtection="1"/>
    <xf numFmtId="1" fontId="0" fillId="0" borderId="0" xfId="42" applyNumberFormat="1" applyFont="1" applyProtection="1"/>
    <xf numFmtId="165" fontId="31" fillId="0" borderId="21" xfId="42" applyNumberFormat="1" applyFont="1" applyFill="1" applyBorder="1" applyProtection="1"/>
    <xf numFmtId="165" fontId="31" fillId="0" borderId="28" xfId="42" applyNumberFormat="1" applyFont="1" applyFill="1" applyBorder="1" applyProtection="1"/>
    <xf numFmtId="165" fontId="31" fillId="0" borderId="35" xfId="42" applyNumberFormat="1" applyFont="1" applyFill="1" applyBorder="1" applyProtection="1"/>
    <xf numFmtId="0" fontId="43" fillId="0" borderId="46" xfId="42" applyFont="1" applyFill="1" applyBorder="1" applyProtection="1"/>
    <xf numFmtId="0" fontId="34" fillId="0" borderId="8" xfId="42" applyFont="1" applyFill="1" applyBorder="1" applyProtection="1"/>
    <xf numFmtId="165" fontId="55" fillId="0" borderId="0" xfId="42" applyNumberFormat="1" applyFont="1" applyAlignment="1"/>
    <xf numFmtId="14" fontId="59" fillId="0" borderId="67" xfId="42" applyNumberFormat="1" applyFont="1" applyFill="1" applyBorder="1" applyAlignment="1" applyProtection="1">
      <alignment horizontal="center" vertical="center"/>
    </xf>
    <xf numFmtId="166" fontId="59" fillId="19" borderId="0" xfId="398" applyNumberFormat="1" applyFont="1" applyFill="1" applyBorder="1" applyAlignment="1"/>
    <xf numFmtId="0" fontId="4" fillId="0" borderId="0" xfId="42" applyFont="1" applyFill="1" applyBorder="1" applyAlignment="1">
      <alignment horizontal="center"/>
    </xf>
    <xf numFmtId="0" fontId="60" fillId="15" borderId="0" xfId="42" applyFont="1" applyFill="1" applyBorder="1" applyAlignment="1">
      <alignment horizontal="center"/>
    </xf>
    <xf numFmtId="0" fontId="1" fillId="15" borderId="0" xfId="42" applyFont="1" applyFill="1" applyBorder="1" applyAlignment="1">
      <alignment horizontal="center"/>
    </xf>
    <xf numFmtId="2" fontId="59" fillId="19" borderId="0" xfId="42" applyNumberFormat="1" applyFont="1" applyFill="1" applyBorder="1" applyAlignment="1">
      <alignment horizontal="right"/>
    </xf>
    <xf numFmtId="1" fontId="40" fillId="15" borderId="76" xfId="42" applyNumberFormat="1" applyFont="1" applyFill="1" applyBorder="1" applyAlignment="1"/>
    <xf numFmtId="1" fontId="40" fillId="21" borderId="89" xfId="42" applyNumberFormat="1" applyFont="1" applyFill="1" applyBorder="1" applyAlignment="1"/>
    <xf numFmtId="165" fontId="34" fillId="0" borderId="80" xfId="42" applyNumberFormat="1" applyFont="1" applyBorder="1" applyAlignment="1"/>
    <xf numFmtId="2" fontId="40" fillId="11" borderId="80" xfId="42" applyNumberFormat="1" applyFont="1" applyFill="1" applyBorder="1" applyAlignment="1"/>
    <xf numFmtId="2" fontId="40" fillId="11" borderId="82" xfId="42" applyNumberFormat="1" applyFont="1" applyFill="1" applyBorder="1" applyAlignment="1"/>
    <xf numFmtId="2" fontId="40" fillId="11" borderId="0" xfId="42" applyNumberFormat="1" applyFont="1" applyFill="1" applyBorder="1" applyAlignment="1"/>
    <xf numFmtId="1" fontId="40" fillId="13" borderId="92" xfId="42" applyNumberFormat="1" applyFont="1" applyFill="1" applyBorder="1" applyAlignment="1"/>
    <xf numFmtId="165" fontId="40" fillId="20" borderId="0" xfId="42" applyNumberFormat="1" applyFont="1" applyFill="1" applyBorder="1" applyAlignment="1"/>
    <xf numFmtId="166" fontId="40" fillId="0" borderId="0" xfId="398" applyNumberFormat="1" applyFont="1" applyBorder="1" applyAlignment="1"/>
    <xf numFmtId="165" fontId="34" fillId="0" borderId="0" xfId="42" applyNumberFormat="1" applyFont="1" applyBorder="1" applyAlignment="1"/>
    <xf numFmtId="2" fontId="40" fillId="21" borderId="0" xfId="42" applyNumberFormat="1" applyFont="1" applyFill="1" applyBorder="1" applyAlignment="1"/>
    <xf numFmtId="0" fontId="40" fillId="0" borderId="0" xfId="42" applyFont="1" applyAlignment="1"/>
    <xf numFmtId="1" fontId="40" fillId="15" borderId="72" xfId="42" applyNumberFormat="1" applyFont="1" applyFill="1" applyBorder="1" applyAlignment="1"/>
    <xf numFmtId="165" fontId="40" fillId="20" borderId="0" xfId="42" applyNumberFormat="1" applyFont="1" applyFill="1" applyBorder="1"/>
    <xf numFmtId="165" fontId="34" fillId="0" borderId="17" xfId="42" applyNumberFormat="1" applyFont="1" applyBorder="1"/>
    <xf numFmtId="166" fontId="43" fillId="34" borderId="0" xfId="398" applyNumberFormat="1" applyFont="1" applyFill="1" applyBorder="1"/>
    <xf numFmtId="166" fontId="43" fillId="34" borderId="30" xfId="398" applyNumberFormat="1" applyFont="1" applyFill="1" applyBorder="1"/>
    <xf numFmtId="166" fontId="34" fillId="34" borderId="0" xfId="42" applyNumberFormat="1" applyFont="1" applyFill="1" applyBorder="1"/>
    <xf numFmtId="1" fontId="40" fillId="13" borderId="99" xfId="42" applyNumberFormat="1" applyFont="1" applyFill="1" applyBorder="1" applyAlignment="1"/>
    <xf numFmtId="166" fontId="40" fillId="0" borderId="0" xfId="398" applyNumberFormat="1" applyFont="1" applyFill="1" applyBorder="1" applyAlignment="1"/>
    <xf numFmtId="1" fontId="40" fillId="13" borderId="40" xfId="42" applyNumberFormat="1" applyFont="1" applyFill="1" applyBorder="1" applyAlignment="1"/>
    <xf numFmtId="0" fontId="34" fillId="0" borderId="0" xfId="42" applyFont="1" applyAlignment="1">
      <alignment horizontal="right" vertical="top"/>
    </xf>
    <xf numFmtId="165" fontId="40" fillId="20" borderId="76" xfId="42" applyNumberFormat="1" applyFont="1" applyFill="1" applyBorder="1" applyAlignment="1"/>
    <xf numFmtId="165" fontId="52" fillId="19" borderId="0" xfId="42" applyNumberFormat="1" applyFont="1" applyFill="1" applyBorder="1" applyAlignment="1">
      <alignment horizontal="right"/>
    </xf>
    <xf numFmtId="165" fontId="40" fillId="0" borderId="82" xfId="42" applyNumberFormat="1" applyFont="1" applyBorder="1" applyAlignment="1"/>
    <xf numFmtId="166" fontId="40" fillId="0" borderId="17" xfId="398" applyNumberFormat="1" applyFont="1" applyBorder="1" applyAlignment="1"/>
    <xf numFmtId="166" fontId="40" fillId="13" borderId="0" xfId="398" applyNumberFormat="1" applyFont="1" applyFill="1" applyBorder="1" applyAlignment="1"/>
    <xf numFmtId="166" fontId="40" fillId="0" borderId="30" xfId="398" applyNumberFormat="1" applyFont="1" applyBorder="1" applyAlignment="1"/>
    <xf numFmtId="2" fontId="40" fillId="34" borderId="82" xfId="42" applyNumberFormat="1" applyFont="1" applyFill="1" applyBorder="1" applyAlignment="1"/>
    <xf numFmtId="2" fontId="40" fillId="11" borderId="78" xfId="42" applyNumberFormat="1" applyFont="1" applyFill="1" applyBorder="1" applyAlignment="1" applyProtection="1">
      <alignment horizontal="right"/>
      <protection locked="0"/>
    </xf>
    <xf numFmtId="2" fontId="40" fillId="11" borderId="72" xfId="42" applyNumberFormat="1" applyFont="1" applyFill="1" applyBorder="1" applyAlignment="1" applyProtection="1">
      <alignment horizontal="right"/>
      <protection locked="0"/>
    </xf>
    <xf numFmtId="165" fontId="91" fillId="15" borderId="0" xfId="42" applyNumberFormat="1" applyFont="1" applyFill="1" applyBorder="1" applyAlignment="1">
      <alignment horizontal="right"/>
    </xf>
    <xf numFmtId="2" fontId="40" fillId="11" borderId="67" xfId="42" applyNumberFormat="1" applyFont="1" applyFill="1" applyBorder="1" applyAlignment="1" applyProtection="1">
      <alignment horizontal="right"/>
      <protection locked="0"/>
    </xf>
    <xf numFmtId="165" fontId="34" fillId="15" borderId="0" xfId="42" applyNumberFormat="1" applyFont="1" applyFill="1" applyBorder="1" applyAlignment="1">
      <alignment horizontal="right"/>
    </xf>
    <xf numFmtId="2" fontId="40" fillId="11" borderId="0" xfId="42" applyNumberFormat="1" applyFont="1" applyFill="1" applyBorder="1" applyAlignment="1" applyProtection="1">
      <alignment horizontal="right"/>
      <protection locked="0"/>
    </xf>
    <xf numFmtId="165" fontId="34" fillId="21" borderId="68" xfId="42" applyNumberFormat="1" applyFont="1" applyFill="1" applyBorder="1" applyAlignment="1">
      <alignment horizontal="right"/>
    </xf>
    <xf numFmtId="165" fontId="34" fillId="15" borderId="0" xfId="42" applyNumberFormat="1" applyFont="1" applyFill="1" applyBorder="1"/>
    <xf numFmtId="165" fontId="34" fillId="21" borderId="68" xfId="42" applyNumberFormat="1" applyFont="1" applyFill="1" applyBorder="1"/>
    <xf numFmtId="165" fontId="91" fillId="21" borderId="68" xfId="42" applyNumberFormat="1" applyFont="1" applyFill="1" applyBorder="1" applyAlignment="1">
      <alignment horizontal="right"/>
    </xf>
    <xf numFmtId="2" fontId="39" fillId="11" borderId="0" xfId="42" applyNumberFormat="1" applyFont="1" applyFill="1" applyBorder="1" applyAlignment="1" applyProtection="1">
      <alignment horizontal="right"/>
      <protection locked="0"/>
    </xf>
    <xf numFmtId="165" fontId="34" fillId="15" borderId="72" xfId="42" applyNumberFormat="1" applyFont="1" applyFill="1" applyBorder="1"/>
    <xf numFmtId="165" fontId="34" fillId="21" borderId="109" xfId="42" applyNumberFormat="1" applyFont="1" applyFill="1" applyBorder="1"/>
    <xf numFmtId="2" fontId="39" fillId="11" borderId="103" xfId="42" applyNumberFormat="1" applyFont="1" applyFill="1" applyBorder="1" applyAlignment="1" applyProtection="1">
      <alignment horizontal="right"/>
      <protection locked="0"/>
    </xf>
    <xf numFmtId="2" fontId="40" fillId="13" borderId="0" xfId="42" applyNumberFormat="1" applyFont="1" applyFill="1" applyBorder="1" applyAlignment="1"/>
    <xf numFmtId="165" fontId="40" fillId="0" borderId="0" xfId="42" applyNumberFormat="1" applyFont="1" applyAlignment="1"/>
    <xf numFmtId="1" fontId="40" fillId="13" borderId="17" xfId="42" applyNumberFormat="1" applyFont="1" applyFill="1" applyBorder="1" applyAlignment="1"/>
    <xf numFmtId="165" fontId="40" fillId="0" borderId="17" xfId="42" applyNumberFormat="1" applyFont="1" applyBorder="1" applyAlignment="1">
      <alignment vertical="center"/>
    </xf>
    <xf numFmtId="2" fontId="40" fillId="34" borderId="138" xfId="398" applyNumberFormat="1" applyFont="1" applyFill="1" applyBorder="1" applyAlignment="1"/>
    <xf numFmtId="166" fontId="40" fillId="13" borderId="30" xfId="398" applyNumberFormat="1" applyFont="1" applyFill="1" applyBorder="1" applyAlignment="1"/>
    <xf numFmtId="2" fontId="40" fillId="34" borderId="0" xfId="42" applyNumberFormat="1" applyFont="1" applyFill="1" applyBorder="1" applyAlignment="1"/>
    <xf numFmtId="165" fontId="40" fillId="21" borderId="0" xfId="42" applyNumberFormat="1" applyFont="1" applyFill="1" applyBorder="1" applyAlignment="1"/>
    <xf numFmtId="10" fontId="40" fillId="0" borderId="17" xfId="398" applyNumberFormat="1" applyFont="1" applyBorder="1" applyAlignment="1"/>
    <xf numFmtId="10" fontId="40" fillId="0" borderId="0" xfId="398" applyNumberFormat="1" applyFont="1" applyBorder="1" applyAlignment="1"/>
    <xf numFmtId="10" fontId="40" fillId="0" borderId="30" xfId="398" applyNumberFormat="1" applyFont="1" applyBorder="1" applyAlignment="1"/>
    <xf numFmtId="10" fontId="40" fillId="13" borderId="0" xfId="398" applyNumberFormat="1" applyFont="1" applyFill="1" applyBorder="1" applyAlignment="1"/>
    <xf numFmtId="165" fontId="40" fillId="0" borderId="0" xfId="42" applyNumberFormat="1" applyFont="1" applyBorder="1" applyAlignment="1"/>
    <xf numFmtId="165" fontId="34" fillId="0" borderId="82" xfId="42" applyNumberFormat="1" applyFont="1" applyBorder="1" applyAlignment="1"/>
    <xf numFmtId="165" fontId="40" fillId="0" borderId="76" xfId="42" applyNumberFormat="1" applyFont="1" applyBorder="1" applyAlignment="1"/>
    <xf numFmtId="165" fontId="40" fillId="0" borderId="80" xfId="42" applyNumberFormat="1" applyFont="1" applyBorder="1" applyAlignment="1"/>
    <xf numFmtId="165" fontId="34" fillId="0" borderId="0" xfId="42" applyNumberFormat="1" applyFont="1" applyFill="1" applyBorder="1" applyAlignment="1"/>
    <xf numFmtId="167" fontId="40" fillId="0" borderId="0" xfId="42" applyNumberFormat="1" applyFont="1" applyAlignment="1"/>
    <xf numFmtId="166" fontId="40" fillId="0" borderId="0" xfId="398" applyNumberFormat="1" applyFont="1" applyAlignment="1"/>
    <xf numFmtId="165" fontId="34" fillId="21" borderId="0" xfId="42" applyNumberFormat="1" applyFont="1" applyFill="1" applyBorder="1" applyAlignment="1"/>
    <xf numFmtId="165" fontId="40" fillId="15" borderId="76" xfId="42" applyNumberFormat="1" applyFont="1" applyFill="1" applyBorder="1" applyAlignment="1"/>
    <xf numFmtId="2" fontId="40" fillId="0" borderId="0" xfId="42" applyNumberFormat="1" applyFont="1" applyAlignment="1"/>
    <xf numFmtId="2" fontId="40" fillId="20" borderId="0" xfId="42" applyNumberFormat="1" applyFont="1" applyFill="1" applyBorder="1" applyAlignment="1"/>
    <xf numFmtId="0" fontId="34" fillId="0" borderId="0" xfId="42" quotePrefix="1" applyFont="1" applyAlignment="1"/>
    <xf numFmtId="165" fontId="34" fillId="0" borderId="17" xfId="42" applyNumberFormat="1" applyFont="1" applyFill="1" applyBorder="1" applyAlignment="1"/>
    <xf numFmtId="165" fontId="34" fillId="0" borderId="30" xfId="42" applyNumberFormat="1" applyFont="1" applyFill="1" applyBorder="1" applyAlignment="1"/>
    <xf numFmtId="166" fontId="34" fillId="0" borderId="17" xfId="398" applyNumberFormat="1" applyFont="1" applyBorder="1" applyAlignment="1"/>
    <xf numFmtId="166" fontId="34" fillId="0" borderId="0" xfId="398" applyNumberFormat="1" applyFont="1" applyBorder="1" applyAlignment="1"/>
    <xf numFmtId="166" fontId="34" fillId="0" borderId="30" xfId="398" applyNumberFormat="1" applyFont="1" applyBorder="1" applyAlignment="1"/>
    <xf numFmtId="166" fontId="34" fillId="13" borderId="0" xfId="398" applyNumberFormat="1" applyFont="1" applyFill="1" applyBorder="1" applyAlignment="1"/>
    <xf numFmtId="165" fontId="34" fillId="13" borderId="0" xfId="42" applyNumberFormat="1" applyFont="1" applyFill="1" applyBorder="1" applyAlignment="1"/>
    <xf numFmtId="166" fontId="34" fillId="0" borderId="0" xfId="398" applyNumberFormat="1" applyFont="1" applyFill="1" applyBorder="1" applyAlignment="1"/>
    <xf numFmtId="166" fontId="34" fillId="13" borderId="30" xfId="398" applyNumberFormat="1" applyFont="1" applyFill="1" applyBorder="1" applyAlignment="1"/>
    <xf numFmtId="0" fontId="34" fillId="0" borderId="0" xfId="42" applyFont="1" applyAlignment="1"/>
    <xf numFmtId="165" fontId="114" fillId="19" borderId="0" xfId="42" applyNumberFormat="1" applyFont="1" applyFill="1" applyAlignment="1"/>
    <xf numFmtId="2" fontId="114" fillId="21" borderId="0" xfId="42" applyNumberFormat="1" applyFont="1" applyFill="1" applyAlignment="1"/>
    <xf numFmtId="2" fontId="40" fillId="34" borderId="80" xfId="42" applyNumberFormat="1" applyFont="1" applyFill="1" applyBorder="1" applyAlignment="1"/>
    <xf numFmtId="165" fontId="34" fillId="0" borderId="0" xfId="42" applyNumberFormat="1" applyFont="1" applyAlignment="1"/>
    <xf numFmtId="166" fontId="52" fillId="19" borderId="0" xfId="398" applyNumberFormat="1" applyFont="1" applyFill="1" applyBorder="1" applyAlignment="1"/>
    <xf numFmtId="165" fontId="52" fillId="21" borderId="0" xfId="42" applyNumberFormat="1" applyFont="1" applyFill="1" applyBorder="1" applyAlignment="1"/>
    <xf numFmtId="10" fontId="34" fillId="13" borderId="0" xfId="398" applyNumberFormat="1" applyFont="1" applyFill="1" applyBorder="1" applyAlignment="1"/>
    <xf numFmtId="165" fontId="40" fillId="11" borderId="80" xfId="42" applyNumberFormat="1" applyFont="1" applyFill="1" applyBorder="1" applyAlignment="1"/>
    <xf numFmtId="165" fontId="40" fillId="11" borderId="0" xfId="42" applyNumberFormat="1" applyFont="1" applyFill="1" applyBorder="1" applyAlignment="1"/>
    <xf numFmtId="167" fontId="40" fillId="20" borderId="0" xfId="42" applyNumberFormat="1" applyFont="1" applyFill="1" applyAlignment="1"/>
    <xf numFmtId="165" fontId="40" fillId="21" borderId="0" xfId="42" applyNumberFormat="1" applyFont="1" applyFill="1" applyAlignment="1"/>
    <xf numFmtId="166" fontId="40" fillId="34" borderId="138" xfId="398" applyNumberFormat="1" applyFont="1" applyFill="1" applyBorder="1" applyAlignment="1"/>
    <xf numFmtId="10" fontId="34" fillId="0" borderId="30" xfId="398" applyNumberFormat="1" applyFont="1" applyBorder="1" applyAlignment="1"/>
    <xf numFmtId="166" fontId="34" fillId="13" borderId="0" xfId="398" applyNumberFormat="1" applyFont="1" applyFill="1" applyAlignment="1">
      <alignment vertical="center"/>
    </xf>
    <xf numFmtId="10" fontId="40" fillId="13" borderId="0" xfId="398" applyNumberFormat="1" applyFont="1" applyFill="1" applyAlignment="1"/>
    <xf numFmtId="165" fontId="40" fillId="15" borderId="0" xfId="42" applyNumberFormat="1" applyFont="1" applyFill="1" applyBorder="1" applyAlignment="1"/>
    <xf numFmtId="165" fontId="40" fillId="0" borderId="71" xfId="42" applyNumberFormat="1" applyFont="1" applyFill="1" applyBorder="1" applyAlignment="1"/>
    <xf numFmtId="166" fontId="40" fillId="0" borderId="0" xfId="42" applyNumberFormat="1" applyFont="1" applyAlignment="1"/>
    <xf numFmtId="166" fontId="40" fillId="13" borderId="76" xfId="398" applyNumberFormat="1" applyFont="1" applyFill="1" applyBorder="1" applyAlignment="1"/>
    <xf numFmtId="2" fontId="40" fillId="11" borderId="41" xfId="42" applyNumberFormat="1" applyFont="1" applyFill="1" applyBorder="1" applyAlignment="1">
      <alignment horizontal="center" vertical="center"/>
    </xf>
    <xf numFmtId="167" fontId="28" fillId="0" borderId="0" xfId="42" applyNumberFormat="1" applyFont="1" applyAlignment="1"/>
    <xf numFmtId="165" fontId="34" fillId="0" borderId="19" xfId="42" applyNumberFormat="1" applyFont="1" applyFill="1" applyBorder="1" applyProtection="1"/>
    <xf numFmtId="165" fontId="34" fillId="0" borderId="17" xfId="42" applyNumberFormat="1" applyFont="1" applyFill="1" applyBorder="1" applyProtection="1"/>
    <xf numFmtId="165" fontId="34" fillId="0" borderId="26" xfId="42" applyNumberFormat="1" applyFont="1" applyFill="1" applyBorder="1" applyProtection="1"/>
    <xf numFmtId="165" fontId="34" fillId="0" borderId="2" xfId="42" applyNumberFormat="1" applyFont="1" applyFill="1" applyBorder="1" applyProtection="1"/>
    <xf numFmtId="0" fontId="43" fillId="0" borderId="33" xfId="42" applyFont="1" applyFill="1" applyBorder="1" applyProtection="1"/>
    <xf numFmtId="0" fontId="43" fillId="0" borderId="3" xfId="42" applyFont="1" applyFill="1" applyBorder="1" applyProtection="1"/>
    <xf numFmtId="0" fontId="34" fillId="0" borderId="37" xfId="42" applyFont="1" applyFill="1" applyBorder="1" applyAlignment="1" applyProtection="1">
      <alignment horizontal="right"/>
    </xf>
    <xf numFmtId="0" fontId="28" fillId="0" borderId="17" xfId="42" applyFont="1" applyFill="1" applyBorder="1" applyProtection="1"/>
    <xf numFmtId="0" fontId="28" fillId="0" borderId="20" xfId="42" applyFont="1" applyFill="1" applyBorder="1" applyProtection="1"/>
    <xf numFmtId="167" fontId="34" fillId="0" borderId="0" xfId="42" applyNumberFormat="1" applyFont="1" applyFill="1" applyBorder="1" applyProtection="1"/>
    <xf numFmtId="0" fontId="28" fillId="0" borderId="21" xfId="42" applyFont="1" applyFill="1" applyBorder="1"/>
    <xf numFmtId="14" fontId="36" fillId="0" borderId="21" xfId="42" applyNumberFormat="1" applyFont="1" applyFill="1" applyBorder="1" applyAlignment="1" applyProtection="1">
      <alignment horizontal="center"/>
    </xf>
    <xf numFmtId="0" fontId="32" fillId="0" borderId="31" xfId="42" applyFont="1" applyFill="1" applyBorder="1" applyAlignment="1" applyProtection="1">
      <alignment horizontal="center"/>
    </xf>
    <xf numFmtId="0" fontId="34" fillId="0" borderId="25" xfId="42" applyFont="1" applyFill="1" applyBorder="1" applyAlignment="1" applyProtection="1">
      <alignment horizontal="center"/>
    </xf>
    <xf numFmtId="165" fontId="28" fillId="0" borderId="30" xfId="42" applyNumberFormat="1" applyFont="1" applyFill="1" applyBorder="1"/>
    <xf numFmtId="0" fontId="40" fillId="0" borderId="30" xfId="42" applyFont="1" applyFill="1" applyBorder="1" applyAlignment="1" applyProtection="1">
      <alignment horizontal="right"/>
    </xf>
    <xf numFmtId="165" fontId="34" fillId="0" borderId="25" xfId="42" quotePrefix="1" applyNumberFormat="1" applyFont="1" applyFill="1" applyBorder="1" applyAlignment="1" applyProtection="1">
      <alignment horizontal="right"/>
    </xf>
    <xf numFmtId="165" fontId="34" fillId="0" borderId="26" xfId="42" quotePrefix="1" applyNumberFormat="1" applyFont="1" applyFill="1" applyBorder="1" applyAlignment="1" applyProtection="1">
      <alignment horizontal="right"/>
    </xf>
    <xf numFmtId="0" fontId="40" fillId="0" borderId="6" xfId="42" applyFont="1" applyFill="1" applyBorder="1" applyAlignment="1" applyProtection="1">
      <alignment horizontal="center"/>
    </xf>
    <xf numFmtId="0" fontId="40" fillId="0" borderId="6" xfId="42" quotePrefix="1" applyFont="1" applyFill="1" applyBorder="1" applyAlignment="1" applyProtection="1">
      <alignment horizontal="right"/>
    </xf>
    <xf numFmtId="0" fontId="40" fillId="0" borderId="57" xfId="42" quotePrefix="1" applyFont="1" applyFill="1" applyBorder="1" applyAlignment="1" applyProtection="1">
      <alignment horizontal="left"/>
    </xf>
    <xf numFmtId="0" fontId="40" fillId="0" borderId="58" xfId="42" applyFont="1" applyFill="1" applyBorder="1" applyAlignment="1" applyProtection="1">
      <alignment horizontal="center"/>
    </xf>
    <xf numFmtId="165" fontId="40" fillId="0" borderId="58" xfId="42" applyNumberFormat="1" applyFont="1" applyFill="1" applyBorder="1" applyProtection="1"/>
    <xf numFmtId="167" fontId="34" fillId="0" borderId="57" xfId="42" applyNumberFormat="1" applyFont="1" applyFill="1" applyBorder="1" applyProtection="1"/>
    <xf numFmtId="165" fontId="40" fillId="0" borderId="58" xfId="42" quotePrefix="1" applyNumberFormat="1" applyFont="1" applyFill="1" applyBorder="1" applyAlignment="1" applyProtection="1">
      <alignment horizontal="right"/>
    </xf>
    <xf numFmtId="165" fontId="40" fillId="0" borderId="130" xfId="42" quotePrefix="1" applyNumberFormat="1" applyFont="1" applyFill="1" applyBorder="1" applyAlignment="1" applyProtection="1">
      <alignment horizontal="right"/>
    </xf>
    <xf numFmtId="165" fontId="0" fillId="0" borderId="25" xfId="42" applyNumberFormat="1" applyFont="1" applyFill="1" applyBorder="1"/>
    <xf numFmtId="165" fontId="0" fillId="0" borderId="26" xfId="42" applyNumberFormat="1" applyFont="1" applyFill="1" applyBorder="1"/>
    <xf numFmtId="165" fontId="40" fillId="0" borderId="31" xfId="42" quotePrefix="1" applyNumberFormat="1" applyFont="1" applyFill="1" applyBorder="1" applyAlignment="1" applyProtection="1">
      <alignment horizontal="right"/>
    </xf>
    <xf numFmtId="165" fontId="40" fillId="0" borderId="32" xfId="42" quotePrefix="1" applyNumberFormat="1" applyFont="1" applyFill="1" applyBorder="1" applyAlignment="1" applyProtection="1">
      <alignment horizontal="right"/>
    </xf>
    <xf numFmtId="165" fontId="34" fillId="0" borderId="45" xfId="42" applyNumberFormat="1" applyFont="1" applyFill="1" applyBorder="1" applyProtection="1"/>
    <xf numFmtId="165" fontId="34" fillId="0" borderId="131" xfId="42" applyNumberFormat="1" applyFont="1" applyFill="1" applyBorder="1" applyProtection="1"/>
    <xf numFmtId="165" fontId="34" fillId="0" borderId="133" xfId="42" applyNumberFormat="1" applyFont="1" applyFill="1" applyBorder="1" applyProtection="1"/>
    <xf numFmtId="0" fontId="0" fillId="12" borderId="19" xfId="42" applyFont="1" applyFill="1" applyBorder="1"/>
    <xf numFmtId="0" fontId="40" fillId="12" borderId="17" xfId="42" applyFont="1" applyFill="1" applyBorder="1" applyProtection="1"/>
    <xf numFmtId="0" fontId="34" fillId="12" borderId="17" xfId="42" applyFont="1" applyFill="1" applyBorder="1" applyProtection="1"/>
    <xf numFmtId="15" fontId="40" fillId="12" borderId="17" xfId="42" applyNumberFormat="1" applyFont="1" applyFill="1" applyBorder="1" applyAlignment="1" applyProtection="1">
      <alignment horizontal="left"/>
    </xf>
    <xf numFmtId="0" fontId="40" fillId="12" borderId="20" xfId="42" applyFont="1" applyFill="1" applyBorder="1" applyProtection="1"/>
    <xf numFmtId="0" fontId="41" fillId="12" borderId="21" xfId="42" applyFont="1" applyFill="1" applyBorder="1" applyAlignment="1" applyProtection="1">
      <alignment horizontal="center"/>
    </xf>
    <xf numFmtId="0" fontId="40" fillId="12" borderId="0" xfId="42" applyFont="1" applyFill="1" applyBorder="1" applyAlignment="1" applyProtection="1">
      <alignment horizontal="center"/>
    </xf>
    <xf numFmtId="0" fontId="40" fillId="12" borderId="21" xfId="42" applyFont="1" applyFill="1" applyBorder="1" applyAlignment="1" applyProtection="1">
      <alignment horizontal="center"/>
    </xf>
    <xf numFmtId="0" fontId="34" fillId="12" borderId="0" xfId="42" quotePrefix="1" applyFont="1" applyFill="1" applyBorder="1" applyAlignment="1" applyProtection="1">
      <alignment horizontal="left"/>
    </xf>
    <xf numFmtId="0" fontId="40" fillId="12" borderId="0" xfId="42" applyFont="1" applyFill="1" applyBorder="1" applyAlignment="1" applyProtection="1">
      <alignment horizontal="left"/>
    </xf>
    <xf numFmtId="0" fontId="34" fillId="12" borderId="0" xfId="42" applyFont="1" applyFill="1" applyBorder="1" applyProtection="1"/>
    <xf numFmtId="3" fontId="34" fillId="12" borderId="21" xfId="42" applyNumberFormat="1" applyFont="1" applyFill="1" applyBorder="1" applyProtection="1"/>
    <xf numFmtId="0" fontId="40" fillId="12" borderId="0" xfId="42" applyFont="1" applyFill="1" applyBorder="1" applyProtection="1"/>
    <xf numFmtId="3" fontId="34" fillId="12" borderId="0" xfId="42" applyNumberFormat="1" applyFont="1" applyFill="1" applyBorder="1" applyProtection="1"/>
    <xf numFmtId="0" fontId="34" fillId="12" borderId="0" xfId="42" applyFont="1" applyFill="1" applyBorder="1" applyAlignment="1" applyProtection="1">
      <alignment horizontal="left"/>
    </xf>
    <xf numFmtId="15" fontId="42" fillId="12" borderId="21" xfId="42" applyNumberFormat="1" applyFont="1" applyFill="1" applyBorder="1" applyAlignment="1" applyProtection="1">
      <alignment horizontal="left"/>
    </xf>
    <xf numFmtId="0" fontId="34" fillId="12" borderId="7" xfId="42" applyFont="1" applyFill="1" applyBorder="1" applyProtection="1"/>
    <xf numFmtId="0" fontId="34" fillId="12" borderId="6" xfId="42" applyFont="1" applyFill="1" applyBorder="1" applyProtection="1"/>
    <xf numFmtId="1" fontId="40" fillId="12" borderId="22" xfId="42" applyNumberFormat="1" applyFont="1" applyFill="1" applyBorder="1" applyAlignment="1" applyProtection="1">
      <alignment horizontal="center"/>
    </xf>
    <xf numFmtId="1" fontId="40" fillId="12" borderId="23" xfId="42" applyNumberFormat="1" applyFont="1" applyFill="1" applyBorder="1" applyAlignment="1" applyProtection="1">
      <alignment horizontal="center"/>
    </xf>
    <xf numFmtId="1" fontId="40" fillId="12" borderId="8" xfId="42" applyNumberFormat="1" applyFont="1" applyFill="1" applyBorder="1" applyAlignment="1" applyProtection="1">
      <alignment horizontal="center"/>
    </xf>
    <xf numFmtId="1" fontId="40" fillId="12" borderId="21" xfId="42" applyNumberFormat="1" applyFont="1" applyFill="1" applyBorder="1" applyProtection="1"/>
    <xf numFmtId="0" fontId="40" fillId="12" borderId="21" xfId="42" applyFont="1" applyFill="1" applyBorder="1" applyAlignment="1" applyProtection="1">
      <alignment horizontal="centerContinuous"/>
    </xf>
    <xf numFmtId="0" fontId="43" fillId="12" borderId="24" xfId="42" applyFont="1" applyFill="1" applyBorder="1" applyProtection="1"/>
    <xf numFmtId="165" fontId="34" fillId="12" borderId="25" xfId="42" applyNumberFormat="1" applyFont="1" applyFill="1" applyBorder="1" applyAlignment="1" applyProtection="1">
      <alignment horizontal="right"/>
    </xf>
    <xf numFmtId="165" fontId="34" fillId="12" borderId="17" xfId="42" applyNumberFormat="1" applyFont="1" applyFill="1" applyBorder="1" applyAlignment="1" applyProtection="1">
      <alignment horizontal="right"/>
    </xf>
    <xf numFmtId="165" fontId="34" fillId="12" borderId="26" xfId="42" applyNumberFormat="1" applyFont="1" applyFill="1" applyBorder="1" applyAlignment="1" applyProtection="1">
      <alignment horizontal="right"/>
    </xf>
    <xf numFmtId="0" fontId="34" fillId="12" borderId="21" xfId="42" applyFont="1" applyFill="1" applyBorder="1" applyAlignment="1" applyProtection="1">
      <alignment horizontal="right"/>
    </xf>
    <xf numFmtId="0" fontId="0" fillId="12" borderId="27" xfId="42" applyFont="1" applyFill="1" applyBorder="1"/>
    <xf numFmtId="0" fontId="0" fillId="12" borderId="28" xfId="42" applyFont="1" applyFill="1" applyBorder="1"/>
    <xf numFmtId="0" fontId="34" fillId="12" borderId="18" xfId="42" applyFont="1" applyFill="1" applyBorder="1" applyAlignment="1" applyProtection="1"/>
    <xf numFmtId="0" fontId="40" fillId="12" borderId="21" xfId="42" applyFont="1" applyFill="1" applyBorder="1" applyAlignment="1" applyProtection="1">
      <alignment horizontal="right"/>
    </xf>
    <xf numFmtId="0" fontId="43" fillId="12" borderId="18" xfId="42" applyFont="1" applyFill="1" applyBorder="1" applyProtection="1"/>
    <xf numFmtId="165" fontId="28" fillId="12" borderId="27" xfId="42" applyNumberFormat="1" applyFont="1" applyFill="1" applyBorder="1"/>
    <xf numFmtId="165" fontId="28" fillId="12" borderId="28" xfId="42" applyNumberFormat="1" applyFont="1" applyFill="1" applyBorder="1"/>
    <xf numFmtId="165" fontId="34" fillId="12" borderId="27" xfId="42" applyNumberFormat="1" applyFont="1" applyFill="1" applyBorder="1" applyAlignment="1" applyProtection="1">
      <alignment horizontal="right"/>
    </xf>
    <xf numFmtId="165" fontId="34" fillId="12" borderId="0" xfId="42" applyNumberFormat="1" applyFont="1" applyFill="1" applyBorder="1" applyAlignment="1" applyProtection="1">
      <alignment horizontal="right"/>
    </xf>
    <xf numFmtId="165" fontId="34" fillId="12" borderId="28" xfId="42" applyNumberFormat="1" applyFont="1" applyFill="1" applyBorder="1" applyAlignment="1" applyProtection="1">
      <alignment horizontal="right"/>
    </xf>
    <xf numFmtId="0" fontId="34" fillId="12" borderId="29" xfId="42" applyFont="1" applyFill="1" applyBorder="1" applyProtection="1"/>
    <xf numFmtId="0" fontId="34" fillId="12" borderId="30" xfId="42" applyFont="1" applyFill="1" applyBorder="1" applyProtection="1"/>
    <xf numFmtId="165" fontId="34" fillId="12" borderId="31" xfId="42" applyNumberFormat="1" applyFont="1" applyFill="1" applyBorder="1" applyAlignment="1" applyProtection="1">
      <alignment horizontal="right"/>
    </xf>
    <xf numFmtId="165" fontId="34" fillId="12" borderId="30" xfId="42" applyNumberFormat="1" applyFont="1" applyFill="1" applyBorder="1" applyAlignment="1" applyProtection="1">
      <alignment horizontal="right"/>
    </xf>
    <xf numFmtId="165" fontId="34" fillId="12" borderId="32" xfId="42" applyNumberFormat="1" applyFont="1" applyFill="1" applyBorder="1" applyAlignment="1" applyProtection="1">
      <alignment horizontal="right"/>
    </xf>
    <xf numFmtId="0" fontId="34" fillId="12" borderId="24" xfId="42" applyFont="1" applyFill="1" applyBorder="1" applyProtection="1"/>
    <xf numFmtId="0" fontId="31" fillId="12" borderId="18" xfId="42" applyFont="1" applyFill="1" applyBorder="1" applyProtection="1"/>
    <xf numFmtId="0" fontId="110" fillId="12" borderId="0" xfId="42" applyFont="1" applyFill="1" applyBorder="1" applyProtection="1"/>
    <xf numFmtId="165" fontId="31" fillId="12" borderId="27" xfId="42" applyNumberFormat="1" applyFont="1" applyFill="1" applyBorder="1" applyAlignment="1" applyProtection="1">
      <alignment horizontal="right"/>
    </xf>
    <xf numFmtId="165" fontId="31" fillId="12" borderId="0" xfId="42" applyNumberFormat="1" applyFont="1" applyFill="1" applyBorder="1" applyAlignment="1" applyProtection="1">
      <alignment horizontal="right"/>
    </xf>
    <xf numFmtId="165" fontId="31" fillId="12" borderId="28" xfId="42" applyNumberFormat="1" applyFont="1" applyFill="1" applyBorder="1" applyAlignment="1" applyProtection="1">
      <alignment horizontal="right"/>
    </xf>
    <xf numFmtId="0" fontId="43" fillId="12" borderId="21" xfId="42" applyFont="1" applyFill="1" applyBorder="1" applyAlignment="1" applyProtection="1">
      <alignment horizontal="right"/>
    </xf>
    <xf numFmtId="165" fontId="28" fillId="12" borderId="0" xfId="42" applyNumberFormat="1" applyFont="1" applyFill="1" applyBorder="1" applyAlignment="1" applyProtection="1">
      <alignment horizontal="right"/>
    </xf>
    <xf numFmtId="0" fontId="43" fillId="12" borderId="0" xfId="42" applyFont="1" applyFill="1" applyBorder="1" applyProtection="1"/>
    <xf numFmtId="165" fontId="34" fillId="12" borderId="2" xfId="42" applyNumberFormat="1" applyFont="1" applyFill="1" applyBorder="1" applyAlignment="1" applyProtection="1">
      <alignment horizontal="right"/>
    </xf>
    <xf numFmtId="165" fontId="34" fillId="12" borderId="21" xfId="42" applyNumberFormat="1" applyFont="1" applyFill="1" applyBorder="1" applyAlignment="1" applyProtection="1">
      <alignment horizontal="right"/>
    </xf>
    <xf numFmtId="0" fontId="34" fillId="12" borderId="33" xfId="42" applyFont="1" applyFill="1" applyBorder="1" applyProtection="1"/>
    <xf numFmtId="0" fontId="36" fillId="12" borderId="3" xfId="42" applyFont="1" applyFill="1" applyBorder="1" applyProtection="1"/>
    <xf numFmtId="165" fontId="34" fillId="12" borderId="34" xfId="42" applyNumberFormat="1" applyFont="1" applyFill="1" applyBorder="1" applyAlignment="1" applyProtection="1">
      <alignment horizontal="right"/>
    </xf>
    <xf numFmtId="165" fontId="34" fillId="12" borderId="35" xfId="42" applyNumberFormat="1" applyFont="1" applyFill="1" applyBorder="1" applyAlignment="1" applyProtection="1">
      <alignment horizontal="right"/>
    </xf>
    <xf numFmtId="0" fontId="28" fillId="12" borderId="30" xfId="42" applyFont="1" applyFill="1" applyBorder="1"/>
    <xf numFmtId="0" fontId="40" fillId="12" borderId="30" xfId="42" applyFont="1" applyFill="1" applyBorder="1" applyAlignment="1" applyProtection="1">
      <alignment horizontal="right"/>
    </xf>
    <xf numFmtId="0" fontId="34" fillId="12" borderId="21" xfId="42" applyNumberFormat="1" applyFont="1" applyFill="1" applyBorder="1" applyAlignment="1" applyProtection="1">
      <alignment horizontal="centerContinuous"/>
    </xf>
    <xf numFmtId="0" fontId="34" fillId="12" borderId="21" xfId="42" applyNumberFormat="1" applyFont="1" applyFill="1" applyBorder="1" applyProtection="1"/>
    <xf numFmtId="0" fontId="42" fillId="12" borderId="21" xfId="42" applyFont="1" applyFill="1" applyBorder="1" applyProtection="1"/>
    <xf numFmtId="0" fontId="40" fillId="12" borderId="38" xfId="42" applyFont="1" applyFill="1" applyBorder="1" applyAlignment="1" applyProtection="1">
      <alignment horizontal="center"/>
    </xf>
    <xf numFmtId="1" fontId="40" fillId="12" borderId="44" xfId="42" applyNumberFormat="1" applyFont="1" applyFill="1" applyBorder="1" applyAlignment="1" applyProtection="1">
      <alignment horizontal="center"/>
    </xf>
    <xf numFmtId="0" fontId="40" fillId="12" borderId="27" xfId="42" applyFont="1" applyFill="1" applyBorder="1" applyAlignment="1" applyProtection="1">
      <alignment horizontal="center"/>
    </xf>
    <xf numFmtId="0" fontId="31" fillId="12" borderId="24" xfId="42" applyFont="1" applyFill="1" applyBorder="1" applyProtection="1"/>
    <xf numFmtId="0" fontId="31" fillId="12" borderId="17" xfId="42" applyFont="1" applyFill="1" applyBorder="1" applyProtection="1"/>
    <xf numFmtId="0" fontId="111" fillId="12" borderId="25" xfId="42" applyFont="1" applyFill="1" applyBorder="1" applyAlignment="1" applyProtection="1">
      <alignment horizontal="center"/>
    </xf>
    <xf numFmtId="165" fontId="31" fillId="12" borderId="19" xfId="42" applyNumberFormat="1" applyFont="1" applyFill="1" applyBorder="1" applyAlignment="1" applyProtection="1">
      <alignment horizontal="right"/>
    </xf>
    <xf numFmtId="165" fontId="31" fillId="12" borderId="25" xfId="42" applyNumberFormat="1" applyFont="1" applyFill="1" applyBorder="1" applyAlignment="1" applyProtection="1">
      <alignment horizontal="right"/>
    </xf>
    <xf numFmtId="165" fontId="31" fillId="12" borderId="26" xfId="42" applyNumberFormat="1" applyFont="1" applyFill="1" applyBorder="1" applyAlignment="1" applyProtection="1">
      <alignment horizontal="right"/>
    </xf>
    <xf numFmtId="0" fontId="31" fillId="12" borderId="0" xfId="42" applyFont="1" applyFill="1" applyBorder="1" applyProtection="1"/>
    <xf numFmtId="0" fontId="111" fillId="12" borderId="27" xfId="42" applyFont="1" applyFill="1" applyBorder="1" applyAlignment="1" applyProtection="1">
      <alignment horizontal="center"/>
    </xf>
    <xf numFmtId="165" fontId="31" fillId="12" borderId="2" xfId="42" applyNumberFormat="1" applyFont="1" applyFill="1" applyBorder="1" applyAlignment="1" applyProtection="1">
      <alignment horizontal="right"/>
    </xf>
    <xf numFmtId="0" fontId="105" fillId="12" borderId="29" xfId="42" applyFont="1" applyFill="1" applyBorder="1" applyAlignment="1" applyProtection="1"/>
    <xf numFmtId="0" fontId="31" fillId="12" borderId="30" xfId="42" applyFont="1" applyFill="1" applyBorder="1" applyProtection="1"/>
    <xf numFmtId="0" fontId="111" fillId="12" borderId="31" xfId="42" applyFont="1" applyFill="1" applyBorder="1" applyAlignment="1" applyProtection="1">
      <alignment horizontal="center"/>
    </xf>
    <xf numFmtId="165" fontId="105" fillId="12" borderId="30" xfId="42" applyNumberFormat="1" applyFont="1" applyFill="1" applyBorder="1" applyAlignment="1" applyProtection="1">
      <alignment horizontal="right"/>
    </xf>
    <xf numFmtId="165" fontId="105" fillId="12" borderId="31" xfId="42" applyNumberFormat="1" applyFont="1" applyFill="1" applyBorder="1" applyAlignment="1" applyProtection="1">
      <alignment horizontal="right"/>
    </xf>
    <xf numFmtId="165" fontId="105" fillId="12" borderId="32" xfId="42" applyNumberFormat="1" applyFont="1" applyFill="1" applyBorder="1" applyAlignment="1" applyProtection="1">
      <alignment horizontal="right"/>
    </xf>
    <xf numFmtId="0" fontId="42" fillId="12" borderId="27" xfId="42" applyFont="1" applyFill="1" applyBorder="1" applyAlignment="1" applyProtection="1">
      <alignment horizontal="center"/>
    </xf>
    <xf numFmtId="0" fontId="110" fillId="12" borderId="18" xfId="42" applyFont="1" applyFill="1" applyBorder="1" applyProtection="1"/>
    <xf numFmtId="0" fontId="112" fillId="12" borderId="27" xfId="42" applyFont="1" applyFill="1" applyBorder="1" applyAlignment="1" applyProtection="1">
      <alignment horizontal="center"/>
    </xf>
    <xf numFmtId="0" fontId="105" fillId="12" borderId="39" xfId="42" applyFont="1" applyFill="1" applyBorder="1" applyAlignment="1" applyProtection="1">
      <alignment horizontal="left"/>
    </xf>
    <xf numFmtId="0" fontId="105" fillId="12" borderId="40" xfId="42" applyFont="1" applyFill="1" applyBorder="1" applyProtection="1"/>
    <xf numFmtId="0" fontId="113" fillId="12" borderId="41" xfId="42" applyFont="1" applyFill="1" applyBorder="1" applyAlignment="1" applyProtection="1">
      <alignment horizontal="center"/>
    </xf>
    <xf numFmtId="165" fontId="105" fillId="12" borderId="40" xfId="42" applyNumberFormat="1" applyFont="1" applyFill="1" applyBorder="1" applyAlignment="1" applyProtection="1">
      <alignment horizontal="right"/>
    </xf>
    <xf numFmtId="165" fontId="105" fillId="12" borderId="41" xfId="42" applyNumberFormat="1" applyFont="1" applyFill="1" applyBorder="1" applyAlignment="1" applyProtection="1">
      <alignment horizontal="right"/>
    </xf>
    <xf numFmtId="165" fontId="105" fillId="12" borderId="43" xfId="42" applyNumberFormat="1" applyFont="1" applyFill="1" applyBorder="1" applyAlignment="1" applyProtection="1">
      <alignment horizontal="right"/>
    </xf>
    <xf numFmtId="165" fontId="3" fillId="12" borderId="0" xfId="42" applyNumberFormat="1" applyFont="1" applyFill="1" applyBorder="1" applyAlignment="1" applyProtection="1">
      <alignment horizontal="center"/>
    </xf>
    <xf numFmtId="0" fontId="28" fillId="12" borderId="18" xfId="42" quotePrefix="1" applyFont="1" applyFill="1" applyBorder="1" applyAlignment="1" applyProtection="1">
      <alignment horizontal="left"/>
    </xf>
    <xf numFmtId="0" fontId="28" fillId="12" borderId="0" xfId="42" applyFont="1" applyFill="1" applyBorder="1" applyProtection="1"/>
    <xf numFmtId="0" fontId="3" fillId="12" borderId="27" xfId="42" applyFont="1" applyFill="1" applyBorder="1" applyAlignment="1" applyProtection="1">
      <alignment horizontal="center"/>
    </xf>
    <xf numFmtId="165" fontId="28" fillId="12" borderId="2" xfId="42" applyNumberFormat="1" applyFont="1" applyFill="1" applyBorder="1" applyAlignment="1" applyProtection="1">
      <alignment horizontal="right"/>
    </xf>
    <xf numFmtId="165" fontId="28" fillId="12" borderId="19" xfId="42" applyNumberFormat="1" applyFont="1" applyFill="1" applyBorder="1" applyAlignment="1" applyProtection="1">
      <alignment horizontal="right"/>
    </xf>
    <xf numFmtId="165" fontId="28" fillId="12" borderId="26" xfId="42" applyNumberFormat="1" applyFont="1" applyFill="1" applyBorder="1" applyAlignment="1" applyProtection="1">
      <alignment horizontal="right"/>
    </xf>
    <xf numFmtId="0" fontId="28" fillId="12" borderId="33" xfId="42" quotePrefix="1" applyFont="1" applyFill="1" applyBorder="1" applyAlignment="1" applyProtection="1">
      <alignment horizontal="left"/>
    </xf>
    <xf numFmtId="0" fontId="28" fillId="12" borderId="3" xfId="42" applyFont="1" applyFill="1" applyBorder="1" applyProtection="1"/>
    <xf numFmtId="0" fontId="3" fillId="12" borderId="42" xfId="42" applyFont="1" applyFill="1" applyBorder="1" applyAlignment="1" applyProtection="1">
      <alignment horizontal="center"/>
    </xf>
    <xf numFmtId="165" fontId="28" fillId="12" borderId="34" xfId="42" applyNumberFormat="1" applyFont="1" applyFill="1" applyBorder="1" applyAlignment="1" applyProtection="1">
      <alignment horizontal="right"/>
    </xf>
    <xf numFmtId="165" fontId="28" fillId="12" borderId="35" xfId="42" applyNumberFormat="1" applyFont="1" applyFill="1" applyBorder="1" applyAlignment="1" applyProtection="1">
      <alignment horizontal="right"/>
    </xf>
    <xf numFmtId="0" fontId="0" fillId="12" borderId="17" xfId="42" applyFont="1" applyFill="1" applyBorder="1"/>
    <xf numFmtId="0" fontId="0" fillId="12" borderId="20" xfId="42" applyFont="1" applyFill="1" applyBorder="1"/>
    <xf numFmtId="0" fontId="0" fillId="12" borderId="0" xfId="42" applyFont="1" applyFill="1" applyBorder="1"/>
    <xf numFmtId="1" fontId="40" fillId="12" borderId="139" xfId="42" applyNumberFormat="1" applyFont="1" applyFill="1" applyBorder="1" applyAlignment="1" applyProtection="1">
      <alignment horizontal="center"/>
    </xf>
    <xf numFmtId="1" fontId="40" fillId="12" borderId="21" xfId="42" applyNumberFormat="1" applyFont="1" applyFill="1" applyBorder="1" applyAlignment="1" applyProtection="1">
      <alignment horizontal="center"/>
    </xf>
    <xf numFmtId="1" fontId="40" fillId="12" borderId="41" xfId="42" applyNumberFormat="1" applyFont="1" applyFill="1" applyBorder="1" applyAlignment="1" applyProtection="1">
      <alignment horizontal="center"/>
    </xf>
    <xf numFmtId="1" fontId="40" fillId="12" borderId="43" xfId="42" applyNumberFormat="1" applyFont="1" applyFill="1" applyBorder="1" applyAlignment="1" applyProtection="1">
      <alignment horizontal="center"/>
    </xf>
    <xf numFmtId="165" fontId="34" fillId="12" borderId="25" xfId="42" applyNumberFormat="1" applyFont="1" applyFill="1" applyBorder="1" applyProtection="1"/>
    <xf numFmtId="165" fontId="34" fillId="12" borderId="26" xfId="42" applyNumberFormat="1" applyFont="1" applyFill="1" applyBorder="1" applyProtection="1"/>
    <xf numFmtId="0" fontId="34" fillId="12" borderId="21" xfId="42" applyFont="1" applyFill="1" applyBorder="1" applyProtection="1"/>
    <xf numFmtId="165" fontId="34" fillId="12" borderId="27" xfId="42" applyNumberFormat="1" applyFont="1" applyFill="1" applyBorder="1" applyProtection="1"/>
    <xf numFmtId="165" fontId="34" fillId="12" borderId="28" xfId="42" applyNumberFormat="1" applyFont="1" applyFill="1" applyBorder="1" applyProtection="1"/>
    <xf numFmtId="0" fontId="28" fillId="12" borderId="18" xfId="42" applyFont="1" applyFill="1" applyBorder="1" applyProtection="1"/>
    <xf numFmtId="0" fontId="32" fillId="12" borderId="29" xfId="42" applyFont="1" applyFill="1" applyBorder="1" applyAlignment="1" applyProtection="1">
      <alignment horizontal="left"/>
    </xf>
    <xf numFmtId="0" fontId="32" fillId="12" borderId="30" xfId="42" applyFont="1" applyFill="1" applyBorder="1" applyAlignment="1" applyProtection="1">
      <alignment horizontal="left"/>
    </xf>
    <xf numFmtId="165" fontId="40" fillId="12" borderId="31" xfId="42" applyNumberFormat="1" applyFont="1" applyFill="1" applyBorder="1" applyProtection="1"/>
    <xf numFmtId="165" fontId="40" fillId="12" borderId="32" xfId="42" applyNumberFormat="1" applyFont="1" applyFill="1" applyBorder="1" applyProtection="1"/>
    <xf numFmtId="0" fontId="40" fillId="12" borderId="21" xfId="42" applyFont="1" applyFill="1" applyBorder="1" applyProtection="1"/>
    <xf numFmtId="0" fontId="28" fillId="12" borderId="18" xfId="42" applyFont="1" applyFill="1" applyBorder="1" applyAlignment="1" applyProtection="1">
      <alignment horizontal="left"/>
    </xf>
    <xf numFmtId="0" fontId="28" fillId="12" borderId="0" xfId="42" applyFont="1" applyFill="1" applyBorder="1" applyAlignment="1" applyProtection="1">
      <alignment horizontal="left"/>
    </xf>
    <xf numFmtId="0" fontId="40" fillId="12" borderId="29" xfId="42" applyFont="1" applyFill="1" applyBorder="1" applyProtection="1"/>
    <xf numFmtId="0" fontId="40" fillId="12" borderId="30" xfId="42" applyFont="1" applyFill="1" applyBorder="1" applyProtection="1"/>
    <xf numFmtId="0" fontId="32" fillId="12" borderId="21" xfId="42" applyFont="1" applyFill="1" applyBorder="1" applyProtection="1"/>
    <xf numFmtId="0" fontId="40" fillId="12" borderId="29" xfId="42" applyFont="1" applyFill="1" applyBorder="1" applyAlignment="1" applyProtection="1">
      <alignment horizontal="left"/>
    </xf>
    <xf numFmtId="0" fontId="40" fillId="12" borderId="30" xfId="42" quotePrefix="1" applyFont="1" applyFill="1" applyBorder="1" applyAlignment="1" applyProtection="1">
      <alignment horizontal="left"/>
    </xf>
    <xf numFmtId="0" fontId="34" fillId="12" borderId="18" xfId="42" quotePrefix="1" applyFont="1" applyFill="1" applyBorder="1" applyAlignment="1" applyProtection="1">
      <alignment horizontal="left"/>
    </xf>
    <xf numFmtId="0" fontId="40" fillId="12" borderId="33" xfId="42" applyFont="1" applyFill="1" applyBorder="1" applyAlignment="1" applyProtection="1">
      <alignment horizontal="left"/>
    </xf>
    <xf numFmtId="0" fontId="40" fillId="12" borderId="3" xfId="42" quotePrefix="1" applyFont="1" applyFill="1" applyBorder="1" applyAlignment="1" applyProtection="1">
      <alignment horizontal="left"/>
    </xf>
    <xf numFmtId="165" fontId="40" fillId="12" borderId="42" xfId="42" applyNumberFormat="1" applyFont="1" applyFill="1" applyBorder="1" applyProtection="1"/>
    <xf numFmtId="165" fontId="40" fillId="12" borderId="35" xfId="42" applyNumberFormat="1" applyFont="1" applyFill="1" applyBorder="1" applyProtection="1"/>
    <xf numFmtId="0" fontId="34" fillId="12" borderId="46" xfId="42" applyFont="1" applyFill="1" applyBorder="1" applyProtection="1"/>
    <xf numFmtId="0" fontId="34" fillId="12" borderId="7" xfId="42" quotePrefix="1" applyFont="1" applyFill="1" applyBorder="1" applyAlignment="1" applyProtection="1">
      <alignment horizontal="left"/>
    </xf>
    <xf numFmtId="0" fontId="34" fillId="12" borderId="23" xfId="42" quotePrefix="1" applyFont="1" applyFill="1" applyBorder="1" applyAlignment="1" applyProtection="1">
      <alignment horizontal="left"/>
    </xf>
    <xf numFmtId="0" fontId="40" fillId="12" borderId="6" xfId="42" applyFont="1" applyFill="1" applyBorder="1" applyAlignment="1" applyProtection="1">
      <alignment horizontal="center"/>
    </xf>
    <xf numFmtId="0" fontId="0" fillId="12" borderId="30" xfId="42" applyFont="1" applyFill="1" applyBorder="1"/>
    <xf numFmtId="0" fontId="40" fillId="12" borderId="37" xfId="42" applyFont="1" applyFill="1" applyBorder="1" applyAlignment="1" applyProtection="1">
      <alignment horizontal="right"/>
    </xf>
    <xf numFmtId="0" fontId="28" fillId="12" borderId="17" xfId="42" applyFont="1" applyFill="1" applyBorder="1"/>
    <xf numFmtId="0" fontId="40" fillId="12" borderId="0" xfId="42" quotePrefix="1" applyFont="1" applyFill="1" applyBorder="1" applyAlignment="1" applyProtection="1">
      <alignment horizontal="left"/>
    </xf>
    <xf numFmtId="0" fontId="28" fillId="12" borderId="0" xfId="42" applyFont="1" applyFill="1" applyBorder="1"/>
    <xf numFmtId="0" fontId="42" fillId="12" borderId="0" xfId="42" applyFont="1" applyFill="1" applyBorder="1" applyProtection="1"/>
    <xf numFmtId="3" fontId="34" fillId="12" borderId="7" xfId="42" applyNumberFormat="1" applyFont="1" applyFill="1" applyBorder="1" applyProtection="1"/>
    <xf numFmtId="3" fontId="34" fillId="12" borderId="23" xfId="42" applyNumberFormat="1" applyFont="1" applyFill="1" applyBorder="1" applyProtection="1"/>
    <xf numFmtId="3" fontId="40" fillId="12" borderId="38" xfId="42" applyNumberFormat="1" applyFont="1" applyFill="1" applyBorder="1" applyAlignment="1" applyProtection="1">
      <alignment horizontal="center"/>
    </xf>
    <xf numFmtId="3" fontId="34" fillId="12" borderId="18" xfId="42" applyNumberFormat="1" applyFont="1" applyFill="1" applyBorder="1" applyProtection="1"/>
    <xf numFmtId="3" fontId="40" fillId="12" borderId="27" xfId="42" applyNumberFormat="1" applyFont="1" applyFill="1" applyBorder="1" applyAlignment="1" applyProtection="1">
      <alignment horizontal="center"/>
    </xf>
    <xf numFmtId="3" fontId="40" fillId="12" borderId="20" xfId="42" applyNumberFormat="1" applyFont="1" applyFill="1" applyBorder="1" applyAlignment="1" applyProtection="1">
      <alignment horizontal="center"/>
    </xf>
    <xf numFmtId="3" fontId="53" fillId="12" borderId="24" xfId="42" applyNumberFormat="1" applyFont="1" applyFill="1" applyBorder="1" applyProtection="1"/>
    <xf numFmtId="3" fontId="53" fillId="12" borderId="20" xfId="42" applyNumberFormat="1" applyFont="1" applyFill="1" applyBorder="1" applyProtection="1"/>
    <xf numFmtId="3" fontId="53" fillId="12" borderId="25" xfId="42" applyNumberFormat="1" applyFont="1" applyFill="1" applyBorder="1" applyAlignment="1" applyProtection="1">
      <alignment horizontal="center"/>
    </xf>
    <xf numFmtId="172" fontId="34" fillId="12" borderId="20" xfId="42" applyNumberFormat="1" applyFont="1" applyFill="1" applyBorder="1" applyProtection="1"/>
    <xf numFmtId="3" fontId="34" fillId="12" borderId="17" xfId="42" applyNumberFormat="1" applyFont="1" applyFill="1" applyBorder="1" applyProtection="1"/>
    <xf numFmtId="3" fontId="34" fillId="12" borderId="25" xfId="42" applyNumberFormat="1" applyFont="1" applyFill="1" applyBorder="1" applyProtection="1"/>
    <xf numFmtId="0" fontId="34" fillId="12" borderId="20" xfId="42" applyFont="1" applyFill="1" applyBorder="1" applyProtection="1"/>
    <xf numFmtId="0" fontId="34" fillId="12" borderId="45" xfId="42" applyFont="1" applyFill="1" applyBorder="1" applyProtection="1"/>
    <xf numFmtId="3" fontId="31" fillId="12" borderId="18" xfId="42" applyNumberFormat="1" applyFont="1" applyFill="1" applyBorder="1" applyProtection="1"/>
    <xf numFmtId="3" fontId="31" fillId="12" borderId="21" xfId="42" applyNumberFormat="1" applyFont="1" applyFill="1" applyBorder="1" applyProtection="1"/>
    <xf numFmtId="3" fontId="31" fillId="12" borderId="27" xfId="42" applyNumberFormat="1" applyFont="1" applyFill="1" applyBorder="1" applyAlignment="1" applyProtection="1">
      <alignment horizontal="center"/>
    </xf>
    <xf numFmtId="165" fontId="31" fillId="12" borderId="21" xfId="42" applyNumberFormat="1" applyFont="1" applyFill="1" applyBorder="1" applyAlignment="1" applyProtection="1">
      <alignment horizontal="right"/>
    </xf>
    <xf numFmtId="165" fontId="31" fillId="12" borderId="0" xfId="42" applyNumberFormat="1" applyFont="1" applyFill="1" applyBorder="1" applyProtection="1"/>
    <xf numFmtId="165" fontId="31" fillId="12" borderId="27" xfId="42" applyNumberFormat="1" applyFont="1" applyFill="1" applyBorder="1" applyProtection="1"/>
    <xf numFmtId="165" fontId="31" fillId="12" borderId="46" xfId="42" applyNumberFormat="1" applyFont="1" applyFill="1" applyBorder="1" applyAlignment="1" applyProtection="1">
      <alignment horizontal="right"/>
    </xf>
    <xf numFmtId="3" fontId="110" fillId="12" borderId="18" xfId="42" applyNumberFormat="1" applyFont="1" applyFill="1" applyBorder="1" applyProtection="1"/>
    <xf numFmtId="3" fontId="110" fillId="12" borderId="21" xfId="42" applyNumberFormat="1" applyFont="1" applyFill="1" applyBorder="1" applyProtection="1"/>
    <xf numFmtId="3" fontId="112" fillId="12" borderId="27" xfId="42" applyNumberFormat="1" applyFont="1" applyFill="1" applyBorder="1" applyAlignment="1" applyProtection="1">
      <alignment horizontal="center"/>
    </xf>
    <xf numFmtId="3" fontId="53" fillId="12" borderId="18" xfId="42" applyNumberFormat="1" applyFont="1" applyFill="1" applyBorder="1" applyProtection="1"/>
    <xf numFmtId="3" fontId="53" fillId="12" borderId="21" xfId="42" applyNumberFormat="1" applyFont="1" applyFill="1" applyBorder="1" applyProtection="1"/>
    <xf numFmtId="3" fontId="34" fillId="12" borderId="27" xfId="42" applyNumberFormat="1" applyFont="1" applyFill="1" applyBorder="1" applyAlignment="1" applyProtection="1">
      <alignment horizontal="center"/>
    </xf>
    <xf numFmtId="165" fontId="28" fillId="12" borderId="21" xfId="42" applyNumberFormat="1" applyFont="1" applyFill="1" applyBorder="1" applyProtection="1"/>
    <xf numFmtId="165" fontId="28" fillId="12" borderId="0" xfId="42" applyNumberFormat="1" applyFont="1" applyFill="1" applyBorder="1" applyProtection="1"/>
    <xf numFmtId="165" fontId="28" fillId="12" borderId="27" xfId="42" applyNumberFormat="1" applyFont="1" applyFill="1" applyBorder="1" applyProtection="1"/>
    <xf numFmtId="165" fontId="28" fillId="12" borderId="46" xfId="42" applyNumberFormat="1" applyFont="1" applyFill="1" applyBorder="1" applyProtection="1"/>
    <xf numFmtId="3" fontId="31" fillId="12" borderId="29" xfId="42" applyNumberFormat="1" applyFont="1" applyFill="1" applyBorder="1" applyProtection="1"/>
    <xf numFmtId="3" fontId="31" fillId="12" borderId="37" xfId="42" applyNumberFormat="1" applyFont="1" applyFill="1" applyBorder="1" applyProtection="1"/>
    <xf numFmtId="3" fontId="31" fillId="12" borderId="31" xfId="42" applyNumberFormat="1" applyFont="1" applyFill="1" applyBorder="1" applyAlignment="1" applyProtection="1">
      <alignment horizontal="center"/>
    </xf>
    <xf numFmtId="165" fontId="31" fillId="12" borderId="37" xfId="42" applyNumberFormat="1" applyFont="1" applyFill="1" applyBorder="1" applyAlignment="1" applyProtection="1">
      <alignment horizontal="right"/>
    </xf>
    <xf numFmtId="165" fontId="31" fillId="12" borderId="30" xfId="42" applyNumberFormat="1" applyFont="1" applyFill="1" applyBorder="1" applyAlignment="1" applyProtection="1">
      <alignment horizontal="right"/>
    </xf>
    <xf numFmtId="165" fontId="31" fillId="12" borderId="31" xfId="42" applyNumberFormat="1" applyFont="1" applyFill="1" applyBorder="1" applyProtection="1"/>
    <xf numFmtId="165" fontId="31" fillId="12" borderId="47" xfId="42" applyNumberFormat="1" applyFont="1" applyFill="1" applyBorder="1" applyAlignment="1" applyProtection="1">
      <alignment horizontal="right"/>
    </xf>
    <xf numFmtId="0" fontId="34" fillId="12" borderId="27" xfId="42" applyFont="1" applyFill="1" applyBorder="1" applyAlignment="1" applyProtection="1">
      <alignment horizontal="center"/>
    </xf>
    <xf numFmtId="3" fontId="31" fillId="12" borderId="33" xfId="42" applyNumberFormat="1" applyFont="1" applyFill="1" applyBorder="1" applyProtection="1"/>
    <xf numFmtId="3" fontId="31" fillId="12" borderId="52" xfId="42" applyNumberFormat="1" applyFont="1" applyFill="1" applyBorder="1" applyProtection="1"/>
    <xf numFmtId="3" fontId="31" fillId="12" borderId="42" xfId="42" applyNumberFormat="1" applyFont="1" applyFill="1" applyBorder="1" applyAlignment="1" applyProtection="1">
      <alignment horizontal="center"/>
    </xf>
    <xf numFmtId="165" fontId="31" fillId="12" borderId="52" xfId="42" applyNumberFormat="1" applyFont="1" applyFill="1" applyBorder="1" applyAlignment="1" applyProtection="1">
      <alignment horizontal="right"/>
    </xf>
    <xf numFmtId="165" fontId="31" fillId="12" borderId="3" xfId="42" applyNumberFormat="1" applyFont="1" applyFill="1" applyBorder="1" applyAlignment="1" applyProtection="1">
      <alignment horizontal="right"/>
    </xf>
    <xf numFmtId="165" fontId="31" fillId="12" borderId="42" xfId="42" applyNumberFormat="1" applyFont="1" applyFill="1" applyBorder="1" applyProtection="1"/>
    <xf numFmtId="165" fontId="31" fillId="12" borderId="59" xfId="42" applyNumberFormat="1" applyFont="1" applyFill="1" applyBorder="1" applyAlignment="1" applyProtection="1">
      <alignment horizontal="right"/>
    </xf>
    <xf numFmtId="0" fontId="28" fillId="12" borderId="19" xfId="42" applyFont="1" applyFill="1" applyBorder="1"/>
    <xf numFmtId="0" fontId="34" fillId="12" borderId="21" xfId="42" applyFont="1" applyFill="1" applyBorder="1" applyAlignment="1" applyProtection="1">
      <alignment horizontal="centerContinuous"/>
    </xf>
    <xf numFmtId="0" fontId="34" fillId="12" borderId="38" xfId="42" applyFont="1" applyFill="1" applyBorder="1" applyProtection="1"/>
    <xf numFmtId="0" fontId="0" fillId="12" borderId="6" xfId="42" applyFont="1" applyFill="1" applyBorder="1"/>
    <xf numFmtId="0" fontId="40" fillId="12" borderId="6" xfId="42" applyFont="1" applyFill="1" applyBorder="1" applyAlignment="1" applyProtection="1">
      <alignment horizontal="left"/>
    </xf>
    <xf numFmtId="0" fontId="40" fillId="12" borderId="6" xfId="42" applyFont="1" applyFill="1" applyBorder="1" applyAlignment="1" applyProtection="1">
      <alignment horizontal="centerContinuous"/>
    </xf>
    <xf numFmtId="0" fontId="40" fillId="12" borderId="8" xfId="42" applyFont="1" applyFill="1" applyBorder="1" applyAlignment="1" applyProtection="1">
      <alignment horizontal="centerContinuous"/>
    </xf>
    <xf numFmtId="1" fontId="40" fillId="12" borderId="2" xfId="42" applyNumberFormat="1" applyFont="1" applyFill="1" applyBorder="1" applyAlignment="1" applyProtection="1">
      <alignment horizontal="center"/>
    </xf>
    <xf numFmtId="0" fontId="40" fillId="12" borderId="31" xfId="42" applyFont="1" applyFill="1" applyBorder="1" applyAlignment="1" applyProtection="1">
      <alignment horizontal="center"/>
    </xf>
    <xf numFmtId="0" fontId="48" fillId="12" borderId="41" xfId="42" applyFont="1" applyFill="1" applyBorder="1" applyAlignment="1" applyProtection="1">
      <alignment horizontal="left"/>
    </xf>
    <xf numFmtId="0" fontId="48" fillId="12" borderId="31" xfId="42" applyFont="1" applyFill="1" applyBorder="1" applyAlignment="1" applyProtection="1">
      <alignment horizontal="center"/>
    </xf>
    <xf numFmtId="0" fontId="48" fillId="12" borderId="43" xfId="42" applyFont="1" applyFill="1" applyBorder="1" applyAlignment="1" applyProtection="1">
      <alignment horizontal="center"/>
    </xf>
    <xf numFmtId="0" fontId="48" fillId="12" borderId="21" xfId="42" applyFont="1" applyFill="1" applyBorder="1" applyAlignment="1" applyProtection="1">
      <alignment horizontal="center"/>
    </xf>
    <xf numFmtId="0" fontId="40" fillId="12" borderId="2" xfId="42" applyFont="1" applyFill="1" applyBorder="1" applyAlignment="1" applyProtection="1">
      <alignment horizontal="centerContinuous"/>
    </xf>
    <xf numFmtId="0" fontId="34" fillId="12" borderId="2" xfId="42" applyFont="1" applyFill="1" applyBorder="1" applyAlignment="1" applyProtection="1">
      <alignment horizontal="right"/>
    </xf>
    <xf numFmtId="0" fontId="40" fillId="12" borderId="29" xfId="42" applyFont="1" applyFill="1" applyBorder="1" applyAlignment="1" applyProtection="1"/>
    <xf numFmtId="0" fontId="34" fillId="12" borderId="30" xfId="42" quotePrefix="1" applyFont="1" applyFill="1" applyBorder="1" applyAlignment="1" applyProtection="1">
      <alignment horizontal="left"/>
    </xf>
    <xf numFmtId="0" fontId="42" fillId="12" borderId="31" xfId="42" applyFont="1" applyFill="1" applyBorder="1" applyAlignment="1" applyProtection="1">
      <alignment horizontal="center"/>
    </xf>
    <xf numFmtId="0" fontId="42" fillId="12" borderId="25" xfId="42" applyFont="1" applyFill="1" applyBorder="1" applyAlignment="1" applyProtection="1">
      <alignment horizontal="center"/>
    </xf>
    <xf numFmtId="165" fontId="34" fillId="12" borderId="25" xfId="42" quotePrefix="1" applyNumberFormat="1" applyFont="1" applyFill="1" applyBorder="1" applyAlignment="1" applyProtection="1">
      <alignment horizontal="center"/>
    </xf>
    <xf numFmtId="165" fontId="34" fillId="12" borderId="17" xfId="42" quotePrefix="1" applyNumberFormat="1" applyFont="1" applyFill="1" applyBorder="1" applyAlignment="1" applyProtection="1">
      <alignment horizontal="right"/>
    </xf>
    <xf numFmtId="165" fontId="34" fillId="12" borderId="26" xfId="42" applyNumberFormat="1" applyFont="1" applyFill="1" applyBorder="1" applyAlignment="1" applyProtection="1">
      <alignment horizontal="center"/>
    </xf>
    <xf numFmtId="0" fontId="34" fillId="12" borderId="21" xfId="42" applyFont="1" applyFill="1" applyBorder="1" applyAlignment="1" applyProtection="1">
      <alignment horizontal="center"/>
    </xf>
    <xf numFmtId="165" fontId="40" fillId="12" borderId="31" xfId="42" applyNumberFormat="1" applyFont="1" applyFill="1" applyBorder="1" applyAlignment="1" applyProtection="1">
      <alignment horizontal="right"/>
    </xf>
    <xf numFmtId="165" fontId="40" fillId="12" borderId="37" xfId="42" applyNumberFormat="1" applyFont="1" applyFill="1" applyBorder="1" applyAlignment="1" applyProtection="1">
      <alignment horizontal="right"/>
    </xf>
    <xf numFmtId="165" fontId="40" fillId="12" borderId="32" xfId="42" applyNumberFormat="1" applyFont="1" applyFill="1" applyBorder="1" applyAlignment="1" applyProtection="1">
      <alignment horizontal="right"/>
    </xf>
    <xf numFmtId="0" fontId="40" fillId="12" borderId="18" xfId="42" applyFont="1" applyFill="1" applyBorder="1" applyAlignment="1" applyProtection="1">
      <alignment horizontal="left"/>
    </xf>
    <xf numFmtId="0" fontId="34" fillId="12" borderId="24" xfId="42" quotePrefix="1" applyFont="1" applyFill="1" applyBorder="1" applyAlignment="1" applyProtection="1">
      <alignment horizontal="left"/>
    </xf>
    <xf numFmtId="0" fontId="34" fillId="12" borderId="17" xfId="42" quotePrefix="1" applyFont="1" applyFill="1" applyBorder="1" applyAlignment="1" applyProtection="1">
      <alignment horizontal="left"/>
    </xf>
    <xf numFmtId="0" fontId="43" fillId="12" borderId="18" xfId="42" applyFont="1" applyFill="1" applyBorder="1" applyAlignment="1" applyProtection="1">
      <alignment horizontal="left"/>
    </xf>
    <xf numFmtId="0" fontId="48" fillId="12" borderId="27" xfId="42" applyFont="1" applyFill="1" applyBorder="1" applyAlignment="1" applyProtection="1">
      <alignment horizontal="center"/>
    </xf>
    <xf numFmtId="165" fontId="40" fillId="12" borderId="27" xfId="42" applyNumberFormat="1" applyFont="1" applyFill="1" applyBorder="1" applyAlignment="1" applyProtection="1">
      <alignment horizontal="right"/>
    </xf>
    <xf numFmtId="0" fontId="40" fillId="12" borderId="2" xfId="42" applyFont="1" applyFill="1" applyBorder="1" applyAlignment="1" applyProtection="1">
      <alignment horizontal="right"/>
    </xf>
    <xf numFmtId="165" fontId="34" fillId="12" borderId="45" xfId="42" applyNumberFormat="1" applyFont="1" applyFill="1" applyBorder="1" applyAlignment="1" applyProtection="1">
      <alignment horizontal="center"/>
    </xf>
    <xf numFmtId="165" fontId="0" fillId="12" borderId="27" xfId="42" applyNumberFormat="1" applyFont="1" applyFill="1" applyBorder="1"/>
    <xf numFmtId="165" fontId="0" fillId="12" borderId="27" xfId="42" quotePrefix="1" applyNumberFormat="1" applyFont="1" applyFill="1" applyBorder="1" applyAlignment="1">
      <alignment horizontal="center"/>
    </xf>
    <xf numFmtId="165" fontId="0" fillId="12" borderId="46" xfId="42" applyNumberFormat="1" applyFont="1" applyFill="1" applyBorder="1" applyAlignment="1">
      <alignment horizontal="center"/>
    </xf>
    <xf numFmtId="0" fontId="0" fillId="12" borderId="21" xfId="42" applyFont="1" applyFill="1" applyBorder="1" applyAlignment="1">
      <alignment horizontal="center"/>
    </xf>
    <xf numFmtId="0" fontId="43" fillId="12" borderId="29" xfId="42" applyFont="1" applyFill="1" applyBorder="1" applyAlignment="1" applyProtection="1">
      <alignment horizontal="left"/>
    </xf>
    <xf numFmtId="0" fontId="0" fillId="12" borderId="31" xfId="42" applyFont="1" applyFill="1" applyBorder="1"/>
    <xf numFmtId="165" fontId="0" fillId="12" borderId="31" xfId="42" applyNumberFormat="1" applyFont="1" applyFill="1" applyBorder="1"/>
    <xf numFmtId="165" fontId="0" fillId="12" borderId="31" xfId="42" quotePrefix="1" applyNumberFormat="1" applyFont="1" applyFill="1" applyBorder="1" applyAlignment="1">
      <alignment horizontal="center"/>
    </xf>
    <xf numFmtId="165" fontId="0" fillId="12" borderId="47" xfId="42" applyNumberFormat="1" applyFont="1" applyFill="1" applyBorder="1" applyAlignment="1">
      <alignment horizontal="center"/>
    </xf>
    <xf numFmtId="0" fontId="3" fillId="12" borderId="36" xfId="42" applyFont="1" applyFill="1" applyBorder="1" applyAlignment="1">
      <alignment horizontal="center"/>
    </xf>
    <xf numFmtId="0" fontId="40" fillId="12" borderId="128" xfId="42" applyFont="1" applyFill="1" applyBorder="1" applyAlignment="1" applyProtection="1">
      <alignment horizontal="left"/>
    </xf>
    <xf numFmtId="0" fontId="40" fillId="12" borderId="48" xfId="42" quotePrefix="1" applyFont="1" applyFill="1" applyBorder="1" applyAlignment="1" applyProtection="1">
      <alignment horizontal="left"/>
    </xf>
    <xf numFmtId="0" fontId="48" fillId="12" borderId="49" xfId="42" applyFont="1" applyFill="1" applyBorder="1" applyAlignment="1" applyProtection="1">
      <alignment horizontal="center"/>
    </xf>
    <xf numFmtId="165" fontId="40" fillId="12" borderId="49" xfId="42" applyNumberFormat="1" applyFont="1" applyFill="1" applyBorder="1" applyAlignment="1" applyProtection="1">
      <alignment horizontal="right"/>
    </xf>
    <xf numFmtId="165" fontId="40" fillId="12" borderId="50" xfId="42" applyNumberFormat="1" applyFont="1" applyFill="1" applyBorder="1" applyAlignment="1" applyProtection="1">
      <alignment horizontal="right"/>
    </xf>
    <xf numFmtId="0" fontId="42" fillId="12" borderId="0" xfId="42" applyFont="1" applyFill="1" applyBorder="1" applyAlignment="1" applyProtection="1">
      <alignment horizontal="center"/>
    </xf>
    <xf numFmtId="0" fontId="34" fillId="12" borderId="0" xfId="42" applyFont="1" applyFill="1" applyBorder="1" applyAlignment="1" applyProtection="1">
      <alignment horizontal="right"/>
    </xf>
    <xf numFmtId="0" fontId="34" fillId="12" borderId="7" xfId="42" applyFont="1" applyFill="1" applyBorder="1" applyAlignment="1" applyProtection="1">
      <alignment horizontal="left"/>
    </xf>
    <xf numFmtId="0" fontId="34" fillId="12" borderId="6" xfId="42" quotePrefix="1" applyFont="1" applyFill="1" applyBorder="1" applyAlignment="1" applyProtection="1">
      <alignment horizontal="left"/>
    </xf>
    <xf numFmtId="0" fontId="42" fillId="12" borderId="38" xfId="42" applyFont="1" applyFill="1" applyBorder="1" applyAlignment="1" applyProtection="1">
      <alignment horizontal="center"/>
    </xf>
    <xf numFmtId="165" fontId="34" fillId="12" borderId="38" xfId="42" applyNumberFormat="1" applyFont="1" applyFill="1" applyBorder="1" applyAlignment="1" applyProtection="1">
      <alignment horizontal="right"/>
    </xf>
    <xf numFmtId="165" fontId="34" fillId="12" borderId="6" xfId="42" applyNumberFormat="1" applyFont="1" applyFill="1" applyBorder="1" applyAlignment="1" applyProtection="1">
      <alignment horizontal="right"/>
    </xf>
    <xf numFmtId="165" fontId="34" fillId="12" borderId="51" xfId="42" applyNumberFormat="1" applyFont="1" applyFill="1" applyBorder="1" applyAlignment="1" applyProtection="1">
      <alignment horizontal="right"/>
    </xf>
    <xf numFmtId="0" fontId="34" fillId="12" borderId="18" xfId="42" applyFont="1" applyFill="1" applyBorder="1" applyAlignment="1" applyProtection="1">
      <alignment horizontal="left"/>
    </xf>
    <xf numFmtId="165" fontId="40" fillId="12" borderId="28" xfId="42" applyNumberFormat="1" applyFont="1" applyFill="1" applyBorder="1" applyAlignment="1" applyProtection="1">
      <alignment horizontal="right"/>
    </xf>
    <xf numFmtId="0" fontId="43" fillId="12" borderId="0" xfId="42" quotePrefix="1" applyFont="1" applyFill="1" applyBorder="1" applyAlignment="1" applyProtection="1">
      <alignment horizontal="left"/>
    </xf>
    <xf numFmtId="0" fontId="52" fillId="12" borderId="27" xfId="42" applyFont="1" applyFill="1" applyBorder="1" applyAlignment="1" applyProtection="1">
      <alignment horizontal="center"/>
    </xf>
    <xf numFmtId="0" fontId="48" fillId="12" borderId="42" xfId="42" applyFont="1" applyFill="1" applyBorder="1" applyAlignment="1" applyProtection="1">
      <alignment horizontal="center"/>
    </xf>
    <xf numFmtId="165" fontId="40" fillId="12" borderId="42" xfId="42" applyNumberFormat="1" applyFont="1" applyFill="1" applyBorder="1" applyAlignment="1" applyProtection="1">
      <alignment horizontal="right"/>
    </xf>
    <xf numFmtId="165" fontId="40" fillId="12" borderId="3" xfId="42" applyNumberFormat="1" applyFont="1" applyFill="1" applyBorder="1" applyAlignment="1" applyProtection="1">
      <alignment horizontal="right"/>
    </xf>
    <xf numFmtId="165" fontId="40" fillId="12" borderId="35" xfId="42" applyNumberFormat="1" applyFont="1" applyFill="1" applyBorder="1" applyAlignment="1" applyProtection="1">
      <alignment horizontal="right"/>
    </xf>
    <xf numFmtId="0" fontId="43" fillId="12" borderId="129" xfId="42" applyFont="1" applyFill="1" applyBorder="1" applyAlignment="1" applyProtection="1">
      <alignment horizontal="left"/>
    </xf>
    <xf numFmtId="0" fontId="0" fillId="12" borderId="57" xfId="42" applyFont="1" applyFill="1" applyBorder="1"/>
    <xf numFmtId="0" fontId="0" fillId="12" borderId="130" xfId="42" applyFont="1" applyFill="1" applyBorder="1"/>
    <xf numFmtId="0" fontId="28" fillId="12" borderId="36" xfId="42" applyFont="1" applyFill="1" applyBorder="1"/>
    <xf numFmtId="0" fontId="34" fillId="12" borderId="30" xfId="42" applyFont="1" applyFill="1" applyBorder="1" applyAlignment="1" applyProtection="1">
      <alignment horizontal="left"/>
    </xf>
    <xf numFmtId="0" fontId="40" fillId="12" borderId="30" xfId="42" quotePrefix="1" applyFont="1" applyFill="1" applyBorder="1" applyAlignment="1" applyProtection="1">
      <alignment horizontal="right"/>
    </xf>
    <xf numFmtId="0" fontId="40" fillId="12" borderId="37" xfId="42" quotePrefix="1" applyFont="1" applyFill="1" applyBorder="1" applyAlignment="1" applyProtection="1">
      <alignment horizontal="right"/>
    </xf>
    <xf numFmtId="0" fontId="39" fillId="12" borderId="17" xfId="42" applyFont="1" applyFill="1" applyBorder="1" applyProtection="1"/>
    <xf numFmtId="14" fontId="36" fillId="12" borderId="21" xfId="42" applyNumberFormat="1" applyFont="1" applyFill="1" applyBorder="1" applyAlignment="1" applyProtection="1">
      <alignment horizontal="center"/>
    </xf>
    <xf numFmtId="1" fontId="39" fillId="12" borderId="22" xfId="42" applyNumberFormat="1" applyFont="1" applyFill="1" applyBorder="1" applyAlignment="1" applyProtection="1">
      <alignment horizontal="center"/>
    </xf>
    <xf numFmtId="1" fontId="39" fillId="12" borderId="134" xfId="42" applyNumberFormat="1" applyFont="1" applyFill="1" applyBorder="1" applyAlignment="1" applyProtection="1">
      <alignment horizontal="center"/>
    </xf>
    <xf numFmtId="1" fontId="39" fillId="12" borderId="21" xfId="42" applyNumberFormat="1" applyFont="1" applyFill="1" applyBorder="1" applyAlignment="1" applyProtection="1">
      <alignment horizontal="center"/>
    </xf>
    <xf numFmtId="165" fontId="31" fillId="12" borderId="21" xfId="42" applyNumberFormat="1" applyFont="1" applyFill="1" applyBorder="1" applyProtection="1"/>
    <xf numFmtId="165" fontId="31" fillId="12" borderId="28" xfId="42" applyNumberFormat="1" applyFont="1" applyFill="1" applyBorder="1" applyProtection="1"/>
    <xf numFmtId="0" fontId="110" fillId="12" borderId="18" xfId="42" applyFont="1" applyFill="1" applyBorder="1" applyAlignment="1" applyProtection="1">
      <alignment horizontal="left"/>
    </xf>
    <xf numFmtId="0" fontId="110" fillId="12" borderId="0" xfId="42" applyFont="1" applyFill="1" applyBorder="1" applyAlignment="1" applyProtection="1">
      <alignment horizontal="left"/>
    </xf>
    <xf numFmtId="0" fontId="43" fillId="12" borderId="21" xfId="42" applyFont="1" applyFill="1" applyBorder="1" applyProtection="1"/>
    <xf numFmtId="0" fontId="43" fillId="12" borderId="2" xfId="42" applyFont="1" applyFill="1" applyBorder="1" applyProtection="1"/>
    <xf numFmtId="0" fontId="105" fillId="12" borderId="29" xfId="42" applyFont="1" applyFill="1" applyBorder="1"/>
    <xf numFmtId="0" fontId="105" fillId="12" borderId="30" xfId="42" applyFont="1" applyFill="1" applyBorder="1"/>
    <xf numFmtId="165" fontId="105" fillId="12" borderId="36" xfId="42" applyNumberFormat="1" applyFont="1" applyFill="1" applyBorder="1" applyProtection="1"/>
    <xf numFmtId="165" fontId="105" fillId="12" borderId="31" xfId="42" applyNumberFormat="1" applyFont="1" applyFill="1" applyBorder="1" applyProtection="1"/>
    <xf numFmtId="165" fontId="105" fillId="12" borderId="47" xfId="42" applyNumberFormat="1" applyFont="1" applyFill="1" applyBorder="1" applyProtection="1"/>
    <xf numFmtId="0" fontId="43" fillId="12" borderId="2" xfId="42" quotePrefix="1" applyFont="1" applyFill="1" applyBorder="1" applyAlignment="1" applyProtection="1">
      <alignment horizontal="left"/>
    </xf>
    <xf numFmtId="0" fontId="34" fillId="12" borderId="2" xfId="42" applyFont="1" applyFill="1" applyBorder="1" applyAlignment="1" applyProtection="1">
      <alignment horizontal="left"/>
    </xf>
    <xf numFmtId="0" fontId="43" fillId="12" borderId="2" xfId="42" applyFont="1" applyFill="1" applyBorder="1" applyAlignment="1" applyProtection="1">
      <alignment horizontal="left"/>
    </xf>
    <xf numFmtId="0" fontId="110" fillId="12" borderId="33" xfId="42" applyFont="1" applyFill="1" applyBorder="1" applyAlignment="1" applyProtection="1">
      <alignment horizontal="left"/>
    </xf>
    <xf numFmtId="0" fontId="110" fillId="12" borderId="3" xfId="42" applyFont="1" applyFill="1" applyBorder="1" applyAlignment="1" applyProtection="1">
      <alignment horizontal="left"/>
    </xf>
    <xf numFmtId="165" fontId="31" fillId="12" borderId="35" xfId="42" applyNumberFormat="1" applyFont="1" applyFill="1" applyBorder="1" applyProtection="1"/>
    <xf numFmtId="0" fontId="43" fillId="12" borderId="0" xfId="42" applyFont="1" applyFill="1" applyBorder="1" applyAlignment="1" applyProtection="1">
      <alignment horizontal="left"/>
    </xf>
    <xf numFmtId="0" fontId="43" fillId="12" borderId="46" xfId="42" applyFont="1" applyFill="1" applyBorder="1" applyProtection="1"/>
    <xf numFmtId="0" fontId="34" fillId="12" borderId="10" xfId="42" applyFont="1" applyFill="1" applyBorder="1" applyProtection="1"/>
    <xf numFmtId="0" fontId="34" fillId="12" borderId="44" xfId="42" applyFont="1" applyFill="1" applyBorder="1" applyProtection="1"/>
    <xf numFmtId="165" fontId="40" fillId="12" borderId="19" xfId="42" applyNumberFormat="1" applyFont="1" applyFill="1" applyBorder="1" applyProtection="1"/>
    <xf numFmtId="165" fontId="40" fillId="12" borderId="25" xfId="42" applyNumberFormat="1" applyFont="1" applyFill="1" applyBorder="1" applyProtection="1"/>
    <xf numFmtId="165" fontId="40" fillId="12" borderId="46" xfId="42" applyNumberFormat="1" applyFont="1" applyFill="1" applyBorder="1" applyProtection="1"/>
    <xf numFmtId="165" fontId="34" fillId="12" borderId="42" xfId="42" applyNumberFormat="1" applyFont="1" applyFill="1" applyBorder="1" applyProtection="1"/>
    <xf numFmtId="0" fontId="34" fillId="12" borderId="6" xfId="42" applyFont="1" applyFill="1" applyBorder="1" applyAlignment="1" applyProtection="1">
      <alignment horizontal="left"/>
    </xf>
    <xf numFmtId="0" fontId="34" fillId="12" borderId="8" xfId="42" applyFont="1" applyFill="1" applyBorder="1" applyProtection="1"/>
    <xf numFmtId="0" fontId="34" fillId="12" borderId="23" xfId="42" applyFont="1" applyFill="1" applyBorder="1" applyProtection="1"/>
    <xf numFmtId="0" fontId="34" fillId="12" borderId="2" xfId="42" applyFont="1" applyFill="1" applyBorder="1" applyAlignment="1" applyProtection="1">
      <alignment horizontal="center"/>
    </xf>
    <xf numFmtId="0" fontId="0" fillId="12" borderId="18" xfId="42" applyFont="1" applyFill="1" applyBorder="1"/>
    <xf numFmtId="0" fontId="0" fillId="12" borderId="129" xfId="42" applyFont="1" applyFill="1" applyBorder="1"/>
    <xf numFmtId="167" fontId="28" fillId="12" borderId="30" xfId="42" applyNumberFormat="1" applyFont="1" applyFill="1" applyBorder="1"/>
    <xf numFmtId="14" fontId="34" fillId="12" borderId="0" xfId="42" applyNumberFormat="1" applyFont="1" applyFill="1" applyBorder="1" applyProtection="1"/>
    <xf numFmtId="14" fontId="34" fillId="12" borderId="21" xfId="42" applyNumberFormat="1" applyFont="1" applyFill="1" applyBorder="1" applyProtection="1"/>
    <xf numFmtId="0" fontId="28" fillId="12" borderId="27" xfId="42" applyFont="1" applyFill="1" applyBorder="1" applyProtection="1"/>
    <xf numFmtId="0" fontId="38" fillId="12" borderId="41" xfId="42" applyFont="1" applyFill="1" applyBorder="1" applyAlignment="1" applyProtection="1">
      <alignment horizontal="center"/>
    </xf>
    <xf numFmtId="0" fontId="38" fillId="12" borderId="41" xfId="42" quotePrefix="1" applyFont="1" applyFill="1" applyBorder="1" applyAlignment="1" applyProtection="1">
      <alignment horizontal="center"/>
    </xf>
    <xf numFmtId="0" fontId="38" fillId="12" borderId="43" xfId="42" quotePrefix="1" applyFont="1" applyFill="1" applyBorder="1" applyAlignment="1" applyProtection="1">
      <alignment horizontal="center"/>
    </xf>
    <xf numFmtId="0" fontId="40" fillId="12" borderId="21" xfId="42" quotePrefix="1" applyFont="1" applyFill="1" applyBorder="1" applyAlignment="1" applyProtection="1">
      <alignment horizontal="center"/>
    </xf>
    <xf numFmtId="0" fontId="34" fillId="12" borderId="25" xfId="42" applyFont="1" applyFill="1" applyBorder="1" applyAlignment="1" applyProtection="1">
      <alignment horizontal="center"/>
    </xf>
    <xf numFmtId="0" fontId="34" fillId="12" borderId="53" xfId="42" applyFont="1" applyFill="1" applyBorder="1" applyAlignment="1" applyProtection="1">
      <alignment horizontal="center"/>
    </xf>
    <xf numFmtId="0" fontId="40" fillId="12" borderId="54" xfId="42" applyFont="1" applyFill="1" applyBorder="1" applyAlignment="1" applyProtection="1">
      <alignment horizontal="centerContinuous"/>
    </xf>
    <xf numFmtId="0" fontId="31" fillId="12" borderId="18" xfId="42" quotePrefix="1" applyFont="1" applyFill="1" applyBorder="1" applyAlignment="1" applyProtection="1">
      <alignment horizontal="left"/>
    </xf>
    <xf numFmtId="0" fontId="31" fillId="12" borderId="0" xfId="42" quotePrefix="1" applyFont="1" applyFill="1" applyBorder="1" applyAlignment="1" applyProtection="1">
      <alignment horizontal="left"/>
    </xf>
    <xf numFmtId="0" fontId="31" fillId="12" borderId="27" xfId="42" applyFont="1" applyFill="1" applyBorder="1" applyAlignment="1" applyProtection="1">
      <alignment horizontal="center"/>
    </xf>
    <xf numFmtId="0" fontId="43" fillId="12" borderId="27" xfId="42" applyFont="1" applyFill="1" applyBorder="1" applyAlignment="1" applyProtection="1">
      <alignment horizontal="center"/>
    </xf>
    <xf numFmtId="0" fontId="31" fillId="12" borderId="33" xfId="42" quotePrefix="1" applyFont="1" applyFill="1" applyBorder="1" applyAlignment="1" applyProtection="1">
      <alignment horizontal="left"/>
    </xf>
    <xf numFmtId="0" fontId="31" fillId="12" borderId="3" xfId="42" quotePrefix="1" applyFont="1" applyFill="1" applyBorder="1" applyAlignment="1" applyProtection="1">
      <alignment horizontal="left"/>
    </xf>
    <xf numFmtId="0" fontId="31" fillId="12" borderId="42" xfId="42" applyFont="1" applyFill="1" applyBorder="1" applyAlignment="1" applyProtection="1">
      <alignment horizontal="center"/>
    </xf>
    <xf numFmtId="165" fontId="31" fillId="12" borderId="34" xfId="42" applyNumberFormat="1" applyFont="1" applyFill="1" applyBorder="1" applyAlignment="1" applyProtection="1">
      <alignment horizontal="right"/>
    </xf>
    <xf numFmtId="165" fontId="31" fillId="12" borderId="42" xfId="42" applyNumberFormat="1" applyFont="1" applyFill="1" applyBorder="1" applyAlignment="1" applyProtection="1">
      <alignment horizontal="right"/>
    </xf>
    <xf numFmtId="165" fontId="31" fillId="12" borderId="35" xfId="42" applyNumberFormat="1" applyFont="1" applyFill="1" applyBorder="1" applyAlignment="1" applyProtection="1">
      <alignment horizontal="right"/>
    </xf>
    <xf numFmtId="0" fontId="43" fillId="12" borderId="36" xfId="42" applyFont="1" applyFill="1" applyBorder="1" applyProtection="1"/>
    <xf numFmtId="0" fontId="34" fillId="12" borderId="0" xfId="42" quotePrefix="1" applyFont="1" applyFill="1" applyBorder="1" applyProtection="1"/>
    <xf numFmtId="0" fontId="28" fillId="12" borderId="2" xfId="42" applyFont="1" applyFill="1" applyBorder="1" applyAlignment="1" applyProtection="1">
      <alignment horizontal="centerContinuous"/>
    </xf>
    <xf numFmtId="0" fontId="38" fillId="12" borderId="21" xfId="42" quotePrefix="1" applyFont="1" applyFill="1" applyBorder="1" applyAlignment="1" applyProtection="1">
      <alignment horizontal="center"/>
    </xf>
    <xf numFmtId="165" fontId="34" fillId="12" borderId="19" xfId="42" applyNumberFormat="1" applyFont="1" applyFill="1" applyBorder="1" applyAlignment="1" applyProtection="1">
      <alignment horizontal="right"/>
    </xf>
    <xf numFmtId="0" fontId="40" fillId="12" borderId="18" xfId="42" applyFont="1" applyFill="1" applyBorder="1" applyProtection="1"/>
    <xf numFmtId="165" fontId="40" fillId="12" borderId="2" xfId="42" applyNumberFormat="1" applyFont="1" applyFill="1" applyBorder="1" applyAlignment="1" applyProtection="1">
      <alignment horizontal="right"/>
    </xf>
    <xf numFmtId="165" fontId="40" fillId="12" borderId="0" xfId="42" applyNumberFormat="1" applyFont="1" applyFill="1" applyBorder="1" applyAlignment="1" applyProtection="1">
      <alignment horizontal="right"/>
    </xf>
    <xf numFmtId="0" fontId="43" fillId="12" borderId="33" xfId="42" applyFont="1" applyFill="1" applyBorder="1" applyProtection="1"/>
    <xf numFmtId="0" fontId="43" fillId="12" borderId="3" xfId="42" applyFont="1" applyFill="1" applyBorder="1" applyProtection="1"/>
    <xf numFmtId="165" fontId="34" fillId="12" borderId="42" xfId="42" applyNumberFormat="1" applyFont="1" applyFill="1" applyBorder="1" applyAlignment="1" applyProtection="1">
      <alignment horizontal="right"/>
    </xf>
    <xf numFmtId="165" fontId="34" fillId="12" borderId="3" xfId="42" applyNumberFormat="1" applyFont="1" applyFill="1" applyBorder="1" applyAlignment="1" applyProtection="1">
      <alignment horizontal="right"/>
    </xf>
    <xf numFmtId="0" fontId="0" fillId="12" borderId="46" xfId="42" applyFont="1" applyFill="1" applyBorder="1"/>
    <xf numFmtId="0" fontId="32" fillId="12" borderId="7" xfId="42" applyFont="1" applyFill="1" applyBorder="1"/>
    <xf numFmtId="0" fontId="0" fillId="12" borderId="55" xfId="42" applyFont="1" applyFill="1" applyBorder="1"/>
    <xf numFmtId="0" fontId="0" fillId="12" borderId="51" xfId="42" applyFont="1" applyFill="1" applyBorder="1"/>
    <xf numFmtId="0" fontId="40" fillId="12" borderId="2" xfId="42" quotePrefix="1" applyFont="1" applyFill="1" applyBorder="1" applyAlignment="1" applyProtection="1">
      <alignment horizontal="right"/>
    </xf>
    <xf numFmtId="0" fontId="40" fillId="12" borderId="27" xfId="42" applyFont="1" applyFill="1" applyBorder="1" applyAlignment="1" applyProtection="1">
      <alignment horizontal="right"/>
    </xf>
    <xf numFmtId="0" fontId="40" fillId="12" borderId="0" xfId="42" quotePrefix="1" applyFont="1" applyFill="1" applyBorder="1" applyAlignment="1" applyProtection="1">
      <alignment horizontal="right"/>
    </xf>
    <xf numFmtId="0" fontId="40" fillId="12" borderId="28" xfId="42" applyFont="1" applyFill="1" applyBorder="1" applyAlignment="1" applyProtection="1">
      <alignment horizontal="right"/>
    </xf>
    <xf numFmtId="0" fontId="40" fillId="12" borderId="33" xfId="42" applyFont="1" applyFill="1" applyBorder="1" applyProtection="1"/>
    <xf numFmtId="0" fontId="40" fillId="12" borderId="3" xfId="42" applyFont="1" applyFill="1" applyBorder="1" applyProtection="1"/>
    <xf numFmtId="0" fontId="34" fillId="12" borderId="34" xfId="42" applyFont="1" applyFill="1" applyBorder="1" applyAlignment="1" applyProtection="1">
      <alignment horizontal="right"/>
    </xf>
    <xf numFmtId="0" fontId="40" fillId="12" borderId="42" xfId="42" applyFont="1" applyFill="1" applyBorder="1" applyAlignment="1" applyProtection="1">
      <alignment horizontal="right"/>
    </xf>
    <xf numFmtId="0" fontId="40" fillId="12" borderId="35" xfId="42" applyFont="1" applyFill="1" applyBorder="1" applyAlignment="1" applyProtection="1">
      <alignment horizontal="right"/>
    </xf>
    <xf numFmtId="0" fontId="39" fillId="12" borderId="0" xfId="42" quotePrefix="1" applyFont="1" applyFill="1" applyBorder="1" applyAlignment="1" applyProtection="1">
      <alignment horizontal="left"/>
    </xf>
    <xf numFmtId="0" fontId="39" fillId="12" borderId="0" xfId="42" applyFont="1" applyFill="1" applyBorder="1" applyProtection="1"/>
    <xf numFmtId="0" fontId="34" fillId="12" borderId="37" xfId="42" applyFont="1" applyFill="1" applyBorder="1" applyProtection="1"/>
    <xf numFmtId="0" fontId="40" fillId="12" borderId="24" xfId="42" applyFont="1" applyFill="1" applyBorder="1" applyProtection="1"/>
    <xf numFmtId="0" fontId="40" fillId="12" borderId="25" xfId="42" applyFont="1" applyFill="1" applyBorder="1" applyAlignment="1" applyProtection="1">
      <alignment horizontal="center"/>
    </xf>
    <xf numFmtId="165" fontId="40" fillId="12" borderId="20" xfId="42" applyNumberFormat="1" applyFont="1" applyFill="1" applyBorder="1" applyProtection="1"/>
    <xf numFmtId="165" fontId="40" fillId="12" borderId="17" xfId="42" applyNumberFormat="1" applyFont="1" applyFill="1" applyBorder="1" applyProtection="1"/>
    <xf numFmtId="165" fontId="40" fillId="12" borderId="45" xfId="42" applyNumberFormat="1" applyFont="1" applyFill="1" applyBorder="1" applyProtection="1"/>
    <xf numFmtId="165" fontId="34" fillId="12" borderId="21" xfId="42" applyNumberFormat="1" applyFont="1" applyFill="1" applyBorder="1" applyProtection="1"/>
    <xf numFmtId="165" fontId="34" fillId="12" borderId="0" xfId="42" applyNumberFormat="1" applyFont="1" applyFill="1" applyBorder="1" applyProtection="1"/>
    <xf numFmtId="165" fontId="34" fillId="12" borderId="46" xfId="42" applyNumberFormat="1" applyFont="1" applyFill="1" applyBorder="1" applyProtection="1"/>
    <xf numFmtId="0" fontId="34" fillId="12" borderId="31" xfId="42" applyFont="1" applyFill="1" applyBorder="1" applyAlignment="1" applyProtection="1">
      <alignment horizontal="center"/>
    </xf>
    <xf numFmtId="165" fontId="34" fillId="12" borderId="31" xfId="42" applyNumberFormat="1" applyFont="1" applyFill="1" applyBorder="1" applyProtection="1"/>
    <xf numFmtId="165" fontId="34" fillId="12" borderId="37" xfId="42" applyNumberFormat="1" applyFont="1" applyFill="1" applyBorder="1" applyProtection="1"/>
    <xf numFmtId="165" fontId="34" fillId="12" borderId="30" xfId="42" applyNumberFormat="1" applyFont="1" applyFill="1" applyBorder="1" applyProtection="1"/>
    <xf numFmtId="165" fontId="34" fillId="12" borderId="47" xfId="42" applyNumberFormat="1" applyFont="1" applyFill="1" applyBorder="1" applyProtection="1"/>
    <xf numFmtId="165" fontId="40" fillId="12" borderId="37" xfId="42" applyNumberFormat="1" applyFont="1" applyFill="1" applyBorder="1" applyProtection="1"/>
    <xf numFmtId="165" fontId="28" fillId="12" borderId="21" xfId="42" applyNumberFormat="1" applyFont="1" applyFill="1" applyBorder="1" applyAlignment="1" applyProtection="1">
      <alignment horizontal="right"/>
    </xf>
    <xf numFmtId="0" fontId="50" fillId="12" borderId="42" xfId="42" applyFont="1" applyFill="1" applyBorder="1" applyProtection="1"/>
    <xf numFmtId="165" fontId="40" fillId="12" borderId="52" xfId="42" applyNumberFormat="1" applyFont="1" applyFill="1" applyBorder="1" applyAlignment="1" applyProtection="1">
      <alignment horizontal="right"/>
    </xf>
    <xf numFmtId="0" fontId="0" fillId="12" borderId="0" xfId="42" applyFont="1" applyFill="1"/>
    <xf numFmtId="165" fontId="40" fillId="12" borderId="26" xfId="42" applyNumberFormat="1" applyFont="1" applyFill="1" applyBorder="1" applyProtection="1"/>
    <xf numFmtId="0" fontId="40" fillId="12" borderId="37" xfId="42" applyFont="1" applyFill="1" applyBorder="1" applyProtection="1"/>
    <xf numFmtId="165" fontId="40" fillId="12" borderId="30" xfId="42" applyNumberFormat="1" applyFont="1" applyFill="1" applyBorder="1" applyProtection="1"/>
    <xf numFmtId="0" fontId="50" fillId="12" borderId="29" xfId="42" applyFont="1" applyFill="1" applyBorder="1" applyProtection="1"/>
    <xf numFmtId="0" fontId="50" fillId="12" borderId="37" xfId="42" applyFont="1" applyFill="1" applyBorder="1" applyProtection="1"/>
    <xf numFmtId="0" fontId="50" fillId="12" borderId="31" xfId="42" applyFont="1" applyFill="1" applyBorder="1" applyAlignment="1" applyProtection="1">
      <alignment horizontal="center"/>
    </xf>
    <xf numFmtId="165" fontId="50" fillId="12" borderId="37" xfId="42" applyNumberFormat="1" applyFont="1" applyFill="1" applyBorder="1" applyProtection="1"/>
    <xf numFmtId="165" fontId="50" fillId="12" borderId="47" xfId="42" applyNumberFormat="1" applyFont="1" applyFill="1" applyBorder="1" applyProtection="1"/>
    <xf numFmtId="0" fontId="50" fillId="12" borderId="21" xfId="42" applyFont="1" applyFill="1" applyBorder="1" applyProtection="1"/>
    <xf numFmtId="0" fontId="28" fillId="12" borderId="21" xfId="42" applyFont="1" applyFill="1" applyBorder="1" applyProtection="1"/>
    <xf numFmtId="0" fontId="28" fillId="12" borderId="27" xfId="42" applyFont="1" applyFill="1" applyBorder="1" applyAlignment="1" applyProtection="1">
      <alignment horizontal="center"/>
    </xf>
    <xf numFmtId="0" fontId="50" fillId="12" borderId="33" xfId="42" applyFont="1" applyFill="1" applyBorder="1" applyProtection="1"/>
    <xf numFmtId="0" fontId="50" fillId="12" borderId="52" xfId="42" applyFont="1" applyFill="1" applyBorder="1" applyProtection="1"/>
    <xf numFmtId="165" fontId="40" fillId="12" borderId="52" xfId="42" applyNumberFormat="1" applyFont="1" applyFill="1" applyBorder="1" applyProtection="1"/>
    <xf numFmtId="165" fontId="50" fillId="12" borderId="42" xfId="42" applyNumberFormat="1" applyFont="1" applyFill="1" applyBorder="1" applyProtection="1"/>
    <xf numFmtId="165" fontId="50" fillId="12" borderId="35" xfId="42" applyNumberFormat="1" applyFont="1" applyFill="1" applyBorder="1" applyProtection="1"/>
    <xf numFmtId="0" fontId="0" fillId="12" borderId="17" xfId="42" applyFont="1" applyFill="1" applyBorder="1" applyProtection="1"/>
    <xf numFmtId="0" fontId="0" fillId="12" borderId="20" xfId="42" applyFont="1" applyFill="1" applyBorder="1" applyProtection="1"/>
    <xf numFmtId="167" fontId="34" fillId="12" borderId="0" xfId="42" applyNumberFormat="1" applyFont="1" applyFill="1" applyBorder="1" applyProtection="1"/>
    <xf numFmtId="0" fontId="39" fillId="12" borderId="38" xfId="42" applyFont="1" applyFill="1" applyBorder="1" applyAlignment="1" applyProtection="1">
      <alignment horizontal="center"/>
    </xf>
    <xf numFmtId="0" fontId="30" fillId="12" borderId="31" xfId="42" applyFont="1" applyFill="1" applyBorder="1" applyAlignment="1" applyProtection="1">
      <alignment horizontal="center"/>
    </xf>
    <xf numFmtId="165" fontId="34" fillId="12" borderId="19" xfId="42" applyNumberFormat="1" applyFont="1" applyFill="1" applyBorder="1" applyProtection="1"/>
    <xf numFmtId="165" fontId="34" fillId="12" borderId="17" xfId="42" applyNumberFormat="1" applyFont="1" applyFill="1" applyBorder="1" applyProtection="1"/>
    <xf numFmtId="165" fontId="34" fillId="12" borderId="2" xfId="42" applyNumberFormat="1" applyFont="1" applyFill="1" applyBorder="1" applyProtection="1"/>
    <xf numFmtId="165" fontId="34" fillId="12" borderId="46" xfId="42" applyNumberFormat="1" applyFont="1" applyFill="1" applyBorder="1" applyAlignment="1" applyProtection="1">
      <alignment horizontal="right"/>
    </xf>
    <xf numFmtId="165" fontId="0" fillId="12" borderId="25" xfId="42" applyNumberFormat="1" applyFont="1" applyFill="1" applyBorder="1"/>
    <xf numFmtId="165" fontId="0" fillId="12" borderId="26" xfId="42" applyNumberFormat="1" applyFont="1" applyFill="1" applyBorder="1"/>
    <xf numFmtId="0" fontId="34" fillId="12" borderId="21" xfId="42" quotePrefix="1" applyFont="1" applyFill="1" applyBorder="1" applyAlignment="1" applyProtection="1">
      <alignment horizontal="right"/>
    </xf>
    <xf numFmtId="165" fontId="40" fillId="12" borderId="31" xfId="42" quotePrefix="1" applyNumberFormat="1" applyFont="1" applyFill="1" applyBorder="1" applyAlignment="1" applyProtection="1">
      <alignment horizontal="right"/>
    </xf>
    <xf numFmtId="165" fontId="40" fillId="12" borderId="32" xfId="42" quotePrefix="1" applyNumberFormat="1" applyFont="1" applyFill="1" applyBorder="1" applyAlignment="1" applyProtection="1">
      <alignment horizontal="right"/>
    </xf>
    <xf numFmtId="165" fontId="34" fillId="12" borderId="25" xfId="42" quotePrefix="1" applyNumberFormat="1" applyFont="1" applyFill="1" applyBorder="1" applyAlignment="1" applyProtection="1">
      <alignment horizontal="right"/>
    </xf>
    <xf numFmtId="165" fontId="34" fillId="12" borderId="26" xfId="42" quotePrefix="1" applyNumberFormat="1" applyFont="1" applyFill="1" applyBorder="1" applyAlignment="1" applyProtection="1">
      <alignment horizontal="right"/>
    </xf>
    <xf numFmtId="0" fontId="34" fillId="12" borderId="3" xfId="42" applyFont="1" applyFill="1" applyBorder="1" applyProtection="1"/>
    <xf numFmtId="0" fontId="34" fillId="12" borderId="42" xfId="42" applyFont="1" applyFill="1" applyBorder="1" applyAlignment="1" applyProtection="1">
      <alignment horizontal="center"/>
    </xf>
    <xf numFmtId="165" fontId="34" fillId="12" borderId="3" xfId="42" applyNumberFormat="1" applyFont="1" applyFill="1" applyBorder="1" applyProtection="1"/>
    <xf numFmtId="165" fontId="34" fillId="12" borderId="35" xfId="42" applyNumberFormat="1" applyFont="1" applyFill="1" applyBorder="1" applyProtection="1"/>
    <xf numFmtId="165" fontId="40" fillId="12" borderId="27" xfId="42" applyNumberFormat="1" applyFont="1" applyFill="1" applyBorder="1" applyProtection="1"/>
    <xf numFmtId="165" fontId="40" fillId="12" borderId="56" xfId="42" applyNumberFormat="1" applyFont="1" applyFill="1" applyBorder="1" applyProtection="1"/>
    <xf numFmtId="0" fontId="40" fillId="12" borderId="7" xfId="42" applyFont="1" applyFill="1" applyBorder="1" applyProtection="1"/>
    <xf numFmtId="0" fontId="40" fillId="12" borderId="6" xfId="42" applyFont="1" applyFill="1" applyBorder="1" applyProtection="1"/>
    <xf numFmtId="165" fontId="34" fillId="12" borderId="38" xfId="42" applyNumberFormat="1" applyFont="1" applyFill="1" applyBorder="1" applyProtection="1"/>
    <xf numFmtId="165" fontId="40" fillId="12" borderId="38" xfId="42" applyNumberFormat="1" applyFont="1" applyFill="1" applyBorder="1" applyProtection="1"/>
    <xf numFmtId="165" fontId="40" fillId="12" borderId="28" xfId="42" applyNumberFormat="1" applyFont="1" applyFill="1" applyBorder="1" applyProtection="1"/>
    <xf numFmtId="0" fontId="43" fillId="12" borderId="29" xfId="42" applyFont="1" applyFill="1" applyBorder="1" applyProtection="1"/>
    <xf numFmtId="0" fontId="43" fillId="12" borderId="30" xfId="42" applyFont="1" applyFill="1" applyBorder="1" applyProtection="1"/>
    <xf numFmtId="0" fontId="43" fillId="12" borderId="31" xfId="42" applyFont="1" applyFill="1" applyBorder="1" applyAlignment="1" applyProtection="1">
      <alignment horizontal="center"/>
    </xf>
    <xf numFmtId="165" fontId="34" fillId="12" borderId="32" xfId="42" applyNumberFormat="1" applyFont="1" applyFill="1" applyBorder="1" applyProtection="1"/>
    <xf numFmtId="0" fontId="40" fillId="12" borderId="18" xfId="42" quotePrefix="1" applyFont="1" applyFill="1" applyBorder="1" applyAlignment="1" applyProtection="1">
      <alignment horizontal="left"/>
    </xf>
    <xf numFmtId="0" fontId="40" fillId="12" borderId="6" xfId="42" quotePrefix="1" applyFont="1" applyFill="1" applyBorder="1" applyAlignment="1" applyProtection="1">
      <alignment horizontal="right"/>
    </xf>
    <xf numFmtId="0" fontId="40" fillId="12" borderId="21" xfId="42" quotePrefix="1" applyFont="1" applyFill="1" applyBorder="1" applyAlignment="1" applyProtection="1">
      <alignment horizontal="right"/>
    </xf>
    <xf numFmtId="0" fontId="40" fillId="12" borderId="129" xfId="42" applyFont="1" applyFill="1" applyBorder="1" applyAlignment="1" applyProtection="1">
      <alignment horizontal="left"/>
    </xf>
    <xf numFmtId="165" fontId="34" fillId="12" borderId="57" xfId="42" applyNumberFormat="1" applyFont="1" applyFill="1" applyBorder="1" applyProtection="1"/>
    <xf numFmtId="0" fontId="34" fillId="12" borderId="129" xfId="42" applyFont="1" applyFill="1" applyBorder="1" applyAlignment="1" applyProtection="1">
      <alignment horizontal="left"/>
    </xf>
    <xf numFmtId="0" fontId="34" fillId="12" borderId="57" xfId="42" quotePrefix="1" applyFont="1" applyFill="1" applyBorder="1" applyAlignment="1" applyProtection="1">
      <alignment horizontal="left"/>
    </xf>
    <xf numFmtId="0" fontId="34" fillId="12" borderId="58" xfId="42" applyFont="1" applyFill="1" applyBorder="1" applyAlignment="1" applyProtection="1">
      <alignment horizontal="center"/>
    </xf>
    <xf numFmtId="0" fontId="34" fillId="12" borderId="57" xfId="42" quotePrefix="1" applyFont="1" applyFill="1" applyBorder="1" applyAlignment="1" applyProtection="1">
      <alignment horizontal="center"/>
    </xf>
    <xf numFmtId="165" fontId="34" fillId="12" borderId="58" xfId="42" applyNumberFormat="1" applyFont="1" applyFill="1" applyBorder="1" applyAlignment="1" applyProtection="1">
      <alignment horizontal="right"/>
    </xf>
    <xf numFmtId="165" fontId="0" fillId="12" borderId="30" xfId="42" applyNumberFormat="1" applyFont="1" applyFill="1" applyBorder="1"/>
    <xf numFmtId="0" fontId="40" fillId="12" borderId="129" xfId="42" applyFont="1" applyFill="1" applyBorder="1" applyProtection="1"/>
    <xf numFmtId="0" fontId="34" fillId="12" borderId="57" xfId="42" applyFont="1" applyFill="1" applyBorder="1" applyProtection="1"/>
    <xf numFmtId="0" fontId="39" fillId="12" borderId="57" xfId="42" applyFont="1" applyFill="1" applyBorder="1" applyAlignment="1" applyProtection="1">
      <alignment horizontal="center"/>
    </xf>
    <xf numFmtId="1" fontId="40" fillId="12" borderId="57" xfId="42" applyNumberFormat="1" applyFont="1" applyFill="1" applyBorder="1" applyAlignment="1" applyProtection="1">
      <alignment horizontal="center"/>
    </xf>
    <xf numFmtId="0" fontId="30" fillId="12" borderId="0" xfId="42" applyFont="1" applyFill="1" applyBorder="1" applyAlignment="1" applyProtection="1">
      <alignment horizontal="center"/>
    </xf>
    <xf numFmtId="0" fontId="38" fillId="12" borderId="0" xfId="42" applyFont="1" applyFill="1" applyBorder="1" applyAlignment="1" applyProtection="1">
      <alignment horizontal="center"/>
    </xf>
    <xf numFmtId="0" fontId="34" fillId="12" borderId="0" xfId="42" applyFont="1" applyFill="1" applyBorder="1" applyAlignment="1" applyProtection="1">
      <alignment horizontal="center"/>
    </xf>
    <xf numFmtId="0" fontId="43" fillId="12" borderId="0" xfId="42" applyFont="1" applyFill="1" applyBorder="1" applyAlignment="1" applyProtection="1">
      <alignment horizontal="center"/>
    </xf>
    <xf numFmtId="0" fontId="34" fillId="12" borderId="57" xfId="42" applyFont="1" applyFill="1" applyBorder="1" applyAlignment="1" applyProtection="1">
      <alignment horizontal="center"/>
    </xf>
    <xf numFmtId="165" fontId="34" fillId="12" borderId="57" xfId="42" applyNumberFormat="1" applyFont="1" applyFill="1" applyBorder="1" applyAlignment="1" applyProtection="1">
      <alignment horizontal="right"/>
    </xf>
    <xf numFmtId="0" fontId="34" fillId="12" borderId="3" xfId="42" applyFont="1" applyFill="1" applyBorder="1" applyAlignment="1" applyProtection="1">
      <alignment horizontal="center"/>
    </xf>
    <xf numFmtId="0" fontId="28" fillId="12" borderId="17" xfId="42" applyFont="1" applyFill="1" applyBorder="1" applyProtection="1"/>
    <xf numFmtId="0" fontId="28" fillId="12" borderId="20" xfId="42" applyFont="1" applyFill="1" applyBorder="1" applyProtection="1"/>
    <xf numFmtId="0" fontId="32" fillId="12" borderId="31" xfId="42" applyFont="1" applyFill="1" applyBorder="1" applyAlignment="1" applyProtection="1">
      <alignment horizontal="center"/>
    </xf>
    <xf numFmtId="165" fontId="28" fillId="12" borderId="30" xfId="42" applyNumberFormat="1" applyFont="1" applyFill="1" applyBorder="1"/>
    <xf numFmtId="0" fontId="34" fillId="12" borderId="37" xfId="42" applyFont="1" applyFill="1" applyBorder="1" applyAlignment="1" applyProtection="1">
      <alignment horizontal="right"/>
    </xf>
    <xf numFmtId="0" fontId="38" fillId="12" borderId="41" xfId="42" applyFont="1" applyFill="1" applyBorder="1" applyAlignment="1" applyProtection="1">
      <alignment horizontal="center" wrapText="1"/>
    </xf>
    <xf numFmtId="0" fontId="38" fillId="12" borderId="127" xfId="42" applyFont="1" applyFill="1" applyBorder="1" applyAlignment="1" applyProtection="1">
      <alignment horizontal="center" wrapText="1"/>
    </xf>
    <xf numFmtId="0" fontId="38" fillId="12" borderId="43" xfId="42" applyFont="1" applyFill="1" applyBorder="1" applyAlignment="1" applyProtection="1">
      <alignment horizontal="center" wrapText="1"/>
    </xf>
    <xf numFmtId="0" fontId="39" fillId="12" borderId="21" xfId="42" applyFont="1" applyFill="1" applyBorder="1" applyAlignment="1" applyProtection="1">
      <alignment horizontal="center"/>
    </xf>
    <xf numFmtId="165" fontId="34" fillId="12" borderId="20" xfId="42" applyNumberFormat="1" applyFont="1" applyFill="1" applyBorder="1" applyProtection="1"/>
    <xf numFmtId="165" fontId="34" fillId="12" borderId="45" xfId="42" applyNumberFormat="1" applyFont="1" applyFill="1" applyBorder="1" applyProtection="1"/>
    <xf numFmtId="0" fontId="34" fillId="12" borderId="21" xfId="42" quotePrefix="1" applyFont="1" applyFill="1" applyBorder="1" applyAlignment="1" applyProtection="1">
      <alignment horizontal="left"/>
    </xf>
    <xf numFmtId="165" fontId="40" fillId="12" borderId="27" xfId="42" quotePrefix="1" applyNumberFormat="1" applyFont="1" applyFill="1" applyBorder="1" applyAlignment="1" applyProtection="1"/>
    <xf numFmtId="165" fontId="40" fillId="12" borderId="21" xfId="42" applyNumberFormat="1" applyFont="1" applyFill="1" applyBorder="1" applyAlignment="1" applyProtection="1">
      <alignment horizontal="center"/>
    </xf>
    <xf numFmtId="165" fontId="40" fillId="12" borderId="46" xfId="42" applyNumberFormat="1" applyFont="1" applyFill="1" applyBorder="1" applyAlignment="1" applyProtection="1">
      <alignment horizontal="center"/>
    </xf>
    <xf numFmtId="0" fontId="50" fillId="12" borderId="18" xfId="42" applyFont="1" applyFill="1" applyBorder="1" applyProtection="1"/>
    <xf numFmtId="165" fontId="50" fillId="12" borderId="46" xfId="42" applyNumberFormat="1" applyFont="1" applyFill="1" applyBorder="1" applyAlignment="1" applyProtection="1">
      <alignment horizontal="center"/>
    </xf>
    <xf numFmtId="0" fontId="50" fillId="12" borderId="21" xfId="42" applyFont="1" applyFill="1" applyBorder="1" applyAlignment="1" applyProtection="1">
      <alignment horizontal="center"/>
    </xf>
    <xf numFmtId="0" fontId="34" fillId="12" borderId="20" xfId="42" quotePrefix="1" applyFont="1" applyFill="1" applyBorder="1" applyAlignment="1" applyProtection="1">
      <alignment horizontal="left"/>
    </xf>
    <xf numFmtId="165" fontId="40" fillId="12" borderId="21" xfId="42" quotePrefix="1" applyNumberFormat="1" applyFont="1" applyFill="1" applyBorder="1" applyAlignment="1" applyProtection="1">
      <alignment horizontal="center"/>
    </xf>
    <xf numFmtId="165" fontId="40" fillId="12" borderId="46" xfId="42" quotePrefix="1" applyNumberFormat="1" applyFont="1" applyFill="1" applyBorder="1" applyAlignment="1" applyProtection="1">
      <alignment horizontal="center"/>
    </xf>
    <xf numFmtId="165" fontId="40" fillId="12" borderId="31" xfId="42" quotePrefix="1" applyNumberFormat="1" applyFont="1" applyFill="1" applyBorder="1" applyAlignment="1" applyProtection="1"/>
    <xf numFmtId="165" fontId="40" fillId="12" borderId="37" xfId="42" applyNumberFormat="1" applyFont="1" applyFill="1" applyBorder="1" applyAlignment="1" applyProtection="1">
      <alignment horizontal="center"/>
    </xf>
    <xf numFmtId="165" fontId="40" fillId="12" borderId="37" xfId="42" quotePrefix="1" applyNumberFormat="1" applyFont="1" applyFill="1" applyBorder="1" applyAlignment="1" applyProtection="1">
      <alignment horizontal="center"/>
    </xf>
    <xf numFmtId="165" fontId="50" fillId="12" borderId="47" xfId="42" quotePrefix="1" applyNumberFormat="1" applyFont="1" applyFill="1" applyBorder="1" applyAlignment="1" applyProtection="1">
      <alignment horizontal="center"/>
    </xf>
    <xf numFmtId="0" fontId="50" fillId="12" borderId="21" xfId="42" quotePrefix="1" applyFont="1" applyFill="1" applyBorder="1" applyAlignment="1" applyProtection="1">
      <alignment horizontal="center"/>
    </xf>
    <xf numFmtId="165" fontId="40" fillId="12" borderId="25" xfId="42" quotePrefix="1" applyNumberFormat="1" applyFont="1" applyFill="1" applyBorder="1" applyAlignment="1" applyProtection="1"/>
    <xf numFmtId="165" fontId="40" fillId="12" borderId="20" xfId="42" applyNumberFormat="1" applyFont="1" applyFill="1" applyBorder="1" applyAlignment="1" applyProtection="1">
      <alignment horizontal="center"/>
    </xf>
    <xf numFmtId="165" fontId="40" fillId="12" borderId="45" xfId="42" applyNumberFormat="1" applyFont="1" applyFill="1" applyBorder="1" applyAlignment="1" applyProtection="1">
      <alignment horizontal="center"/>
    </xf>
    <xf numFmtId="0" fontId="34" fillId="12" borderId="21" xfId="42" applyFont="1" applyFill="1" applyBorder="1" applyAlignment="1" applyProtection="1">
      <alignment horizontal="left"/>
    </xf>
    <xf numFmtId="165" fontId="34" fillId="12" borderId="27" xfId="42" quotePrefix="1" applyNumberFormat="1" applyFont="1" applyFill="1" applyBorder="1" applyAlignment="1" applyProtection="1"/>
    <xf numFmtId="165" fontId="34" fillId="12" borderId="21" xfId="42" applyNumberFormat="1" applyFont="1" applyFill="1" applyBorder="1" applyAlignment="1" applyProtection="1">
      <alignment horizontal="center"/>
    </xf>
    <xf numFmtId="165" fontId="34" fillId="12" borderId="46" xfId="42" applyNumberFormat="1" applyFont="1" applyFill="1" applyBorder="1" applyAlignment="1" applyProtection="1">
      <alignment horizontal="center"/>
    </xf>
    <xf numFmtId="165" fontId="43" fillId="12" borderId="46" xfId="42" applyNumberFormat="1" applyFont="1" applyFill="1" applyBorder="1" applyAlignment="1" applyProtection="1">
      <alignment horizontal="center"/>
    </xf>
    <xf numFmtId="0" fontId="43" fillId="12" borderId="21" xfId="42" applyFont="1" applyFill="1" applyBorder="1" applyAlignment="1" applyProtection="1">
      <alignment horizontal="center"/>
    </xf>
    <xf numFmtId="0" fontId="43" fillId="12" borderId="21" xfId="42" applyFont="1" applyFill="1" applyBorder="1" applyAlignment="1" applyProtection="1">
      <alignment horizontal="left"/>
    </xf>
    <xf numFmtId="165" fontId="40" fillId="12" borderId="21" xfId="42" applyNumberFormat="1" applyFont="1" applyFill="1" applyBorder="1" applyProtection="1"/>
    <xf numFmtId="165" fontId="50" fillId="12" borderId="46" xfId="42" applyNumberFormat="1" applyFont="1" applyFill="1" applyBorder="1" applyProtection="1"/>
    <xf numFmtId="165" fontId="34" fillId="12" borderId="25" xfId="42" quotePrefix="1" applyNumberFormat="1" applyFont="1" applyFill="1" applyBorder="1" applyAlignment="1" applyProtection="1"/>
    <xf numFmtId="165" fontId="34" fillId="12" borderId="20" xfId="42" applyNumberFormat="1" applyFont="1" applyFill="1" applyBorder="1" applyAlignment="1" applyProtection="1">
      <alignment horizontal="center"/>
    </xf>
    <xf numFmtId="165" fontId="40" fillId="12" borderId="42" xfId="42" quotePrefix="1" applyNumberFormat="1" applyFont="1" applyFill="1" applyBorder="1" applyAlignment="1" applyProtection="1"/>
    <xf numFmtId="165" fontId="50" fillId="12" borderId="59" xfId="42" applyNumberFormat="1" applyFont="1" applyFill="1" applyBorder="1" applyProtection="1"/>
    <xf numFmtId="0" fontId="38" fillId="12" borderId="27" xfId="42" quotePrefix="1" applyFont="1" applyFill="1" applyBorder="1" applyAlignment="1" applyProtection="1">
      <alignment horizontal="center"/>
    </xf>
    <xf numFmtId="0" fontId="38" fillId="12" borderId="0" xfId="42" quotePrefix="1" applyFont="1" applyFill="1" applyBorder="1" applyAlignment="1" applyProtection="1">
      <alignment horizontal="center"/>
    </xf>
    <xf numFmtId="0" fontId="38" fillId="12" borderId="2" xfId="42" applyFont="1" applyFill="1" applyBorder="1" applyAlignment="1" applyProtection="1">
      <alignment horizontal="center"/>
    </xf>
    <xf numFmtId="0" fontId="38" fillId="12" borderId="46" xfId="42" quotePrefix="1" applyFont="1" applyFill="1" applyBorder="1" applyAlignment="1" applyProtection="1">
      <alignment horizontal="center"/>
    </xf>
    <xf numFmtId="0" fontId="48" fillId="12" borderId="21" xfId="42" quotePrefix="1" applyFont="1" applyFill="1" applyBorder="1" applyAlignment="1" applyProtection="1">
      <alignment horizontal="right"/>
    </xf>
    <xf numFmtId="0" fontId="40" fillId="12" borderId="24" xfId="42" applyFont="1" applyFill="1" applyBorder="1" applyAlignment="1" applyProtection="1">
      <alignment horizontal="left"/>
    </xf>
    <xf numFmtId="0" fontId="34" fillId="12" borderId="17" xfId="42" applyFont="1" applyFill="1" applyBorder="1" applyAlignment="1" applyProtection="1">
      <alignment horizontal="right"/>
    </xf>
    <xf numFmtId="0" fontId="43" fillId="12" borderId="20" xfId="42" applyFont="1" applyFill="1" applyBorder="1" applyAlignment="1" applyProtection="1">
      <alignment horizontal="right"/>
    </xf>
    <xf numFmtId="0" fontId="34" fillId="12" borderId="19" xfId="42" applyFont="1" applyFill="1" applyBorder="1" applyAlignment="1" applyProtection="1">
      <alignment horizontal="right"/>
    </xf>
    <xf numFmtId="0" fontId="34" fillId="12" borderId="20" xfId="42" applyFont="1" applyFill="1" applyBorder="1" applyAlignment="1" applyProtection="1">
      <alignment horizontal="right"/>
    </xf>
    <xf numFmtId="0" fontId="43" fillId="12" borderId="45" xfId="42" applyFont="1" applyFill="1" applyBorder="1" applyAlignment="1" applyProtection="1">
      <alignment horizontal="right"/>
    </xf>
    <xf numFmtId="166" fontId="0" fillId="12" borderId="27" xfId="398" applyNumberFormat="1" applyFont="1" applyFill="1" applyBorder="1" applyAlignment="1">
      <alignment horizontal="center"/>
    </xf>
    <xf numFmtId="0" fontId="34" fillId="12" borderId="29" xfId="42" applyFont="1" applyFill="1" applyBorder="1" applyAlignment="1" applyProtection="1">
      <alignment horizontal="left"/>
    </xf>
    <xf numFmtId="0" fontId="34" fillId="12" borderId="30" xfId="42" applyFont="1" applyFill="1" applyBorder="1" applyAlignment="1" applyProtection="1">
      <alignment horizontal="right"/>
    </xf>
    <xf numFmtId="166" fontId="0" fillId="12" borderId="31" xfId="398" applyNumberFormat="1" applyFont="1" applyFill="1" applyBorder="1" applyAlignment="1">
      <alignment horizontal="center"/>
    </xf>
    <xf numFmtId="165" fontId="34" fillId="12" borderId="37" xfId="42" applyNumberFormat="1" applyFont="1" applyFill="1" applyBorder="1" applyAlignment="1" applyProtection="1">
      <alignment horizontal="right"/>
    </xf>
    <xf numFmtId="165" fontId="34" fillId="12" borderId="36" xfId="42" applyNumberFormat="1" applyFont="1" applyFill="1" applyBorder="1" applyAlignment="1" applyProtection="1">
      <alignment horizontal="right"/>
    </xf>
    <xf numFmtId="165" fontId="34" fillId="12" borderId="47" xfId="42" applyNumberFormat="1" applyFont="1" applyFill="1" applyBorder="1" applyAlignment="1" applyProtection="1">
      <alignment horizontal="right"/>
    </xf>
    <xf numFmtId="0" fontId="40" fillId="12" borderId="0" xfId="42" applyFont="1" applyFill="1" applyBorder="1" applyAlignment="1" applyProtection="1">
      <alignment horizontal="right"/>
    </xf>
    <xf numFmtId="165" fontId="40" fillId="12" borderId="21" xfId="42" applyNumberFormat="1" applyFont="1" applyFill="1" applyBorder="1" applyAlignment="1" applyProtection="1">
      <alignment horizontal="right"/>
    </xf>
    <xf numFmtId="165" fontId="40" fillId="12" borderId="46" xfId="42" applyNumberFormat="1" applyFont="1" applyFill="1" applyBorder="1" applyAlignment="1" applyProtection="1">
      <alignment horizontal="right"/>
    </xf>
    <xf numFmtId="0" fontId="0" fillId="12" borderId="25" xfId="42" applyFont="1" applyFill="1" applyBorder="1" applyAlignment="1">
      <alignment horizontal="center"/>
    </xf>
    <xf numFmtId="165" fontId="34" fillId="12" borderId="20" xfId="42" applyNumberFormat="1" applyFont="1" applyFill="1" applyBorder="1" applyAlignment="1" applyProtection="1">
      <alignment horizontal="right"/>
    </xf>
    <xf numFmtId="165" fontId="34" fillId="12" borderId="45" xfId="42" applyNumberFormat="1" applyFont="1" applyFill="1" applyBorder="1" applyAlignment="1" applyProtection="1">
      <alignment horizontal="right"/>
    </xf>
    <xf numFmtId="165" fontId="33" fillId="19" borderId="76" xfId="42" applyNumberFormat="1" applyFont="1" applyFill="1" applyBorder="1" applyAlignment="1">
      <alignment horizontal="right"/>
    </xf>
    <xf numFmtId="165" fontId="33" fillId="19" borderId="104" xfId="42" applyNumberFormat="1" applyFont="1" applyFill="1" applyBorder="1" applyAlignment="1">
      <alignment horizontal="right"/>
    </xf>
    <xf numFmtId="0" fontId="28" fillId="0" borderId="0" xfId="42" applyFont="1" applyFill="1" applyAlignment="1">
      <alignment horizontal="center"/>
    </xf>
    <xf numFmtId="0" fontId="28" fillId="0" borderId="0" xfId="42" applyFont="1" applyFill="1"/>
    <xf numFmtId="0" fontId="28" fillId="0" borderId="0" xfId="42" applyFont="1" applyFill="1" applyBorder="1" applyAlignment="1">
      <alignment horizontal="center"/>
    </xf>
    <xf numFmtId="0" fontId="28" fillId="19" borderId="0" xfId="42" applyFont="1" applyFill="1" applyBorder="1" applyAlignment="1">
      <alignment horizontal="center"/>
    </xf>
    <xf numFmtId="0" fontId="28" fillId="19" borderId="0" xfId="42" applyFont="1" applyFill="1" applyBorder="1" applyAlignment="1">
      <alignment horizontal="right"/>
    </xf>
    <xf numFmtId="2" fontId="28" fillId="19" borderId="0" xfId="42" applyNumberFormat="1" applyFont="1" applyFill="1" applyBorder="1" applyAlignment="1">
      <alignment horizontal="right"/>
    </xf>
    <xf numFmtId="165" fontId="28" fillId="19" borderId="75" xfId="42" applyNumberFormat="1" applyFont="1" applyFill="1" applyBorder="1" applyAlignment="1">
      <alignment horizontal="right"/>
    </xf>
    <xf numFmtId="14" fontId="28" fillId="0" borderId="4" xfId="42" applyNumberFormat="1" applyFont="1" applyBorder="1" applyAlignment="1"/>
    <xf numFmtId="0" fontId="4" fillId="0" borderId="0" xfId="42" applyFont="1" applyAlignment="1">
      <alignment horizontal="left"/>
    </xf>
    <xf numFmtId="167" fontId="0" fillId="12" borderId="30" xfId="42" applyNumberFormat="1" applyFont="1" applyFill="1" applyBorder="1"/>
    <xf numFmtId="165" fontId="34" fillId="12" borderId="6" xfId="42" applyNumberFormat="1" applyFont="1" applyFill="1" applyBorder="1" applyProtection="1"/>
    <xf numFmtId="2" fontId="28" fillId="0" borderId="80" xfId="42" applyNumberFormat="1" applyFont="1" applyBorder="1"/>
    <xf numFmtId="2" fontId="28" fillId="0" borderId="0" xfId="42" applyNumberFormat="1" applyFont="1" applyBorder="1"/>
    <xf numFmtId="2" fontId="28" fillId="21" borderId="0" xfId="42" applyNumberFormat="1" applyFont="1" applyFill="1" applyBorder="1"/>
    <xf numFmtId="2" fontId="28" fillId="0" borderId="82" xfId="42" applyNumberFormat="1" applyFont="1" applyBorder="1"/>
    <xf numFmtId="2" fontId="28" fillId="13" borderId="0" xfId="42" applyNumberFormat="1" applyFont="1" applyFill="1" applyBorder="1"/>
    <xf numFmtId="0" fontId="68" fillId="0" borderId="0" xfId="42" applyFont="1" applyAlignment="1">
      <alignment horizontal="center"/>
    </xf>
    <xf numFmtId="165" fontId="55" fillId="0" borderId="71" xfId="42" applyNumberFormat="1" applyFont="1" applyFill="1" applyBorder="1" applyAlignment="1">
      <alignment horizontal="right"/>
    </xf>
    <xf numFmtId="167" fontId="49" fillId="19" borderId="71" xfId="42" applyNumberFormat="1" applyFont="1" applyFill="1" applyBorder="1" applyAlignment="1">
      <alignment horizontal="right"/>
    </xf>
    <xf numFmtId="2" fontId="28" fillId="0" borderId="0" xfId="42" applyNumberFormat="1" applyFont="1"/>
    <xf numFmtId="0" fontId="28" fillId="0" borderId="0" xfId="42" applyNumberFormat="1" applyFont="1" applyAlignment="1"/>
    <xf numFmtId="10" fontId="40" fillId="0" borderId="92" xfId="398" applyNumberFormat="1" applyFont="1" applyBorder="1" applyAlignment="1"/>
    <xf numFmtId="10" fontId="40" fillId="0" borderId="4" xfId="398" applyNumberFormat="1" applyFont="1" applyFill="1" applyBorder="1" applyAlignment="1"/>
    <xf numFmtId="10" fontId="40" fillId="0" borderId="0" xfId="42" applyNumberFormat="1" applyFont="1" applyBorder="1" applyAlignment="1"/>
    <xf numFmtId="2" fontId="28" fillId="19" borderId="75" xfId="42" applyNumberFormat="1" applyFont="1" applyFill="1" applyBorder="1" applyAlignment="1">
      <alignment horizontal="right"/>
    </xf>
    <xf numFmtId="2" fontId="32" fillId="21" borderId="0" xfId="42" applyNumberFormat="1" applyFont="1" applyFill="1" applyBorder="1"/>
    <xf numFmtId="168" fontId="40" fillId="0" borderId="0" xfId="42" applyNumberFormat="1" applyFont="1" applyAlignment="1"/>
    <xf numFmtId="2" fontId="40" fillId="0" borderId="111" xfId="42" applyNumberFormat="1" applyFont="1" applyBorder="1" applyAlignment="1"/>
    <xf numFmtId="2" fontId="40" fillId="0" borderId="113" xfId="42" applyNumberFormat="1" applyFont="1" applyBorder="1" applyAlignment="1"/>
    <xf numFmtId="2" fontId="40" fillId="15" borderId="0" xfId="42" applyNumberFormat="1" applyFont="1" applyFill="1" applyAlignment="1"/>
    <xf numFmtId="165" fontId="40" fillId="34" borderId="82" xfId="42" applyNumberFormat="1" applyFont="1" applyFill="1" applyBorder="1" applyAlignment="1"/>
    <xf numFmtId="2" fontId="28" fillId="0" borderId="76" xfId="42" applyNumberFormat="1" applyFont="1" applyBorder="1" applyAlignment="1"/>
    <xf numFmtId="2" fontId="40" fillId="20" borderId="76" xfId="42" applyNumberFormat="1" applyFont="1" applyFill="1" applyBorder="1" applyAlignment="1"/>
    <xf numFmtId="2" fontId="28" fillId="15" borderId="76" xfId="42" applyNumberFormat="1" applyFont="1" applyFill="1" applyBorder="1" applyAlignment="1"/>
    <xf numFmtId="2" fontId="40" fillId="15" borderId="76" xfId="42" applyNumberFormat="1" applyFont="1" applyFill="1" applyBorder="1" applyAlignment="1"/>
    <xf numFmtId="2" fontId="40" fillId="15" borderId="0" xfId="42" applyNumberFormat="1" applyFont="1" applyFill="1" applyBorder="1" applyAlignment="1"/>
    <xf numFmtId="2" fontId="32" fillId="0" borderId="0" xfId="398" applyNumberFormat="1" applyFont="1" applyAlignment="1"/>
    <xf numFmtId="2" fontId="28" fillId="15" borderId="0" xfId="42" applyNumberFormat="1" applyFont="1" applyFill="1" applyBorder="1" applyAlignment="1"/>
    <xf numFmtId="2" fontId="28" fillId="0" borderId="80" xfId="42" applyNumberFormat="1" applyFont="1" applyBorder="1" applyAlignment="1">
      <alignment horizontal="right"/>
    </xf>
    <xf numFmtId="2" fontId="32" fillId="11" borderId="0" xfId="42" applyNumberFormat="1" applyFont="1" applyFill="1" applyBorder="1" applyAlignment="1">
      <alignment horizontal="right"/>
    </xf>
    <xf numFmtId="2" fontId="28" fillId="0" borderId="0" xfId="42" applyNumberFormat="1" applyFont="1" applyBorder="1" applyAlignment="1">
      <alignment horizontal="right"/>
    </xf>
    <xf numFmtId="2" fontId="28" fillId="0" borderId="82" xfId="42" applyNumberFormat="1" applyFont="1" applyBorder="1" applyAlignment="1">
      <alignment horizontal="right"/>
    </xf>
    <xf numFmtId="2" fontId="40" fillId="11" borderId="82" xfId="42" applyNumberFormat="1" applyFont="1" applyFill="1" applyBorder="1" applyAlignment="1">
      <alignment horizontal="right"/>
    </xf>
    <xf numFmtId="1" fontId="28" fillId="0" borderId="0" xfId="42" applyNumberFormat="1" applyFont="1" applyBorder="1" applyAlignment="1">
      <alignment horizontal="right"/>
    </xf>
    <xf numFmtId="0" fontId="0" fillId="13" borderId="0" xfId="42" applyFont="1" applyFill="1" applyBorder="1" applyAlignment="1">
      <alignment horizontal="right"/>
    </xf>
    <xf numFmtId="167" fontId="59" fillId="19" borderId="0" xfId="42" applyNumberFormat="1" applyFont="1" applyFill="1" applyAlignment="1">
      <alignment horizontal="right"/>
    </xf>
    <xf numFmtId="2" fontId="0" fillId="13" borderId="0" xfId="42" applyNumberFormat="1" applyFont="1" applyFill="1" applyBorder="1" applyAlignment="1">
      <alignment horizontal="right"/>
    </xf>
    <xf numFmtId="1" fontId="28" fillId="0" borderId="92" xfId="42" applyNumberFormat="1" applyFont="1" applyBorder="1" applyAlignment="1">
      <alignment horizontal="right"/>
    </xf>
    <xf numFmtId="2" fontId="28" fillId="0" borderId="92" xfId="42" applyNumberFormat="1" applyFont="1" applyBorder="1" applyAlignment="1">
      <alignment horizontal="right"/>
    </xf>
    <xf numFmtId="1" fontId="28" fillId="0" borderId="4" xfId="42" applyNumberFormat="1" applyFont="1" applyBorder="1" applyAlignment="1">
      <alignment horizontal="right"/>
    </xf>
    <xf numFmtId="2" fontId="28" fillId="0" borderId="4" xfId="42" applyNumberFormat="1" applyFont="1" applyBorder="1" applyAlignment="1">
      <alignment horizontal="right"/>
    </xf>
    <xf numFmtId="167" fontId="58" fillId="19" borderId="0" xfId="42" applyNumberFormat="1" applyFont="1" applyFill="1" applyAlignment="1">
      <alignment horizontal="right"/>
    </xf>
    <xf numFmtId="2" fontId="32" fillId="0" borderId="80" xfId="42" applyNumberFormat="1" applyFont="1" applyBorder="1" applyAlignment="1">
      <alignment horizontal="right"/>
    </xf>
    <xf numFmtId="2" fontId="32" fillId="0" borderId="82" xfId="42" applyNumberFormat="1" applyFont="1" applyBorder="1" applyAlignment="1">
      <alignment horizontal="right"/>
    </xf>
    <xf numFmtId="2" fontId="32" fillId="0" borderId="92" xfId="42" applyNumberFormat="1" applyFont="1" applyBorder="1" applyAlignment="1">
      <alignment horizontal="right"/>
    </xf>
    <xf numFmtId="2" fontId="32" fillId="0" borderId="4" xfId="42" applyNumberFormat="1" applyFont="1" applyBorder="1" applyAlignment="1">
      <alignment horizontal="right"/>
    </xf>
    <xf numFmtId="0" fontId="13" fillId="19" borderId="0" xfId="32" applyFill="1" applyBorder="1" applyAlignment="1" applyProtection="1"/>
    <xf numFmtId="166" fontId="59" fillId="19" borderId="0" xfId="398" applyNumberFormat="1" applyFont="1" applyFill="1" applyBorder="1" applyAlignment="1">
      <alignment horizontal="right"/>
    </xf>
    <xf numFmtId="166" fontId="28" fillId="0" borderId="0" xfId="42" applyNumberFormat="1" applyFont="1" applyAlignment="1"/>
    <xf numFmtId="0" fontId="59" fillId="21" borderId="0" xfId="42" applyFont="1" applyFill="1" applyBorder="1" applyAlignment="1">
      <alignment horizontal="left"/>
    </xf>
    <xf numFmtId="166" fontId="59" fillId="21" borderId="0" xfId="398" applyNumberFormat="1" applyFont="1" applyFill="1" applyBorder="1" applyAlignment="1">
      <alignment horizontal="right"/>
    </xf>
    <xf numFmtId="0" fontId="59" fillId="21" borderId="82" xfId="42" applyFont="1" applyFill="1" applyBorder="1" applyAlignment="1">
      <alignment horizontal="left"/>
    </xf>
    <xf numFmtId="165" fontId="59" fillId="21" borderId="82" xfId="42" applyNumberFormat="1" applyFont="1" applyFill="1" applyBorder="1" applyAlignment="1"/>
    <xf numFmtId="165" fontId="58" fillId="19" borderId="0" xfId="42" applyNumberFormat="1" applyFont="1" applyFill="1" applyBorder="1" applyAlignment="1">
      <alignment horizontal="right"/>
    </xf>
    <xf numFmtId="166" fontId="58" fillId="19" borderId="0" xfId="398" applyNumberFormat="1" applyFont="1" applyFill="1" applyBorder="1" applyAlignment="1">
      <alignment horizontal="right"/>
    </xf>
    <xf numFmtId="165" fontId="114" fillId="19" borderId="0" xfId="42" applyNumberFormat="1" applyFont="1" applyFill="1" applyBorder="1" applyAlignment="1">
      <alignment horizontal="right"/>
    </xf>
    <xf numFmtId="165" fontId="32" fillId="0" borderId="80" xfId="42" applyNumberFormat="1" applyFont="1" applyBorder="1" applyAlignment="1"/>
    <xf numFmtId="165" fontId="32" fillId="0" borderId="82" xfId="42" applyNumberFormat="1" applyFont="1" applyBorder="1" applyAlignment="1"/>
    <xf numFmtId="166" fontId="32" fillId="0" borderId="17" xfId="398" applyNumberFormat="1" applyFont="1" applyBorder="1" applyAlignment="1"/>
    <xf numFmtId="166" fontId="32" fillId="0" borderId="0" xfId="398" applyNumberFormat="1" applyFont="1" applyBorder="1" applyAlignment="1"/>
    <xf numFmtId="166" fontId="32" fillId="0" borderId="30" xfId="398" applyNumberFormat="1" applyFont="1" applyBorder="1" applyAlignment="1"/>
    <xf numFmtId="166" fontId="32" fillId="13" borderId="0" xfId="398" applyNumberFormat="1" applyFont="1" applyFill="1" applyBorder="1" applyAlignment="1"/>
    <xf numFmtId="165" fontId="58" fillId="19" borderId="0" xfId="42" applyNumberFormat="1" applyFont="1" applyFill="1" applyAlignment="1"/>
    <xf numFmtId="166" fontId="58" fillId="21" borderId="0" xfId="398" applyNumberFormat="1" applyFont="1" applyFill="1" applyBorder="1" applyAlignment="1">
      <alignment horizontal="right"/>
    </xf>
    <xf numFmtId="165" fontId="58" fillId="21" borderId="82" xfId="42" applyNumberFormat="1" applyFont="1" applyFill="1" applyBorder="1" applyAlignment="1"/>
    <xf numFmtId="166" fontId="114" fillId="19" borderId="0" xfId="398" applyNumberFormat="1" applyFont="1" applyFill="1" applyBorder="1" applyAlignment="1"/>
    <xf numFmtId="0" fontId="32" fillId="19" borderId="0" xfId="42" applyFont="1" applyFill="1" applyBorder="1"/>
    <xf numFmtId="165" fontId="114" fillId="21" borderId="0" xfId="42" applyNumberFormat="1" applyFont="1" applyFill="1" applyBorder="1" applyAlignment="1"/>
    <xf numFmtId="166" fontId="32" fillId="0" borderId="30" xfId="398" applyNumberFormat="1" applyFont="1" applyFill="1" applyBorder="1" applyAlignment="1"/>
    <xf numFmtId="166" fontId="40" fillId="13" borderId="0" xfId="398" applyNumberFormat="1" applyFont="1" applyFill="1" applyAlignment="1">
      <alignment vertical="center"/>
    </xf>
    <xf numFmtId="2" fontId="114" fillId="19" borderId="0" xfId="42" applyNumberFormat="1" applyFont="1" applyFill="1" applyBorder="1" applyAlignment="1">
      <alignment horizontal="right"/>
    </xf>
    <xf numFmtId="0" fontId="13" fillId="19" borderId="0" xfId="32" applyFill="1" applyBorder="1" applyAlignment="1" applyProtection="1">
      <alignment horizontal="left"/>
    </xf>
    <xf numFmtId="0" fontId="105" fillId="0" borderId="29" xfId="42" applyFont="1" applyFill="1" applyBorder="1" applyProtection="1"/>
    <xf numFmtId="0" fontId="105" fillId="0" borderId="30" xfId="42" applyFont="1" applyFill="1" applyBorder="1" applyProtection="1"/>
    <xf numFmtId="0" fontId="105" fillId="0" borderId="31" xfId="42" applyFont="1" applyFill="1" applyBorder="1" applyAlignment="1" applyProtection="1">
      <alignment horizontal="center"/>
    </xf>
    <xf numFmtId="165" fontId="105" fillId="0" borderId="30" xfId="42" quotePrefix="1" applyNumberFormat="1" applyFont="1" applyFill="1" applyBorder="1" applyAlignment="1" applyProtection="1">
      <alignment horizontal="right"/>
    </xf>
    <xf numFmtId="165" fontId="105" fillId="0" borderId="31" xfId="352" applyNumberFormat="1" applyFont="1" applyBorder="1" applyAlignment="1" applyProtection="1">
      <alignment horizontal="right"/>
    </xf>
    <xf numFmtId="165" fontId="105" fillId="0" borderId="37" xfId="42" applyNumberFormat="1" applyFont="1" applyFill="1" applyBorder="1" applyAlignment="1" applyProtection="1">
      <alignment horizontal="right"/>
    </xf>
    <xf numFmtId="165" fontId="105" fillId="0" borderId="47" xfId="42" applyNumberFormat="1" applyFont="1" applyFill="1" applyBorder="1" applyAlignment="1" applyProtection="1">
      <alignment horizontal="right"/>
    </xf>
    <xf numFmtId="0" fontId="34" fillId="0" borderId="0" xfId="42" applyFont="1"/>
    <xf numFmtId="1" fontId="34" fillId="15" borderId="76" xfId="42" applyNumberFormat="1" applyFont="1" applyFill="1" applyBorder="1" applyAlignment="1"/>
    <xf numFmtId="1" fontId="34" fillId="20" borderId="76" xfId="42" applyNumberFormat="1" applyFont="1" applyFill="1" applyBorder="1" applyAlignment="1"/>
    <xf numFmtId="166" fontId="43" fillId="19" borderId="0" xfId="398" applyNumberFormat="1" applyFont="1" applyFill="1" applyBorder="1" applyAlignment="1"/>
    <xf numFmtId="1" fontId="34" fillId="20" borderId="0" xfId="42" applyNumberFormat="1" applyFont="1" applyFill="1" applyBorder="1" applyAlignment="1"/>
    <xf numFmtId="166" fontId="43" fillId="19" borderId="71" xfId="398" applyNumberFormat="1" applyFont="1" applyFill="1" applyBorder="1"/>
    <xf numFmtId="1" fontId="34" fillId="21" borderId="89" xfId="42" applyNumberFormat="1" applyFont="1" applyFill="1" applyBorder="1" applyAlignment="1"/>
    <xf numFmtId="2" fontId="34" fillId="11" borderId="80" xfId="42" applyNumberFormat="1" applyFont="1" applyFill="1" applyBorder="1" applyAlignment="1"/>
    <xf numFmtId="2" fontId="34" fillId="11" borderId="0" xfId="42" applyNumberFormat="1" applyFont="1" applyFill="1" applyBorder="1" applyAlignment="1"/>
    <xf numFmtId="1" fontId="34" fillId="13" borderId="92" xfId="42" applyNumberFormat="1" applyFont="1" applyFill="1" applyBorder="1" applyAlignment="1"/>
    <xf numFmtId="165" fontId="34" fillId="13" borderId="92" xfId="42" applyNumberFormat="1" applyFont="1" applyFill="1" applyBorder="1" applyAlignment="1"/>
    <xf numFmtId="165" fontId="34" fillId="13" borderId="4" xfId="42" applyNumberFormat="1" applyFont="1" applyFill="1" applyBorder="1" applyAlignment="1"/>
    <xf numFmtId="1" fontId="34" fillId="0" borderId="0" xfId="42" applyNumberFormat="1" applyFont="1"/>
    <xf numFmtId="165" fontId="34" fillId="20" borderId="0" xfId="42" applyNumberFormat="1" applyFont="1" applyFill="1" applyBorder="1" applyAlignment="1"/>
    <xf numFmtId="1" fontId="34" fillId="35" borderId="0" xfId="42" applyNumberFormat="1" applyFont="1" applyFill="1" applyBorder="1" applyAlignment="1"/>
    <xf numFmtId="10" fontId="43" fillId="19" borderId="0" xfId="398" applyNumberFormat="1" applyFont="1" applyFill="1" applyBorder="1"/>
    <xf numFmtId="1" fontId="52" fillId="15" borderId="0" xfId="42" applyNumberFormat="1" applyFont="1" applyFill="1" applyBorder="1" applyAlignment="1"/>
    <xf numFmtId="166" fontId="52" fillId="15" borderId="71" xfId="398" applyNumberFormat="1" applyFont="1" applyFill="1" applyBorder="1" applyAlignment="1"/>
    <xf numFmtId="2" fontId="34" fillId="21" borderId="0" xfId="42" applyNumberFormat="1" applyFont="1" applyFill="1" applyBorder="1" applyAlignment="1"/>
    <xf numFmtId="2" fontId="34" fillId="21" borderId="82" xfId="42" applyNumberFormat="1" applyFont="1" applyFill="1" applyBorder="1" applyAlignment="1"/>
    <xf numFmtId="1" fontId="34" fillId="0" borderId="0" xfId="42" applyNumberFormat="1" applyFont="1" applyBorder="1" applyAlignment="1"/>
    <xf numFmtId="1" fontId="34" fillId="13" borderId="0" xfId="42" applyNumberFormat="1" applyFont="1" applyFill="1" applyBorder="1" applyAlignment="1"/>
    <xf numFmtId="1" fontId="34" fillId="36" borderId="0" xfId="42" applyNumberFormat="1" applyFont="1" applyFill="1" applyBorder="1" applyAlignment="1"/>
    <xf numFmtId="1" fontId="34" fillId="13" borderId="30" xfId="42" applyNumberFormat="1" applyFont="1" applyFill="1" applyBorder="1" applyAlignment="1"/>
    <xf numFmtId="2" fontId="34" fillId="13" borderId="92" xfId="398" applyNumberFormat="1" applyFont="1" applyFill="1" applyBorder="1" applyAlignment="1"/>
    <xf numFmtId="2" fontId="34" fillId="13" borderId="0" xfId="398" applyNumberFormat="1" applyFont="1" applyFill="1" applyBorder="1" applyAlignment="1"/>
    <xf numFmtId="2" fontId="34" fillId="13" borderId="4" xfId="398" applyNumberFormat="1" applyFont="1" applyFill="1" applyBorder="1" applyAlignment="1"/>
    <xf numFmtId="1" fontId="34" fillId="0" borderId="76" xfId="42" applyNumberFormat="1" applyFont="1" applyFill="1" applyBorder="1" applyAlignment="1"/>
    <xf numFmtId="1" fontId="34" fillId="0" borderId="71" xfId="42" applyNumberFormat="1" applyFont="1" applyFill="1" applyBorder="1" applyAlignment="1"/>
    <xf numFmtId="1" fontId="34" fillId="15" borderId="0" xfId="42" applyNumberFormat="1" applyFont="1" applyFill="1" applyBorder="1" applyAlignment="1"/>
    <xf numFmtId="2" fontId="34" fillId="0" borderId="80" xfId="42" applyNumberFormat="1" applyFont="1" applyBorder="1" applyAlignment="1"/>
    <xf numFmtId="2" fontId="34" fillId="0" borderId="82" xfId="42" applyNumberFormat="1" applyFont="1" applyBorder="1" applyAlignment="1"/>
    <xf numFmtId="1" fontId="34" fillId="20" borderId="72" xfId="42" applyNumberFormat="1" applyFont="1" applyFill="1" applyBorder="1"/>
    <xf numFmtId="1" fontId="34" fillId="30" borderId="76" xfId="42" applyNumberFormat="1" applyFont="1" applyFill="1" applyBorder="1"/>
    <xf numFmtId="165" fontId="43" fillId="27" borderId="0" xfId="42" applyNumberFormat="1" applyFont="1" applyFill="1" applyBorder="1" applyAlignment="1"/>
    <xf numFmtId="1" fontId="34" fillId="30" borderId="0" xfId="42" applyNumberFormat="1" applyFont="1" applyFill="1" applyBorder="1"/>
    <xf numFmtId="165" fontId="43" fillId="27" borderId="71" xfId="42" applyNumberFormat="1" applyFont="1" applyFill="1" applyBorder="1" applyAlignment="1"/>
    <xf numFmtId="2" fontId="34" fillId="37" borderId="87" xfId="42" applyNumberFormat="1" applyFont="1" applyFill="1" applyBorder="1" applyAlignment="1"/>
    <xf numFmtId="2" fontId="34" fillId="37" borderId="124" xfId="42" applyNumberFormat="1" applyFont="1" applyFill="1" applyBorder="1" applyAlignment="1"/>
    <xf numFmtId="165" fontId="34" fillId="20" borderId="0" xfId="42" applyNumberFormat="1" applyFont="1" applyFill="1" applyBorder="1"/>
    <xf numFmtId="165" fontId="34" fillId="20" borderId="71" xfId="42" applyNumberFormat="1" applyFont="1" applyFill="1" applyBorder="1"/>
    <xf numFmtId="0" fontId="34" fillId="0" borderId="0" xfId="42" applyFont="1" applyBorder="1"/>
    <xf numFmtId="2" fontId="34" fillId="21" borderId="0" xfId="42" applyNumberFormat="1" applyFont="1" applyFill="1" applyBorder="1"/>
    <xf numFmtId="2" fontId="34" fillId="11" borderId="82" xfId="42" applyNumberFormat="1" applyFont="1" applyFill="1" applyBorder="1"/>
    <xf numFmtId="166" fontId="34" fillId="0" borderId="0" xfId="42" applyNumberFormat="1" applyFont="1" applyBorder="1"/>
    <xf numFmtId="165" fontId="34" fillId="20" borderId="76" xfId="42" applyNumberFormat="1" applyFont="1" applyFill="1" applyBorder="1"/>
    <xf numFmtId="165" fontId="34" fillId="20" borderId="0" xfId="42" applyNumberFormat="1" applyFont="1" applyFill="1" applyBorder="1" applyAlignment="1">
      <alignment vertical="center"/>
    </xf>
    <xf numFmtId="2" fontId="34" fillId="0" borderId="0" xfId="42" applyNumberFormat="1" applyFont="1" applyBorder="1"/>
    <xf numFmtId="166" fontId="34" fillId="0" borderId="92" xfId="398" applyNumberFormat="1" applyFont="1" applyFill="1" applyBorder="1"/>
    <xf numFmtId="166" fontId="34" fillId="13" borderId="0" xfId="398" applyNumberFormat="1" applyFont="1" applyFill="1" applyBorder="1"/>
    <xf numFmtId="166" fontId="34" fillId="0" borderId="4" xfId="398" applyNumberFormat="1" applyFont="1" applyBorder="1"/>
    <xf numFmtId="165" fontId="34" fillId="0" borderId="80" xfId="42" applyNumberFormat="1" applyFont="1" applyFill="1" applyBorder="1"/>
    <xf numFmtId="165" fontId="34" fillId="21" borderId="0" xfId="42" applyNumberFormat="1" applyFont="1" applyFill="1" applyBorder="1" applyAlignment="1">
      <alignment vertical="center"/>
    </xf>
    <xf numFmtId="165" fontId="34" fillId="0" borderId="82" xfId="42" applyNumberFormat="1" applyFont="1" applyBorder="1" applyAlignment="1">
      <alignment vertical="center"/>
    </xf>
    <xf numFmtId="166" fontId="34" fillId="0" borderId="17" xfId="398" applyNumberFormat="1" applyFont="1" applyFill="1" applyBorder="1"/>
    <xf numFmtId="166" fontId="34" fillId="13" borderId="0" xfId="398" applyNumberFormat="1" applyFont="1" applyFill="1" applyBorder="1" applyAlignment="1">
      <alignment vertical="center"/>
    </xf>
    <xf numFmtId="166" fontId="34" fillId="0" borderId="30" xfId="398" applyNumberFormat="1" applyFont="1" applyBorder="1" applyAlignment="1">
      <alignment vertical="center"/>
    </xf>
    <xf numFmtId="165" fontId="34" fillId="20" borderId="0" xfId="42" applyNumberFormat="1" applyFont="1" applyFill="1"/>
    <xf numFmtId="2" fontId="34" fillId="20" borderId="0" xfId="42" applyNumberFormat="1" applyFont="1" applyFill="1"/>
    <xf numFmtId="2" fontId="34" fillId="0" borderId="0" xfId="42" applyNumberFormat="1" applyFont="1"/>
    <xf numFmtId="2" fontId="34" fillId="0" borderId="82" xfId="42" applyNumberFormat="1" applyFont="1" applyBorder="1"/>
    <xf numFmtId="1" fontId="34" fillId="13" borderId="40" xfId="42" applyNumberFormat="1" applyFont="1" applyFill="1" applyBorder="1" applyAlignment="1"/>
    <xf numFmtId="165" fontId="34" fillId="13" borderId="0" xfId="398" applyNumberFormat="1" applyFont="1" applyFill="1" applyBorder="1" applyAlignment="1"/>
    <xf numFmtId="165" fontId="34" fillId="0" borderId="30" xfId="398" applyNumberFormat="1" applyFont="1" applyBorder="1" applyAlignment="1"/>
    <xf numFmtId="165" fontId="34" fillId="20" borderId="76" xfId="42" applyNumberFormat="1" applyFont="1" applyFill="1" applyBorder="1" applyAlignment="1"/>
    <xf numFmtId="165" fontId="49" fillId="20" borderId="0" xfId="42" applyNumberFormat="1" applyFont="1" applyFill="1" applyBorder="1" applyAlignment="1"/>
    <xf numFmtId="2" fontId="34" fillId="0" borderId="0" xfId="42" applyNumberFormat="1" applyFont="1" applyBorder="1" applyAlignment="1"/>
    <xf numFmtId="176" fontId="32" fillId="0" borderId="0" xfId="42" applyNumberFormat="1" applyFont="1"/>
    <xf numFmtId="0" fontId="1" fillId="0" borderId="76" xfId="42" applyFont="1" applyBorder="1" applyAlignment="1">
      <alignment horizontal="center"/>
    </xf>
    <xf numFmtId="165" fontId="0" fillId="1" borderId="76" xfId="42" applyNumberFormat="1" applyFont="1" applyFill="1" applyBorder="1"/>
    <xf numFmtId="167" fontId="40" fillId="11" borderId="76" xfId="42" applyNumberFormat="1" applyFont="1" applyFill="1" applyBorder="1"/>
    <xf numFmtId="166" fontId="32" fillId="0" borderId="40" xfId="398" applyNumberFormat="1" applyFont="1" applyFill="1" applyBorder="1" applyAlignment="1"/>
    <xf numFmtId="165" fontId="32" fillId="0" borderId="17" xfId="42" applyNumberFormat="1" applyFont="1" applyFill="1" applyBorder="1" applyAlignment="1"/>
    <xf numFmtId="165" fontId="40" fillId="0" borderId="17" xfId="42" applyNumberFormat="1" applyFont="1" applyFill="1" applyBorder="1" applyAlignment="1"/>
    <xf numFmtId="165" fontId="40" fillId="0" borderId="0" xfId="42" applyNumberFormat="1" applyFont="1" applyFill="1" applyBorder="1" applyAlignment="1"/>
    <xf numFmtId="165" fontId="32" fillId="0" borderId="30" xfId="42" applyNumberFormat="1" applyFont="1" applyFill="1" applyBorder="1" applyAlignment="1"/>
    <xf numFmtId="165" fontId="40" fillId="0" borderId="30" xfId="42" applyNumberFormat="1" applyFont="1" applyFill="1" applyBorder="1" applyAlignment="1"/>
    <xf numFmtId="165" fontId="32" fillId="13" borderId="0" xfId="42" applyNumberFormat="1" applyFont="1" applyFill="1" applyBorder="1" applyAlignment="1"/>
    <xf numFmtId="165" fontId="40" fillId="13" borderId="0" xfId="42" applyNumberFormat="1" applyFont="1" applyFill="1" applyBorder="1" applyAlignment="1"/>
    <xf numFmtId="166" fontId="32" fillId="0" borderId="0" xfId="398" applyNumberFormat="1" applyFont="1" applyFill="1" applyBorder="1" applyAlignment="1"/>
    <xf numFmtId="166" fontId="32" fillId="13" borderId="30" xfId="398" applyNumberFormat="1" applyFont="1" applyFill="1" applyBorder="1" applyAlignment="1"/>
    <xf numFmtId="165" fontId="32" fillId="0" borderId="76" xfId="42" applyNumberFormat="1" applyFont="1" applyBorder="1" applyAlignment="1">
      <alignment horizontal="right"/>
    </xf>
    <xf numFmtId="165" fontId="32" fillId="0" borderId="0" xfId="42" applyNumberFormat="1" applyFont="1" applyBorder="1" applyAlignment="1">
      <alignment horizontal="right"/>
    </xf>
    <xf numFmtId="165" fontId="32" fillId="0" borderId="71" xfId="42" applyNumberFormat="1" applyFont="1" applyBorder="1" applyAlignment="1">
      <alignment horizontal="right"/>
    </xf>
    <xf numFmtId="0" fontId="32" fillId="12" borderId="24" xfId="42" applyFont="1" applyFill="1" applyBorder="1"/>
    <xf numFmtId="0" fontId="32" fillId="12" borderId="17" xfId="42" applyFont="1" applyFill="1" applyBorder="1"/>
    <xf numFmtId="165" fontId="31" fillId="12" borderId="27" xfId="42" quotePrefix="1" applyNumberFormat="1" applyFont="1" applyFill="1" applyBorder="1" applyAlignment="1" applyProtection="1">
      <alignment horizontal="right"/>
    </xf>
    <xf numFmtId="0" fontId="32" fillId="12" borderId="39" xfId="42" applyFont="1" applyFill="1" applyBorder="1"/>
    <xf numFmtId="0" fontId="32" fillId="12" borderId="40" xfId="42" applyFont="1" applyFill="1" applyBorder="1"/>
    <xf numFmtId="165" fontId="40" fillId="12" borderId="53" xfId="42" applyNumberFormat="1" applyFont="1" applyFill="1" applyBorder="1" applyProtection="1"/>
    <xf numFmtId="165" fontId="40" fillId="12" borderId="41" xfId="42" applyNumberFormat="1" applyFont="1" applyFill="1" applyBorder="1" applyProtection="1"/>
    <xf numFmtId="165" fontId="40" fillId="12" borderId="54" xfId="42" applyNumberFormat="1" applyFont="1" applyFill="1" applyBorder="1" applyProtection="1"/>
    <xf numFmtId="0" fontId="40" fillId="12" borderId="3" xfId="42" applyFont="1" applyFill="1" applyBorder="1" applyAlignment="1" applyProtection="1">
      <alignment horizontal="left"/>
    </xf>
    <xf numFmtId="165" fontId="40" fillId="12" borderId="34" xfId="42" applyNumberFormat="1" applyFont="1" applyFill="1" applyBorder="1" applyAlignment="1" applyProtection="1">
      <alignment horizontal="right"/>
    </xf>
    <xf numFmtId="165" fontId="40" fillId="12" borderId="59" xfId="42" applyNumberFormat="1" applyFont="1" applyFill="1" applyBorder="1" applyAlignment="1" applyProtection="1">
      <alignment horizontal="right"/>
    </xf>
    <xf numFmtId="0" fontId="32" fillId="12" borderId="18" xfId="42" applyFont="1" applyFill="1" applyBorder="1" applyAlignment="1" applyProtection="1">
      <alignment horizontal="left"/>
    </xf>
    <xf numFmtId="0" fontId="32" fillId="12" borderId="0" xfId="42" applyFont="1" applyFill="1" applyBorder="1" applyAlignment="1" applyProtection="1">
      <alignment horizontal="left"/>
    </xf>
    <xf numFmtId="0" fontId="34" fillId="12" borderId="29" xfId="42" quotePrefix="1" applyFont="1" applyFill="1" applyBorder="1" applyAlignment="1" applyProtection="1">
      <alignment horizontal="left"/>
    </xf>
    <xf numFmtId="165" fontId="34" fillId="0" borderId="20" xfId="42" applyNumberFormat="1" applyFont="1" applyFill="1" applyBorder="1" applyAlignment="1" applyProtection="1">
      <alignment horizontal="right"/>
    </xf>
    <xf numFmtId="0" fontId="34" fillId="0" borderId="52" xfId="42" applyFont="1" applyFill="1" applyBorder="1" applyProtection="1"/>
    <xf numFmtId="165" fontId="34" fillId="0" borderId="52" xfId="42" applyNumberFormat="1" applyFont="1" applyFill="1" applyBorder="1" applyAlignment="1" applyProtection="1">
      <alignment horizontal="right"/>
    </xf>
    <xf numFmtId="0" fontId="31" fillId="0" borderId="18" xfId="42" applyFont="1" applyFill="1" applyBorder="1"/>
    <xf numFmtId="0" fontId="31" fillId="0" borderId="0" xfId="42" applyFont="1" applyFill="1" applyBorder="1"/>
    <xf numFmtId="165" fontId="40" fillId="0" borderId="41" xfId="42" applyNumberFormat="1" applyFont="1" applyFill="1" applyBorder="1" applyAlignment="1" applyProtection="1">
      <alignment horizontal="right"/>
    </xf>
    <xf numFmtId="165" fontId="40" fillId="0" borderId="43" xfId="42" applyNumberFormat="1" applyFont="1" applyFill="1" applyBorder="1" applyAlignment="1" applyProtection="1">
      <alignment horizontal="right"/>
    </xf>
    <xf numFmtId="0" fontId="28" fillId="12" borderId="18" xfId="42" applyFont="1" applyFill="1" applyBorder="1"/>
    <xf numFmtId="165" fontId="31" fillId="12" borderId="21" xfId="42" quotePrefix="1" applyNumberFormat="1" applyFont="1" applyFill="1" applyBorder="1" applyAlignment="1" applyProtection="1">
      <alignment horizontal="right"/>
    </xf>
    <xf numFmtId="165" fontId="31" fillId="12" borderId="37" xfId="42" quotePrefix="1" applyNumberFormat="1" applyFont="1" applyFill="1" applyBorder="1" applyAlignment="1" applyProtection="1">
      <alignment horizontal="right"/>
    </xf>
    <xf numFmtId="0" fontId="34" fillId="12" borderId="48" xfId="42" quotePrefix="1" applyFont="1" applyFill="1" applyBorder="1" applyAlignment="1" applyProtection="1">
      <alignment horizontal="left"/>
    </xf>
    <xf numFmtId="0" fontId="34" fillId="12" borderId="49" xfId="42" applyFont="1" applyFill="1" applyBorder="1" applyAlignment="1" applyProtection="1">
      <alignment horizontal="center"/>
    </xf>
    <xf numFmtId="165" fontId="34" fillId="12" borderId="49" xfId="42" applyNumberFormat="1" applyFont="1" applyFill="1" applyBorder="1" applyAlignment="1" applyProtection="1">
      <alignment horizontal="right"/>
    </xf>
    <xf numFmtId="165" fontId="34" fillId="12" borderId="50" xfId="42" applyNumberFormat="1" applyFont="1" applyFill="1" applyBorder="1" applyAlignment="1" applyProtection="1">
      <alignment horizontal="right"/>
    </xf>
    <xf numFmtId="0" fontId="34" fillId="12" borderId="38" xfId="42" applyFont="1" applyFill="1" applyBorder="1" applyAlignment="1" applyProtection="1">
      <alignment horizontal="center"/>
    </xf>
    <xf numFmtId="165" fontId="34" fillId="12" borderId="48" xfId="42" quotePrefix="1" applyNumberFormat="1" applyFont="1" applyFill="1" applyBorder="1" applyAlignment="1" applyProtection="1">
      <alignment horizontal="right"/>
    </xf>
    <xf numFmtId="0" fontId="40" fillId="12" borderId="7" xfId="42" quotePrefix="1" applyFont="1" applyFill="1" applyBorder="1" applyAlignment="1" applyProtection="1">
      <alignment horizontal="left"/>
    </xf>
    <xf numFmtId="0" fontId="40" fillId="12" borderId="6" xfId="42" quotePrefix="1" applyFont="1" applyFill="1" applyBorder="1" applyAlignment="1" applyProtection="1">
      <alignment horizontal="left"/>
    </xf>
    <xf numFmtId="0" fontId="40" fillId="12" borderId="8" xfId="42" quotePrefix="1" applyFont="1" applyFill="1" applyBorder="1" applyAlignment="1" applyProtection="1">
      <alignment horizontal="right"/>
    </xf>
    <xf numFmtId="165" fontId="34" fillId="12" borderId="51" xfId="42" applyNumberFormat="1" applyFont="1" applyFill="1" applyBorder="1" applyProtection="1"/>
    <xf numFmtId="165" fontId="34" fillId="0" borderId="23" xfId="42" applyNumberFormat="1" applyFont="1" applyFill="1" applyBorder="1" applyProtection="1"/>
    <xf numFmtId="165" fontId="34" fillId="0" borderId="8" xfId="42" applyNumberFormat="1" applyFont="1" applyFill="1" applyBorder="1" applyProtection="1"/>
    <xf numFmtId="0" fontId="48" fillId="34" borderId="17" xfId="42" applyFont="1" applyFill="1" applyBorder="1" applyAlignment="1">
      <alignment horizontal="right"/>
    </xf>
    <xf numFmtId="0" fontId="28" fillId="20" borderId="0" xfId="42" applyFont="1" applyFill="1" applyBorder="1" applyAlignment="1">
      <alignment horizontal="center"/>
    </xf>
    <xf numFmtId="0" fontId="55" fillId="20" borderId="0" xfId="42" applyFont="1" applyFill="1" applyBorder="1"/>
    <xf numFmtId="0" fontId="55" fillId="20" borderId="0" xfId="42" applyFont="1" applyFill="1" applyBorder="1" applyAlignment="1">
      <alignment horizontal="center"/>
    </xf>
    <xf numFmtId="165" fontId="55" fillId="15" borderId="0" xfId="42" applyNumberFormat="1" applyFont="1" applyFill="1" applyBorder="1"/>
    <xf numFmtId="165" fontId="32" fillId="20" borderId="0" xfId="42" applyNumberFormat="1" applyFont="1" applyFill="1" applyBorder="1" applyAlignment="1">
      <alignment horizontal="right"/>
    </xf>
    <xf numFmtId="165" fontId="32" fillId="0" borderId="0" xfId="42" applyNumberFormat="1" applyFont="1"/>
    <xf numFmtId="0" fontId="1" fillId="0" borderId="0" xfId="42" applyFont="1" applyBorder="1" applyAlignment="1">
      <alignment horizontal="center"/>
    </xf>
    <xf numFmtId="165" fontId="0" fillId="1" borderId="0" xfId="42" applyNumberFormat="1" applyFont="1" applyFill="1" applyBorder="1"/>
    <xf numFmtId="0" fontId="55" fillId="0" borderId="71" xfId="42" applyFont="1" applyBorder="1" applyAlignment="1"/>
    <xf numFmtId="165" fontId="0" fillId="0" borderId="72" xfId="42" applyNumberFormat="1" applyFont="1" applyBorder="1" applyAlignment="1">
      <alignment horizontal="right"/>
    </xf>
    <xf numFmtId="165" fontId="28" fillId="0" borderId="89" xfId="42" applyNumberFormat="1" applyFont="1" applyFill="1" applyBorder="1" applyAlignment="1">
      <alignment horizontal="right"/>
    </xf>
    <xf numFmtId="14" fontId="3" fillId="0" borderId="78" xfId="42" applyNumberFormat="1" applyFont="1" applyFill="1" applyBorder="1" applyAlignment="1" applyProtection="1">
      <alignment horizontal="center" vertical="center"/>
    </xf>
    <xf numFmtId="2" fontId="59" fillId="0" borderId="72" xfId="42" applyNumberFormat="1" applyFont="1" applyBorder="1" applyAlignment="1"/>
    <xf numFmtId="165" fontId="33" fillId="19" borderId="0" xfId="398" applyNumberFormat="1" applyFont="1" applyFill="1" applyBorder="1"/>
    <xf numFmtId="2" fontId="32" fillId="20" borderId="0" xfId="42" applyNumberFormat="1" applyFont="1" applyFill="1" applyBorder="1" applyAlignment="1"/>
    <xf numFmtId="165" fontId="33" fillId="19" borderId="68" xfId="398" applyNumberFormat="1" applyFont="1" applyFill="1" applyBorder="1"/>
    <xf numFmtId="165" fontId="33" fillId="19" borderId="0" xfId="398" applyNumberFormat="1" applyFont="1" applyFill="1" applyBorder="1" applyAlignment="1">
      <alignment horizontal="right"/>
    </xf>
    <xf numFmtId="0" fontId="33" fillId="21" borderId="0" xfId="42" applyFont="1" applyFill="1" applyBorder="1"/>
    <xf numFmtId="14" fontId="3" fillId="15" borderId="64" xfId="42" applyNumberFormat="1" applyFont="1" applyFill="1" applyBorder="1" applyAlignment="1" applyProtection="1">
      <alignment horizontal="center" vertical="center"/>
    </xf>
    <xf numFmtId="14" fontId="3" fillId="15" borderId="67" xfId="42" applyNumberFormat="1" applyFont="1" applyFill="1" applyBorder="1" applyAlignment="1" applyProtection="1">
      <alignment horizontal="center" vertical="center"/>
    </xf>
    <xf numFmtId="14" fontId="3" fillId="15" borderId="67" xfId="42" quotePrefix="1" applyNumberFormat="1" applyFont="1" applyFill="1" applyBorder="1" applyAlignment="1" applyProtection="1">
      <alignment horizontal="center" vertical="center"/>
    </xf>
    <xf numFmtId="0" fontId="3" fillId="21" borderId="90" xfId="42" applyFont="1" applyFill="1" applyBorder="1" applyAlignment="1">
      <alignment horizontal="center"/>
    </xf>
    <xf numFmtId="2" fontId="40" fillId="11" borderId="64" xfId="42" applyNumberFormat="1" applyFont="1" applyFill="1" applyBorder="1" applyAlignment="1" applyProtection="1">
      <alignment horizontal="right"/>
      <protection locked="0"/>
    </xf>
    <xf numFmtId="2" fontId="40" fillId="34" borderId="67" xfId="42" applyNumberFormat="1" applyFont="1" applyFill="1" applyBorder="1" applyAlignment="1" applyProtection="1">
      <alignment horizontal="right"/>
      <protection locked="0"/>
    </xf>
    <xf numFmtId="2" fontId="40" fillId="34" borderId="0" xfId="42" applyNumberFormat="1" applyFont="1" applyFill="1" applyBorder="1" applyProtection="1">
      <protection locked="0"/>
    </xf>
    <xf numFmtId="165" fontId="55" fillId="0" borderId="82" xfId="42" applyNumberFormat="1" applyFont="1" applyBorder="1" applyAlignment="1"/>
    <xf numFmtId="2" fontId="55" fillId="34" borderId="0" xfId="42" applyNumberFormat="1" applyFont="1" applyFill="1" applyBorder="1" applyAlignment="1"/>
    <xf numFmtId="2" fontId="55" fillId="11" borderId="82" xfId="42" applyNumberFormat="1" applyFont="1" applyFill="1" applyBorder="1" applyAlignment="1"/>
    <xf numFmtId="0" fontId="4" fillId="21" borderId="14" xfId="42" applyFont="1" applyFill="1" applyBorder="1" applyAlignment="1">
      <alignment horizontal="center"/>
    </xf>
    <xf numFmtId="0" fontId="55" fillId="21" borderId="0" xfId="42" quotePrefix="1" applyFont="1" applyFill="1"/>
    <xf numFmtId="0" fontId="0" fillId="21" borderId="62" xfId="42" applyFont="1" applyFill="1" applyBorder="1"/>
    <xf numFmtId="0" fontId="0" fillId="21" borderId="14" xfId="42" applyFont="1" applyFill="1" applyBorder="1" applyAlignment="1">
      <alignment horizontal="center"/>
    </xf>
    <xf numFmtId="0" fontId="0" fillId="21" borderId="15" xfId="42" applyFont="1" applyFill="1" applyBorder="1" applyAlignment="1">
      <alignment horizontal="center"/>
    </xf>
    <xf numFmtId="0" fontId="4" fillId="21" borderId="62" xfId="42" applyFont="1" applyFill="1" applyBorder="1"/>
    <xf numFmtId="0" fontId="4" fillId="21" borderId="16" xfId="42" applyFont="1" applyFill="1" applyBorder="1"/>
    <xf numFmtId="165" fontId="3" fillId="21" borderId="62" xfId="42" applyNumberFormat="1" applyFont="1" applyFill="1" applyBorder="1" applyAlignment="1">
      <alignment horizontal="right"/>
    </xf>
    <xf numFmtId="165" fontId="47" fillId="21" borderId="62" xfId="42" applyNumberFormat="1" applyFont="1" applyFill="1" applyBorder="1" applyAlignment="1">
      <alignment horizontal="right"/>
    </xf>
    <xf numFmtId="1" fontId="0" fillId="13" borderId="0" xfId="42" applyNumberFormat="1" applyFont="1" applyFill="1" applyBorder="1" applyProtection="1"/>
    <xf numFmtId="2" fontId="55" fillId="11" borderId="0" xfId="42" applyNumberFormat="1" applyFont="1" applyFill="1" applyBorder="1" applyAlignment="1"/>
    <xf numFmtId="167" fontId="40" fillId="11" borderId="0" xfId="42" applyNumberFormat="1" applyFont="1" applyFill="1" applyBorder="1"/>
    <xf numFmtId="0" fontId="0" fillId="38" borderId="0" xfId="42" applyFont="1" applyFill="1"/>
    <xf numFmtId="0" fontId="0" fillId="0" borderId="0" xfId="42" applyFont="1" applyFill="1" applyAlignment="1" applyProtection="1">
      <alignment horizontal="right"/>
    </xf>
    <xf numFmtId="0" fontId="40" fillId="15" borderId="0" xfId="42" applyFont="1" applyFill="1" applyProtection="1"/>
    <xf numFmtId="0" fontId="0" fillId="15" borderId="0" xfId="42" applyFont="1" applyFill="1" applyProtection="1"/>
    <xf numFmtId="0" fontId="63" fillId="10" borderId="0" xfId="42" applyFont="1" applyFill="1" applyProtection="1">
      <protection locked="0"/>
    </xf>
    <xf numFmtId="0" fontId="0" fillId="10" borderId="0" xfId="42" applyFont="1" applyFill="1" applyProtection="1">
      <protection locked="0"/>
    </xf>
    <xf numFmtId="0" fontId="28" fillId="10" borderId="0" xfId="42" applyFont="1" applyFill="1" applyBorder="1" applyProtection="1"/>
    <xf numFmtId="0" fontId="63" fillId="10" borderId="0" xfId="42" applyFont="1" applyFill="1" applyAlignment="1" applyProtection="1">
      <alignment horizontal="right"/>
    </xf>
    <xf numFmtId="0" fontId="63" fillId="10" borderId="0" xfId="42" applyFont="1" applyFill="1" applyProtection="1"/>
    <xf numFmtId="0" fontId="63" fillId="10" borderId="0" xfId="42" applyFont="1" applyFill="1"/>
    <xf numFmtId="0" fontId="0" fillId="0" borderId="64" xfId="42" applyFont="1" applyBorder="1"/>
    <xf numFmtId="0" fontId="0" fillId="0" borderId="67" xfId="42" applyFont="1" applyBorder="1"/>
    <xf numFmtId="165" fontId="0" fillId="0" borderId="68" xfId="42" applyNumberFormat="1" applyFont="1" applyBorder="1"/>
    <xf numFmtId="0" fontId="0" fillId="0" borderId="77" xfId="42" applyFont="1" applyBorder="1"/>
    <xf numFmtId="165" fontId="0" fillId="0" borderId="103" xfId="42" applyNumberFormat="1" applyFont="1" applyBorder="1"/>
    <xf numFmtId="0" fontId="55" fillId="0" borderId="0" xfId="42" applyFont="1" applyBorder="1" applyAlignment="1"/>
    <xf numFmtId="165" fontId="0" fillId="0" borderId="68" xfId="42" applyNumberFormat="1" applyFont="1" applyFill="1" applyBorder="1"/>
    <xf numFmtId="2" fontId="0" fillId="0" borderId="0" xfId="42" applyNumberFormat="1" applyFont="1"/>
    <xf numFmtId="4" fontId="0" fillId="21" borderId="0" xfId="42" applyNumberFormat="1" applyFont="1" applyFill="1" applyAlignment="1">
      <alignment horizontal="right"/>
    </xf>
    <xf numFmtId="2" fontId="34" fillId="21" borderId="0" xfId="42" applyNumberFormat="1" applyFont="1" applyFill="1" applyBorder="1" applyAlignment="1" applyProtection="1">
      <alignment horizontal="right"/>
      <protection locked="0"/>
    </xf>
    <xf numFmtId="2" fontId="55" fillId="11" borderId="0" xfId="42" applyNumberFormat="1" applyFont="1" applyFill="1" applyBorder="1" applyAlignment="1" applyProtection="1">
      <alignment horizontal="right"/>
      <protection locked="0"/>
    </xf>
    <xf numFmtId="2" fontId="0" fillId="11" borderId="0" xfId="42" applyNumberFormat="1" applyFont="1" applyFill="1"/>
    <xf numFmtId="0" fontId="0" fillId="11" borderId="0" xfId="42" applyFont="1" applyFill="1"/>
    <xf numFmtId="1" fontId="4" fillId="21" borderId="0" xfId="42" applyNumberFormat="1" applyFont="1" applyFill="1" applyBorder="1" applyAlignment="1" applyProtection="1">
      <alignment horizontal="center" vertical="center"/>
    </xf>
    <xf numFmtId="14" fontId="28" fillId="21" borderId="67" xfId="42" applyNumberFormat="1" applyFont="1" applyFill="1" applyBorder="1" applyAlignment="1" applyProtection="1">
      <alignment horizontal="center" vertical="center"/>
    </xf>
    <xf numFmtId="165" fontId="55" fillId="21" borderId="0" xfId="42" applyNumberFormat="1" applyFont="1" applyFill="1" applyBorder="1" applyAlignment="1"/>
    <xf numFmtId="165" fontId="55" fillId="21" borderId="82" xfId="42" applyNumberFormat="1" applyFont="1" applyFill="1" applyBorder="1" applyAlignment="1"/>
    <xf numFmtId="167" fontId="29" fillId="16" borderId="76" xfId="42" applyNumberFormat="1" applyFont="1" applyFill="1" applyBorder="1" applyAlignment="1">
      <alignment horizontal="right"/>
    </xf>
    <xf numFmtId="168" fontId="29" fillId="16" borderId="76" xfId="42" applyNumberFormat="1" applyFont="1" applyFill="1" applyBorder="1" applyAlignment="1">
      <alignment horizontal="right"/>
    </xf>
    <xf numFmtId="0" fontId="55" fillId="0" borderId="0" xfId="42" applyFont="1" applyAlignment="1"/>
    <xf numFmtId="165" fontId="34" fillId="0" borderId="0" xfId="42" applyNumberFormat="1" applyFont="1" applyAlignment="1">
      <alignment horizontal="right" vertical="top"/>
    </xf>
    <xf numFmtId="167" fontId="40" fillId="20" borderId="76" xfId="42" applyNumberFormat="1" applyFont="1" applyFill="1" applyBorder="1" applyAlignment="1"/>
    <xf numFmtId="167" fontId="55" fillId="0" borderId="0" xfId="42" applyNumberFormat="1" applyFont="1" applyAlignment="1"/>
    <xf numFmtId="165" fontId="40" fillId="0" borderId="0" xfId="42" applyNumberFormat="1" applyFont="1" applyAlignment="1">
      <alignment horizontal="center"/>
    </xf>
    <xf numFmtId="167" fontId="114" fillId="19" borderId="0" xfId="42" applyNumberFormat="1" applyFont="1" applyFill="1" applyBorder="1" applyAlignment="1">
      <alignment horizontal="right"/>
    </xf>
    <xf numFmtId="2" fontId="0" fillId="0" borderId="0" xfId="42" quotePrefix="1" applyNumberFormat="1" applyFont="1" applyFill="1" applyBorder="1" applyProtection="1"/>
    <xf numFmtId="2" fontId="29" fillId="16" borderId="0" xfId="42" applyNumberFormat="1" applyFont="1" applyFill="1" applyBorder="1" applyAlignment="1">
      <alignment horizontal="right"/>
    </xf>
    <xf numFmtId="2" fontId="55" fillId="0" borderId="0" xfId="398" applyNumberFormat="1" applyFont="1" applyAlignment="1"/>
    <xf numFmtId="165" fontId="49" fillId="0" borderId="0" xfId="42" applyNumberFormat="1" applyFont="1" applyBorder="1" applyAlignment="1"/>
    <xf numFmtId="167" fontId="58" fillId="19" borderId="0" xfId="42" applyNumberFormat="1" applyFont="1" applyFill="1" applyBorder="1" applyAlignment="1">
      <alignment horizontal="right"/>
    </xf>
    <xf numFmtId="165" fontId="32" fillId="38" borderId="0" xfId="42" applyNumberFormat="1" applyFont="1" applyFill="1" applyBorder="1"/>
    <xf numFmtId="0" fontId="117" fillId="0" borderId="0" xfId="42" applyFont="1" applyFill="1" applyProtection="1"/>
    <xf numFmtId="165" fontId="55" fillId="19" borderId="0" xfId="42" applyNumberFormat="1" applyFont="1" applyFill="1" applyBorder="1"/>
    <xf numFmtId="0" fontId="55" fillId="19" borderId="0" xfId="42" applyFont="1" applyFill="1" applyBorder="1"/>
    <xf numFmtId="178" fontId="28" fillId="0" borderId="113" xfId="42" applyNumberFormat="1" applyFont="1" applyBorder="1" applyAlignment="1"/>
    <xf numFmtId="2" fontId="40" fillId="15" borderId="104" xfId="42" applyNumberFormat="1" applyFont="1" applyFill="1" applyBorder="1" applyAlignment="1">
      <alignment horizontal="right"/>
    </xf>
    <xf numFmtId="167" fontId="40" fillId="15" borderId="0" xfId="42" applyNumberFormat="1" applyFont="1" applyFill="1" applyAlignment="1"/>
    <xf numFmtId="2" fontId="55" fillId="10" borderId="78" xfId="42" applyNumberFormat="1" applyFont="1" applyFill="1" applyBorder="1" applyAlignment="1">
      <alignment horizontal="right"/>
    </xf>
    <xf numFmtId="165" fontId="55" fillId="10" borderId="72" xfId="42" applyNumberFormat="1" applyFont="1" applyFill="1" applyBorder="1" applyAlignment="1">
      <alignment horizontal="right"/>
    </xf>
    <xf numFmtId="165" fontId="32" fillId="10" borderId="72" xfId="42" applyNumberFormat="1" applyFont="1" applyFill="1" applyBorder="1" applyAlignment="1">
      <alignment horizontal="right"/>
    </xf>
    <xf numFmtId="165" fontId="32" fillId="10" borderId="109" xfId="42" applyNumberFormat="1" applyFont="1" applyFill="1" applyBorder="1" applyAlignment="1">
      <alignment horizontal="right"/>
    </xf>
    <xf numFmtId="165" fontId="3" fillId="31" borderId="62" xfId="42" applyNumberFormat="1" applyFont="1" applyFill="1" applyBorder="1" applyAlignment="1">
      <alignment horizontal="right"/>
    </xf>
    <xf numFmtId="165" fontId="3" fillId="0" borderId="62" xfId="42" applyNumberFormat="1" applyFont="1" applyFill="1" applyBorder="1" applyAlignment="1">
      <alignment horizontal="left"/>
    </xf>
    <xf numFmtId="165" fontId="28" fillId="0" borderId="80" xfId="42" applyNumberFormat="1" applyFont="1" applyBorder="1" applyAlignment="1">
      <alignment horizontal="right"/>
    </xf>
    <xf numFmtId="168" fontId="58" fillId="19" borderId="0" xfId="42" applyNumberFormat="1" applyFont="1" applyFill="1" applyBorder="1" applyAlignment="1">
      <alignment horizontal="right"/>
    </xf>
    <xf numFmtId="168" fontId="114" fillId="19" borderId="0" xfId="42" applyNumberFormat="1" applyFont="1" applyFill="1" applyBorder="1" applyAlignment="1">
      <alignment horizontal="right"/>
    </xf>
    <xf numFmtId="165" fontId="34" fillId="0" borderId="0" xfId="42" applyNumberFormat="1" applyFont="1"/>
    <xf numFmtId="1" fontId="3" fillId="0" borderId="0" xfId="42" applyNumberFormat="1" applyFont="1" applyFill="1" applyBorder="1" applyAlignment="1" applyProtection="1">
      <alignment horizontal="center" vertical="center"/>
    </xf>
    <xf numFmtId="0" fontId="32" fillId="38" borderId="0" xfId="42" applyFont="1" applyFill="1" applyAlignment="1">
      <alignment horizontal="center"/>
    </xf>
    <xf numFmtId="0" fontId="0" fillId="38" borderId="0" xfId="42" applyFont="1" applyFill="1" applyBorder="1" applyAlignment="1">
      <alignment horizontal="left"/>
    </xf>
    <xf numFmtId="167" fontId="0" fillId="38" borderId="0" xfId="42" applyNumberFormat="1" applyFont="1" applyFill="1" applyBorder="1" applyProtection="1"/>
    <xf numFmtId="0" fontId="0" fillId="38" borderId="0" xfId="42" applyNumberFormat="1" applyFont="1" applyFill="1" applyBorder="1" applyProtection="1"/>
    <xf numFmtId="0" fontId="33" fillId="38" borderId="0" xfId="42" applyFont="1" applyFill="1"/>
    <xf numFmtId="0" fontId="0" fillId="38" borderId="0" xfId="42" applyFont="1" applyFill="1" applyProtection="1"/>
    <xf numFmtId="2" fontId="0" fillId="38" borderId="0" xfId="42" applyNumberFormat="1" applyFont="1" applyFill="1" applyBorder="1" applyProtection="1"/>
    <xf numFmtId="0" fontId="0" fillId="38" borderId="0" xfId="42" applyFont="1" applyFill="1" applyBorder="1" applyAlignment="1">
      <alignment horizontal="center"/>
    </xf>
    <xf numFmtId="1" fontId="0" fillId="38" borderId="0" xfId="42" applyNumberFormat="1" applyFont="1" applyFill="1" applyProtection="1"/>
    <xf numFmtId="0" fontId="0" fillId="38" borderId="0" xfId="42" applyFont="1" applyFill="1" applyBorder="1"/>
    <xf numFmtId="167" fontId="0" fillId="38" borderId="0" xfId="42" applyNumberFormat="1" applyFont="1" applyFill="1" applyProtection="1"/>
    <xf numFmtId="167" fontId="0" fillId="0" borderId="76" xfId="42" applyNumberFormat="1" applyFont="1" applyBorder="1"/>
    <xf numFmtId="167" fontId="0" fillId="0" borderId="71" xfId="42" applyNumberFormat="1" applyFont="1" applyBorder="1"/>
    <xf numFmtId="167" fontId="32" fillId="0" borderId="0" xfId="42" applyNumberFormat="1" applyFont="1"/>
    <xf numFmtId="167" fontId="28" fillId="19" borderId="0" xfId="42" applyNumberFormat="1" applyFont="1" applyFill="1" applyBorder="1" applyProtection="1"/>
    <xf numFmtId="2" fontId="39" fillId="19" borderId="0" xfId="42" applyNumberFormat="1" applyFont="1" applyFill="1" applyBorder="1" applyAlignment="1" applyProtection="1">
      <alignment horizontal="right"/>
      <protection locked="0"/>
    </xf>
    <xf numFmtId="179" fontId="0" fillId="0" borderId="72" xfId="42" applyNumberFormat="1" applyFont="1" applyBorder="1"/>
    <xf numFmtId="181" fontId="0" fillId="0" borderId="72" xfId="42" applyNumberFormat="1" applyFont="1" applyBorder="1"/>
    <xf numFmtId="165" fontId="3" fillId="39" borderId="62" xfId="42" applyNumberFormat="1" applyFont="1" applyFill="1" applyBorder="1" applyAlignment="1">
      <alignment horizontal="right"/>
    </xf>
    <xf numFmtId="167" fontId="28" fillId="19" borderId="76" xfId="42" applyNumberFormat="1" applyFont="1" applyFill="1" applyBorder="1" applyAlignment="1">
      <alignment horizontal="right"/>
    </xf>
    <xf numFmtId="0" fontId="40" fillId="0" borderId="0" xfId="42" applyFont="1" applyFill="1" applyAlignment="1"/>
    <xf numFmtId="1" fontId="59" fillId="21" borderId="82" xfId="42" applyNumberFormat="1" applyFont="1" applyFill="1" applyBorder="1" applyAlignment="1"/>
    <xf numFmtId="1" fontId="120" fillId="0" borderId="0" xfId="42" applyNumberFormat="1" applyFont="1" applyFill="1" applyBorder="1" applyAlignment="1" applyProtection="1">
      <alignment horizontal="center" vertical="center"/>
    </xf>
    <xf numFmtId="165" fontId="121" fillId="0" borderId="0" xfId="42" applyNumberFormat="1" applyFont="1" applyAlignment="1"/>
    <xf numFmtId="165" fontId="0" fillId="0" borderId="0" xfId="42" applyNumberFormat="1" applyFont="1" applyBorder="1" applyProtection="1"/>
    <xf numFmtId="167" fontId="55" fillId="15" borderId="76" xfId="42" applyNumberFormat="1" applyFont="1" applyFill="1" applyBorder="1" applyAlignment="1"/>
    <xf numFmtId="165" fontId="55" fillId="15" borderId="76" xfId="42" applyNumberFormat="1" applyFont="1" applyFill="1" applyBorder="1" applyAlignment="1"/>
    <xf numFmtId="1" fontId="123" fillId="0" borderId="0" xfId="42" applyNumberFormat="1" applyFont="1" applyAlignment="1"/>
    <xf numFmtId="0" fontId="123" fillId="0" borderId="0" xfId="42" applyFont="1" applyAlignment="1"/>
    <xf numFmtId="10" fontId="123" fillId="0" borderId="0" xfId="42" applyNumberFormat="1" applyFont="1" applyAlignment="1"/>
    <xf numFmtId="2" fontId="123" fillId="11" borderId="82" xfId="42" applyNumberFormat="1" applyFont="1" applyFill="1" applyBorder="1" applyAlignment="1"/>
    <xf numFmtId="2" fontId="28" fillId="0" borderId="72" xfId="42" applyNumberFormat="1" applyFont="1" applyBorder="1" applyAlignment="1"/>
    <xf numFmtId="165" fontId="0" fillId="23" borderId="0" xfId="42" applyNumberFormat="1" applyFont="1" applyFill="1"/>
    <xf numFmtId="165" fontId="28" fillId="23" borderId="0" xfId="42" applyNumberFormat="1" applyFont="1" applyFill="1" applyBorder="1"/>
    <xf numFmtId="0" fontId="124" fillId="0" borderId="140" xfId="0" applyFont="1" applyBorder="1" applyAlignment="1">
      <alignment horizontal="right"/>
    </xf>
    <xf numFmtId="4" fontId="80" fillId="21" borderId="0" xfId="42" applyNumberFormat="1" applyFont="1" applyFill="1" applyAlignment="1">
      <alignment horizontal="right"/>
    </xf>
    <xf numFmtId="2" fontId="91" fillId="21" borderId="0" xfId="42" applyNumberFormat="1" applyFont="1" applyFill="1" applyBorder="1" applyAlignment="1" applyProtection="1">
      <alignment horizontal="right"/>
      <protection locked="0"/>
    </xf>
    <xf numFmtId="165" fontId="0" fillId="11" borderId="0" xfId="42" applyNumberFormat="1" applyFont="1" applyFill="1"/>
    <xf numFmtId="2" fontId="34" fillId="11" borderId="68" xfId="42" applyNumberFormat="1" applyFont="1" applyFill="1" applyBorder="1" applyAlignment="1" applyProtection="1">
      <alignment horizontal="right"/>
      <protection locked="0"/>
    </xf>
    <xf numFmtId="168" fontId="32" fillId="0" borderId="0" xfId="42" applyNumberFormat="1" applyFont="1" applyBorder="1" applyAlignment="1"/>
    <xf numFmtId="167" fontId="34" fillId="12" borderId="25" xfId="42" quotePrefix="1" applyNumberFormat="1" applyFont="1" applyFill="1" applyBorder="1" applyAlignment="1" applyProtection="1"/>
    <xf numFmtId="167" fontId="52" fillId="19" borderId="0" xfId="42" applyNumberFormat="1" applyFont="1" applyFill="1" applyBorder="1" applyAlignment="1">
      <alignment horizontal="right"/>
    </xf>
    <xf numFmtId="165" fontId="28" fillId="12" borderId="76" xfId="42" applyNumberFormat="1" applyFont="1" applyFill="1" applyBorder="1" applyAlignment="1"/>
    <xf numFmtId="178" fontId="114" fillId="19" borderId="0" xfId="42" applyNumberFormat="1" applyFont="1" applyFill="1" applyBorder="1" applyAlignment="1">
      <alignment horizontal="right"/>
    </xf>
    <xf numFmtId="2" fontId="34" fillId="12" borderId="0" xfId="42" applyNumberFormat="1" applyFont="1" applyFill="1" applyBorder="1" applyProtection="1"/>
    <xf numFmtId="2" fontId="0" fillId="0" borderId="0" xfId="0" applyNumberFormat="1"/>
    <xf numFmtId="165" fontId="55" fillId="15" borderId="71" xfId="42" applyNumberFormat="1" applyFont="1" applyFill="1" applyBorder="1"/>
    <xf numFmtId="165" fontId="131" fillId="0" borderId="0" xfId="42" applyNumberFormat="1" applyFont="1"/>
    <xf numFmtId="165" fontId="40" fillId="11" borderId="141" xfId="42" applyNumberFormat="1" applyFont="1" applyFill="1" applyBorder="1" applyAlignment="1" applyProtection="1">
      <alignment horizontal="right"/>
      <protection locked="0"/>
    </xf>
    <xf numFmtId="9" fontId="0" fillId="0" borderId="0" xfId="398" applyFont="1"/>
    <xf numFmtId="0" fontId="132" fillId="0" borderId="0" xfId="42" applyFont="1"/>
    <xf numFmtId="0" fontId="132" fillId="0" borderId="0" xfId="42" applyFont="1" applyAlignment="1">
      <alignment horizontal="right"/>
    </xf>
    <xf numFmtId="173" fontId="40" fillId="0" borderId="0" xfId="42" applyNumberFormat="1" applyFont="1" applyAlignment="1"/>
    <xf numFmtId="181" fontId="40" fillId="0" borderId="0" xfId="42" applyNumberFormat="1" applyFont="1" applyAlignment="1"/>
    <xf numFmtId="2" fontId="133" fillId="11" borderId="0" xfId="42" applyNumberFormat="1" applyFont="1" applyFill="1" applyBorder="1" applyAlignment="1" applyProtection="1">
      <alignment horizontal="right"/>
      <protection locked="0"/>
    </xf>
    <xf numFmtId="167" fontId="0" fillId="19" borderId="72" xfId="42" applyNumberFormat="1" applyFont="1" applyFill="1" applyBorder="1"/>
    <xf numFmtId="168" fontId="0" fillId="19" borderId="72" xfId="42" applyNumberFormat="1" applyFont="1" applyFill="1" applyBorder="1"/>
    <xf numFmtId="165" fontId="30" fillId="0" borderId="0" xfId="42" applyNumberFormat="1" applyFont="1" applyFill="1" applyBorder="1" applyAlignment="1"/>
    <xf numFmtId="0" fontId="40" fillId="23" borderId="33" xfId="42" applyFont="1" applyFill="1" applyBorder="1" applyProtection="1"/>
    <xf numFmtId="0" fontId="40" fillId="23" borderId="3" xfId="42" applyFont="1" applyFill="1" applyBorder="1" applyProtection="1"/>
    <xf numFmtId="0" fontId="40" fillId="23" borderId="42" xfId="42" applyFont="1" applyFill="1" applyBorder="1" applyAlignment="1" applyProtection="1">
      <alignment horizontal="center"/>
    </xf>
    <xf numFmtId="165" fontId="34" fillId="23" borderId="42" xfId="42" applyNumberFormat="1" applyFont="1" applyFill="1" applyBorder="1" applyProtection="1"/>
    <xf numFmtId="165" fontId="40" fillId="23" borderId="42" xfId="42" applyNumberFormat="1" applyFont="1" applyFill="1" applyBorder="1" applyProtection="1"/>
    <xf numFmtId="0" fontId="30" fillId="21" borderId="80" xfId="42" applyFont="1" applyFill="1" applyBorder="1"/>
    <xf numFmtId="0" fontId="40" fillId="23" borderId="57" xfId="42" quotePrefix="1" applyFont="1" applyFill="1" applyBorder="1" applyAlignment="1" applyProtection="1">
      <alignment horizontal="left"/>
    </xf>
    <xf numFmtId="0" fontId="40" fillId="23" borderId="58" xfId="42" applyFont="1" applyFill="1" applyBorder="1" applyAlignment="1" applyProtection="1">
      <alignment horizontal="center"/>
    </xf>
    <xf numFmtId="165" fontId="40" fillId="23" borderId="58" xfId="42" applyNumberFormat="1" applyFont="1" applyFill="1" applyBorder="1" applyProtection="1"/>
    <xf numFmtId="167" fontId="34" fillId="23" borderId="57" xfId="42" applyNumberFormat="1" applyFont="1" applyFill="1" applyBorder="1" applyProtection="1"/>
    <xf numFmtId="2" fontId="58" fillId="19" borderId="0" xfId="42" applyNumberFormat="1" applyFont="1" applyFill="1" applyBorder="1" applyAlignment="1">
      <alignment horizontal="right"/>
    </xf>
    <xf numFmtId="0" fontId="28" fillId="0" borderId="0" xfId="0" applyFont="1"/>
    <xf numFmtId="1" fontId="4" fillId="0" borderId="0" xfId="0" applyNumberFormat="1" applyFont="1" applyFill="1" applyBorder="1" applyAlignment="1" applyProtection="1">
      <alignment horizontal="center" vertical="center"/>
    </xf>
    <xf numFmtId="0" fontId="58" fillId="0" borderId="0" xfId="0" applyFont="1" applyAlignment="1">
      <alignment horizontal="center"/>
    </xf>
    <xf numFmtId="0" fontId="4" fillId="0" borderId="0" xfId="0" applyFont="1" applyAlignment="1">
      <alignment horizontal="center"/>
    </xf>
    <xf numFmtId="0" fontId="58" fillId="0" borderId="0" xfId="0" applyFont="1" applyFill="1" applyAlignment="1">
      <alignment horizontal="center"/>
    </xf>
    <xf numFmtId="165" fontId="39" fillId="13" borderId="0" xfId="398" applyNumberFormat="1" applyFont="1" applyFill="1" applyBorder="1" applyAlignment="1"/>
    <xf numFmtId="2" fontId="134" fillId="11" borderId="0" xfId="42" applyNumberFormat="1" applyFont="1" applyFill="1" applyBorder="1" applyAlignment="1"/>
    <xf numFmtId="166" fontId="40" fillId="0" borderId="0" xfId="398" applyNumberFormat="1" applyFont="1" applyFill="1" applyAlignment="1"/>
    <xf numFmtId="0" fontId="30" fillId="0" borderId="0" xfId="42" applyFont="1" applyAlignment="1"/>
    <xf numFmtId="168" fontId="32" fillId="15" borderId="76" xfId="42" applyNumberFormat="1" applyFont="1" applyFill="1" applyBorder="1" applyAlignment="1"/>
    <xf numFmtId="4" fontId="155" fillId="0" borderId="0" xfId="65" applyNumberFormat="1" applyAlignment="1">
      <alignment vertical="center" wrapText="1"/>
    </xf>
    <xf numFmtId="2" fontId="28" fillId="0" borderId="0" xfId="42" applyNumberFormat="1" applyFont="1" applyFill="1" applyBorder="1" applyAlignment="1"/>
    <xf numFmtId="0" fontId="30" fillId="13" borderId="99" xfId="42" applyFont="1" applyFill="1" applyBorder="1" applyAlignment="1"/>
    <xf numFmtId="0" fontId="0" fillId="26" borderId="0" xfId="0" applyFill="1" applyProtection="1"/>
    <xf numFmtId="0" fontId="0" fillId="26" borderId="0" xfId="0" applyFill="1" applyAlignment="1" applyProtection="1">
      <alignment horizontal="center"/>
    </xf>
    <xf numFmtId="0" fontId="28" fillId="26" borderId="0" xfId="0" applyFont="1" applyFill="1" applyProtection="1"/>
    <xf numFmtId="0" fontId="31" fillId="26" borderId="0" xfId="0" applyFont="1" applyFill="1" applyProtection="1"/>
    <xf numFmtId="0" fontId="108" fillId="26" borderId="0" xfId="0" applyFont="1" applyFill="1" applyProtection="1"/>
    <xf numFmtId="0" fontId="51" fillId="26" borderId="0" xfId="0" applyFont="1" applyFill="1" applyProtection="1"/>
    <xf numFmtId="0" fontId="51" fillId="26" borderId="0" xfId="0" applyFont="1" applyFill="1" applyAlignment="1" applyProtection="1">
      <alignment horizontal="center"/>
    </xf>
    <xf numFmtId="0" fontId="61" fillId="26" borderId="0" xfId="0" applyFont="1" applyFill="1" applyProtection="1"/>
    <xf numFmtId="0" fontId="41" fillId="15" borderId="53" xfId="0" applyFont="1" applyFill="1" applyBorder="1" applyAlignment="1" applyProtection="1">
      <alignment horizontal="left"/>
    </xf>
    <xf numFmtId="0" fontId="51" fillId="15" borderId="40" xfId="0" applyFont="1" applyFill="1" applyBorder="1" applyProtection="1"/>
    <xf numFmtId="0" fontId="51" fillId="15" borderId="40" xfId="0" applyFont="1" applyFill="1" applyBorder="1"/>
    <xf numFmtId="0" fontId="51" fillId="15" borderId="127" xfId="0" applyFont="1" applyFill="1" applyBorder="1" applyProtection="1"/>
    <xf numFmtId="0" fontId="86" fillId="26" borderId="0" xfId="0" applyFont="1" applyFill="1" applyProtection="1"/>
    <xf numFmtId="0" fontId="44" fillId="12" borderId="19" xfId="0" applyFont="1" applyFill="1" applyBorder="1" applyAlignment="1" applyProtection="1">
      <alignment horizontal="left"/>
    </xf>
    <xf numFmtId="0" fontId="51" fillId="12" borderId="17" xfId="0" applyFont="1" applyFill="1" applyBorder="1" applyProtection="1"/>
    <xf numFmtId="14" fontId="76" fillId="11" borderId="20" xfId="0" applyNumberFormat="1" applyFont="1" applyFill="1" applyBorder="1" applyAlignment="1" applyProtection="1">
      <alignment horizontal="center"/>
    </xf>
    <xf numFmtId="0" fontId="44" fillId="12" borderId="36" xfId="0" applyFont="1" applyFill="1" applyBorder="1" applyAlignment="1" applyProtection="1">
      <alignment horizontal="left"/>
    </xf>
    <xf numFmtId="0" fontId="51" fillId="12" borderId="30" xfId="0" applyFont="1" applyFill="1" applyBorder="1" applyProtection="1"/>
    <xf numFmtId="0" fontId="76" fillId="11" borderId="37" xfId="0" applyFont="1" applyFill="1" applyBorder="1" applyAlignment="1" applyProtection="1">
      <alignment horizontal="center"/>
    </xf>
    <xf numFmtId="0" fontId="28" fillId="26" borderId="0" xfId="0" applyFont="1" applyFill="1" applyBorder="1" applyProtection="1"/>
    <xf numFmtId="0" fontId="30" fillId="26" borderId="0" xfId="0" applyFont="1" applyFill="1" applyProtection="1"/>
    <xf numFmtId="0" fontId="2" fillId="26" borderId="0" xfId="0" applyFont="1" applyFill="1" applyProtection="1"/>
    <xf numFmtId="0" fontId="2" fillId="26" borderId="0" xfId="0" applyFont="1" applyFill="1" applyAlignment="1" applyProtection="1">
      <alignment horizontal="center"/>
    </xf>
    <xf numFmtId="14" fontId="29" fillId="26" borderId="0" xfId="0" applyNumberFormat="1" applyFont="1" applyFill="1" applyAlignment="1" applyProtection="1">
      <alignment horizontal="left"/>
    </xf>
    <xf numFmtId="0" fontId="29" fillId="26" borderId="0" xfId="0" applyFont="1" applyFill="1" applyBorder="1" applyProtection="1"/>
    <xf numFmtId="0" fontId="0" fillId="0" borderId="0" xfId="0" applyProtection="1"/>
    <xf numFmtId="0" fontId="0" fillId="0" borderId="0" xfId="0" applyAlignment="1" applyProtection="1">
      <alignment horizontal="center"/>
    </xf>
    <xf numFmtId="0" fontId="28" fillId="0" borderId="0" xfId="0" applyFont="1" applyAlignment="1" applyProtection="1">
      <alignment horizontal="center"/>
    </xf>
    <xf numFmtId="0" fontId="28" fillId="0" borderId="0" xfId="0" applyFont="1" applyProtection="1"/>
    <xf numFmtId="0" fontId="31" fillId="0" borderId="0" xfId="0" applyFont="1" applyProtection="1"/>
    <xf numFmtId="0" fontId="0" fillId="0" borderId="0" xfId="0" applyAlignment="1" applyProtection="1">
      <alignment horizontal="right"/>
    </xf>
    <xf numFmtId="166" fontId="43" fillId="19" borderId="0" xfId="398" applyNumberFormat="1" applyFont="1" applyFill="1" applyBorder="1"/>
    <xf numFmtId="2" fontId="34" fillId="12" borderId="27" xfId="42" applyNumberFormat="1" applyFont="1" applyFill="1" applyBorder="1" applyAlignment="1" applyProtection="1">
      <alignment horizontal="right"/>
    </xf>
    <xf numFmtId="167" fontId="32" fillId="15" borderId="76" xfId="42" applyNumberFormat="1" applyFont="1" applyFill="1" applyBorder="1" applyAlignment="1"/>
    <xf numFmtId="165" fontId="0" fillId="0" borderId="0" xfId="0" applyNumberFormat="1"/>
    <xf numFmtId="165" fontId="136" fillId="11" borderId="71" xfId="42" applyNumberFormat="1" applyFont="1" applyFill="1" applyBorder="1" applyAlignment="1"/>
    <xf numFmtId="0" fontId="0" fillId="0" borderId="0" xfId="0" applyAlignment="1">
      <alignment horizontal="right"/>
    </xf>
    <xf numFmtId="180" fontId="40" fillId="0" borderId="0" xfId="42" applyNumberFormat="1" applyFont="1" applyAlignment="1"/>
    <xf numFmtId="2" fontId="136" fillId="11" borderId="80" xfId="42" applyNumberFormat="1" applyFont="1" applyFill="1" applyBorder="1" applyAlignment="1"/>
    <xf numFmtId="0" fontId="30" fillId="15" borderId="72" xfId="42" applyFont="1" applyFill="1" applyBorder="1" applyAlignment="1"/>
    <xf numFmtId="0" fontId="28" fillId="0" borderId="0" xfId="72"/>
    <xf numFmtId="0" fontId="28" fillId="0" borderId="0" xfId="72" applyAlignment="1">
      <alignment horizontal="center"/>
    </xf>
    <xf numFmtId="0" fontId="28" fillId="0" borderId="0" xfId="72" applyAlignment="1">
      <alignment horizontal="right"/>
    </xf>
    <xf numFmtId="2" fontId="30" fillId="11" borderId="0" xfId="42" applyNumberFormat="1" applyFont="1" applyFill="1" applyBorder="1" applyAlignment="1"/>
    <xf numFmtId="165" fontId="30" fillId="0" borderId="76" xfId="42" applyNumberFormat="1" applyFont="1" applyBorder="1" applyAlignment="1"/>
    <xf numFmtId="167" fontId="30" fillId="11" borderId="0" xfId="42" applyNumberFormat="1" applyFont="1" applyFill="1" applyBorder="1"/>
    <xf numFmtId="2" fontId="136" fillId="34" borderId="138" xfId="398" applyNumberFormat="1" applyFont="1" applyFill="1" applyBorder="1" applyAlignment="1"/>
    <xf numFmtId="165" fontId="136" fillId="20" borderId="0" xfId="42" applyNumberFormat="1" applyFont="1" applyFill="1" applyBorder="1" applyAlignment="1"/>
    <xf numFmtId="165" fontId="136" fillId="20" borderId="76" xfId="42" applyNumberFormat="1" applyFont="1" applyFill="1" applyBorder="1" applyAlignment="1"/>
    <xf numFmtId="167" fontId="34" fillId="12" borderId="27" xfId="42" applyNumberFormat="1" applyFont="1" applyFill="1" applyBorder="1" applyAlignment="1" applyProtection="1">
      <alignment horizontal="right"/>
    </xf>
    <xf numFmtId="2" fontId="34" fillId="12" borderId="28" xfId="42" applyNumberFormat="1" applyFont="1" applyFill="1" applyBorder="1" applyAlignment="1" applyProtection="1">
      <alignment horizontal="right"/>
    </xf>
    <xf numFmtId="167" fontId="137" fillId="11" borderId="0" xfId="42" applyNumberFormat="1" applyFont="1" applyFill="1" applyBorder="1"/>
    <xf numFmtId="14" fontId="30" fillId="13" borderId="40" xfId="42" applyNumberFormat="1" applyFont="1" applyFill="1" applyBorder="1" applyAlignment="1"/>
    <xf numFmtId="167" fontId="34" fillId="12" borderId="38" xfId="42" applyNumberFormat="1" applyFont="1" applyFill="1" applyBorder="1" applyProtection="1"/>
    <xf numFmtId="167" fontId="34" fillId="12" borderId="27" xfId="42" applyNumberFormat="1" applyFont="1" applyFill="1" applyBorder="1" applyProtection="1"/>
    <xf numFmtId="167" fontId="40" fillId="12" borderId="27" xfId="42" applyNumberFormat="1" applyFont="1" applyFill="1" applyBorder="1" applyProtection="1"/>
    <xf numFmtId="167" fontId="40" fillId="12" borderId="66" xfId="42" applyNumberFormat="1" applyFont="1" applyFill="1" applyBorder="1" applyProtection="1"/>
    <xf numFmtId="167" fontId="40" fillId="12" borderId="28" xfId="42" applyNumberFormat="1" applyFont="1" applyFill="1" applyBorder="1" applyProtection="1"/>
    <xf numFmtId="167" fontId="34" fillId="12" borderId="30" xfId="42" applyNumberFormat="1" applyFont="1" applyFill="1" applyBorder="1" applyProtection="1"/>
    <xf numFmtId="167" fontId="34" fillId="12" borderId="31" xfId="42" applyNumberFormat="1" applyFont="1" applyFill="1" applyBorder="1" applyProtection="1"/>
    <xf numFmtId="167" fontId="34" fillId="12" borderId="32" xfId="42" applyNumberFormat="1" applyFont="1" applyFill="1" applyBorder="1" applyProtection="1"/>
    <xf numFmtId="167" fontId="34" fillId="23" borderId="42" xfId="42" applyNumberFormat="1" applyFont="1" applyFill="1" applyBorder="1" applyProtection="1"/>
    <xf numFmtId="167" fontId="34" fillId="12" borderId="6" xfId="42" applyNumberFormat="1" applyFont="1" applyFill="1" applyBorder="1" applyProtection="1"/>
    <xf numFmtId="167" fontId="40" fillId="12" borderId="6" xfId="42" quotePrefix="1" applyNumberFormat="1" applyFont="1" applyFill="1" applyBorder="1" applyAlignment="1" applyProtection="1">
      <alignment horizontal="right"/>
    </xf>
    <xf numFmtId="167" fontId="40" fillId="12" borderId="46" xfId="42" quotePrefix="1" applyNumberFormat="1" applyFont="1" applyFill="1" applyBorder="1" applyAlignment="1" applyProtection="1">
      <alignment horizontal="right"/>
    </xf>
    <xf numFmtId="167" fontId="40" fillId="23" borderId="58" xfId="42" quotePrefix="1" applyNumberFormat="1" applyFont="1" applyFill="1" applyBorder="1" applyAlignment="1" applyProtection="1">
      <alignment horizontal="right"/>
    </xf>
    <xf numFmtId="167" fontId="34" fillId="23" borderId="58" xfId="42" applyNumberFormat="1" applyFont="1" applyFill="1" applyBorder="1" applyProtection="1"/>
    <xf numFmtId="167" fontId="34" fillId="12" borderId="57" xfId="42" quotePrefix="1" applyNumberFormat="1" applyFont="1" applyFill="1" applyBorder="1" applyAlignment="1" applyProtection="1">
      <alignment horizontal="center"/>
    </xf>
    <xf numFmtId="167" fontId="34" fillId="12" borderId="58" xfId="42" applyNumberFormat="1" applyFont="1" applyFill="1" applyBorder="1" applyAlignment="1" applyProtection="1">
      <alignment horizontal="right"/>
    </xf>
    <xf numFmtId="167" fontId="34" fillId="12" borderId="56" xfId="42" applyNumberFormat="1" applyFont="1" applyFill="1" applyBorder="1" applyAlignment="1" applyProtection="1">
      <alignment horizontal="right"/>
    </xf>
    <xf numFmtId="167" fontId="40" fillId="12" borderId="31" xfId="42" applyNumberFormat="1" applyFont="1" applyFill="1" applyBorder="1" applyAlignment="1" applyProtection="1">
      <alignment horizontal="right"/>
    </xf>
    <xf numFmtId="167" fontId="138" fillId="0" borderId="0" xfId="42" applyNumberFormat="1" applyFont="1" applyBorder="1" applyProtection="1"/>
    <xf numFmtId="168" fontId="40" fillId="15" borderId="0" xfId="42" applyNumberFormat="1" applyFont="1" applyFill="1" applyAlignment="1"/>
    <xf numFmtId="178" fontId="40" fillId="15" borderId="0" xfId="42" applyNumberFormat="1" applyFont="1" applyFill="1" applyAlignment="1"/>
    <xf numFmtId="176" fontId="40" fillId="0" borderId="113" xfId="42" applyNumberFormat="1" applyFont="1" applyBorder="1" applyAlignment="1"/>
    <xf numFmtId="178" fontId="0" fillId="15" borderId="0" xfId="42" applyNumberFormat="1" applyFont="1" applyFill="1" applyBorder="1"/>
    <xf numFmtId="178" fontId="40" fillId="20" borderId="0" xfId="42" applyNumberFormat="1" applyFont="1" applyFill="1" applyBorder="1"/>
    <xf numFmtId="178" fontId="136" fillId="0" borderId="71" xfId="42" applyNumberFormat="1" applyFont="1" applyBorder="1" applyAlignment="1"/>
    <xf numFmtId="167" fontId="28" fillId="0" borderId="0" xfId="42" applyNumberFormat="1" applyFont="1" applyBorder="1" applyProtection="1"/>
    <xf numFmtId="167" fontId="28" fillId="38" borderId="0" xfId="42" applyNumberFormat="1" applyFont="1" applyFill="1" applyBorder="1" applyProtection="1"/>
    <xf numFmtId="167" fontId="135" fillId="39" borderId="0" xfId="42" applyNumberFormat="1" applyFont="1" applyFill="1" applyProtection="1"/>
    <xf numFmtId="178" fontId="136" fillId="12" borderId="0" xfId="42" applyNumberFormat="1" applyFont="1" applyFill="1" applyBorder="1" applyProtection="1"/>
    <xf numFmtId="168" fontId="40" fillId="23" borderId="42" xfId="42" applyNumberFormat="1" applyFont="1" applyFill="1" applyBorder="1" applyProtection="1"/>
    <xf numFmtId="0" fontId="39" fillId="23" borderId="129" xfId="42" applyFont="1" applyFill="1" applyBorder="1" applyAlignment="1" applyProtection="1">
      <alignment horizontal="left"/>
    </xf>
    <xf numFmtId="167" fontId="136" fillId="23" borderId="58" xfId="42" quotePrefix="1" applyNumberFormat="1" applyFont="1" applyFill="1" applyBorder="1" applyAlignment="1" applyProtection="1">
      <alignment horizontal="right"/>
    </xf>
    <xf numFmtId="167" fontId="136" fillId="23" borderId="130" xfId="42" quotePrefix="1" applyNumberFormat="1" applyFont="1" applyFill="1" applyBorder="1" applyAlignment="1" applyProtection="1">
      <alignment horizontal="right"/>
    </xf>
    <xf numFmtId="2" fontId="136" fillId="11" borderId="76" xfId="42" applyNumberFormat="1" applyFont="1" applyFill="1" applyBorder="1" applyAlignment="1" applyProtection="1">
      <alignment horizontal="right"/>
      <protection locked="0"/>
    </xf>
    <xf numFmtId="0" fontId="0" fillId="39" borderId="0" xfId="0" applyFill="1"/>
    <xf numFmtId="165" fontId="136" fillId="0" borderId="0" xfId="42" applyNumberFormat="1" applyFont="1" applyBorder="1" applyAlignment="1"/>
    <xf numFmtId="2" fontId="39" fillId="0" borderId="0" xfId="42" applyNumberFormat="1" applyFont="1" applyAlignment="1"/>
    <xf numFmtId="165" fontId="40" fillId="12" borderId="8" xfId="42" applyNumberFormat="1" applyFont="1" applyFill="1" applyBorder="1" applyProtection="1"/>
    <xf numFmtId="0" fontId="30" fillId="15" borderId="72" xfId="42" applyFont="1" applyFill="1" applyBorder="1"/>
    <xf numFmtId="0" fontId="139" fillId="0" borderId="0" xfId="42" applyFont="1" applyAlignment="1">
      <alignment horizontal="center"/>
    </xf>
    <xf numFmtId="0" fontId="140" fillId="0" borderId="67" xfId="42" applyFont="1" applyBorder="1" applyAlignment="1">
      <alignment horizontal="center"/>
    </xf>
    <xf numFmtId="0" fontId="140" fillId="0" borderId="0" xfId="42" applyFont="1" applyBorder="1" applyAlignment="1">
      <alignment horizontal="center"/>
    </xf>
    <xf numFmtId="0" fontId="138" fillId="0" borderId="0" xfId="42" applyFont="1" applyBorder="1"/>
    <xf numFmtId="0" fontId="138" fillId="0" borderId="0" xfId="42" applyFont="1" applyBorder="1" applyAlignment="1">
      <alignment horizontal="center"/>
    </xf>
    <xf numFmtId="165" fontId="138" fillId="0" borderId="0" xfId="42" applyNumberFormat="1" applyFont="1" applyFill="1" applyBorder="1" applyAlignment="1"/>
    <xf numFmtId="0" fontId="138" fillId="0" borderId="0" xfId="0" applyFont="1"/>
    <xf numFmtId="0" fontId="138" fillId="0" borderId="0" xfId="42" applyFont="1"/>
    <xf numFmtId="0" fontId="140" fillId="0" borderId="64" xfId="42" applyFont="1" applyBorder="1" applyAlignment="1">
      <alignment horizontal="center"/>
    </xf>
    <xf numFmtId="0" fontId="140" fillId="0" borderId="76" xfId="42" applyFont="1" applyBorder="1" applyAlignment="1">
      <alignment horizontal="center"/>
    </xf>
    <xf numFmtId="0" fontId="138" fillId="0" borderId="76" xfId="42" applyFont="1" applyBorder="1"/>
    <xf numFmtId="0" fontId="138" fillId="0" borderId="76" xfId="42" applyFont="1" applyBorder="1" applyAlignment="1">
      <alignment horizontal="center"/>
    </xf>
    <xf numFmtId="165" fontId="141" fillId="16" borderId="76" xfId="42" applyNumberFormat="1" applyFont="1" applyFill="1" applyBorder="1" applyAlignment="1">
      <alignment horizontal="right"/>
    </xf>
    <xf numFmtId="2" fontId="30" fillId="11" borderId="78" xfId="42" applyNumberFormat="1" applyFont="1" applyFill="1" applyBorder="1" applyAlignment="1" applyProtection="1">
      <alignment horizontal="right"/>
      <protection locked="0"/>
    </xf>
    <xf numFmtId="167" fontId="13" fillId="12" borderId="28" xfId="42" applyNumberFormat="1" applyFont="1" applyFill="1" applyBorder="1" applyAlignment="1" applyProtection="1">
      <alignment horizontal="right"/>
    </xf>
    <xf numFmtId="165" fontId="138" fillId="12" borderId="0" xfId="42" applyNumberFormat="1" applyFont="1" applyFill="1" applyBorder="1" applyProtection="1"/>
    <xf numFmtId="165" fontId="138" fillId="12" borderId="3" xfId="42" applyNumberFormat="1" applyFont="1" applyFill="1" applyBorder="1" applyProtection="1"/>
    <xf numFmtId="165" fontId="138" fillId="12" borderId="25" xfId="42" applyNumberFormat="1" applyFont="1" applyFill="1" applyBorder="1" applyProtection="1"/>
    <xf numFmtId="2" fontId="125" fillId="20" borderId="0" xfId="42" applyNumberFormat="1" applyFont="1" applyFill="1" applyBorder="1" applyAlignment="1"/>
    <xf numFmtId="0" fontId="28" fillId="0" borderId="0" xfId="72" applyFill="1"/>
    <xf numFmtId="0" fontId="28" fillId="0" borderId="0" xfId="72" applyFill="1" applyAlignment="1">
      <alignment horizontal="right"/>
    </xf>
    <xf numFmtId="0" fontId="0" fillId="0" borderId="0" xfId="0" applyFill="1"/>
    <xf numFmtId="2" fontId="30" fillId="20" borderId="0" xfId="42" applyNumberFormat="1" applyFont="1" applyFill="1" applyBorder="1" applyAlignment="1"/>
    <xf numFmtId="2" fontId="32" fillId="39" borderId="80" xfId="42" applyNumberFormat="1" applyFont="1" applyFill="1" applyBorder="1" applyAlignment="1"/>
    <xf numFmtId="2" fontId="67" fillId="39" borderId="126" xfId="42" applyNumberFormat="1" applyFont="1" applyFill="1" applyBorder="1" applyAlignment="1">
      <alignment horizontal="right"/>
    </xf>
    <xf numFmtId="165" fontId="143" fillId="16" borderId="76" xfId="42" applyNumberFormat="1" applyFont="1" applyFill="1" applyBorder="1" applyAlignment="1">
      <alignment horizontal="right"/>
    </xf>
    <xf numFmtId="165" fontId="30" fillId="38" borderId="67" xfId="42" applyNumberFormat="1" applyFont="1" applyFill="1" applyBorder="1" applyAlignment="1" applyProtection="1">
      <alignment horizontal="right"/>
      <protection locked="0"/>
    </xf>
    <xf numFmtId="2" fontId="30" fillId="11" borderId="0" xfId="42" applyNumberFormat="1" applyFont="1" applyFill="1" applyBorder="1" applyAlignment="1" applyProtection="1">
      <alignment horizontal="right"/>
      <protection locked="0"/>
    </xf>
    <xf numFmtId="165" fontId="144" fillId="19" borderId="75" xfId="42" applyNumberFormat="1" applyFont="1" applyFill="1" applyBorder="1" applyAlignment="1">
      <alignment horizontal="right"/>
    </xf>
    <xf numFmtId="2" fontId="30" fillId="38" borderId="67" xfId="42" applyNumberFormat="1" applyFont="1" applyFill="1" applyBorder="1" applyAlignment="1" applyProtection="1">
      <alignment horizontal="right"/>
      <protection locked="0"/>
    </xf>
    <xf numFmtId="2" fontId="142" fillId="11" borderId="80" xfId="42" applyNumberFormat="1" applyFont="1" applyFill="1" applyBorder="1" applyAlignment="1"/>
    <xf numFmtId="2" fontId="145" fillId="11" borderId="80" xfId="42" applyNumberFormat="1" applyFont="1" applyFill="1" applyBorder="1" applyAlignment="1"/>
    <xf numFmtId="2" fontId="146" fillId="21" borderId="125" xfId="42" applyNumberFormat="1" applyFont="1" applyFill="1" applyBorder="1" applyAlignment="1"/>
    <xf numFmtId="2" fontId="30" fillId="21" borderId="0" xfId="42" applyNumberFormat="1" applyFont="1" applyFill="1" applyBorder="1"/>
    <xf numFmtId="168" fontId="40" fillId="23" borderId="59" xfId="42" applyNumberFormat="1" applyFont="1" applyFill="1" applyBorder="1" applyProtection="1"/>
    <xf numFmtId="168" fontId="136" fillId="11" borderId="0" xfId="42" applyNumberFormat="1" applyFont="1" applyFill="1" applyBorder="1"/>
    <xf numFmtId="178" fontId="40" fillId="11" borderId="76" xfId="42" applyNumberFormat="1" applyFont="1" applyFill="1" applyBorder="1"/>
    <xf numFmtId="178" fontId="126" fillId="0" borderId="0" xfId="42" applyNumberFormat="1" applyFont="1" applyFill="1" applyBorder="1"/>
    <xf numFmtId="178" fontId="30" fillId="11" borderId="0" xfId="42" applyNumberFormat="1" applyFont="1" applyFill="1" applyBorder="1"/>
    <xf numFmtId="178" fontId="30" fillId="38" borderId="76" xfId="42" applyNumberFormat="1" applyFont="1" applyFill="1" applyBorder="1"/>
    <xf numFmtId="178" fontId="30" fillId="11" borderId="76" xfId="42" applyNumberFormat="1" applyFont="1" applyFill="1" applyBorder="1"/>
    <xf numFmtId="178" fontId="30" fillId="38" borderId="0" xfId="42" applyNumberFormat="1" applyFont="1" applyFill="1" applyBorder="1"/>
    <xf numFmtId="178" fontId="30" fillId="34" borderId="0" xfId="42" applyNumberFormat="1" applyFont="1" applyFill="1" applyBorder="1"/>
    <xf numFmtId="168" fontId="142" fillId="11" borderId="71" xfId="42" applyNumberFormat="1" applyFont="1" applyFill="1" applyBorder="1" applyAlignment="1"/>
    <xf numFmtId="168" fontId="136" fillId="11" borderId="71" xfId="42" applyNumberFormat="1" applyFont="1" applyFill="1" applyBorder="1" applyAlignment="1"/>
    <xf numFmtId="1" fontId="147" fillId="0" borderId="0" xfId="42" applyNumberFormat="1" applyFont="1" applyFill="1" applyBorder="1" applyAlignment="1" applyProtection="1">
      <alignment horizontal="center" vertical="center"/>
    </xf>
    <xf numFmtId="2" fontId="142" fillId="11" borderId="76" xfId="42" applyNumberFormat="1" applyFont="1" applyFill="1" applyBorder="1" applyAlignment="1"/>
    <xf numFmtId="168" fontId="137" fillId="11" borderId="76" xfId="42" applyNumberFormat="1" applyFont="1" applyFill="1" applyBorder="1" applyAlignment="1"/>
    <xf numFmtId="2" fontId="142" fillId="11" borderId="71" xfId="42" applyNumberFormat="1" applyFont="1" applyFill="1" applyBorder="1" applyAlignment="1"/>
    <xf numFmtId="2" fontId="145" fillId="11" borderId="71" xfId="42" applyNumberFormat="1" applyFont="1" applyFill="1" applyBorder="1" applyAlignment="1"/>
    <xf numFmtId="1" fontId="139" fillId="0" borderId="0" xfId="42" applyNumberFormat="1" applyFont="1" applyFill="1" applyBorder="1" applyAlignment="1" applyProtection="1">
      <alignment horizontal="center" vertical="center"/>
    </xf>
    <xf numFmtId="14" fontId="138" fillId="0" borderId="64" xfId="42" applyNumberFormat="1" applyFont="1" applyFill="1" applyBorder="1" applyAlignment="1" applyProtection="1">
      <alignment horizontal="center" vertical="center"/>
    </xf>
    <xf numFmtId="0" fontId="140" fillId="0" borderId="76" xfId="42" applyFont="1" applyFill="1" applyBorder="1" applyAlignment="1">
      <alignment horizontal="center"/>
    </xf>
    <xf numFmtId="14" fontId="138" fillId="0" borderId="76" xfId="42" applyNumberFormat="1" applyFont="1" applyFill="1" applyBorder="1" applyAlignment="1"/>
    <xf numFmtId="165" fontId="138" fillId="0" borderId="76" xfId="42" applyNumberFormat="1" applyFont="1" applyFill="1" applyBorder="1" applyAlignment="1">
      <alignment horizontal="center"/>
    </xf>
    <xf numFmtId="165" fontId="138" fillId="0" borderId="76" xfId="42" applyNumberFormat="1" applyFont="1" applyFill="1" applyBorder="1" applyAlignment="1"/>
    <xf numFmtId="0" fontId="142" fillId="0" borderId="0" xfId="42" applyFont="1" applyAlignment="1">
      <alignment vertical="top"/>
    </xf>
    <xf numFmtId="165" fontId="30" fillId="12" borderId="25" xfId="42" applyNumberFormat="1" applyFont="1" applyFill="1" applyBorder="1" applyProtection="1"/>
    <xf numFmtId="0" fontId="39" fillId="12" borderId="18" xfId="42" applyFont="1" applyFill="1" applyBorder="1" applyProtection="1"/>
    <xf numFmtId="0" fontId="144" fillId="0" borderId="0" xfId="0" applyFont="1"/>
    <xf numFmtId="10" fontId="0" fillId="0" borderId="0" xfId="0" applyNumberFormat="1"/>
    <xf numFmtId="0" fontId="30" fillId="21" borderId="89" xfId="42" applyFont="1" applyFill="1" applyBorder="1" applyAlignment="1"/>
    <xf numFmtId="1" fontId="30" fillId="21" borderId="88" xfId="42" applyNumberFormat="1" applyFont="1" applyFill="1" applyBorder="1" applyAlignment="1">
      <alignment horizontal="center"/>
    </xf>
    <xf numFmtId="1" fontId="30" fillId="21" borderId="89" xfId="42" applyNumberFormat="1" applyFont="1" applyFill="1" applyBorder="1" applyAlignment="1">
      <alignment horizontal="center"/>
    </xf>
    <xf numFmtId="1" fontId="30" fillId="21" borderId="123" xfId="42" applyNumberFormat="1" applyFont="1" applyFill="1" applyBorder="1" applyAlignment="1">
      <alignment horizontal="center"/>
    </xf>
    <xf numFmtId="0" fontId="28" fillId="0" borderId="0" xfId="0" applyFont="1" applyAlignment="1">
      <alignment vertical="center" wrapText="1"/>
    </xf>
    <xf numFmtId="167" fontId="144" fillId="0" borderId="0" xfId="42" applyNumberFormat="1" applyFont="1" applyBorder="1" applyProtection="1"/>
    <xf numFmtId="2" fontId="148" fillId="21" borderId="125" xfId="42" applyNumberFormat="1" applyFont="1" applyFill="1" applyBorder="1" applyAlignment="1"/>
    <xf numFmtId="2" fontId="148" fillId="21" borderId="126" xfId="42" applyNumberFormat="1" applyFont="1" applyFill="1" applyBorder="1" applyAlignment="1">
      <alignment horizontal="right"/>
    </xf>
    <xf numFmtId="1" fontId="142" fillId="0" borderId="0" xfId="42" applyNumberFormat="1" applyFont="1" applyFill="1" applyBorder="1" applyAlignment="1"/>
    <xf numFmtId="2" fontId="144" fillId="0" borderId="0" xfId="42" applyNumberFormat="1" applyFont="1" applyFill="1" applyBorder="1" applyAlignment="1"/>
    <xf numFmtId="2" fontId="146" fillId="21" borderId="126" xfId="42" applyNumberFormat="1" applyFont="1" applyFill="1" applyBorder="1" applyAlignment="1">
      <alignment horizontal="right"/>
    </xf>
    <xf numFmtId="165" fontId="114" fillId="20" borderId="0" xfId="42" applyNumberFormat="1" applyFont="1" applyFill="1" applyBorder="1" applyAlignment="1"/>
    <xf numFmtId="2" fontId="142" fillId="15" borderId="76" xfId="42" applyNumberFormat="1" applyFont="1" applyFill="1" applyBorder="1" applyAlignment="1"/>
    <xf numFmtId="167" fontId="0" fillId="21" borderId="0" xfId="42" applyNumberFormat="1" applyFont="1" applyFill="1"/>
    <xf numFmtId="165" fontId="34" fillId="15" borderId="0" xfId="42" applyNumberFormat="1" applyFont="1" applyFill="1" applyBorder="1" applyAlignment="1"/>
    <xf numFmtId="0" fontId="142" fillId="0" borderId="0" xfId="42" applyFont="1"/>
    <xf numFmtId="165" fontId="144" fillId="0" borderId="89" xfId="42" applyNumberFormat="1" applyFont="1" applyFill="1" applyBorder="1" applyAlignment="1"/>
    <xf numFmtId="165" fontId="30" fillId="0" borderId="71" xfId="42" applyNumberFormat="1" applyFont="1" applyFill="1" applyBorder="1" applyAlignment="1">
      <alignment horizontal="right"/>
    </xf>
    <xf numFmtId="167" fontId="28" fillId="19" borderId="71" xfId="42" applyNumberFormat="1" applyFont="1" applyFill="1" applyBorder="1" applyAlignment="1">
      <alignment horizontal="right"/>
    </xf>
    <xf numFmtId="2" fontId="143" fillId="16" borderId="76" xfId="42" applyNumberFormat="1" applyFont="1" applyFill="1" applyBorder="1" applyAlignment="1">
      <alignment horizontal="right"/>
    </xf>
    <xf numFmtId="2" fontId="30" fillId="0" borderId="76" xfId="42" applyNumberFormat="1" applyFont="1" applyFill="1" applyBorder="1" applyAlignment="1">
      <alignment horizontal="right"/>
    </xf>
    <xf numFmtId="2" fontId="30" fillId="0" borderId="0" xfId="42" applyNumberFormat="1" applyFont="1" applyFill="1" applyBorder="1" applyAlignment="1">
      <alignment horizontal="right"/>
    </xf>
    <xf numFmtId="2" fontId="30" fillId="0" borderId="71" xfId="42" applyNumberFormat="1" applyFont="1" applyFill="1" applyBorder="1" applyAlignment="1">
      <alignment horizontal="right"/>
    </xf>
    <xf numFmtId="2" fontId="30" fillId="20" borderId="0" xfId="42" applyNumberFormat="1" applyFont="1" applyFill="1" applyBorder="1" applyAlignment="1">
      <alignment horizontal="right"/>
    </xf>
    <xf numFmtId="165" fontId="28" fillId="15" borderId="72" xfId="42" applyNumberFormat="1" applyFont="1" applyFill="1" applyBorder="1"/>
    <xf numFmtId="2" fontId="30" fillId="0" borderId="77" xfId="42" applyNumberFormat="1" applyFont="1" applyFill="1" applyBorder="1" applyAlignment="1">
      <alignment horizontal="right"/>
    </xf>
    <xf numFmtId="0" fontId="30" fillId="0" borderId="0" xfId="42" applyFont="1" applyFill="1" applyAlignment="1">
      <alignment horizontal="center"/>
    </xf>
    <xf numFmtId="165" fontId="30" fillId="0" borderId="76" xfId="42" applyNumberFormat="1" applyFont="1" applyBorder="1" applyAlignment="1">
      <alignment horizontal="center"/>
    </xf>
    <xf numFmtId="0" fontId="28" fillId="29" borderId="64" xfId="42" applyFont="1" applyFill="1" applyBorder="1" applyAlignment="1">
      <alignment horizontal="right"/>
    </xf>
    <xf numFmtId="0" fontId="28" fillId="19" borderId="76" xfId="42" applyFont="1" applyFill="1" applyBorder="1" applyAlignment="1">
      <alignment horizontal="right"/>
    </xf>
    <xf numFmtId="0" fontId="28" fillId="29" borderId="76" xfId="42" applyFont="1" applyFill="1" applyBorder="1" applyAlignment="1">
      <alignment horizontal="right"/>
    </xf>
    <xf numFmtId="0" fontId="28" fillId="1" borderId="67" xfId="42" applyFont="1" applyFill="1" applyBorder="1" applyAlignment="1">
      <alignment horizontal="right"/>
    </xf>
    <xf numFmtId="0" fontId="28" fillId="27" borderId="0" xfId="42" applyFont="1" applyFill="1" applyBorder="1" applyAlignment="1">
      <alignment horizontal="right"/>
    </xf>
    <xf numFmtId="165" fontId="30" fillId="19" borderId="0" xfId="42" applyNumberFormat="1" applyFont="1" applyFill="1" applyBorder="1" applyAlignment="1">
      <alignment horizontal="right"/>
    </xf>
    <xf numFmtId="165" fontId="1" fillId="21" borderId="68" xfId="42" applyNumberFormat="1" applyFont="1" applyFill="1" applyBorder="1" applyAlignment="1">
      <alignment horizontal="right"/>
    </xf>
    <xf numFmtId="165" fontId="34" fillId="15" borderId="71" xfId="42" applyNumberFormat="1" applyFont="1" applyFill="1" applyBorder="1" applyAlignment="1">
      <alignment horizontal="right"/>
    </xf>
    <xf numFmtId="165" fontId="1" fillId="19" borderId="71" xfId="42" applyNumberFormat="1" applyFont="1" applyFill="1" applyBorder="1" applyAlignment="1">
      <alignment horizontal="right"/>
    </xf>
    <xf numFmtId="168" fontId="0" fillId="0" borderId="0" xfId="0" applyNumberFormat="1"/>
    <xf numFmtId="168" fontId="32" fillId="0" borderId="0" xfId="42" applyNumberFormat="1" applyFont="1" applyFill="1" applyBorder="1" applyAlignment="1"/>
    <xf numFmtId="186" fontId="28" fillId="13" borderId="0" xfId="398" applyNumberFormat="1" applyFont="1" applyFill="1" applyBorder="1" applyAlignment="1"/>
    <xf numFmtId="185" fontId="40" fillId="34" borderId="138" xfId="398" applyNumberFormat="1" applyFont="1" applyFill="1" applyBorder="1" applyAlignment="1"/>
    <xf numFmtId="2" fontId="34" fillId="20" borderId="0" xfId="42" applyNumberFormat="1" applyFont="1" applyFill="1" applyBorder="1" applyAlignment="1"/>
    <xf numFmtId="10" fontId="32" fillId="0" borderId="0" xfId="42" applyNumberFormat="1" applyFont="1"/>
    <xf numFmtId="168" fontId="32" fillId="0" borderId="0" xfId="42" applyNumberFormat="1" applyFont="1"/>
    <xf numFmtId="167" fontId="32" fillId="0" borderId="0" xfId="42" applyNumberFormat="1" applyFont="1" applyFill="1" applyBorder="1" applyAlignment="1"/>
    <xf numFmtId="165" fontId="39" fillId="11" borderId="80" xfId="42" applyNumberFormat="1" applyFont="1" applyFill="1" applyBorder="1" applyAlignment="1"/>
    <xf numFmtId="165" fontId="39" fillId="11" borderId="82" xfId="42" applyNumberFormat="1" applyFont="1" applyFill="1" applyBorder="1" applyAlignment="1"/>
    <xf numFmtId="165" fontId="39" fillId="11" borderId="0" xfId="42" applyNumberFormat="1" applyFont="1" applyFill="1" applyBorder="1" applyAlignment="1"/>
    <xf numFmtId="0" fontId="1" fillId="0" borderId="0" xfId="0" applyFont="1" applyFill="1"/>
    <xf numFmtId="0" fontId="1" fillId="0" borderId="0" xfId="0" applyFont="1" applyFill="1" applyProtection="1"/>
    <xf numFmtId="0" fontId="30" fillId="0" borderId="0" xfId="0" applyFont="1" applyAlignment="1">
      <alignment horizontal="center" vertical="center" wrapText="1"/>
    </xf>
    <xf numFmtId="0" fontId="1" fillId="0" borderId="0" xfId="0" applyFont="1" applyAlignment="1">
      <alignment vertical="center" wrapText="1"/>
    </xf>
    <xf numFmtId="0" fontId="0" fillId="0" borderId="0" xfId="0"/>
    <xf numFmtId="168" fontId="34" fillId="12" borderId="0" xfId="42" applyNumberFormat="1" applyFont="1" applyFill="1" applyBorder="1" applyProtection="1"/>
    <xf numFmtId="15" fontId="1" fillId="0" borderId="64" xfId="42" applyNumberFormat="1" applyFont="1" applyFill="1" applyBorder="1" applyAlignment="1" applyProtection="1">
      <alignment horizontal="center" vertical="center"/>
    </xf>
    <xf numFmtId="165" fontId="1" fillId="15" borderId="67" xfId="42" applyNumberFormat="1" applyFont="1" applyFill="1" applyBorder="1" applyProtection="1"/>
    <xf numFmtId="165" fontId="1" fillId="17" borderId="65" xfId="42" applyNumberFormat="1" applyFont="1" applyFill="1" applyBorder="1" applyAlignment="1" applyProtection="1">
      <alignment vertical="center"/>
    </xf>
    <xf numFmtId="165" fontId="30" fillId="18" borderId="66" xfId="42" applyNumberFormat="1" applyFont="1" applyFill="1" applyBorder="1" applyAlignment="1" applyProtection="1">
      <alignment horizontal="center"/>
    </xf>
    <xf numFmtId="165" fontId="1" fillId="19" borderId="67" xfId="42" applyNumberFormat="1" applyFont="1" applyFill="1" applyBorder="1" applyProtection="1"/>
    <xf numFmtId="165" fontId="1" fillId="17" borderId="66" xfId="42" applyNumberFormat="1" applyFont="1" applyFill="1" applyBorder="1" applyProtection="1"/>
    <xf numFmtId="165" fontId="1" fillId="17" borderId="66" xfId="42" applyNumberFormat="1" applyFont="1" applyFill="1" applyBorder="1" applyAlignment="1" applyProtection="1">
      <alignment vertical="center"/>
    </xf>
    <xf numFmtId="15" fontId="30" fillId="0" borderId="67" xfId="42" applyNumberFormat="1" applyFont="1" applyFill="1" applyBorder="1" applyAlignment="1" applyProtection="1">
      <alignment horizontal="center" vertical="center"/>
    </xf>
    <xf numFmtId="165" fontId="30" fillId="20" borderId="66" xfId="42" applyNumberFormat="1" applyFont="1" applyFill="1" applyBorder="1" applyProtection="1"/>
    <xf numFmtId="165" fontId="30" fillId="20" borderId="66" xfId="42" applyNumberFormat="1" applyFont="1" applyFill="1" applyBorder="1" applyAlignment="1" applyProtection="1">
      <alignment horizontal="right"/>
    </xf>
    <xf numFmtId="165" fontId="1" fillId="0" borderId="66" xfId="42" applyNumberFormat="1" applyFont="1" applyFill="1" applyBorder="1" applyProtection="1"/>
    <xf numFmtId="165" fontId="1" fillId="0" borderId="66" xfId="42" applyNumberFormat="1" applyFont="1" applyFill="1" applyBorder="1" applyAlignment="1" applyProtection="1">
      <alignment vertical="center"/>
    </xf>
    <xf numFmtId="165" fontId="1" fillId="19" borderId="67" xfId="42" applyNumberFormat="1" applyFont="1" applyFill="1" applyBorder="1" applyAlignment="1" applyProtection="1">
      <alignment vertical="center"/>
    </xf>
    <xf numFmtId="165" fontId="1" fillId="15" borderId="66" xfId="42" applyNumberFormat="1" applyFont="1" applyFill="1" applyBorder="1" applyProtection="1"/>
    <xf numFmtId="165" fontId="1" fillId="15" borderId="66" xfId="42" applyNumberFormat="1" applyFont="1" applyFill="1" applyBorder="1" applyAlignment="1" applyProtection="1">
      <alignment vertical="center"/>
    </xf>
    <xf numFmtId="168" fontId="1" fillId="15" borderId="66" xfId="42" applyNumberFormat="1" applyFont="1" applyFill="1" applyBorder="1" applyAlignment="1" applyProtection="1">
      <alignment vertical="center"/>
    </xf>
    <xf numFmtId="165" fontId="30" fillId="20" borderId="66" xfId="42" applyNumberFormat="1" applyFont="1" applyFill="1" applyBorder="1" applyAlignment="1" applyProtection="1">
      <alignment vertical="center"/>
    </xf>
    <xf numFmtId="165" fontId="30" fillId="20" borderId="66" xfId="42" applyNumberFormat="1" applyFont="1" applyFill="1" applyBorder="1" applyAlignment="1" applyProtection="1">
      <alignment horizontal="right" vertical="center"/>
    </xf>
    <xf numFmtId="165" fontId="1" fillId="15" borderId="73" xfId="42" applyNumberFormat="1" applyFont="1" applyFill="1" applyBorder="1" applyAlignment="1" applyProtection="1">
      <alignment vertical="center"/>
    </xf>
    <xf numFmtId="165" fontId="1" fillId="0" borderId="68" xfId="42" applyNumberFormat="1" applyFont="1" applyFill="1" applyBorder="1" applyProtection="1"/>
    <xf numFmtId="165" fontId="1" fillId="19" borderId="66" xfId="42" applyNumberFormat="1" applyFont="1" applyFill="1" applyBorder="1" applyAlignment="1" applyProtection="1">
      <alignment vertical="center"/>
    </xf>
    <xf numFmtId="165" fontId="1" fillId="19" borderId="73" xfId="42" applyNumberFormat="1" applyFont="1" applyFill="1" applyBorder="1" applyAlignment="1" applyProtection="1">
      <alignment horizontal="right" vertical="center"/>
    </xf>
    <xf numFmtId="168" fontId="1" fillId="0" borderId="66" xfId="42" applyNumberFormat="1" applyFont="1" applyFill="1" applyBorder="1" applyAlignment="1" applyProtection="1">
      <alignment vertical="center"/>
    </xf>
    <xf numFmtId="165" fontId="1" fillId="0" borderId="67" xfId="42" applyNumberFormat="1" applyFont="1" applyFill="1" applyBorder="1" applyProtection="1"/>
    <xf numFmtId="9" fontId="1" fillId="0" borderId="66" xfId="42" applyNumberFormat="1" applyFont="1" applyFill="1" applyBorder="1" applyProtection="1"/>
    <xf numFmtId="167" fontId="30" fillId="18" borderId="66" xfId="42" applyNumberFormat="1" applyFont="1" applyFill="1" applyBorder="1" applyAlignment="1" applyProtection="1">
      <alignment horizontal="center" vertical="center"/>
    </xf>
    <xf numFmtId="165" fontId="1" fillId="19" borderId="73" xfId="42" applyNumberFormat="1" applyFont="1" applyFill="1" applyBorder="1" applyAlignment="1" applyProtection="1">
      <alignment vertical="center"/>
    </xf>
    <xf numFmtId="9" fontId="30" fillId="0" borderId="0" xfId="398" applyFont="1" applyFill="1" applyAlignment="1" applyProtection="1">
      <alignment horizontal="center" vertical="center"/>
    </xf>
    <xf numFmtId="9" fontId="1" fillId="0" borderId="72" xfId="398" applyFont="1" applyBorder="1" applyProtection="1"/>
    <xf numFmtId="166" fontId="1" fillId="0" borderId="72" xfId="398" applyNumberFormat="1" applyFont="1" applyFill="1" applyBorder="1" applyProtection="1"/>
    <xf numFmtId="10" fontId="1" fillId="0" borderId="72" xfId="398" applyNumberFormat="1" applyFont="1" applyFill="1" applyBorder="1" applyProtection="1"/>
    <xf numFmtId="187" fontId="1" fillId="0" borderId="72" xfId="398" applyNumberFormat="1" applyFont="1" applyFill="1" applyBorder="1" applyProtection="1"/>
    <xf numFmtId="174" fontId="30" fillId="0" borderId="0" xfId="42" applyNumberFormat="1" applyFont="1" applyAlignment="1">
      <alignment horizontal="center" wrapText="1"/>
    </xf>
    <xf numFmtId="165" fontId="1" fillId="21" borderId="65" xfId="42" applyNumberFormat="1" applyFont="1" applyFill="1" applyBorder="1" applyAlignment="1" applyProtection="1">
      <alignment horizontal="right" vertical="center"/>
    </xf>
    <xf numFmtId="165" fontId="1" fillId="17" borderId="65" xfId="42" applyNumberFormat="1" applyFont="1" applyFill="1" applyBorder="1" applyAlignment="1" applyProtection="1">
      <alignment horizontal="right" vertical="center"/>
    </xf>
    <xf numFmtId="165" fontId="1" fillId="21" borderId="67" xfId="42" applyNumberFormat="1" applyFont="1" applyFill="1" applyBorder="1" applyAlignment="1" applyProtection="1">
      <alignment horizontal="right"/>
    </xf>
    <xf numFmtId="165" fontId="1" fillId="17" borderId="66" xfId="42" applyNumberFormat="1" applyFont="1" applyFill="1" applyBorder="1" applyAlignment="1" applyProtection="1">
      <alignment horizontal="right"/>
    </xf>
    <xf numFmtId="165" fontId="1" fillId="17" borderId="66" xfId="42" applyNumberFormat="1" applyFont="1" applyFill="1" applyBorder="1" applyAlignment="1" applyProtection="1">
      <alignment horizontal="right" vertical="center"/>
    </xf>
    <xf numFmtId="165" fontId="30" fillId="22" borderId="66" xfId="42" applyNumberFormat="1" applyFont="1" applyFill="1" applyBorder="1" applyAlignment="1" applyProtection="1">
      <alignment horizontal="right"/>
    </xf>
    <xf numFmtId="165" fontId="1" fillId="21" borderId="67" xfId="42" applyNumberFormat="1" applyFont="1" applyFill="1" applyBorder="1" applyAlignment="1" applyProtection="1">
      <alignment horizontal="right" vertical="center"/>
    </xf>
    <xf numFmtId="165" fontId="1" fillId="0" borderId="68" xfId="42" applyNumberFormat="1" applyFont="1" applyFill="1" applyBorder="1" applyAlignment="1" applyProtection="1">
      <alignment horizontal="right" vertical="center"/>
    </xf>
    <xf numFmtId="165" fontId="1" fillId="21" borderId="73" xfId="42" applyNumberFormat="1" applyFont="1" applyFill="1" applyBorder="1" applyAlignment="1" applyProtection="1">
      <alignment horizontal="right" vertical="center"/>
    </xf>
    <xf numFmtId="165" fontId="1" fillId="0" borderId="68" xfId="42" applyNumberFormat="1" applyFont="1" applyFill="1" applyBorder="1" applyAlignment="1" applyProtection="1">
      <alignment horizontal="right"/>
    </xf>
    <xf numFmtId="165" fontId="1" fillId="0" borderId="67" xfId="42" applyNumberFormat="1" applyFont="1" applyFill="1" applyBorder="1" applyAlignment="1" applyProtection="1">
      <alignment horizontal="right" vertical="center"/>
    </xf>
    <xf numFmtId="165" fontId="1" fillId="0" borderId="67" xfId="42" applyNumberFormat="1" applyFont="1" applyFill="1" applyBorder="1" applyAlignment="1" applyProtection="1">
      <alignment horizontal="right"/>
    </xf>
    <xf numFmtId="165" fontId="1" fillId="0" borderId="74" xfId="42" applyNumberFormat="1" applyFont="1" applyFill="1" applyBorder="1" applyAlignment="1" applyProtection="1">
      <alignment horizontal="right" vertical="center"/>
    </xf>
    <xf numFmtId="165" fontId="29" fillId="16" borderId="71" xfId="42" applyNumberFormat="1" applyFont="1" applyFill="1" applyBorder="1" applyAlignment="1" applyProtection="1">
      <alignment horizontal="right"/>
    </xf>
    <xf numFmtId="166" fontId="30" fillId="0" borderId="72" xfId="398" applyNumberFormat="1" applyFont="1" applyFill="1" applyBorder="1" applyProtection="1"/>
    <xf numFmtId="0" fontId="39" fillId="0" borderId="0" xfId="42" applyFont="1"/>
    <xf numFmtId="0" fontId="1" fillId="0" borderId="0" xfId="42" applyNumberFormat="1" applyFont="1"/>
    <xf numFmtId="165" fontId="1" fillId="0" borderId="0" xfId="42" applyNumberFormat="1" applyFont="1"/>
    <xf numFmtId="1" fontId="1" fillId="0" borderId="0" xfId="42" applyNumberFormat="1" applyFont="1"/>
    <xf numFmtId="1" fontId="30" fillId="15" borderId="76" xfId="42" applyNumberFormat="1" applyFont="1" applyFill="1" applyBorder="1" applyAlignment="1"/>
    <xf numFmtId="1" fontId="39" fillId="15" borderId="76" xfId="42" applyNumberFormat="1" applyFont="1" applyFill="1" applyBorder="1" applyAlignment="1"/>
    <xf numFmtId="1" fontId="1" fillId="0" borderId="76" xfId="42" applyNumberFormat="1" applyFont="1" applyBorder="1" applyAlignment="1"/>
    <xf numFmtId="1" fontId="1" fillId="0" borderId="0" xfId="42" applyNumberFormat="1" applyFont="1" applyBorder="1" applyAlignment="1"/>
    <xf numFmtId="1" fontId="1" fillId="15" borderId="76" xfId="42" applyNumberFormat="1" applyFont="1" applyFill="1" applyBorder="1" applyAlignment="1"/>
    <xf numFmtId="1" fontId="30" fillId="21" borderId="89" xfId="42" applyNumberFormat="1" applyFont="1" applyFill="1" applyBorder="1" applyAlignment="1"/>
    <xf numFmtId="1" fontId="39" fillId="21" borderId="89" xfId="42" applyNumberFormat="1" applyFont="1" applyFill="1" applyBorder="1" applyAlignment="1"/>
    <xf numFmtId="165" fontId="1" fillId="0" borderId="80" xfId="42" applyNumberFormat="1" applyFont="1" applyBorder="1" applyAlignment="1"/>
    <xf numFmtId="2" fontId="1" fillId="0" borderId="80" xfId="42" applyNumberFormat="1" applyFont="1" applyBorder="1" applyAlignment="1"/>
    <xf numFmtId="165" fontId="1" fillId="0" borderId="82" xfId="42" applyNumberFormat="1" applyFont="1" applyBorder="1" applyAlignment="1"/>
    <xf numFmtId="165" fontId="1" fillId="21" borderId="0" xfId="42" applyNumberFormat="1" applyFont="1" applyFill="1" applyBorder="1" applyAlignment="1"/>
    <xf numFmtId="1" fontId="30" fillId="13" borderId="92" xfId="42" applyNumberFormat="1" applyFont="1" applyFill="1" applyBorder="1" applyAlignment="1"/>
    <xf numFmtId="1" fontId="39" fillId="13" borderId="92" xfId="42" applyNumberFormat="1" applyFont="1" applyFill="1" applyBorder="1" applyAlignment="1"/>
    <xf numFmtId="1" fontId="1" fillId="0" borderId="92" xfId="42" applyNumberFormat="1" applyFont="1" applyBorder="1" applyAlignment="1"/>
    <xf numFmtId="1" fontId="1" fillId="0" borderId="4" xfId="42" applyNumberFormat="1" applyFont="1" applyBorder="1" applyAlignment="1"/>
    <xf numFmtId="1" fontId="1" fillId="13" borderId="0" xfId="42" applyNumberFormat="1" applyFont="1" applyFill="1" applyBorder="1" applyAlignment="1"/>
    <xf numFmtId="1" fontId="1" fillId="0" borderId="76" xfId="42" applyNumberFormat="1" applyFont="1" applyFill="1" applyBorder="1" applyAlignment="1"/>
    <xf numFmtId="1" fontId="1" fillId="0" borderId="0" xfId="42" applyNumberFormat="1" applyFont="1" applyFill="1" applyBorder="1" applyAlignment="1"/>
    <xf numFmtId="165" fontId="1" fillId="0" borderId="0" xfId="42" applyNumberFormat="1" applyFont="1" applyFill="1" applyBorder="1" applyAlignment="1"/>
    <xf numFmtId="1" fontId="1" fillId="15" borderId="0" xfId="42" applyNumberFormat="1" applyFont="1" applyFill="1" applyBorder="1" applyAlignment="1"/>
    <xf numFmtId="1" fontId="1" fillId="0" borderId="0" xfId="42" applyNumberFormat="1" applyFont="1" applyBorder="1"/>
    <xf numFmtId="165" fontId="1" fillId="0" borderId="0" xfId="42" applyNumberFormat="1" applyFont="1" applyBorder="1" applyAlignment="1"/>
    <xf numFmtId="166" fontId="1" fillId="0" borderId="0" xfId="398" applyNumberFormat="1" applyFont="1" applyBorder="1" applyAlignment="1"/>
    <xf numFmtId="166" fontId="39" fillId="0" borderId="0" xfId="398" applyNumberFormat="1" applyFont="1" applyBorder="1" applyAlignment="1"/>
    <xf numFmtId="1" fontId="30" fillId="21" borderId="87" xfId="42" applyNumberFormat="1" applyFont="1" applyFill="1" applyBorder="1" applyAlignment="1"/>
    <xf numFmtId="1" fontId="39" fillId="21" borderId="87" xfId="42" applyNumberFormat="1" applyFont="1" applyFill="1" applyBorder="1" applyAlignment="1"/>
    <xf numFmtId="165" fontId="1" fillId="0" borderId="80" xfId="42" applyNumberFormat="1" applyFont="1" applyFill="1" applyBorder="1" applyAlignment="1"/>
    <xf numFmtId="2" fontId="49" fillId="11" borderId="80" xfId="42" applyNumberFormat="1" applyFont="1" applyFill="1" applyBorder="1" applyAlignment="1"/>
    <xf numFmtId="2" fontId="49" fillId="11" borderId="0" xfId="42" applyNumberFormat="1" applyFont="1" applyFill="1" applyBorder="1" applyAlignment="1"/>
    <xf numFmtId="1" fontId="1" fillId="0" borderId="92" xfId="42" applyNumberFormat="1" applyFont="1" applyFill="1" applyBorder="1" applyAlignment="1"/>
    <xf numFmtId="1" fontId="1" fillId="0" borderId="30" xfId="42" applyNumberFormat="1" applyFont="1" applyBorder="1" applyAlignment="1"/>
    <xf numFmtId="2" fontId="1" fillId="0" borderId="92" xfId="398" applyNumberFormat="1" applyFont="1" applyFill="1" applyBorder="1" applyAlignment="1"/>
    <xf numFmtId="2" fontId="1" fillId="13" borderId="0" xfId="398" applyNumberFormat="1" applyFont="1" applyFill="1" applyBorder="1" applyAlignment="1"/>
    <xf numFmtId="2" fontId="1" fillId="0" borderId="0" xfId="398" applyNumberFormat="1" applyFont="1" applyFill="1" applyBorder="1" applyAlignment="1"/>
    <xf numFmtId="2" fontId="1" fillId="13" borderId="4" xfId="398" applyNumberFormat="1" applyFont="1" applyFill="1" applyBorder="1" applyAlignment="1"/>
    <xf numFmtId="1" fontId="30" fillId="0" borderId="0" xfId="42" applyNumberFormat="1" applyFont="1" applyBorder="1" applyAlignment="1"/>
    <xf numFmtId="1" fontId="39" fillId="0" borderId="0" xfId="42" applyNumberFormat="1" applyFont="1" applyBorder="1" applyAlignment="1"/>
    <xf numFmtId="1" fontId="1" fillId="0" borderId="71" xfId="42" applyNumberFormat="1" applyFont="1" applyFill="1" applyBorder="1" applyAlignment="1"/>
    <xf numFmtId="1" fontId="1" fillId="0" borderId="72" xfId="42" applyNumberFormat="1" applyFont="1" applyBorder="1" applyAlignment="1"/>
    <xf numFmtId="1" fontId="30" fillId="21" borderId="85" xfId="42" applyNumberFormat="1" applyFont="1" applyFill="1" applyBorder="1" applyAlignment="1"/>
    <xf numFmtId="1" fontId="39" fillId="21" borderId="85" xfId="42" applyNumberFormat="1" applyFont="1" applyFill="1" applyBorder="1" applyAlignment="1"/>
    <xf numFmtId="2" fontId="1" fillId="0" borderId="85" xfId="42" applyNumberFormat="1" applyFont="1" applyBorder="1" applyAlignment="1"/>
    <xf numFmtId="2" fontId="39" fillId="11" borderId="85" xfId="42" applyNumberFormat="1" applyFont="1" applyFill="1" applyBorder="1" applyAlignment="1"/>
    <xf numFmtId="1" fontId="1" fillId="1" borderId="76" xfId="42" applyNumberFormat="1" applyFont="1" applyFill="1" applyBorder="1" applyAlignment="1"/>
    <xf numFmtId="1" fontId="1" fillId="1" borderId="0" xfId="42" applyNumberFormat="1" applyFont="1" applyFill="1" applyBorder="1" applyAlignment="1"/>
    <xf numFmtId="2" fontId="1" fillId="1" borderId="87" xfId="42" applyNumberFormat="1" applyFont="1" applyFill="1" applyBorder="1" applyAlignment="1"/>
    <xf numFmtId="2" fontId="1" fillId="1" borderId="124" xfId="42" applyNumberFormat="1" applyFont="1" applyFill="1" applyBorder="1" applyAlignment="1"/>
    <xf numFmtId="0" fontId="39" fillId="0" borderId="0" xfId="42" applyFont="1" applyAlignment="1"/>
    <xf numFmtId="1" fontId="30" fillId="15" borderId="72" xfId="42" applyNumberFormat="1" applyFont="1" applyFill="1" applyBorder="1" applyAlignment="1"/>
    <xf numFmtId="1" fontId="39" fillId="15" borderId="72" xfId="42" applyNumberFormat="1" applyFont="1" applyFill="1" applyBorder="1" applyAlignment="1"/>
    <xf numFmtId="165" fontId="49" fillId="0" borderId="0" xfId="42" applyNumberFormat="1" applyFont="1" applyFill="1" applyBorder="1" applyAlignment="1"/>
    <xf numFmtId="165" fontId="49" fillId="41" borderId="76" xfId="42" applyNumberFormat="1" applyFont="1" applyFill="1" applyBorder="1"/>
    <xf numFmtId="165" fontId="49" fillId="41" borderId="0" xfId="42" applyNumberFormat="1" applyFont="1" applyFill="1" applyBorder="1" applyAlignment="1"/>
    <xf numFmtId="165" fontId="1" fillId="15" borderId="0" xfId="42" applyNumberFormat="1" applyFont="1" applyFill="1" applyBorder="1"/>
    <xf numFmtId="165" fontId="1" fillId="0" borderId="71" xfId="42" applyNumberFormat="1" applyFont="1" applyBorder="1"/>
    <xf numFmtId="0" fontId="1" fillId="0" borderId="0" xfId="42" applyFont="1" applyBorder="1"/>
    <xf numFmtId="1" fontId="30" fillId="21" borderId="80" xfId="42" applyNumberFormat="1" applyFont="1" applyFill="1" applyBorder="1" applyAlignment="1"/>
    <xf numFmtId="165" fontId="1" fillId="0" borderId="0" xfId="42" applyNumberFormat="1" applyFont="1" applyFill="1" applyBorder="1"/>
    <xf numFmtId="165" fontId="1" fillId="0" borderId="80" xfId="42" applyNumberFormat="1" applyFont="1" applyFill="1" applyBorder="1"/>
    <xf numFmtId="165" fontId="1" fillId="21" borderId="0" xfId="42" applyNumberFormat="1" applyFont="1" applyFill="1" applyBorder="1"/>
    <xf numFmtId="165" fontId="1" fillId="0" borderId="82" xfId="42" applyNumberFormat="1" applyFont="1" applyBorder="1"/>
    <xf numFmtId="165" fontId="1" fillId="0" borderId="17" xfId="42" applyNumberFormat="1" applyFont="1" applyBorder="1"/>
    <xf numFmtId="165" fontId="1" fillId="0" borderId="0" xfId="42" applyNumberFormat="1" applyFont="1" applyBorder="1"/>
    <xf numFmtId="166" fontId="1" fillId="34" borderId="0" xfId="42" applyNumberFormat="1" applyFont="1" applyFill="1" applyBorder="1"/>
    <xf numFmtId="0" fontId="30" fillId="0" borderId="0" xfId="42" applyFont="1" applyBorder="1"/>
    <xf numFmtId="0" fontId="39" fillId="0" borderId="0" xfId="42" applyFont="1" applyBorder="1"/>
    <xf numFmtId="165" fontId="1" fillId="0" borderId="76" xfId="42" applyNumberFormat="1" applyFont="1" applyFill="1" applyBorder="1"/>
    <xf numFmtId="165" fontId="1" fillId="15" borderId="0" xfId="42" applyNumberFormat="1" applyFont="1" applyFill="1" applyBorder="1" applyAlignment="1">
      <alignment vertical="center"/>
    </xf>
    <xf numFmtId="165" fontId="1" fillId="0" borderId="71" xfId="42" applyNumberFormat="1" applyFont="1" applyBorder="1" applyAlignment="1">
      <alignment vertical="center"/>
    </xf>
    <xf numFmtId="2" fontId="39" fillId="11" borderId="0" xfId="42" applyNumberFormat="1" applyFont="1" applyFill="1" applyBorder="1"/>
    <xf numFmtId="168" fontId="1" fillId="15" borderId="0" xfId="42" applyNumberFormat="1" applyFont="1" applyFill="1" applyBorder="1" applyAlignment="1">
      <alignment vertical="center"/>
    </xf>
    <xf numFmtId="9" fontId="34" fillId="0" borderId="0" xfId="42" applyNumberFormat="1" applyFont="1" applyAlignment="1"/>
    <xf numFmtId="10" fontId="34" fillId="0" borderId="0" xfId="42" applyNumberFormat="1" applyFont="1" applyAlignment="1"/>
    <xf numFmtId="2" fontId="30" fillId="0" borderId="0" xfId="42" applyNumberFormat="1" applyFont="1" applyBorder="1"/>
    <xf numFmtId="1" fontId="30" fillId="13" borderId="99" xfId="42" applyNumberFormat="1" applyFont="1" applyFill="1" applyBorder="1" applyAlignment="1"/>
    <xf numFmtId="1" fontId="39" fillId="13" borderId="99" xfId="42" applyNumberFormat="1" applyFont="1" applyFill="1" applyBorder="1" applyAlignment="1"/>
    <xf numFmtId="166" fontId="1" fillId="0" borderId="92" xfId="398" applyNumberFormat="1" applyFont="1" applyFill="1" applyBorder="1"/>
    <xf numFmtId="166" fontId="1" fillId="0" borderId="0" xfId="398" applyNumberFormat="1" applyFont="1" applyFill="1" applyBorder="1" applyAlignment="1"/>
    <xf numFmtId="166" fontId="1" fillId="13" borderId="0" xfId="398" applyNumberFormat="1" applyFont="1" applyFill="1" applyBorder="1"/>
    <xf numFmtId="166" fontId="1" fillId="0" borderId="4" xfId="398" applyNumberFormat="1" applyFont="1" applyBorder="1"/>
    <xf numFmtId="2" fontId="1" fillId="0" borderId="71" xfId="42" applyNumberFormat="1" applyFont="1" applyBorder="1" applyAlignment="1">
      <alignment vertical="center"/>
    </xf>
    <xf numFmtId="2" fontId="1" fillId="38" borderId="71" xfId="42" applyNumberFormat="1" applyFont="1" applyFill="1" applyBorder="1" applyAlignment="1">
      <alignment vertical="center"/>
    </xf>
    <xf numFmtId="166" fontId="1" fillId="0" borderId="0" xfId="42" applyNumberFormat="1" applyFont="1" applyAlignment="1"/>
    <xf numFmtId="188" fontId="1" fillId="0" borderId="0" xfId="42" applyNumberFormat="1" applyFont="1" applyAlignment="1"/>
    <xf numFmtId="165" fontId="1" fillId="21" borderId="0" xfId="42" applyNumberFormat="1" applyFont="1" applyFill="1" applyBorder="1" applyAlignment="1">
      <alignment vertical="center"/>
    </xf>
    <xf numFmtId="165" fontId="1" fillId="0" borderId="82" xfId="42" applyNumberFormat="1" applyFont="1" applyBorder="1" applyAlignment="1">
      <alignment vertical="center"/>
    </xf>
    <xf numFmtId="1" fontId="30" fillId="13" borderId="97" xfId="42" applyNumberFormat="1" applyFont="1" applyFill="1" applyBorder="1" applyAlignment="1"/>
    <xf numFmtId="1" fontId="39" fillId="13" borderId="97" xfId="42" applyNumberFormat="1" applyFont="1" applyFill="1" applyBorder="1" applyAlignment="1"/>
    <xf numFmtId="166" fontId="1" fillId="0" borderId="17" xfId="398" applyNumberFormat="1" applyFont="1" applyFill="1" applyBorder="1"/>
    <xf numFmtId="166" fontId="1" fillId="13" borderId="0" xfId="398" applyNumberFormat="1" applyFont="1" applyFill="1" applyBorder="1" applyAlignment="1">
      <alignment vertical="center"/>
    </xf>
    <xf numFmtId="166" fontId="1" fillId="0" borderId="30" xfId="398" applyNumberFormat="1" applyFont="1" applyBorder="1" applyAlignment="1">
      <alignment vertical="center"/>
    </xf>
    <xf numFmtId="0" fontId="43" fillId="0" borderId="0" xfId="42" applyFont="1" applyBorder="1"/>
    <xf numFmtId="167" fontId="43" fillId="0" borderId="0" xfId="42" applyNumberFormat="1" applyFont="1" applyBorder="1"/>
    <xf numFmtId="1" fontId="30" fillId="13" borderId="40" xfId="42" applyNumberFormat="1" applyFont="1" applyFill="1" applyBorder="1" applyAlignment="1"/>
    <xf numFmtId="1" fontId="39" fillId="13" borderId="40" xfId="42" applyNumberFormat="1" applyFont="1" applyFill="1" applyBorder="1" applyAlignment="1"/>
    <xf numFmtId="165" fontId="1" fillId="13" borderId="0" xfId="398" applyNumberFormat="1" applyFont="1" applyFill="1" applyBorder="1" applyAlignment="1"/>
    <xf numFmtId="165" fontId="1" fillId="0" borderId="30" xfId="398" applyNumberFormat="1" applyFont="1" applyBorder="1" applyAlignment="1"/>
    <xf numFmtId="0" fontId="1" fillId="0" borderId="0" xfId="42" applyFont="1" applyAlignment="1">
      <alignment horizontal="right" vertical="top"/>
    </xf>
    <xf numFmtId="165" fontId="1" fillId="0" borderId="76" xfId="42" applyNumberFormat="1" applyFont="1" applyBorder="1" applyAlignment="1"/>
    <xf numFmtId="165" fontId="1" fillId="15" borderId="0" xfId="42" applyNumberFormat="1" applyFont="1" applyFill="1" applyBorder="1" applyAlignment="1"/>
    <xf numFmtId="167" fontId="1" fillId="0" borderId="0" xfId="42" applyNumberFormat="1" applyFont="1" applyBorder="1" applyAlignment="1"/>
    <xf numFmtId="165" fontId="1" fillId="15" borderId="76" xfId="42" applyNumberFormat="1" applyFont="1" applyFill="1" applyBorder="1" applyAlignment="1"/>
    <xf numFmtId="2" fontId="39" fillId="11" borderId="80" xfId="42" applyNumberFormat="1" applyFont="1" applyFill="1" applyBorder="1" applyAlignment="1"/>
    <xf numFmtId="166" fontId="1" fillId="0" borderId="17" xfId="398" applyNumberFormat="1" applyFont="1" applyBorder="1" applyAlignment="1"/>
    <xf numFmtId="166" fontId="1" fillId="13" borderId="0" xfId="398" applyNumberFormat="1" applyFont="1" applyFill="1" applyBorder="1" applyAlignment="1"/>
    <xf numFmtId="166" fontId="1" fillId="0" borderId="30" xfId="398" applyNumberFormat="1" applyFont="1" applyBorder="1" applyAlignment="1"/>
    <xf numFmtId="166" fontId="1" fillId="0" borderId="40" xfId="398" applyNumberFormat="1" applyFont="1" applyBorder="1" applyAlignment="1"/>
    <xf numFmtId="166" fontId="39" fillId="0" borderId="40" xfId="398" applyNumberFormat="1" applyFont="1" applyBorder="1" applyAlignment="1"/>
    <xf numFmtId="1" fontId="1" fillId="0" borderId="71" xfId="42" applyNumberFormat="1" applyFont="1" applyBorder="1"/>
    <xf numFmtId="165" fontId="1" fillId="15" borderId="0" xfId="42" applyNumberFormat="1" applyFont="1" applyFill="1"/>
    <xf numFmtId="165" fontId="1" fillId="0" borderId="76" xfId="42" applyNumberFormat="1" applyFont="1" applyBorder="1"/>
    <xf numFmtId="2" fontId="1" fillId="0" borderId="82" xfId="42" applyNumberFormat="1" applyFont="1" applyBorder="1" applyAlignment="1"/>
    <xf numFmtId="0" fontId="0" fillId="0" borderId="0" xfId="0"/>
    <xf numFmtId="0" fontId="0" fillId="0" borderId="0" xfId="0"/>
    <xf numFmtId="0" fontId="0" fillId="44" borderId="62" xfId="42" applyFont="1" applyFill="1" applyBorder="1"/>
    <xf numFmtId="0" fontId="0" fillId="43" borderId="0" xfId="0" applyFill="1"/>
    <xf numFmtId="0" fontId="0" fillId="0" borderId="0" xfId="0"/>
    <xf numFmtId="178" fontId="28" fillId="0" borderId="0" xfId="42" applyNumberFormat="1" applyFont="1" applyBorder="1" applyAlignment="1"/>
    <xf numFmtId="178" fontId="28" fillId="19" borderId="0" xfId="42" applyNumberFormat="1" applyFont="1" applyFill="1" applyBorder="1" applyAlignment="1">
      <alignment horizontal="right"/>
    </xf>
    <xf numFmtId="0" fontId="0" fillId="0" borderId="0" xfId="0"/>
    <xf numFmtId="2" fontId="137" fillId="11" borderId="30" xfId="42" applyNumberFormat="1" applyFont="1" applyFill="1" applyBorder="1" applyAlignment="1"/>
    <xf numFmtId="178" fontId="28" fillId="15" borderId="76" xfId="42" applyNumberFormat="1" applyFont="1" applyFill="1" applyBorder="1" applyAlignment="1"/>
    <xf numFmtId="168" fontId="28" fillId="0" borderId="0" xfId="42" applyNumberFormat="1" applyFont="1" applyBorder="1" applyAlignment="1"/>
    <xf numFmtId="168" fontId="30" fillId="20" borderId="0" xfId="42" applyNumberFormat="1" applyFont="1" applyFill="1" applyBorder="1" applyAlignment="1"/>
    <xf numFmtId="178" fontId="40" fillId="20" borderId="0" xfId="42" applyNumberFormat="1" applyFont="1" applyFill="1" applyBorder="1" applyAlignment="1"/>
    <xf numFmtId="0" fontId="1" fillId="15" borderId="0" xfId="42" applyFont="1" applyFill="1" applyBorder="1" applyAlignment="1">
      <alignment horizontal="left"/>
    </xf>
    <xf numFmtId="0" fontId="0" fillId="0" borderId="0" xfId="0"/>
    <xf numFmtId="0" fontId="1" fillId="0" borderId="0" xfId="42" applyFont="1" applyAlignment="1">
      <alignment horizontal="center"/>
    </xf>
    <xf numFmtId="0" fontId="30" fillId="15" borderId="76" xfId="42" applyFont="1" applyFill="1" applyBorder="1" applyAlignment="1"/>
    <xf numFmtId="0" fontId="30" fillId="15" borderId="76" xfId="42" applyFont="1" applyFill="1" applyBorder="1" applyAlignment="1">
      <alignment horizontal="center"/>
    </xf>
    <xf numFmtId="14" fontId="1" fillId="0" borderId="76" xfId="42" applyNumberFormat="1" applyFont="1" applyBorder="1" applyAlignment="1"/>
    <xf numFmtId="165" fontId="1" fillId="0" borderId="76" xfId="42" applyNumberFormat="1" applyFont="1" applyBorder="1" applyAlignment="1">
      <alignment horizontal="center"/>
    </xf>
    <xf numFmtId="0" fontId="30" fillId="21" borderId="89" xfId="42" applyFont="1" applyFill="1" applyBorder="1" applyAlignment="1">
      <alignment horizontal="center"/>
    </xf>
    <xf numFmtId="14" fontId="1" fillId="0" borderId="80" xfId="42" applyNumberFormat="1" applyFont="1" applyBorder="1" applyAlignment="1"/>
    <xf numFmtId="165" fontId="1" fillId="0" borderId="80" xfId="42" applyNumberFormat="1" applyFont="1" applyBorder="1" applyAlignment="1">
      <alignment horizontal="center"/>
    </xf>
    <xf numFmtId="0" fontId="30" fillId="13" borderId="92" xfId="42" applyFont="1" applyFill="1" applyBorder="1" applyAlignment="1"/>
    <xf numFmtId="0" fontId="30" fillId="13" borderId="92" xfId="42" applyFont="1" applyFill="1" applyBorder="1" applyAlignment="1">
      <alignment horizontal="center"/>
    </xf>
    <xf numFmtId="14" fontId="1" fillId="0" borderId="92" xfId="42" applyNumberFormat="1" applyFont="1" applyBorder="1" applyAlignment="1"/>
    <xf numFmtId="165" fontId="1" fillId="0" borderId="92" xfId="42" applyNumberFormat="1" applyFont="1" applyBorder="1" applyAlignment="1">
      <alignment horizontal="center"/>
    </xf>
    <xf numFmtId="14" fontId="1" fillId="0" borderId="0" xfId="42" applyNumberFormat="1" applyFont="1" applyBorder="1" applyAlignment="1"/>
    <xf numFmtId="165" fontId="1" fillId="0" borderId="0" xfId="42" applyNumberFormat="1" applyFont="1" applyBorder="1" applyAlignment="1">
      <alignment horizontal="center"/>
    </xf>
    <xf numFmtId="0" fontId="1" fillId="0" borderId="30" xfId="42" applyFont="1" applyBorder="1" applyAlignment="1">
      <alignment horizontal="left"/>
    </xf>
    <xf numFmtId="0" fontId="1" fillId="0" borderId="0" xfId="42" applyFont="1" applyFill="1" applyBorder="1" applyAlignment="1">
      <alignment horizontal="left"/>
    </xf>
    <xf numFmtId="165" fontId="1" fillId="15" borderId="0" xfId="42" applyNumberFormat="1" applyFont="1" applyFill="1" applyBorder="1" applyAlignment="1">
      <alignment horizontal="center"/>
    </xf>
    <xf numFmtId="0" fontId="1" fillId="21" borderId="0" xfId="42" applyFont="1" applyFill="1" applyBorder="1" applyAlignment="1">
      <alignment horizontal="center"/>
    </xf>
    <xf numFmtId="2" fontId="1" fillId="0" borderId="0" xfId="42" applyNumberFormat="1" applyFont="1" applyBorder="1"/>
    <xf numFmtId="0" fontId="1" fillId="21" borderId="0" xfId="42" applyFont="1" applyFill="1" applyBorder="1"/>
    <xf numFmtId="2" fontId="30" fillId="11" borderId="80" xfId="42" applyNumberFormat="1" applyFont="1" applyFill="1" applyBorder="1" applyAlignment="1">
      <alignment horizontal="center"/>
    </xf>
    <xf numFmtId="1" fontId="1" fillId="15" borderId="0" xfId="42" applyNumberFormat="1" applyFont="1" applyFill="1" applyBorder="1" applyAlignment="1">
      <alignment horizontal="left"/>
    </xf>
    <xf numFmtId="14" fontId="1" fillId="0" borderId="99" xfId="42" applyNumberFormat="1" applyFont="1" applyBorder="1" applyAlignment="1"/>
    <xf numFmtId="165" fontId="1" fillId="0" borderId="99" xfId="42" applyNumberFormat="1" applyFont="1" applyBorder="1" applyAlignment="1">
      <alignment horizontal="center"/>
    </xf>
    <xf numFmtId="14" fontId="1" fillId="0" borderId="72" xfId="42" applyNumberFormat="1" applyFont="1" applyBorder="1" applyAlignment="1"/>
    <xf numFmtId="165" fontId="1" fillId="0" borderId="72" xfId="42" applyNumberFormat="1" applyFont="1" applyBorder="1" applyAlignment="1">
      <alignment horizontal="center"/>
    </xf>
    <xf numFmtId="0" fontId="1" fillId="0" borderId="77" xfId="42" applyFont="1" applyBorder="1" applyAlignment="1">
      <alignment horizontal="center"/>
    </xf>
    <xf numFmtId="0" fontId="1" fillId="0" borderId="82" xfId="42" applyFont="1" applyBorder="1"/>
    <xf numFmtId="0" fontId="1" fillId="0" borderId="82" xfId="42" applyFont="1" applyBorder="1" applyAlignment="1">
      <alignment horizontal="center"/>
    </xf>
    <xf numFmtId="0" fontId="1" fillId="0" borderId="4" xfId="42" applyFont="1" applyBorder="1" applyAlignment="1">
      <alignment horizontal="left"/>
    </xf>
    <xf numFmtId="165" fontId="159" fillId="0" borderId="71" xfId="42" applyNumberFormat="1" applyFont="1" applyFill="1" applyBorder="1" applyAlignment="1">
      <alignment horizontal="right"/>
    </xf>
    <xf numFmtId="0" fontId="161" fillId="43" borderId="0" xfId="0" applyFont="1" applyFill="1"/>
    <xf numFmtId="0" fontId="0" fillId="0" borderId="0" xfId="0"/>
    <xf numFmtId="0" fontId="0" fillId="0" borderId="0" xfId="0"/>
    <xf numFmtId="0" fontId="0" fillId="0" borderId="0" xfId="0"/>
    <xf numFmtId="165" fontId="1" fillId="0" borderId="92" xfId="42" applyNumberFormat="1" applyFont="1" applyBorder="1" applyAlignment="1"/>
    <xf numFmtId="0" fontId="1" fillId="0" borderId="0" xfId="0" applyFont="1"/>
    <xf numFmtId="0" fontId="0" fillId="45" borderId="0" xfId="0" applyFill="1"/>
    <xf numFmtId="1" fontId="1" fillId="0" borderId="76" xfId="42" applyNumberFormat="1" applyFont="1" applyFill="1" applyBorder="1" applyAlignment="1">
      <alignment horizontal="center"/>
    </xf>
    <xf numFmtId="2" fontId="49" fillId="0" borderId="0" xfId="42" applyNumberFormat="1" applyFont="1" applyFill="1" applyBorder="1" applyAlignment="1"/>
    <xf numFmtId="0" fontId="0" fillId="0" borderId="0" xfId="0" applyBorder="1"/>
    <xf numFmtId="0" fontId="0" fillId="0" borderId="0" xfId="0"/>
    <xf numFmtId="0" fontId="0" fillId="46" borderId="0" xfId="0" applyFill="1"/>
    <xf numFmtId="0" fontId="1" fillId="45" borderId="0" xfId="0" applyFont="1" applyFill="1"/>
    <xf numFmtId="0" fontId="138" fillId="0" borderId="0" xfId="0" applyFont="1" applyFill="1"/>
    <xf numFmtId="0" fontId="49" fillId="0" borderId="0" xfId="0" applyFont="1"/>
    <xf numFmtId="0" fontId="0" fillId="0" borderId="0" xfId="0"/>
    <xf numFmtId="0" fontId="34" fillId="0" borderId="0" xfId="42" applyFont="1" applyFill="1"/>
    <xf numFmtId="1" fontId="1" fillId="0" borderId="0" xfId="42" applyNumberFormat="1" applyFont="1" applyAlignment="1">
      <alignment horizontal="center"/>
    </xf>
    <xf numFmtId="166" fontId="1" fillId="0" borderId="0" xfId="398" applyNumberFormat="1" applyFont="1"/>
    <xf numFmtId="165" fontId="39" fillId="0" borderId="0" xfId="42" applyNumberFormat="1" applyFont="1" applyAlignment="1"/>
    <xf numFmtId="0" fontId="1" fillId="47" borderId="0" xfId="0" applyFont="1" applyFill="1"/>
    <xf numFmtId="2" fontId="159" fillId="11" borderId="78" xfId="42" applyNumberFormat="1" applyFont="1" applyFill="1" applyBorder="1" applyAlignment="1" applyProtection="1">
      <alignment horizontal="right"/>
      <protection locked="0"/>
    </xf>
    <xf numFmtId="2" fontId="159" fillId="11" borderId="0" xfId="42" applyNumberFormat="1" applyFont="1" applyFill="1" applyBorder="1" applyAlignment="1"/>
    <xf numFmtId="0" fontId="162" fillId="45" borderId="0" xfId="0" applyFont="1" applyFill="1"/>
    <xf numFmtId="2" fontId="159" fillId="21" borderId="0" xfId="42" applyNumberFormat="1" applyFont="1" applyFill="1" applyBorder="1"/>
    <xf numFmtId="165" fontId="159" fillId="12" borderId="37" xfId="42" applyNumberFormat="1" applyFont="1" applyFill="1" applyBorder="1" applyProtection="1"/>
    <xf numFmtId="165" fontId="159" fillId="12" borderId="37" xfId="42" applyNumberFormat="1" applyFont="1" applyFill="1" applyBorder="1" applyAlignment="1" applyProtection="1">
      <alignment horizontal="right"/>
    </xf>
    <xf numFmtId="165" fontId="159" fillId="12" borderId="32" xfId="42" applyNumberFormat="1" applyFont="1" applyFill="1" applyBorder="1" applyAlignment="1" applyProtection="1">
      <alignment horizontal="right"/>
    </xf>
    <xf numFmtId="165" fontId="34" fillId="46" borderId="25" xfId="42" applyNumberFormat="1" applyFont="1" applyFill="1" applyBorder="1" applyProtection="1"/>
    <xf numFmtId="165" fontId="34" fillId="46" borderId="27" xfId="42" applyNumberFormat="1" applyFont="1" applyFill="1" applyBorder="1" applyProtection="1"/>
    <xf numFmtId="165" fontId="34" fillId="43" borderId="27" xfId="42" applyNumberFormat="1" applyFont="1" applyFill="1" applyBorder="1" applyProtection="1"/>
    <xf numFmtId="165" fontId="34" fillId="43" borderId="46" xfId="42" applyNumberFormat="1" applyFont="1" applyFill="1" applyBorder="1" applyProtection="1"/>
    <xf numFmtId="2" fontId="32" fillId="0" borderId="80" xfId="42" applyNumberFormat="1" applyFont="1" applyFill="1" applyBorder="1" applyAlignment="1"/>
    <xf numFmtId="0" fontId="32" fillId="0" borderId="0" xfId="42" applyFont="1" applyFill="1"/>
    <xf numFmtId="0" fontId="0" fillId="0" borderId="0" xfId="0"/>
    <xf numFmtId="2" fontId="1" fillId="0" borderId="76" xfId="42" applyNumberFormat="1" applyFont="1" applyBorder="1" applyAlignment="1"/>
    <xf numFmtId="167" fontId="39" fillId="0" borderId="0" xfId="42" applyNumberFormat="1" applyFont="1" applyAlignment="1"/>
    <xf numFmtId="2" fontId="32" fillId="15" borderId="76" xfId="42" applyNumberFormat="1" applyFont="1" applyFill="1" applyBorder="1" applyAlignment="1"/>
    <xf numFmtId="2" fontId="32" fillId="0" borderId="76" xfId="42" applyNumberFormat="1" applyFont="1" applyBorder="1" applyAlignment="1"/>
    <xf numFmtId="167" fontId="40" fillId="20" borderId="0" xfId="42" applyNumberFormat="1" applyFont="1" applyFill="1" applyBorder="1" applyAlignment="1"/>
    <xf numFmtId="2" fontId="39" fillId="21" borderId="0" xfId="42" applyNumberFormat="1" applyFont="1" applyFill="1" applyBorder="1" applyAlignment="1"/>
    <xf numFmtId="168" fontId="28" fillId="0" borderId="76" xfId="42" applyNumberFormat="1" applyFont="1" applyBorder="1" applyAlignment="1"/>
    <xf numFmtId="168" fontId="138" fillId="0" borderId="76" xfId="42" applyNumberFormat="1" applyFont="1" applyFill="1" applyBorder="1" applyAlignment="1"/>
    <xf numFmtId="165" fontId="34" fillId="0" borderId="0" xfId="42" applyNumberFormat="1" applyFont="1" applyBorder="1"/>
    <xf numFmtId="167" fontId="34" fillId="0" borderId="0" xfId="398" applyNumberFormat="1" applyFont="1" applyAlignment="1"/>
    <xf numFmtId="168" fontId="52" fillId="19" borderId="0" xfId="42" applyNumberFormat="1" applyFont="1" applyFill="1" applyBorder="1" applyAlignment="1">
      <alignment horizontal="right"/>
    </xf>
    <xf numFmtId="167" fontId="138" fillId="0" borderId="76" xfId="42" applyNumberFormat="1" applyFont="1" applyFill="1" applyBorder="1" applyAlignment="1"/>
    <xf numFmtId="167" fontId="136" fillId="40" borderId="76" xfId="42" applyNumberFormat="1" applyFont="1" applyFill="1" applyBorder="1" applyAlignment="1"/>
    <xf numFmtId="178" fontId="32" fillId="15" borderId="0" xfId="42" applyNumberFormat="1" applyFont="1" applyFill="1" applyBorder="1" applyAlignment="1"/>
    <xf numFmtId="168" fontId="159" fillId="20" borderId="0" xfId="42" applyNumberFormat="1" applyFont="1" applyFill="1" applyBorder="1" applyAlignment="1"/>
    <xf numFmtId="167" fontId="34" fillId="15" borderId="0" xfId="42" applyNumberFormat="1" applyFont="1" applyFill="1" applyBorder="1"/>
    <xf numFmtId="167" fontId="0" fillId="0" borderId="0" xfId="0" applyNumberFormat="1"/>
    <xf numFmtId="167" fontId="34" fillId="20" borderId="0" xfId="42" applyNumberFormat="1" applyFont="1" applyFill="1"/>
    <xf numFmtId="0" fontId="0" fillId="0" borderId="0" xfId="0"/>
    <xf numFmtId="2" fontId="91" fillId="21" borderId="68" xfId="42" applyNumberFormat="1" applyFont="1" applyFill="1" applyBorder="1" applyAlignment="1">
      <alignment horizontal="right"/>
    </xf>
    <xf numFmtId="2" fontId="55" fillId="19" borderId="0" xfId="42" applyNumberFormat="1" applyFont="1" applyFill="1" applyBorder="1" applyAlignment="1">
      <alignment horizontal="right"/>
    </xf>
    <xf numFmtId="167" fontId="34" fillId="15" borderId="0" xfId="42" applyNumberFormat="1" applyFont="1" applyFill="1" applyBorder="1" applyAlignment="1"/>
    <xf numFmtId="167" fontId="28" fillId="21" borderId="104" xfId="42" applyNumberFormat="1" applyFont="1" applyFill="1" applyBorder="1" applyAlignment="1">
      <alignment horizontal="right"/>
    </xf>
    <xf numFmtId="167" fontId="0" fillId="21" borderId="68" xfId="42" applyNumberFormat="1" applyFont="1" applyFill="1" applyBorder="1" applyAlignment="1">
      <alignment horizontal="right"/>
    </xf>
    <xf numFmtId="167" fontId="0" fillId="21" borderId="103" xfId="42" applyNumberFormat="1" applyFont="1" applyFill="1" applyBorder="1" applyAlignment="1">
      <alignment horizontal="right"/>
    </xf>
    <xf numFmtId="167" fontId="28" fillId="0" borderId="80" xfId="42" applyNumberFormat="1" applyFont="1" applyFill="1" applyBorder="1" applyAlignment="1"/>
    <xf numFmtId="167" fontId="28" fillId="0" borderId="0" xfId="42" applyNumberFormat="1" applyFont="1" applyFill="1" applyBorder="1" applyAlignment="1"/>
    <xf numFmtId="167" fontId="28" fillId="0" borderId="82" xfId="42" applyNumberFormat="1" applyFont="1" applyFill="1" applyBorder="1" applyAlignment="1"/>
    <xf numFmtId="167" fontId="28" fillId="21" borderId="0" xfId="42" applyNumberFormat="1" applyFont="1" applyFill="1" applyBorder="1" applyAlignment="1"/>
    <xf numFmtId="167" fontId="28" fillId="19" borderId="75" xfId="42" applyNumberFormat="1" applyFont="1" applyFill="1" applyBorder="1" applyAlignment="1">
      <alignment horizontal="right"/>
    </xf>
    <xf numFmtId="168" fontId="34" fillId="15" borderId="0" xfId="42" applyNumberFormat="1" applyFont="1" applyFill="1" applyBorder="1" applyAlignment="1"/>
    <xf numFmtId="168" fontId="0" fillId="0" borderId="71" xfId="42" applyNumberFormat="1" applyFont="1" applyBorder="1"/>
    <xf numFmtId="0" fontId="34" fillId="0" borderId="0" xfId="42" applyFont="1" applyFill="1" applyAlignment="1"/>
    <xf numFmtId="167" fontId="32" fillId="11" borderId="80" xfId="42" applyNumberFormat="1" applyFont="1" applyFill="1" applyBorder="1" applyAlignment="1"/>
    <xf numFmtId="167" fontId="32" fillId="20" borderId="76" xfId="42" applyNumberFormat="1" applyFont="1" applyFill="1" applyBorder="1"/>
    <xf numFmtId="167" fontId="32" fillId="20" borderId="0" xfId="42" applyNumberFormat="1" applyFont="1" applyFill="1" applyBorder="1"/>
    <xf numFmtId="167" fontId="32" fillId="20" borderId="71" xfId="42" applyNumberFormat="1" applyFont="1" applyFill="1" applyBorder="1"/>
    <xf numFmtId="185" fontId="43" fillId="19" borderId="0" xfId="398" applyNumberFormat="1" applyFont="1" applyFill="1" applyBorder="1"/>
    <xf numFmtId="189" fontId="32" fillId="0" borderId="0" xfId="42" applyNumberFormat="1" applyFont="1"/>
    <xf numFmtId="168" fontId="67" fillId="21" borderId="125" xfId="42" applyNumberFormat="1" applyFont="1" applyFill="1" applyBorder="1" applyAlignment="1"/>
    <xf numFmtId="168" fontId="67" fillId="21" borderId="126" xfId="42" applyNumberFormat="1" applyFont="1" applyFill="1" applyBorder="1" applyAlignment="1">
      <alignment horizontal="right"/>
    </xf>
    <xf numFmtId="167" fontId="40" fillId="15" borderId="0" xfId="42" applyNumberFormat="1" applyFont="1" applyFill="1" applyBorder="1" applyAlignment="1"/>
    <xf numFmtId="167" fontId="0" fillId="15" borderId="0" xfId="42" applyNumberFormat="1" applyFont="1" applyFill="1"/>
    <xf numFmtId="167" fontId="91" fillId="15" borderId="0" xfId="42" applyNumberFormat="1" applyFont="1" applyFill="1" applyBorder="1" applyAlignment="1">
      <alignment horizontal="right"/>
    </xf>
    <xf numFmtId="167" fontId="55" fillId="19" borderId="0" xfId="42" applyNumberFormat="1" applyFont="1" applyFill="1" applyBorder="1" applyAlignment="1">
      <alignment horizontal="right"/>
    </xf>
    <xf numFmtId="0" fontId="0" fillId="0" borderId="0" xfId="0"/>
    <xf numFmtId="2" fontId="32" fillId="0" borderId="0" xfId="42" applyNumberFormat="1" applyFont="1" applyFill="1" applyBorder="1" applyAlignment="1"/>
    <xf numFmtId="0" fontId="0" fillId="48" borderId="0" xfId="0" applyFill="1"/>
    <xf numFmtId="168" fontId="40" fillId="20" borderId="0" xfId="42" applyNumberFormat="1" applyFont="1" applyFill="1" applyBorder="1" applyAlignment="1"/>
    <xf numFmtId="178" fontId="29" fillId="16" borderId="71" xfId="42" applyNumberFormat="1" applyFont="1" applyFill="1" applyBorder="1" applyAlignment="1" applyProtection="1">
      <alignment horizontal="center" wrapText="1"/>
    </xf>
    <xf numFmtId="168" fontId="13" fillId="12" borderId="27" xfId="42" applyNumberFormat="1" applyFont="1" applyFill="1" applyBorder="1" applyAlignment="1" applyProtection="1">
      <alignment horizontal="right"/>
    </xf>
    <xf numFmtId="43" fontId="141" fillId="16" borderId="76" xfId="492" applyFont="1" applyFill="1" applyBorder="1" applyAlignment="1">
      <alignment horizontal="right"/>
    </xf>
    <xf numFmtId="43" fontId="28" fillId="19" borderId="75" xfId="492" applyFont="1" applyFill="1" applyBorder="1" applyAlignment="1">
      <alignment horizontal="right"/>
    </xf>
    <xf numFmtId="167" fontId="28" fillId="21" borderId="0" xfId="42" applyNumberFormat="1" applyFont="1" applyFill="1" applyBorder="1"/>
    <xf numFmtId="2" fontId="138" fillId="19" borderId="75" xfId="42" applyNumberFormat="1" applyFont="1" applyFill="1" applyBorder="1" applyAlignment="1">
      <alignment horizontal="right"/>
    </xf>
    <xf numFmtId="167" fontId="67" fillId="21" borderId="125" xfId="42" applyNumberFormat="1" applyFont="1" applyFill="1" applyBorder="1" applyAlignment="1"/>
    <xf numFmtId="167" fontId="67" fillId="21" borderId="126" xfId="42" applyNumberFormat="1" applyFont="1" applyFill="1" applyBorder="1" applyAlignment="1">
      <alignment horizontal="right"/>
    </xf>
    <xf numFmtId="0" fontId="67" fillId="45" borderId="0" xfId="42" applyFont="1" applyFill="1"/>
    <xf numFmtId="165" fontId="30" fillId="16" borderId="0" xfId="42" applyNumberFormat="1" applyFont="1" applyFill="1" applyBorder="1" applyAlignment="1">
      <alignment horizontal="right"/>
    </xf>
    <xf numFmtId="167" fontId="34" fillId="0" borderId="0" xfId="398" applyNumberFormat="1" applyFont="1" applyFill="1" applyAlignment="1"/>
    <xf numFmtId="165" fontId="13" fillId="12" borderId="0" xfId="42" applyNumberFormat="1" applyFont="1" applyFill="1" applyBorder="1" applyAlignment="1" applyProtection="1">
      <alignment horizontal="right"/>
    </xf>
    <xf numFmtId="167" fontId="28" fillId="0" borderId="76" xfId="42" applyNumberFormat="1" applyFont="1" applyBorder="1" applyAlignment="1"/>
    <xf numFmtId="0" fontId="40" fillId="45" borderId="0" xfId="42" applyFont="1" applyFill="1" applyAlignment="1"/>
    <xf numFmtId="0" fontId="0" fillId="0" borderId="0" xfId="0"/>
    <xf numFmtId="2" fontId="0" fillId="21" borderId="0" xfId="42" applyNumberFormat="1" applyFont="1" applyFill="1"/>
    <xf numFmtId="0" fontId="0" fillId="0" borderId="0" xfId="0" applyAlignment="1"/>
    <xf numFmtId="0" fontId="1" fillId="0" borderId="0" xfId="0" applyFont="1"/>
    <xf numFmtId="0" fontId="0" fillId="0" borderId="0" xfId="0"/>
    <xf numFmtId="0" fontId="0" fillId="0" borderId="0" xfId="0"/>
    <xf numFmtId="0" fontId="0" fillId="0" borderId="3" xfId="0" applyBorder="1" applyAlignment="1">
      <alignment vertical="top" wrapText="1"/>
    </xf>
    <xf numFmtId="1" fontId="29" fillId="16" borderId="148" xfId="42" applyNumberFormat="1" applyFont="1" applyFill="1" applyBorder="1" applyAlignment="1" applyProtection="1">
      <alignment horizontal="center" vertical="center"/>
    </xf>
    <xf numFmtId="1" fontId="29" fillId="16" borderId="149" xfId="42" applyNumberFormat="1" applyFont="1" applyFill="1" applyBorder="1" applyAlignment="1" applyProtection="1">
      <alignment horizontal="center" vertical="center"/>
    </xf>
    <xf numFmtId="1" fontId="29" fillId="16" borderId="150" xfId="42" applyNumberFormat="1" applyFont="1" applyFill="1" applyBorder="1" applyAlignment="1" applyProtection="1">
      <alignment horizontal="center" vertical="center"/>
    </xf>
    <xf numFmtId="0" fontId="29" fillId="16" borderId="143" xfId="43" applyFont="1" applyFill="1" applyBorder="1" applyAlignment="1">
      <alignment horizontal="center" vertical="center"/>
    </xf>
    <xf numFmtId="0" fontId="29" fillId="16" borderId="144" xfId="43" applyFont="1" applyFill="1" applyBorder="1" applyAlignment="1">
      <alignment horizontal="center" vertical="center"/>
    </xf>
    <xf numFmtId="1" fontId="29" fillId="16" borderId="145" xfId="43" applyNumberFormat="1" applyFont="1" applyFill="1" applyBorder="1" applyAlignment="1" applyProtection="1">
      <alignment horizontal="center" vertical="center"/>
    </xf>
    <xf numFmtId="1" fontId="29" fillId="16" borderId="146" xfId="43" applyNumberFormat="1" applyFont="1" applyFill="1" applyBorder="1" applyAlignment="1" applyProtection="1">
      <alignment horizontal="center" vertical="center"/>
    </xf>
    <xf numFmtId="1" fontId="29" fillId="16" borderId="147" xfId="43" applyNumberFormat="1" applyFont="1" applyFill="1" applyBorder="1" applyAlignment="1" applyProtection="1">
      <alignment horizontal="center" vertical="center"/>
    </xf>
    <xf numFmtId="1" fontId="30" fillId="13" borderId="41" xfId="42" applyNumberFormat="1" applyFont="1" applyFill="1" applyBorder="1" applyAlignment="1" applyProtection="1">
      <alignment horizontal="center" vertical="center"/>
    </xf>
    <xf numFmtId="0" fontId="1" fillId="0" borderId="0" xfId="0" applyFont="1"/>
    <xf numFmtId="1" fontId="29" fillId="16" borderId="151" xfId="42" applyNumberFormat="1" applyFont="1" applyFill="1" applyBorder="1" applyAlignment="1" applyProtection="1">
      <alignment horizontal="center" vertical="center"/>
    </xf>
    <xf numFmtId="0" fontId="29" fillId="16" borderId="152" xfId="42" applyFont="1" applyFill="1" applyBorder="1" applyAlignment="1" applyProtection="1">
      <alignment horizontal="center" vertical="center"/>
    </xf>
    <xf numFmtId="0" fontId="29" fillId="16" borderId="153" xfId="42" applyFont="1" applyFill="1" applyBorder="1" applyAlignment="1" applyProtection="1">
      <alignment horizontal="center" vertical="center"/>
    </xf>
    <xf numFmtId="1" fontId="66" fillId="16" borderId="0" xfId="42" applyNumberFormat="1" applyFont="1" applyFill="1" applyBorder="1" applyAlignment="1" applyProtection="1">
      <alignment horizontal="center" vertical="center"/>
    </xf>
    <xf numFmtId="1" fontId="160" fillId="16" borderId="0" xfId="42" applyNumberFormat="1" applyFont="1" applyFill="1" applyBorder="1" applyAlignment="1" applyProtection="1">
      <alignment horizontal="center" vertical="center"/>
    </xf>
    <xf numFmtId="1" fontId="160" fillId="39" borderId="0" xfId="42" applyNumberFormat="1" applyFont="1" applyFill="1" applyBorder="1" applyAlignment="1" applyProtection="1">
      <alignment horizontal="center" vertical="center"/>
    </xf>
    <xf numFmtId="0" fontId="0" fillId="0" borderId="21" xfId="0" applyBorder="1"/>
    <xf numFmtId="0" fontId="29" fillId="16" borderId="154" xfId="42" applyFont="1" applyFill="1" applyBorder="1" applyAlignment="1" applyProtection="1">
      <alignment horizontal="center" vertical="center"/>
    </xf>
    <xf numFmtId="0" fontId="29" fillId="16" borderId="155" xfId="42" applyFont="1" applyFill="1" applyBorder="1" applyAlignment="1" applyProtection="1">
      <alignment horizontal="center" vertical="center"/>
    </xf>
    <xf numFmtId="0" fontId="29" fillId="16" borderId="156" xfId="42" applyFont="1" applyFill="1" applyBorder="1" applyAlignment="1" applyProtection="1">
      <alignment horizontal="center" vertical="center"/>
    </xf>
    <xf numFmtId="0" fontId="29" fillId="16" borderId="157" xfId="42" applyFont="1" applyFill="1" applyBorder="1" applyAlignment="1" applyProtection="1">
      <alignment horizontal="center" vertical="center"/>
    </xf>
    <xf numFmtId="0" fontId="29" fillId="16" borderId="158" xfId="42" applyFont="1" applyFill="1" applyBorder="1" applyAlignment="1" applyProtection="1">
      <alignment horizontal="center" vertical="center"/>
    </xf>
    <xf numFmtId="0" fontId="29" fillId="16" borderId="159" xfId="42" applyFont="1" applyFill="1" applyBorder="1" applyAlignment="1" applyProtection="1">
      <alignment horizontal="center" vertical="center"/>
    </xf>
    <xf numFmtId="1" fontId="29" fillId="16" borderId="154" xfId="42" applyNumberFormat="1" applyFont="1" applyFill="1" applyBorder="1" applyAlignment="1" applyProtection="1">
      <alignment horizontal="center" vertical="center"/>
    </xf>
    <xf numFmtId="14" fontId="30" fillId="20" borderId="0" xfId="42" applyNumberFormat="1" applyFont="1" applyFill="1" applyBorder="1" applyAlignment="1" applyProtection="1">
      <alignment horizontal="left" vertical="center" wrapText="1"/>
    </xf>
    <xf numFmtId="14" fontId="30" fillId="20" borderId="68" xfId="42" applyNumberFormat="1" applyFont="1" applyFill="1" applyBorder="1" applyAlignment="1" applyProtection="1">
      <alignment horizontal="left" vertical="center" wrapText="1"/>
    </xf>
    <xf numFmtId="14" fontId="1" fillId="0" borderId="0" xfId="42" applyNumberFormat="1" applyFont="1" applyFill="1" applyBorder="1" applyAlignment="1" applyProtection="1">
      <alignment horizontal="left" vertical="center" wrapText="1"/>
    </xf>
    <xf numFmtId="14" fontId="1" fillId="0" borderId="68" xfId="42" applyNumberFormat="1" applyFont="1" applyFill="1" applyBorder="1" applyAlignment="1" applyProtection="1">
      <alignment horizontal="left" vertical="center" wrapText="1"/>
    </xf>
    <xf numFmtId="14" fontId="1" fillId="0" borderId="76" xfId="42" applyNumberFormat="1" applyFont="1" applyFill="1" applyBorder="1" applyAlignment="1" applyProtection="1">
      <alignment horizontal="left" vertical="center" wrapText="1"/>
    </xf>
    <xf numFmtId="14" fontId="1" fillId="0" borderId="104" xfId="42" applyNumberFormat="1" applyFont="1" applyFill="1" applyBorder="1" applyAlignment="1" applyProtection="1">
      <alignment horizontal="left" vertical="center" wrapText="1"/>
    </xf>
    <xf numFmtId="14" fontId="29" fillId="16" borderId="76" xfId="42" applyNumberFormat="1" applyFont="1" applyFill="1" applyBorder="1" applyAlignment="1" applyProtection="1">
      <alignment horizontal="left" vertical="center" wrapText="1"/>
    </xf>
    <xf numFmtId="9" fontId="30" fillId="0" borderId="77" xfId="398" applyFont="1" applyFill="1" applyBorder="1" applyAlignment="1" applyProtection="1">
      <alignment horizontal="left" vertical="center" wrapText="1"/>
    </xf>
    <xf numFmtId="9" fontId="30" fillId="0" borderId="71" xfId="398" applyFont="1" applyFill="1" applyBorder="1" applyAlignment="1" applyProtection="1">
      <alignment horizontal="left" vertical="center" wrapText="1"/>
    </xf>
    <xf numFmtId="14" fontId="1" fillId="0" borderId="71" xfId="42" applyNumberFormat="1" applyFont="1" applyFill="1" applyBorder="1" applyAlignment="1" applyProtection="1">
      <alignment horizontal="left" vertical="center" wrapText="1"/>
    </xf>
    <xf numFmtId="14" fontId="1" fillId="0" borderId="103" xfId="42" applyNumberFormat="1" applyFont="1" applyFill="1" applyBorder="1" applyAlignment="1" applyProtection="1">
      <alignment horizontal="left" vertical="center" wrapText="1"/>
    </xf>
    <xf numFmtId="0" fontId="30" fillId="0" borderId="0" xfId="0" applyFont="1" applyAlignment="1">
      <alignment horizontal="left" vertical="center" wrapText="1"/>
    </xf>
    <xf numFmtId="14" fontId="0" fillId="0" borderId="0" xfId="0" applyNumberFormat="1"/>
    <xf numFmtId="2" fontId="1" fillId="0" borderId="0" xfId="0" applyNumberFormat="1" applyFont="1" applyFill="1" applyAlignment="1"/>
    <xf numFmtId="1" fontId="1" fillId="0" borderId="0" xfId="0" applyNumberFormat="1" applyFont="1" applyFill="1" applyAlignment="1"/>
    <xf numFmtId="2" fontId="1" fillId="0" borderId="0" xfId="65" quotePrefix="1" applyNumberFormat="1" applyFont="1" applyFill="1" applyProtection="1"/>
    <xf numFmtId="0" fontId="1" fillId="0" borderId="0" xfId="0" applyFont="1" applyFill="1" applyAlignment="1"/>
    <xf numFmtId="167" fontId="1" fillId="0" borderId="0" xfId="65" applyNumberFormat="1" applyFont="1" applyFill="1" applyBorder="1" applyAlignment="1" applyProtection="1">
      <alignment horizontal="center"/>
    </xf>
    <xf numFmtId="0" fontId="0" fillId="0" borderId="0" xfId="0" applyFill="1" applyBorder="1" applyAlignment="1"/>
    <xf numFmtId="167" fontId="0" fillId="0" borderId="0" xfId="0" applyNumberFormat="1" applyFill="1" applyBorder="1" applyAlignment="1" applyProtection="1"/>
    <xf numFmtId="0" fontId="155" fillId="0" borderId="0" xfId="65" applyFill="1" applyBorder="1" applyProtection="1"/>
    <xf numFmtId="0" fontId="155" fillId="0" borderId="0" xfId="65" applyFill="1" applyProtection="1"/>
    <xf numFmtId="0" fontId="155" fillId="0" borderId="0" xfId="65" applyProtection="1"/>
  </cellXfs>
  <cellStyles count="493">
    <cellStyle name="_D 52-54" xfId="1"/>
    <cellStyle name="_D 52-54 2" xfId="2"/>
    <cellStyle name="_D 52-54_Transfermatrix" xfId="3"/>
    <cellStyle name="_D 52-54_Transfermatrix 2" xfId="4"/>
    <cellStyle name="_D 52-54_Transfermatrix_1" xfId="5"/>
    <cellStyle name="_D 52-54_Transfermatrix_1 2" xfId="6"/>
    <cellStyle name="_Transfermatrix" xfId="7"/>
    <cellStyle name="_Transfermatrix 2" xfId="8"/>
    <cellStyle name="_Transfermatrix_1" xfId="9"/>
    <cellStyle name="_Transfermatrix_1 2" xfId="10"/>
    <cellStyle name="annee semestre" xfId="11"/>
    <cellStyle name="Årtal" xfId="12"/>
    <cellStyle name="Celkem" xfId="13"/>
    <cellStyle name="Comma" xfId="492" builtinId="3"/>
    <cellStyle name="Comma 2" xfId="14"/>
    <cellStyle name="Comma 3" xfId="15"/>
    <cellStyle name="controle variabele" xfId="16"/>
    <cellStyle name="database" xfId="17"/>
    <cellStyle name="Datum" xfId="18"/>
    <cellStyle name="Datum 2" xfId="19"/>
    <cellStyle name="Dezimal [2]" xfId="20"/>
    <cellStyle name="Dezimal [2] 2" xfId="21"/>
    <cellStyle name="données" xfId="22"/>
    <cellStyle name="données­border" xfId="23"/>
    <cellStyle name="exogeen percentage" xfId="24"/>
    <cellStyle name="exogene waarde" xfId="25"/>
    <cellStyle name="Fetrubrik" xfId="26"/>
    <cellStyle name="Finanční0" xfId="27"/>
    <cellStyle name="Följde hyperlänken_FinPolDia" xfId="28"/>
    <cellStyle name="Gul" xfId="29"/>
    <cellStyle name="High" xfId="30"/>
    <cellStyle name="Hyperlänk_Alla textsiffror OH U" xfId="31"/>
    <cellStyle name="Hyperlink" xfId="32" builtinId="8"/>
    <cellStyle name="Hyperlink 2" xfId="33"/>
    <cellStyle name="Hyperlink 2 2" xfId="34"/>
    <cellStyle name="Įprastas 5" xfId="35"/>
    <cellStyle name="Įprastas 7" xfId="36"/>
    <cellStyle name="Komma0" xfId="37"/>
    <cellStyle name="Koptekst 1" xfId="38"/>
    <cellStyle name="Koptekst 2" xfId="39"/>
    <cellStyle name="Low" xfId="40"/>
    <cellStyle name="Měna0" xfId="41"/>
    <cellStyle name="Motif" xfId="42"/>
    <cellStyle name="Motif 2" xfId="43"/>
    <cellStyle name="naam van variabele" xfId="44"/>
    <cellStyle name="Normal" xfId="0" builtinId="0"/>
    <cellStyle name="Normal 10" xfId="45"/>
    <cellStyle name="Normal 10 2" xfId="46"/>
    <cellStyle name="Normal 10 3" xfId="47"/>
    <cellStyle name="Normal 10 3 2" xfId="48"/>
    <cellStyle name="Normal 10 3 2 2" xfId="49"/>
    <cellStyle name="Normal 10 3 2 2 2" xfId="50"/>
    <cellStyle name="Normal 10 3 2 2 2 2" xfId="51"/>
    <cellStyle name="Normal 10 3 2 2 2 2 2" xfId="52"/>
    <cellStyle name="Normal 10 3 2 2 2 2 3" xfId="53"/>
    <cellStyle name="Normal 10 3 2 2 2 2 4" xfId="54"/>
    <cellStyle name="Normal 10 3 2 2 2 2 5" xfId="55"/>
    <cellStyle name="Normal 10 3 2 2 2 2 6" xfId="56"/>
    <cellStyle name="Normal 10 3 2 2 2 2 7" xfId="57"/>
    <cellStyle name="Normal 10 3 2 2 2 2 8" xfId="58"/>
    <cellStyle name="Normal 10 3 2 2 2 2 9" xfId="59"/>
    <cellStyle name="Normal 11" xfId="60"/>
    <cellStyle name="Normal 12" xfId="61"/>
    <cellStyle name="Normal 13" xfId="62"/>
    <cellStyle name="Normal 14" xfId="63"/>
    <cellStyle name="Normal 15" xfId="64"/>
    <cellStyle name="Normal 16" xfId="491"/>
    <cellStyle name="Normal 2" xfId="65"/>
    <cellStyle name="Normal 2 10" xfId="66"/>
    <cellStyle name="Normal 2 11" xfId="67"/>
    <cellStyle name="Normal 2 12" xfId="68"/>
    <cellStyle name="Normal 2 13" xfId="69"/>
    <cellStyle name="Normal 2 14" xfId="70"/>
    <cellStyle name="Normal 2 15" xfId="71"/>
    <cellStyle name="Normal 2 2" xfId="72"/>
    <cellStyle name="Normal 2 2 10" xfId="73"/>
    <cellStyle name="Normal 2 2 11" xfId="74"/>
    <cellStyle name="Normal 2 2 2" xfId="75"/>
    <cellStyle name="Normal 2 2 2 2" xfId="76"/>
    <cellStyle name="Normal 2 2 2 2 2" xfId="77"/>
    <cellStyle name="Normal 2 2 2 3" xfId="78"/>
    <cellStyle name="Normal 2 2 2 4" xfId="79"/>
    <cellStyle name="Normal 2 2 2 5" xfId="80"/>
    <cellStyle name="Normal 2 2 2 6" xfId="81"/>
    <cellStyle name="Normal 2 2 2 7" xfId="82"/>
    <cellStyle name="Normal 2 2 2 8" xfId="83"/>
    <cellStyle name="Normal 2 2 3" xfId="84"/>
    <cellStyle name="Normal 2 2 4" xfId="85"/>
    <cellStyle name="Normal 2 2 5" xfId="86"/>
    <cellStyle name="Normal 2 2 6" xfId="87"/>
    <cellStyle name="Normal 2 2 7" xfId="88"/>
    <cellStyle name="Normal 2 2 8" xfId="89"/>
    <cellStyle name="Normal 2 2 9" xfId="90"/>
    <cellStyle name="Normal 2 3" xfId="91"/>
    <cellStyle name="Normal 2 3 2" xfId="92"/>
    <cellStyle name="Normal 2 3 2 2" xfId="93"/>
    <cellStyle name="Normal 2 3 2 3" xfId="94"/>
    <cellStyle name="Normal 2 3 2 4" xfId="95"/>
    <cellStyle name="Normal 2 3 2 5" xfId="96"/>
    <cellStyle name="Normal 2 3 2 6" xfId="97"/>
    <cellStyle name="Normal 2 3 2 7" xfId="98"/>
    <cellStyle name="Normal 2 3 2 8" xfId="99"/>
    <cellStyle name="Normal 2 3 3" xfId="100"/>
    <cellStyle name="Normal 2 3 3 2" xfId="101"/>
    <cellStyle name="Normal 2 3 3 3" xfId="102"/>
    <cellStyle name="Normal 2 3 3 4" xfId="103"/>
    <cellStyle name="Normal 2 3 3 5" xfId="104"/>
    <cellStyle name="Normal 2 3 3 6" xfId="105"/>
    <cellStyle name="Normal 2 3 3 7" xfId="106"/>
    <cellStyle name="Normal 2 3 4" xfId="107"/>
    <cellStyle name="Normal 2 3 5" xfId="108"/>
    <cellStyle name="Normal 2 3 6" xfId="109"/>
    <cellStyle name="Normal 2 3 7" xfId="110"/>
    <cellStyle name="Normal 2 3 7 2" xfId="111"/>
    <cellStyle name="Normal 2 3 7 3" xfId="112"/>
    <cellStyle name="Normal 2 3 7 4" xfId="113"/>
    <cellStyle name="Normal 2 3 7 5" xfId="114"/>
    <cellStyle name="Normal 2 3 7 6" xfId="115"/>
    <cellStyle name="Normal 2 3 7 7" xfId="116"/>
    <cellStyle name="Normal 2 3 8" xfId="117"/>
    <cellStyle name="Normal 2 4" xfId="118"/>
    <cellStyle name="Normal 2 5" xfId="119"/>
    <cellStyle name="Normal 2 6" xfId="120"/>
    <cellStyle name="Normal 2 7" xfId="121"/>
    <cellStyle name="Normal 2 8" xfId="122"/>
    <cellStyle name="Normal 2 9" xfId="123"/>
    <cellStyle name="Normal 3" xfId="124"/>
    <cellStyle name="Normal 3 10" xfId="125"/>
    <cellStyle name="Normal 3 10 2" xfId="126"/>
    <cellStyle name="Normal 3 10 2 2" xfId="127"/>
    <cellStyle name="Normal 3 10 2 3" xfId="128"/>
    <cellStyle name="Normal 3 10 3" xfId="129"/>
    <cellStyle name="Normal 3 10 3 2" xfId="130"/>
    <cellStyle name="Normal 3 10 3 3" xfId="131"/>
    <cellStyle name="Normal 3 10 4" xfId="132"/>
    <cellStyle name="Normal 3 10 4 2" xfId="133"/>
    <cellStyle name="Normal 3 10 4 3" xfId="134"/>
    <cellStyle name="Normal 3 10 5" xfId="135"/>
    <cellStyle name="Normal 3 10 6" xfId="136"/>
    <cellStyle name="Normal 3 11" xfId="137"/>
    <cellStyle name="Normal 3 11 2" xfId="138"/>
    <cellStyle name="Normal 3 11 2 2" xfId="139"/>
    <cellStyle name="Normal 3 11 2 3" xfId="140"/>
    <cellStyle name="Normal 3 11 3" xfId="141"/>
    <cellStyle name="Normal 3 11 3 2" xfId="142"/>
    <cellStyle name="Normal 3 11 3 3" xfId="143"/>
    <cellStyle name="Normal 3 11 4" xfId="144"/>
    <cellStyle name="Normal 3 11 4 2" xfId="145"/>
    <cellStyle name="Normal 3 11 4 3" xfId="146"/>
    <cellStyle name="Normal 3 11 5" xfId="147"/>
    <cellStyle name="Normal 3 11 6" xfId="148"/>
    <cellStyle name="Normal 3 12" xfId="149"/>
    <cellStyle name="Normal 3 12 2" xfId="150"/>
    <cellStyle name="Normal 3 12 2 2" xfId="151"/>
    <cellStyle name="Normal 3 12 2 3" xfId="152"/>
    <cellStyle name="Normal 3 12 3" xfId="153"/>
    <cellStyle name="Normal 3 12 3 2" xfId="154"/>
    <cellStyle name="Normal 3 12 3 3" xfId="155"/>
    <cellStyle name="Normal 3 12 4" xfId="156"/>
    <cellStyle name="Normal 3 12 4 2" xfId="157"/>
    <cellStyle name="Normal 3 12 4 3" xfId="158"/>
    <cellStyle name="Normal 3 12 5" xfId="159"/>
    <cellStyle name="Normal 3 12 6" xfId="160"/>
    <cellStyle name="Normal 3 13" xfId="161"/>
    <cellStyle name="Normal 3 13 2" xfId="162"/>
    <cellStyle name="Normal 3 13 2 2" xfId="163"/>
    <cellStyle name="Normal 3 13 2 3" xfId="164"/>
    <cellStyle name="Normal 3 13 3" xfId="165"/>
    <cellStyle name="Normal 3 13 3 2" xfId="166"/>
    <cellStyle name="Normal 3 13 3 3" xfId="167"/>
    <cellStyle name="Normal 3 13 4" xfId="168"/>
    <cellStyle name="Normal 3 13 4 2" xfId="169"/>
    <cellStyle name="Normal 3 13 4 3" xfId="170"/>
    <cellStyle name="Normal 3 13 5" xfId="171"/>
    <cellStyle name="Normal 3 13 6" xfId="172"/>
    <cellStyle name="Normal 3 14" xfId="173"/>
    <cellStyle name="Normal 3 14 2" xfId="174"/>
    <cellStyle name="Normal 3 14 2 2" xfId="175"/>
    <cellStyle name="Normal 3 14 2 3" xfId="176"/>
    <cellStyle name="Normal 3 14 3" xfId="177"/>
    <cellStyle name="Normal 3 14 3 2" xfId="178"/>
    <cellStyle name="Normal 3 14 3 3" xfId="179"/>
    <cellStyle name="Normal 3 14 4" xfId="180"/>
    <cellStyle name="Normal 3 14 4 2" xfId="181"/>
    <cellStyle name="Normal 3 14 4 3" xfId="182"/>
    <cellStyle name="Normal 3 14 5" xfId="183"/>
    <cellStyle name="Normal 3 14 6" xfId="184"/>
    <cellStyle name="Normal 3 15" xfId="185"/>
    <cellStyle name="Normal 3 15 2" xfId="186"/>
    <cellStyle name="Normal 3 15 3" xfId="187"/>
    <cellStyle name="Normal 3 16" xfId="188"/>
    <cellStyle name="Normal 3 16 2" xfId="189"/>
    <cellStyle name="Normal 3 16 3" xfId="190"/>
    <cellStyle name="Normal 3 17" xfId="191"/>
    <cellStyle name="Normal 3 17 2" xfId="192"/>
    <cellStyle name="Normal 3 17 3" xfId="193"/>
    <cellStyle name="Normal 3 18" xfId="194"/>
    <cellStyle name="Normal 3 18 2" xfId="195"/>
    <cellStyle name="Normal 3 18 3" xfId="196"/>
    <cellStyle name="Normal 3 19" xfId="197"/>
    <cellStyle name="Normal 3 2" xfId="198"/>
    <cellStyle name="Normal 3 2 2" xfId="199"/>
    <cellStyle name="Normal 3 2 2 2" xfId="200"/>
    <cellStyle name="Normal 3 2 2 3" xfId="201"/>
    <cellStyle name="Normal 3 2 3" xfId="202"/>
    <cellStyle name="Normal 3 2 3 2" xfId="203"/>
    <cellStyle name="Normal 3 2 3 3" xfId="204"/>
    <cellStyle name="Normal 3 2 4" xfId="205"/>
    <cellStyle name="Normal 3 2 4 2" xfId="206"/>
    <cellStyle name="Normal 3 2 4 3" xfId="207"/>
    <cellStyle name="Normal 3 2 5" xfId="208"/>
    <cellStyle name="Normal 3 2 6" xfId="209"/>
    <cellStyle name="Normal 3 2 7" xfId="210"/>
    <cellStyle name="Normal 3 20" xfId="211"/>
    <cellStyle name="Normal 3 21" xfId="212"/>
    <cellStyle name="Normal 3 22" xfId="213"/>
    <cellStyle name="Normal 3 23" xfId="214"/>
    <cellStyle name="Normal 3 24" xfId="215"/>
    <cellStyle name="Normal 3 25" xfId="216"/>
    <cellStyle name="Normal 3 3" xfId="217"/>
    <cellStyle name="Normal 3 3 2" xfId="218"/>
    <cellStyle name="Normal 3 3 2 2" xfId="219"/>
    <cellStyle name="Normal 3 3 2 3" xfId="220"/>
    <cellStyle name="Normal 3 3 3" xfId="221"/>
    <cellStyle name="Normal 3 3 3 2" xfId="222"/>
    <cellStyle name="Normal 3 3 3 3" xfId="223"/>
    <cellStyle name="Normal 3 3 4" xfId="224"/>
    <cellStyle name="Normal 3 3 4 2" xfId="225"/>
    <cellStyle name="Normal 3 3 4 3" xfId="226"/>
    <cellStyle name="Normal 3 3 5" xfId="227"/>
    <cellStyle name="Normal 3 3 6" xfId="228"/>
    <cellStyle name="Normal 3 4" xfId="229"/>
    <cellStyle name="Normal 3 4 2" xfId="230"/>
    <cellStyle name="Normal 3 4 2 2" xfId="231"/>
    <cellStyle name="Normal 3 4 2 3" xfId="232"/>
    <cellStyle name="Normal 3 4 3" xfId="233"/>
    <cellStyle name="Normal 3 4 3 2" xfId="234"/>
    <cellStyle name="Normal 3 4 3 3" xfId="235"/>
    <cellStyle name="Normal 3 4 4" xfId="236"/>
    <cellStyle name="Normal 3 4 4 2" xfId="237"/>
    <cellStyle name="Normal 3 4 4 3" xfId="238"/>
    <cellStyle name="Normal 3 4 5" xfId="239"/>
    <cellStyle name="Normal 3 4 6" xfId="240"/>
    <cellStyle name="Normal 3 5" xfId="241"/>
    <cellStyle name="Normal 3 5 2" xfId="242"/>
    <cellStyle name="Normal 3 5 2 2" xfId="243"/>
    <cellStyle name="Normal 3 5 2 3" xfId="244"/>
    <cellStyle name="Normal 3 5 3" xfId="245"/>
    <cellStyle name="Normal 3 5 3 2" xfId="246"/>
    <cellStyle name="Normal 3 5 3 3" xfId="247"/>
    <cellStyle name="Normal 3 5 4" xfId="248"/>
    <cellStyle name="Normal 3 5 4 2" xfId="249"/>
    <cellStyle name="Normal 3 5 4 3" xfId="250"/>
    <cellStyle name="Normal 3 5 5" xfId="251"/>
    <cellStyle name="Normal 3 5 6" xfId="252"/>
    <cellStyle name="Normal 3 6" xfId="253"/>
    <cellStyle name="Normal 3 6 2" xfId="254"/>
    <cellStyle name="Normal 3 6 2 2" xfId="255"/>
    <cellStyle name="Normal 3 6 2 3" xfId="256"/>
    <cellStyle name="Normal 3 6 3" xfId="257"/>
    <cellStyle name="Normal 3 6 3 2" xfId="258"/>
    <cellStyle name="Normal 3 6 3 3" xfId="259"/>
    <cellStyle name="Normal 3 6 4" xfId="260"/>
    <cellStyle name="Normal 3 6 4 2" xfId="261"/>
    <cellStyle name="Normal 3 6 4 3" xfId="262"/>
    <cellStyle name="Normal 3 6 5" xfId="263"/>
    <cellStyle name="Normal 3 6 6" xfId="264"/>
    <cellStyle name="Normal 3 7" xfId="265"/>
    <cellStyle name="Normal 3 7 2" xfId="266"/>
    <cellStyle name="Normal 3 7 2 2" xfId="267"/>
    <cellStyle name="Normal 3 7 2 3" xfId="268"/>
    <cellStyle name="Normal 3 7 3" xfId="269"/>
    <cellStyle name="Normal 3 7 3 2" xfId="270"/>
    <cellStyle name="Normal 3 7 3 3" xfId="271"/>
    <cellStyle name="Normal 3 7 4" xfId="272"/>
    <cellStyle name="Normal 3 7 4 2" xfId="273"/>
    <cellStyle name="Normal 3 7 4 3" xfId="274"/>
    <cellStyle name="Normal 3 7 5" xfId="275"/>
    <cellStyle name="Normal 3 7 6" xfId="276"/>
    <cellStyle name="Normal 3 8" xfId="277"/>
    <cellStyle name="Normal 3 8 2" xfId="278"/>
    <cellStyle name="Normal 3 8 2 2" xfId="279"/>
    <cellStyle name="Normal 3 8 2 3" xfId="280"/>
    <cellStyle name="Normal 3 8 3" xfId="281"/>
    <cellStyle name="Normal 3 8 3 2" xfId="282"/>
    <cellStyle name="Normal 3 8 3 3" xfId="283"/>
    <cellStyle name="Normal 3 8 4" xfId="284"/>
    <cellStyle name="Normal 3 8 4 2" xfId="285"/>
    <cellStyle name="Normal 3 8 4 3" xfId="286"/>
    <cellStyle name="Normal 3 8 5" xfId="287"/>
    <cellStyle name="Normal 3 8 6" xfId="288"/>
    <cellStyle name="Normal 3 9" xfId="289"/>
    <cellStyle name="Normal 3 9 2" xfId="290"/>
    <cellStyle name="Normal 3 9 2 2" xfId="291"/>
    <cellStyle name="Normal 3 9 2 3" xfId="292"/>
    <cellStyle name="Normal 3 9 3" xfId="293"/>
    <cellStyle name="Normal 3 9 3 2" xfId="294"/>
    <cellStyle name="Normal 3 9 3 3" xfId="295"/>
    <cellStyle name="Normal 3 9 4" xfId="296"/>
    <cellStyle name="Normal 3 9 4 2" xfId="297"/>
    <cellStyle name="Normal 3 9 4 3" xfId="298"/>
    <cellStyle name="Normal 3 9 5" xfId="299"/>
    <cellStyle name="Normal 3 9 6" xfId="300"/>
    <cellStyle name="Normal 4" xfId="301"/>
    <cellStyle name="Normal 4 2" xfId="302"/>
    <cellStyle name="Normal 4 3" xfId="303"/>
    <cellStyle name="Normal 4 4" xfId="304"/>
    <cellStyle name="Normal 4 4 2" xfId="305"/>
    <cellStyle name="Normal 4 4 2 2" xfId="306"/>
    <cellStyle name="Normal 4 4 2 2 2" xfId="307"/>
    <cellStyle name="Normal 4 4 2 3" xfId="308"/>
    <cellStyle name="Normal 4 4 2 3 2" xfId="309"/>
    <cellStyle name="Normal 4 4 2 3 2 2" xfId="310"/>
    <cellStyle name="Normal 4 4 2 3 2 3" xfId="311"/>
    <cellStyle name="Normal 4 4 2 3 2 4" xfId="312"/>
    <cellStyle name="Normal 4 5" xfId="313"/>
    <cellStyle name="Normal 4 6" xfId="314"/>
    <cellStyle name="Normal 5" xfId="315"/>
    <cellStyle name="Normal 5 2" xfId="316"/>
    <cellStyle name="Normal 5 2 2" xfId="317"/>
    <cellStyle name="Normal 5 2 3" xfId="318"/>
    <cellStyle name="Normal 5 2 4" xfId="319"/>
    <cellStyle name="Normal 5 2 4 2" xfId="320"/>
    <cellStyle name="Normal 5 3" xfId="321"/>
    <cellStyle name="Normal 5 3 2" xfId="322"/>
    <cellStyle name="Normal 5 3 3" xfId="323"/>
    <cellStyle name="Normal 5 4" xfId="324"/>
    <cellStyle name="Normal 5 4 2" xfId="325"/>
    <cellStyle name="Normal 5 4 3" xfId="326"/>
    <cellStyle name="Normal 5 5" xfId="327"/>
    <cellStyle name="Normal 5 6" xfId="328"/>
    <cellStyle name="Normal 5 7" xfId="329"/>
    <cellStyle name="Normal 6" xfId="330"/>
    <cellStyle name="Normal 7" xfId="331"/>
    <cellStyle name="Normal 7 2" xfId="332"/>
    <cellStyle name="Normal 7 2 2" xfId="333"/>
    <cellStyle name="Normal 7 2 3" xfId="334"/>
    <cellStyle name="Normal 7 3" xfId="335"/>
    <cellStyle name="Normal 7 3 2" xfId="336"/>
    <cellStyle name="Normal 7 3 3" xfId="337"/>
    <cellStyle name="Normal 7 4" xfId="338"/>
    <cellStyle name="Normal 7 4 2" xfId="339"/>
    <cellStyle name="Normal 7 4 3" xfId="340"/>
    <cellStyle name="Normal 7 5" xfId="341"/>
    <cellStyle name="Normal 7 6" xfId="342"/>
    <cellStyle name="Normal 8" xfId="343"/>
    <cellStyle name="Normal 8 2" xfId="344"/>
    <cellStyle name="Normal 8 3" xfId="345"/>
    <cellStyle name="Normal 9" xfId="346"/>
    <cellStyle name="Normal 9 2" xfId="347"/>
    <cellStyle name="Normal 9 2 2" xfId="348"/>
    <cellStyle name="Normal 9 2 3" xfId="349"/>
    <cellStyle name="Normal 9 3" xfId="350"/>
    <cellStyle name="Normal 9 4" xfId="351"/>
    <cellStyle name="Normal_Output tables_CDTforecastDG2" xfId="352"/>
    <cellStyle name="Normál_uzlidnk" xfId="353"/>
    <cellStyle name="Normale" xfId="354"/>
    <cellStyle name="Normale 2" xfId="355"/>
    <cellStyle name="normální_GFSod93podleVR new1" xfId="356"/>
    <cellStyle name="normleftborder" xfId="357"/>
    <cellStyle name="Note 2" xfId="358"/>
    <cellStyle name="Note 2 2" xfId="359"/>
    <cellStyle name="Note 2 2 2" xfId="360"/>
    <cellStyle name="Note 2 2 3" xfId="361"/>
    <cellStyle name="Note 2 3" xfId="362"/>
    <cellStyle name="Note 2 3 2" xfId="363"/>
    <cellStyle name="Note 2 3 3" xfId="364"/>
    <cellStyle name="Note 2 4" xfId="365"/>
    <cellStyle name="Note 2 4 2" xfId="366"/>
    <cellStyle name="Note 2 4 3" xfId="367"/>
    <cellStyle name="Note 2 5" xfId="368"/>
    <cellStyle name="Note 2 6" xfId="369"/>
    <cellStyle name="Note 2 7" xfId="370"/>
    <cellStyle name="Note 2 8" xfId="371"/>
    <cellStyle name="Note 3" xfId="372"/>
    <cellStyle name="Note 3 2" xfId="373"/>
    <cellStyle name="Note 3 2 2" xfId="374"/>
    <cellStyle name="Note 3 2 3" xfId="375"/>
    <cellStyle name="Note 3 3" xfId="376"/>
    <cellStyle name="Note 3 3 2" xfId="377"/>
    <cellStyle name="Note 3 3 3" xfId="378"/>
    <cellStyle name="Note 3 4" xfId="379"/>
    <cellStyle name="Note 3 4 2" xfId="380"/>
    <cellStyle name="Note 3 4 3" xfId="381"/>
    <cellStyle name="Note 3 5" xfId="382"/>
    <cellStyle name="Note 3 6" xfId="383"/>
    <cellStyle name="Note 4" xfId="384"/>
    <cellStyle name="Note 4 2" xfId="385"/>
    <cellStyle name="Note 4 2 2" xfId="386"/>
    <cellStyle name="Note 4 2 3" xfId="387"/>
    <cellStyle name="Note 4 3" xfId="388"/>
    <cellStyle name="Note 4 3 2" xfId="389"/>
    <cellStyle name="Note 4 3 3" xfId="390"/>
    <cellStyle name="Note 4 4" xfId="391"/>
    <cellStyle name="Note 4 4 2" xfId="392"/>
    <cellStyle name="Note 4 4 3" xfId="393"/>
    <cellStyle name="Note 4 5" xfId="394"/>
    <cellStyle name="Note 4 6" xfId="395"/>
    <cellStyle name="Notes" xfId="396"/>
    <cellStyle name="pays" xfId="397"/>
    <cellStyle name="Percent" xfId="398" builtinId="5"/>
    <cellStyle name="Percent 10" xfId="399"/>
    <cellStyle name="Percent 11" xfId="400"/>
    <cellStyle name="Percent 12" xfId="401"/>
    <cellStyle name="Percent 13" xfId="402"/>
    <cellStyle name="Percent 14" xfId="403"/>
    <cellStyle name="Percent 15" xfId="404"/>
    <cellStyle name="Percent 16" xfId="405"/>
    <cellStyle name="Percent 2" xfId="406"/>
    <cellStyle name="Percent 2 2" xfId="407"/>
    <cellStyle name="Percent 3" xfId="408"/>
    <cellStyle name="Percent 3 2" xfId="409"/>
    <cellStyle name="Percent 4" xfId="410"/>
    <cellStyle name="Percent 5" xfId="411"/>
    <cellStyle name="Percent 6" xfId="412"/>
    <cellStyle name="Percent 7" xfId="413"/>
    <cellStyle name="Percent 8" xfId="414"/>
    <cellStyle name="Percent 9" xfId="415"/>
    <cellStyle name="Pevný" xfId="416"/>
    <cellStyle name="Procent_WDI" xfId="417"/>
    <cellStyle name="Rubrik 1" xfId="418"/>
    <cellStyle name="Rubrik2" xfId="419"/>
    <cellStyle name="Rubrik3" xfId="420"/>
    <cellStyle name="semestre" xfId="421"/>
    <cellStyle name="standaard" xfId="422"/>
    <cellStyle name="Standaard2" xfId="423"/>
    <cellStyle name="Standard_9.01" xfId="424"/>
    <cellStyle name="Style 1" xfId="425"/>
    <cellStyle name="Style 1 2" xfId="426"/>
    <cellStyle name="Tabellrubrik" xfId="427"/>
    <cellStyle name="Tal1" xfId="428"/>
    <cellStyle name="Tal2" xfId="429"/>
    <cellStyle name="Tal3" xfId="430"/>
    <cellStyle name="tête chapitre" xfId="431"/>
    <cellStyle name="titel van tabel" xfId="432"/>
    <cellStyle name="titre" xfId="433"/>
    <cellStyle name="Totaal" xfId="434"/>
    <cellStyle name="transfer variabele" xfId="435"/>
    <cellStyle name="Tusental (0)_ADMIN" xfId="436"/>
    <cellStyle name="Tusental_ADMIN" xfId="437"/>
    <cellStyle name="Valuta (0)_ADMIN" xfId="438"/>
    <cellStyle name="Valuta0" xfId="439"/>
    <cellStyle name="Valuta0 2" xfId="440"/>
    <cellStyle name="Valuta0 2 2" xfId="441"/>
    <cellStyle name="Valuta0 2 2 2" xfId="442"/>
    <cellStyle name="Valuta0 2 2 2 2" xfId="443"/>
    <cellStyle name="Valuta0 2 2 3" xfId="444"/>
    <cellStyle name="Valuta0 2 2 3 2" xfId="445"/>
    <cellStyle name="Valuta0 2 2 4" xfId="446"/>
    <cellStyle name="Valuta0 2 3" xfId="447"/>
    <cellStyle name="Valuta0 2 3 2" xfId="448"/>
    <cellStyle name="Valuta0 2 3 2 2" xfId="449"/>
    <cellStyle name="Valuta0 2 3 3" xfId="450"/>
    <cellStyle name="Valuta0 2 3 3 2" xfId="451"/>
    <cellStyle name="Valuta0 2 3 4" xfId="452"/>
    <cellStyle name="Valuta0 2 4" xfId="453"/>
    <cellStyle name="Valuta0 2 4 2" xfId="454"/>
    <cellStyle name="Valuta0 2 4 2 2" xfId="455"/>
    <cellStyle name="Valuta0 2 4 3" xfId="456"/>
    <cellStyle name="Valuta0 2 4 3 2" xfId="457"/>
    <cellStyle name="Valuta0 2 4 4" xfId="458"/>
    <cellStyle name="Valuta0 2 5" xfId="459"/>
    <cellStyle name="Valuta0 2 5 2" xfId="460"/>
    <cellStyle name="Valuta0 2 6" xfId="461"/>
    <cellStyle name="Valuta0 2 6 2" xfId="462"/>
    <cellStyle name="Valuta0 2 7" xfId="463"/>
    <cellStyle name="Valuta0 3" xfId="464"/>
    <cellStyle name="Valuta0 3 2" xfId="465"/>
    <cellStyle name="Valuta0 3 2 2" xfId="466"/>
    <cellStyle name="Valuta0 3 3" xfId="467"/>
    <cellStyle name="Valuta0 3 3 2" xfId="468"/>
    <cellStyle name="Valuta0 3 4" xfId="469"/>
    <cellStyle name="Valuta0 4" xfId="470"/>
    <cellStyle name="Valuta0 4 2" xfId="471"/>
    <cellStyle name="Valuta0 4 2 2" xfId="472"/>
    <cellStyle name="Valuta0 4 3" xfId="473"/>
    <cellStyle name="Valuta0 4 3 2" xfId="474"/>
    <cellStyle name="Valuta0 4 4" xfId="475"/>
    <cellStyle name="Valuta0 5" xfId="476"/>
    <cellStyle name="Valuta0 5 2" xfId="477"/>
    <cellStyle name="Valuta0 5 2 2" xfId="478"/>
    <cellStyle name="Valuta0 5 3" xfId="479"/>
    <cellStyle name="Valuta0 5 3 2" xfId="480"/>
    <cellStyle name="Valuta0 5 4" xfId="481"/>
    <cellStyle name="Valuta0 6" xfId="482"/>
    <cellStyle name="Valuta0 6 2" xfId="483"/>
    <cellStyle name="Valuta0 7" xfId="484"/>
    <cellStyle name="Valuta0 7 2" xfId="485"/>
    <cellStyle name="Valuta0 8" xfId="486"/>
    <cellStyle name="Vast" xfId="487"/>
    <cellStyle name="Vast1" xfId="488"/>
    <cellStyle name="Záhlaví 1" xfId="489"/>
    <cellStyle name="Záhlaví 2" xfId="490"/>
  </cellStyles>
  <dxfs count="70">
    <dxf>
      <font>
        <b/>
        <i val="0"/>
        <color rgb="FF92D050"/>
      </font>
    </dxf>
    <dxf>
      <font>
        <b/>
        <i val="0"/>
        <color rgb="FFFF0000"/>
      </font>
    </dxf>
    <dxf>
      <font>
        <b/>
        <i val="0"/>
        <color rgb="FF92D050"/>
      </font>
    </dxf>
    <dxf>
      <font>
        <b/>
        <i val="0"/>
        <color rgb="FFFF0000"/>
      </font>
    </dxf>
    <dxf>
      <fill>
        <patternFill>
          <bgColor indexed="52"/>
        </patternFill>
      </fill>
    </dxf>
    <dxf>
      <fill>
        <patternFill>
          <bgColor indexed="52"/>
        </patternFill>
      </fill>
    </dxf>
    <dxf>
      <fill>
        <patternFill>
          <bgColor indexed="52"/>
        </patternFill>
      </fill>
    </dxf>
    <dxf>
      <font>
        <b/>
        <i val="0"/>
        <strike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strike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xlMacrosheet" Target="macrosheets/sheet1.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consumption and disposable income (VAL)</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624818432735995"/>
        </c:manualLayout>
      </c:layout>
      <c:lineChart>
        <c:grouping val="standard"/>
        <c:varyColors val="0"/>
        <c:ser>
          <c:idx val="0"/>
          <c:order val="0"/>
          <c:tx>
            <c:strRef>
              <c:f>'VVP2'!$D$188:$E$188</c:f>
              <c:strCache>
                <c:ptCount val="1"/>
                <c:pt idx="0">
                  <c:v>HH Final consumption expenditure (P.3)</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'VVP2'!$G$188:$AA$188</c:f>
              <c:numCache>
                <c:formatCode>0.0</c:formatCode>
                <c:ptCount val="4"/>
                <c:pt idx="0">
                  <c:v>6.2742499558684717</c:v>
                </c:pt>
                <c:pt idx="1">
                  <c:v>5.3520737522436024</c:v>
                </c:pt>
                <c:pt idx="2">
                  <c:v>4.0906766427303953</c:v>
                </c:pt>
                <c:pt idx="3">
                  <c:v>3.0593383975462629</c:v>
                </c:pt>
              </c:numCache>
            </c:numRef>
          </c:val>
          <c:smooth val="0"/>
        </c:ser>
        <c:ser>
          <c:idx val="1"/>
          <c:order val="1"/>
          <c:tx>
            <c:strRef>
              <c:f>Sector1!$D$381:$E$381</c:f>
              <c:strCache>
                <c:ptCount val="1"/>
                <c:pt idx="0">
                  <c:v>HH Disposable income (B.6g)</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Sector1!$G$381:$AC$381</c:f>
              <c:numCache>
                <c:formatCode>0.0</c:formatCode>
                <c:ptCount val="12"/>
                <c:pt idx="0">
                  <c:v>15.14239020482211</c:v>
                </c:pt>
                <c:pt idx="1">
                  <c:v>8.0089717770564395</c:v>
                </c:pt>
                <c:pt idx="2">
                  <c:v>19.154704479239705</c:v>
                </c:pt>
                <c:pt idx="3">
                  <c:v>-7.8940715550444907</c:v>
                </c:pt>
                <c:pt idx="4">
                  <c:v>0.86462686046331338</c:v>
                </c:pt>
                <c:pt idx="5">
                  <c:v>5.250126509072528</c:v>
                </c:pt>
                <c:pt idx="6">
                  <c:v>3.3819442229902963</c:v>
                </c:pt>
                <c:pt idx="7">
                  <c:v>5.7181255573077072</c:v>
                </c:pt>
                <c:pt idx="8">
                  <c:v>1.8678264757333141</c:v>
                </c:pt>
                <c:pt idx="9">
                  <c:v>2.8710198106667972</c:v>
                </c:pt>
                <c:pt idx="10">
                  <c:v>5.4297177194466029</c:v>
                </c:pt>
                <c:pt idx="11">
                  <c:v>6.8482848708878441</c:v>
                </c:pt>
              </c:numCache>
            </c:numRef>
          </c:val>
          <c:smooth val="0"/>
        </c:ser>
        <c:dLbls>
          <c:showLegendKey val="0"/>
          <c:showVal val="0"/>
          <c:showCatName val="0"/>
          <c:showSerName val="0"/>
          <c:showPercent val="0"/>
          <c:showBubbleSize val="0"/>
        </c:dLbls>
        <c:marker val="1"/>
        <c:smooth val="0"/>
        <c:axId val="238700032"/>
        <c:axId val="238701952"/>
      </c:lineChart>
      <c:catAx>
        <c:axId val="2387000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701952"/>
        <c:crosses val="autoZero"/>
        <c:auto val="1"/>
        <c:lblAlgn val="ctr"/>
        <c:lblOffset val="100"/>
        <c:tickLblSkip val="2"/>
        <c:tickMarkSkip val="1"/>
        <c:noMultiLvlLbl val="0"/>
      </c:catAx>
      <c:valAx>
        <c:axId val="2387019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700032"/>
        <c:crosses val="autoZero"/>
        <c:crossBetween val="midCat"/>
      </c:valAx>
      <c:spPr>
        <a:noFill/>
        <a:ln w="12700">
          <a:solidFill>
            <a:srgbClr val="808080"/>
          </a:solidFill>
          <a:prstDash val="solid"/>
        </a:ln>
      </c:spPr>
    </c:plotArea>
    <c:legend>
      <c:legendPos val="r"/>
      <c:layout>
        <c:manualLayout>
          <c:xMode val="edge"/>
          <c:yMode val="edge"/>
          <c:x val="0.21651809148856391"/>
          <c:y val="0.85434408934177342"/>
          <c:w val="0.6004471316085489"/>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consumption related to household disposable income</a:t>
            </a:r>
          </a:p>
        </c:rich>
      </c:tx>
      <c:layout>
        <c:manualLayout>
          <c:xMode val="edge"/>
          <c:yMode val="edge"/>
          <c:x val="0.17633952005999248"/>
          <c:y val="3.3613445378151259E-2"/>
        </c:manualLayout>
      </c:layout>
      <c:overlay val="0"/>
      <c:spPr>
        <a:noFill/>
        <a:ln w="25400">
          <a:noFill/>
        </a:ln>
      </c:spPr>
    </c:title>
    <c:autoTitleDeleted val="0"/>
    <c:plotArea>
      <c:layout>
        <c:manualLayout>
          <c:layoutTarget val="inner"/>
          <c:xMode val="edge"/>
          <c:yMode val="edge"/>
          <c:x val="5.8035777539691968E-2"/>
          <c:y val="0.17366994285589235"/>
          <c:w val="0.88616168012529661"/>
          <c:h val="0.62185044054851779"/>
        </c:manualLayout>
      </c:layout>
      <c:scatterChart>
        <c:scatterStyle val="lineMarker"/>
        <c:varyColors val="0"/>
        <c:ser>
          <c:idx val="0"/>
          <c:order val="0"/>
          <c:tx>
            <c:strRef>
              <c:f>'VVP2'!$D$185:$E$185</c:f>
              <c:strCache>
                <c:ptCount val="1"/>
                <c:pt idx="0">
                  <c:v>GVT Final consumption expenditure (P.3)</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rPr lang="en-GB"/>
                      <a:t>1996</a:t>
                    </a:r>
                  </a:p>
                </c:rich>
              </c:tx>
              <c:showLegendKey val="0"/>
              <c:showVal val="0"/>
              <c:showCatName val="0"/>
              <c:showSerName val="0"/>
              <c:showPercent val="0"/>
              <c:showBubbleSize val="0"/>
            </c:dLbl>
            <c:dLbl>
              <c:idx val="2"/>
              <c:tx>
                <c:rich>
                  <a:bodyPr/>
                  <a:lstStyle/>
                  <a:p>
                    <a:r>
                      <a:rPr lang="en-GB"/>
                      <a:t>1997</a:t>
                    </a:r>
                  </a:p>
                </c:rich>
              </c:tx>
              <c:showLegendKey val="0"/>
              <c:showVal val="0"/>
              <c:showCatName val="0"/>
              <c:showSerName val="0"/>
              <c:showPercent val="0"/>
              <c:showBubbleSize val="0"/>
            </c:dLbl>
            <c:dLbl>
              <c:idx val="3"/>
              <c:tx>
                <c:rich>
                  <a:bodyPr/>
                  <a:lstStyle/>
                  <a:p>
                    <a:r>
                      <a:rPr lang="en-GB"/>
                      <a:t>1998</a:t>
                    </a:r>
                  </a:p>
                </c:rich>
              </c:tx>
              <c:showLegendKey val="0"/>
              <c:showVal val="0"/>
              <c:showCatName val="0"/>
              <c:showSerName val="0"/>
              <c:showPercent val="0"/>
              <c:showBubbleSize val="0"/>
            </c:dLbl>
            <c:dLbl>
              <c:idx val="4"/>
              <c:tx>
                <c:rich>
                  <a:bodyPr/>
                  <a:lstStyle/>
                  <a:p>
                    <a:r>
                      <a:rPr lang="en-GB"/>
                      <a:t>1999</a:t>
                    </a:r>
                  </a:p>
                </c:rich>
              </c:tx>
              <c:showLegendKey val="0"/>
              <c:showVal val="0"/>
              <c:showCatName val="0"/>
              <c:showSerName val="0"/>
              <c:showPercent val="0"/>
              <c:showBubbleSize val="0"/>
            </c:dLbl>
            <c:dLbl>
              <c:idx val="5"/>
              <c:tx>
                <c:rich>
                  <a:bodyPr/>
                  <a:lstStyle/>
                  <a:p>
                    <a:r>
                      <a:rPr lang="en-GB"/>
                      <a:t>2000</a:t>
                    </a:r>
                  </a:p>
                </c:rich>
              </c:tx>
              <c:showLegendKey val="0"/>
              <c:showVal val="0"/>
              <c:showCatName val="0"/>
              <c:showSerName val="0"/>
              <c:showPercent val="0"/>
              <c:showBubbleSize val="0"/>
            </c:dLbl>
            <c:dLbl>
              <c:idx val="6"/>
              <c:tx>
                <c:rich>
                  <a:bodyPr/>
                  <a:lstStyle/>
                  <a:p>
                    <a:r>
                      <a:rPr lang="en-GB"/>
                      <a:t>2001</a:t>
                    </a:r>
                  </a:p>
                </c:rich>
              </c:tx>
              <c:showLegendKey val="0"/>
              <c:showVal val="0"/>
              <c:showCatName val="0"/>
              <c:showSerName val="0"/>
              <c:showPercent val="0"/>
              <c:showBubbleSize val="0"/>
            </c:dLbl>
            <c:dLbl>
              <c:idx val="7"/>
              <c:tx>
                <c:rich>
                  <a:bodyPr/>
                  <a:lstStyle/>
                  <a:p>
                    <a:r>
                      <a:rPr lang="en-GB"/>
                      <a:t>2002</a:t>
                    </a:r>
                  </a:p>
                </c:rich>
              </c:tx>
              <c:showLegendKey val="0"/>
              <c:showVal val="0"/>
              <c:showCatName val="0"/>
              <c:showSerName val="0"/>
              <c:showPercent val="0"/>
              <c:showBubbleSize val="0"/>
            </c:dLbl>
            <c:dLbl>
              <c:idx val="8"/>
              <c:tx>
                <c:rich>
                  <a:bodyPr/>
                  <a:lstStyle/>
                  <a:p>
                    <a:r>
                      <a:rPr lang="en-GB"/>
                      <a:t>2003</a:t>
                    </a:r>
                  </a:p>
                </c:rich>
              </c:tx>
              <c:showLegendKey val="0"/>
              <c:showVal val="0"/>
              <c:showCatName val="0"/>
              <c:showSerName val="0"/>
              <c:showPercent val="0"/>
              <c:showBubbleSize val="0"/>
            </c:dLbl>
            <c:dLbl>
              <c:idx val="9"/>
              <c:tx>
                <c:rich>
                  <a:bodyPr/>
                  <a:lstStyle/>
                  <a:p>
                    <a:r>
                      <a:rPr lang="en-GB"/>
                      <a:t>2004</a:t>
                    </a:r>
                  </a:p>
                </c:rich>
              </c:tx>
              <c:showLegendKey val="0"/>
              <c:showVal val="0"/>
              <c:showCatName val="0"/>
              <c:showSerName val="0"/>
              <c:showPercent val="0"/>
              <c:showBubbleSize val="0"/>
            </c:dLbl>
            <c:dLbl>
              <c:idx val="10"/>
              <c:tx>
                <c:rich>
                  <a:bodyPr/>
                  <a:lstStyle/>
                  <a:p>
                    <a:r>
                      <a:rPr lang="en-GB"/>
                      <a:t>2005</a:t>
                    </a:r>
                  </a:p>
                </c:rich>
              </c:tx>
              <c:showLegendKey val="0"/>
              <c:showVal val="0"/>
              <c:showCatName val="0"/>
              <c:showSerName val="0"/>
              <c:showPercent val="0"/>
              <c:showBubbleSize val="0"/>
            </c:dLbl>
            <c:dLbl>
              <c:idx val="11"/>
              <c:tx>
                <c:rich>
                  <a:bodyPr/>
                  <a:lstStyle/>
                  <a:p>
                    <a:r>
                      <a:rPr lang="en-GB"/>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8000"/>
                </a:solidFill>
                <a:prstDash val="solid"/>
              </a:ln>
            </c:spPr>
            <c:trendlineType val="linear"/>
            <c:dispRSqr val="0"/>
            <c:dispEq val="0"/>
          </c:trendline>
          <c:xVal>
            <c:numRef>
              <c:f>Sector1!$G$381:$AC$381</c:f>
              <c:numCache>
                <c:formatCode>0.0</c:formatCode>
                <c:ptCount val="12"/>
                <c:pt idx="0">
                  <c:v>15.14239020482211</c:v>
                </c:pt>
                <c:pt idx="1">
                  <c:v>8.0089717770564395</c:v>
                </c:pt>
                <c:pt idx="2">
                  <c:v>19.154704479239705</c:v>
                </c:pt>
                <c:pt idx="3">
                  <c:v>-7.8940715550444907</c:v>
                </c:pt>
                <c:pt idx="4">
                  <c:v>0.86462686046331338</c:v>
                </c:pt>
                <c:pt idx="5">
                  <c:v>5.250126509072528</c:v>
                </c:pt>
                <c:pt idx="6">
                  <c:v>3.3819442229902963</c:v>
                </c:pt>
                <c:pt idx="7">
                  <c:v>5.7181255573077072</c:v>
                </c:pt>
                <c:pt idx="8">
                  <c:v>1.8678264757333141</c:v>
                </c:pt>
                <c:pt idx="9">
                  <c:v>2.8710198106667972</c:v>
                </c:pt>
                <c:pt idx="10">
                  <c:v>5.4297177194466029</c:v>
                </c:pt>
                <c:pt idx="11">
                  <c:v>6.8482848708878441</c:v>
                </c:pt>
              </c:numCache>
            </c:numRef>
          </c:xVal>
          <c:yVal>
            <c:numRef>
              <c:f>'VVP2'!$G$188:$AA$188</c:f>
              <c:numCache>
                <c:formatCode>0.0</c:formatCode>
                <c:ptCount val="4"/>
                <c:pt idx="0">
                  <c:v>6.2742499558684717</c:v>
                </c:pt>
                <c:pt idx="1">
                  <c:v>5.3520737522436024</c:v>
                </c:pt>
                <c:pt idx="2">
                  <c:v>4.0906766427303953</c:v>
                </c:pt>
                <c:pt idx="3">
                  <c:v>3.0593383975462629</c:v>
                </c:pt>
              </c:numCache>
            </c:numRef>
          </c:yVal>
          <c:smooth val="0"/>
        </c:ser>
        <c:dLbls>
          <c:showLegendKey val="0"/>
          <c:showVal val="0"/>
          <c:showCatName val="0"/>
          <c:showSerName val="0"/>
          <c:showPercent val="0"/>
          <c:showBubbleSize val="0"/>
        </c:dLbls>
        <c:axId val="238847488"/>
        <c:axId val="238849024"/>
      </c:scatterChart>
      <c:valAx>
        <c:axId val="23884748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849024"/>
        <c:crosses val="autoZero"/>
        <c:crossBetween val="midCat"/>
      </c:valAx>
      <c:valAx>
        <c:axId val="23884902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847488"/>
        <c:crosses val="autoZero"/>
        <c:crossBetween val="midCat"/>
      </c:valAx>
      <c:spPr>
        <a:noFill/>
        <a:ln w="12700">
          <a:solidFill>
            <a:srgbClr val="808080"/>
          </a:solidFill>
          <a:prstDash val="solid"/>
        </a:ln>
      </c:spPr>
    </c:plotArea>
    <c:legend>
      <c:legendPos val="r"/>
      <c:layout>
        <c:manualLayout>
          <c:xMode val="edge"/>
          <c:yMode val="edge"/>
          <c:x val="0.14285737720284963"/>
          <c:y val="0.85714520978995268"/>
          <c:w val="0.7165185601799775"/>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Consumer prices</a:t>
            </a:r>
          </a:p>
        </c:rich>
      </c:tx>
      <c:layout>
        <c:manualLayout>
          <c:xMode val="edge"/>
          <c:yMode val="edge"/>
          <c:x val="0.37723261154855642"/>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67507187464951701"/>
        </c:manualLayout>
      </c:layout>
      <c:lineChart>
        <c:grouping val="standard"/>
        <c:varyColors val="0"/>
        <c:ser>
          <c:idx val="0"/>
          <c:order val="0"/>
          <c:tx>
            <c:strRef>
              <c:f>'VVP2'!$F$367</c:f>
              <c:strCache>
                <c:ptCount val="1"/>
                <c:pt idx="0">
                  <c:v>CPI</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'VVP2'!$G$367:$AA$367</c:f>
              <c:numCache>
                <c:formatCode>0.0</c:formatCode>
                <c:ptCount val="4"/>
                <c:pt idx="0">
                  <c:v>3.1000000000005024</c:v>
                </c:pt>
                <c:pt idx="1">
                  <c:v>0.99999999999949019</c:v>
                </c:pt>
                <c:pt idx="2">
                  <c:v>0.10378991446344799</c:v>
                </c:pt>
                <c:pt idx="3">
                  <c:v>-0.8841084346517758</c:v>
                </c:pt>
              </c:numCache>
            </c:numRef>
          </c:val>
          <c:smooth val="0"/>
        </c:ser>
        <c:ser>
          <c:idx val="1"/>
          <c:order val="1"/>
          <c:tx>
            <c:strRef>
              <c:f>'VVP2'!$F$368</c:f>
              <c:strCache>
                <c:ptCount val="1"/>
                <c:pt idx="0">
                  <c:v>HICP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'VVP2'!$G$368:$AA$368</c:f>
              <c:numCache>
                <c:formatCode>0.0</c:formatCode>
                <c:ptCount val="4"/>
                <c:pt idx="0">
                  <c:v>3.1640472788673879</c:v>
                </c:pt>
                <c:pt idx="1">
                  <c:v>1.1641863705416533</c:v>
                </c:pt>
                <c:pt idx="2">
                  <c:v>0.24227137713090929</c:v>
                </c:pt>
                <c:pt idx="3">
                  <c:v>-0.67705143273386614</c:v>
                </c:pt>
              </c:numCache>
            </c:numRef>
          </c:val>
          <c:smooth val="0"/>
        </c:ser>
        <c:ser>
          <c:idx val="2"/>
          <c:order val="2"/>
          <c:tx>
            <c:v>HH Private Consumption Deflator</c:v>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'VVP2'!$G$366:$AA$366</c:f>
              <c:numCache>
                <c:formatCode>0.0</c:formatCode>
                <c:ptCount val="4"/>
                <c:pt idx="0">
                  <c:v>3.0842672994858988</c:v>
                </c:pt>
                <c:pt idx="1">
                  <c:v>0.99570099620622798</c:v>
                </c:pt>
                <c:pt idx="2">
                  <c:v>0.11940834992987259</c:v>
                </c:pt>
                <c:pt idx="3">
                  <c:v>-0.88207624615264102</c:v>
                </c:pt>
              </c:numCache>
            </c:numRef>
          </c:val>
          <c:smooth val="0"/>
        </c:ser>
        <c:ser>
          <c:idx val="3"/>
          <c:order val="3"/>
          <c:tx>
            <c:strRef>
              <c:f>'VVP2'!$E$459</c:f>
              <c:strCache>
                <c:ptCount val="1"/>
                <c:pt idx="0">
                  <c:v>GDP</c:v>
                </c:pt>
              </c:strCache>
            </c:strRef>
          </c:tx>
          <c:spPr>
            <a:ln w="25400">
              <a:solidFill>
                <a:srgbClr val="CC99FF"/>
              </a:solidFill>
              <a:prstDash val="solid"/>
            </a:ln>
          </c:spPr>
          <c:marker>
            <c:symbol val="circle"/>
            <c:size val="5"/>
            <c:spPr>
              <a:solidFill>
                <a:srgbClr val="FFFFFF"/>
              </a:solidFill>
              <a:ln>
                <a:solidFill>
                  <a:srgbClr val="CC99FF"/>
                </a:solidFill>
                <a:prstDash val="solid"/>
              </a:ln>
            </c:spPr>
          </c:marker>
          <c:val>
            <c:numRef>
              <c:f>'VVP2'!$G$459:$AA$459</c:f>
              <c:numCache>
                <c:formatCode>0.0</c:formatCode>
                <c:ptCount val="4"/>
                <c:pt idx="0">
                  <c:v>2.6985317613326787</c:v>
                </c:pt>
                <c:pt idx="1">
                  <c:v>1.2876867061512698</c:v>
                </c:pt>
                <c:pt idx="2">
                  <c:v>1.0274576903502863</c:v>
                </c:pt>
                <c:pt idx="3">
                  <c:v>0.30629837646263258</c:v>
                </c:pt>
              </c:numCache>
            </c:numRef>
          </c:val>
          <c:smooth val="0"/>
        </c:ser>
        <c:dLbls>
          <c:showLegendKey val="0"/>
          <c:showVal val="0"/>
          <c:showCatName val="0"/>
          <c:showSerName val="0"/>
          <c:showPercent val="0"/>
          <c:showBubbleSize val="0"/>
        </c:dLbls>
        <c:marker val="1"/>
        <c:smooth val="0"/>
        <c:axId val="238912640"/>
        <c:axId val="238914560"/>
      </c:lineChart>
      <c:catAx>
        <c:axId val="2389126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914560"/>
        <c:crosses val="autoZero"/>
        <c:auto val="1"/>
        <c:lblAlgn val="ctr"/>
        <c:lblOffset val="100"/>
        <c:tickLblSkip val="2"/>
        <c:tickMarkSkip val="1"/>
        <c:noMultiLvlLbl val="0"/>
      </c:catAx>
      <c:valAx>
        <c:axId val="23891456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912640"/>
        <c:crosses val="autoZero"/>
        <c:crossBetween val="midCat"/>
      </c:valAx>
      <c:spPr>
        <a:noFill/>
        <a:ln w="12700">
          <a:solidFill>
            <a:srgbClr val="808080"/>
          </a:solidFill>
          <a:prstDash val="solid"/>
        </a:ln>
      </c:spPr>
    </c:plotArea>
    <c:legend>
      <c:legendPos val="r"/>
      <c:layout>
        <c:manualLayout>
          <c:xMode val="edge"/>
          <c:yMode val="edge"/>
          <c:x val="3.3482142857142856E-2"/>
          <c:y val="0.91316761875353814"/>
          <c:w val="0.93080450881139853"/>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Government consumption expenditure (VOL &amp; VAL)</a:t>
            </a:r>
          </a:p>
        </c:rich>
      </c:tx>
      <c:layout>
        <c:manualLayout>
          <c:xMode val="edge"/>
          <c:yMode val="edge"/>
          <c:x val="0.13169666291713536"/>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61344705621678108"/>
        </c:manualLayout>
      </c:layout>
      <c:lineChart>
        <c:grouping val="standard"/>
        <c:varyColors val="0"/>
        <c:ser>
          <c:idx val="0"/>
          <c:order val="0"/>
          <c:tx>
            <c:v>VAL GVT Individual consumption expenditure (P.31)</c:v>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'VVP2'!$G$197:$AA$197</c:f>
              <c:numCache>
                <c:formatCode>0.0</c:formatCode>
                <c:ptCount val="4"/>
                <c:pt idx="0">
                  <c:v>-1.0931650187193998</c:v>
                </c:pt>
                <c:pt idx="1">
                  <c:v>0.39278131634818969</c:v>
                </c:pt>
                <c:pt idx="2">
                  <c:v>2.4909741839000743</c:v>
                </c:pt>
                <c:pt idx="3">
                  <c:v>7.2535667963683492</c:v>
                </c:pt>
              </c:numCache>
            </c:numRef>
          </c:val>
          <c:smooth val="0"/>
        </c:ser>
        <c:ser>
          <c:idx val="1"/>
          <c:order val="1"/>
          <c:tx>
            <c:v>VAL GVT Collective consumption expenditure (P.32)</c:v>
          </c:tx>
          <c:spPr>
            <a:ln w="25400">
              <a:solidFill>
                <a:srgbClr val="0000FF"/>
              </a:solidFill>
              <a:prstDash val="solid"/>
            </a:ln>
          </c:spPr>
          <c:marker>
            <c:symbol val="circle"/>
            <c:size val="5"/>
            <c:spPr>
              <a:solidFill>
                <a:srgbClr val="FFFFFF"/>
              </a:solidFill>
              <a:ln>
                <a:solidFill>
                  <a:srgbClr val="0000FF"/>
                </a:solidFill>
                <a:prstDash val="solid"/>
              </a:ln>
            </c:spPr>
          </c:marker>
          <c:val>
            <c:numRef>
              <c:f>'VVP2'!$G$198:$AA$198</c:f>
              <c:numCache>
                <c:formatCode>0.0</c:formatCode>
                <c:ptCount val="4"/>
                <c:pt idx="0">
                  <c:v>5.3996039735760393</c:v>
                </c:pt>
                <c:pt idx="1">
                  <c:v>-0.26325344952794483</c:v>
                </c:pt>
                <c:pt idx="2">
                  <c:v>6.090992912572557</c:v>
                </c:pt>
                <c:pt idx="3">
                  <c:v>4.0791814780691826</c:v>
                </c:pt>
              </c:numCache>
            </c:numRef>
          </c:val>
          <c:smooth val="0"/>
        </c:ser>
        <c:dLbls>
          <c:showLegendKey val="0"/>
          <c:showVal val="0"/>
          <c:showCatName val="0"/>
          <c:showSerName val="0"/>
          <c:showPercent val="0"/>
          <c:showBubbleSize val="0"/>
        </c:dLbls>
        <c:marker val="1"/>
        <c:smooth val="0"/>
        <c:axId val="240058368"/>
        <c:axId val="240060288"/>
      </c:lineChart>
      <c:catAx>
        <c:axId val="2400583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0060288"/>
        <c:crosses val="autoZero"/>
        <c:auto val="1"/>
        <c:lblAlgn val="ctr"/>
        <c:lblOffset val="100"/>
        <c:tickLblSkip val="2"/>
        <c:tickMarkSkip val="1"/>
        <c:noMultiLvlLbl val="0"/>
      </c:catAx>
      <c:valAx>
        <c:axId val="2400602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0058368"/>
        <c:crosses val="autoZero"/>
        <c:crossBetween val="midCat"/>
      </c:valAx>
      <c:spPr>
        <a:noFill/>
        <a:ln w="12700">
          <a:solidFill>
            <a:srgbClr val="808080"/>
          </a:solidFill>
          <a:prstDash val="solid"/>
        </a:ln>
      </c:spPr>
    </c:plotArea>
    <c:legend>
      <c:legendPos val="r"/>
      <c:layout>
        <c:manualLayout>
          <c:xMode val="edge"/>
          <c:yMode val="edge"/>
          <c:x val="0.12946452005999248"/>
          <c:y val="0.89075865516810404"/>
          <c:w val="0.78348308023996993"/>
          <c:h val="9.523838931898220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 total and government (VOL)</a:t>
            </a:r>
          </a:p>
        </c:rich>
      </c:tx>
      <c:layout>
        <c:manualLayout>
          <c:xMode val="edge"/>
          <c:yMode val="edge"/>
          <c:x val="0.20982166291713536"/>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56145327974052861"/>
        </c:manualLayout>
      </c:layout>
      <c:lineChart>
        <c:grouping val="standard"/>
        <c:varyColors val="0"/>
        <c:ser>
          <c:idx val="1"/>
          <c:order val="0"/>
          <c:tx>
            <c:strRef>
              <c:f>'VVP2'!$D$48:$E$48</c:f>
              <c:strCache>
                <c:ptCount val="1"/>
                <c:pt idx="0">
                  <c:v>GVT Gross fixed capital formation (P.51)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'VVP2'!$G$48:$AA$48</c:f>
              <c:numCache>
                <c:formatCode>0.00</c:formatCode>
                <c:ptCount val="4"/>
                <c:pt idx="0">
                  <c:v>-12.52337447152383</c:v>
                </c:pt>
                <c:pt idx="1">
                  <c:v>-3.6784613622074303</c:v>
                </c:pt>
                <c:pt idx="2">
                  <c:v>-4.4133698202302512</c:v>
                </c:pt>
                <c:pt idx="3">
                  <c:v>4.5211434202917067</c:v>
                </c:pt>
              </c:numCache>
            </c:numRef>
          </c:val>
          <c:smooth val="0"/>
        </c:ser>
        <c:ser>
          <c:idx val="0"/>
          <c:order val="1"/>
          <c:tx>
            <c:strRef>
              <c:f>'VVP2'!$E$42</c:f>
              <c:strCache>
                <c:ptCount val="1"/>
                <c:pt idx="0">
                  <c:v>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val>
            <c:numRef>
              <c:f>'VVP2'!$G$42:$AA$42</c:f>
              <c:numCache>
                <c:formatCode>0.0</c:formatCode>
                <c:ptCount val="4"/>
                <c:pt idx="0">
                  <c:v>-1.7782896509459301</c:v>
                </c:pt>
                <c:pt idx="1">
                  <c:v>8.2995817129866154</c:v>
                </c:pt>
                <c:pt idx="2">
                  <c:v>5.75191791299281</c:v>
                </c:pt>
                <c:pt idx="3">
                  <c:v>4.8264990153196852</c:v>
                </c:pt>
              </c:numCache>
            </c:numRef>
          </c:val>
          <c:smooth val="0"/>
        </c:ser>
        <c:dLbls>
          <c:showLegendKey val="0"/>
          <c:showVal val="0"/>
          <c:showCatName val="0"/>
          <c:showSerName val="0"/>
          <c:showPercent val="0"/>
          <c:showBubbleSize val="0"/>
        </c:dLbls>
        <c:marker val="1"/>
        <c:smooth val="0"/>
        <c:axId val="240105728"/>
        <c:axId val="240116096"/>
      </c:lineChart>
      <c:catAx>
        <c:axId val="2401057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0116096"/>
        <c:crosses val="autoZero"/>
        <c:auto val="1"/>
        <c:lblAlgn val="ctr"/>
        <c:lblOffset val="100"/>
        <c:tickLblSkip val="2"/>
        <c:tickMarkSkip val="1"/>
        <c:noMultiLvlLbl val="0"/>
      </c:catAx>
      <c:valAx>
        <c:axId val="24011609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0105728"/>
        <c:crosses val="autoZero"/>
        <c:crossBetween val="midCat"/>
      </c:valAx>
      <c:spPr>
        <a:noFill/>
        <a:ln w="12700">
          <a:solidFill>
            <a:srgbClr val="808080"/>
          </a:solidFill>
          <a:prstDash val="solid"/>
        </a:ln>
      </c:spPr>
    </c:plotArea>
    <c:legend>
      <c:legendPos val="r"/>
      <c:layout>
        <c:manualLayout>
          <c:xMode val="edge"/>
          <c:yMode val="edge"/>
          <c:x val="0.21205380577427821"/>
          <c:y val="0.85474977638968308"/>
          <c:w val="0.60714356017997739"/>
          <c:h val="0.1256986172817783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by product (VOL)</a:t>
            </a:r>
          </a:p>
        </c:rich>
      </c:tx>
      <c:layout>
        <c:manualLayout>
          <c:xMode val="edge"/>
          <c:yMode val="edge"/>
          <c:x val="0.29687523434570678"/>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4410112359550562"/>
        </c:manualLayout>
      </c:layout>
      <c:lineChart>
        <c:grouping val="standard"/>
        <c:varyColors val="0"/>
        <c:ser>
          <c:idx val="0"/>
          <c:order val="0"/>
          <c:tx>
            <c:strRef>
              <c:f>'VVP2'!$D$35:$E$35</c:f>
              <c:strCache>
                <c:ptCount val="1"/>
                <c:pt idx="0">
                  <c:v>HH+E Non-residential construction and civil engineering</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'VVP2'!$G$35:$AA$35</c:f>
              <c:numCache>
                <c:formatCode>0.0</c:formatCode>
                <c:ptCount val="4"/>
                <c:pt idx="0">
                  <c:v>-5.8693764247941367</c:v>
                </c:pt>
                <c:pt idx="1">
                  <c:v>7.1093482925784546</c:v>
                </c:pt>
                <c:pt idx="2">
                  <c:v>6.2033270013151176</c:v>
                </c:pt>
                <c:pt idx="3">
                  <c:v>-4.1921024237289384</c:v>
                </c:pt>
              </c:numCache>
            </c:numRef>
          </c:val>
          <c:smooth val="0"/>
        </c:ser>
        <c:ser>
          <c:idx val="1"/>
          <c:order val="1"/>
          <c:tx>
            <c:strRef>
              <c:f>'VVP2'!$D$36:$E$36</c:f>
              <c:strCache>
                <c:ptCount val="1"/>
                <c:pt idx="0">
                  <c:v>HH+E Dwellings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'VVP2'!$G$36:$AA$36</c:f>
              <c:numCache>
                <c:formatCode>0.0</c:formatCode>
                <c:ptCount val="4"/>
                <c:pt idx="0">
                  <c:v>2.2547401744518636</c:v>
                </c:pt>
                <c:pt idx="1">
                  <c:v>11.5240839851791</c:v>
                </c:pt>
                <c:pt idx="2">
                  <c:v>16.917443113860877</c:v>
                </c:pt>
                <c:pt idx="3">
                  <c:v>14.887597878252091</c:v>
                </c:pt>
              </c:numCache>
            </c:numRef>
          </c:val>
          <c:smooth val="0"/>
        </c:ser>
        <c:ser>
          <c:idx val="2"/>
          <c:order val="2"/>
          <c:tx>
            <c:strRef>
              <c:f>'VVP2'!$D$40:$E$40</c:f>
              <c:strCache>
                <c:ptCount val="1"/>
                <c:pt idx="0">
                  <c:v>HH+E Equipment</c:v>
                </c:pt>
              </c:strCache>
            </c:strRef>
          </c:tx>
          <c:spPr>
            <a:ln w="25400">
              <a:solidFill>
                <a:srgbClr val="008000"/>
              </a:solidFill>
              <a:prstDash val="solid"/>
            </a:ln>
          </c:spPr>
          <c:marker>
            <c:symbol val="triangle"/>
            <c:size val="5"/>
            <c:spPr>
              <a:solidFill>
                <a:srgbClr val="FFFFFF"/>
              </a:solidFill>
              <a:ln>
                <a:solidFill>
                  <a:srgbClr val="008000"/>
                </a:solidFill>
                <a:prstDash val="solid"/>
              </a:ln>
            </c:spPr>
          </c:marker>
          <c:val>
            <c:numRef>
              <c:f>'VVP2'!$G$40:$AA$40</c:f>
              <c:numCache>
                <c:formatCode>0.0</c:formatCode>
                <c:ptCount val="4"/>
                <c:pt idx="0">
                  <c:v>2.0960838861545206</c:v>
                </c:pt>
                <c:pt idx="1">
                  <c:v>12.348693656399657</c:v>
                </c:pt>
                <c:pt idx="2">
                  <c:v>-0.21174978078767337</c:v>
                </c:pt>
                <c:pt idx="3">
                  <c:v>13.386772610423003</c:v>
                </c:pt>
              </c:numCache>
            </c:numRef>
          </c:val>
          <c:smooth val="0"/>
        </c:ser>
        <c:ser>
          <c:idx val="3"/>
          <c:order val="3"/>
          <c:tx>
            <c:strRef>
              <c:f>'VVP2'!$D$41:$E$41</c:f>
              <c:strCache>
                <c:ptCount val="1"/>
                <c:pt idx="0">
                  <c:v>HH+E Others</c:v>
                </c:pt>
              </c:strCache>
            </c:strRef>
          </c:tx>
          <c:spPr>
            <a:ln w="25400">
              <a:solidFill>
                <a:srgbClr val="993300"/>
              </a:solidFill>
              <a:prstDash val="solid"/>
            </a:ln>
          </c:spPr>
          <c:marker>
            <c:symbol val="square"/>
            <c:size val="5"/>
            <c:spPr>
              <a:solidFill>
                <a:srgbClr val="FFFFFF"/>
              </a:solidFill>
              <a:ln>
                <a:solidFill>
                  <a:srgbClr val="993300"/>
                </a:solidFill>
                <a:prstDash val="solid"/>
              </a:ln>
            </c:spPr>
          </c:marker>
          <c:val>
            <c:numRef>
              <c:f>'VVP2'!$G$41:$AA$41</c:f>
              <c:numCache>
                <c:formatCode>0.0</c:formatCode>
                <c:ptCount val="4"/>
                <c:pt idx="0">
                  <c:v>0.23737659561089419</c:v>
                </c:pt>
                <c:pt idx="1">
                  <c:v>-3.9364521744585379</c:v>
                </c:pt>
                <c:pt idx="2">
                  <c:v>11.403523092746482</c:v>
                </c:pt>
                <c:pt idx="3">
                  <c:v>6.0171751809842133</c:v>
                </c:pt>
              </c:numCache>
            </c:numRef>
          </c:val>
          <c:smooth val="0"/>
        </c:ser>
        <c:dLbls>
          <c:showLegendKey val="0"/>
          <c:showVal val="0"/>
          <c:showCatName val="0"/>
          <c:showSerName val="0"/>
          <c:showPercent val="0"/>
          <c:showBubbleSize val="0"/>
        </c:dLbls>
        <c:marker val="1"/>
        <c:smooth val="0"/>
        <c:axId val="240154880"/>
        <c:axId val="240161152"/>
      </c:lineChart>
      <c:catAx>
        <c:axId val="2401548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0161152"/>
        <c:crosses val="autoZero"/>
        <c:auto val="1"/>
        <c:lblAlgn val="ctr"/>
        <c:lblOffset val="100"/>
        <c:tickLblSkip val="2"/>
        <c:tickMarkSkip val="1"/>
        <c:noMultiLvlLbl val="0"/>
      </c:catAx>
      <c:valAx>
        <c:axId val="2401611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0154880"/>
        <c:crosses val="autoZero"/>
        <c:crossBetween val="midCat"/>
      </c:valAx>
      <c:spPr>
        <a:noFill/>
        <a:ln w="12700">
          <a:solidFill>
            <a:srgbClr val="808080"/>
          </a:solidFill>
          <a:prstDash val="solid"/>
        </a:ln>
      </c:spPr>
    </c:plotArea>
    <c:legend>
      <c:legendPos val="r"/>
      <c:layout>
        <c:manualLayout>
          <c:xMode val="edge"/>
          <c:yMode val="edge"/>
          <c:x val="0.11607166291713535"/>
          <c:y val="0.7443820224719101"/>
          <c:w val="0.80134022309711284"/>
          <c:h val="0.2471910112359551"/>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deflator - total and government</a:t>
            </a:r>
          </a:p>
        </c:rich>
      </c:tx>
      <c:layout>
        <c:manualLayout>
          <c:xMode val="edge"/>
          <c:yMode val="edge"/>
          <c:x val="0.19419666291713536"/>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56145327974052861"/>
        </c:manualLayout>
      </c:layout>
      <c:lineChart>
        <c:grouping val="standard"/>
        <c:varyColors val="0"/>
        <c:ser>
          <c:idx val="1"/>
          <c:order val="0"/>
          <c:tx>
            <c:strRef>
              <c:f>'VVP2'!$D$427:$E$427</c:f>
              <c:strCache>
                <c:ptCount val="1"/>
                <c:pt idx="0">
                  <c:v>GVT Gross fixed capital formation (P.51)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'VVP2'!$G$427:$AA$427</c:f>
              <c:numCache>
                <c:formatCode>0.0</c:formatCode>
                <c:ptCount val="4"/>
                <c:pt idx="0">
                  <c:v>1.9416019111292648</c:v>
                </c:pt>
                <c:pt idx="1">
                  <c:v>2.986863365274206</c:v>
                </c:pt>
                <c:pt idx="2">
                  <c:v>1.1235993196623495</c:v>
                </c:pt>
                <c:pt idx="3">
                  <c:v>1.1597464082638176</c:v>
                </c:pt>
              </c:numCache>
            </c:numRef>
          </c:val>
          <c:smooth val="0"/>
        </c:ser>
        <c:ser>
          <c:idx val="0"/>
          <c:order val="1"/>
          <c:tx>
            <c:strRef>
              <c:f>'VVP2'!$E$409</c:f>
              <c:strCache>
                <c:ptCount val="1"/>
                <c:pt idx="0">
                  <c:v>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val>
            <c:numRef>
              <c:f>'VVP2'!$G$421:$AA$421</c:f>
              <c:numCache>
                <c:formatCode>0.0</c:formatCode>
                <c:ptCount val="4"/>
                <c:pt idx="0">
                  <c:v>1.9323526745605557</c:v>
                </c:pt>
                <c:pt idx="1">
                  <c:v>2.9747201087897857</c:v>
                </c:pt>
                <c:pt idx="2">
                  <c:v>1.1621557069065647</c:v>
                </c:pt>
                <c:pt idx="3">
                  <c:v>1.1940762458118481</c:v>
                </c:pt>
              </c:numCache>
            </c:numRef>
          </c:val>
          <c:smooth val="0"/>
        </c:ser>
        <c:dLbls>
          <c:showLegendKey val="0"/>
          <c:showVal val="0"/>
          <c:showCatName val="0"/>
          <c:showSerName val="0"/>
          <c:showPercent val="0"/>
          <c:showBubbleSize val="0"/>
        </c:dLbls>
        <c:marker val="1"/>
        <c:smooth val="0"/>
        <c:axId val="239878912"/>
        <c:axId val="239880832"/>
      </c:lineChart>
      <c:catAx>
        <c:axId val="23987891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9880832"/>
        <c:crosses val="autoZero"/>
        <c:auto val="1"/>
        <c:lblAlgn val="ctr"/>
        <c:lblOffset val="100"/>
        <c:tickLblSkip val="2"/>
        <c:tickMarkSkip val="1"/>
        <c:noMultiLvlLbl val="0"/>
      </c:catAx>
      <c:valAx>
        <c:axId val="23988083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9878912"/>
        <c:crosses val="autoZero"/>
        <c:crossBetween val="midCat"/>
      </c:valAx>
      <c:spPr>
        <a:noFill/>
        <a:ln w="12700">
          <a:solidFill>
            <a:srgbClr val="808080"/>
          </a:solidFill>
          <a:prstDash val="solid"/>
        </a:ln>
      </c:spPr>
    </c:plotArea>
    <c:legend>
      <c:legendPos val="r"/>
      <c:layout>
        <c:manualLayout>
          <c:xMode val="edge"/>
          <c:yMode val="edge"/>
          <c:x val="0.21205380577427821"/>
          <c:y val="0.85474977638968308"/>
          <c:w val="0.60714356017997739"/>
          <c:h val="0.1256986172817783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GB"/>
              <a:t>Contributions to GDP growth</a:t>
            </a:r>
          </a:p>
        </c:rich>
      </c:tx>
      <c:layout>
        <c:manualLayout>
          <c:xMode val="edge"/>
          <c:yMode val="edge"/>
          <c:x val="0.37388392857142855"/>
          <c:y val="3.0588235294117649E-2"/>
        </c:manualLayout>
      </c:layout>
      <c:overlay val="0"/>
      <c:spPr>
        <a:noFill/>
        <a:ln w="25400">
          <a:noFill/>
        </a:ln>
      </c:spPr>
    </c:title>
    <c:autoTitleDeleted val="0"/>
    <c:plotArea>
      <c:layout>
        <c:manualLayout>
          <c:layoutTarget val="inner"/>
          <c:xMode val="edge"/>
          <c:yMode val="edge"/>
          <c:x val="5.0223214285714288E-2"/>
          <c:y val="0.17411764705882352"/>
          <c:w val="0.9006696428571429"/>
          <c:h val="0.59294117647058819"/>
        </c:manualLayout>
      </c:layout>
      <c:barChart>
        <c:barDir val="col"/>
        <c:grouping val="stacked"/>
        <c:varyColors val="0"/>
        <c:ser>
          <c:idx val="6"/>
          <c:order val="4"/>
          <c:tx>
            <c:strRef>
              <c:f>'VVP2'!$E$144</c:f>
              <c:strCache>
                <c:ptCount val="1"/>
                <c:pt idx="0">
                  <c:v>Gross domestic product (B.1g)</c:v>
                </c:pt>
              </c:strCache>
            </c:strRef>
          </c:tx>
          <c:spPr>
            <a:solidFill>
              <a:srgbClr val="0066CC"/>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'VVP2'!$G$144:$AA$144</c:f>
              <c:numCache>
                <c:formatCode>0.0</c:formatCode>
                <c:ptCount val="4"/>
                <c:pt idx="0">
                  <c:v>3.8269382239940808</c:v>
                </c:pt>
                <c:pt idx="1">
                  <c:v>3.4985772305690102</c:v>
                </c:pt>
                <c:pt idx="2">
                  <c:v>3.5375855747539444</c:v>
                </c:pt>
                <c:pt idx="3">
                  <c:v>2.0346676424249104</c:v>
                </c:pt>
              </c:numCache>
            </c:numRef>
          </c:val>
        </c:ser>
        <c:dLbls>
          <c:showLegendKey val="0"/>
          <c:showVal val="0"/>
          <c:showCatName val="0"/>
          <c:showSerName val="0"/>
          <c:showPercent val="0"/>
          <c:showBubbleSize val="0"/>
        </c:dLbls>
        <c:gapWidth val="30"/>
        <c:overlap val="100"/>
        <c:axId val="239947776"/>
        <c:axId val="239949312"/>
      </c:barChart>
      <c:barChart>
        <c:barDir val="col"/>
        <c:grouping val="stacked"/>
        <c:varyColors val="0"/>
        <c:ser>
          <c:idx val="0"/>
          <c:order val="0"/>
          <c:tx>
            <c:strRef>
              <c:f>'VVP2'!$E$134</c:f>
              <c:strCache>
                <c:ptCount val="1"/>
                <c:pt idx="0">
                  <c:v>Final consumption expenditure (P.3)</c:v>
                </c:pt>
              </c:strCache>
            </c:strRef>
          </c:tx>
          <c:spPr>
            <a:solidFill>
              <a:srgbClr val="FFCC99"/>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'VVP2'!$G$134:$AA$134</c:f>
              <c:numCache>
                <c:formatCode>0.0</c:formatCode>
                <c:ptCount val="4"/>
                <c:pt idx="0">
                  <c:v>1.933767657054497</c:v>
                </c:pt>
                <c:pt idx="1">
                  <c:v>2.6864840775891077</c:v>
                </c:pt>
                <c:pt idx="2">
                  <c:v>2.4827050966901307</c:v>
                </c:pt>
                <c:pt idx="3">
                  <c:v>2.4767860084189945</c:v>
                </c:pt>
              </c:numCache>
            </c:numRef>
          </c:val>
        </c:ser>
        <c:ser>
          <c:idx val="1"/>
          <c:order val="1"/>
          <c:tx>
            <c:strRef>
              <c:f>'VVP2'!$E$135</c:f>
              <c:strCache>
                <c:ptCount val="1"/>
                <c:pt idx="0">
                  <c:v>Final consumption expenditure (P.3)</c:v>
                </c:pt>
              </c:strCache>
            </c:strRef>
          </c:tx>
          <c:spPr>
            <a:solidFill>
              <a:srgbClr val="FFFF99"/>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'VVP2'!$G$135:$AA$135</c:f>
              <c:numCache>
                <c:formatCode>0.0</c:formatCode>
                <c:ptCount val="4"/>
                <c:pt idx="0">
                  <c:v>0.23577722985146193</c:v>
                </c:pt>
                <c:pt idx="1">
                  <c:v>0.12636261192536491</c:v>
                </c:pt>
                <c:pt idx="2">
                  <c:v>4.7974411398629797E-2</c:v>
                </c:pt>
                <c:pt idx="3">
                  <c:v>2.7291541722860111E-2</c:v>
                </c:pt>
              </c:numCache>
            </c:numRef>
          </c:val>
        </c:ser>
        <c:ser>
          <c:idx val="2"/>
          <c:order val="2"/>
          <c:tx>
            <c:strRef>
              <c:f>'VVP2'!$E$136</c:f>
              <c:strCache>
                <c:ptCount val="1"/>
                <c:pt idx="0">
                  <c:v>Gross fixed capital formation (P.51)</c:v>
                </c:pt>
              </c:strCache>
            </c:strRef>
          </c:tx>
          <c:spPr>
            <a:solidFill>
              <a:srgbClr val="CCFFCC"/>
            </a:solidFill>
            <a:ln w="12700">
              <a:solidFill>
                <a:srgbClr val="000000"/>
              </a:solidFill>
              <a:prstDash val="solid"/>
            </a:ln>
          </c:spPr>
          <c:invertIfNegative val="0"/>
          <c:val>
            <c:numRef>
              <c:f>'VVP2'!$G$136:$AA$136</c:f>
              <c:numCache>
                <c:formatCode>0.0</c:formatCode>
                <c:ptCount val="4"/>
                <c:pt idx="0">
                  <c:v>-0.32870928527605825</c:v>
                </c:pt>
                <c:pt idx="1">
                  <c:v>1.4404922785751533</c:v>
                </c:pt>
                <c:pt idx="2">
                  <c:v>1.0620226431963415</c:v>
                </c:pt>
                <c:pt idx="3">
                  <c:v>0.91142762758598306</c:v>
                </c:pt>
              </c:numCache>
            </c:numRef>
          </c:val>
        </c:ser>
        <c:ser>
          <c:idx val="3"/>
          <c:order val="3"/>
          <c:tx>
            <c:strRef>
              <c:f>'VVP2'!$E$138</c:f>
              <c:strCache>
                <c:ptCount val="1"/>
                <c:pt idx="0">
                  <c:v>Changes in inventories / valuables (P.52+P.53)</c:v>
                </c:pt>
              </c:strCache>
            </c:strRef>
          </c:tx>
          <c:spPr>
            <a:solidFill>
              <a:srgbClr val="CCFFFF"/>
            </a:solidFill>
            <a:ln w="12700">
              <a:solidFill>
                <a:srgbClr val="000000"/>
              </a:solidFill>
              <a:prstDash val="solid"/>
            </a:ln>
          </c:spPr>
          <c:invertIfNegative val="0"/>
          <c:val>
            <c:numRef>
              <c:f>'VVP2'!$G$138:$S$138</c:f>
            </c:numRef>
          </c:val>
        </c:ser>
        <c:ser>
          <c:idx val="4"/>
          <c:order val="5"/>
          <c:tx>
            <c:strRef>
              <c:f>'VVP2'!$E$143</c:f>
              <c:strCache>
                <c:ptCount val="1"/>
                <c:pt idx="0">
                  <c:v>Net exports</c:v>
                </c:pt>
              </c:strCache>
            </c:strRef>
          </c:tx>
          <c:spPr>
            <a:solidFill>
              <a:srgbClr val="FF99CC"/>
            </a:solidFill>
            <a:ln w="12700">
              <a:solidFill>
                <a:srgbClr val="000000"/>
              </a:solidFill>
              <a:prstDash val="solid"/>
            </a:ln>
          </c:spPr>
          <c:invertIfNegative val="0"/>
          <c:val>
            <c:numRef>
              <c:f>'VVP2'!$G$143:$AA$143</c:f>
              <c:numCache>
                <c:formatCode>0.0</c:formatCode>
                <c:ptCount val="4"/>
                <c:pt idx="0">
                  <c:v>4.1379763532346994</c:v>
                </c:pt>
                <c:pt idx="1">
                  <c:v>0.68814118466482288</c:v>
                </c:pt>
                <c:pt idx="2">
                  <c:v>0.18357248352468503</c:v>
                </c:pt>
                <c:pt idx="3">
                  <c:v>-5.1941064773000667</c:v>
                </c:pt>
              </c:numCache>
            </c:numRef>
          </c:val>
        </c:ser>
        <c:dLbls>
          <c:showLegendKey val="0"/>
          <c:showVal val="0"/>
          <c:showCatName val="0"/>
          <c:showSerName val="0"/>
          <c:showPercent val="0"/>
          <c:showBubbleSize val="0"/>
        </c:dLbls>
        <c:gapWidth val="150"/>
        <c:overlap val="100"/>
        <c:axId val="239950848"/>
        <c:axId val="239952640"/>
      </c:barChart>
      <c:catAx>
        <c:axId val="2399477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9949312"/>
        <c:crosses val="autoZero"/>
        <c:auto val="1"/>
        <c:lblAlgn val="ctr"/>
        <c:lblOffset val="100"/>
        <c:tickLblSkip val="2"/>
        <c:tickMarkSkip val="1"/>
        <c:noMultiLvlLbl val="0"/>
      </c:catAx>
      <c:valAx>
        <c:axId val="239949312"/>
        <c:scaling>
          <c:orientation val="minMax"/>
          <c:max val="5"/>
          <c:min val="-2"/>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9947776"/>
        <c:crosses val="autoZero"/>
        <c:crossBetween val="between"/>
      </c:valAx>
      <c:catAx>
        <c:axId val="239950848"/>
        <c:scaling>
          <c:orientation val="minMax"/>
        </c:scaling>
        <c:delete val="1"/>
        <c:axPos val="b"/>
        <c:numFmt formatCode="0" sourceLinked="1"/>
        <c:majorTickMark val="out"/>
        <c:minorTickMark val="none"/>
        <c:tickLblPos val="nextTo"/>
        <c:crossAx val="239952640"/>
        <c:crosses val="autoZero"/>
        <c:auto val="1"/>
        <c:lblAlgn val="ctr"/>
        <c:lblOffset val="100"/>
        <c:noMultiLvlLbl val="0"/>
      </c:catAx>
      <c:valAx>
        <c:axId val="239952640"/>
        <c:scaling>
          <c:orientation val="minMax"/>
          <c:max val="5"/>
          <c:min val="-2"/>
        </c:scaling>
        <c:delete val="0"/>
        <c:axPos val="r"/>
        <c:numFmt formatCode="0" sourceLinked="0"/>
        <c:majorTickMark val="out"/>
        <c:minorTickMark val="none"/>
        <c:tickLblPos val="nextTo"/>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9950848"/>
        <c:crosses val="max"/>
        <c:crossBetween val="between"/>
      </c:valAx>
      <c:spPr>
        <a:noFill/>
        <a:ln w="12700">
          <a:solidFill>
            <a:srgbClr val="808080"/>
          </a:solidFill>
          <a:prstDash val="solid"/>
        </a:ln>
      </c:spPr>
    </c:plotArea>
    <c:legend>
      <c:legendPos val="r"/>
      <c:layout>
        <c:manualLayout>
          <c:xMode val="edge"/>
          <c:yMode val="edge"/>
          <c:x val="3.5714285714285712E-2"/>
          <c:y val="0.87764705882352945"/>
          <c:w val="0.9598214285714286"/>
          <c:h val="0.10588235294117643"/>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Domestic demand (Excl. and incl. inventories - VOL)</a:t>
            </a:r>
          </a:p>
        </c:rich>
      </c:tx>
      <c:layout>
        <c:manualLayout>
          <c:xMode val="edge"/>
          <c:yMode val="edge"/>
          <c:x val="0.12946452005999248"/>
          <c:y val="3.3519553072625698E-2"/>
        </c:manualLayout>
      </c:layout>
      <c:overlay val="0"/>
      <c:spPr>
        <a:noFill/>
        <a:ln w="25400">
          <a:noFill/>
        </a:ln>
      </c:spPr>
    </c:title>
    <c:autoTitleDeleted val="0"/>
    <c:plotArea>
      <c:layout>
        <c:manualLayout>
          <c:layoutTarget val="inner"/>
          <c:xMode val="edge"/>
          <c:yMode val="edge"/>
          <c:x val="0.12500013623933653"/>
          <c:y val="0.17597789365001643"/>
          <c:w val="0.80803659497571123"/>
          <c:h val="0.56145327974052861"/>
        </c:manualLayout>
      </c:layout>
      <c:lineChart>
        <c:grouping val="standard"/>
        <c:varyColors val="0"/>
        <c:ser>
          <c:idx val="2"/>
          <c:order val="0"/>
          <c:tx>
            <c:strRef>
              <c:f>'VVP2'!$D$61:$E$61</c:f>
              <c:strCache>
                <c:ptCount val="1"/>
                <c:pt idx="0">
                  <c:v>  Domestic demand excluding inventories</c:v>
                </c:pt>
              </c:strCache>
            </c:strRef>
          </c:tx>
          <c:spPr>
            <a:ln w="25400">
              <a:solidFill>
                <a:srgbClr val="0000FF"/>
              </a:solidFill>
              <a:prstDash val="solid"/>
            </a:ln>
          </c:spPr>
          <c:marker>
            <c:symbol val="squar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'VVP2'!$G$61:$AA$61</c:f>
              <c:numCache>
                <c:formatCode>0.0</c:formatCode>
                <c:ptCount val="4"/>
                <c:pt idx="0">
                  <c:v>1.8534463179261218</c:v>
                </c:pt>
                <c:pt idx="1">
                  <c:v>4.3793729421538252</c:v>
                </c:pt>
                <c:pt idx="2">
                  <c:v>3.6753768570909839</c:v>
                </c:pt>
                <c:pt idx="3">
                  <c:v>3.4931110607300253</c:v>
                </c:pt>
              </c:numCache>
            </c:numRef>
          </c:val>
          <c:smooth val="0"/>
        </c:ser>
        <c:ser>
          <c:idx val="0"/>
          <c:order val="1"/>
          <c:tx>
            <c:strRef>
              <c:f>'VVP2'!$D$78:$E$78</c:f>
              <c:strCache>
                <c:ptCount val="1"/>
                <c:pt idx="0">
                  <c:v>  Domestic demand including inventories</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'VVP2'!$G$78:$AA$78</c:f>
              <c:numCache>
                <c:formatCode>0.0</c:formatCode>
                <c:ptCount val="4"/>
                <c:pt idx="0">
                  <c:v>-0.30327952407929182</c:v>
                </c:pt>
                <c:pt idx="1">
                  <c:v>2.8348069403326015</c:v>
                </c:pt>
                <c:pt idx="2">
                  <c:v>3.3964905192808814</c:v>
                </c:pt>
                <c:pt idx="3">
                  <c:v>7.3820736449621061</c:v>
                </c:pt>
              </c:numCache>
            </c:numRef>
          </c:val>
          <c:smooth val="0"/>
        </c:ser>
        <c:dLbls>
          <c:showLegendKey val="0"/>
          <c:showVal val="0"/>
          <c:showCatName val="0"/>
          <c:showSerName val="0"/>
          <c:showPercent val="0"/>
          <c:showBubbleSize val="0"/>
        </c:dLbls>
        <c:marker val="1"/>
        <c:smooth val="0"/>
        <c:axId val="239985792"/>
        <c:axId val="239987712"/>
      </c:lineChart>
      <c:catAx>
        <c:axId val="2399857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39987712"/>
        <c:crosses val="autoZero"/>
        <c:auto val="1"/>
        <c:lblAlgn val="ctr"/>
        <c:lblOffset val="100"/>
        <c:tickLblSkip val="2"/>
        <c:tickMarkSkip val="1"/>
        <c:noMultiLvlLbl val="0"/>
      </c:catAx>
      <c:valAx>
        <c:axId val="2399877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39985792"/>
        <c:crosses val="autoZero"/>
        <c:crossBetween val="midCat"/>
      </c:valAx>
      <c:spPr>
        <a:noFill/>
        <a:ln w="12700">
          <a:solidFill>
            <a:srgbClr val="808080"/>
          </a:solidFill>
          <a:prstDash val="solid"/>
        </a:ln>
      </c:spPr>
    </c:plotArea>
    <c:legend>
      <c:legendPos val="r"/>
      <c:layout>
        <c:manualLayout>
          <c:xMode val="edge"/>
          <c:yMode val="edge"/>
          <c:x val="0.22098237720284963"/>
          <c:y val="0.85474977638968308"/>
          <c:w val="0.613839988751406"/>
          <c:h val="0.12569861728177834"/>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Domestic demand and its main components (VOL)</a:t>
            </a:r>
          </a:p>
        </c:rich>
      </c:tx>
      <c:layout>
        <c:manualLayout>
          <c:xMode val="edge"/>
          <c:yMode val="edge"/>
          <c:x val="0.14285737720284963"/>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44413468397385103"/>
        </c:manualLayout>
      </c:layout>
      <c:lineChart>
        <c:grouping val="standard"/>
        <c:varyColors val="0"/>
        <c:ser>
          <c:idx val="0"/>
          <c:order val="0"/>
          <c:tx>
            <c:strRef>
              <c:f>'VVP2'!$D$61:$E$61</c:f>
              <c:strCache>
                <c:ptCount val="1"/>
                <c:pt idx="0">
                  <c:v>  Domestic demand excluding inventories</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'VVP2'!$G$61:$AA$61</c:f>
              <c:numCache>
                <c:formatCode>0.0</c:formatCode>
                <c:ptCount val="4"/>
                <c:pt idx="0">
                  <c:v>1.8534463179261218</c:v>
                </c:pt>
                <c:pt idx="1">
                  <c:v>4.3793729421538252</c:v>
                </c:pt>
                <c:pt idx="2">
                  <c:v>3.6753768570909839</c:v>
                </c:pt>
                <c:pt idx="3">
                  <c:v>3.4931110607300253</c:v>
                </c:pt>
              </c:numCache>
            </c:numRef>
          </c:val>
          <c:smooth val="0"/>
        </c:ser>
        <c:ser>
          <c:idx val="1"/>
          <c:order val="1"/>
          <c:tx>
            <c:strRef>
              <c:f>'VVP2'!$D$58:$E$58</c:f>
              <c:strCache>
                <c:ptCount val="1"/>
                <c:pt idx="0">
                  <c:v>HH Final consumption expenditure (P.3)</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'VVP2'!$G$58:$AA$58</c:f>
              <c:numCache>
                <c:formatCode>0.0</c:formatCode>
                <c:ptCount val="4"/>
                <c:pt idx="0">
                  <c:v>3.0945388078617908</c:v>
                </c:pt>
                <c:pt idx="1">
                  <c:v>4.3134239507887751</c:v>
                </c:pt>
                <c:pt idx="2">
                  <c:v>3.9665319224824414</c:v>
                </c:pt>
                <c:pt idx="3">
                  <c:v>3.9764903202443636</c:v>
                </c:pt>
              </c:numCache>
            </c:numRef>
          </c:val>
          <c:smooth val="0"/>
        </c:ser>
        <c:ser>
          <c:idx val="2"/>
          <c:order val="2"/>
          <c:tx>
            <c:strRef>
              <c:f>'VVP2'!$D$59:$E$59</c:f>
              <c:strCache>
                <c:ptCount val="1"/>
                <c:pt idx="0">
                  <c:v>GVT Final consumption expenditure (P.3)</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'VVP2'!$G$59:$AA$59</c:f>
              <c:numCache>
                <c:formatCode>0.0</c:formatCode>
                <c:ptCount val="4"/>
                <c:pt idx="0">
                  <c:v>1.2852705291526378</c:v>
                </c:pt>
                <c:pt idx="1">
                  <c:v>0.72272891610254408</c:v>
                </c:pt>
                <c:pt idx="2">
                  <c:v>0.28733548938097986</c:v>
                </c:pt>
                <c:pt idx="3">
                  <c:v>0.16432578821721222</c:v>
                </c:pt>
              </c:numCache>
            </c:numRef>
          </c:val>
          <c:smooth val="0"/>
        </c:ser>
        <c:ser>
          <c:idx val="3"/>
          <c:order val="3"/>
          <c:tx>
            <c:strRef>
              <c:f>'VVP2'!$D$60:$E$60</c:f>
              <c:strCache>
                <c:ptCount val="1"/>
                <c:pt idx="0">
                  <c:v>  Gross fixed capital formation (P.51)</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'VVP2'!$G$60:$AA$60</c:f>
              <c:numCache>
                <c:formatCode>0.0</c:formatCode>
                <c:ptCount val="4"/>
                <c:pt idx="0">
                  <c:v>-1.7782896509459301</c:v>
                </c:pt>
                <c:pt idx="1">
                  <c:v>8.2995817129866154</c:v>
                </c:pt>
                <c:pt idx="2">
                  <c:v>5.75191791299281</c:v>
                </c:pt>
                <c:pt idx="3">
                  <c:v>4.8264990153196852</c:v>
                </c:pt>
              </c:numCache>
            </c:numRef>
          </c:val>
          <c:smooth val="0"/>
        </c:ser>
        <c:dLbls>
          <c:showLegendKey val="0"/>
          <c:showVal val="0"/>
          <c:showCatName val="0"/>
          <c:showSerName val="0"/>
          <c:showPercent val="0"/>
          <c:showBubbleSize val="0"/>
        </c:dLbls>
        <c:marker val="1"/>
        <c:smooth val="0"/>
        <c:axId val="240035328"/>
        <c:axId val="240037248"/>
      </c:lineChart>
      <c:catAx>
        <c:axId val="2400353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037248"/>
        <c:crosses val="autoZero"/>
        <c:auto val="1"/>
        <c:lblAlgn val="ctr"/>
        <c:lblOffset val="100"/>
        <c:tickLblSkip val="2"/>
        <c:tickMarkSkip val="1"/>
        <c:noMultiLvlLbl val="0"/>
      </c:catAx>
      <c:valAx>
        <c:axId val="24003724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035328"/>
        <c:crosses val="autoZero"/>
        <c:crossBetween val="midCat"/>
      </c:valAx>
      <c:spPr>
        <a:noFill/>
        <a:ln w="12700">
          <a:solidFill>
            <a:srgbClr val="808080"/>
          </a:solidFill>
          <a:prstDash val="solid"/>
        </a:ln>
      </c:spPr>
    </c:plotArea>
    <c:legend>
      <c:legendPos val="r"/>
      <c:layout>
        <c:manualLayout>
          <c:xMode val="edge"/>
          <c:yMode val="edge"/>
          <c:x val="0.20758952005999248"/>
          <c:y val="0.73743104737606124"/>
          <c:w val="0.61830427446569169"/>
          <c:h val="0.24581034912535371"/>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and GDP (VOL)</a:t>
            </a:r>
          </a:p>
        </c:rich>
      </c:tx>
      <c:layout>
        <c:manualLayout>
          <c:xMode val="edge"/>
          <c:yMode val="edge"/>
          <c:x val="0.33258975440569927"/>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56022562211578175"/>
        </c:manualLayout>
      </c:layout>
      <c:lineChart>
        <c:grouping val="standard"/>
        <c:varyColors val="0"/>
        <c:ser>
          <c:idx val="2"/>
          <c:order val="0"/>
          <c:tx>
            <c:strRef>
              <c:f>'VVP2'!$D$89:$E$89</c:f>
              <c:strCache>
                <c:ptCount val="1"/>
                <c:pt idx="0">
                  <c:v>  Exports (P.6)</c:v>
                </c:pt>
              </c:strCache>
            </c:strRef>
          </c:tx>
          <c:spPr>
            <a:ln w="25400">
              <a:solidFill>
                <a:srgbClr val="FF0000"/>
              </a:solidFill>
              <a:prstDash val="solid"/>
            </a:ln>
          </c:spPr>
          <c:marker>
            <c:symbol val="squar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'VVP2'!$G$89:$AA$89</c:f>
              <c:numCache>
                <c:formatCode>0.0</c:formatCode>
                <c:ptCount val="4"/>
                <c:pt idx="0">
                  <c:v>12.388585390503515</c:v>
                </c:pt>
                <c:pt idx="1">
                  <c:v>9.8597881982962718</c:v>
                </c:pt>
                <c:pt idx="2">
                  <c:v>3.2687395240077022</c:v>
                </c:pt>
                <c:pt idx="3">
                  <c:v>-0.36250801068858918</c:v>
                </c:pt>
              </c:numCache>
            </c:numRef>
          </c:val>
          <c:smooth val="0"/>
        </c:ser>
        <c:ser>
          <c:idx val="0"/>
          <c:order val="1"/>
          <c:tx>
            <c:strRef>
              <c:f>'VVP2'!$D$131:$E$131</c:f>
              <c:strCache>
                <c:ptCount val="1"/>
                <c:pt idx="0">
                  <c:v>  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'VVP2'!$G$131:$AA$131</c:f>
              <c:numCache>
                <c:formatCode>0.0</c:formatCode>
                <c:ptCount val="4"/>
                <c:pt idx="0">
                  <c:v>3.8269382239940919</c:v>
                </c:pt>
                <c:pt idx="1">
                  <c:v>3.498577230569011</c:v>
                </c:pt>
                <c:pt idx="2" formatCode="0.000">
                  <c:v>3.5375855747539431</c:v>
                </c:pt>
                <c:pt idx="3" formatCode="0.000">
                  <c:v>2.0346676424249033</c:v>
                </c:pt>
              </c:numCache>
            </c:numRef>
          </c:val>
          <c:smooth val="0"/>
        </c:ser>
        <c:dLbls>
          <c:showLegendKey val="0"/>
          <c:showVal val="0"/>
          <c:showCatName val="0"/>
          <c:showSerName val="0"/>
          <c:showPercent val="0"/>
          <c:showBubbleSize val="0"/>
        </c:dLbls>
        <c:marker val="1"/>
        <c:smooth val="0"/>
        <c:axId val="240521216"/>
        <c:axId val="240523136"/>
      </c:lineChart>
      <c:catAx>
        <c:axId val="2405212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523136"/>
        <c:crosses val="autoZero"/>
        <c:auto val="1"/>
        <c:lblAlgn val="ctr"/>
        <c:lblOffset val="100"/>
        <c:tickLblSkip val="2"/>
        <c:tickMarkSkip val="1"/>
        <c:noMultiLvlLbl val="0"/>
      </c:catAx>
      <c:valAx>
        <c:axId val="24052313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521216"/>
        <c:crosses val="autoZero"/>
        <c:crossBetween val="midCat"/>
      </c:valAx>
      <c:spPr>
        <a:noFill/>
        <a:ln w="12700">
          <a:solidFill>
            <a:srgbClr val="808080"/>
          </a:solidFill>
          <a:prstDash val="solid"/>
        </a:ln>
      </c:spPr>
    </c:plotArea>
    <c:legend>
      <c:legendPos val="r"/>
      <c:layout>
        <c:manualLayout>
          <c:xMode val="edge"/>
          <c:yMode val="edge"/>
          <c:x val="0.15401809148856391"/>
          <c:y val="0.85434408934177342"/>
          <c:w val="0.7254471316085489"/>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of goods and services (VOL)</a:t>
            </a:r>
          </a:p>
        </c:rich>
      </c:tx>
      <c:layout>
        <c:manualLayout>
          <c:xMode val="edge"/>
          <c:yMode val="edge"/>
          <c:x val="0.2433038057742782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1"/>
          <c:order val="0"/>
          <c:tx>
            <c:strRef>
              <c:f>'VVP2'!$D$87:$E$87</c:f>
              <c:strCache>
                <c:ptCount val="1"/>
                <c:pt idx="0">
                  <c:v>  Exports of services (P.62)</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'VVP2'!$G$87:$AA$87</c:f>
              <c:numCache>
                <c:formatCode>0.0</c:formatCode>
                <c:ptCount val="4"/>
                <c:pt idx="0">
                  <c:v>16.130370068823385</c:v>
                </c:pt>
                <c:pt idx="1">
                  <c:v>12.494933538986007</c:v>
                </c:pt>
                <c:pt idx="2">
                  <c:v>9.7412866335322423</c:v>
                </c:pt>
                <c:pt idx="3">
                  <c:v>1.3292350066195668</c:v>
                </c:pt>
              </c:numCache>
            </c:numRef>
          </c:val>
          <c:smooth val="0"/>
        </c:ser>
        <c:ser>
          <c:idx val="2"/>
          <c:order val="1"/>
          <c:tx>
            <c:strRef>
              <c:f>'VVP2'!$D$88:$E$88</c:f>
              <c:strCache>
                <c:ptCount val="1"/>
                <c:pt idx="0">
                  <c:v>  Exports of goods (P.61)</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'VVP2'!$G$88:$AA$88</c:f>
              <c:numCache>
                <c:formatCode>0.0</c:formatCode>
                <c:ptCount val="4"/>
                <c:pt idx="0">
                  <c:v>11.611556629682539</c:v>
                </c:pt>
                <c:pt idx="1">
                  <c:v>9.2966504186976717</c:v>
                </c:pt>
                <c:pt idx="2">
                  <c:v>1.814930544636395</c:v>
                </c:pt>
                <c:pt idx="3">
                  <c:v>-0.78339648707045351</c:v>
                </c:pt>
              </c:numCache>
            </c:numRef>
          </c:val>
          <c:smooth val="0"/>
        </c:ser>
        <c:dLbls>
          <c:showLegendKey val="0"/>
          <c:showVal val="0"/>
          <c:showCatName val="0"/>
          <c:showSerName val="0"/>
          <c:showPercent val="0"/>
          <c:showBubbleSize val="0"/>
        </c:dLbls>
        <c:marker val="1"/>
        <c:smooth val="0"/>
        <c:axId val="240544000"/>
        <c:axId val="240570752"/>
      </c:lineChart>
      <c:catAx>
        <c:axId val="24054400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570752"/>
        <c:crosses val="autoZero"/>
        <c:auto val="1"/>
        <c:lblAlgn val="ctr"/>
        <c:lblOffset val="100"/>
        <c:tickLblSkip val="2"/>
        <c:tickMarkSkip val="1"/>
        <c:noMultiLvlLbl val="0"/>
      </c:catAx>
      <c:valAx>
        <c:axId val="2405707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544000"/>
        <c:crosses val="autoZero"/>
        <c:crossBetween val="midCat"/>
      </c:valAx>
      <c:spPr>
        <a:noFill/>
        <a:ln w="12700">
          <a:solidFill>
            <a:srgbClr val="808080"/>
          </a:solidFill>
          <a:prstDash val="solid"/>
        </a:ln>
      </c:spPr>
    </c:plotArea>
    <c:legend>
      <c:legendPos val="r"/>
      <c:layout>
        <c:manualLayout>
          <c:xMode val="edge"/>
          <c:yMode val="edge"/>
          <c:x val="7.5892857142857137E-2"/>
          <c:y val="0.9129213483146067"/>
          <c:w val="0.84598308023997004"/>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and final demand (VOL)</a:t>
            </a:r>
          </a:p>
        </c:rich>
      </c:tx>
      <c:layout>
        <c:manualLayout>
          <c:xMode val="edge"/>
          <c:yMode val="edge"/>
          <c:x val="0.27008952005999248"/>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904931243793893"/>
        </c:manualLayout>
      </c:layout>
      <c:lineChart>
        <c:grouping val="standard"/>
        <c:varyColors val="0"/>
        <c:ser>
          <c:idx val="2"/>
          <c:order val="0"/>
          <c:tx>
            <c:strRef>
              <c:f>'VVP2'!$D$111:$E$111</c:f>
              <c:strCache>
                <c:ptCount val="1"/>
                <c:pt idx="0">
                  <c:v>  Imports of goods and services (P.7)</c:v>
                </c:pt>
              </c:strCache>
            </c:strRef>
          </c:tx>
          <c:spPr>
            <a:ln w="25400">
              <a:solidFill>
                <a:srgbClr val="0000FF"/>
              </a:solidFill>
              <a:prstDash val="solid"/>
            </a:ln>
          </c:spPr>
          <c:marker>
            <c:symbol val="squar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'VVP2'!$G$111:$AA$111</c:f>
              <c:numCache>
                <c:formatCode>0.0</c:formatCode>
                <c:ptCount val="4"/>
                <c:pt idx="0">
                  <c:v>6.6449627758580876</c:v>
                </c:pt>
                <c:pt idx="1">
                  <c:v>9.1127519671375001</c:v>
                </c:pt>
                <c:pt idx="2">
                  <c:v>3.0964332515761805</c:v>
                </c:pt>
                <c:pt idx="3">
                  <c:v>6.2006079962821703</c:v>
                </c:pt>
              </c:numCache>
            </c:numRef>
          </c:val>
          <c:smooth val="0"/>
        </c:ser>
        <c:ser>
          <c:idx val="0"/>
          <c:order val="1"/>
          <c:tx>
            <c:strRef>
              <c:f>'VVP2'!$D$100:$E$100</c:f>
              <c:strCache>
                <c:ptCount val="1"/>
                <c:pt idx="0">
                  <c:v>  Final demand</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'VVP2'!$G$100:$AA$100</c:f>
              <c:numCache>
                <c:formatCode>0.0</c:formatCode>
                <c:ptCount val="4"/>
                <c:pt idx="0">
                  <c:v>5.0577675096519004</c:v>
                </c:pt>
                <c:pt idx="1">
                  <c:v>6.0069223963111984</c:v>
                </c:pt>
                <c:pt idx="2">
                  <c:v>3.3377467649213566</c:v>
                </c:pt>
                <c:pt idx="3">
                  <c:v>3.8735925824965767</c:v>
                </c:pt>
              </c:numCache>
            </c:numRef>
          </c:val>
          <c:smooth val="0"/>
        </c:ser>
        <c:dLbls>
          <c:showLegendKey val="0"/>
          <c:showVal val="0"/>
          <c:showCatName val="0"/>
          <c:showSerName val="0"/>
          <c:showPercent val="0"/>
          <c:showBubbleSize val="0"/>
        </c:dLbls>
        <c:marker val="1"/>
        <c:smooth val="0"/>
        <c:axId val="240612096"/>
        <c:axId val="240614016"/>
      </c:lineChart>
      <c:catAx>
        <c:axId val="24061209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614016"/>
        <c:crosses val="autoZero"/>
        <c:auto val="1"/>
        <c:lblAlgn val="ctr"/>
        <c:lblOffset val="100"/>
        <c:tickLblSkip val="2"/>
        <c:tickMarkSkip val="1"/>
        <c:noMultiLvlLbl val="0"/>
      </c:catAx>
      <c:valAx>
        <c:axId val="24061401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612096"/>
        <c:crosses val="autoZero"/>
        <c:crossBetween val="midCat"/>
      </c:valAx>
      <c:spPr>
        <a:noFill/>
        <a:ln w="12700">
          <a:solidFill>
            <a:srgbClr val="808080"/>
          </a:solidFill>
          <a:prstDash val="solid"/>
        </a:ln>
      </c:spPr>
    </c:plotArea>
    <c:legend>
      <c:legendPos val="r"/>
      <c:layout>
        <c:manualLayout>
          <c:xMode val="edge"/>
          <c:yMode val="edge"/>
          <c:x val="8.0357142857142863E-2"/>
          <c:y val="0.91316761875353814"/>
          <c:w val="0.83705450881139853"/>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of goods and services (VOL)</a:t>
            </a:r>
          </a:p>
        </c:rich>
      </c:tx>
      <c:layout>
        <c:manualLayout>
          <c:xMode val="edge"/>
          <c:yMode val="edge"/>
          <c:x val="0.24330380577427821"/>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6201125776238674"/>
        </c:manualLayout>
      </c:layout>
      <c:lineChart>
        <c:grouping val="standard"/>
        <c:varyColors val="0"/>
        <c:ser>
          <c:idx val="1"/>
          <c:order val="0"/>
          <c:tx>
            <c:strRef>
              <c:f>'VVP2'!$D$109:$E$109</c:f>
              <c:strCache>
                <c:ptCount val="1"/>
                <c:pt idx="0">
                  <c:v>  Imports of services (P.72)</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'VVP2'!$G$109:$AA$109</c:f>
              <c:numCache>
                <c:formatCode>0.0</c:formatCode>
                <c:ptCount val="4"/>
                <c:pt idx="0">
                  <c:v>21.155166590580965</c:v>
                </c:pt>
                <c:pt idx="1">
                  <c:v>18.897044407411023</c:v>
                </c:pt>
                <c:pt idx="2">
                  <c:v>5.0226992821770677</c:v>
                </c:pt>
                <c:pt idx="3">
                  <c:v>-0.2087769741813128</c:v>
                </c:pt>
              </c:numCache>
            </c:numRef>
          </c:val>
          <c:smooth val="0"/>
        </c:ser>
        <c:ser>
          <c:idx val="2"/>
          <c:order val="1"/>
          <c:tx>
            <c:strRef>
              <c:f>'VVP2'!$D$110:$E$110</c:f>
              <c:strCache>
                <c:ptCount val="1"/>
                <c:pt idx="0">
                  <c:v>  Imports of goods (P.71)</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'VVP2'!$G$110:$AA$110</c:f>
              <c:numCache>
                <c:formatCode>0.0</c:formatCode>
                <c:ptCount val="4"/>
                <c:pt idx="0">
                  <c:v>4.7772473180393682</c:v>
                </c:pt>
                <c:pt idx="1">
                  <c:v>7.697496661124914</c:v>
                </c:pt>
                <c:pt idx="2">
                  <c:v>2.7845828543830997</c:v>
                </c:pt>
                <c:pt idx="3">
                  <c:v>7.2942455275508689</c:v>
                </c:pt>
              </c:numCache>
            </c:numRef>
          </c:val>
          <c:smooth val="0"/>
        </c:ser>
        <c:dLbls>
          <c:showLegendKey val="0"/>
          <c:showVal val="0"/>
          <c:showCatName val="0"/>
          <c:showSerName val="0"/>
          <c:showPercent val="0"/>
          <c:showBubbleSize val="0"/>
        </c:dLbls>
        <c:marker val="1"/>
        <c:smooth val="0"/>
        <c:axId val="240659456"/>
        <c:axId val="240665728"/>
      </c:lineChart>
      <c:catAx>
        <c:axId val="2406594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665728"/>
        <c:crosses val="autoZero"/>
        <c:auto val="1"/>
        <c:lblAlgn val="ctr"/>
        <c:lblOffset val="100"/>
        <c:tickLblSkip val="2"/>
        <c:tickMarkSkip val="1"/>
        <c:noMultiLvlLbl val="0"/>
      </c:catAx>
      <c:valAx>
        <c:axId val="24066572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659456"/>
        <c:crosses val="autoZero"/>
        <c:crossBetween val="midCat"/>
      </c:valAx>
      <c:spPr>
        <a:noFill/>
        <a:ln w="12700">
          <a:solidFill>
            <a:srgbClr val="808080"/>
          </a:solidFill>
          <a:prstDash val="solid"/>
        </a:ln>
      </c:spPr>
    </c:plotArea>
    <c:legend>
      <c:legendPos val="r"/>
      <c:layout>
        <c:manualLayout>
          <c:xMode val="edge"/>
          <c:yMode val="edge"/>
          <c:x val="8.0357142857142863E-2"/>
          <c:y val="0.91340899426677802"/>
          <c:w val="0.83705450881139853"/>
          <c:h val="6.7039106145251437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related to final demand (VOL)</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61624818432735995"/>
        </c:manualLayout>
      </c:layout>
      <c:scatterChart>
        <c:scatterStyle val="lineMarker"/>
        <c:varyColors val="0"/>
        <c:ser>
          <c:idx val="2"/>
          <c:order val="0"/>
          <c:tx>
            <c:strRef>
              <c:f>'VVP2'!$D$111:$E$111</c:f>
              <c:strCache>
                <c:ptCount val="1"/>
                <c:pt idx="0">
                  <c:v>  Imports of goods and services (P.7)</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'VVP2'!$G$100:$AA$100</c:f>
              <c:numCache>
                <c:formatCode>0.0</c:formatCode>
                <c:ptCount val="4"/>
                <c:pt idx="0">
                  <c:v>5.0577675096519004</c:v>
                </c:pt>
                <c:pt idx="1">
                  <c:v>6.0069223963111984</c:v>
                </c:pt>
                <c:pt idx="2">
                  <c:v>3.3377467649213566</c:v>
                </c:pt>
                <c:pt idx="3">
                  <c:v>3.8735925824965767</c:v>
                </c:pt>
              </c:numCache>
            </c:numRef>
          </c:xVal>
          <c:yVal>
            <c:numRef>
              <c:f>'VVP2'!$G$111:$AA$111</c:f>
              <c:numCache>
                <c:formatCode>0.0</c:formatCode>
                <c:ptCount val="4"/>
                <c:pt idx="0">
                  <c:v>6.6449627758580876</c:v>
                </c:pt>
                <c:pt idx="1">
                  <c:v>9.1127519671375001</c:v>
                </c:pt>
                <c:pt idx="2">
                  <c:v>3.0964332515761805</c:v>
                </c:pt>
                <c:pt idx="3">
                  <c:v>6.2006079962821703</c:v>
                </c:pt>
              </c:numCache>
            </c:numRef>
          </c:yVal>
          <c:smooth val="0"/>
        </c:ser>
        <c:dLbls>
          <c:showLegendKey val="0"/>
          <c:showVal val="0"/>
          <c:showCatName val="0"/>
          <c:showSerName val="0"/>
          <c:showPercent val="0"/>
          <c:showBubbleSize val="0"/>
        </c:dLbls>
        <c:axId val="240695168"/>
        <c:axId val="240696704"/>
      </c:scatterChart>
      <c:valAx>
        <c:axId val="24069516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696704"/>
        <c:crosses val="autoZero"/>
        <c:crossBetween val="midCat"/>
      </c:valAx>
      <c:valAx>
        <c:axId val="2406967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695168"/>
        <c:crosses val="autoZero"/>
        <c:crossBetween val="midCat"/>
      </c:valAx>
      <c:spPr>
        <a:noFill/>
        <a:ln w="12700">
          <a:solidFill>
            <a:srgbClr val="808080"/>
          </a:solidFill>
          <a:prstDash val="solid"/>
        </a:ln>
      </c:spPr>
    </c:plotArea>
    <c:legend>
      <c:legendPos val="r"/>
      <c:layout>
        <c:manualLayout>
          <c:xMode val="edge"/>
          <c:yMode val="edge"/>
          <c:x val="0.17187523434570678"/>
          <c:y val="0.85434408934177342"/>
          <c:w val="0.65848284589426309"/>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of goods and services (DEFLATOR)</a:t>
            </a:r>
          </a:p>
        </c:rich>
      </c:tx>
      <c:layout>
        <c:manualLayout>
          <c:xMode val="edge"/>
          <c:yMode val="edge"/>
          <c:x val="0.1964288057742782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0"/>
          <c:order val="0"/>
          <c:tx>
            <c:strRef>
              <c:f>'VVP2'!$D$441:$E$441</c:f>
              <c:strCache>
                <c:ptCount val="1"/>
                <c:pt idx="0">
                  <c:v>GVT Exports of services (P.62)</c:v>
                </c:pt>
              </c:strCache>
            </c:strRef>
          </c:tx>
          <c:spPr>
            <a:ln w="25400">
              <a:solidFill>
                <a:srgbClr val="3366FF"/>
              </a:solidFill>
              <a:prstDash val="solid"/>
            </a:ln>
          </c:spPr>
          <c:marker>
            <c:symbol val="circle"/>
            <c:size val="5"/>
            <c:spPr>
              <a:solidFill>
                <a:srgbClr val="FFFFFF"/>
              </a:solidFill>
              <a:ln>
                <a:solidFill>
                  <a:srgbClr val="3366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'VVP2'!$G$441:$AA$441</c:f>
              <c:numCache>
                <c:formatCode>0.0</c:formatCode>
                <c:ptCount val="4"/>
                <c:pt idx="0">
                  <c:v>2.3327095852569535</c:v>
                </c:pt>
                <c:pt idx="1">
                  <c:v>-2.9135439792327134E-2</c:v>
                </c:pt>
                <c:pt idx="2">
                  <c:v>-0.11589983094432155</c:v>
                </c:pt>
                <c:pt idx="3">
                  <c:v>1.449867374577285</c:v>
                </c:pt>
              </c:numCache>
            </c:numRef>
          </c:val>
          <c:smooth val="0"/>
        </c:ser>
        <c:ser>
          <c:idx val="2"/>
          <c:order val="1"/>
          <c:tx>
            <c:strRef>
              <c:f>'VVP2'!$D$442:$E$442</c:f>
              <c:strCache>
                <c:ptCount val="1"/>
                <c:pt idx="0">
                  <c:v>GVT Exports of goods (P.61)</c:v>
                </c:pt>
              </c:strCache>
            </c:strRef>
          </c:tx>
          <c:spPr>
            <a:ln w="25400">
              <a:solidFill>
                <a:srgbClr val="99CC00"/>
              </a:solidFill>
              <a:prstDash val="solid"/>
            </a:ln>
          </c:spPr>
          <c:marker>
            <c:symbol val="square"/>
            <c:size val="5"/>
            <c:spPr>
              <a:solidFill>
                <a:srgbClr val="FFFFFF"/>
              </a:solidFill>
              <a:ln>
                <a:solidFill>
                  <a:srgbClr val="99CC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'VVP2'!$G$442:$AA$442</c:f>
              <c:numCache>
                <c:formatCode>0.0</c:formatCode>
                <c:ptCount val="4"/>
                <c:pt idx="0">
                  <c:v>3.4599548286881054</c:v>
                </c:pt>
                <c:pt idx="1">
                  <c:v>-2.0988570399652073</c:v>
                </c:pt>
                <c:pt idx="2">
                  <c:v>-2.7978358841214912</c:v>
                </c:pt>
                <c:pt idx="3">
                  <c:v>-5.3224435872370019</c:v>
                </c:pt>
              </c:numCache>
            </c:numRef>
          </c:val>
          <c:smooth val="0"/>
        </c:ser>
        <c:dLbls>
          <c:showLegendKey val="0"/>
          <c:showVal val="0"/>
          <c:showCatName val="0"/>
          <c:showSerName val="0"/>
          <c:showPercent val="0"/>
          <c:showBubbleSize val="0"/>
        </c:dLbls>
        <c:marker val="1"/>
        <c:smooth val="0"/>
        <c:axId val="240300032"/>
        <c:axId val="240301952"/>
      </c:lineChart>
      <c:catAx>
        <c:axId val="2403000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301952"/>
        <c:crosses val="autoZero"/>
        <c:auto val="1"/>
        <c:lblAlgn val="ctr"/>
        <c:lblOffset val="100"/>
        <c:tickLblSkip val="2"/>
        <c:tickMarkSkip val="1"/>
        <c:noMultiLvlLbl val="0"/>
      </c:catAx>
      <c:valAx>
        <c:axId val="2403019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300032"/>
        <c:crosses val="autoZero"/>
        <c:crossBetween val="midCat"/>
      </c:valAx>
      <c:spPr>
        <a:noFill/>
        <a:ln w="12700">
          <a:solidFill>
            <a:srgbClr val="808080"/>
          </a:solidFill>
          <a:prstDash val="solid"/>
        </a:ln>
      </c:spPr>
    </c:plotArea>
    <c:legend>
      <c:legendPos val="r"/>
      <c:layout>
        <c:manualLayout>
          <c:xMode val="edge"/>
          <c:yMode val="edge"/>
          <c:x val="2.6785714285714284E-2"/>
          <c:y val="0.9129213483146067"/>
          <c:w val="0.9441973659542556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of goods and services (DEFLATOR)</a:t>
            </a:r>
          </a:p>
        </c:rich>
      </c:tx>
      <c:layout>
        <c:manualLayout>
          <c:xMode val="edge"/>
          <c:yMode val="edge"/>
          <c:x val="0.19642880577427821"/>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6201125776238674"/>
        </c:manualLayout>
      </c:layout>
      <c:lineChart>
        <c:grouping val="standard"/>
        <c:varyColors val="0"/>
        <c:ser>
          <c:idx val="0"/>
          <c:order val="0"/>
          <c:tx>
            <c:strRef>
              <c:f>'VVP2'!$E$451</c:f>
              <c:strCache>
                <c:ptCount val="1"/>
                <c:pt idx="0">
                  <c:v>Imports of services (P.72)</c:v>
                </c:pt>
              </c:strCache>
            </c:strRef>
          </c:tx>
          <c:spPr>
            <a:ln w="25400">
              <a:solidFill>
                <a:srgbClr val="3366FF"/>
              </a:solidFill>
              <a:prstDash val="solid"/>
            </a:ln>
          </c:spPr>
          <c:marker>
            <c:symbol val="circle"/>
            <c:size val="5"/>
            <c:spPr>
              <a:solidFill>
                <a:srgbClr val="FFFFFF"/>
              </a:solidFill>
              <a:ln>
                <a:solidFill>
                  <a:srgbClr val="3366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'VVP2'!$G$451:$AA$451</c:f>
              <c:numCache>
                <c:formatCode>0.0</c:formatCode>
                <c:ptCount val="4"/>
                <c:pt idx="0">
                  <c:v>1.574991662602887</c:v>
                </c:pt>
                <c:pt idx="1">
                  <c:v>-0.33977147555490639</c:v>
                </c:pt>
                <c:pt idx="2">
                  <c:v>-0.55427768582771986</c:v>
                </c:pt>
                <c:pt idx="3">
                  <c:v>1.499858343969751</c:v>
                </c:pt>
              </c:numCache>
            </c:numRef>
          </c:val>
          <c:smooth val="0"/>
        </c:ser>
        <c:ser>
          <c:idx val="2"/>
          <c:order val="1"/>
          <c:tx>
            <c:strRef>
              <c:f>'VVP2'!$E$452</c:f>
              <c:strCache>
                <c:ptCount val="1"/>
                <c:pt idx="0">
                  <c:v>Imports of goods (P.71)</c:v>
                </c:pt>
              </c:strCache>
            </c:strRef>
          </c:tx>
          <c:spPr>
            <a:ln w="25400">
              <a:solidFill>
                <a:srgbClr val="99CC00"/>
              </a:solidFill>
              <a:prstDash val="solid"/>
            </a:ln>
          </c:spPr>
          <c:marker>
            <c:symbol val="square"/>
            <c:size val="5"/>
            <c:spPr>
              <a:solidFill>
                <a:srgbClr val="FFFFFF"/>
              </a:solidFill>
              <a:ln>
                <a:solidFill>
                  <a:srgbClr val="99CC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'VVP2'!$G$452:$AA$452</c:f>
              <c:numCache>
                <c:formatCode>0.0</c:formatCode>
                <c:ptCount val="4"/>
                <c:pt idx="0">
                  <c:v>4.5134490455121634</c:v>
                </c:pt>
                <c:pt idx="1">
                  <c:v>-1.6700354308760712</c:v>
                </c:pt>
                <c:pt idx="2">
                  <c:v>-3.6119050898916538</c:v>
                </c:pt>
                <c:pt idx="3">
                  <c:v>-8.2711510508267416</c:v>
                </c:pt>
              </c:numCache>
            </c:numRef>
          </c:val>
          <c:smooth val="0"/>
        </c:ser>
        <c:dLbls>
          <c:showLegendKey val="0"/>
          <c:showVal val="0"/>
          <c:showCatName val="0"/>
          <c:showSerName val="0"/>
          <c:showPercent val="0"/>
          <c:showBubbleSize val="0"/>
        </c:dLbls>
        <c:marker val="1"/>
        <c:smooth val="0"/>
        <c:axId val="240335104"/>
        <c:axId val="240337280"/>
      </c:lineChart>
      <c:catAx>
        <c:axId val="2403351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337280"/>
        <c:crosses val="autoZero"/>
        <c:auto val="1"/>
        <c:lblAlgn val="ctr"/>
        <c:lblOffset val="100"/>
        <c:tickLblSkip val="2"/>
        <c:tickMarkSkip val="1"/>
        <c:noMultiLvlLbl val="0"/>
      </c:catAx>
      <c:valAx>
        <c:axId val="24033728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335104"/>
        <c:crosses val="autoZero"/>
        <c:crossBetween val="midCat"/>
      </c:valAx>
      <c:spPr>
        <a:noFill/>
        <a:ln w="12700">
          <a:solidFill>
            <a:srgbClr val="808080"/>
          </a:solidFill>
          <a:prstDash val="solid"/>
        </a:ln>
      </c:spPr>
    </c:plotArea>
    <c:legend>
      <c:legendPos val="r"/>
      <c:layout>
        <c:manualLayout>
          <c:xMode val="edge"/>
          <c:yMode val="edge"/>
          <c:x val="0.11607166291713535"/>
          <c:y val="0.91340899426677802"/>
          <c:w val="0.80134022309711284"/>
          <c:h val="6.7039106145251437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Balance of goods and services 
(mrd. Euro - current prices)</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0044653804946686"/>
          <c:y val="0.2247191011235955"/>
          <c:w val="0.83259019316558092"/>
          <c:h val="0.5702247191011236"/>
        </c:manualLayout>
      </c:layout>
      <c:lineChart>
        <c:grouping val="standard"/>
        <c:varyColors val="0"/>
        <c:ser>
          <c:idx val="1"/>
          <c:order val="0"/>
          <c:tx>
            <c:strRef>
              <c:f>'VVP2'!$E$330</c:f>
              <c:strCache>
                <c:ptCount val="1"/>
                <c:pt idx="0">
                  <c:v>Balance of goods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'VVP2'!$G$330:$AA$330</c:f>
              <c:numCache>
                <c:formatCode>0.0</c:formatCode>
                <c:ptCount val="4"/>
                <c:pt idx="0">
                  <c:v>-1.1024399999999979</c:v>
                </c:pt>
                <c:pt idx="1">
                  <c:v>-0.9199300000000008</c:v>
                </c:pt>
                <c:pt idx="2">
                  <c:v>-0.93678000000000239</c:v>
                </c:pt>
                <c:pt idx="3">
                  <c:v>-1.9868899999999989</c:v>
                </c:pt>
              </c:numCache>
            </c:numRef>
          </c:val>
          <c:smooth val="0"/>
        </c:ser>
        <c:ser>
          <c:idx val="2"/>
          <c:order val="1"/>
          <c:tx>
            <c:strRef>
              <c:f>'VVP2'!$E$331</c:f>
              <c:strCache>
                <c:ptCount val="1"/>
                <c:pt idx="0">
                  <c:v>Balance of goods and services</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'VVP2'!$G$331:$AA$331</c:f>
              <c:numCache>
                <c:formatCode>0.0</c:formatCode>
                <c:ptCount val="4"/>
                <c:pt idx="0">
                  <c:v>0.28686000000000078</c:v>
                </c:pt>
                <c:pt idx="1">
                  <c:v>0.43724999999999881</c:v>
                </c:pt>
                <c:pt idx="2">
                  <c:v>0.75952000000000197</c:v>
                </c:pt>
                <c:pt idx="3">
                  <c:v>-0.17949000000000126</c:v>
                </c:pt>
              </c:numCache>
            </c:numRef>
          </c:val>
          <c:smooth val="0"/>
        </c:ser>
        <c:dLbls>
          <c:showLegendKey val="0"/>
          <c:showVal val="0"/>
          <c:showCatName val="0"/>
          <c:showSerName val="0"/>
          <c:showPercent val="0"/>
          <c:showBubbleSize val="0"/>
        </c:dLbls>
        <c:marker val="1"/>
        <c:smooth val="0"/>
        <c:axId val="240370432"/>
        <c:axId val="240372352"/>
      </c:lineChart>
      <c:catAx>
        <c:axId val="2403704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372352"/>
        <c:crosses val="autoZero"/>
        <c:auto val="1"/>
        <c:lblAlgn val="ctr"/>
        <c:lblOffset val="100"/>
        <c:tickLblSkip val="2"/>
        <c:tickMarkSkip val="1"/>
        <c:noMultiLvlLbl val="0"/>
      </c:catAx>
      <c:valAx>
        <c:axId val="2403723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370432"/>
        <c:crosses val="autoZero"/>
        <c:crossBetween val="midCat"/>
      </c:valAx>
      <c:spPr>
        <a:noFill/>
        <a:ln w="12700">
          <a:solidFill>
            <a:srgbClr val="808080"/>
          </a:solidFill>
          <a:prstDash val="solid"/>
        </a:ln>
      </c:spPr>
    </c:plotArea>
    <c:legend>
      <c:legendPos val="r"/>
      <c:layout>
        <c:manualLayout>
          <c:xMode val="edge"/>
          <c:yMode val="edge"/>
          <c:x val="0.12276809148856392"/>
          <c:y val="0.9129213483146067"/>
          <c:w val="0.7879473659542556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Balance of goods and services 
(mrd. Euro - constant prices)</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0044653804946686"/>
          <c:y val="0.2247191011235955"/>
          <c:w val="0.83259019316558092"/>
          <c:h val="0.5702247191011236"/>
        </c:manualLayout>
      </c:layout>
      <c:lineChart>
        <c:grouping val="standard"/>
        <c:varyColors val="0"/>
        <c:ser>
          <c:idx val="1"/>
          <c:order val="0"/>
          <c:tx>
            <c:strRef>
              <c:f>'VVP2'!$E$114</c:f>
              <c:strCache>
                <c:ptCount val="1"/>
                <c:pt idx="0">
                  <c:v>Balance of goods</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'VVP2'!$G$114:$AA$114</c:f>
              <c:numCache>
                <c:formatCode>0.0</c:formatCode>
                <c:ptCount val="4"/>
                <c:pt idx="0">
                  <c:v>-0.67705000000000126</c:v>
                </c:pt>
                <c:pt idx="1">
                  <c:v>-0.42208999999999719</c:v>
                </c:pt>
                <c:pt idx="2">
                  <c:v>-0.63734999999999786</c:v>
                </c:pt>
                <c:pt idx="3">
                  <c:v>-2.40991</c:v>
                </c:pt>
              </c:numCache>
            </c:numRef>
          </c:val>
          <c:smooth val="0"/>
        </c:ser>
        <c:ser>
          <c:idx val="2"/>
          <c:order val="1"/>
          <c:tx>
            <c:strRef>
              <c:f>'VVP2'!$E$115</c:f>
              <c:strCache>
                <c:ptCount val="1"/>
                <c:pt idx="0">
                  <c:v>Balance of goods and services</c:v>
                </c:pt>
              </c:strCache>
            </c:strRef>
          </c:tx>
          <c:spPr>
            <a:ln w="25400">
              <a:solidFill>
                <a:srgbClr val="FF9900"/>
              </a:solidFill>
              <a:prstDash val="solid"/>
            </a:ln>
          </c:spPr>
          <c:marker>
            <c:symbol val="square"/>
            <c:size val="5"/>
            <c:spPr>
              <a:solidFill>
                <a:srgbClr val="FFFFFF"/>
              </a:solidFill>
              <a:ln>
                <a:solidFill>
                  <a:srgbClr val="FF99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'VVP2'!$G$115:$AA$115</c:f>
              <c:numCache>
                <c:formatCode>0.0</c:formatCode>
                <c:ptCount val="4"/>
                <c:pt idx="0">
                  <c:v>0.64616999999999791</c:v>
                </c:pt>
                <c:pt idx="1">
                  <c:v>0.88250000000000028</c:v>
                </c:pt>
                <c:pt idx="2">
                  <c:v>0.95478999999999914</c:v>
                </c:pt>
                <c:pt idx="3">
                  <c:v>-0.75466000000000122</c:v>
                </c:pt>
              </c:numCache>
            </c:numRef>
          </c:val>
          <c:smooth val="0"/>
        </c:ser>
        <c:dLbls>
          <c:showLegendKey val="0"/>
          <c:showVal val="0"/>
          <c:showCatName val="0"/>
          <c:showSerName val="0"/>
          <c:showPercent val="0"/>
          <c:showBubbleSize val="0"/>
        </c:dLbls>
        <c:marker val="1"/>
        <c:smooth val="0"/>
        <c:axId val="240413696"/>
        <c:axId val="240419968"/>
      </c:lineChart>
      <c:catAx>
        <c:axId val="24041369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419968"/>
        <c:crosses val="autoZero"/>
        <c:auto val="1"/>
        <c:lblAlgn val="ctr"/>
        <c:lblOffset val="100"/>
        <c:tickLblSkip val="2"/>
        <c:tickMarkSkip val="1"/>
        <c:noMultiLvlLbl val="0"/>
      </c:catAx>
      <c:valAx>
        <c:axId val="2404199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0413696"/>
        <c:crosses val="autoZero"/>
        <c:crossBetween val="midCat"/>
      </c:valAx>
      <c:spPr>
        <a:noFill/>
        <a:ln w="12700">
          <a:solidFill>
            <a:srgbClr val="808080"/>
          </a:solidFill>
          <a:prstDash val="solid"/>
        </a:ln>
      </c:spPr>
    </c:plotArea>
    <c:legend>
      <c:legendPos val="r"/>
      <c:layout>
        <c:manualLayout>
          <c:xMode val="edge"/>
          <c:yMode val="edge"/>
          <c:x val="0.12276809148856392"/>
          <c:y val="0.9129213483146067"/>
          <c:w val="0.7879473659542556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GDP and GVA (VAL)</a:t>
            </a:r>
          </a:p>
        </c:rich>
      </c:tx>
      <c:layout>
        <c:manualLayout>
          <c:xMode val="edge"/>
          <c:yMode val="edge"/>
          <c:x val="0.35491118297712781"/>
          <c:y val="3.3707865168539325E-2"/>
        </c:manualLayout>
      </c:layout>
      <c:overlay val="0"/>
      <c:spPr>
        <a:noFill/>
        <a:ln w="25400">
          <a:noFill/>
        </a:ln>
      </c:spPr>
    </c:title>
    <c:autoTitleDeleted val="0"/>
    <c:plotArea>
      <c:layout>
        <c:manualLayout>
          <c:layoutTarget val="inner"/>
          <c:xMode val="edge"/>
          <c:yMode val="edge"/>
          <c:x val="0.11607155507938394"/>
          <c:y val="0.17696629213483145"/>
          <c:w val="0.81696517613566388"/>
          <c:h val="0.6179775280898876"/>
        </c:manualLayout>
      </c:layout>
      <c:lineChart>
        <c:grouping val="standard"/>
        <c:varyColors val="0"/>
        <c:ser>
          <c:idx val="1"/>
          <c:order val="0"/>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ser>
          <c:idx val="2"/>
          <c:order val="1"/>
          <c:tx>
            <c:strRef>
              <c:f>'VVP2'!$E$355</c:f>
              <c:strCache>
                <c:ptCount val="1"/>
                <c:pt idx="0">
                  <c:v>GVA</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'VVP2'!$G$355:$AA$355</c:f>
              <c:numCache>
                <c:formatCode>0.0</c:formatCode>
                <c:ptCount val="4"/>
                <c:pt idx="0">
                  <c:v>7.1203683514878824</c:v>
                </c:pt>
                <c:pt idx="1">
                  <c:v>5.0552359079149678</c:v>
                </c:pt>
                <c:pt idx="2">
                  <c:v>4.3471016797685724</c:v>
                </c:pt>
                <c:pt idx="3">
                  <c:v>1.9398699878552028</c:v>
                </c:pt>
              </c:numCache>
            </c:numRef>
          </c:val>
          <c:smooth val="0"/>
        </c:ser>
        <c:dLbls>
          <c:showLegendKey val="0"/>
          <c:showVal val="0"/>
          <c:showCatName val="0"/>
          <c:showSerName val="0"/>
          <c:showPercent val="0"/>
          <c:showBubbleSize val="0"/>
        </c:dLbls>
        <c:marker val="1"/>
        <c:smooth val="0"/>
        <c:axId val="241059328"/>
        <c:axId val="241061248"/>
      </c:lineChart>
      <c:catAx>
        <c:axId val="2410593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061248"/>
        <c:crosses val="autoZero"/>
        <c:auto val="1"/>
        <c:lblAlgn val="ctr"/>
        <c:lblOffset val="100"/>
        <c:tickLblSkip val="2"/>
        <c:tickMarkSkip val="1"/>
        <c:noMultiLvlLbl val="0"/>
      </c:catAx>
      <c:valAx>
        <c:axId val="24106124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059328"/>
        <c:crosses val="autoZero"/>
        <c:crossBetween val="midCat"/>
      </c:valAx>
      <c:spPr>
        <a:noFill/>
        <a:ln w="12700">
          <a:solidFill>
            <a:srgbClr val="808080"/>
          </a:solidFill>
          <a:prstDash val="solid"/>
        </a:ln>
      </c:spPr>
    </c:plotArea>
    <c:legend>
      <c:legendPos val="r"/>
      <c:layout>
        <c:manualLayout>
          <c:xMode val="edge"/>
          <c:yMode val="edge"/>
          <c:x val="0.37500046869141357"/>
          <c:y val="0.9129213483146067"/>
          <c:w val="0.2968752343457067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GDP and GVA (VOL)</a:t>
            </a:r>
          </a:p>
        </c:rich>
      </c:tx>
      <c:layout>
        <c:manualLayout>
          <c:xMode val="edge"/>
          <c:yMode val="edge"/>
          <c:x val="0.3549111829771278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1"/>
          <c:order val="0"/>
          <c:tx>
            <c:strRef>
              <c:f>'VVP2'!$E$131</c:f>
              <c:strCache>
                <c:ptCount val="1"/>
                <c:pt idx="0">
                  <c:v>Gross domestic product (B.1g - constant prices)</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'VVP2'!$G$131:$AA$131</c:f>
              <c:numCache>
                <c:formatCode>0.0</c:formatCode>
                <c:ptCount val="4"/>
                <c:pt idx="0">
                  <c:v>3.8269382239940919</c:v>
                </c:pt>
                <c:pt idx="1">
                  <c:v>3.498577230569011</c:v>
                </c:pt>
                <c:pt idx="2" formatCode="0.000">
                  <c:v>3.5375855747539431</c:v>
                </c:pt>
                <c:pt idx="3" formatCode="0.000">
                  <c:v>2.0346676424249033</c:v>
                </c:pt>
              </c:numCache>
            </c:numRef>
          </c:val>
          <c:smooth val="0"/>
        </c:ser>
        <c:ser>
          <c:idx val="2"/>
          <c:order val="1"/>
          <c:tx>
            <c:strRef>
              <c:f>'VVP2'!$E$162</c:f>
              <c:strCache>
                <c:ptCount val="1"/>
                <c:pt idx="0">
                  <c:v>GVA</c:v>
                </c:pt>
              </c:strCache>
            </c:strRef>
          </c:tx>
          <c:spPr>
            <a:ln w="25400">
              <a:solidFill>
                <a:srgbClr val="FF9900"/>
              </a:solidFill>
              <a:prstDash val="solid"/>
            </a:ln>
          </c:spPr>
          <c:marker>
            <c:symbol val="square"/>
            <c:size val="5"/>
            <c:spPr>
              <a:solidFill>
                <a:srgbClr val="FFFFFF"/>
              </a:solidFill>
              <a:ln>
                <a:solidFill>
                  <a:srgbClr val="FF99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'VVP2'!$G$162:$AA$162</c:f>
              <c:numCache>
                <c:formatCode>0.0</c:formatCode>
                <c:ptCount val="4"/>
                <c:pt idx="0">
                  <c:v>3.8269627927211225</c:v>
                </c:pt>
                <c:pt idx="1">
                  <c:v>3.4985596052496959</c:v>
                </c:pt>
                <c:pt idx="2">
                  <c:v>3.5376044083425873</c:v>
                </c:pt>
                <c:pt idx="3">
                  <c:v>2.0346555108811559</c:v>
                </c:pt>
              </c:numCache>
            </c:numRef>
          </c:val>
          <c:smooth val="0"/>
        </c:ser>
        <c:dLbls>
          <c:showLegendKey val="0"/>
          <c:showVal val="0"/>
          <c:showCatName val="0"/>
          <c:showSerName val="0"/>
          <c:showPercent val="0"/>
          <c:showBubbleSize val="0"/>
        </c:dLbls>
        <c:marker val="1"/>
        <c:smooth val="0"/>
        <c:axId val="241095040"/>
        <c:axId val="241096960"/>
      </c:lineChart>
      <c:catAx>
        <c:axId val="2410950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096960"/>
        <c:crosses val="autoZero"/>
        <c:auto val="1"/>
        <c:lblAlgn val="ctr"/>
        <c:lblOffset val="100"/>
        <c:tickLblSkip val="2"/>
        <c:tickMarkSkip val="1"/>
        <c:noMultiLvlLbl val="0"/>
      </c:catAx>
      <c:valAx>
        <c:axId val="24109696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095040"/>
        <c:crosses val="autoZero"/>
        <c:crossBetween val="midCat"/>
      </c:valAx>
      <c:spPr>
        <a:noFill/>
        <a:ln w="12700">
          <a:solidFill>
            <a:srgbClr val="808080"/>
          </a:solidFill>
          <a:prstDash val="solid"/>
        </a:ln>
      </c:spPr>
    </c:plotArea>
    <c:legend>
      <c:legendPos val="r"/>
      <c:layout>
        <c:manualLayout>
          <c:xMode val="edge"/>
          <c:yMode val="edge"/>
          <c:x val="7.1428571428571425E-2"/>
          <c:y val="0.9129213483146067"/>
          <c:w val="0.85714379452568423"/>
          <c:h val="6.7415730337078705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Public investment as % of GDP</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4285729855924176"/>
          <c:y val="0.17696629213483145"/>
          <c:w val="0.79017943265580604"/>
          <c:h val="0.6179775280898876"/>
        </c:manualLayout>
      </c:layout>
      <c:lineChart>
        <c:grouping val="standard"/>
        <c:varyColors val="0"/>
        <c:ser>
          <c:idx val="0"/>
          <c:order val="0"/>
          <c:tx>
            <c:strRef>
              <c:f>'VVP2'!$D$242:$E$242</c:f>
              <c:strCache>
                <c:ptCount val="1"/>
                <c:pt idx="0">
                  <c:v>GVT 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'VVP2'!$G$242:$AA$242</c:f>
              <c:numCache>
                <c:formatCode>0.0%</c:formatCode>
                <c:ptCount val="4"/>
                <c:pt idx="0">
                  <c:v>3.9771827681501525E-2</c:v>
                </c:pt>
                <c:pt idx="1">
                  <c:v>3.7456896736666412E-2</c:v>
                </c:pt>
                <c:pt idx="2">
                  <c:v>3.5084504931596455E-2</c:v>
                </c:pt>
                <c:pt idx="3">
                  <c:v>3.6725474201377034E-2</c:v>
                </c:pt>
              </c:numCache>
            </c:numRef>
          </c:val>
          <c:smooth val="0"/>
        </c:ser>
        <c:dLbls>
          <c:showLegendKey val="0"/>
          <c:showVal val="0"/>
          <c:showCatName val="0"/>
          <c:showSerName val="0"/>
          <c:showPercent val="0"/>
          <c:showBubbleSize val="0"/>
        </c:dLbls>
        <c:marker val="1"/>
        <c:smooth val="0"/>
        <c:axId val="241121536"/>
        <c:axId val="241127808"/>
      </c:lineChart>
      <c:catAx>
        <c:axId val="2411215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1127808"/>
        <c:crosses val="autoZero"/>
        <c:auto val="1"/>
        <c:lblAlgn val="ctr"/>
        <c:lblOffset val="100"/>
        <c:tickLblSkip val="2"/>
        <c:tickMarkSkip val="1"/>
        <c:noMultiLvlLbl val="0"/>
      </c:catAx>
      <c:valAx>
        <c:axId val="241127808"/>
        <c:scaling>
          <c:orientation val="minMax"/>
          <c:min val="1.4999999999999999E-2"/>
        </c:scaling>
        <c:delete val="0"/>
        <c:axPos val="l"/>
        <c:majorGridlines>
          <c:spPr>
            <a:ln w="3175">
              <a:solidFill>
                <a:srgbClr val="000000"/>
              </a:solidFill>
              <a:prstDash val="solid"/>
            </a:ln>
          </c:spPr>
        </c:majorGridlines>
        <c:numFmt formatCode="0.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1121536"/>
        <c:crosses val="autoZero"/>
        <c:crossBetween val="midCat"/>
      </c:valAx>
      <c:spPr>
        <a:noFill/>
        <a:ln w="12700">
          <a:solidFill>
            <a:srgbClr val="808080"/>
          </a:solidFill>
          <a:prstDash val="solid"/>
        </a:ln>
      </c:spPr>
    </c:plotArea>
    <c:legend>
      <c:legendPos val="r"/>
      <c:layout>
        <c:manualLayout>
          <c:xMode val="edge"/>
          <c:yMode val="edge"/>
          <c:x val="0.22991094863142106"/>
          <c:y val="0.9129213483146067"/>
          <c:w val="0.61383998875140611"/>
          <c:h val="6.7415730337078705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Corporate investment as % of GDP</a:t>
            </a:r>
          </a:p>
        </c:rich>
      </c:tx>
      <c:layout>
        <c:manualLayout>
          <c:xMode val="edge"/>
          <c:yMode val="edge"/>
          <c:x val="0.25446452005999248"/>
          <c:y val="3.3707865168539325E-2"/>
        </c:manualLayout>
      </c:layout>
      <c:overlay val="0"/>
      <c:spPr>
        <a:noFill/>
        <a:ln w="25400">
          <a:noFill/>
        </a:ln>
      </c:spPr>
    </c:title>
    <c:autoTitleDeleted val="0"/>
    <c:plotArea>
      <c:layout>
        <c:manualLayout>
          <c:layoutTarget val="inner"/>
          <c:xMode val="edge"/>
          <c:yMode val="edge"/>
          <c:x val="0.14285729855924176"/>
          <c:y val="0.17696629213483145"/>
          <c:w val="0.79017943265580604"/>
          <c:h val="0.6179775280898876"/>
        </c:manualLayout>
      </c:layout>
      <c:lineChart>
        <c:grouping val="standard"/>
        <c:varyColors val="0"/>
        <c:ser>
          <c:idx val="2"/>
          <c:order val="0"/>
          <c:tx>
            <c:strRef>
              <c:f>'VVP2'!$D$243:$E$243</c:f>
              <c:strCache>
                <c:ptCount val="1"/>
                <c:pt idx="0">
                  <c:v>E Gross fixed capital formation (P.51)</c:v>
                </c:pt>
              </c:strCache>
            </c:strRef>
          </c:tx>
          <c:spPr>
            <a:ln w="25400">
              <a:solidFill>
                <a:srgbClr val="339966"/>
              </a:solidFill>
              <a:prstDash val="solid"/>
            </a:ln>
          </c:spPr>
          <c:marker>
            <c:symbol val="diamond"/>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'VVP2'!$G$243:$AA$243</c:f>
              <c:numCache>
                <c:formatCode>0.0%</c:formatCode>
                <c:ptCount val="4"/>
                <c:pt idx="0">
                  <c:v>0.10371417228011591</c:v>
                </c:pt>
                <c:pt idx="1">
                  <c:v>0.11167245667505252</c:v>
                </c:pt>
                <c:pt idx="2">
                  <c:v>0.1162428202803085</c:v>
                </c:pt>
                <c:pt idx="3">
                  <c:v>0.11722141011435445</c:v>
                </c:pt>
              </c:numCache>
            </c:numRef>
          </c:val>
          <c:smooth val="0"/>
        </c:ser>
        <c:dLbls>
          <c:showLegendKey val="0"/>
          <c:showVal val="0"/>
          <c:showCatName val="0"/>
          <c:showSerName val="0"/>
          <c:showPercent val="0"/>
          <c:showBubbleSize val="0"/>
        </c:dLbls>
        <c:marker val="1"/>
        <c:smooth val="0"/>
        <c:axId val="241160192"/>
        <c:axId val="241162112"/>
      </c:lineChart>
      <c:catAx>
        <c:axId val="2411601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1162112"/>
        <c:crosses val="autoZero"/>
        <c:auto val="1"/>
        <c:lblAlgn val="ctr"/>
        <c:lblOffset val="100"/>
        <c:tickLblSkip val="2"/>
        <c:tickMarkSkip val="1"/>
        <c:noMultiLvlLbl val="0"/>
      </c:catAx>
      <c:valAx>
        <c:axId val="2411621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1160192"/>
        <c:crosses val="autoZero"/>
        <c:crossBetween val="midCat"/>
      </c:valAx>
      <c:spPr>
        <a:noFill/>
        <a:ln w="12700">
          <a:solidFill>
            <a:srgbClr val="808080"/>
          </a:solidFill>
          <a:prstDash val="solid"/>
        </a:ln>
      </c:spPr>
    </c:plotArea>
    <c:legend>
      <c:legendPos val="r"/>
      <c:layout>
        <c:manualLayout>
          <c:xMode val="edge"/>
          <c:yMode val="edge"/>
          <c:x val="0.24776809148856391"/>
          <c:y val="0.9129213483146067"/>
          <c:w val="0.5781257030371203"/>
          <c:h val="6.7415730337078705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Public investment (VAL)</a:t>
            </a:r>
          </a:p>
        </c:rich>
      </c:tx>
      <c:layout>
        <c:manualLayout>
          <c:xMode val="edge"/>
          <c:yMode val="edge"/>
          <c:x val="0.32812546869141357"/>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5589887640449438"/>
        </c:manualLayout>
      </c:layout>
      <c:lineChart>
        <c:grouping val="standard"/>
        <c:varyColors val="0"/>
        <c:ser>
          <c:idx val="0"/>
          <c:order val="0"/>
          <c:tx>
            <c:strRef>
              <c:f>'VVP2'!$D$229:$E$229</c:f>
              <c:strCache>
                <c:ptCount val="1"/>
                <c:pt idx="0">
                  <c:v>GVT Gross fixed capital formation (P.51)</c:v>
                </c:pt>
              </c:strCache>
            </c:strRef>
          </c:tx>
          <c:spPr>
            <a:ln w="25400">
              <a:solidFill>
                <a:srgbClr val="0000FF"/>
              </a:solidFill>
              <a:prstDash val="solid"/>
            </a:ln>
          </c:spPr>
          <c:marker>
            <c:symbol val="diamond"/>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'VVP2'!$G$236:$AA$236</c:f>
              <c:numCache>
                <c:formatCode>0.000</c:formatCode>
                <c:ptCount val="4"/>
                <c:pt idx="0" formatCode="0.0">
                  <c:v>-10.336458833311923</c:v>
                </c:pt>
                <c:pt idx="1">
                  <c:v>-1.2704228962626241</c:v>
                </c:pt>
                <c:pt idx="2" formatCode="0.0">
                  <c:v>-2.0237040657360095</c:v>
                </c:pt>
                <c:pt idx="3" formatCode="0.0">
                  <c:v>7.1341720057989999</c:v>
                </c:pt>
              </c:numCache>
            </c:numRef>
          </c:val>
          <c:smooth val="0"/>
        </c:ser>
        <c:ser>
          <c:idx val="1"/>
          <c:order val="1"/>
          <c:tx>
            <c:v>GVT Gross Fixed capital formation (P.51), excl. real estate</c:v>
          </c:tx>
          <c:spPr>
            <a:ln w="25400">
              <a:solidFill>
                <a:srgbClr val="FF9900"/>
              </a:solidFill>
              <a:prstDash val="solid"/>
            </a:ln>
          </c:spPr>
          <c:marker>
            <c:symbol val="circle"/>
            <c:size val="5"/>
            <c:spPr>
              <a:solidFill>
                <a:srgbClr val="FFFFFF"/>
              </a:solidFill>
              <a:ln>
                <a:solidFill>
                  <a:srgbClr val="FF9900"/>
                </a:solidFill>
                <a:prstDash val="solid"/>
              </a:ln>
            </c:spPr>
          </c:marker>
          <c:val>
            <c:numRef>
              <c:f>'VVP2'!#REF!</c:f>
              <c:numCache>
                <c:formatCode>General</c:formatCode>
                <c:ptCount val="1"/>
                <c:pt idx="0">
                  <c:v>1</c:v>
                </c:pt>
              </c:numCache>
            </c:numRef>
          </c:val>
          <c:smooth val="0"/>
        </c:ser>
        <c:dLbls>
          <c:showLegendKey val="0"/>
          <c:showVal val="0"/>
          <c:showCatName val="0"/>
          <c:showSerName val="0"/>
          <c:showPercent val="0"/>
          <c:showBubbleSize val="0"/>
        </c:dLbls>
        <c:marker val="1"/>
        <c:smooth val="0"/>
        <c:axId val="241203456"/>
        <c:axId val="241209728"/>
      </c:lineChart>
      <c:catAx>
        <c:axId val="2412034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209728"/>
        <c:crosses val="autoZero"/>
        <c:auto val="1"/>
        <c:lblAlgn val="ctr"/>
        <c:lblOffset val="100"/>
        <c:tickLblSkip val="2"/>
        <c:tickMarkSkip val="1"/>
        <c:noMultiLvlLbl val="0"/>
      </c:catAx>
      <c:valAx>
        <c:axId val="24120972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203456"/>
        <c:crosses val="autoZero"/>
        <c:crossBetween val="midCat"/>
      </c:valAx>
      <c:spPr>
        <a:noFill/>
        <a:ln w="12700">
          <a:solidFill>
            <a:srgbClr val="808080"/>
          </a:solidFill>
          <a:prstDash val="solid"/>
        </a:ln>
      </c:spPr>
    </c:plotArea>
    <c:legend>
      <c:legendPos val="r"/>
      <c:layout>
        <c:manualLayout>
          <c:xMode val="edge"/>
          <c:yMode val="edge"/>
          <c:x val="7.8125E-2"/>
          <c:y val="0.8539325842696629"/>
          <c:w val="0.84598308023996993"/>
          <c:h val="0.1264044943820225"/>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Private consumption (QoQ)</a:t>
            </a:r>
          </a:p>
        </c:rich>
      </c:tx>
      <c:layout>
        <c:manualLayout>
          <c:xMode val="edge"/>
          <c:yMode val="edge"/>
          <c:x val="0.4151785714285714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'Q1'!$F$27</c:f>
              <c:strCache>
                <c:ptCount val="1"/>
                <c:pt idx="0">
                  <c:v>QPrvC</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'Q1'!$G$27:$DB$27</c:f>
              <c:numCache>
                <c:formatCode>0.00</c:formatCode>
                <c:ptCount val="25"/>
                <c:pt idx="0">
                  <c:v>1.0682877884672148</c:v>
                </c:pt>
                <c:pt idx="1">
                  <c:v>1.3703963248462347</c:v>
                </c:pt>
                <c:pt idx="2">
                  <c:v>0.35717028957675812</c:v>
                </c:pt>
                <c:pt idx="3">
                  <c:v>0.31380352837626635</c:v>
                </c:pt>
                <c:pt idx="4">
                  <c:v>1.5164231488193014</c:v>
                </c:pt>
                <c:pt idx="5">
                  <c:v>1.1987749196745501</c:v>
                </c:pt>
                <c:pt idx="6">
                  <c:v>0.27664828533766617</c:v>
                </c:pt>
                <c:pt idx="7">
                  <c:v>2.0885794697081961</c:v>
                </c:pt>
                <c:pt idx="8">
                  <c:v>0.46067904817177485</c:v>
                </c:pt>
                <c:pt idx="9">
                  <c:v>0.24372630438709297</c:v>
                </c:pt>
                <c:pt idx="10">
                  <c:v>2.5970283656010729</c:v>
                </c:pt>
                <c:pt idx="11">
                  <c:v>1.4043218003405578</c:v>
                </c:pt>
                <c:pt idx="12">
                  <c:v>0.96421832534145935</c:v>
                </c:pt>
                <c:pt idx="13">
                  <c:v>0.71497153830328841</c:v>
                </c:pt>
                <c:pt idx="14">
                  <c:v>1.1508145928738056</c:v>
                </c:pt>
                <c:pt idx="15">
                  <c:v>-2.1879260144408441E-2</c:v>
                </c:pt>
                <c:pt idx="16">
                  <c:v>1.7574574102754204</c:v>
                </c:pt>
                <c:pt idx="17">
                  <c:v>0.75</c:v>
                </c:pt>
                <c:pt idx="18">
                  <c:v>0.75</c:v>
                </c:pt>
                <c:pt idx="19">
                  <c:v>0.75</c:v>
                </c:pt>
                <c:pt idx="20">
                  <c:v>0.75</c:v>
                </c:pt>
                <c:pt idx="21">
                  <c:v>0.84</c:v>
                </c:pt>
                <c:pt idx="22">
                  <c:v>0.84</c:v>
                </c:pt>
                <c:pt idx="23">
                  <c:v>0.84</c:v>
                </c:pt>
                <c:pt idx="24">
                  <c:v>0.84</c:v>
                </c:pt>
              </c:numCache>
            </c:numRef>
          </c:val>
        </c:ser>
        <c:dLbls>
          <c:showLegendKey val="0"/>
          <c:showVal val="0"/>
          <c:showCatName val="0"/>
          <c:showSerName val="0"/>
          <c:showPercent val="0"/>
          <c:showBubbleSize val="0"/>
        </c:dLbls>
        <c:gapWidth val="10"/>
        <c:overlap val="100"/>
        <c:axId val="241228416"/>
        <c:axId val="240824704"/>
      </c:barChart>
      <c:catAx>
        <c:axId val="2412284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0824704"/>
        <c:crosses val="autoZero"/>
        <c:auto val="1"/>
        <c:lblAlgn val="ctr"/>
        <c:lblOffset val="100"/>
        <c:tickLblSkip val="4"/>
        <c:tickMarkSkip val="4"/>
        <c:noMultiLvlLbl val="0"/>
      </c:catAx>
      <c:valAx>
        <c:axId val="24082470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122841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Private consumption (YoY)</a:t>
            </a:r>
          </a:p>
        </c:rich>
      </c:tx>
      <c:layout>
        <c:manualLayout>
          <c:xMode val="edge"/>
          <c:yMode val="edge"/>
          <c:x val="0.4162946428571428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'Q1'!$F$27</c:f>
              <c:strCache>
                <c:ptCount val="1"/>
                <c:pt idx="0">
                  <c:v>QPrvC</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'Q1'!$G$32:$DB$32</c:f>
              <c:numCache>
                <c:formatCode>0.00</c:formatCode>
                <c:ptCount val="25"/>
                <c:pt idx="0">
                  <c:v>4.9672054105964092</c:v>
                </c:pt>
                <c:pt idx="1">
                  <c:v>4.4863563402889328</c:v>
                </c:pt>
                <c:pt idx="2">
                  <c:v>4.2529423498902874</c:v>
                </c:pt>
                <c:pt idx="3">
                  <c:v>3.1419071789726472</c:v>
                </c:pt>
                <c:pt idx="4">
                  <c:v>3.5992369384100442</c:v>
                </c:pt>
                <c:pt idx="5">
                  <c:v>3.4238420769644229</c:v>
                </c:pt>
                <c:pt idx="6">
                  <c:v>3.340859515517991</c:v>
                </c:pt>
                <c:pt idx="7">
                  <c:v>5.1691908594971858</c:v>
                </c:pt>
                <c:pt idx="8">
                  <c:v>4.0754589353826365</c:v>
                </c:pt>
                <c:pt idx="9">
                  <c:v>3.0932620360571317</c:v>
                </c:pt>
                <c:pt idx="10">
                  <c:v>5.4788179528958647</c:v>
                </c:pt>
                <c:pt idx="11">
                  <c:v>4.7718369123621596</c:v>
                </c:pt>
                <c:pt idx="12">
                  <c:v>5.2969850153457232</c:v>
                </c:pt>
                <c:pt idx="13">
                  <c:v>5.7919855920756325</c:v>
                </c:pt>
                <c:pt idx="14">
                  <c:v>4.3007355135429304</c:v>
                </c:pt>
                <c:pt idx="15">
                  <c:v>2.8337978430591715</c:v>
                </c:pt>
                <c:pt idx="16">
                  <c:v>3.6417255332281906</c:v>
                </c:pt>
                <c:pt idx="17">
                  <c:v>3.6777719139953424</c:v>
                </c:pt>
                <c:pt idx="18">
                  <c:v>3.2669441405658528</c:v>
                </c:pt>
                <c:pt idx="19">
                  <c:v>4.064214701871971</c:v>
                </c:pt>
                <c:pt idx="20">
                  <c:v>3.0339190664062654</c:v>
                </c:pt>
                <c:pt idx="21">
                  <c:v>3.1259592918750023</c:v>
                </c:pt>
                <c:pt idx="22">
                  <c:v>3.2180817368999914</c:v>
                </c:pt>
                <c:pt idx="23">
                  <c:v>3.3102864749279926</c:v>
                </c:pt>
                <c:pt idx="24">
                  <c:v>3.4025735794713574</c:v>
                </c:pt>
              </c:numCache>
            </c:numRef>
          </c:val>
        </c:ser>
        <c:dLbls>
          <c:showLegendKey val="0"/>
          <c:showVal val="0"/>
          <c:showCatName val="0"/>
          <c:showSerName val="0"/>
          <c:showPercent val="0"/>
          <c:showBubbleSize val="0"/>
        </c:dLbls>
        <c:gapWidth val="10"/>
        <c:overlap val="100"/>
        <c:axId val="236699648"/>
        <c:axId val="236701184"/>
      </c:barChart>
      <c:catAx>
        <c:axId val="2366996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36701184"/>
        <c:crosses val="autoZero"/>
        <c:auto val="1"/>
        <c:lblAlgn val="ctr"/>
        <c:lblOffset val="100"/>
        <c:tickLblSkip val="4"/>
        <c:tickMarkSkip val="4"/>
        <c:noMultiLvlLbl val="0"/>
      </c:catAx>
      <c:valAx>
        <c:axId val="23670118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3669964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Government consumption (QoQ)</a:t>
            </a:r>
          </a:p>
        </c:rich>
      </c:tx>
      <c:layout>
        <c:manualLayout>
          <c:xMode val="edge"/>
          <c:yMode val="edge"/>
          <c:x val="0.398437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'Q1'!$F$46</c:f>
              <c:strCache>
                <c:ptCount val="1"/>
                <c:pt idx="0">
                  <c:v>QAC</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'Q1'!$G$46:$DB$46</c:f>
              <c:numCache>
                <c:formatCode>0.00</c:formatCode>
                <c:ptCount val="25"/>
                <c:pt idx="0">
                  <c:v>-0.21175972330063075</c:v>
                </c:pt>
                <c:pt idx="1">
                  <c:v>0.14854636768761864</c:v>
                </c:pt>
                <c:pt idx="2">
                  <c:v>0.10594716767906576</c:v>
                </c:pt>
                <c:pt idx="3">
                  <c:v>-1.4111338460465195E-2</c:v>
                </c:pt>
                <c:pt idx="4">
                  <c:v>0.35283325100559093</c:v>
                </c:pt>
                <c:pt idx="5">
                  <c:v>-0.30236973489908836</c:v>
                </c:pt>
                <c:pt idx="6">
                  <c:v>0.23275497249257704</c:v>
                </c:pt>
                <c:pt idx="7">
                  <c:v>7.0368024769784654E-3</c:v>
                </c:pt>
                <c:pt idx="8">
                  <c:v>-0.11258091753447719</c:v>
                </c:pt>
                <c:pt idx="9">
                  <c:v>0.69033530571991353</c:v>
                </c:pt>
                <c:pt idx="10">
                  <c:v>0.23786204001678968</c:v>
                </c:pt>
                <c:pt idx="11">
                  <c:v>0.63512004466781402</c:v>
                </c:pt>
                <c:pt idx="12">
                  <c:v>0.58949996532353666</c:v>
                </c:pt>
                <c:pt idx="13">
                  <c:v>8.9630446773303341E-2</c:v>
                </c:pt>
                <c:pt idx="14">
                  <c:v>0.22731969415168418</c:v>
                </c:pt>
                <c:pt idx="15">
                  <c:v>9.6219931271490644E-2</c:v>
                </c:pt>
                <c:pt idx="16">
                  <c:v>0.15105740181267091</c:v>
                </c:pt>
                <c:pt idx="17">
                  <c:v>0.5</c:v>
                </c:pt>
                <c:pt idx="18">
                  <c:v>0.6</c:v>
                </c:pt>
                <c:pt idx="19">
                  <c:v>0.6</c:v>
                </c:pt>
                <c:pt idx="20">
                  <c:v>0.6</c:v>
                </c:pt>
                <c:pt idx="21">
                  <c:v>0.3</c:v>
                </c:pt>
                <c:pt idx="22">
                  <c:v>0.25</c:v>
                </c:pt>
                <c:pt idx="23">
                  <c:v>0.2</c:v>
                </c:pt>
                <c:pt idx="24">
                  <c:v>0.18</c:v>
                </c:pt>
              </c:numCache>
            </c:numRef>
          </c:val>
        </c:ser>
        <c:dLbls>
          <c:showLegendKey val="0"/>
          <c:showVal val="0"/>
          <c:showCatName val="0"/>
          <c:showSerName val="0"/>
          <c:showPercent val="0"/>
          <c:showBubbleSize val="0"/>
        </c:dLbls>
        <c:gapWidth val="10"/>
        <c:overlap val="100"/>
        <c:axId val="240981120"/>
        <c:axId val="240982656"/>
      </c:barChart>
      <c:catAx>
        <c:axId val="24098112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0982656"/>
        <c:crosses val="autoZero"/>
        <c:auto val="1"/>
        <c:lblAlgn val="ctr"/>
        <c:lblOffset val="100"/>
        <c:tickLblSkip val="4"/>
        <c:tickMarkSkip val="4"/>
        <c:noMultiLvlLbl val="0"/>
      </c:catAx>
      <c:valAx>
        <c:axId val="2409826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098112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Government consumption (YoY)</a:t>
            </a:r>
          </a:p>
        </c:rich>
      </c:tx>
      <c:layout>
        <c:manualLayout>
          <c:xMode val="edge"/>
          <c:yMode val="edge"/>
          <c:x val="0.39955357142857145"/>
          <c:y val="3.6065573770491806E-2"/>
        </c:manualLayout>
      </c:layout>
      <c:overlay val="0"/>
      <c:spPr>
        <a:noFill/>
        <a:ln w="25400">
          <a:noFill/>
        </a:ln>
      </c:spPr>
    </c:title>
    <c:autoTitleDeleted val="0"/>
    <c:plotArea>
      <c:layout>
        <c:manualLayout>
          <c:layoutTarget val="inner"/>
          <c:xMode val="edge"/>
          <c:yMode val="edge"/>
          <c:x val="5.6919642857142856E-2"/>
          <c:y val="0.19672131147540983"/>
          <c:w val="0.9274553571428571"/>
          <c:h val="0.69180327868852454"/>
        </c:manualLayout>
      </c:layout>
      <c:barChart>
        <c:barDir val="col"/>
        <c:grouping val="stacked"/>
        <c:varyColors val="0"/>
        <c:ser>
          <c:idx val="0"/>
          <c:order val="0"/>
          <c:tx>
            <c:strRef>
              <c:f>'Q1'!$F$46</c:f>
              <c:strCache>
                <c:ptCount val="1"/>
                <c:pt idx="0">
                  <c:v>QAC</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'Q1'!$G$51:$DB$51</c:f>
              <c:numCache>
                <c:formatCode>0.00</c:formatCode>
                <c:ptCount val="25"/>
                <c:pt idx="0">
                  <c:v>0.39769902705775184</c:v>
                </c:pt>
                <c:pt idx="1">
                  <c:v>0.34729605216528014</c:v>
                </c:pt>
                <c:pt idx="2">
                  <c:v>0.30431705590940883</c:v>
                </c:pt>
                <c:pt idx="3">
                  <c:v>2.8234629773393749E-2</c:v>
                </c:pt>
                <c:pt idx="4">
                  <c:v>0.59418547075051897</c:v>
                </c:pt>
                <c:pt idx="5">
                  <c:v>0.14126289023872474</c:v>
                </c:pt>
                <c:pt idx="6">
                  <c:v>0.26811543074858335</c:v>
                </c:pt>
                <c:pt idx="7">
                  <c:v>0.28932326582458145</c:v>
                </c:pt>
                <c:pt idx="8">
                  <c:v>-0.1757963574994692</c:v>
                </c:pt>
                <c:pt idx="9">
                  <c:v>0.8181689942164061</c:v>
                </c:pt>
                <c:pt idx="10">
                  <c:v>0.82330588980368269</c:v>
                </c:pt>
                <c:pt idx="11">
                  <c:v>1.4565156206023167</c:v>
                </c:pt>
                <c:pt idx="12">
                  <c:v>2.1696252465483346</c:v>
                </c:pt>
                <c:pt idx="13">
                  <c:v>1.5600951448160094</c:v>
                </c:pt>
                <c:pt idx="14">
                  <c:v>1.5494137353434079</c:v>
                </c:pt>
                <c:pt idx="15">
                  <c:v>1.0056175879048501</c:v>
                </c:pt>
                <c:pt idx="16">
                  <c:v>0.56536127964696981</c:v>
                </c:pt>
                <c:pt idx="17">
                  <c:v>0.97768133911964039</c:v>
                </c:pt>
                <c:pt idx="18">
                  <c:v>1.3531517525772863</c:v>
                </c:pt>
                <c:pt idx="19">
                  <c:v>1.8632579063443622</c:v>
                </c:pt>
                <c:pt idx="20">
                  <c:v>2.3198757079999632</c:v>
                </c:pt>
                <c:pt idx="21">
                  <c:v>2.1162540647999828</c:v>
                </c:pt>
                <c:pt idx="22">
                  <c:v>1.7609788269999704</c:v>
                </c:pt>
                <c:pt idx="23">
                  <c:v>1.3563626089999836</c:v>
                </c:pt>
                <c:pt idx="24">
                  <c:v>0.93320483269998533</c:v>
                </c:pt>
              </c:numCache>
            </c:numRef>
          </c:val>
        </c:ser>
        <c:dLbls>
          <c:showLegendKey val="0"/>
          <c:showVal val="0"/>
          <c:showCatName val="0"/>
          <c:showSerName val="0"/>
          <c:showPercent val="0"/>
          <c:showBubbleSize val="0"/>
        </c:dLbls>
        <c:gapWidth val="10"/>
        <c:overlap val="100"/>
        <c:axId val="241019136"/>
        <c:axId val="241029120"/>
      </c:barChart>
      <c:catAx>
        <c:axId val="2410191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1029120"/>
        <c:crosses val="autoZero"/>
        <c:auto val="1"/>
        <c:lblAlgn val="ctr"/>
        <c:lblOffset val="100"/>
        <c:tickLblSkip val="4"/>
        <c:tickMarkSkip val="4"/>
        <c:noMultiLvlLbl val="0"/>
      </c:catAx>
      <c:valAx>
        <c:axId val="24102912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101913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Gross fixed capital formation (QoQ)</a:t>
            </a:r>
          </a:p>
        </c:rich>
      </c:tx>
      <c:layout>
        <c:manualLayout>
          <c:xMode val="edge"/>
          <c:yMode val="edge"/>
          <c:x val="0.390625"/>
          <c:y val="3.5947712418300651E-2"/>
        </c:manualLayout>
      </c:layout>
      <c:overlay val="0"/>
      <c:spPr>
        <a:noFill/>
        <a:ln w="25400">
          <a:noFill/>
        </a:ln>
      </c:spPr>
    </c:title>
    <c:autoTitleDeleted val="0"/>
    <c:plotArea>
      <c:layout>
        <c:manualLayout>
          <c:layoutTarget val="inner"/>
          <c:xMode val="edge"/>
          <c:yMode val="edge"/>
          <c:x val="4.9107142857142856E-2"/>
          <c:y val="0.19281107284988017"/>
          <c:w val="0.9352678571428571"/>
          <c:h val="0.69608065283092335"/>
        </c:manualLayout>
      </c:layout>
      <c:barChart>
        <c:barDir val="col"/>
        <c:grouping val="stacked"/>
        <c:varyColors val="0"/>
        <c:ser>
          <c:idx val="0"/>
          <c:order val="0"/>
          <c:tx>
            <c:strRef>
              <c:f>'Q1'!#REF!</c:f>
              <c:strCache>
                <c:ptCount val="1"/>
                <c:pt idx="0">
                  <c:v>#REF!</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40913792"/>
        <c:axId val="240936064"/>
      </c:barChart>
      <c:catAx>
        <c:axId val="2409137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0936064"/>
        <c:crosses val="autoZero"/>
        <c:auto val="1"/>
        <c:lblAlgn val="ctr"/>
        <c:lblOffset val="100"/>
        <c:tickLblSkip val="4"/>
        <c:tickMarkSkip val="4"/>
        <c:noMultiLvlLbl val="0"/>
      </c:catAx>
      <c:valAx>
        <c:axId val="24093606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091379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Gross fixed capital formation (YoY)</a:t>
            </a:r>
          </a:p>
        </c:rich>
      </c:tx>
      <c:layout>
        <c:manualLayout>
          <c:xMode val="edge"/>
          <c:yMode val="edge"/>
          <c:x val="0.39174107142857145"/>
          <c:y val="3.6065573770491806E-2"/>
        </c:manualLayout>
      </c:layout>
      <c:overlay val="0"/>
      <c:spPr>
        <a:noFill/>
        <a:ln w="25400">
          <a:noFill/>
        </a:ln>
      </c:spPr>
    </c:title>
    <c:autoTitleDeleted val="0"/>
    <c:plotArea>
      <c:layout>
        <c:manualLayout>
          <c:layoutTarget val="inner"/>
          <c:xMode val="edge"/>
          <c:yMode val="edge"/>
          <c:x val="4.9107142857142856E-2"/>
          <c:y val="0.19672131147540983"/>
          <c:w val="0.9352678571428571"/>
          <c:h val="0.69180327868852454"/>
        </c:manualLayout>
      </c:layout>
      <c:barChart>
        <c:barDir val="col"/>
        <c:grouping val="stacked"/>
        <c:varyColors val="0"/>
        <c:ser>
          <c:idx val="0"/>
          <c:order val="0"/>
          <c:tx>
            <c:strRef>
              <c:f>'Q1'!#REF!</c:f>
              <c:strCache>
                <c:ptCount val="1"/>
                <c:pt idx="0">
                  <c:v>#REF!</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40964352"/>
        <c:axId val="240965888"/>
      </c:barChart>
      <c:catAx>
        <c:axId val="24096435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0965888"/>
        <c:crosses val="autoZero"/>
        <c:auto val="1"/>
        <c:lblAlgn val="ctr"/>
        <c:lblOffset val="100"/>
        <c:tickLblSkip val="4"/>
        <c:tickMarkSkip val="4"/>
        <c:noMultiLvlLbl val="0"/>
      </c:catAx>
      <c:valAx>
        <c:axId val="2409658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096435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Domestic demand (Excl. Inventories, QoQ)</a:t>
            </a:r>
          </a:p>
        </c:rich>
      </c:tx>
      <c:layout>
        <c:manualLayout>
          <c:xMode val="edge"/>
          <c:yMode val="edge"/>
          <c:x val="0.3694196428571428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clustered"/>
        <c:varyColors val="0"/>
        <c:ser>
          <c:idx val="1"/>
          <c:order val="0"/>
          <c:tx>
            <c:strRef>
              <c:f>'Q1'!$F$110</c:f>
              <c:strCache>
                <c:ptCount val="1"/>
                <c:pt idx="0">
                  <c:v>QDDE</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'Q1'!$G$110:$DB$110</c:f>
              <c:numCache>
                <c:formatCode>0.00</c:formatCode>
                <c:ptCount val="25"/>
                <c:pt idx="0">
                  <c:v>0.64238500936297793</c:v>
                </c:pt>
                <c:pt idx="1">
                  <c:v>1.1410264309038132</c:v>
                </c:pt>
                <c:pt idx="2">
                  <c:v>0.25949976242980455</c:v>
                </c:pt>
                <c:pt idx="3">
                  <c:v>0.31107978710478434</c:v>
                </c:pt>
                <c:pt idx="4">
                  <c:v>1.1980617807389571</c:v>
                </c:pt>
                <c:pt idx="5">
                  <c:v>1.7033960186260133</c:v>
                </c:pt>
                <c:pt idx="6">
                  <c:v>0.60968432946493234</c:v>
                </c:pt>
                <c:pt idx="7">
                  <c:v>0.78380907814694645</c:v>
                </c:pt>
                <c:pt idx="8">
                  <c:v>-0.68136970400464181</c:v>
                </c:pt>
                <c:pt idx="9">
                  <c:v>1.0062760772763912</c:v>
                </c:pt>
                <c:pt idx="10">
                  <c:v>1.9948162547440473</c:v>
                </c:pt>
                <c:pt idx="11">
                  <c:v>0.33806779507192797</c:v>
                </c:pt>
                <c:pt idx="12">
                  <c:v>1.7547430070325332</c:v>
                </c:pt>
                <c:pt idx="13">
                  <c:v>0.34778550634460004</c:v>
                </c:pt>
                <c:pt idx="14">
                  <c:v>1.3021669564062144</c:v>
                </c:pt>
                <c:pt idx="15">
                  <c:v>0.24156437526641206</c:v>
                </c:pt>
                <c:pt idx="16">
                  <c:v>2.6224538753434778</c:v>
                </c:pt>
                <c:pt idx="17">
                  <c:v>0.25512415925536319</c:v>
                </c:pt>
                <c:pt idx="18">
                  <c:v>0.73665440050966002</c:v>
                </c:pt>
                <c:pt idx="19">
                  <c:v>0.77655240047236962</c:v>
                </c:pt>
                <c:pt idx="20">
                  <c:v>0.80666502587561029</c:v>
                </c:pt>
                <c:pt idx="21">
                  <c:v>0.79461665962858952</c:v>
                </c:pt>
                <c:pt idx="22">
                  <c:v>0.7813982376775449</c:v>
                </c:pt>
                <c:pt idx="23">
                  <c:v>0.77429678563838522</c:v>
                </c:pt>
                <c:pt idx="24">
                  <c:v>0.77188451507112787</c:v>
                </c:pt>
              </c:numCache>
            </c:numRef>
          </c:val>
        </c:ser>
        <c:dLbls>
          <c:showLegendKey val="0"/>
          <c:showVal val="0"/>
          <c:showCatName val="0"/>
          <c:showSerName val="0"/>
          <c:showPercent val="0"/>
          <c:showBubbleSize val="0"/>
        </c:dLbls>
        <c:gapWidth val="10"/>
        <c:overlap val="50"/>
        <c:axId val="243095424"/>
        <c:axId val="243096960"/>
      </c:barChart>
      <c:catAx>
        <c:axId val="2430954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3096960"/>
        <c:crosses val="autoZero"/>
        <c:auto val="1"/>
        <c:lblAlgn val="ctr"/>
        <c:lblOffset val="100"/>
        <c:tickLblSkip val="4"/>
        <c:tickMarkSkip val="4"/>
        <c:noMultiLvlLbl val="0"/>
      </c:catAx>
      <c:valAx>
        <c:axId val="24309696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309542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Domestic demand (Excl. inventories, YoY)</a:t>
            </a:r>
          </a:p>
        </c:rich>
      </c:tx>
      <c:layout>
        <c:manualLayout>
          <c:xMode val="edge"/>
          <c:yMode val="edge"/>
          <c:x val="0.3705357142857143"/>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'Q1'!$C$97:$F$97</c:f>
              <c:strCache>
                <c:ptCount val="1"/>
                <c:pt idx="0">
                  <c:v>Domestic demand (excl. Inventories)</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'Q1'!$G$115:$DB$115</c:f>
              <c:numCache>
                <c:formatCode>0.00</c:formatCode>
                <c:ptCount val="25"/>
                <c:pt idx="0">
                  <c:v>5.6664453211463073</c:v>
                </c:pt>
                <c:pt idx="1">
                  <c:v>4.8422531613232955</c:v>
                </c:pt>
                <c:pt idx="2">
                  <c:v>4.1129511784724793</c:v>
                </c:pt>
                <c:pt idx="3">
                  <c:v>2.3723600828404079</c:v>
                </c:pt>
                <c:pt idx="4">
                  <c:v>2.9375885650914979</c:v>
                </c:pt>
                <c:pt idx="5">
                  <c:v>3.5099474908931505</c:v>
                </c:pt>
                <c:pt idx="6">
                  <c:v>3.8714851629523483</c:v>
                </c:pt>
                <c:pt idx="7">
                  <c:v>4.3609933373712773</c:v>
                </c:pt>
                <c:pt idx="8">
                  <c:v>2.4228204790576635</c:v>
                </c:pt>
                <c:pt idx="9">
                  <c:v>1.7207692850921719</c:v>
                </c:pt>
                <c:pt idx="10">
                  <c:v>3.1211979410388446</c:v>
                </c:pt>
                <c:pt idx="11">
                  <c:v>2.6651189785258156</c:v>
                </c:pt>
                <c:pt idx="12">
                  <c:v>5.183315218026463</c:v>
                </c:pt>
                <c:pt idx="13">
                  <c:v>4.497593261131172</c:v>
                </c:pt>
                <c:pt idx="14">
                  <c:v>3.7879475427689879</c:v>
                </c:pt>
                <c:pt idx="15">
                  <c:v>3.6881260882346334</c:v>
                </c:pt>
                <c:pt idx="16">
                  <c:v>4.5723238294184343</c:v>
                </c:pt>
                <c:pt idx="17">
                  <c:v>4.4757615351396884</c:v>
                </c:pt>
                <c:pt idx="18">
                  <c:v>3.8925326002601013</c:v>
                </c:pt>
                <c:pt idx="19">
                  <c:v>4.4470057990360301</c:v>
                </c:pt>
                <c:pt idx="20">
                  <c:v>2.5989335562833116</c:v>
                </c:pt>
                <c:pt idx="21">
                  <c:v>3.1510385550460596</c:v>
                </c:pt>
                <c:pt idx="22">
                  <c:v>3.1968547805329317</c:v>
                </c:pt>
                <c:pt idx="23">
                  <c:v>3.1945449936736203</c:v>
                </c:pt>
                <c:pt idx="24">
                  <c:v>3.1589406118979424</c:v>
                </c:pt>
              </c:numCache>
            </c:numRef>
          </c:val>
        </c:ser>
        <c:dLbls>
          <c:showLegendKey val="0"/>
          <c:showVal val="0"/>
          <c:showCatName val="0"/>
          <c:showSerName val="0"/>
          <c:showPercent val="0"/>
          <c:showBubbleSize val="0"/>
        </c:dLbls>
        <c:gapWidth val="10"/>
        <c:overlap val="100"/>
        <c:axId val="243117056"/>
        <c:axId val="243135232"/>
      </c:barChart>
      <c:catAx>
        <c:axId val="2431170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3135232"/>
        <c:crosses val="autoZero"/>
        <c:auto val="1"/>
        <c:lblAlgn val="ctr"/>
        <c:lblOffset val="100"/>
        <c:tickLblSkip val="4"/>
        <c:tickMarkSkip val="4"/>
        <c:noMultiLvlLbl val="0"/>
      </c:catAx>
      <c:valAx>
        <c:axId val="24313523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24311705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Domestic demand (Incl. Inventories, QoQ)</a:t>
            </a:r>
          </a:p>
        </c:rich>
      </c:tx>
      <c:layout>
        <c:manualLayout>
          <c:xMode val="edge"/>
          <c:yMode val="edge"/>
          <c:x val="0.3705357142857143"/>
          <c:y val="3.5947712418300651E-2"/>
        </c:manualLayout>
      </c:layout>
      <c:overlay val="0"/>
      <c:spPr>
        <a:noFill/>
        <a:ln w="25400">
          <a:noFill/>
        </a:ln>
      </c:spPr>
    </c:title>
    <c:autoTitleDeleted val="0"/>
    <c:plotArea>
      <c:layout>
        <c:manualLayout>
          <c:layoutTarget val="inner"/>
          <c:xMode val="edge"/>
          <c:yMode val="edge"/>
          <c:x val="1.6741071428571428E-2"/>
          <c:y val="0.15686324570837709"/>
          <c:w val="0.9676339285714286"/>
          <c:h val="0.83006800854016205"/>
        </c:manualLayout>
      </c:layout>
      <c:barChart>
        <c:barDir val="col"/>
        <c:grouping val="clustered"/>
        <c:varyColors val="0"/>
        <c:ser>
          <c:idx val="0"/>
          <c:order val="0"/>
          <c:tx>
            <c:strRef>
              <c:f>'Q1'!$F$149</c:f>
              <c:strCache>
                <c:ptCount val="1"/>
                <c:pt idx="0">
                  <c:v>QDDI</c:v>
                </c:pt>
              </c:strCache>
            </c:strRef>
          </c:tx>
          <c:spPr>
            <a:solidFill>
              <a:srgbClr val="CCFFCC"/>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'Q1'!$G$149:$DB$149</c:f>
              <c:numCache>
                <c:formatCode>0.00</c:formatCode>
                <c:ptCount val="25"/>
                <c:pt idx="0">
                  <c:v>0.97828015307803717</c:v>
                </c:pt>
                <c:pt idx="1">
                  <c:v>-2.7608362824094179E-2</c:v>
                </c:pt>
                <c:pt idx="2">
                  <c:v>-1.8829082145011E-2</c:v>
                </c:pt>
                <c:pt idx="3">
                  <c:v>0.21594746952253718</c:v>
                </c:pt>
                <c:pt idx="4">
                  <c:v>2.8313351123137931</c:v>
                </c:pt>
                <c:pt idx="5">
                  <c:v>4.355453759091632</c:v>
                </c:pt>
                <c:pt idx="6">
                  <c:v>2.2356869337816443</c:v>
                </c:pt>
                <c:pt idx="7">
                  <c:v>-1.7905470989254657</c:v>
                </c:pt>
                <c:pt idx="8">
                  <c:v>-0.21859702568514106</c:v>
                </c:pt>
                <c:pt idx="9">
                  <c:v>-0.94156033327507105</c:v>
                </c:pt>
                <c:pt idx="10">
                  <c:v>3.8514475278506488</c:v>
                </c:pt>
                <c:pt idx="11">
                  <c:v>0.4089215119901235</c:v>
                </c:pt>
                <c:pt idx="12">
                  <c:v>1.4541639403442996</c:v>
                </c:pt>
                <c:pt idx="13">
                  <c:v>0.96963227363200399</c:v>
                </c:pt>
                <c:pt idx="14">
                  <c:v>-0.78411506227766825</c:v>
                </c:pt>
                <c:pt idx="15">
                  <c:v>2.0301694952880922</c:v>
                </c:pt>
                <c:pt idx="16">
                  <c:v>0.52436901653614143</c:v>
                </c:pt>
                <c:pt idx="17">
                  <c:v>0.99892643016384974</c:v>
                </c:pt>
                <c:pt idx="18">
                  <c:v>0.99737581391350105</c:v>
                </c:pt>
                <c:pt idx="19">
                  <c:v>0.86426948405353454</c:v>
                </c:pt>
                <c:pt idx="20">
                  <c:v>0.59457503831887559</c:v>
                </c:pt>
                <c:pt idx="21">
                  <c:v>0.8079110092352495</c:v>
                </c:pt>
                <c:pt idx="22">
                  <c:v>0.93684187936210372</c:v>
                </c:pt>
                <c:pt idx="23">
                  <c:v>0.94052166190287134</c:v>
                </c:pt>
                <c:pt idx="24">
                  <c:v>0.92032399104302232</c:v>
                </c:pt>
              </c:numCache>
            </c:numRef>
          </c:val>
        </c:ser>
        <c:dLbls>
          <c:showLegendKey val="0"/>
          <c:showVal val="0"/>
          <c:showCatName val="0"/>
          <c:showSerName val="0"/>
          <c:showPercent val="0"/>
          <c:showBubbleSize val="0"/>
        </c:dLbls>
        <c:gapWidth val="10"/>
        <c:overlap val="50"/>
        <c:axId val="242901376"/>
        <c:axId val="242902912"/>
      </c:barChart>
      <c:catAx>
        <c:axId val="2429013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2902912"/>
        <c:crosses val="autoZero"/>
        <c:auto val="1"/>
        <c:lblAlgn val="ctr"/>
        <c:lblOffset val="100"/>
        <c:tickLblSkip val="4"/>
        <c:tickMarkSkip val="4"/>
        <c:noMultiLvlLbl val="0"/>
      </c:catAx>
      <c:valAx>
        <c:axId val="2429029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290137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Domestic demand (Incl. inventories, YoY)</a:t>
            </a:r>
          </a:p>
        </c:rich>
      </c:tx>
      <c:layout>
        <c:manualLayout>
          <c:xMode val="edge"/>
          <c:yMode val="edge"/>
          <c:x val="0.3716517857142857"/>
          <c:y val="3.5947712418300651E-2"/>
        </c:manualLayout>
      </c:layout>
      <c:overlay val="0"/>
      <c:spPr>
        <a:noFill/>
        <a:ln w="25400">
          <a:noFill/>
        </a:ln>
      </c:spPr>
    </c:title>
    <c:autoTitleDeleted val="0"/>
    <c:plotArea>
      <c:layout>
        <c:manualLayout>
          <c:layoutTarget val="inner"/>
          <c:xMode val="edge"/>
          <c:yMode val="edge"/>
          <c:x val="1.6741071428571428E-2"/>
          <c:y val="0.15686324570837709"/>
          <c:w val="0.9676339285714286"/>
          <c:h val="0.83006800854016205"/>
        </c:manualLayout>
      </c:layout>
      <c:barChart>
        <c:barDir val="col"/>
        <c:grouping val="stacked"/>
        <c:varyColors val="0"/>
        <c:ser>
          <c:idx val="0"/>
          <c:order val="0"/>
          <c:tx>
            <c:strRef>
              <c:f>'Q1'!$F$149</c:f>
              <c:strCache>
                <c:ptCount val="1"/>
                <c:pt idx="0">
                  <c:v>QDDI</c:v>
                </c:pt>
              </c:strCache>
            </c:strRef>
          </c:tx>
          <c:spPr>
            <a:solidFill>
              <a:srgbClr val="FF8080"/>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'Q1'!$G$154:$DB$154</c:f>
              <c:numCache>
                <c:formatCode>0.00</c:formatCode>
                <c:ptCount val="25"/>
                <c:pt idx="0">
                  <c:v>6.1418581418581475</c:v>
                </c:pt>
                <c:pt idx="1">
                  <c:v>5.3352549947771166</c:v>
                </c:pt>
                <c:pt idx="2">
                  <c:v>3.9926362105207946</c:v>
                </c:pt>
                <c:pt idx="3">
                  <c:v>1.1493524596396076</c:v>
                </c:pt>
                <c:pt idx="4">
                  <c:v>3.0055467710764727</c:v>
                </c:pt>
                <c:pt idx="5">
                  <c:v>7.5215906808596245</c:v>
                </c:pt>
                <c:pt idx="6">
                  <c:v>9.9461386834737588</c:v>
                </c:pt>
                <c:pt idx="7">
                  <c:v>7.7448290550105714</c:v>
                </c:pt>
                <c:pt idx="8">
                  <c:v>4.5491648493561243</c:v>
                </c:pt>
                <c:pt idx="9">
                  <c:v>-0.75768189035210209</c:v>
                </c:pt>
                <c:pt idx="10">
                  <c:v>0.81077068892669857</c:v>
                </c:pt>
                <c:pt idx="11">
                  <c:v>3.0684976105484818</c:v>
                </c:pt>
                <c:pt idx="12">
                  <c:v>4.7963642719804245</c:v>
                </c:pt>
                <c:pt idx="13">
                  <c:v>6.8182620254802373</c:v>
                </c:pt>
                <c:pt idx="14">
                  <c:v>2.0502712928036404</c:v>
                </c:pt>
                <c:pt idx="15">
                  <c:v>3.6980212540330681</c:v>
                </c:pt>
                <c:pt idx="16">
                  <c:v>2.7476620964962173</c:v>
                </c:pt>
                <c:pt idx="17">
                  <c:v>2.7774721099523392</c:v>
                </c:pt>
                <c:pt idx="18">
                  <c:v>4.6229137845068102</c:v>
                </c:pt>
                <c:pt idx="19">
                  <c:v>3.4273864521486619</c:v>
                </c:pt>
                <c:pt idx="20">
                  <c:v>3.4996199356037927</c:v>
                </c:pt>
                <c:pt idx="21">
                  <c:v>3.303875048338889</c:v>
                </c:pt>
                <c:pt idx="22">
                  <c:v>3.2419586870405137</c:v>
                </c:pt>
                <c:pt idx="23">
                  <c:v>3.320008369406624</c:v>
                </c:pt>
                <c:pt idx="24">
                  <c:v>3.6545829178747047</c:v>
                </c:pt>
              </c:numCache>
            </c:numRef>
          </c:val>
        </c:ser>
        <c:dLbls>
          <c:showLegendKey val="0"/>
          <c:showVal val="0"/>
          <c:showCatName val="0"/>
          <c:showSerName val="0"/>
          <c:showPercent val="0"/>
          <c:showBubbleSize val="0"/>
        </c:dLbls>
        <c:gapWidth val="10"/>
        <c:overlap val="100"/>
        <c:axId val="242923008"/>
        <c:axId val="242924544"/>
      </c:barChart>
      <c:catAx>
        <c:axId val="2429230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2924544"/>
        <c:crosses val="autoZero"/>
        <c:auto val="1"/>
        <c:lblAlgn val="ctr"/>
        <c:lblOffset val="100"/>
        <c:tickLblSkip val="4"/>
        <c:tickMarkSkip val="4"/>
        <c:noMultiLvlLbl val="0"/>
      </c:catAx>
      <c:valAx>
        <c:axId val="24292454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292300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Exports (QoQ)</a:t>
            </a:r>
          </a:p>
        </c:rich>
      </c:tx>
      <c:layout>
        <c:manualLayout>
          <c:xMode val="edge"/>
          <c:yMode val="edge"/>
          <c:x val="0.45535714285714285"/>
          <c:y val="3.5947712418300651E-2"/>
        </c:manualLayout>
      </c:layout>
      <c:overlay val="0"/>
      <c:spPr>
        <a:noFill/>
        <a:ln w="25400">
          <a:noFill/>
        </a:ln>
      </c:spPr>
    </c:title>
    <c:autoTitleDeleted val="0"/>
    <c:plotArea>
      <c:layout>
        <c:manualLayout>
          <c:layoutTarget val="inner"/>
          <c:xMode val="edge"/>
          <c:yMode val="edge"/>
          <c:x val="4.9107142857142856E-2"/>
          <c:y val="0.19281107284988017"/>
          <c:w val="0.9352678571428571"/>
          <c:h val="0.69608065283092335"/>
        </c:manualLayout>
      </c:layout>
      <c:barChart>
        <c:barDir val="col"/>
        <c:grouping val="stacked"/>
        <c:varyColors val="0"/>
        <c:ser>
          <c:idx val="0"/>
          <c:order val="0"/>
          <c:tx>
            <c:strRef>
              <c:f>'Q1'!#REF!</c:f>
              <c:strCache>
                <c:ptCount val="1"/>
                <c:pt idx="0">
                  <c:v>#REF!</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42961024"/>
        <c:axId val="242966912"/>
      </c:barChart>
      <c:catAx>
        <c:axId val="2429610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2966912"/>
        <c:crosses val="autoZero"/>
        <c:auto val="1"/>
        <c:lblAlgn val="ctr"/>
        <c:lblOffset val="100"/>
        <c:tickLblSkip val="4"/>
        <c:tickMarkSkip val="4"/>
        <c:noMultiLvlLbl val="0"/>
      </c:catAx>
      <c:valAx>
        <c:axId val="2429669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296102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Exports (YoY)</a:t>
            </a:r>
          </a:p>
        </c:rich>
      </c:tx>
      <c:layout>
        <c:manualLayout>
          <c:xMode val="edge"/>
          <c:yMode val="edge"/>
          <c:x val="0.4564732142857143"/>
          <c:y val="3.6065573770491806E-2"/>
        </c:manualLayout>
      </c:layout>
      <c:overlay val="0"/>
      <c:spPr>
        <a:noFill/>
        <a:ln w="25400">
          <a:noFill/>
        </a:ln>
      </c:spPr>
    </c:title>
    <c:autoTitleDeleted val="0"/>
    <c:plotArea>
      <c:layout>
        <c:manualLayout>
          <c:layoutTarget val="inner"/>
          <c:xMode val="edge"/>
          <c:yMode val="edge"/>
          <c:x val="1.6741071428571428E-2"/>
          <c:y val="0.16065573770491803"/>
          <c:w val="0.9676339285714286"/>
          <c:h val="0.82622950819672136"/>
        </c:manualLayout>
      </c:layout>
      <c:barChart>
        <c:barDir val="col"/>
        <c:grouping val="stacked"/>
        <c:varyColors val="0"/>
        <c:ser>
          <c:idx val="0"/>
          <c:order val="0"/>
          <c:tx>
            <c:strRef>
              <c:f>'Q1'!$C$159:$F$159</c:f>
              <c:strCache>
                <c:ptCount val="1"/>
                <c:pt idx="0">
                  <c:v>Exports of goods and services</c:v>
                </c:pt>
              </c:strCache>
            </c:strRef>
          </c:tx>
          <c:spPr>
            <a:solidFill>
              <a:srgbClr val="FFCC99"/>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'Q1'!$G$189:$DB$189</c:f>
              <c:numCache>
                <c:formatCode>0.00</c:formatCode>
                <c:ptCount val="25"/>
                <c:pt idx="0">
                  <c:v>5.3893644782484262</c:v>
                </c:pt>
                <c:pt idx="1">
                  <c:v>2.7275684215417373</c:v>
                </c:pt>
                <c:pt idx="2">
                  <c:v>4.7366303540480326</c:v>
                </c:pt>
                <c:pt idx="3">
                  <c:v>3.7470797514162157</c:v>
                </c:pt>
                <c:pt idx="4">
                  <c:v>2.1107303006054456</c:v>
                </c:pt>
                <c:pt idx="5">
                  <c:v>0.61968518183463939</c:v>
                </c:pt>
                <c:pt idx="6">
                  <c:v>-1.0534091748541141</c:v>
                </c:pt>
                <c:pt idx="7">
                  <c:v>-1.2377658400176683</c:v>
                </c:pt>
                <c:pt idx="8">
                  <c:v>-0.10202421966258868</c:v>
                </c:pt>
                <c:pt idx="9">
                  <c:v>1.8820708773507278</c:v>
                </c:pt>
                <c:pt idx="10">
                  <c:v>2.1785223675566012</c:v>
                </c:pt>
                <c:pt idx="11">
                  <c:v>4.0042322365283933</c:v>
                </c:pt>
                <c:pt idx="12">
                  <c:v>5.8331606524377744</c:v>
                </c:pt>
                <c:pt idx="13">
                  <c:v>10.204291744495597</c:v>
                </c:pt>
                <c:pt idx="14">
                  <c:v>13.645862255410535</c:v>
                </c:pt>
                <c:pt idx="15">
                  <c:v>14.547721052857799</c:v>
                </c:pt>
                <c:pt idx="16">
                  <c:v>14.704278142175852</c:v>
                </c:pt>
                <c:pt idx="17">
                  <c:v>9.8974602623817187</c:v>
                </c:pt>
                <c:pt idx="18">
                  <c:v>6.3077167920379651</c:v>
                </c:pt>
                <c:pt idx="19">
                  <c:v>3.9842361371660306</c:v>
                </c:pt>
                <c:pt idx="20">
                  <c:v>2.2682128792000045</c:v>
                </c:pt>
                <c:pt idx="21">
                  <c:v>3.2257041153199939</c:v>
                </c:pt>
                <c:pt idx="22">
                  <c:v>4.151034132289988</c:v>
                </c:pt>
                <c:pt idx="23">
                  <c:v>4.9278941581399449</c:v>
                </c:pt>
                <c:pt idx="24">
                  <c:v>5.3438620239799617</c:v>
                </c:pt>
              </c:numCache>
            </c:numRef>
          </c:val>
        </c:ser>
        <c:dLbls>
          <c:showLegendKey val="0"/>
          <c:showVal val="0"/>
          <c:showCatName val="0"/>
          <c:showSerName val="0"/>
          <c:showPercent val="0"/>
          <c:showBubbleSize val="0"/>
        </c:dLbls>
        <c:gapWidth val="10"/>
        <c:overlap val="100"/>
        <c:axId val="243470336"/>
        <c:axId val="243471872"/>
      </c:barChart>
      <c:catAx>
        <c:axId val="2434703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471872"/>
        <c:crosses val="autoZero"/>
        <c:auto val="1"/>
        <c:lblAlgn val="ctr"/>
        <c:lblOffset val="100"/>
        <c:tickLblSkip val="4"/>
        <c:tickMarkSkip val="4"/>
        <c:noMultiLvlLbl val="0"/>
      </c:catAx>
      <c:valAx>
        <c:axId val="24347187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47033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Final demand (QoQ)</a:t>
            </a:r>
          </a:p>
        </c:rich>
      </c:tx>
      <c:layout>
        <c:manualLayout>
          <c:xMode val="edge"/>
          <c:yMode val="edge"/>
          <c:x val="0.43861607142857145"/>
          <c:y val="3.5947712418300651E-2"/>
        </c:manualLayout>
      </c:layout>
      <c:overlay val="0"/>
      <c:spPr>
        <a:noFill/>
        <a:ln w="25400">
          <a:noFill/>
        </a:ln>
      </c:spPr>
    </c:title>
    <c:autoTitleDeleted val="0"/>
    <c:plotArea>
      <c:layout>
        <c:manualLayout>
          <c:layoutTarget val="inner"/>
          <c:xMode val="edge"/>
          <c:yMode val="edge"/>
          <c:x val="1.6741071428571428E-2"/>
          <c:y val="0.15686324570837709"/>
          <c:w val="0.9676339285714286"/>
          <c:h val="0.83006800854016205"/>
        </c:manualLayout>
      </c:layout>
      <c:barChart>
        <c:barDir val="col"/>
        <c:grouping val="stacked"/>
        <c:varyColors val="0"/>
        <c:ser>
          <c:idx val="0"/>
          <c:order val="0"/>
          <c:tx>
            <c:strRef>
              <c:f>'Q1'!$F$206</c:f>
              <c:strCache>
                <c:ptCount val="1"/>
                <c:pt idx="0">
                  <c:v>QFD</c:v>
                </c:pt>
              </c:strCache>
            </c:strRef>
          </c:tx>
          <c:spPr>
            <a:solidFill>
              <a:srgbClr val="CCFFCC"/>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'Q1'!$G$206:$DB$206</c:f>
              <c:numCache>
                <c:formatCode>0.00</c:formatCode>
                <c:ptCount val="25"/>
                <c:pt idx="0">
                  <c:v>1.0484401509643027</c:v>
                </c:pt>
                <c:pt idx="1">
                  <c:v>4.728650826826275E-2</c:v>
                </c:pt>
                <c:pt idx="2">
                  <c:v>0.92199358851412505</c:v>
                </c:pt>
                <c:pt idx="3">
                  <c:v>0.29321134293509576</c:v>
                </c:pt>
                <c:pt idx="4">
                  <c:v>1.316947064954066</c:v>
                </c:pt>
                <c:pt idx="5">
                  <c:v>1.7894357165758157</c:v>
                </c:pt>
                <c:pt idx="6">
                  <c:v>1.4121568859053246</c:v>
                </c:pt>
                <c:pt idx="7">
                  <c:v>-0.92919122833128309</c:v>
                </c:pt>
                <c:pt idx="8">
                  <c:v>0.17634726041266813</c:v>
                </c:pt>
                <c:pt idx="9">
                  <c:v>-0.24710354225209175</c:v>
                </c:pt>
                <c:pt idx="10">
                  <c:v>2.4274827121923082</c:v>
                </c:pt>
                <c:pt idx="11">
                  <c:v>1.0981928633416738</c:v>
                </c:pt>
                <c:pt idx="12">
                  <c:v>1.894176087052557</c:v>
                </c:pt>
                <c:pt idx="13">
                  <c:v>2.6623883444627463</c:v>
                </c:pt>
                <c:pt idx="14">
                  <c:v>1.2840006757898377</c:v>
                </c:pt>
                <c:pt idx="15">
                  <c:v>2.385321100917432</c:v>
                </c:pt>
                <c:pt idx="16">
                  <c:v>1.4866405995438448</c:v>
                </c:pt>
                <c:pt idx="17">
                  <c:v>0.7172934141349282</c:v>
                </c:pt>
                <c:pt idx="18">
                  <c:v>0.71735688560220434</c:v>
                </c:pt>
                <c:pt idx="19">
                  <c:v>0.71742036040082702</c:v>
                </c:pt>
                <c:pt idx="20">
                  <c:v>0.73705413590036328</c:v>
                </c:pt>
                <c:pt idx="21">
                  <c:v>1.0565291535579697</c:v>
                </c:pt>
                <c:pt idx="22">
                  <c:v>1.107003192825434</c:v>
                </c:pt>
                <c:pt idx="23">
                  <c:v>1.1092802960500661</c:v>
                </c:pt>
                <c:pt idx="24">
                  <c:v>1.0989007179173624</c:v>
                </c:pt>
              </c:numCache>
            </c:numRef>
          </c:val>
        </c:ser>
        <c:dLbls>
          <c:showLegendKey val="0"/>
          <c:showVal val="0"/>
          <c:showCatName val="0"/>
          <c:showSerName val="0"/>
          <c:showPercent val="0"/>
          <c:showBubbleSize val="0"/>
        </c:dLbls>
        <c:gapWidth val="10"/>
        <c:overlap val="100"/>
        <c:axId val="243487872"/>
        <c:axId val="243489408"/>
      </c:barChart>
      <c:catAx>
        <c:axId val="2434878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489408"/>
        <c:crosses val="autoZero"/>
        <c:auto val="1"/>
        <c:lblAlgn val="ctr"/>
        <c:lblOffset val="100"/>
        <c:tickLblSkip val="4"/>
        <c:tickMarkSkip val="4"/>
        <c:noMultiLvlLbl val="0"/>
      </c:catAx>
      <c:valAx>
        <c:axId val="24348940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48787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Final demand (YoY)</a:t>
            </a:r>
          </a:p>
        </c:rich>
      </c:tx>
      <c:layout>
        <c:manualLayout>
          <c:xMode val="edge"/>
          <c:yMode val="edge"/>
          <c:x val="0.43973214285714285"/>
          <c:y val="3.5947712418300651E-2"/>
        </c:manualLayout>
      </c:layout>
      <c:overlay val="0"/>
      <c:spPr>
        <a:noFill/>
        <a:ln w="25400">
          <a:noFill/>
        </a:ln>
      </c:spPr>
    </c:title>
    <c:autoTitleDeleted val="0"/>
    <c:plotArea>
      <c:layout>
        <c:manualLayout>
          <c:layoutTarget val="inner"/>
          <c:xMode val="edge"/>
          <c:yMode val="edge"/>
          <c:x val="1.6741071428571428E-2"/>
          <c:y val="0.15686324570837709"/>
          <c:w val="0.9676339285714286"/>
          <c:h val="0.83006800854016205"/>
        </c:manualLayout>
      </c:layout>
      <c:barChart>
        <c:barDir val="col"/>
        <c:grouping val="stacked"/>
        <c:varyColors val="0"/>
        <c:ser>
          <c:idx val="0"/>
          <c:order val="0"/>
          <c:tx>
            <c:strRef>
              <c:f>'Q1'!$F$206</c:f>
              <c:strCache>
                <c:ptCount val="1"/>
                <c:pt idx="0">
                  <c:v>QFD</c:v>
                </c:pt>
              </c:strCache>
            </c:strRef>
          </c:tx>
          <c:spPr>
            <a:solidFill>
              <a:srgbClr val="FF8080"/>
            </a:solidFill>
            <a:ln w="3175">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'Q1'!$G$189:$DB$189</c:f>
              <c:numCache>
                <c:formatCode>0.00</c:formatCode>
                <c:ptCount val="25"/>
                <c:pt idx="0">
                  <c:v>5.3893644782484262</c:v>
                </c:pt>
                <c:pt idx="1">
                  <c:v>2.7275684215417373</c:v>
                </c:pt>
                <c:pt idx="2">
                  <c:v>4.7366303540480326</c:v>
                </c:pt>
                <c:pt idx="3">
                  <c:v>3.7470797514162157</c:v>
                </c:pt>
                <c:pt idx="4">
                  <c:v>2.1107303006054456</c:v>
                </c:pt>
                <c:pt idx="5">
                  <c:v>0.61968518183463939</c:v>
                </c:pt>
                <c:pt idx="6">
                  <c:v>-1.0534091748541141</c:v>
                </c:pt>
                <c:pt idx="7">
                  <c:v>-1.2377658400176683</c:v>
                </c:pt>
                <c:pt idx="8">
                  <c:v>-0.10202421966258868</c:v>
                </c:pt>
                <c:pt idx="9">
                  <c:v>1.8820708773507278</c:v>
                </c:pt>
                <c:pt idx="10">
                  <c:v>2.1785223675566012</c:v>
                </c:pt>
                <c:pt idx="11">
                  <c:v>4.0042322365283933</c:v>
                </c:pt>
                <c:pt idx="12">
                  <c:v>5.8331606524377744</c:v>
                </c:pt>
                <c:pt idx="13">
                  <c:v>10.204291744495597</c:v>
                </c:pt>
                <c:pt idx="14">
                  <c:v>13.645862255410535</c:v>
                </c:pt>
                <c:pt idx="15">
                  <c:v>14.547721052857799</c:v>
                </c:pt>
                <c:pt idx="16">
                  <c:v>14.704278142175852</c:v>
                </c:pt>
                <c:pt idx="17">
                  <c:v>9.8974602623817187</c:v>
                </c:pt>
                <c:pt idx="18">
                  <c:v>6.3077167920379651</c:v>
                </c:pt>
                <c:pt idx="19">
                  <c:v>3.9842361371660306</c:v>
                </c:pt>
                <c:pt idx="20">
                  <c:v>2.2682128792000045</c:v>
                </c:pt>
                <c:pt idx="21">
                  <c:v>3.2257041153199939</c:v>
                </c:pt>
                <c:pt idx="22">
                  <c:v>4.151034132289988</c:v>
                </c:pt>
                <c:pt idx="23">
                  <c:v>4.9278941581399449</c:v>
                </c:pt>
                <c:pt idx="24">
                  <c:v>5.3438620239799617</c:v>
                </c:pt>
              </c:numCache>
            </c:numRef>
          </c:val>
        </c:ser>
        <c:dLbls>
          <c:showLegendKey val="0"/>
          <c:showVal val="0"/>
          <c:showCatName val="0"/>
          <c:showSerName val="0"/>
          <c:showPercent val="0"/>
          <c:showBubbleSize val="0"/>
        </c:dLbls>
        <c:gapWidth val="10"/>
        <c:overlap val="100"/>
        <c:axId val="243538560"/>
        <c:axId val="243548544"/>
      </c:barChart>
      <c:catAx>
        <c:axId val="2435385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548544"/>
        <c:crosses val="autoZero"/>
        <c:auto val="1"/>
        <c:lblAlgn val="ctr"/>
        <c:lblOffset val="100"/>
        <c:tickLblSkip val="4"/>
        <c:tickMarkSkip val="4"/>
        <c:noMultiLvlLbl val="0"/>
      </c:catAx>
      <c:valAx>
        <c:axId val="24354854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53856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Imports and final demand (QoQ)</a:t>
            </a:r>
          </a:p>
        </c:rich>
      </c:tx>
      <c:layout>
        <c:manualLayout>
          <c:xMode val="edge"/>
          <c:yMode val="edge"/>
          <c:x val="0.40066964285714285"/>
          <c:y val="2.9978586723768737E-2"/>
        </c:manualLayout>
      </c:layout>
      <c:overlay val="0"/>
      <c:spPr>
        <a:noFill/>
        <a:ln w="25400">
          <a:noFill/>
        </a:ln>
      </c:spPr>
    </c:title>
    <c:autoTitleDeleted val="0"/>
    <c:plotArea>
      <c:layout>
        <c:manualLayout>
          <c:layoutTarget val="inner"/>
          <c:xMode val="edge"/>
          <c:yMode val="edge"/>
          <c:x val="4.9107142857142856E-2"/>
          <c:y val="0.14132762312633834"/>
          <c:w val="0.9363839285714286"/>
          <c:h val="0.78586723768736622"/>
        </c:manualLayout>
      </c:layout>
      <c:barChart>
        <c:barDir val="col"/>
        <c:grouping val="stacked"/>
        <c:varyColors val="0"/>
        <c:ser>
          <c:idx val="0"/>
          <c:order val="0"/>
          <c:tx>
            <c:strRef>
              <c:f>'Q1'!#REF!</c:f>
              <c:strCache>
                <c:ptCount val="1"/>
                <c:pt idx="0">
                  <c:v>#REF!</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43590272"/>
        <c:axId val="243591808"/>
      </c:barChart>
      <c:lineChart>
        <c:grouping val="standard"/>
        <c:varyColors val="0"/>
        <c:ser>
          <c:idx val="1"/>
          <c:order val="1"/>
          <c:tx>
            <c:strRef>
              <c:f>'Q1'!$F$206</c:f>
              <c:strCache>
                <c:ptCount val="1"/>
                <c:pt idx="0">
                  <c:v>QFD</c:v>
                </c:pt>
              </c:strCache>
            </c:strRef>
          </c:tx>
          <c:val>
            <c:numRef>
              <c:f>'Q1'!$G$206:$CH$206</c:f>
              <c:numCache>
                <c:formatCode>0.00</c:formatCode>
                <c:ptCount val="5"/>
                <c:pt idx="0">
                  <c:v>1.0484401509643027</c:v>
                </c:pt>
                <c:pt idx="1">
                  <c:v>4.728650826826275E-2</c:v>
                </c:pt>
                <c:pt idx="2">
                  <c:v>0.92199358851412505</c:v>
                </c:pt>
                <c:pt idx="3">
                  <c:v>0.29321134293509576</c:v>
                </c:pt>
                <c:pt idx="4">
                  <c:v>1.316947064954066</c:v>
                </c:pt>
              </c:numCache>
            </c:numRef>
          </c:val>
          <c:smooth val="0"/>
        </c:ser>
        <c:dLbls>
          <c:showLegendKey val="0"/>
          <c:showVal val="0"/>
          <c:showCatName val="0"/>
          <c:showSerName val="0"/>
          <c:showPercent val="0"/>
          <c:showBubbleSize val="0"/>
        </c:dLbls>
        <c:marker val="1"/>
        <c:smooth val="0"/>
        <c:axId val="243590272"/>
        <c:axId val="243591808"/>
      </c:lineChart>
      <c:catAx>
        <c:axId val="2435902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591808"/>
        <c:crosses val="autoZero"/>
        <c:auto val="1"/>
        <c:lblAlgn val="ctr"/>
        <c:lblOffset val="100"/>
        <c:tickLblSkip val="4"/>
        <c:tickMarkSkip val="4"/>
        <c:noMultiLvlLbl val="0"/>
      </c:catAx>
      <c:valAx>
        <c:axId val="24359180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590272"/>
        <c:crosses val="autoZero"/>
        <c:crossBetween val="between"/>
      </c:valAx>
      <c:spPr>
        <a:noFill/>
        <a:ln w="12700">
          <a:solidFill>
            <a:srgbClr val="808080"/>
          </a:solidFill>
          <a:prstDash val="solid"/>
        </a:ln>
      </c:spPr>
    </c:plotArea>
    <c:legend>
      <c:legendPos val="r"/>
      <c:layout>
        <c:manualLayout>
          <c:xMode val="edge"/>
          <c:yMode val="edge"/>
          <c:x val="0.13169642857142858"/>
          <c:y val="0.8137044967880086"/>
          <c:w val="7.2544642857142849E-2"/>
          <c:h val="5.353319057815841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Imports and final demand (YoY)</a:t>
            </a:r>
          </a:p>
        </c:rich>
      </c:tx>
      <c:layout>
        <c:manualLayout>
          <c:xMode val="edge"/>
          <c:yMode val="edge"/>
          <c:x val="0.4017857142857143"/>
          <c:y val="3.5947712418300651E-2"/>
        </c:manualLayout>
      </c:layout>
      <c:overlay val="0"/>
      <c:spPr>
        <a:noFill/>
        <a:ln w="25400">
          <a:noFill/>
        </a:ln>
      </c:spPr>
    </c:title>
    <c:autoTitleDeleted val="0"/>
    <c:plotArea>
      <c:layout>
        <c:manualLayout>
          <c:layoutTarget val="inner"/>
          <c:xMode val="edge"/>
          <c:yMode val="edge"/>
          <c:x val="4.9107142857142856E-2"/>
          <c:y val="0.19281107284988017"/>
          <c:w val="0.9363839285714286"/>
          <c:h val="0.69608065283092335"/>
        </c:manualLayout>
      </c:layout>
      <c:barChart>
        <c:barDir val="col"/>
        <c:grouping val="stacked"/>
        <c:varyColors val="0"/>
        <c:ser>
          <c:idx val="0"/>
          <c:order val="0"/>
          <c:tx>
            <c:strRef>
              <c:f>'Q1'!#REF!</c:f>
              <c:strCache>
                <c:ptCount val="1"/>
                <c:pt idx="0">
                  <c:v>#REF!</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'Q1'!#REF!</c:f>
              <c:numCache>
                <c:formatCode>General</c:formatCode>
                <c:ptCount val="1"/>
                <c:pt idx="0">
                  <c:v>1</c:v>
                </c:pt>
              </c:numCache>
            </c:numRef>
          </c:val>
        </c:ser>
        <c:dLbls>
          <c:showLegendKey val="0"/>
          <c:showVal val="0"/>
          <c:showCatName val="0"/>
          <c:showSerName val="0"/>
          <c:showPercent val="0"/>
          <c:showBubbleSize val="0"/>
        </c:dLbls>
        <c:gapWidth val="10"/>
        <c:overlap val="100"/>
        <c:axId val="243687424"/>
        <c:axId val="243688960"/>
      </c:barChart>
      <c:lineChart>
        <c:grouping val="standard"/>
        <c:varyColors val="0"/>
        <c:ser>
          <c:idx val="1"/>
          <c:order val="1"/>
          <c:tx>
            <c:strRef>
              <c:f>'Q1'!$F$206</c:f>
              <c:strCache>
                <c:ptCount val="1"/>
                <c:pt idx="0">
                  <c:v>QFD</c:v>
                </c:pt>
              </c:strCache>
            </c:strRef>
          </c:tx>
          <c:val>
            <c:numRef>
              <c:f>'Q1'!$G$211:$CH$211</c:f>
              <c:numCache>
                <c:formatCode>0.00</c:formatCode>
                <c:ptCount val="5"/>
                <c:pt idx="0">
                  <c:v>5.7989718752039288</c:v>
                </c:pt>
                <c:pt idx="1">
                  <c:v>4.134330061629754</c:v>
                </c:pt>
                <c:pt idx="2">
                  <c:v>4.3331090889777935</c:v>
                </c:pt>
                <c:pt idx="3">
                  <c:v>2.3274817353969635</c:v>
                </c:pt>
                <c:pt idx="4">
                  <c:v>2.5993873313276517</c:v>
                </c:pt>
              </c:numCache>
            </c:numRef>
          </c:val>
          <c:smooth val="0"/>
        </c:ser>
        <c:dLbls>
          <c:showLegendKey val="0"/>
          <c:showVal val="0"/>
          <c:showCatName val="0"/>
          <c:showSerName val="0"/>
          <c:showPercent val="0"/>
          <c:showBubbleSize val="0"/>
        </c:dLbls>
        <c:marker val="1"/>
        <c:smooth val="0"/>
        <c:axId val="243687424"/>
        <c:axId val="243688960"/>
      </c:lineChart>
      <c:catAx>
        <c:axId val="2436874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688960"/>
        <c:crosses val="autoZero"/>
        <c:auto val="1"/>
        <c:lblAlgn val="ctr"/>
        <c:lblOffset val="100"/>
        <c:tickLblSkip val="4"/>
        <c:tickMarkSkip val="4"/>
        <c:noMultiLvlLbl val="0"/>
      </c:catAx>
      <c:valAx>
        <c:axId val="24368896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687424"/>
        <c:crosses val="autoZero"/>
        <c:crossBetween val="between"/>
      </c:valAx>
      <c:spPr>
        <a:noFill/>
        <a:ln w="12700">
          <a:solidFill>
            <a:srgbClr val="808080"/>
          </a:solidFill>
          <a:prstDash val="solid"/>
        </a:ln>
      </c:spPr>
    </c:plotArea>
    <c:legend>
      <c:legendPos val="r"/>
      <c:layout>
        <c:manualLayout>
          <c:xMode val="edge"/>
          <c:yMode val="edge"/>
          <c:x val="0.12834821428571427"/>
          <c:y val="0.7745122055821454"/>
          <c:w val="7.2544642857142849E-2"/>
          <c:h val="8.169968949959682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Gross domestic product (QoQ)</a:t>
            </a:r>
          </a:p>
        </c:rich>
      </c:tx>
      <c:layout>
        <c:manualLayout>
          <c:xMode val="edge"/>
          <c:yMode val="edge"/>
          <c:x val="0.40401785714285715"/>
          <c:y val="3.6065573770491806E-2"/>
        </c:manualLayout>
      </c:layout>
      <c:overlay val="0"/>
      <c:spPr>
        <a:noFill/>
        <a:ln w="25400">
          <a:noFill/>
        </a:ln>
      </c:spPr>
    </c:title>
    <c:autoTitleDeleted val="0"/>
    <c:plotArea>
      <c:layout>
        <c:manualLayout>
          <c:layoutTarget val="inner"/>
          <c:xMode val="edge"/>
          <c:yMode val="edge"/>
          <c:x val="6.1383928571428568E-2"/>
          <c:y val="0.19672131147540983"/>
          <c:w val="0.9229910714285714"/>
          <c:h val="0.69180327868852454"/>
        </c:manualLayout>
      </c:layout>
      <c:barChart>
        <c:barDir val="col"/>
        <c:grouping val="stacked"/>
        <c:varyColors val="0"/>
        <c:ser>
          <c:idx val="0"/>
          <c:order val="0"/>
          <c:tx>
            <c:strRef>
              <c:f>'Q1'!$F$263</c:f>
              <c:strCache>
                <c:ptCount val="1"/>
                <c:pt idx="0">
                  <c:v>QGDP</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'Q1'!$G$263:$DB$263</c:f>
              <c:numCache>
                <c:formatCode>0.00</c:formatCode>
                <c:ptCount val="25"/>
                <c:pt idx="0">
                  <c:v>0.89201293854193064</c:v>
                </c:pt>
                <c:pt idx="1">
                  <c:v>1.2330912364205915</c:v>
                </c:pt>
                <c:pt idx="2">
                  <c:v>0.66628500432412974</c:v>
                </c:pt>
                <c:pt idx="3">
                  <c:v>0.29040220705676134</c:v>
                </c:pt>
                <c:pt idx="4">
                  <c:v>0.23526856811930674</c:v>
                </c:pt>
                <c:pt idx="5">
                  <c:v>0.47424740307415725</c:v>
                </c:pt>
                <c:pt idx="6">
                  <c:v>0.85776239023396261</c:v>
                </c:pt>
                <c:pt idx="7">
                  <c:v>0.74237727018968691</c:v>
                </c:pt>
                <c:pt idx="8">
                  <c:v>0.14030702478364798</c:v>
                </c:pt>
                <c:pt idx="9">
                  <c:v>0.33909081275829145</c:v>
                </c:pt>
                <c:pt idx="10">
                  <c:v>0.63482005608945791</c:v>
                </c:pt>
                <c:pt idx="11">
                  <c:v>1.033091579021006</c:v>
                </c:pt>
                <c:pt idx="12">
                  <c:v>1.1714061490167182</c:v>
                </c:pt>
                <c:pt idx="13">
                  <c:v>1.0859769800257935</c:v>
                </c:pt>
                <c:pt idx="14">
                  <c:v>0.71771144840040435</c:v>
                </c:pt>
                <c:pt idx="15">
                  <c:v>0.54789302080648916</c:v>
                </c:pt>
                <c:pt idx="16">
                  <c:v>1.3505683084466202</c:v>
                </c:pt>
                <c:pt idx="17">
                  <c:v>0.64000000000000046</c:v>
                </c:pt>
                <c:pt idx="18">
                  <c:v>0.64000000000000268</c:v>
                </c:pt>
                <c:pt idx="19">
                  <c:v>0.63999999999999979</c:v>
                </c:pt>
                <c:pt idx="20">
                  <c:v>0.72489778708730856</c:v>
                </c:pt>
                <c:pt idx="21">
                  <c:v>0.64000000000000046</c:v>
                </c:pt>
                <c:pt idx="22">
                  <c:v>0.64000000000000123</c:v>
                </c:pt>
                <c:pt idx="23">
                  <c:v>0.64000000000000123</c:v>
                </c:pt>
                <c:pt idx="24">
                  <c:v>0.61512319845919095</c:v>
                </c:pt>
              </c:numCache>
            </c:numRef>
          </c:val>
        </c:ser>
        <c:dLbls>
          <c:showLegendKey val="0"/>
          <c:showVal val="0"/>
          <c:showCatName val="0"/>
          <c:showSerName val="0"/>
          <c:showPercent val="0"/>
          <c:showBubbleSize val="0"/>
        </c:dLbls>
        <c:gapWidth val="10"/>
        <c:overlap val="100"/>
        <c:axId val="243717632"/>
        <c:axId val="243719168"/>
      </c:barChart>
      <c:catAx>
        <c:axId val="2437176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719168"/>
        <c:crosses val="autoZero"/>
        <c:auto val="1"/>
        <c:lblAlgn val="ctr"/>
        <c:lblOffset val="100"/>
        <c:tickLblSkip val="4"/>
        <c:tickMarkSkip val="4"/>
        <c:noMultiLvlLbl val="0"/>
      </c:catAx>
      <c:valAx>
        <c:axId val="2437191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71763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Gross domestic product (YoY)</a:t>
            </a:r>
          </a:p>
        </c:rich>
      </c:tx>
      <c:layout>
        <c:manualLayout>
          <c:xMode val="edge"/>
          <c:yMode val="edge"/>
          <c:x val="0.4051339285714285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'Q1'!$F$263</c:f>
              <c:strCache>
                <c:ptCount val="1"/>
                <c:pt idx="0">
                  <c:v>QGDP</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'Q1'!$G$268:$DB$268</c:f>
              <c:numCache>
                <c:formatCode>0.00</c:formatCode>
                <c:ptCount val="25"/>
                <c:pt idx="0">
                  <c:v>3.401802904537865</c:v>
                </c:pt>
                <c:pt idx="1">
                  <c:v>4.457083237906212</c:v>
                </c:pt>
                <c:pt idx="2">
                  <c:v>4.2050713033829901</c:v>
                </c:pt>
                <c:pt idx="3">
                  <c:v>3.1152027867628718</c:v>
                </c:pt>
                <c:pt idx="4">
                  <c:v>2.4439868305855983</c:v>
                </c:pt>
                <c:pt idx="5">
                  <c:v>1.6760661169104463</c:v>
                </c:pt>
                <c:pt idx="6">
                  <c:v>1.8694642079279733</c:v>
                </c:pt>
                <c:pt idx="7">
                  <c:v>2.3285555716422879</c:v>
                </c:pt>
                <c:pt idx="8">
                  <c:v>2.2316108763947407</c:v>
                </c:pt>
                <c:pt idx="9">
                  <c:v>2.0940903046494208</c:v>
                </c:pt>
                <c:pt idx="10">
                  <c:v>1.8684151136134197</c:v>
                </c:pt>
                <c:pt idx="11">
                  <c:v>2.1623788525479304</c:v>
                </c:pt>
                <c:pt idx="12">
                  <c:v>3.2142983292713145</c:v>
                </c:pt>
                <c:pt idx="13">
                  <c:v>3.9825864516961795</c:v>
                </c:pt>
                <c:pt idx="14">
                  <c:v>4.0682353489890577</c:v>
                </c:pt>
                <c:pt idx="15">
                  <c:v>3.5684608992706091</c:v>
                </c:pt>
                <c:pt idx="16">
                  <c:v>3.7518679488495854</c:v>
                </c:pt>
                <c:pt idx="17">
                  <c:v>3.2941294363256768</c:v>
                </c:pt>
                <c:pt idx="18">
                  <c:v>3.2144300836068895</c:v>
                </c:pt>
                <c:pt idx="19">
                  <c:v>3.3089797462459103</c:v>
                </c:pt>
                <c:pt idx="20">
                  <c:v>2.6712193044670762</c:v>
                </c:pt>
                <c:pt idx="21">
                  <c:v>2.6712193044670762</c:v>
                </c:pt>
                <c:pt idx="22">
                  <c:v>2.671219304467054</c:v>
                </c:pt>
                <c:pt idx="23">
                  <c:v>2.671219304467054</c:v>
                </c:pt>
                <c:pt idx="24">
                  <c:v>2.5593235258590807</c:v>
                </c:pt>
              </c:numCache>
            </c:numRef>
          </c:val>
        </c:ser>
        <c:dLbls>
          <c:showLegendKey val="0"/>
          <c:showVal val="0"/>
          <c:showCatName val="0"/>
          <c:showSerName val="0"/>
          <c:showPercent val="0"/>
          <c:showBubbleSize val="0"/>
        </c:dLbls>
        <c:gapWidth val="10"/>
        <c:overlap val="100"/>
        <c:axId val="243739264"/>
        <c:axId val="243765632"/>
      </c:barChart>
      <c:catAx>
        <c:axId val="2437392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765632"/>
        <c:crosses val="autoZero"/>
        <c:auto val="1"/>
        <c:lblAlgn val="ctr"/>
        <c:lblOffset val="100"/>
        <c:tickLblSkip val="4"/>
        <c:tickMarkSkip val="4"/>
        <c:noMultiLvlLbl val="0"/>
      </c:catAx>
      <c:valAx>
        <c:axId val="24376563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73926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HICP (YoY)</a:t>
            </a:r>
          </a:p>
        </c:rich>
      </c:tx>
      <c:layout>
        <c:manualLayout>
          <c:xMode val="edge"/>
          <c:yMode val="edge"/>
          <c:x val="0.46651785714285715"/>
          <c:y val="3.5947712418300651E-2"/>
        </c:manualLayout>
      </c:layout>
      <c:overlay val="0"/>
      <c:spPr>
        <a:noFill/>
        <a:ln w="25400">
          <a:noFill/>
        </a:ln>
      </c:spPr>
    </c:title>
    <c:autoTitleDeleted val="0"/>
    <c:plotArea>
      <c:layout>
        <c:manualLayout>
          <c:layoutTarget val="inner"/>
          <c:xMode val="edge"/>
          <c:yMode val="edge"/>
          <c:x val="5.6919642857142856E-2"/>
          <c:y val="0.19281107284988017"/>
          <c:w val="0.9274553571428571"/>
          <c:h val="0.69608065283092335"/>
        </c:manualLayout>
      </c:layout>
      <c:barChart>
        <c:barDir val="col"/>
        <c:grouping val="stacked"/>
        <c:varyColors val="0"/>
        <c:ser>
          <c:idx val="0"/>
          <c:order val="0"/>
          <c:tx>
            <c:strRef>
              <c:f>'Q1'!$F$316</c:f>
              <c:strCache>
                <c:ptCount val="1"/>
              </c:strCache>
            </c:strRef>
          </c:tx>
          <c:spPr>
            <a:solidFill>
              <a:srgbClr val="0066CC"/>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'Q1'!$G$316:$DB$316</c:f>
              <c:numCache>
                <c:formatCode>0.00</c:formatCode>
                <c:ptCount val="25"/>
                <c:pt idx="0">
                  <c:v>0.49826460621136448</c:v>
                </c:pt>
                <c:pt idx="1">
                  <c:v>0.30778324993059414</c:v>
                </c:pt>
                <c:pt idx="2">
                  <c:v>0.21688232448298095</c:v>
                </c:pt>
                <c:pt idx="3">
                  <c:v>0.24228140837416845</c:v>
                </c:pt>
                <c:pt idx="4">
                  <c:v>0.17429873938439755</c:v>
                </c:pt>
                <c:pt idx="5">
                  <c:v>-1.2991271504266138</c:v>
                </c:pt>
                <c:pt idx="6">
                  <c:v>-0.29226033802027018</c:v>
                </c:pt>
                <c:pt idx="7">
                  <c:v>-0.66403430877610958</c:v>
                </c:pt>
                <c:pt idx="8">
                  <c:v>-0.37025413901122306</c:v>
                </c:pt>
                <c:pt idx="9">
                  <c:v>0.6874463859162887</c:v>
                </c:pt>
                <c:pt idx="10">
                  <c:v>0.46646439800738904</c:v>
                </c:pt>
                <c:pt idx="11">
                  <c:v>0.40148688455245463</c:v>
                </c:pt>
                <c:pt idx="12">
                  <c:v>1.2463909081876494</c:v>
                </c:pt>
                <c:pt idx="13">
                  <c:v>2.9554663441353313</c:v>
                </c:pt>
                <c:pt idx="14">
                  <c:v>3.4071082454399431</c:v>
                </c:pt>
                <c:pt idx="15">
                  <c:v>4.4491285396125306</c:v>
                </c:pt>
                <c:pt idx="16">
                  <c:v>4.0591318491850217</c:v>
                </c:pt>
                <c:pt idx="17">
                  <c:v>3.2003427940795461</c:v>
                </c:pt>
                <c:pt idx="18">
                  <c:v>2.7000996405354982</c:v>
                </c:pt>
                <c:pt idx="19">
                  <c:v>2.6728413706528471</c:v>
                </c:pt>
                <c:pt idx="20">
                  <c:v>2.6731374763846674</c:v>
                </c:pt>
                <c:pt idx="21">
                  <c:v>2.7085884536913909</c:v>
                </c:pt>
                <c:pt idx="22">
                  <c:v>2.5208338919720461</c:v>
                </c:pt>
                <c:pt idx="23">
                  <c:v>2.2255013487630464</c:v>
                </c:pt>
                <c:pt idx="24">
                  <c:v>1.939395359138814</c:v>
                </c:pt>
              </c:numCache>
            </c:numRef>
          </c:val>
        </c:ser>
        <c:dLbls>
          <c:showLegendKey val="0"/>
          <c:showVal val="0"/>
          <c:showCatName val="0"/>
          <c:showSerName val="0"/>
          <c:showPercent val="0"/>
          <c:showBubbleSize val="0"/>
        </c:dLbls>
        <c:gapWidth val="10"/>
        <c:overlap val="100"/>
        <c:axId val="243789824"/>
        <c:axId val="243791360"/>
      </c:barChart>
      <c:catAx>
        <c:axId val="2437898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791360"/>
        <c:crosses val="autoZero"/>
        <c:auto val="1"/>
        <c:lblAlgn val="ctr"/>
        <c:lblOffset val="100"/>
        <c:tickLblSkip val="4"/>
        <c:tickMarkSkip val="4"/>
        <c:noMultiLvlLbl val="0"/>
      </c:catAx>
      <c:valAx>
        <c:axId val="24379136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78982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HICP (QoQ)</a:t>
            </a:r>
          </a:p>
        </c:rich>
      </c:tx>
      <c:layout>
        <c:manualLayout>
          <c:xMode val="edge"/>
          <c:yMode val="edge"/>
          <c:x val="0.4654017857142857"/>
          <c:y val="3.5947712418300651E-2"/>
        </c:manualLayout>
      </c:layout>
      <c:overlay val="0"/>
      <c:spPr>
        <a:noFill/>
        <a:ln w="25400">
          <a:noFill/>
        </a:ln>
      </c:spPr>
    </c:title>
    <c:autoTitleDeleted val="0"/>
    <c:plotArea>
      <c:layout>
        <c:manualLayout>
          <c:layoutTarget val="inner"/>
          <c:xMode val="edge"/>
          <c:yMode val="edge"/>
          <c:x val="5.46875E-2"/>
          <c:y val="0.11111146571010043"/>
          <c:w val="0.9296875"/>
          <c:h val="0.77778025997070299"/>
        </c:manualLayout>
      </c:layout>
      <c:barChart>
        <c:barDir val="col"/>
        <c:grouping val="stacked"/>
        <c:varyColors val="0"/>
        <c:ser>
          <c:idx val="4"/>
          <c:order val="0"/>
          <c:tx>
            <c:strRef>
              <c:f>'Q1'!$E$337</c:f>
              <c:strCache>
                <c:ptCount val="1"/>
                <c:pt idx="0">
                  <c:v>Services</c:v>
                </c:pt>
              </c:strCache>
            </c:strRef>
          </c:tx>
          <c:spPr>
            <a:solidFill>
              <a:srgbClr val="FFCC99"/>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'Q1'!$G$337:$DB$337</c:f>
              <c:numCache>
                <c:formatCode>0.00</c:formatCode>
                <c:ptCount val="25"/>
                <c:pt idx="0">
                  <c:v>0.30699542664216467</c:v>
                </c:pt>
                <c:pt idx="1">
                  <c:v>0.25433945571008859</c:v>
                </c:pt>
                <c:pt idx="2">
                  <c:v>0.20728414937178077</c:v>
                </c:pt>
                <c:pt idx="3">
                  <c:v>0.45145711213624123</c:v>
                </c:pt>
                <c:pt idx="4">
                  <c:v>0.58512724603230193</c:v>
                </c:pt>
                <c:pt idx="5">
                  <c:v>0.77376943005181087</c:v>
                </c:pt>
                <c:pt idx="6">
                  <c:v>0.8092867550128362</c:v>
                </c:pt>
                <c:pt idx="7">
                  <c:v>0.79301902201653884</c:v>
                </c:pt>
                <c:pt idx="8">
                  <c:v>0.85796187033183413</c:v>
                </c:pt>
                <c:pt idx="9">
                  <c:v>0.90175239968795518</c:v>
                </c:pt>
                <c:pt idx="10">
                  <c:v>0.79368525976641213</c:v>
                </c:pt>
                <c:pt idx="11">
                  <c:v>0.72662343523521011</c:v>
                </c:pt>
                <c:pt idx="12">
                  <c:v>0.66992824447591603</c:v>
                </c:pt>
                <c:pt idx="13">
                  <c:v>0.88983322974255108</c:v>
                </c:pt>
                <c:pt idx="14">
                  <c:v>1.3944612183863203</c:v>
                </c:pt>
                <c:pt idx="15">
                  <c:v>1.7006289791086822</c:v>
                </c:pt>
                <c:pt idx="16">
                  <c:v>1.349479325597793</c:v>
                </c:pt>
                <c:pt idx="17">
                  <c:v>1.1994224726754119</c:v>
                </c:pt>
                <c:pt idx="18">
                  <c:v>1.0019541011903119</c:v>
                </c:pt>
                <c:pt idx="19">
                  <c:v>0.84484727666108561</c:v>
                </c:pt>
                <c:pt idx="20">
                  <c:v>1.3109288523047955</c:v>
                </c:pt>
                <c:pt idx="21">
                  <c:v>1.4120855514122825</c:v>
                </c:pt>
                <c:pt idx="22">
                  <c:v>1.2449278112761195</c:v>
                </c:pt>
                <c:pt idx="23">
                  <c:v>1.0800550738723405</c:v>
                </c:pt>
                <c:pt idx="24">
                  <c:v>0.91492797538906401</c:v>
                </c:pt>
              </c:numCache>
            </c:numRef>
          </c:val>
        </c:ser>
        <c:ser>
          <c:idx val="0"/>
          <c:order val="1"/>
          <c:tx>
            <c:strRef>
              <c:f>'Q1'!$E$333</c:f>
              <c:strCache>
                <c:ptCount val="1"/>
                <c:pt idx="0">
                  <c:v>Non-energy industrial goods</c:v>
                </c:pt>
              </c:strCache>
            </c:strRef>
          </c:tx>
          <c:spPr>
            <a:solidFill>
              <a:srgbClr val="339966"/>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'Q1'!$G$333:$DB$333</c:f>
              <c:numCache>
                <c:formatCode>0.00</c:formatCode>
                <c:ptCount val="25"/>
                <c:pt idx="0">
                  <c:v>0.11808376251731553</c:v>
                </c:pt>
                <c:pt idx="1">
                  <c:v>0.11743534921605235</c:v>
                </c:pt>
                <c:pt idx="2">
                  <c:v>2.4141204787056378E-2</c:v>
                </c:pt>
                <c:pt idx="3">
                  <c:v>1.3244286439817997E-2</c:v>
                </c:pt>
                <c:pt idx="4">
                  <c:v>-6.1016222325636769E-2</c:v>
                </c:pt>
                <c:pt idx="5">
                  <c:v>1.1958655893977066E-2</c:v>
                </c:pt>
                <c:pt idx="6">
                  <c:v>0.17079567773398344</c:v>
                </c:pt>
                <c:pt idx="7">
                  <c:v>0.2884166441045003</c:v>
                </c:pt>
                <c:pt idx="8">
                  <c:v>0.51097042070550858</c:v>
                </c:pt>
                <c:pt idx="9">
                  <c:v>0.48170711678832917</c:v>
                </c:pt>
                <c:pt idx="10">
                  <c:v>0.36613526265077145</c:v>
                </c:pt>
                <c:pt idx="11">
                  <c:v>4.7474524536271122E-2</c:v>
                </c:pt>
                <c:pt idx="12">
                  <c:v>3.5358646468617021E-2</c:v>
                </c:pt>
                <c:pt idx="13">
                  <c:v>9.8421889055476483E-2</c:v>
                </c:pt>
                <c:pt idx="14">
                  <c:v>0.24541447541414732</c:v>
                </c:pt>
                <c:pt idx="15">
                  <c:v>0.30989633227265573</c:v>
                </c:pt>
                <c:pt idx="16">
                  <c:v>0.27965178512938355</c:v>
                </c:pt>
                <c:pt idx="17">
                  <c:v>0.16237321602035895</c:v>
                </c:pt>
                <c:pt idx="18">
                  <c:v>8.4543791186346459E-2</c:v>
                </c:pt>
                <c:pt idx="19">
                  <c:v>0.38900146055135254</c:v>
                </c:pt>
                <c:pt idx="20">
                  <c:v>0.3776858533564153</c:v>
                </c:pt>
                <c:pt idx="21">
                  <c:v>0.55896247356586293</c:v>
                </c:pt>
                <c:pt idx="22">
                  <c:v>0.40856730432284527</c:v>
                </c:pt>
                <c:pt idx="23">
                  <c:v>0.26025252764769913</c:v>
                </c:pt>
                <c:pt idx="24">
                  <c:v>0.11457449010578011</c:v>
                </c:pt>
              </c:numCache>
            </c:numRef>
          </c:val>
        </c:ser>
        <c:ser>
          <c:idx val="2"/>
          <c:order val="2"/>
          <c:tx>
            <c:strRef>
              <c:f>'Q1'!$E$335</c:f>
              <c:strCache>
                <c:ptCount val="1"/>
                <c:pt idx="0">
                  <c:v>Unprocessed food</c:v>
                </c:pt>
              </c:strCache>
            </c:strRef>
          </c:tx>
          <c:spPr>
            <a:solidFill>
              <a:srgbClr val="99CC00"/>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'Q1'!$G$335:$DB$335</c:f>
              <c:numCache>
                <c:formatCode>0.00</c:formatCode>
                <c:ptCount val="25"/>
                <c:pt idx="0">
                  <c:v>5.9958392687376107E-2</c:v>
                </c:pt>
                <c:pt idx="1">
                  <c:v>6.8627595692574719E-2</c:v>
                </c:pt>
                <c:pt idx="2">
                  <c:v>4.7401356959360669E-3</c:v>
                </c:pt>
                <c:pt idx="3">
                  <c:v>3.6057892048359387E-2</c:v>
                </c:pt>
                <c:pt idx="4">
                  <c:v>2.9617231444641498E-2</c:v>
                </c:pt>
                <c:pt idx="5">
                  <c:v>-0.13251506264995974</c:v>
                </c:pt>
                <c:pt idx="6">
                  <c:v>0.1748601527521739</c:v>
                </c:pt>
                <c:pt idx="7">
                  <c:v>-5.1776842676808793E-3</c:v>
                </c:pt>
                <c:pt idx="8">
                  <c:v>0.25601094391245099</c:v>
                </c:pt>
                <c:pt idx="9">
                  <c:v>0.2240026021425465</c:v>
                </c:pt>
                <c:pt idx="10">
                  <c:v>0.21607264086897363</c:v>
                </c:pt>
                <c:pt idx="11">
                  <c:v>0.15494380687219733</c:v>
                </c:pt>
                <c:pt idx="12">
                  <c:v>-3.7152339716901753E-2</c:v>
                </c:pt>
                <c:pt idx="13">
                  <c:v>0.21558162322665422</c:v>
                </c:pt>
                <c:pt idx="14">
                  <c:v>-0.11049036578432049</c:v>
                </c:pt>
                <c:pt idx="15">
                  <c:v>0.15168187130597355</c:v>
                </c:pt>
                <c:pt idx="16">
                  <c:v>0.28674167335473333</c:v>
                </c:pt>
                <c:pt idx="17">
                  <c:v>7.1358706741579667E-2</c:v>
                </c:pt>
                <c:pt idx="18">
                  <c:v>0.14033466870192973</c:v>
                </c:pt>
                <c:pt idx="19">
                  <c:v>4.3712640950246094E-2</c:v>
                </c:pt>
                <c:pt idx="20">
                  <c:v>-8.4983983219820605E-2</c:v>
                </c:pt>
                <c:pt idx="21">
                  <c:v>4.272241873313337E-3</c:v>
                </c:pt>
                <c:pt idx="22">
                  <c:v>7.0490713842085523E-2</c:v>
                </c:pt>
                <c:pt idx="23">
                  <c:v>9.5320221316485057E-2</c:v>
                </c:pt>
                <c:pt idx="24">
                  <c:v>0.11996806038938111</c:v>
                </c:pt>
              </c:numCache>
            </c:numRef>
          </c:val>
        </c:ser>
        <c:ser>
          <c:idx val="3"/>
          <c:order val="3"/>
          <c:tx>
            <c:strRef>
              <c:f>'Q1'!$E$336</c:f>
              <c:strCache>
                <c:ptCount val="1"/>
                <c:pt idx="0">
                  <c:v>Processed food (incl. Alcohol and tobacco)</c:v>
                </c:pt>
              </c:strCache>
            </c:strRef>
          </c:tx>
          <c:spPr>
            <a:solidFill>
              <a:srgbClr val="00FF00"/>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'Q1'!$G$336:$DB$336</c:f>
              <c:numCache>
                <c:formatCode>0.00</c:formatCode>
                <c:ptCount val="25"/>
                <c:pt idx="0">
                  <c:v>0.36691798031524991</c:v>
                </c:pt>
                <c:pt idx="1">
                  <c:v>0.40845418326693039</c:v>
                </c:pt>
                <c:pt idx="2">
                  <c:v>0.50192663108149527</c:v>
                </c:pt>
                <c:pt idx="3">
                  <c:v>0.53575677321156923</c:v>
                </c:pt>
                <c:pt idx="4">
                  <c:v>0.44253248896823411</c:v>
                </c:pt>
                <c:pt idx="5">
                  <c:v>0.14845084077157181</c:v>
                </c:pt>
                <c:pt idx="6">
                  <c:v>-7.1398238324747759E-2</c:v>
                </c:pt>
                <c:pt idx="7">
                  <c:v>-0.24550749521230905</c:v>
                </c:pt>
                <c:pt idx="8">
                  <c:v>-0.21823609047383408</c:v>
                </c:pt>
                <c:pt idx="9">
                  <c:v>0.11330523101434316</c:v>
                </c:pt>
                <c:pt idx="10">
                  <c:v>0.44086338014075788</c:v>
                </c:pt>
                <c:pt idx="11">
                  <c:v>0.58078343246675379</c:v>
                </c:pt>
                <c:pt idx="12">
                  <c:v>0.72312414483564635</c:v>
                </c:pt>
                <c:pt idx="13">
                  <c:v>1.0788580153175726</c:v>
                </c:pt>
                <c:pt idx="14">
                  <c:v>1.5202323621635703</c:v>
                </c:pt>
                <c:pt idx="15">
                  <c:v>1.6660043236565774</c:v>
                </c:pt>
                <c:pt idx="16">
                  <c:v>1.6818372573050389</c:v>
                </c:pt>
                <c:pt idx="17">
                  <c:v>1.2237131424508214</c:v>
                </c:pt>
                <c:pt idx="18">
                  <c:v>0.76489316202357349</c:v>
                </c:pt>
                <c:pt idx="19">
                  <c:v>0.56629812265914514</c:v>
                </c:pt>
                <c:pt idx="20">
                  <c:v>0.48081681906568091</c:v>
                </c:pt>
                <c:pt idx="21">
                  <c:v>0.60818644523100351</c:v>
                </c:pt>
                <c:pt idx="22">
                  <c:v>0.64490092911566277</c:v>
                </c:pt>
                <c:pt idx="23">
                  <c:v>0.64490092911566277</c:v>
                </c:pt>
                <c:pt idx="24">
                  <c:v>0.64490092911566277</c:v>
                </c:pt>
              </c:numCache>
            </c:numRef>
          </c:val>
        </c:ser>
        <c:ser>
          <c:idx val="1"/>
          <c:order val="4"/>
          <c:tx>
            <c:strRef>
              <c:f>'Q1'!$E$334</c:f>
              <c:strCache>
                <c:ptCount val="1"/>
                <c:pt idx="0">
                  <c:v>Energy</c:v>
                </c:pt>
              </c:strCache>
            </c:strRef>
          </c:tx>
          <c:spPr>
            <a:solidFill>
              <a:srgbClr val="FFFF99"/>
            </a:solidFill>
            <a:ln w="12700">
              <a:solidFill>
                <a:srgbClr val="000000"/>
              </a:solidFill>
              <a:prstDash val="solid"/>
            </a:ln>
          </c:spPr>
          <c:invertIfNegative val="0"/>
          <c:cat>
            <c:numRef>
              <c:f>InputQ!$G$2:$DB$2</c:f>
              <c:numCache>
                <c:formatCode>0</c:formatCode>
                <c:ptCount val="100"/>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numCache>
            </c:numRef>
          </c:cat>
          <c:val>
            <c:numRef>
              <c:f>'Q1'!$G$334:$DB$334</c:f>
              <c:numCache>
                <c:formatCode>0.00</c:formatCode>
                <c:ptCount val="25"/>
                <c:pt idx="0">
                  <c:v>-0.35268596325474993</c:v>
                </c:pt>
                <c:pt idx="1">
                  <c:v>-0.35789821091232582</c:v>
                </c:pt>
                <c:pt idx="2">
                  <c:v>-0.43022797167282678</c:v>
                </c:pt>
                <c:pt idx="3">
                  <c:v>-0.6541164097760368</c:v>
                </c:pt>
                <c:pt idx="4">
                  <c:v>-0.82196200473514702</c:v>
                </c:pt>
                <c:pt idx="5">
                  <c:v>-1.9301544511569559</c:v>
                </c:pt>
                <c:pt idx="6">
                  <c:v>-1.2994409565647471</c:v>
                </c:pt>
                <c:pt idx="7">
                  <c:v>-1.4296183803403539</c:v>
                </c:pt>
                <c:pt idx="8">
                  <c:v>-1.7769612834872095</c:v>
                </c:pt>
                <c:pt idx="9">
                  <c:v>-0.94680971041445239</c:v>
                </c:pt>
                <c:pt idx="10">
                  <c:v>-1.2085872173437555</c:v>
                </c:pt>
                <c:pt idx="11">
                  <c:v>-1.0426724957611626</c:v>
                </c:pt>
                <c:pt idx="12">
                  <c:v>-0.14486778787562263</c:v>
                </c:pt>
                <c:pt idx="13">
                  <c:v>0.71741620626150981</c:v>
                </c:pt>
                <c:pt idx="14">
                  <c:v>0.47945044980466955</c:v>
                </c:pt>
                <c:pt idx="15">
                  <c:v>0.59661021956379012</c:v>
                </c:pt>
                <c:pt idx="16">
                  <c:v>0.46142180779806985</c:v>
                </c:pt>
                <c:pt idx="17">
                  <c:v>0.53783939661282476</c:v>
                </c:pt>
                <c:pt idx="18">
                  <c:v>0.70379340283456648</c:v>
                </c:pt>
                <c:pt idx="19">
                  <c:v>0.84620215989902769</c:v>
                </c:pt>
                <c:pt idx="20">
                  <c:v>0.5886899348776008</c:v>
                </c:pt>
                <c:pt idx="21">
                  <c:v>0.1298693429936284</c:v>
                </c:pt>
                <c:pt idx="22">
                  <c:v>0.14502390413891844</c:v>
                </c:pt>
                <c:pt idx="23">
                  <c:v>0.14502390413891844</c:v>
                </c:pt>
                <c:pt idx="24">
                  <c:v>0.14502390413891844</c:v>
                </c:pt>
              </c:numCache>
            </c:numRef>
          </c:val>
        </c:ser>
        <c:dLbls>
          <c:showLegendKey val="0"/>
          <c:showVal val="0"/>
          <c:showCatName val="0"/>
          <c:showSerName val="0"/>
          <c:showPercent val="0"/>
          <c:showBubbleSize val="0"/>
        </c:dLbls>
        <c:gapWidth val="10"/>
        <c:overlap val="100"/>
        <c:axId val="243843456"/>
        <c:axId val="243844992"/>
      </c:barChart>
      <c:catAx>
        <c:axId val="2438434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844992"/>
        <c:crosses val="autoZero"/>
        <c:auto val="1"/>
        <c:lblAlgn val="ctr"/>
        <c:lblOffset val="100"/>
        <c:tickLblSkip val="4"/>
        <c:tickMarkSkip val="4"/>
        <c:noMultiLvlLbl val="0"/>
      </c:catAx>
      <c:valAx>
        <c:axId val="2438449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43843456"/>
        <c:crosses val="autoZero"/>
        <c:crossBetween val="between"/>
      </c:valAx>
      <c:spPr>
        <a:noFill/>
        <a:ln w="12700">
          <a:solidFill>
            <a:srgbClr val="808080"/>
          </a:solidFill>
          <a:prstDash val="solid"/>
        </a:ln>
      </c:spPr>
    </c:plotArea>
    <c:legend>
      <c:legendPos val="b"/>
      <c:layout>
        <c:manualLayout>
          <c:xMode val="edge"/>
          <c:yMode val="edge"/>
          <c:x val="0.6272321428571429"/>
          <c:y val="3.2679738562091505E-2"/>
          <c:w val="0.3448660714285714"/>
          <c:h val="0.24183075154821332"/>
        </c:manualLayout>
      </c:layout>
      <c:overlay val="0"/>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 &amp; salary earners and GDP (VOL)</a:t>
            </a:r>
          </a:p>
        </c:rich>
      </c:tx>
      <c:layout>
        <c:manualLayout>
          <c:xMode val="edge"/>
          <c:yMode val="edge"/>
          <c:x val="0.225446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6022562211578175"/>
        </c:manualLayout>
      </c:layout>
      <c:lineChart>
        <c:grouping val="standard"/>
        <c:varyColors val="0"/>
        <c:ser>
          <c:idx val="0"/>
          <c:order val="0"/>
          <c:tx>
            <c:strRef>
              <c:f>Labour1!$D$49:$E$49</c:f>
              <c:strCache>
                <c:ptCount val="1"/>
                <c:pt idx="0">
                  <c:v>Wage and salary earners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Labour1!$G$49:$U$49</c:f>
              <c:numCache>
                <c:formatCode>0.0</c:formatCode>
                <c:ptCount val="6"/>
                <c:pt idx="0">
                  <c:v>1.2393411365923646</c:v>
                </c:pt>
                <c:pt idx="1">
                  <c:v>2.4125904612433358</c:v>
                </c:pt>
                <c:pt idx="2">
                  <c:v>-9.1097167474052387E-2</c:v>
                </c:pt>
                <c:pt idx="3">
                  <c:v>5.1265445249254471</c:v>
                </c:pt>
                <c:pt idx="4" formatCode="0.00">
                  <c:v>2.1051181038535649</c:v>
                </c:pt>
                <c:pt idx="5" formatCode="0.00">
                  <c:v>-8.0102887355810957</c:v>
                </c:pt>
              </c:numCache>
            </c:numRef>
          </c:val>
          <c:smooth val="0"/>
        </c:ser>
        <c:ser>
          <c:idx val="1"/>
          <c:order val="1"/>
          <c:tx>
            <c:strRef>
              <c:f>'VVP2'!$E$131</c:f>
              <c:strCache>
                <c:ptCount val="1"/>
                <c:pt idx="0">
                  <c:v>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'VVP2'!$G$131:$AA$131</c:f>
              <c:numCache>
                <c:formatCode>0.0</c:formatCode>
                <c:ptCount val="4"/>
                <c:pt idx="0">
                  <c:v>3.8269382239940919</c:v>
                </c:pt>
                <c:pt idx="1">
                  <c:v>3.498577230569011</c:v>
                </c:pt>
                <c:pt idx="2" formatCode="0.000">
                  <c:v>3.5375855747539431</c:v>
                </c:pt>
                <c:pt idx="3" formatCode="0.000">
                  <c:v>2.0346676424249033</c:v>
                </c:pt>
              </c:numCache>
            </c:numRef>
          </c:val>
          <c:smooth val="0"/>
        </c:ser>
        <c:dLbls>
          <c:showLegendKey val="0"/>
          <c:showVal val="0"/>
          <c:showCatName val="0"/>
          <c:showSerName val="0"/>
          <c:showPercent val="0"/>
          <c:showBubbleSize val="0"/>
        </c:dLbls>
        <c:marker val="1"/>
        <c:smooth val="0"/>
        <c:axId val="243369088"/>
        <c:axId val="243371008"/>
      </c:lineChart>
      <c:catAx>
        <c:axId val="24336908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3371008"/>
        <c:crosses val="autoZero"/>
        <c:auto val="1"/>
        <c:lblAlgn val="ctr"/>
        <c:lblOffset val="100"/>
        <c:tickLblSkip val="2"/>
        <c:tickMarkSkip val="1"/>
        <c:noMultiLvlLbl val="0"/>
      </c:catAx>
      <c:valAx>
        <c:axId val="24337100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3369088"/>
        <c:crosses val="autoZero"/>
        <c:crossBetween val="midCat"/>
      </c:valAx>
      <c:spPr>
        <a:noFill/>
        <a:ln w="12700">
          <a:solidFill>
            <a:srgbClr val="808080"/>
          </a:solidFill>
          <a:prstDash val="solid"/>
        </a:ln>
      </c:spPr>
    </c:plotArea>
    <c:legend>
      <c:legendPos val="b"/>
      <c:layout>
        <c:manualLayout>
          <c:xMode val="edge"/>
          <c:yMode val="edge"/>
          <c:x val="0.17410737720284963"/>
          <c:y val="0.85434408934177342"/>
          <c:w val="0.707589988751406"/>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Self-employed and GDP (VOL)</a:t>
            </a:r>
          </a:p>
        </c:rich>
      </c:tx>
      <c:layout>
        <c:manualLayout>
          <c:xMode val="edge"/>
          <c:yMode val="edge"/>
          <c:x val="0.28348237720284963"/>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6022562211578175"/>
        </c:manualLayout>
      </c:layout>
      <c:lineChart>
        <c:grouping val="standard"/>
        <c:varyColors val="0"/>
        <c:ser>
          <c:idx val="0"/>
          <c:order val="0"/>
          <c:tx>
            <c:strRef>
              <c:f>Labour1!$D$50:$E$50</c:f>
              <c:strCache>
                <c:ptCount val="1"/>
                <c:pt idx="0">
                  <c:v>Self employed</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Labour1!$G$50:$U$50</c:f>
              <c:numCache>
                <c:formatCode>0.0</c:formatCode>
                <c:ptCount val="6"/>
                <c:pt idx="0">
                  <c:v>-10.124637186272945</c:v>
                </c:pt>
                <c:pt idx="1">
                  <c:v>-6.4779635258357722</c:v>
                </c:pt>
                <c:pt idx="2">
                  <c:v>-1.3772090188909569</c:v>
                </c:pt>
                <c:pt idx="3">
                  <c:v>-12.885154061624638</c:v>
                </c:pt>
                <c:pt idx="4">
                  <c:v>-21.288065065254493</c:v>
                </c:pt>
                <c:pt idx="5">
                  <c:v>-5.2144659377627356</c:v>
                </c:pt>
              </c:numCache>
            </c:numRef>
          </c:val>
          <c:smooth val="0"/>
        </c:ser>
        <c:ser>
          <c:idx val="1"/>
          <c:order val="1"/>
          <c:tx>
            <c:strRef>
              <c:f>'VVP2'!$D$131:$E$131</c:f>
              <c:strCache>
                <c:ptCount val="1"/>
                <c:pt idx="0">
                  <c:v>  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'VVP2'!$G$131:$AA$131</c:f>
              <c:numCache>
                <c:formatCode>0.0</c:formatCode>
                <c:ptCount val="4"/>
                <c:pt idx="0">
                  <c:v>3.8269382239940919</c:v>
                </c:pt>
                <c:pt idx="1">
                  <c:v>3.498577230569011</c:v>
                </c:pt>
                <c:pt idx="2" formatCode="0.000">
                  <c:v>3.5375855747539431</c:v>
                </c:pt>
                <c:pt idx="3" formatCode="0.000">
                  <c:v>2.0346676424249033</c:v>
                </c:pt>
              </c:numCache>
            </c:numRef>
          </c:val>
          <c:smooth val="0"/>
        </c:ser>
        <c:dLbls>
          <c:showLegendKey val="0"/>
          <c:showVal val="0"/>
          <c:showCatName val="0"/>
          <c:showSerName val="0"/>
          <c:showPercent val="0"/>
          <c:showBubbleSize val="0"/>
        </c:dLbls>
        <c:marker val="1"/>
        <c:smooth val="0"/>
        <c:axId val="238558208"/>
        <c:axId val="238564480"/>
      </c:lineChart>
      <c:catAx>
        <c:axId val="2385582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564480"/>
        <c:crosses val="autoZero"/>
        <c:auto val="1"/>
        <c:lblAlgn val="ctr"/>
        <c:lblOffset val="100"/>
        <c:tickLblSkip val="2"/>
        <c:tickMarkSkip val="1"/>
        <c:noMultiLvlLbl val="0"/>
      </c:catAx>
      <c:valAx>
        <c:axId val="23856448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558208"/>
        <c:crosses val="autoZero"/>
        <c:crossBetween val="midCat"/>
      </c:valAx>
      <c:spPr>
        <a:noFill/>
        <a:ln w="12700">
          <a:solidFill>
            <a:srgbClr val="808080"/>
          </a:solidFill>
          <a:prstDash val="solid"/>
        </a:ln>
      </c:spPr>
    </c:plotArea>
    <c:legend>
      <c:legendPos val="b"/>
      <c:layout>
        <c:manualLayout>
          <c:xMode val="edge"/>
          <c:yMode val="edge"/>
          <c:x val="0.16517880577427821"/>
          <c:y val="0.85434408934177342"/>
          <c:w val="0.7254471316085489"/>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Labour force and total employment 
(changes in 1000 persons)</a:t>
            </a:r>
          </a:p>
        </c:rich>
      </c:tx>
      <c:layout>
        <c:manualLayout>
          <c:xMode val="edge"/>
          <c:yMode val="edge"/>
          <c:x val="0.24553594863142106"/>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61904931243793893"/>
        </c:manualLayout>
      </c:layout>
      <c:lineChart>
        <c:grouping val="standard"/>
        <c:varyColors val="0"/>
        <c:ser>
          <c:idx val="0"/>
          <c:order val="0"/>
          <c:tx>
            <c:strRef>
              <c:f>Labour1!$D$24:$E$24</c:f>
              <c:strCache>
                <c:ptCount val="1"/>
                <c:pt idx="0">
                  <c:v>Total labour force</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Labour1!$G$24:$U$24</c:f>
              <c:numCache>
                <c:formatCode>0</c:formatCode>
                <c:ptCount val="6"/>
                <c:pt idx="0">
                  <c:v>-48.650000000000091</c:v>
                </c:pt>
                <c:pt idx="1">
                  <c:v>-30.579999999999927</c:v>
                </c:pt>
                <c:pt idx="2">
                  <c:v>-48.509999999999991</c:v>
                </c:pt>
                <c:pt idx="3">
                  <c:v>-1</c:v>
                </c:pt>
                <c:pt idx="4" formatCode="0.0">
                  <c:v>-1.2200000000000273</c:v>
                </c:pt>
                <c:pt idx="5" formatCode="0.0">
                  <c:v>12.299999999999955</c:v>
                </c:pt>
              </c:numCache>
            </c:numRef>
          </c:val>
          <c:smooth val="0"/>
        </c:ser>
        <c:ser>
          <c:idx val="1"/>
          <c:order val="1"/>
          <c:tx>
            <c:strRef>
              <c:f>Labour1!$D$64:$E$64</c:f>
              <c:strCache>
                <c:ptCount val="1"/>
                <c:pt idx="0">
                  <c:v>Total employment (national)</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Labour1!$G$64:$U$64</c:f>
              <c:numCache>
                <c:formatCode>0</c:formatCode>
                <c:ptCount val="6"/>
                <c:pt idx="0">
                  <c:v>-17.650000000000091</c:v>
                </c:pt>
                <c:pt idx="1">
                  <c:v>12.420000000000073</c:v>
                </c:pt>
                <c:pt idx="2">
                  <c:v>-6.5099999999999909</c:v>
                </c:pt>
                <c:pt idx="3">
                  <c:v>23</c:v>
                </c:pt>
                <c:pt idx="4">
                  <c:v>-25.220000000000027</c:v>
                </c:pt>
                <c:pt idx="5">
                  <c:v>-110.70000000000005</c:v>
                </c:pt>
              </c:numCache>
            </c:numRef>
          </c:val>
          <c:smooth val="0"/>
        </c:ser>
        <c:dLbls>
          <c:showLegendKey val="0"/>
          <c:showVal val="0"/>
          <c:showCatName val="0"/>
          <c:showSerName val="0"/>
          <c:showPercent val="0"/>
          <c:showBubbleSize val="0"/>
        </c:dLbls>
        <c:marker val="1"/>
        <c:smooth val="0"/>
        <c:axId val="238598016"/>
        <c:axId val="238599552"/>
      </c:lineChart>
      <c:catAx>
        <c:axId val="2385980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599552"/>
        <c:crosses val="autoZero"/>
        <c:auto val="1"/>
        <c:lblAlgn val="ctr"/>
        <c:lblOffset val="100"/>
        <c:tickLblSkip val="2"/>
        <c:tickMarkSkip val="1"/>
        <c:noMultiLvlLbl val="0"/>
      </c:catAx>
      <c:valAx>
        <c:axId val="2385995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598016"/>
        <c:crosses val="autoZero"/>
        <c:crossBetween val="midCat"/>
      </c:valAx>
      <c:spPr>
        <a:noFill/>
        <a:ln w="12700">
          <a:solidFill>
            <a:srgbClr val="808080"/>
          </a:solidFill>
          <a:prstDash val="solid"/>
        </a:ln>
      </c:spPr>
    </c:plotArea>
    <c:legend>
      <c:legendPos val="b"/>
      <c:layout>
        <c:manualLayout>
          <c:xMode val="edge"/>
          <c:yMode val="edge"/>
          <c:x val="0.14732166291713536"/>
          <c:y val="0.91316761875353814"/>
          <c:w val="0.75446522309711284"/>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Unemployed (changes in 1000 persons)</a:t>
            </a:r>
          </a:p>
        </c:rich>
      </c:tx>
      <c:layout>
        <c:manualLayout>
          <c:xMode val="edge"/>
          <c:yMode val="edge"/>
          <c:x val="0.22098237720284963"/>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61904931243793893"/>
        </c:manualLayout>
      </c:layout>
      <c:lineChart>
        <c:grouping val="standard"/>
        <c:varyColors val="0"/>
        <c:ser>
          <c:idx val="0"/>
          <c:order val="0"/>
          <c:tx>
            <c:strRef>
              <c:f>Labour1!$D$65:$E$65</c:f>
              <c:strCache>
                <c:ptCount val="1"/>
                <c:pt idx="0">
                  <c:v>Registered unemployment</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Labour1!$G$65:$U$65</c:f>
              <c:numCache>
                <c:formatCode>0</c:formatCode>
                <c:ptCount val="6"/>
                <c:pt idx="0">
                  <c:v>-31</c:v>
                </c:pt>
                <c:pt idx="1">
                  <c:v>-43</c:v>
                </c:pt>
                <c:pt idx="2">
                  <c:v>-42</c:v>
                </c:pt>
                <c:pt idx="3">
                  <c:v>-24</c:v>
                </c:pt>
                <c:pt idx="4">
                  <c:v>24</c:v>
                </c:pt>
                <c:pt idx="5">
                  <c:v>123</c:v>
                </c:pt>
              </c:numCache>
            </c:numRef>
          </c:val>
          <c:smooth val="0"/>
        </c:ser>
        <c:dLbls>
          <c:showLegendKey val="0"/>
          <c:showVal val="0"/>
          <c:showCatName val="0"/>
          <c:showSerName val="0"/>
          <c:showPercent val="0"/>
          <c:showBubbleSize val="0"/>
        </c:dLbls>
        <c:marker val="1"/>
        <c:smooth val="0"/>
        <c:axId val="238611840"/>
        <c:axId val="238625920"/>
      </c:lineChart>
      <c:catAx>
        <c:axId val="2386118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625920"/>
        <c:crosses val="autoZero"/>
        <c:auto val="1"/>
        <c:lblAlgn val="ctr"/>
        <c:lblOffset val="100"/>
        <c:tickLblSkip val="2"/>
        <c:tickMarkSkip val="1"/>
        <c:noMultiLvlLbl val="0"/>
      </c:catAx>
      <c:valAx>
        <c:axId val="23862592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611840"/>
        <c:crosses val="autoZero"/>
        <c:crossBetween val="midCat"/>
      </c:valAx>
      <c:spPr>
        <a:noFill/>
        <a:ln w="12700">
          <a:solidFill>
            <a:srgbClr val="808080"/>
          </a:solidFill>
          <a:prstDash val="solid"/>
        </a:ln>
      </c:spPr>
    </c:plotArea>
    <c:legend>
      <c:legendPos val="b"/>
      <c:layout>
        <c:manualLayout>
          <c:xMode val="edge"/>
          <c:yMode val="edge"/>
          <c:x val="0.30803594863142109"/>
          <c:y val="0.91316761875353814"/>
          <c:w val="0.43080404011998502"/>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Average hours worked</a:t>
            </a:r>
          </a:p>
        </c:rich>
      </c:tx>
      <c:layout>
        <c:manualLayout>
          <c:xMode val="edge"/>
          <c:yMode val="edge"/>
          <c:x val="0.33705404011998497"/>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61904931243793893"/>
        </c:manualLayout>
      </c:layout>
      <c:lineChart>
        <c:grouping val="standard"/>
        <c:varyColors val="0"/>
        <c:ser>
          <c:idx val="0"/>
          <c:order val="0"/>
          <c:tx>
            <c:strRef>
              <c:f>Labour1!$E$93</c:f>
              <c:strCache>
                <c:ptCount val="1"/>
                <c:pt idx="0">
                  <c:v>Avg. ann. hours worked / person</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Labour1!$G$93:$U$93</c:f>
              <c:numCache>
                <c:formatCode>0.00</c:formatCode>
                <c:ptCount val="6"/>
                <c:pt idx="0">
                  <c:v>5.1889990553889431</c:v>
                </c:pt>
                <c:pt idx="1">
                  <c:v>2.2136976930031693E-2</c:v>
                </c:pt>
                <c:pt idx="2">
                  <c:v>-0.25341560346412439</c:v>
                </c:pt>
                <c:pt idx="3">
                  <c:v>1.576457931836539</c:v>
                </c:pt>
                <c:pt idx="4">
                  <c:v>1.5661019265520437</c:v>
                </c:pt>
                <c:pt idx="5">
                  <c:v>-3.6527018749196727</c:v>
                </c:pt>
              </c:numCache>
            </c:numRef>
          </c:val>
          <c:smooth val="0"/>
        </c:ser>
        <c:dLbls>
          <c:showLegendKey val="0"/>
          <c:showVal val="0"/>
          <c:showCatName val="0"/>
          <c:showSerName val="0"/>
          <c:showPercent val="0"/>
          <c:showBubbleSize val="0"/>
        </c:dLbls>
        <c:marker val="1"/>
        <c:smooth val="0"/>
        <c:axId val="238666880"/>
        <c:axId val="238668416"/>
      </c:lineChart>
      <c:catAx>
        <c:axId val="2386668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668416"/>
        <c:crosses val="autoZero"/>
        <c:auto val="1"/>
        <c:lblAlgn val="ctr"/>
        <c:lblOffset val="100"/>
        <c:tickLblSkip val="2"/>
        <c:tickMarkSkip val="1"/>
        <c:noMultiLvlLbl val="0"/>
      </c:catAx>
      <c:valAx>
        <c:axId val="23866841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666880"/>
        <c:crosses val="autoZero"/>
        <c:crossBetween val="midCat"/>
      </c:valAx>
      <c:spPr>
        <a:noFill/>
        <a:ln w="12700">
          <a:solidFill>
            <a:srgbClr val="808080"/>
          </a:solidFill>
          <a:prstDash val="solid"/>
        </a:ln>
      </c:spPr>
    </c:plotArea>
    <c:legend>
      <c:legendPos val="b"/>
      <c:layout>
        <c:manualLayout>
          <c:xMode val="edge"/>
          <c:yMode val="edge"/>
          <c:x val="0.26785737720284963"/>
          <c:y val="0.91316761875353814"/>
          <c:w val="0.50669689726284217"/>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 Total and FTE</a:t>
            </a:r>
          </a:p>
        </c:rich>
      </c:tx>
      <c:layout>
        <c:manualLayout>
          <c:xMode val="edge"/>
          <c:yMode val="edge"/>
          <c:x val="0.29687523434570678"/>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61904931243793893"/>
        </c:manualLayout>
      </c:layout>
      <c:lineChart>
        <c:grouping val="standard"/>
        <c:varyColors val="0"/>
        <c:ser>
          <c:idx val="1"/>
          <c:order val="0"/>
          <c:tx>
            <c:strRef>
              <c:f>Labour1!$D$49:$E$49</c:f>
              <c:strCache>
                <c:ptCount val="1"/>
                <c:pt idx="0">
                  <c:v>Wage and salary earners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Labour1!$G$49:$U$49</c:f>
              <c:numCache>
                <c:formatCode>0.0</c:formatCode>
                <c:ptCount val="6"/>
                <c:pt idx="0">
                  <c:v>1.2393411365923646</c:v>
                </c:pt>
                <c:pt idx="1">
                  <c:v>2.4125904612433358</c:v>
                </c:pt>
                <c:pt idx="2">
                  <c:v>-9.1097167474052387E-2</c:v>
                </c:pt>
                <c:pt idx="3">
                  <c:v>5.1265445249254471</c:v>
                </c:pt>
                <c:pt idx="4" formatCode="0.00">
                  <c:v>2.1051181038535649</c:v>
                </c:pt>
                <c:pt idx="5" formatCode="0.00">
                  <c:v>-8.0102887355810957</c:v>
                </c:pt>
              </c:numCache>
            </c:numRef>
          </c:val>
          <c:smooth val="0"/>
        </c:ser>
        <c:dLbls>
          <c:showLegendKey val="0"/>
          <c:showVal val="0"/>
          <c:showCatName val="0"/>
          <c:showSerName val="0"/>
          <c:showPercent val="0"/>
          <c:showBubbleSize val="0"/>
        </c:dLbls>
        <c:marker val="1"/>
        <c:smooth val="0"/>
        <c:axId val="238680704"/>
        <c:axId val="243954048"/>
      </c:lineChart>
      <c:catAx>
        <c:axId val="2386807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3954048"/>
        <c:crosses val="autoZero"/>
        <c:auto val="1"/>
        <c:lblAlgn val="ctr"/>
        <c:lblOffset val="100"/>
        <c:tickLblSkip val="2"/>
        <c:tickMarkSkip val="1"/>
        <c:noMultiLvlLbl val="0"/>
      </c:catAx>
      <c:valAx>
        <c:axId val="24395404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8680704"/>
        <c:crosses val="autoZero"/>
        <c:crossBetween val="midCat"/>
      </c:valAx>
      <c:spPr>
        <a:noFill/>
        <a:ln w="12700">
          <a:solidFill>
            <a:srgbClr val="808080"/>
          </a:solidFill>
          <a:prstDash val="solid"/>
        </a:ln>
      </c:spPr>
    </c:plotArea>
    <c:legend>
      <c:legendPos val="b"/>
      <c:layout>
        <c:manualLayout>
          <c:xMode val="edge"/>
          <c:yMode val="edge"/>
          <c:x val="0.24776809148856391"/>
          <c:y val="0.91316761875353814"/>
          <c:w val="0.5602685601799773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Wages &amp; salaries / employee (domestic)</a:t>
            </a:r>
          </a:p>
        </c:rich>
      </c:tx>
      <c:layout>
        <c:manualLayout>
          <c:xMode val="edge"/>
          <c:yMode val="edge"/>
          <c:x val="0.2142859486314210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61904931243793893"/>
        </c:manualLayout>
      </c:layout>
      <c:lineChart>
        <c:grouping val="standard"/>
        <c:varyColors val="0"/>
        <c:ser>
          <c:idx val="0"/>
          <c:order val="0"/>
          <c:tx>
            <c:strRef>
              <c:f>Labour1!$D$121:$E$121</c:f>
              <c:strCache>
                <c:ptCount val="1"/>
                <c:pt idx="0">
                  <c:v>Wages &amp; salaries / employee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Labour1!$G$121:$U$121</c:f>
              <c:numCache>
                <c:formatCode>0.0</c:formatCode>
                <c:ptCount val="6"/>
                <c:pt idx="0">
                  <c:v>11.46522370570322</c:v>
                </c:pt>
                <c:pt idx="1">
                  <c:v>13.10176929477176</c:v>
                </c:pt>
                <c:pt idx="2">
                  <c:v>20.488628088127637</c:v>
                </c:pt>
                <c:pt idx="3">
                  <c:v>13.016112294863103</c:v>
                </c:pt>
                <c:pt idx="4" formatCode="0.00">
                  <c:v>13.383021046914179</c:v>
                </c:pt>
                <c:pt idx="5" formatCode="0.00">
                  <c:v>-9.4425470396757856</c:v>
                </c:pt>
              </c:numCache>
            </c:numRef>
          </c:val>
          <c:smooth val="0"/>
        </c:ser>
        <c:ser>
          <c:idx val="1"/>
          <c:order val="1"/>
          <c:tx>
            <c:strRef>
              <c:f>'VVP2'!$F$367</c:f>
              <c:strCache>
                <c:ptCount val="1"/>
                <c:pt idx="0">
                  <c:v>CPI</c:v>
                </c:pt>
              </c:strCache>
            </c:strRef>
          </c:tx>
          <c:spPr>
            <a:ln w="25400">
              <a:solidFill>
                <a:srgbClr val="0000FF"/>
              </a:solidFill>
              <a:prstDash val="solid"/>
            </a:ln>
          </c:spPr>
          <c:marker>
            <c:symbol val="square"/>
            <c:size val="7"/>
            <c:spPr>
              <a:solidFill>
                <a:srgbClr val="FFFFFF"/>
              </a:solidFill>
              <a:ln>
                <a:solidFill>
                  <a:srgbClr val="0000FF"/>
                </a:solidFill>
                <a:prstDash val="solid"/>
              </a:ln>
            </c:spPr>
          </c:marker>
          <c:val>
            <c:numRef>
              <c:f>'VVP2'!$G$367:$AA$367</c:f>
              <c:numCache>
                <c:formatCode>0.0</c:formatCode>
                <c:ptCount val="4"/>
                <c:pt idx="0">
                  <c:v>3.1000000000005024</c:v>
                </c:pt>
                <c:pt idx="1">
                  <c:v>0.99999999999949019</c:v>
                </c:pt>
                <c:pt idx="2">
                  <c:v>0.10378991446344799</c:v>
                </c:pt>
                <c:pt idx="3">
                  <c:v>-0.8841084346517758</c:v>
                </c:pt>
              </c:numCache>
            </c:numRef>
          </c:val>
          <c:smooth val="0"/>
        </c:ser>
        <c:dLbls>
          <c:showLegendKey val="0"/>
          <c:showVal val="0"/>
          <c:showCatName val="0"/>
          <c:showSerName val="0"/>
          <c:showPercent val="0"/>
          <c:showBubbleSize val="0"/>
        </c:dLbls>
        <c:marker val="1"/>
        <c:smooth val="0"/>
        <c:axId val="243979008"/>
        <c:axId val="243980928"/>
      </c:lineChart>
      <c:catAx>
        <c:axId val="2439790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3980928"/>
        <c:crosses val="autoZero"/>
        <c:auto val="1"/>
        <c:lblAlgn val="ctr"/>
        <c:lblOffset val="100"/>
        <c:tickLblSkip val="2"/>
        <c:tickMarkSkip val="1"/>
        <c:noMultiLvlLbl val="0"/>
      </c:catAx>
      <c:valAx>
        <c:axId val="24398092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3979008"/>
        <c:crosses val="autoZero"/>
        <c:crossBetween val="midCat"/>
      </c:valAx>
      <c:spPr>
        <a:noFill/>
        <a:ln w="12700">
          <a:solidFill>
            <a:srgbClr val="808080"/>
          </a:solidFill>
          <a:prstDash val="solid"/>
        </a:ln>
      </c:spPr>
    </c:plotArea>
    <c:legend>
      <c:legendPos val="b"/>
      <c:layout>
        <c:manualLayout>
          <c:xMode val="edge"/>
          <c:yMode val="edge"/>
          <c:x val="0.15401809148856391"/>
          <c:y val="0.91316761875353814"/>
          <c:w val="0.7500007030371203"/>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and its components</a:t>
            </a:r>
          </a:p>
        </c:rich>
      </c:tx>
      <c:layout>
        <c:manualLayout>
          <c:xMode val="edge"/>
          <c:yMode val="edge"/>
          <c:x val="0.131696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2941321289941379"/>
        </c:manualLayout>
      </c:layout>
      <c:lineChart>
        <c:grouping val="standard"/>
        <c:varyColors val="0"/>
        <c:ser>
          <c:idx val="1"/>
          <c:order val="0"/>
          <c:tx>
            <c:strRef>
              <c:f>Labour1!$D$152:$E$152</c:f>
              <c:strCache>
                <c:ptCount val="1"/>
                <c:pt idx="0">
                  <c:v>Employer's social contr. / employee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Labour1!$G$152:$U$152</c:f>
              <c:numCache>
                <c:formatCode>0.0</c:formatCode>
                <c:ptCount val="6"/>
                <c:pt idx="0">
                  <c:v>14.51585054493969</c:v>
                </c:pt>
                <c:pt idx="1">
                  <c:v>16.587431181780566</c:v>
                </c:pt>
                <c:pt idx="2">
                  <c:v>21.680653984147781</c:v>
                </c:pt>
                <c:pt idx="3">
                  <c:v>18.139841197243854</c:v>
                </c:pt>
                <c:pt idx="4">
                  <c:v>16.524812882128593</c:v>
                </c:pt>
                <c:pt idx="5" formatCode="0.00">
                  <c:v>-8.7571369216577821</c:v>
                </c:pt>
              </c:numCache>
            </c:numRef>
          </c:val>
          <c:smooth val="0"/>
        </c:ser>
        <c:ser>
          <c:idx val="0"/>
          <c:order val="1"/>
          <c:tx>
            <c:strRef>
              <c:f>Labour1!$D$121:$E$121</c:f>
              <c:strCache>
                <c:ptCount val="1"/>
                <c:pt idx="0">
                  <c:v>Wages &amp; salaries / employee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Labour1!$G$121:$U$121</c:f>
              <c:numCache>
                <c:formatCode>0.0</c:formatCode>
                <c:ptCount val="6"/>
                <c:pt idx="0">
                  <c:v>11.46522370570322</c:v>
                </c:pt>
                <c:pt idx="1">
                  <c:v>13.10176929477176</c:v>
                </c:pt>
                <c:pt idx="2">
                  <c:v>20.488628088127637</c:v>
                </c:pt>
                <c:pt idx="3">
                  <c:v>13.016112294863103</c:v>
                </c:pt>
                <c:pt idx="4" formatCode="0.00">
                  <c:v>13.383021046914179</c:v>
                </c:pt>
                <c:pt idx="5" formatCode="0.00">
                  <c:v>-9.4425470396757856</c:v>
                </c:pt>
              </c:numCache>
            </c:numRef>
          </c:val>
          <c:smooth val="0"/>
        </c:ser>
        <c:ser>
          <c:idx val="2"/>
          <c:order val="2"/>
          <c:tx>
            <c:strRef>
              <c:f>Labour1!$D$197:$E$197</c:f>
              <c:strCache>
                <c:ptCount val="1"/>
                <c:pt idx="0">
                  <c:v>Total compensation / employee (domestic)</c:v>
                </c:pt>
              </c:strCache>
            </c:strRef>
          </c:tx>
          <c:val>
            <c:numRef>
              <c:f>Labour1!$G$197:$U$197</c:f>
              <c:numCache>
                <c:formatCode>0.0</c:formatCode>
                <c:ptCount val="6"/>
                <c:pt idx="0">
                  <c:v>12.068248959633454</c:v>
                </c:pt>
                <c:pt idx="1">
                  <c:v>13.805837427687461</c:v>
                </c:pt>
                <c:pt idx="2">
                  <c:v>20.73529012591646</c:v>
                </c:pt>
                <c:pt idx="3">
                  <c:v>14.084650544838562</c:v>
                </c:pt>
                <c:pt idx="4" formatCode="0.00">
                  <c:v>14.061522063972355</c:v>
                </c:pt>
                <c:pt idx="5" formatCode="0.00">
                  <c:v>-9.2913292593047263</c:v>
                </c:pt>
              </c:numCache>
            </c:numRef>
          </c:val>
          <c:smooth val="0"/>
        </c:ser>
        <c:dLbls>
          <c:showLegendKey val="0"/>
          <c:showVal val="0"/>
          <c:showCatName val="0"/>
          <c:showSerName val="0"/>
          <c:showPercent val="0"/>
          <c:showBubbleSize val="0"/>
        </c:dLbls>
        <c:marker val="1"/>
        <c:smooth val="0"/>
        <c:axId val="244765056"/>
        <c:axId val="244766592"/>
      </c:lineChart>
      <c:catAx>
        <c:axId val="2447650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766592"/>
        <c:crosses val="autoZero"/>
        <c:auto val="1"/>
        <c:lblAlgn val="ctr"/>
        <c:lblOffset val="100"/>
        <c:tickLblSkip val="2"/>
        <c:tickMarkSkip val="1"/>
        <c:noMultiLvlLbl val="0"/>
      </c:catAx>
      <c:valAx>
        <c:axId val="2447665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765056"/>
        <c:crosses val="autoZero"/>
        <c:crossBetween val="midCat"/>
      </c:valAx>
      <c:spPr>
        <a:noFill/>
        <a:ln w="12700">
          <a:solidFill>
            <a:srgbClr val="808080"/>
          </a:solidFill>
          <a:prstDash val="solid"/>
        </a:ln>
      </c:spPr>
    </c:plotArea>
    <c:legend>
      <c:legendPos val="b"/>
      <c:layout>
        <c:manualLayout>
          <c:xMode val="edge"/>
          <c:yMode val="edge"/>
          <c:x val="0.18303594863142106"/>
          <c:y val="0.79552026584912183"/>
          <c:w val="0.69196498875140611"/>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Compensation of employees as % of GDP</a:t>
            </a:r>
          </a:p>
        </c:rich>
      </c:tx>
      <c:layout>
        <c:manualLayout>
          <c:xMode val="edge"/>
          <c:yMode val="edge"/>
          <c:x val="0.20535737720284963"/>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Labour1!$D$232:$E$232</c:f>
              <c:strCache>
                <c:ptCount val="1"/>
                <c:pt idx="0">
                  <c:v>GVT Compensation of employees (D.1p) (Domestic)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Labour1!$G$232:$U$232</c:f>
              <c:numCache>
                <c:formatCode>0.0%</c:formatCode>
                <c:ptCount val="6"/>
                <c:pt idx="0">
                  <c:v>0.40082258089278705</c:v>
                </c:pt>
                <c:pt idx="1">
                  <c:v>0.40566984170818982</c:v>
                </c:pt>
                <c:pt idx="2">
                  <c:v>0.42681270707723429</c:v>
                </c:pt>
                <c:pt idx="3">
                  <c:v>0.42443594601500101</c:v>
                </c:pt>
                <c:pt idx="4">
                  <c:v>0.43904291252705197</c:v>
                </c:pt>
                <c:pt idx="5">
                  <c:v>0.44471245770344853</c:v>
                </c:pt>
              </c:numCache>
            </c:numRef>
          </c:val>
          <c:smooth val="0"/>
        </c:ser>
        <c:dLbls>
          <c:showLegendKey val="0"/>
          <c:showVal val="0"/>
          <c:showCatName val="0"/>
          <c:showSerName val="0"/>
          <c:showPercent val="0"/>
          <c:showBubbleSize val="0"/>
        </c:dLbls>
        <c:marker val="1"/>
        <c:smooth val="0"/>
        <c:axId val="244774784"/>
        <c:axId val="244776320"/>
      </c:lineChart>
      <c:catAx>
        <c:axId val="24477478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776320"/>
        <c:crosses val="autoZero"/>
        <c:auto val="1"/>
        <c:lblAlgn val="ctr"/>
        <c:lblOffset val="100"/>
        <c:tickLblSkip val="2"/>
        <c:tickMarkSkip val="1"/>
        <c:noMultiLvlLbl val="0"/>
      </c:catAx>
      <c:valAx>
        <c:axId val="24477632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774784"/>
        <c:crosses val="autoZero"/>
        <c:crossBetween val="midCat"/>
      </c:valAx>
      <c:spPr>
        <a:noFill/>
        <a:ln w="12700">
          <a:solidFill>
            <a:srgbClr val="808080"/>
          </a:solidFill>
          <a:prstDash val="solid"/>
        </a:ln>
      </c:spPr>
    </c:plotArea>
    <c:legend>
      <c:legendPos val="b"/>
      <c:layout>
        <c:manualLayout>
          <c:xMode val="edge"/>
          <c:yMode val="edge"/>
          <c:x val="0.15625023434570678"/>
          <c:y val="0.91316761875353814"/>
          <c:w val="0.76339379452568434"/>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Compensation of employees as % of HH gross disposable income</a:t>
            </a:r>
          </a:p>
        </c:rich>
      </c:tx>
      <c:layout>
        <c:manualLayout>
          <c:xMode val="edge"/>
          <c:yMode val="edge"/>
          <c:x val="0.17633952005999248"/>
          <c:y val="3.3613445378151259E-2"/>
        </c:manualLayout>
      </c:layout>
      <c:overlay val="0"/>
      <c:spPr>
        <a:noFill/>
        <a:ln w="25400">
          <a:noFill/>
        </a:ln>
      </c:spPr>
    </c:title>
    <c:autoTitleDeleted val="0"/>
    <c:plotArea>
      <c:layout>
        <c:manualLayout>
          <c:layoutTarget val="inner"/>
          <c:xMode val="edge"/>
          <c:yMode val="edge"/>
          <c:x val="0.11830370036937209"/>
          <c:y val="0.17647107096647127"/>
          <c:w val="0.81473303084567572"/>
          <c:h val="0.61904931243793893"/>
        </c:manualLayout>
      </c:layout>
      <c:lineChart>
        <c:grouping val="standard"/>
        <c:varyColors val="0"/>
        <c:ser>
          <c:idx val="2"/>
          <c:order val="0"/>
          <c:tx>
            <c:strRef>
              <c:f>Labour1!$D$237:$E$237</c:f>
              <c:strCache>
                <c:ptCount val="1"/>
                <c:pt idx="0">
                  <c:v>HH Compensation of employees (D.1r)</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Labour1!$G$237:$U$237</c:f>
              <c:numCache>
                <c:formatCode>0.0%</c:formatCode>
                <c:ptCount val="6"/>
                <c:pt idx="0">
                  <c:v>0.58046608909079311</c:v>
                </c:pt>
                <c:pt idx="1">
                  <c:v>0.61885091200675613</c:v>
                </c:pt>
                <c:pt idx="2">
                  <c:v>0.64699650439019463</c:v>
                </c:pt>
                <c:pt idx="3">
                  <c:v>0.71364829711381306</c:v>
                </c:pt>
                <c:pt idx="4">
                  <c:v>0.6947088066307936</c:v>
                </c:pt>
                <c:pt idx="5">
                  <c:v>0.6262063031667916</c:v>
                </c:pt>
              </c:numCache>
            </c:numRef>
          </c:val>
          <c:smooth val="0"/>
        </c:ser>
        <c:dLbls>
          <c:showLegendKey val="0"/>
          <c:showVal val="0"/>
          <c:showCatName val="0"/>
          <c:showSerName val="0"/>
          <c:showPercent val="0"/>
          <c:showBubbleSize val="0"/>
        </c:dLbls>
        <c:marker val="1"/>
        <c:smooth val="0"/>
        <c:axId val="244870528"/>
        <c:axId val="244888704"/>
      </c:lineChart>
      <c:catAx>
        <c:axId val="2448705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888704"/>
        <c:crosses val="autoZero"/>
        <c:auto val="1"/>
        <c:lblAlgn val="ctr"/>
        <c:lblOffset val="100"/>
        <c:tickLblSkip val="2"/>
        <c:tickMarkSkip val="1"/>
        <c:noMultiLvlLbl val="0"/>
      </c:catAx>
      <c:valAx>
        <c:axId val="2448887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870528"/>
        <c:crosses val="autoZero"/>
        <c:crossBetween val="midCat"/>
      </c:valAx>
      <c:spPr>
        <a:noFill/>
        <a:ln w="12700">
          <a:solidFill>
            <a:srgbClr val="808080"/>
          </a:solidFill>
          <a:prstDash val="solid"/>
        </a:ln>
      </c:spPr>
    </c:plotArea>
    <c:legend>
      <c:legendPos val="b"/>
      <c:layout>
        <c:manualLayout>
          <c:xMode val="edge"/>
          <c:yMode val="edge"/>
          <c:x val="0.22991094863142106"/>
          <c:y val="0.91316761875353814"/>
          <c:w val="0.5892864173228346"/>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Unit labour productivity and real compensation / employee (domestic) </a:t>
            </a:r>
          </a:p>
        </c:rich>
      </c:tx>
      <c:layout>
        <c:manualLayout>
          <c:xMode val="edge"/>
          <c:yMode val="edge"/>
          <c:x val="0.15401809148856391"/>
          <c:y val="3.3613445378151259E-2"/>
        </c:manualLayout>
      </c:layout>
      <c:overlay val="0"/>
      <c:spPr>
        <a:noFill/>
        <a:ln w="25400">
          <a:noFill/>
        </a:ln>
      </c:spPr>
    </c:title>
    <c:autoTitleDeleted val="0"/>
    <c:plotArea>
      <c:layout>
        <c:manualLayout>
          <c:layoutTarget val="inner"/>
          <c:xMode val="edge"/>
          <c:yMode val="edge"/>
          <c:x val="0.12500013623933653"/>
          <c:y val="0.17086881474531346"/>
          <c:w val="0.80803659497571123"/>
          <c:h val="0.5182087004570981"/>
        </c:manualLayout>
      </c:layout>
      <c:lineChart>
        <c:grouping val="standard"/>
        <c:varyColors val="0"/>
        <c:ser>
          <c:idx val="0"/>
          <c:order val="0"/>
          <c:tx>
            <c:strRef>
              <c:f>Labour1!$D$253:$E$253</c:f>
              <c:strCache>
                <c:ptCount val="1"/>
                <c:pt idx="0">
                  <c:v>HH Unit labour productivity</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Labour1!$G$253:$U$253</c:f>
              <c:numCache>
                <c:formatCode>0.00</c:formatCode>
                <c:ptCount val="6"/>
                <c:pt idx="0">
                  <c:v>8.6428400667096774</c:v>
                </c:pt>
                <c:pt idx="1">
                  <c:v>6.9221270962612103</c:v>
                </c:pt>
                <c:pt idx="2">
                  <c:v>7.7446654716959884</c:v>
                </c:pt>
                <c:pt idx="3">
                  <c:v>8.866991367609355</c:v>
                </c:pt>
                <c:pt idx="4">
                  <c:v>3.9989834145354619</c:v>
                </c:pt>
                <c:pt idx="5">
                  <c:v>-7.7236768578227917</c:v>
                </c:pt>
              </c:numCache>
            </c:numRef>
          </c:val>
          <c:smooth val="0"/>
        </c:ser>
        <c:ser>
          <c:idx val="1"/>
          <c:order val="1"/>
          <c:tx>
            <c:strRef>
              <c:f>Labour1!$D$204:$E$204</c:f>
              <c:strCache>
                <c:ptCount val="1"/>
                <c:pt idx="0">
                  <c:v>Total compensation / employee (domestic)</c:v>
                </c:pt>
              </c:strCache>
            </c:strRef>
          </c:tx>
          <c:val>
            <c:numRef>
              <c:f>Labour1!$G$204:$U$204</c:f>
              <c:numCache>
                <c:formatCode>0.0</c:formatCode>
                <c:ptCount val="6"/>
                <c:pt idx="0">
                  <c:v>12.945872399665015</c:v>
                </c:pt>
                <c:pt idx="1">
                  <c:v>11.436574170284008</c:v>
                </c:pt>
                <c:pt idx="2">
                  <c:v>16.072589208332367</c:v>
                </c:pt>
                <c:pt idx="3">
                  <c:v>8.2074912528719892</c:v>
                </c:pt>
                <c:pt idx="4">
                  <c:v>3.1664857255991663</c:v>
                </c:pt>
                <c:pt idx="5">
                  <c:v>-13.637706329178656</c:v>
                </c:pt>
              </c:numCache>
            </c:numRef>
          </c:val>
          <c:smooth val="0"/>
        </c:ser>
        <c:dLbls>
          <c:showLegendKey val="0"/>
          <c:showVal val="0"/>
          <c:showCatName val="0"/>
          <c:showSerName val="0"/>
          <c:showPercent val="0"/>
          <c:showBubbleSize val="0"/>
        </c:dLbls>
        <c:marker val="1"/>
        <c:smooth val="0"/>
        <c:axId val="244922240"/>
        <c:axId val="244923776"/>
      </c:lineChart>
      <c:catAx>
        <c:axId val="2449222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923776"/>
        <c:crosses val="autoZero"/>
        <c:auto val="1"/>
        <c:lblAlgn val="ctr"/>
        <c:lblOffset val="100"/>
        <c:tickLblSkip val="2"/>
        <c:tickMarkSkip val="1"/>
        <c:noMultiLvlLbl val="0"/>
      </c:catAx>
      <c:valAx>
        <c:axId val="2449237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922240"/>
        <c:crosses val="autoZero"/>
        <c:crossBetween val="midCat"/>
      </c:valAx>
      <c:spPr>
        <a:noFill/>
        <a:ln w="12700">
          <a:solidFill>
            <a:srgbClr val="808080"/>
          </a:solidFill>
          <a:prstDash val="solid"/>
        </a:ln>
      </c:spPr>
    </c:plotArea>
    <c:legend>
      <c:legendPos val="b"/>
      <c:layout>
        <c:manualLayout>
          <c:xMode val="edge"/>
          <c:yMode val="edge"/>
          <c:x val="0.21205380577427821"/>
          <c:y val="0.85434408934177342"/>
          <c:w val="0.63392927446569169"/>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Unit labour cost</a:t>
            </a:r>
          </a:p>
        </c:rich>
      </c:tx>
      <c:layout>
        <c:manualLayout>
          <c:xMode val="edge"/>
          <c:yMode val="edge"/>
          <c:x val="0.38616118297712781"/>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61904931243793893"/>
        </c:manualLayout>
      </c:layout>
      <c:lineChart>
        <c:grouping val="standard"/>
        <c:varyColors val="0"/>
        <c:ser>
          <c:idx val="0"/>
          <c:order val="0"/>
          <c:tx>
            <c:strRef>
              <c:f>Labour1!$D$254:$E$254</c:f>
              <c:strCache>
                <c:ptCount val="1"/>
                <c:pt idx="0">
                  <c:v>HH Unit labour cost</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Labour1!$G$254:$U$254</c:f>
              <c:numCache>
                <c:formatCode>0.00</c:formatCode>
                <c:ptCount val="6"/>
                <c:pt idx="0">
                  <c:v>3.1529080893140105</c:v>
                </c:pt>
                <c:pt idx="1">
                  <c:v>6.438059659277906</c:v>
                </c:pt>
                <c:pt idx="2">
                  <c:v>12.056861095951943</c:v>
                </c:pt>
                <c:pt idx="3">
                  <c:v>4.7926916245997875</c:v>
                </c:pt>
                <c:pt idx="4">
                  <c:v>9.675612509910847</c:v>
                </c:pt>
                <c:pt idx="5">
                  <c:v>-1.6988674321868458</c:v>
                </c:pt>
              </c:numCache>
            </c:numRef>
          </c:val>
          <c:smooth val="0"/>
        </c:ser>
        <c:dLbls>
          <c:showLegendKey val="0"/>
          <c:showVal val="0"/>
          <c:showCatName val="0"/>
          <c:showSerName val="0"/>
          <c:showPercent val="0"/>
          <c:showBubbleSize val="0"/>
        </c:dLbls>
        <c:marker val="1"/>
        <c:smooth val="0"/>
        <c:axId val="244952448"/>
        <c:axId val="244978816"/>
      </c:lineChart>
      <c:catAx>
        <c:axId val="2449524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978816"/>
        <c:crosses val="autoZero"/>
        <c:auto val="1"/>
        <c:lblAlgn val="ctr"/>
        <c:lblOffset val="100"/>
        <c:tickLblSkip val="2"/>
        <c:tickMarkSkip val="1"/>
        <c:noMultiLvlLbl val="0"/>
      </c:catAx>
      <c:valAx>
        <c:axId val="24497881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952448"/>
        <c:crosses val="autoZero"/>
        <c:crossBetween val="midCat"/>
      </c:valAx>
      <c:spPr>
        <a:noFill/>
        <a:ln w="12700">
          <a:solidFill>
            <a:srgbClr val="808080"/>
          </a:solidFill>
          <a:prstDash val="solid"/>
        </a:ln>
      </c:spPr>
    </c:plotArea>
    <c:legend>
      <c:legendPos val="b"/>
      <c:layout>
        <c:manualLayout>
          <c:xMode val="edge"/>
          <c:yMode val="edge"/>
          <c:x val="0.35714332583427072"/>
          <c:y val="0.91316761875353814"/>
          <c:w val="0.34375046869141351"/>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 &amp; salary earners - public and private sector</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9664028755330756"/>
        </c:manualLayout>
      </c:layout>
      <c:lineChart>
        <c:grouping val="standard"/>
        <c:varyColors val="0"/>
        <c:ser>
          <c:idx val="0"/>
          <c:order val="0"/>
          <c:tx>
            <c:strRef>
              <c:f>Labour1!$D$47:$E$47</c:f>
              <c:strCache>
                <c:ptCount val="1"/>
                <c:pt idx="0">
                  <c:v>Wage &amp; salary earners (private sector)</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Labour1!$G$47:$U$47</c:f>
              <c:numCache>
                <c:formatCode>0.0</c:formatCode>
                <c:ptCount val="6"/>
                <c:pt idx="0">
                  <c:v>0.39713712141049573</c:v>
                </c:pt>
                <c:pt idx="1">
                  <c:v>3.0993262334275018</c:v>
                </c:pt>
                <c:pt idx="2">
                  <c:v>3.0419934227169154</c:v>
                </c:pt>
                <c:pt idx="3">
                  <c:v>3.2570224431760275</c:v>
                </c:pt>
                <c:pt idx="4">
                  <c:v>2.5787085653147246</c:v>
                </c:pt>
                <c:pt idx="5">
                  <c:v>-9.4722101501762523</c:v>
                </c:pt>
              </c:numCache>
            </c:numRef>
          </c:val>
          <c:smooth val="0"/>
        </c:ser>
        <c:ser>
          <c:idx val="1"/>
          <c:order val="1"/>
          <c:tx>
            <c:strRef>
              <c:f>Labour1!$D$48:$E$48</c:f>
              <c:strCache>
                <c:ptCount val="1"/>
                <c:pt idx="0">
                  <c:v>Wage &amp; salary earners (public sector)</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Labour1!$G$48:$U$48</c:f>
              <c:numCache>
                <c:formatCode>0.0</c:formatCode>
                <c:ptCount val="6"/>
                <c:pt idx="0">
                  <c:v>4.8081368469717889</c:v>
                </c:pt>
                <c:pt idx="1">
                  <c:v>-0.37494486104983071</c:v>
                </c:pt>
                <c:pt idx="2">
                  <c:v>-13.252158512286915</c:v>
                </c:pt>
                <c:pt idx="3">
                  <c:v>14.454879542670461</c:v>
                </c:pt>
                <c:pt idx="4">
                  <c:v>-2.6757046022118924E-2</c:v>
                </c:pt>
                <c:pt idx="5">
                  <c:v>-1.2579177446694567</c:v>
                </c:pt>
              </c:numCache>
            </c:numRef>
          </c:val>
          <c:smooth val="0"/>
        </c:ser>
        <c:dLbls>
          <c:showLegendKey val="0"/>
          <c:showVal val="0"/>
          <c:showCatName val="0"/>
          <c:showSerName val="0"/>
          <c:showPercent val="0"/>
          <c:showBubbleSize val="0"/>
        </c:dLbls>
        <c:marker val="1"/>
        <c:smooth val="0"/>
        <c:axId val="245008256"/>
        <c:axId val="245009792"/>
      </c:lineChart>
      <c:catAx>
        <c:axId val="2450082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5009792"/>
        <c:crosses val="autoZero"/>
        <c:auto val="1"/>
        <c:lblAlgn val="ctr"/>
        <c:lblOffset val="100"/>
        <c:tickLblSkip val="2"/>
        <c:tickMarkSkip val="1"/>
        <c:noMultiLvlLbl val="0"/>
      </c:catAx>
      <c:valAx>
        <c:axId val="2450097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5008256"/>
        <c:crosses val="autoZero"/>
        <c:crossBetween val="midCat"/>
      </c:valAx>
      <c:spPr>
        <a:noFill/>
        <a:ln w="12700">
          <a:solidFill>
            <a:srgbClr val="808080"/>
          </a:solidFill>
          <a:prstDash val="solid"/>
        </a:ln>
      </c:spPr>
    </c:plotArea>
    <c:legend>
      <c:legendPos val="b"/>
      <c:layout>
        <c:manualLayout>
          <c:xMode val="edge"/>
          <c:yMode val="edge"/>
          <c:x val="0.23883952005999248"/>
          <c:y val="0.86554857113449057"/>
          <c:w val="0.58258998875140611"/>
          <c:h val="0.1148462324562370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by sector (changes in 1000 persons)</a:t>
            </a:r>
          </a:p>
        </c:rich>
      </c:tx>
      <c:layout>
        <c:manualLayout>
          <c:xMode val="edge"/>
          <c:yMode val="edge"/>
          <c:x val="0.15401809148856391"/>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56022562211578175"/>
        </c:manualLayout>
      </c:layout>
      <c:lineChart>
        <c:grouping val="standard"/>
        <c:varyColors val="0"/>
        <c:ser>
          <c:idx val="0"/>
          <c:order val="0"/>
          <c:tx>
            <c:strRef>
              <c:f>Labour1!$D$58:$E$58</c:f>
              <c:strCache>
                <c:ptCount val="1"/>
                <c:pt idx="0">
                  <c:v>Wage &amp; salary earners (private sector)</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Labour1!$G$58:$U$58</c:f>
              <c:numCache>
                <c:formatCode>0</c:formatCode>
                <c:ptCount val="6"/>
                <c:pt idx="0">
                  <c:v>3.6400000000001</c:v>
                </c:pt>
                <c:pt idx="1">
                  <c:v>28.519999999999868</c:v>
                </c:pt>
                <c:pt idx="2">
                  <c:v>28.860000000000014</c:v>
                </c:pt>
                <c:pt idx="3">
                  <c:v>31.840000000000146</c:v>
                </c:pt>
                <c:pt idx="4">
                  <c:v>26.029999999999973</c:v>
                </c:pt>
                <c:pt idx="5">
                  <c:v>-98.080000000000041</c:v>
                </c:pt>
              </c:numCache>
            </c:numRef>
          </c:val>
          <c:smooth val="0"/>
        </c:ser>
        <c:ser>
          <c:idx val="1"/>
          <c:order val="1"/>
          <c:tx>
            <c:strRef>
              <c:f>Labour1!$D$59:$E$59</c:f>
              <c:strCache>
                <c:ptCount val="1"/>
                <c:pt idx="0">
                  <c:v>Wage &amp; salary earners (public sector)</c:v>
                </c:pt>
              </c:strCache>
            </c:strRef>
          </c:tx>
          <c:val>
            <c:numRef>
              <c:f>Labour1!$G$59:$U$59</c:f>
              <c:numCache>
                <c:formatCode>0</c:formatCode>
                <c:ptCount val="6"/>
                <c:pt idx="0">
                  <c:v>10.399999999999977</c:v>
                </c:pt>
                <c:pt idx="1">
                  <c:v>-0.84999999999996589</c:v>
                </c:pt>
                <c:pt idx="2">
                  <c:v>-29.930000000000007</c:v>
                </c:pt>
                <c:pt idx="3">
                  <c:v>28.319999999999993</c:v>
                </c:pt>
                <c:pt idx="4">
                  <c:v>-6.0000000000002274E-2</c:v>
                </c:pt>
                <c:pt idx="5">
                  <c:v>-2.8199999999999932</c:v>
                </c:pt>
              </c:numCache>
            </c:numRef>
          </c:val>
          <c:smooth val="0"/>
        </c:ser>
        <c:dLbls>
          <c:showLegendKey val="0"/>
          <c:showVal val="0"/>
          <c:showCatName val="0"/>
          <c:showSerName val="0"/>
          <c:showPercent val="0"/>
          <c:showBubbleSize val="0"/>
        </c:dLbls>
        <c:marker val="1"/>
        <c:smooth val="0"/>
        <c:axId val="245059968"/>
        <c:axId val="245061504"/>
      </c:lineChart>
      <c:catAx>
        <c:axId val="2450599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5061504"/>
        <c:crosses val="autoZero"/>
        <c:auto val="1"/>
        <c:lblAlgn val="ctr"/>
        <c:lblOffset val="100"/>
        <c:tickLblSkip val="2"/>
        <c:tickMarkSkip val="1"/>
        <c:noMultiLvlLbl val="0"/>
      </c:catAx>
      <c:valAx>
        <c:axId val="2450615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5059968"/>
        <c:crosses val="autoZero"/>
        <c:crossBetween val="midCat"/>
      </c:valAx>
      <c:spPr>
        <a:noFill/>
        <a:ln w="12700">
          <a:solidFill>
            <a:srgbClr val="808080"/>
          </a:solidFill>
          <a:prstDash val="solid"/>
        </a:ln>
      </c:spPr>
    </c:plotArea>
    <c:legend>
      <c:legendPos val="b"/>
      <c:layout>
        <c:manualLayout>
          <c:xMode val="edge"/>
          <c:yMode val="edge"/>
          <c:x val="0.23214309148856391"/>
          <c:y val="0.85434408934177342"/>
          <c:w val="0.582589988751406"/>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(private sector)</a:t>
            </a:r>
          </a:p>
        </c:rich>
      </c:tx>
      <c:layout>
        <c:manualLayout>
          <c:xMode val="edge"/>
          <c:yMode val="edge"/>
          <c:x val="0.162946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44257824147146763"/>
        </c:manualLayout>
      </c:layout>
      <c:lineChart>
        <c:grouping val="standard"/>
        <c:varyColors val="0"/>
        <c:ser>
          <c:idx val="0"/>
          <c:order val="0"/>
          <c:tx>
            <c:strRef>
              <c:f>Labour1!$D$119:$E$119</c:f>
              <c:strCache>
                <c:ptCount val="1"/>
                <c:pt idx="0">
                  <c:v>Wages &amp; salaries / employee (private)</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Labour1!$G$119:$U$119</c:f>
              <c:numCache>
                <c:formatCode>0.0</c:formatCode>
                <c:ptCount val="6"/>
                <c:pt idx="0">
                  <c:v>14.316131925152774</c:v>
                </c:pt>
                <c:pt idx="1">
                  <c:v>13.854529300596896</c:v>
                </c:pt>
                <c:pt idx="2">
                  <c:v>18.839405183533685</c:v>
                </c:pt>
                <c:pt idx="3">
                  <c:v>17.191022208847674</c:v>
                </c:pt>
                <c:pt idx="4">
                  <c:v>11.31483931929016</c:v>
                </c:pt>
                <c:pt idx="5">
                  <c:v>-12.72600526625517</c:v>
                </c:pt>
              </c:numCache>
            </c:numRef>
          </c:val>
          <c:smooth val="0"/>
        </c:ser>
        <c:ser>
          <c:idx val="1"/>
          <c:order val="1"/>
          <c:tx>
            <c:strRef>
              <c:f>Labour1!$E$150:$E$150</c:f>
              <c:strCache>
                <c:ptCount val="1"/>
                <c:pt idx="0">
                  <c:v>Employer's social contr. / employee (private)</c:v>
                </c:pt>
              </c:strCache>
            </c:strRef>
          </c:tx>
          <c:val>
            <c:numRef>
              <c:f>Labour1!$G$150:$U$150</c:f>
              <c:numCache>
                <c:formatCode>0.0</c:formatCode>
                <c:ptCount val="6"/>
                <c:pt idx="0">
                  <c:v>13.986245118739582</c:v>
                </c:pt>
                <c:pt idx="1">
                  <c:v>23.368208567319314</c:v>
                </c:pt>
                <c:pt idx="2">
                  <c:v>16.994480129912361</c:v>
                </c:pt>
                <c:pt idx="3">
                  <c:v>22.673323098625353</c:v>
                </c:pt>
                <c:pt idx="4">
                  <c:v>13.418986021601942</c:v>
                </c:pt>
                <c:pt idx="5">
                  <c:v>-14.081230534123323</c:v>
                </c:pt>
              </c:numCache>
            </c:numRef>
          </c:val>
          <c:smooth val="0"/>
        </c:ser>
        <c:ser>
          <c:idx val="2"/>
          <c:order val="2"/>
          <c:tx>
            <c:strRef>
              <c:f>Labour1!$D$195:$E$195</c:f>
              <c:strCache>
                <c:ptCount val="1"/>
                <c:pt idx="0">
                  <c:v>Total compensation / employee (private)</c:v>
                </c:pt>
              </c:strCache>
            </c:strRef>
          </c:tx>
          <c:val>
            <c:numRef>
              <c:f>Labour1!$G$195:$U$195</c:f>
              <c:numCache>
                <c:formatCode>0.0</c:formatCode>
                <c:ptCount val="6"/>
                <c:pt idx="0">
                  <c:v>14.254906547622092</c:v>
                </c:pt>
                <c:pt idx="1">
                  <c:v>15.61606974681915</c:v>
                </c:pt>
                <c:pt idx="2">
                  <c:v>18.474896483600567</c:v>
                </c:pt>
                <c:pt idx="3">
                  <c:v>18.260521445174472</c:v>
                </c:pt>
                <c:pt idx="4" formatCode="0.00">
                  <c:v>11.740804548038897</c:v>
                </c:pt>
                <c:pt idx="5" formatCode="0.00">
                  <c:v>-13.004300378080202</c:v>
                </c:pt>
              </c:numCache>
            </c:numRef>
          </c:val>
          <c:smooth val="0"/>
        </c:ser>
        <c:ser>
          <c:idx val="3"/>
          <c:order val="3"/>
          <c:tx>
            <c:strRef>
              <c:f>Labour1!#REF!</c:f>
              <c:strCache>
                <c:ptCount val="1"/>
                <c:pt idx="0">
                  <c:v>#REF!</c:v>
                </c:pt>
              </c:strCache>
            </c:strRef>
          </c:tx>
          <c:spPr>
            <a:ln w="12700">
              <a:solidFill>
                <a:srgbClr val="FF0000"/>
              </a:solidFill>
              <a:prstDash val="solid"/>
            </a:ln>
          </c:spPr>
          <c:marker>
            <c:symbol val="diamond"/>
            <c:size val="5"/>
            <c:spPr>
              <a:solidFill>
                <a:srgbClr val="FFFFFF"/>
              </a:solidFill>
              <a:ln>
                <a:solidFill>
                  <a:srgbClr val="FF0000"/>
                </a:solidFill>
                <a:prstDash val="solid"/>
              </a:ln>
            </c:spPr>
          </c:marker>
          <c:val>
            <c:numRef>
              <c:f>Labour1!#REF!</c:f>
              <c:numCache>
                <c:formatCode>General</c:formatCode>
                <c:ptCount val="1"/>
                <c:pt idx="0">
                  <c:v>1</c:v>
                </c:pt>
              </c:numCache>
            </c:numRef>
          </c:val>
          <c:smooth val="0"/>
        </c:ser>
        <c:dLbls>
          <c:showLegendKey val="0"/>
          <c:showVal val="0"/>
          <c:showCatName val="0"/>
          <c:showSerName val="0"/>
          <c:showPercent val="0"/>
          <c:showBubbleSize val="0"/>
        </c:dLbls>
        <c:marker val="1"/>
        <c:smooth val="0"/>
        <c:axId val="245088256"/>
        <c:axId val="245090176"/>
      </c:lineChart>
      <c:catAx>
        <c:axId val="2450882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5090176"/>
        <c:crosses val="autoZero"/>
        <c:auto val="1"/>
        <c:lblAlgn val="ctr"/>
        <c:lblOffset val="100"/>
        <c:tickLblSkip val="2"/>
        <c:tickMarkSkip val="1"/>
        <c:noMultiLvlLbl val="0"/>
      </c:catAx>
      <c:valAx>
        <c:axId val="2450901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5088256"/>
        <c:crosses val="autoZero"/>
        <c:crossBetween val="midCat"/>
      </c:valAx>
      <c:spPr>
        <a:noFill/>
        <a:ln w="12700">
          <a:solidFill>
            <a:srgbClr val="808080"/>
          </a:solidFill>
          <a:prstDash val="solid"/>
        </a:ln>
      </c:spPr>
    </c:plotArea>
    <c:legend>
      <c:legendPos val="b"/>
      <c:layout>
        <c:manualLayout>
          <c:xMode val="edge"/>
          <c:yMode val="edge"/>
          <c:x val="0.19866094863142106"/>
          <c:y val="0.73669673643735711"/>
          <c:w val="0.6584828458942632"/>
          <c:h val="0.2436980671533705"/>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(public sector)</a:t>
            </a:r>
          </a:p>
        </c:rich>
      </c:tx>
      <c:layout>
        <c:manualLayout>
          <c:xMode val="edge"/>
          <c:yMode val="edge"/>
          <c:x val="0.16964309148856391"/>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0140193179362469"/>
        </c:manualLayout>
      </c:layout>
      <c:lineChart>
        <c:grouping val="standard"/>
        <c:varyColors val="0"/>
        <c:ser>
          <c:idx val="0"/>
          <c:order val="0"/>
          <c:tx>
            <c:strRef>
              <c:f>Labour1!$D$120:$E$120</c:f>
              <c:strCache>
                <c:ptCount val="1"/>
                <c:pt idx="0">
                  <c:v>Wages &amp; salaries / employee (public)</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Labour1!$G$120:$U$120</c:f>
              <c:numCache>
                <c:formatCode>0.0</c:formatCode>
                <c:ptCount val="6"/>
                <c:pt idx="0">
                  <c:v>2.6160283535961781</c:v>
                </c:pt>
                <c:pt idx="1">
                  <c:v>11.686152965432161</c:v>
                </c:pt>
                <c:pt idx="2">
                  <c:v>31.351020155839326</c:v>
                </c:pt>
                <c:pt idx="3">
                  <c:v>-2.5931906485933687</c:v>
                </c:pt>
                <c:pt idx="4">
                  <c:v>21.532399062705167</c:v>
                </c:pt>
                <c:pt idx="5">
                  <c:v>-0.84820726529328816</c:v>
                </c:pt>
              </c:numCache>
            </c:numRef>
          </c:val>
          <c:smooth val="0"/>
        </c:ser>
        <c:ser>
          <c:idx val="1"/>
          <c:order val="1"/>
          <c:tx>
            <c:strRef>
              <c:f>Labour1!$D$151:$E$151</c:f>
              <c:strCache>
                <c:ptCount val="1"/>
                <c:pt idx="0">
                  <c:v>Employer's social contr. / employee (public)</c:v>
                </c:pt>
              </c:strCache>
            </c:strRef>
          </c:tx>
          <c:val>
            <c:numRef>
              <c:f>Labour1!$G$151:$U$151</c:f>
              <c:numCache>
                <c:formatCode>0.0</c:formatCode>
                <c:ptCount val="6"/>
                <c:pt idx="0">
                  <c:v>13.630046647189541</c:v>
                </c:pt>
                <c:pt idx="1">
                  <c:v>3.9847287667555298</c:v>
                </c:pt>
                <c:pt idx="2">
                  <c:v>43.05962011912419</c:v>
                </c:pt>
                <c:pt idx="3">
                  <c:v>3.2847628885726454</c:v>
                </c:pt>
                <c:pt idx="4">
                  <c:v>25.840035620497371</c:v>
                </c:pt>
                <c:pt idx="5">
                  <c:v>-5.580722070976929E-2</c:v>
                </c:pt>
              </c:numCache>
            </c:numRef>
          </c:val>
          <c:smooth val="0"/>
        </c:ser>
        <c:ser>
          <c:idx val="2"/>
          <c:order val="2"/>
          <c:tx>
            <c:strRef>
              <c:f>Labour1!$D$196:$E$196</c:f>
              <c:strCache>
                <c:ptCount val="1"/>
                <c:pt idx="0">
                  <c:v>Total compensation / employee (public)</c:v>
                </c:pt>
              </c:strCache>
            </c:strRef>
          </c:tx>
          <c:val>
            <c:numRef>
              <c:f>Labour1!$G$196:$U$196</c:f>
              <c:numCache>
                <c:formatCode>0.0</c:formatCode>
                <c:ptCount val="6"/>
                <c:pt idx="0">
                  <c:v>5.1399119911579305</c:v>
                </c:pt>
                <c:pt idx="1">
                  <c:v>9.7788479286490482</c:v>
                </c:pt>
                <c:pt idx="2">
                  <c:v>34.09768060015903</c:v>
                </c:pt>
                <c:pt idx="3">
                  <c:v>-1.1221592079175502</c:v>
                </c:pt>
                <c:pt idx="4" formatCode="0.00">
                  <c:v>22.658486576673464</c:v>
                </c:pt>
                <c:pt idx="5" formatCode="0.00">
                  <c:v>-0.63568775278945999</c:v>
                </c:pt>
              </c:numCache>
            </c:numRef>
          </c:val>
          <c:smooth val="0"/>
        </c:ser>
        <c:dLbls>
          <c:showLegendKey val="0"/>
          <c:showVal val="0"/>
          <c:showCatName val="0"/>
          <c:showSerName val="0"/>
          <c:showPercent val="0"/>
          <c:showBubbleSize val="0"/>
        </c:dLbls>
        <c:marker val="1"/>
        <c:smooth val="0"/>
        <c:axId val="245215232"/>
        <c:axId val="245216768"/>
      </c:lineChart>
      <c:catAx>
        <c:axId val="2452152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5216768"/>
        <c:crosses val="autoZero"/>
        <c:auto val="1"/>
        <c:lblAlgn val="ctr"/>
        <c:lblOffset val="100"/>
        <c:tickLblSkip val="2"/>
        <c:tickMarkSkip val="1"/>
        <c:noMultiLvlLbl val="0"/>
      </c:catAx>
      <c:valAx>
        <c:axId val="2452167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5215232"/>
        <c:crosses val="autoZero"/>
        <c:crossBetween val="midCat"/>
      </c:valAx>
      <c:spPr>
        <a:noFill/>
        <a:ln w="12700">
          <a:solidFill>
            <a:srgbClr val="808080"/>
          </a:solidFill>
          <a:prstDash val="solid"/>
        </a:ln>
      </c:spPr>
    </c:plotArea>
    <c:legend>
      <c:legendPos val="b"/>
      <c:layout>
        <c:manualLayout>
          <c:xMode val="edge"/>
          <c:yMode val="edge"/>
          <c:x val="0.20312523434570678"/>
          <c:y val="0.79552026584912183"/>
          <c:w val="0.65178641732283471"/>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Participation ratio and employment rate</a:t>
            </a:r>
          </a:p>
        </c:rich>
      </c:tx>
      <c:layout>
        <c:manualLayout>
          <c:xMode val="edge"/>
          <c:yMode val="edge"/>
          <c:x val="0.21205380577427821"/>
          <c:y val="3.3613445378151259E-2"/>
        </c:manualLayout>
      </c:layout>
      <c:overlay val="0"/>
      <c:spPr>
        <a:noFill/>
        <a:ln w="25400">
          <a:noFill/>
        </a:ln>
      </c:spPr>
    </c:title>
    <c:autoTitleDeleted val="0"/>
    <c:plotArea>
      <c:layout>
        <c:manualLayout>
          <c:layoutTarget val="inner"/>
          <c:xMode val="edge"/>
          <c:yMode val="edge"/>
          <c:x val="0.11830370036937209"/>
          <c:y val="0.17647107096647127"/>
          <c:w val="0.81473303084567572"/>
          <c:h val="0.61904931243793893"/>
        </c:manualLayout>
      </c:layout>
      <c:lineChart>
        <c:grouping val="standard"/>
        <c:varyColors val="0"/>
        <c:ser>
          <c:idx val="0"/>
          <c:order val="0"/>
          <c:tx>
            <c:strRef>
              <c:f>Labour1!$E$8</c:f>
              <c:strCache>
                <c:ptCount val="1"/>
                <c:pt idx="0">
                  <c:v>Participation ratio</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Labour1!$G$8:$U$8</c:f>
              <c:numCache>
                <c:formatCode>0.0%</c:formatCode>
                <c:ptCount val="6"/>
                <c:pt idx="0">
                  <c:v>0.70623568378485369</c:v>
                </c:pt>
                <c:pt idx="1">
                  <c:v>0.70311897342611673</c:v>
                </c:pt>
                <c:pt idx="2">
                  <c:v>0.69101420903766564</c:v>
                </c:pt>
                <c:pt idx="3">
                  <c:v>0.69687367535180711</c:v>
                </c:pt>
                <c:pt idx="4">
                  <c:v>0.70175097744249604</c:v>
                </c:pt>
                <c:pt idx="5">
                  <c:v>0.71438948362176202</c:v>
                </c:pt>
              </c:numCache>
            </c:numRef>
          </c:val>
          <c:smooth val="0"/>
        </c:ser>
        <c:ser>
          <c:idx val="1"/>
          <c:order val="1"/>
          <c:tx>
            <c:strRef>
              <c:f>Labour1!$E$37</c:f>
              <c:strCache>
                <c:ptCount val="1"/>
                <c:pt idx="0">
                  <c:v>Employment rate</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Labour1!$G$37:$U$37</c:f>
              <c:numCache>
                <c:formatCode>0.0%</c:formatCode>
                <c:ptCount val="6"/>
                <c:pt idx="0">
                  <c:v>0.62979416464000904</c:v>
                </c:pt>
                <c:pt idx="1">
                  <c:v>0.64481537492801744</c:v>
                </c:pt>
                <c:pt idx="2">
                  <c:v>0.65098811020185654</c:v>
                </c:pt>
                <c:pt idx="3">
                  <c:v>0.66749761147355624</c:v>
                </c:pt>
                <c:pt idx="4">
                  <c:v>0.66104348115705502</c:v>
                </c:pt>
                <c:pt idx="5">
                  <c:v>0.6158252975493953</c:v>
                </c:pt>
              </c:numCache>
            </c:numRef>
          </c:val>
          <c:smooth val="0"/>
        </c:ser>
        <c:dLbls>
          <c:showLegendKey val="0"/>
          <c:showVal val="0"/>
          <c:showCatName val="0"/>
          <c:showSerName val="0"/>
          <c:showPercent val="0"/>
          <c:showBubbleSize val="0"/>
        </c:dLbls>
        <c:marker val="1"/>
        <c:smooth val="0"/>
        <c:axId val="244533504"/>
        <c:axId val="244535296"/>
      </c:lineChart>
      <c:catAx>
        <c:axId val="2445335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535296"/>
        <c:crosses val="autoZero"/>
        <c:auto val="1"/>
        <c:lblAlgn val="ctr"/>
        <c:lblOffset val="100"/>
        <c:tickLblSkip val="2"/>
        <c:tickMarkSkip val="1"/>
        <c:noMultiLvlLbl val="0"/>
      </c:catAx>
      <c:valAx>
        <c:axId val="244535296"/>
        <c:scaling>
          <c:orientation val="minMax"/>
          <c:min val="0.55000000000000004"/>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533504"/>
        <c:crosses val="autoZero"/>
        <c:crossBetween val="midCat"/>
      </c:valAx>
      <c:spPr>
        <a:noFill/>
        <a:ln w="12700">
          <a:solidFill>
            <a:srgbClr val="808080"/>
          </a:solidFill>
          <a:prstDash val="solid"/>
        </a:ln>
      </c:spPr>
    </c:plotArea>
    <c:legend>
      <c:legendPos val="b"/>
      <c:layout>
        <c:manualLayout>
          <c:xMode val="edge"/>
          <c:yMode val="edge"/>
          <c:x val="0.21428594863142106"/>
          <c:y val="0.91316761875353814"/>
          <c:w val="0.6227685601799775"/>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Unemployment rate</a:t>
            </a:r>
          </a:p>
        </c:rich>
      </c:tx>
      <c:layout>
        <c:manualLayout>
          <c:xMode val="edge"/>
          <c:yMode val="edge"/>
          <c:x val="0.35714332583427072"/>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1"/>
          <c:order val="0"/>
          <c:tx>
            <c:strRef>
              <c:f>Labour1!$E$39</c:f>
              <c:strCache>
                <c:ptCount val="1"/>
                <c:pt idx="0">
                  <c:v>Unemployment rate (Eurostat)</c:v>
                </c:pt>
              </c:strCache>
            </c:strRef>
          </c:tx>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Labour1!$G$39:$U$39</c:f>
              <c:numCache>
                <c:formatCode>0.0%</c:formatCode>
                <c:ptCount val="6"/>
                <c:pt idx="0">
                  <c:v>0.10823797338472031</c:v>
                </c:pt>
                <c:pt idx="1">
                  <c:v>8.2921384149258495E-2</c:v>
                </c:pt>
                <c:pt idx="2">
                  <c:v>5.7923698691450989E-2</c:v>
                </c:pt>
                <c:pt idx="3">
                  <c:v>4.2154073137316894E-2</c:v>
                </c:pt>
                <c:pt idx="4">
                  <c:v>5.8008463962241762E-2</c:v>
                </c:pt>
                <c:pt idx="5">
                  <c:v>0.13796981665053751</c:v>
                </c:pt>
              </c:numCache>
            </c:numRef>
          </c:val>
          <c:smooth val="0"/>
        </c:ser>
        <c:dLbls>
          <c:showLegendKey val="0"/>
          <c:showVal val="0"/>
          <c:showCatName val="0"/>
          <c:showSerName val="0"/>
          <c:showPercent val="0"/>
          <c:showBubbleSize val="0"/>
        </c:dLbls>
        <c:marker val="1"/>
        <c:smooth val="0"/>
        <c:axId val="244563968"/>
        <c:axId val="244565504"/>
      </c:lineChart>
      <c:catAx>
        <c:axId val="2445639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565504"/>
        <c:crosses val="autoZero"/>
        <c:auto val="1"/>
        <c:lblAlgn val="ctr"/>
        <c:lblOffset val="100"/>
        <c:tickLblSkip val="2"/>
        <c:tickMarkSkip val="1"/>
        <c:noMultiLvlLbl val="0"/>
      </c:catAx>
      <c:valAx>
        <c:axId val="244565504"/>
        <c:scaling>
          <c:orientation val="minMax"/>
          <c:min val="0.05"/>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563968"/>
        <c:crosses val="autoZero"/>
        <c:crossBetween val="midCat"/>
      </c:valAx>
      <c:spPr>
        <a:noFill/>
        <a:ln w="12700">
          <a:solidFill>
            <a:srgbClr val="808080"/>
          </a:solidFill>
          <a:prstDash val="solid"/>
        </a:ln>
      </c:spPr>
    </c:plotArea>
    <c:legend>
      <c:legendPos val="b"/>
      <c:layout>
        <c:manualLayout>
          <c:xMode val="edge"/>
          <c:yMode val="edge"/>
          <c:x val="0.29687523434570678"/>
          <c:y val="0.91316761875353814"/>
          <c:w val="0.48214332583427072"/>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300" verticalDpi="300"/>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and GDP growth</a:t>
            </a:r>
          </a:p>
        </c:rich>
      </c:tx>
      <c:layout>
        <c:manualLayout>
          <c:xMode val="edge"/>
          <c:yMode val="edge"/>
          <c:x val="0.28794666291713533"/>
          <c:y val="3.3707865168539325E-2"/>
        </c:manualLayout>
      </c:layout>
      <c:overlay val="0"/>
      <c:spPr>
        <a:noFill/>
        <a:ln w="25400">
          <a:noFill/>
        </a:ln>
      </c:spPr>
    </c:title>
    <c:autoTitleDeleted val="0"/>
    <c:plotArea>
      <c:layout>
        <c:manualLayout>
          <c:layoutTarget val="inner"/>
          <c:xMode val="edge"/>
          <c:yMode val="edge"/>
          <c:x val="6.9196503989632729E-2"/>
          <c:y val="0.17696629213483145"/>
          <c:w val="0.86384022722541509"/>
          <c:h val="0.6151685393258427"/>
        </c:manualLayout>
      </c:layout>
      <c:scatterChart>
        <c:scatterStyle val="lineMarker"/>
        <c:varyColors val="0"/>
        <c:ser>
          <c:idx val="0"/>
          <c:order val="0"/>
          <c:tx>
            <c:strRef>
              <c:f>Labour1!$E$49</c:f>
              <c:strCache>
                <c:ptCount val="1"/>
                <c:pt idx="0">
                  <c:v>Wage and salary earners (domestic)</c:v>
                </c:pt>
              </c:strCache>
            </c:strRef>
          </c:tx>
          <c:spPr>
            <a:ln w="28575">
              <a:noFill/>
            </a:ln>
          </c:spPr>
          <c:marker>
            <c:symbol val="circle"/>
            <c:size val="7"/>
            <c:spPr>
              <a:solidFill>
                <a:srgbClr val="FFFFFF"/>
              </a:solidFill>
              <a:ln>
                <a:solidFill>
                  <a:srgbClr val="FF0000"/>
                </a:solidFill>
                <a:prstDash val="solid"/>
              </a:ln>
            </c:spPr>
          </c:marker>
          <c:dLbls>
            <c:dLbl>
              <c:idx val="1"/>
              <c:tx>
                <c:rich>
                  <a:bodyPr/>
                  <a:lstStyle/>
                  <a:p>
                    <a:r>
                      <a:rPr lang="en-GB"/>
                      <a:t>1996</a:t>
                    </a:r>
                  </a:p>
                </c:rich>
              </c:tx>
              <c:showLegendKey val="0"/>
              <c:showVal val="0"/>
              <c:showCatName val="0"/>
              <c:showSerName val="0"/>
              <c:showPercent val="0"/>
              <c:showBubbleSize val="0"/>
            </c:dLbl>
            <c:dLbl>
              <c:idx val="2"/>
              <c:tx>
                <c:rich>
                  <a:bodyPr/>
                  <a:lstStyle/>
                  <a:p>
                    <a:r>
                      <a:rPr lang="en-GB"/>
                      <a:t>1997</a:t>
                    </a:r>
                  </a:p>
                </c:rich>
              </c:tx>
              <c:showLegendKey val="0"/>
              <c:showVal val="0"/>
              <c:showCatName val="0"/>
              <c:showSerName val="0"/>
              <c:showPercent val="0"/>
              <c:showBubbleSize val="0"/>
            </c:dLbl>
            <c:dLbl>
              <c:idx val="3"/>
              <c:tx>
                <c:rich>
                  <a:bodyPr/>
                  <a:lstStyle/>
                  <a:p>
                    <a:r>
                      <a:rPr lang="en-GB"/>
                      <a:t>1998</a:t>
                    </a:r>
                  </a:p>
                </c:rich>
              </c:tx>
              <c:showLegendKey val="0"/>
              <c:showVal val="0"/>
              <c:showCatName val="0"/>
              <c:showSerName val="0"/>
              <c:showPercent val="0"/>
              <c:showBubbleSize val="0"/>
            </c:dLbl>
            <c:dLbl>
              <c:idx val="4"/>
              <c:tx>
                <c:rich>
                  <a:bodyPr/>
                  <a:lstStyle/>
                  <a:p>
                    <a:r>
                      <a:rPr lang="en-GB"/>
                      <a:t>1999</a:t>
                    </a:r>
                  </a:p>
                </c:rich>
              </c:tx>
              <c:showLegendKey val="0"/>
              <c:showVal val="0"/>
              <c:showCatName val="0"/>
              <c:showSerName val="0"/>
              <c:showPercent val="0"/>
              <c:showBubbleSize val="0"/>
            </c:dLbl>
            <c:dLbl>
              <c:idx val="5"/>
              <c:tx>
                <c:rich>
                  <a:bodyPr/>
                  <a:lstStyle/>
                  <a:p>
                    <a:r>
                      <a:rPr lang="en-GB"/>
                      <a:t>2000</a:t>
                    </a:r>
                  </a:p>
                </c:rich>
              </c:tx>
              <c:showLegendKey val="0"/>
              <c:showVal val="0"/>
              <c:showCatName val="0"/>
              <c:showSerName val="0"/>
              <c:showPercent val="0"/>
              <c:showBubbleSize val="0"/>
            </c:dLbl>
            <c:dLbl>
              <c:idx val="6"/>
              <c:tx>
                <c:rich>
                  <a:bodyPr/>
                  <a:lstStyle/>
                  <a:p>
                    <a:r>
                      <a:rPr lang="en-GB"/>
                      <a:t>2001</a:t>
                    </a:r>
                  </a:p>
                </c:rich>
              </c:tx>
              <c:showLegendKey val="0"/>
              <c:showVal val="0"/>
              <c:showCatName val="0"/>
              <c:showSerName val="0"/>
              <c:showPercent val="0"/>
              <c:showBubbleSize val="0"/>
            </c:dLbl>
            <c:dLbl>
              <c:idx val="7"/>
              <c:tx>
                <c:rich>
                  <a:bodyPr/>
                  <a:lstStyle/>
                  <a:p>
                    <a:r>
                      <a:rPr lang="en-GB"/>
                      <a:t>2002</a:t>
                    </a:r>
                  </a:p>
                </c:rich>
              </c:tx>
              <c:showLegendKey val="0"/>
              <c:showVal val="0"/>
              <c:showCatName val="0"/>
              <c:showSerName val="0"/>
              <c:showPercent val="0"/>
              <c:showBubbleSize val="0"/>
            </c:dLbl>
            <c:dLbl>
              <c:idx val="8"/>
              <c:tx>
                <c:rich>
                  <a:bodyPr/>
                  <a:lstStyle/>
                  <a:p>
                    <a:r>
                      <a:rPr lang="en-GB"/>
                      <a:t>2003</a:t>
                    </a:r>
                  </a:p>
                </c:rich>
              </c:tx>
              <c:showLegendKey val="0"/>
              <c:showVal val="0"/>
              <c:showCatName val="0"/>
              <c:showSerName val="0"/>
              <c:showPercent val="0"/>
              <c:showBubbleSize val="0"/>
            </c:dLbl>
            <c:dLbl>
              <c:idx val="9"/>
              <c:tx>
                <c:rich>
                  <a:bodyPr/>
                  <a:lstStyle/>
                  <a:p>
                    <a:r>
                      <a:rPr lang="en-GB"/>
                      <a:t>2004</a:t>
                    </a:r>
                  </a:p>
                </c:rich>
              </c:tx>
              <c:showLegendKey val="0"/>
              <c:showVal val="0"/>
              <c:showCatName val="0"/>
              <c:showSerName val="0"/>
              <c:showPercent val="0"/>
              <c:showBubbleSize val="0"/>
            </c:dLbl>
            <c:dLbl>
              <c:idx val="10"/>
              <c:tx>
                <c:rich>
                  <a:bodyPr/>
                  <a:lstStyle/>
                  <a:p>
                    <a:r>
                      <a:rPr lang="en-GB"/>
                      <a:t>2005</a:t>
                    </a:r>
                  </a:p>
                </c:rich>
              </c:tx>
              <c:showLegendKey val="0"/>
              <c:showVal val="0"/>
              <c:showCatName val="0"/>
              <c:showSerName val="0"/>
              <c:showPercent val="0"/>
              <c:showBubbleSize val="0"/>
            </c:dLbl>
            <c:dLbl>
              <c:idx val="11"/>
              <c:tx>
                <c:rich>
                  <a:bodyPr/>
                  <a:lstStyle/>
                  <a:p>
                    <a:r>
                      <a:rPr lang="en-GB"/>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FF0000"/>
                </a:solidFill>
                <a:prstDash val="solid"/>
              </a:ln>
            </c:spPr>
            <c:trendlineType val="linear"/>
            <c:dispRSqr val="0"/>
            <c:dispEq val="0"/>
          </c:trendline>
          <c:xVal>
            <c:numRef>
              <c:f>'VVP2'!$G$131:$AA$131</c:f>
              <c:numCache>
                <c:formatCode>0.0</c:formatCode>
                <c:ptCount val="4"/>
                <c:pt idx="0">
                  <c:v>3.8269382239940919</c:v>
                </c:pt>
                <c:pt idx="1">
                  <c:v>3.498577230569011</c:v>
                </c:pt>
                <c:pt idx="2" formatCode="0.000">
                  <c:v>3.5375855747539431</c:v>
                </c:pt>
                <c:pt idx="3" formatCode="0.000">
                  <c:v>2.0346676424249033</c:v>
                </c:pt>
              </c:numCache>
            </c:numRef>
          </c:xVal>
          <c:yVal>
            <c:numRef>
              <c:f>Labour1!$G$49:$AC$49</c:f>
              <c:numCache>
                <c:formatCode>0.0</c:formatCode>
                <c:ptCount val="14"/>
                <c:pt idx="0">
                  <c:v>1.2393411365923646</c:v>
                </c:pt>
                <c:pt idx="1">
                  <c:v>2.4125904612433358</c:v>
                </c:pt>
                <c:pt idx="2">
                  <c:v>-9.1097167474052387E-2</c:v>
                </c:pt>
                <c:pt idx="3">
                  <c:v>5.1265445249254471</c:v>
                </c:pt>
                <c:pt idx="4" formatCode="0.00">
                  <c:v>2.1051181038535649</c:v>
                </c:pt>
                <c:pt idx="5" formatCode="0.00">
                  <c:v>-8.0102887355810957</c:v>
                </c:pt>
                <c:pt idx="6" formatCode="0.00">
                  <c:v>-4.1122608372960112</c:v>
                </c:pt>
                <c:pt idx="7" formatCode="0.00">
                  <c:v>0.79832235302590426</c:v>
                </c:pt>
                <c:pt idx="8" formatCode="0.00">
                  <c:v>1.2446984240367831</c:v>
                </c:pt>
                <c:pt idx="9" formatCode="0.00">
                  <c:v>0.51239538226812709</c:v>
                </c:pt>
                <c:pt idx="10" formatCode="0.00">
                  <c:v>1.6214793366675417</c:v>
                </c:pt>
                <c:pt idx="11" formatCode="0.00">
                  <c:v>1.1069091160268663</c:v>
                </c:pt>
                <c:pt idx="12" formatCode="0.00">
                  <c:v>1.9043552519214302</c:v>
                </c:pt>
                <c:pt idx="13" formatCode="0.00">
                  <c:v>-0.13408195759657682</c:v>
                </c:pt>
              </c:numCache>
            </c:numRef>
          </c:yVal>
          <c:smooth val="0"/>
        </c:ser>
        <c:dLbls>
          <c:showLegendKey val="0"/>
          <c:showVal val="0"/>
          <c:showCatName val="0"/>
          <c:showSerName val="0"/>
          <c:showPercent val="0"/>
          <c:showBubbleSize val="0"/>
        </c:dLbls>
        <c:axId val="244603520"/>
        <c:axId val="244633984"/>
      </c:scatterChart>
      <c:valAx>
        <c:axId val="244603520"/>
        <c:scaling>
          <c:orientation val="minMax"/>
        </c:scaling>
        <c:delete val="0"/>
        <c:axPos val="b"/>
        <c:majorGridlines>
          <c:spPr>
            <a:ln w="3175">
              <a:solidFill>
                <a:srgbClr val="000000"/>
              </a:solidFill>
              <a:prstDash val="solid"/>
            </a:ln>
          </c:spPr>
        </c:majorGridlines>
        <c:numFmt formatCode="0.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633984"/>
        <c:crosses val="autoZero"/>
        <c:crossBetween val="midCat"/>
      </c:valAx>
      <c:valAx>
        <c:axId val="24463398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603520"/>
        <c:crosses val="autoZero"/>
        <c:crossBetween val="midCat"/>
      </c:valAx>
      <c:spPr>
        <a:noFill/>
        <a:ln w="12700">
          <a:solidFill>
            <a:srgbClr val="808080"/>
          </a:solidFill>
          <a:prstDash val="solid"/>
        </a:ln>
      </c:spPr>
    </c:plotArea>
    <c:legend>
      <c:legendPos val="b"/>
      <c:layout>
        <c:manualLayout>
          <c:xMode val="edge"/>
          <c:yMode val="edge"/>
          <c:x val="0.17410737720284963"/>
          <c:y val="0.8539325842696629"/>
          <c:w val="0.6517864173228346"/>
          <c:h val="0.1264044943820225"/>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Public sector gross real wage growth (DG BUDG)</a:t>
            </a:r>
          </a:p>
        </c:rich>
      </c:tx>
      <c:layout>
        <c:manualLayout>
          <c:xMode val="edge"/>
          <c:yMode val="edge"/>
          <c:x val="0.15401809148856391"/>
          <c:y val="3.3707865168539325E-2"/>
        </c:manualLayout>
      </c:layout>
      <c:overlay val="0"/>
      <c:spPr>
        <a:noFill/>
        <a:ln w="25400">
          <a:noFill/>
        </a:ln>
      </c:spPr>
    </c:title>
    <c:autoTitleDeleted val="0"/>
    <c:plotArea>
      <c:layout>
        <c:manualLayout>
          <c:layoutTarget val="inner"/>
          <c:xMode val="edge"/>
          <c:yMode val="edge"/>
          <c:x val="0.15178587971919438"/>
          <c:y val="0.17696629213483145"/>
          <c:w val="0.77678656091587717"/>
          <c:h val="0.5252808988764045"/>
        </c:manualLayout>
      </c:layout>
      <c:lineChart>
        <c:grouping val="standard"/>
        <c:varyColors val="0"/>
        <c:ser>
          <c:idx val="0"/>
          <c:order val="0"/>
          <c:tx>
            <c:strRef>
              <c:f>Labour1!$E$130</c:f>
              <c:strCache>
                <c:ptCount val="1"/>
                <c:pt idx="0">
                  <c:v>Gross real wage growth per employee in public sector (July - July estimates)</c:v>
                </c:pt>
              </c:strCache>
            </c:strRef>
          </c:tx>
          <c:cat>
            <c:strRef>
              <c:f>Labour1!$G$125:$U$125</c:f>
              <c:strCache>
                <c:ptCount val="6"/>
                <c:pt idx="0">
                  <c:v>2003-2004</c:v>
                </c:pt>
                <c:pt idx="1">
                  <c:v>2004-2005</c:v>
                </c:pt>
                <c:pt idx="2">
                  <c:v>2005-2006</c:v>
                </c:pt>
                <c:pt idx="3">
                  <c:v>2006-2007</c:v>
                </c:pt>
                <c:pt idx="4">
                  <c:v>2007-2008</c:v>
                </c:pt>
                <c:pt idx="5">
                  <c:v>2008-2009</c:v>
                </c:pt>
              </c:strCache>
            </c:strRef>
          </c:cat>
          <c:val>
            <c:numRef>
              <c:f>Labour1!$G$130:$U$130</c:f>
              <c:numCache>
                <c:formatCode>0.0%</c:formatCode>
                <c:ptCount val="6"/>
                <c:pt idx="0">
                  <c:v>6.4512929566207244E-2</c:v>
                </c:pt>
                <c:pt idx="1">
                  <c:v>4.3987722922095518E-2</c:v>
                </c:pt>
                <c:pt idx="2">
                  <c:v>0.18479283641529065</c:v>
                </c:pt>
                <c:pt idx="3">
                  <c:v>7.3784768911020704E-2</c:v>
                </c:pt>
                <c:pt idx="4">
                  <c:v>4.6580475685642497E-4</c:v>
                </c:pt>
                <c:pt idx="5">
                  <c:v>6.1448125632581618E-3</c:v>
                </c:pt>
              </c:numCache>
            </c:numRef>
          </c:val>
          <c:smooth val="0"/>
        </c:ser>
        <c:dLbls>
          <c:showLegendKey val="0"/>
          <c:showVal val="0"/>
          <c:showCatName val="0"/>
          <c:showSerName val="0"/>
          <c:showPercent val="0"/>
          <c:showBubbleSize val="0"/>
        </c:dLbls>
        <c:marker val="1"/>
        <c:smooth val="0"/>
        <c:axId val="244670848"/>
        <c:axId val="244672384"/>
      </c:lineChart>
      <c:catAx>
        <c:axId val="244670848"/>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672384"/>
        <c:crosses val="autoZero"/>
        <c:auto val="1"/>
        <c:lblAlgn val="ctr"/>
        <c:lblOffset val="100"/>
        <c:tickLblSkip val="2"/>
        <c:tickMarkSkip val="1"/>
        <c:noMultiLvlLbl val="0"/>
      </c:catAx>
      <c:valAx>
        <c:axId val="24467238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670848"/>
        <c:crosses val="autoZero"/>
        <c:crossBetween val="midCat"/>
      </c:valAx>
      <c:spPr>
        <a:noFill/>
        <a:ln w="12700">
          <a:solidFill>
            <a:srgbClr val="808080"/>
          </a:solidFill>
          <a:prstDash val="solid"/>
        </a:ln>
      </c:spPr>
    </c:plotArea>
    <c:legend>
      <c:legendPos val="b"/>
      <c:layout>
        <c:manualLayout>
          <c:xMode val="edge"/>
          <c:yMode val="edge"/>
          <c:x val="3.3482142857142856E-2"/>
          <c:y val="0.8679775280898876"/>
          <c:w val="0.93303665166854133"/>
          <c:h val="0.11235955056179781"/>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GDP and private consumption</a:t>
            </a:r>
          </a:p>
        </c:rich>
      </c:tx>
      <c:layout>
        <c:manualLayout>
          <c:xMode val="edge"/>
          <c:yMode val="edge"/>
          <c:x val="0.18080380577427821"/>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52100982856767708"/>
        </c:manualLayout>
      </c:layout>
      <c:lineChart>
        <c:grouping val="standard"/>
        <c:varyColors val="0"/>
        <c:ser>
          <c:idx val="0"/>
          <c:order val="0"/>
          <c:tx>
            <c:strRef>
              <c:f>Sector1!$D$22:$E$22</c:f>
              <c:strCache>
                <c:ptCount val="1"/>
                <c:pt idx="0">
                  <c:v>GVT Taxes on production and imports (D.2r = D.21r+D.29r)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Sector1!$G$22:$AC$22</c:f>
              <c:numCache>
                <c:formatCode>0.0</c:formatCode>
                <c:ptCount val="12"/>
                <c:pt idx="0">
                  <c:v>15.667895487904326</c:v>
                </c:pt>
                <c:pt idx="1">
                  <c:v>24.009076655883852</c:v>
                </c:pt>
                <c:pt idx="2">
                  <c:v>12.240069877270642</c:v>
                </c:pt>
                <c:pt idx="3">
                  <c:v>-17.840843740272348</c:v>
                </c:pt>
                <c:pt idx="4">
                  <c:v>6.5764631843927113</c:v>
                </c:pt>
                <c:pt idx="5">
                  <c:v>9.3195471279742925</c:v>
                </c:pt>
                <c:pt idx="6">
                  <c:v>2.6310422752576779</c:v>
                </c:pt>
                <c:pt idx="7">
                  <c:v>3.1489741062869392</c:v>
                </c:pt>
                <c:pt idx="8">
                  <c:v>6.2009611229414618</c:v>
                </c:pt>
                <c:pt idx="9">
                  <c:v>6.4735239757423679</c:v>
                </c:pt>
                <c:pt idx="10">
                  <c:v>4.3541922309220826</c:v>
                </c:pt>
                <c:pt idx="11" formatCode="0.00">
                  <c:v>8.7193167077012532</c:v>
                </c:pt>
              </c:numCache>
            </c:numRef>
          </c:val>
          <c:smooth val="0"/>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ser>
          <c:idx val="2"/>
          <c:order val="2"/>
          <c:tx>
            <c:strRef>
              <c:f>'VVP2'!$D$188:$E$188</c:f>
              <c:strCache>
                <c:ptCount val="1"/>
                <c:pt idx="0">
                  <c:v>HH Final consumption expenditure (P.3)</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'VVP2'!$G$188:$AA$188</c:f>
              <c:numCache>
                <c:formatCode>0.0</c:formatCode>
                <c:ptCount val="4"/>
                <c:pt idx="0">
                  <c:v>6.2742499558684717</c:v>
                </c:pt>
                <c:pt idx="1">
                  <c:v>5.3520737522436024</c:v>
                </c:pt>
                <c:pt idx="2">
                  <c:v>4.0906766427303953</c:v>
                </c:pt>
                <c:pt idx="3">
                  <c:v>3.0593383975462629</c:v>
                </c:pt>
              </c:numCache>
            </c:numRef>
          </c:val>
          <c:smooth val="0"/>
        </c:ser>
        <c:dLbls>
          <c:showLegendKey val="0"/>
          <c:showVal val="0"/>
          <c:showCatName val="0"/>
          <c:showSerName val="0"/>
          <c:showPercent val="0"/>
          <c:showBubbleSize val="0"/>
        </c:dLbls>
        <c:marker val="1"/>
        <c:smooth val="0"/>
        <c:axId val="236530304"/>
        <c:axId val="236536576"/>
      </c:lineChart>
      <c:catAx>
        <c:axId val="2365303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6536576"/>
        <c:crosses val="autoZero"/>
        <c:auto val="1"/>
        <c:lblAlgn val="ctr"/>
        <c:lblOffset val="100"/>
        <c:tickLblSkip val="2"/>
        <c:tickMarkSkip val="1"/>
        <c:noMultiLvlLbl val="0"/>
      </c:catAx>
      <c:valAx>
        <c:axId val="23653657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6530304"/>
        <c:crosses val="autoZero"/>
        <c:crossBetween val="midCat"/>
      </c:valAx>
      <c:spPr>
        <a:noFill/>
        <a:ln w="12700">
          <a:solidFill>
            <a:srgbClr val="808080"/>
          </a:solidFill>
          <a:prstDash val="solid"/>
        </a:ln>
      </c:spPr>
    </c:plotArea>
    <c:legend>
      <c:legendPos val="r"/>
      <c:layout>
        <c:manualLayout>
          <c:xMode val="edge"/>
          <c:yMode val="edge"/>
          <c:x val="5.3571428571428568E-2"/>
          <c:y val="0.81232728261908438"/>
          <c:w val="0.89509022309711284"/>
          <c:h val="0.16806781505253021"/>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related to private consumption</a:t>
            </a:r>
          </a:p>
        </c:rich>
      </c:tx>
      <c:layout>
        <c:manualLayout>
          <c:xMode val="edge"/>
          <c:yMode val="edge"/>
          <c:x val="0.17857166291713536"/>
          <c:y val="3.3613445378151259E-2"/>
        </c:manualLayout>
      </c:layout>
      <c:overlay val="0"/>
      <c:spPr>
        <a:noFill/>
        <a:ln w="25400">
          <a:noFill/>
        </a:ln>
      </c:spPr>
    </c:title>
    <c:autoTitleDeleted val="0"/>
    <c:plotArea>
      <c:layout>
        <c:manualLayout>
          <c:layoutTarget val="inner"/>
          <c:xMode val="edge"/>
          <c:yMode val="edge"/>
          <c:x val="5.8035777539691968E-2"/>
          <c:y val="0.17366994285589235"/>
          <c:w val="0.88616168012529661"/>
          <c:h val="0.61344705621678108"/>
        </c:manualLayout>
      </c:layout>
      <c:scatterChart>
        <c:scatterStyle val="lineMarker"/>
        <c:varyColors val="0"/>
        <c:ser>
          <c:idx val="0"/>
          <c:order val="0"/>
          <c:tx>
            <c:strRef>
              <c:f>Sector1!$D$34:$E$34</c:f>
              <c:strCache>
                <c:ptCount val="1"/>
                <c:pt idx="0">
                  <c:v>GVT+EXT Taxes on production and imports (D.2r)</c:v>
                </c:pt>
              </c:strCache>
            </c:strRef>
          </c:tx>
          <c:spPr>
            <a:ln w="28575">
              <a:noFill/>
            </a:ln>
          </c:spPr>
          <c:marker>
            <c:symbol val="circle"/>
            <c:size val="7"/>
            <c:spPr>
              <a:solidFill>
                <a:srgbClr val="FFFFFF"/>
              </a:solidFill>
              <a:ln>
                <a:solidFill>
                  <a:srgbClr val="008080"/>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8080"/>
                </a:solidFill>
                <a:prstDash val="solid"/>
              </a:ln>
            </c:spPr>
            <c:trendlineType val="linear"/>
            <c:dispRSqr val="0"/>
            <c:dispEq val="0"/>
          </c:trendline>
          <c:xVal>
            <c:numRef>
              <c:f>'VVP2'!$G$188:$AA$188</c:f>
              <c:numCache>
                <c:formatCode>0.0</c:formatCode>
                <c:ptCount val="4"/>
                <c:pt idx="0">
                  <c:v>6.2742499558684717</c:v>
                </c:pt>
                <c:pt idx="1">
                  <c:v>5.3520737522436024</c:v>
                </c:pt>
                <c:pt idx="2">
                  <c:v>4.0906766427303953</c:v>
                </c:pt>
                <c:pt idx="3">
                  <c:v>3.0593383975462629</c:v>
                </c:pt>
              </c:numCache>
            </c:numRef>
          </c:xVal>
          <c:yVal>
            <c:numRef>
              <c:f>Sector1!$G$35:$AC$35</c:f>
              <c:numCache>
                <c:formatCode>0.0</c:formatCode>
                <c:ptCount val="12"/>
                <c:pt idx="0">
                  <c:v>0</c:v>
                </c:pt>
                <c:pt idx="1">
                  <c:v>0</c:v>
                </c:pt>
                <c:pt idx="2">
                  <c:v>0</c:v>
                </c:pt>
                <c:pt idx="3" formatCode="0.00">
                  <c:v>-18.300014838541312</c:v>
                </c:pt>
                <c:pt idx="4" formatCode="0.00">
                  <c:v>6.695600982013139</c:v>
                </c:pt>
                <c:pt idx="5" formatCode="0.00">
                  <c:v>9.1962456636710996</c:v>
                </c:pt>
                <c:pt idx="6" formatCode="0.00">
                  <c:v>2.4315970542385656</c:v>
                </c:pt>
                <c:pt idx="7" formatCode="0.00">
                  <c:v>3.4182001380189675</c:v>
                </c:pt>
                <c:pt idx="8" formatCode="0.00">
                  <c:v>6.1197460762075551</c:v>
                </c:pt>
                <c:pt idx="9" formatCode="0.00">
                  <c:v>6.7922841144376633</c:v>
                </c:pt>
                <c:pt idx="10" formatCode="0.00">
                  <c:v>3.9880178120865306</c:v>
                </c:pt>
                <c:pt idx="11" formatCode="0.00">
                  <c:v>8.6055189073278129</c:v>
                </c:pt>
              </c:numCache>
            </c:numRef>
          </c:yVal>
          <c:smooth val="0"/>
        </c:ser>
        <c:ser>
          <c:idx val="1"/>
          <c:order val="1"/>
          <c:tx>
            <c:strRef>
              <c:f>Sector1!$F$23</c:f>
              <c:strCache>
                <c:ptCount val="1"/>
                <c:pt idx="0">
                  <c:v>OECD</c:v>
                </c:pt>
              </c:strCache>
            </c:strRef>
          </c:tx>
          <c:spPr>
            <a:ln w="25400">
              <a:solidFill>
                <a:srgbClr val="FF0000"/>
              </a:solidFill>
              <a:prstDash val="solid"/>
            </a:ln>
          </c:spPr>
          <c:marker>
            <c:symbol val="none"/>
          </c:marker>
          <c:xVal>
            <c:numRef>
              <c:f>'VVP2'!$G$188:$AA$188</c:f>
              <c:numCache>
                <c:formatCode>0.0</c:formatCode>
                <c:ptCount val="4"/>
                <c:pt idx="0">
                  <c:v>6.2742499558684717</c:v>
                </c:pt>
                <c:pt idx="1">
                  <c:v>5.3520737522436024</c:v>
                </c:pt>
                <c:pt idx="2">
                  <c:v>4.0906766427303953</c:v>
                </c:pt>
                <c:pt idx="3">
                  <c:v>3.0593383975462629</c:v>
                </c:pt>
              </c:numCache>
            </c:numRef>
          </c:xVal>
          <c:yVal>
            <c:numRef>
              <c:f>Sector1!$G$23:$AC$23</c:f>
              <c:numCache>
                <c:formatCode>0.0</c:formatCode>
                <c:ptCount val="12"/>
                <c:pt idx="0">
                  <c:v>14.18500075093425</c:v>
                </c:pt>
                <c:pt idx="1">
                  <c:v>19.025147906103477</c:v>
                </c:pt>
                <c:pt idx="2" formatCode="0.00">
                  <c:v>15.168621188573962</c:v>
                </c:pt>
                <c:pt idx="3" formatCode="0.00">
                  <c:v>-13.759763847413298</c:v>
                </c:pt>
                <c:pt idx="4" formatCode="0.00">
                  <c:v>-2.1262160226752647</c:v>
                </c:pt>
                <c:pt idx="5" formatCode="0.00">
                  <c:v>8.9064469500499612</c:v>
                </c:pt>
                <c:pt idx="6" formatCode="0.00">
                  <c:v>6.2742499558684717</c:v>
                </c:pt>
                <c:pt idx="7" formatCode="0.00">
                  <c:v>5.3520737522436024</c:v>
                </c:pt>
                <c:pt idx="8" formatCode="0.00">
                  <c:v>4.0906766427303953</c:v>
                </c:pt>
                <c:pt idx="9" formatCode="0.00">
                  <c:v>3.0593383975462629</c:v>
                </c:pt>
                <c:pt idx="10" formatCode="0.00">
                  <c:v>5.9202577870326012</c:v>
                </c:pt>
                <c:pt idx="11" formatCode="0.00">
                  <c:v>7.790787561124124</c:v>
                </c:pt>
              </c:numCache>
            </c:numRef>
          </c:yVal>
          <c:smooth val="0"/>
        </c:ser>
        <c:dLbls>
          <c:showLegendKey val="0"/>
          <c:showVal val="0"/>
          <c:showCatName val="0"/>
          <c:showSerName val="0"/>
          <c:showPercent val="0"/>
          <c:showBubbleSize val="0"/>
        </c:dLbls>
        <c:axId val="236591744"/>
        <c:axId val="236626304"/>
      </c:scatterChart>
      <c:valAx>
        <c:axId val="23659174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6626304"/>
        <c:crosses val="autoZero"/>
        <c:crossBetween val="midCat"/>
      </c:valAx>
      <c:valAx>
        <c:axId val="2366263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6591744"/>
        <c:crosses val="autoZero"/>
        <c:crossBetween val="midCat"/>
      </c:valAx>
      <c:spPr>
        <a:noFill/>
        <a:ln w="12700">
          <a:solidFill>
            <a:srgbClr val="808080"/>
          </a:solidFill>
          <a:prstDash val="solid"/>
        </a:ln>
      </c:spPr>
    </c:plotArea>
    <c:legend>
      <c:legendPos val="r"/>
      <c:layout>
        <c:manualLayout>
          <c:xMode val="edge"/>
          <c:yMode val="edge"/>
          <c:x val="1.7857142857142856E-2"/>
          <c:y val="0.87955417337538688"/>
          <c:w val="0.94642950881139853"/>
          <c:h val="0.10644287111169926"/>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and its main components</a:t>
            </a:r>
          </a:p>
        </c:rich>
      </c:tx>
      <c:layout>
        <c:manualLayout>
          <c:xMode val="edge"/>
          <c:yMode val="edge"/>
          <c:x val="0.21875023434570678"/>
          <c:y val="3.3613445378151259E-2"/>
        </c:manualLayout>
      </c:layout>
      <c:overlay val="0"/>
      <c:spPr>
        <a:noFill/>
        <a:ln w="25400">
          <a:noFill/>
        </a:ln>
      </c:spPr>
    </c:title>
    <c:autoTitleDeleted val="0"/>
    <c:plotArea>
      <c:layout>
        <c:manualLayout>
          <c:layoutTarget val="inner"/>
          <c:xMode val="edge"/>
          <c:yMode val="edge"/>
          <c:x val="0.11607155507938394"/>
          <c:y val="0.17366994285589235"/>
          <c:w val="0.81696517613566388"/>
          <c:h val="0.4677883944666778"/>
        </c:manualLayout>
      </c:layout>
      <c:lineChart>
        <c:grouping val="standard"/>
        <c:varyColors val="0"/>
        <c:ser>
          <c:idx val="0"/>
          <c:order val="0"/>
          <c:tx>
            <c:strRef>
              <c:f>Sector1!$D$22:$E$22</c:f>
              <c:strCache>
                <c:ptCount val="1"/>
                <c:pt idx="0">
                  <c:v>GVT Taxes on production and imports (D.2r = D.21r+D.29r)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Sector1!$G$22:$AC$22</c:f>
              <c:numCache>
                <c:formatCode>0.0</c:formatCode>
                <c:ptCount val="12"/>
                <c:pt idx="0">
                  <c:v>15.667895487904326</c:v>
                </c:pt>
                <c:pt idx="1">
                  <c:v>24.009076655883852</c:v>
                </c:pt>
                <c:pt idx="2">
                  <c:v>12.240069877270642</c:v>
                </c:pt>
                <c:pt idx="3">
                  <c:v>-17.840843740272348</c:v>
                </c:pt>
                <c:pt idx="4">
                  <c:v>6.5764631843927113</c:v>
                </c:pt>
                <c:pt idx="5">
                  <c:v>9.3195471279742925</c:v>
                </c:pt>
                <c:pt idx="6">
                  <c:v>2.6310422752576779</c:v>
                </c:pt>
                <c:pt idx="7">
                  <c:v>3.1489741062869392</c:v>
                </c:pt>
                <c:pt idx="8">
                  <c:v>6.2009611229414618</c:v>
                </c:pt>
                <c:pt idx="9">
                  <c:v>6.4735239757423679</c:v>
                </c:pt>
                <c:pt idx="10">
                  <c:v>4.3541922309220826</c:v>
                </c:pt>
                <c:pt idx="11" formatCode="0.00">
                  <c:v>8.7193167077012532</c:v>
                </c:pt>
              </c:numCache>
            </c:numRef>
          </c:val>
          <c:smooth val="0"/>
        </c:ser>
        <c:ser>
          <c:idx val="2"/>
          <c:order val="1"/>
          <c:tx>
            <c:strRef>
              <c:f>Sector1!$D$17:$E$17</c:f>
              <c:strCache>
                <c:ptCount val="1"/>
                <c:pt idx="0">
                  <c:v>ECO Taxes on products (D.21p)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Sector1!$G$17:$AC$17</c:f>
              <c:numCache>
                <c:formatCode>0.0</c:formatCode>
                <c:ptCount val="12"/>
                <c:pt idx="0">
                  <c:v>15.406158752876831</c:v>
                </c:pt>
                <c:pt idx="1">
                  <c:v>24.993397205008172</c:v>
                </c:pt>
                <c:pt idx="2">
                  <c:v>13.342254914270146</c:v>
                </c:pt>
                <c:pt idx="3">
                  <c:v>-19.048519661297213</c:v>
                </c:pt>
                <c:pt idx="4">
                  <c:v>6.5523870554309749</c:v>
                </c:pt>
                <c:pt idx="5">
                  <c:v>9.6996692226732684</c:v>
                </c:pt>
                <c:pt idx="6">
                  <c:v>2.6169713375250536</c:v>
                </c:pt>
                <c:pt idx="7">
                  <c:v>3.2099816628128108</c:v>
                </c:pt>
                <c:pt idx="8">
                  <c:v>6.2326948222638512</c:v>
                </c:pt>
                <c:pt idx="9">
                  <c:v>6.8715056860719992</c:v>
                </c:pt>
                <c:pt idx="10">
                  <c:v>4.8932699134903057</c:v>
                </c:pt>
                <c:pt idx="11">
                  <c:v>8.9684525089707368</c:v>
                </c:pt>
              </c:numCache>
            </c:numRef>
          </c:val>
          <c:smooth val="0"/>
        </c:ser>
        <c:ser>
          <c:idx val="3"/>
          <c:order val="2"/>
          <c:tx>
            <c:strRef>
              <c:f>Sector1!$D$18:$E$18</c:f>
              <c:strCache>
                <c:ptCount val="1"/>
                <c:pt idx="0">
                  <c:v>HH Other taxes on production (D.29p)</c:v>
                </c:pt>
              </c:strCache>
            </c:strRef>
          </c:tx>
          <c:spPr>
            <a:ln w="12700">
              <a:solidFill>
                <a:srgbClr val="339966"/>
              </a:solidFill>
              <a:prstDash val="solid"/>
            </a:ln>
          </c:spPr>
          <c:marker>
            <c:symbol val="square"/>
            <c:size val="5"/>
            <c:spPr>
              <a:solidFill>
                <a:srgbClr val="FFFFFF"/>
              </a:solidFill>
              <a:ln>
                <a:solidFill>
                  <a:srgbClr val="339966"/>
                </a:solidFill>
                <a:prstDash val="solid"/>
              </a:ln>
            </c:spPr>
          </c:marker>
          <c:val>
            <c:numRef>
              <c:f>Sector1!$G$18:$AC$18</c:f>
              <c:numCache>
                <c:formatCode>0.0</c:formatCode>
                <c:ptCount val="12"/>
                <c:pt idx="0">
                  <c:v>-6.8614431164231942</c:v>
                </c:pt>
                <c:pt idx="1">
                  <c:v>16.730038022813677</c:v>
                </c:pt>
                <c:pt idx="2">
                  <c:v>17.38599348534202</c:v>
                </c:pt>
                <c:pt idx="3">
                  <c:v>-23.864030523759961</c:v>
                </c:pt>
                <c:pt idx="4">
                  <c:v>34.123006833712985</c:v>
                </c:pt>
                <c:pt idx="5">
                  <c:v>-19.327445652173914</c:v>
                </c:pt>
                <c:pt idx="6">
                  <c:v>-6.7789473684210506</c:v>
                </c:pt>
                <c:pt idx="7">
                  <c:v>-9.033423667569318E-2</c:v>
                </c:pt>
                <c:pt idx="8">
                  <c:v>-19.620253164556967</c:v>
                </c:pt>
                <c:pt idx="9">
                  <c:v>36.895388076490441</c:v>
                </c:pt>
                <c:pt idx="10">
                  <c:v>0.90386195562859317</c:v>
                </c:pt>
                <c:pt idx="11" formatCode="0.00">
                  <c:v>7</c:v>
                </c:pt>
              </c:numCache>
            </c:numRef>
          </c:val>
          <c:smooth val="0"/>
        </c:ser>
        <c:ser>
          <c:idx val="4"/>
          <c:order val="3"/>
          <c:tx>
            <c:strRef>
              <c:f>Sector1!$D$19:$E$19</c:f>
              <c:strCache>
                <c:ptCount val="1"/>
                <c:pt idx="0">
                  <c:v>E Other taxes on production (D.29p)</c:v>
                </c:pt>
              </c:strCache>
            </c:strRef>
          </c:tx>
          <c:spPr>
            <a:ln w="12700">
              <a:solidFill>
                <a:srgbClr val="993366"/>
              </a:solidFill>
              <a:prstDash val="solid"/>
            </a:ln>
          </c:spPr>
          <c:marker>
            <c:symbol val="square"/>
            <c:size val="5"/>
            <c:spPr>
              <a:solidFill>
                <a:srgbClr val="FFFFFF"/>
              </a:solidFill>
              <a:ln>
                <a:solidFill>
                  <a:srgbClr val="993366"/>
                </a:solidFill>
                <a:prstDash val="solid"/>
              </a:ln>
            </c:spPr>
          </c:marker>
          <c:val>
            <c:numRef>
              <c:f>Sector1!$G$19:$AC$19</c:f>
              <c:numCache>
                <c:formatCode>0.0</c:formatCode>
                <c:ptCount val="12"/>
                <c:pt idx="0">
                  <c:v>25.043351282285297</c:v>
                </c:pt>
                <c:pt idx="1">
                  <c:v>14.787241807167373</c:v>
                </c:pt>
                <c:pt idx="2">
                  <c:v>-2.8486043110574455</c:v>
                </c:pt>
                <c:pt idx="3">
                  <c:v>0.37960599515676208</c:v>
                </c:pt>
                <c:pt idx="4">
                  <c:v>-2.8623590011084388</c:v>
                </c:pt>
                <c:pt idx="5">
                  <c:v>8.3501141092763973</c:v>
                </c:pt>
                <c:pt idx="6">
                  <c:v>4.9374303060339519</c:v>
                </c:pt>
                <c:pt idx="7">
                  <c:v>6.5824428832870874</c:v>
                </c:pt>
                <c:pt idx="8">
                  <c:v>12.678630774343658</c:v>
                </c:pt>
                <c:pt idx="9">
                  <c:v>6.0168116796932569</c:v>
                </c:pt>
                <c:pt idx="10">
                  <c:v>-10.775722168127222</c:v>
                </c:pt>
                <c:pt idx="11" formatCode="0.00">
                  <c:v>5</c:v>
                </c:pt>
              </c:numCache>
            </c:numRef>
          </c:val>
          <c:smooth val="0"/>
        </c:ser>
        <c:dLbls>
          <c:showLegendKey val="0"/>
          <c:showVal val="0"/>
          <c:showCatName val="0"/>
          <c:showSerName val="0"/>
          <c:showPercent val="0"/>
          <c:showBubbleSize val="0"/>
        </c:dLbls>
        <c:marker val="1"/>
        <c:smooth val="0"/>
        <c:axId val="247924992"/>
        <c:axId val="247931264"/>
      </c:lineChart>
      <c:catAx>
        <c:axId val="2479249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931264"/>
        <c:crosses val="autoZero"/>
        <c:auto val="1"/>
        <c:lblAlgn val="ctr"/>
        <c:lblOffset val="100"/>
        <c:tickLblSkip val="2"/>
        <c:tickMarkSkip val="1"/>
        <c:noMultiLvlLbl val="0"/>
      </c:catAx>
      <c:valAx>
        <c:axId val="24793126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924992"/>
        <c:crosses val="autoZero"/>
        <c:crossBetween val="midCat"/>
      </c:valAx>
      <c:spPr>
        <a:noFill/>
        <a:ln w="12700">
          <a:solidFill>
            <a:srgbClr val="808080"/>
          </a:solidFill>
          <a:prstDash val="solid"/>
        </a:ln>
      </c:spPr>
    </c:plotArea>
    <c:legend>
      <c:legendPos val="r"/>
      <c:layout>
        <c:manualLayout>
          <c:xMode val="edge"/>
          <c:yMode val="edge"/>
          <c:x val="0.12500023434570678"/>
          <c:y val="0.75910570002279132"/>
          <c:w val="0.85491165166854133"/>
          <c:h val="0.22409022401611567"/>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and GDP</a:t>
            </a:r>
          </a:p>
        </c:rich>
      </c:tx>
      <c:layout>
        <c:manualLayout>
          <c:xMode val="edge"/>
          <c:yMode val="edge"/>
          <c:x val="0.34598261154855642"/>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904931243793893"/>
        </c:manualLayout>
      </c:layout>
      <c:lineChart>
        <c:grouping val="standard"/>
        <c:varyColors val="0"/>
        <c:ser>
          <c:idx val="0"/>
          <c:order val="0"/>
          <c:tx>
            <c:strRef>
              <c:f>Sector1!$D$213:$E$213</c:f>
              <c:strCache>
                <c:ptCount val="1"/>
                <c:pt idx="0">
                  <c:v>GVT Current taxes on income and wealth (D.5r)  </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Sector1!$G$213:$AC$213</c:f>
              <c:numCache>
                <c:formatCode>0.0</c:formatCode>
                <c:ptCount val="12"/>
                <c:pt idx="0">
                  <c:v>22.41120480388399</c:v>
                </c:pt>
                <c:pt idx="1">
                  <c:v>14.534653637577355</c:v>
                </c:pt>
                <c:pt idx="2">
                  <c:v>14.538916880878162</c:v>
                </c:pt>
                <c:pt idx="3">
                  <c:v>-47.016177153086261</c:v>
                </c:pt>
                <c:pt idx="4">
                  <c:v>-19.036357152242054</c:v>
                </c:pt>
                <c:pt idx="5">
                  <c:v>5.0253081411073763</c:v>
                </c:pt>
                <c:pt idx="6">
                  <c:v>18.282220325514341</c:v>
                </c:pt>
                <c:pt idx="7">
                  <c:v>8.0022394326770616</c:v>
                </c:pt>
                <c:pt idx="8">
                  <c:v>5.7908408641911269</c:v>
                </c:pt>
                <c:pt idx="9">
                  <c:v>10.64173830666455</c:v>
                </c:pt>
                <c:pt idx="10">
                  <c:v>7.9869500391203774</c:v>
                </c:pt>
                <c:pt idx="11" formatCode="0.00">
                  <c:v>5.5073768056504768</c:v>
                </c:pt>
              </c:numCache>
            </c:numRef>
          </c:val>
          <c:smooth val="0"/>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dLbls>
          <c:showLegendKey val="0"/>
          <c:showVal val="0"/>
          <c:showCatName val="0"/>
          <c:showSerName val="0"/>
          <c:showPercent val="0"/>
          <c:showBubbleSize val="0"/>
        </c:dLbls>
        <c:marker val="1"/>
        <c:smooth val="0"/>
        <c:axId val="247968512"/>
        <c:axId val="247970432"/>
      </c:lineChart>
      <c:catAx>
        <c:axId val="24796851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970432"/>
        <c:crosses val="autoZero"/>
        <c:auto val="1"/>
        <c:lblAlgn val="ctr"/>
        <c:lblOffset val="100"/>
        <c:tickLblSkip val="2"/>
        <c:tickMarkSkip val="1"/>
        <c:noMultiLvlLbl val="0"/>
      </c:catAx>
      <c:valAx>
        <c:axId val="24797043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968512"/>
        <c:crosses val="autoZero"/>
        <c:crossBetween val="midCat"/>
      </c:valAx>
      <c:spPr>
        <a:noFill/>
        <a:ln w="12700">
          <a:solidFill>
            <a:srgbClr val="808080"/>
          </a:solidFill>
          <a:prstDash val="solid"/>
        </a:ln>
      </c:spPr>
    </c:plotArea>
    <c:legend>
      <c:legendPos val="r"/>
      <c:layout>
        <c:manualLayout>
          <c:xMode val="edge"/>
          <c:yMode val="edge"/>
          <c:x val="6.6964285714285712E-2"/>
          <c:y val="0.91316761875353814"/>
          <c:w val="0.86384022309711284"/>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related to GDP</a:t>
            </a:r>
          </a:p>
        </c:rich>
      </c:tx>
      <c:layout>
        <c:manualLayout>
          <c:xMode val="edge"/>
          <c:yMode val="edge"/>
          <c:x val="0.30357166291713533"/>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50140193179362469"/>
        </c:manualLayout>
      </c:layout>
      <c:scatterChart>
        <c:scatterStyle val="lineMarker"/>
        <c:varyColors val="0"/>
        <c:ser>
          <c:idx val="0"/>
          <c:order val="0"/>
          <c:tx>
            <c:strRef>
              <c:f>Sector1!$D$213:$E$213</c:f>
              <c:strCache>
                <c:ptCount val="1"/>
                <c:pt idx="0">
                  <c:v>GVT Current taxes on income and wealth (D.5r)  </c:v>
                </c:pt>
              </c:strCache>
            </c:strRef>
          </c:tx>
          <c:spPr>
            <a:ln w="28575">
              <a:noFill/>
            </a:ln>
          </c:spPr>
          <c:marker>
            <c:symbol val="circle"/>
            <c:size val="7"/>
            <c:spPr>
              <a:solidFill>
                <a:srgbClr val="FFFFFF"/>
              </a:solidFill>
              <a:ln>
                <a:solidFill>
                  <a:srgbClr val="800080"/>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800080"/>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Sector1!$G$213:$AC$213</c:f>
              <c:numCache>
                <c:formatCode>0.0</c:formatCode>
                <c:ptCount val="12"/>
                <c:pt idx="0">
                  <c:v>22.41120480388399</c:v>
                </c:pt>
                <c:pt idx="1">
                  <c:v>14.534653637577355</c:v>
                </c:pt>
                <c:pt idx="2">
                  <c:v>14.538916880878162</c:v>
                </c:pt>
                <c:pt idx="3">
                  <c:v>-47.016177153086261</c:v>
                </c:pt>
                <c:pt idx="4">
                  <c:v>-19.036357152242054</c:v>
                </c:pt>
                <c:pt idx="5">
                  <c:v>5.0253081411073763</c:v>
                </c:pt>
                <c:pt idx="6">
                  <c:v>18.282220325514341</c:v>
                </c:pt>
                <c:pt idx="7">
                  <c:v>8.0022394326770616</c:v>
                </c:pt>
                <c:pt idx="8">
                  <c:v>5.7908408641911269</c:v>
                </c:pt>
                <c:pt idx="9">
                  <c:v>10.64173830666455</c:v>
                </c:pt>
                <c:pt idx="10">
                  <c:v>7.9869500391203774</c:v>
                </c:pt>
                <c:pt idx="11" formatCode="0.00">
                  <c:v>5.5073768056504768</c:v>
                </c:pt>
              </c:numCache>
            </c:numRef>
          </c:yVal>
          <c:smooth val="0"/>
        </c:ser>
        <c:ser>
          <c:idx val="1"/>
          <c:order val="1"/>
          <c:tx>
            <c:strRef>
              <c:f>Sector1!$F$218</c:f>
              <c:strCache>
                <c:ptCount val="1"/>
                <c:pt idx="0">
                  <c:v>OECD</c:v>
                </c:pt>
              </c:strCache>
            </c:strRef>
          </c:tx>
          <c:spPr>
            <a:ln w="25400">
              <a:solidFill>
                <a:srgbClr val="FF0000"/>
              </a:solidFill>
              <a:prstDash val="solid"/>
            </a:ln>
          </c:spPr>
          <c:marker>
            <c:symbol val="none"/>
          </c:marker>
          <c:xVal>
            <c:numRef>
              <c:f>'VVP2'!$G$348:$AA$348</c:f>
              <c:numCache>
                <c:formatCode>0.0</c:formatCode>
                <c:ptCount val="4"/>
                <c:pt idx="0">
                  <c:v>6.6287411287878184</c:v>
                </c:pt>
                <c:pt idx="1">
                  <c:v>4.8313146506227644</c:v>
                </c:pt>
                <c:pt idx="2">
                  <c:v>4.6013904601447608</c:v>
                </c:pt>
                <c:pt idx="3">
                  <c:v>2.3471981728427016</c:v>
                </c:pt>
              </c:numCache>
            </c:numRef>
          </c:xVal>
          <c:yVal>
            <c:numRef>
              <c:f>Sector1!$G$218:$AC$218</c:f>
              <c:numCache>
                <c:formatCode>0.0</c:formatCode>
                <c:ptCount val="12"/>
                <c:pt idx="0">
                  <c:v>17.301166382093701</c:v>
                </c:pt>
                <c:pt idx="1">
                  <c:v>24.33376584589848</c:v>
                </c:pt>
                <c:pt idx="2">
                  <c:v>14.866007081804277</c:v>
                </c:pt>
                <c:pt idx="3">
                  <c:v>-20.81009103630657</c:v>
                </c:pt>
                <c:pt idx="4">
                  <c:v>4.7916189955983279</c:v>
                </c:pt>
                <c:pt idx="5">
                  <c:v>13.684328425201629</c:v>
                </c:pt>
                <c:pt idx="6">
                  <c:v>7.8283607682993699</c:v>
                </c:pt>
                <c:pt idx="7">
                  <c:v>5.7056495849554327</c:v>
                </c:pt>
                <c:pt idx="8">
                  <c:v>5.4341154463534416</c:v>
                </c:pt>
                <c:pt idx="9">
                  <c:v>2.7719764182533262</c:v>
                </c:pt>
                <c:pt idx="10">
                  <c:v>3.9181355800318345</c:v>
                </c:pt>
                <c:pt idx="11">
                  <c:v>9.502171253426873</c:v>
                </c:pt>
              </c:numCache>
            </c:numRef>
          </c:yVal>
          <c:smooth val="0"/>
        </c:ser>
        <c:dLbls>
          <c:showLegendKey val="0"/>
          <c:showVal val="0"/>
          <c:showCatName val="0"/>
          <c:showSerName val="0"/>
          <c:showPercent val="0"/>
          <c:showBubbleSize val="0"/>
        </c:dLbls>
        <c:axId val="247714560"/>
        <c:axId val="247716096"/>
      </c:scatterChart>
      <c:valAx>
        <c:axId val="24771456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716096"/>
        <c:crosses val="autoZero"/>
        <c:crossBetween val="midCat"/>
      </c:valAx>
      <c:valAx>
        <c:axId val="24771609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714560"/>
        <c:crosses val="autoZero"/>
        <c:crossBetween val="midCat"/>
      </c:valAx>
      <c:spPr>
        <a:noFill/>
        <a:ln w="12700">
          <a:solidFill>
            <a:srgbClr val="808080"/>
          </a:solidFill>
          <a:prstDash val="solid"/>
        </a:ln>
      </c:spPr>
    </c:plotArea>
    <c:legend>
      <c:legendPos val="r"/>
      <c:layout>
        <c:manualLayout>
          <c:xMode val="edge"/>
          <c:yMode val="edge"/>
          <c:x val="8.9285714285714288E-2"/>
          <c:y val="0.79552026584912183"/>
          <c:w val="0.81919736595425563"/>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and its main components</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50140193179362469"/>
        </c:manualLayout>
      </c:layout>
      <c:lineChart>
        <c:grouping val="standard"/>
        <c:varyColors val="0"/>
        <c:ser>
          <c:idx val="0"/>
          <c:order val="0"/>
          <c:tx>
            <c:strRef>
              <c:f>Sector1!$D$213:$E$213</c:f>
              <c:strCache>
                <c:ptCount val="1"/>
                <c:pt idx="0">
                  <c:v>GVT Current taxes on income and wealth (D.5r)  </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Sector1!$G$213:$AC$213</c:f>
              <c:numCache>
                <c:formatCode>0.0</c:formatCode>
                <c:ptCount val="12"/>
                <c:pt idx="0">
                  <c:v>22.41120480388399</c:v>
                </c:pt>
                <c:pt idx="1">
                  <c:v>14.534653637577355</c:v>
                </c:pt>
                <c:pt idx="2">
                  <c:v>14.538916880878162</c:v>
                </c:pt>
                <c:pt idx="3">
                  <c:v>-47.016177153086261</c:v>
                </c:pt>
                <c:pt idx="4">
                  <c:v>-19.036357152242054</c:v>
                </c:pt>
                <c:pt idx="5">
                  <c:v>5.0253081411073763</c:v>
                </c:pt>
                <c:pt idx="6">
                  <c:v>18.282220325514341</c:v>
                </c:pt>
                <c:pt idx="7">
                  <c:v>8.0022394326770616</c:v>
                </c:pt>
                <c:pt idx="8">
                  <c:v>5.7908408641911269</c:v>
                </c:pt>
                <c:pt idx="9">
                  <c:v>10.64173830666455</c:v>
                </c:pt>
                <c:pt idx="10">
                  <c:v>7.9869500391203774</c:v>
                </c:pt>
                <c:pt idx="11" formatCode="0.00">
                  <c:v>5.5073768056504768</c:v>
                </c:pt>
              </c:numCache>
            </c:numRef>
          </c:val>
          <c:smooth val="0"/>
        </c:ser>
        <c:ser>
          <c:idx val="2"/>
          <c:order val="1"/>
          <c:tx>
            <c:strRef>
              <c:f>Sector1!$D$209:$E$209</c:f>
              <c:strCache>
                <c:ptCount val="1"/>
                <c:pt idx="0">
                  <c:v>HH Current taxes on income and wealth (D.5p)  </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Sector1!$G$209:$AC$209</c:f>
              <c:numCache>
                <c:formatCode>0.0</c:formatCode>
                <c:ptCount val="12"/>
                <c:pt idx="0">
                  <c:v>13.489304720077167</c:v>
                </c:pt>
                <c:pt idx="1">
                  <c:v>16.076810681600051</c:v>
                </c:pt>
                <c:pt idx="2">
                  <c:v>12.589272547243358</c:v>
                </c:pt>
                <c:pt idx="3">
                  <c:v>-48.260053983000503</c:v>
                </c:pt>
                <c:pt idx="4">
                  <c:v>-5.9924958184530475</c:v>
                </c:pt>
                <c:pt idx="5">
                  <c:v>8.0267751521970965</c:v>
                </c:pt>
                <c:pt idx="6">
                  <c:v>4.9028248889363635</c:v>
                </c:pt>
                <c:pt idx="7">
                  <c:v>7.4335907663583445</c:v>
                </c:pt>
                <c:pt idx="8">
                  <c:v>5.3677649716799891</c:v>
                </c:pt>
                <c:pt idx="9">
                  <c:v>9.2312421279913792</c:v>
                </c:pt>
                <c:pt idx="10">
                  <c:v>6.8903271858720361</c:v>
                </c:pt>
                <c:pt idx="11" formatCode="0.00">
                  <c:v>7.44</c:v>
                </c:pt>
              </c:numCache>
            </c:numRef>
          </c:val>
          <c:smooth val="0"/>
        </c:ser>
        <c:ser>
          <c:idx val="3"/>
          <c:order val="2"/>
          <c:tx>
            <c:strRef>
              <c:f>Sector1!$D$210:$E$210</c:f>
              <c:strCache>
                <c:ptCount val="1"/>
                <c:pt idx="0">
                  <c:v>E Current taxes on income and wealth (D.5p)  </c:v>
                </c:pt>
              </c:strCache>
            </c:strRef>
          </c:tx>
          <c:spPr>
            <a:ln w="25400">
              <a:solidFill>
                <a:srgbClr val="339966"/>
              </a:solidFill>
              <a:prstDash val="solid"/>
            </a:ln>
          </c:spPr>
          <c:marker>
            <c:symbol val="square"/>
            <c:size val="5"/>
            <c:spPr>
              <a:solidFill>
                <a:srgbClr val="FFFFFF"/>
              </a:solidFill>
              <a:ln>
                <a:solidFill>
                  <a:srgbClr val="339966"/>
                </a:solidFill>
                <a:prstDash val="solid"/>
              </a:ln>
            </c:spPr>
          </c:marker>
          <c:val>
            <c:numRef>
              <c:f>Sector1!$G$210:$AC$210</c:f>
              <c:numCache>
                <c:formatCode>0.0</c:formatCode>
                <c:ptCount val="12"/>
                <c:pt idx="0">
                  <c:v>51.755189954630843</c:v>
                </c:pt>
                <c:pt idx="1">
                  <c:v>10.740008153527913</c:v>
                </c:pt>
                <c:pt idx="2">
                  <c:v>20.816176270077193</c:v>
                </c:pt>
                <c:pt idx="3">
                  <c:v>-44.864517148370943</c:v>
                </c:pt>
                <c:pt idx="4">
                  <c:v>-43.516528502712113</c:v>
                </c:pt>
                <c:pt idx="5">
                  <c:v>-8.6936039137524794</c:v>
                </c:pt>
                <c:pt idx="6">
                  <c:v>70.741387521828841</c:v>
                </c:pt>
                <c:pt idx="7">
                  <c:v>10.471873547187371</c:v>
                </c:pt>
                <c:pt idx="8">
                  <c:v>4.8963703314045093</c:v>
                </c:pt>
                <c:pt idx="9">
                  <c:v>14.87202118270079</c:v>
                </c:pt>
                <c:pt idx="10">
                  <c:v>9.2375929871127518</c:v>
                </c:pt>
                <c:pt idx="11" formatCode="0.00">
                  <c:v>0.8696208197455102</c:v>
                </c:pt>
              </c:numCache>
            </c:numRef>
          </c:val>
          <c:smooth val="0"/>
        </c:ser>
        <c:dLbls>
          <c:showLegendKey val="0"/>
          <c:showVal val="0"/>
          <c:showCatName val="0"/>
          <c:showSerName val="0"/>
          <c:showPercent val="0"/>
          <c:showBubbleSize val="0"/>
        </c:dLbls>
        <c:marker val="1"/>
        <c:smooth val="0"/>
        <c:axId val="247741824"/>
        <c:axId val="247752192"/>
      </c:lineChart>
      <c:catAx>
        <c:axId val="2477418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752192"/>
        <c:crosses val="autoZero"/>
        <c:auto val="1"/>
        <c:lblAlgn val="ctr"/>
        <c:lblOffset val="100"/>
        <c:tickLblSkip val="2"/>
        <c:tickMarkSkip val="1"/>
        <c:noMultiLvlLbl val="0"/>
      </c:catAx>
      <c:valAx>
        <c:axId val="24775219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741824"/>
        <c:crosses val="autoZero"/>
        <c:crossBetween val="midCat"/>
      </c:valAx>
      <c:spPr>
        <a:noFill/>
        <a:ln w="12700">
          <a:solidFill>
            <a:srgbClr val="808080"/>
          </a:solidFill>
          <a:prstDash val="solid"/>
        </a:ln>
      </c:spPr>
    </c:plotArea>
    <c:legend>
      <c:legendPos val="r"/>
      <c:layout>
        <c:manualLayout>
          <c:xMode val="edge"/>
          <c:yMode val="edge"/>
          <c:x val="0.17633952005999248"/>
          <c:y val="0.79552026584912183"/>
          <c:w val="0.71428641732283471"/>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income tax related to HH compensation of employees (domestic)</a:t>
            </a:r>
          </a:p>
        </c:rich>
      </c:tx>
      <c:layout>
        <c:manualLayout>
          <c:xMode val="edge"/>
          <c:yMode val="edge"/>
          <c:x val="0.11830380577427821"/>
          <c:y val="3.3613445378151259E-2"/>
        </c:manualLayout>
      </c:layout>
      <c:overlay val="0"/>
      <c:spPr>
        <a:noFill/>
        <a:ln w="25400">
          <a:noFill/>
        </a:ln>
      </c:spPr>
    </c:title>
    <c:autoTitleDeleted val="0"/>
    <c:plotArea>
      <c:layout>
        <c:manualLayout>
          <c:layoutTarget val="inner"/>
          <c:xMode val="edge"/>
          <c:yMode val="edge"/>
          <c:x val="0.10044653804946686"/>
          <c:y val="0.22409024884631271"/>
          <c:w val="0.84375091961552173"/>
          <c:h val="0.51260644423594037"/>
        </c:manualLayout>
      </c:layout>
      <c:scatterChart>
        <c:scatterStyle val="lineMarker"/>
        <c:varyColors val="0"/>
        <c:ser>
          <c:idx val="0"/>
          <c:order val="0"/>
          <c:tx>
            <c:strRef>
              <c:f>Sector1!$D$209:$E$209</c:f>
              <c:strCache>
                <c:ptCount val="1"/>
                <c:pt idx="0">
                  <c:v>HH Current taxes on income and wealth (D.5p)  </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Labour1!$G$224:$AC$224</c:f>
              <c:numCache>
                <c:formatCode>0.0</c:formatCode>
                <c:ptCount val="14"/>
                <c:pt idx="0">
                  <c:v>13.457156870048914</c:v>
                </c:pt>
                <c:pt idx="1">
                  <c:v>16.551506205805964</c:v>
                </c:pt>
                <c:pt idx="2">
                  <c:v>20.625303696470176</c:v>
                </c:pt>
                <c:pt idx="3">
                  <c:v>19.933250951125302</c:v>
                </c:pt>
                <c:pt idx="4" formatCode="0.00">
                  <c:v>16.462651814471975</c:v>
                </c:pt>
                <c:pt idx="5" formatCode="0.00">
                  <c:v>-16.55735569384197</c:v>
                </c:pt>
                <c:pt idx="6" formatCode="0.00">
                  <c:v>-4.2433577525932353</c:v>
                </c:pt>
                <c:pt idx="7" formatCode="0.00">
                  <c:v>7.2024599889973562</c:v>
                </c:pt>
                <c:pt idx="8" formatCode="0.00">
                  <c:v>5.5380206228158535</c:v>
                </c:pt>
                <c:pt idx="9" formatCode="0.00">
                  <c:v>5.8994147360147409</c:v>
                </c:pt>
                <c:pt idx="10" formatCode="0.00">
                  <c:v>6.4129692882434197</c:v>
                </c:pt>
                <c:pt idx="11" formatCode="0.00">
                  <c:v>6.9293958600731953</c:v>
                </c:pt>
                <c:pt idx="12" formatCode="0.00">
                  <c:v>8.2608995937912368</c:v>
                </c:pt>
                <c:pt idx="13" formatCode="0.00">
                  <c:v>8.9820108145402209</c:v>
                </c:pt>
              </c:numCache>
            </c:numRef>
          </c:xVal>
          <c:yVal>
            <c:numRef>
              <c:f>Sector1!$G$209:$AC$209</c:f>
              <c:numCache>
                <c:formatCode>0.0</c:formatCode>
                <c:ptCount val="12"/>
                <c:pt idx="0">
                  <c:v>13.489304720077167</c:v>
                </c:pt>
                <c:pt idx="1">
                  <c:v>16.076810681600051</c:v>
                </c:pt>
                <c:pt idx="2">
                  <c:v>12.589272547243358</c:v>
                </c:pt>
                <c:pt idx="3">
                  <c:v>-48.260053983000503</c:v>
                </c:pt>
                <c:pt idx="4">
                  <c:v>-5.9924958184530475</c:v>
                </c:pt>
                <c:pt idx="5">
                  <c:v>8.0267751521970965</c:v>
                </c:pt>
                <c:pt idx="6">
                  <c:v>4.9028248889363635</c:v>
                </c:pt>
                <c:pt idx="7">
                  <c:v>7.4335907663583445</c:v>
                </c:pt>
                <c:pt idx="8">
                  <c:v>5.3677649716799891</c:v>
                </c:pt>
                <c:pt idx="9">
                  <c:v>9.2312421279913792</c:v>
                </c:pt>
                <c:pt idx="10">
                  <c:v>6.8903271858720361</c:v>
                </c:pt>
                <c:pt idx="11" formatCode="0.00">
                  <c:v>7.44</c:v>
                </c:pt>
              </c:numCache>
            </c:numRef>
          </c:yVal>
          <c:smooth val="0"/>
        </c:ser>
        <c:dLbls>
          <c:showLegendKey val="0"/>
          <c:showVal val="0"/>
          <c:showCatName val="0"/>
          <c:showSerName val="0"/>
          <c:showPercent val="0"/>
          <c:showBubbleSize val="0"/>
        </c:dLbls>
        <c:axId val="247794304"/>
        <c:axId val="247820672"/>
      </c:scatterChart>
      <c:valAx>
        <c:axId val="24779430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820672"/>
        <c:crosses val="autoZero"/>
        <c:crossBetween val="midCat"/>
      </c:valAx>
      <c:valAx>
        <c:axId val="24782067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794304"/>
        <c:crosses val="autoZero"/>
        <c:crossBetween val="midCat"/>
      </c:valAx>
      <c:spPr>
        <a:noFill/>
        <a:ln w="12700">
          <a:solidFill>
            <a:srgbClr val="808080"/>
          </a:solidFill>
          <a:prstDash val="solid"/>
        </a:ln>
      </c:spPr>
    </c:plotArea>
    <c:legend>
      <c:legendPos val="r"/>
      <c:layout>
        <c:manualLayout>
          <c:xMode val="edge"/>
          <c:yMode val="edge"/>
          <c:x val="0.12053594863142106"/>
          <c:y val="0.85434408934177342"/>
          <c:w val="0.80134022309711284"/>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as % of GDP</a:t>
            </a:r>
          </a:p>
        </c:rich>
      </c:tx>
      <c:layout>
        <c:manualLayout>
          <c:xMode val="edge"/>
          <c:yMode val="edge"/>
          <c:x val="0.31026809148856394"/>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0"/>
          <c:order val="0"/>
          <c:tx>
            <c:strRef>
              <c:f>Sector1!$D$31:$E$31</c:f>
              <c:strCache>
                <c:ptCount val="1"/>
                <c:pt idx="0">
                  <c:v>GVT Taxes on production and imports (D.2r = D.21r+D.29r)</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Sector1!$G$31:$AC$31</c:f>
              <c:numCache>
                <c:formatCode>0.0%</c:formatCode>
                <c:ptCount val="12"/>
                <c:pt idx="0">
                  <c:v>0.11310476519549252</c:v>
                </c:pt>
                <c:pt idx="1">
                  <c:v>0.11629728800929455</c:v>
                </c:pt>
                <c:pt idx="2">
                  <c:v>0.11593795991470589</c:v>
                </c:pt>
                <c:pt idx="3">
                  <c:v>0.11562876603593417</c:v>
                </c:pt>
                <c:pt idx="4">
                  <c:v>0.11842801004436333</c:v>
                </c:pt>
                <c:pt idx="5">
                  <c:v>0.11602119498697375</c:v>
                </c:pt>
                <c:pt idx="6">
                  <c:v>0.11167135653559022</c:v>
                </c:pt>
                <c:pt idx="7">
                  <c:v>0.10987924650275388</c:v>
                </c:pt>
                <c:pt idx="8">
                  <c:v>0.11155952645298055</c:v>
                </c:pt>
                <c:pt idx="9">
                  <c:v>0.11605726513836011</c:v>
                </c:pt>
                <c:pt idx="10">
                  <c:v>0.11722153949279411</c:v>
                </c:pt>
                <c:pt idx="11">
                  <c:v>0.11795197422789411</c:v>
                </c:pt>
              </c:numCache>
            </c:numRef>
          </c:val>
          <c:smooth val="0"/>
        </c:ser>
        <c:dLbls>
          <c:showLegendKey val="0"/>
          <c:showVal val="0"/>
          <c:showCatName val="0"/>
          <c:showSerName val="0"/>
          <c:showPercent val="0"/>
          <c:showBubbleSize val="0"/>
        </c:dLbls>
        <c:marker val="1"/>
        <c:smooth val="0"/>
        <c:axId val="247840768"/>
        <c:axId val="247842688"/>
      </c:lineChart>
      <c:catAx>
        <c:axId val="2478407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842688"/>
        <c:crosses val="autoZero"/>
        <c:auto val="1"/>
        <c:lblAlgn val="ctr"/>
        <c:lblOffset val="100"/>
        <c:tickLblSkip val="2"/>
        <c:tickMarkSkip val="1"/>
        <c:noMultiLvlLbl val="0"/>
      </c:catAx>
      <c:valAx>
        <c:axId val="2478426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7840768"/>
        <c:crosses val="autoZero"/>
        <c:crossBetween val="midCat"/>
      </c:valAx>
      <c:spPr>
        <a:noFill/>
        <a:ln w="12700">
          <a:solidFill>
            <a:srgbClr val="808080"/>
          </a:solidFill>
          <a:prstDash val="solid"/>
        </a:ln>
      </c:spPr>
    </c:plotArea>
    <c:legend>
      <c:legendPos val="r"/>
      <c:layout>
        <c:manualLayout>
          <c:xMode val="edge"/>
          <c:yMode val="edge"/>
          <c:x val="4.6875E-2"/>
          <c:y val="0.91316761875353814"/>
          <c:w val="0.88616165166854144"/>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income tax as % of GDP</a:t>
            </a:r>
          </a:p>
        </c:rich>
      </c:tx>
      <c:layout>
        <c:manualLayout>
          <c:xMode val="edge"/>
          <c:yMode val="edge"/>
          <c:x val="0.24776809148856391"/>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0"/>
          <c:order val="0"/>
          <c:tx>
            <c:strRef>
              <c:f>Sector1!$D$221:$E$221</c:f>
              <c:strCache>
                <c:ptCount val="1"/>
                <c:pt idx="0">
                  <c:v>HH Current taxes on income and wealth (D.5p)  </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Sector1!$G$221:$AC$221</c:f>
              <c:numCache>
                <c:formatCode>0.0%</c:formatCode>
                <c:ptCount val="12"/>
                <c:pt idx="0">
                  <c:v>6.793046939306073E-2</c:v>
                </c:pt>
                <c:pt idx="1">
                  <c:v>6.5380056789342944E-2</c:v>
                </c:pt>
                <c:pt idx="2">
                  <c:v>6.5380832314868853E-2</c:v>
                </c:pt>
                <c:pt idx="3">
                  <c:v>4.1063946222770376E-2</c:v>
                </c:pt>
                <c:pt idx="4">
                  <c:v>3.7097995337463066E-2</c:v>
                </c:pt>
                <c:pt idx="5">
                  <c:v>3.5914260829305662E-2</c:v>
                </c:pt>
                <c:pt idx="6">
                  <c:v>3.5332944709923805E-2</c:v>
                </c:pt>
                <c:pt idx="7">
                  <c:v>3.6210030706829162E-2</c:v>
                </c:pt>
                <c:pt idx="8">
                  <c:v>3.6475327797752581E-2</c:v>
                </c:pt>
                <c:pt idx="9">
                  <c:v>3.8928719432510715E-2</c:v>
                </c:pt>
                <c:pt idx="10">
                  <c:v>4.0274829627974525E-2</c:v>
                </c:pt>
                <c:pt idx="11">
                  <c:v>4.0048918337033633E-2</c:v>
                </c:pt>
              </c:numCache>
            </c:numRef>
          </c:val>
          <c:smooth val="0"/>
        </c:ser>
        <c:dLbls>
          <c:showLegendKey val="0"/>
          <c:showVal val="0"/>
          <c:showCatName val="0"/>
          <c:showSerName val="0"/>
          <c:showPercent val="0"/>
          <c:showBubbleSize val="0"/>
        </c:dLbls>
        <c:marker val="1"/>
        <c:smooth val="0"/>
        <c:axId val="248358400"/>
        <c:axId val="248360320"/>
      </c:lineChart>
      <c:catAx>
        <c:axId val="24835840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360320"/>
        <c:crosses val="autoZero"/>
        <c:auto val="1"/>
        <c:lblAlgn val="ctr"/>
        <c:lblOffset val="100"/>
        <c:tickLblSkip val="2"/>
        <c:tickMarkSkip val="1"/>
        <c:noMultiLvlLbl val="0"/>
      </c:catAx>
      <c:valAx>
        <c:axId val="24836032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358400"/>
        <c:crosses val="autoZero"/>
        <c:crossBetween val="midCat"/>
      </c:valAx>
      <c:spPr>
        <a:noFill/>
        <a:ln w="12700">
          <a:solidFill>
            <a:srgbClr val="808080"/>
          </a:solidFill>
          <a:prstDash val="solid"/>
        </a:ln>
      </c:spPr>
    </c:plotArea>
    <c:legend>
      <c:legendPos val="r"/>
      <c:layout>
        <c:manualLayout>
          <c:xMode val="edge"/>
          <c:yMode val="edge"/>
          <c:x val="0.17410737720284963"/>
          <c:y val="0.91316761875353814"/>
          <c:w val="0.71205427446569181"/>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as % of GDP</a:t>
            </a:r>
          </a:p>
        </c:rich>
      </c:tx>
      <c:layout>
        <c:manualLayout>
          <c:xMode val="edge"/>
          <c:yMode val="edge"/>
          <c:x val="0.32366118297712781"/>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Sector1!$D$225:$E$225</c:f>
              <c:strCache>
                <c:ptCount val="1"/>
                <c:pt idx="0">
                  <c:v>GVT Current taxes on income and wealth (D.5r)  </c:v>
                </c:pt>
              </c:strCache>
            </c:strRef>
          </c:tx>
          <c:spPr>
            <a:ln w="25400">
              <a:solidFill>
                <a:srgbClr val="800080"/>
              </a:solidFill>
              <a:prstDash val="solid"/>
            </a:ln>
          </c:spPr>
          <c:marker>
            <c:symbol val="circle"/>
            <c:size val="7"/>
            <c:spPr>
              <a:solidFill>
                <a:srgbClr val="FFFFFF"/>
              </a:solidFill>
              <a:ln>
                <a:solidFill>
                  <a:srgbClr val="80008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Sector1!$G$225:$AC$225</c:f>
              <c:numCache>
                <c:formatCode>0.0%</c:formatCode>
                <c:ptCount val="12"/>
                <c:pt idx="0">
                  <c:v>9.549619214607806E-2</c:v>
                </c:pt>
                <c:pt idx="1">
                  <c:v>9.0689743277184473E-2</c:v>
                </c:pt>
                <c:pt idx="2">
                  <c:v>9.2261260302395245E-2</c:v>
                </c:pt>
                <c:pt idx="3">
                  <c:v>5.9339917623358905E-2</c:v>
                </c:pt>
                <c:pt idx="4">
                  <c:v>4.617046160828267E-2</c:v>
                </c:pt>
                <c:pt idx="5">
                  <c:v>4.3455350736619158E-2</c:v>
                </c:pt>
                <c:pt idx="6">
                  <c:v>4.8204595831654096E-2</c:v>
                </c:pt>
                <c:pt idx="7">
                  <c:v>4.9662682549739483E-2</c:v>
                </c:pt>
                <c:pt idx="8">
                  <c:v>5.0227410203597216E-2</c:v>
                </c:pt>
                <c:pt idx="9">
                  <c:v>5.429799813555114E-2</c:v>
                </c:pt>
                <c:pt idx="10">
                  <c:v>5.6751883712558501E-2</c:v>
                </c:pt>
                <c:pt idx="11">
                  <c:v>5.5418425907745789E-2</c:v>
                </c:pt>
              </c:numCache>
            </c:numRef>
          </c:val>
          <c:smooth val="0"/>
        </c:ser>
        <c:dLbls>
          <c:showLegendKey val="0"/>
          <c:showVal val="0"/>
          <c:showCatName val="0"/>
          <c:showSerName val="0"/>
          <c:showPercent val="0"/>
          <c:showBubbleSize val="0"/>
        </c:dLbls>
        <c:marker val="1"/>
        <c:smooth val="0"/>
        <c:axId val="248130560"/>
        <c:axId val="248136832"/>
      </c:lineChart>
      <c:catAx>
        <c:axId val="24813056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136832"/>
        <c:crosses val="autoZero"/>
        <c:auto val="1"/>
        <c:lblAlgn val="ctr"/>
        <c:lblOffset val="100"/>
        <c:tickLblSkip val="2"/>
        <c:tickMarkSkip val="1"/>
        <c:noMultiLvlLbl val="0"/>
      </c:catAx>
      <c:valAx>
        <c:axId val="24813683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130560"/>
        <c:crosses val="autoZero"/>
        <c:crossBetween val="midCat"/>
      </c:valAx>
      <c:spPr>
        <a:noFill/>
        <a:ln w="12700">
          <a:solidFill>
            <a:srgbClr val="808080"/>
          </a:solidFill>
          <a:prstDash val="solid"/>
        </a:ln>
      </c:spPr>
    </c:plotArea>
    <c:legend>
      <c:legendPos val="r"/>
      <c:layout>
        <c:manualLayout>
          <c:xMode val="edge"/>
          <c:yMode val="edge"/>
          <c:x val="0.18526809148856391"/>
          <c:y val="0.91316761875353814"/>
          <c:w val="0.723214988751406"/>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and GDP</a:t>
            </a:r>
          </a:p>
        </c:rich>
      </c:tx>
      <c:layout>
        <c:manualLayout>
          <c:xMode val="edge"/>
          <c:yMode val="edge"/>
          <c:x val="0.33258975440569927"/>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2"/>
          <c:order val="0"/>
          <c:tx>
            <c:strRef>
              <c:f>Sector1!$D$34:$E$34</c:f>
              <c:strCache>
                <c:ptCount val="1"/>
                <c:pt idx="0">
                  <c:v>GVT+EXT Taxes on production and imports (D.2r)</c:v>
                </c:pt>
              </c:strCache>
            </c:strRef>
          </c:tx>
          <c:spPr>
            <a:ln w="25400">
              <a:solidFill>
                <a:srgbClr val="008080"/>
              </a:solidFill>
              <a:prstDash val="solid"/>
            </a:ln>
          </c:spPr>
          <c:marker>
            <c:symbol val="circle"/>
            <c:size val="7"/>
            <c:spPr>
              <a:solidFill>
                <a:srgbClr val="FFFFFF"/>
              </a:solidFill>
              <a:ln>
                <a:solidFill>
                  <a:srgbClr val="00808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Sector1!$G$38:$AC$38</c:f>
              <c:numCache>
                <c:formatCode>0.0%</c:formatCode>
                <c:ptCount val="12"/>
                <c:pt idx="0">
                  <c:v>0</c:v>
                </c:pt>
                <c:pt idx="1">
                  <c:v>0</c:v>
                </c:pt>
                <c:pt idx="2">
                  <c:v>0.18384700879504701</c:v>
                </c:pt>
                <c:pt idx="3">
                  <c:v>0.17416809786974807</c:v>
                </c:pt>
                <c:pt idx="4">
                  <c:v>0.1898666743937491</c:v>
                </c:pt>
                <c:pt idx="5">
                  <c:v>0.19037190727517866</c:v>
                </c:pt>
                <c:pt idx="6">
                  <c:v>0.18348846032369642</c:v>
                </c:pt>
                <c:pt idx="7">
                  <c:v>0.18012029224407053</c:v>
                </c:pt>
                <c:pt idx="8">
                  <c:v>0.1836314287947132</c:v>
                </c:pt>
                <c:pt idx="9">
                  <c:v>0.19028280232635417</c:v>
                </c:pt>
                <c:pt idx="10">
                  <c:v>0.18681158685840279</c:v>
                </c:pt>
                <c:pt idx="11">
                  <c:v>0.18822359301487776</c:v>
                </c:pt>
              </c:numCache>
            </c:numRef>
          </c:val>
          <c:smooth val="0"/>
        </c:ser>
        <c:dLbls>
          <c:showLegendKey val="0"/>
          <c:showVal val="0"/>
          <c:showCatName val="0"/>
          <c:showSerName val="0"/>
          <c:showPercent val="0"/>
          <c:showBubbleSize val="0"/>
        </c:dLbls>
        <c:marker val="1"/>
        <c:smooth val="0"/>
        <c:axId val="248169216"/>
        <c:axId val="248171136"/>
      </c:lineChart>
      <c:catAx>
        <c:axId val="2481692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171136"/>
        <c:crosses val="autoZero"/>
        <c:auto val="1"/>
        <c:lblAlgn val="ctr"/>
        <c:lblOffset val="100"/>
        <c:tickLblSkip val="2"/>
        <c:tickMarkSkip val="1"/>
        <c:noMultiLvlLbl val="0"/>
      </c:catAx>
      <c:valAx>
        <c:axId val="24817113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169216"/>
        <c:crosses val="autoZero"/>
        <c:crossBetween val="midCat"/>
      </c:valAx>
      <c:spPr>
        <a:noFill/>
        <a:ln w="12700">
          <a:solidFill>
            <a:srgbClr val="808080"/>
          </a:solidFill>
          <a:prstDash val="solid"/>
        </a:ln>
      </c:spPr>
    </c:plotArea>
    <c:legend>
      <c:legendPos val="r"/>
      <c:layout>
        <c:manualLayout>
          <c:xMode val="edge"/>
          <c:yMode val="edge"/>
          <c:x val="0.17187523434570678"/>
          <c:y val="0.91316761875353814"/>
          <c:w val="0.7321435601799775"/>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Corporate tax as % of GDP</a:t>
            </a:r>
          </a:p>
        </c:rich>
      </c:tx>
      <c:layout>
        <c:manualLayout>
          <c:xMode val="edge"/>
          <c:yMode val="edge"/>
          <c:x val="0.31026809148856394"/>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0"/>
          <c:order val="0"/>
          <c:tx>
            <c:strRef>
              <c:f>Sector1!$D$222:$E$222</c:f>
              <c:strCache>
                <c:ptCount val="1"/>
                <c:pt idx="0">
                  <c:v>E Current taxes on income and wealth (D.5p)  </c:v>
                </c:pt>
              </c:strCache>
            </c:strRef>
          </c:tx>
          <c:spPr>
            <a:ln w="25400">
              <a:solidFill>
                <a:srgbClr val="339966"/>
              </a:solidFill>
              <a:prstDash val="solid"/>
            </a:ln>
          </c:spPr>
          <c:marker>
            <c:symbol val="circle"/>
            <c:size val="7"/>
            <c:spPr>
              <a:solidFill>
                <a:srgbClr val="FFFFFF"/>
              </a:solidFill>
              <a:ln>
                <a:solidFill>
                  <a:srgbClr val="3399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Sector1!$G$222:$AC$222</c:f>
              <c:numCache>
                <c:formatCode>0.0%</c:formatCode>
                <c:ptCount val="12"/>
                <c:pt idx="0">
                  <c:v>2.7504674162492242E-2</c:v>
                </c:pt>
                <c:pt idx="1">
                  <c:v>2.5254935666062687E-2</c:v>
                </c:pt>
                <c:pt idx="2">
                  <c:v>2.7100636525011407E-2</c:v>
                </c:pt>
                <c:pt idx="3">
                  <c:v>1.8138231478806988E-2</c:v>
                </c:pt>
                <c:pt idx="4">
                  <c:v>9.8456310658827737E-3</c:v>
                </c:pt>
                <c:pt idx="5">
                  <c:v>8.0561925505478436E-3</c:v>
                </c:pt>
                <c:pt idx="6">
                  <c:v>1.2900138177212273E-2</c:v>
                </c:pt>
                <c:pt idx="7">
                  <c:v>1.3594243649464453E-2</c:v>
                </c:pt>
                <c:pt idx="8">
                  <c:v>1.3632579929928342E-2</c:v>
                </c:pt>
                <c:pt idx="9">
                  <c:v>1.530087817197443E-2</c:v>
                </c:pt>
                <c:pt idx="10">
                  <c:v>1.6177584130885436E-2</c:v>
                </c:pt>
                <c:pt idx="11">
                  <c:v>1.5103066499929409E-2</c:v>
                </c:pt>
              </c:numCache>
            </c:numRef>
          </c:val>
          <c:smooth val="0"/>
        </c:ser>
        <c:dLbls>
          <c:showLegendKey val="0"/>
          <c:showVal val="0"/>
          <c:showCatName val="0"/>
          <c:showSerName val="0"/>
          <c:showPercent val="0"/>
          <c:showBubbleSize val="0"/>
        </c:dLbls>
        <c:marker val="1"/>
        <c:smooth val="0"/>
        <c:axId val="248203520"/>
        <c:axId val="248213888"/>
      </c:lineChart>
      <c:catAx>
        <c:axId val="24820352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213888"/>
        <c:crosses val="autoZero"/>
        <c:auto val="1"/>
        <c:lblAlgn val="ctr"/>
        <c:lblOffset val="100"/>
        <c:tickLblSkip val="2"/>
        <c:tickMarkSkip val="1"/>
        <c:noMultiLvlLbl val="0"/>
      </c:catAx>
      <c:valAx>
        <c:axId val="2482138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203520"/>
        <c:crosses val="autoZero"/>
        <c:crossBetween val="midCat"/>
      </c:valAx>
      <c:spPr>
        <a:noFill/>
        <a:ln w="12700">
          <a:solidFill>
            <a:srgbClr val="808080"/>
          </a:solidFill>
          <a:prstDash val="solid"/>
        </a:ln>
      </c:spPr>
    </c:plotArea>
    <c:legend>
      <c:legendPos val="r"/>
      <c:layout>
        <c:manualLayout>
          <c:xMode val="edge"/>
          <c:yMode val="edge"/>
          <c:x val="0.18303594863142106"/>
          <c:y val="0.91316761875353814"/>
          <c:w val="0.694197131608548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related to GDP</a:t>
            </a:r>
          </a:p>
        </c:rich>
      </c:tx>
      <c:layout>
        <c:manualLayout>
          <c:xMode val="edge"/>
          <c:yMode val="edge"/>
          <c:x val="0.29241094863142109"/>
          <c:y val="3.3613445378151259E-2"/>
        </c:manualLayout>
      </c:layout>
      <c:overlay val="0"/>
      <c:spPr>
        <a:noFill/>
        <a:ln w="25400">
          <a:noFill/>
        </a:ln>
      </c:spPr>
    </c:title>
    <c:autoTitleDeleted val="0"/>
    <c:plotArea>
      <c:layout>
        <c:manualLayout>
          <c:layoutTarget val="inner"/>
          <c:xMode val="edge"/>
          <c:yMode val="edge"/>
          <c:x val="5.8035777539691968E-2"/>
          <c:y val="0.17366994285589235"/>
          <c:w val="0.88616168012529661"/>
          <c:h val="0.56582787833693959"/>
        </c:manualLayout>
      </c:layout>
      <c:scatterChart>
        <c:scatterStyle val="lineMarker"/>
        <c:varyColors val="0"/>
        <c:ser>
          <c:idx val="0"/>
          <c:order val="0"/>
          <c:tx>
            <c:strRef>
              <c:f>Sector1!$D$22:$E$22</c:f>
              <c:strCache>
                <c:ptCount val="1"/>
                <c:pt idx="0">
                  <c:v>GVT Taxes on production and imports (D.2r = D.21r+D.29r)</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Sector1!$G$22:$AC$22</c:f>
              <c:numCache>
                <c:formatCode>0.0</c:formatCode>
                <c:ptCount val="12"/>
                <c:pt idx="0">
                  <c:v>15.667895487904326</c:v>
                </c:pt>
                <c:pt idx="1">
                  <c:v>24.009076655883852</c:v>
                </c:pt>
                <c:pt idx="2">
                  <c:v>12.240069877270642</c:v>
                </c:pt>
                <c:pt idx="3">
                  <c:v>-17.840843740272348</c:v>
                </c:pt>
                <c:pt idx="4">
                  <c:v>6.5764631843927113</c:v>
                </c:pt>
                <c:pt idx="5">
                  <c:v>9.3195471279742925</c:v>
                </c:pt>
                <c:pt idx="6">
                  <c:v>2.6310422752576779</c:v>
                </c:pt>
                <c:pt idx="7">
                  <c:v>3.1489741062869392</c:v>
                </c:pt>
                <c:pt idx="8">
                  <c:v>6.2009611229414618</c:v>
                </c:pt>
                <c:pt idx="9">
                  <c:v>6.4735239757423679</c:v>
                </c:pt>
                <c:pt idx="10">
                  <c:v>4.3541922309220826</c:v>
                </c:pt>
                <c:pt idx="11" formatCode="0.00">
                  <c:v>8.7193167077012532</c:v>
                </c:pt>
              </c:numCache>
            </c:numRef>
          </c:yVal>
          <c:smooth val="0"/>
        </c:ser>
        <c:dLbls>
          <c:showLegendKey val="0"/>
          <c:showVal val="0"/>
          <c:showCatName val="0"/>
          <c:showSerName val="0"/>
          <c:showPercent val="0"/>
          <c:showBubbleSize val="0"/>
        </c:dLbls>
        <c:axId val="248260096"/>
        <c:axId val="248261632"/>
      </c:scatterChart>
      <c:valAx>
        <c:axId val="24826009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261632"/>
        <c:crosses val="autoZero"/>
        <c:crossBetween val="midCat"/>
      </c:valAx>
      <c:valAx>
        <c:axId val="24826163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260096"/>
        <c:crosses val="autoZero"/>
        <c:crossBetween val="midCat"/>
      </c:valAx>
      <c:spPr>
        <a:noFill/>
        <a:ln w="12700">
          <a:solidFill>
            <a:srgbClr val="808080"/>
          </a:solidFill>
          <a:prstDash val="solid"/>
        </a:ln>
      </c:spPr>
    </c:plotArea>
    <c:legend>
      <c:legendPos val="r"/>
      <c:layout>
        <c:manualLayout>
          <c:xMode val="edge"/>
          <c:yMode val="edge"/>
          <c:x val="1.1160714285714286E-2"/>
          <c:y val="0.85714520978995268"/>
          <c:w val="0.97321545744281968"/>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Social contributions (GVT, received), GDP and compensation of employees</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0.10044653804946686"/>
          <c:y val="0.21848799262515489"/>
          <c:w val="0.83259019316558092"/>
          <c:h val="0.45938501013494104"/>
        </c:manualLayout>
      </c:layout>
      <c:lineChart>
        <c:grouping val="standard"/>
        <c:varyColors val="0"/>
        <c:ser>
          <c:idx val="0"/>
          <c:order val="0"/>
          <c:tx>
            <c:strRef>
              <c:f>Sector1!$D$267:$E$267</c:f>
              <c:strCache>
                <c:ptCount val="1"/>
                <c:pt idx="0">
                  <c:v>GVT Social contributions (D.61r)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Sector1!$G$267:$AC$267</c:f>
              <c:numCache>
                <c:formatCode>0.0</c:formatCode>
                <c:ptCount val="12"/>
                <c:pt idx="0">
                  <c:v>17.849818542420557</c:v>
                </c:pt>
                <c:pt idx="1">
                  <c:v>20.569900478882055</c:v>
                </c:pt>
                <c:pt idx="2">
                  <c:v>17.89292526253481</c:v>
                </c:pt>
                <c:pt idx="3">
                  <c:v>9.1387801529225534</c:v>
                </c:pt>
                <c:pt idx="4">
                  <c:v>-3.4887386300062828</c:v>
                </c:pt>
                <c:pt idx="5">
                  <c:v>5.4409618417645467</c:v>
                </c:pt>
                <c:pt idx="6">
                  <c:v>3.9652396194664874</c:v>
                </c:pt>
                <c:pt idx="7">
                  <c:v>4.4898912354917941</c:v>
                </c:pt>
                <c:pt idx="8">
                  <c:v>7.2180335238584581</c:v>
                </c:pt>
                <c:pt idx="9" formatCode="0.00">
                  <c:v>6.7711615269794967</c:v>
                </c:pt>
                <c:pt idx="10" formatCode="0.00">
                  <c:v>8.7013109412656942</c:v>
                </c:pt>
                <c:pt idx="11" formatCode="0.00">
                  <c:v>12.388380313796855</c:v>
                </c:pt>
              </c:numCache>
            </c:numRef>
          </c:val>
          <c:smooth val="0"/>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ser>
          <c:idx val="2"/>
          <c:order val="2"/>
          <c:tx>
            <c:strRef>
              <c:f>Labour1!$D$224:$E$224</c:f>
              <c:strCache>
                <c:ptCount val="1"/>
                <c:pt idx="0">
                  <c:v>GVT Compensation of employees (D.1p) (Domestic)</c:v>
                </c:pt>
              </c:strCache>
            </c:strRef>
          </c:tx>
          <c:val>
            <c:numRef>
              <c:f>Labour1!$G$224:$U$224</c:f>
              <c:numCache>
                <c:formatCode>0.0</c:formatCode>
                <c:ptCount val="6"/>
                <c:pt idx="0">
                  <c:v>13.457156870048914</c:v>
                </c:pt>
                <c:pt idx="1">
                  <c:v>16.551506205805964</c:v>
                </c:pt>
                <c:pt idx="2">
                  <c:v>20.625303696470176</c:v>
                </c:pt>
                <c:pt idx="3">
                  <c:v>19.933250951125302</c:v>
                </c:pt>
                <c:pt idx="4" formatCode="0.00">
                  <c:v>16.462651814471975</c:v>
                </c:pt>
                <c:pt idx="5" formatCode="0.00">
                  <c:v>-16.55735569384197</c:v>
                </c:pt>
              </c:numCache>
            </c:numRef>
          </c:val>
          <c:smooth val="0"/>
        </c:ser>
        <c:dLbls>
          <c:showLegendKey val="0"/>
          <c:showVal val="0"/>
          <c:showCatName val="0"/>
          <c:showSerName val="0"/>
          <c:showPercent val="0"/>
          <c:showBubbleSize val="0"/>
        </c:dLbls>
        <c:marker val="1"/>
        <c:smooth val="0"/>
        <c:axId val="248652544"/>
        <c:axId val="248654080"/>
      </c:lineChart>
      <c:catAx>
        <c:axId val="2486525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654080"/>
        <c:crosses val="autoZero"/>
        <c:auto val="1"/>
        <c:lblAlgn val="ctr"/>
        <c:lblOffset val="100"/>
        <c:tickLblSkip val="2"/>
        <c:tickMarkSkip val="1"/>
        <c:noMultiLvlLbl val="0"/>
      </c:catAx>
      <c:valAx>
        <c:axId val="24865408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652544"/>
        <c:crosses val="autoZero"/>
        <c:crossBetween val="midCat"/>
      </c:valAx>
      <c:spPr>
        <a:noFill/>
        <a:ln w="12700">
          <a:solidFill>
            <a:srgbClr val="808080"/>
          </a:solidFill>
          <a:prstDash val="solid"/>
        </a:ln>
      </c:spPr>
    </c:plotArea>
    <c:legend>
      <c:legendPos val="r"/>
      <c:layout>
        <c:manualLayout>
          <c:xMode val="edge"/>
          <c:yMode val="edge"/>
          <c:x val="0.13839309148856391"/>
          <c:y val="0.79552026584912183"/>
          <c:w val="0.75669736595425563"/>
          <c:h val="0.18487453774160578"/>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contributions (GVT, received) related to GDP</a:t>
            </a:r>
          </a:p>
        </c:rich>
      </c:tx>
      <c:layout>
        <c:manualLayout>
          <c:xMode val="edge"/>
          <c:yMode val="edge"/>
          <c:x val="0.13392880577427821"/>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56022562211578175"/>
        </c:manualLayout>
      </c:layout>
      <c:scatterChart>
        <c:scatterStyle val="lineMarker"/>
        <c:varyColors val="0"/>
        <c:ser>
          <c:idx val="0"/>
          <c:order val="0"/>
          <c:tx>
            <c:strRef>
              <c:f>Sector1!$D$213:$E$213</c:f>
              <c:strCache>
                <c:ptCount val="1"/>
                <c:pt idx="0">
                  <c:v>GVT Current taxes on income and wealth (D.5r)  </c:v>
                </c:pt>
              </c:strCache>
            </c:strRef>
          </c:tx>
          <c:spPr>
            <a:ln w="28575">
              <a:noFill/>
            </a:ln>
          </c:spPr>
          <c:marker>
            <c:symbol val="circle"/>
            <c:size val="7"/>
            <c:spPr>
              <a:solidFill>
                <a:srgbClr val="FFFFFF"/>
              </a:solidFill>
              <a:ln>
                <a:solidFill>
                  <a:srgbClr val="0000FF"/>
                </a:solidFill>
                <a:prstDash val="solid"/>
              </a:ln>
            </c:spPr>
          </c:marker>
          <c:dLbls>
            <c:dLbl>
              <c:idx val="1"/>
              <c:tx>
                <c:strRef>
                  <c:f>Sector1!$H$252</c:f>
                  <c:strCache>
                    <c:ptCount val="1"/>
                    <c:pt idx="0">
                      <c:v>1996</c:v>
                    </c:pt>
                  </c:strCache>
                </c:strRef>
              </c:tx>
              <c:showLegendKey val="0"/>
              <c:showVal val="0"/>
              <c:showCatName val="0"/>
              <c:showSerName val="0"/>
              <c:showPercent val="0"/>
              <c:showBubbleSize val="0"/>
            </c:dLbl>
            <c:dLbl>
              <c:idx val="2"/>
              <c:tx>
                <c:strRef>
                  <c:f>Sector1!$I$252</c:f>
                  <c:strCache>
                    <c:ptCount val="1"/>
                    <c:pt idx="0">
                      <c:v>1997</c:v>
                    </c:pt>
                  </c:strCache>
                </c:strRef>
              </c:tx>
              <c:showLegendKey val="0"/>
              <c:showVal val="0"/>
              <c:showCatName val="0"/>
              <c:showSerName val="0"/>
              <c:showPercent val="0"/>
              <c:showBubbleSize val="0"/>
            </c:dLbl>
            <c:dLbl>
              <c:idx val="3"/>
              <c:tx>
                <c:strRef>
                  <c:f>Sector1!$J$252</c:f>
                  <c:strCache>
                    <c:ptCount val="1"/>
                    <c:pt idx="0">
                      <c:v>1998</c:v>
                    </c:pt>
                  </c:strCache>
                </c:strRef>
              </c:tx>
              <c:showLegendKey val="0"/>
              <c:showVal val="0"/>
              <c:showCatName val="0"/>
              <c:showSerName val="0"/>
              <c:showPercent val="0"/>
              <c:showBubbleSize val="0"/>
            </c:dLbl>
            <c:dLbl>
              <c:idx val="4"/>
              <c:tx>
                <c:strRef>
                  <c:f>Sector1!$K$252</c:f>
                  <c:strCache>
                    <c:ptCount val="1"/>
                    <c:pt idx="0">
                      <c:v>1999</c:v>
                    </c:pt>
                  </c:strCache>
                </c:strRef>
              </c:tx>
              <c:showLegendKey val="0"/>
              <c:showVal val="0"/>
              <c:showCatName val="0"/>
              <c:showSerName val="0"/>
              <c:showPercent val="0"/>
              <c:showBubbleSize val="0"/>
            </c:dLbl>
            <c:dLbl>
              <c:idx val="5"/>
              <c:tx>
                <c:strRef>
                  <c:f>Sector1!$L$252</c:f>
                  <c:strCache>
                    <c:ptCount val="1"/>
                    <c:pt idx="0">
                      <c:v>2000</c:v>
                    </c:pt>
                  </c:strCache>
                </c:strRef>
              </c:tx>
              <c:showLegendKey val="0"/>
              <c:showVal val="0"/>
              <c:showCatName val="0"/>
              <c:showSerName val="0"/>
              <c:showPercent val="0"/>
              <c:showBubbleSize val="0"/>
            </c:dLbl>
            <c:dLbl>
              <c:idx val="6"/>
              <c:tx>
                <c:strRef>
                  <c:f>Sector1!$M$252</c:f>
                  <c:strCache>
                    <c:ptCount val="1"/>
                    <c:pt idx="0">
                      <c:v>2001</c:v>
                    </c:pt>
                  </c:strCache>
                </c:strRef>
              </c:tx>
              <c:showLegendKey val="0"/>
              <c:showVal val="0"/>
              <c:showCatName val="0"/>
              <c:showSerName val="0"/>
              <c:showPercent val="0"/>
              <c:showBubbleSize val="0"/>
            </c:dLbl>
            <c:dLbl>
              <c:idx val="7"/>
              <c:tx>
                <c:strRef>
                  <c:f>Sector1!$N$252</c:f>
                  <c:strCache>
                    <c:ptCount val="1"/>
                    <c:pt idx="0">
                      <c:v>2002</c:v>
                    </c:pt>
                  </c:strCache>
                </c:strRef>
              </c:tx>
              <c:showLegendKey val="0"/>
              <c:showVal val="0"/>
              <c:showCatName val="0"/>
              <c:showSerName val="0"/>
              <c:showPercent val="0"/>
              <c:showBubbleSize val="0"/>
            </c:dLbl>
            <c:dLbl>
              <c:idx val="8"/>
              <c:tx>
                <c:strRef>
                  <c:f>Sector1!$O$252</c:f>
                  <c:strCache>
                    <c:ptCount val="1"/>
                    <c:pt idx="0">
                      <c:v>2003</c:v>
                    </c:pt>
                  </c:strCache>
                </c:strRef>
              </c:tx>
              <c:showLegendKey val="0"/>
              <c:showVal val="0"/>
              <c:showCatName val="0"/>
              <c:showSerName val="0"/>
              <c:showPercent val="0"/>
              <c:showBubbleSize val="0"/>
            </c:dLbl>
            <c:dLbl>
              <c:idx val="9"/>
              <c:tx>
                <c:strRef>
                  <c:f>Sector1!$P$252</c:f>
                  <c:strCache>
                    <c:ptCount val="1"/>
                    <c:pt idx="0">
                      <c:v>2004</c:v>
                    </c:pt>
                  </c:strCache>
                </c:strRef>
              </c:tx>
              <c:showLegendKey val="0"/>
              <c:showVal val="0"/>
              <c:showCatName val="0"/>
              <c:showSerName val="0"/>
              <c:showPercent val="0"/>
              <c:showBubbleSize val="0"/>
            </c:dLbl>
            <c:dLbl>
              <c:idx val="10"/>
              <c:tx>
                <c:strRef>
                  <c:f>Sector1!$Q$252</c:f>
                  <c:strCache>
                    <c:ptCount val="1"/>
                    <c:pt idx="0">
                      <c:v>2005</c:v>
                    </c:pt>
                  </c:strCache>
                </c:strRef>
              </c:tx>
              <c:showLegendKey val="0"/>
              <c:showVal val="0"/>
              <c:showCatName val="0"/>
              <c:showSerName val="0"/>
              <c:showPercent val="0"/>
              <c:showBubbleSize val="0"/>
            </c:dLbl>
            <c:dLbl>
              <c:idx val="11"/>
              <c:tx>
                <c:strRef>
                  <c:f>Sector1!$R$252</c:f>
                  <c:strCache>
                    <c:ptCount val="1"/>
                    <c:pt idx="0">
                      <c:v>2006</c:v>
                    </c:pt>
                  </c:strCache>
                </c:strRef>
              </c:tx>
              <c:showLegendKey val="0"/>
              <c:showVal val="0"/>
              <c:showCatName val="0"/>
              <c:showSerName val="0"/>
              <c:showPercent val="0"/>
              <c:showBubbleSize val="0"/>
            </c:dLbl>
            <c:dLbl>
              <c:idx val="12"/>
              <c:tx>
                <c:strRef>
                  <c:f>Sector1!$S$252</c:f>
                  <c:strCache>
                    <c:ptCount val="1"/>
                    <c:pt idx="0">
                      <c:v>2007</c:v>
                    </c:pt>
                  </c:strCache>
                </c:strRef>
              </c:tx>
              <c:showLegendKey val="0"/>
              <c:showVal val="0"/>
              <c:showCatName val="0"/>
              <c:showSerName val="0"/>
              <c:showPercent val="0"/>
              <c:showBubbleSize val="0"/>
            </c:dLbl>
            <c:dLbl>
              <c:idx val="13"/>
              <c:tx>
                <c:strRef>
                  <c:f>Sector1!$T$252</c:f>
                  <c:strCache>
                    <c:ptCount val="1"/>
                    <c:pt idx="0">
                      <c:v>2008</c:v>
                    </c:pt>
                  </c:strCache>
                </c:strRef>
              </c:tx>
              <c:showLegendKey val="0"/>
              <c:showVal val="0"/>
              <c:showCatName val="0"/>
              <c:showSerName val="0"/>
              <c:showPercent val="0"/>
              <c:showBubbleSize val="0"/>
            </c:dLbl>
            <c:dLbl>
              <c:idx val="14"/>
              <c:tx>
                <c:strRef>
                  <c:f>Sector1!$U$252</c:f>
                  <c:strCache>
                    <c:ptCount val="1"/>
                    <c:pt idx="0">
                      <c:v>2009</c:v>
                    </c:pt>
                  </c:strCache>
                </c:strRef>
              </c:tx>
              <c:showLegendKey val="0"/>
              <c:showVal val="0"/>
              <c:showCatName val="0"/>
              <c:showSerName val="0"/>
              <c:showPercent val="0"/>
              <c:showBubbleSize val="0"/>
            </c:dLbl>
            <c:dLbl>
              <c:idx val="15"/>
              <c:tx>
                <c:strRef>
                  <c:f>Sector1!$V$252</c:f>
                  <c:strCache>
                    <c:ptCount val="1"/>
                    <c:pt idx="0">
                      <c:v>2010</c:v>
                    </c:pt>
                  </c:strCache>
                </c:strRef>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Sector1!$G$267:$AC$267</c:f>
              <c:numCache>
                <c:formatCode>0.0</c:formatCode>
                <c:ptCount val="12"/>
                <c:pt idx="0">
                  <c:v>17.849818542420557</c:v>
                </c:pt>
                <c:pt idx="1">
                  <c:v>20.569900478882055</c:v>
                </c:pt>
                <c:pt idx="2">
                  <c:v>17.89292526253481</c:v>
                </c:pt>
                <c:pt idx="3">
                  <c:v>9.1387801529225534</c:v>
                </c:pt>
                <c:pt idx="4">
                  <c:v>-3.4887386300062828</c:v>
                </c:pt>
                <c:pt idx="5">
                  <c:v>5.4409618417645467</c:v>
                </c:pt>
                <c:pt idx="6">
                  <c:v>3.9652396194664874</c:v>
                </c:pt>
                <c:pt idx="7">
                  <c:v>4.4898912354917941</c:v>
                </c:pt>
                <c:pt idx="8">
                  <c:v>7.2180335238584581</c:v>
                </c:pt>
                <c:pt idx="9" formatCode="0.00">
                  <c:v>6.7711615269794967</c:v>
                </c:pt>
                <c:pt idx="10" formatCode="0.00">
                  <c:v>8.7013109412656942</c:v>
                </c:pt>
                <c:pt idx="11" formatCode="0.00">
                  <c:v>12.388380313796855</c:v>
                </c:pt>
              </c:numCache>
            </c:numRef>
          </c:yVal>
          <c:smooth val="0"/>
        </c:ser>
        <c:dLbls>
          <c:showLegendKey val="0"/>
          <c:showVal val="0"/>
          <c:showCatName val="0"/>
          <c:showSerName val="0"/>
          <c:showPercent val="0"/>
          <c:showBubbleSize val="0"/>
        </c:dLbls>
        <c:axId val="248688000"/>
        <c:axId val="248693888"/>
      </c:scatterChart>
      <c:valAx>
        <c:axId val="24868800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693888"/>
        <c:crosses val="autoZero"/>
        <c:crossBetween val="midCat"/>
      </c:valAx>
      <c:valAx>
        <c:axId val="2486938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688000"/>
        <c:crosses val="autoZero"/>
        <c:crossBetween val="midCat"/>
      </c:valAx>
      <c:spPr>
        <a:noFill/>
        <a:ln w="12700">
          <a:solidFill>
            <a:srgbClr val="808080"/>
          </a:solidFill>
          <a:prstDash val="solid"/>
        </a:ln>
      </c:spPr>
    </c:plotArea>
    <c:legend>
      <c:legendPos val="r"/>
      <c:layout>
        <c:manualLayout>
          <c:xMode val="edge"/>
          <c:yMode val="edge"/>
          <c:x val="9.5982142857142863E-2"/>
          <c:y val="0.85434408934177342"/>
          <c:w val="0.81250093738282703"/>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Social contributions (GVT, received) and its main components</a:t>
            </a:r>
          </a:p>
        </c:rich>
      </c:tx>
      <c:layout>
        <c:manualLayout>
          <c:xMode val="edge"/>
          <c:yMode val="edge"/>
          <c:x val="0.18973237720284963"/>
          <c:y val="3.3613445378151259E-2"/>
        </c:manualLayout>
      </c:layout>
      <c:overlay val="0"/>
      <c:spPr>
        <a:noFill/>
        <a:ln w="25400">
          <a:noFill/>
        </a:ln>
      </c:spPr>
    </c:title>
    <c:autoTitleDeleted val="0"/>
    <c:plotArea>
      <c:layout>
        <c:manualLayout>
          <c:layoutTarget val="inner"/>
          <c:xMode val="edge"/>
          <c:yMode val="edge"/>
          <c:x val="0.1227679909493484"/>
          <c:y val="0.21848799262515489"/>
          <c:w val="0.81026874026569939"/>
          <c:h val="0.45938501013494104"/>
        </c:manualLayout>
      </c:layout>
      <c:lineChart>
        <c:grouping val="standard"/>
        <c:varyColors val="0"/>
        <c:ser>
          <c:idx val="2"/>
          <c:order val="0"/>
          <c:tx>
            <c:strRef>
              <c:f>Sector1!$D$265:$E$265</c:f>
              <c:strCache>
                <c:ptCount val="1"/>
                <c:pt idx="0">
                  <c:v>GVT Actual social contributions (D.611r)</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Sector1!$G$265:$AC$265</c:f>
              <c:numCache>
                <c:formatCode>0.0</c:formatCode>
                <c:ptCount val="12"/>
                <c:pt idx="0">
                  <c:v>17.810870066309658</c:v>
                </c:pt>
                <c:pt idx="1">
                  <c:v>20.387214196337155</c:v>
                </c:pt>
                <c:pt idx="2">
                  <c:v>17.725384664809638</c:v>
                </c:pt>
                <c:pt idx="3">
                  <c:v>9.2532722912298979</c:v>
                </c:pt>
                <c:pt idx="4">
                  <c:v>-3.1577926600274475</c:v>
                </c:pt>
                <c:pt idx="5">
                  <c:v>5.4640348348530487</c:v>
                </c:pt>
                <c:pt idx="6">
                  <c:v>3.9241919427325245</c:v>
                </c:pt>
                <c:pt idx="7">
                  <c:v>5.0451133856218355</c:v>
                </c:pt>
                <c:pt idx="8">
                  <c:v>7.1260647718647263</c:v>
                </c:pt>
                <c:pt idx="9">
                  <c:v>6.7775093366661876</c:v>
                </c:pt>
                <c:pt idx="10">
                  <c:v>8.6562521600884743</c:v>
                </c:pt>
                <c:pt idx="11" formatCode="0.00">
                  <c:v>12.38838031379683</c:v>
                </c:pt>
              </c:numCache>
            </c:numRef>
          </c:val>
          <c:smooth val="0"/>
        </c:ser>
        <c:ser>
          <c:idx val="3"/>
          <c:order val="1"/>
          <c:tx>
            <c:strRef>
              <c:f>Sector1!$D$266:$E$266</c:f>
              <c:strCache>
                <c:ptCount val="1"/>
                <c:pt idx="0">
                  <c:v>GVT Imputed social contributions (D.612r)</c:v>
                </c:pt>
              </c:strCache>
            </c:strRef>
          </c:tx>
          <c:spPr>
            <a:ln w="25400">
              <a:solidFill>
                <a:srgbClr val="339966"/>
              </a:solidFill>
              <a:prstDash val="solid"/>
            </a:ln>
          </c:spPr>
          <c:marker>
            <c:symbol val="square"/>
            <c:size val="5"/>
            <c:spPr>
              <a:solidFill>
                <a:srgbClr val="FFFFFF"/>
              </a:solidFill>
              <a:ln>
                <a:solidFill>
                  <a:srgbClr val="3399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Sector1!$G$266:$AC$266</c:f>
              <c:numCache>
                <c:formatCode>0.0</c:formatCode>
                <c:ptCount val="12"/>
                <c:pt idx="0">
                  <c:v>19.049191152195455</c:v>
                </c:pt>
                <c:pt idx="1">
                  <c:v>26.136993899057103</c:v>
                </c:pt>
                <c:pt idx="2">
                  <c:v>22.765746949543807</c:v>
                </c:pt>
                <c:pt idx="3">
                  <c:v>5.9455587392550191</c:v>
                </c:pt>
                <c:pt idx="4">
                  <c:v>-13.007099391480725</c:v>
                </c:pt>
                <c:pt idx="5">
                  <c:v>4.7022248129796829</c:v>
                </c:pt>
                <c:pt idx="6">
                  <c:v>5.2890414772200245</c:v>
                </c:pt>
                <c:pt idx="7">
                  <c:v>-13.184101524632064</c:v>
                </c:pt>
                <c:pt idx="8">
                  <c:v>10.760328900619221</c:v>
                </c:pt>
                <c:pt idx="9">
                  <c:v>6.534689762624879</c:v>
                </c:pt>
                <c:pt idx="10">
                  <c:v>10.383688919476963</c:v>
                </c:pt>
                <c:pt idx="11" formatCode="0.00">
                  <c:v>12.38838031379683</c:v>
                </c:pt>
              </c:numCache>
            </c:numRef>
          </c:val>
          <c:smooth val="0"/>
        </c:ser>
        <c:ser>
          <c:idx val="0"/>
          <c:order val="2"/>
          <c:tx>
            <c:strRef>
              <c:f>Sector1!$D$267:$E$267</c:f>
              <c:strCache>
                <c:ptCount val="1"/>
                <c:pt idx="0">
                  <c:v>GVT Social contributions (D.61r)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Sector1!$G$267:$AC$267</c:f>
              <c:numCache>
                <c:formatCode>0.0</c:formatCode>
                <c:ptCount val="12"/>
                <c:pt idx="0">
                  <c:v>17.849818542420557</c:v>
                </c:pt>
                <c:pt idx="1">
                  <c:v>20.569900478882055</c:v>
                </c:pt>
                <c:pt idx="2">
                  <c:v>17.89292526253481</c:v>
                </c:pt>
                <c:pt idx="3">
                  <c:v>9.1387801529225534</c:v>
                </c:pt>
                <c:pt idx="4">
                  <c:v>-3.4887386300062828</c:v>
                </c:pt>
                <c:pt idx="5">
                  <c:v>5.4409618417645467</c:v>
                </c:pt>
                <c:pt idx="6">
                  <c:v>3.9652396194664874</c:v>
                </c:pt>
                <c:pt idx="7">
                  <c:v>4.4898912354917941</c:v>
                </c:pt>
                <c:pt idx="8">
                  <c:v>7.2180335238584581</c:v>
                </c:pt>
                <c:pt idx="9" formatCode="0.00">
                  <c:v>6.7711615269794967</c:v>
                </c:pt>
                <c:pt idx="10" formatCode="0.00">
                  <c:v>8.7013109412656942</c:v>
                </c:pt>
                <c:pt idx="11" formatCode="0.00">
                  <c:v>12.388380313796855</c:v>
                </c:pt>
              </c:numCache>
            </c:numRef>
          </c:val>
          <c:smooth val="0"/>
        </c:ser>
        <c:dLbls>
          <c:showLegendKey val="0"/>
          <c:showVal val="0"/>
          <c:showCatName val="0"/>
          <c:showSerName val="0"/>
          <c:showPercent val="0"/>
          <c:showBubbleSize val="0"/>
        </c:dLbls>
        <c:marker val="1"/>
        <c:smooth val="0"/>
        <c:axId val="248490240"/>
        <c:axId val="248492416"/>
      </c:lineChart>
      <c:catAx>
        <c:axId val="2484902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492416"/>
        <c:crosses val="autoZero"/>
        <c:auto val="1"/>
        <c:lblAlgn val="ctr"/>
        <c:lblOffset val="100"/>
        <c:tickLblSkip val="2"/>
        <c:tickMarkSkip val="1"/>
        <c:noMultiLvlLbl val="0"/>
      </c:catAx>
      <c:valAx>
        <c:axId val="24849241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490240"/>
        <c:crosses val="autoZero"/>
        <c:crossBetween val="midCat"/>
      </c:valAx>
      <c:spPr>
        <a:noFill/>
        <a:ln w="12700">
          <a:solidFill>
            <a:srgbClr val="808080"/>
          </a:solidFill>
          <a:prstDash val="solid"/>
        </a:ln>
      </c:spPr>
    </c:plotArea>
    <c:legend>
      <c:legendPos val="r"/>
      <c:layout>
        <c:manualLayout>
          <c:xMode val="edge"/>
          <c:yMode val="edge"/>
          <c:x val="0.22321452005999248"/>
          <c:y val="0.79552026584912183"/>
          <c:w val="0.6250007030371203"/>
          <c:h val="0.18487453774160578"/>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Social contributions (GVT, received) related to compensation of employees</a:t>
            </a:r>
          </a:p>
        </c:rich>
      </c:tx>
      <c:layout>
        <c:manualLayout>
          <c:xMode val="edge"/>
          <c:yMode val="edge"/>
          <c:x val="0.1138395200599925"/>
          <c:y val="3.3613445378151259E-2"/>
        </c:manualLayout>
      </c:layout>
      <c:overlay val="0"/>
      <c:spPr>
        <a:noFill/>
        <a:ln w="25400">
          <a:noFill/>
        </a:ln>
      </c:spPr>
    </c:title>
    <c:autoTitleDeleted val="0"/>
    <c:plotArea>
      <c:layout>
        <c:manualLayout>
          <c:layoutTarget val="inner"/>
          <c:xMode val="edge"/>
          <c:yMode val="edge"/>
          <c:x val="0.10044653804946686"/>
          <c:y val="0.21848799262515489"/>
          <c:w val="0.84375091961552173"/>
          <c:h val="0.45938501013494104"/>
        </c:manualLayout>
      </c:layout>
      <c:scatterChart>
        <c:scatterStyle val="lineMarker"/>
        <c:varyColors val="0"/>
        <c:ser>
          <c:idx val="0"/>
          <c:order val="0"/>
          <c:tx>
            <c:strRef>
              <c:f>Sector1!$D$267:$E$267</c:f>
              <c:strCache>
                <c:ptCount val="1"/>
                <c:pt idx="0">
                  <c:v>GVT Social contributions (D.61r)</c:v>
                </c:pt>
              </c:strCache>
            </c:strRef>
          </c:tx>
          <c:spPr>
            <a:ln w="28575">
              <a:noFill/>
            </a:ln>
          </c:spPr>
          <c:marker>
            <c:symbol val="circle"/>
            <c:size val="7"/>
            <c:spPr>
              <a:solidFill>
                <a:srgbClr val="FFFFFF"/>
              </a:solidFill>
              <a:ln>
                <a:solidFill>
                  <a:srgbClr val="008000"/>
                </a:solidFill>
                <a:prstDash val="solid"/>
              </a:ln>
            </c:spPr>
          </c:marker>
          <c:dLbls>
            <c:dLbl>
              <c:idx val="1"/>
              <c:tx>
                <c:strRef>
                  <c:f>Sector1!$H$252</c:f>
                  <c:strCache>
                    <c:ptCount val="1"/>
                    <c:pt idx="0">
                      <c:v>1996</c:v>
                    </c:pt>
                  </c:strCache>
                </c:strRef>
              </c:tx>
              <c:showLegendKey val="0"/>
              <c:showVal val="0"/>
              <c:showCatName val="0"/>
              <c:showSerName val="0"/>
              <c:showPercent val="0"/>
              <c:showBubbleSize val="0"/>
            </c:dLbl>
            <c:dLbl>
              <c:idx val="2"/>
              <c:tx>
                <c:strRef>
                  <c:f>Sector1!$I$252</c:f>
                  <c:strCache>
                    <c:ptCount val="1"/>
                    <c:pt idx="0">
                      <c:v>1997</c:v>
                    </c:pt>
                  </c:strCache>
                </c:strRef>
              </c:tx>
              <c:showLegendKey val="0"/>
              <c:showVal val="0"/>
              <c:showCatName val="0"/>
              <c:showSerName val="0"/>
              <c:showPercent val="0"/>
              <c:showBubbleSize val="0"/>
            </c:dLbl>
            <c:dLbl>
              <c:idx val="3"/>
              <c:tx>
                <c:strRef>
                  <c:f>Sector1!$J$252</c:f>
                  <c:strCache>
                    <c:ptCount val="1"/>
                    <c:pt idx="0">
                      <c:v>1998</c:v>
                    </c:pt>
                  </c:strCache>
                </c:strRef>
              </c:tx>
              <c:showLegendKey val="0"/>
              <c:showVal val="0"/>
              <c:showCatName val="0"/>
              <c:showSerName val="0"/>
              <c:showPercent val="0"/>
              <c:showBubbleSize val="0"/>
            </c:dLbl>
            <c:dLbl>
              <c:idx val="4"/>
              <c:tx>
                <c:strRef>
                  <c:f>Sector1!$K$252</c:f>
                  <c:strCache>
                    <c:ptCount val="1"/>
                    <c:pt idx="0">
                      <c:v>1999</c:v>
                    </c:pt>
                  </c:strCache>
                </c:strRef>
              </c:tx>
              <c:showLegendKey val="0"/>
              <c:showVal val="0"/>
              <c:showCatName val="0"/>
              <c:showSerName val="0"/>
              <c:showPercent val="0"/>
              <c:showBubbleSize val="0"/>
            </c:dLbl>
            <c:dLbl>
              <c:idx val="5"/>
              <c:tx>
                <c:strRef>
                  <c:f>Sector1!$L$252</c:f>
                  <c:strCache>
                    <c:ptCount val="1"/>
                    <c:pt idx="0">
                      <c:v>2000</c:v>
                    </c:pt>
                  </c:strCache>
                </c:strRef>
              </c:tx>
              <c:showLegendKey val="0"/>
              <c:showVal val="0"/>
              <c:showCatName val="0"/>
              <c:showSerName val="0"/>
              <c:showPercent val="0"/>
              <c:showBubbleSize val="0"/>
            </c:dLbl>
            <c:dLbl>
              <c:idx val="6"/>
              <c:tx>
                <c:strRef>
                  <c:f>Sector1!$M$252</c:f>
                  <c:strCache>
                    <c:ptCount val="1"/>
                    <c:pt idx="0">
                      <c:v>2001</c:v>
                    </c:pt>
                  </c:strCache>
                </c:strRef>
              </c:tx>
              <c:showLegendKey val="0"/>
              <c:showVal val="0"/>
              <c:showCatName val="0"/>
              <c:showSerName val="0"/>
              <c:showPercent val="0"/>
              <c:showBubbleSize val="0"/>
            </c:dLbl>
            <c:dLbl>
              <c:idx val="7"/>
              <c:tx>
                <c:strRef>
                  <c:f>Sector1!$N$252</c:f>
                  <c:strCache>
                    <c:ptCount val="1"/>
                    <c:pt idx="0">
                      <c:v>2002</c:v>
                    </c:pt>
                  </c:strCache>
                </c:strRef>
              </c:tx>
              <c:showLegendKey val="0"/>
              <c:showVal val="0"/>
              <c:showCatName val="0"/>
              <c:showSerName val="0"/>
              <c:showPercent val="0"/>
              <c:showBubbleSize val="0"/>
            </c:dLbl>
            <c:dLbl>
              <c:idx val="8"/>
              <c:tx>
                <c:strRef>
                  <c:f>Sector1!$O$252</c:f>
                  <c:strCache>
                    <c:ptCount val="1"/>
                    <c:pt idx="0">
                      <c:v>2003</c:v>
                    </c:pt>
                  </c:strCache>
                </c:strRef>
              </c:tx>
              <c:showLegendKey val="0"/>
              <c:showVal val="0"/>
              <c:showCatName val="0"/>
              <c:showSerName val="0"/>
              <c:showPercent val="0"/>
              <c:showBubbleSize val="0"/>
            </c:dLbl>
            <c:dLbl>
              <c:idx val="9"/>
              <c:tx>
                <c:strRef>
                  <c:f>Sector1!$P$252</c:f>
                  <c:strCache>
                    <c:ptCount val="1"/>
                    <c:pt idx="0">
                      <c:v>2004</c:v>
                    </c:pt>
                  </c:strCache>
                </c:strRef>
              </c:tx>
              <c:showLegendKey val="0"/>
              <c:showVal val="0"/>
              <c:showCatName val="0"/>
              <c:showSerName val="0"/>
              <c:showPercent val="0"/>
              <c:showBubbleSize val="0"/>
            </c:dLbl>
            <c:dLbl>
              <c:idx val="10"/>
              <c:tx>
                <c:strRef>
                  <c:f>Sector1!$Q$252</c:f>
                  <c:strCache>
                    <c:ptCount val="1"/>
                    <c:pt idx="0">
                      <c:v>2005</c:v>
                    </c:pt>
                  </c:strCache>
                </c:strRef>
              </c:tx>
              <c:showLegendKey val="0"/>
              <c:showVal val="0"/>
              <c:showCatName val="0"/>
              <c:showSerName val="0"/>
              <c:showPercent val="0"/>
              <c:showBubbleSize val="0"/>
            </c:dLbl>
            <c:dLbl>
              <c:idx val="11"/>
              <c:tx>
                <c:strRef>
                  <c:f>Sector1!$R$252</c:f>
                  <c:strCache>
                    <c:ptCount val="1"/>
                    <c:pt idx="0">
                      <c:v>2006</c:v>
                    </c:pt>
                  </c:strCache>
                </c:strRef>
              </c:tx>
              <c:showLegendKey val="0"/>
              <c:showVal val="0"/>
              <c:showCatName val="0"/>
              <c:showSerName val="0"/>
              <c:showPercent val="0"/>
              <c:showBubbleSize val="0"/>
            </c:dLbl>
            <c:dLbl>
              <c:idx val="12"/>
              <c:tx>
                <c:strRef>
                  <c:f>Sector1!$S$252</c:f>
                  <c:strCache>
                    <c:ptCount val="1"/>
                    <c:pt idx="0">
                      <c:v>2007</c:v>
                    </c:pt>
                  </c:strCache>
                </c:strRef>
              </c:tx>
              <c:showLegendKey val="0"/>
              <c:showVal val="0"/>
              <c:showCatName val="0"/>
              <c:showSerName val="0"/>
              <c:showPercent val="0"/>
              <c:showBubbleSize val="0"/>
            </c:dLbl>
            <c:dLbl>
              <c:idx val="13"/>
              <c:tx>
                <c:strRef>
                  <c:f>Sector1!$T$252</c:f>
                  <c:strCache>
                    <c:ptCount val="1"/>
                    <c:pt idx="0">
                      <c:v>2008</c:v>
                    </c:pt>
                  </c:strCache>
                </c:strRef>
              </c:tx>
              <c:showLegendKey val="0"/>
              <c:showVal val="0"/>
              <c:showCatName val="0"/>
              <c:showSerName val="0"/>
              <c:showPercent val="0"/>
              <c:showBubbleSize val="0"/>
            </c:dLbl>
            <c:dLbl>
              <c:idx val="14"/>
              <c:tx>
                <c:strRef>
                  <c:f>Sector1!$U$252</c:f>
                  <c:strCache>
                    <c:ptCount val="1"/>
                    <c:pt idx="0">
                      <c:v>2009</c:v>
                    </c:pt>
                  </c:strCache>
                </c:strRef>
              </c:tx>
              <c:showLegendKey val="0"/>
              <c:showVal val="0"/>
              <c:showCatName val="0"/>
              <c:showSerName val="0"/>
              <c:showPercent val="0"/>
              <c:showBubbleSize val="0"/>
            </c:dLbl>
            <c:dLbl>
              <c:idx val="15"/>
              <c:tx>
                <c:strRef>
                  <c:f>Sector1!$V$252</c:f>
                  <c:strCache>
                    <c:ptCount val="1"/>
                    <c:pt idx="0">
                      <c:v>2010</c:v>
                    </c:pt>
                  </c:strCache>
                </c:strRef>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8000"/>
                </a:solidFill>
                <a:prstDash val="solid"/>
              </a:ln>
            </c:spPr>
            <c:trendlineType val="linear"/>
            <c:dispRSqr val="0"/>
            <c:dispEq val="0"/>
          </c:trendline>
          <c:xVal>
            <c:numRef>
              <c:f>Labour1!$G$224:$AC$224</c:f>
              <c:numCache>
                <c:formatCode>0.0</c:formatCode>
                <c:ptCount val="14"/>
                <c:pt idx="0">
                  <c:v>13.457156870048914</c:v>
                </c:pt>
                <c:pt idx="1">
                  <c:v>16.551506205805964</c:v>
                </c:pt>
                <c:pt idx="2">
                  <c:v>20.625303696470176</c:v>
                </c:pt>
                <c:pt idx="3">
                  <c:v>19.933250951125302</c:v>
                </c:pt>
                <c:pt idx="4" formatCode="0.00">
                  <c:v>16.462651814471975</c:v>
                </c:pt>
                <c:pt idx="5" formatCode="0.00">
                  <c:v>-16.55735569384197</c:v>
                </c:pt>
                <c:pt idx="6" formatCode="0.00">
                  <c:v>-4.2433577525932353</c:v>
                </c:pt>
                <c:pt idx="7" formatCode="0.00">
                  <c:v>7.2024599889973562</c:v>
                </c:pt>
                <c:pt idx="8" formatCode="0.00">
                  <c:v>5.5380206228158535</c:v>
                </c:pt>
                <c:pt idx="9" formatCode="0.00">
                  <c:v>5.8994147360147409</c:v>
                </c:pt>
                <c:pt idx="10" formatCode="0.00">
                  <c:v>6.4129692882434197</c:v>
                </c:pt>
                <c:pt idx="11" formatCode="0.00">
                  <c:v>6.9293958600731953</c:v>
                </c:pt>
                <c:pt idx="12" formatCode="0.00">
                  <c:v>8.2608995937912368</c:v>
                </c:pt>
                <c:pt idx="13" formatCode="0.00">
                  <c:v>8.9820108145402209</c:v>
                </c:pt>
              </c:numCache>
            </c:numRef>
          </c:xVal>
          <c:yVal>
            <c:numRef>
              <c:f>Sector1!$G$267:$AC$267</c:f>
              <c:numCache>
                <c:formatCode>0.0</c:formatCode>
                <c:ptCount val="12"/>
                <c:pt idx="0">
                  <c:v>17.849818542420557</c:v>
                </c:pt>
                <c:pt idx="1">
                  <c:v>20.569900478882055</c:v>
                </c:pt>
                <c:pt idx="2">
                  <c:v>17.89292526253481</c:v>
                </c:pt>
                <c:pt idx="3">
                  <c:v>9.1387801529225534</c:v>
                </c:pt>
                <c:pt idx="4">
                  <c:v>-3.4887386300062828</c:v>
                </c:pt>
                <c:pt idx="5">
                  <c:v>5.4409618417645467</c:v>
                </c:pt>
                <c:pt idx="6">
                  <c:v>3.9652396194664874</c:v>
                </c:pt>
                <c:pt idx="7">
                  <c:v>4.4898912354917941</c:v>
                </c:pt>
                <c:pt idx="8">
                  <c:v>7.2180335238584581</c:v>
                </c:pt>
                <c:pt idx="9" formatCode="0.00">
                  <c:v>6.7711615269794967</c:v>
                </c:pt>
                <c:pt idx="10" formatCode="0.00">
                  <c:v>8.7013109412656942</c:v>
                </c:pt>
                <c:pt idx="11" formatCode="0.00">
                  <c:v>12.388380313796855</c:v>
                </c:pt>
              </c:numCache>
            </c:numRef>
          </c:yVal>
          <c:smooth val="0"/>
        </c:ser>
        <c:ser>
          <c:idx val="1"/>
          <c:order val="1"/>
          <c:tx>
            <c:strRef>
              <c:f>Sector1!$F$276</c:f>
              <c:strCache>
                <c:ptCount val="1"/>
                <c:pt idx="0">
                  <c:v>OECD</c:v>
                </c:pt>
              </c:strCache>
            </c:strRef>
          </c:tx>
          <c:spPr>
            <a:ln w="25400">
              <a:solidFill>
                <a:srgbClr val="FF0000"/>
              </a:solidFill>
              <a:prstDash val="solid"/>
            </a:ln>
          </c:spPr>
          <c:marker>
            <c:symbol val="none"/>
          </c:marker>
          <c:xVal>
            <c:numRef>
              <c:f>Labour1!$G$224:$AC$224</c:f>
              <c:numCache>
                <c:formatCode>0.0</c:formatCode>
                <c:ptCount val="14"/>
                <c:pt idx="0">
                  <c:v>13.457156870048914</c:v>
                </c:pt>
                <c:pt idx="1">
                  <c:v>16.551506205805964</c:v>
                </c:pt>
                <c:pt idx="2">
                  <c:v>20.625303696470176</c:v>
                </c:pt>
                <c:pt idx="3">
                  <c:v>19.933250951125302</c:v>
                </c:pt>
                <c:pt idx="4" formatCode="0.00">
                  <c:v>16.462651814471975</c:v>
                </c:pt>
                <c:pt idx="5" formatCode="0.00">
                  <c:v>-16.55735569384197</c:v>
                </c:pt>
                <c:pt idx="6" formatCode="0.00">
                  <c:v>-4.2433577525932353</c:v>
                </c:pt>
                <c:pt idx="7" formatCode="0.00">
                  <c:v>7.2024599889973562</c:v>
                </c:pt>
                <c:pt idx="8" formatCode="0.00">
                  <c:v>5.5380206228158535</c:v>
                </c:pt>
                <c:pt idx="9" formatCode="0.00">
                  <c:v>5.8994147360147409</c:v>
                </c:pt>
                <c:pt idx="10" formatCode="0.00">
                  <c:v>6.4129692882434197</c:v>
                </c:pt>
                <c:pt idx="11" formatCode="0.00">
                  <c:v>6.9293958600731953</c:v>
                </c:pt>
                <c:pt idx="12" formatCode="0.00">
                  <c:v>8.2608995937912368</c:v>
                </c:pt>
                <c:pt idx="13" formatCode="0.00">
                  <c:v>8.9820108145402209</c:v>
                </c:pt>
              </c:numCache>
            </c:numRef>
          </c:xVal>
          <c:yVal>
            <c:numRef>
              <c:f>Sector1!$G$276:$AC$276</c:f>
              <c:numCache>
                <c:formatCode>0.0</c:formatCode>
                <c:ptCount val="12"/>
                <c:pt idx="0">
                  <c:v>20.625303696470176</c:v>
                </c:pt>
                <c:pt idx="1">
                  <c:v>19.933250951125302</c:v>
                </c:pt>
                <c:pt idx="2">
                  <c:v>16.462651814471975</c:v>
                </c:pt>
                <c:pt idx="3">
                  <c:v>-16.55735569384197</c:v>
                </c:pt>
                <c:pt idx="4">
                  <c:v>-4.2433577525932353</c:v>
                </c:pt>
                <c:pt idx="5">
                  <c:v>7.2024599889973562</c:v>
                </c:pt>
                <c:pt idx="6">
                  <c:v>5.5380206228158535</c:v>
                </c:pt>
                <c:pt idx="7">
                  <c:v>5.8994147360147409</c:v>
                </c:pt>
                <c:pt idx="8">
                  <c:v>6.4129692882434197</c:v>
                </c:pt>
                <c:pt idx="9">
                  <c:v>6.9293958600731953</c:v>
                </c:pt>
                <c:pt idx="10">
                  <c:v>8.2608995937912368</c:v>
                </c:pt>
                <c:pt idx="11">
                  <c:v>8.9820108145402209</c:v>
                </c:pt>
              </c:numCache>
            </c:numRef>
          </c:yVal>
          <c:smooth val="0"/>
        </c:ser>
        <c:dLbls>
          <c:showLegendKey val="0"/>
          <c:showVal val="0"/>
          <c:showCatName val="0"/>
          <c:showSerName val="0"/>
          <c:showPercent val="0"/>
          <c:showBubbleSize val="0"/>
        </c:dLbls>
        <c:axId val="248539392"/>
        <c:axId val="248578048"/>
      </c:scatterChart>
      <c:valAx>
        <c:axId val="24853939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578048"/>
        <c:crosses val="autoZero"/>
        <c:crossBetween val="midCat"/>
      </c:valAx>
      <c:valAx>
        <c:axId val="24857804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539392"/>
        <c:crosses val="autoZero"/>
        <c:crossBetween val="midCat"/>
      </c:valAx>
      <c:spPr>
        <a:noFill/>
        <a:ln w="12700">
          <a:solidFill>
            <a:srgbClr val="808080"/>
          </a:solidFill>
          <a:prstDash val="solid"/>
        </a:ln>
      </c:spPr>
    </c:plotArea>
    <c:legend>
      <c:legendPos val="r"/>
      <c:layout>
        <c:manualLayout>
          <c:xMode val="edge"/>
          <c:yMode val="edge"/>
          <c:x val="0.21651809148856391"/>
          <c:y val="0.79552026584912183"/>
          <c:w val="0.6093757030371203"/>
          <c:h val="0.18487453774160578"/>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Social contributions (GVT, received) as % of compensation of employees</a:t>
            </a:r>
          </a:p>
        </c:rich>
      </c:tx>
      <c:layout>
        <c:manualLayout>
          <c:xMode val="edge"/>
          <c:yMode val="edge"/>
          <c:x val="0.1138395200599925"/>
          <c:y val="3.3613445378151259E-2"/>
        </c:manualLayout>
      </c:layout>
      <c:overlay val="0"/>
      <c:spPr>
        <a:noFill/>
        <a:ln w="25400">
          <a:noFill/>
        </a:ln>
      </c:spPr>
    </c:title>
    <c:autoTitleDeleted val="0"/>
    <c:plotArea>
      <c:layout>
        <c:manualLayout>
          <c:layoutTarget val="inner"/>
          <c:xMode val="edge"/>
          <c:yMode val="edge"/>
          <c:x val="0.14285729855924176"/>
          <c:y val="0.21848799262515489"/>
          <c:w val="0.79017943265580604"/>
          <c:h val="0.57703239077925528"/>
        </c:manualLayout>
      </c:layout>
      <c:lineChart>
        <c:grouping val="standard"/>
        <c:varyColors val="0"/>
        <c:ser>
          <c:idx val="0"/>
          <c:order val="0"/>
          <c:tx>
            <c:strRef>
              <c:f>Sector1!$D$281:$E$281</c:f>
              <c:strCache>
                <c:ptCount val="1"/>
                <c:pt idx="0">
                  <c:v>GVT Social contributions (D.61r)</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Sector1!$G$291:$AC$291</c:f>
              <c:numCache>
                <c:formatCode>0.0%</c:formatCode>
                <c:ptCount val="12"/>
                <c:pt idx="0">
                  <c:v>0.22086248333706326</c:v>
                </c:pt>
                <c:pt idx="1">
                  <c:v>0.22203490211668114</c:v>
                </c:pt>
                <c:pt idx="2">
                  <c:v>0.22476170440130211</c:v>
                </c:pt>
                <c:pt idx="3">
                  <c:v>0.29397699997912891</c:v>
                </c:pt>
                <c:pt idx="4">
                  <c:v>0.29629371306115015</c:v>
                </c:pt>
                <c:pt idx="5">
                  <c:v>0.29142516035585292</c:v>
                </c:pt>
                <c:pt idx="6">
                  <c:v>0.2870821951059756</c:v>
                </c:pt>
                <c:pt idx="7">
                  <c:v>0.28326112488011745</c:v>
                </c:pt>
                <c:pt idx="8">
                  <c:v>0.2854041287123229</c:v>
                </c:pt>
                <c:pt idx="9">
                  <c:v>0.28498178711387151</c:v>
                </c:pt>
                <c:pt idx="10">
                  <c:v>0.28614110883888416</c:v>
                </c:pt>
                <c:pt idx="11">
                  <c:v>0.29508480824713734</c:v>
                </c:pt>
              </c:numCache>
            </c:numRef>
          </c:val>
          <c:smooth val="0"/>
        </c:ser>
        <c:dLbls>
          <c:showLegendKey val="0"/>
          <c:showVal val="0"/>
          <c:showCatName val="0"/>
          <c:showSerName val="0"/>
          <c:showPercent val="0"/>
          <c:showBubbleSize val="0"/>
        </c:dLbls>
        <c:marker val="1"/>
        <c:smooth val="0"/>
        <c:axId val="248585600"/>
        <c:axId val="248595968"/>
      </c:lineChart>
      <c:catAx>
        <c:axId val="24858560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595968"/>
        <c:crosses val="autoZero"/>
        <c:auto val="1"/>
        <c:lblAlgn val="ctr"/>
        <c:lblOffset val="100"/>
        <c:tickLblSkip val="2"/>
        <c:tickMarkSkip val="1"/>
        <c:noMultiLvlLbl val="0"/>
      </c:catAx>
      <c:valAx>
        <c:axId val="2485959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585600"/>
        <c:crosses val="autoZero"/>
        <c:crossBetween val="midCat"/>
      </c:valAx>
      <c:spPr>
        <a:noFill/>
        <a:ln w="12700">
          <a:solidFill>
            <a:srgbClr val="808080"/>
          </a:solidFill>
          <a:prstDash val="solid"/>
        </a:ln>
      </c:spPr>
    </c:plotArea>
    <c:legend>
      <c:legendPos val="r"/>
      <c:layout>
        <c:manualLayout>
          <c:xMode val="edge"/>
          <c:yMode val="edge"/>
          <c:x val="0.28125023434570678"/>
          <c:y val="0.91316761875353814"/>
          <c:w val="0.51116118297712787"/>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contributions (GVT, received) as % of GDP</a:t>
            </a:r>
          </a:p>
        </c:rich>
      </c:tx>
      <c:layout>
        <c:manualLayout>
          <c:xMode val="edge"/>
          <c:yMode val="edge"/>
          <c:x val="0.15178594863142106"/>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Sector1!$D$281:$E$281</c:f>
              <c:strCache>
                <c:ptCount val="1"/>
                <c:pt idx="0">
                  <c:v>GVT Social contributions (D.61r)</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Sector1!$G$281:$AC$281</c:f>
              <c:numCache>
                <c:formatCode>0.0%</c:formatCode>
                <c:ptCount val="12"/>
                <c:pt idx="0">
                  <c:v>9.4266914404892529E-2</c:v>
                </c:pt>
                <c:pt idx="1">
                  <c:v>9.4239593728241713E-2</c:v>
                </c:pt>
                <c:pt idx="2">
                  <c:v>9.8680033324892003E-2</c:v>
                </c:pt>
                <c:pt idx="3">
                  <c:v>0.13073523416900504</c:v>
                </c:pt>
                <c:pt idx="4">
                  <c:v>0.12125450358681389</c:v>
                </c:pt>
                <c:pt idx="5">
                  <c:v>0.11457564622839989</c:v>
                </c:pt>
                <c:pt idx="6">
                  <c:v>0.11171363732320033</c:v>
                </c:pt>
                <c:pt idx="7">
                  <c:v>0.11134979898254128</c:v>
                </c:pt>
                <c:pt idx="8">
                  <c:v>0.11413525601969794</c:v>
                </c:pt>
                <c:pt idx="9">
                  <c:v>0.11906875883228538</c:v>
                </c:pt>
                <c:pt idx="10">
                  <c:v>0.1252730917712484</c:v>
                </c:pt>
                <c:pt idx="11">
                  <c:v>0.13030776255255688</c:v>
                </c:pt>
              </c:numCache>
            </c:numRef>
          </c:val>
          <c:smooth val="0"/>
        </c:ser>
        <c:dLbls>
          <c:showLegendKey val="0"/>
          <c:showVal val="0"/>
          <c:showCatName val="0"/>
          <c:showSerName val="0"/>
          <c:showPercent val="0"/>
          <c:showBubbleSize val="0"/>
        </c:dLbls>
        <c:marker val="1"/>
        <c:smooth val="0"/>
        <c:axId val="249042432"/>
        <c:axId val="249044352"/>
      </c:lineChart>
      <c:catAx>
        <c:axId val="24904243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044352"/>
        <c:crosses val="autoZero"/>
        <c:auto val="1"/>
        <c:lblAlgn val="ctr"/>
        <c:lblOffset val="100"/>
        <c:tickLblSkip val="2"/>
        <c:tickMarkSkip val="1"/>
        <c:noMultiLvlLbl val="0"/>
      </c:catAx>
      <c:valAx>
        <c:axId val="24904435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042432"/>
        <c:crosses val="autoZero"/>
        <c:crossBetween val="midCat"/>
      </c:valAx>
      <c:spPr>
        <a:noFill/>
        <a:ln w="12700">
          <a:solidFill>
            <a:srgbClr val="808080"/>
          </a:solidFill>
          <a:prstDash val="solid"/>
        </a:ln>
      </c:spPr>
    </c:plotArea>
    <c:legend>
      <c:legendPos val="r"/>
      <c:layout>
        <c:manualLayout>
          <c:xMode val="edge"/>
          <c:yMode val="edge"/>
          <c:x val="0.28125023434570678"/>
          <c:y val="0.91316761875353814"/>
          <c:w val="0.51116118297712787"/>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Corporate income tax related to corporate GOS</a:t>
            </a:r>
          </a:p>
        </c:rich>
      </c:tx>
      <c:layout>
        <c:manualLayout>
          <c:xMode val="edge"/>
          <c:yMode val="edge"/>
          <c:x val="0.16071452005999248"/>
          <c:y val="3.3613445378151259E-2"/>
        </c:manualLayout>
      </c:layout>
      <c:overlay val="0"/>
      <c:spPr>
        <a:noFill/>
        <a:ln w="25400">
          <a:noFill/>
        </a:ln>
      </c:spPr>
    </c:title>
    <c:autoTitleDeleted val="0"/>
    <c:plotArea>
      <c:layout>
        <c:manualLayout>
          <c:layoutTarget val="inner"/>
          <c:xMode val="edge"/>
          <c:yMode val="edge"/>
          <c:x val="0.11607155507938394"/>
          <c:y val="0.17647107096647127"/>
          <c:w val="0.82812590258560459"/>
          <c:h val="0.56022562211578175"/>
        </c:manualLayout>
      </c:layout>
      <c:scatterChart>
        <c:scatterStyle val="lineMarker"/>
        <c:varyColors val="0"/>
        <c:ser>
          <c:idx val="0"/>
          <c:order val="0"/>
          <c:tx>
            <c:strRef>
              <c:f>Sector1!$D$210:$E$210</c:f>
              <c:strCache>
                <c:ptCount val="1"/>
                <c:pt idx="0">
                  <c:v>E Current taxes on income and wealth (D.5p)  </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rPr lang="en-GB"/>
                      <a:t>1996</a:t>
                    </a:r>
                  </a:p>
                </c:rich>
              </c:tx>
              <c:showLegendKey val="0"/>
              <c:showVal val="0"/>
              <c:showCatName val="0"/>
              <c:showSerName val="0"/>
              <c:showPercent val="0"/>
              <c:showBubbleSize val="0"/>
            </c:dLbl>
            <c:dLbl>
              <c:idx val="2"/>
              <c:tx>
                <c:rich>
                  <a:bodyPr/>
                  <a:lstStyle/>
                  <a:p>
                    <a:r>
                      <a:rPr lang="en-GB"/>
                      <a:t>1997</a:t>
                    </a:r>
                  </a:p>
                </c:rich>
              </c:tx>
              <c:showLegendKey val="0"/>
              <c:showVal val="0"/>
              <c:showCatName val="0"/>
              <c:showSerName val="0"/>
              <c:showPercent val="0"/>
              <c:showBubbleSize val="0"/>
            </c:dLbl>
            <c:dLbl>
              <c:idx val="3"/>
              <c:tx>
                <c:rich>
                  <a:bodyPr/>
                  <a:lstStyle/>
                  <a:p>
                    <a:r>
                      <a:rPr lang="en-GB"/>
                      <a:t>1998</a:t>
                    </a:r>
                  </a:p>
                </c:rich>
              </c:tx>
              <c:showLegendKey val="0"/>
              <c:showVal val="0"/>
              <c:showCatName val="0"/>
              <c:showSerName val="0"/>
              <c:showPercent val="0"/>
              <c:showBubbleSize val="0"/>
            </c:dLbl>
            <c:dLbl>
              <c:idx val="4"/>
              <c:tx>
                <c:rich>
                  <a:bodyPr/>
                  <a:lstStyle/>
                  <a:p>
                    <a:r>
                      <a:rPr lang="en-GB"/>
                      <a:t>1999</a:t>
                    </a:r>
                  </a:p>
                </c:rich>
              </c:tx>
              <c:showLegendKey val="0"/>
              <c:showVal val="0"/>
              <c:showCatName val="0"/>
              <c:showSerName val="0"/>
              <c:showPercent val="0"/>
              <c:showBubbleSize val="0"/>
            </c:dLbl>
            <c:dLbl>
              <c:idx val="5"/>
              <c:tx>
                <c:rich>
                  <a:bodyPr/>
                  <a:lstStyle/>
                  <a:p>
                    <a:r>
                      <a:rPr lang="en-GB"/>
                      <a:t>2000</a:t>
                    </a:r>
                  </a:p>
                </c:rich>
              </c:tx>
              <c:showLegendKey val="0"/>
              <c:showVal val="0"/>
              <c:showCatName val="0"/>
              <c:showSerName val="0"/>
              <c:showPercent val="0"/>
              <c:showBubbleSize val="0"/>
            </c:dLbl>
            <c:dLbl>
              <c:idx val="6"/>
              <c:tx>
                <c:rich>
                  <a:bodyPr/>
                  <a:lstStyle/>
                  <a:p>
                    <a:r>
                      <a:rPr lang="en-GB"/>
                      <a:t>2001</a:t>
                    </a:r>
                  </a:p>
                </c:rich>
              </c:tx>
              <c:showLegendKey val="0"/>
              <c:showVal val="0"/>
              <c:showCatName val="0"/>
              <c:showSerName val="0"/>
              <c:showPercent val="0"/>
              <c:showBubbleSize val="0"/>
            </c:dLbl>
            <c:dLbl>
              <c:idx val="7"/>
              <c:tx>
                <c:rich>
                  <a:bodyPr/>
                  <a:lstStyle/>
                  <a:p>
                    <a:r>
                      <a:rPr lang="en-GB"/>
                      <a:t>2002</a:t>
                    </a:r>
                  </a:p>
                </c:rich>
              </c:tx>
              <c:showLegendKey val="0"/>
              <c:showVal val="0"/>
              <c:showCatName val="0"/>
              <c:showSerName val="0"/>
              <c:showPercent val="0"/>
              <c:showBubbleSize val="0"/>
            </c:dLbl>
            <c:dLbl>
              <c:idx val="8"/>
              <c:tx>
                <c:rich>
                  <a:bodyPr/>
                  <a:lstStyle/>
                  <a:p>
                    <a:r>
                      <a:rPr lang="en-GB"/>
                      <a:t>2003</a:t>
                    </a:r>
                  </a:p>
                </c:rich>
              </c:tx>
              <c:showLegendKey val="0"/>
              <c:showVal val="0"/>
              <c:showCatName val="0"/>
              <c:showSerName val="0"/>
              <c:showPercent val="0"/>
              <c:showBubbleSize val="0"/>
            </c:dLbl>
            <c:dLbl>
              <c:idx val="9"/>
              <c:tx>
                <c:rich>
                  <a:bodyPr/>
                  <a:lstStyle/>
                  <a:p>
                    <a:r>
                      <a:rPr lang="en-GB"/>
                      <a:t>2004</a:t>
                    </a:r>
                  </a:p>
                </c:rich>
              </c:tx>
              <c:showLegendKey val="0"/>
              <c:showVal val="0"/>
              <c:showCatName val="0"/>
              <c:showSerName val="0"/>
              <c:showPercent val="0"/>
              <c:showBubbleSize val="0"/>
            </c:dLbl>
            <c:dLbl>
              <c:idx val="10"/>
              <c:tx>
                <c:rich>
                  <a:bodyPr/>
                  <a:lstStyle/>
                  <a:p>
                    <a:r>
                      <a:rPr lang="en-GB"/>
                      <a:t>2005</a:t>
                    </a:r>
                  </a:p>
                </c:rich>
              </c:tx>
              <c:showLegendKey val="0"/>
              <c:showVal val="0"/>
              <c:showCatName val="0"/>
              <c:showSerName val="0"/>
              <c:showPercent val="0"/>
              <c:showBubbleSize val="0"/>
            </c:dLbl>
            <c:dLbl>
              <c:idx val="11"/>
              <c:tx>
                <c:rich>
                  <a:bodyPr/>
                  <a:lstStyle/>
                  <a:p>
                    <a:r>
                      <a:rPr lang="en-GB"/>
                      <a:t>2006</a:t>
                    </a:r>
                  </a:p>
                </c:rich>
              </c:tx>
              <c:showLegendKey val="0"/>
              <c:showVal val="0"/>
              <c:showCatName val="0"/>
              <c:showSerName val="0"/>
              <c:showPercent val="0"/>
              <c:showBubbleSize val="0"/>
            </c:dLbl>
            <c:dLbl>
              <c:idx val="12"/>
              <c:tx>
                <c:rich>
                  <a:bodyPr/>
                  <a:lstStyle/>
                  <a:p>
                    <a:r>
                      <a:rPr lang="en-GB"/>
                      <a:t>2007</a:t>
                    </a:r>
                  </a:p>
                </c:rich>
              </c:tx>
              <c:showLegendKey val="0"/>
              <c:showVal val="0"/>
              <c:showCatName val="0"/>
              <c:showSerName val="0"/>
              <c:showPercent val="0"/>
              <c:showBubbleSize val="0"/>
            </c:dLbl>
            <c:dLbl>
              <c:idx val="13"/>
              <c:tx>
                <c:rich>
                  <a:bodyPr/>
                  <a:lstStyle/>
                  <a:p>
                    <a:r>
                      <a:rPr lang="en-GB"/>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339966"/>
                </a:solidFill>
                <a:prstDash val="solid"/>
              </a:ln>
            </c:spPr>
            <c:trendlineType val="linear"/>
            <c:dispRSqr val="0"/>
            <c:dispEq val="0"/>
          </c:trendline>
          <c:xVal>
            <c:numRef>
              <c:f>Sector1!$G$119:$AC$119</c:f>
              <c:numCache>
                <c:formatCode>0.0</c:formatCode>
                <c:ptCount val="12"/>
                <c:pt idx="0">
                  <c:v>10.911965293479643</c:v>
                </c:pt>
                <c:pt idx="1">
                  <c:v>25.017370960853214</c:v>
                </c:pt>
                <c:pt idx="2">
                  <c:v>8.6467192885842934</c:v>
                </c:pt>
                <c:pt idx="3">
                  <c:v>-19.40306072643444</c:v>
                </c:pt>
                <c:pt idx="4">
                  <c:v>18.564404288572579</c:v>
                </c:pt>
                <c:pt idx="5">
                  <c:v>17.96164855047553</c:v>
                </c:pt>
                <c:pt idx="6">
                  <c:v>6.637422371885493</c:v>
                </c:pt>
                <c:pt idx="7">
                  <c:v>4.5335569736098202</c:v>
                </c:pt>
                <c:pt idx="8">
                  <c:v>2.1574887613675209</c:v>
                </c:pt>
                <c:pt idx="9">
                  <c:v>-4.5899728569255949</c:v>
                </c:pt>
                <c:pt idx="10">
                  <c:v>-1.82051307598039</c:v>
                </c:pt>
                <c:pt idx="11">
                  <c:v>9.579592722492535</c:v>
                </c:pt>
              </c:numCache>
            </c:numRef>
          </c:xVal>
          <c:yVal>
            <c:numRef>
              <c:f>Sector1!$G$210:$AC$210</c:f>
              <c:numCache>
                <c:formatCode>0.0</c:formatCode>
                <c:ptCount val="12"/>
                <c:pt idx="0">
                  <c:v>51.755189954630843</c:v>
                </c:pt>
                <c:pt idx="1">
                  <c:v>10.740008153527913</c:v>
                </c:pt>
                <c:pt idx="2">
                  <c:v>20.816176270077193</c:v>
                </c:pt>
                <c:pt idx="3">
                  <c:v>-44.864517148370943</c:v>
                </c:pt>
                <c:pt idx="4">
                  <c:v>-43.516528502712113</c:v>
                </c:pt>
                <c:pt idx="5">
                  <c:v>-8.6936039137524794</c:v>
                </c:pt>
                <c:pt idx="6">
                  <c:v>70.741387521828841</c:v>
                </c:pt>
                <c:pt idx="7">
                  <c:v>10.471873547187371</c:v>
                </c:pt>
                <c:pt idx="8">
                  <c:v>4.8963703314045093</c:v>
                </c:pt>
                <c:pt idx="9">
                  <c:v>14.87202118270079</c:v>
                </c:pt>
                <c:pt idx="10">
                  <c:v>9.2375929871127518</c:v>
                </c:pt>
                <c:pt idx="11" formatCode="0.00">
                  <c:v>0.8696208197455102</c:v>
                </c:pt>
              </c:numCache>
            </c:numRef>
          </c:yVal>
          <c:smooth val="0"/>
        </c:ser>
        <c:dLbls>
          <c:showLegendKey val="0"/>
          <c:showVal val="0"/>
          <c:showCatName val="0"/>
          <c:showSerName val="0"/>
          <c:showPercent val="0"/>
          <c:showBubbleSize val="0"/>
        </c:dLbls>
        <c:axId val="249078528"/>
        <c:axId val="249080064"/>
      </c:scatterChart>
      <c:valAx>
        <c:axId val="24907852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080064"/>
        <c:crosses val="autoZero"/>
        <c:crossBetween val="midCat"/>
      </c:valAx>
      <c:valAx>
        <c:axId val="24908006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078528"/>
        <c:crosses val="autoZero"/>
        <c:crossBetween val="midCat"/>
      </c:valAx>
      <c:spPr>
        <a:noFill/>
        <a:ln w="12700">
          <a:solidFill>
            <a:srgbClr val="808080"/>
          </a:solidFill>
          <a:prstDash val="solid"/>
        </a:ln>
      </c:spPr>
    </c:plotArea>
    <c:legend>
      <c:legendPos val="r"/>
      <c:layout>
        <c:manualLayout>
          <c:xMode val="edge"/>
          <c:yMode val="edge"/>
          <c:x val="0.14732166291713536"/>
          <c:y val="0.85434408934177342"/>
          <c:w val="0.78348308023997004"/>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income tax related to GDP</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0.10044653804946686"/>
          <c:y val="0.17647107096647127"/>
          <c:w val="0.84375091961552173"/>
          <c:h val="0.50140193179362469"/>
        </c:manualLayout>
      </c:layout>
      <c:scatterChart>
        <c:scatterStyle val="lineMarker"/>
        <c:varyColors val="0"/>
        <c:ser>
          <c:idx val="0"/>
          <c:order val="0"/>
          <c:tx>
            <c:strRef>
              <c:f>Sector1!$D$209:$E$209</c:f>
              <c:strCache>
                <c:ptCount val="1"/>
                <c:pt idx="0">
                  <c:v>HH Current taxes on income and wealth (D.5p)  </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dLbl>
            <c:dLbl>
              <c:idx val="2"/>
              <c:tx>
                <c:rich>
                  <a:bodyPr/>
                  <a:lstStyle/>
                  <a:p>
                    <a:r>
                      <a:t>1997</a:t>
                    </a:r>
                  </a:p>
                </c:rich>
              </c:tx>
              <c:showLegendKey val="0"/>
              <c:showVal val="0"/>
              <c:showCatName val="0"/>
              <c:showSerName val="0"/>
              <c:showPercent val="0"/>
              <c:showBubbleSize val="0"/>
            </c:dLbl>
            <c:dLbl>
              <c:idx val="3"/>
              <c:tx>
                <c:rich>
                  <a:bodyPr/>
                  <a:lstStyle/>
                  <a:p>
                    <a:r>
                      <a:t>1998</a:t>
                    </a:r>
                  </a:p>
                </c:rich>
              </c:tx>
              <c:showLegendKey val="0"/>
              <c:showVal val="0"/>
              <c:showCatName val="0"/>
              <c:showSerName val="0"/>
              <c:showPercent val="0"/>
              <c:showBubbleSize val="0"/>
            </c:dLbl>
            <c:dLbl>
              <c:idx val="4"/>
              <c:tx>
                <c:rich>
                  <a:bodyPr/>
                  <a:lstStyle/>
                  <a:p>
                    <a:r>
                      <a:t>1999</a:t>
                    </a:r>
                  </a:p>
                </c:rich>
              </c:tx>
              <c:showLegendKey val="0"/>
              <c:showVal val="0"/>
              <c:showCatName val="0"/>
              <c:showSerName val="0"/>
              <c:showPercent val="0"/>
              <c:showBubbleSize val="0"/>
            </c:dLbl>
            <c:dLbl>
              <c:idx val="5"/>
              <c:tx>
                <c:rich>
                  <a:bodyPr/>
                  <a:lstStyle/>
                  <a:p>
                    <a:r>
                      <a:t>2000</a:t>
                    </a:r>
                  </a:p>
                </c:rich>
              </c:tx>
              <c:showLegendKey val="0"/>
              <c:showVal val="0"/>
              <c:showCatName val="0"/>
              <c:showSerName val="0"/>
              <c:showPercent val="0"/>
              <c:showBubbleSize val="0"/>
            </c:dLbl>
            <c:dLbl>
              <c:idx val="6"/>
              <c:tx>
                <c:rich>
                  <a:bodyPr/>
                  <a:lstStyle/>
                  <a:p>
                    <a:r>
                      <a:t>2001</a:t>
                    </a:r>
                  </a:p>
                </c:rich>
              </c:tx>
              <c:showLegendKey val="0"/>
              <c:showVal val="0"/>
              <c:showCatName val="0"/>
              <c:showSerName val="0"/>
              <c:showPercent val="0"/>
              <c:showBubbleSize val="0"/>
            </c:dLbl>
            <c:dLbl>
              <c:idx val="7"/>
              <c:tx>
                <c:rich>
                  <a:bodyPr/>
                  <a:lstStyle/>
                  <a:p>
                    <a:r>
                      <a:t>2002</a:t>
                    </a:r>
                  </a:p>
                </c:rich>
              </c:tx>
              <c:showLegendKey val="0"/>
              <c:showVal val="0"/>
              <c:showCatName val="0"/>
              <c:showSerName val="0"/>
              <c:showPercent val="0"/>
              <c:showBubbleSize val="0"/>
            </c:dLbl>
            <c:dLbl>
              <c:idx val="8"/>
              <c:tx>
                <c:rich>
                  <a:bodyPr/>
                  <a:lstStyle/>
                  <a:p>
                    <a:r>
                      <a:t>2003</a:t>
                    </a:r>
                  </a:p>
                </c:rich>
              </c:tx>
              <c:showLegendKey val="0"/>
              <c:showVal val="0"/>
              <c:showCatName val="0"/>
              <c:showSerName val="0"/>
              <c:showPercent val="0"/>
              <c:showBubbleSize val="0"/>
            </c:dLbl>
            <c:dLbl>
              <c:idx val="9"/>
              <c:tx>
                <c:rich>
                  <a:bodyPr/>
                  <a:lstStyle/>
                  <a:p>
                    <a:r>
                      <a:t>2004</a:t>
                    </a:r>
                  </a:p>
                </c:rich>
              </c:tx>
              <c:showLegendKey val="0"/>
              <c:showVal val="0"/>
              <c:showCatName val="0"/>
              <c:showSerName val="0"/>
              <c:showPercent val="0"/>
              <c:showBubbleSize val="0"/>
            </c:dLbl>
            <c:dLbl>
              <c:idx val="10"/>
              <c:tx>
                <c:rich>
                  <a:bodyPr/>
                  <a:lstStyle/>
                  <a:p>
                    <a:r>
                      <a:t>2005</a:t>
                    </a:r>
                  </a:p>
                </c:rich>
              </c:tx>
              <c:showLegendKey val="0"/>
              <c:showVal val="0"/>
              <c:showCatName val="0"/>
              <c:showSerName val="0"/>
              <c:showPercent val="0"/>
              <c:showBubbleSize val="0"/>
            </c:dLbl>
            <c:dLbl>
              <c:idx val="11"/>
              <c:tx>
                <c:rich>
                  <a:bodyPr/>
                  <a:lstStyle/>
                  <a:p>
                    <a:r>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0000FF"/>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Sector1!$G$209:$AC$209</c:f>
              <c:numCache>
                <c:formatCode>0.0</c:formatCode>
                <c:ptCount val="12"/>
                <c:pt idx="0">
                  <c:v>13.489304720077167</c:v>
                </c:pt>
                <c:pt idx="1">
                  <c:v>16.076810681600051</c:v>
                </c:pt>
                <c:pt idx="2">
                  <c:v>12.589272547243358</c:v>
                </c:pt>
                <c:pt idx="3">
                  <c:v>-48.260053983000503</c:v>
                </c:pt>
                <c:pt idx="4">
                  <c:v>-5.9924958184530475</c:v>
                </c:pt>
                <c:pt idx="5">
                  <c:v>8.0267751521970965</c:v>
                </c:pt>
                <c:pt idx="6">
                  <c:v>4.9028248889363635</c:v>
                </c:pt>
                <c:pt idx="7">
                  <c:v>7.4335907663583445</c:v>
                </c:pt>
                <c:pt idx="8">
                  <c:v>5.3677649716799891</c:v>
                </c:pt>
                <c:pt idx="9">
                  <c:v>9.2312421279913792</c:v>
                </c:pt>
                <c:pt idx="10">
                  <c:v>6.8903271858720361</c:v>
                </c:pt>
                <c:pt idx="11" formatCode="0.00">
                  <c:v>7.44</c:v>
                </c:pt>
              </c:numCache>
            </c:numRef>
          </c:yVal>
          <c:smooth val="0"/>
        </c:ser>
        <c:ser>
          <c:idx val="1"/>
          <c:order val="1"/>
          <c:tx>
            <c:strRef>
              <c:f>Sector1!$F$216</c:f>
              <c:strCache>
                <c:ptCount val="1"/>
                <c:pt idx="0">
                  <c:v>OECD</c:v>
                </c:pt>
              </c:strCache>
            </c:strRef>
          </c:tx>
          <c:spPr>
            <a:ln w="25400">
              <a:solidFill>
                <a:srgbClr val="FF0000"/>
              </a:solidFill>
              <a:prstDash val="solid"/>
            </a:ln>
          </c:spPr>
          <c:marker>
            <c:symbol val="none"/>
          </c:marker>
          <c:xVal>
            <c:numRef>
              <c:f>'VVP2'!$G$348:$AA$348</c:f>
              <c:numCache>
                <c:formatCode>0.0</c:formatCode>
                <c:ptCount val="4"/>
                <c:pt idx="0">
                  <c:v>6.6287411287878184</c:v>
                </c:pt>
                <c:pt idx="1">
                  <c:v>4.8313146506227644</c:v>
                </c:pt>
                <c:pt idx="2">
                  <c:v>4.6013904601447608</c:v>
                </c:pt>
                <c:pt idx="3">
                  <c:v>2.3471981728427016</c:v>
                </c:pt>
              </c:numCache>
            </c:numRef>
          </c:xVal>
          <c:yVal>
            <c:numRef>
              <c:f>Sector1!$G$216:$AC$216</c:f>
              <c:numCache>
                <c:formatCode>0.0</c:formatCode>
                <c:ptCount val="12"/>
                <c:pt idx="0">
                  <c:v>15.968425914242934</c:v>
                </c:pt>
                <c:pt idx="1">
                  <c:v>22.459291387829648</c:v>
                </c:pt>
                <c:pt idx="2">
                  <c:v>13.720851385609009</c:v>
                </c:pt>
                <c:pt idx="3">
                  <c:v>-19.207051689060666</c:v>
                </c:pt>
                <c:pt idx="4">
                  <c:v>4.422511826698682</c:v>
                </c:pt>
                <c:pt idx="5">
                  <c:v>12.630199595685122</c:v>
                </c:pt>
                <c:pt idx="6">
                  <c:v>7.2253278303787223</c:v>
                </c:pt>
                <c:pt idx="7">
                  <c:v>5.2661329691788135</c:v>
                </c:pt>
                <c:pt idx="8">
                  <c:v>5.01551560155779</c:v>
                </c:pt>
                <c:pt idx="9">
                  <c:v>2.558446008398545</c:v>
                </c:pt>
                <c:pt idx="10">
                  <c:v>3.6163144351037753</c:v>
                </c:pt>
                <c:pt idx="11">
                  <c:v>8.7702016346041152</c:v>
                </c:pt>
              </c:numCache>
            </c:numRef>
          </c:yVal>
          <c:smooth val="0"/>
        </c:ser>
        <c:dLbls>
          <c:showLegendKey val="0"/>
          <c:showVal val="0"/>
          <c:showCatName val="0"/>
          <c:showSerName val="0"/>
          <c:showPercent val="0"/>
          <c:showBubbleSize val="0"/>
        </c:dLbls>
        <c:axId val="249151872"/>
        <c:axId val="249153408"/>
      </c:scatterChart>
      <c:valAx>
        <c:axId val="24915187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153408"/>
        <c:crosses val="autoZero"/>
        <c:crossBetween val="midCat"/>
      </c:valAx>
      <c:valAx>
        <c:axId val="24915340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151872"/>
        <c:crosses val="autoZero"/>
        <c:crossBetween val="midCat"/>
      </c:valAx>
      <c:spPr>
        <a:noFill/>
        <a:ln w="12700">
          <a:solidFill>
            <a:srgbClr val="808080"/>
          </a:solidFill>
          <a:prstDash val="solid"/>
        </a:ln>
      </c:spPr>
    </c:plotArea>
    <c:legend>
      <c:legendPos val="r"/>
      <c:layout>
        <c:manualLayout>
          <c:xMode val="edge"/>
          <c:yMode val="edge"/>
          <c:x val="0.11607166291713535"/>
          <c:y val="0.79552026584912183"/>
          <c:w val="0.81026879452568423"/>
          <c:h val="0.1848745377416057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Corporate income tax related GDP</a:t>
            </a:r>
          </a:p>
        </c:rich>
      </c:tx>
      <c:layout>
        <c:manualLayout>
          <c:xMode val="edge"/>
          <c:yMode val="edge"/>
          <c:x val="0.25223237720284963"/>
          <c:y val="3.3613445378151259E-2"/>
        </c:manualLayout>
      </c:layout>
      <c:overlay val="0"/>
      <c:spPr>
        <a:noFill/>
        <a:ln w="25400">
          <a:noFill/>
        </a:ln>
      </c:spPr>
    </c:title>
    <c:autoTitleDeleted val="0"/>
    <c:plotArea>
      <c:layout>
        <c:manualLayout>
          <c:layoutTarget val="inner"/>
          <c:xMode val="edge"/>
          <c:yMode val="edge"/>
          <c:x val="0.11607155507938394"/>
          <c:y val="0.17647107096647127"/>
          <c:w val="0.82812590258560459"/>
          <c:h val="0.50140193179362469"/>
        </c:manualLayout>
      </c:layout>
      <c:scatterChart>
        <c:scatterStyle val="lineMarker"/>
        <c:varyColors val="0"/>
        <c:ser>
          <c:idx val="0"/>
          <c:order val="0"/>
          <c:tx>
            <c:strRef>
              <c:f>Sector1!$D$210:$E$210</c:f>
              <c:strCache>
                <c:ptCount val="1"/>
                <c:pt idx="0">
                  <c:v>E Current taxes on income and wealth (D.5p)  </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rPr lang="en-GB"/>
                      <a:t>1996</a:t>
                    </a:r>
                  </a:p>
                </c:rich>
              </c:tx>
              <c:showLegendKey val="0"/>
              <c:showVal val="0"/>
              <c:showCatName val="0"/>
              <c:showSerName val="0"/>
              <c:showPercent val="0"/>
              <c:showBubbleSize val="0"/>
            </c:dLbl>
            <c:dLbl>
              <c:idx val="2"/>
              <c:tx>
                <c:rich>
                  <a:bodyPr/>
                  <a:lstStyle/>
                  <a:p>
                    <a:r>
                      <a:rPr lang="en-GB"/>
                      <a:t>1997</a:t>
                    </a:r>
                  </a:p>
                </c:rich>
              </c:tx>
              <c:showLegendKey val="0"/>
              <c:showVal val="0"/>
              <c:showCatName val="0"/>
              <c:showSerName val="0"/>
              <c:showPercent val="0"/>
              <c:showBubbleSize val="0"/>
            </c:dLbl>
            <c:dLbl>
              <c:idx val="3"/>
              <c:tx>
                <c:rich>
                  <a:bodyPr/>
                  <a:lstStyle/>
                  <a:p>
                    <a:r>
                      <a:rPr lang="en-GB"/>
                      <a:t>1998</a:t>
                    </a:r>
                  </a:p>
                </c:rich>
              </c:tx>
              <c:showLegendKey val="0"/>
              <c:showVal val="0"/>
              <c:showCatName val="0"/>
              <c:showSerName val="0"/>
              <c:showPercent val="0"/>
              <c:showBubbleSize val="0"/>
            </c:dLbl>
            <c:dLbl>
              <c:idx val="4"/>
              <c:tx>
                <c:rich>
                  <a:bodyPr/>
                  <a:lstStyle/>
                  <a:p>
                    <a:r>
                      <a:rPr lang="en-GB"/>
                      <a:t>1999</a:t>
                    </a:r>
                  </a:p>
                </c:rich>
              </c:tx>
              <c:showLegendKey val="0"/>
              <c:showVal val="0"/>
              <c:showCatName val="0"/>
              <c:showSerName val="0"/>
              <c:showPercent val="0"/>
              <c:showBubbleSize val="0"/>
            </c:dLbl>
            <c:dLbl>
              <c:idx val="5"/>
              <c:tx>
                <c:rich>
                  <a:bodyPr/>
                  <a:lstStyle/>
                  <a:p>
                    <a:r>
                      <a:rPr lang="en-GB"/>
                      <a:t>2000</a:t>
                    </a:r>
                  </a:p>
                </c:rich>
              </c:tx>
              <c:showLegendKey val="0"/>
              <c:showVal val="0"/>
              <c:showCatName val="0"/>
              <c:showSerName val="0"/>
              <c:showPercent val="0"/>
              <c:showBubbleSize val="0"/>
            </c:dLbl>
            <c:dLbl>
              <c:idx val="6"/>
              <c:tx>
                <c:rich>
                  <a:bodyPr/>
                  <a:lstStyle/>
                  <a:p>
                    <a:r>
                      <a:rPr lang="en-GB"/>
                      <a:t>2001</a:t>
                    </a:r>
                  </a:p>
                </c:rich>
              </c:tx>
              <c:showLegendKey val="0"/>
              <c:showVal val="0"/>
              <c:showCatName val="0"/>
              <c:showSerName val="0"/>
              <c:showPercent val="0"/>
              <c:showBubbleSize val="0"/>
            </c:dLbl>
            <c:dLbl>
              <c:idx val="7"/>
              <c:tx>
                <c:rich>
                  <a:bodyPr/>
                  <a:lstStyle/>
                  <a:p>
                    <a:r>
                      <a:rPr lang="en-GB"/>
                      <a:t>2002</a:t>
                    </a:r>
                  </a:p>
                </c:rich>
              </c:tx>
              <c:showLegendKey val="0"/>
              <c:showVal val="0"/>
              <c:showCatName val="0"/>
              <c:showSerName val="0"/>
              <c:showPercent val="0"/>
              <c:showBubbleSize val="0"/>
            </c:dLbl>
            <c:dLbl>
              <c:idx val="8"/>
              <c:tx>
                <c:rich>
                  <a:bodyPr/>
                  <a:lstStyle/>
                  <a:p>
                    <a:r>
                      <a:rPr lang="en-GB"/>
                      <a:t>2003</a:t>
                    </a:r>
                  </a:p>
                </c:rich>
              </c:tx>
              <c:showLegendKey val="0"/>
              <c:showVal val="0"/>
              <c:showCatName val="0"/>
              <c:showSerName val="0"/>
              <c:showPercent val="0"/>
              <c:showBubbleSize val="0"/>
            </c:dLbl>
            <c:dLbl>
              <c:idx val="9"/>
              <c:tx>
                <c:rich>
                  <a:bodyPr/>
                  <a:lstStyle/>
                  <a:p>
                    <a:r>
                      <a:rPr lang="en-GB"/>
                      <a:t>2004</a:t>
                    </a:r>
                  </a:p>
                </c:rich>
              </c:tx>
              <c:showLegendKey val="0"/>
              <c:showVal val="0"/>
              <c:showCatName val="0"/>
              <c:showSerName val="0"/>
              <c:showPercent val="0"/>
              <c:showBubbleSize val="0"/>
            </c:dLbl>
            <c:dLbl>
              <c:idx val="10"/>
              <c:tx>
                <c:rich>
                  <a:bodyPr/>
                  <a:lstStyle/>
                  <a:p>
                    <a:r>
                      <a:rPr lang="en-GB"/>
                      <a:t>2005</a:t>
                    </a:r>
                  </a:p>
                </c:rich>
              </c:tx>
              <c:showLegendKey val="0"/>
              <c:showVal val="0"/>
              <c:showCatName val="0"/>
              <c:showSerName val="0"/>
              <c:showPercent val="0"/>
              <c:showBubbleSize val="0"/>
            </c:dLbl>
            <c:dLbl>
              <c:idx val="11"/>
              <c:tx>
                <c:rich>
                  <a:bodyPr/>
                  <a:lstStyle/>
                  <a:p>
                    <a:r>
                      <a:rPr lang="en-GB"/>
                      <a:t>2006</a:t>
                    </a:r>
                  </a:p>
                </c:rich>
              </c:tx>
              <c:showLegendKey val="0"/>
              <c:showVal val="0"/>
              <c:showCatName val="0"/>
              <c:showSerName val="0"/>
              <c:showPercent val="0"/>
              <c:showBubbleSize val="0"/>
            </c:dLbl>
            <c:dLbl>
              <c:idx val="12"/>
              <c:tx>
                <c:rich>
                  <a:bodyPr/>
                  <a:lstStyle/>
                  <a:p>
                    <a:r>
                      <a:t>2007</a:t>
                    </a:r>
                  </a:p>
                </c:rich>
              </c:tx>
              <c:showLegendKey val="0"/>
              <c:showVal val="0"/>
              <c:showCatName val="0"/>
              <c:showSerName val="0"/>
              <c:showPercent val="0"/>
              <c:showBubbleSize val="0"/>
            </c:dLbl>
            <c:dLbl>
              <c:idx val="13"/>
              <c:tx>
                <c:rich>
                  <a:bodyPr/>
                  <a:lstStyle/>
                  <a:p>
                    <a:r>
                      <a:t>2008</a:t>
                    </a:r>
                  </a:p>
                </c:rich>
              </c:tx>
              <c:showLegendKey val="0"/>
              <c:showVal val="0"/>
              <c:showCatName val="0"/>
              <c:showSerName val="0"/>
              <c:showPercent val="0"/>
              <c:showBubbleSize val="0"/>
            </c:dLbl>
            <c:dLbl>
              <c:idx val="14"/>
              <c:tx>
                <c:rich>
                  <a:bodyPr/>
                  <a:lstStyle/>
                  <a:p>
                    <a:r>
                      <a:t>2009</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339966"/>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Sector1!$G$210:$AC$210</c:f>
              <c:numCache>
                <c:formatCode>0.0</c:formatCode>
                <c:ptCount val="12"/>
                <c:pt idx="0">
                  <c:v>51.755189954630843</c:v>
                </c:pt>
                <c:pt idx="1">
                  <c:v>10.740008153527913</c:v>
                </c:pt>
                <c:pt idx="2">
                  <c:v>20.816176270077193</c:v>
                </c:pt>
                <c:pt idx="3">
                  <c:v>-44.864517148370943</c:v>
                </c:pt>
                <c:pt idx="4">
                  <c:v>-43.516528502712113</c:v>
                </c:pt>
                <c:pt idx="5">
                  <c:v>-8.6936039137524794</c:v>
                </c:pt>
                <c:pt idx="6">
                  <c:v>70.741387521828841</c:v>
                </c:pt>
                <c:pt idx="7">
                  <c:v>10.471873547187371</c:v>
                </c:pt>
                <c:pt idx="8">
                  <c:v>4.8963703314045093</c:v>
                </c:pt>
                <c:pt idx="9">
                  <c:v>14.87202118270079</c:v>
                </c:pt>
                <c:pt idx="10">
                  <c:v>9.2375929871127518</c:v>
                </c:pt>
                <c:pt idx="11" formatCode="0.00">
                  <c:v>0.8696208197455102</c:v>
                </c:pt>
              </c:numCache>
            </c:numRef>
          </c:yVal>
          <c:smooth val="0"/>
        </c:ser>
        <c:ser>
          <c:idx val="1"/>
          <c:order val="1"/>
          <c:tx>
            <c:strRef>
              <c:f>Sector1!$F$217</c:f>
              <c:strCache>
                <c:ptCount val="1"/>
                <c:pt idx="0">
                  <c:v>OECD</c:v>
                </c:pt>
              </c:strCache>
            </c:strRef>
          </c:tx>
          <c:spPr>
            <a:ln w="25400">
              <a:solidFill>
                <a:srgbClr val="FF0000"/>
              </a:solidFill>
              <a:prstDash val="solid"/>
            </a:ln>
          </c:spPr>
          <c:marker>
            <c:symbol val="none"/>
          </c:marker>
          <c:xVal>
            <c:numRef>
              <c:f>'VVP2'!$G$348:$AA$348</c:f>
              <c:numCache>
                <c:formatCode>0.0</c:formatCode>
                <c:ptCount val="4"/>
                <c:pt idx="0">
                  <c:v>6.6287411287878184</c:v>
                </c:pt>
                <c:pt idx="1">
                  <c:v>4.8313146506227644</c:v>
                </c:pt>
                <c:pt idx="2">
                  <c:v>4.6013904601447608</c:v>
                </c:pt>
                <c:pt idx="3">
                  <c:v>2.3471981728427016</c:v>
                </c:pt>
              </c:numCache>
            </c:numRef>
          </c:xVal>
          <c:yVal>
            <c:numRef>
              <c:f>Sector1!$G$217:$AC$217</c:f>
              <c:numCache>
                <c:formatCode>0.0</c:formatCode>
                <c:ptCount val="12"/>
                <c:pt idx="0">
                  <c:v>23.000393289322389</c:v>
                </c:pt>
                <c:pt idx="1">
                  <c:v>32.349621540268394</c:v>
                </c:pt>
                <c:pt idx="2">
                  <c:v>19.76306117009738</c:v>
                </c:pt>
                <c:pt idx="3">
                  <c:v>-27.665202891582794</c:v>
                </c:pt>
                <c:pt idx="4">
                  <c:v>6.3700399705659914</c:v>
                </c:pt>
                <c:pt idx="5">
                  <c:v>18.192122353418018</c:v>
                </c:pt>
                <c:pt idx="6">
                  <c:v>10.407123572196875</c:v>
                </c:pt>
                <c:pt idx="7">
                  <c:v>7.5851640014777404</c:v>
                </c:pt>
                <c:pt idx="8">
                  <c:v>7.2241830224272752</c:v>
                </c:pt>
                <c:pt idx="9">
                  <c:v>3.6851011313630417</c:v>
                </c:pt>
                <c:pt idx="10">
                  <c:v>5.2088198744155294</c:v>
                </c:pt>
                <c:pt idx="11">
                  <c:v>12.632308776448129</c:v>
                </c:pt>
              </c:numCache>
            </c:numRef>
          </c:yVal>
          <c:smooth val="0"/>
        </c:ser>
        <c:dLbls>
          <c:showLegendKey val="0"/>
          <c:showVal val="0"/>
          <c:showCatName val="0"/>
          <c:showSerName val="0"/>
          <c:showPercent val="0"/>
          <c:showBubbleSize val="0"/>
        </c:dLbls>
        <c:axId val="249257984"/>
        <c:axId val="249259520"/>
      </c:scatterChart>
      <c:valAx>
        <c:axId val="24925798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259520"/>
        <c:crosses val="autoZero"/>
        <c:crossBetween val="midCat"/>
      </c:valAx>
      <c:valAx>
        <c:axId val="24925952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257984"/>
        <c:crosses val="autoZero"/>
        <c:crossBetween val="midCat"/>
      </c:valAx>
      <c:spPr>
        <a:noFill/>
        <a:ln w="12700">
          <a:solidFill>
            <a:srgbClr val="808080"/>
          </a:solidFill>
          <a:prstDash val="solid"/>
        </a:ln>
      </c:spPr>
    </c:plotArea>
    <c:legend>
      <c:legendPos val="r"/>
      <c:layout>
        <c:manualLayout>
          <c:xMode val="edge"/>
          <c:yMode val="edge"/>
          <c:x val="0.14732166291713536"/>
          <c:y val="0.79552026584912183"/>
          <c:w val="0.79241165166854144"/>
          <c:h val="0.18487453774160578"/>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GVT current resources and expenditure as % of GDP</a:t>
            </a:r>
          </a:p>
        </c:rich>
      </c:tx>
      <c:layout>
        <c:manualLayout>
          <c:xMode val="edge"/>
          <c:yMode val="edge"/>
          <c:x val="0.12723237720284963"/>
          <c:y val="3.3613445378151259E-2"/>
        </c:manualLayout>
      </c:layout>
      <c:overlay val="0"/>
      <c:spPr>
        <a:noFill/>
        <a:ln w="25400">
          <a:noFill/>
        </a:ln>
      </c:spPr>
    </c:title>
    <c:autoTitleDeleted val="0"/>
    <c:plotArea>
      <c:layout>
        <c:manualLayout>
          <c:layoutTarget val="inner"/>
          <c:xMode val="edge"/>
          <c:yMode val="edge"/>
          <c:x val="0.13839300797926546"/>
          <c:y val="0.17366994285589235"/>
          <c:w val="0.79464372323578236"/>
          <c:h val="0.58263464700041301"/>
        </c:manualLayout>
      </c:layout>
      <c:lineChart>
        <c:grouping val="standard"/>
        <c:varyColors val="0"/>
        <c:ser>
          <c:idx val="0"/>
          <c:order val="0"/>
          <c:tx>
            <c:strRef>
              <c:f>Sector1!$E$629</c:f>
              <c:strCache>
                <c:ptCount val="1"/>
                <c:pt idx="0">
                  <c:v>Total current revenue</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Sector1!$G$640:$AC$640</c:f>
              <c:numCache>
                <c:formatCode>0.0%</c:formatCode>
                <c:ptCount val="12"/>
                <c:pt idx="0">
                  <c:v>0.33076084816841772</c:v>
                </c:pt>
                <c:pt idx="1">
                  <c:v>0.3301746585649224</c:v>
                </c:pt>
                <c:pt idx="2" formatCode="0.00%">
                  <c:v>0.3395967369988267</c:v>
                </c:pt>
                <c:pt idx="3" formatCode="0.00%">
                  <c:v>0.34318328468502851</c:v>
                </c:pt>
                <c:pt idx="4" formatCode="0.00%">
                  <c:v>0.32873168862473712</c:v>
                </c:pt>
                <c:pt idx="5" formatCode="0.00%">
                  <c:v>0.31335570667222584</c:v>
                </c:pt>
                <c:pt idx="6" formatCode="0.00%">
                  <c:v>0.31050530638877694</c:v>
                </c:pt>
                <c:pt idx="7" formatCode="0.00%">
                  <c:v>0.30816898910601215</c:v>
                </c:pt>
                <c:pt idx="8" formatCode="0.00%">
                  <c:v>0.31305847581565222</c:v>
                </c:pt>
                <c:pt idx="9" formatCode="0.00%">
                  <c:v>0.32796905730975906</c:v>
                </c:pt>
                <c:pt idx="10" formatCode="0.00%">
                  <c:v>0.33661715843874268</c:v>
                </c:pt>
                <c:pt idx="11" formatCode="0.00%">
                  <c:v>0.34024452030690061</c:v>
                </c:pt>
              </c:numCache>
            </c:numRef>
          </c:val>
          <c:smooth val="0"/>
        </c:ser>
        <c:ser>
          <c:idx val="1"/>
          <c:order val="1"/>
          <c:tx>
            <c:strRef>
              <c:f>Sector1!$E$661</c:f>
              <c:strCache>
                <c:ptCount val="1"/>
                <c:pt idx="0">
                  <c:v>Total current expenditure</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Sector1!$G$675:$AC$675</c:f>
              <c:numCache>
                <c:formatCode>0.0%</c:formatCode>
                <c:ptCount val="12"/>
                <c:pt idx="0">
                  <c:v>0.29697356803678532</c:v>
                </c:pt>
                <c:pt idx="1">
                  <c:v>0.28973308457865626</c:v>
                </c:pt>
                <c:pt idx="2">
                  <c:v>0.32222350677202422</c:v>
                </c:pt>
                <c:pt idx="3" formatCode="0.00%">
                  <c:v>0.40021132496894363</c:v>
                </c:pt>
                <c:pt idx="4" formatCode="0.00%">
                  <c:v>0.36962629060007146</c:v>
                </c:pt>
                <c:pt idx="5" formatCode="0.00%">
                  <c:v>0.33590319779302014</c:v>
                </c:pt>
                <c:pt idx="6" formatCode="0.00%">
                  <c:v>0.32060981490010937</c:v>
                </c:pt>
                <c:pt idx="7" formatCode="0.00%">
                  <c:v>0.30767928168617248</c:v>
                </c:pt>
                <c:pt idx="8" formatCode="0.00%">
                  <c:v>0.29928697767573431</c:v>
                </c:pt>
                <c:pt idx="9" formatCode="0.00%">
                  <c:v>0.30511820333180056</c:v>
                </c:pt>
                <c:pt idx="10" formatCode="0.00%">
                  <c:v>0.3071837617977714</c:v>
                </c:pt>
                <c:pt idx="11" formatCode="0.00%">
                  <c:v>0.30271987874878226</c:v>
                </c:pt>
              </c:numCache>
            </c:numRef>
          </c:val>
          <c:smooth val="0"/>
        </c:ser>
        <c:dLbls>
          <c:showLegendKey val="0"/>
          <c:showVal val="0"/>
          <c:showCatName val="0"/>
          <c:showSerName val="0"/>
          <c:showPercent val="0"/>
          <c:showBubbleSize val="0"/>
        </c:dLbls>
        <c:marker val="1"/>
        <c:smooth val="0"/>
        <c:axId val="249284096"/>
        <c:axId val="249286016"/>
      </c:lineChart>
      <c:catAx>
        <c:axId val="24928409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249286016"/>
        <c:crosses val="autoZero"/>
        <c:auto val="1"/>
        <c:lblAlgn val="ctr"/>
        <c:lblOffset val="100"/>
        <c:tickLblSkip val="2"/>
        <c:tickMarkSkip val="1"/>
        <c:noMultiLvlLbl val="0"/>
      </c:catAx>
      <c:valAx>
        <c:axId val="24928601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249284096"/>
        <c:crosses val="autoZero"/>
        <c:crossBetween val="midCat"/>
      </c:valAx>
      <c:spPr>
        <a:noFill/>
        <a:ln w="12700">
          <a:solidFill>
            <a:srgbClr val="808080"/>
          </a:solidFill>
          <a:prstDash val="solid"/>
        </a:ln>
      </c:spPr>
    </c:plotArea>
    <c:legend>
      <c:legendPos val="r"/>
      <c:layout>
        <c:manualLayout>
          <c:xMode val="edge"/>
          <c:yMode val="edge"/>
          <c:x val="8.4821428571428575E-2"/>
          <c:y val="0.85994633023813205"/>
          <c:w val="0.83705450881139853"/>
          <c:h val="0.1232495938007749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GVT capital transfers and expenditure as % of GDP</a:t>
            </a:r>
          </a:p>
        </c:rich>
      </c:tx>
      <c:layout>
        <c:manualLayout>
          <c:xMode val="edge"/>
          <c:yMode val="edge"/>
          <c:x val="0.13839309148856391"/>
          <c:y val="3.3613445378151259E-2"/>
        </c:manualLayout>
      </c:layout>
      <c:overlay val="0"/>
      <c:spPr>
        <a:noFill/>
        <a:ln w="25400">
          <a:noFill/>
        </a:ln>
      </c:spPr>
    </c:title>
    <c:autoTitleDeleted val="0"/>
    <c:plotArea>
      <c:layout>
        <c:manualLayout>
          <c:layoutTarget val="inner"/>
          <c:xMode val="edge"/>
          <c:yMode val="edge"/>
          <c:x val="0.1272322815293247"/>
          <c:y val="0.17086881474531346"/>
          <c:w val="0.80580444968572307"/>
          <c:h val="0.62745269676967563"/>
        </c:manualLayout>
      </c:layout>
      <c:lineChart>
        <c:grouping val="standard"/>
        <c:varyColors val="0"/>
        <c:ser>
          <c:idx val="0"/>
          <c:order val="0"/>
          <c:tx>
            <c:strRef>
              <c:f>Sector1!$E$508</c:f>
              <c:strCache>
                <c:ptCount val="1"/>
                <c:pt idx="0">
                  <c:v>Capital transfers (D.9r)</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Sector1!$G$508:$AC$508</c:f>
              <c:numCache>
                <c:formatCode>0.0%</c:formatCode>
                <c:ptCount val="12"/>
                <c:pt idx="0">
                  <c:v>9.6236665866528664E-3</c:v>
                </c:pt>
                <c:pt idx="1">
                  <c:v>1.4230048490633479E-2</c:v>
                </c:pt>
                <c:pt idx="2">
                  <c:v>1.0482232229476871E-2</c:v>
                </c:pt>
                <c:pt idx="3">
                  <c:v>1.4643498638565249E-2</c:v>
                </c:pt>
                <c:pt idx="4">
                  <c:v>2.5250056551278273E-2</c:v>
                </c:pt>
                <c:pt idx="5">
                  <c:v>2.1976114073333223E-2</c:v>
                </c:pt>
                <c:pt idx="6">
                  <c:v>1.906263793732128E-2</c:v>
                </c:pt>
                <c:pt idx="7">
                  <c:v>2.0661248038810451E-2</c:v>
                </c:pt>
                <c:pt idx="8">
                  <c:v>2.7153861215238998E-2</c:v>
                </c:pt>
                <c:pt idx="9">
                  <c:v>1.8470815283564285E-2</c:v>
                </c:pt>
                <c:pt idx="10">
                  <c:v>8.108705007096248E-3</c:v>
                </c:pt>
                <c:pt idx="11">
                  <c:v>7.3486638822307876E-3</c:v>
                </c:pt>
              </c:numCache>
            </c:numRef>
          </c:val>
          <c:smooth val="0"/>
        </c:ser>
        <c:ser>
          <c:idx val="1"/>
          <c:order val="1"/>
          <c:tx>
            <c:strRef>
              <c:f>Sector1!$E$764</c:f>
              <c:strCache>
                <c:ptCount val="1"/>
                <c:pt idx="0">
                  <c:v>Capital expenditure</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Sector1!$G$765:$AC$765</c:f>
              <c:numCache>
                <c:formatCode>0.0%</c:formatCode>
                <c:ptCount val="12"/>
                <c:pt idx="0">
                  <c:v>4.6131969610260809E-2</c:v>
                </c:pt>
                <c:pt idx="1">
                  <c:v>6.282467409487251E-2</c:v>
                </c:pt>
                <c:pt idx="2">
                  <c:v>5.868526939456109E-2</c:v>
                </c:pt>
                <c:pt idx="3">
                  <c:v>4.8672313384681989E-2</c:v>
                </c:pt>
                <c:pt idx="4">
                  <c:v>5.3362642475326162E-2</c:v>
                </c:pt>
                <c:pt idx="5">
                  <c:v>8.8825949662545423E-2</c:v>
                </c:pt>
                <c:pt idx="6">
                  <c:v>4.0412936361717229E-2</c:v>
                </c:pt>
                <c:pt idx="7">
                  <c:v>4.7249900957246418E-2</c:v>
                </c:pt>
                <c:pt idx="8">
                  <c:v>4.7099015868397417E-2</c:v>
                </c:pt>
                <c:pt idx="9">
                  <c:v>4.3769392953302469E-2</c:v>
                </c:pt>
                <c:pt idx="10">
                  <c:v>3.4878939659131809E-2</c:v>
                </c:pt>
                <c:pt idx="11">
                  <c:v>3.6880812503530598E-2</c:v>
                </c:pt>
              </c:numCache>
            </c:numRef>
          </c:val>
          <c:smooth val="0"/>
        </c:ser>
        <c:dLbls>
          <c:showLegendKey val="0"/>
          <c:showVal val="0"/>
          <c:showCatName val="0"/>
          <c:showSerName val="0"/>
          <c:showPercent val="0"/>
          <c:showBubbleSize val="0"/>
        </c:dLbls>
        <c:marker val="1"/>
        <c:smooth val="0"/>
        <c:axId val="249315328"/>
        <c:axId val="249317248"/>
      </c:lineChart>
      <c:catAx>
        <c:axId val="24931532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317248"/>
        <c:crosses val="autoZero"/>
        <c:auto val="1"/>
        <c:lblAlgn val="ctr"/>
        <c:lblOffset val="100"/>
        <c:tickLblSkip val="2"/>
        <c:tickMarkSkip val="1"/>
        <c:noMultiLvlLbl val="0"/>
      </c:catAx>
      <c:valAx>
        <c:axId val="24931724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315328"/>
        <c:crosses val="autoZero"/>
        <c:crossBetween val="midCat"/>
      </c:valAx>
      <c:spPr>
        <a:noFill/>
        <a:ln w="12700">
          <a:solidFill>
            <a:srgbClr val="808080"/>
          </a:solidFill>
          <a:prstDash val="solid"/>
        </a:ln>
      </c:spPr>
    </c:plotArea>
    <c:legend>
      <c:legendPos val="r"/>
      <c:layout>
        <c:manualLayout>
          <c:xMode val="edge"/>
          <c:yMode val="edge"/>
          <c:x val="5.8035714285714288E-2"/>
          <c:y val="0.91316761875353814"/>
          <c:w val="0.83928665166854133"/>
          <c:h val="7.0028305285368742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GVT gross saving and net lending as % of GDP</a:t>
            </a:r>
          </a:p>
        </c:rich>
      </c:tx>
      <c:layout>
        <c:manualLayout>
          <c:xMode val="edge"/>
          <c:yMode val="edge"/>
          <c:x val="0.16964309148856391"/>
          <c:y val="3.3613445378151259E-2"/>
        </c:manualLayout>
      </c:layout>
      <c:overlay val="0"/>
      <c:spPr>
        <a:noFill/>
        <a:ln w="25400">
          <a:noFill/>
        </a:ln>
      </c:spPr>
    </c:title>
    <c:autoTitleDeleted val="0"/>
    <c:plotArea>
      <c:layout>
        <c:manualLayout>
          <c:layoutTarget val="inner"/>
          <c:xMode val="edge"/>
          <c:yMode val="edge"/>
          <c:x val="0.15178587971919438"/>
          <c:y val="0.17086881474531346"/>
          <c:w val="0.78125085149585338"/>
          <c:h val="0.62745269676967563"/>
        </c:manualLayout>
      </c:layout>
      <c:lineChart>
        <c:grouping val="standard"/>
        <c:varyColors val="0"/>
        <c:ser>
          <c:idx val="0"/>
          <c:order val="0"/>
          <c:tx>
            <c:strRef>
              <c:f>Sector1!$E$472</c:f>
              <c:strCache>
                <c:ptCount val="1"/>
                <c:pt idx="0">
                  <c:v>Gross saving (B.8g)</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Sector1!$G$472:$AC$472</c:f>
              <c:numCache>
                <c:formatCode>0.0%</c:formatCode>
                <c:ptCount val="12"/>
                <c:pt idx="0">
                  <c:v>3.3787695428166536E-2</c:v>
                </c:pt>
                <c:pt idx="1">
                  <c:v>4.0441918331057237E-2</c:v>
                </c:pt>
                <c:pt idx="2">
                  <c:v>1.7373230226802528E-2</c:v>
                </c:pt>
                <c:pt idx="3">
                  <c:v>-5.7028040283915019E-2</c:v>
                </c:pt>
                <c:pt idx="4">
                  <c:v>-4.0894245184935153E-2</c:v>
                </c:pt>
                <c:pt idx="5">
                  <c:v>-2.2547491120794214E-2</c:v>
                </c:pt>
                <c:pt idx="6">
                  <c:v>-1.010450851133245E-2</c:v>
                </c:pt>
                <c:pt idx="7">
                  <c:v>4.8942137578605177E-4</c:v>
                </c:pt>
                <c:pt idx="8">
                  <c:v>1.377149813991802E-2</c:v>
                </c:pt>
                <c:pt idx="9">
                  <c:v>2.2850586788383986E-2</c:v>
                </c:pt>
                <c:pt idx="10">
                  <c:v>2.943339664097128E-2</c:v>
                </c:pt>
                <c:pt idx="11">
                  <c:v>3.7553004207470264E-2</c:v>
                </c:pt>
              </c:numCache>
            </c:numRef>
          </c:val>
          <c:smooth val="0"/>
        </c:ser>
        <c:ser>
          <c:idx val="1"/>
          <c:order val="1"/>
          <c:tx>
            <c:strRef>
              <c:f>Sector1!$E$597</c:f>
              <c:strCache>
                <c:ptCount val="1"/>
                <c:pt idx="0">
                  <c:v>Net-lending</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val>
            <c:numRef>
              <c:f>Sector1!$G$597:$AC$597</c:f>
              <c:numCache>
                <c:formatCode>0.0%</c:formatCode>
                <c:ptCount val="12"/>
                <c:pt idx="0">
                  <c:v>-2.7206075954414035E-3</c:v>
                </c:pt>
                <c:pt idx="1">
                  <c:v>-8.1527072731817796E-3</c:v>
                </c:pt>
                <c:pt idx="2">
                  <c:v>-3.0829806938281693E-2</c:v>
                </c:pt>
                <c:pt idx="3">
                  <c:v>-9.1056855030031761E-2</c:v>
                </c:pt>
                <c:pt idx="4">
                  <c:v>-6.9006831108983049E-2</c:v>
                </c:pt>
                <c:pt idx="5">
                  <c:v>-8.93973267100064E-2</c:v>
                </c:pt>
                <c:pt idx="6">
                  <c:v>-3.1454806935728399E-2</c:v>
                </c:pt>
                <c:pt idx="7">
                  <c:v>-2.6099231542649919E-2</c:v>
                </c:pt>
                <c:pt idx="8">
                  <c:v>-6.1736565132403994E-3</c:v>
                </c:pt>
                <c:pt idx="9">
                  <c:v>-2.4479908813542029E-3</c:v>
                </c:pt>
                <c:pt idx="10">
                  <c:v>2.6631619889357105E-3</c:v>
                </c:pt>
                <c:pt idx="11">
                  <c:v>8.0208555861704563E-3</c:v>
                </c:pt>
              </c:numCache>
            </c:numRef>
          </c:val>
          <c:smooth val="0"/>
        </c:ser>
        <c:dLbls>
          <c:showLegendKey val="0"/>
          <c:showVal val="0"/>
          <c:showCatName val="0"/>
          <c:showSerName val="0"/>
          <c:showPercent val="0"/>
          <c:showBubbleSize val="0"/>
        </c:dLbls>
        <c:marker val="1"/>
        <c:smooth val="0"/>
        <c:axId val="249432320"/>
        <c:axId val="249438592"/>
      </c:lineChart>
      <c:catAx>
        <c:axId val="24943232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438592"/>
        <c:crosses val="autoZero"/>
        <c:auto val="1"/>
        <c:lblAlgn val="ctr"/>
        <c:lblOffset val="100"/>
        <c:tickLblSkip val="3"/>
        <c:tickMarkSkip val="1"/>
        <c:noMultiLvlLbl val="0"/>
      </c:catAx>
      <c:valAx>
        <c:axId val="2494385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9432320"/>
        <c:crosses val="autoZero"/>
        <c:crossBetween val="midCat"/>
      </c:valAx>
      <c:spPr>
        <a:noFill/>
        <a:ln w="12700">
          <a:solidFill>
            <a:srgbClr val="808080"/>
          </a:solidFill>
          <a:prstDash val="solid"/>
        </a:ln>
      </c:spPr>
    </c:plotArea>
    <c:legend>
      <c:legendPos val="r"/>
      <c:layout>
        <c:manualLayout>
          <c:xMode val="edge"/>
          <c:yMode val="edge"/>
          <c:x val="0.20535737720284963"/>
          <c:y val="0.91036649830535887"/>
          <c:w val="0.71205427446569181"/>
          <c:h val="7.2829425733548003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GB"/>
              <a:t>GVT debt reduction and net lending as % of GDP</a:t>
            </a:r>
          </a:p>
        </c:rich>
      </c:tx>
      <c:layout>
        <c:manualLayout>
          <c:xMode val="edge"/>
          <c:yMode val="edge"/>
          <c:x val="0.30580357142857145"/>
          <c:y val="3.1862745098039214E-2"/>
        </c:manualLayout>
      </c:layout>
      <c:overlay val="0"/>
      <c:spPr>
        <a:noFill/>
        <a:ln w="25400">
          <a:noFill/>
        </a:ln>
      </c:spPr>
    </c:title>
    <c:autoTitleDeleted val="0"/>
    <c:plotArea>
      <c:layout>
        <c:manualLayout>
          <c:layoutTarget val="inner"/>
          <c:xMode val="edge"/>
          <c:yMode val="edge"/>
          <c:x val="7.03125E-2"/>
          <c:y val="0.1764710106249297"/>
          <c:w val="0.8604910714285714"/>
          <c:h val="0.63970741351537008"/>
        </c:manualLayout>
      </c:layout>
      <c:barChart>
        <c:barDir val="col"/>
        <c:grouping val="stacked"/>
        <c:varyColors val="0"/>
        <c:ser>
          <c:idx val="3"/>
          <c:order val="3"/>
          <c:tx>
            <c:strRef>
              <c:f>Sector1!$E$613</c:f>
              <c:strCache>
                <c:ptCount val="1"/>
                <c:pt idx="0">
                  <c:v>Debt increase as % of GDP</c:v>
                </c:pt>
              </c:strCache>
            </c:strRef>
          </c:tx>
          <c:spPr>
            <a:solidFill>
              <a:srgbClr val="0066CC"/>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Sector1!$G$613:$AC$613</c:f>
              <c:numCache>
                <c:formatCode>0.0%</c:formatCode>
                <c:ptCount val="12"/>
                <c:pt idx="0">
                  <c:v>-3.8342598822290741E-3</c:v>
                </c:pt>
                <c:pt idx="1">
                  <c:v>-1.3694349692171814E-2</c:v>
                </c:pt>
                <c:pt idx="2">
                  <c:v>-1.3086079952849411E-2</c:v>
                </c:pt>
                <c:pt idx="3">
                  <c:v>0.13386154817562873</c:v>
                </c:pt>
                <c:pt idx="4">
                  <c:v>8.2662711859830929E-2</c:v>
                </c:pt>
                <c:pt idx="5">
                  <c:v>9.6623275096286432E-3</c:v>
                </c:pt>
                <c:pt idx="6">
                  <c:v>2.590913998632044E-2</c:v>
                </c:pt>
                <c:pt idx="7">
                  <c:v>-1.0152573225797545E-2</c:v>
                </c:pt>
                <c:pt idx="8">
                  <c:v>1.7816303983955006E-2</c:v>
                </c:pt>
                <c:pt idx="9">
                  <c:v>2.0480825564379801E-2</c:v>
                </c:pt>
                <c:pt idx="10">
                  <c:v>-2.4687597652025939E-2</c:v>
                </c:pt>
                <c:pt idx="11">
                  <c:v>4.9462142740028803E-3</c:v>
                </c:pt>
              </c:numCache>
            </c:numRef>
          </c:val>
        </c:ser>
        <c:dLbls>
          <c:showLegendKey val="0"/>
          <c:showVal val="0"/>
          <c:showCatName val="0"/>
          <c:showSerName val="0"/>
          <c:showPercent val="0"/>
          <c:showBubbleSize val="0"/>
        </c:dLbls>
        <c:gapWidth val="20"/>
        <c:overlap val="100"/>
        <c:axId val="249491456"/>
        <c:axId val="249492992"/>
      </c:barChart>
      <c:barChart>
        <c:barDir val="col"/>
        <c:grouping val="stacked"/>
        <c:varyColors val="0"/>
        <c:ser>
          <c:idx val="0"/>
          <c:order val="0"/>
          <c:tx>
            <c:strRef>
              <c:f>Sector1!$E$610</c:f>
              <c:strCache>
                <c:ptCount val="1"/>
                <c:pt idx="0">
                  <c:v>Snowball effect</c:v>
                </c:pt>
              </c:strCache>
            </c:strRef>
          </c:tx>
          <c:spPr>
            <a:solidFill>
              <a:srgbClr val="FFCC99"/>
            </a:solidFill>
            <a:ln w="3175">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Sector1!$G$610:$AC$610</c:f>
              <c:numCache>
                <c:formatCode>0.0%</c:formatCode>
                <c:ptCount val="12"/>
                <c:pt idx="0">
                  <c:v>-2.2522603920522709E-2</c:v>
                </c:pt>
                <c:pt idx="1">
                  <c:v>-2.9458454226986126E-2</c:v>
                </c:pt>
                <c:pt idx="2">
                  <c:v>-1.7747160662948545E-2</c:v>
                </c:pt>
                <c:pt idx="3">
                  <c:v>3.1154346122672733E-2</c:v>
                </c:pt>
                <c:pt idx="4">
                  <c:v>-1.0898434521993253E-2</c:v>
                </c:pt>
                <c:pt idx="5">
                  <c:v>-3.7608172040815672E-2</c:v>
                </c:pt>
                <c:pt idx="6">
                  <c:v>-2.3115583179473018E-2</c:v>
                </c:pt>
                <c:pt idx="7">
                  <c:v>-1.8330572719499564E-2</c:v>
                </c:pt>
                <c:pt idx="8">
                  <c:v>-1.7049979035098625E-2</c:v>
                </c:pt>
                <c:pt idx="9">
                  <c:v>-9.297452511032353E-3</c:v>
                </c:pt>
                <c:pt idx="10">
                  <c:v>-1.3675999527256085E-2</c:v>
                </c:pt>
                <c:pt idx="11">
                  <c:v>-2.9876811336139886E-2</c:v>
                </c:pt>
              </c:numCache>
            </c:numRef>
          </c:val>
        </c:ser>
        <c:ser>
          <c:idx val="2"/>
          <c:order val="1"/>
          <c:tx>
            <c:strRef>
              <c:f>Sector1!$E$611</c:f>
              <c:strCache>
                <c:ptCount val="1"/>
                <c:pt idx="0">
                  <c:v>Net borrowing as % of GDP</c:v>
                </c:pt>
              </c:strCache>
            </c:strRef>
          </c:tx>
          <c:spPr>
            <a:solidFill>
              <a:srgbClr val="FF99CC"/>
            </a:solidFill>
            <a:ln w="3175">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Sector1!$G$611:$AC$611</c:f>
              <c:numCache>
                <c:formatCode>0.0%</c:formatCode>
                <c:ptCount val="12"/>
                <c:pt idx="0">
                  <c:v>2.7206075954414035E-3</c:v>
                </c:pt>
                <c:pt idx="1">
                  <c:v>8.1527072731817796E-3</c:v>
                </c:pt>
                <c:pt idx="2">
                  <c:v>3.0829806938281693E-2</c:v>
                </c:pt>
                <c:pt idx="3">
                  <c:v>9.1056855030031761E-2</c:v>
                </c:pt>
                <c:pt idx="4">
                  <c:v>6.9006831108983049E-2</c:v>
                </c:pt>
                <c:pt idx="5">
                  <c:v>8.93973267100064E-2</c:v>
                </c:pt>
                <c:pt idx="6">
                  <c:v>3.1454806935728399E-2</c:v>
                </c:pt>
                <c:pt idx="7">
                  <c:v>2.6099231542649919E-2</c:v>
                </c:pt>
                <c:pt idx="8">
                  <c:v>6.1736565132403994E-3</c:v>
                </c:pt>
                <c:pt idx="9">
                  <c:v>2.4479908813542029E-3</c:v>
                </c:pt>
                <c:pt idx="10">
                  <c:v>-2.6631619889357105E-3</c:v>
                </c:pt>
                <c:pt idx="11">
                  <c:v>-8.0208555861704563E-3</c:v>
                </c:pt>
              </c:numCache>
            </c:numRef>
          </c:val>
        </c:ser>
        <c:ser>
          <c:idx val="1"/>
          <c:order val="2"/>
          <c:tx>
            <c:strRef>
              <c:f>Sector1!$E$612</c:f>
              <c:strCache>
                <c:ptCount val="1"/>
                <c:pt idx="0">
                  <c:v>Stock-flow adjustment as % of GDP</c:v>
                </c:pt>
              </c:strCache>
            </c:strRef>
          </c:tx>
          <c:spPr>
            <a:solidFill>
              <a:srgbClr val="FFFF99"/>
            </a:solidFill>
            <a:ln w="3175">
              <a:solidFill>
                <a:srgbClr val="000000"/>
              </a:solidFill>
              <a:prstDash val="solid"/>
            </a:ln>
          </c:spPr>
          <c:invertIfNegative val="0"/>
          <c:val>
            <c:numRef>
              <c:f>Sector1!$G$612:$AC$612</c:f>
              <c:numCache>
                <c:formatCode>0.00%</c:formatCode>
                <c:ptCount val="12"/>
                <c:pt idx="0">
                  <c:v>1.596773644285223E-2</c:v>
                </c:pt>
                <c:pt idx="1">
                  <c:v>7.611397261632534E-3</c:v>
                </c:pt>
                <c:pt idx="2">
                  <c:v>-2.6168726228182559E-2</c:v>
                </c:pt>
                <c:pt idx="3">
                  <c:v>1.1650347022924234E-2</c:v>
                </c:pt>
                <c:pt idx="4">
                  <c:v>2.4554315272841128E-2</c:v>
                </c:pt>
                <c:pt idx="5">
                  <c:v>-4.2126827159562084E-2</c:v>
                </c:pt>
                <c:pt idx="6">
                  <c:v>1.7569916230065059E-2</c:v>
                </c:pt>
                <c:pt idx="7">
                  <c:v>-1.79212320489479E-2</c:v>
                </c:pt>
                <c:pt idx="8">
                  <c:v>2.8692626505813234E-2</c:v>
                </c:pt>
                <c:pt idx="9">
                  <c:v>2.7330287194057952E-2</c:v>
                </c:pt>
                <c:pt idx="10">
                  <c:v>-8.3484361358341433E-3</c:v>
                </c:pt>
                <c:pt idx="11">
                  <c:v>4.2843881196313223E-2</c:v>
                </c:pt>
              </c:numCache>
            </c:numRef>
          </c:val>
        </c:ser>
        <c:dLbls>
          <c:showLegendKey val="0"/>
          <c:showVal val="0"/>
          <c:showCatName val="0"/>
          <c:showSerName val="0"/>
          <c:showPercent val="0"/>
          <c:showBubbleSize val="0"/>
        </c:dLbls>
        <c:gapWidth val="150"/>
        <c:overlap val="100"/>
        <c:axId val="249494528"/>
        <c:axId val="249496320"/>
      </c:barChart>
      <c:catAx>
        <c:axId val="24949145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49492992"/>
        <c:crosses val="autoZero"/>
        <c:auto val="1"/>
        <c:lblAlgn val="ctr"/>
        <c:lblOffset val="100"/>
        <c:tickLblSkip val="2"/>
        <c:tickMarkSkip val="1"/>
        <c:noMultiLvlLbl val="0"/>
      </c:catAx>
      <c:valAx>
        <c:axId val="249492992"/>
        <c:scaling>
          <c:orientation val="minMax"/>
          <c:max val="0.06"/>
          <c:min val="-0.1"/>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49491456"/>
        <c:crosses val="autoZero"/>
        <c:crossBetween val="between"/>
      </c:valAx>
      <c:catAx>
        <c:axId val="249494528"/>
        <c:scaling>
          <c:orientation val="minMax"/>
        </c:scaling>
        <c:delete val="1"/>
        <c:axPos val="b"/>
        <c:numFmt formatCode="0" sourceLinked="1"/>
        <c:majorTickMark val="out"/>
        <c:minorTickMark val="none"/>
        <c:tickLblPos val="nextTo"/>
        <c:crossAx val="249496320"/>
        <c:crosses val="autoZero"/>
        <c:auto val="1"/>
        <c:lblAlgn val="ctr"/>
        <c:lblOffset val="100"/>
        <c:noMultiLvlLbl val="0"/>
      </c:catAx>
      <c:valAx>
        <c:axId val="249496320"/>
        <c:scaling>
          <c:orientation val="minMax"/>
          <c:max val="0.06"/>
          <c:min val="-0.1"/>
        </c:scaling>
        <c:delete val="0"/>
        <c:axPos val="r"/>
        <c:numFmt formatCode="0%" sourceLinked="0"/>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49494528"/>
        <c:crosses val="max"/>
        <c:crossBetween val="between"/>
      </c:valAx>
      <c:spPr>
        <a:noFill/>
        <a:ln w="12700">
          <a:solidFill>
            <a:srgbClr val="808080"/>
          </a:solidFill>
          <a:prstDash val="solid"/>
        </a:ln>
      </c:spPr>
    </c:plotArea>
    <c:legend>
      <c:legendPos val="r"/>
      <c:layout>
        <c:manualLayout>
          <c:xMode val="edge"/>
          <c:yMode val="edge"/>
          <c:x val="4.6875E-2"/>
          <c:y val="0.91666898255365137"/>
          <c:w val="0.9229910714285714"/>
          <c:h val="5.8823786732540739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Subsidies and GDP</a:t>
            </a:r>
          </a:p>
        </c:rich>
      </c:tx>
      <c:layout>
        <c:manualLayout>
          <c:xMode val="edge"/>
          <c:yMode val="edge"/>
          <c:x val="0.36160761154855642"/>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904931243793893"/>
        </c:manualLayout>
      </c:layout>
      <c:lineChart>
        <c:grouping val="standard"/>
        <c:varyColors val="0"/>
        <c:ser>
          <c:idx val="1"/>
          <c:order val="0"/>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ser>
          <c:idx val="0"/>
          <c:order val="1"/>
          <c:tx>
            <c:strRef>
              <c:f>Sector1!$D$59:$E$59</c:f>
              <c:strCache>
                <c:ptCount val="1"/>
                <c:pt idx="0">
                  <c:v>GVT Subsidies (D.3p = D.31p+D.39p)</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Sector1!$G$59:$AC$59</c:f>
              <c:numCache>
                <c:formatCode>0.0</c:formatCode>
                <c:ptCount val="12"/>
                <c:pt idx="0">
                  <c:v>14.207110609480832</c:v>
                </c:pt>
                <c:pt idx="1">
                  <c:v>57.8567016676961</c:v>
                </c:pt>
                <c:pt idx="2">
                  <c:v>-13.589231912978839</c:v>
                </c:pt>
                <c:pt idx="3">
                  <c:v>-22.821952544828839</c:v>
                </c:pt>
                <c:pt idx="4">
                  <c:v>-19.038957991081908</c:v>
                </c:pt>
                <c:pt idx="5">
                  <c:v>-11.174722806000437</c:v>
                </c:pt>
                <c:pt idx="6">
                  <c:v>-14.481520763645261</c:v>
                </c:pt>
                <c:pt idx="7">
                  <c:v>10.312917382178966</c:v>
                </c:pt>
                <c:pt idx="8">
                  <c:v>2.6896134221222834</c:v>
                </c:pt>
                <c:pt idx="9">
                  <c:v>24.279939363314806</c:v>
                </c:pt>
                <c:pt idx="10">
                  <c:v>10.069797384292212</c:v>
                </c:pt>
                <c:pt idx="11">
                  <c:v>-2.225574093455629</c:v>
                </c:pt>
              </c:numCache>
            </c:numRef>
          </c:val>
          <c:smooth val="0"/>
        </c:ser>
        <c:dLbls>
          <c:showLegendKey val="0"/>
          <c:showVal val="0"/>
          <c:showCatName val="0"/>
          <c:showSerName val="0"/>
          <c:showPercent val="0"/>
          <c:showBubbleSize val="0"/>
        </c:dLbls>
        <c:marker val="1"/>
        <c:smooth val="0"/>
        <c:axId val="249529472"/>
        <c:axId val="249531392"/>
      </c:lineChart>
      <c:catAx>
        <c:axId val="2495294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531392"/>
        <c:crosses val="autoZero"/>
        <c:auto val="1"/>
        <c:lblAlgn val="ctr"/>
        <c:lblOffset val="100"/>
        <c:tickLblSkip val="2"/>
        <c:tickMarkSkip val="1"/>
        <c:noMultiLvlLbl val="0"/>
      </c:catAx>
      <c:valAx>
        <c:axId val="24953139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529472"/>
        <c:crosses val="autoZero"/>
        <c:crossBetween val="midCat"/>
      </c:valAx>
      <c:spPr>
        <a:noFill/>
        <a:ln w="12700">
          <a:solidFill>
            <a:srgbClr val="808080"/>
          </a:solidFill>
          <a:prstDash val="solid"/>
        </a:ln>
      </c:spPr>
    </c:plotArea>
    <c:legend>
      <c:legendPos val="r"/>
      <c:layout>
        <c:manualLayout>
          <c:xMode val="edge"/>
          <c:yMode val="edge"/>
          <c:x val="0.15625023434570678"/>
          <c:y val="0.91316761875353814"/>
          <c:w val="0.7209828458942630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Subsidies as % of GDP</a:t>
            </a:r>
          </a:p>
        </c:rich>
      </c:tx>
      <c:layout>
        <c:manualLayout>
          <c:xMode val="edge"/>
          <c:yMode val="edge"/>
          <c:x val="0.33928618297712781"/>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0"/>
          <c:order val="0"/>
          <c:tx>
            <c:strRef>
              <c:f>Sector1!$D$67:$E$67</c:f>
              <c:strCache>
                <c:ptCount val="1"/>
                <c:pt idx="0">
                  <c:v>GVT Subsidies (D.3p = D.31p+D.39p)</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Sector1!$G$67:$AC$67</c:f>
              <c:numCache>
                <c:formatCode>0.0%</c:formatCode>
                <c:ptCount val="12"/>
                <c:pt idx="0">
                  <c:v>6.723650888443876E-3</c:v>
                </c:pt>
                <c:pt idx="1">
                  <c:v>8.8004198251692631E-3</c:v>
                </c:pt>
                <c:pt idx="2">
                  <c:v>6.7542851969704196E-3</c:v>
                </c:pt>
                <c:pt idx="3">
                  <c:v>6.3278685359694263E-3</c:v>
                </c:pt>
                <c:pt idx="4">
                  <c:v>4.9233507185401848E-3</c:v>
                </c:pt>
                <c:pt idx="5">
                  <c:v>3.9190646170846532E-3</c:v>
                </c:pt>
                <c:pt idx="6">
                  <c:v>3.1431717427600897E-3</c:v>
                </c:pt>
                <c:pt idx="7">
                  <c:v>3.3075273922936869E-3</c:v>
                </c:pt>
                <c:pt idx="8">
                  <c:v>3.2470764279862218E-3</c:v>
                </c:pt>
                <c:pt idx="9">
                  <c:v>3.9429165505505308E-3</c:v>
                </c:pt>
                <c:pt idx="10">
                  <c:v>4.2005962503672261E-3</c:v>
                </c:pt>
                <c:pt idx="11">
                  <c:v>3.801257537537702E-3</c:v>
                </c:pt>
              </c:numCache>
            </c:numRef>
          </c:val>
          <c:smooth val="0"/>
        </c:ser>
        <c:dLbls>
          <c:showLegendKey val="0"/>
          <c:showVal val="0"/>
          <c:showCatName val="0"/>
          <c:showSerName val="0"/>
          <c:showPercent val="0"/>
          <c:showBubbleSize val="0"/>
        </c:dLbls>
        <c:marker val="1"/>
        <c:smooth val="0"/>
        <c:axId val="249551872"/>
        <c:axId val="249566336"/>
      </c:lineChart>
      <c:catAx>
        <c:axId val="2495518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566336"/>
        <c:crosses val="autoZero"/>
        <c:auto val="1"/>
        <c:lblAlgn val="ctr"/>
        <c:lblOffset val="100"/>
        <c:tickLblSkip val="2"/>
        <c:tickMarkSkip val="1"/>
        <c:noMultiLvlLbl val="0"/>
      </c:catAx>
      <c:valAx>
        <c:axId val="24956633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551872"/>
        <c:crosses val="autoZero"/>
        <c:crossBetween val="midCat"/>
      </c:valAx>
      <c:spPr>
        <a:noFill/>
        <a:ln w="12700">
          <a:solidFill>
            <a:srgbClr val="808080"/>
          </a:solidFill>
          <a:prstDash val="solid"/>
        </a:ln>
      </c:spPr>
    </c:plotArea>
    <c:legend>
      <c:legendPos val="r"/>
      <c:layout>
        <c:manualLayout>
          <c:xMode val="edge"/>
          <c:yMode val="edge"/>
          <c:x val="0.23883952005999248"/>
          <c:y val="0.91316761875353814"/>
          <c:w val="0.5803578458942630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Gross value added and its components</a:t>
            </a:r>
          </a:p>
        </c:rich>
      </c:tx>
      <c:layout>
        <c:manualLayout>
          <c:xMode val="edge"/>
          <c:yMode val="edge"/>
          <c:x val="0.22321452005999248"/>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44537936958204655"/>
        </c:manualLayout>
      </c:layout>
      <c:lineChart>
        <c:grouping val="standard"/>
        <c:varyColors val="0"/>
        <c:ser>
          <c:idx val="1"/>
          <c:order val="0"/>
          <c:tx>
            <c:strRef>
              <c:f>Sector1!$D$95:$E$95</c:f>
              <c:strCache>
                <c:ptCount val="1"/>
                <c:pt idx="0">
                  <c:v>GVT Gross value added (B.1g-D.21+D.31)</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Sector1!$G$95:$AC$95</c:f>
              <c:numCache>
                <c:formatCode>0.0</c:formatCode>
                <c:ptCount val="12"/>
                <c:pt idx="0">
                  <c:v>14.329361152800345</c:v>
                </c:pt>
                <c:pt idx="1">
                  <c:v>19.981981882497578</c:v>
                </c:pt>
                <c:pt idx="2">
                  <c:v>12.550418959599629</c:v>
                </c:pt>
                <c:pt idx="3">
                  <c:v>-17.202677687065503</c:v>
                </c:pt>
                <c:pt idx="4">
                  <c:v>3.7422902376754941</c:v>
                </c:pt>
                <c:pt idx="5">
                  <c:v>11.703051398764375</c:v>
                </c:pt>
                <c:pt idx="6">
                  <c:v>7.1203683514878824</c:v>
                </c:pt>
                <c:pt idx="7">
                  <c:v>5.0552359079149678</c:v>
                </c:pt>
                <c:pt idx="8">
                  <c:v>4.3471016797685724</c:v>
                </c:pt>
                <c:pt idx="9">
                  <c:v>1.9398699878552028</c:v>
                </c:pt>
                <c:pt idx="10">
                  <c:v>3.2045305206449992</c:v>
                </c:pt>
                <c:pt idx="11">
                  <c:v>8.0494702835952392</c:v>
                </c:pt>
              </c:numCache>
            </c:numRef>
          </c:val>
          <c:smooth val="0"/>
        </c:ser>
        <c:ser>
          <c:idx val="0"/>
          <c:order val="1"/>
          <c:tx>
            <c:strRef>
              <c:f>Sector1!$D$92:$E$92</c:f>
              <c:strCache>
                <c:ptCount val="1"/>
                <c:pt idx="0">
                  <c:v>HH Gross value added (B.1g-D.21+D.31)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Sector1!$G$92:$AC$92</c:f>
              <c:numCache>
                <c:formatCode>0.0</c:formatCode>
                <c:ptCount val="12"/>
                <c:pt idx="0">
                  <c:v>7.2836406749649418</c:v>
                </c:pt>
                <c:pt idx="1">
                  <c:v>11.868955010272163</c:v>
                </c:pt>
                <c:pt idx="2">
                  <c:v>7.3791210775286054</c:v>
                </c:pt>
                <c:pt idx="3">
                  <c:v>-19.904110148422681</c:v>
                </c:pt>
                <c:pt idx="4">
                  <c:v>-7.0634701662628085</c:v>
                </c:pt>
                <c:pt idx="5">
                  <c:v>6.5038158085803266</c:v>
                </c:pt>
                <c:pt idx="6">
                  <c:v>12.635964247841237</c:v>
                </c:pt>
                <c:pt idx="7">
                  <c:v>4.3144006133071455</c:v>
                </c:pt>
                <c:pt idx="8">
                  <c:v>3.6965502302768849</c:v>
                </c:pt>
                <c:pt idx="9">
                  <c:v>6.1748841789575293</c:v>
                </c:pt>
                <c:pt idx="10">
                  <c:v>0.10188308038223681</c:v>
                </c:pt>
                <c:pt idx="11">
                  <c:v>0.78441839516136813</c:v>
                </c:pt>
              </c:numCache>
            </c:numRef>
          </c:val>
          <c:smooth val="0"/>
        </c:ser>
        <c:ser>
          <c:idx val="2"/>
          <c:order val="2"/>
          <c:tx>
            <c:strRef>
              <c:f>Sector1!$D$93:$E$93</c:f>
              <c:strCache>
                <c:ptCount val="1"/>
                <c:pt idx="0">
                  <c:v>E Gross value added (B.1g-D.21+D.31)</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Sector1!$G$93:$AC$93</c:f>
              <c:numCache>
                <c:formatCode>0.0</c:formatCode>
                <c:ptCount val="12"/>
                <c:pt idx="0">
                  <c:v>15.83202055580195</c:v>
                </c:pt>
                <c:pt idx="1">
                  <c:v>23.142836582295125</c:v>
                </c:pt>
                <c:pt idx="2">
                  <c:v>11.988434676455629</c:v>
                </c:pt>
                <c:pt idx="3">
                  <c:v>-19.88210698458429</c:v>
                </c:pt>
                <c:pt idx="4">
                  <c:v>8.9558223092766944</c:v>
                </c:pt>
                <c:pt idx="5">
                  <c:v>13.910758707831894</c:v>
                </c:pt>
                <c:pt idx="6">
                  <c:v>7.0042035235262201</c:v>
                </c:pt>
                <c:pt idx="7">
                  <c:v>5.4587322934162463</c:v>
                </c:pt>
                <c:pt idx="8">
                  <c:v>4.5283616170166185</c:v>
                </c:pt>
                <c:pt idx="9">
                  <c:v>0.93081214737402718</c:v>
                </c:pt>
                <c:pt idx="10">
                  <c:v>3.393782634858411</c:v>
                </c:pt>
                <c:pt idx="11">
                  <c:v>9.879529186306435</c:v>
                </c:pt>
              </c:numCache>
            </c:numRef>
          </c:val>
          <c:smooth val="0"/>
        </c:ser>
        <c:ser>
          <c:idx val="3"/>
          <c:order val="3"/>
          <c:tx>
            <c:strRef>
              <c:f>Sector1!$D$94:$E$94</c:f>
              <c:strCache>
                <c:ptCount val="1"/>
                <c:pt idx="0">
                  <c:v>GVT Gross value added (B.1g-D.21+D.31)</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Sector1!$G$94:$AC$94</c:f>
              <c:numCache>
                <c:formatCode>0.0</c:formatCode>
                <c:ptCount val="12"/>
                <c:pt idx="0">
                  <c:v>15.479960928250058</c:v>
                </c:pt>
                <c:pt idx="1">
                  <c:v>13.650956393579182</c:v>
                </c:pt>
                <c:pt idx="2">
                  <c:v>21.158053203125892</c:v>
                </c:pt>
                <c:pt idx="3">
                  <c:v>-1.5629399186070536</c:v>
                </c:pt>
                <c:pt idx="4">
                  <c:v>-8.3642595437891547</c:v>
                </c:pt>
                <c:pt idx="5">
                  <c:v>5.4748300723562959</c:v>
                </c:pt>
                <c:pt idx="6">
                  <c:v>3.2583415058854648</c:v>
                </c:pt>
                <c:pt idx="7">
                  <c:v>3.5832709634022519</c:v>
                </c:pt>
                <c:pt idx="8">
                  <c:v>3.9527508283010215</c:v>
                </c:pt>
                <c:pt idx="9">
                  <c:v>3.6317604722982511</c:v>
                </c:pt>
                <c:pt idx="10">
                  <c:v>5.0227215322866448</c:v>
                </c:pt>
                <c:pt idx="11">
                  <c:v>4.8687574797672495</c:v>
                </c:pt>
              </c:numCache>
            </c:numRef>
          </c:val>
          <c:smooth val="0"/>
        </c:ser>
        <c:dLbls>
          <c:showLegendKey val="0"/>
          <c:showVal val="0"/>
          <c:showCatName val="0"/>
          <c:showSerName val="0"/>
          <c:showPercent val="0"/>
          <c:showBubbleSize val="0"/>
        </c:dLbls>
        <c:marker val="1"/>
        <c:smooth val="0"/>
        <c:axId val="249609216"/>
        <c:axId val="249615488"/>
      </c:lineChart>
      <c:catAx>
        <c:axId val="2496092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615488"/>
        <c:crosses val="autoZero"/>
        <c:auto val="1"/>
        <c:lblAlgn val="ctr"/>
        <c:lblOffset val="100"/>
        <c:tickLblSkip val="2"/>
        <c:tickMarkSkip val="1"/>
        <c:noMultiLvlLbl val="0"/>
      </c:catAx>
      <c:valAx>
        <c:axId val="2496154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609216"/>
        <c:crosses val="autoZero"/>
        <c:crossBetween val="midCat"/>
      </c:valAx>
      <c:spPr>
        <a:noFill/>
        <a:ln w="12700">
          <a:solidFill>
            <a:srgbClr val="808080"/>
          </a:solidFill>
          <a:prstDash val="solid"/>
        </a:ln>
      </c:spPr>
    </c:plotArea>
    <c:legend>
      <c:legendPos val="r"/>
      <c:layout>
        <c:manualLayout>
          <c:xMode val="edge"/>
          <c:yMode val="edge"/>
          <c:x val="0.12053594863142106"/>
          <c:y val="0.73669673643735711"/>
          <c:w val="0.75000070303712041"/>
          <c:h val="0.24649918760154976"/>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Government compensation of employees as % of GVA</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2"/>
          <c:order val="0"/>
          <c:tx>
            <c:strRef>
              <c:f>Sector1!$E$86</c:f>
              <c:strCache>
                <c:ptCount val="1"/>
                <c:pt idx="0">
                  <c:v>Compensation of employees (D.1p) </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Sector1!$G$86:$AC$86</c:f>
              <c:numCache>
                <c:formatCode>0.0%</c:formatCode>
                <c:ptCount val="12"/>
                <c:pt idx="0">
                  <c:v>0.80247669091025609</c:v>
                </c:pt>
                <c:pt idx="1">
                  <c:v>0.79908433789284961</c:v>
                </c:pt>
                <c:pt idx="2">
                  <c:v>0.80876381853422896</c:v>
                </c:pt>
                <c:pt idx="3">
                  <c:v>0.80611275262971283</c:v>
                </c:pt>
                <c:pt idx="4">
                  <c:v>0.78904208530561182</c:v>
                </c:pt>
                <c:pt idx="5">
                  <c:v>0.78195549403383313</c:v>
                </c:pt>
                <c:pt idx="6">
                  <c:v>0.76776832491734004</c:v>
                </c:pt>
                <c:pt idx="7">
                  <c:v>0.76335170953557985</c:v>
                </c:pt>
                <c:pt idx="8">
                  <c:v>0.7615347052975181</c:v>
                </c:pt>
                <c:pt idx="9">
                  <c:v>0.76523276570184151</c:v>
                </c:pt>
                <c:pt idx="10">
                  <c:v>0.76845734565069335</c:v>
                </c:pt>
                <c:pt idx="11">
                  <c:v>0.77125138594673559</c:v>
                </c:pt>
              </c:numCache>
            </c:numRef>
          </c:val>
          <c:smooth val="0"/>
        </c:ser>
        <c:dLbls>
          <c:showLegendKey val="0"/>
          <c:showVal val="0"/>
          <c:showCatName val="0"/>
          <c:showSerName val="0"/>
          <c:showPercent val="0"/>
          <c:showBubbleSize val="0"/>
        </c:dLbls>
        <c:marker val="1"/>
        <c:smooth val="0"/>
        <c:axId val="248800000"/>
        <c:axId val="248801920"/>
      </c:lineChart>
      <c:catAx>
        <c:axId val="24880000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801920"/>
        <c:crosses val="autoZero"/>
        <c:auto val="1"/>
        <c:lblAlgn val="ctr"/>
        <c:lblOffset val="100"/>
        <c:tickLblSkip val="2"/>
        <c:tickMarkSkip val="1"/>
        <c:noMultiLvlLbl val="0"/>
      </c:catAx>
      <c:valAx>
        <c:axId val="24880192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800000"/>
        <c:crosses val="autoZero"/>
        <c:crossBetween val="midCat"/>
      </c:valAx>
      <c:spPr>
        <a:noFill/>
        <a:ln w="12700">
          <a:solidFill>
            <a:srgbClr val="808080"/>
          </a:solidFill>
          <a:prstDash val="solid"/>
        </a:ln>
      </c:spPr>
    </c:plotArea>
    <c:legend>
      <c:legendPos val="r"/>
      <c:layout>
        <c:manualLayout>
          <c:xMode val="edge"/>
          <c:yMode val="edge"/>
          <c:x val="0.18080380577427821"/>
          <c:y val="0.91316761875353814"/>
          <c:w val="0.6718757030371203"/>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Corporate compensation of employees as % of GVA</a:t>
            </a:r>
          </a:p>
        </c:rich>
      </c:tx>
      <c:layout>
        <c:manualLayout>
          <c:xMode val="edge"/>
          <c:yMode val="edge"/>
          <c:x val="0.13392880577427821"/>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2"/>
          <c:order val="0"/>
          <c:tx>
            <c:strRef>
              <c:f>Sector1!$E$81</c:f>
              <c:strCache>
                <c:ptCount val="1"/>
                <c:pt idx="0">
                  <c:v>Compensation of employees (D.1p) </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Sector1!$G$81:$AC$81</c:f>
              <c:numCache>
                <c:formatCode>0.0%</c:formatCode>
                <c:ptCount val="12"/>
                <c:pt idx="0">
                  <c:v>0.47749736084437144</c:v>
                </c:pt>
                <c:pt idx="1">
                  <c:v>0.46968123519285271</c:v>
                </c:pt>
                <c:pt idx="2">
                  <c:v>0.48440069454717277</c:v>
                </c:pt>
                <c:pt idx="3">
                  <c:v>0.47889231011922656</c:v>
                </c:pt>
                <c:pt idx="4">
                  <c:v>0.43600856853290748</c:v>
                </c:pt>
                <c:pt idx="5">
                  <c:v>0.41534336639116598</c:v>
                </c:pt>
                <c:pt idx="6">
                  <c:v>0.41733793045732631</c:v>
                </c:pt>
                <c:pt idx="7">
                  <c:v>0.42324623528929911</c:v>
                </c:pt>
                <c:pt idx="8">
                  <c:v>0.43544008577920668</c:v>
                </c:pt>
                <c:pt idx="9">
                  <c:v>0.46608765067841684</c:v>
                </c:pt>
                <c:pt idx="10">
                  <c:v>0.49427786499829079</c:v>
                </c:pt>
                <c:pt idx="11">
                  <c:v>0.4957235332392485</c:v>
                </c:pt>
              </c:numCache>
            </c:numRef>
          </c:val>
          <c:smooth val="0"/>
        </c:ser>
        <c:dLbls>
          <c:showLegendKey val="0"/>
          <c:showVal val="0"/>
          <c:showCatName val="0"/>
          <c:showSerName val="0"/>
          <c:showPercent val="0"/>
          <c:showBubbleSize val="0"/>
        </c:dLbls>
        <c:marker val="1"/>
        <c:smooth val="0"/>
        <c:axId val="248834304"/>
        <c:axId val="248840576"/>
      </c:lineChart>
      <c:catAx>
        <c:axId val="2488343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840576"/>
        <c:crosses val="autoZero"/>
        <c:auto val="1"/>
        <c:lblAlgn val="ctr"/>
        <c:lblOffset val="100"/>
        <c:tickLblSkip val="2"/>
        <c:tickMarkSkip val="1"/>
        <c:noMultiLvlLbl val="0"/>
      </c:catAx>
      <c:valAx>
        <c:axId val="2488405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834304"/>
        <c:crosses val="autoZero"/>
        <c:crossBetween val="midCat"/>
      </c:valAx>
      <c:spPr>
        <a:noFill/>
        <a:ln w="12700">
          <a:solidFill>
            <a:srgbClr val="808080"/>
          </a:solidFill>
          <a:prstDash val="solid"/>
        </a:ln>
      </c:spPr>
    </c:plotArea>
    <c:legend>
      <c:legendPos val="r"/>
      <c:layout>
        <c:manualLayout>
          <c:xMode val="edge"/>
          <c:yMode val="edge"/>
          <c:x val="0.19642880577427821"/>
          <c:y val="0.91596903328260437"/>
          <c:w val="0.662947131608548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compensation of employees as % of GVA</a:t>
            </a:r>
          </a:p>
        </c:rich>
      </c:tx>
      <c:layout>
        <c:manualLayout>
          <c:xMode val="edge"/>
          <c:yMode val="edge"/>
          <c:x val="0.12946452005999248"/>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2"/>
          <c:order val="0"/>
          <c:tx>
            <c:strRef>
              <c:f>Sector1!$E$76</c:f>
              <c:strCache>
                <c:ptCount val="1"/>
                <c:pt idx="0">
                  <c:v>Compensation of employees (D.1p) </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Sector1!$G$76:$AC$76</c:f>
              <c:numCache>
                <c:formatCode>0.0%</c:formatCode>
                <c:ptCount val="12"/>
                <c:pt idx="0">
                  <c:v>0.15583954664019761</c:v>
                </c:pt>
                <c:pt idx="1">
                  <c:v>0.18848754971601903</c:v>
                </c:pt>
                <c:pt idx="2">
                  <c:v>0.18277201419131373</c:v>
                </c:pt>
                <c:pt idx="3">
                  <c:v>0.16601089225306492</c:v>
                </c:pt>
                <c:pt idx="4">
                  <c:v>0.14871811419997097</c:v>
                </c:pt>
                <c:pt idx="5">
                  <c:v>0.14294803817603394</c:v>
                </c:pt>
                <c:pt idx="6">
                  <c:v>0.12371050826485185</c:v>
                </c:pt>
                <c:pt idx="7">
                  <c:v>0.12476211596878754</c:v>
                </c:pt>
                <c:pt idx="8">
                  <c:v>0.12270937932852394</c:v>
                </c:pt>
                <c:pt idx="9">
                  <c:v>0.11862469552182874</c:v>
                </c:pt>
                <c:pt idx="10">
                  <c:v>0.11449127855964622</c:v>
                </c:pt>
                <c:pt idx="11">
                  <c:v>0.120984189428906</c:v>
                </c:pt>
              </c:numCache>
            </c:numRef>
          </c:val>
          <c:smooth val="0"/>
        </c:ser>
        <c:dLbls>
          <c:showLegendKey val="0"/>
          <c:showVal val="0"/>
          <c:showCatName val="0"/>
          <c:showSerName val="0"/>
          <c:showPercent val="0"/>
          <c:showBubbleSize val="0"/>
        </c:dLbls>
        <c:marker val="1"/>
        <c:smooth val="0"/>
        <c:axId val="248877056"/>
        <c:axId val="248878976"/>
      </c:lineChart>
      <c:catAx>
        <c:axId val="2488770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878976"/>
        <c:crosses val="autoZero"/>
        <c:auto val="1"/>
        <c:lblAlgn val="ctr"/>
        <c:lblOffset val="100"/>
        <c:tickLblSkip val="2"/>
        <c:tickMarkSkip val="1"/>
        <c:noMultiLvlLbl val="0"/>
      </c:catAx>
      <c:valAx>
        <c:axId val="2488789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877056"/>
        <c:crosses val="autoZero"/>
        <c:crossBetween val="midCat"/>
      </c:valAx>
      <c:spPr>
        <a:noFill/>
        <a:ln w="12700">
          <a:solidFill>
            <a:srgbClr val="808080"/>
          </a:solidFill>
          <a:prstDash val="solid"/>
        </a:ln>
      </c:spPr>
    </c:plotArea>
    <c:legend>
      <c:legendPos val="r"/>
      <c:layout>
        <c:manualLayout>
          <c:xMode val="edge"/>
          <c:yMode val="edge"/>
          <c:x val="0.25892880577427818"/>
          <c:y val="0.91316761875353814"/>
          <c:w val="0.55580427446569169"/>
          <c:h val="6.7227184837189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GB"/>
              <a:t>Social benefits (HH, received) and GDP</a:t>
            </a:r>
          </a:p>
        </c:rich>
      </c:tx>
      <c:layout>
        <c:manualLayout>
          <c:xMode val="edge"/>
          <c:yMode val="edge"/>
          <c:x val="0.25446452005999248"/>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62185044054851779"/>
        </c:manualLayout>
      </c:layout>
      <c:lineChart>
        <c:grouping val="standard"/>
        <c:varyColors val="0"/>
        <c:ser>
          <c:idx val="0"/>
          <c:order val="0"/>
          <c:tx>
            <c:strRef>
              <c:f>Sector1!$D$302:$E$302</c:f>
              <c:strCache>
                <c:ptCount val="1"/>
                <c:pt idx="0">
                  <c:v>HH Social benefits (D.62r)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Sector1!$G$310:$AC$310</c:f>
              <c:numCache>
                <c:formatCode>0.0</c:formatCode>
                <c:ptCount val="12"/>
                <c:pt idx="0">
                  <c:v>13.033981399958638</c:v>
                </c:pt>
                <c:pt idx="1">
                  <c:v>26.632757299736088</c:v>
                </c:pt>
                <c:pt idx="2">
                  <c:v>33.085163237661796</c:v>
                </c:pt>
                <c:pt idx="3">
                  <c:v>13.844669561022682</c:v>
                </c:pt>
                <c:pt idx="4" formatCode="0.00">
                  <c:v>-7.7293903629425902</c:v>
                </c:pt>
                <c:pt idx="5" formatCode="0.00">
                  <c:v>-1.852283737939342</c:v>
                </c:pt>
                <c:pt idx="6" formatCode="0.00">
                  <c:v>1.4845118381245248</c:v>
                </c:pt>
                <c:pt idx="7" formatCode="0.00">
                  <c:v>-0.78836521634180201</c:v>
                </c:pt>
                <c:pt idx="8" formatCode="0.00">
                  <c:v>0.54086406867002168</c:v>
                </c:pt>
                <c:pt idx="9" formatCode="0.00">
                  <c:v>2.5295717659813421</c:v>
                </c:pt>
                <c:pt idx="10" formatCode="0.00">
                  <c:v>5.1755431511618211</c:v>
                </c:pt>
                <c:pt idx="11" formatCode="0.00">
                  <c:v>11.656976344945068</c:v>
                </c:pt>
              </c:numCache>
            </c:numRef>
          </c:val>
          <c:smooth val="0"/>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'VVP2'!$G$348:$AA$348</c:f>
              <c:numCache>
                <c:formatCode>0.0</c:formatCode>
                <c:ptCount val="4"/>
                <c:pt idx="0">
                  <c:v>6.6287411287878184</c:v>
                </c:pt>
                <c:pt idx="1">
                  <c:v>4.8313146506227644</c:v>
                </c:pt>
                <c:pt idx="2">
                  <c:v>4.6013904601447608</c:v>
                </c:pt>
                <c:pt idx="3">
                  <c:v>2.3471981728427016</c:v>
                </c:pt>
              </c:numCache>
            </c:numRef>
          </c:val>
          <c:smooth val="0"/>
        </c:ser>
        <c:dLbls>
          <c:showLegendKey val="0"/>
          <c:showVal val="0"/>
          <c:showCatName val="0"/>
          <c:showSerName val="0"/>
          <c:showPercent val="0"/>
          <c:showBubbleSize val="0"/>
        </c:dLbls>
        <c:marker val="1"/>
        <c:smooth val="0"/>
        <c:axId val="248933760"/>
        <c:axId val="248935936"/>
      </c:lineChart>
      <c:catAx>
        <c:axId val="2489337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935936"/>
        <c:crosses val="autoZero"/>
        <c:auto val="1"/>
        <c:lblAlgn val="ctr"/>
        <c:lblOffset val="100"/>
        <c:tickLblSkip val="2"/>
        <c:tickMarkSkip val="1"/>
        <c:noMultiLvlLbl val="0"/>
      </c:catAx>
      <c:valAx>
        <c:axId val="24893593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933760"/>
        <c:crosses val="autoZero"/>
        <c:crossBetween val="midCat"/>
      </c:valAx>
      <c:spPr>
        <a:noFill/>
        <a:ln w="12700">
          <a:solidFill>
            <a:srgbClr val="808080"/>
          </a:solidFill>
          <a:prstDash val="solid"/>
        </a:ln>
      </c:spPr>
    </c:plotArea>
    <c:legend>
      <c:legendPos val="r"/>
      <c:layout>
        <c:manualLayout>
          <c:xMode val="edge"/>
          <c:yMode val="edge"/>
          <c:x val="0.23214309148856391"/>
          <c:y val="0.91316761875353814"/>
          <c:w val="0.5691971316085489"/>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benefits (HH, received) as % of GDP</a:t>
            </a:r>
          </a:p>
        </c:rich>
      </c:tx>
      <c:layout>
        <c:manualLayout>
          <c:xMode val="edge"/>
          <c:yMode val="edge"/>
          <c:x val="0.19866094863142106"/>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Sector1!$D$317:$E$317</c:f>
              <c:strCache>
                <c:ptCount val="1"/>
                <c:pt idx="0">
                  <c:v>HH Social benefits (D.62r)</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Sector1!$G$317:$AC$317</c:f>
              <c:numCache>
                <c:formatCode>0.0%</c:formatCode>
                <c:ptCount val="12"/>
                <c:pt idx="0">
                  <c:v>9.7569767741260291E-2</c:v>
                </c:pt>
                <c:pt idx="1">
                  <c:v>0.10244636313362024</c:v>
                </c:pt>
                <c:pt idx="2">
                  <c:v>0.12109726244086481</c:v>
                </c:pt>
                <c:pt idx="3">
                  <c:v>0.1673521486313998</c:v>
                </c:pt>
                <c:pt idx="4">
                  <c:v>0.14839590604424341</c:v>
                </c:pt>
                <c:pt idx="5">
                  <c:v>0.13052304500801271</c:v>
                </c:pt>
                <c:pt idx="6">
                  <c:v>0.12422605168211565</c:v>
                </c:pt>
                <c:pt idx="7">
                  <c:v>0.11756668044445526</c:v>
                </c:pt>
                <c:pt idx="8">
                  <c:v>0.11300285383944773</c:v>
                </c:pt>
                <c:pt idx="9">
                  <c:v>0.11320421486209946</c:v>
                </c:pt>
                <c:pt idx="10">
                  <c:v>0.11523981388382014</c:v>
                </c:pt>
                <c:pt idx="11">
                  <c:v>0.1190911504243742</c:v>
                </c:pt>
              </c:numCache>
            </c:numRef>
          </c:val>
          <c:smooth val="0"/>
        </c:ser>
        <c:dLbls>
          <c:showLegendKey val="0"/>
          <c:showVal val="0"/>
          <c:showCatName val="0"/>
          <c:showSerName val="0"/>
          <c:showPercent val="0"/>
          <c:showBubbleSize val="0"/>
        </c:dLbls>
        <c:marker val="1"/>
        <c:smooth val="0"/>
        <c:axId val="248960128"/>
        <c:axId val="248962048"/>
      </c:lineChart>
      <c:catAx>
        <c:axId val="24896012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962048"/>
        <c:crosses val="autoZero"/>
        <c:auto val="1"/>
        <c:lblAlgn val="ctr"/>
        <c:lblOffset val="100"/>
        <c:tickLblSkip val="2"/>
        <c:tickMarkSkip val="1"/>
        <c:noMultiLvlLbl val="0"/>
      </c:catAx>
      <c:valAx>
        <c:axId val="24896204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8960128"/>
        <c:crosses val="autoZero"/>
        <c:crossBetween val="midCat"/>
      </c:valAx>
      <c:spPr>
        <a:noFill/>
        <a:ln w="12700">
          <a:solidFill>
            <a:srgbClr val="808080"/>
          </a:solidFill>
          <a:prstDash val="solid"/>
        </a:ln>
      </c:spPr>
    </c:plotArea>
    <c:legend>
      <c:legendPos val="r"/>
      <c:layout>
        <c:manualLayout>
          <c:xMode val="edge"/>
          <c:yMode val="edge"/>
          <c:x val="0.32366118297712781"/>
          <c:y val="0.91316761875353814"/>
          <c:w val="0.42857189726284212"/>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benefits (HH, received) related to GDP</a:t>
            </a:r>
          </a:p>
        </c:rich>
      </c:tx>
      <c:layout>
        <c:manualLayout>
          <c:xMode val="edge"/>
          <c:yMode val="edge"/>
          <c:x val="0.17857166291713536"/>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61904931243793893"/>
        </c:manualLayout>
      </c:layout>
      <c:scatterChart>
        <c:scatterStyle val="lineMarker"/>
        <c:varyColors val="0"/>
        <c:ser>
          <c:idx val="0"/>
          <c:order val="0"/>
          <c:tx>
            <c:strRef>
              <c:f>Sector1!$D$310:$E$310</c:f>
              <c:strCache>
                <c:ptCount val="1"/>
                <c:pt idx="0">
                  <c:v>HH Social benefits (D.62r)</c:v>
                </c:pt>
              </c:strCache>
            </c:strRef>
          </c:tx>
          <c:spPr>
            <a:ln w="28575">
              <a:noFill/>
            </a:ln>
          </c:spPr>
          <c:marker>
            <c:symbol val="circle"/>
            <c:size val="7"/>
            <c:spPr>
              <a:solidFill>
                <a:srgbClr val="FFFFFF"/>
              </a:solidFill>
              <a:ln>
                <a:solidFill>
                  <a:srgbClr val="FF0000"/>
                </a:solidFill>
                <a:prstDash val="solid"/>
              </a:ln>
            </c:spPr>
          </c:marker>
          <c:dLbls>
            <c:dLbl>
              <c:idx val="1"/>
              <c:tx>
                <c:strRef>
                  <c:f>Sector1!$H$252</c:f>
                  <c:strCache>
                    <c:ptCount val="1"/>
                    <c:pt idx="0">
                      <c:v>1996</c:v>
                    </c:pt>
                  </c:strCache>
                </c:strRef>
              </c:tx>
              <c:showLegendKey val="0"/>
              <c:showVal val="0"/>
              <c:showCatName val="0"/>
              <c:showSerName val="0"/>
              <c:showPercent val="0"/>
              <c:showBubbleSize val="0"/>
            </c:dLbl>
            <c:dLbl>
              <c:idx val="2"/>
              <c:tx>
                <c:strRef>
                  <c:f>Sector1!$I$252</c:f>
                  <c:strCache>
                    <c:ptCount val="1"/>
                    <c:pt idx="0">
                      <c:v>1997</c:v>
                    </c:pt>
                  </c:strCache>
                </c:strRef>
              </c:tx>
              <c:showLegendKey val="0"/>
              <c:showVal val="0"/>
              <c:showCatName val="0"/>
              <c:showSerName val="0"/>
              <c:showPercent val="0"/>
              <c:showBubbleSize val="0"/>
            </c:dLbl>
            <c:dLbl>
              <c:idx val="3"/>
              <c:tx>
                <c:strRef>
                  <c:f>Sector1!$J$252</c:f>
                  <c:strCache>
                    <c:ptCount val="1"/>
                    <c:pt idx="0">
                      <c:v>1998</c:v>
                    </c:pt>
                  </c:strCache>
                </c:strRef>
              </c:tx>
              <c:showLegendKey val="0"/>
              <c:showVal val="0"/>
              <c:showCatName val="0"/>
              <c:showSerName val="0"/>
              <c:showPercent val="0"/>
              <c:showBubbleSize val="0"/>
            </c:dLbl>
            <c:dLbl>
              <c:idx val="4"/>
              <c:tx>
                <c:strRef>
                  <c:f>Sector1!$K$252</c:f>
                  <c:strCache>
                    <c:ptCount val="1"/>
                    <c:pt idx="0">
                      <c:v>1999</c:v>
                    </c:pt>
                  </c:strCache>
                </c:strRef>
              </c:tx>
              <c:showLegendKey val="0"/>
              <c:showVal val="0"/>
              <c:showCatName val="0"/>
              <c:showSerName val="0"/>
              <c:showPercent val="0"/>
              <c:showBubbleSize val="0"/>
            </c:dLbl>
            <c:dLbl>
              <c:idx val="5"/>
              <c:tx>
                <c:strRef>
                  <c:f>Sector1!$L$252</c:f>
                  <c:strCache>
                    <c:ptCount val="1"/>
                    <c:pt idx="0">
                      <c:v>2000</c:v>
                    </c:pt>
                  </c:strCache>
                </c:strRef>
              </c:tx>
              <c:showLegendKey val="0"/>
              <c:showVal val="0"/>
              <c:showCatName val="0"/>
              <c:showSerName val="0"/>
              <c:showPercent val="0"/>
              <c:showBubbleSize val="0"/>
            </c:dLbl>
            <c:dLbl>
              <c:idx val="6"/>
              <c:tx>
                <c:strRef>
                  <c:f>Sector1!$M$252</c:f>
                  <c:strCache>
                    <c:ptCount val="1"/>
                    <c:pt idx="0">
                      <c:v>2001</c:v>
                    </c:pt>
                  </c:strCache>
                </c:strRef>
              </c:tx>
              <c:showLegendKey val="0"/>
              <c:showVal val="0"/>
              <c:showCatName val="0"/>
              <c:showSerName val="0"/>
              <c:showPercent val="0"/>
              <c:showBubbleSize val="0"/>
            </c:dLbl>
            <c:dLbl>
              <c:idx val="7"/>
              <c:tx>
                <c:strRef>
                  <c:f>Sector1!$N$252</c:f>
                  <c:strCache>
                    <c:ptCount val="1"/>
                    <c:pt idx="0">
                      <c:v>2002</c:v>
                    </c:pt>
                  </c:strCache>
                </c:strRef>
              </c:tx>
              <c:showLegendKey val="0"/>
              <c:showVal val="0"/>
              <c:showCatName val="0"/>
              <c:showSerName val="0"/>
              <c:showPercent val="0"/>
              <c:showBubbleSize val="0"/>
            </c:dLbl>
            <c:dLbl>
              <c:idx val="8"/>
              <c:tx>
                <c:strRef>
                  <c:f>Sector1!$O$252</c:f>
                  <c:strCache>
                    <c:ptCount val="1"/>
                    <c:pt idx="0">
                      <c:v>2003</c:v>
                    </c:pt>
                  </c:strCache>
                </c:strRef>
              </c:tx>
              <c:showLegendKey val="0"/>
              <c:showVal val="0"/>
              <c:showCatName val="0"/>
              <c:showSerName val="0"/>
              <c:showPercent val="0"/>
              <c:showBubbleSize val="0"/>
            </c:dLbl>
            <c:dLbl>
              <c:idx val="9"/>
              <c:tx>
                <c:strRef>
                  <c:f>Sector1!$P$252</c:f>
                  <c:strCache>
                    <c:ptCount val="1"/>
                    <c:pt idx="0">
                      <c:v>2004</c:v>
                    </c:pt>
                  </c:strCache>
                </c:strRef>
              </c:tx>
              <c:showLegendKey val="0"/>
              <c:showVal val="0"/>
              <c:showCatName val="0"/>
              <c:showSerName val="0"/>
              <c:showPercent val="0"/>
              <c:showBubbleSize val="0"/>
            </c:dLbl>
            <c:dLbl>
              <c:idx val="10"/>
              <c:tx>
                <c:strRef>
                  <c:f>Sector1!$Q$252</c:f>
                  <c:strCache>
                    <c:ptCount val="1"/>
                    <c:pt idx="0">
                      <c:v>2005</c:v>
                    </c:pt>
                  </c:strCache>
                </c:strRef>
              </c:tx>
              <c:showLegendKey val="0"/>
              <c:showVal val="0"/>
              <c:showCatName val="0"/>
              <c:showSerName val="0"/>
              <c:showPercent val="0"/>
              <c:showBubbleSize val="0"/>
            </c:dLbl>
            <c:dLbl>
              <c:idx val="11"/>
              <c:tx>
                <c:strRef>
                  <c:f>Sector1!$R$252</c:f>
                  <c:strCache>
                    <c:ptCount val="1"/>
                    <c:pt idx="0">
                      <c:v>2006</c:v>
                    </c:pt>
                  </c:strCache>
                </c:strRef>
              </c:tx>
              <c:showLegendKey val="0"/>
              <c:showVal val="0"/>
              <c:showCatName val="0"/>
              <c:showSerName val="0"/>
              <c:showPercent val="0"/>
              <c:showBubbleSize val="0"/>
            </c:dLbl>
            <c:dLbl>
              <c:idx val="12"/>
              <c:tx>
                <c:strRef>
                  <c:f>Sector1!$S$252</c:f>
                  <c:strCache>
                    <c:ptCount val="1"/>
                    <c:pt idx="0">
                      <c:v>2007</c:v>
                    </c:pt>
                  </c:strCache>
                </c:strRef>
              </c:tx>
              <c:showLegendKey val="0"/>
              <c:showVal val="0"/>
              <c:showCatName val="0"/>
              <c:showSerName val="0"/>
              <c:showPercent val="0"/>
              <c:showBubbleSize val="0"/>
            </c:dLbl>
            <c:dLbl>
              <c:idx val="13"/>
              <c:tx>
                <c:strRef>
                  <c:f>Sector1!$T$252</c:f>
                  <c:strCache>
                    <c:ptCount val="1"/>
                    <c:pt idx="0">
                      <c:v>2008</c:v>
                    </c:pt>
                  </c:strCache>
                </c:strRef>
              </c:tx>
              <c:showLegendKey val="0"/>
              <c:showVal val="0"/>
              <c:showCatName val="0"/>
              <c:showSerName val="0"/>
              <c:showPercent val="0"/>
              <c:showBubbleSize val="0"/>
            </c:dLbl>
            <c:dLbl>
              <c:idx val="14"/>
              <c:tx>
                <c:strRef>
                  <c:f>Sector1!$U$252</c:f>
                  <c:strCache>
                    <c:ptCount val="1"/>
                    <c:pt idx="0">
                      <c:v>2009</c:v>
                    </c:pt>
                  </c:strCache>
                </c:strRef>
              </c:tx>
              <c:showLegendKey val="0"/>
              <c:showVal val="0"/>
              <c:showCatName val="0"/>
              <c:showSerName val="0"/>
              <c:showPercent val="0"/>
              <c:showBubbleSize val="0"/>
            </c:dLbl>
            <c:dLbl>
              <c:idx val="15"/>
              <c:tx>
                <c:strRef>
                  <c:f>Sector1!$V$252</c:f>
                  <c:strCache>
                    <c:ptCount val="1"/>
                    <c:pt idx="0">
                      <c:v>2010</c:v>
                    </c:pt>
                  </c:strCache>
                </c:strRef>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trendline>
            <c:spPr>
              <a:ln w="25400">
                <a:solidFill>
                  <a:srgbClr val="FF0000"/>
                </a:solidFill>
                <a:prstDash val="solid"/>
              </a:ln>
            </c:spPr>
            <c:trendlineType val="linear"/>
            <c:dispRSqr val="0"/>
            <c:dispEq val="0"/>
          </c:trendline>
          <c:xVal>
            <c:numRef>
              <c:f>'VVP2'!$G$348:$AA$348</c:f>
              <c:numCache>
                <c:formatCode>0.0</c:formatCode>
                <c:ptCount val="4"/>
                <c:pt idx="0">
                  <c:v>6.6287411287878184</c:v>
                </c:pt>
                <c:pt idx="1">
                  <c:v>4.8313146506227644</c:v>
                </c:pt>
                <c:pt idx="2">
                  <c:v>4.6013904601447608</c:v>
                </c:pt>
                <c:pt idx="3">
                  <c:v>2.3471981728427016</c:v>
                </c:pt>
              </c:numCache>
            </c:numRef>
          </c:xVal>
          <c:yVal>
            <c:numRef>
              <c:f>Sector1!$G$310:$AC$310</c:f>
              <c:numCache>
                <c:formatCode>0.0</c:formatCode>
                <c:ptCount val="12"/>
                <c:pt idx="0">
                  <c:v>13.033981399958638</c:v>
                </c:pt>
                <c:pt idx="1">
                  <c:v>26.632757299736088</c:v>
                </c:pt>
                <c:pt idx="2">
                  <c:v>33.085163237661796</c:v>
                </c:pt>
                <c:pt idx="3">
                  <c:v>13.844669561022682</c:v>
                </c:pt>
                <c:pt idx="4" formatCode="0.00">
                  <c:v>-7.7293903629425902</c:v>
                </c:pt>
                <c:pt idx="5" formatCode="0.00">
                  <c:v>-1.852283737939342</c:v>
                </c:pt>
                <c:pt idx="6" formatCode="0.00">
                  <c:v>1.4845118381245248</c:v>
                </c:pt>
                <c:pt idx="7" formatCode="0.00">
                  <c:v>-0.78836521634180201</c:v>
                </c:pt>
                <c:pt idx="8" formatCode="0.00">
                  <c:v>0.54086406867002168</c:v>
                </c:pt>
                <c:pt idx="9" formatCode="0.00">
                  <c:v>2.5295717659813421</c:v>
                </c:pt>
                <c:pt idx="10" formatCode="0.00">
                  <c:v>5.1755431511618211</c:v>
                </c:pt>
                <c:pt idx="11" formatCode="0.00">
                  <c:v>11.656976344945068</c:v>
                </c:pt>
              </c:numCache>
            </c:numRef>
          </c:yVal>
          <c:smooth val="0"/>
        </c:ser>
        <c:dLbls>
          <c:showLegendKey val="0"/>
          <c:showVal val="0"/>
          <c:showCatName val="0"/>
          <c:showSerName val="0"/>
          <c:showPercent val="0"/>
          <c:showBubbleSize val="0"/>
        </c:dLbls>
        <c:axId val="250003840"/>
        <c:axId val="250005376"/>
      </c:scatterChart>
      <c:valAx>
        <c:axId val="25000384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005376"/>
        <c:crosses val="autoZero"/>
        <c:crossBetween val="midCat"/>
      </c:valAx>
      <c:valAx>
        <c:axId val="25000537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003840"/>
        <c:crosses val="autoZero"/>
        <c:crossBetween val="midCat"/>
      </c:valAx>
      <c:spPr>
        <a:noFill/>
        <a:ln w="12700">
          <a:solidFill>
            <a:srgbClr val="808080"/>
          </a:solidFill>
          <a:prstDash val="solid"/>
        </a:ln>
      </c:spPr>
    </c:plotArea>
    <c:legend>
      <c:legendPos val="r"/>
      <c:layout>
        <c:manualLayout>
          <c:xMode val="edge"/>
          <c:yMode val="edge"/>
          <c:x val="3.5714285714285712E-2"/>
          <c:y val="0.91316761875353814"/>
          <c:w val="0.93526879452568423"/>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benefits (GVT, paid) as % of GDP</a:t>
            </a:r>
          </a:p>
        </c:rich>
      </c:tx>
      <c:layout>
        <c:manualLayout>
          <c:xMode val="edge"/>
          <c:yMode val="edge"/>
          <c:x val="0.21875023434570678"/>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1"/>
          <c:order val="0"/>
          <c:tx>
            <c:strRef>
              <c:f>Sector1!$D$315:$E$315</c:f>
              <c:strCache>
                <c:ptCount val="1"/>
                <c:pt idx="0">
                  <c:v>GVT Social benefits (D.62p)</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Sector1!$G$315:$AC$315</c:f>
              <c:numCache>
                <c:formatCode>0.0%</c:formatCode>
                <c:ptCount val="12"/>
                <c:pt idx="0">
                  <c:v>9.1717824278069265E-2</c:v>
                </c:pt>
                <c:pt idx="1">
                  <c:v>9.6592846030358823E-2</c:v>
                </c:pt>
                <c:pt idx="2">
                  <c:v>0.11488921675493358</c:v>
                </c:pt>
                <c:pt idx="3">
                  <c:v>0.16167770937396281</c:v>
                </c:pt>
                <c:pt idx="4">
                  <c:v>0.14303655745788268</c:v>
                </c:pt>
                <c:pt idx="5">
                  <c:v>0.1248019204919406</c:v>
                </c:pt>
                <c:pt idx="6">
                  <c:v>0.11959825455313106</c:v>
                </c:pt>
                <c:pt idx="7">
                  <c:v>0.11311183035299265</c:v>
                </c:pt>
                <c:pt idx="8">
                  <c:v>0.10850113814486215</c:v>
                </c:pt>
                <c:pt idx="9">
                  <c:v>0.10831998944066801</c:v>
                </c:pt>
                <c:pt idx="10">
                  <c:v>0.11017209953781287</c:v>
                </c:pt>
                <c:pt idx="11">
                  <c:v>0.1142038454965528</c:v>
                </c:pt>
              </c:numCache>
            </c:numRef>
          </c:val>
          <c:smooth val="0"/>
        </c:ser>
        <c:dLbls>
          <c:showLegendKey val="0"/>
          <c:showVal val="0"/>
          <c:showCatName val="0"/>
          <c:showSerName val="0"/>
          <c:showPercent val="0"/>
          <c:showBubbleSize val="0"/>
        </c:dLbls>
        <c:marker val="1"/>
        <c:smooth val="0"/>
        <c:axId val="250050048"/>
        <c:axId val="250051968"/>
      </c:lineChart>
      <c:catAx>
        <c:axId val="25005004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051968"/>
        <c:crosses val="autoZero"/>
        <c:auto val="1"/>
        <c:lblAlgn val="ctr"/>
        <c:lblOffset val="100"/>
        <c:tickLblSkip val="2"/>
        <c:tickMarkSkip val="1"/>
        <c:noMultiLvlLbl val="0"/>
      </c:catAx>
      <c:valAx>
        <c:axId val="2500519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050048"/>
        <c:crosses val="autoZero"/>
        <c:crossBetween val="midCat"/>
      </c:valAx>
      <c:spPr>
        <a:noFill/>
        <a:ln w="12700">
          <a:solidFill>
            <a:srgbClr val="808080"/>
          </a:solidFill>
          <a:prstDash val="solid"/>
        </a:ln>
      </c:spPr>
    </c:plotArea>
    <c:legend>
      <c:legendPos val="r"/>
      <c:layout>
        <c:manualLayout>
          <c:xMode val="edge"/>
          <c:yMode val="edge"/>
          <c:x val="0.31026809148856394"/>
          <c:y val="0.91316761875353814"/>
          <c:w val="0.45312546869141357"/>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Social benefits (E, paid) as % of GDP</a:t>
            </a:r>
          </a:p>
        </c:rich>
      </c:tx>
      <c:layout>
        <c:manualLayout>
          <c:xMode val="edge"/>
          <c:yMode val="edge"/>
          <c:x val="0.23883952005999248"/>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1"/>
          <c:order val="0"/>
          <c:tx>
            <c:strRef>
              <c:f>Sector1!$D$314:$E$314</c:f>
              <c:strCache>
                <c:ptCount val="1"/>
                <c:pt idx="0">
                  <c:v>E Social benefits (D.62p)</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Sector1!$G$314:$AC$314</c:f>
              <c:numCache>
                <c:formatCode>0.0%</c:formatCode>
                <c:ptCount val="12"/>
                <c:pt idx="0">
                  <c:v>4.6646106719580973E-3</c:v>
                </c:pt>
                <c:pt idx="1">
                  <c:v>4.9623527839932017E-3</c:v>
                </c:pt>
                <c:pt idx="2">
                  <c:v>5.157161609822279E-3</c:v>
                </c:pt>
                <c:pt idx="3">
                  <c:v>4.6486295434682691E-3</c:v>
                </c:pt>
                <c:pt idx="4">
                  <c:v>4.2211872129175251E-3</c:v>
                </c:pt>
                <c:pt idx="5">
                  <c:v>5.0400763285555509E-3</c:v>
                </c:pt>
                <c:pt idx="6">
                  <c:v>4.105734354309401E-3</c:v>
                </c:pt>
                <c:pt idx="7">
                  <c:v>4.298670038172578E-3</c:v>
                </c:pt>
                <c:pt idx="8">
                  <c:v>4.3513121207778985E-3</c:v>
                </c:pt>
                <c:pt idx="9">
                  <c:v>4.6325328422745201E-3</c:v>
                </c:pt>
                <c:pt idx="10">
                  <c:v>4.8556544478787801E-3</c:v>
                </c:pt>
                <c:pt idx="11">
                  <c:v>4.6962925443707598E-3</c:v>
                </c:pt>
              </c:numCache>
            </c:numRef>
          </c:val>
          <c:smooth val="0"/>
        </c:ser>
        <c:dLbls>
          <c:showLegendKey val="0"/>
          <c:showVal val="0"/>
          <c:showCatName val="0"/>
          <c:showSerName val="0"/>
          <c:showPercent val="0"/>
          <c:showBubbleSize val="0"/>
        </c:dLbls>
        <c:marker val="1"/>
        <c:smooth val="0"/>
        <c:axId val="250072448"/>
        <c:axId val="250099200"/>
      </c:lineChart>
      <c:catAx>
        <c:axId val="25007244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099200"/>
        <c:crosses val="autoZero"/>
        <c:auto val="1"/>
        <c:lblAlgn val="ctr"/>
        <c:lblOffset val="100"/>
        <c:tickLblSkip val="2"/>
        <c:tickMarkSkip val="1"/>
        <c:noMultiLvlLbl val="0"/>
      </c:catAx>
      <c:valAx>
        <c:axId val="2500992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072448"/>
        <c:crosses val="autoZero"/>
        <c:crossBetween val="midCat"/>
      </c:valAx>
      <c:spPr>
        <a:noFill/>
        <a:ln w="12700">
          <a:solidFill>
            <a:srgbClr val="808080"/>
          </a:solidFill>
          <a:prstDash val="solid"/>
        </a:ln>
      </c:spPr>
    </c:plotArea>
    <c:legend>
      <c:legendPos val="r"/>
      <c:layout>
        <c:manualLayout>
          <c:xMode val="edge"/>
          <c:yMode val="edge"/>
          <c:x val="0.32142880577427818"/>
          <c:y val="0.91316761875353814"/>
          <c:w val="0.41741118297712781"/>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GB"/>
              <a:t>Social benefits (HH, received) and its main components</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227679909493484"/>
          <c:y val="0.17366994285589235"/>
          <c:w val="0.81026874026569939"/>
          <c:h val="0.56302675022636073"/>
        </c:manualLayout>
      </c:layout>
      <c:lineChart>
        <c:grouping val="standard"/>
        <c:varyColors val="0"/>
        <c:ser>
          <c:idx val="0"/>
          <c:order val="0"/>
          <c:tx>
            <c:strRef>
              <c:f>Sector1!$D$302:$E$302</c:f>
              <c:strCache>
                <c:ptCount val="1"/>
                <c:pt idx="0">
                  <c:v>HH Social benefits (D.62r)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Sector1!$G$310:$AC$310</c:f>
              <c:numCache>
                <c:formatCode>0.0</c:formatCode>
                <c:ptCount val="12"/>
                <c:pt idx="0">
                  <c:v>13.033981399958638</c:v>
                </c:pt>
                <c:pt idx="1">
                  <c:v>26.632757299736088</c:v>
                </c:pt>
                <c:pt idx="2">
                  <c:v>33.085163237661796</c:v>
                </c:pt>
                <c:pt idx="3">
                  <c:v>13.844669561022682</c:v>
                </c:pt>
                <c:pt idx="4" formatCode="0.00">
                  <c:v>-7.7293903629425902</c:v>
                </c:pt>
                <c:pt idx="5" formatCode="0.00">
                  <c:v>-1.852283737939342</c:v>
                </c:pt>
                <c:pt idx="6" formatCode="0.00">
                  <c:v>1.4845118381245248</c:v>
                </c:pt>
                <c:pt idx="7" formatCode="0.00">
                  <c:v>-0.78836521634180201</c:v>
                </c:pt>
                <c:pt idx="8" formatCode="0.00">
                  <c:v>0.54086406867002168</c:v>
                </c:pt>
                <c:pt idx="9" formatCode="0.00">
                  <c:v>2.5295717659813421</c:v>
                </c:pt>
                <c:pt idx="10" formatCode="0.00">
                  <c:v>5.1755431511618211</c:v>
                </c:pt>
                <c:pt idx="11" formatCode="0.00">
                  <c:v>11.656976344945068</c:v>
                </c:pt>
              </c:numCache>
            </c:numRef>
          </c:val>
          <c:smooth val="0"/>
        </c:ser>
        <c:ser>
          <c:idx val="1"/>
          <c:order val="1"/>
          <c:tx>
            <c:strRef>
              <c:f>Sector1!$D$307:$E$307</c:f>
              <c:strCache>
                <c:ptCount val="1"/>
                <c:pt idx="0">
                  <c:v>E Social benefits (D.62p)</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Sector1!$G$307:$AC$307</c:f>
              <c:numCache>
                <c:formatCode>0.0</c:formatCode>
                <c:ptCount val="12"/>
                <c:pt idx="0">
                  <c:v>23.891462607544668</c:v>
                </c:pt>
                <c:pt idx="1">
                  <c:v>28.303062678062709</c:v>
                </c:pt>
                <c:pt idx="2">
                  <c:v>17.007841232391897</c:v>
                </c:pt>
                <c:pt idx="3">
                  <c:v>-25.744277072707867</c:v>
                </c:pt>
                <c:pt idx="4">
                  <c:v>-5.5107419535180835</c:v>
                </c:pt>
                <c:pt idx="5">
                  <c:v>33.234722339616262</c:v>
                </c:pt>
                <c:pt idx="6">
                  <c:v>-13.138361986931423</c:v>
                </c:pt>
                <c:pt idx="7">
                  <c:v>9.7575226409582392</c:v>
                </c:pt>
                <c:pt idx="8">
                  <c:v>5.8823529411764719</c:v>
                </c:pt>
                <c:pt idx="9">
                  <c:v>8.9617898441427748</c:v>
                </c:pt>
                <c:pt idx="10">
                  <c:v>8.2939208674587483</c:v>
                </c:pt>
                <c:pt idx="11" formatCode="0.00">
                  <c:v>4.5</c:v>
                </c:pt>
              </c:numCache>
            </c:numRef>
          </c:val>
          <c:smooth val="0"/>
        </c:ser>
        <c:ser>
          <c:idx val="2"/>
          <c:order val="2"/>
          <c:tx>
            <c:strRef>
              <c:f>Sector1!$D$308:$E$308</c:f>
              <c:strCache>
                <c:ptCount val="1"/>
                <c:pt idx="0">
                  <c:v>GVT Social benefits (D.62p)</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Sector1!$G$308:$AC$308</c:f>
              <c:numCache>
                <c:formatCode>0.0</c:formatCode>
                <c:ptCount val="12"/>
                <c:pt idx="0">
                  <c:v>12.805254904765073</c:v>
                </c:pt>
                <c:pt idx="1">
                  <c:v>27.015290990676899</c:v>
                </c:pt>
                <c:pt idx="2">
                  <c:v>33.914057152635159</c:v>
                </c:pt>
                <c:pt idx="3">
                  <c:v>15.92753796802835</c:v>
                </c:pt>
                <c:pt idx="4">
                  <c:v>-7.9402768464852391</c:v>
                </c:pt>
                <c:pt idx="5">
                  <c:v>-2.6380775159766445</c:v>
                </c:pt>
                <c:pt idx="6">
                  <c:v>2.1828131645154514</c:v>
                </c:pt>
                <c:pt idx="7">
                  <c:v>-0.85422297551411841</c:v>
                </c:pt>
                <c:pt idx="8">
                  <c:v>0.33760289301654201</c:v>
                </c:pt>
                <c:pt idx="9">
                  <c:v>2.1763238148045483</c:v>
                </c:pt>
                <c:pt idx="10">
                  <c:v>5.0842984176317607</c:v>
                </c:pt>
                <c:pt idx="11" formatCode="0.00">
                  <c:v>12</c:v>
                </c:pt>
              </c:numCache>
            </c:numRef>
          </c:val>
          <c:smooth val="0"/>
        </c:ser>
        <c:dLbls>
          <c:showLegendKey val="0"/>
          <c:showVal val="0"/>
          <c:showCatName val="0"/>
          <c:showSerName val="0"/>
          <c:showPercent val="0"/>
          <c:showBubbleSize val="0"/>
        </c:dLbls>
        <c:marker val="1"/>
        <c:smooth val="0"/>
        <c:axId val="250141312"/>
        <c:axId val="250147584"/>
      </c:lineChart>
      <c:catAx>
        <c:axId val="25014131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147584"/>
        <c:crosses val="autoZero"/>
        <c:auto val="1"/>
        <c:lblAlgn val="ctr"/>
        <c:lblOffset val="100"/>
        <c:tickLblSkip val="2"/>
        <c:tickMarkSkip val="1"/>
        <c:noMultiLvlLbl val="0"/>
      </c:catAx>
      <c:valAx>
        <c:axId val="2501475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141312"/>
        <c:crosses val="autoZero"/>
        <c:crossBetween val="midCat"/>
      </c:valAx>
      <c:spPr>
        <a:noFill/>
        <a:ln w="12700">
          <a:solidFill>
            <a:srgbClr val="808080"/>
          </a:solidFill>
          <a:prstDash val="solid"/>
        </a:ln>
      </c:spPr>
    </c:plotArea>
    <c:legend>
      <c:legendPos val="r"/>
      <c:layout>
        <c:manualLayout>
          <c:xMode val="edge"/>
          <c:yMode val="edge"/>
          <c:x val="6.9196428571428575E-2"/>
          <c:y val="0.85434408934177342"/>
          <c:w val="0.88392950881139853"/>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GB"/>
              <a:t>Gross savings as % of GDP</a:t>
            </a:r>
          </a:p>
        </c:rich>
      </c:tx>
      <c:layout>
        <c:manualLayout>
          <c:xMode val="edge"/>
          <c:yMode val="edge"/>
          <c:x val="0.32812546869141357"/>
          <c:y val="3.3613445378151259E-2"/>
        </c:manualLayout>
      </c:layout>
      <c:overlay val="0"/>
      <c:spPr>
        <a:noFill/>
        <a:ln w="25400">
          <a:noFill/>
        </a:ln>
      </c:spPr>
    </c:title>
    <c:autoTitleDeleted val="0"/>
    <c:plotArea>
      <c:layout>
        <c:manualLayout>
          <c:layoutTarget val="inner"/>
          <c:xMode val="edge"/>
          <c:yMode val="edge"/>
          <c:x val="0.11830370036937209"/>
          <c:y val="0.17366994285589235"/>
          <c:w val="0.81473303084567572"/>
          <c:h val="0.62185044054851779"/>
        </c:manualLayout>
      </c:layout>
      <c:lineChart>
        <c:grouping val="standard"/>
        <c:varyColors val="0"/>
        <c:ser>
          <c:idx val="0"/>
          <c:order val="0"/>
          <c:tx>
            <c:strRef>
              <c:f>Sector1!$D$470:$E$470</c:f>
              <c:strCache>
                <c:ptCount val="1"/>
                <c:pt idx="0">
                  <c:v>HH Gross saving (B.8g)</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Sector1!$G$470:$AC$470</c:f>
              <c:numCache>
                <c:formatCode>0.0%</c:formatCode>
                <c:ptCount val="12"/>
                <c:pt idx="0">
                  <c:v>3.4938066827856995E-2</c:v>
                </c:pt>
                <c:pt idx="1">
                  <c:v>-2.4786971095009366E-2</c:v>
                </c:pt>
                <c:pt idx="2">
                  <c:v>-3.3123034180035111E-3</c:v>
                </c:pt>
                <c:pt idx="3">
                  <c:v>3.6641789326975427E-2</c:v>
                </c:pt>
                <c:pt idx="4">
                  <c:v>5.4095489955279727E-2</c:v>
                </c:pt>
                <c:pt idx="5">
                  <c:v>2.9801133929245188E-2</c:v>
                </c:pt>
                <c:pt idx="6">
                  <c:v>1.1296466885447323E-2</c:v>
                </c:pt>
                <c:pt idx="7">
                  <c:v>1.5319089292942022E-2</c:v>
                </c:pt>
                <c:pt idx="8">
                  <c:v>9.9293704817409617E-4</c:v>
                </c:pt>
                <c:pt idx="9">
                  <c:v>-1.6031374468935671E-6</c:v>
                </c:pt>
                <c:pt idx="10">
                  <c:v>-3.0996950475220848E-3</c:v>
                </c:pt>
                <c:pt idx="11">
                  <c:v>-8.8890609336233252E-3</c:v>
                </c:pt>
              </c:numCache>
            </c:numRef>
          </c:val>
          <c:smooth val="0"/>
        </c:ser>
        <c:ser>
          <c:idx val="1"/>
          <c:order val="1"/>
          <c:tx>
            <c:strRef>
              <c:f>Sector1!$D$471:$E$471</c:f>
              <c:strCache>
                <c:ptCount val="1"/>
                <c:pt idx="0">
                  <c:v>E Gross saving (B.8g)</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Sector1!$G$471:$AC$471</c:f>
              <c:numCache>
                <c:formatCode>0.0%</c:formatCode>
                <c:ptCount val="12"/>
                <c:pt idx="0">
                  <c:v>9.6502870944940769E-2</c:v>
                </c:pt>
                <c:pt idx="1">
                  <c:v>0.15623439687665508</c:v>
                </c:pt>
                <c:pt idx="2">
                  <c:v>0.13323014116590634</c:v>
                </c:pt>
                <c:pt idx="3">
                  <c:v>0.16543826912524381</c:v>
                </c:pt>
                <c:pt idx="4">
                  <c:v>0.16363834868840274</c:v>
                </c:pt>
                <c:pt idx="5">
                  <c:v>0.17161742869457455</c:v>
                </c:pt>
                <c:pt idx="6">
                  <c:v>0.18307670994300188</c:v>
                </c:pt>
                <c:pt idx="7">
                  <c:v>0.19305027367264826</c:v>
                </c:pt>
                <c:pt idx="8">
                  <c:v>0.21531174012012602</c:v>
                </c:pt>
                <c:pt idx="9">
                  <c:v>0.16274810889898919</c:v>
                </c:pt>
                <c:pt idx="10">
                  <c:v>0.1400159096645523</c:v>
                </c:pt>
                <c:pt idx="11">
                  <c:v>0.14961730687190969</c:v>
                </c:pt>
              </c:numCache>
            </c:numRef>
          </c:val>
          <c:smooth val="0"/>
        </c:ser>
        <c:dLbls>
          <c:showLegendKey val="0"/>
          <c:showVal val="0"/>
          <c:showCatName val="0"/>
          <c:showSerName val="0"/>
          <c:showPercent val="0"/>
          <c:showBubbleSize val="0"/>
        </c:dLbls>
        <c:marker val="1"/>
        <c:smooth val="0"/>
        <c:axId val="250176640"/>
        <c:axId val="250178560"/>
      </c:lineChart>
      <c:catAx>
        <c:axId val="2501766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178560"/>
        <c:crosses val="autoZero"/>
        <c:auto val="1"/>
        <c:lblAlgn val="ctr"/>
        <c:lblOffset val="100"/>
        <c:tickLblSkip val="2"/>
        <c:tickMarkSkip val="1"/>
        <c:noMultiLvlLbl val="0"/>
      </c:catAx>
      <c:valAx>
        <c:axId val="25017856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176640"/>
        <c:crosses val="autoZero"/>
        <c:crossBetween val="midCat"/>
      </c:valAx>
      <c:spPr>
        <a:noFill/>
        <a:ln w="12700">
          <a:solidFill>
            <a:srgbClr val="808080"/>
          </a:solidFill>
          <a:prstDash val="solid"/>
        </a:ln>
      </c:spPr>
    </c:plotArea>
    <c:legend>
      <c:legendPos val="r"/>
      <c:layout>
        <c:manualLayout>
          <c:xMode val="edge"/>
          <c:yMode val="edge"/>
          <c:x val="0.13839309148856391"/>
          <c:y val="0.91316761875353814"/>
          <c:w val="0.75892950881139853"/>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GB"/>
              <a:t>Household savings ratio</a:t>
            </a:r>
          </a:p>
        </c:rich>
      </c:tx>
      <c:layout>
        <c:manualLayout>
          <c:xMode val="edge"/>
          <c:yMode val="edge"/>
          <c:x val="0.34375046869141357"/>
          <c:y val="3.3613445378151259E-2"/>
        </c:manualLayout>
      </c:layout>
      <c:overlay val="0"/>
      <c:spPr>
        <a:noFill/>
        <a:ln w="25400">
          <a:noFill/>
        </a:ln>
      </c:spPr>
    </c:title>
    <c:autoTitleDeleted val="0"/>
    <c:plotArea>
      <c:layout>
        <c:manualLayout>
          <c:layoutTarget val="inner"/>
          <c:xMode val="edge"/>
          <c:yMode val="edge"/>
          <c:x val="0.11830370036937209"/>
          <c:y val="0.17366994285589235"/>
          <c:w val="0.81473303084567572"/>
          <c:h val="0.62185044054851779"/>
        </c:manualLayout>
      </c:layout>
      <c:lineChart>
        <c:grouping val="standard"/>
        <c:varyColors val="0"/>
        <c:ser>
          <c:idx val="0"/>
          <c:order val="0"/>
          <c:tx>
            <c:strRef>
              <c:f>Sector1!$E$476</c:f>
              <c:strCache>
                <c:ptCount val="1"/>
                <c:pt idx="0">
                  <c:v>Gross saving (B.8g) / Adj. Disp. Income (B.6g + D.8)</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Sector1!$G$476:$AC$476</c:f>
              <c:numCache>
                <c:formatCode>0.0%</c:formatCode>
                <c:ptCount val="12"/>
                <c:pt idx="0">
                  <c:v>5.1450909784773013E-2</c:v>
                </c:pt>
                <c:pt idx="1">
                  <c:v>-4.0574878894839711E-2</c:v>
                </c:pt>
                <c:pt idx="2">
                  <c:v>-5.11995491792234E-3</c:v>
                </c:pt>
                <c:pt idx="3">
                  <c:v>5.1077690940999551E-2</c:v>
                </c:pt>
                <c:pt idx="4">
                  <c:v>7.7905281704433768E-2</c:v>
                </c:pt>
                <c:pt idx="5">
                  <c:v>4.5518900521540243E-2</c:v>
                </c:pt>
                <c:pt idx="6">
                  <c:v>1.781451567140193E-2</c:v>
                </c:pt>
                <c:pt idx="7">
                  <c:v>2.3890073987632772E-2</c:v>
                </c:pt>
                <c:pt idx="8">
                  <c:v>1.5916272778002769E-3</c:v>
                </c:pt>
                <c:pt idx="9">
                  <c:v>-2.5560651592676217E-6</c:v>
                </c:pt>
                <c:pt idx="10">
                  <c:v>-4.8441043862867787E-3</c:v>
                </c:pt>
                <c:pt idx="11">
                  <c:v>-1.4052035394385579E-2</c:v>
                </c:pt>
              </c:numCache>
            </c:numRef>
          </c:val>
          <c:smooth val="0"/>
        </c:ser>
        <c:dLbls>
          <c:showLegendKey val="0"/>
          <c:showVal val="0"/>
          <c:showCatName val="0"/>
          <c:showSerName val="0"/>
          <c:showPercent val="0"/>
          <c:showBubbleSize val="0"/>
        </c:dLbls>
        <c:marker val="1"/>
        <c:smooth val="0"/>
        <c:axId val="250210944"/>
        <c:axId val="250295040"/>
      </c:lineChart>
      <c:catAx>
        <c:axId val="2502109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295040"/>
        <c:crosses val="autoZero"/>
        <c:auto val="1"/>
        <c:lblAlgn val="ctr"/>
        <c:lblOffset val="100"/>
        <c:tickLblSkip val="2"/>
        <c:tickMarkSkip val="1"/>
        <c:noMultiLvlLbl val="0"/>
      </c:catAx>
      <c:valAx>
        <c:axId val="250295040"/>
        <c:scaling>
          <c:orientation val="minMax"/>
          <c:min val="0.1"/>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210944"/>
        <c:crosses val="autoZero"/>
        <c:crossBetween val="midCat"/>
      </c:valAx>
      <c:spPr>
        <a:noFill/>
        <a:ln w="12700">
          <a:solidFill>
            <a:srgbClr val="808080"/>
          </a:solidFill>
          <a:prstDash val="solid"/>
        </a:ln>
      </c:spPr>
    </c:plotArea>
    <c:legend>
      <c:legendPos val="r"/>
      <c:layout>
        <c:manualLayout>
          <c:xMode val="edge"/>
          <c:yMode val="edge"/>
          <c:x val="0.13839309148856391"/>
          <c:y val="0.91316761875353814"/>
          <c:w val="0.77009022309711284"/>
          <c:h val="6.722718483718948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Corporate income tax related to corporate GOS</a:t>
            </a:r>
          </a:p>
        </c:rich>
      </c:tx>
      <c:layout>
        <c:manualLayout>
          <c:xMode val="edge"/>
          <c:yMode val="edge"/>
          <c:x val="0.16071452005999248"/>
          <c:y val="3.3613445378151259E-2"/>
        </c:manualLayout>
      </c:layout>
      <c:overlay val="0"/>
      <c:spPr>
        <a:noFill/>
        <a:ln w="25400">
          <a:noFill/>
        </a:ln>
      </c:spPr>
    </c:title>
    <c:autoTitleDeleted val="0"/>
    <c:plotArea>
      <c:layout>
        <c:manualLayout>
          <c:layoutTarget val="inner"/>
          <c:xMode val="edge"/>
          <c:yMode val="edge"/>
          <c:x val="0.11607155507938394"/>
          <c:y val="0.17647107096647127"/>
          <c:w val="0.85267950077547428"/>
          <c:h val="0.56022562211578175"/>
        </c:manualLayout>
      </c:layout>
      <c:lineChart>
        <c:grouping val="standard"/>
        <c:varyColors val="0"/>
        <c:ser>
          <c:idx val="0"/>
          <c:order val="0"/>
          <c:tx>
            <c:strRef>
              <c:f>Sector1!$D$210:$E$210</c:f>
              <c:strCache>
                <c:ptCount val="1"/>
                <c:pt idx="0">
                  <c:v>E Current taxes on income and wealth (D.5p)  </c:v>
                </c:pt>
              </c:strCache>
            </c:strRef>
          </c:tx>
          <c:spPr>
            <a:ln w="25400">
              <a:solidFill>
                <a:srgbClr val="008000"/>
              </a:solidFill>
              <a:prstDash val="solid"/>
            </a:ln>
          </c:spPr>
          <c:marker>
            <c:symbol val="none"/>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Sector1!$G$210:$AC$210</c:f>
              <c:numCache>
                <c:formatCode>0.0</c:formatCode>
                <c:ptCount val="12"/>
                <c:pt idx="0">
                  <c:v>51.755189954630843</c:v>
                </c:pt>
                <c:pt idx="1">
                  <c:v>10.740008153527913</c:v>
                </c:pt>
                <c:pt idx="2">
                  <c:v>20.816176270077193</c:v>
                </c:pt>
                <c:pt idx="3">
                  <c:v>-44.864517148370943</c:v>
                </c:pt>
                <c:pt idx="4">
                  <c:v>-43.516528502712113</c:v>
                </c:pt>
                <c:pt idx="5">
                  <c:v>-8.6936039137524794</c:v>
                </c:pt>
                <c:pt idx="6">
                  <c:v>70.741387521828841</c:v>
                </c:pt>
                <c:pt idx="7">
                  <c:v>10.471873547187371</c:v>
                </c:pt>
                <c:pt idx="8">
                  <c:v>4.8963703314045093</c:v>
                </c:pt>
                <c:pt idx="9">
                  <c:v>14.87202118270079</c:v>
                </c:pt>
                <c:pt idx="10">
                  <c:v>9.2375929871127518</c:v>
                </c:pt>
                <c:pt idx="11" formatCode="0.00">
                  <c:v>0.8696208197455102</c:v>
                </c:pt>
              </c:numCache>
            </c:numRef>
          </c:val>
          <c:smooth val="0"/>
        </c:ser>
        <c:ser>
          <c:idx val="1"/>
          <c:order val="1"/>
          <c:tx>
            <c:strRef>
              <c:f>Sector1!$D$108:$E$108</c:f>
              <c:strCache>
                <c:ptCount val="1"/>
                <c:pt idx="0">
                  <c:v>E Gross operating surplus (B.2g) / Mixed income (implicit residual)</c:v>
                </c:pt>
              </c:strCache>
            </c:strRef>
          </c:tx>
          <c:spPr>
            <a:ln w="25400">
              <a:solidFill>
                <a:srgbClr val="FF0000"/>
              </a:solidFill>
              <a:prstDash val="solid"/>
            </a:ln>
          </c:spPr>
          <c:marker>
            <c:symbol val="none"/>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Sector1!$G$119:$AC$119</c:f>
              <c:numCache>
                <c:formatCode>0.0</c:formatCode>
                <c:ptCount val="12"/>
                <c:pt idx="0">
                  <c:v>10.911965293479643</c:v>
                </c:pt>
                <c:pt idx="1">
                  <c:v>25.017370960853214</c:v>
                </c:pt>
                <c:pt idx="2">
                  <c:v>8.6467192885842934</c:v>
                </c:pt>
                <c:pt idx="3">
                  <c:v>-19.40306072643444</c:v>
                </c:pt>
                <c:pt idx="4">
                  <c:v>18.564404288572579</c:v>
                </c:pt>
                <c:pt idx="5">
                  <c:v>17.96164855047553</c:v>
                </c:pt>
                <c:pt idx="6">
                  <c:v>6.637422371885493</c:v>
                </c:pt>
                <c:pt idx="7">
                  <c:v>4.5335569736098202</c:v>
                </c:pt>
                <c:pt idx="8">
                  <c:v>2.1574887613675209</c:v>
                </c:pt>
                <c:pt idx="9">
                  <c:v>-4.5899728569255949</c:v>
                </c:pt>
                <c:pt idx="10">
                  <c:v>-1.82051307598039</c:v>
                </c:pt>
                <c:pt idx="11">
                  <c:v>9.579592722492535</c:v>
                </c:pt>
              </c:numCache>
            </c:numRef>
          </c:val>
          <c:smooth val="0"/>
        </c:ser>
        <c:dLbls>
          <c:showLegendKey val="0"/>
          <c:showVal val="0"/>
          <c:showCatName val="0"/>
          <c:showSerName val="0"/>
          <c:showPercent val="0"/>
          <c:showBubbleSize val="0"/>
        </c:dLbls>
        <c:marker val="1"/>
        <c:smooth val="0"/>
        <c:axId val="250336768"/>
        <c:axId val="250338304"/>
      </c:lineChart>
      <c:catAx>
        <c:axId val="25033676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338304"/>
        <c:crosses val="autoZero"/>
        <c:auto val="1"/>
        <c:lblAlgn val="ctr"/>
        <c:lblOffset val="100"/>
        <c:tickLblSkip val="2"/>
        <c:tickMarkSkip val="1"/>
        <c:noMultiLvlLbl val="0"/>
      </c:catAx>
      <c:valAx>
        <c:axId val="2503383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336768"/>
        <c:crosses val="autoZero"/>
        <c:crossBetween val="between"/>
      </c:valAx>
      <c:spPr>
        <a:noFill/>
        <a:ln w="12700">
          <a:solidFill>
            <a:srgbClr val="808080"/>
          </a:solidFill>
          <a:prstDash val="solid"/>
        </a:ln>
      </c:spPr>
    </c:plotArea>
    <c:legend>
      <c:legendPos val="r"/>
      <c:layout>
        <c:manualLayout>
          <c:xMode val="edge"/>
          <c:yMode val="edge"/>
          <c:x val="4.0178571428571432E-2"/>
          <c:y val="0.85434408934177342"/>
          <c:w val="0.94642950881139853"/>
          <c:h val="0.126050714248954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income tax related to HH compensation of employees (domestic)</a:t>
            </a:r>
          </a:p>
        </c:rich>
      </c:tx>
      <c:layout>
        <c:manualLayout>
          <c:xMode val="edge"/>
          <c:yMode val="edge"/>
          <c:x val="0.11830380577427821"/>
          <c:y val="3.3613445378151259E-2"/>
        </c:manualLayout>
      </c:layout>
      <c:overlay val="0"/>
      <c:spPr>
        <a:noFill/>
        <a:ln w="25400">
          <a:noFill/>
        </a:ln>
      </c:spPr>
    </c:title>
    <c:autoTitleDeleted val="0"/>
    <c:plotArea>
      <c:layout>
        <c:manualLayout>
          <c:layoutTarget val="inner"/>
          <c:xMode val="edge"/>
          <c:yMode val="edge"/>
          <c:x val="0.10044653804946686"/>
          <c:y val="0.22409024884631271"/>
          <c:w val="0.86830451780539142"/>
          <c:h val="0.51260644423594037"/>
        </c:manualLayout>
      </c:layout>
      <c:lineChart>
        <c:grouping val="standard"/>
        <c:varyColors val="0"/>
        <c:ser>
          <c:idx val="0"/>
          <c:order val="0"/>
          <c:tx>
            <c:strRef>
              <c:f>Sector1!$D$209:$E$209</c:f>
              <c:strCache>
                <c:ptCount val="1"/>
                <c:pt idx="0">
                  <c:v>HH Current taxes on income and wealth (D.5p)  </c:v>
                </c:pt>
              </c:strCache>
            </c:strRef>
          </c:tx>
          <c:spPr>
            <a:ln w="25400">
              <a:solidFill>
                <a:srgbClr val="0000FF"/>
              </a:solidFill>
              <a:prstDash val="solid"/>
            </a:ln>
          </c:spPr>
          <c:marker>
            <c:symbol val="none"/>
          </c:marker>
          <c:cat>
            <c:numRef>
              <c:f>InputY!$G$3:$W$3</c:f>
              <c:numCache>
                <c:formatCode>0</c:formatCode>
                <c:ptCount val="17"/>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numCache>
            </c:numRef>
          </c:cat>
          <c:val>
            <c:numRef>
              <c:f>Sector1!$G$209:$AC$209</c:f>
              <c:numCache>
                <c:formatCode>0.0</c:formatCode>
                <c:ptCount val="12"/>
                <c:pt idx="0">
                  <c:v>13.489304720077167</c:v>
                </c:pt>
                <c:pt idx="1">
                  <c:v>16.076810681600051</c:v>
                </c:pt>
                <c:pt idx="2">
                  <c:v>12.589272547243358</c:v>
                </c:pt>
                <c:pt idx="3">
                  <c:v>-48.260053983000503</c:v>
                </c:pt>
                <c:pt idx="4">
                  <c:v>-5.9924958184530475</c:v>
                </c:pt>
                <c:pt idx="5">
                  <c:v>8.0267751521970965</c:v>
                </c:pt>
                <c:pt idx="6">
                  <c:v>4.9028248889363635</c:v>
                </c:pt>
                <c:pt idx="7">
                  <c:v>7.4335907663583445</c:v>
                </c:pt>
                <c:pt idx="8">
                  <c:v>5.3677649716799891</c:v>
                </c:pt>
                <c:pt idx="9">
                  <c:v>9.2312421279913792</c:v>
                </c:pt>
                <c:pt idx="10">
                  <c:v>6.8903271858720361</c:v>
                </c:pt>
                <c:pt idx="11" formatCode="0.00">
                  <c:v>7.44</c:v>
                </c:pt>
              </c:numCache>
            </c:numRef>
          </c:val>
          <c:smooth val="0"/>
        </c:ser>
        <c:ser>
          <c:idx val="1"/>
          <c:order val="1"/>
          <c:tx>
            <c:strRef>
              <c:f>Labour1!$D$224:$E$224</c:f>
              <c:strCache>
                <c:ptCount val="1"/>
                <c:pt idx="0">
                  <c:v>GVT Compensation of employees (D.1p) (Domestic)</c:v>
                </c:pt>
              </c:strCache>
            </c:strRef>
          </c:tx>
          <c:spPr>
            <a:ln w="25400">
              <a:solidFill>
                <a:srgbClr val="FF0000"/>
              </a:solidFill>
              <a:prstDash val="solid"/>
            </a:ln>
          </c:spPr>
          <c:marker>
            <c:symbol val="none"/>
          </c:marker>
          <c:cat>
            <c:numRef>
              <c:f>InputY!$G$3:$W$3</c:f>
              <c:numCache>
                <c:formatCode>0</c:formatCode>
                <c:ptCount val="17"/>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numCache>
            </c:numRef>
          </c:cat>
          <c:val>
            <c:numRef>
              <c:f>Labour1!$G$224:$AC$224</c:f>
              <c:numCache>
                <c:formatCode>0.0</c:formatCode>
                <c:ptCount val="14"/>
                <c:pt idx="0">
                  <c:v>13.457156870048914</c:v>
                </c:pt>
                <c:pt idx="1">
                  <c:v>16.551506205805964</c:v>
                </c:pt>
                <c:pt idx="2">
                  <c:v>20.625303696470176</c:v>
                </c:pt>
                <c:pt idx="3">
                  <c:v>19.933250951125302</c:v>
                </c:pt>
                <c:pt idx="4" formatCode="0.00">
                  <c:v>16.462651814471975</c:v>
                </c:pt>
                <c:pt idx="5" formatCode="0.00">
                  <c:v>-16.55735569384197</c:v>
                </c:pt>
                <c:pt idx="6" formatCode="0.00">
                  <c:v>-4.2433577525932353</c:v>
                </c:pt>
                <c:pt idx="7" formatCode="0.00">
                  <c:v>7.2024599889973562</c:v>
                </c:pt>
                <c:pt idx="8" formatCode="0.00">
                  <c:v>5.5380206228158535</c:v>
                </c:pt>
                <c:pt idx="9" formatCode="0.00">
                  <c:v>5.8994147360147409</c:v>
                </c:pt>
                <c:pt idx="10" formatCode="0.00">
                  <c:v>6.4129692882434197</c:v>
                </c:pt>
                <c:pt idx="11" formatCode="0.00">
                  <c:v>6.9293958600731953</c:v>
                </c:pt>
                <c:pt idx="12" formatCode="0.00">
                  <c:v>8.2608995937912368</c:v>
                </c:pt>
                <c:pt idx="13" formatCode="0.00">
                  <c:v>8.9820108145402209</c:v>
                </c:pt>
              </c:numCache>
            </c:numRef>
          </c:val>
          <c:smooth val="0"/>
        </c:ser>
        <c:dLbls>
          <c:showLegendKey val="0"/>
          <c:showVal val="0"/>
          <c:showCatName val="0"/>
          <c:showSerName val="0"/>
          <c:showPercent val="0"/>
          <c:showBubbleSize val="0"/>
        </c:dLbls>
        <c:marker val="1"/>
        <c:smooth val="0"/>
        <c:axId val="250372096"/>
        <c:axId val="250373632"/>
      </c:lineChart>
      <c:catAx>
        <c:axId val="25037209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0373632"/>
        <c:crosses val="autoZero"/>
        <c:auto val="1"/>
        <c:lblAlgn val="ctr"/>
        <c:lblOffset val="100"/>
        <c:tickLblSkip val="2"/>
        <c:tickMarkSkip val="1"/>
        <c:noMultiLvlLbl val="0"/>
      </c:catAx>
      <c:valAx>
        <c:axId val="25037363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0372096"/>
        <c:crosses val="autoZero"/>
        <c:crossBetween val="between"/>
      </c:valAx>
      <c:spPr>
        <a:noFill/>
        <a:ln w="12700">
          <a:solidFill>
            <a:srgbClr val="808080"/>
          </a:solidFill>
          <a:prstDash val="solid"/>
        </a:ln>
      </c:spPr>
    </c:plotArea>
    <c:legend>
      <c:legendPos val="r"/>
      <c:layout>
        <c:manualLayout>
          <c:xMode val="edge"/>
          <c:yMode val="edge"/>
          <c:x val="0.15625023434570678"/>
          <c:y val="0.85434408934177342"/>
          <c:w val="0.75669736595425574"/>
          <c:h val="0.126050714248954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GVT total resources and expenditure as % of GDP</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57983351888983414"/>
        </c:manualLayout>
      </c:layout>
      <c:lineChart>
        <c:grouping val="standard"/>
        <c:varyColors val="0"/>
        <c:ser>
          <c:idx val="0"/>
          <c:order val="0"/>
          <c:tx>
            <c:strRef>
              <c:f>Sector1!$E$631</c:f>
              <c:strCache>
                <c:ptCount val="1"/>
                <c:pt idx="0">
                  <c:v>Total government revenue (harmonised)</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Sector1!$G$642:$AC$642</c:f>
              <c:numCache>
                <c:formatCode>0.0%</c:formatCode>
                <c:ptCount val="12"/>
                <c:pt idx="0">
                  <c:v>0.34038409945853637</c:v>
                </c:pt>
                <c:pt idx="1">
                  <c:v>0.34440470705555593</c:v>
                </c:pt>
                <c:pt idx="2" formatCode="0.00%">
                  <c:v>0.35007896922830362</c:v>
                </c:pt>
                <c:pt idx="3" formatCode="0.00%">
                  <c:v>0.3578267833235938</c:v>
                </c:pt>
                <c:pt idx="4" formatCode="0.00%">
                  <c:v>0.35398174517601544</c:v>
                </c:pt>
                <c:pt idx="5" formatCode="0.00%">
                  <c:v>0.33533118126369293</c:v>
                </c:pt>
                <c:pt idx="6" formatCode="0.00%">
                  <c:v>0.32956794432609821</c:v>
                </c:pt>
                <c:pt idx="7" formatCode="0.00%">
                  <c:v>0.32883023714482268</c:v>
                </c:pt>
                <c:pt idx="8" formatCode="0.00%">
                  <c:v>0.34021233703089121</c:v>
                </c:pt>
                <c:pt idx="9" formatCode="0.00%">
                  <c:v>0.34644040697247219</c:v>
                </c:pt>
                <c:pt idx="10" formatCode="0.00%">
                  <c:v>0.34472612205547071</c:v>
                </c:pt>
                <c:pt idx="11" formatCode="0.00%">
                  <c:v>0.34759318418913143</c:v>
                </c:pt>
              </c:numCache>
            </c:numRef>
          </c:val>
          <c:smooth val="0"/>
        </c:ser>
        <c:ser>
          <c:idx val="1"/>
          <c:order val="1"/>
          <c:tx>
            <c:strRef>
              <c:f>Sector1!$E$664</c:f>
              <c:strCache>
                <c:ptCount val="1"/>
                <c:pt idx="0">
                  <c:v>Total government expenditure (harmonised)</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Sector1!$G$678:$AC$678</c:f>
              <c:numCache>
                <c:formatCode>0.0%</c:formatCode>
                <c:ptCount val="12"/>
                <c:pt idx="0">
                  <c:v>0.34310512235051194</c:v>
                </c:pt>
                <c:pt idx="1">
                  <c:v>0.35255775867352879</c:v>
                </c:pt>
                <c:pt idx="2">
                  <c:v>0.38090938785696715</c:v>
                </c:pt>
                <c:pt idx="3" formatCode="0.00%">
                  <c:v>0.44888326708699006</c:v>
                </c:pt>
                <c:pt idx="4" formatCode="0.00%">
                  <c:v>0.42298893307539764</c:v>
                </c:pt>
                <c:pt idx="5" formatCode="0.00%">
                  <c:v>0.4247288277146325</c:v>
                </c:pt>
                <c:pt idx="6" formatCode="0.00%">
                  <c:v>0.36102305112556848</c:v>
                </c:pt>
                <c:pt idx="7" formatCode="0.00%">
                  <c:v>0.35492918264341888</c:v>
                </c:pt>
                <c:pt idx="8" formatCode="0.00%">
                  <c:v>0.34638599354413163</c:v>
                </c:pt>
                <c:pt idx="9" formatCode="0.00%">
                  <c:v>0.34888813066425195</c:v>
                </c:pt>
                <c:pt idx="10" formatCode="0.00%">
                  <c:v>0.34206244284727133</c:v>
                </c:pt>
                <c:pt idx="11" formatCode="0.00%">
                  <c:v>0.33960069125231285</c:v>
                </c:pt>
              </c:numCache>
            </c:numRef>
          </c:val>
          <c:smooth val="0"/>
        </c:ser>
        <c:dLbls>
          <c:showLegendKey val="0"/>
          <c:showVal val="0"/>
          <c:showCatName val="0"/>
          <c:showSerName val="0"/>
          <c:showPercent val="0"/>
          <c:showBubbleSize val="0"/>
        </c:dLbls>
        <c:marker val="1"/>
        <c:smooth val="0"/>
        <c:axId val="250394112"/>
        <c:axId val="250396032"/>
      </c:lineChart>
      <c:catAx>
        <c:axId val="25039411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396032"/>
        <c:crosses val="autoZero"/>
        <c:auto val="1"/>
        <c:lblAlgn val="ctr"/>
        <c:lblOffset val="100"/>
        <c:tickLblSkip val="2"/>
        <c:tickMarkSkip val="1"/>
        <c:noMultiLvlLbl val="0"/>
      </c:catAx>
      <c:valAx>
        <c:axId val="25039603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50394112"/>
        <c:crosses val="autoZero"/>
        <c:crossBetween val="midCat"/>
      </c:valAx>
      <c:spPr>
        <a:noFill/>
        <a:ln w="12700">
          <a:solidFill>
            <a:srgbClr val="808080"/>
          </a:solidFill>
          <a:prstDash val="solid"/>
        </a:ln>
      </c:spPr>
    </c:plotArea>
    <c:legend>
      <c:legendPos val="r"/>
      <c:layout>
        <c:manualLayout>
          <c:xMode val="edge"/>
          <c:yMode val="edge"/>
          <c:x val="8.4821428571428575E-2"/>
          <c:y val="0.86274745068631131"/>
          <c:w val="0.83705450881139853"/>
          <c:h val="0.1232495938007749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32.xml"/><Relationship Id="rId13" Type="http://schemas.openxmlformats.org/officeDocument/2006/relationships/chart" Target="../charts/chart37.xml"/><Relationship Id="rId18" Type="http://schemas.openxmlformats.org/officeDocument/2006/relationships/chart" Target="../charts/chart42.xml"/><Relationship Id="rId3" Type="http://schemas.openxmlformats.org/officeDocument/2006/relationships/chart" Target="../charts/chart27.xml"/><Relationship Id="rId7" Type="http://schemas.openxmlformats.org/officeDocument/2006/relationships/chart" Target="../charts/chart31.xml"/><Relationship Id="rId12" Type="http://schemas.openxmlformats.org/officeDocument/2006/relationships/chart" Target="../charts/chart36.xml"/><Relationship Id="rId17" Type="http://schemas.openxmlformats.org/officeDocument/2006/relationships/chart" Target="../charts/chart41.xml"/><Relationship Id="rId2" Type="http://schemas.openxmlformats.org/officeDocument/2006/relationships/chart" Target="../charts/chart26.xml"/><Relationship Id="rId16" Type="http://schemas.openxmlformats.org/officeDocument/2006/relationships/chart" Target="../charts/chart40.xml"/><Relationship Id="rId20" Type="http://schemas.openxmlformats.org/officeDocument/2006/relationships/chart" Target="../charts/chart44.xml"/><Relationship Id="rId1" Type="http://schemas.openxmlformats.org/officeDocument/2006/relationships/chart" Target="../charts/chart25.xml"/><Relationship Id="rId6" Type="http://schemas.openxmlformats.org/officeDocument/2006/relationships/chart" Target="../charts/chart30.xml"/><Relationship Id="rId11" Type="http://schemas.openxmlformats.org/officeDocument/2006/relationships/chart" Target="../charts/chart35.xml"/><Relationship Id="rId5" Type="http://schemas.openxmlformats.org/officeDocument/2006/relationships/chart" Target="../charts/chart29.xml"/><Relationship Id="rId15" Type="http://schemas.openxmlformats.org/officeDocument/2006/relationships/chart" Target="../charts/chart39.xml"/><Relationship Id="rId10" Type="http://schemas.openxmlformats.org/officeDocument/2006/relationships/chart" Target="../charts/chart34.xml"/><Relationship Id="rId19" Type="http://schemas.openxmlformats.org/officeDocument/2006/relationships/chart" Target="../charts/chart43.xml"/><Relationship Id="rId4" Type="http://schemas.openxmlformats.org/officeDocument/2006/relationships/chart" Target="../charts/chart28.xml"/><Relationship Id="rId9" Type="http://schemas.openxmlformats.org/officeDocument/2006/relationships/chart" Target="../charts/chart33.xml"/><Relationship Id="rId14" Type="http://schemas.openxmlformats.org/officeDocument/2006/relationships/chart" Target="../charts/chart3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52.xml"/><Relationship Id="rId13" Type="http://schemas.openxmlformats.org/officeDocument/2006/relationships/chart" Target="../charts/chart57.xml"/><Relationship Id="rId18" Type="http://schemas.openxmlformats.org/officeDocument/2006/relationships/chart" Target="../charts/chart62.xml"/><Relationship Id="rId3" Type="http://schemas.openxmlformats.org/officeDocument/2006/relationships/chart" Target="../charts/chart47.xml"/><Relationship Id="rId7" Type="http://schemas.openxmlformats.org/officeDocument/2006/relationships/chart" Target="../charts/chart51.xml"/><Relationship Id="rId12" Type="http://schemas.openxmlformats.org/officeDocument/2006/relationships/chart" Target="../charts/chart56.xml"/><Relationship Id="rId17" Type="http://schemas.openxmlformats.org/officeDocument/2006/relationships/chart" Target="../charts/chart61.xml"/><Relationship Id="rId2" Type="http://schemas.openxmlformats.org/officeDocument/2006/relationships/chart" Target="../charts/chart46.xml"/><Relationship Id="rId16" Type="http://schemas.openxmlformats.org/officeDocument/2006/relationships/chart" Target="../charts/chart60.xml"/><Relationship Id="rId20" Type="http://schemas.openxmlformats.org/officeDocument/2006/relationships/chart" Target="../charts/chart64.xml"/><Relationship Id="rId1" Type="http://schemas.openxmlformats.org/officeDocument/2006/relationships/chart" Target="../charts/chart45.xml"/><Relationship Id="rId6" Type="http://schemas.openxmlformats.org/officeDocument/2006/relationships/chart" Target="../charts/chart50.xml"/><Relationship Id="rId11" Type="http://schemas.openxmlformats.org/officeDocument/2006/relationships/chart" Target="../charts/chart55.xml"/><Relationship Id="rId5" Type="http://schemas.openxmlformats.org/officeDocument/2006/relationships/chart" Target="../charts/chart49.xml"/><Relationship Id="rId15" Type="http://schemas.openxmlformats.org/officeDocument/2006/relationships/chart" Target="../charts/chart59.xml"/><Relationship Id="rId10" Type="http://schemas.openxmlformats.org/officeDocument/2006/relationships/chart" Target="../charts/chart54.xml"/><Relationship Id="rId19" Type="http://schemas.openxmlformats.org/officeDocument/2006/relationships/chart" Target="../charts/chart63.xml"/><Relationship Id="rId4" Type="http://schemas.openxmlformats.org/officeDocument/2006/relationships/chart" Target="../charts/chart48.xml"/><Relationship Id="rId9" Type="http://schemas.openxmlformats.org/officeDocument/2006/relationships/chart" Target="../charts/chart53.xml"/><Relationship Id="rId14" Type="http://schemas.openxmlformats.org/officeDocument/2006/relationships/chart" Target="../charts/chart5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72.xml"/><Relationship Id="rId13" Type="http://schemas.openxmlformats.org/officeDocument/2006/relationships/chart" Target="../charts/chart77.xml"/><Relationship Id="rId18" Type="http://schemas.openxmlformats.org/officeDocument/2006/relationships/chart" Target="../charts/chart82.xml"/><Relationship Id="rId26" Type="http://schemas.openxmlformats.org/officeDocument/2006/relationships/chart" Target="../charts/chart90.xml"/><Relationship Id="rId39" Type="http://schemas.openxmlformats.org/officeDocument/2006/relationships/chart" Target="../charts/chart103.xml"/><Relationship Id="rId3" Type="http://schemas.openxmlformats.org/officeDocument/2006/relationships/chart" Target="../charts/chart67.xml"/><Relationship Id="rId21" Type="http://schemas.openxmlformats.org/officeDocument/2006/relationships/chart" Target="../charts/chart85.xml"/><Relationship Id="rId34" Type="http://schemas.openxmlformats.org/officeDocument/2006/relationships/chart" Target="../charts/chart98.xml"/><Relationship Id="rId42" Type="http://schemas.openxmlformats.org/officeDocument/2006/relationships/chart" Target="../charts/chart106.xml"/><Relationship Id="rId7" Type="http://schemas.openxmlformats.org/officeDocument/2006/relationships/chart" Target="../charts/chart71.xml"/><Relationship Id="rId12" Type="http://schemas.openxmlformats.org/officeDocument/2006/relationships/chart" Target="../charts/chart76.xml"/><Relationship Id="rId17" Type="http://schemas.openxmlformats.org/officeDocument/2006/relationships/chart" Target="../charts/chart81.xml"/><Relationship Id="rId25" Type="http://schemas.openxmlformats.org/officeDocument/2006/relationships/chart" Target="../charts/chart89.xml"/><Relationship Id="rId33" Type="http://schemas.openxmlformats.org/officeDocument/2006/relationships/chart" Target="../charts/chart97.xml"/><Relationship Id="rId38" Type="http://schemas.openxmlformats.org/officeDocument/2006/relationships/chart" Target="../charts/chart102.xml"/><Relationship Id="rId2" Type="http://schemas.openxmlformats.org/officeDocument/2006/relationships/chart" Target="../charts/chart66.xml"/><Relationship Id="rId16" Type="http://schemas.openxmlformats.org/officeDocument/2006/relationships/chart" Target="../charts/chart80.xml"/><Relationship Id="rId20" Type="http://schemas.openxmlformats.org/officeDocument/2006/relationships/chart" Target="../charts/chart84.xml"/><Relationship Id="rId29" Type="http://schemas.openxmlformats.org/officeDocument/2006/relationships/chart" Target="../charts/chart93.xml"/><Relationship Id="rId41" Type="http://schemas.openxmlformats.org/officeDocument/2006/relationships/chart" Target="../charts/chart105.xml"/><Relationship Id="rId1" Type="http://schemas.openxmlformats.org/officeDocument/2006/relationships/chart" Target="../charts/chart65.xml"/><Relationship Id="rId6" Type="http://schemas.openxmlformats.org/officeDocument/2006/relationships/chart" Target="../charts/chart70.xml"/><Relationship Id="rId11" Type="http://schemas.openxmlformats.org/officeDocument/2006/relationships/chart" Target="../charts/chart75.xml"/><Relationship Id="rId24" Type="http://schemas.openxmlformats.org/officeDocument/2006/relationships/chart" Target="../charts/chart88.xml"/><Relationship Id="rId32" Type="http://schemas.openxmlformats.org/officeDocument/2006/relationships/chart" Target="../charts/chart96.xml"/><Relationship Id="rId37" Type="http://schemas.openxmlformats.org/officeDocument/2006/relationships/chart" Target="../charts/chart101.xml"/><Relationship Id="rId40" Type="http://schemas.openxmlformats.org/officeDocument/2006/relationships/chart" Target="../charts/chart104.xml"/><Relationship Id="rId5" Type="http://schemas.openxmlformats.org/officeDocument/2006/relationships/chart" Target="../charts/chart69.xml"/><Relationship Id="rId15" Type="http://schemas.openxmlformats.org/officeDocument/2006/relationships/chart" Target="../charts/chart79.xml"/><Relationship Id="rId23" Type="http://schemas.openxmlformats.org/officeDocument/2006/relationships/chart" Target="../charts/chart87.xml"/><Relationship Id="rId28" Type="http://schemas.openxmlformats.org/officeDocument/2006/relationships/chart" Target="../charts/chart92.xml"/><Relationship Id="rId36" Type="http://schemas.openxmlformats.org/officeDocument/2006/relationships/chart" Target="../charts/chart100.xml"/><Relationship Id="rId10" Type="http://schemas.openxmlformats.org/officeDocument/2006/relationships/chart" Target="../charts/chart74.xml"/><Relationship Id="rId19" Type="http://schemas.openxmlformats.org/officeDocument/2006/relationships/chart" Target="../charts/chart83.xml"/><Relationship Id="rId31" Type="http://schemas.openxmlformats.org/officeDocument/2006/relationships/chart" Target="../charts/chart95.xml"/><Relationship Id="rId4" Type="http://schemas.openxmlformats.org/officeDocument/2006/relationships/chart" Target="../charts/chart68.xml"/><Relationship Id="rId9" Type="http://schemas.openxmlformats.org/officeDocument/2006/relationships/chart" Target="../charts/chart73.xml"/><Relationship Id="rId14" Type="http://schemas.openxmlformats.org/officeDocument/2006/relationships/chart" Target="../charts/chart78.xml"/><Relationship Id="rId22" Type="http://schemas.openxmlformats.org/officeDocument/2006/relationships/chart" Target="../charts/chart86.xml"/><Relationship Id="rId27" Type="http://schemas.openxmlformats.org/officeDocument/2006/relationships/chart" Target="../charts/chart91.xml"/><Relationship Id="rId30" Type="http://schemas.openxmlformats.org/officeDocument/2006/relationships/chart" Target="../charts/chart94.xml"/><Relationship Id="rId35" Type="http://schemas.openxmlformats.org/officeDocument/2006/relationships/chart" Target="../charts/chart99.xml"/><Relationship Id="rId43" Type="http://schemas.openxmlformats.org/officeDocument/2006/relationships/chart" Target="../charts/chart107.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3</xdr:col>
      <xdr:colOff>342900</xdr:colOff>
      <xdr:row>9</xdr:row>
      <xdr:rowOff>114300</xdr:rowOff>
    </xdr:to>
    <xdr:pic>
      <xdr:nvPicPr>
        <xdr:cNvPr id="10395713" name="Picture 1" descr="EuropeFlag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 y="485775"/>
          <a:ext cx="19050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12</xdr:row>
      <xdr:rowOff>0</xdr:rowOff>
    </xdr:from>
    <xdr:to>
      <xdr:col>3</xdr:col>
      <xdr:colOff>333375</xdr:colOff>
      <xdr:row>18</xdr:row>
      <xdr:rowOff>76200</xdr:rowOff>
    </xdr:to>
    <xdr:pic>
      <xdr:nvPicPr>
        <xdr:cNvPr id="10395714" name="Picture 3" descr="L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3850" y="2124075"/>
          <a:ext cx="1895475"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31</xdr:row>
      <xdr:rowOff>0</xdr:rowOff>
    </xdr:from>
    <xdr:to>
      <xdr:col>7</xdr:col>
      <xdr:colOff>0</xdr:colOff>
      <xdr:row>52</xdr:row>
      <xdr:rowOff>0</xdr:rowOff>
    </xdr:to>
    <xdr:graphicFrame macro="">
      <xdr:nvGraphicFramePr>
        <xdr:cNvPr id="104189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31</xdr:row>
      <xdr:rowOff>0</xdr:rowOff>
    </xdr:from>
    <xdr:to>
      <xdr:col>14</xdr:col>
      <xdr:colOff>0</xdr:colOff>
      <xdr:row>52</xdr:row>
      <xdr:rowOff>0</xdr:rowOff>
    </xdr:to>
    <xdr:graphicFrame macro="">
      <xdr:nvGraphicFramePr>
        <xdr:cNvPr id="1041894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52</xdr:row>
      <xdr:rowOff>0</xdr:rowOff>
    </xdr:from>
    <xdr:to>
      <xdr:col>7</xdr:col>
      <xdr:colOff>0</xdr:colOff>
      <xdr:row>73</xdr:row>
      <xdr:rowOff>0</xdr:rowOff>
    </xdr:to>
    <xdr:graphicFrame macro="">
      <xdr:nvGraphicFramePr>
        <xdr:cNvPr id="1041894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52</xdr:row>
      <xdr:rowOff>0</xdr:rowOff>
    </xdr:from>
    <xdr:to>
      <xdr:col>14</xdr:col>
      <xdr:colOff>0</xdr:colOff>
      <xdr:row>73</xdr:row>
      <xdr:rowOff>0</xdr:rowOff>
    </xdr:to>
    <xdr:graphicFrame macro="">
      <xdr:nvGraphicFramePr>
        <xdr:cNvPr id="1041894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76</xdr:row>
      <xdr:rowOff>0</xdr:rowOff>
    </xdr:from>
    <xdr:to>
      <xdr:col>7</xdr:col>
      <xdr:colOff>0</xdr:colOff>
      <xdr:row>97</xdr:row>
      <xdr:rowOff>9525</xdr:rowOff>
    </xdr:to>
    <xdr:graphicFrame macro="">
      <xdr:nvGraphicFramePr>
        <xdr:cNvPr id="1041894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97</xdr:row>
      <xdr:rowOff>9525</xdr:rowOff>
    </xdr:from>
    <xdr:to>
      <xdr:col>7</xdr:col>
      <xdr:colOff>0</xdr:colOff>
      <xdr:row>118</xdr:row>
      <xdr:rowOff>0</xdr:rowOff>
    </xdr:to>
    <xdr:graphicFrame macro="">
      <xdr:nvGraphicFramePr>
        <xdr:cNvPr id="10418950"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76</xdr:row>
      <xdr:rowOff>0</xdr:rowOff>
    </xdr:from>
    <xdr:to>
      <xdr:col>14</xdr:col>
      <xdr:colOff>0</xdr:colOff>
      <xdr:row>97</xdr:row>
      <xdr:rowOff>9525</xdr:rowOff>
    </xdr:to>
    <xdr:graphicFrame macro="">
      <xdr:nvGraphicFramePr>
        <xdr:cNvPr id="10418951"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3</xdr:row>
      <xdr:rowOff>0</xdr:rowOff>
    </xdr:from>
    <xdr:to>
      <xdr:col>14</xdr:col>
      <xdr:colOff>0</xdr:colOff>
      <xdr:row>28</xdr:row>
      <xdr:rowOff>0</xdr:rowOff>
    </xdr:to>
    <xdr:graphicFrame macro="">
      <xdr:nvGraphicFramePr>
        <xdr:cNvPr id="10418952"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142</xdr:row>
      <xdr:rowOff>0</xdr:rowOff>
    </xdr:from>
    <xdr:to>
      <xdr:col>7</xdr:col>
      <xdr:colOff>0</xdr:colOff>
      <xdr:row>163</xdr:row>
      <xdr:rowOff>9525</xdr:rowOff>
    </xdr:to>
    <xdr:graphicFrame macro="">
      <xdr:nvGraphicFramePr>
        <xdr:cNvPr id="10418953"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142</xdr:row>
      <xdr:rowOff>0</xdr:rowOff>
    </xdr:from>
    <xdr:to>
      <xdr:col>14</xdr:col>
      <xdr:colOff>0</xdr:colOff>
      <xdr:row>163</xdr:row>
      <xdr:rowOff>9525</xdr:rowOff>
    </xdr:to>
    <xdr:graphicFrame macro="">
      <xdr:nvGraphicFramePr>
        <xdr:cNvPr id="10418954"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166</xdr:row>
      <xdr:rowOff>0</xdr:rowOff>
    </xdr:from>
    <xdr:to>
      <xdr:col>7</xdr:col>
      <xdr:colOff>0</xdr:colOff>
      <xdr:row>187</xdr:row>
      <xdr:rowOff>0</xdr:rowOff>
    </xdr:to>
    <xdr:graphicFrame macro="">
      <xdr:nvGraphicFramePr>
        <xdr:cNvPr id="10418955"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187</xdr:row>
      <xdr:rowOff>0</xdr:rowOff>
    </xdr:from>
    <xdr:to>
      <xdr:col>7</xdr:col>
      <xdr:colOff>0</xdr:colOff>
      <xdr:row>207</xdr:row>
      <xdr:rowOff>152400</xdr:rowOff>
    </xdr:to>
    <xdr:graphicFrame macro="">
      <xdr:nvGraphicFramePr>
        <xdr:cNvPr id="1041895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211</xdr:row>
      <xdr:rowOff>9525</xdr:rowOff>
    </xdr:from>
    <xdr:to>
      <xdr:col>7</xdr:col>
      <xdr:colOff>0</xdr:colOff>
      <xdr:row>232</xdr:row>
      <xdr:rowOff>9525</xdr:rowOff>
    </xdr:to>
    <xdr:graphicFrame macro="">
      <xdr:nvGraphicFramePr>
        <xdr:cNvPr id="1041895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232</xdr:row>
      <xdr:rowOff>9525</xdr:rowOff>
    </xdr:from>
    <xdr:to>
      <xdr:col>7</xdr:col>
      <xdr:colOff>0</xdr:colOff>
      <xdr:row>253</xdr:row>
      <xdr:rowOff>19050</xdr:rowOff>
    </xdr:to>
    <xdr:graphicFrame macro="">
      <xdr:nvGraphicFramePr>
        <xdr:cNvPr id="10418958"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0</xdr:colOff>
      <xdr:row>211</xdr:row>
      <xdr:rowOff>9525</xdr:rowOff>
    </xdr:from>
    <xdr:to>
      <xdr:col>14</xdr:col>
      <xdr:colOff>0</xdr:colOff>
      <xdr:row>232</xdr:row>
      <xdr:rowOff>9525</xdr:rowOff>
    </xdr:to>
    <xdr:graphicFrame macro="">
      <xdr:nvGraphicFramePr>
        <xdr:cNvPr id="10418959"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187</xdr:row>
      <xdr:rowOff>0</xdr:rowOff>
    </xdr:from>
    <xdr:to>
      <xdr:col>14</xdr:col>
      <xdr:colOff>0</xdr:colOff>
      <xdr:row>207</xdr:row>
      <xdr:rowOff>152400</xdr:rowOff>
    </xdr:to>
    <xdr:graphicFrame macro="">
      <xdr:nvGraphicFramePr>
        <xdr:cNvPr id="10418960"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0</xdr:colOff>
      <xdr:row>232</xdr:row>
      <xdr:rowOff>9525</xdr:rowOff>
    </xdr:from>
    <xdr:to>
      <xdr:col>14</xdr:col>
      <xdr:colOff>0</xdr:colOff>
      <xdr:row>253</xdr:row>
      <xdr:rowOff>19050</xdr:rowOff>
    </xdr:to>
    <xdr:graphicFrame macro="">
      <xdr:nvGraphicFramePr>
        <xdr:cNvPr id="10418961"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256</xdr:row>
      <xdr:rowOff>0</xdr:rowOff>
    </xdr:from>
    <xdr:to>
      <xdr:col>7</xdr:col>
      <xdr:colOff>0</xdr:colOff>
      <xdr:row>276</xdr:row>
      <xdr:rowOff>152400</xdr:rowOff>
    </xdr:to>
    <xdr:graphicFrame macro="">
      <xdr:nvGraphicFramePr>
        <xdr:cNvPr id="10418962"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0</xdr:colOff>
      <xdr:row>256</xdr:row>
      <xdr:rowOff>0</xdr:rowOff>
    </xdr:from>
    <xdr:to>
      <xdr:col>14</xdr:col>
      <xdr:colOff>0</xdr:colOff>
      <xdr:row>276</xdr:row>
      <xdr:rowOff>152400</xdr:rowOff>
    </xdr:to>
    <xdr:graphicFrame macro="">
      <xdr:nvGraphicFramePr>
        <xdr:cNvPr id="10418963"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280</xdr:row>
      <xdr:rowOff>0</xdr:rowOff>
    </xdr:from>
    <xdr:to>
      <xdr:col>7</xdr:col>
      <xdr:colOff>0</xdr:colOff>
      <xdr:row>300</xdr:row>
      <xdr:rowOff>152400</xdr:rowOff>
    </xdr:to>
    <xdr:graphicFrame macro="">
      <xdr:nvGraphicFramePr>
        <xdr:cNvPr id="10418964"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0</xdr:colOff>
      <xdr:row>280</xdr:row>
      <xdr:rowOff>0</xdr:rowOff>
    </xdr:from>
    <xdr:to>
      <xdr:col>14</xdr:col>
      <xdr:colOff>0</xdr:colOff>
      <xdr:row>300</xdr:row>
      <xdr:rowOff>152400</xdr:rowOff>
    </xdr:to>
    <xdr:graphicFrame macro="">
      <xdr:nvGraphicFramePr>
        <xdr:cNvPr id="10418965"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118</xdr:row>
      <xdr:rowOff>0</xdr:rowOff>
    </xdr:from>
    <xdr:to>
      <xdr:col>7</xdr:col>
      <xdr:colOff>0</xdr:colOff>
      <xdr:row>138</xdr:row>
      <xdr:rowOff>152400</xdr:rowOff>
    </xdr:to>
    <xdr:graphicFrame macro="">
      <xdr:nvGraphicFramePr>
        <xdr:cNvPr id="10418966"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0</xdr:colOff>
      <xdr:row>118</xdr:row>
      <xdr:rowOff>0</xdr:rowOff>
    </xdr:from>
    <xdr:to>
      <xdr:col>14</xdr:col>
      <xdr:colOff>0</xdr:colOff>
      <xdr:row>138</xdr:row>
      <xdr:rowOff>152400</xdr:rowOff>
    </xdr:to>
    <xdr:graphicFrame macro="">
      <xdr:nvGraphicFramePr>
        <xdr:cNvPr id="10418967"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0</xdr:colOff>
      <xdr:row>97</xdr:row>
      <xdr:rowOff>9525</xdr:rowOff>
    </xdr:from>
    <xdr:to>
      <xdr:col>14</xdr:col>
      <xdr:colOff>0</xdr:colOff>
      <xdr:row>118</xdr:row>
      <xdr:rowOff>0</xdr:rowOff>
    </xdr:to>
    <xdr:graphicFrame macro="">
      <xdr:nvGraphicFramePr>
        <xdr:cNvPr id="10418968"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0</xdr:rowOff>
    </xdr:from>
    <xdr:to>
      <xdr:col>14</xdr:col>
      <xdr:colOff>0</xdr:colOff>
      <xdr:row>21</xdr:row>
      <xdr:rowOff>0</xdr:rowOff>
    </xdr:to>
    <xdr:graphicFrame macro="">
      <xdr:nvGraphicFramePr>
        <xdr:cNvPr id="1050278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0</xdr:rowOff>
    </xdr:from>
    <xdr:to>
      <xdr:col>14</xdr:col>
      <xdr:colOff>0</xdr:colOff>
      <xdr:row>39</xdr:row>
      <xdr:rowOff>0</xdr:rowOff>
    </xdr:to>
    <xdr:graphicFrame macro="">
      <xdr:nvGraphicFramePr>
        <xdr:cNvPr id="1050278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0</xdr:rowOff>
    </xdr:from>
    <xdr:to>
      <xdr:col>14</xdr:col>
      <xdr:colOff>0</xdr:colOff>
      <xdr:row>60</xdr:row>
      <xdr:rowOff>0</xdr:rowOff>
    </xdr:to>
    <xdr:graphicFrame macro="">
      <xdr:nvGraphicFramePr>
        <xdr:cNvPr id="1050278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60</xdr:row>
      <xdr:rowOff>0</xdr:rowOff>
    </xdr:from>
    <xdr:to>
      <xdr:col>14</xdr:col>
      <xdr:colOff>0</xdr:colOff>
      <xdr:row>77</xdr:row>
      <xdr:rowOff>152400</xdr:rowOff>
    </xdr:to>
    <xdr:graphicFrame macro="">
      <xdr:nvGraphicFramePr>
        <xdr:cNvPr id="10502788"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81</xdr:row>
      <xdr:rowOff>0</xdr:rowOff>
    </xdr:from>
    <xdr:to>
      <xdr:col>14</xdr:col>
      <xdr:colOff>0</xdr:colOff>
      <xdr:row>99</xdr:row>
      <xdr:rowOff>0</xdr:rowOff>
    </xdr:to>
    <xdr:graphicFrame macro="">
      <xdr:nvGraphicFramePr>
        <xdr:cNvPr id="10502789"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0</xdr:rowOff>
    </xdr:from>
    <xdr:to>
      <xdr:col>14</xdr:col>
      <xdr:colOff>0</xdr:colOff>
      <xdr:row>116</xdr:row>
      <xdr:rowOff>152400</xdr:rowOff>
    </xdr:to>
    <xdr:graphicFrame macro="">
      <xdr:nvGraphicFramePr>
        <xdr:cNvPr id="10502790"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120</xdr:row>
      <xdr:rowOff>0</xdr:rowOff>
    </xdr:from>
    <xdr:to>
      <xdr:col>14</xdr:col>
      <xdr:colOff>0</xdr:colOff>
      <xdr:row>138</xdr:row>
      <xdr:rowOff>0</xdr:rowOff>
    </xdr:to>
    <xdr:graphicFrame macro="">
      <xdr:nvGraphicFramePr>
        <xdr:cNvPr id="10502791"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138</xdr:row>
      <xdr:rowOff>0</xdr:rowOff>
    </xdr:from>
    <xdr:to>
      <xdr:col>14</xdr:col>
      <xdr:colOff>0</xdr:colOff>
      <xdr:row>156</xdr:row>
      <xdr:rowOff>0</xdr:rowOff>
    </xdr:to>
    <xdr:graphicFrame macro="">
      <xdr:nvGraphicFramePr>
        <xdr:cNvPr id="10502792"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159</xdr:row>
      <xdr:rowOff>0</xdr:rowOff>
    </xdr:from>
    <xdr:to>
      <xdr:col>14</xdr:col>
      <xdr:colOff>0</xdr:colOff>
      <xdr:row>177</xdr:row>
      <xdr:rowOff>0</xdr:rowOff>
    </xdr:to>
    <xdr:graphicFrame macro="">
      <xdr:nvGraphicFramePr>
        <xdr:cNvPr id="10502793"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177</xdr:row>
      <xdr:rowOff>0</xdr:rowOff>
    </xdr:from>
    <xdr:to>
      <xdr:col>14</xdr:col>
      <xdr:colOff>0</xdr:colOff>
      <xdr:row>195</xdr:row>
      <xdr:rowOff>0</xdr:rowOff>
    </xdr:to>
    <xdr:graphicFrame macro="">
      <xdr:nvGraphicFramePr>
        <xdr:cNvPr id="10502794"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198</xdr:row>
      <xdr:rowOff>0</xdr:rowOff>
    </xdr:from>
    <xdr:to>
      <xdr:col>14</xdr:col>
      <xdr:colOff>0</xdr:colOff>
      <xdr:row>216</xdr:row>
      <xdr:rowOff>0</xdr:rowOff>
    </xdr:to>
    <xdr:graphicFrame macro="">
      <xdr:nvGraphicFramePr>
        <xdr:cNvPr id="10502795"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216</xdr:row>
      <xdr:rowOff>0</xdr:rowOff>
    </xdr:from>
    <xdr:to>
      <xdr:col>14</xdr:col>
      <xdr:colOff>0</xdr:colOff>
      <xdr:row>233</xdr:row>
      <xdr:rowOff>152400</xdr:rowOff>
    </xdr:to>
    <xdr:graphicFrame macro="">
      <xdr:nvGraphicFramePr>
        <xdr:cNvPr id="1050279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237</xdr:row>
      <xdr:rowOff>0</xdr:rowOff>
    </xdr:from>
    <xdr:to>
      <xdr:col>14</xdr:col>
      <xdr:colOff>0</xdr:colOff>
      <xdr:row>255</xdr:row>
      <xdr:rowOff>0</xdr:rowOff>
    </xdr:to>
    <xdr:graphicFrame macro="">
      <xdr:nvGraphicFramePr>
        <xdr:cNvPr id="10502797"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255</xdr:row>
      <xdr:rowOff>0</xdr:rowOff>
    </xdr:from>
    <xdr:to>
      <xdr:col>14</xdr:col>
      <xdr:colOff>0</xdr:colOff>
      <xdr:row>273</xdr:row>
      <xdr:rowOff>0</xdr:rowOff>
    </xdr:to>
    <xdr:graphicFrame macro="">
      <xdr:nvGraphicFramePr>
        <xdr:cNvPr id="10502798"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276</xdr:row>
      <xdr:rowOff>9525</xdr:rowOff>
    </xdr:from>
    <xdr:to>
      <xdr:col>14</xdr:col>
      <xdr:colOff>0</xdr:colOff>
      <xdr:row>294</xdr:row>
      <xdr:rowOff>0</xdr:rowOff>
    </xdr:to>
    <xdr:graphicFrame macro="">
      <xdr:nvGraphicFramePr>
        <xdr:cNvPr id="10502799"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294</xdr:row>
      <xdr:rowOff>0</xdr:rowOff>
    </xdr:from>
    <xdr:to>
      <xdr:col>14</xdr:col>
      <xdr:colOff>0</xdr:colOff>
      <xdr:row>312</xdr:row>
      <xdr:rowOff>0</xdr:rowOff>
    </xdr:to>
    <xdr:graphicFrame macro="">
      <xdr:nvGraphicFramePr>
        <xdr:cNvPr id="10502800"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315</xdr:row>
      <xdr:rowOff>9525</xdr:rowOff>
    </xdr:from>
    <xdr:to>
      <xdr:col>14</xdr:col>
      <xdr:colOff>0</xdr:colOff>
      <xdr:row>333</xdr:row>
      <xdr:rowOff>0</xdr:rowOff>
    </xdr:to>
    <xdr:graphicFrame macro="">
      <xdr:nvGraphicFramePr>
        <xdr:cNvPr id="10502801"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333</xdr:row>
      <xdr:rowOff>0</xdr:rowOff>
    </xdr:from>
    <xdr:to>
      <xdr:col>14</xdr:col>
      <xdr:colOff>0</xdr:colOff>
      <xdr:row>351</xdr:row>
      <xdr:rowOff>0</xdr:rowOff>
    </xdr:to>
    <xdr:graphicFrame macro="">
      <xdr:nvGraphicFramePr>
        <xdr:cNvPr id="10502802"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372</xdr:row>
      <xdr:rowOff>9525</xdr:rowOff>
    </xdr:from>
    <xdr:to>
      <xdr:col>14</xdr:col>
      <xdr:colOff>0</xdr:colOff>
      <xdr:row>390</xdr:row>
      <xdr:rowOff>9525</xdr:rowOff>
    </xdr:to>
    <xdr:graphicFrame macro="">
      <xdr:nvGraphicFramePr>
        <xdr:cNvPr id="10502803"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354</xdr:row>
      <xdr:rowOff>9525</xdr:rowOff>
    </xdr:from>
    <xdr:to>
      <xdr:col>14</xdr:col>
      <xdr:colOff>0</xdr:colOff>
      <xdr:row>372</xdr:row>
      <xdr:rowOff>9525</xdr:rowOff>
    </xdr:to>
    <xdr:graphicFrame macro="">
      <xdr:nvGraphicFramePr>
        <xdr:cNvPr id="10502804"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0</xdr:rowOff>
    </xdr:from>
    <xdr:to>
      <xdr:col>7</xdr:col>
      <xdr:colOff>0</xdr:colOff>
      <xdr:row>24</xdr:row>
      <xdr:rowOff>0</xdr:rowOff>
    </xdr:to>
    <xdr:graphicFrame macro="">
      <xdr:nvGraphicFramePr>
        <xdr:cNvPr id="1055910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xdr:row>
      <xdr:rowOff>0</xdr:rowOff>
    </xdr:from>
    <xdr:to>
      <xdr:col>14</xdr:col>
      <xdr:colOff>0</xdr:colOff>
      <xdr:row>24</xdr:row>
      <xdr:rowOff>0</xdr:rowOff>
    </xdr:to>
    <xdr:graphicFrame macro="">
      <xdr:nvGraphicFramePr>
        <xdr:cNvPr id="1055910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66</xdr:row>
      <xdr:rowOff>0</xdr:rowOff>
    </xdr:from>
    <xdr:to>
      <xdr:col>7</xdr:col>
      <xdr:colOff>0</xdr:colOff>
      <xdr:row>87</xdr:row>
      <xdr:rowOff>0</xdr:rowOff>
    </xdr:to>
    <xdr:graphicFrame macro="">
      <xdr:nvGraphicFramePr>
        <xdr:cNvPr id="1055910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66</xdr:row>
      <xdr:rowOff>0</xdr:rowOff>
    </xdr:from>
    <xdr:to>
      <xdr:col>14</xdr:col>
      <xdr:colOff>0</xdr:colOff>
      <xdr:row>87</xdr:row>
      <xdr:rowOff>0</xdr:rowOff>
    </xdr:to>
    <xdr:graphicFrame macro="">
      <xdr:nvGraphicFramePr>
        <xdr:cNvPr id="1055910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111</xdr:row>
      <xdr:rowOff>0</xdr:rowOff>
    </xdr:from>
    <xdr:to>
      <xdr:col>7</xdr:col>
      <xdr:colOff>0</xdr:colOff>
      <xdr:row>132</xdr:row>
      <xdr:rowOff>0</xdr:rowOff>
    </xdr:to>
    <xdr:graphicFrame macro="">
      <xdr:nvGraphicFramePr>
        <xdr:cNvPr id="1055910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111</xdr:row>
      <xdr:rowOff>0</xdr:rowOff>
    </xdr:from>
    <xdr:to>
      <xdr:col>14</xdr:col>
      <xdr:colOff>0</xdr:colOff>
      <xdr:row>132</xdr:row>
      <xdr:rowOff>0</xdr:rowOff>
    </xdr:to>
    <xdr:graphicFrame macro="">
      <xdr:nvGraphicFramePr>
        <xdr:cNvPr id="105591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135</xdr:row>
      <xdr:rowOff>0</xdr:rowOff>
    </xdr:from>
    <xdr:to>
      <xdr:col>7</xdr:col>
      <xdr:colOff>0</xdr:colOff>
      <xdr:row>156</xdr:row>
      <xdr:rowOff>0</xdr:rowOff>
    </xdr:to>
    <xdr:graphicFrame macro="">
      <xdr:nvGraphicFramePr>
        <xdr:cNvPr id="105591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135</xdr:row>
      <xdr:rowOff>0</xdr:rowOff>
    </xdr:from>
    <xdr:to>
      <xdr:col>14</xdr:col>
      <xdr:colOff>0</xdr:colOff>
      <xdr:row>156</xdr:row>
      <xdr:rowOff>0</xdr:rowOff>
    </xdr:to>
    <xdr:graphicFrame macro="">
      <xdr:nvGraphicFramePr>
        <xdr:cNvPr id="105591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177</xdr:row>
      <xdr:rowOff>0</xdr:rowOff>
    </xdr:from>
    <xdr:to>
      <xdr:col>7</xdr:col>
      <xdr:colOff>0</xdr:colOff>
      <xdr:row>198</xdr:row>
      <xdr:rowOff>0</xdr:rowOff>
    </xdr:to>
    <xdr:graphicFrame macro="">
      <xdr:nvGraphicFramePr>
        <xdr:cNvPr id="105591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177</xdr:row>
      <xdr:rowOff>0</xdr:rowOff>
    </xdr:from>
    <xdr:to>
      <xdr:col>14</xdr:col>
      <xdr:colOff>0</xdr:colOff>
      <xdr:row>198</xdr:row>
      <xdr:rowOff>0</xdr:rowOff>
    </xdr:to>
    <xdr:graphicFrame macro="">
      <xdr:nvGraphicFramePr>
        <xdr:cNvPr id="105591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222</xdr:row>
      <xdr:rowOff>0</xdr:rowOff>
    </xdr:from>
    <xdr:to>
      <xdr:col>7</xdr:col>
      <xdr:colOff>0</xdr:colOff>
      <xdr:row>243</xdr:row>
      <xdr:rowOff>0</xdr:rowOff>
    </xdr:to>
    <xdr:graphicFrame macro="">
      <xdr:nvGraphicFramePr>
        <xdr:cNvPr id="105591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222</xdr:row>
      <xdr:rowOff>0</xdr:rowOff>
    </xdr:from>
    <xdr:to>
      <xdr:col>14</xdr:col>
      <xdr:colOff>0</xdr:colOff>
      <xdr:row>243</xdr:row>
      <xdr:rowOff>0</xdr:rowOff>
    </xdr:to>
    <xdr:graphicFrame macro="">
      <xdr:nvGraphicFramePr>
        <xdr:cNvPr id="105591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24</xdr:row>
      <xdr:rowOff>0</xdr:rowOff>
    </xdr:from>
    <xdr:to>
      <xdr:col>14</xdr:col>
      <xdr:colOff>0</xdr:colOff>
      <xdr:row>45</xdr:row>
      <xdr:rowOff>0</xdr:rowOff>
    </xdr:to>
    <xdr:graphicFrame macro="">
      <xdr:nvGraphicFramePr>
        <xdr:cNvPr id="105591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24</xdr:row>
      <xdr:rowOff>0</xdr:rowOff>
    </xdr:from>
    <xdr:to>
      <xdr:col>7</xdr:col>
      <xdr:colOff>0</xdr:colOff>
      <xdr:row>45</xdr:row>
      <xdr:rowOff>0</xdr:rowOff>
    </xdr:to>
    <xdr:graphicFrame macro="">
      <xdr:nvGraphicFramePr>
        <xdr:cNvPr id="105591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156</xdr:row>
      <xdr:rowOff>0</xdr:rowOff>
    </xdr:from>
    <xdr:to>
      <xdr:col>7</xdr:col>
      <xdr:colOff>0</xdr:colOff>
      <xdr:row>177</xdr:row>
      <xdr:rowOff>0</xdr:rowOff>
    </xdr:to>
    <xdr:graphicFrame macro="">
      <xdr:nvGraphicFramePr>
        <xdr:cNvPr id="105591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156</xdr:row>
      <xdr:rowOff>0</xdr:rowOff>
    </xdr:from>
    <xdr:to>
      <xdr:col>14</xdr:col>
      <xdr:colOff>0</xdr:colOff>
      <xdr:row>177</xdr:row>
      <xdr:rowOff>0</xdr:rowOff>
    </xdr:to>
    <xdr:graphicFrame macro="">
      <xdr:nvGraphicFramePr>
        <xdr:cNvPr id="10559120"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45</xdr:row>
      <xdr:rowOff>0</xdr:rowOff>
    </xdr:from>
    <xdr:to>
      <xdr:col>7</xdr:col>
      <xdr:colOff>0</xdr:colOff>
      <xdr:row>66</xdr:row>
      <xdr:rowOff>0</xdr:rowOff>
    </xdr:to>
    <xdr:graphicFrame macro="">
      <xdr:nvGraphicFramePr>
        <xdr:cNvPr id="10559121"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0</xdr:colOff>
      <xdr:row>45</xdr:row>
      <xdr:rowOff>0</xdr:rowOff>
    </xdr:from>
    <xdr:to>
      <xdr:col>14</xdr:col>
      <xdr:colOff>0</xdr:colOff>
      <xdr:row>66</xdr:row>
      <xdr:rowOff>0</xdr:rowOff>
    </xdr:to>
    <xdr:graphicFrame macro="">
      <xdr:nvGraphicFramePr>
        <xdr:cNvPr id="10559122"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87</xdr:row>
      <xdr:rowOff>0</xdr:rowOff>
    </xdr:from>
    <xdr:to>
      <xdr:col>7</xdr:col>
      <xdr:colOff>0</xdr:colOff>
      <xdr:row>107</xdr:row>
      <xdr:rowOff>152400</xdr:rowOff>
    </xdr:to>
    <xdr:graphicFrame macro="">
      <xdr:nvGraphicFramePr>
        <xdr:cNvPr id="10559123"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198</xdr:row>
      <xdr:rowOff>0</xdr:rowOff>
    </xdr:from>
    <xdr:to>
      <xdr:col>7</xdr:col>
      <xdr:colOff>0</xdr:colOff>
      <xdr:row>218</xdr:row>
      <xdr:rowOff>152400</xdr:rowOff>
    </xdr:to>
    <xdr:graphicFrame macro="">
      <xdr:nvGraphicFramePr>
        <xdr:cNvPr id="10559124"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22</xdr:col>
      <xdr:colOff>466725</xdr:colOff>
      <xdr:row>146</xdr:row>
      <xdr:rowOff>66675</xdr:rowOff>
    </xdr:from>
    <xdr:to>
      <xdr:col>24</xdr:col>
      <xdr:colOff>533400</xdr:colOff>
      <xdr:row>155</xdr:row>
      <xdr:rowOff>104775</xdr:rowOff>
    </xdr:to>
    <xdr:sp macro="" textlink="">
      <xdr:nvSpPr>
        <xdr:cNvPr id="1763330" name="Text Box 86018" hidden="1"/>
        <xdr:cNvSpPr txBox="1">
          <a:spLocks noChangeArrowheads="1"/>
        </xdr:cNvSpPr>
      </xdr:nvSpPr>
      <xdr:spPr bwMode="auto">
        <a:xfrm>
          <a:off x="8972550" y="25488900"/>
          <a:ext cx="1724025" cy="14954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29</xdr:col>
      <xdr:colOff>161925</xdr:colOff>
      <xdr:row>148</xdr:row>
      <xdr:rowOff>66675</xdr:rowOff>
    </xdr:from>
    <xdr:to>
      <xdr:col>30</xdr:col>
      <xdr:colOff>257175</xdr:colOff>
      <xdr:row>152</xdr:row>
      <xdr:rowOff>123825</xdr:rowOff>
    </xdr:to>
    <xdr:sp macro="" textlink="">
      <xdr:nvSpPr>
        <xdr:cNvPr id="5570561" name="Text Box 282625" hidden="1"/>
        <xdr:cNvSpPr txBox="1">
          <a:spLocks noChangeArrowheads="1"/>
        </xdr:cNvSpPr>
      </xdr:nvSpPr>
      <xdr:spPr bwMode="auto">
        <a:xfrm>
          <a:off x="14658975" y="25812750"/>
          <a:ext cx="1219200" cy="7048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3</xdr:row>
      <xdr:rowOff>0</xdr:rowOff>
    </xdr:from>
    <xdr:to>
      <xdr:col>7</xdr:col>
      <xdr:colOff>0</xdr:colOff>
      <xdr:row>24</xdr:row>
      <xdr:rowOff>0</xdr:rowOff>
    </xdr:to>
    <xdr:graphicFrame macro="">
      <xdr:nvGraphicFramePr>
        <xdr:cNvPr id="1078921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45</xdr:row>
      <xdr:rowOff>0</xdr:rowOff>
    </xdr:from>
    <xdr:to>
      <xdr:col>14</xdr:col>
      <xdr:colOff>0</xdr:colOff>
      <xdr:row>66</xdr:row>
      <xdr:rowOff>0</xdr:rowOff>
    </xdr:to>
    <xdr:graphicFrame macro="">
      <xdr:nvGraphicFramePr>
        <xdr:cNvPr id="1078921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3</xdr:row>
      <xdr:rowOff>0</xdr:rowOff>
    </xdr:from>
    <xdr:to>
      <xdr:col>14</xdr:col>
      <xdr:colOff>0</xdr:colOff>
      <xdr:row>24</xdr:row>
      <xdr:rowOff>0</xdr:rowOff>
    </xdr:to>
    <xdr:graphicFrame macro="">
      <xdr:nvGraphicFramePr>
        <xdr:cNvPr id="1078921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138</xdr:row>
      <xdr:rowOff>0</xdr:rowOff>
    </xdr:from>
    <xdr:to>
      <xdr:col>7</xdr:col>
      <xdr:colOff>0</xdr:colOff>
      <xdr:row>159</xdr:row>
      <xdr:rowOff>0</xdr:rowOff>
    </xdr:to>
    <xdr:graphicFrame macro="">
      <xdr:nvGraphicFramePr>
        <xdr:cNvPr id="10789220"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159</xdr:row>
      <xdr:rowOff>0</xdr:rowOff>
    </xdr:from>
    <xdr:to>
      <xdr:col>14</xdr:col>
      <xdr:colOff>0</xdr:colOff>
      <xdr:row>180</xdr:row>
      <xdr:rowOff>0</xdr:rowOff>
    </xdr:to>
    <xdr:graphicFrame macro="">
      <xdr:nvGraphicFramePr>
        <xdr:cNvPr id="10789221"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138</xdr:row>
      <xdr:rowOff>0</xdr:rowOff>
    </xdr:from>
    <xdr:to>
      <xdr:col>14</xdr:col>
      <xdr:colOff>0</xdr:colOff>
      <xdr:row>159</xdr:row>
      <xdr:rowOff>0</xdr:rowOff>
    </xdr:to>
    <xdr:graphicFrame macro="">
      <xdr:nvGraphicFramePr>
        <xdr:cNvPr id="10789222"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201</xdr:row>
      <xdr:rowOff>0</xdr:rowOff>
    </xdr:from>
    <xdr:to>
      <xdr:col>14</xdr:col>
      <xdr:colOff>0</xdr:colOff>
      <xdr:row>222</xdr:row>
      <xdr:rowOff>0</xdr:rowOff>
    </xdr:to>
    <xdr:graphicFrame macro="">
      <xdr:nvGraphicFramePr>
        <xdr:cNvPr id="10789223"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0</xdr:colOff>
      <xdr:row>24</xdr:row>
      <xdr:rowOff>0</xdr:rowOff>
    </xdr:from>
    <xdr:to>
      <xdr:col>7</xdr:col>
      <xdr:colOff>0</xdr:colOff>
      <xdr:row>45</xdr:row>
      <xdr:rowOff>0</xdr:rowOff>
    </xdr:to>
    <xdr:graphicFrame macro="">
      <xdr:nvGraphicFramePr>
        <xdr:cNvPr id="10789224"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180</xdr:row>
      <xdr:rowOff>0</xdr:rowOff>
    </xdr:from>
    <xdr:to>
      <xdr:col>7</xdr:col>
      <xdr:colOff>0</xdr:colOff>
      <xdr:row>201</xdr:row>
      <xdr:rowOff>0</xdr:rowOff>
    </xdr:to>
    <xdr:graphicFrame macro="">
      <xdr:nvGraphicFramePr>
        <xdr:cNvPr id="10789225"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159</xdr:row>
      <xdr:rowOff>0</xdr:rowOff>
    </xdr:from>
    <xdr:to>
      <xdr:col>7</xdr:col>
      <xdr:colOff>0</xdr:colOff>
      <xdr:row>180</xdr:row>
      <xdr:rowOff>0</xdr:rowOff>
    </xdr:to>
    <xdr:graphicFrame macro="">
      <xdr:nvGraphicFramePr>
        <xdr:cNvPr id="10789226"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45</xdr:row>
      <xdr:rowOff>0</xdr:rowOff>
    </xdr:from>
    <xdr:to>
      <xdr:col>7</xdr:col>
      <xdr:colOff>0</xdr:colOff>
      <xdr:row>66</xdr:row>
      <xdr:rowOff>0</xdr:rowOff>
    </xdr:to>
    <xdr:graphicFrame macro="">
      <xdr:nvGraphicFramePr>
        <xdr:cNvPr id="10789227"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222</xdr:row>
      <xdr:rowOff>0</xdr:rowOff>
    </xdr:from>
    <xdr:to>
      <xdr:col>7</xdr:col>
      <xdr:colOff>0</xdr:colOff>
      <xdr:row>243</xdr:row>
      <xdr:rowOff>0</xdr:rowOff>
    </xdr:to>
    <xdr:graphicFrame macro="">
      <xdr:nvGraphicFramePr>
        <xdr:cNvPr id="10789228"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24</xdr:row>
      <xdr:rowOff>0</xdr:rowOff>
    </xdr:from>
    <xdr:to>
      <xdr:col>14</xdr:col>
      <xdr:colOff>0</xdr:colOff>
      <xdr:row>45</xdr:row>
      <xdr:rowOff>0</xdr:rowOff>
    </xdr:to>
    <xdr:graphicFrame macro="">
      <xdr:nvGraphicFramePr>
        <xdr:cNvPr id="10789229"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267</xdr:row>
      <xdr:rowOff>0</xdr:rowOff>
    </xdr:from>
    <xdr:to>
      <xdr:col>7</xdr:col>
      <xdr:colOff>0</xdr:colOff>
      <xdr:row>288</xdr:row>
      <xdr:rowOff>0</xdr:rowOff>
    </xdr:to>
    <xdr:graphicFrame macro="">
      <xdr:nvGraphicFramePr>
        <xdr:cNvPr id="10789230"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0</xdr:colOff>
      <xdr:row>288</xdr:row>
      <xdr:rowOff>0</xdr:rowOff>
    </xdr:from>
    <xdr:to>
      <xdr:col>14</xdr:col>
      <xdr:colOff>0</xdr:colOff>
      <xdr:row>309</xdr:row>
      <xdr:rowOff>0</xdr:rowOff>
    </xdr:to>
    <xdr:graphicFrame macro="">
      <xdr:nvGraphicFramePr>
        <xdr:cNvPr id="10789231"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267</xdr:row>
      <xdr:rowOff>0</xdr:rowOff>
    </xdr:from>
    <xdr:to>
      <xdr:col>14</xdr:col>
      <xdr:colOff>0</xdr:colOff>
      <xdr:row>288</xdr:row>
      <xdr:rowOff>0</xdr:rowOff>
    </xdr:to>
    <xdr:graphicFrame macro="">
      <xdr:nvGraphicFramePr>
        <xdr:cNvPr id="10789232"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0</xdr:colOff>
      <xdr:row>309</xdr:row>
      <xdr:rowOff>0</xdr:rowOff>
    </xdr:from>
    <xdr:to>
      <xdr:col>14</xdr:col>
      <xdr:colOff>0</xdr:colOff>
      <xdr:row>330</xdr:row>
      <xdr:rowOff>0</xdr:rowOff>
    </xdr:to>
    <xdr:graphicFrame macro="">
      <xdr:nvGraphicFramePr>
        <xdr:cNvPr id="1078923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309</xdr:row>
      <xdr:rowOff>0</xdr:rowOff>
    </xdr:from>
    <xdr:to>
      <xdr:col>7</xdr:col>
      <xdr:colOff>0</xdr:colOff>
      <xdr:row>330</xdr:row>
      <xdr:rowOff>0</xdr:rowOff>
    </xdr:to>
    <xdr:graphicFrame macro="">
      <xdr:nvGraphicFramePr>
        <xdr:cNvPr id="1078923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288</xdr:row>
      <xdr:rowOff>0</xdr:rowOff>
    </xdr:from>
    <xdr:to>
      <xdr:col>7</xdr:col>
      <xdr:colOff>0</xdr:colOff>
      <xdr:row>309</xdr:row>
      <xdr:rowOff>0</xdr:rowOff>
    </xdr:to>
    <xdr:graphicFrame macro="">
      <xdr:nvGraphicFramePr>
        <xdr:cNvPr id="1078923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0</xdr:colOff>
      <xdr:row>243</xdr:row>
      <xdr:rowOff>0</xdr:rowOff>
    </xdr:from>
    <xdr:to>
      <xdr:col>14</xdr:col>
      <xdr:colOff>0</xdr:colOff>
      <xdr:row>264</xdr:row>
      <xdr:rowOff>0</xdr:rowOff>
    </xdr:to>
    <xdr:graphicFrame macro="">
      <xdr:nvGraphicFramePr>
        <xdr:cNvPr id="10789236"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0</xdr:colOff>
      <xdr:row>180</xdr:row>
      <xdr:rowOff>0</xdr:rowOff>
    </xdr:from>
    <xdr:to>
      <xdr:col>14</xdr:col>
      <xdr:colOff>0</xdr:colOff>
      <xdr:row>201</xdr:row>
      <xdr:rowOff>0</xdr:rowOff>
    </xdr:to>
    <xdr:graphicFrame macro="">
      <xdr:nvGraphicFramePr>
        <xdr:cNvPr id="10789237"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0</xdr:colOff>
      <xdr:row>222</xdr:row>
      <xdr:rowOff>0</xdr:rowOff>
    </xdr:from>
    <xdr:to>
      <xdr:col>14</xdr:col>
      <xdr:colOff>0</xdr:colOff>
      <xdr:row>243</xdr:row>
      <xdr:rowOff>0</xdr:rowOff>
    </xdr:to>
    <xdr:graphicFrame macro="">
      <xdr:nvGraphicFramePr>
        <xdr:cNvPr id="10789238"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423</xdr:row>
      <xdr:rowOff>0</xdr:rowOff>
    </xdr:from>
    <xdr:to>
      <xdr:col>7</xdr:col>
      <xdr:colOff>0</xdr:colOff>
      <xdr:row>444</xdr:row>
      <xdr:rowOff>0</xdr:rowOff>
    </xdr:to>
    <xdr:graphicFrame macro="">
      <xdr:nvGraphicFramePr>
        <xdr:cNvPr id="10789239"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0</xdr:colOff>
      <xdr:row>423</xdr:row>
      <xdr:rowOff>0</xdr:rowOff>
    </xdr:from>
    <xdr:to>
      <xdr:col>14</xdr:col>
      <xdr:colOff>0</xdr:colOff>
      <xdr:row>444</xdr:row>
      <xdr:rowOff>0</xdr:rowOff>
    </xdr:to>
    <xdr:graphicFrame macro="">
      <xdr:nvGraphicFramePr>
        <xdr:cNvPr id="10789240"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0</xdr:colOff>
      <xdr:row>444</xdr:row>
      <xdr:rowOff>0</xdr:rowOff>
    </xdr:from>
    <xdr:to>
      <xdr:col>14</xdr:col>
      <xdr:colOff>0</xdr:colOff>
      <xdr:row>465</xdr:row>
      <xdr:rowOff>0</xdr:rowOff>
    </xdr:to>
    <xdr:graphicFrame macro="">
      <xdr:nvGraphicFramePr>
        <xdr:cNvPr id="10789241"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465</xdr:row>
      <xdr:rowOff>0</xdr:rowOff>
    </xdr:from>
    <xdr:to>
      <xdr:col>14</xdr:col>
      <xdr:colOff>0</xdr:colOff>
      <xdr:row>489</xdr:row>
      <xdr:rowOff>0</xdr:rowOff>
    </xdr:to>
    <xdr:graphicFrame macro="">
      <xdr:nvGraphicFramePr>
        <xdr:cNvPr id="10789242"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0</xdr:colOff>
      <xdr:row>69</xdr:row>
      <xdr:rowOff>0</xdr:rowOff>
    </xdr:from>
    <xdr:to>
      <xdr:col>7</xdr:col>
      <xdr:colOff>0</xdr:colOff>
      <xdr:row>90</xdr:row>
      <xdr:rowOff>0</xdr:rowOff>
    </xdr:to>
    <xdr:graphicFrame macro="">
      <xdr:nvGraphicFramePr>
        <xdr:cNvPr id="10789243"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0</xdr:colOff>
      <xdr:row>69</xdr:row>
      <xdr:rowOff>0</xdr:rowOff>
    </xdr:from>
    <xdr:to>
      <xdr:col>14</xdr:col>
      <xdr:colOff>0</xdr:colOff>
      <xdr:row>90</xdr:row>
      <xdr:rowOff>0</xdr:rowOff>
    </xdr:to>
    <xdr:graphicFrame macro="">
      <xdr:nvGraphicFramePr>
        <xdr:cNvPr id="10789244"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0</xdr:colOff>
      <xdr:row>93</xdr:row>
      <xdr:rowOff>0</xdr:rowOff>
    </xdr:from>
    <xdr:to>
      <xdr:col>7</xdr:col>
      <xdr:colOff>0</xdr:colOff>
      <xdr:row>114</xdr:row>
      <xdr:rowOff>0</xdr:rowOff>
    </xdr:to>
    <xdr:graphicFrame macro="">
      <xdr:nvGraphicFramePr>
        <xdr:cNvPr id="10789245"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0</xdr:col>
      <xdr:colOff>0</xdr:colOff>
      <xdr:row>114</xdr:row>
      <xdr:rowOff>0</xdr:rowOff>
    </xdr:from>
    <xdr:to>
      <xdr:col>7</xdr:col>
      <xdr:colOff>0</xdr:colOff>
      <xdr:row>135</xdr:row>
      <xdr:rowOff>0</xdr:rowOff>
    </xdr:to>
    <xdr:graphicFrame macro="">
      <xdr:nvGraphicFramePr>
        <xdr:cNvPr id="10789246"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xdr:col>
      <xdr:colOff>0</xdr:colOff>
      <xdr:row>114</xdr:row>
      <xdr:rowOff>0</xdr:rowOff>
    </xdr:from>
    <xdr:to>
      <xdr:col>14</xdr:col>
      <xdr:colOff>0</xdr:colOff>
      <xdr:row>135</xdr:row>
      <xdr:rowOff>0</xdr:rowOff>
    </xdr:to>
    <xdr:graphicFrame macro="">
      <xdr:nvGraphicFramePr>
        <xdr:cNvPr id="10789247"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xdr:col>
      <xdr:colOff>0</xdr:colOff>
      <xdr:row>93</xdr:row>
      <xdr:rowOff>0</xdr:rowOff>
    </xdr:from>
    <xdr:to>
      <xdr:col>14</xdr:col>
      <xdr:colOff>0</xdr:colOff>
      <xdr:row>114</xdr:row>
      <xdr:rowOff>0</xdr:rowOff>
    </xdr:to>
    <xdr:graphicFrame macro="">
      <xdr:nvGraphicFramePr>
        <xdr:cNvPr id="10789248"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0</xdr:colOff>
      <xdr:row>333</xdr:row>
      <xdr:rowOff>0</xdr:rowOff>
    </xdr:from>
    <xdr:to>
      <xdr:col>7</xdr:col>
      <xdr:colOff>0</xdr:colOff>
      <xdr:row>354</xdr:row>
      <xdr:rowOff>0</xdr:rowOff>
    </xdr:to>
    <xdr:graphicFrame macro="">
      <xdr:nvGraphicFramePr>
        <xdr:cNvPr id="10789249"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0</xdr:col>
      <xdr:colOff>0</xdr:colOff>
      <xdr:row>354</xdr:row>
      <xdr:rowOff>0</xdr:rowOff>
    </xdr:from>
    <xdr:to>
      <xdr:col>7</xdr:col>
      <xdr:colOff>0</xdr:colOff>
      <xdr:row>375</xdr:row>
      <xdr:rowOff>0</xdr:rowOff>
    </xdr:to>
    <xdr:graphicFrame macro="">
      <xdr:nvGraphicFramePr>
        <xdr:cNvPr id="10789250"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354</xdr:row>
      <xdr:rowOff>0</xdr:rowOff>
    </xdr:from>
    <xdr:to>
      <xdr:col>14</xdr:col>
      <xdr:colOff>0</xdr:colOff>
      <xdr:row>375</xdr:row>
      <xdr:rowOff>0</xdr:rowOff>
    </xdr:to>
    <xdr:graphicFrame macro="">
      <xdr:nvGraphicFramePr>
        <xdr:cNvPr id="10789251"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0</xdr:col>
      <xdr:colOff>0</xdr:colOff>
      <xdr:row>375</xdr:row>
      <xdr:rowOff>0</xdr:rowOff>
    </xdr:from>
    <xdr:to>
      <xdr:col>7</xdr:col>
      <xdr:colOff>0</xdr:colOff>
      <xdr:row>396</xdr:row>
      <xdr:rowOff>0</xdr:rowOff>
    </xdr:to>
    <xdr:graphicFrame macro="">
      <xdr:nvGraphicFramePr>
        <xdr:cNvPr id="10789252"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7</xdr:col>
      <xdr:colOff>0</xdr:colOff>
      <xdr:row>375</xdr:row>
      <xdr:rowOff>0</xdr:rowOff>
    </xdr:from>
    <xdr:to>
      <xdr:col>14</xdr:col>
      <xdr:colOff>0</xdr:colOff>
      <xdr:row>396</xdr:row>
      <xdr:rowOff>0</xdr:rowOff>
    </xdr:to>
    <xdr:graphicFrame macro="">
      <xdr:nvGraphicFramePr>
        <xdr:cNvPr id="10789253"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7</xdr:col>
      <xdr:colOff>0</xdr:colOff>
      <xdr:row>333</xdr:row>
      <xdr:rowOff>0</xdr:rowOff>
    </xdr:from>
    <xdr:to>
      <xdr:col>14</xdr:col>
      <xdr:colOff>0</xdr:colOff>
      <xdr:row>354</xdr:row>
      <xdr:rowOff>0</xdr:rowOff>
    </xdr:to>
    <xdr:graphicFrame macro="">
      <xdr:nvGraphicFramePr>
        <xdr:cNvPr id="10789254"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0</xdr:col>
      <xdr:colOff>0</xdr:colOff>
      <xdr:row>399</xdr:row>
      <xdr:rowOff>0</xdr:rowOff>
    </xdr:from>
    <xdr:to>
      <xdr:col>7</xdr:col>
      <xdr:colOff>0</xdr:colOff>
      <xdr:row>420</xdr:row>
      <xdr:rowOff>0</xdr:rowOff>
    </xdr:to>
    <xdr:graphicFrame macro="">
      <xdr:nvGraphicFramePr>
        <xdr:cNvPr id="10789255"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xdr:col>
      <xdr:colOff>0</xdr:colOff>
      <xdr:row>399</xdr:row>
      <xdr:rowOff>0</xdr:rowOff>
    </xdr:from>
    <xdr:to>
      <xdr:col>14</xdr:col>
      <xdr:colOff>0</xdr:colOff>
      <xdr:row>420</xdr:row>
      <xdr:rowOff>0</xdr:rowOff>
    </xdr:to>
    <xdr:graphicFrame macro="">
      <xdr:nvGraphicFramePr>
        <xdr:cNvPr id="10789256"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0</xdr:col>
      <xdr:colOff>0</xdr:colOff>
      <xdr:row>243</xdr:row>
      <xdr:rowOff>0</xdr:rowOff>
    </xdr:from>
    <xdr:to>
      <xdr:col>7</xdr:col>
      <xdr:colOff>0</xdr:colOff>
      <xdr:row>264</xdr:row>
      <xdr:rowOff>0</xdr:rowOff>
    </xdr:to>
    <xdr:graphicFrame macro="">
      <xdr:nvGraphicFramePr>
        <xdr:cNvPr id="107892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0</xdr:col>
      <xdr:colOff>0</xdr:colOff>
      <xdr:row>201</xdr:row>
      <xdr:rowOff>0</xdr:rowOff>
    </xdr:from>
    <xdr:to>
      <xdr:col>7</xdr:col>
      <xdr:colOff>0</xdr:colOff>
      <xdr:row>222</xdr:row>
      <xdr:rowOff>0</xdr:rowOff>
    </xdr:to>
    <xdr:graphicFrame macro="">
      <xdr:nvGraphicFramePr>
        <xdr:cNvPr id="107892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0</xdr:col>
      <xdr:colOff>0</xdr:colOff>
      <xdr:row>444</xdr:row>
      <xdr:rowOff>0</xdr:rowOff>
    </xdr:from>
    <xdr:to>
      <xdr:col>7</xdr:col>
      <xdr:colOff>0</xdr:colOff>
      <xdr:row>465</xdr:row>
      <xdr:rowOff>0</xdr:rowOff>
    </xdr:to>
    <xdr:graphicFrame macro="">
      <xdr:nvGraphicFramePr>
        <xdr:cNvPr id="107892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95250</xdr:colOff>
          <xdr:row>92</xdr:row>
          <xdr:rowOff>0</xdr:rowOff>
        </xdr:from>
        <xdr:to>
          <xdr:col>9</xdr:col>
          <xdr:colOff>285750</xdr:colOff>
          <xdr:row>95</xdr:row>
          <xdr:rowOff>9525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Transfer forecast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352425</xdr:colOff>
          <xdr:row>92</xdr:row>
          <xdr:rowOff>0</xdr:rowOff>
        </xdr:from>
        <xdr:to>
          <xdr:col>10</xdr:col>
          <xdr:colOff>542925</xdr:colOff>
          <xdr:row>95</xdr:row>
          <xdr:rowOff>9525</xdr:rowOff>
        </xdr:to>
        <xdr:sp macro="" textlink="">
          <xdr:nvSpPr>
            <xdr:cNvPr id="17416" name="Button 8" hidden="1">
              <a:extLst>
                <a:ext uri="{63B3BB69-23CF-44E3-9099-C40C66FF867C}">
                  <a14:compatExt spid="_x0000_s1741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Save </a:t>
              </a:r>
            </a:p>
            <a:p>
              <a:pPr algn="ctr" rtl="0">
                <a:defRPr sz="1000"/>
              </a:pPr>
              <a:r>
                <a:rPr lang="en-GB" sz="1200" b="1" i="0" u="none" strike="noStrike" baseline="0">
                  <a:solidFill>
                    <a:srgbClr val="000000"/>
                  </a:solidFill>
                  <a:latin typeface="Arial"/>
                  <a:cs typeface="Arial"/>
                </a:rPr>
                <a:t>values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552450</xdr:colOff>
      <xdr:row>0</xdr:row>
      <xdr:rowOff>9525</xdr:rowOff>
    </xdr:from>
    <xdr:to>
      <xdr:col>13</xdr:col>
      <xdr:colOff>161925</xdr:colOff>
      <xdr:row>1</xdr:row>
      <xdr:rowOff>38100</xdr:rowOff>
    </xdr:to>
    <xdr:sp macro="" textlink="">
      <xdr:nvSpPr>
        <xdr:cNvPr id="23570" name="Text Box 18"/>
        <xdr:cNvSpPr txBox="1">
          <a:spLocks noChangeArrowheads="1"/>
        </xdr:cNvSpPr>
      </xdr:nvSpPr>
      <xdr:spPr bwMode="auto">
        <a:xfrm>
          <a:off x="5638800" y="9525"/>
          <a:ext cx="3676650" cy="190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Go to Table No. (</a:t>
          </a:r>
          <a:r>
            <a:rPr lang="en-GB" sz="1000" b="0" i="1" u="none" strike="noStrike" baseline="0">
              <a:solidFill>
                <a:srgbClr val="000000"/>
              </a:solidFill>
              <a:latin typeface="Arial"/>
              <a:cs typeface="Arial"/>
            </a:rPr>
            <a:t>push button</a:t>
          </a:r>
          <a:r>
            <a:rPr lang="en-GB" sz="1000" b="0" i="0" u="none" strike="noStrike" baseline="0">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xdr:from>
          <xdr:col>3</xdr:col>
          <xdr:colOff>704850</xdr:colOff>
          <xdr:row>5</xdr:row>
          <xdr:rowOff>28575</xdr:rowOff>
        </xdr:from>
        <xdr:to>
          <xdr:col>4</xdr:col>
          <xdr:colOff>200025</xdr:colOff>
          <xdr:row>6</xdr:row>
          <xdr:rowOff>76200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17</xdr:row>
          <xdr:rowOff>0</xdr:rowOff>
        </xdr:from>
        <xdr:to>
          <xdr:col>5</xdr:col>
          <xdr:colOff>333375</xdr:colOff>
          <xdr:row>17</xdr:row>
          <xdr:rowOff>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285750</xdr:colOff>
          <xdr:row>55</xdr:row>
          <xdr:rowOff>28575</xdr:rowOff>
        </xdr:from>
        <xdr:to>
          <xdr:col>9</xdr:col>
          <xdr:colOff>142875</xdr:colOff>
          <xdr:row>56</xdr:row>
          <xdr:rowOff>85725</xdr:rowOff>
        </xdr:to>
        <xdr:sp macro="" textlink="">
          <xdr:nvSpPr>
            <xdr:cNvPr id="23555" name="Button 3" hidden="1">
              <a:extLst>
                <a:ext uri="{63B3BB69-23CF-44E3-9099-C40C66FF867C}">
                  <a14:compatExt spid="_x0000_s235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82</xdr:row>
          <xdr:rowOff>66675</xdr:rowOff>
        </xdr:from>
        <xdr:to>
          <xdr:col>5</xdr:col>
          <xdr:colOff>342900</xdr:colOff>
          <xdr:row>83</xdr:row>
          <xdr:rowOff>123825</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100</xdr:row>
          <xdr:rowOff>66675</xdr:rowOff>
        </xdr:from>
        <xdr:to>
          <xdr:col>7</xdr:col>
          <xdr:colOff>247650</xdr:colOff>
          <xdr:row>101</xdr:row>
          <xdr:rowOff>123825</xdr:rowOff>
        </xdr:to>
        <xdr:sp macro="" textlink="">
          <xdr:nvSpPr>
            <xdr:cNvPr id="23557" name="Button 5" hidden="1">
              <a:extLst>
                <a:ext uri="{63B3BB69-23CF-44E3-9099-C40C66FF867C}">
                  <a14:compatExt spid="_x0000_s235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130</xdr:row>
          <xdr:rowOff>0</xdr:rowOff>
        </xdr:from>
        <xdr:to>
          <xdr:col>4</xdr:col>
          <xdr:colOff>209550</xdr:colOff>
          <xdr:row>131</xdr:row>
          <xdr:rowOff>57150</xdr:rowOff>
        </xdr:to>
        <xdr:sp macro="" textlink="">
          <xdr:nvSpPr>
            <xdr:cNvPr id="23558" name="Button 6" hidden="1">
              <a:extLst>
                <a:ext uri="{63B3BB69-23CF-44E3-9099-C40C66FF867C}">
                  <a14:compatExt spid="_x0000_s235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163</xdr:row>
          <xdr:rowOff>104775</xdr:rowOff>
        </xdr:from>
        <xdr:to>
          <xdr:col>7</xdr:col>
          <xdr:colOff>238125</xdr:colOff>
          <xdr:row>165</xdr:row>
          <xdr:rowOff>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179</xdr:row>
          <xdr:rowOff>142875</xdr:rowOff>
        </xdr:from>
        <xdr:to>
          <xdr:col>6</xdr:col>
          <xdr:colOff>466725</xdr:colOff>
          <xdr:row>181</xdr:row>
          <xdr:rowOff>38100</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200</xdr:row>
          <xdr:rowOff>57150</xdr:rowOff>
        </xdr:from>
        <xdr:to>
          <xdr:col>7</xdr:col>
          <xdr:colOff>238125</xdr:colOff>
          <xdr:row>201</xdr:row>
          <xdr:rowOff>104775</xdr:rowOff>
        </xdr:to>
        <xdr:sp macro="" textlink="">
          <xdr:nvSpPr>
            <xdr:cNvPr id="23561" name="Button 9" hidden="1">
              <a:extLst>
                <a:ext uri="{63B3BB69-23CF-44E3-9099-C40C66FF867C}">
                  <a14:compatExt spid="_x0000_s235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222</xdr:row>
          <xdr:rowOff>104775</xdr:rowOff>
        </xdr:from>
        <xdr:to>
          <xdr:col>7</xdr:col>
          <xdr:colOff>238125</xdr:colOff>
          <xdr:row>224</xdr:row>
          <xdr:rowOff>0</xdr:rowOff>
        </xdr:to>
        <xdr:sp macro="" textlink="">
          <xdr:nvSpPr>
            <xdr:cNvPr id="23562" name="Button 10" hidden="1">
              <a:extLst>
                <a:ext uri="{63B3BB69-23CF-44E3-9099-C40C66FF867C}">
                  <a14:compatExt spid="_x0000_s235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243</xdr:row>
          <xdr:rowOff>104775</xdr:rowOff>
        </xdr:from>
        <xdr:to>
          <xdr:col>7</xdr:col>
          <xdr:colOff>238125</xdr:colOff>
          <xdr:row>245</xdr:row>
          <xdr:rowOff>0</xdr:rowOff>
        </xdr:to>
        <xdr:sp macro="" textlink="">
          <xdr:nvSpPr>
            <xdr:cNvPr id="23563" name="Button 11" hidden="1">
              <a:extLst>
                <a:ext uri="{63B3BB69-23CF-44E3-9099-C40C66FF867C}">
                  <a14:compatExt spid="_x0000_s235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271</xdr:row>
          <xdr:rowOff>180975</xdr:rowOff>
        </xdr:from>
        <xdr:to>
          <xdr:col>6</xdr:col>
          <xdr:colOff>457200</xdr:colOff>
          <xdr:row>273</xdr:row>
          <xdr:rowOff>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288</xdr:row>
          <xdr:rowOff>95250</xdr:rowOff>
        </xdr:from>
        <xdr:to>
          <xdr:col>7</xdr:col>
          <xdr:colOff>238125</xdr:colOff>
          <xdr:row>290</xdr:row>
          <xdr:rowOff>0</xdr:rowOff>
        </xdr:to>
        <xdr:sp macro="" textlink="">
          <xdr:nvSpPr>
            <xdr:cNvPr id="23565" name="Button 13" hidden="1">
              <a:extLst>
                <a:ext uri="{63B3BB69-23CF-44E3-9099-C40C66FF867C}">
                  <a14:compatExt spid="_x0000_s235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300</xdr:row>
          <xdr:rowOff>95250</xdr:rowOff>
        </xdr:from>
        <xdr:to>
          <xdr:col>6</xdr:col>
          <xdr:colOff>457200</xdr:colOff>
          <xdr:row>301</xdr:row>
          <xdr:rowOff>152400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321</xdr:row>
          <xdr:rowOff>85725</xdr:rowOff>
        </xdr:from>
        <xdr:to>
          <xdr:col>7</xdr:col>
          <xdr:colOff>238125</xdr:colOff>
          <xdr:row>322</xdr:row>
          <xdr:rowOff>142875</xdr:rowOff>
        </xdr:to>
        <xdr:sp macro="" textlink="">
          <xdr:nvSpPr>
            <xdr:cNvPr id="23567" name="Button 15" hidden="1">
              <a:extLst>
                <a:ext uri="{63B3BB69-23CF-44E3-9099-C40C66FF867C}">
                  <a14:compatExt spid="_x0000_s235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2495550</xdr:colOff>
          <xdr:row>0</xdr:row>
          <xdr:rowOff>123825</xdr:rowOff>
        </xdr:from>
        <xdr:to>
          <xdr:col>3</xdr:col>
          <xdr:colOff>466725</xdr:colOff>
          <xdr:row>3</xdr:row>
          <xdr:rowOff>19050</xdr:rowOff>
        </xdr:to>
        <xdr:sp macro="" textlink="">
          <xdr:nvSpPr>
            <xdr:cNvPr id="23568" name="Button 16" hidden="1">
              <a:extLst>
                <a:ext uri="{63B3BB69-23CF-44E3-9099-C40C66FF867C}">
                  <a14:compatExt spid="_x0000_s235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0</xdr:row>
          <xdr:rowOff>123825</xdr:rowOff>
        </xdr:from>
        <xdr:to>
          <xdr:col>3</xdr:col>
          <xdr:colOff>914400</xdr:colOff>
          <xdr:row>1</xdr:row>
          <xdr:rowOff>95250</xdr:rowOff>
        </xdr:to>
        <xdr:sp macro="" textlink="">
          <xdr:nvSpPr>
            <xdr:cNvPr id="23569" name="Button 17" hidden="1">
              <a:extLst>
                <a:ext uri="{63B3BB69-23CF-44E3-9099-C40C66FF867C}">
                  <a14:compatExt spid="_x0000_s235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0</xdr:row>
          <xdr:rowOff>123825</xdr:rowOff>
        </xdr:from>
        <xdr:to>
          <xdr:col>4</xdr:col>
          <xdr:colOff>419100</xdr:colOff>
          <xdr:row>1</xdr:row>
          <xdr:rowOff>95250</xdr:rowOff>
        </xdr:to>
        <xdr:sp macro="" textlink="">
          <xdr:nvSpPr>
            <xdr:cNvPr id="23571" name="Button 19" hidden="1">
              <a:extLst>
                <a:ext uri="{63B3BB69-23CF-44E3-9099-C40C66FF867C}">
                  <a14:compatExt spid="_x0000_s235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0</xdr:row>
          <xdr:rowOff>123825</xdr:rowOff>
        </xdr:from>
        <xdr:to>
          <xdr:col>5</xdr:col>
          <xdr:colOff>285750</xdr:colOff>
          <xdr:row>1</xdr:row>
          <xdr:rowOff>95250</xdr:rowOff>
        </xdr:to>
        <xdr:sp macro="" textlink="">
          <xdr:nvSpPr>
            <xdr:cNvPr id="23572" name="Button 20" hidden="1">
              <a:extLst>
                <a:ext uri="{63B3BB69-23CF-44E3-9099-C40C66FF867C}">
                  <a14:compatExt spid="_x0000_s235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285750</xdr:colOff>
          <xdr:row>0</xdr:row>
          <xdr:rowOff>123825</xdr:rowOff>
        </xdr:from>
        <xdr:to>
          <xdr:col>6</xdr:col>
          <xdr:colOff>152400</xdr:colOff>
          <xdr:row>1</xdr:row>
          <xdr:rowOff>95250</xdr:rowOff>
        </xdr:to>
        <xdr:sp macro="" textlink="">
          <xdr:nvSpPr>
            <xdr:cNvPr id="23573" name="Button 21" hidden="1">
              <a:extLst>
                <a:ext uri="{63B3BB69-23CF-44E3-9099-C40C66FF867C}">
                  <a14:compatExt spid="_x0000_s235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0</xdr:row>
          <xdr:rowOff>123825</xdr:rowOff>
        </xdr:from>
        <xdr:to>
          <xdr:col>7</xdr:col>
          <xdr:colOff>19050</xdr:colOff>
          <xdr:row>1</xdr:row>
          <xdr:rowOff>95250</xdr:rowOff>
        </xdr:to>
        <xdr:sp macro="" textlink="">
          <xdr:nvSpPr>
            <xdr:cNvPr id="23574" name="Button 22" hidden="1">
              <a:extLst>
                <a:ext uri="{63B3BB69-23CF-44E3-9099-C40C66FF867C}">
                  <a14:compatExt spid="_x0000_s235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1</xdr:row>
          <xdr:rowOff>85725</xdr:rowOff>
        </xdr:from>
        <xdr:to>
          <xdr:col>3</xdr:col>
          <xdr:colOff>914400</xdr:colOff>
          <xdr:row>2</xdr:row>
          <xdr:rowOff>47625</xdr:rowOff>
        </xdr:to>
        <xdr:sp macro="" textlink="">
          <xdr:nvSpPr>
            <xdr:cNvPr id="23575" name="Button 23" hidden="1">
              <a:extLst>
                <a:ext uri="{63B3BB69-23CF-44E3-9099-C40C66FF867C}">
                  <a14:compatExt spid="_x0000_s235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1</xdr:row>
          <xdr:rowOff>85725</xdr:rowOff>
        </xdr:from>
        <xdr:to>
          <xdr:col>4</xdr:col>
          <xdr:colOff>419100</xdr:colOff>
          <xdr:row>2</xdr:row>
          <xdr:rowOff>47625</xdr:rowOff>
        </xdr:to>
        <xdr:sp macro="" textlink="">
          <xdr:nvSpPr>
            <xdr:cNvPr id="23576" name="Button 24" hidden="1">
              <a:extLst>
                <a:ext uri="{63B3BB69-23CF-44E3-9099-C40C66FF867C}">
                  <a14:compatExt spid="_x0000_s235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1</xdr:row>
          <xdr:rowOff>85725</xdr:rowOff>
        </xdr:from>
        <xdr:to>
          <xdr:col>5</xdr:col>
          <xdr:colOff>285750</xdr:colOff>
          <xdr:row>2</xdr:row>
          <xdr:rowOff>47625</xdr:rowOff>
        </xdr:to>
        <xdr:sp macro="" textlink="">
          <xdr:nvSpPr>
            <xdr:cNvPr id="23577" name="Button 25" hidden="1">
              <a:extLst>
                <a:ext uri="{63B3BB69-23CF-44E3-9099-C40C66FF867C}">
                  <a14:compatExt spid="_x0000_s235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285750</xdr:colOff>
          <xdr:row>1</xdr:row>
          <xdr:rowOff>85725</xdr:rowOff>
        </xdr:from>
        <xdr:to>
          <xdr:col>6</xdr:col>
          <xdr:colOff>152400</xdr:colOff>
          <xdr:row>2</xdr:row>
          <xdr:rowOff>47625</xdr:rowOff>
        </xdr:to>
        <xdr:sp macro="" textlink="">
          <xdr:nvSpPr>
            <xdr:cNvPr id="23578" name="Button 26" hidden="1">
              <a:extLst>
                <a:ext uri="{63B3BB69-23CF-44E3-9099-C40C66FF867C}">
                  <a14:compatExt spid="_x0000_s235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1</xdr:row>
          <xdr:rowOff>85725</xdr:rowOff>
        </xdr:from>
        <xdr:to>
          <xdr:col>7</xdr:col>
          <xdr:colOff>19050</xdr:colOff>
          <xdr:row>2</xdr:row>
          <xdr:rowOff>47625</xdr:rowOff>
        </xdr:to>
        <xdr:sp macro="" textlink="">
          <xdr:nvSpPr>
            <xdr:cNvPr id="23579" name="Button 27" hidden="1">
              <a:extLst>
                <a:ext uri="{63B3BB69-23CF-44E3-9099-C40C66FF867C}">
                  <a14:compatExt spid="_x0000_s235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2</xdr:row>
          <xdr:rowOff>57150</xdr:rowOff>
        </xdr:from>
        <xdr:to>
          <xdr:col>3</xdr:col>
          <xdr:colOff>914400</xdr:colOff>
          <xdr:row>3</xdr:row>
          <xdr:rowOff>19050</xdr:rowOff>
        </xdr:to>
        <xdr:sp macro="" textlink="">
          <xdr:nvSpPr>
            <xdr:cNvPr id="23580" name="Button 28" hidden="1">
              <a:extLst>
                <a:ext uri="{63B3BB69-23CF-44E3-9099-C40C66FF867C}">
                  <a14:compatExt spid="_x0000_s235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2</xdr:row>
          <xdr:rowOff>57150</xdr:rowOff>
        </xdr:from>
        <xdr:to>
          <xdr:col>4</xdr:col>
          <xdr:colOff>419100</xdr:colOff>
          <xdr:row>3</xdr:row>
          <xdr:rowOff>19050</xdr:rowOff>
        </xdr:to>
        <xdr:sp macro="" textlink="">
          <xdr:nvSpPr>
            <xdr:cNvPr id="23581" name="Button 29" hidden="1">
              <a:extLst>
                <a:ext uri="{63B3BB69-23CF-44E3-9099-C40C66FF867C}">
                  <a14:compatExt spid="_x0000_s235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10a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2</xdr:row>
          <xdr:rowOff>57150</xdr:rowOff>
        </xdr:from>
        <xdr:to>
          <xdr:col>5</xdr:col>
          <xdr:colOff>285750</xdr:colOff>
          <xdr:row>3</xdr:row>
          <xdr:rowOff>19050</xdr:rowOff>
        </xdr:to>
        <xdr:sp macro="" textlink="">
          <xdr:nvSpPr>
            <xdr:cNvPr id="23582" name="Button 30" hidden="1">
              <a:extLst>
                <a:ext uri="{63B3BB69-23CF-44E3-9099-C40C66FF867C}">
                  <a14:compatExt spid="_x0000_s235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10b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285750</xdr:colOff>
          <xdr:row>2</xdr:row>
          <xdr:rowOff>57150</xdr:rowOff>
        </xdr:from>
        <xdr:to>
          <xdr:col>6</xdr:col>
          <xdr:colOff>152400</xdr:colOff>
          <xdr:row>3</xdr:row>
          <xdr:rowOff>19050</xdr:rowOff>
        </xdr:to>
        <xdr:sp macro="" textlink="">
          <xdr:nvSpPr>
            <xdr:cNvPr id="23583" name="Button 31" hidden="1">
              <a:extLst>
                <a:ext uri="{63B3BB69-23CF-44E3-9099-C40C66FF867C}">
                  <a14:compatExt spid="_x0000_s235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2</xdr:row>
          <xdr:rowOff>57150</xdr:rowOff>
        </xdr:from>
        <xdr:to>
          <xdr:col>7</xdr:col>
          <xdr:colOff>19050</xdr:colOff>
          <xdr:row>3</xdr:row>
          <xdr:rowOff>19050</xdr:rowOff>
        </xdr:to>
        <xdr:sp macro="" textlink="">
          <xdr:nvSpPr>
            <xdr:cNvPr id="23584" name="Button 32" hidden="1">
              <a:extLst>
                <a:ext uri="{63B3BB69-23CF-44E3-9099-C40C66FF867C}">
                  <a14:compatExt spid="_x0000_s235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Table 12</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rrsal/AppData/Local/Microsoft/Windows/Temporary%20Internet%20Files/Content.Outlook/OMZJTVD8/LT%20data_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
      <sheetName val="Manual"/>
      <sheetName val="NP"/>
      <sheetName val="NN"/>
      <sheetName val="NF"/>
      <sheetName val="ON"/>
      <sheetName val="UN"/>
      <sheetName val="OA"/>
      <sheetName val="UA"/>
      <sheetName val="UC"/>
      <sheetName val="UG"/>
      <sheetName val="UH"/>
      <sheetName val="QUART"/>
      <sheetName val="DATA_A11"/>
      <sheetName val="FDMS+ to data11"/>
      <sheetName val="FDMS+to_quart"/>
    </sheetNames>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election activeCell="I36" sqref="I36"/>
    </sheetView>
  </sheetViews>
  <sheetFormatPr defaultRowHeight="12.75"/>
  <sheetData/>
  <pageMargins left="0.7" right="0.7" top="0.75" bottom="0.75" header="0.3" footer="0.3"/>
</xm:macrosheet>
</file>

<file path=xl/queryTables/queryTable1.xml><?xml version="1.0" encoding="utf-8"?>
<queryTable xmlns="http://schemas.openxmlformats.org/spreadsheetml/2006/main" name="qy_transfer_matrix.cfm?cty=LT_1"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y_additional_impact.cfm?cty=LT" preserveFormatting="0"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fdms_web_query.cfm?cty=LT" preserveFormatting="0"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y_additional_impact.cfm?cty=LT_1" preserveFormatting="0" connectionId="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y_transfer_matrix.cfm?cty=LT_2" preserveFormatting="0" connectionId="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_EPKit Theme">
      <a:dk1>
        <a:sysClr val="windowText" lastClr="000000"/>
      </a:dk1>
      <a:lt1>
        <a:sysClr val="window" lastClr="FFFFFF"/>
      </a:lt1>
      <a:dk2>
        <a:srgbClr val="4C70A7"/>
      </a:dk2>
      <a:lt2>
        <a:srgbClr val="F2F2F2"/>
      </a:lt2>
      <a:accent1>
        <a:srgbClr val="353B73"/>
      </a:accent1>
      <a:accent2>
        <a:srgbClr val="FFD724"/>
      </a:accent2>
      <a:accent3>
        <a:srgbClr val="2F9AFB"/>
      </a:accent3>
      <a:accent4>
        <a:srgbClr val="B8AAA2"/>
      </a:accent4>
      <a:accent5>
        <a:srgbClr val="E75118"/>
      </a:accent5>
      <a:accent6>
        <a:srgbClr val="6DC7A9"/>
      </a:accent6>
      <a:hlink>
        <a:srgbClr val="F29522"/>
      </a:hlink>
      <a:folHlink>
        <a:srgbClr val="2F9AD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41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41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gerrit.bethuyne@cec.eu.in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mments" Target="../comments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9.vml"/><Relationship Id="rId21" Type="http://schemas.openxmlformats.org/officeDocument/2006/relationships/ctrlProp" Target="../ctrlProps/ctrlProp20.xml"/><Relationship Id="rId34" Type="http://schemas.openxmlformats.org/officeDocument/2006/relationships/ctrlProp" Target="../ctrlProps/ctrlProp33.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8.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1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omments" Target="../comments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enableFormatConditionsCalculation="0">
    <tabColor indexed="44"/>
  </sheetPr>
  <dimension ref="B4:F28"/>
  <sheetViews>
    <sheetView showGridLines="0" workbookViewId="0">
      <selection activeCell="B28" sqref="B28"/>
    </sheetView>
  </sheetViews>
  <sheetFormatPr defaultColWidth="11.7109375" defaultRowHeight="12.75"/>
  <cols>
    <col min="1" max="1" width="4.85546875" customWidth="1"/>
  </cols>
  <sheetData>
    <row r="4" spans="2:5" ht="18">
      <c r="E4" s="850" t="s">
        <v>543</v>
      </c>
    </row>
    <row r="5" spans="2:5" ht="15">
      <c r="E5" s="851" t="s">
        <v>544</v>
      </c>
    </row>
    <row r="7" spans="2:5" ht="15">
      <c r="E7" s="852"/>
    </row>
    <row r="8" spans="2:5" ht="15">
      <c r="E8" s="852" t="s">
        <v>545</v>
      </c>
    </row>
    <row r="9" spans="2:5" ht="15">
      <c r="E9" s="851" t="s">
        <v>546</v>
      </c>
    </row>
    <row r="13" spans="2:5" ht="30">
      <c r="E13" s="853" t="s">
        <v>615</v>
      </c>
    </row>
    <row r="14" spans="2:5">
      <c r="B14" s="546"/>
    </row>
    <row r="15" spans="2:5">
      <c r="B15" s="546"/>
    </row>
    <row r="17" spans="2:6">
      <c r="E17" t="s">
        <v>547</v>
      </c>
    </row>
    <row r="18" spans="2:6">
      <c r="E18" t="s">
        <v>548</v>
      </c>
      <c r="F18" s="854" t="s">
        <v>1184</v>
      </c>
    </row>
    <row r="25" spans="2:6">
      <c r="B25" s="855" t="s">
        <v>265</v>
      </c>
    </row>
    <row r="26" spans="2:6">
      <c r="B26" s="855" t="s">
        <v>549</v>
      </c>
    </row>
    <row r="27" spans="2:6">
      <c r="B27" s="855" t="s">
        <v>741</v>
      </c>
    </row>
    <row r="28" spans="2:6">
      <c r="B28" s="855" t="s">
        <v>550</v>
      </c>
      <c r="C28" s="856" t="s">
        <v>1018</v>
      </c>
      <c r="D28" s="856"/>
    </row>
  </sheetData>
  <phoneticPr fontId="60" type="noConversion"/>
  <hyperlinks>
    <hyperlink ref="C28" r:id="rId1" display="gerrit.bethuyne@cec.eu.int"/>
  </hyperlinks>
  <pageMargins left="0.75" right="0.75" top="1" bottom="1" header="0.5" footer="0.5"/>
  <pageSetup paperSize="9"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tabColor indexed="44"/>
    <pageSetUpPr fitToPage="1"/>
  </sheetPr>
  <dimension ref="A1:Q1002"/>
  <sheetViews>
    <sheetView showGridLines="0" topLeftCell="A91" workbookViewId="0">
      <selection activeCell="E116" sqref="E116"/>
    </sheetView>
  </sheetViews>
  <sheetFormatPr defaultRowHeight="14.25"/>
  <cols>
    <col min="1" max="3" width="4.140625" style="1786" customWidth="1"/>
    <col min="4" max="4" width="4.140625" style="1787" customWidth="1"/>
    <col min="5" max="5" width="10.28515625" style="1787" customWidth="1"/>
    <col min="6" max="16" width="10.28515625" style="1786" customWidth="1"/>
    <col min="17" max="16384" width="9.140625" style="1786"/>
  </cols>
  <sheetData>
    <row r="1" spans="1:17">
      <c r="A1" s="1828"/>
      <c r="B1" s="1828"/>
      <c r="C1" s="1828"/>
      <c r="D1" s="1829"/>
      <c r="E1" s="1829"/>
      <c r="F1" s="1828"/>
      <c r="G1" s="1828"/>
      <c r="H1" s="1828"/>
      <c r="I1" s="1828"/>
      <c r="J1" s="1828"/>
      <c r="K1" s="1828"/>
      <c r="L1" s="1828"/>
      <c r="M1" s="1828"/>
      <c r="N1" s="1828"/>
      <c r="O1" s="1828"/>
      <c r="P1" s="1828"/>
      <c r="Q1" s="1828"/>
    </row>
    <row r="2" spans="1:17" ht="18.75">
      <c r="A2" s="1828"/>
      <c r="B2" s="1830" t="s">
        <v>1382</v>
      </c>
      <c r="C2" s="1828"/>
      <c r="D2" s="1829"/>
      <c r="E2" s="1829"/>
      <c r="F2" s="1828"/>
      <c r="G2" s="1828"/>
      <c r="H2" s="1828"/>
      <c r="I2" s="1828"/>
      <c r="J2" s="1828"/>
      <c r="K2" s="1828"/>
      <c r="L2" s="1828"/>
      <c r="M2" s="1828"/>
      <c r="N2" s="1828"/>
      <c r="O2" s="1828"/>
      <c r="P2" s="1828"/>
      <c r="Q2" s="1828"/>
    </row>
    <row r="3" spans="1:17" s="1827" customFormat="1" ht="12.75">
      <c r="A3" s="1503"/>
      <c r="B3" s="1831"/>
      <c r="C3" s="1503"/>
      <c r="D3" s="1832"/>
      <c r="E3" s="1832"/>
      <c r="F3" s="1503"/>
      <c r="G3" s="1503"/>
      <c r="H3" s="1503"/>
      <c r="I3" s="1503"/>
      <c r="J3" s="1503"/>
      <c r="K3" s="1503"/>
      <c r="L3" s="1503"/>
      <c r="M3" s="1503"/>
      <c r="N3" s="1503"/>
      <c r="O3" s="1503"/>
      <c r="P3" s="1503"/>
      <c r="Q3" s="1503"/>
    </row>
    <row r="4" spans="1:17" ht="15" thickBot="1"/>
    <row r="5" spans="1:17" ht="15">
      <c r="B5" s="1799"/>
      <c r="C5" s="1800" t="s">
        <v>650</v>
      </c>
      <c r="D5" s="1801"/>
      <c r="E5" s="1801"/>
      <c r="F5" s="1800"/>
      <c r="G5" s="1800"/>
      <c r="H5" s="1800"/>
      <c r="I5" s="1800"/>
      <c r="J5" s="1800"/>
      <c r="K5" s="1800"/>
      <c r="L5" s="1800"/>
      <c r="M5" s="1800"/>
      <c r="N5" s="1800"/>
      <c r="O5" s="1800"/>
      <c r="P5" s="1802"/>
    </row>
    <row r="6" spans="1:17" ht="15">
      <c r="B6" s="1803"/>
      <c r="C6" s="1804" t="s">
        <v>1057</v>
      </c>
      <c r="D6" s="1805"/>
      <c r="E6" s="1804"/>
      <c r="F6" s="1806"/>
      <c r="G6" s="1806"/>
      <c r="H6" s="1806"/>
      <c r="I6" s="1806"/>
      <c r="J6" s="1806"/>
      <c r="K6" s="1806"/>
      <c r="L6" s="1806"/>
      <c r="M6" s="1806"/>
      <c r="N6" s="1806"/>
      <c r="O6" s="1806"/>
      <c r="P6" s="1807"/>
    </row>
    <row r="7" spans="1:17" ht="15">
      <c r="B7" s="1803"/>
      <c r="C7" s="1808" t="s">
        <v>1683</v>
      </c>
      <c r="D7" s="1809"/>
      <c r="E7" s="1809"/>
      <c r="F7" s="1808"/>
      <c r="G7" s="1808"/>
      <c r="H7" s="1808"/>
      <c r="I7" s="1808"/>
      <c r="J7" s="1808"/>
      <c r="K7" s="1808"/>
      <c r="L7" s="1808"/>
      <c r="M7" s="1808"/>
      <c r="N7" s="1808"/>
      <c r="O7" s="1808"/>
      <c r="P7" s="1807"/>
    </row>
    <row r="8" spans="1:17" ht="15">
      <c r="B8" s="1803"/>
      <c r="C8" s="1808" t="s">
        <v>1673</v>
      </c>
      <c r="D8" s="1809"/>
      <c r="E8" s="1809"/>
      <c r="F8" s="1808"/>
      <c r="G8" s="1808"/>
      <c r="H8" s="1808"/>
      <c r="I8" s="1808"/>
      <c r="J8" s="1808"/>
      <c r="K8" s="1808"/>
      <c r="L8" s="1808"/>
      <c r="M8" s="1808"/>
      <c r="N8" s="1808"/>
      <c r="O8" s="1808"/>
      <c r="P8" s="1807"/>
    </row>
    <row r="9" spans="1:17">
      <c r="B9" s="1803"/>
      <c r="C9" s="1810"/>
      <c r="D9" s="1809" t="s">
        <v>1545</v>
      </c>
      <c r="E9" s="1809"/>
      <c r="F9" s="1808"/>
      <c r="G9" s="1808"/>
      <c r="H9" s="1808"/>
      <c r="I9" s="1808"/>
      <c r="J9" s="1808"/>
      <c r="K9" s="1808"/>
      <c r="L9" s="1808"/>
      <c r="M9" s="1808"/>
      <c r="N9" s="1808"/>
      <c r="O9" s="1808"/>
      <c r="P9" s="1807"/>
    </row>
    <row r="10" spans="1:17">
      <c r="B10" s="1803"/>
      <c r="C10" s="1808"/>
      <c r="D10" s="1811" t="s">
        <v>1066</v>
      </c>
      <c r="E10" s="1809"/>
      <c r="F10" s="1808"/>
      <c r="G10" s="1808"/>
      <c r="H10" s="1808"/>
      <c r="I10" s="1808"/>
      <c r="J10" s="1808"/>
      <c r="K10" s="1808"/>
      <c r="L10" s="1808"/>
      <c r="M10" s="1808"/>
      <c r="N10" s="1808"/>
      <c r="O10" s="1808"/>
      <c r="P10" s="1807"/>
    </row>
    <row r="11" spans="1:17" ht="15.75" thickBot="1">
      <c r="B11" s="1812"/>
      <c r="C11" s="1813" t="s">
        <v>1386</v>
      </c>
      <c r="D11" s="1814"/>
      <c r="E11" s="1814"/>
      <c r="F11" s="1815"/>
      <c r="G11" s="1815"/>
      <c r="H11" s="1815"/>
      <c r="I11" s="1815"/>
      <c r="J11" s="1815"/>
      <c r="K11" s="1815"/>
      <c r="L11" s="1815"/>
      <c r="M11" s="1815"/>
      <c r="N11" s="1815"/>
      <c r="O11" s="1815"/>
      <c r="P11" s="1816"/>
    </row>
    <row r="13" spans="1:17">
      <c r="A13" s="1828"/>
      <c r="B13" s="1828"/>
      <c r="C13" s="1828"/>
      <c r="D13" s="1829"/>
      <c r="E13" s="1829"/>
      <c r="F13" s="1828"/>
      <c r="G13" s="1828"/>
      <c r="H13" s="1828"/>
      <c r="I13" s="1828"/>
      <c r="J13" s="1828"/>
      <c r="K13" s="1828"/>
      <c r="L13" s="1828"/>
      <c r="M13" s="1828"/>
      <c r="N13" s="1828"/>
      <c r="O13" s="1828"/>
      <c r="P13" s="1828"/>
      <c r="Q13" s="1828"/>
    </row>
    <row r="14" spans="1:17" ht="18.75">
      <c r="A14" s="1828"/>
      <c r="B14" s="1830" t="s">
        <v>1056</v>
      </c>
      <c r="C14" s="1828"/>
      <c r="D14" s="1829"/>
      <c r="E14" s="1829"/>
      <c r="F14" s="1828"/>
      <c r="G14" s="1828"/>
      <c r="H14" s="1828"/>
      <c r="I14" s="1828"/>
      <c r="J14" s="1828"/>
      <c r="K14" s="1828"/>
      <c r="L14" s="1828"/>
      <c r="M14" s="1828"/>
      <c r="N14" s="1828"/>
      <c r="O14" s="1828"/>
      <c r="P14" s="1828"/>
      <c r="Q14" s="1828"/>
    </row>
    <row r="15" spans="1:17">
      <c r="A15" s="1828"/>
      <c r="B15" s="1828"/>
      <c r="C15" s="1828"/>
      <c r="D15" s="1829"/>
      <c r="E15" s="1829"/>
      <c r="F15" s="1828"/>
      <c r="G15" s="1828"/>
      <c r="H15" s="1828"/>
      <c r="I15" s="1828"/>
      <c r="J15" s="1828"/>
      <c r="K15" s="1828"/>
      <c r="L15" s="1828"/>
      <c r="M15" s="1828"/>
      <c r="N15" s="1828"/>
      <c r="O15" s="1828"/>
      <c r="P15" s="1828"/>
      <c r="Q15" s="1828"/>
    </row>
    <row r="17" spans="1:17" s="1834" customFormat="1" ht="24" customHeight="1">
      <c r="A17" s="1833"/>
      <c r="B17" s="1839" t="s">
        <v>653</v>
      </c>
      <c r="C17" s="1833"/>
      <c r="D17" s="1833"/>
      <c r="E17" s="1833"/>
      <c r="F17" s="1833"/>
      <c r="G17" s="1833"/>
      <c r="H17" s="1833"/>
      <c r="I17" s="1833"/>
      <c r="J17" s="1833"/>
      <c r="K17" s="1833"/>
      <c r="L17" s="1833"/>
      <c r="M17" s="1833"/>
      <c r="N17" s="1833"/>
      <c r="O17" s="1833"/>
      <c r="P17" s="1833"/>
      <c r="Q17" s="1833"/>
    </row>
    <row r="19" spans="1:17" ht="15">
      <c r="B19" s="1788">
        <v>11</v>
      </c>
      <c r="C19" s="1788">
        <v>23</v>
      </c>
      <c r="D19" s="1787" t="s">
        <v>1344</v>
      </c>
    </row>
    <row r="21" spans="1:17">
      <c r="B21" s="1786" t="s">
        <v>633</v>
      </c>
    </row>
    <row r="22" spans="1:17">
      <c r="B22" s="1786" t="s">
        <v>634</v>
      </c>
    </row>
    <row r="24" spans="1:17" ht="15">
      <c r="C24" s="1789"/>
      <c r="D24" s="1805"/>
      <c r="E24" s="1787" t="s">
        <v>1808</v>
      </c>
    </row>
    <row r="26" spans="1:17">
      <c r="C26" s="1790"/>
      <c r="D26" s="1790"/>
      <c r="E26" s="1787" t="s">
        <v>1082</v>
      </c>
    </row>
    <row r="28" spans="1:17">
      <c r="B28" s="1786" t="s">
        <v>1780</v>
      </c>
    </row>
    <row r="30" spans="1:17">
      <c r="C30" s="1791"/>
      <c r="D30" s="1817"/>
      <c r="E30" s="1787" t="s">
        <v>77</v>
      </c>
      <c r="J30" s="1792"/>
      <c r="K30" s="1787" t="s">
        <v>76</v>
      </c>
      <c r="M30" s="1787"/>
    </row>
    <row r="31" spans="1:17">
      <c r="D31" s="1818"/>
    </row>
    <row r="32" spans="1:17">
      <c r="C32" s="1793"/>
      <c r="D32" s="1819"/>
      <c r="E32" s="1787" t="s">
        <v>93</v>
      </c>
    </row>
    <row r="33" spans="1:17">
      <c r="D33" s="1818"/>
    </row>
    <row r="34" spans="1:17">
      <c r="C34" s="1794"/>
      <c r="D34" s="1820"/>
      <c r="E34" s="1787" t="s">
        <v>1530</v>
      </c>
    </row>
    <row r="37" spans="1:17" s="1834" customFormat="1" ht="24" customHeight="1">
      <c r="A37" s="1833"/>
      <c r="B37" s="1839" t="s">
        <v>94</v>
      </c>
      <c r="C37" s="1833"/>
      <c r="D37" s="1833"/>
      <c r="E37" s="1833"/>
      <c r="F37" s="1833"/>
      <c r="G37" s="1833"/>
      <c r="H37" s="1833"/>
      <c r="I37" s="1833"/>
      <c r="J37" s="1833"/>
      <c r="K37" s="1833"/>
      <c r="L37" s="1833"/>
      <c r="M37" s="1833"/>
      <c r="N37" s="1833"/>
      <c r="O37" s="1833"/>
      <c r="P37" s="1833"/>
      <c r="Q37" s="1833"/>
    </row>
    <row r="39" spans="1:17" ht="15">
      <c r="B39" s="1844" t="s">
        <v>395</v>
      </c>
      <c r="C39" s="1845"/>
      <c r="D39" s="1846"/>
      <c r="E39" s="1846"/>
      <c r="F39" s="1845"/>
      <c r="G39" s="1847"/>
    </row>
    <row r="40" spans="1:17" ht="15">
      <c r="B40" s="1795"/>
    </row>
    <row r="41" spans="1:17" ht="15">
      <c r="B41" s="1795"/>
      <c r="C41" s="1786" t="s">
        <v>1362</v>
      </c>
    </row>
    <row r="42" spans="1:17" ht="15">
      <c r="B42" s="1795"/>
    </row>
    <row r="43" spans="1:17" ht="15">
      <c r="B43" s="1795"/>
      <c r="C43" s="1786" t="s">
        <v>650</v>
      </c>
    </row>
    <row r="44" spans="1:17" ht="15">
      <c r="B44" s="1795"/>
    </row>
    <row r="45" spans="1:17" ht="15">
      <c r="C45" s="1786" t="s">
        <v>1363</v>
      </c>
    </row>
    <row r="46" spans="1:17">
      <c r="D46" s="1786"/>
    </row>
    <row r="47" spans="1:17">
      <c r="D47" s="1787" t="s">
        <v>1525</v>
      </c>
    </row>
    <row r="48" spans="1:17">
      <c r="D48" s="1786" t="s">
        <v>651</v>
      </c>
    </row>
    <row r="49" spans="2:7">
      <c r="D49" s="1787" t="s">
        <v>1487</v>
      </c>
    </row>
    <row r="51" spans="2:7">
      <c r="D51" s="1787" t="s">
        <v>621</v>
      </c>
    </row>
    <row r="52" spans="2:7">
      <c r="D52" s="1787" t="s">
        <v>641</v>
      </c>
    </row>
    <row r="54" spans="2:7">
      <c r="C54" s="1786" t="s">
        <v>287</v>
      </c>
    </row>
    <row r="55" spans="2:7">
      <c r="D55" s="1786" t="s">
        <v>1248</v>
      </c>
    </row>
    <row r="56" spans="2:7">
      <c r="D56" s="1787" t="s">
        <v>393</v>
      </c>
    </row>
    <row r="57" spans="2:7">
      <c r="D57" s="1787" t="s">
        <v>380</v>
      </c>
    </row>
    <row r="59" spans="2:7" ht="15">
      <c r="B59" s="1844" t="s">
        <v>424</v>
      </c>
      <c r="C59" s="1845"/>
      <c r="D59" s="1846"/>
      <c r="E59" s="1846"/>
      <c r="F59" s="1845"/>
      <c r="G59" s="1847"/>
    </row>
    <row r="61" spans="2:7">
      <c r="C61" s="1786" t="s">
        <v>1035</v>
      </c>
    </row>
    <row r="62" spans="2:7" ht="15">
      <c r="D62" s="1821" t="s">
        <v>373</v>
      </c>
    </row>
    <row r="63" spans="2:7" ht="15">
      <c r="D63" s="1821" t="s">
        <v>1687</v>
      </c>
    </row>
    <row r="64" spans="2:7" ht="15">
      <c r="D64" s="1821" t="s">
        <v>929</v>
      </c>
    </row>
    <row r="65" spans="3:7" ht="15">
      <c r="D65" s="1821" t="s">
        <v>983</v>
      </c>
    </row>
    <row r="67" spans="3:7">
      <c r="C67" s="1786" t="s">
        <v>565</v>
      </c>
    </row>
    <row r="68" spans="3:7">
      <c r="D68" s="1787" t="s">
        <v>457</v>
      </c>
    </row>
    <row r="69" spans="3:7">
      <c r="D69" s="1787" t="s">
        <v>1582</v>
      </c>
    </row>
    <row r="70" spans="3:7" ht="15">
      <c r="D70" s="1822" t="s">
        <v>1764</v>
      </c>
    </row>
    <row r="72" spans="3:7">
      <c r="C72" s="1786" t="s">
        <v>141</v>
      </c>
    </row>
    <row r="73" spans="3:7" ht="15">
      <c r="C73" s="1823" t="s">
        <v>640</v>
      </c>
    </row>
    <row r="75" spans="3:7">
      <c r="C75" s="1840" t="s">
        <v>138</v>
      </c>
      <c r="D75" s="1841"/>
      <c r="E75" s="1841"/>
      <c r="F75" s="1842"/>
      <c r="G75" s="1843"/>
    </row>
    <row r="77" spans="3:7" ht="15">
      <c r="D77" s="1821" t="s">
        <v>373</v>
      </c>
    </row>
    <row r="79" spans="3:7" ht="15">
      <c r="D79" s="1824" t="s">
        <v>1700</v>
      </c>
      <c r="E79" s="1786"/>
    </row>
    <row r="80" spans="3:7">
      <c r="D80" s="1786"/>
      <c r="E80" s="1825" t="s">
        <v>2019</v>
      </c>
    </row>
    <row r="81" spans="4:5">
      <c r="D81" s="1786"/>
      <c r="E81" s="1825" t="s">
        <v>2020</v>
      </c>
    </row>
    <row r="82" spans="4:5">
      <c r="D82" s="1786"/>
      <c r="E82" s="1825" t="s">
        <v>1583</v>
      </c>
    </row>
    <row r="83" spans="4:5">
      <c r="D83" s="1786"/>
      <c r="E83" s="1825" t="s">
        <v>2021</v>
      </c>
    </row>
    <row r="84" spans="4:5">
      <c r="D84" s="1786"/>
      <c r="E84" s="1825" t="s">
        <v>701</v>
      </c>
    </row>
    <row r="85" spans="4:5">
      <c r="D85" s="1786"/>
      <c r="E85" s="1786"/>
    </row>
    <row r="86" spans="4:5" ht="15">
      <c r="D86" s="1824" t="s">
        <v>1484</v>
      </c>
      <c r="E86" s="1786"/>
    </row>
    <row r="87" spans="4:5">
      <c r="D87" s="1786"/>
      <c r="E87" s="1786" t="s">
        <v>987</v>
      </c>
    </row>
    <row r="88" spans="4:5">
      <c r="D88" s="1786"/>
      <c r="E88" s="1786" t="s">
        <v>72</v>
      </c>
    </row>
    <row r="89" spans="4:5">
      <c r="D89" s="1786"/>
      <c r="E89" s="1786"/>
    </row>
    <row r="90" spans="4:5" ht="15">
      <c r="D90" s="1787" t="s">
        <v>1996</v>
      </c>
    </row>
    <row r="91" spans="4:5">
      <c r="D91" s="1786"/>
      <c r="E91" s="1786"/>
    </row>
    <row r="92" spans="4:5" ht="15">
      <c r="D92" s="1824" t="s">
        <v>104</v>
      </c>
      <c r="E92" s="1786"/>
    </row>
    <row r="93" spans="4:5">
      <c r="D93" s="1786"/>
      <c r="E93" s="1786"/>
    </row>
    <row r="94" spans="4:5">
      <c r="E94" s="1787" t="s">
        <v>913</v>
      </c>
    </row>
    <row r="95" spans="4:5">
      <c r="E95" s="1787" t="s">
        <v>1684</v>
      </c>
    </row>
    <row r="97" spans="3:7">
      <c r="E97" s="1787" t="s">
        <v>847</v>
      </c>
    </row>
    <row r="98" spans="3:7">
      <c r="E98" s="1787" t="s">
        <v>70</v>
      </c>
    </row>
    <row r="100" spans="3:7" ht="15">
      <c r="E100" s="1787" t="s">
        <v>41</v>
      </c>
    </row>
    <row r="102" spans="3:7" ht="15">
      <c r="D102" s="1824" t="s">
        <v>105</v>
      </c>
    </row>
    <row r="103" spans="3:7">
      <c r="D103" s="2072"/>
    </row>
    <row r="104" spans="3:7">
      <c r="D104" s="2072"/>
      <c r="E104" s="1787" t="s">
        <v>112</v>
      </c>
    </row>
    <row r="105" spans="3:7" ht="15">
      <c r="D105" s="1821"/>
      <c r="E105" s="1786" t="s">
        <v>1737</v>
      </c>
    </row>
    <row r="106" spans="3:7" ht="15">
      <c r="D106" s="1821"/>
      <c r="E106" s="1786"/>
    </row>
    <row r="107" spans="3:7">
      <c r="E107" s="1786" t="s">
        <v>1881</v>
      </c>
    </row>
    <row r="108" spans="3:7" ht="15">
      <c r="E108" s="1787" t="s">
        <v>1256</v>
      </c>
    </row>
    <row r="109" spans="3:7">
      <c r="E109" s="1786" t="s">
        <v>103</v>
      </c>
    </row>
    <row r="111" spans="3:7">
      <c r="C111" s="1840" t="s">
        <v>139</v>
      </c>
      <c r="D111" s="1841"/>
      <c r="E111" s="1841"/>
      <c r="F111" s="1842"/>
      <c r="G111" s="1843"/>
    </row>
    <row r="113" spans="3:7" ht="15">
      <c r="D113" s="1821" t="s">
        <v>24</v>
      </c>
    </row>
    <row r="115" spans="3:7" ht="15">
      <c r="D115" s="1787" t="s">
        <v>25</v>
      </c>
    </row>
    <row r="116" spans="3:7">
      <c r="D116" s="1787" t="s">
        <v>1706</v>
      </c>
      <c r="E116" s="1787" t="s">
        <v>1997</v>
      </c>
    </row>
    <row r="117" spans="3:7">
      <c r="E117" s="1787" t="s">
        <v>1218</v>
      </c>
    </row>
    <row r="119" spans="3:7">
      <c r="C119" s="1840" t="s">
        <v>140</v>
      </c>
      <c r="D119" s="1841"/>
      <c r="E119" s="1841"/>
      <c r="F119" s="1842"/>
      <c r="G119" s="1843"/>
    </row>
    <row r="121" spans="3:7" ht="15">
      <c r="D121" s="1787" t="s">
        <v>71</v>
      </c>
    </row>
    <row r="123" spans="3:7" ht="15">
      <c r="D123" s="1787" t="s">
        <v>1356</v>
      </c>
    </row>
    <row r="125" spans="3:7" ht="15">
      <c r="D125" s="1787" t="s">
        <v>760</v>
      </c>
    </row>
    <row r="127" spans="3:7">
      <c r="C127" s="1840" t="s">
        <v>455</v>
      </c>
      <c r="D127" s="1841"/>
      <c r="E127" s="1841"/>
      <c r="F127" s="1842"/>
      <c r="G127" s="1843"/>
    </row>
    <row r="129" spans="4:6" ht="15">
      <c r="D129" s="1796" t="s">
        <v>1237</v>
      </c>
      <c r="F129" s="1798"/>
    </row>
    <row r="131" spans="4:6" ht="15">
      <c r="D131" s="1787" t="s">
        <v>447</v>
      </c>
    </row>
    <row r="132" spans="4:6">
      <c r="E132" s="1787" t="s">
        <v>642</v>
      </c>
    </row>
    <row r="133" spans="4:6">
      <c r="E133" s="1787" t="s">
        <v>643</v>
      </c>
    </row>
    <row r="135" spans="4:6">
      <c r="D135" s="1787" t="s">
        <v>1797</v>
      </c>
    </row>
    <row r="136" spans="4:6">
      <c r="E136" s="1786" t="s">
        <v>1862</v>
      </c>
    </row>
    <row r="138" spans="4:6">
      <c r="E138" s="1787" t="s">
        <v>1947</v>
      </c>
    </row>
    <row r="139" spans="4:6">
      <c r="E139" s="1787" t="s">
        <v>1863</v>
      </c>
    </row>
    <row r="140" spans="4:6">
      <c r="E140" s="1787" t="s">
        <v>134</v>
      </c>
    </row>
    <row r="142" spans="4:6">
      <c r="E142" s="1787" t="s">
        <v>136</v>
      </c>
    </row>
    <row r="144" spans="4:6">
      <c r="E144" s="1787" t="s">
        <v>135</v>
      </c>
    </row>
    <row r="145" spans="5:15">
      <c r="E145" s="1787" t="s">
        <v>1799</v>
      </c>
    </row>
    <row r="146" spans="5:15">
      <c r="E146" s="1787" t="s">
        <v>872</v>
      </c>
    </row>
    <row r="147" spans="5:15">
      <c r="E147" s="1787" t="s">
        <v>873</v>
      </c>
    </row>
    <row r="148" spans="5:15">
      <c r="E148" s="1786"/>
    </row>
    <row r="149" spans="5:15">
      <c r="E149" s="1787" t="s">
        <v>1798</v>
      </c>
    </row>
    <row r="150" spans="5:15">
      <c r="E150" s="1786" t="s">
        <v>874</v>
      </c>
    </row>
    <row r="151" spans="5:15">
      <c r="E151" s="1786" t="s">
        <v>875</v>
      </c>
    </row>
    <row r="152" spans="5:15">
      <c r="E152" s="1786" t="s">
        <v>1946</v>
      </c>
    </row>
    <row r="154" spans="5:15">
      <c r="E154" s="3751" t="s">
        <v>312</v>
      </c>
      <c r="F154" s="3751"/>
      <c r="G154" s="3751"/>
      <c r="H154" s="3751"/>
      <c r="I154" s="3751"/>
      <c r="J154" s="3751"/>
      <c r="K154" s="3751"/>
      <c r="L154" s="3751"/>
      <c r="M154" s="3751"/>
      <c r="N154" s="3751"/>
      <c r="O154" s="3751"/>
    </row>
    <row r="155" spans="5:15">
      <c r="E155" s="1786"/>
    </row>
    <row r="156" spans="5:15">
      <c r="E156" s="3751" t="s">
        <v>1948</v>
      </c>
      <c r="F156" s="3751"/>
      <c r="G156" s="3751"/>
      <c r="H156" s="3751"/>
      <c r="I156" s="3751"/>
      <c r="J156" s="3751"/>
      <c r="K156" s="3751"/>
      <c r="L156" s="3751"/>
      <c r="M156" s="3751"/>
      <c r="N156" s="3751"/>
      <c r="O156" s="3751"/>
    </row>
    <row r="157" spans="5:15">
      <c r="E157" s="1786"/>
    </row>
    <row r="158" spans="5:15">
      <c r="E158" s="3751" t="s">
        <v>823</v>
      </c>
      <c r="F158" s="3751"/>
      <c r="G158" s="3751"/>
      <c r="H158" s="3751"/>
      <c r="I158" s="3751"/>
      <c r="J158" s="3751"/>
      <c r="K158" s="3751"/>
      <c r="L158" s="3751"/>
      <c r="M158" s="3751"/>
      <c r="N158" s="3751"/>
      <c r="O158" s="3751"/>
    </row>
    <row r="159" spans="5:15">
      <c r="E159" s="1786"/>
    </row>
    <row r="160" spans="5:15" ht="14.25" customHeight="1">
      <c r="E160" s="3751" t="s">
        <v>1578</v>
      </c>
      <c r="F160" s="3751"/>
      <c r="G160" s="3751"/>
      <c r="H160" s="3751" t="s">
        <v>1767</v>
      </c>
      <c r="I160" s="3751" t="s">
        <v>824</v>
      </c>
      <c r="J160" s="3751"/>
      <c r="K160" s="3751"/>
      <c r="L160" s="3751" t="s">
        <v>1767</v>
      </c>
      <c r="M160" s="3751" t="s">
        <v>1579</v>
      </c>
      <c r="N160" s="3751"/>
      <c r="O160" s="3751"/>
    </row>
    <row r="161" spans="4:15" ht="14.25" customHeight="1">
      <c r="E161" s="3751"/>
      <c r="F161" s="3751"/>
      <c r="G161" s="3751"/>
      <c r="H161" s="3751"/>
      <c r="I161" s="3751"/>
      <c r="J161" s="3751"/>
      <c r="K161" s="3751"/>
      <c r="L161" s="3751"/>
      <c r="M161" s="3751"/>
      <c r="N161" s="3751"/>
      <c r="O161" s="3751"/>
    </row>
    <row r="162" spans="4:15">
      <c r="E162" s="3751"/>
      <c r="F162" s="3751"/>
      <c r="G162" s="3751"/>
      <c r="H162" s="3751"/>
      <c r="I162" s="3751"/>
      <c r="J162" s="3751"/>
      <c r="K162" s="3751"/>
      <c r="L162" s="3751"/>
      <c r="M162" s="3751"/>
      <c r="N162" s="3751"/>
      <c r="O162" s="3751"/>
    </row>
    <row r="163" spans="4:15">
      <c r="E163" s="1786"/>
    </row>
    <row r="164" spans="4:15">
      <c r="E164" s="3751" t="s">
        <v>826</v>
      </c>
      <c r="F164" s="3751"/>
      <c r="G164" s="3751"/>
      <c r="I164" s="3751" t="s">
        <v>1103</v>
      </c>
      <c r="J164" s="3751"/>
      <c r="K164" s="3751"/>
      <c r="M164" s="3751" t="s">
        <v>1100</v>
      </c>
      <c r="N164" s="3751"/>
      <c r="O164" s="3751"/>
    </row>
    <row r="165" spans="4:15">
      <c r="E165" s="1786"/>
    </row>
    <row r="166" spans="4:15">
      <c r="E166" s="3751" t="s">
        <v>827</v>
      </c>
      <c r="F166" s="3751"/>
      <c r="G166" s="3751"/>
      <c r="I166" s="3751" t="s">
        <v>1104</v>
      </c>
      <c r="J166" s="3751"/>
      <c r="K166" s="3751"/>
      <c r="M166" s="3751" t="s">
        <v>1101</v>
      </c>
      <c r="N166" s="3751"/>
      <c r="O166" s="3751"/>
    </row>
    <row r="167" spans="4:15">
      <c r="E167" s="1786"/>
    </row>
    <row r="168" spans="4:15" ht="14.25" customHeight="1">
      <c r="E168" s="3751" t="s">
        <v>828</v>
      </c>
      <c r="F168" s="3751"/>
      <c r="G168" s="3751"/>
      <c r="I168" s="3751" t="s">
        <v>825</v>
      </c>
      <c r="J168" s="3751"/>
      <c r="K168" s="3751"/>
      <c r="M168" s="3751" t="s">
        <v>1102</v>
      </c>
      <c r="N168" s="3751"/>
      <c r="O168" s="3751"/>
    </row>
    <row r="169" spans="4:15">
      <c r="I169" s="3751"/>
      <c r="J169" s="3751"/>
      <c r="K169" s="3751"/>
    </row>
    <row r="173" spans="4:15" ht="15">
      <c r="D173" s="1821" t="s">
        <v>1201</v>
      </c>
    </row>
    <row r="174" spans="4:15">
      <c r="E174" s="1797" t="s">
        <v>2078</v>
      </c>
    </row>
    <row r="175" spans="4:15">
      <c r="E175" s="1797" t="s">
        <v>1577</v>
      </c>
    </row>
    <row r="176" spans="4:15">
      <c r="E176" s="1797" t="s">
        <v>453</v>
      </c>
    </row>
    <row r="177" spans="2:7">
      <c r="E177" s="1797" t="s">
        <v>454</v>
      </c>
    </row>
    <row r="179" spans="2:7" ht="15">
      <c r="D179" s="1787" t="s">
        <v>118</v>
      </c>
    </row>
    <row r="181" spans="2:7" ht="15">
      <c r="D181" s="1787" t="s">
        <v>398</v>
      </c>
    </row>
    <row r="182" spans="2:7" ht="15">
      <c r="D182" s="1787" t="s">
        <v>1514</v>
      </c>
    </row>
    <row r="183" spans="2:7">
      <c r="E183" s="1797" t="s">
        <v>1575</v>
      </c>
    </row>
    <row r="184" spans="2:7">
      <c r="E184" s="1797" t="s">
        <v>1576</v>
      </c>
    </row>
    <row r="186" spans="2:7" ht="15">
      <c r="B186" s="1844" t="s">
        <v>399</v>
      </c>
      <c r="C186" s="1845"/>
      <c r="D186" s="1846"/>
      <c r="E186" s="1846"/>
      <c r="F186" s="1845"/>
      <c r="G186" s="1847"/>
    </row>
    <row r="188" spans="2:7" ht="15">
      <c r="D188" s="1787" t="s">
        <v>434</v>
      </c>
    </row>
    <row r="190" spans="2:7" ht="15">
      <c r="D190" s="1787" t="s">
        <v>822</v>
      </c>
    </row>
    <row r="192" spans="2:7" ht="15">
      <c r="D192" s="1787" t="s">
        <v>1135</v>
      </c>
    </row>
    <row r="193" spans="1:17">
      <c r="E193" s="1787" t="s">
        <v>101</v>
      </c>
    </row>
    <row r="194" spans="1:17" ht="15">
      <c r="E194" s="1787" t="s">
        <v>117</v>
      </c>
    </row>
    <row r="195" spans="1:17">
      <c r="E195" s="1786" t="s">
        <v>767</v>
      </c>
    </row>
    <row r="196" spans="1:17" ht="15">
      <c r="E196" s="1787" t="s">
        <v>243</v>
      </c>
    </row>
    <row r="198" spans="1:17" ht="15">
      <c r="D198" s="1787" t="s">
        <v>594</v>
      </c>
    </row>
    <row r="199" spans="1:17">
      <c r="E199" s="1787" t="s">
        <v>595</v>
      </c>
    </row>
    <row r="200" spans="1:17">
      <c r="E200" s="1787" t="s">
        <v>596</v>
      </c>
    </row>
    <row r="201" spans="1:17">
      <c r="E201" s="1787" t="s">
        <v>597</v>
      </c>
    </row>
    <row r="203" spans="1:17" ht="15">
      <c r="D203" s="1787" t="s">
        <v>1524</v>
      </c>
    </row>
    <row r="204" spans="1:17">
      <c r="E204" s="1787" t="s">
        <v>2109</v>
      </c>
    </row>
    <row r="205" spans="1:17">
      <c r="E205" s="1787" t="s">
        <v>1828</v>
      </c>
    </row>
    <row r="206" spans="1:17">
      <c r="E206" s="1787" t="s">
        <v>702</v>
      </c>
    </row>
    <row r="208" spans="1:17" s="1834" customFormat="1" ht="24" customHeight="1">
      <c r="A208" s="1833"/>
      <c r="B208" s="1839" t="s">
        <v>769</v>
      </c>
      <c r="C208" s="1833"/>
      <c r="D208" s="1833"/>
      <c r="E208" s="1833"/>
      <c r="F208" s="1833"/>
      <c r="G208" s="1833"/>
      <c r="H208" s="1833"/>
      <c r="I208" s="1833"/>
      <c r="J208" s="1833"/>
      <c r="K208" s="1833"/>
      <c r="L208" s="1833"/>
      <c r="M208" s="1833"/>
      <c r="N208" s="1833"/>
      <c r="O208" s="1833"/>
      <c r="P208" s="1833"/>
      <c r="Q208" s="1833"/>
    </row>
    <row r="210" spans="2:4">
      <c r="B210" s="1786" t="s">
        <v>1498</v>
      </c>
    </row>
    <row r="211" spans="2:4">
      <c r="B211" s="1786" t="s">
        <v>1469</v>
      </c>
    </row>
    <row r="213" spans="2:4" ht="15">
      <c r="B213" s="1786" t="s">
        <v>1499</v>
      </c>
    </row>
    <row r="215" spans="2:4" ht="15">
      <c r="B215" s="1786" t="s">
        <v>1691</v>
      </c>
    </row>
    <row r="217" spans="2:4" ht="15">
      <c r="C217" s="1786" t="s">
        <v>1523</v>
      </c>
    </row>
    <row r="218" spans="2:4">
      <c r="C218" s="1786" t="s">
        <v>1943</v>
      </c>
    </row>
    <row r="219" spans="2:4" ht="15">
      <c r="C219" s="1786" t="s">
        <v>1357</v>
      </c>
    </row>
    <row r="221" spans="2:4" ht="15">
      <c r="C221" s="1824" t="s">
        <v>1694</v>
      </c>
    </row>
    <row r="222" spans="2:4">
      <c r="D222" s="1786" t="s">
        <v>1473</v>
      </c>
    </row>
    <row r="223" spans="2:4">
      <c r="D223" s="1786" t="s">
        <v>1474</v>
      </c>
    </row>
    <row r="224" spans="2:4">
      <c r="D224" s="1786" t="s">
        <v>1475</v>
      </c>
    </row>
    <row r="225" spans="2:4">
      <c r="D225" s="1786" t="s">
        <v>1955</v>
      </c>
    </row>
    <row r="226" spans="2:4">
      <c r="D226" s="1786" t="s">
        <v>57</v>
      </c>
    </row>
    <row r="227" spans="2:4">
      <c r="D227" s="1786"/>
    </row>
    <row r="228" spans="2:4">
      <c r="C228" s="1786" t="s">
        <v>2014</v>
      </c>
      <c r="D228" s="1786"/>
    </row>
    <row r="229" spans="2:4">
      <c r="D229" s="1786"/>
    </row>
    <row r="230" spans="2:4" ht="15">
      <c r="B230" s="1786" t="s">
        <v>1838</v>
      </c>
    </row>
    <row r="232" spans="2:4" ht="15">
      <c r="C232" s="1786" t="s">
        <v>1171</v>
      </c>
    </row>
    <row r="233" spans="2:4">
      <c r="C233" s="1786" t="s">
        <v>1971</v>
      </c>
    </row>
    <row r="235" spans="2:4" ht="15">
      <c r="C235" s="1824" t="s">
        <v>756</v>
      </c>
    </row>
    <row r="236" spans="2:4">
      <c r="D236" s="1786" t="s">
        <v>147</v>
      </c>
    </row>
    <row r="237" spans="2:4">
      <c r="D237" s="1786" t="s">
        <v>1055</v>
      </c>
    </row>
    <row r="238" spans="2:4">
      <c r="D238" s="1786" t="s">
        <v>2126</v>
      </c>
    </row>
    <row r="239" spans="2:4">
      <c r="D239" s="1786" t="s">
        <v>1779</v>
      </c>
    </row>
    <row r="240" spans="2:4">
      <c r="D240" s="1786"/>
    </row>
    <row r="241" spans="2:4" ht="15">
      <c r="C241" s="1786" t="s">
        <v>899</v>
      </c>
    </row>
    <row r="242" spans="2:4">
      <c r="D242" s="1786" t="s">
        <v>900</v>
      </c>
    </row>
    <row r="243" spans="2:4">
      <c r="D243" s="1786" t="s">
        <v>755</v>
      </c>
    </row>
    <row r="245" spans="2:4">
      <c r="C245" s="1786" t="s">
        <v>2014</v>
      </c>
      <c r="D245" s="1786"/>
    </row>
    <row r="247" spans="2:4" ht="15">
      <c r="B247" s="1786" t="s">
        <v>1821</v>
      </c>
    </row>
    <row r="249" spans="2:4">
      <c r="C249" s="1786" t="s">
        <v>1415</v>
      </c>
    </row>
    <row r="250" spans="2:4">
      <c r="C250" s="1786" t="s">
        <v>244</v>
      </c>
    </row>
    <row r="252" spans="2:4">
      <c r="C252" s="1786" t="s">
        <v>1030</v>
      </c>
    </row>
    <row r="253" spans="2:4">
      <c r="C253" s="1786" t="s">
        <v>1483</v>
      </c>
    </row>
    <row r="254" spans="2:4">
      <c r="C254" s="1787"/>
    </row>
    <row r="255" spans="2:4">
      <c r="C255" s="1786" t="s">
        <v>351</v>
      </c>
    </row>
    <row r="256" spans="2:4">
      <c r="C256" s="1786" t="s">
        <v>1570</v>
      </c>
    </row>
    <row r="258" spans="2:5" ht="15">
      <c r="B258" s="1786" t="s">
        <v>1571</v>
      </c>
      <c r="D258" s="1826"/>
    </row>
    <row r="259" spans="2:5">
      <c r="E259" s="1786"/>
    </row>
    <row r="260" spans="2:5">
      <c r="C260" s="1786" t="s">
        <v>1822</v>
      </c>
      <c r="D260" s="1826"/>
    </row>
    <row r="261" spans="2:5">
      <c r="C261" s="1786" t="s">
        <v>1566</v>
      </c>
    </row>
    <row r="262" spans="2:5">
      <c r="C262" s="1786" t="s">
        <v>1543</v>
      </c>
    </row>
    <row r="264" spans="2:5" customFormat="1" ht="12.75"/>
    <row r="265" spans="2:5" customFormat="1" ht="12.75"/>
    <row r="266" spans="2:5" customFormat="1" ht="12.75"/>
    <row r="267" spans="2:5" customFormat="1" ht="12.75"/>
    <row r="268" spans="2:5" customFormat="1" ht="12.75"/>
    <row r="269" spans="2:5" customFormat="1" ht="12.75"/>
    <row r="270" spans="2:5" customFormat="1" ht="12.75"/>
    <row r="271" spans="2:5" customFormat="1" ht="12.75"/>
    <row r="272" spans="2:5" customFormat="1" ht="12.75"/>
    <row r="273" customFormat="1" ht="12.75"/>
    <row r="274" customFormat="1" ht="12.75"/>
    <row r="275" customFormat="1" ht="12.75"/>
    <row r="276" customFormat="1" ht="12.75"/>
    <row r="277" customFormat="1" ht="12.75"/>
    <row r="278" customFormat="1" ht="12.75"/>
    <row r="279" customFormat="1" ht="12.75"/>
    <row r="280" customFormat="1" ht="12.75"/>
    <row r="281" customFormat="1" ht="12.75"/>
    <row r="282" customFormat="1" ht="12.75"/>
    <row r="283" customFormat="1" ht="12.75"/>
    <row r="284" customFormat="1" ht="12.75"/>
    <row r="285" customFormat="1" ht="12.75"/>
    <row r="286" customFormat="1" ht="12.75"/>
    <row r="287" customFormat="1" ht="12.75"/>
    <row r="288" customFormat="1" ht="12.75"/>
    <row r="289" customFormat="1" ht="12.75"/>
    <row r="290" customFormat="1" ht="12.75"/>
    <row r="291" customFormat="1" ht="12.75"/>
    <row r="292" customFormat="1" ht="12.75"/>
    <row r="293" customFormat="1" ht="12.75"/>
    <row r="294" customFormat="1" ht="12.75"/>
    <row r="295" customFormat="1" ht="12.75"/>
    <row r="296" customFormat="1" ht="12.75"/>
    <row r="297" customFormat="1" ht="12.75"/>
    <row r="298" customFormat="1" ht="12.75"/>
    <row r="299" customFormat="1" ht="12.75"/>
    <row r="300" customFormat="1" ht="12.75"/>
    <row r="301" customFormat="1" ht="12.75"/>
    <row r="302" customFormat="1" ht="12.75"/>
    <row r="303" customFormat="1" ht="12.75"/>
    <row r="304" customFormat="1" ht="12.75"/>
    <row r="305" customFormat="1" ht="12.75"/>
    <row r="306" customFormat="1" ht="12.75"/>
    <row r="307" customFormat="1" ht="12.75"/>
    <row r="308" customFormat="1" ht="12.75"/>
    <row r="309" customFormat="1" ht="12.75"/>
    <row r="310" customFormat="1" ht="12.75"/>
    <row r="311" customFormat="1" ht="12.75"/>
    <row r="312" customFormat="1" ht="12.75"/>
    <row r="313" customFormat="1" ht="12.75"/>
    <row r="314" customFormat="1" ht="12.75"/>
    <row r="315" customFormat="1" ht="12.75"/>
    <row r="316" customFormat="1" ht="12.75"/>
    <row r="317" customFormat="1" ht="12.75"/>
    <row r="318" customFormat="1" ht="12.75"/>
    <row r="319" customFormat="1" ht="12.75"/>
    <row r="320" customFormat="1" ht="12.75"/>
    <row r="321" customFormat="1" ht="12.75"/>
    <row r="322" customFormat="1" ht="12.75"/>
    <row r="323" customFormat="1" ht="12.75"/>
    <row r="324" customFormat="1" ht="12.75"/>
    <row r="325" customFormat="1" ht="12.75"/>
    <row r="326" customFormat="1" ht="12.75"/>
    <row r="327" customFormat="1" ht="12.75"/>
    <row r="328" customFormat="1" ht="12.75"/>
    <row r="329" customFormat="1" ht="12.75"/>
    <row r="330" customFormat="1" ht="12.75"/>
    <row r="331" customFormat="1" ht="12.75"/>
    <row r="332" customFormat="1" ht="12.75"/>
    <row r="333" customFormat="1" ht="12.75"/>
    <row r="334" customFormat="1" ht="12.75"/>
    <row r="335" customFormat="1" ht="12.75"/>
    <row r="336" customFormat="1" ht="12.75"/>
    <row r="337" customFormat="1" ht="12.75"/>
    <row r="338" customFormat="1" ht="12.75"/>
    <row r="339" customFormat="1" ht="12.75"/>
    <row r="340" customFormat="1" ht="12.75"/>
    <row r="341" customFormat="1" ht="12.75"/>
    <row r="342" customFormat="1" ht="12.75"/>
    <row r="343" customFormat="1" ht="12.75"/>
    <row r="344" customFormat="1" ht="12.75"/>
    <row r="345" customFormat="1" ht="12.75"/>
    <row r="346" customFormat="1" ht="12.75"/>
    <row r="347" customFormat="1" ht="12.75"/>
    <row r="348" customFormat="1" ht="12.75"/>
    <row r="349" customFormat="1" ht="12.75"/>
    <row r="350" customFormat="1" ht="12.75"/>
    <row r="351" customFormat="1" ht="12.75"/>
    <row r="352" customFormat="1" ht="12.75"/>
    <row r="353" customFormat="1" ht="12.75"/>
    <row r="354" customFormat="1" ht="12.75"/>
    <row r="355" customFormat="1" ht="12.75"/>
    <row r="356" customFormat="1" ht="12.75"/>
    <row r="357" customFormat="1" ht="12.75"/>
    <row r="358" customFormat="1" ht="12.75"/>
    <row r="359" customFormat="1" ht="12.75"/>
    <row r="360" customFormat="1" ht="12.75"/>
    <row r="361" customFormat="1" ht="12.75"/>
    <row r="362" customFormat="1" ht="12.75"/>
    <row r="363" customFormat="1" ht="12.75"/>
    <row r="364" customFormat="1" ht="12.75"/>
    <row r="365" customFormat="1" ht="12.75"/>
    <row r="366" customFormat="1" ht="12.75"/>
    <row r="367" customFormat="1" ht="12.75"/>
    <row r="368" customFormat="1" ht="12.75"/>
    <row r="369" customFormat="1" ht="12.75"/>
    <row r="370" customFormat="1" ht="12.75"/>
    <row r="371" customFormat="1" ht="12.75"/>
    <row r="372" customFormat="1" ht="12.75"/>
    <row r="373" customFormat="1" ht="12.75"/>
    <row r="374" customFormat="1" ht="12.75"/>
    <row r="375" customFormat="1" ht="12.75"/>
    <row r="376" customFormat="1" ht="12.75"/>
    <row r="377" customFormat="1" ht="12.75"/>
    <row r="378" customFormat="1" ht="12.75"/>
    <row r="379" customFormat="1" ht="12.75"/>
    <row r="380" customFormat="1" ht="12.75"/>
    <row r="381" customFormat="1" ht="12.75"/>
    <row r="382" customFormat="1" ht="12.75"/>
    <row r="383" customFormat="1" ht="12.75"/>
    <row r="384" customFormat="1" ht="12.75"/>
    <row r="385" customFormat="1" ht="12.75"/>
    <row r="386" customFormat="1" ht="12.75"/>
    <row r="387" customFormat="1" ht="12.75"/>
    <row r="388" customFormat="1" ht="12.75"/>
    <row r="389" customFormat="1" ht="12.75"/>
    <row r="390" customFormat="1" ht="12.75"/>
    <row r="391" customFormat="1" ht="12.75"/>
    <row r="392" customFormat="1" ht="12.75"/>
    <row r="393" customFormat="1" ht="12.75"/>
    <row r="394" customFormat="1" ht="12.75"/>
    <row r="395" customFormat="1" ht="12.75"/>
    <row r="396" customFormat="1" ht="12.75"/>
    <row r="397" customFormat="1" ht="12.75"/>
    <row r="398" customFormat="1" ht="12.75"/>
    <row r="399" customFormat="1" ht="12.75"/>
    <row r="400" customFormat="1" ht="12.75"/>
    <row r="401" customFormat="1" ht="12.75"/>
    <row r="402" customFormat="1" ht="12.75"/>
    <row r="403" customFormat="1" ht="12.75"/>
    <row r="404" customFormat="1" ht="12.75"/>
    <row r="405" customFormat="1" ht="12.75"/>
    <row r="406" customFormat="1" ht="12.75"/>
    <row r="407" customFormat="1" ht="12.75"/>
    <row r="408" customFormat="1" ht="12.75"/>
    <row r="409" customFormat="1" ht="12.75"/>
    <row r="410" customFormat="1" ht="12.75"/>
    <row r="411" customFormat="1" ht="12.75"/>
    <row r="412" customFormat="1" ht="12.75"/>
    <row r="413" customFormat="1" ht="12.75"/>
    <row r="414" customFormat="1" ht="12.75"/>
    <row r="415" customFormat="1" ht="12.75"/>
    <row r="416" customFormat="1" ht="12.75"/>
    <row r="417" customFormat="1" ht="12.75"/>
    <row r="418" customFormat="1" ht="12.75"/>
    <row r="419" customFormat="1" ht="12.75"/>
    <row r="420" customFormat="1" ht="12.75"/>
    <row r="421" customFormat="1" ht="12.75"/>
    <row r="422" customFormat="1" ht="12.75"/>
    <row r="423" customFormat="1" ht="12.75"/>
    <row r="424" customFormat="1" ht="12.75"/>
    <row r="425" customFormat="1" ht="12.75"/>
    <row r="426" customFormat="1" ht="12.75"/>
    <row r="427" customFormat="1" ht="12.75"/>
    <row r="428" customFormat="1" ht="12.75"/>
    <row r="429" customFormat="1" ht="12.75"/>
    <row r="430" customFormat="1" ht="12.75"/>
    <row r="431" customFormat="1" ht="12.75"/>
    <row r="432" customFormat="1" ht="12.75"/>
    <row r="433" customFormat="1" ht="12.75"/>
    <row r="434" customFormat="1" ht="12.75"/>
    <row r="435" customFormat="1" ht="12.75"/>
    <row r="436" customFormat="1" ht="12.75"/>
    <row r="437" customFormat="1" ht="12.75"/>
    <row r="438" customFormat="1" ht="12.75"/>
    <row r="439" customFormat="1" ht="12.75"/>
    <row r="440" customFormat="1" ht="12.75"/>
    <row r="441" customFormat="1" ht="12.75"/>
    <row r="442" customFormat="1" ht="12.75"/>
    <row r="443" customFormat="1" ht="12.75"/>
    <row r="444" customFormat="1" ht="12.75"/>
    <row r="445" customFormat="1" ht="12.75"/>
    <row r="446" customFormat="1" ht="12.75"/>
    <row r="447" customFormat="1" ht="12.75"/>
    <row r="448" customFormat="1" ht="12.75"/>
    <row r="449" customFormat="1" ht="12.75"/>
    <row r="450" customFormat="1" ht="12.75"/>
    <row r="451" customFormat="1" ht="12.75"/>
    <row r="452" customFormat="1" ht="12.75"/>
    <row r="453" customFormat="1" ht="12.75"/>
    <row r="454" customFormat="1" ht="12.75"/>
    <row r="455" customFormat="1" ht="12.75"/>
    <row r="456" customFormat="1" ht="12.75"/>
    <row r="457" customFormat="1" ht="12.75"/>
    <row r="458" customFormat="1" ht="12.75"/>
    <row r="459" customFormat="1" ht="12.75"/>
    <row r="460" customFormat="1" ht="12.75"/>
    <row r="461" customFormat="1" ht="12.75"/>
    <row r="462" customFormat="1" ht="12.75"/>
    <row r="463" customFormat="1" ht="12.75"/>
    <row r="464" customFormat="1" ht="12.75"/>
    <row r="465" customFormat="1" ht="12.75"/>
    <row r="466" customFormat="1" ht="12.75"/>
    <row r="467" customFormat="1" ht="12.75"/>
    <row r="468" customFormat="1" ht="12.75"/>
    <row r="469" customFormat="1" ht="12.75"/>
    <row r="470" customFormat="1" ht="12.75"/>
    <row r="471" customFormat="1" ht="12.75"/>
    <row r="472" customFormat="1" ht="12.75"/>
    <row r="473" customFormat="1" ht="12.75"/>
    <row r="474" customFormat="1" ht="12.75"/>
    <row r="475" customFormat="1" ht="12.75"/>
    <row r="476" customFormat="1" ht="12.75"/>
    <row r="477" customFormat="1" ht="12.75"/>
    <row r="478" customFormat="1" ht="12.75"/>
    <row r="479" customFormat="1" ht="12.75"/>
    <row r="480" customFormat="1" ht="12.75"/>
    <row r="481" customFormat="1" ht="12.75"/>
    <row r="482" customFormat="1" ht="12.75"/>
    <row r="483" customFormat="1" ht="12.75"/>
    <row r="484" customFormat="1" ht="12.75"/>
    <row r="485" customFormat="1" ht="12.75"/>
    <row r="486" customFormat="1" ht="12.75"/>
    <row r="487" customFormat="1" ht="12.75"/>
    <row r="488" customFormat="1" ht="12.75"/>
    <row r="489" customFormat="1" ht="12.75"/>
    <row r="490" customFormat="1" ht="12.75"/>
    <row r="491" customFormat="1" ht="12.75"/>
    <row r="492" customFormat="1" ht="12.75"/>
    <row r="493" customFormat="1" ht="12.75"/>
    <row r="494" customFormat="1" ht="12.75"/>
    <row r="495" customFormat="1" ht="12.75"/>
    <row r="496" customFormat="1" ht="12.75"/>
    <row r="497" customFormat="1" ht="12.75"/>
    <row r="498" customFormat="1" ht="12.75"/>
    <row r="499" customFormat="1" ht="12.75"/>
    <row r="500" customFormat="1" ht="12.75"/>
    <row r="501" customFormat="1" ht="12.75"/>
    <row r="502" customFormat="1" ht="12.75"/>
    <row r="503" customFormat="1" ht="12.75"/>
    <row r="504" customFormat="1" ht="12.75"/>
    <row r="505" customFormat="1" ht="12.75"/>
    <row r="506" customFormat="1" ht="12.75"/>
    <row r="507" customFormat="1" ht="12.75"/>
    <row r="508" customFormat="1" ht="12.75"/>
    <row r="509" customFormat="1" ht="12.75"/>
    <row r="510" customFormat="1" ht="12.75"/>
    <row r="511" customFormat="1" ht="12.75"/>
    <row r="512" customFormat="1" ht="12.75"/>
    <row r="513" customFormat="1" ht="12.75"/>
    <row r="514" customFormat="1" ht="12.75"/>
    <row r="515" customFormat="1" ht="12.75"/>
    <row r="516" customFormat="1" ht="12.75"/>
    <row r="517" customFormat="1" ht="12.75"/>
    <row r="518" customFormat="1" ht="12.75"/>
    <row r="519" customFormat="1" ht="12.75"/>
    <row r="520" customFormat="1" ht="12.75"/>
    <row r="521" customFormat="1" ht="12.75"/>
    <row r="522" customFormat="1" ht="12.75"/>
    <row r="523" customFormat="1" ht="12.75"/>
    <row r="524" customFormat="1" ht="12.75"/>
    <row r="525" customFormat="1" ht="12.75"/>
    <row r="526" customFormat="1" ht="12.75"/>
    <row r="527" customFormat="1" ht="12.75"/>
    <row r="528" customFormat="1" ht="12.75"/>
    <row r="529" customFormat="1" ht="12.75"/>
    <row r="530" customFormat="1" ht="12.75"/>
    <row r="531" customFormat="1" ht="12.75"/>
    <row r="532" customFormat="1" ht="12.75"/>
    <row r="533" customFormat="1" ht="12.75"/>
    <row r="534" customFormat="1" ht="12.75"/>
    <row r="535" customFormat="1" ht="12.75"/>
    <row r="536" customFormat="1" ht="12.75"/>
    <row r="537" customFormat="1" ht="12.75"/>
    <row r="538" customFormat="1" ht="12.75"/>
    <row r="539" customFormat="1" ht="12.75"/>
    <row r="540" customFormat="1" ht="12.75"/>
    <row r="541" customFormat="1" ht="12.75"/>
    <row r="542" customFormat="1" ht="12.75"/>
    <row r="543" customFormat="1" ht="12.75"/>
    <row r="544" customFormat="1" ht="12.75"/>
    <row r="545" customFormat="1" ht="12.75"/>
    <row r="546" customFormat="1" ht="12.75"/>
    <row r="547" customFormat="1" ht="12.75"/>
    <row r="548" customFormat="1" ht="12.75"/>
    <row r="549" customFormat="1" ht="12.75"/>
    <row r="550" customFormat="1" ht="12.75"/>
    <row r="551" customFormat="1" ht="12.75"/>
    <row r="552" customFormat="1" ht="12.75"/>
    <row r="553" customFormat="1" ht="12.75"/>
    <row r="554" customFormat="1" ht="12.75"/>
    <row r="555" customFormat="1" ht="12.75"/>
    <row r="556" customFormat="1" ht="12.75"/>
    <row r="557" customFormat="1" ht="12.75"/>
    <row r="558" customFormat="1" ht="12.75"/>
    <row r="559" customFormat="1" ht="12.75"/>
    <row r="560" customFormat="1" ht="12.75"/>
    <row r="561" customFormat="1" ht="12.75"/>
    <row r="562" customFormat="1" ht="12.75"/>
    <row r="563" customFormat="1" ht="12.75"/>
    <row r="564" customFormat="1" ht="12.75"/>
    <row r="565" customFormat="1" ht="12.75"/>
    <row r="566" customFormat="1" ht="12.75"/>
    <row r="567" customFormat="1" ht="12.75"/>
    <row r="568" customFormat="1" ht="12.75"/>
    <row r="569" customFormat="1" ht="12.75"/>
    <row r="570" customFormat="1" ht="12.75"/>
    <row r="571" customFormat="1" ht="12.75"/>
    <row r="572" customFormat="1" ht="12.75"/>
    <row r="573" customFormat="1" ht="12.75"/>
    <row r="574" customFormat="1" ht="12.75"/>
    <row r="575" customFormat="1" ht="12.75"/>
    <row r="576" customFormat="1" ht="12.75"/>
    <row r="577" customFormat="1" ht="12.75"/>
    <row r="578" customFormat="1" ht="12.75"/>
    <row r="579" customFormat="1" ht="12.75"/>
    <row r="580" customFormat="1" ht="12.75"/>
    <row r="581" customFormat="1" ht="12.75"/>
    <row r="582" customFormat="1" ht="12.75"/>
    <row r="583" customFormat="1" ht="12.75"/>
    <row r="584" customFormat="1" ht="12.75"/>
    <row r="585" customFormat="1" ht="12.75"/>
    <row r="586" customFormat="1" ht="12.75"/>
    <row r="587" customFormat="1" ht="12.75"/>
    <row r="588" customFormat="1" ht="12.75"/>
    <row r="589" customFormat="1" ht="12.75"/>
    <row r="590" customFormat="1" ht="12.75"/>
    <row r="591" customFormat="1" ht="12.75"/>
    <row r="592" customFormat="1" ht="12.75"/>
    <row r="593" customFormat="1" ht="12.75"/>
    <row r="594" customFormat="1" ht="12.75"/>
    <row r="595" customFormat="1" ht="12.75"/>
    <row r="596" customFormat="1" ht="12.75"/>
    <row r="597" customFormat="1" ht="12.75"/>
    <row r="598" customFormat="1" ht="12.75"/>
    <row r="599" customFormat="1" ht="12.75"/>
    <row r="600" customFormat="1" ht="12.75"/>
    <row r="601" customFormat="1" ht="12.75"/>
    <row r="602" customFormat="1" ht="12.75"/>
    <row r="603" customFormat="1" ht="12.75"/>
    <row r="604" customFormat="1" ht="12.75"/>
    <row r="605" customFormat="1" ht="12.75"/>
    <row r="606" customFormat="1" ht="12.75"/>
    <row r="607" customFormat="1" ht="12.75"/>
    <row r="608" customFormat="1" ht="12.75"/>
    <row r="609" customFormat="1" ht="12.75"/>
    <row r="610" customFormat="1" ht="12.75"/>
    <row r="611" customFormat="1" ht="12.75"/>
    <row r="612" customFormat="1" ht="12.75"/>
    <row r="613" customFormat="1" ht="12.75"/>
    <row r="614" customFormat="1" ht="12.75"/>
    <row r="615" customFormat="1" ht="12.75"/>
    <row r="616" customFormat="1" ht="12.75"/>
    <row r="617" customFormat="1" ht="12.75"/>
    <row r="618" customFormat="1" ht="12.75"/>
    <row r="619" customFormat="1" ht="12.75"/>
    <row r="620" customFormat="1" ht="12.75"/>
    <row r="621" customFormat="1" ht="12.75"/>
    <row r="622" customFormat="1" ht="12.75"/>
    <row r="623" customFormat="1" ht="12.75"/>
    <row r="624" customFormat="1" ht="12.75"/>
    <row r="625" customFormat="1" ht="12.75"/>
    <row r="626" customFormat="1" ht="12.75"/>
    <row r="627" customFormat="1" ht="12.75"/>
    <row r="628" customFormat="1" ht="12.75"/>
    <row r="629" customFormat="1" ht="12.75"/>
    <row r="630" customFormat="1" ht="12.75"/>
    <row r="631" customFormat="1" ht="12.75"/>
    <row r="632" customFormat="1" ht="12.75"/>
    <row r="633" customFormat="1" ht="12.75"/>
    <row r="634" customFormat="1" ht="12.75"/>
    <row r="635" customFormat="1" ht="12.75"/>
    <row r="636" customFormat="1" ht="12.75"/>
    <row r="637" customFormat="1" ht="12.75"/>
    <row r="638" customFormat="1" ht="12.75"/>
    <row r="639" customFormat="1" ht="12.75"/>
    <row r="640" customFormat="1" ht="12.75"/>
    <row r="641" customFormat="1" ht="12.75"/>
    <row r="642" customFormat="1" ht="12.75"/>
    <row r="643" customFormat="1" ht="12.75"/>
    <row r="644" customFormat="1" ht="12.75"/>
    <row r="645" customFormat="1" ht="12.75"/>
    <row r="646" customFormat="1" ht="12.75"/>
    <row r="647" customFormat="1" ht="12.75"/>
    <row r="648" customFormat="1" ht="12.75"/>
    <row r="649" customFormat="1" ht="12.75"/>
    <row r="650" customFormat="1" ht="12.75"/>
    <row r="651" customFormat="1" ht="12.75"/>
    <row r="652" customFormat="1" ht="12.75"/>
    <row r="653" customFormat="1" ht="12.75"/>
    <row r="654" customFormat="1" ht="12.75"/>
    <row r="655" customFormat="1" ht="12.75"/>
    <row r="656" customFormat="1" ht="12.75"/>
    <row r="657" customFormat="1" ht="12.75"/>
    <row r="658" customFormat="1" ht="12.75"/>
    <row r="659" customFormat="1" ht="12.75"/>
    <row r="660" customFormat="1" ht="12.75"/>
    <row r="661" customFormat="1" ht="12.75"/>
    <row r="662" customFormat="1" ht="12.75"/>
    <row r="663" customFormat="1" ht="12.75"/>
    <row r="664" customFormat="1" ht="12.75"/>
    <row r="665" customFormat="1" ht="12.75"/>
    <row r="666" customFormat="1" ht="12.75"/>
    <row r="667" customFormat="1" ht="12.75"/>
    <row r="668" customFormat="1" ht="12.75"/>
    <row r="669" customFormat="1" ht="12.75"/>
    <row r="670" customFormat="1" ht="12.75"/>
    <row r="671" customFormat="1" ht="12.75"/>
    <row r="672" customFormat="1" ht="12.75"/>
    <row r="673" customFormat="1" ht="12.75"/>
    <row r="674" customFormat="1" ht="12.75"/>
    <row r="675" customFormat="1" ht="12.75"/>
    <row r="676" customFormat="1" ht="12.75"/>
    <row r="677" customFormat="1" ht="12.75"/>
    <row r="678" customFormat="1" ht="12.75"/>
    <row r="679" customFormat="1" ht="12.75"/>
    <row r="680" customFormat="1" ht="12.75"/>
    <row r="681" customFormat="1" ht="12.75"/>
    <row r="682" customFormat="1" ht="12.75"/>
    <row r="683" customFormat="1" ht="12.75"/>
    <row r="684" customFormat="1" ht="12.75"/>
    <row r="685" customFormat="1" ht="12.75"/>
    <row r="686" customFormat="1" ht="12.75"/>
    <row r="687" customFormat="1" ht="12.75"/>
    <row r="688" customFormat="1" ht="12.75"/>
    <row r="689" customFormat="1" ht="12.75"/>
    <row r="690" customFormat="1" ht="12.75"/>
    <row r="691" customFormat="1" ht="12.75"/>
    <row r="692" customFormat="1" ht="12.75"/>
    <row r="693" customFormat="1" ht="12.75"/>
    <row r="694" customFormat="1" ht="12.75"/>
    <row r="695" customFormat="1" ht="12.75"/>
    <row r="696" customFormat="1" ht="12.75"/>
    <row r="697" customFormat="1" ht="12.75"/>
    <row r="698" customFormat="1" ht="12.75"/>
    <row r="699" customFormat="1" ht="12.75"/>
    <row r="700" customFormat="1" ht="12.75"/>
    <row r="701" customFormat="1" ht="12.75"/>
    <row r="702" customFormat="1" ht="12.75"/>
    <row r="703" customFormat="1" ht="12.75"/>
    <row r="704" customFormat="1" ht="12.75"/>
    <row r="705" customFormat="1" ht="12.75"/>
    <row r="706" customFormat="1" ht="12.75"/>
    <row r="707" customFormat="1" ht="12.75"/>
    <row r="708" customFormat="1" ht="12.75"/>
    <row r="709" customFormat="1" ht="12.75"/>
    <row r="710" customFormat="1" ht="12.75"/>
    <row r="711" customFormat="1" ht="12.75"/>
    <row r="712" customFormat="1" ht="12.75"/>
    <row r="713" customFormat="1" ht="12.75"/>
    <row r="714" customFormat="1" ht="12.75"/>
    <row r="715" customFormat="1" ht="12.75"/>
    <row r="716" customFormat="1" ht="12.75"/>
    <row r="717" customFormat="1" ht="12.75"/>
    <row r="718" customFormat="1" ht="12.75"/>
    <row r="719" customFormat="1" ht="12.75"/>
    <row r="720" customFormat="1" ht="12.75"/>
    <row r="721" customFormat="1" ht="12.75"/>
    <row r="722" customFormat="1" ht="12.75"/>
    <row r="723" customFormat="1" ht="12.75"/>
    <row r="724" customFormat="1" ht="12.75"/>
    <row r="725" customFormat="1" ht="12.75"/>
    <row r="726" customFormat="1" ht="12.75"/>
    <row r="727" customFormat="1" ht="12.75"/>
    <row r="728" customFormat="1" ht="12.75"/>
    <row r="729" customFormat="1" ht="12.75"/>
    <row r="730" customFormat="1" ht="12.75"/>
    <row r="731" customFormat="1" ht="12.75"/>
    <row r="732" customFormat="1" ht="12.75"/>
    <row r="733" customFormat="1" ht="12.75"/>
    <row r="734" customFormat="1" ht="12.75"/>
    <row r="735" customFormat="1" ht="12.75"/>
    <row r="736" customFormat="1" ht="12.75"/>
    <row r="737" customFormat="1" ht="12.75"/>
    <row r="738" customFormat="1" ht="12.75"/>
    <row r="739" customFormat="1" ht="12.75"/>
    <row r="740" customFormat="1" ht="12.75"/>
    <row r="741" customFormat="1" ht="12.75"/>
    <row r="742" customFormat="1" ht="12.75"/>
    <row r="743" customFormat="1" ht="12.75"/>
    <row r="744" customFormat="1" ht="12.75"/>
    <row r="745" customFormat="1" ht="12.75"/>
    <row r="746" customFormat="1" ht="12.75"/>
    <row r="747" customFormat="1" ht="12.75"/>
    <row r="748" customFormat="1" ht="12.75"/>
    <row r="749" customFormat="1" ht="12.75"/>
    <row r="750" customFormat="1" ht="12.75"/>
    <row r="751" customFormat="1" ht="12.75"/>
    <row r="752" customFormat="1" ht="12.75"/>
    <row r="753" customFormat="1" ht="12.75"/>
    <row r="754" customFormat="1" ht="12.75"/>
    <row r="755" customFormat="1" ht="12.75"/>
    <row r="756" customFormat="1" ht="12.75"/>
    <row r="757" customFormat="1" ht="12.75"/>
    <row r="758" customFormat="1" ht="12.75"/>
    <row r="759" customFormat="1" ht="12.75"/>
    <row r="760" customFormat="1" ht="12.75"/>
    <row r="761" customFormat="1" ht="12.75"/>
    <row r="762" customFormat="1" ht="12.75"/>
    <row r="763" customFormat="1" ht="12.75"/>
    <row r="764" customFormat="1" ht="12.75"/>
    <row r="765" customFormat="1" ht="12.75"/>
    <row r="766" customFormat="1" ht="12.75"/>
    <row r="767" customFormat="1" ht="12.75"/>
    <row r="768" customFormat="1" ht="12.75"/>
    <row r="769" customFormat="1" ht="12.75"/>
    <row r="770" customFormat="1" ht="12.75"/>
    <row r="771" customFormat="1" ht="12.75"/>
    <row r="772" customFormat="1" ht="12.75"/>
    <row r="773" customFormat="1" ht="12.75"/>
    <row r="774" customFormat="1" ht="12.75"/>
    <row r="775" customFormat="1" ht="12.75"/>
    <row r="776" customFormat="1" ht="12.75"/>
    <row r="777" customFormat="1" ht="12.75"/>
    <row r="778" customFormat="1" ht="12.75"/>
    <row r="779" customFormat="1" ht="12.75"/>
    <row r="780" customFormat="1" ht="12.75"/>
    <row r="781" customFormat="1" ht="12.75"/>
    <row r="782" customFormat="1" ht="12.75"/>
    <row r="783" customFormat="1" ht="12.75"/>
    <row r="784" customFormat="1" ht="12.75"/>
    <row r="785" customFormat="1" ht="12.75"/>
    <row r="786" customFormat="1" ht="12.75"/>
    <row r="787" customFormat="1" ht="12.75"/>
    <row r="788" customFormat="1" ht="12.75"/>
    <row r="789" customFormat="1" ht="12.75"/>
    <row r="790" customFormat="1" ht="12.75"/>
    <row r="791" customFormat="1" ht="12.75"/>
    <row r="792" customFormat="1" ht="12.75"/>
    <row r="793" customFormat="1" ht="12.75"/>
    <row r="794" customFormat="1" ht="12.75"/>
    <row r="795" customFormat="1" ht="12.75"/>
    <row r="796" customFormat="1" ht="12.75"/>
    <row r="797" customFormat="1" ht="12.75"/>
    <row r="798" customFormat="1" ht="12.75"/>
    <row r="799" customFormat="1" ht="12.75"/>
    <row r="800" customFormat="1" ht="12.75"/>
    <row r="801" customFormat="1" ht="12.75"/>
    <row r="802" customFormat="1" ht="12.75"/>
    <row r="803" customFormat="1" ht="12.75"/>
    <row r="804" customFormat="1" ht="12.75"/>
    <row r="805" customFormat="1" ht="12.75"/>
    <row r="806" customFormat="1" ht="12.75"/>
    <row r="807" customFormat="1" ht="12.75"/>
    <row r="808" customFormat="1" ht="12.75"/>
    <row r="809" customFormat="1" ht="12.75"/>
    <row r="810" customFormat="1" ht="12.75"/>
    <row r="811" customFormat="1" ht="12.75"/>
    <row r="812" customFormat="1" ht="12.75"/>
    <row r="813" customFormat="1" ht="12.75"/>
    <row r="814" customFormat="1" ht="12.75"/>
    <row r="815" customFormat="1" ht="12.75"/>
    <row r="816" customFormat="1" ht="12.75"/>
    <row r="817" customFormat="1" ht="12.75"/>
    <row r="818" customFormat="1" ht="12.75"/>
    <row r="819" customFormat="1" ht="12.75"/>
    <row r="820" customFormat="1" ht="12.75"/>
    <row r="821" customFormat="1" ht="12.75"/>
    <row r="822" customFormat="1" ht="12.75"/>
    <row r="823" customFormat="1" ht="12.75"/>
    <row r="824" customFormat="1" ht="12.75"/>
    <row r="825" customFormat="1" ht="12.75"/>
    <row r="826" customFormat="1" ht="12.75"/>
    <row r="827" customFormat="1" ht="12.75"/>
    <row r="828" customFormat="1" ht="12.75"/>
    <row r="829" customFormat="1" ht="12.75"/>
    <row r="830" customFormat="1" ht="12.75"/>
    <row r="831" customFormat="1" ht="12.75"/>
    <row r="832" customFormat="1" ht="12.75"/>
    <row r="833" customFormat="1" ht="12.75"/>
    <row r="834" customFormat="1" ht="12.75"/>
    <row r="835" customFormat="1" ht="12.75"/>
    <row r="836" customFormat="1" ht="12.75"/>
    <row r="837" customFormat="1" ht="12.75"/>
    <row r="838" customFormat="1" ht="12.75"/>
    <row r="839" customFormat="1" ht="12.75"/>
    <row r="840" customFormat="1" ht="12.75"/>
    <row r="841" customFormat="1" ht="12.75"/>
    <row r="842" customFormat="1" ht="12.75"/>
    <row r="843" customFormat="1" ht="12.75"/>
    <row r="844" customFormat="1" ht="12.75"/>
    <row r="845" customFormat="1" ht="12.75"/>
    <row r="846" customFormat="1" ht="12.75"/>
    <row r="847" customFormat="1" ht="12.75"/>
    <row r="848" customFormat="1" ht="12.75"/>
    <row r="849" customFormat="1" ht="12.75"/>
    <row r="850" customFormat="1" ht="12.75"/>
    <row r="851" customFormat="1" ht="12.75"/>
    <row r="852" customFormat="1" ht="12.75"/>
    <row r="853" customFormat="1" ht="12.75"/>
    <row r="854" customFormat="1" ht="12.75"/>
    <row r="855" customFormat="1" ht="12.75"/>
    <row r="856" customFormat="1" ht="12.75"/>
    <row r="857" customFormat="1" ht="12.75"/>
    <row r="858" customFormat="1" ht="12.75"/>
    <row r="859" customFormat="1" ht="12.75"/>
    <row r="860" customFormat="1" ht="12.75"/>
    <row r="861" customFormat="1" ht="12.75"/>
    <row r="862" customFormat="1" ht="12.75"/>
    <row r="863" customFormat="1" ht="12.75"/>
    <row r="864" customFormat="1" ht="12.75"/>
    <row r="865" customFormat="1" ht="12.75"/>
    <row r="866" customFormat="1" ht="12.75"/>
    <row r="867" customFormat="1" ht="12.75"/>
    <row r="868" customFormat="1" ht="12.75"/>
    <row r="869" customFormat="1" ht="12.75"/>
    <row r="870" customFormat="1" ht="12.75"/>
    <row r="871" customFormat="1" ht="12.75"/>
    <row r="872" customFormat="1" ht="12.75"/>
    <row r="873" customFormat="1" ht="12.75"/>
    <row r="874" customFormat="1" ht="12.75"/>
    <row r="875" customFormat="1" ht="12.75"/>
    <row r="876" customFormat="1" ht="12.75"/>
    <row r="877" customFormat="1" ht="12.75"/>
    <row r="878" customFormat="1" ht="12.75"/>
    <row r="879" customFormat="1" ht="12.75"/>
    <row r="880" customFormat="1" ht="12.75"/>
    <row r="881" customFormat="1" ht="12.75"/>
    <row r="882" customFormat="1" ht="12.75"/>
    <row r="883" customFormat="1" ht="12.75"/>
    <row r="884" customFormat="1" ht="12.75"/>
    <row r="885" customFormat="1" ht="12.75"/>
    <row r="886" customFormat="1" ht="12.75"/>
    <row r="887" customFormat="1" ht="12.75"/>
    <row r="888" customFormat="1" ht="12.75"/>
    <row r="889" customFormat="1" ht="12.75"/>
    <row r="890" customFormat="1" ht="12.75"/>
    <row r="891" customFormat="1" ht="12.75"/>
    <row r="892" customFormat="1" ht="12.75"/>
    <row r="893" customFormat="1" ht="12.75"/>
    <row r="894" customFormat="1" ht="12.75"/>
    <row r="895" customFormat="1" ht="12.75"/>
    <row r="896" customFormat="1" ht="12.75"/>
    <row r="897" customFormat="1" ht="12.75"/>
    <row r="898" customFormat="1" ht="12.75"/>
    <row r="899" customFormat="1" ht="12.75"/>
    <row r="900" customFormat="1" ht="12.75"/>
    <row r="901" customFormat="1" ht="12.75"/>
    <row r="902" customFormat="1" ht="12.75"/>
    <row r="903" customFormat="1" ht="12.75"/>
    <row r="904" customFormat="1" ht="12.75"/>
    <row r="905" customFormat="1" ht="12.75"/>
    <row r="906" customFormat="1" ht="12.75"/>
    <row r="907" customFormat="1" ht="12.75"/>
    <row r="908" customFormat="1" ht="12.75"/>
    <row r="909" customFormat="1" ht="12.75"/>
    <row r="910" customFormat="1" ht="12.75"/>
    <row r="911" customFormat="1" ht="12.75"/>
    <row r="912" customFormat="1" ht="12.75"/>
    <row r="913" customFormat="1" ht="12.75"/>
    <row r="914" customFormat="1" ht="12.75"/>
    <row r="915" customFormat="1" ht="12.75"/>
    <row r="916" customFormat="1" ht="12.75"/>
    <row r="917" customFormat="1" ht="12.75"/>
    <row r="918" customFormat="1" ht="12.75"/>
    <row r="919" customFormat="1" ht="12.75"/>
    <row r="920" customFormat="1" ht="12.75"/>
    <row r="921" customFormat="1" ht="12.75"/>
    <row r="922" customFormat="1" ht="12.75"/>
    <row r="923" customFormat="1" ht="12.75"/>
    <row r="924" customFormat="1" ht="12.75"/>
    <row r="925" customFormat="1" ht="12.75"/>
    <row r="926" customFormat="1" ht="12.75"/>
    <row r="927" customFormat="1" ht="12.75"/>
    <row r="928" customFormat="1" ht="12.75"/>
    <row r="929" customFormat="1" ht="12.75"/>
    <row r="930" customFormat="1" ht="12.75"/>
    <row r="931" customFormat="1" ht="12.75"/>
    <row r="932" customFormat="1" ht="12.75"/>
    <row r="933" customFormat="1" ht="12.75"/>
    <row r="934" customFormat="1" ht="12.75"/>
    <row r="935" customFormat="1" ht="12.75"/>
    <row r="936" customFormat="1" ht="12.75"/>
    <row r="937" customFormat="1" ht="12.75"/>
    <row r="938" customFormat="1" ht="12.75"/>
    <row r="939" customFormat="1" ht="12.75"/>
    <row r="940" customFormat="1" ht="12.75"/>
    <row r="941" customFormat="1" ht="12.75"/>
    <row r="942" customFormat="1" ht="12.75"/>
    <row r="943" customFormat="1" ht="12.75"/>
    <row r="944" customFormat="1" ht="12.75"/>
    <row r="945" customFormat="1" ht="12.75"/>
    <row r="946" customFormat="1" ht="12.75"/>
    <row r="947" customFormat="1" ht="12.75"/>
    <row r="948" customFormat="1" ht="12.75"/>
    <row r="949" customFormat="1" ht="12.75"/>
    <row r="950" customFormat="1" ht="12.75"/>
    <row r="951" customFormat="1" ht="12.75"/>
    <row r="952" customFormat="1" ht="12.75"/>
    <row r="953" customFormat="1" ht="12.75"/>
    <row r="954" customFormat="1" ht="12.75"/>
    <row r="955" customFormat="1" ht="12.75"/>
    <row r="956" customFormat="1" ht="12.75"/>
    <row r="957" customFormat="1" ht="12.75"/>
    <row r="958" customFormat="1" ht="12.75"/>
    <row r="959" customFormat="1" ht="12.75"/>
    <row r="960" customFormat="1" ht="12.75"/>
    <row r="961" customFormat="1" ht="12.75"/>
    <row r="962" customFormat="1" ht="12.75"/>
    <row r="963" customFormat="1" ht="12.75"/>
    <row r="964" customFormat="1" ht="12.75"/>
    <row r="965" customFormat="1" ht="12.75"/>
    <row r="966" customFormat="1" ht="12.75"/>
    <row r="967" customFormat="1" ht="12.75"/>
    <row r="968" customFormat="1" ht="12.75"/>
    <row r="969" customFormat="1" ht="12.75"/>
    <row r="970" customFormat="1" ht="12.75"/>
    <row r="971" customFormat="1" ht="12.75"/>
    <row r="972" customFormat="1" ht="12.75"/>
    <row r="973" customFormat="1" ht="12.75"/>
    <row r="974" customFormat="1" ht="12.75"/>
    <row r="975" customFormat="1" ht="12.75"/>
    <row r="976" customFormat="1" ht="12.75"/>
    <row r="977" customFormat="1" ht="12.75"/>
    <row r="978" customFormat="1" ht="12.75"/>
    <row r="979" customFormat="1" ht="12.75"/>
    <row r="980" customFormat="1" ht="12.75"/>
    <row r="981" customFormat="1" ht="12.75"/>
    <row r="982" customFormat="1" ht="12.75"/>
    <row r="983" customFormat="1" ht="12.75"/>
    <row r="984" customFormat="1" ht="12.75"/>
    <row r="985" customFormat="1" ht="12.75"/>
    <row r="986" customFormat="1" ht="12.75"/>
    <row r="987" customFormat="1" ht="12.75"/>
    <row r="988" customFormat="1" ht="12.75"/>
    <row r="989" customFormat="1" ht="12.75"/>
    <row r="990" customFormat="1" ht="12.75"/>
    <row r="991" customFormat="1" ht="12.75"/>
    <row r="992" customFormat="1" ht="12.75"/>
    <row r="993" customFormat="1" ht="12.75"/>
    <row r="994" customFormat="1" ht="12.75"/>
    <row r="995" customFormat="1" ht="12.75"/>
    <row r="996" customFormat="1" ht="12.75"/>
    <row r="997" customFormat="1" ht="12.75"/>
    <row r="998" customFormat="1" ht="12.75"/>
    <row r="999" customFormat="1" ht="12.75"/>
    <row r="1000" customFormat="1" ht="12.75"/>
    <row r="1001" customFormat="1" ht="12.75"/>
    <row r="1002" customFormat="1" ht="12.75"/>
  </sheetData>
  <mergeCells count="17">
    <mergeCell ref="E154:O154"/>
    <mergeCell ref="E156:O156"/>
    <mergeCell ref="E158:O158"/>
    <mergeCell ref="E160:G162"/>
    <mergeCell ref="H160:H162"/>
    <mergeCell ref="L160:L162"/>
    <mergeCell ref="I160:K162"/>
    <mergeCell ref="M160:O162"/>
    <mergeCell ref="M164:O164"/>
    <mergeCell ref="M166:O166"/>
    <mergeCell ref="M168:O168"/>
    <mergeCell ref="I168:K169"/>
    <mergeCell ref="E164:G164"/>
    <mergeCell ref="E166:G166"/>
    <mergeCell ref="E168:G168"/>
    <mergeCell ref="I164:K164"/>
    <mergeCell ref="I166:K166"/>
  </mergeCells>
  <phoneticPr fontId="60" type="noConversion"/>
  <pageMargins left="0.75" right="0.75" top="1" bottom="1" header="0.5" footer="0.5"/>
  <pageSetup paperSize="9" scale="59"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
    <tabColor indexed="44"/>
  </sheetPr>
  <dimension ref="A1:AF2663"/>
  <sheetViews>
    <sheetView showGridLines="0" workbookViewId="0">
      <pane xSplit="6" ySplit="3" topLeftCell="N25" activePane="bottomRight" state="frozen"/>
      <selection pane="topRight" activeCell="G1" sqref="G1"/>
      <selection pane="bottomLeft" activeCell="A4" sqref="A4"/>
      <selection pane="bottomRight" activeCell="AC60" sqref="AC60"/>
    </sheetView>
  </sheetViews>
  <sheetFormatPr defaultRowHeight="12.75"/>
  <cols>
    <col min="1" max="1" width="4.5703125" style="3" customWidth="1"/>
    <col min="2" max="2" width="14" style="2" customWidth="1"/>
    <col min="3" max="3" width="13.42578125" style="1" customWidth="1"/>
    <col min="4" max="4" width="10.7109375" style="1" customWidth="1"/>
    <col min="5" max="5" width="6.5703125" style="1" customWidth="1"/>
    <col min="6" max="6" width="57.85546875" style="1" customWidth="1"/>
    <col min="7" max="24" width="9" style="542" customWidth="1"/>
    <col min="25" max="25" width="7.7109375" style="542" bestFit="1" customWidth="1"/>
    <col min="26" max="26" width="10" style="542" customWidth="1"/>
    <col min="27" max="32" width="9" style="542" customWidth="1"/>
    <col min="33" max="37" width="9" style="1" customWidth="1"/>
    <col min="38" max="16384" width="9.140625" style="1"/>
  </cols>
  <sheetData>
    <row r="1" spans="1:32" ht="42" customHeight="1" thickBot="1">
      <c r="A1" s="3752" t="s">
        <v>1312</v>
      </c>
      <c r="B1" s="3752"/>
      <c r="C1" s="3752"/>
      <c r="D1" s="3752"/>
      <c r="E1" s="3752"/>
      <c r="F1" s="3752"/>
      <c r="G1" s="541"/>
      <c r="H1" s="541"/>
      <c r="I1" s="541"/>
    </row>
    <row r="2" spans="1:32" ht="12" customHeight="1">
      <c r="A2" s="8" t="s">
        <v>529</v>
      </c>
      <c r="B2" s="4"/>
      <c r="C2" s="4"/>
      <c r="D2" s="5"/>
      <c r="E2" s="6"/>
      <c r="F2" s="7"/>
      <c r="G2" s="520"/>
      <c r="H2" s="520"/>
      <c r="I2" s="520"/>
      <c r="J2" s="520"/>
      <c r="K2" s="520"/>
      <c r="L2" s="520"/>
      <c r="M2" s="520"/>
      <c r="N2" s="520"/>
      <c r="O2" s="520"/>
      <c r="P2" s="520"/>
      <c r="Q2" s="520"/>
      <c r="R2" s="520"/>
      <c r="S2" s="520"/>
      <c r="T2" s="520"/>
      <c r="U2" s="520"/>
      <c r="V2" s="520"/>
      <c r="W2" s="520"/>
      <c r="X2" s="520"/>
      <c r="Y2" s="520"/>
      <c r="Z2" s="520"/>
      <c r="AA2" s="520"/>
      <c r="AB2" s="520"/>
      <c r="AC2" s="520"/>
      <c r="AD2" s="520"/>
      <c r="AE2" s="520"/>
      <c r="AF2" s="520"/>
    </row>
    <row r="3" spans="1:32" s="527" customFormat="1" ht="24.75" customHeight="1">
      <c r="A3" s="521" t="s">
        <v>530</v>
      </c>
      <c r="B3" s="522" t="s">
        <v>1072</v>
      </c>
      <c r="C3" s="522" t="s">
        <v>531</v>
      </c>
      <c r="D3" s="523" t="s">
        <v>1998</v>
      </c>
      <c r="E3" s="524" t="s">
        <v>1999</v>
      </c>
      <c r="F3" s="525" t="s">
        <v>2000</v>
      </c>
      <c r="G3" s="526">
        <v>1995</v>
      </c>
      <c r="H3" s="526">
        <f>G3+1</f>
        <v>1996</v>
      </c>
      <c r="I3" s="526">
        <f t="shared" ref="I3:AF3" si="0">H3+1</f>
        <v>1997</v>
      </c>
      <c r="J3" s="526">
        <f t="shared" si="0"/>
        <v>1998</v>
      </c>
      <c r="K3" s="526">
        <f t="shared" si="0"/>
        <v>1999</v>
      </c>
      <c r="L3" s="526">
        <f t="shared" si="0"/>
        <v>2000</v>
      </c>
      <c r="M3" s="526">
        <f t="shared" si="0"/>
        <v>2001</v>
      </c>
      <c r="N3" s="526">
        <f t="shared" si="0"/>
        <v>2002</v>
      </c>
      <c r="O3" s="526">
        <f t="shared" si="0"/>
        <v>2003</v>
      </c>
      <c r="P3" s="526">
        <f t="shared" si="0"/>
        <v>2004</v>
      </c>
      <c r="Q3" s="526">
        <f t="shared" si="0"/>
        <v>2005</v>
      </c>
      <c r="R3" s="526">
        <f t="shared" si="0"/>
        <v>2006</v>
      </c>
      <c r="S3" s="526">
        <f t="shared" si="0"/>
        <v>2007</v>
      </c>
      <c r="T3" s="526">
        <f t="shared" si="0"/>
        <v>2008</v>
      </c>
      <c r="U3" s="526">
        <f t="shared" si="0"/>
        <v>2009</v>
      </c>
      <c r="V3" s="526">
        <f t="shared" si="0"/>
        <v>2010</v>
      </c>
      <c r="W3" s="526">
        <f t="shared" si="0"/>
        <v>2011</v>
      </c>
      <c r="X3" s="526">
        <f t="shared" si="0"/>
        <v>2012</v>
      </c>
      <c r="Y3" s="526">
        <f t="shared" si="0"/>
        <v>2013</v>
      </c>
      <c r="Z3" s="526">
        <f t="shared" si="0"/>
        <v>2014</v>
      </c>
      <c r="AA3" s="526">
        <f t="shared" si="0"/>
        <v>2015</v>
      </c>
      <c r="AB3" s="526">
        <f t="shared" si="0"/>
        <v>2016</v>
      </c>
      <c r="AC3" s="526">
        <f t="shared" si="0"/>
        <v>2017</v>
      </c>
      <c r="AD3" s="526">
        <f t="shared" si="0"/>
        <v>2018</v>
      </c>
      <c r="AE3" s="526">
        <f t="shared" si="0"/>
        <v>2019</v>
      </c>
      <c r="AF3" s="526">
        <f t="shared" si="0"/>
        <v>2020</v>
      </c>
    </row>
    <row r="4" spans="1:32">
      <c r="A4" s="530">
        <v>75</v>
      </c>
      <c r="B4" s="531" t="s">
        <v>1073</v>
      </c>
      <c r="C4" s="532"/>
      <c r="D4" s="9" t="s">
        <v>1075</v>
      </c>
      <c r="E4" s="10">
        <v>10</v>
      </c>
      <c r="F4" s="11" t="str">
        <f>VLOOKUP($E$4,[1]NP!$A$2:$FA$100, 3, FALSE)</f>
        <v xml:space="preserve">10  Population; total            </v>
      </c>
      <c r="G4" s="543">
        <f>IF(VLOOKUP($E$4,[1]NP!$A$2:$FA$100, 6, FALSE)="",":",VLOOKUP($E$4,[1]NP!$A$2:$FA$100, 6, FALSE))</f>
        <v>3629.1015000000002</v>
      </c>
      <c r="H4" s="543">
        <f>IF(VLOOKUP($E$4,[1]NP!$A$2:$FA$100, 7, FALSE)="",":",VLOOKUP($E$4,[1]NP!$A$2:$FA$100, 7, FALSE))</f>
        <v>3601.6125000000002</v>
      </c>
      <c r="I4" s="543">
        <f>IF(VLOOKUP($E$4,[1]NP!$A$2:$FA$100, 8, FALSE)="",":",VLOOKUP($E$4,[1]NP!$A$2:$FA$100, 8, FALSE))</f>
        <v>3575.1370000000002</v>
      </c>
      <c r="J4" s="543">
        <f>IF(VLOOKUP($E$4,[1]NP!$A$2:$FA$100, 9, FALSE)="",":",VLOOKUP($E$4,[1]NP!$A$2:$FA$100, 9, FALSE))</f>
        <v>3549.3310000000001</v>
      </c>
      <c r="K4" s="543">
        <f>IF(VLOOKUP($E$4,[1]NP!$A$2:$FA$100, 10, FALSE)="",":",VLOOKUP($E$4,[1]NP!$A$2:$FA$100, 10, FALSE))</f>
        <v>3524.2375000000002</v>
      </c>
      <c r="L4" s="543">
        <f>IF(VLOOKUP($E$4,[1]NP!$A$2:$FA$100, 11, FALSE)="",":",VLOOKUP($E$4,[1]NP!$A$2:$FA$100, 11, FALSE))</f>
        <v>3499.5360000000001</v>
      </c>
      <c r="M4" s="543">
        <f>IF(VLOOKUP($E$4,[1]NP!$A$2:$FA$100, 12, FALSE)="",":",VLOOKUP($E$4,[1]NP!$A$2:$FA$100, 12, FALSE))</f>
        <v>3470.8175000000001</v>
      </c>
      <c r="N4" s="543">
        <f>IF(VLOOKUP($E$4,[1]NP!$A$2:$FA$100, 13, FALSE)="",":",VLOOKUP($E$4,[1]NP!$A$2:$FA$100, 13, FALSE))</f>
        <v>3443.067</v>
      </c>
      <c r="O4" s="543">
        <f>IF(VLOOKUP($E$4,[1]NP!$A$2:$FA$100, 14, FALSE)="",":",VLOOKUP($E$4,[1]NP!$A$2:$FA$100, 14, FALSE))</f>
        <v>3415.2130000000002</v>
      </c>
      <c r="P4" s="543">
        <f>IF(VLOOKUP($E$4,[1]NP!$A$2:$FA$100, 15, FALSE)="",":",VLOOKUP($E$4,[1]NP!$A$2:$FA$100, 15, FALSE))</f>
        <v>3377.0745000000002</v>
      </c>
      <c r="Q4" s="543">
        <f>IF(VLOOKUP($E$4,[1]NP!$A$2:$FA$100, 16, FALSE)="",":",VLOOKUP($E$4,[1]NP!$A$2:$FA$100, 16, FALSE))</f>
        <v>3322.5275000000001</v>
      </c>
      <c r="R4" s="543">
        <f>IF(VLOOKUP($E$4,[1]NP!$A$2:$FA$100, 17, FALSE)="",":",VLOOKUP($E$4,[1]NP!$A$2:$FA$100, 17, FALSE))</f>
        <v>3269.9090000000001</v>
      </c>
      <c r="S4" s="543">
        <f>IF(VLOOKUP($E$4,[1]NP!$A$2:$FA$100, 18, FALSE)="",":",VLOOKUP($E$4,[1]NP!$A$2:$FA$100, 18, FALSE))</f>
        <v>3231.2939999999999</v>
      </c>
      <c r="T4" s="543">
        <f>IF(VLOOKUP($E$4,[1]NP!$A$2:$FA$100, 19, FALSE)="",":",VLOOKUP($E$4,[1]NP!$A$2:$FA$100, 19, FALSE))</f>
        <v>3198.2305000000001</v>
      </c>
      <c r="U4" s="543">
        <f>IF(VLOOKUP($E$4,[1]NP!$A$2:$FA$100, 20, FALSE)="",":",VLOOKUP($E$4,[1]NP!$A$2:$FA$100, 20, FALSE))</f>
        <v>3162.9160000000002</v>
      </c>
      <c r="V4" s="543">
        <f>IF(VLOOKUP($E$4,[1]NP!$A$2:$FA$100, 21, FALSE)="",":",VLOOKUP($E$4,[1]NP!$A$2:$FA$100, 21, FALSE))</f>
        <v>3097.2820000000002</v>
      </c>
      <c r="W4" s="543">
        <f>IF(VLOOKUP($E$4,[1]NP!$A$2:$FA$100, 22, FALSE)="",":",VLOOKUP($E$4,[1]NP!$A$2:$FA$100, 22, FALSE))</f>
        <v>3028.1145000000001</v>
      </c>
      <c r="X4" s="543">
        <f>IF(VLOOKUP($E$4,[1]NP!$A$2:$FA$100, 23, FALSE)="",":",VLOOKUP($E$4,[1]NP!$A$2:$FA$100, 23, FALSE))</f>
        <v>2987.7730000000001</v>
      </c>
      <c r="Y4" s="543">
        <f>IF(VLOOKUP($E$4,[1]NP!$A$2:$FA$100, 24, FALSE)="",":",VLOOKUP($E$4,[1]NP!$A$2:$FA$100, 24, FALSE))</f>
        <v>2957.6885000000002</v>
      </c>
      <c r="Z4" s="543">
        <f>IF(VLOOKUP($E$4,[1]NP!$A$2:$FA$100, 25, FALSE)="",":",VLOOKUP($E$4,[1]NP!$A$2:$FA$100, 25, FALSE))</f>
        <v>2932.3670000000002</v>
      </c>
      <c r="AA4" s="543">
        <f>IF(VLOOKUP($E$4,[1]NP!$A$2:$FA$100, 26, FALSE)="",":",VLOOKUP($E$4,[1]NP!$A$2:$FA$100, 26, FALSE))</f>
        <v>2904.91</v>
      </c>
      <c r="AB4" s="543">
        <f>IF(VLOOKUP($E$4,[1]NP!$A$2:$FA$100, 27, FALSE)="",":",VLOOKUP($E$4,[1]NP!$A$2:$FA$100, 27, FALSE))</f>
        <v>2868.2310000000002</v>
      </c>
      <c r="AC4" s="543" t="str">
        <f>IF(VLOOKUP($E$4,[1]NP!$A$2:$FA$100, 28, FALSE)="",":",VLOOKUP($E$4,[1]NP!$A$2:$FA$100, 28, FALSE))</f>
        <v>:</v>
      </c>
      <c r="AD4" s="543" t="str">
        <f>IF(VLOOKUP($E$4,[1]NP!$A$2:$FA$100, 29, FALSE)="",":",VLOOKUP($E$4,[1]NP!$A$2:$FA$100, 29, FALSE))</f>
        <v>:</v>
      </c>
      <c r="AE4" s="543" t="str">
        <f>IF(VLOOKUP($E$4,[1]NP!$A$2:$FA$100, 30, FALSE)="",":",VLOOKUP($E$4,[1]NP!$A$2:$FA$100, 30, FALSE))</f>
        <v>:</v>
      </c>
      <c r="AF4" s="543" t="str">
        <f>IF(VLOOKUP($E$4,[1]NP!$A$2:$FA$100, 31, FALSE)="",":",VLOOKUP($E$4,[1]NP!$A$2:$FA$100, 31, FALSE))</f>
        <v>:</v>
      </c>
    </row>
    <row r="5" spans="1:32">
      <c r="A5" s="533">
        <v>76</v>
      </c>
      <c r="B5" s="534" t="s">
        <v>1074</v>
      </c>
      <c r="C5" s="535"/>
      <c r="D5" s="12" t="s">
        <v>1075</v>
      </c>
      <c r="E5" s="13">
        <v>12</v>
      </c>
      <c r="F5" s="14" t="str">
        <f>VLOOKUP($E$5,[1]NP!$A$2:$FA$300, 3, FALSE)</f>
        <v xml:space="preserve">12  Population; 15 to 64 years   </v>
      </c>
      <c r="G5" s="544">
        <f>IF(VLOOKUP($E$5,[1]NP!$A$2:$FA$300, 6, FALSE)="",":",VLOOKUP($E$5,[1]NP!$A$2:$FA$300, 6, FALSE))</f>
        <v>2391.0625</v>
      </c>
      <c r="H5" s="544">
        <f>IF(VLOOKUP($E$5,[1]NP!$A$2:$FA$300, 7, FALSE)="",":",VLOOKUP($E$5,[1]NP!$A$2:$FA$300, 7, FALSE))</f>
        <v>2371.0374999999999</v>
      </c>
      <c r="I5" s="544">
        <f>IF(VLOOKUP($E$5,[1]NP!$A$2:$FA$300, 8, FALSE)="",":",VLOOKUP($E$5,[1]NP!$A$2:$FA$300, 8, FALSE))</f>
        <v>2352.2280000000001</v>
      </c>
      <c r="J5" s="544">
        <f>IF(VLOOKUP($E$5,[1]NP!$A$2:$FA$300, 9, FALSE)="",":",VLOOKUP($E$5,[1]NP!$A$2:$FA$300, 9, FALSE))</f>
        <v>2336.0925000000002</v>
      </c>
      <c r="K5" s="544">
        <f>IF(VLOOKUP($E$5,[1]NP!$A$2:$FA$300, 10, FALSE)="",":",VLOOKUP($E$5,[1]NP!$A$2:$FA$300, 10, FALSE))</f>
        <v>2324.3265000000001</v>
      </c>
      <c r="L5" s="544">
        <f>IF(VLOOKUP($E$5,[1]NP!$A$2:$FA$300, 11, FALSE)="",":",VLOOKUP($E$5,[1]NP!$A$2:$FA$300, 11, FALSE))</f>
        <v>2317.4430000000002</v>
      </c>
      <c r="M5" s="544">
        <f>IF(VLOOKUP($E$5,[1]NP!$A$2:$FA$300, 12, FALSE)="",":",VLOOKUP($E$5,[1]NP!$A$2:$FA$300, 12, FALSE))</f>
        <v>2307.1170000000002</v>
      </c>
      <c r="N5" s="544">
        <f>IF(VLOOKUP($E$5,[1]NP!$A$2:$FA$300, 13, FALSE)="",":",VLOOKUP($E$5,[1]NP!$A$2:$FA$300, 13, FALSE))</f>
        <v>2296.346</v>
      </c>
      <c r="O5" s="544">
        <f>IF(VLOOKUP($E$5,[1]NP!$A$2:$FA$300, 14, FALSE)="",":",VLOOKUP($E$5,[1]NP!$A$2:$FA$300, 14, FALSE))</f>
        <v>2284.8705</v>
      </c>
      <c r="P5" s="544">
        <f>IF(VLOOKUP($E$5,[1]NP!$A$2:$FA$300, 15, FALSE)="",":",VLOOKUP($E$5,[1]NP!$A$2:$FA$300, 15, FALSE))</f>
        <v>2263.1680000000001</v>
      </c>
      <c r="Q5" s="544">
        <f>IF(VLOOKUP($E$5,[1]NP!$A$2:$FA$300, 16, FALSE)="",":",VLOOKUP($E$5,[1]NP!$A$2:$FA$300, 16, FALSE))</f>
        <v>2229.7080000000001</v>
      </c>
      <c r="R5" s="544">
        <f>IF(VLOOKUP($E$5,[1]NP!$A$2:$FA$300, 17, FALSE)="",":",VLOOKUP($E$5,[1]NP!$A$2:$FA$300, 17, FALSE))</f>
        <v>2198.5655000000002</v>
      </c>
      <c r="S5" s="544">
        <f>IF(VLOOKUP($E$5,[1]NP!$A$2:$FA$300, 18, FALSE)="",":",VLOOKUP($E$5,[1]NP!$A$2:$FA$300, 18, FALSE))</f>
        <v>2178.6444999999999</v>
      </c>
      <c r="T5" s="544">
        <f>IF(VLOOKUP($E$5,[1]NP!$A$2:$FA$300, 19, FALSE)="",":",VLOOKUP($E$5,[1]NP!$A$2:$FA$300, 19, FALSE))</f>
        <v>2161.7640000000001</v>
      </c>
      <c r="U5" s="544">
        <f>IF(VLOOKUP($E$5,[1]NP!$A$2:$FA$300, 20, FALSE)="",":",VLOOKUP($E$5,[1]NP!$A$2:$FA$300, 20, FALSE))</f>
        <v>2140.7370000000001</v>
      </c>
      <c r="V5" s="544">
        <f>IF(VLOOKUP($E$5,[1]NP!$A$2:$FA$300, 21, FALSE)="",":",VLOOKUP($E$5,[1]NP!$A$2:$FA$300, 21, FALSE))</f>
        <v>2089.953</v>
      </c>
      <c r="W5" s="544">
        <f>IF(VLOOKUP($E$5,[1]NP!$A$2:$FA$300, 22, FALSE)="",":",VLOOKUP($E$5,[1]NP!$A$2:$FA$300, 22, FALSE))</f>
        <v>2034.5550000000001</v>
      </c>
      <c r="X5" s="544">
        <f>IF(VLOOKUP($E$5,[1]NP!$A$2:$FA$300, 23, FALSE)="",":",VLOOKUP($E$5,[1]NP!$A$2:$FA$300, 23, FALSE))</f>
        <v>2004.6890000000001</v>
      </c>
      <c r="Y5" s="544">
        <f>IF(VLOOKUP($E$5,[1]NP!$A$2:$FA$300, 24, FALSE)="",":",VLOOKUP($E$5,[1]NP!$A$2:$FA$300, 24, FALSE))</f>
        <v>1981.8879999999999</v>
      </c>
      <c r="Z5" s="544">
        <f>IF(VLOOKUP($E$5,[1]NP!$A$2:$FA$300, 25, FALSE)="",":",VLOOKUP($E$5,[1]NP!$A$2:$FA$300, 25, FALSE))</f>
        <v>1959.665</v>
      </c>
      <c r="AA5" s="544">
        <f>IF(VLOOKUP($E$5,[1]NP!$A$2:$FA$300, 26, FALSE)="",":",VLOOKUP($E$5,[1]NP!$A$2:$FA$300, 26, FALSE))</f>
        <v>1932.4845</v>
      </c>
      <c r="AB5" s="544">
        <f>IF(VLOOKUP($E$5,[1]NP!$A$2:$FA$300, 27, FALSE)="",":",VLOOKUP($E$5,[1]NP!$A$2:$FA$300, 27, FALSE))</f>
        <v>1895.9345000000001</v>
      </c>
      <c r="AC5" s="544" t="str">
        <f>IF(VLOOKUP($E$5,[1]NP!$A$2:$FA$300, 28, FALSE)="",":",VLOOKUP($E$5,[1]NP!$A$2:$FA$300, 28, FALSE))</f>
        <v>:</v>
      </c>
      <c r="AD5" s="544" t="str">
        <f>IF(VLOOKUP($E$5,[1]NP!$A$2:$FA$300, 29, FALSE)="",":",VLOOKUP($E$5,[1]NP!$A$2:$FA$300, 29, FALSE))</f>
        <v>:</v>
      </c>
      <c r="AE5" s="544" t="str">
        <f>IF(VLOOKUP($E$5,[1]NP!$A$2:$FA$300, 30, FALSE)="",":",VLOOKUP($E$5,[1]NP!$A$2:$FA$300, 30, FALSE))</f>
        <v>:</v>
      </c>
      <c r="AF5" s="544" t="str">
        <f>IF(VLOOKUP($E$5,[1]NP!$A$2:$FA$300, 31, FALSE)="",":",VLOOKUP($E$5,[1]NP!$A$2:$FA$300, 31, FALSE))</f>
        <v>:</v>
      </c>
    </row>
    <row r="6" spans="1:32">
      <c r="A6" s="533"/>
      <c r="B6" s="534"/>
      <c r="C6" s="535"/>
      <c r="D6" s="12" t="s">
        <v>1075</v>
      </c>
      <c r="E6" s="13">
        <v>14</v>
      </c>
      <c r="F6" s="14" t="str">
        <f>VLOOKUP($E$6,[1]NP!$A$2:$FA$300, 3, FALSE)</f>
        <v xml:space="preserve">14  Population; 15 to 74 years   </v>
      </c>
      <c r="G6" s="544">
        <f>IF(VLOOKUP($E$6,[1]NP!$A$2:$FA$300, 6, FALSE)="",":",VLOOKUP($E$6,[1]NP!$A$2:$FA$300, 6, FALSE))</f>
        <v>2682.0945000000002</v>
      </c>
      <c r="H6" s="544">
        <f>IF(VLOOKUP($E$6,[1]NP!$A$2:$FA$300, 7, FALSE)="",":",VLOOKUP($E$6,[1]NP!$A$2:$FA$300, 7, FALSE))</f>
        <v>2668.8004999999998</v>
      </c>
      <c r="I6" s="544">
        <f>IF(VLOOKUP($E$6,[1]NP!$A$2:$FA$300, 8, FALSE)="",":",VLOOKUP($E$6,[1]NP!$A$2:$FA$300, 8, FALSE))</f>
        <v>2655.2939999999999</v>
      </c>
      <c r="J6" s="544">
        <f>IF(VLOOKUP($E$6,[1]NP!$A$2:$FA$300, 9, FALSE)="",":",VLOOKUP($E$6,[1]NP!$A$2:$FA$300, 9, FALSE))</f>
        <v>2642.944</v>
      </c>
      <c r="K6" s="544">
        <f>IF(VLOOKUP($E$6,[1]NP!$A$2:$FA$300, 10, FALSE)="",":",VLOOKUP($E$6,[1]NP!$A$2:$FA$300, 10, FALSE))</f>
        <v>2632.3584999999998</v>
      </c>
      <c r="L6" s="544">
        <f>IF(VLOOKUP($E$6,[1]NP!$A$2:$FA$300, 11, FALSE)="",":",VLOOKUP($E$6,[1]NP!$A$2:$FA$300, 11, FALSE))</f>
        <v>2625.9234999999999</v>
      </c>
      <c r="M6" s="544">
        <f>IF(VLOOKUP($E$6,[1]NP!$A$2:$FA$300, 12, FALSE)="",":",VLOOKUP($E$6,[1]NP!$A$2:$FA$300, 12, FALSE))</f>
        <v>2619.1475</v>
      </c>
      <c r="N6" s="544">
        <f>IF(VLOOKUP($E$6,[1]NP!$A$2:$FA$300, 13, FALSE)="",":",VLOOKUP($E$6,[1]NP!$A$2:$FA$300, 13, FALSE))</f>
        <v>2612.5324999999998</v>
      </c>
      <c r="O6" s="544">
        <f>IF(VLOOKUP($E$6,[1]NP!$A$2:$FA$300, 14, FALSE)="",":",VLOOKUP($E$6,[1]NP!$A$2:$FA$300, 14, FALSE))</f>
        <v>2602.4859999999999</v>
      </c>
      <c r="P6" s="544">
        <f>IF(VLOOKUP($E$6,[1]NP!$A$2:$FA$300, 15, FALSE)="",":",VLOOKUP($E$6,[1]NP!$A$2:$FA$300, 15, FALSE))</f>
        <v>2580.7840000000001</v>
      </c>
      <c r="Q6" s="544">
        <f>IF(VLOOKUP($E$6,[1]NP!$A$2:$FA$300, 16, FALSE)="",":",VLOOKUP($E$6,[1]NP!$A$2:$FA$300, 16, FALSE))</f>
        <v>2545.3955000000001</v>
      </c>
      <c r="R6" s="544">
        <f>IF(VLOOKUP($E$6,[1]NP!$A$2:$FA$300, 17, FALSE)="",":",VLOOKUP($E$6,[1]NP!$A$2:$FA$300, 17, FALSE))</f>
        <v>2512.1044999999999</v>
      </c>
      <c r="S6" s="544">
        <f>IF(VLOOKUP($E$6,[1]NP!$A$2:$FA$300, 18, FALSE)="",":",VLOOKUP($E$6,[1]NP!$A$2:$FA$300, 18, FALSE))</f>
        <v>2490.4475000000002</v>
      </c>
      <c r="T6" s="544">
        <f>IF(VLOOKUP($E$6,[1]NP!$A$2:$FA$300, 19, FALSE)="",":",VLOOKUP($E$6,[1]NP!$A$2:$FA$300, 19, FALSE))</f>
        <v>2470.4115000000002</v>
      </c>
      <c r="U6" s="544">
        <f>IF(VLOOKUP($E$6,[1]NP!$A$2:$FA$300, 20, FALSE)="",":",VLOOKUP($E$6,[1]NP!$A$2:$FA$300, 20, FALSE))</f>
        <v>2443.6925000000001</v>
      </c>
      <c r="V6" s="544">
        <f>IF(VLOOKUP($E$6,[1]NP!$A$2:$FA$300, 21, FALSE)="",":",VLOOKUP($E$6,[1]NP!$A$2:$FA$300, 21, FALSE))</f>
        <v>2386.9639999999999</v>
      </c>
      <c r="W6" s="544">
        <f>IF(VLOOKUP($E$6,[1]NP!$A$2:$FA$300, 22, FALSE)="",":",VLOOKUP($E$6,[1]NP!$A$2:$FA$300, 22, FALSE))</f>
        <v>2325.0210000000002</v>
      </c>
      <c r="X6" s="544">
        <f>IF(VLOOKUP($E$6,[1]NP!$A$2:$FA$300, 23, FALSE)="",":",VLOOKUP($E$6,[1]NP!$A$2:$FA$300, 23, FALSE))</f>
        <v>2287.8645000000001</v>
      </c>
      <c r="Y6" s="544">
        <f>IF(VLOOKUP($E$6,[1]NP!$A$2:$FA$300, 24, FALSE)="",":",VLOOKUP($E$6,[1]NP!$A$2:$FA$300, 24, FALSE))</f>
        <v>2260.1354999999999</v>
      </c>
      <c r="Z6" s="544">
        <f>IF(VLOOKUP($E$6,[1]NP!$A$2:$FA$300, 25, FALSE)="",":",VLOOKUP($E$6,[1]NP!$A$2:$FA$300, 25, FALSE))</f>
        <v>2236.3919999999998</v>
      </c>
      <c r="AA6" s="544">
        <f>IF(VLOOKUP($E$6,[1]NP!$A$2:$FA$300, 26, FALSE)="",":",VLOOKUP($E$6,[1]NP!$A$2:$FA$300, 26, FALSE))</f>
        <v>2209.2745</v>
      </c>
      <c r="AB6" s="544">
        <f>IF(VLOOKUP($E$6,[1]NP!$A$2:$FA$300, 27, FALSE)="",":",VLOOKUP($E$6,[1]NP!$A$2:$FA$300, 27, FALSE))</f>
        <v>2171.87</v>
      </c>
      <c r="AC6" s="544" t="str">
        <f>IF(VLOOKUP($E$6,[1]NP!$A$2:$FA$300, 28, FALSE)="",":",VLOOKUP($E$6,[1]NP!$A$2:$FA$300, 28, FALSE))</f>
        <v>:</v>
      </c>
      <c r="AD6" s="544" t="str">
        <f>IF(VLOOKUP($E$6,[1]NP!$A$2:$FA$300, 29, FALSE)="",":",VLOOKUP($E$6,[1]NP!$A$2:$FA$300, 29, FALSE))</f>
        <v>:</v>
      </c>
      <c r="AE6" s="544" t="str">
        <f>IF(VLOOKUP($E$6,[1]NP!$A$2:$FA$300, 30, FALSE)="",":",VLOOKUP($E$6,[1]NP!$A$2:$FA$300, 30, FALSE))</f>
        <v>:</v>
      </c>
      <c r="AF6" s="544" t="str">
        <f>IF(VLOOKUP($E$6,[1]NP!$A$2:$FA$300, 31, FALSE)="",":",VLOOKUP($E$6,[1]NP!$A$2:$FA$300, 31, FALSE))</f>
        <v>:</v>
      </c>
    </row>
    <row r="7" spans="1:32">
      <c r="A7" s="533">
        <v>59</v>
      </c>
      <c r="B7" s="534" t="s">
        <v>553</v>
      </c>
      <c r="C7" s="535"/>
      <c r="D7" s="12" t="s">
        <v>1076</v>
      </c>
      <c r="E7" s="13">
        <v>10</v>
      </c>
      <c r="F7" s="14" t="str">
        <f>VLOOKUP($E$7,[1]NN!$A$2:$FA$102, 3, FALSE)</f>
        <v xml:space="preserve">10  Employment - Total economy                                    </v>
      </c>
      <c r="G7" s="544" t="str">
        <f>IF(VLOOKUP($E$7,[1]NN!$A$2:$FA$102, 6, FALSE)="",":",VLOOKUP($E$7,[1]NN!$A$2:$FA$102, 6, FALSE))</f>
        <v>:</v>
      </c>
      <c r="H7" s="544" t="str">
        <f>IF(VLOOKUP($E$7,[1]NN!$A$2:$FA$102, 7, FALSE)="",":",VLOOKUP($E$7,[1]NN!$A$2:$FA$102, 7, FALSE))</f>
        <v>:</v>
      </c>
      <c r="I7" s="544" t="str">
        <f>IF(VLOOKUP($E$7,[1]NN!$A$2:$FA$102, 8, FALSE)="",":",VLOOKUP($E$7,[1]NN!$A$2:$FA$102, 8, FALSE))</f>
        <v>:</v>
      </c>
      <c r="J7" s="544" t="str">
        <f>IF(VLOOKUP($E$7,[1]NN!$A$2:$FA$102, 9, FALSE)="",":",VLOOKUP($E$7,[1]NN!$A$2:$FA$102, 9, FALSE))</f>
        <v>:</v>
      </c>
      <c r="K7" s="544" t="str">
        <f>IF(VLOOKUP($E$7,[1]NN!$A$2:$FA$102, 10, FALSE)="",":",VLOOKUP($E$7,[1]NN!$A$2:$FA$102, 10, FALSE))</f>
        <v>:</v>
      </c>
      <c r="L7" s="544">
        <f>IF(VLOOKUP($E$7,[1]NN!$A$2:$FA$102, 11, FALSE)="",":",VLOOKUP($E$7,[1]NN!$A$2:$FA$102, 11, FALSE))</f>
        <v>1399.19</v>
      </c>
      <c r="M7" s="544">
        <f>IF(VLOOKUP($E$7,[1]NN!$A$2:$FA$102, 12, FALSE)="",":",VLOOKUP($E$7,[1]NN!$A$2:$FA$102, 12, FALSE))</f>
        <v>1345.99</v>
      </c>
      <c r="N7" s="544">
        <f>IF(VLOOKUP($E$7,[1]NN!$A$2:$FA$102, 13, FALSE)="",":",VLOOKUP($E$7,[1]NN!$A$2:$FA$102, 13, FALSE))</f>
        <v>1394.68</v>
      </c>
      <c r="O7" s="544">
        <f>IF(VLOOKUP($E$7,[1]NN!$A$2:$FA$102, 14, FALSE)="",":",VLOOKUP($E$7,[1]NN!$A$2:$FA$102, 14, FALSE))</f>
        <v>1425.71</v>
      </c>
      <c r="P7" s="544">
        <f>IF(VLOOKUP($E$7,[1]NN!$A$2:$FA$102, 15, FALSE)="",":",VLOOKUP($E$7,[1]NN!$A$2:$FA$102, 15, FALSE))</f>
        <v>1410.1</v>
      </c>
      <c r="Q7" s="544">
        <f>IF(VLOOKUP($E$7,[1]NN!$A$2:$FA$102, 16, FALSE)="",":",VLOOKUP($E$7,[1]NN!$A$2:$FA$102, 16, FALSE))</f>
        <v>1420.72</v>
      </c>
      <c r="R7" s="544">
        <f>IF(VLOOKUP($E$7,[1]NN!$A$2:$FA$102, 17, FALSE)="",":",VLOOKUP($E$7,[1]NN!$A$2:$FA$102, 17, FALSE))</f>
        <v>1416.26</v>
      </c>
      <c r="S7" s="544">
        <f>IF(VLOOKUP($E$7,[1]NN!$A$2:$FA$102, 18, FALSE)="",":",VLOOKUP($E$7,[1]NN!$A$2:$FA$102, 18, FALSE))</f>
        <v>1445.14</v>
      </c>
      <c r="T7" s="544">
        <f>IF(VLOOKUP($E$7,[1]NN!$A$2:$FA$102, 19, FALSE)="",":",VLOOKUP($E$7,[1]NN!$A$2:$FA$102, 19, FALSE))</f>
        <v>1426.09</v>
      </c>
      <c r="U7" s="544">
        <f>IF(VLOOKUP($E$7,[1]NN!$A$2:$FA$102, 20, FALSE)="",":",VLOOKUP($E$7,[1]NN!$A$2:$FA$102, 20, FALSE))</f>
        <v>1316.51</v>
      </c>
      <c r="V7" s="544">
        <f>IF(VLOOKUP($E$7,[1]NN!$A$2:$FA$102, 21, FALSE)="",":",VLOOKUP($E$7,[1]NN!$A$2:$FA$102, 21, FALSE))</f>
        <v>1246.77</v>
      </c>
      <c r="W7" s="544">
        <f>IF(VLOOKUP($E$7,[1]NN!$A$2:$FA$102, 22, FALSE)="",":",VLOOKUP($E$7,[1]NN!$A$2:$FA$102, 22, FALSE))</f>
        <v>1252.7</v>
      </c>
      <c r="X7" s="544">
        <f>IF(VLOOKUP($E$7,[1]NN!$A$2:$FA$102, 23, FALSE)="",":",VLOOKUP($E$7,[1]NN!$A$2:$FA$102, 23, FALSE))</f>
        <v>1274.9000000000001</v>
      </c>
      <c r="Y7" s="544">
        <f>IF(VLOOKUP($E$7,[1]NN!$A$2:$FA$102, 24, FALSE)="",":",VLOOKUP($E$7,[1]NN!$A$2:$FA$102, 24, FALSE))</f>
        <v>1291.8900000000001</v>
      </c>
      <c r="Z7" s="544">
        <f>IF(VLOOKUP($E$7,[1]NN!$A$2:$FA$102, 25, FALSE)="",":",VLOOKUP($E$7,[1]NN!$A$2:$FA$102, 25, FALSE))</f>
        <v>1317.81</v>
      </c>
      <c r="AA7" s="544">
        <f>IF(VLOOKUP($E$7,[1]NN!$A$2:$FA$102, 26, FALSE)="",":",VLOOKUP($E$7,[1]NN!$A$2:$FA$102, 26, FALSE))</f>
        <v>1334.73</v>
      </c>
      <c r="AB7" s="544">
        <f>IF(VLOOKUP($E$7,[1]NN!$A$2:$FA$102, 27, FALSE)="",":",VLOOKUP($E$7,[1]NN!$A$2:$FA$102, 27, FALSE))</f>
        <v>1361.21</v>
      </c>
      <c r="AC7" s="544">
        <f>IF(VLOOKUP($E$7,[1]NN!$A$2:$FA$102, 28, FALSE)="",":",VLOOKUP($E$7,[1]NN!$A$2:$FA$102, 28, FALSE))</f>
        <v>1354.11</v>
      </c>
      <c r="AD7" s="544" t="str">
        <f>IF(VLOOKUP($E$7,[1]NN!$A$2:$FA$102, 29, FALSE)="",":",VLOOKUP($E$7,[1]NN!$A$2:$FA$102, 29, FALSE))</f>
        <v>:</v>
      </c>
      <c r="AE7" s="544" t="str">
        <f>IF(VLOOKUP($E$7,[1]NN!$A$2:$FA$102, 30, FALSE)="",":",VLOOKUP($E$7,[1]NN!$A$2:$FA$102, 30, FALSE))</f>
        <v>:</v>
      </c>
      <c r="AF7" s="544" t="str">
        <f>IF(VLOOKUP($E$7,[1]NN!$A$2:$FA$102, 31, FALSE)="",":",VLOOKUP($E$7,[1]NN!$A$2:$FA$102, 31, FALSE))</f>
        <v>:</v>
      </c>
    </row>
    <row r="8" spans="1:32">
      <c r="A8" s="533">
        <v>63</v>
      </c>
      <c r="B8" s="534" t="s">
        <v>557</v>
      </c>
      <c r="C8" s="535"/>
      <c r="D8" s="12" t="s">
        <v>1076</v>
      </c>
      <c r="E8" s="13">
        <v>20</v>
      </c>
      <c r="F8" s="14" t="str">
        <f>VLOOKUP($E$8,[1]NN!$A$2:$FA$102, 3, FALSE)</f>
        <v xml:space="preserve">20  Wage and salary earners - Total economy                                   </v>
      </c>
      <c r="G8" s="544" t="str">
        <f>IF(VLOOKUP($E$8,[1]NN!$A$2:$FA$102, 6, FALSE)="",":",VLOOKUP($E$8,[1]NN!$A$2:$FA$102, 6, FALSE))</f>
        <v>:</v>
      </c>
      <c r="H8" s="544" t="str">
        <f>IF(VLOOKUP($E$8,[1]NN!$A$2:$FA$102, 7, FALSE)="",":",VLOOKUP($E$8,[1]NN!$A$2:$FA$102, 7, FALSE))</f>
        <v>:</v>
      </c>
      <c r="I8" s="544" t="str">
        <f>IF(VLOOKUP($E$8,[1]NN!$A$2:$FA$102, 8, FALSE)="",":",VLOOKUP($E$8,[1]NN!$A$2:$FA$102, 8, FALSE))</f>
        <v>:</v>
      </c>
      <c r="J8" s="544" t="str">
        <f>IF(VLOOKUP($E$8,[1]NN!$A$2:$FA$102, 9, FALSE)="",":",VLOOKUP($E$8,[1]NN!$A$2:$FA$102, 9, FALSE))</f>
        <v>:</v>
      </c>
      <c r="K8" s="544" t="str">
        <f>IF(VLOOKUP($E$8,[1]NN!$A$2:$FA$102, 10, FALSE)="",":",VLOOKUP($E$8,[1]NN!$A$2:$FA$102, 10, FALSE))</f>
        <v>:</v>
      </c>
      <c r="L8" s="544">
        <f>IF(VLOOKUP($E$8,[1]NN!$A$2:$FA$102, 11, FALSE)="",":",VLOOKUP($E$8,[1]NN!$A$2:$FA$102, 11, FALSE))</f>
        <v>1123.8399999999999</v>
      </c>
      <c r="M8" s="544">
        <f>IF(VLOOKUP($E$8,[1]NN!$A$2:$FA$102, 12, FALSE)="",":",VLOOKUP($E$8,[1]NN!$A$2:$FA$102, 12, FALSE))</f>
        <v>1078.42</v>
      </c>
      <c r="N8" s="544">
        <f>IF(VLOOKUP($E$8,[1]NN!$A$2:$FA$102, 13, FALSE)="",":",VLOOKUP($E$8,[1]NN!$A$2:$FA$102, 13, FALSE))</f>
        <v>1112.6500000000001</v>
      </c>
      <c r="O8" s="544">
        <f>IF(VLOOKUP($E$8,[1]NN!$A$2:$FA$102, 14, FALSE)="",":",VLOOKUP($E$8,[1]NN!$A$2:$FA$102, 14, FALSE))</f>
        <v>1132.8599999999999</v>
      </c>
      <c r="P8" s="544">
        <f>IF(VLOOKUP($E$8,[1]NN!$A$2:$FA$102, 15, FALSE)="",":",VLOOKUP($E$8,[1]NN!$A$2:$FA$102, 15, FALSE))</f>
        <v>1146.9000000000001</v>
      </c>
      <c r="Q8" s="544">
        <f>IF(VLOOKUP($E$8,[1]NN!$A$2:$FA$102, 16, FALSE)="",":",VLOOKUP($E$8,[1]NN!$A$2:$FA$102, 16, FALSE))</f>
        <v>1174.57</v>
      </c>
      <c r="R8" s="544">
        <f>IF(VLOOKUP($E$8,[1]NN!$A$2:$FA$102, 17, FALSE)="",":",VLOOKUP($E$8,[1]NN!$A$2:$FA$102, 17, FALSE))</f>
        <v>1173.5</v>
      </c>
      <c r="S8" s="544">
        <f>IF(VLOOKUP($E$8,[1]NN!$A$2:$FA$102, 18, FALSE)="",":",VLOOKUP($E$8,[1]NN!$A$2:$FA$102, 18, FALSE))</f>
        <v>1233.6600000000001</v>
      </c>
      <c r="T8" s="544">
        <f>IF(VLOOKUP($E$8,[1]NN!$A$2:$FA$102, 19, FALSE)="",":",VLOOKUP($E$8,[1]NN!$A$2:$FA$102, 19, FALSE))</f>
        <v>1259.6300000000001</v>
      </c>
      <c r="U8" s="544">
        <f>IF(VLOOKUP($E$8,[1]NN!$A$2:$FA$102, 20, FALSE)="",":",VLOOKUP($E$8,[1]NN!$A$2:$FA$102, 20, FALSE))</f>
        <v>1158.73</v>
      </c>
      <c r="V8" s="544">
        <f>IF(VLOOKUP($E$8,[1]NN!$A$2:$FA$102, 21, FALSE)="",":",VLOOKUP($E$8,[1]NN!$A$2:$FA$102, 21, FALSE))</f>
        <v>1111.08</v>
      </c>
      <c r="W8" s="544">
        <f>IF(VLOOKUP($E$8,[1]NN!$A$2:$FA$102, 22, FALSE)="",":",VLOOKUP($E$8,[1]NN!$A$2:$FA$102, 22, FALSE))</f>
        <v>1119.95</v>
      </c>
      <c r="X8" s="544">
        <f>IF(VLOOKUP($E$8,[1]NN!$A$2:$FA$102, 23, FALSE)="",":",VLOOKUP($E$8,[1]NN!$A$2:$FA$102, 23, FALSE))</f>
        <v>1133.8900000000001</v>
      </c>
      <c r="Y8" s="544">
        <f>IF(VLOOKUP($E$8,[1]NN!$A$2:$FA$102, 24, FALSE)="",":",VLOOKUP($E$8,[1]NN!$A$2:$FA$102, 24, FALSE))</f>
        <v>1139.7</v>
      </c>
      <c r="Z8" s="544">
        <f>IF(VLOOKUP($E$8,[1]NN!$A$2:$FA$102, 25, FALSE)="",":",VLOOKUP($E$8,[1]NN!$A$2:$FA$102, 25, FALSE))</f>
        <v>1158.18</v>
      </c>
      <c r="AA8" s="544">
        <f>IF(VLOOKUP($E$8,[1]NN!$A$2:$FA$102, 26, FALSE)="",":",VLOOKUP($E$8,[1]NN!$A$2:$FA$102, 26, FALSE))</f>
        <v>1171</v>
      </c>
      <c r="AB8" s="544">
        <f>IF(VLOOKUP($E$8,[1]NN!$A$2:$FA$102, 27, FALSE)="",":",VLOOKUP($E$8,[1]NN!$A$2:$FA$102, 27, FALSE))</f>
        <v>1193.3</v>
      </c>
      <c r="AC8" s="544">
        <f>IF(VLOOKUP($E$8,[1]NN!$A$2:$FA$102, 28, FALSE)="",":",VLOOKUP($E$8,[1]NN!$A$2:$FA$102, 28, FALSE))</f>
        <v>1191.7</v>
      </c>
      <c r="AD8" s="544" t="str">
        <f>IF(VLOOKUP($E$8,[1]NN!$A$2:$FA$102, 29, FALSE)="",":",VLOOKUP($E$8,[1]NN!$A$2:$FA$102, 29, FALSE))</f>
        <v>:</v>
      </c>
      <c r="AE8" s="544" t="str">
        <f>IF(VLOOKUP($E$8,[1]NN!$A$2:$FA$102, 30, FALSE)="",":",VLOOKUP($E$8,[1]NN!$A$2:$FA$102, 30, FALSE))</f>
        <v>:</v>
      </c>
      <c r="AF8" s="544" t="str">
        <f>IF(VLOOKUP($E$8,[1]NN!$A$2:$FA$102, 31, FALSE)="",":",VLOOKUP($E$8,[1]NN!$A$2:$FA$102, 31, FALSE))</f>
        <v>:</v>
      </c>
    </row>
    <row r="9" spans="1:32">
      <c r="A9" s="533">
        <v>60</v>
      </c>
      <c r="B9" s="534" t="s">
        <v>1882</v>
      </c>
      <c r="C9" s="535"/>
      <c r="D9" s="12"/>
      <c r="E9" s="13"/>
      <c r="F9" s="14"/>
      <c r="G9" s="544"/>
      <c r="H9" s="544"/>
      <c r="I9" s="544"/>
      <c r="J9" s="544"/>
      <c r="K9" s="544"/>
      <c r="L9" s="544"/>
      <c r="M9" s="544"/>
      <c r="N9" s="544"/>
      <c r="O9" s="544"/>
      <c r="P9" s="544"/>
      <c r="Q9" s="544"/>
      <c r="R9" s="544"/>
      <c r="S9" s="544"/>
      <c r="T9" s="544"/>
      <c r="U9" s="544"/>
      <c r="V9" s="544"/>
      <c r="W9" s="544"/>
      <c r="X9" s="544"/>
      <c r="Y9" s="544"/>
      <c r="Z9" s="544"/>
      <c r="AA9" s="544"/>
      <c r="AB9" s="544"/>
      <c r="AC9" s="544"/>
      <c r="AD9" s="544"/>
      <c r="AE9" s="544"/>
      <c r="AF9" s="544"/>
    </row>
    <row r="10" spans="1:32">
      <c r="A10" s="533">
        <v>64</v>
      </c>
      <c r="B10" s="534" t="s">
        <v>2050</v>
      </c>
      <c r="C10" s="535"/>
      <c r="D10" s="12"/>
      <c r="E10" s="13"/>
      <c r="F10" s="14"/>
      <c r="G10" s="544"/>
      <c r="H10" s="544"/>
      <c r="I10" s="544"/>
      <c r="J10" s="544"/>
      <c r="K10" s="544"/>
      <c r="L10" s="544"/>
      <c r="M10" s="544"/>
      <c r="N10" s="544"/>
      <c r="O10" s="544"/>
      <c r="P10" s="544"/>
      <c r="Q10" s="544"/>
      <c r="R10" s="544"/>
      <c r="S10" s="544"/>
      <c r="T10" s="544"/>
      <c r="U10" s="544"/>
      <c r="V10" s="544"/>
      <c r="W10" s="544"/>
      <c r="X10" s="544"/>
      <c r="Y10" s="544"/>
      <c r="Z10" s="544"/>
      <c r="AA10" s="544"/>
      <c r="AB10" s="544"/>
      <c r="AC10" s="544"/>
      <c r="AD10" s="544"/>
      <c r="AE10" s="544"/>
      <c r="AF10" s="544"/>
    </row>
    <row r="11" spans="1:32">
      <c r="A11" s="535"/>
      <c r="B11" s="535"/>
      <c r="C11" s="535"/>
      <c r="D11" s="12"/>
      <c r="E11" s="13"/>
      <c r="F11" s="14"/>
      <c r="G11" s="544"/>
      <c r="H11" s="544"/>
      <c r="I11" s="544"/>
      <c r="J11" s="544"/>
      <c r="K11" s="544"/>
      <c r="L11" s="544"/>
      <c r="M11" s="544"/>
      <c r="N11" s="544"/>
      <c r="O11" s="544"/>
      <c r="P11" s="544"/>
      <c r="Q11" s="544"/>
      <c r="R11" s="544"/>
      <c r="S11" s="544"/>
      <c r="T11" s="544"/>
      <c r="U11" s="544"/>
      <c r="V11" s="544"/>
      <c r="W11" s="544"/>
      <c r="X11" s="544"/>
      <c r="Y11" s="544"/>
      <c r="Z11" s="544"/>
      <c r="AA11" s="544"/>
      <c r="AB11" s="544"/>
      <c r="AC11" s="544"/>
      <c r="AD11" s="544"/>
      <c r="AE11" s="544"/>
      <c r="AF11" s="544"/>
    </row>
    <row r="12" spans="1:32">
      <c r="A12" s="533"/>
      <c r="B12" s="534"/>
      <c r="C12" s="535"/>
      <c r="D12" s="12"/>
      <c r="E12" s="13"/>
      <c r="F12" s="14"/>
      <c r="G12" s="544"/>
      <c r="H12" s="544"/>
      <c r="I12" s="544"/>
      <c r="J12" s="544"/>
      <c r="K12" s="544"/>
      <c r="L12" s="544"/>
      <c r="M12" s="544"/>
      <c r="N12" s="544"/>
      <c r="O12" s="544"/>
      <c r="P12" s="544"/>
      <c r="Q12" s="544"/>
      <c r="R12" s="544"/>
      <c r="S12" s="544"/>
      <c r="T12" s="544"/>
      <c r="U12" s="544"/>
      <c r="V12" s="544"/>
      <c r="W12" s="544"/>
      <c r="X12" s="544"/>
      <c r="Y12" s="544"/>
      <c r="Z12" s="544"/>
      <c r="AA12" s="544"/>
      <c r="AB12" s="544"/>
      <c r="AC12" s="544"/>
      <c r="AD12" s="544"/>
      <c r="AE12" s="544"/>
      <c r="AF12" s="544"/>
    </row>
    <row r="13" spans="1:32">
      <c r="A13" s="533"/>
      <c r="B13" s="534"/>
      <c r="C13" s="535"/>
      <c r="D13" s="12"/>
      <c r="E13" s="13"/>
      <c r="F13" s="14"/>
      <c r="G13" s="544"/>
      <c r="H13" s="544"/>
      <c r="I13" s="544"/>
      <c r="J13" s="544"/>
      <c r="K13" s="544"/>
      <c r="L13" s="544"/>
      <c r="M13" s="544"/>
      <c r="N13" s="544"/>
      <c r="O13" s="544"/>
      <c r="P13" s="544"/>
      <c r="Q13" s="544"/>
      <c r="R13" s="544"/>
      <c r="S13" s="544"/>
      <c r="T13" s="544"/>
      <c r="U13" s="544"/>
      <c r="V13" s="544"/>
      <c r="W13" s="544"/>
      <c r="X13" s="544"/>
      <c r="Y13" s="544"/>
      <c r="Z13" s="544"/>
      <c r="AA13" s="544"/>
      <c r="AB13" s="544"/>
      <c r="AC13" s="544"/>
      <c r="AD13" s="544"/>
      <c r="AE13" s="544"/>
      <c r="AF13" s="544"/>
    </row>
    <row r="14" spans="1:32">
      <c r="A14" s="533"/>
      <c r="B14" s="534"/>
      <c r="C14" s="535"/>
      <c r="D14" s="12"/>
      <c r="E14" s="13"/>
      <c r="F14" s="14"/>
      <c r="G14" s="544"/>
      <c r="H14" s="544"/>
      <c r="I14" s="544"/>
      <c r="J14" s="544"/>
      <c r="K14" s="544"/>
      <c r="L14" s="544"/>
      <c r="M14" s="544"/>
      <c r="N14" s="544"/>
      <c r="O14" s="544"/>
      <c r="P14" s="544"/>
      <c r="Q14" s="544"/>
      <c r="R14" s="544"/>
      <c r="S14" s="544"/>
      <c r="T14" s="544"/>
      <c r="U14" s="544"/>
      <c r="V14" s="544"/>
      <c r="W14" s="544"/>
      <c r="X14" s="544"/>
      <c r="Y14" s="544"/>
      <c r="Z14" s="544"/>
      <c r="AA14" s="544"/>
      <c r="AB14" s="544"/>
      <c r="AC14" s="544"/>
      <c r="AD14" s="544"/>
      <c r="AE14" s="544"/>
      <c r="AF14" s="544"/>
    </row>
    <row r="15" spans="1:32">
      <c r="A15" s="533"/>
      <c r="B15" s="534"/>
      <c r="C15" s="535"/>
      <c r="D15" s="12"/>
      <c r="E15" s="13"/>
      <c r="F15" s="14"/>
      <c r="G15" s="544"/>
      <c r="H15" s="544"/>
      <c r="I15" s="544"/>
      <c r="J15" s="544"/>
      <c r="K15" s="544"/>
      <c r="L15" s="544"/>
      <c r="M15" s="544"/>
      <c r="N15" s="544"/>
      <c r="O15" s="544"/>
      <c r="P15" s="544"/>
      <c r="Q15" s="544"/>
      <c r="R15" s="544"/>
      <c r="S15" s="544"/>
      <c r="T15" s="544"/>
      <c r="U15" s="544"/>
      <c r="V15" s="544"/>
      <c r="W15" s="544"/>
      <c r="X15" s="544"/>
      <c r="Y15" s="544"/>
      <c r="Z15" s="544"/>
      <c r="AA15" s="544"/>
      <c r="AB15" s="544"/>
      <c r="AC15" s="544"/>
      <c r="AD15" s="544"/>
      <c r="AE15" s="544"/>
      <c r="AF15" s="544"/>
    </row>
    <row r="16" spans="1:32">
      <c r="A16" s="535"/>
      <c r="B16" s="534"/>
      <c r="C16" s="535"/>
      <c r="D16" s="12"/>
      <c r="E16" s="13"/>
      <c r="F16" s="14"/>
      <c r="G16" s="544"/>
      <c r="H16" s="544"/>
      <c r="I16" s="544"/>
      <c r="J16" s="544"/>
      <c r="K16" s="544"/>
      <c r="L16" s="544"/>
      <c r="M16" s="544"/>
      <c r="N16" s="544"/>
      <c r="O16" s="544"/>
      <c r="P16" s="544"/>
      <c r="Q16" s="544"/>
      <c r="R16" s="544"/>
      <c r="S16" s="544"/>
      <c r="T16" s="544"/>
      <c r="U16" s="544"/>
      <c r="V16" s="544"/>
      <c r="W16" s="544"/>
      <c r="X16" s="544"/>
      <c r="Y16" s="544"/>
      <c r="Z16" s="544"/>
      <c r="AA16" s="544"/>
      <c r="AB16" s="544"/>
      <c r="AC16" s="544"/>
      <c r="AD16" s="544"/>
      <c r="AE16" s="544"/>
      <c r="AF16" s="544"/>
    </row>
    <row r="17" spans="1:32">
      <c r="A17" s="533">
        <v>74</v>
      </c>
      <c r="B17" s="534" t="s">
        <v>302</v>
      </c>
      <c r="C17" s="535"/>
      <c r="D17" s="12" t="s">
        <v>1076</v>
      </c>
      <c r="E17" s="13">
        <v>41</v>
      </c>
      <c r="F17" s="14" t="str">
        <f>VLOOKUP($E$17,[1]NN!$A$2:$FA$102, 3, FALSE)</f>
        <v xml:space="preserve">41  Unemployed persons   </v>
      </c>
      <c r="G17" s="544">
        <f>IF(VLOOKUP($E$17,[1]NN!$A$2:$FA$102, 6, FALSE)="",":",VLOOKUP($E$17,[1]NN!$A$2:$FA$102, 6, FALSE))</f>
        <v>108.10000000000001</v>
      </c>
      <c r="H17" s="544">
        <f>IF(VLOOKUP($E$17,[1]NN!$A$2:$FA$102, 7, FALSE)="",":",VLOOKUP($E$17,[1]NN!$A$2:$FA$102, 7, FALSE))</f>
        <v>124.7</v>
      </c>
      <c r="I17" s="544">
        <f>IF(VLOOKUP($E$17,[1]NN!$A$2:$FA$102, 8, FALSE)="",":",VLOOKUP($E$17,[1]NN!$A$2:$FA$102, 8, FALSE))</f>
        <v>104.60000000000001</v>
      </c>
      <c r="J17" s="544">
        <f>IF(VLOOKUP($E$17,[1]NN!$A$2:$FA$102, 9, FALSE)="",":",VLOOKUP($E$17,[1]NN!$A$2:$FA$102, 9, FALSE))</f>
        <v>227</v>
      </c>
      <c r="K17" s="544">
        <f>IF(VLOOKUP($E$17,[1]NN!$A$2:$FA$102, 10, FALSE)="",":",VLOOKUP($E$17,[1]NN!$A$2:$FA$102, 10, FALSE))</f>
        <v>249</v>
      </c>
      <c r="L17" s="544">
        <f>IF(VLOOKUP($E$17,[1]NN!$A$2:$FA$102, 11, FALSE)="",":",VLOOKUP($E$17,[1]NN!$A$2:$FA$102, 11, FALSE))</f>
        <v>274</v>
      </c>
      <c r="M17" s="544">
        <f>IF(VLOOKUP($E$17,[1]NN!$A$2:$FA$102, 12, FALSE)="",":",VLOOKUP($E$17,[1]NN!$A$2:$FA$102, 12, FALSE))</f>
        <v>284</v>
      </c>
      <c r="N17" s="544">
        <f>IF(VLOOKUP($E$17,[1]NN!$A$2:$FA$102, 13, FALSE)="",":",VLOOKUP($E$17,[1]NN!$A$2:$FA$102, 13, FALSE))</f>
        <v>224</v>
      </c>
      <c r="O17" s="544">
        <f>IF(VLOOKUP($E$17,[1]NN!$A$2:$FA$102, 14, FALSE)="",":",VLOOKUP($E$17,[1]NN!$A$2:$FA$102, 14, FALSE))</f>
        <v>204</v>
      </c>
      <c r="P17" s="544">
        <f>IF(VLOOKUP($E$17,[1]NN!$A$2:$FA$102, 15, FALSE)="",":",VLOOKUP($E$17,[1]NN!$A$2:$FA$102, 15, FALSE))</f>
        <v>173</v>
      </c>
      <c r="Q17" s="544">
        <f>IF(VLOOKUP($E$17,[1]NN!$A$2:$FA$102, 16, FALSE)="",":",VLOOKUP($E$17,[1]NN!$A$2:$FA$102, 16, FALSE))</f>
        <v>130</v>
      </c>
      <c r="R17" s="544">
        <f>IF(VLOOKUP($E$17,[1]NN!$A$2:$FA$102, 17, FALSE)="",":",VLOOKUP($E$17,[1]NN!$A$2:$FA$102, 17, FALSE))</f>
        <v>88</v>
      </c>
      <c r="S17" s="544">
        <f>IF(VLOOKUP($E$17,[1]NN!$A$2:$FA$102, 18, FALSE)="",":",VLOOKUP($E$17,[1]NN!$A$2:$FA$102, 18, FALSE))</f>
        <v>64</v>
      </c>
      <c r="T17" s="544">
        <f>IF(VLOOKUP($E$17,[1]NN!$A$2:$FA$102, 19, FALSE)="",":",VLOOKUP($E$17,[1]NN!$A$2:$FA$102, 19, FALSE))</f>
        <v>88</v>
      </c>
      <c r="U17" s="544">
        <f>IF(VLOOKUP($E$17,[1]NN!$A$2:$FA$102, 20, FALSE)="",":",VLOOKUP($E$17,[1]NN!$A$2:$FA$102, 20, FALSE))</f>
        <v>211</v>
      </c>
      <c r="V17" s="544">
        <f>IF(VLOOKUP($E$17,[1]NN!$A$2:$FA$102, 21, FALSE)="",":",VLOOKUP($E$17,[1]NN!$A$2:$FA$102, 21, FALSE))</f>
        <v>270</v>
      </c>
      <c r="W17" s="544">
        <f>IF(VLOOKUP($E$17,[1]NN!$A$2:$FA$102, 22, FALSE)="",":",VLOOKUP($E$17,[1]NN!$A$2:$FA$102, 22, FALSE))</f>
        <v>228</v>
      </c>
      <c r="X17" s="544">
        <f>IF(VLOOKUP($E$17,[1]NN!$A$2:$FA$102, 23, FALSE)="",":",VLOOKUP($E$17,[1]NN!$A$2:$FA$102, 23, FALSE))</f>
        <v>197</v>
      </c>
      <c r="Y17" s="544">
        <f>IF(VLOOKUP($E$17,[1]NN!$A$2:$FA$102, 24, FALSE)="",":",VLOOKUP($E$17,[1]NN!$A$2:$FA$102, 24, FALSE))</f>
        <v>172</v>
      </c>
      <c r="Z17" s="544">
        <f>IF(VLOOKUP($E$17,[1]NN!$A$2:$FA$102, 25, FALSE)="",":",VLOOKUP($E$17,[1]NN!$A$2:$FA$102, 25, FALSE))</f>
        <v>158</v>
      </c>
      <c r="AA17" s="544">
        <f>IF(VLOOKUP($E$17,[1]NN!$A$2:$FA$102, 26, FALSE)="",":",VLOOKUP($E$17,[1]NN!$A$2:$FA$102, 26, FALSE))</f>
        <v>134</v>
      </c>
      <c r="AB17" s="544">
        <f>IF(VLOOKUP($E$17,[1]NN!$A$2:$FA$102, 27, FALSE)="",":",VLOOKUP($E$17,[1]NN!$A$2:$FA$102, 27, FALSE))</f>
        <v>116</v>
      </c>
      <c r="AC17" s="544">
        <f>IF(VLOOKUP($E$17,[1]NN!$A$2:$FA$102, 28, FALSE)="",":",VLOOKUP($E$17,[1]NN!$A$2:$FA$102, 28, FALSE))</f>
        <v>103</v>
      </c>
      <c r="AD17" s="544" t="str">
        <f>IF(VLOOKUP($E$17,[1]NN!$A$2:$FA$102, 29, FALSE)="",":",VLOOKUP($E$17,[1]NN!$A$2:$FA$102, 29, FALSE))</f>
        <v>:</v>
      </c>
      <c r="AE17" s="544" t="str">
        <f>IF(VLOOKUP($E$17,[1]NN!$A$2:$FA$102, 30, FALSE)="",":",VLOOKUP($E$17,[1]NN!$A$2:$FA$102, 30, FALSE))</f>
        <v>:</v>
      </c>
      <c r="AF17" s="544" t="str">
        <f>IF(VLOOKUP($E$17,[1]NN!$A$2:$FA$102, 31, FALSE)="",":",VLOOKUP($E$17,[1]NN!$A$2:$FA$102, 31, FALSE))</f>
        <v>:</v>
      </c>
    </row>
    <row r="18" spans="1:32">
      <c r="A18" s="533"/>
      <c r="B18" s="534"/>
      <c r="C18" s="535"/>
      <c r="D18" s="12"/>
      <c r="E18" s="13"/>
      <c r="F18" s="14"/>
      <c r="G18" s="544"/>
      <c r="H18" s="544"/>
      <c r="I18" s="544"/>
      <c r="J18" s="544"/>
      <c r="K18" s="544"/>
      <c r="L18" s="544"/>
      <c r="M18" s="544"/>
      <c r="N18" s="544"/>
      <c r="O18" s="544"/>
      <c r="P18" s="544"/>
      <c r="Q18" s="544"/>
      <c r="R18" s="544"/>
      <c r="S18" s="544"/>
      <c r="T18" s="544"/>
      <c r="U18" s="544"/>
      <c r="V18" s="544"/>
      <c r="W18" s="544"/>
      <c r="X18" s="544"/>
      <c r="Y18" s="544"/>
      <c r="Z18" s="544"/>
      <c r="AA18" s="544"/>
      <c r="AB18" s="544"/>
      <c r="AC18" s="544"/>
      <c r="AD18" s="544"/>
      <c r="AE18" s="544"/>
      <c r="AF18" s="544"/>
    </row>
    <row r="19" spans="1:32">
      <c r="A19" s="533">
        <v>1</v>
      </c>
      <c r="B19" s="534" t="s">
        <v>1017</v>
      </c>
      <c r="C19" s="535" t="s">
        <v>2064</v>
      </c>
      <c r="D19" s="12" t="s">
        <v>742</v>
      </c>
      <c r="E19" s="13">
        <v>200</v>
      </c>
      <c r="F19" s="14" t="str">
        <f>VLOOKUP($E$19,[1]ON!$A$2:$FA$37, 3, FALSE)</f>
        <v xml:space="preserve">200  Household final consumption expenditure (national)                              </v>
      </c>
      <c r="G19" s="544">
        <f>IF(VLOOKUP($E$19,[1]ON!$A$2:$FA$37, 6, FALSE)="",":",VLOOKUP($E$19,[1]ON!$A$2:$FA$37, 6, FALSE))</f>
        <v>8694.3311199494201</v>
      </c>
      <c r="H19" s="544">
        <f>IF(VLOOKUP($E$19,[1]ON!$A$2:$FA$37, 7, FALSE)="",":",VLOOKUP($E$19,[1]ON!$A$2:$FA$37, 7, FALSE))</f>
        <v>9257.39638303629</v>
      </c>
      <c r="I19" s="544">
        <f>IF(VLOOKUP($E$19,[1]ON!$A$2:$FA$37, 8, FALSE)="",":",VLOOKUP($E$19,[1]ON!$A$2:$FA$37, 8, FALSE))</f>
        <v>9777.7647186781778</v>
      </c>
      <c r="J19" s="544">
        <f>IF(VLOOKUP($E$19,[1]ON!$A$2:$FA$37, 9, FALSE)="",":",VLOOKUP($E$19,[1]ON!$A$2:$FA$37, 9, FALSE))</f>
        <v>10242.72505630753</v>
      </c>
      <c r="K19" s="544">
        <f>IF(VLOOKUP($E$19,[1]ON!$A$2:$FA$37, 10, FALSE)="",":",VLOOKUP($E$19,[1]ON!$A$2:$FA$37, 10, FALSE))</f>
        <v>10751.223990268769</v>
      </c>
      <c r="L19" s="544">
        <f>IF(VLOOKUP($E$19,[1]ON!$A$2:$FA$37, 11, FALSE)="",":",VLOOKUP($E$19,[1]ON!$A$2:$FA$37, 11, FALSE))</f>
        <v>11501.958970631553</v>
      </c>
      <c r="M19" s="544">
        <f>IF(VLOOKUP($E$19,[1]ON!$A$2:$FA$37, 12, FALSE)="",":",VLOOKUP($E$19,[1]ON!$A$2:$FA$37, 12, FALSE))</f>
        <v>11985.963469608585</v>
      </c>
      <c r="N19" s="544">
        <f>IF(VLOOKUP($E$19,[1]ON!$A$2:$FA$37, 13, FALSE)="",":",VLOOKUP($E$19,[1]ON!$A$2:$FA$37, 13, FALSE))</f>
        <v>12724.802863036461</v>
      </c>
      <c r="O19" s="544">
        <f>IF(VLOOKUP($E$19,[1]ON!$A$2:$FA$37, 14, FALSE)="",":",VLOOKUP($E$19,[1]ON!$A$2:$FA$37, 14, FALSE))</f>
        <v>14151.8131829006</v>
      </c>
      <c r="P19" s="544">
        <f>IF(VLOOKUP($E$19,[1]ON!$A$2:$FA$37, 15, FALSE)="",":",VLOOKUP($E$19,[1]ON!$A$2:$FA$37, 15, FALSE))</f>
        <v>15804.66</v>
      </c>
      <c r="Q19" s="544">
        <f>IF(VLOOKUP($E$19,[1]ON!$A$2:$FA$37, 16, FALSE)="",":",VLOOKUP($E$19,[1]ON!$A$2:$FA$37, 16, FALSE))</f>
        <v>17638.66</v>
      </c>
      <c r="R19" s="544">
        <f>IF(VLOOKUP($E$19,[1]ON!$A$2:$FA$37, 17, FALSE)="",":",VLOOKUP($E$19,[1]ON!$A$2:$FA$37, 17, FALSE))</f>
        <v>19243.439999999999</v>
      </c>
      <c r="S19" s="544">
        <f>IF(VLOOKUP($E$19,[1]ON!$A$2:$FA$37, 18, FALSE)="",":",VLOOKUP($E$19,[1]ON!$A$2:$FA$37, 18, FALSE))</f>
        <v>21633.119999999999</v>
      </c>
      <c r="T19" s="544">
        <f>IF(VLOOKUP($E$19,[1]ON!$A$2:$FA$37, 19, FALSE)="",":",VLOOKUP($E$19,[1]ON!$A$2:$FA$37, 19, FALSE))</f>
        <v>22466.799999999999</v>
      </c>
      <c r="U19" s="544">
        <f>IF(VLOOKUP($E$19,[1]ON!$A$2:$FA$37, 20, FALSE)="",":",VLOOKUP($E$19,[1]ON!$A$2:$FA$37, 20, FALSE))</f>
        <v>18568.37</v>
      </c>
      <c r="V19" s="544">
        <f>IF(VLOOKUP($E$19,[1]ON!$A$2:$FA$37, 21, FALSE)="",":",VLOOKUP($E$19,[1]ON!$A$2:$FA$37, 21, FALSE))</f>
        <v>17945.54</v>
      </c>
      <c r="W19" s="544">
        <f>IF(VLOOKUP($E$19,[1]ON!$A$2:$FA$37, 22, FALSE)="",":",VLOOKUP($E$19,[1]ON!$A$2:$FA$37, 22, FALSE))</f>
        <v>18770.810000000001</v>
      </c>
      <c r="X19" s="544">
        <f>IF(VLOOKUP($E$19,[1]ON!$A$2:$FA$37, 23, FALSE)="",":",VLOOKUP($E$19,[1]ON!$A$2:$FA$37, 23, FALSE))</f>
        <v>19351.68</v>
      </c>
      <c r="Y19" s="544">
        <f>IF(VLOOKUP($E$19,[1]ON!$A$2:$FA$37, 24, FALSE)="",":",VLOOKUP($E$19,[1]ON!$A$2:$FA$37, 24, FALSE))</f>
        <v>20186.400000000001</v>
      </c>
      <c r="Z19" s="544">
        <f>IF(VLOOKUP($E$19,[1]ON!$A$2:$FA$37, 25, FALSE)="",":",VLOOKUP($E$19,[1]ON!$A$2:$FA$37, 25, FALSE))</f>
        <v>20987.1</v>
      </c>
      <c r="AA19" s="544">
        <f>IF(VLOOKUP($E$19,[1]ON!$A$2:$FA$37, 26, FALSE)="",":",VLOOKUP($E$19,[1]ON!$A$2:$FA$37, 26, FALSE))</f>
        <v>21821.65</v>
      </c>
      <c r="AB19" s="544">
        <f>IF(VLOOKUP($E$19,[1]ON!$A$2:$FA$37, 27, FALSE)="",":",VLOOKUP($E$19,[1]ON!$A$2:$FA$37, 27, FALSE))</f>
        <v>22898.63</v>
      </c>
      <c r="AC19" s="544">
        <f>IF(VLOOKUP($E$19,[1]ON!$A$2:$FA$37, 28, FALSE)="",":",VLOOKUP($E$19,[1]ON!$A$2:$FA$37, 28, FALSE))</f>
        <v>23789.61</v>
      </c>
      <c r="AD19" s="544" t="str">
        <f>IF(VLOOKUP($E$19,[1]ON!$A$2:$FA$37, 29, FALSE)="",":",VLOOKUP($E$19,[1]ON!$A$2:$FA$37, 29, FALSE))</f>
        <v>:</v>
      </c>
      <c r="AE19" s="544" t="str">
        <f>IF(VLOOKUP($E$19,[1]ON!$A$2:$FA$37, 30, FALSE)="",":",VLOOKUP($E$19,[1]ON!$A$2:$FA$37, 30, FALSE))</f>
        <v>:</v>
      </c>
      <c r="AF19" s="544" t="str">
        <f>IF(VLOOKUP($E$19,[1]ON!$A$2:$FA$37, 31, FALSE)="",":",VLOOKUP($E$19,[1]ON!$A$2:$FA$37, 31, FALSE))</f>
        <v>:</v>
      </c>
    </row>
    <row r="20" spans="1:32">
      <c r="A20" s="533"/>
      <c r="B20" s="534"/>
      <c r="C20" s="535"/>
      <c r="D20" s="12"/>
      <c r="E20" s="13"/>
      <c r="F20" s="14"/>
      <c r="G20" s="544"/>
      <c r="H20" s="544"/>
      <c r="I20" s="544"/>
      <c r="J20" s="544"/>
      <c r="K20" s="544"/>
      <c r="L20" s="544"/>
      <c r="M20" s="544"/>
      <c r="N20" s="544"/>
      <c r="O20" s="544"/>
      <c r="P20" s="544"/>
      <c r="Q20" s="544"/>
      <c r="R20" s="544"/>
      <c r="S20" s="544"/>
      <c r="T20" s="544"/>
      <c r="U20" s="544"/>
      <c r="V20" s="544"/>
      <c r="W20" s="544"/>
      <c r="X20" s="544"/>
      <c r="Y20" s="544"/>
      <c r="Z20" s="544"/>
      <c r="AA20" s="544"/>
      <c r="AB20" s="544"/>
      <c r="AC20" s="544"/>
      <c r="AD20" s="544"/>
      <c r="AE20" s="544"/>
      <c r="AF20" s="544"/>
    </row>
    <row r="21" spans="1:32">
      <c r="A21" s="533"/>
      <c r="B21" s="534"/>
      <c r="C21" s="535"/>
      <c r="D21" s="12"/>
      <c r="E21" s="13"/>
      <c r="F21" s="14"/>
      <c r="G21" s="544"/>
      <c r="H21" s="544"/>
      <c r="I21" s="544"/>
      <c r="J21" s="544"/>
      <c r="K21" s="544"/>
      <c r="L21" s="544"/>
      <c r="M21" s="544"/>
      <c r="N21" s="544"/>
      <c r="O21" s="544"/>
      <c r="P21" s="544"/>
      <c r="Q21" s="544"/>
      <c r="R21" s="544"/>
      <c r="S21" s="544"/>
      <c r="T21" s="544"/>
      <c r="U21" s="544"/>
      <c r="V21" s="544"/>
      <c r="W21" s="544"/>
      <c r="X21" s="544"/>
      <c r="Y21" s="544"/>
      <c r="Z21" s="544"/>
      <c r="AA21" s="544"/>
      <c r="AB21" s="544"/>
      <c r="AC21" s="544"/>
      <c r="AD21" s="544"/>
      <c r="AE21" s="544"/>
      <c r="AF21" s="544"/>
    </row>
    <row r="22" spans="1:32">
      <c r="A22" s="533">
        <v>2</v>
      </c>
      <c r="B22" s="534" t="s">
        <v>533</v>
      </c>
      <c r="C22" s="535" t="s">
        <v>2067</v>
      </c>
      <c r="D22" s="12" t="s">
        <v>742</v>
      </c>
      <c r="E22" s="13">
        <v>100</v>
      </c>
      <c r="F22" s="14" t="str">
        <f>VLOOKUP($E$22,[1]ON!$A$2:$FA$37, 3, FALSE)</f>
        <v xml:space="preserve">100  Government final consumption expenditure                                        </v>
      </c>
      <c r="G22" s="544">
        <f>IF(VLOOKUP($E$22,[1]ON!$A$2:$FA$37, 6, FALSE)="",":",VLOOKUP($E$22,[1]ON!$A$2:$FA$37, 6, FALSE))</f>
        <v>4669.6599057177909</v>
      </c>
      <c r="H22" s="544">
        <f>IF(VLOOKUP($E$22,[1]ON!$A$2:$FA$37, 7, FALSE)="",":",VLOOKUP($E$22,[1]ON!$A$2:$FA$37, 7, FALSE))</f>
        <v>4636.8703517540853</v>
      </c>
      <c r="I22" s="544">
        <f>IF(VLOOKUP($E$22,[1]ON!$A$2:$FA$37, 8, FALSE)="",":",VLOOKUP($E$22,[1]ON!$A$2:$FA$37, 8, FALSE))</f>
        <v>4795.2674096872588</v>
      </c>
      <c r="J22" s="544">
        <f>IF(VLOOKUP($E$22,[1]ON!$A$2:$FA$37, 9, FALSE)="",":",VLOOKUP($E$22,[1]ON!$A$2:$FA$37, 9, FALSE))</f>
        <v>5035.7804145178598</v>
      </c>
      <c r="K22" s="544">
        <f>IF(VLOOKUP($E$22,[1]ON!$A$2:$FA$37, 10, FALSE)="",":",VLOOKUP($E$22,[1]ON!$A$2:$FA$37, 10, FALSE))</f>
        <v>4813.2083975837631</v>
      </c>
      <c r="L22" s="544">
        <f>IF(VLOOKUP($E$22,[1]ON!$A$2:$FA$37, 11, FALSE)="",":",VLOOKUP($E$22,[1]ON!$A$2:$FA$37, 11, FALSE))</f>
        <v>4823.9639312963336</v>
      </c>
      <c r="M22" s="544">
        <f>IF(VLOOKUP($E$22,[1]ON!$A$2:$FA$37, 12, FALSE)="",":",VLOOKUP($E$22,[1]ON!$A$2:$FA$37, 12, FALSE))</f>
        <v>4889.5965698279797</v>
      </c>
      <c r="N22" s="544">
        <f>IF(VLOOKUP($E$22,[1]ON!$A$2:$FA$37, 13, FALSE)="",":",VLOOKUP($E$22,[1]ON!$A$2:$FA$37, 13, FALSE))</f>
        <v>5009.8510133738873</v>
      </c>
      <c r="O22" s="544">
        <f>IF(VLOOKUP($E$22,[1]ON!$A$2:$FA$37, 14, FALSE)="",":",VLOOKUP($E$22,[1]ON!$A$2:$FA$37, 14, FALSE))</f>
        <v>5156.0925064067897</v>
      </c>
      <c r="P22" s="544">
        <f>IF(VLOOKUP($E$22,[1]ON!$A$2:$FA$37, 15, FALSE)="",":",VLOOKUP($E$22,[1]ON!$A$2:$FA$37, 15, FALSE))</f>
        <v>5392.96</v>
      </c>
      <c r="Q22" s="544">
        <f>IF(VLOOKUP($E$22,[1]ON!$A$2:$FA$37, 16, FALSE)="",":",VLOOKUP($E$22,[1]ON!$A$2:$FA$37, 16, FALSE))</f>
        <v>5584.81</v>
      </c>
      <c r="R22" s="544">
        <f>IF(VLOOKUP($E$22,[1]ON!$A$2:$FA$37, 17, FALSE)="",":",VLOOKUP($E$22,[1]ON!$A$2:$FA$37, 17, FALSE))</f>
        <v>5702.3</v>
      </c>
      <c r="S22" s="544">
        <f>IF(VLOOKUP($E$22,[1]ON!$A$2:$FA$37, 18, FALSE)="",":",VLOOKUP($E$22,[1]ON!$A$2:$FA$37, 18, FALSE))</f>
        <v>5807.83</v>
      </c>
      <c r="T22" s="544">
        <f>IF(VLOOKUP($E$22,[1]ON!$A$2:$FA$37, 19, FALSE)="",":",VLOOKUP($E$22,[1]ON!$A$2:$FA$37, 19, FALSE))</f>
        <v>5821.53</v>
      </c>
      <c r="U22" s="544">
        <f>IF(VLOOKUP($E$22,[1]ON!$A$2:$FA$37, 20, FALSE)="",":",VLOOKUP($E$22,[1]ON!$A$2:$FA$37, 20, FALSE))</f>
        <v>5745.01</v>
      </c>
      <c r="V22" s="544">
        <f>IF(VLOOKUP($E$22,[1]ON!$A$2:$FA$37, 21, FALSE)="",":",VLOOKUP($E$22,[1]ON!$A$2:$FA$37, 21, FALSE))</f>
        <v>5563.38</v>
      </c>
      <c r="W22" s="544">
        <f>IF(VLOOKUP($E$22,[1]ON!$A$2:$FA$37, 22, FALSE)="",":",VLOOKUP($E$22,[1]ON!$A$2:$FA$37, 22, FALSE))</f>
        <v>5543.58</v>
      </c>
      <c r="X22" s="544">
        <f>IF(VLOOKUP($E$22,[1]ON!$A$2:$FA$37, 23, FALSE)="",":",VLOOKUP($E$22,[1]ON!$A$2:$FA$37, 23, FALSE))</f>
        <v>5614.83</v>
      </c>
      <c r="Y22" s="544">
        <f>IF(VLOOKUP($E$22,[1]ON!$A$2:$FA$37, 24, FALSE)="",":",VLOOKUP($E$22,[1]ON!$A$2:$FA$37, 24, FALSE))</f>
        <v>5655.41</v>
      </c>
      <c r="Z22" s="544">
        <f>IF(VLOOKUP($E$22,[1]ON!$A$2:$FA$37, 25, FALSE)="",":",VLOOKUP($E$22,[1]ON!$A$2:$FA$37, 25, FALSE))</f>
        <v>5671.66</v>
      </c>
      <c r="AA22" s="544">
        <f>IF(VLOOKUP($E$22,[1]ON!$A$2:$FA$37, 26, FALSE)="",":",VLOOKUP($E$22,[1]ON!$A$2:$FA$37, 26, FALSE))</f>
        <v>5680.98</v>
      </c>
      <c r="AB22" s="544">
        <f>IF(VLOOKUP($E$22,[1]ON!$A$2:$FA$37, 27, FALSE)="",":",VLOOKUP($E$22,[1]ON!$A$2:$FA$37, 27, FALSE))</f>
        <v>5754.4</v>
      </c>
      <c r="AC22" s="544">
        <f>IF(VLOOKUP($E$22,[1]ON!$A$2:$FA$37, 28, FALSE)="",":",VLOOKUP($E$22,[1]ON!$A$2:$FA$37, 28, FALSE))</f>
        <v>5821.09</v>
      </c>
      <c r="AD22" s="544" t="str">
        <f>IF(VLOOKUP($E$22,[1]ON!$A$2:$FA$37, 29, FALSE)="",":",VLOOKUP($E$22,[1]ON!$A$2:$FA$37, 29, FALSE))</f>
        <v>:</v>
      </c>
      <c r="AE22" s="544" t="str">
        <f>IF(VLOOKUP($E$22,[1]ON!$A$2:$FA$37, 30, FALSE)="",":",VLOOKUP($E$22,[1]ON!$A$2:$FA$37, 30, FALSE))</f>
        <v>:</v>
      </c>
      <c r="AF22" s="544" t="str">
        <f>IF(VLOOKUP($E$22,[1]ON!$A$2:$FA$37, 31, FALSE)="",":",VLOOKUP($E$22,[1]ON!$A$2:$FA$37, 31, FALSE))</f>
        <v>:</v>
      </c>
    </row>
    <row r="23" spans="1:32">
      <c r="A23" s="533"/>
      <c r="B23" s="534"/>
      <c r="C23" s="535"/>
      <c r="D23" s="12"/>
      <c r="E23" s="13"/>
      <c r="F23" s="14"/>
      <c r="G23" s="544"/>
      <c r="H23" s="544"/>
      <c r="I23" s="544"/>
      <c r="J23" s="544"/>
      <c r="K23" s="544"/>
      <c r="L23" s="544"/>
      <c r="M23" s="544"/>
      <c r="N23" s="544"/>
      <c r="O23" s="544"/>
      <c r="P23" s="544"/>
      <c r="Q23" s="544"/>
      <c r="R23" s="544"/>
      <c r="S23" s="544"/>
      <c r="T23" s="544"/>
      <c r="U23" s="544"/>
      <c r="V23" s="544"/>
      <c r="W23" s="544"/>
      <c r="X23" s="544"/>
      <c r="Y23" s="544"/>
      <c r="Z23" s="544"/>
      <c r="AA23" s="544"/>
      <c r="AB23" s="544"/>
      <c r="AC23" s="544"/>
      <c r="AD23" s="544"/>
      <c r="AE23" s="544"/>
      <c r="AF23" s="544"/>
    </row>
    <row r="24" spans="1:32">
      <c r="A24" s="533"/>
      <c r="B24" s="534" t="s">
        <v>2051</v>
      </c>
      <c r="C24" s="535"/>
      <c r="D24" s="12"/>
      <c r="E24" s="13"/>
      <c r="F24" s="14"/>
      <c r="G24" s="544"/>
      <c r="H24" s="544"/>
      <c r="I24" s="544"/>
      <c r="J24" s="544"/>
      <c r="K24" s="544"/>
      <c r="L24" s="544"/>
      <c r="M24" s="544"/>
      <c r="N24" s="544"/>
      <c r="O24" s="544"/>
      <c r="P24" s="544"/>
      <c r="Q24" s="544"/>
      <c r="R24" s="544"/>
      <c r="S24" s="544"/>
      <c r="T24" s="544"/>
      <c r="U24" s="544"/>
      <c r="V24" s="544"/>
      <c r="W24" s="544"/>
      <c r="X24" s="544"/>
      <c r="Y24" s="544"/>
      <c r="Z24" s="544"/>
      <c r="AA24" s="544"/>
      <c r="AB24" s="544"/>
      <c r="AC24" s="544"/>
      <c r="AD24" s="544"/>
      <c r="AE24" s="544"/>
      <c r="AF24" s="544"/>
    </row>
    <row r="25" spans="1:32">
      <c r="A25" s="533"/>
      <c r="B25" s="534" t="s">
        <v>2052</v>
      </c>
      <c r="C25" s="535"/>
      <c r="D25" s="12"/>
      <c r="E25" s="13"/>
      <c r="F25" s="14"/>
      <c r="G25" s="544"/>
      <c r="H25" s="544"/>
      <c r="I25" s="544"/>
      <c r="J25" s="544"/>
      <c r="K25" s="544"/>
      <c r="L25" s="544"/>
      <c r="M25" s="544"/>
      <c r="N25" s="544"/>
      <c r="O25" s="544"/>
      <c r="P25" s="544"/>
      <c r="Q25" s="544"/>
      <c r="R25" s="544"/>
      <c r="S25" s="544"/>
      <c r="T25" s="544"/>
      <c r="U25" s="544"/>
      <c r="V25" s="544"/>
      <c r="W25" s="544"/>
      <c r="X25" s="544"/>
      <c r="Y25" s="544"/>
      <c r="Z25" s="544"/>
      <c r="AA25" s="544"/>
      <c r="AB25" s="544"/>
      <c r="AC25" s="544"/>
      <c r="AD25" s="544"/>
      <c r="AE25" s="544"/>
      <c r="AF25" s="544"/>
    </row>
    <row r="26" spans="1:32">
      <c r="A26" s="533"/>
      <c r="B26" s="534" t="s">
        <v>2053</v>
      </c>
      <c r="C26" s="535"/>
      <c r="D26" s="12" t="s">
        <v>742</v>
      </c>
      <c r="E26" s="13">
        <v>317</v>
      </c>
      <c r="F26" s="14" t="str">
        <f>VLOOKUP($E$26,[1]ON!$A$2:$FA$37, 3, FALSE)</f>
        <v xml:space="preserve">317  Non-residential construction and civil engineering                              </v>
      </c>
      <c r="G26" s="544">
        <f>IF(VLOOKUP($E$26,[1]ON!$A$2:$FA$37, 6, FALSE)="",":",VLOOKUP($E$26,[1]ON!$A$2:$FA$37, 6, FALSE))</f>
        <v>1311.5943202225908</v>
      </c>
      <c r="H26" s="544">
        <f>IF(VLOOKUP($E$26,[1]ON!$A$2:$FA$37, 7, FALSE)="",":",VLOOKUP($E$26,[1]ON!$A$2:$FA$37, 7, FALSE))</f>
        <v>1342.0618084337052</v>
      </c>
      <c r="I26" s="544">
        <f>IF(VLOOKUP($E$26,[1]ON!$A$2:$FA$37, 8, FALSE)="",":",VLOOKUP($E$26,[1]ON!$A$2:$FA$37, 8, FALSE))</f>
        <v>1685.2078551433667</v>
      </c>
      <c r="J26" s="544">
        <f>IF(VLOOKUP($E$26,[1]ON!$A$2:$FA$37, 9, FALSE)="",":",VLOOKUP($E$26,[1]ON!$A$2:$FA$37, 9, FALSE))</f>
        <v>2172.6808052469687</v>
      </c>
      <c r="K26" s="544">
        <f>IF(VLOOKUP($E$26,[1]ON!$A$2:$FA$37, 10, FALSE)="",":",VLOOKUP($E$26,[1]ON!$A$2:$FA$37, 10, FALSE))</f>
        <v>1966.0981301418369</v>
      </c>
      <c r="L26" s="544">
        <f>IF(VLOOKUP($E$26,[1]ON!$A$2:$FA$37, 11, FALSE)="",":",VLOOKUP($E$26,[1]ON!$A$2:$FA$37, 11, FALSE))</f>
        <v>1559.3823777062491</v>
      </c>
      <c r="M26" s="544">
        <f>IF(VLOOKUP($E$26,[1]ON!$A$2:$FA$37, 12, FALSE)="",":",VLOOKUP($E$26,[1]ON!$A$2:$FA$37, 12, FALSE))</f>
        <v>1734.7496857093734</v>
      </c>
      <c r="N26" s="544">
        <f>IF(VLOOKUP($E$26,[1]ON!$A$2:$FA$37, 13, FALSE)="",":",VLOOKUP($E$26,[1]ON!$A$2:$FA$37, 13, FALSE))</f>
        <v>1996.798901676716</v>
      </c>
      <c r="O26" s="544">
        <f>IF(VLOOKUP($E$26,[1]ON!$A$2:$FA$37, 14, FALSE)="",":",VLOOKUP($E$26,[1]ON!$A$2:$FA$37, 14, FALSE))</f>
        <v>2405.8783630839803</v>
      </c>
      <c r="P26" s="544">
        <f>IF(VLOOKUP($E$26,[1]ON!$A$2:$FA$37, 15, FALSE)="",":",VLOOKUP($E$26,[1]ON!$A$2:$FA$37, 15, FALSE))</f>
        <v>2354.38</v>
      </c>
      <c r="Q26" s="544">
        <f>IF(VLOOKUP($E$26,[1]ON!$A$2:$FA$37, 16, FALSE)="",":",VLOOKUP($E$26,[1]ON!$A$2:$FA$37, 16, FALSE))</f>
        <v>2681.14</v>
      </c>
      <c r="R26" s="544">
        <f>IF(VLOOKUP($E$26,[1]ON!$A$2:$FA$37, 17, FALSE)="",":",VLOOKUP($E$26,[1]ON!$A$2:$FA$37, 17, FALSE))</f>
        <v>3276.64</v>
      </c>
      <c r="S26" s="544">
        <f>IF(VLOOKUP($E$26,[1]ON!$A$2:$FA$37, 18, FALSE)="",":",VLOOKUP($E$26,[1]ON!$A$2:$FA$37, 18, FALSE))</f>
        <v>4024.31</v>
      </c>
      <c r="T26" s="544">
        <f>IF(VLOOKUP($E$26,[1]ON!$A$2:$FA$37, 19, FALSE)="",":",VLOOKUP($E$26,[1]ON!$A$2:$FA$37, 19, FALSE))</f>
        <v>3865.75</v>
      </c>
      <c r="U26" s="544">
        <f>IF(VLOOKUP($E$26,[1]ON!$A$2:$FA$37, 20, FALSE)="",":",VLOOKUP($E$26,[1]ON!$A$2:$FA$37, 20, FALSE))</f>
        <v>2147.7399999999998</v>
      </c>
      <c r="V26" s="544">
        <f>IF(VLOOKUP($E$26,[1]ON!$A$2:$FA$37, 21, FALSE)="",":",VLOOKUP($E$26,[1]ON!$A$2:$FA$37, 21, FALSE))</f>
        <v>2183.91</v>
      </c>
      <c r="W26" s="544">
        <f>IF(VLOOKUP($E$26,[1]ON!$A$2:$FA$37, 22, FALSE)="",":",VLOOKUP($E$26,[1]ON!$A$2:$FA$37, 22, FALSE))</f>
        <v>2579.3200000000002</v>
      </c>
      <c r="X26" s="544">
        <f>IF(VLOOKUP($E$26,[1]ON!$A$2:$FA$37, 23, FALSE)="",":",VLOOKUP($E$26,[1]ON!$A$2:$FA$37, 23, FALSE))</f>
        <v>2427.9299999999998</v>
      </c>
      <c r="Y26" s="544">
        <f>IF(VLOOKUP($E$26,[1]ON!$A$2:$FA$37, 24, FALSE)="",":",VLOOKUP($E$26,[1]ON!$A$2:$FA$37, 24, FALSE))</f>
        <v>2600.54</v>
      </c>
      <c r="Z26" s="544">
        <f>IF(VLOOKUP($E$26,[1]ON!$A$2:$FA$37, 25, FALSE)="",":",VLOOKUP($E$26,[1]ON!$A$2:$FA$37, 25, FALSE))</f>
        <v>2761.86</v>
      </c>
      <c r="AA26" s="544">
        <f>IF(VLOOKUP($E$26,[1]ON!$A$2:$FA$37, 26, FALSE)="",":",VLOOKUP($E$26,[1]ON!$A$2:$FA$37, 26, FALSE))</f>
        <v>2646.08</v>
      </c>
      <c r="AB26" s="544">
        <f>IF(VLOOKUP($E$26,[1]ON!$A$2:$FA$37, 27, FALSE)="",":",VLOOKUP($E$26,[1]ON!$A$2:$FA$37, 27, FALSE))</f>
        <v>2348.44</v>
      </c>
      <c r="AC26" s="544">
        <f>IF(VLOOKUP($E$26,[1]ON!$A$2:$FA$37, 28, FALSE)="",":",VLOOKUP($E$26,[1]ON!$A$2:$FA$37, 28, FALSE))</f>
        <v>2549.96</v>
      </c>
      <c r="AD26" s="544" t="str">
        <f>IF(VLOOKUP($E$26,[1]ON!$A$2:$FA$37, 29, FALSE)="",":",VLOOKUP($E$26,[1]ON!$A$2:$FA$37, 29, FALSE))</f>
        <v>:</v>
      </c>
      <c r="AE26" s="544" t="str">
        <f>IF(VLOOKUP($E$26,[1]ON!$A$2:$FA$37, 30, FALSE)="",":",VLOOKUP($E$26,[1]ON!$A$2:$FA$37, 30, FALSE))</f>
        <v>:</v>
      </c>
      <c r="AF26" s="544" t="str">
        <f>IF(VLOOKUP($E$26,[1]ON!$A$2:$FA$37, 31, FALSE)="",":",VLOOKUP($E$26,[1]ON!$A$2:$FA$37, 31, FALSE))</f>
        <v>:</v>
      </c>
    </row>
    <row r="27" spans="1:32">
      <c r="A27" s="533">
        <v>31</v>
      </c>
      <c r="B27" s="534" t="s">
        <v>2054</v>
      </c>
      <c r="C27" s="535"/>
      <c r="D27" s="12" t="s">
        <v>742</v>
      </c>
      <c r="E27" s="13">
        <v>316</v>
      </c>
      <c r="F27" s="14" t="str">
        <f>VLOOKUP($E$27,[1]ON!$A$2:$FA$37, 3, FALSE)</f>
        <v xml:space="preserve">316  Dwellings                                                                       </v>
      </c>
      <c r="G27" s="544">
        <f>IF(VLOOKUP($E$27,[1]ON!$A$2:$FA$37, 6, FALSE)="",":",VLOOKUP($E$27,[1]ON!$A$2:$FA$37, 6, FALSE))</f>
        <v>324.95167570905744</v>
      </c>
      <c r="H27" s="544">
        <f>IF(VLOOKUP($E$27,[1]ON!$A$2:$FA$37, 7, FALSE)="",":",VLOOKUP($E$27,[1]ON!$A$2:$FA$37, 7, FALSE))</f>
        <v>328.60923241274651</v>
      </c>
      <c r="I27" s="544">
        <f>IF(VLOOKUP($E$27,[1]ON!$A$2:$FA$37, 8, FALSE)="",":",VLOOKUP($E$27,[1]ON!$A$2:$FA$37, 8, FALSE))</f>
        <v>291.51257971117423</v>
      </c>
      <c r="J27" s="544">
        <f>IF(VLOOKUP($E$27,[1]ON!$A$2:$FA$37, 9, FALSE)="",":",VLOOKUP($E$27,[1]ON!$A$2:$FA$37, 9, FALSE))</f>
        <v>272.87298039364447</v>
      </c>
      <c r="K27" s="544">
        <f>IF(VLOOKUP($E$27,[1]ON!$A$2:$FA$37, 10, FALSE)="",":",VLOOKUP($E$27,[1]ON!$A$2:$FA$37, 10, FALSE))</f>
        <v>288.73456250519627</v>
      </c>
      <c r="L27" s="544">
        <f>IF(VLOOKUP($E$27,[1]ON!$A$2:$FA$37, 11, FALSE)="",":",VLOOKUP($E$27,[1]ON!$A$2:$FA$37, 11, FALSE))</f>
        <v>315.69161835579746</v>
      </c>
      <c r="M27" s="544">
        <f>IF(VLOOKUP($E$27,[1]ON!$A$2:$FA$37, 12, FALSE)="",":",VLOOKUP($E$27,[1]ON!$A$2:$FA$37, 12, FALSE))</f>
        <v>304.4567459039032</v>
      </c>
      <c r="N27" s="544">
        <f>IF(VLOOKUP($E$27,[1]ON!$A$2:$FA$37, 13, FALSE)="",":",VLOOKUP($E$27,[1]ON!$A$2:$FA$37, 13, FALSE))</f>
        <v>273.15841585327905</v>
      </c>
      <c r="O27" s="544">
        <f>IF(VLOOKUP($E$27,[1]ON!$A$2:$FA$37, 14, FALSE)="",":",VLOOKUP($E$27,[1]ON!$A$2:$FA$37, 14, FALSE))</f>
        <v>312.46553385853275</v>
      </c>
      <c r="P27" s="544">
        <f>IF(VLOOKUP($E$27,[1]ON!$A$2:$FA$37, 15, FALSE)="",":",VLOOKUP($E$27,[1]ON!$A$2:$FA$37, 15, FALSE))</f>
        <v>520.55999999999995</v>
      </c>
      <c r="Q27" s="544">
        <f>IF(VLOOKUP($E$27,[1]ON!$A$2:$FA$37, 16, FALSE)="",":",VLOOKUP($E$27,[1]ON!$A$2:$FA$37, 16, FALSE))</f>
        <v>520.45000000000005</v>
      </c>
      <c r="R27" s="544">
        <f>IF(VLOOKUP($E$27,[1]ON!$A$2:$FA$37, 17, FALSE)="",":",VLOOKUP($E$27,[1]ON!$A$2:$FA$37, 17, FALSE))</f>
        <v>630.64</v>
      </c>
      <c r="S27" s="544">
        <f>IF(VLOOKUP($E$27,[1]ON!$A$2:$FA$37, 18, FALSE)="",":",VLOOKUP($E$27,[1]ON!$A$2:$FA$37, 18, FALSE))</f>
        <v>724.47</v>
      </c>
      <c r="T27" s="544">
        <f>IF(VLOOKUP($E$27,[1]ON!$A$2:$FA$37, 19, FALSE)="",":",VLOOKUP($E$27,[1]ON!$A$2:$FA$37, 19, FALSE))</f>
        <v>900.62</v>
      </c>
      <c r="U27" s="544">
        <f>IF(VLOOKUP($E$27,[1]ON!$A$2:$FA$37, 20, FALSE)="",":",VLOOKUP($E$27,[1]ON!$A$2:$FA$37, 20, FALSE))</f>
        <v>836.04</v>
      </c>
      <c r="V27" s="544">
        <f>IF(VLOOKUP($E$27,[1]ON!$A$2:$FA$37, 21, FALSE)="",":",VLOOKUP($E$27,[1]ON!$A$2:$FA$37, 21, FALSE))</f>
        <v>588.1</v>
      </c>
      <c r="W27" s="544">
        <f>IF(VLOOKUP($E$27,[1]ON!$A$2:$FA$37, 22, FALSE)="",":",VLOOKUP($E$27,[1]ON!$A$2:$FA$37, 22, FALSE))</f>
        <v>593.86</v>
      </c>
      <c r="X27" s="544">
        <f>IF(VLOOKUP($E$27,[1]ON!$A$2:$FA$37, 23, FALSE)="",":",VLOOKUP($E$27,[1]ON!$A$2:$FA$37, 23, FALSE))</f>
        <v>607.25</v>
      </c>
      <c r="Y27" s="544">
        <f>IF(VLOOKUP($E$27,[1]ON!$A$2:$FA$37, 24, FALSE)="",":",VLOOKUP($E$27,[1]ON!$A$2:$FA$37, 24, FALSE))</f>
        <v>677.23</v>
      </c>
      <c r="Z27" s="544">
        <f>IF(VLOOKUP($E$27,[1]ON!$A$2:$FA$37, 25, FALSE)="",":",VLOOKUP($E$27,[1]ON!$A$2:$FA$37, 25, FALSE))</f>
        <v>791.8</v>
      </c>
      <c r="AA27" s="544">
        <f>IF(VLOOKUP($E$27,[1]ON!$A$2:$FA$37, 26, FALSE)="",":",VLOOKUP($E$27,[1]ON!$A$2:$FA$37, 26, FALSE))</f>
        <v>909.68</v>
      </c>
      <c r="AB27" s="544">
        <f>IF(VLOOKUP($E$27,[1]ON!$A$2:$FA$37, 27, FALSE)="",":",VLOOKUP($E$27,[1]ON!$A$2:$FA$37, 27, FALSE))</f>
        <v>971.32</v>
      </c>
      <c r="AC27" s="544">
        <f>IF(VLOOKUP($E$27,[1]ON!$A$2:$FA$37, 28, FALSE)="",":",VLOOKUP($E$27,[1]ON!$A$2:$FA$37, 28, FALSE))</f>
        <v>926.55</v>
      </c>
      <c r="AD27" s="544" t="str">
        <f>IF(VLOOKUP($E$27,[1]ON!$A$2:$FA$37, 29, FALSE)="",":",VLOOKUP($E$27,[1]ON!$A$2:$FA$37, 29, FALSE))</f>
        <v>:</v>
      </c>
      <c r="AE27" s="544" t="str">
        <f>IF(VLOOKUP($E$27,[1]ON!$A$2:$FA$37, 30, FALSE)="",":",VLOOKUP($E$27,[1]ON!$A$2:$FA$37, 30, FALSE))</f>
        <v>:</v>
      </c>
      <c r="AF27" s="544" t="str">
        <f>IF(VLOOKUP($E$27,[1]ON!$A$2:$FA$37, 31, FALSE)="",":",VLOOKUP($E$27,[1]ON!$A$2:$FA$37, 31, FALSE))</f>
        <v>:</v>
      </c>
    </row>
    <row r="28" spans="1:32">
      <c r="A28" s="533">
        <v>4</v>
      </c>
      <c r="B28" s="534" t="s">
        <v>1306</v>
      </c>
      <c r="C28" s="535"/>
      <c r="D28" s="12" t="s">
        <v>742</v>
      </c>
      <c r="E28" s="13">
        <v>315</v>
      </c>
      <c r="F28" s="14" t="str">
        <f>VLOOKUP($E$28,[1]ON!$A$2:$FA$37, 3, FALSE)</f>
        <v xml:space="preserve">315  Construction                                                                    </v>
      </c>
      <c r="G28" s="544">
        <f>IF(VLOOKUP($E$28,[1]ON!$A$2:$FA$37, 6, FALSE)="",":",VLOOKUP($E$28,[1]ON!$A$2:$FA$37, 6, FALSE))</f>
        <v>1619.0095588807721</v>
      </c>
      <c r="H28" s="544">
        <f>IF(VLOOKUP($E$28,[1]ON!$A$2:$FA$37, 7, FALSE)="",":",VLOOKUP($E$28,[1]ON!$A$2:$FA$37, 7, FALSE))</f>
        <v>1652.9379548483159</v>
      </c>
      <c r="I28" s="544">
        <f>IF(VLOOKUP($E$28,[1]ON!$A$2:$FA$37, 8, FALSE)="",":",VLOOKUP($E$28,[1]ON!$A$2:$FA$37, 8, FALSE))</f>
        <v>1959.3138492375815</v>
      </c>
      <c r="J28" s="544">
        <f>IF(VLOOKUP($E$28,[1]ON!$A$2:$FA$37, 9, FALSE)="",":",VLOOKUP($E$28,[1]ON!$A$2:$FA$37, 9, FALSE))</f>
        <v>2424.56741028839</v>
      </c>
      <c r="K28" s="544">
        <f>IF(VLOOKUP($E$28,[1]ON!$A$2:$FA$37, 10, FALSE)="",":",VLOOKUP($E$28,[1]ON!$A$2:$FA$37, 10, FALSE))</f>
        <v>2235.8684505520268</v>
      </c>
      <c r="L28" s="544">
        <f>IF(VLOOKUP($E$28,[1]ON!$A$2:$FA$37, 11, FALSE)="",":",VLOOKUP($E$28,[1]ON!$A$2:$FA$37, 11, FALSE))</f>
        <v>1860.533685773358</v>
      </c>
      <c r="M28" s="544">
        <f>IF(VLOOKUP($E$28,[1]ON!$A$2:$FA$37, 12, FALSE)="",":",VLOOKUP($E$28,[1]ON!$A$2:$FA$37, 12, FALSE))</f>
        <v>2022.9319395980099</v>
      </c>
      <c r="N28" s="544">
        <f>IF(VLOOKUP($E$28,[1]ON!$A$2:$FA$37, 13, FALSE)="",":",VLOOKUP($E$28,[1]ON!$A$2:$FA$37, 13, FALSE))</f>
        <v>2251.5572021803246</v>
      </c>
      <c r="O28" s="544">
        <f>IF(VLOOKUP($E$28,[1]ON!$A$2:$FA$37, 14, FALSE)="",":",VLOOKUP($E$28,[1]ON!$A$2:$FA$37, 14, FALSE))</f>
        <v>2696.193274199507</v>
      </c>
      <c r="P28" s="544">
        <f>IF(VLOOKUP($E$28,[1]ON!$A$2:$FA$37, 15, FALSE)="",":",VLOOKUP($E$28,[1]ON!$A$2:$FA$37, 15, FALSE))</f>
        <v>2853.3896</v>
      </c>
      <c r="Q28" s="544">
        <f>IF(VLOOKUP($E$28,[1]ON!$A$2:$FA$37, 16, FALSE)="",":",VLOOKUP($E$28,[1]ON!$A$2:$FA$37, 16, FALSE))</f>
        <v>3176.4906599999999</v>
      </c>
      <c r="R28" s="544">
        <f>IF(VLOOKUP($E$28,[1]ON!$A$2:$FA$37, 17, FALSE)="",":",VLOOKUP($E$28,[1]ON!$A$2:$FA$37, 17, FALSE))</f>
        <v>3876.5144100000002</v>
      </c>
      <c r="S28" s="544">
        <f>IF(VLOOKUP($E$28,[1]ON!$A$2:$FA$37, 18, FALSE)="",":",VLOOKUP($E$28,[1]ON!$A$2:$FA$37, 18, FALSE))</f>
        <v>4709.7032799999997</v>
      </c>
      <c r="T28" s="544">
        <f>IF(VLOOKUP($E$28,[1]ON!$A$2:$FA$37, 19, FALSE)="",":",VLOOKUP($E$28,[1]ON!$A$2:$FA$37, 19, FALSE))</f>
        <v>4739.0964299999996</v>
      </c>
      <c r="U28" s="544">
        <f>IF(VLOOKUP($E$28,[1]ON!$A$2:$FA$37, 20, FALSE)="",":",VLOOKUP($E$28,[1]ON!$A$2:$FA$37, 20, FALSE))</f>
        <v>2985.3189600000001</v>
      </c>
      <c r="V28" s="544">
        <f>IF(VLOOKUP($E$28,[1]ON!$A$2:$FA$37, 21, FALSE)="",":",VLOOKUP($E$28,[1]ON!$A$2:$FA$37, 21, FALSE))</f>
        <v>2772.01</v>
      </c>
      <c r="W28" s="544">
        <f>IF(VLOOKUP($E$28,[1]ON!$A$2:$FA$37, 22, FALSE)="",":",VLOOKUP($E$28,[1]ON!$A$2:$FA$37, 22, FALSE))</f>
        <v>3173.18</v>
      </c>
      <c r="X28" s="544">
        <f>IF(VLOOKUP($E$28,[1]ON!$A$2:$FA$37, 23, FALSE)="",":",VLOOKUP($E$28,[1]ON!$A$2:$FA$37, 23, FALSE))</f>
        <v>3035.11582</v>
      </c>
      <c r="Y28" s="544">
        <f>IF(VLOOKUP($E$28,[1]ON!$A$2:$FA$37, 24, FALSE)="",":",VLOOKUP($E$28,[1]ON!$A$2:$FA$37, 24, FALSE))</f>
        <v>3277.5326599999999</v>
      </c>
      <c r="Z28" s="544">
        <f>IF(VLOOKUP($E$28,[1]ON!$A$2:$FA$37, 25, FALSE)="",":",VLOOKUP($E$28,[1]ON!$A$2:$FA$37, 25, FALSE))</f>
        <v>3553.2021599999998</v>
      </c>
      <c r="AA28" s="544">
        <f>IF(VLOOKUP($E$28,[1]ON!$A$2:$FA$37, 26, FALSE)="",":",VLOOKUP($E$28,[1]ON!$A$2:$FA$37, 26, FALSE))</f>
        <v>3556.15389</v>
      </c>
      <c r="AB28" s="544">
        <f>IF(VLOOKUP($E$28,[1]ON!$A$2:$FA$37, 27, FALSE)="",":",VLOOKUP($E$28,[1]ON!$A$2:$FA$37, 27, FALSE))</f>
        <v>3320.9174499999999</v>
      </c>
      <c r="AC28" s="544">
        <f>IF(VLOOKUP($E$28,[1]ON!$A$2:$FA$37, 28, FALSE)="",":",VLOOKUP($E$28,[1]ON!$A$2:$FA$37, 28, FALSE))</f>
        <v>3471.56603</v>
      </c>
      <c r="AD28" s="544" t="str">
        <f>IF(VLOOKUP($E$28,[1]ON!$A$2:$FA$37, 29, FALSE)="",":",VLOOKUP($E$28,[1]ON!$A$2:$FA$37, 29, FALSE))</f>
        <v>:</v>
      </c>
      <c r="AE28" s="544" t="str">
        <f>IF(VLOOKUP($E$28,[1]ON!$A$2:$FA$37, 30, FALSE)="",":",VLOOKUP($E$28,[1]ON!$A$2:$FA$37, 30, FALSE))</f>
        <v>:</v>
      </c>
      <c r="AF28" s="544" t="str">
        <f>IF(VLOOKUP($E$28,[1]ON!$A$2:$FA$37, 31, FALSE)="",":",VLOOKUP($E$28,[1]ON!$A$2:$FA$37, 31, FALSE))</f>
        <v>:</v>
      </c>
    </row>
    <row r="29" spans="1:32">
      <c r="A29" s="533"/>
      <c r="B29" s="534"/>
      <c r="C29" s="535"/>
      <c r="D29" s="12"/>
      <c r="E29" s="13"/>
      <c r="F29" s="14"/>
      <c r="G29" s="544"/>
      <c r="H29" s="544"/>
      <c r="I29" s="544"/>
      <c r="J29" s="544"/>
      <c r="K29" s="544"/>
      <c r="L29" s="544"/>
      <c r="M29" s="544"/>
      <c r="N29" s="544"/>
      <c r="O29" s="544"/>
      <c r="P29" s="544"/>
      <c r="Q29" s="544"/>
      <c r="R29" s="544"/>
      <c r="S29" s="544"/>
      <c r="T29" s="544"/>
      <c r="U29" s="544"/>
      <c r="V29" s="544"/>
      <c r="W29" s="544"/>
      <c r="X29" s="544"/>
      <c r="Y29" s="544"/>
      <c r="Z29" s="544"/>
      <c r="AA29" s="544"/>
      <c r="AB29" s="544"/>
      <c r="AC29" s="544"/>
      <c r="AD29" s="544"/>
      <c r="AE29" s="544"/>
      <c r="AF29" s="544"/>
    </row>
    <row r="30" spans="1:32">
      <c r="A30" s="533"/>
      <c r="B30" s="534" t="s">
        <v>2055</v>
      </c>
      <c r="C30" s="535"/>
      <c r="D30" s="12"/>
      <c r="E30" s="13"/>
      <c r="F30" s="1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row>
    <row r="31" spans="1:32">
      <c r="A31" s="533"/>
      <c r="B31" s="534" t="s">
        <v>2056</v>
      </c>
      <c r="C31" s="535"/>
      <c r="D31" s="12"/>
      <c r="E31" s="13"/>
      <c r="F31" s="1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row>
    <row r="32" spans="1:32">
      <c r="A32" s="533">
        <v>5</v>
      </c>
      <c r="B32" s="534" t="s">
        <v>2057</v>
      </c>
      <c r="C32" s="535"/>
      <c r="D32" s="12" t="s">
        <v>742</v>
      </c>
      <c r="E32" s="13">
        <v>312</v>
      </c>
      <c r="F32" s="14" t="str">
        <f>VLOOKUP($E$32,[1]ON!$A$2:$FA$37, 3, FALSE)</f>
        <v xml:space="preserve">312  Equipment                                                                       </v>
      </c>
      <c r="G32" s="544">
        <f>IF(VLOOKUP($E$32,[1]ON!$A$2:$FA$37, 6, FALSE)="",":",VLOOKUP($E$32,[1]ON!$A$2:$FA$37, 6, FALSE))</f>
        <v>381.56592608430952</v>
      </c>
      <c r="H32" s="544">
        <f>IF(VLOOKUP($E$32,[1]ON!$A$2:$FA$37, 7, FALSE)="",":",VLOOKUP($E$32,[1]ON!$A$2:$FA$37, 7, FALSE))</f>
        <v>580.96263770138626</v>
      </c>
      <c r="I32" s="544">
        <f>IF(VLOOKUP($E$32,[1]ON!$A$2:$FA$37, 8, FALSE)="",":",VLOOKUP($E$32,[1]ON!$A$2:$FA$37, 8, FALSE))</f>
        <v>790.30878799724428</v>
      </c>
      <c r="J32" s="544">
        <f>IF(VLOOKUP($E$32,[1]ON!$A$2:$FA$37, 9, FALSE)="",":",VLOOKUP($E$32,[1]ON!$A$2:$FA$37, 9, FALSE))</f>
        <v>940.76973320196794</v>
      </c>
      <c r="K32" s="544">
        <f>IF(VLOOKUP($E$32,[1]ON!$A$2:$FA$37, 10, FALSE)="",":",VLOOKUP($E$32,[1]ON!$A$2:$FA$37, 10, FALSE))</f>
        <v>906.11563093673044</v>
      </c>
      <c r="L32" s="544">
        <f>IF(VLOOKUP($E$32,[1]ON!$A$2:$FA$37, 11, FALSE)="",":",VLOOKUP($E$32,[1]ON!$A$2:$FA$37, 11, FALSE))</f>
        <v>885.18725960142831</v>
      </c>
      <c r="M32" s="544">
        <f>IF(VLOOKUP($E$32,[1]ON!$A$2:$FA$37, 12, FALSE)="",":",VLOOKUP($E$32,[1]ON!$A$2:$FA$37, 12, FALSE))</f>
        <v>1090.8286114701734</v>
      </c>
      <c r="N32" s="544">
        <f>IF(VLOOKUP($E$32,[1]ON!$A$2:$FA$37, 13, FALSE)="",":",VLOOKUP($E$32,[1]ON!$A$2:$FA$37, 13, FALSE))</f>
        <v>1201.6812946178161</v>
      </c>
      <c r="O32" s="544">
        <f>IF(VLOOKUP($E$32,[1]ON!$A$2:$FA$37, 14, FALSE)="",":",VLOOKUP($E$32,[1]ON!$A$2:$FA$37, 14, FALSE))</f>
        <v>1283.0974019518255</v>
      </c>
      <c r="P32" s="544">
        <f>IF(VLOOKUP($E$32,[1]ON!$A$2:$FA$37, 15, FALSE)="",":",VLOOKUP($E$32,[1]ON!$A$2:$FA$37, 15, FALSE))</f>
        <v>1698.43</v>
      </c>
      <c r="Q32" s="544">
        <f>IF(VLOOKUP($E$32,[1]ON!$A$2:$FA$37, 16, FALSE)="",":",VLOOKUP($E$32,[1]ON!$A$2:$FA$37, 16, FALSE))</f>
        <v>1903.1</v>
      </c>
      <c r="R32" s="544">
        <f>IF(VLOOKUP($E$32,[1]ON!$A$2:$FA$37, 17, FALSE)="",":",VLOOKUP($E$32,[1]ON!$A$2:$FA$37, 17, FALSE))</f>
        <v>2227.62</v>
      </c>
      <c r="S32" s="544">
        <f>IF(VLOOKUP($E$32,[1]ON!$A$2:$FA$37, 18, FALSE)="",":",VLOOKUP($E$32,[1]ON!$A$2:$FA$37, 18, FALSE))</f>
        <v>2744.57</v>
      </c>
      <c r="T32" s="544">
        <f>IF(VLOOKUP($E$32,[1]ON!$A$2:$FA$37, 19, FALSE)="",":",VLOOKUP($E$32,[1]ON!$A$2:$FA$37, 19, FALSE))</f>
        <v>2265.41</v>
      </c>
      <c r="U32" s="544">
        <f>IF(VLOOKUP($E$32,[1]ON!$A$2:$FA$37, 20, FALSE)="",":",VLOOKUP($E$32,[1]ON!$A$2:$FA$37, 20, FALSE))</f>
        <v>1135.6300000000001</v>
      </c>
      <c r="V32" s="544">
        <f>IF(VLOOKUP($E$32,[1]ON!$A$2:$FA$37, 21, FALSE)="",":",VLOOKUP($E$32,[1]ON!$A$2:$FA$37, 21, FALSE))</f>
        <v>1370.85</v>
      </c>
      <c r="W32" s="544">
        <f>IF(VLOOKUP($E$32,[1]ON!$A$2:$FA$37, 22, FALSE)="",":",VLOOKUP($E$32,[1]ON!$A$2:$FA$37, 22, FALSE))</f>
        <v>1869.2</v>
      </c>
      <c r="X32" s="544">
        <f>IF(VLOOKUP($E$32,[1]ON!$A$2:$FA$37, 23, FALSE)="",":",VLOOKUP($E$32,[1]ON!$A$2:$FA$37, 23, FALSE))</f>
        <v>1908.38</v>
      </c>
      <c r="Y32" s="544">
        <f>IF(VLOOKUP($E$32,[1]ON!$A$2:$FA$37, 24, FALSE)="",":",VLOOKUP($E$32,[1]ON!$A$2:$FA$37, 24, FALSE))</f>
        <v>2144.04</v>
      </c>
      <c r="Z32" s="544">
        <f>IF(VLOOKUP($E$32,[1]ON!$A$2:$FA$37, 25, FALSE)="",":",VLOOKUP($E$32,[1]ON!$A$2:$FA$37, 25, FALSE))</f>
        <v>2139.5</v>
      </c>
      <c r="AA32" s="544">
        <f>IF(VLOOKUP($E$32,[1]ON!$A$2:$FA$37, 26, FALSE)="",":",VLOOKUP($E$32,[1]ON!$A$2:$FA$37, 26, FALSE))</f>
        <v>2425.91</v>
      </c>
      <c r="AB32" s="544">
        <f>IF(VLOOKUP($E$32,[1]ON!$A$2:$FA$37, 27, FALSE)="",":",VLOOKUP($E$32,[1]ON!$A$2:$FA$37, 27, FALSE))</f>
        <v>2643.64</v>
      </c>
      <c r="AC32" s="544">
        <f>IF(VLOOKUP($E$32,[1]ON!$A$2:$FA$37, 28, FALSE)="",":",VLOOKUP($E$32,[1]ON!$A$2:$FA$37, 28, FALSE))</f>
        <v>2878.11</v>
      </c>
      <c r="AD32" s="544" t="str">
        <f>IF(VLOOKUP($E$32,[1]ON!$A$2:$FA$37, 29, FALSE)="",":",VLOOKUP($E$32,[1]ON!$A$2:$FA$37, 29, FALSE))</f>
        <v>:</v>
      </c>
      <c r="AE32" s="544" t="str">
        <f>IF(VLOOKUP($E$32,[1]ON!$A$2:$FA$37, 30, FALSE)="",":",VLOOKUP($E$32,[1]ON!$A$2:$FA$37, 30, FALSE))</f>
        <v>:</v>
      </c>
      <c r="AF32" s="544" t="str">
        <f>IF(VLOOKUP($E$32,[1]ON!$A$2:$FA$37, 31, FALSE)="",":",VLOOKUP($E$32,[1]ON!$A$2:$FA$37, 31, FALSE))</f>
        <v>:</v>
      </c>
    </row>
    <row r="33" spans="1:32">
      <c r="A33" s="533"/>
      <c r="B33" s="534"/>
      <c r="C33" s="535"/>
      <c r="D33" s="12"/>
      <c r="E33" s="13"/>
      <c r="F33" s="14"/>
      <c r="G33" s="544"/>
      <c r="H33" s="544"/>
      <c r="I33" s="544"/>
      <c r="J33" s="544"/>
      <c r="K33" s="544"/>
      <c r="L33" s="544"/>
      <c r="M33" s="544"/>
      <c r="N33" s="544"/>
      <c r="O33" s="544"/>
      <c r="P33" s="544"/>
      <c r="Q33" s="544"/>
      <c r="R33" s="544"/>
      <c r="S33" s="544"/>
      <c r="T33" s="544"/>
      <c r="U33" s="544"/>
      <c r="V33" s="544"/>
      <c r="W33" s="544"/>
      <c r="X33" s="544"/>
      <c r="Y33" s="544"/>
      <c r="Z33" s="544"/>
      <c r="AA33" s="544"/>
      <c r="AB33" s="544"/>
      <c r="AC33" s="544"/>
      <c r="AD33" s="544"/>
      <c r="AE33" s="544"/>
      <c r="AF33" s="544"/>
    </row>
    <row r="34" spans="1:32">
      <c r="A34" s="533"/>
      <c r="B34" s="534" t="s">
        <v>2058</v>
      </c>
      <c r="C34" s="535"/>
      <c r="D34" s="12" t="s">
        <v>742</v>
      </c>
      <c r="E34" s="13">
        <v>311</v>
      </c>
      <c r="F34" s="14" t="str">
        <f>VLOOKUP($E$34,[1]ON!$A$2:$FA$37, 3, FALSE)</f>
        <v xml:space="preserve">311  Agricultural, forestry and fishery products                                     </v>
      </c>
      <c r="G34" s="544">
        <f>IF(VLOOKUP($E$34,[1]ON!$A$2:$FA$37, 6, FALSE)="",":",VLOOKUP($E$34,[1]ON!$A$2:$FA$37, 6, FALSE))</f>
        <v>140.23678356108084</v>
      </c>
      <c r="H34" s="544">
        <f>IF(VLOOKUP($E$34,[1]ON!$A$2:$FA$37, 7, FALSE)="",":",VLOOKUP($E$34,[1]ON!$A$2:$FA$37, 7, FALSE))</f>
        <v>134.67805579163669</v>
      </c>
      <c r="I34" s="544">
        <f>IF(VLOOKUP($E$34,[1]ON!$A$2:$FA$37, 8, FALSE)="",":",VLOOKUP($E$34,[1]ON!$A$2:$FA$37, 8, FALSE))</f>
        <v>133.62282012586047</v>
      </c>
      <c r="J34" s="544">
        <f>IF(VLOOKUP($E$34,[1]ON!$A$2:$FA$37, 9, FALSE)="",":",VLOOKUP($E$34,[1]ON!$A$2:$FA$37, 9, FALSE))</f>
        <v>123.73935602126785</v>
      </c>
      <c r="K34" s="544">
        <f>IF(VLOOKUP($E$34,[1]ON!$A$2:$FA$37, 10, FALSE)="",":",VLOOKUP($E$34,[1]ON!$A$2:$FA$37, 10, FALSE))</f>
        <v>113.89625612246995</v>
      </c>
      <c r="L34" s="544">
        <f>IF(VLOOKUP($E$34,[1]ON!$A$2:$FA$37, 11, FALSE)="",":",VLOOKUP($E$34,[1]ON!$A$2:$FA$37, 11, FALSE))</f>
        <v>98.898070512175067</v>
      </c>
      <c r="M34" s="544">
        <f>IF(VLOOKUP($E$34,[1]ON!$A$2:$FA$37, 12, FALSE)="",":",VLOOKUP($E$34,[1]ON!$A$2:$FA$37, 12, FALSE))</f>
        <v>105.09685925922119</v>
      </c>
      <c r="N34" s="544">
        <f>IF(VLOOKUP($E$34,[1]ON!$A$2:$FA$37, 13, FALSE)="",":",VLOOKUP($E$34,[1]ON!$A$2:$FA$37, 13, FALSE))</f>
        <v>108.21066942052809</v>
      </c>
      <c r="O34" s="544">
        <f>IF(VLOOKUP($E$34,[1]ON!$A$2:$FA$37, 14, FALSE)="",":",VLOOKUP($E$34,[1]ON!$A$2:$FA$37, 14, FALSE))</f>
        <v>112.76605836021781</v>
      </c>
      <c r="P34" s="544">
        <f>IF(VLOOKUP($E$34,[1]ON!$A$2:$FA$37, 15, FALSE)="",":",VLOOKUP($E$34,[1]ON!$A$2:$FA$37, 15, FALSE))</f>
        <v>112.26</v>
      </c>
      <c r="Q34" s="544">
        <f>IF(VLOOKUP($E$34,[1]ON!$A$2:$FA$37, 16, FALSE)="",":",VLOOKUP($E$34,[1]ON!$A$2:$FA$37, 16, FALSE))</f>
        <v>115.05</v>
      </c>
      <c r="R34" s="544">
        <f>IF(VLOOKUP($E$34,[1]ON!$A$2:$FA$37, 17, FALSE)="",":",VLOOKUP($E$34,[1]ON!$A$2:$FA$37, 17, FALSE))</f>
        <v>117.04</v>
      </c>
      <c r="S34" s="544">
        <f>IF(VLOOKUP($E$34,[1]ON!$A$2:$FA$37, 18, FALSE)="",":",VLOOKUP($E$34,[1]ON!$A$2:$FA$37, 18, FALSE))</f>
        <v>109.04</v>
      </c>
      <c r="T34" s="544">
        <f>IF(VLOOKUP($E$34,[1]ON!$A$2:$FA$37, 19, FALSE)="",":",VLOOKUP($E$34,[1]ON!$A$2:$FA$37, 19, FALSE))</f>
        <v>65.37</v>
      </c>
      <c r="U34" s="544">
        <f>IF(VLOOKUP($E$34,[1]ON!$A$2:$FA$37, 20, FALSE)="",":",VLOOKUP($E$34,[1]ON!$A$2:$FA$37, 20, FALSE))</f>
        <v>32.97</v>
      </c>
      <c r="V34" s="544">
        <f>IF(VLOOKUP($E$34,[1]ON!$A$2:$FA$37, 21, FALSE)="",":",VLOOKUP($E$34,[1]ON!$A$2:$FA$37, 21, FALSE))</f>
        <v>59.66</v>
      </c>
      <c r="W34" s="544">
        <f>IF(VLOOKUP($E$34,[1]ON!$A$2:$FA$37, 22, FALSE)="",":",VLOOKUP($E$34,[1]ON!$A$2:$FA$37, 22, FALSE))</f>
        <v>58.29</v>
      </c>
      <c r="X34" s="544">
        <f>IF(VLOOKUP($E$34,[1]ON!$A$2:$FA$37, 23, FALSE)="",":",VLOOKUP($E$34,[1]ON!$A$2:$FA$37, 23, FALSE))</f>
        <v>54.98</v>
      </c>
      <c r="Y34" s="544">
        <f>IF(VLOOKUP($E$34,[1]ON!$A$2:$FA$37, 24, FALSE)="",":",VLOOKUP($E$34,[1]ON!$A$2:$FA$37, 24, FALSE))</f>
        <v>48.51</v>
      </c>
      <c r="Z34" s="544">
        <f>IF(VLOOKUP($E$34,[1]ON!$A$2:$FA$37, 25, FALSE)="",":",VLOOKUP($E$34,[1]ON!$A$2:$FA$37, 25, FALSE))</f>
        <v>50.62</v>
      </c>
      <c r="AA34" s="544">
        <f>IF(VLOOKUP($E$34,[1]ON!$A$2:$FA$37, 26, FALSE)="",":",VLOOKUP($E$34,[1]ON!$A$2:$FA$37, 26, FALSE))</f>
        <v>55.69</v>
      </c>
      <c r="AB34" s="544">
        <f>IF(VLOOKUP($E$34,[1]ON!$A$2:$FA$37, 27, FALSE)="",":",VLOOKUP($E$34,[1]ON!$A$2:$FA$37, 27, FALSE))</f>
        <v>54.1</v>
      </c>
      <c r="AC34" s="544">
        <f>IF(VLOOKUP($E$34,[1]ON!$A$2:$FA$37, 28, FALSE)="",":",VLOOKUP($E$34,[1]ON!$A$2:$FA$37, 28, FALSE))</f>
        <v>56.63</v>
      </c>
      <c r="AD34" s="544" t="str">
        <f>IF(VLOOKUP($E$34,[1]ON!$A$2:$FA$37, 29, FALSE)="",":",VLOOKUP($E$34,[1]ON!$A$2:$FA$37, 29, FALSE))</f>
        <v>:</v>
      </c>
      <c r="AE34" s="544" t="str">
        <f>IF(VLOOKUP($E$34,[1]ON!$A$2:$FA$37, 30, FALSE)="",":",VLOOKUP($E$34,[1]ON!$A$2:$FA$37, 30, FALSE))</f>
        <v>:</v>
      </c>
      <c r="AF34" s="544" t="str">
        <f>IF(VLOOKUP($E$34,[1]ON!$A$2:$FA$37, 31, FALSE)="",":",VLOOKUP($E$34,[1]ON!$A$2:$FA$37, 31, FALSE))</f>
        <v>:</v>
      </c>
    </row>
    <row r="35" spans="1:32">
      <c r="A35" s="533"/>
      <c r="B35" s="534" t="s">
        <v>2059</v>
      </c>
      <c r="C35" s="535"/>
      <c r="D35" s="12" t="s">
        <v>742</v>
      </c>
      <c r="E35" s="13">
        <v>318</v>
      </c>
      <c r="F35" s="14" t="str">
        <f>VLOOKUP($E$35,[1]ON!$A$2:$FA$37, 3, FALSE)</f>
        <v xml:space="preserve">318  Other products                                                                  </v>
      </c>
      <c r="G35" s="544">
        <f>IF(VLOOKUP($E$35,[1]ON!$A$2:$FA$37, 6, FALSE)="",":",VLOOKUP($E$35,[1]ON!$A$2:$FA$37, 6, FALSE))</f>
        <v>38.472845355122395</v>
      </c>
      <c r="H35" s="544">
        <f>IF(VLOOKUP($E$35,[1]ON!$A$2:$FA$37, 7, FALSE)="",":",VLOOKUP($E$35,[1]ON!$A$2:$FA$37, 7, FALSE))</f>
        <v>56.543172909606461</v>
      </c>
      <c r="I35" s="544">
        <f>IF(VLOOKUP($E$35,[1]ON!$A$2:$FA$37, 8, FALSE)="",":",VLOOKUP($E$35,[1]ON!$A$2:$FA$37, 8, FALSE))</f>
        <v>79.918155092256498</v>
      </c>
      <c r="J35" s="544">
        <f>IF(VLOOKUP($E$35,[1]ON!$A$2:$FA$37, 9, FALSE)="",":",VLOOKUP($E$35,[1]ON!$A$2:$FA$37, 9, FALSE))</f>
        <v>97.056270044792697</v>
      </c>
      <c r="K35" s="544">
        <f>IF(VLOOKUP($E$35,[1]ON!$A$2:$FA$37, 10, FALSE)="",":",VLOOKUP($E$35,[1]ON!$A$2:$FA$37, 10, FALSE))</f>
        <v>99.385142808377751</v>
      </c>
      <c r="L35" s="544">
        <f>IF(VLOOKUP($E$35,[1]ON!$A$2:$FA$37, 11, FALSE)="",":",VLOOKUP($E$35,[1]ON!$A$2:$FA$37, 11, FALSE))</f>
        <v>217.92211248880184</v>
      </c>
      <c r="M35" s="544">
        <f>IF(VLOOKUP($E$35,[1]ON!$A$2:$FA$37, 12, FALSE)="",":",VLOOKUP($E$35,[1]ON!$A$2:$FA$37, 12, FALSE))</f>
        <v>197.13144922756604</v>
      </c>
      <c r="N35" s="544">
        <f>IF(VLOOKUP($E$35,[1]ON!$A$2:$FA$37, 13, FALSE)="",":",VLOOKUP($E$35,[1]ON!$A$2:$FA$37, 13, FALSE))</f>
        <v>219.41497964494613</v>
      </c>
      <c r="O35" s="544">
        <f>IF(VLOOKUP($E$35,[1]ON!$A$2:$FA$37, 14, FALSE)="",":",VLOOKUP($E$35,[1]ON!$A$2:$FA$37, 14, FALSE))</f>
        <v>222.60639787652565</v>
      </c>
      <c r="P35" s="544">
        <f>IF(VLOOKUP($E$35,[1]ON!$A$2:$FA$37, 15, FALSE)="",":",VLOOKUP($E$35,[1]ON!$A$2:$FA$37, 15, FALSE))</f>
        <v>242.18</v>
      </c>
      <c r="Q35" s="544">
        <f>IF(VLOOKUP($E$35,[1]ON!$A$2:$FA$37, 16, FALSE)="",":",VLOOKUP($E$35,[1]ON!$A$2:$FA$37, 16, FALSE))</f>
        <v>266.07</v>
      </c>
      <c r="R35" s="544">
        <f>IF(VLOOKUP($E$35,[1]ON!$A$2:$FA$37, 17, FALSE)="",":",VLOOKUP($E$35,[1]ON!$A$2:$FA$37, 17, FALSE))</f>
        <v>309.25</v>
      </c>
      <c r="S35" s="544">
        <f>IF(VLOOKUP($E$35,[1]ON!$A$2:$FA$37, 18, FALSE)="",":",VLOOKUP($E$35,[1]ON!$A$2:$FA$37, 18, FALSE))</f>
        <v>418.94</v>
      </c>
      <c r="T35" s="544">
        <f>IF(VLOOKUP($E$35,[1]ON!$A$2:$FA$37, 19, FALSE)="",":",VLOOKUP($E$35,[1]ON!$A$2:$FA$37, 19, FALSE))</f>
        <v>568.11</v>
      </c>
      <c r="U35" s="544">
        <f>IF(VLOOKUP($E$35,[1]ON!$A$2:$FA$37, 20, FALSE)="",":",VLOOKUP($E$35,[1]ON!$A$2:$FA$37, 20, FALSE))</f>
        <v>497.14</v>
      </c>
      <c r="V35" s="544">
        <f>IF(VLOOKUP($E$35,[1]ON!$A$2:$FA$37, 21, FALSE)="",":",VLOOKUP($E$35,[1]ON!$A$2:$FA$37, 21, FALSE))</f>
        <v>523.78</v>
      </c>
      <c r="W35" s="544">
        <f>IF(VLOOKUP($E$35,[1]ON!$A$2:$FA$37, 22, FALSE)="",":",VLOOKUP($E$35,[1]ON!$A$2:$FA$37, 22, FALSE))</f>
        <v>577.83000000000004</v>
      </c>
      <c r="X35" s="544">
        <f>IF(VLOOKUP($E$35,[1]ON!$A$2:$FA$37, 23, FALSE)="",":",VLOOKUP($E$35,[1]ON!$A$2:$FA$37, 23, FALSE))</f>
        <v>582.65</v>
      </c>
      <c r="Y35" s="544">
        <f>IF(VLOOKUP($E$35,[1]ON!$A$2:$FA$37, 24, FALSE)="",":",VLOOKUP($E$35,[1]ON!$A$2:$FA$37, 24, FALSE))</f>
        <v>564.02</v>
      </c>
      <c r="Z35" s="544">
        <f>IF(VLOOKUP($E$35,[1]ON!$A$2:$FA$37, 25, FALSE)="",":",VLOOKUP($E$35,[1]ON!$A$2:$FA$37, 25, FALSE))</f>
        <v>631.76</v>
      </c>
      <c r="AA35" s="544">
        <f>IF(VLOOKUP($E$35,[1]ON!$A$2:$FA$37, 26, FALSE)="",":",VLOOKUP($E$35,[1]ON!$A$2:$FA$37, 26, FALSE))</f>
        <v>667.75</v>
      </c>
      <c r="AB35" s="544">
        <f>IF(VLOOKUP($E$35,[1]ON!$A$2:$FA$37, 27, FALSE)="",":",VLOOKUP($E$35,[1]ON!$A$2:$FA$37, 27, FALSE))</f>
        <v>683.77</v>
      </c>
      <c r="AC35" s="544">
        <f>IF(VLOOKUP($E$35,[1]ON!$A$2:$FA$37, 28, FALSE)="",":",VLOOKUP($E$35,[1]ON!$A$2:$FA$37, 28, FALSE))</f>
        <v>795.38</v>
      </c>
      <c r="AD35" s="544" t="str">
        <f>IF(VLOOKUP($E$35,[1]ON!$A$2:$FA$37, 29, FALSE)="",":",VLOOKUP($E$35,[1]ON!$A$2:$FA$37, 29, FALSE))</f>
        <v>:</v>
      </c>
      <c r="AE35" s="544" t="str">
        <f>IF(VLOOKUP($E$35,[1]ON!$A$2:$FA$37, 30, FALSE)="",":",VLOOKUP($E$35,[1]ON!$A$2:$FA$37, 30, FALSE))</f>
        <v>:</v>
      </c>
      <c r="AF35" s="544" t="str">
        <f>IF(VLOOKUP($E$35,[1]ON!$A$2:$FA$37, 31, FALSE)="",":",VLOOKUP($E$35,[1]ON!$A$2:$FA$37, 31, FALSE))</f>
        <v>:</v>
      </c>
    </row>
    <row r="36" spans="1:32" s="540" customFormat="1">
      <c r="A36" s="1453">
        <v>6</v>
      </c>
      <c r="B36" s="537" t="s">
        <v>743</v>
      </c>
      <c r="C36" s="538"/>
      <c r="D36" s="528"/>
      <c r="E36" s="529"/>
      <c r="F36" s="539"/>
      <c r="G36" s="545">
        <f>+G34+G35</f>
        <v>178.70962891620323</v>
      </c>
      <c r="H36" s="545">
        <f t="shared" ref="H36:AF36" si="1">+H34+H35</f>
        <v>191.22122870124315</v>
      </c>
      <c r="I36" s="545">
        <f t="shared" si="1"/>
        <v>213.54097521811696</v>
      </c>
      <c r="J36" s="545">
        <f t="shared" si="1"/>
        <v>220.79562606606055</v>
      </c>
      <c r="K36" s="545">
        <f t="shared" si="1"/>
        <v>213.2813989308477</v>
      </c>
      <c r="L36" s="545">
        <f t="shared" si="1"/>
        <v>316.8201830009769</v>
      </c>
      <c r="M36" s="545">
        <f t="shared" si="1"/>
        <v>302.22830848678723</v>
      </c>
      <c r="N36" s="545">
        <f t="shared" si="1"/>
        <v>327.62564906547425</v>
      </c>
      <c r="O36" s="545">
        <f t="shared" si="1"/>
        <v>335.37245623674346</v>
      </c>
      <c r="P36" s="545">
        <f t="shared" si="1"/>
        <v>354.44</v>
      </c>
      <c r="Q36" s="545">
        <f t="shared" si="1"/>
        <v>381.12</v>
      </c>
      <c r="R36" s="545">
        <f t="shared" si="1"/>
        <v>426.29</v>
      </c>
      <c r="S36" s="545">
        <f t="shared" si="1"/>
        <v>527.98</v>
      </c>
      <c r="T36" s="545">
        <f t="shared" si="1"/>
        <v>633.48</v>
      </c>
      <c r="U36" s="545">
        <f t="shared" si="1"/>
        <v>530.11</v>
      </c>
      <c r="V36" s="545">
        <f t="shared" si="1"/>
        <v>583.43999999999994</v>
      </c>
      <c r="W36" s="545">
        <f t="shared" si="1"/>
        <v>636.12</v>
      </c>
      <c r="X36" s="545">
        <f t="shared" si="1"/>
        <v>637.63</v>
      </c>
      <c r="Y36" s="545">
        <f t="shared" si="1"/>
        <v>612.53</v>
      </c>
      <c r="Z36" s="545">
        <f t="shared" si="1"/>
        <v>682.38</v>
      </c>
      <c r="AA36" s="545">
        <f t="shared" si="1"/>
        <v>723.44</v>
      </c>
      <c r="AB36" s="545">
        <f t="shared" si="1"/>
        <v>737.87</v>
      </c>
      <c r="AC36" s="545">
        <f t="shared" si="1"/>
        <v>852.01</v>
      </c>
      <c r="AD36" s="545" t="e">
        <f t="shared" si="1"/>
        <v>#VALUE!</v>
      </c>
      <c r="AE36" s="545" t="e">
        <f t="shared" si="1"/>
        <v>#VALUE!</v>
      </c>
      <c r="AF36" s="545" t="e">
        <f t="shared" si="1"/>
        <v>#VALUE!</v>
      </c>
    </row>
    <row r="37" spans="1:32">
      <c r="A37" s="533"/>
      <c r="B37" s="534"/>
      <c r="C37" s="535"/>
      <c r="D37" s="12"/>
      <c r="E37" s="13"/>
      <c r="F37" s="14"/>
      <c r="G37" s="544"/>
      <c r="H37" s="544"/>
      <c r="I37" s="544"/>
      <c r="J37" s="544"/>
      <c r="K37" s="544"/>
      <c r="L37" s="544"/>
      <c r="M37" s="544"/>
      <c r="N37" s="544"/>
      <c r="O37" s="544"/>
      <c r="P37" s="544"/>
      <c r="Q37" s="544"/>
      <c r="R37" s="544"/>
      <c r="S37" s="544"/>
      <c r="T37" s="544"/>
      <c r="U37" s="544"/>
      <c r="V37" s="544"/>
      <c r="W37" s="544"/>
      <c r="X37" s="544"/>
      <c r="Y37" s="544"/>
      <c r="Z37" s="544"/>
      <c r="AA37" s="544"/>
      <c r="AB37" s="544"/>
      <c r="AC37" s="544"/>
      <c r="AD37" s="544"/>
      <c r="AE37" s="544"/>
      <c r="AF37" s="544"/>
    </row>
    <row r="38" spans="1:32" s="220" customFormat="1">
      <c r="A38" s="533">
        <v>3</v>
      </c>
      <c r="B38" s="534" t="s">
        <v>850</v>
      </c>
      <c r="C38" s="1346" t="s">
        <v>417</v>
      </c>
      <c r="D38" s="1347" t="s">
        <v>742</v>
      </c>
      <c r="E38" s="1348">
        <v>310</v>
      </c>
      <c r="F38" s="14" t="str">
        <f>VLOOKUP($E$38,[1]ON!$A$2:$FA$37, 3, FALSE)</f>
        <v xml:space="preserve">310  Gross fixed capital formation                                                   </v>
      </c>
      <c r="G38" s="3167">
        <f>IF(VLOOKUP($E$38,[1]ON!$A$2:$FA$37, 6, FALSE)="",":",VLOOKUP($E$38,[1]ON!$A$2:$FA$37, 6, FALSE))</f>
        <v>1865.6464365920581</v>
      </c>
      <c r="H38" s="3167">
        <f>IF(VLOOKUP($E$38,[1]ON!$A$2:$FA$37, 7, FALSE)="",":",VLOOKUP($E$38,[1]ON!$A$2:$FA$37, 7, FALSE))</f>
        <v>2258.4049991717588</v>
      </c>
      <c r="I38" s="3167">
        <f>IF(VLOOKUP($E$38,[1]ON!$A$2:$FA$37, 8, FALSE)="",":",VLOOKUP($E$38,[1]ON!$A$2:$FA$37, 8, FALSE))</f>
        <v>2835.1920988674078</v>
      </c>
      <c r="J38" s="3167">
        <f>IF(VLOOKUP($E$38,[1]ON!$A$2:$FA$37, 9, FALSE)="",":",VLOOKUP($E$38,[1]ON!$A$2:$FA$37, 9, FALSE))</f>
        <v>3433.4187190510511</v>
      </c>
      <c r="K38" s="3167">
        <f>IF(VLOOKUP($E$38,[1]ON!$A$2:$FA$37, 10, FALSE)="",":",VLOOKUP($E$38,[1]ON!$A$2:$FA$37, 10, FALSE))</f>
        <v>3229.3318550454055</v>
      </c>
      <c r="L38" s="3167">
        <f>IF(VLOOKUP($E$38,[1]ON!$A$2:$FA$37, 11, FALSE)="",":",VLOOKUP($E$38,[1]ON!$A$2:$FA$37, 11, FALSE))</f>
        <v>2958.9150459905522</v>
      </c>
      <c r="M38" s="3167">
        <f>IF(VLOOKUP($E$38,[1]ON!$A$2:$FA$37, 12, FALSE)="",":",VLOOKUP($E$38,[1]ON!$A$2:$FA$37, 12, FALSE))</f>
        <v>3349.0744830283033</v>
      </c>
      <c r="N38" s="3167">
        <f>IF(VLOOKUP($E$38,[1]ON!$A$2:$FA$37, 13, FALSE)="",":",VLOOKUP($E$38,[1]ON!$A$2:$FA$37, 13, FALSE))</f>
        <v>3707.1301482966423</v>
      </c>
      <c r="O38" s="3167">
        <f>IF(VLOOKUP($E$38,[1]ON!$A$2:$FA$37, 14, FALSE)="",":",VLOOKUP($E$38,[1]ON!$A$2:$FA$37, 14, FALSE))</f>
        <v>4207.3312057982785</v>
      </c>
      <c r="P38" s="544">
        <f>IF(VLOOKUP($E$38,[1]ON!$A$2:$FA$37, 15, FALSE)="",":",VLOOKUP($E$38,[1]ON!$A$2:$FA$37, 15, FALSE))</f>
        <v>4868.87</v>
      </c>
      <c r="Q38" s="544">
        <f>IF(VLOOKUP($E$38,[1]ON!$A$2:$FA$37, 16, FALSE)="",":",VLOOKUP($E$38,[1]ON!$A$2:$FA$37, 16, FALSE))</f>
        <v>5427.43</v>
      </c>
      <c r="R38" s="544">
        <f>IF(VLOOKUP($E$38,[1]ON!$A$2:$FA$37, 17, FALSE)="",":",VLOOKUP($E$38,[1]ON!$A$2:$FA$37, 17, FALSE))</f>
        <v>6490.85</v>
      </c>
      <c r="S38" s="544">
        <f>IF(VLOOKUP($E$38,[1]ON!$A$2:$FA$37, 18, FALSE)="",":",VLOOKUP($E$38,[1]ON!$A$2:$FA$37, 18, FALSE))</f>
        <v>7940.54</v>
      </c>
      <c r="T38" s="544">
        <f>IF(VLOOKUP($E$38,[1]ON!$A$2:$FA$37, 19, FALSE)="",":",VLOOKUP($E$38,[1]ON!$A$2:$FA$37, 19, FALSE))</f>
        <v>7623.21</v>
      </c>
      <c r="U38" s="544">
        <f>IF(VLOOKUP($E$38,[1]ON!$A$2:$FA$37, 20, FALSE)="",":",VLOOKUP($E$38,[1]ON!$A$2:$FA$37, 20, FALSE))</f>
        <v>4657.58</v>
      </c>
      <c r="V38" s="544">
        <f>IF(VLOOKUP($E$38,[1]ON!$A$2:$FA$37, 21, FALSE)="",":",VLOOKUP($E$38,[1]ON!$A$2:$FA$37, 21, FALSE))</f>
        <v>4726.3</v>
      </c>
      <c r="W38" s="544">
        <f>IF(VLOOKUP($E$38,[1]ON!$A$2:$FA$37, 22, FALSE)="",":",VLOOKUP($E$38,[1]ON!$A$2:$FA$37, 22, FALSE))</f>
        <v>5678.49</v>
      </c>
      <c r="X38" s="544">
        <f>IF(VLOOKUP($E$38,[1]ON!$A$2:$FA$37, 23, FALSE)="",":",VLOOKUP($E$38,[1]ON!$A$2:$FA$37, 23, FALSE))</f>
        <v>5577.51</v>
      </c>
      <c r="Y38" s="544">
        <f>IF(VLOOKUP($E$38,[1]ON!$A$2:$FA$37, 24, FALSE)="",":",VLOOKUP($E$38,[1]ON!$A$2:$FA$37, 24, FALSE))</f>
        <v>6040.42</v>
      </c>
      <c r="Z38" s="544">
        <f>IF(VLOOKUP($E$38,[1]ON!$A$2:$FA$37, 25, FALSE)="",":",VLOOKUP($E$38,[1]ON!$A$2:$FA$37, 25, FALSE))</f>
        <v>6387.86</v>
      </c>
      <c r="AA38" s="544">
        <f>IF(VLOOKUP($E$38,[1]ON!$A$2:$FA$37, 26, FALSE)="",":",VLOOKUP($E$38,[1]ON!$A$2:$FA$37, 26, FALSE))</f>
        <v>6696.17</v>
      </c>
      <c r="AB38" s="544">
        <f>IF(VLOOKUP($E$38,[1]ON!$A$2:$FA$37, 27, FALSE)="",":",VLOOKUP($E$38,[1]ON!$A$2:$FA$37, 27, FALSE))</f>
        <v>6664.64</v>
      </c>
      <c r="AC38" s="544">
        <f>IF(VLOOKUP($E$38,[1]ON!$A$2:$FA$37, 28, FALSE)="",":",VLOOKUP($E$38,[1]ON!$A$2:$FA$37, 28, FALSE))</f>
        <v>7151.41</v>
      </c>
      <c r="AD38" s="544" t="str">
        <f>IF(VLOOKUP($E$38,[1]ON!$A$2:$FA$37, 29, FALSE)="",":",VLOOKUP($E$38,[1]ON!$A$2:$FA$37, 29, FALSE))</f>
        <v>:</v>
      </c>
      <c r="AE38" s="544" t="str">
        <f>IF(VLOOKUP($E$38,[1]ON!$A$2:$FA$37, 30, FALSE)="",":",VLOOKUP($E$38,[1]ON!$A$2:$FA$37, 30, FALSE))</f>
        <v>:</v>
      </c>
      <c r="AF38" s="544" t="str">
        <f>IF(VLOOKUP($E$38,[1]ON!$A$2:$FA$37, 31, FALSE)="",":",VLOOKUP($E$38,[1]ON!$A$2:$FA$37, 31, FALSE))</f>
        <v>:</v>
      </c>
    </row>
    <row r="39" spans="1:32">
      <c r="A39" s="533">
        <v>7</v>
      </c>
      <c r="B39" s="534" t="s">
        <v>2060</v>
      </c>
      <c r="C39" s="535" t="s">
        <v>476</v>
      </c>
      <c r="D39" s="12" t="s">
        <v>742</v>
      </c>
      <c r="E39" s="13">
        <v>320</v>
      </c>
      <c r="F39" s="14" t="str">
        <f>VLOOKUP($E$39,[1]ON!$A$2:$FA$37, 3, FALSE)</f>
        <v xml:space="preserve">320  Changes in inventories and net acquisition of valuables                         </v>
      </c>
      <c r="G39" s="544">
        <f>IF(VLOOKUP($E$39,[1]ON!$A$2:$FA$37, 6, FALSE)="",":",VLOOKUP($E$39,[1]ON!$A$2:$FA$37, 6, FALSE))</f>
        <v>-2.5132466412478336</v>
      </c>
      <c r="H39" s="544">
        <f>IF(VLOOKUP($E$39,[1]ON!$A$2:$FA$37, 7, FALSE)="",":",VLOOKUP($E$39,[1]ON!$A$2:$FA$37, 7, FALSE))</f>
        <v>-2.5216880485268631</v>
      </c>
      <c r="I39" s="544">
        <f>IF(VLOOKUP($E$39,[1]ON!$A$2:$FA$37, 8, FALSE)="",":",VLOOKUP($E$39,[1]ON!$A$2:$FA$37, 8, FALSE))</f>
        <v>-0.41039829462738309</v>
      </c>
      <c r="J39" s="544">
        <f>IF(VLOOKUP($E$39,[1]ON!$A$2:$FA$37, 9, FALSE)="",":",VLOOKUP($E$39,[1]ON!$A$2:$FA$37, 9, FALSE))</f>
        <v>-0.76970523223570197</v>
      </c>
      <c r="K39" s="544">
        <f>IF(VLOOKUP($E$39,[1]ON!$A$2:$FA$37, 10, FALSE)="",":",VLOOKUP($E$39,[1]ON!$A$2:$FA$37, 10, FALSE))</f>
        <v>-1.8790728925476605</v>
      </c>
      <c r="L39" s="544">
        <f>IF(VLOOKUP($E$39,[1]ON!$A$2:$FA$37, 11, FALSE)="",":",VLOOKUP($E$39,[1]ON!$A$2:$FA$37, 11, FALSE))</f>
        <v>-2.2338725355285964</v>
      </c>
      <c r="M39" s="544">
        <f>IF(VLOOKUP($E$39,[1]ON!$A$2:$FA$37, 12, FALSE)="",":",VLOOKUP($E$39,[1]ON!$A$2:$FA$37, 12, FALSE))</f>
        <v>-1.7207965060658581</v>
      </c>
      <c r="N39" s="544">
        <f>IF(VLOOKUP($E$39,[1]ON!$A$2:$FA$37, 13, FALSE)="",":",VLOOKUP($E$39,[1]ON!$A$2:$FA$37, 13, FALSE))</f>
        <v>-0.19326654072790297</v>
      </c>
      <c r="O39" s="544">
        <f>IF(VLOOKUP($E$39,[1]ON!$A$2:$FA$37, 14, FALSE)="",":",VLOOKUP($E$39,[1]ON!$A$2:$FA$37, 14, FALSE))</f>
        <v>0.37629396707105722</v>
      </c>
      <c r="P39" s="544">
        <f>IF(VLOOKUP($E$39,[1]ON!$A$2:$FA$37, 15, FALSE)="",":",VLOOKUP($E$39,[1]ON!$A$2:$FA$37, 15, FALSE))</f>
        <v>13.052199999999999</v>
      </c>
      <c r="Q39" s="544">
        <f>IF(VLOOKUP($E$39,[1]ON!$A$2:$FA$37, 16, FALSE)="",":",VLOOKUP($E$39,[1]ON!$A$2:$FA$37, 16, FALSE))</f>
        <v>122.32888</v>
      </c>
      <c r="R39" s="544">
        <f>IF(VLOOKUP($E$39,[1]ON!$A$2:$FA$37, 17, FALSE)="",":",VLOOKUP($E$39,[1]ON!$A$2:$FA$37, 17, FALSE))</f>
        <v>-160.91435999999999</v>
      </c>
      <c r="S39" s="544">
        <f>IF(VLOOKUP($E$39,[1]ON!$A$2:$FA$37, 18, FALSE)="",":",VLOOKUP($E$39,[1]ON!$A$2:$FA$37, 18, FALSE))</f>
        <v>-624.09140000000002</v>
      </c>
      <c r="T39" s="544">
        <f>IF(VLOOKUP($E$39,[1]ON!$A$2:$FA$37, 19, FALSE)="",":",VLOOKUP($E$39,[1]ON!$A$2:$FA$37, 19, FALSE))</f>
        <v>-1015.19093</v>
      </c>
      <c r="U39" s="544">
        <f>IF(VLOOKUP($E$39,[1]ON!$A$2:$FA$37, 20, FALSE)="",":",VLOOKUP($E$39,[1]ON!$A$2:$FA$37, 20, FALSE))</f>
        <v>1776.3466699999999</v>
      </c>
      <c r="V39" s="544">
        <f>IF(VLOOKUP($E$39,[1]ON!$A$2:$FA$37, 21, FALSE)="",":",VLOOKUP($E$39,[1]ON!$A$2:$FA$37, 21, FALSE))</f>
        <v>318.64999999999998</v>
      </c>
      <c r="W39" s="544">
        <f>IF(VLOOKUP($E$39,[1]ON!$A$2:$FA$37, 22, FALSE)="",":",VLOOKUP($E$39,[1]ON!$A$2:$FA$37, 22, FALSE))</f>
        <v>260.89999999999998</v>
      </c>
      <c r="X39" s="544">
        <f>IF(VLOOKUP($E$39,[1]ON!$A$2:$FA$37, 23, FALSE)="",":",VLOOKUP($E$39,[1]ON!$A$2:$FA$37, 23, FALSE))</f>
        <v>87.17492</v>
      </c>
      <c r="Y39" s="544">
        <f>IF(VLOOKUP($E$39,[1]ON!$A$2:$FA$37, 24, FALSE)="",":",VLOOKUP($E$39,[1]ON!$A$2:$FA$37, 24, FALSE))</f>
        <v>24.82939</v>
      </c>
      <c r="Z39" s="544">
        <f>IF(VLOOKUP($E$39,[1]ON!$A$2:$FA$37, 25, FALSE)="",":",VLOOKUP($E$39,[1]ON!$A$2:$FA$37, 25, FALSE))</f>
        <v>18.88916</v>
      </c>
      <c r="AA39" s="544">
        <f>IF(VLOOKUP($E$39,[1]ON!$A$2:$FA$37, 26, FALSE)="",":",VLOOKUP($E$39,[1]ON!$A$2:$FA$37, 26, FALSE))</f>
        <v>514.74563000000001</v>
      </c>
      <c r="AB39" s="544">
        <f>IF(VLOOKUP($E$39,[1]ON!$A$2:$FA$37, 27, FALSE)="",":",VLOOKUP($E$39,[1]ON!$A$2:$FA$37, 27, FALSE))</f>
        <v>103.46545</v>
      </c>
      <c r="AC39" s="544">
        <f>IF(VLOOKUP($E$39,[1]ON!$A$2:$FA$37, 28, FALSE)="",":",VLOOKUP($E$39,[1]ON!$A$2:$FA$37, 28, FALSE))</f>
        <v>149.06469999999999</v>
      </c>
      <c r="AD39" s="544" t="str">
        <f>IF(VLOOKUP($E$39,[1]ON!$A$2:$FA$37, 29, FALSE)="",":",VLOOKUP($E$39,[1]ON!$A$2:$FA$37, 29, FALSE))</f>
        <v>:</v>
      </c>
      <c r="AE39" s="544" t="str">
        <f>IF(VLOOKUP($E$39,[1]ON!$A$2:$FA$37, 30, FALSE)="",":",VLOOKUP($E$39,[1]ON!$A$2:$FA$37, 30, FALSE))</f>
        <v>:</v>
      </c>
      <c r="AF39" s="544" t="str">
        <f>IF(VLOOKUP($E$39,[1]ON!$A$2:$FA$37, 31, FALSE)="",":",VLOOKUP($E$39,[1]ON!$A$2:$FA$37, 31, FALSE))</f>
        <v>:</v>
      </c>
    </row>
    <row r="40" spans="1:32">
      <c r="A40" s="533"/>
      <c r="B40" s="534"/>
      <c r="C40" s="535"/>
      <c r="D40" s="12"/>
      <c r="E40" s="13"/>
      <c r="F40" s="14"/>
      <c r="G40" s="544"/>
      <c r="H40" s="544"/>
      <c r="I40" s="544"/>
      <c r="J40" s="544"/>
      <c r="K40" s="544"/>
      <c r="L40" s="544"/>
      <c r="M40" s="544"/>
      <c r="N40" s="544"/>
      <c r="O40" s="544"/>
      <c r="P40" s="544"/>
      <c r="Q40" s="544"/>
      <c r="R40" s="544"/>
      <c r="S40" s="544"/>
      <c r="T40" s="544"/>
      <c r="U40" s="544"/>
      <c r="V40" s="544"/>
      <c r="W40" s="544"/>
      <c r="X40" s="544"/>
      <c r="Y40" s="544"/>
      <c r="Z40" s="544"/>
      <c r="AA40" s="544"/>
      <c r="AB40" s="544"/>
      <c r="AC40" s="544"/>
      <c r="AD40" s="544"/>
      <c r="AE40" s="544"/>
      <c r="AF40" s="544"/>
    </row>
    <row r="41" spans="1:32">
      <c r="A41" s="1453"/>
      <c r="B41" s="534"/>
      <c r="C41" s="535"/>
      <c r="D41" s="12" t="s">
        <v>742</v>
      </c>
      <c r="E41" s="13">
        <v>401</v>
      </c>
      <c r="F41" s="14" t="str">
        <f>VLOOKUP($E$41,[1]ON!$A$2:$FA$37, 3, FALSE)</f>
        <v>401  Domestic demand excluding change in inventories and net acquisition of valuables</v>
      </c>
      <c r="G41" s="544">
        <f>IF(VLOOKUP($E$41,[1]ON!$A$2:$FA$37, 6, FALSE)="",":",VLOOKUP($E$41,[1]ON!$A$2:$FA$37, 6, FALSE))</f>
        <v>14579.253810129012</v>
      </c>
      <c r="H41" s="544">
        <f>IF(VLOOKUP($E$41,[1]ON!$A$2:$FA$37, 7, FALSE)="",":",VLOOKUP($E$41,[1]ON!$A$2:$FA$37, 7, FALSE))</f>
        <v>15684.726189883464</v>
      </c>
      <c r="I41" s="544">
        <f>IF(VLOOKUP($E$41,[1]ON!$A$2:$FA$37, 8, FALSE)="",":",VLOOKUP($E$41,[1]ON!$A$2:$FA$37, 8, FALSE))</f>
        <v>17077.361276954041</v>
      </c>
      <c r="J41" s="544">
        <f>IF(VLOOKUP($E$41,[1]ON!$A$2:$FA$37, 9, FALSE)="",":",VLOOKUP($E$41,[1]ON!$A$2:$FA$37, 9, FALSE))</f>
        <v>18477.134009203066</v>
      </c>
      <c r="K41" s="544">
        <f>IF(VLOOKUP($E$41,[1]ON!$A$2:$FA$37, 10, FALSE)="",":",VLOOKUP($E$41,[1]ON!$A$2:$FA$37, 10, FALSE))</f>
        <v>18555.156347933964</v>
      </c>
      <c r="L41" s="544">
        <f>IF(VLOOKUP($E$41,[1]ON!$A$2:$FA$37, 11, FALSE)="",":",VLOOKUP($E$41,[1]ON!$A$2:$FA$37, 11, FALSE))</f>
        <v>19017.219898719679</v>
      </c>
      <c r="M41" s="544">
        <f>IF(VLOOKUP($E$41,[1]ON!$A$2:$FA$37, 12, FALSE)="",":",VLOOKUP($E$41,[1]ON!$A$2:$FA$37, 12, FALSE))</f>
        <v>20004.497742649204</v>
      </c>
      <c r="N41" s="544">
        <f>IF(VLOOKUP($E$41,[1]ON!$A$2:$FA$37, 13, FALSE)="",":",VLOOKUP($E$41,[1]ON!$A$2:$FA$37, 13, FALSE))</f>
        <v>21261.742027629673</v>
      </c>
      <c r="O41" s="544">
        <f>IF(VLOOKUP($E$41,[1]ON!$A$2:$FA$37, 14, FALSE)="",":",VLOOKUP($E$41,[1]ON!$A$2:$FA$37, 14, FALSE))</f>
        <v>23392.936699256752</v>
      </c>
      <c r="P41" s="544">
        <f>IF(VLOOKUP($E$41,[1]ON!$A$2:$FA$37, 15, FALSE)="",":",VLOOKUP($E$41,[1]ON!$A$2:$FA$37, 15, FALSE))</f>
        <v>26012.32113</v>
      </c>
      <c r="Q41" s="544">
        <f>IF(VLOOKUP($E$41,[1]ON!$A$2:$FA$37, 16, FALSE)="",":",VLOOKUP($E$41,[1]ON!$A$2:$FA$37, 16, FALSE))</f>
        <v>28649.44656</v>
      </c>
      <c r="R41" s="544">
        <f>IF(VLOOKUP($E$41,[1]ON!$A$2:$FA$37, 17, FALSE)="",":",VLOOKUP($E$41,[1]ON!$A$2:$FA$37, 17, FALSE))</f>
        <v>31567.883180000001</v>
      </c>
      <c r="S41" s="544">
        <f>IF(VLOOKUP($E$41,[1]ON!$A$2:$FA$37, 18, FALSE)="",":",VLOOKUP($E$41,[1]ON!$A$2:$FA$37, 18, FALSE))</f>
        <v>35646.567750000002</v>
      </c>
      <c r="T41" s="544">
        <f>IF(VLOOKUP($E$41,[1]ON!$A$2:$FA$37, 19, FALSE)="",":",VLOOKUP($E$41,[1]ON!$A$2:$FA$37, 19, FALSE))</f>
        <v>36085.323389999998</v>
      </c>
      <c r="U41" s="544">
        <f>IF(VLOOKUP($E$41,[1]ON!$A$2:$FA$37, 20, FALSE)="",":",VLOOKUP($E$41,[1]ON!$A$2:$FA$37, 20, FALSE))</f>
        <v>28962.535029999999</v>
      </c>
      <c r="V41" s="544">
        <f>IF(VLOOKUP($E$41,[1]ON!$A$2:$FA$37, 21, FALSE)="",":",VLOOKUP($E$41,[1]ON!$A$2:$FA$37, 21, FALSE))</f>
        <v>28235.22</v>
      </c>
      <c r="W41" s="544">
        <f>IF(VLOOKUP($E$41,[1]ON!$A$2:$FA$37, 22, FALSE)="",":",VLOOKUP($E$41,[1]ON!$A$2:$FA$37, 22, FALSE))</f>
        <v>29992.880000000001</v>
      </c>
      <c r="X41" s="544">
        <f>IF(VLOOKUP($E$41,[1]ON!$A$2:$FA$37, 23, FALSE)="",":",VLOOKUP($E$41,[1]ON!$A$2:$FA$37, 23, FALSE))</f>
        <v>30548.781930000001</v>
      </c>
      <c r="Y41" s="544">
        <f>IF(VLOOKUP($E$41,[1]ON!$A$2:$FA$37, 24, FALSE)="",":",VLOOKUP($E$41,[1]ON!$A$2:$FA$37, 24, FALSE))</f>
        <v>31886.62702</v>
      </c>
      <c r="Z41" s="544">
        <f>IF(VLOOKUP($E$41,[1]ON!$A$2:$FA$37, 25, FALSE)="",":",VLOOKUP($E$41,[1]ON!$A$2:$FA$37, 25, FALSE))</f>
        <v>33058.580730000001</v>
      </c>
      <c r="AA41" s="544">
        <f>IF(VLOOKUP($E$41,[1]ON!$A$2:$FA$37, 26, FALSE)="",":",VLOOKUP($E$41,[1]ON!$A$2:$FA$37, 26, FALSE))</f>
        <v>34213.353669999997</v>
      </c>
      <c r="AB41" s="544">
        <f>IF(VLOOKUP($E$41,[1]ON!$A$2:$FA$37, 27, FALSE)="",":",VLOOKUP($E$41,[1]ON!$A$2:$FA$37, 27, FALSE))</f>
        <v>35322.718180000003</v>
      </c>
      <c r="AC41" s="544">
        <f>IF(VLOOKUP($E$41,[1]ON!$A$2:$FA$37, 28, FALSE)="",":",VLOOKUP($E$41,[1]ON!$A$2:$FA$37, 28, FALSE))</f>
        <v>36759.27577</v>
      </c>
      <c r="AD41" s="544" t="str">
        <f>IF(VLOOKUP($E$41,[1]ON!$A$2:$FA$37, 29, FALSE)="",":",VLOOKUP($E$41,[1]ON!$A$2:$FA$37, 29, FALSE))</f>
        <v>:</v>
      </c>
      <c r="AE41" s="544" t="str">
        <f>IF(VLOOKUP($E$41,[1]ON!$A$2:$FA$37, 30, FALSE)="",":",VLOOKUP($E$41,[1]ON!$A$2:$FA$37, 30, FALSE))</f>
        <v>:</v>
      </c>
      <c r="AF41" s="544" t="str">
        <f>IF(VLOOKUP($E$41,[1]ON!$A$2:$FA$37, 31, FALSE)="",":",VLOOKUP($E$41,[1]ON!$A$2:$FA$37, 31, FALSE))</f>
        <v>:</v>
      </c>
    </row>
    <row r="42" spans="1:32">
      <c r="A42" s="533"/>
      <c r="B42" s="534"/>
      <c r="C42" s="535"/>
      <c r="D42" s="12" t="s">
        <v>742</v>
      </c>
      <c r="E42" s="13">
        <v>402</v>
      </c>
      <c r="F42" s="14" t="str">
        <f>VLOOKUP($E$42,[1]ON!$A$2:$FA$37, 3, FALSE)</f>
        <v>402  Domestic demand including change in inventories and net acquisition of valuables</v>
      </c>
      <c r="G42" s="544">
        <f>IF(VLOOKUP($E$42,[1]ON!$A$2:$FA$37, 6, FALSE)="",":",VLOOKUP($E$42,[1]ON!$A$2:$FA$37, 6, FALSE))</f>
        <v>13836.275402676118</v>
      </c>
      <c r="H42" s="544">
        <f>IF(VLOOKUP($E$42,[1]ON!$A$2:$FA$37, 7, FALSE)="",":",VLOOKUP($E$42,[1]ON!$A$2:$FA$37, 7, FALSE))</f>
        <v>15044.402112619391</v>
      </c>
      <c r="I42" s="544">
        <f>IF(VLOOKUP($E$42,[1]ON!$A$2:$FA$37, 8, FALSE)="",":",VLOOKUP($E$42,[1]ON!$A$2:$FA$37, 8, FALSE))</f>
        <v>16904.520540333648</v>
      </c>
      <c r="J42" s="544">
        <f>IF(VLOOKUP($E$42,[1]ON!$A$2:$FA$37, 9, FALSE)="",":",VLOOKUP($E$42,[1]ON!$A$2:$FA$37, 9, FALSE))</f>
        <v>18287.507990920549</v>
      </c>
      <c r="K42" s="544">
        <f>IF(VLOOKUP($E$42,[1]ON!$A$2:$FA$37, 10, FALSE)="",":",VLOOKUP($E$42,[1]ON!$A$2:$FA$37, 10, FALSE))</f>
        <v>18187.110671109534</v>
      </c>
      <c r="L42" s="544">
        <f>IF(VLOOKUP($E$42,[1]ON!$A$2:$FA$37, 11, FALSE)="",":",VLOOKUP($E$42,[1]ON!$A$2:$FA$37, 11, FALSE))</f>
        <v>18575.447364388692</v>
      </c>
      <c r="M42" s="544">
        <f>IF(VLOOKUP($E$42,[1]ON!$A$2:$FA$37, 12, FALSE)="",":",VLOOKUP($E$42,[1]ON!$A$2:$FA$37, 12, FALSE))</f>
        <v>19656.84720975181</v>
      </c>
      <c r="N42" s="544">
        <f>IF(VLOOKUP($E$42,[1]ON!$A$2:$FA$37, 13, FALSE)="",":",VLOOKUP($E$42,[1]ON!$A$2:$FA$37, 13, FALSE))</f>
        <v>21119.478146222798</v>
      </c>
      <c r="O42" s="544">
        <f>IF(VLOOKUP($E$42,[1]ON!$A$2:$FA$37, 14, FALSE)="",":",VLOOKUP($E$42,[1]ON!$A$2:$FA$37, 14, FALSE))</f>
        <v>23318.488136288346</v>
      </c>
      <c r="P42" s="544">
        <f>IF(VLOOKUP($E$42,[1]ON!$A$2:$FA$37, 15, FALSE)="",":",VLOOKUP($E$42,[1]ON!$A$2:$FA$37, 15, FALSE))</f>
        <v>26407.23272</v>
      </c>
      <c r="Q42" s="544">
        <f>IF(VLOOKUP($E$42,[1]ON!$A$2:$FA$37, 16, FALSE)="",":",VLOOKUP($E$42,[1]ON!$A$2:$FA$37, 16, FALSE))</f>
        <v>28643.457320000001</v>
      </c>
      <c r="R42" s="544">
        <f>IF(VLOOKUP($E$42,[1]ON!$A$2:$FA$37, 17, FALSE)="",":",VLOOKUP($E$42,[1]ON!$A$2:$FA$37, 17, FALSE))</f>
        <v>31129.45379</v>
      </c>
      <c r="S42" s="544">
        <f>IF(VLOOKUP($E$42,[1]ON!$A$2:$FA$37, 18, FALSE)="",":",VLOOKUP($E$42,[1]ON!$A$2:$FA$37, 18, FALSE))</f>
        <v>35771.46645</v>
      </c>
      <c r="T42" s="544">
        <f>IF(VLOOKUP($E$42,[1]ON!$A$2:$FA$37, 19, FALSE)="",":",VLOOKUP($E$42,[1]ON!$A$2:$FA$37, 19, FALSE))</f>
        <v>36898.166749999997</v>
      </c>
      <c r="U42" s="544">
        <f>IF(VLOOKUP($E$42,[1]ON!$A$2:$FA$37, 20, FALSE)="",":",VLOOKUP($E$42,[1]ON!$A$2:$FA$37, 20, FALSE))</f>
        <v>28053.701730000001</v>
      </c>
      <c r="V42" s="544">
        <f>IF(VLOOKUP($E$42,[1]ON!$A$2:$FA$37, 21, FALSE)="",":",VLOOKUP($E$42,[1]ON!$A$2:$FA$37, 21, FALSE))</f>
        <v>28553.87</v>
      </c>
      <c r="W42" s="544">
        <f>IF(VLOOKUP($E$42,[1]ON!$A$2:$FA$37, 22, FALSE)="",":",VLOOKUP($E$42,[1]ON!$A$2:$FA$37, 22, FALSE))</f>
        <v>30253.78</v>
      </c>
      <c r="X42" s="544">
        <f>IF(VLOOKUP($E$42,[1]ON!$A$2:$FA$37, 23, FALSE)="",":",VLOOKUP($E$42,[1]ON!$A$2:$FA$37, 23, FALSE))</f>
        <v>30162.02648</v>
      </c>
      <c r="Y42" s="544">
        <f>IF(VLOOKUP($E$42,[1]ON!$A$2:$FA$37, 24, FALSE)="",":",VLOOKUP($E$42,[1]ON!$A$2:$FA$37, 24, FALSE))</f>
        <v>31017.061699999998</v>
      </c>
      <c r="Z42" s="544">
        <f>IF(VLOOKUP($E$42,[1]ON!$A$2:$FA$37, 25, FALSE)="",":",VLOOKUP($E$42,[1]ON!$A$2:$FA$37, 25, FALSE))</f>
        <v>32070.553260000001</v>
      </c>
      <c r="AA42" s="544">
        <f>IF(VLOOKUP($E$42,[1]ON!$A$2:$FA$37, 26, FALSE)="",":",VLOOKUP($E$42,[1]ON!$A$2:$FA$37, 26, FALSE))</f>
        <v>34438.025119999998</v>
      </c>
      <c r="AB42" s="544">
        <f>IF(VLOOKUP($E$42,[1]ON!$A$2:$FA$37, 27, FALSE)="",":",VLOOKUP($E$42,[1]ON!$A$2:$FA$37, 27, FALSE))</f>
        <v>35266.515149999999</v>
      </c>
      <c r="AC42" s="544">
        <f>IF(VLOOKUP($E$42,[1]ON!$A$2:$FA$37, 28, FALSE)="",":",VLOOKUP($E$42,[1]ON!$A$2:$FA$37, 28, FALSE))</f>
        <v>36462.010459999998</v>
      </c>
      <c r="AD42" s="544" t="str">
        <f>IF(VLOOKUP($E$42,[1]ON!$A$2:$FA$37, 29, FALSE)="",":",VLOOKUP($E$42,[1]ON!$A$2:$FA$37, 29, FALSE))</f>
        <v>:</v>
      </c>
      <c r="AE42" s="544" t="str">
        <f>IF(VLOOKUP($E$42,[1]ON!$A$2:$FA$37, 30, FALSE)="",":",VLOOKUP($E$42,[1]ON!$A$2:$FA$37, 30, FALSE))</f>
        <v>:</v>
      </c>
      <c r="AF42" s="544" t="str">
        <f>IF(VLOOKUP($E$42,[1]ON!$A$2:$FA$37, 31, FALSE)="",":",VLOOKUP($E$42,[1]ON!$A$2:$FA$37, 31, FALSE))</f>
        <v>:</v>
      </c>
    </row>
    <row r="43" spans="1:32">
      <c r="A43" s="533"/>
      <c r="B43" s="534"/>
      <c r="C43" s="535"/>
      <c r="D43" s="12" t="s">
        <v>742</v>
      </c>
      <c r="E43" s="13">
        <v>403</v>
      </c>
      <c r="F43" s="14" t="str">
        <f>VLOOKUP($E$43,[1]ON!$A$2:$FA$37, 3, FALSE)</f>
        <v xml:space="preserve">403  Final demand                                                                    </v>
      </c>
      <c r="G43" s="544">
        <f>IF(VLOOKUP($E$43,[1]ON!$A$2:$FA$37, 6, FALSE)="",":",VLOOKUP($E$43,[1]ON!$A$2:$FA$37, 6, FALSE))</f>
        <v>18697.227895180971</v>
      </c>
      <c r="H43" s="544">
        <f>IF(VLOOKUP($E$43,[1]ON!$A$2:$FA$37, 7, FALSE)="",":",VLOOKUP($E$43,[1]ON!$A$2:$FA$37, 7, FALSE))</f>
        <v>20908.572512990042</v>
      </c>
      <c r="I43" s="544">
        <f>IF(VLOOKUP($E$43,[1]ON!$A$2:$FA$37, 8, FALSE)="",":",VLOOKUP($E$43,[1]ON!$A$2:$FA$37, 8, FALSE))</f>
        <v>23919.4209094416</v>
      </c>
      <c r="J43" s="544">
        <f>IF(VLOOKUP($E$43,[1]ON!$A$2:$FA$37, 9, FALSE)="",":",VLOOKUP($E$43,[1]ON!$A$2:$FA$37, 9, FALSE))</f>
        <v>25607.469229881273</v>
      </c>
      <c r="K43" s="544">
        <f>IF(VLOOKUP($E$43,[1]ON!$A$2:$FA$37, 10, FALSE)="",":",VLOOKUP($E$43,[1]ON!$A$2:$FA$37, 10, FALSE))</f>
        <v>24298.456251731583</v>
      </c>
      <c r="L43" s="544">
        <f>IF(VLOOKUP($E$43,[1]ON!$A$2:$FA$37, 11, FALSE)="",":",VLOOKUP($E$43,[1]ON!$A$2:$FA$37, 11, FALSE))</f>
        <v>25286.247982793553</v>
      </c>
      <c r="M43" s="544">
        <f>IF(VLOOKUP($E$43,[1]ON!$A$2:$FA$37, 12, FALSE)="",":",VLOOKUP($E$43,[1]ON!$A$2:$FA$37, 12, FALSE))</f>
        <v>27906.859620407777</v>
      </c>
      <c r="N43" s="544">
        <f>IF(VLOOKUP($E$43,[1]ON!$A$2:$FA$37, 13, FALSE)="",":",VLOOKUP($E$43,[1]ON!$A$2:$FA$37, 13, FALSE))</f>
        <v>30979.501856890787</v>
      </c>
      <c r="O43" s="544">
        <f>IF(VLOOKUP($E$43,[1]ON!$A$2:$FA$37, 14, FALSE)="",":",VLOOKUP($E$43,[1]ON!$A$2:$FA$37, 14, FALSE))</f>
        <v>34001.155724657146</v>
      </c>
      <c r="P43" s="544">
        <f>IF(VLOOKUP($E$43,[1]ON!$A$2:$FA$37, 15, FALSE)="",":",VLOOKUP($E$43,[1]ON!$A$2:$FA$37, 15, FALSE))</f>
        <v>37481.002540000001</v>
      </c>
      <c r="Q43" s="544">
        <f>IF(VLOOKUP($E$43,[1]ON!$A$2:$FA$37, 16, FALSE)="",":",VLOOKUP($E$43,[1]ON!$A$2:$FA$37, 16, FALSE))</f>
        <v>42042.63276</v>
      </c>
      <c r="R43" s="544">
        <f>IF(VLOOKUP($E$43,[1]ON!$A$2:$FA$37, 17, FALSE)="",":",VLOOKUP($E$43,[1]ON!$A$2:$FA$37, 17, FALSE))</f>
        <v>46248.83855</v>
      </c>
      <c r="S43" s="544">
        <f>IF(VLOOKUP($E$43,[1]ON!$A$2:$FA$37, 18, FALSE)="",":",VLOOKUP($E$43,[1]ON!$A$2:$FA$37, 18, FALSE))</f>
        <v>51325.337930000002</v>
      </c>
      <c r="T43" s="544">
        <f>IF(VLOOKUP($E$43,[1]ON!$A$2:$FA$37, 19, FALSE)="",":",VLOOKUP($E$43,[1]ON!$A$2:$FA$37, 19, FALSE))</f>
        <v>54579.444009999999</v>
      </c>
      <c r="U43" s="544">
        <f>IF(VLOOKUP($E$43,[1]ON!$A$2:$FA$37, 20, FALSE)="",":",VLOOKUP($E$43,[1]ON!$A$2:$FA$37, 20, FALSE))</f>
        <v>43563.655220000001</v>
      </c>
      <c r="V43" s="544">
        <f>IF(VLOOKUP($E$43,[1]ON!$A$2:$FA$37, 21, FALSE)="",":",VLOOKUP($E$43,[1]ON!$A$2:$FA$37, 21, FALSE))</f>
        <v>46867.75</v>
      </c>
      <c r="W43" s="544">
        <f>IF(VLOOKUP($E$43,[1]ON!$A$2:$FA$37, 22, FALSE)="",":",VLOOKUP($E$43,[1]ON!$A$2:$FA$37, 22, FALSE))</f>
        <v>51388.800000000003</v>
      </c>
      <c r="X43" s="544">
        <f>IF(VLOOKUP($E$43,[1]ON!$A$2:$FA$37, 23, FALSE)="",":",VLOOKUP($E$43,[1]ON!$A$2:$FA$37, 23, FALSE))</f>
        <v>53987.926030000002</v>
      </c>
      <c r="Y43" s="544">
        <f>IF(VLOOKUP($E$43,[1]ON!$A$2:$FA$37, 24, FALSE)="",":",VLOOKUP($E$43,[1]ON!$A$2:$FA$37, 24, FALSE))</f>
        <v>57230.938849999999</v>
      </c>
      <c r="Z43" s="544">
        <f>IF(VLOOKUP($E$43,[1]ON!$A$2:$FA$37, 25, FALSE)="",":",VLOOKUP($E$43,[1]ON!$A$2:$FA$37, 25, FALSE))</f>
        <v>59141.162660000002</v>
      </c>
      <c r="AA43" s="544">
        <f>IF(VLOOKUP($E$43,[1]ON!$A$2:$FA$37, 26, FALSE)="",":",VLOOKUP($E$43,[1]ON!$A$2:$FA$37, 26, FALSE))</f>
        <v>61432.050349999998</v>
      </c>
      <c r="AB43" s="544">
        <f>IF(VLOOKUP($E$43,[1]ON!$A$2:$FA$37, 27, FALSE)="",":",VLOOKUP($E$43,[1]ON!$A$2:$FA$37, 27, FALSE))</f>
        <v>63187.093280000001</v>
      </c>
      <c r="AC43" s="544">
        <f>IF(VLOOKUP($E$43,[1]ON!$A$2:$FA$37, 28, FALSE)="",":",VLOOKUP($E$43,[1]ON!$A$2:$FA$37, 28, FALSE))</f>
        <v>68004.727410000007</v>
      </c>
      <c r="AD43" s="544" t="str">
        <f>IF(VLOOKUP($E$43,[1]ON!$A$2:$FA$37, 29, FALSE)="",":",VLOOKUP($E$43,[1]ON!$A$2:$FA$37, 29, FALSE))</f>
        <v>:</v>
      </c>
      <c r="AE43" s="544" t="str">
        <f>IF(VLOOKUP($E$43,[1]ON!$A$2:$FA$37, 30, FALSE)="",":",VLOOKUP($E$43,[1]ON!$A$2:$FA$37, 30, FALSE))</f>
        <v>:</v>
      </c>
      <c r="AF43" s="544" t="str">
        <f>IF(VLOOKUP($E$43,[1]ON!$A$2:$FA$37, 31, FALSE)="",":",VLOOKUP($E$43,[1]ON!$A$2:$FA$37, 31, FALSE))</f>
        <v>:</v>
      </c>
    </row>
    <row r="44" spans="1:32">
      <c r="A44" s="533"/>
      <c r="B44" s="534"/>
      <c r="C44" s="535"/>
      <c r="D44" s="12"/>
      <c r="E44" s="13"/>
      <c r="F44" s="14"/>
      <c r="G44" s="544"/>
      <c r="H44" s="544"/>
      <c r="I44" s="544"/>
      <c r="J44" s="544"/>
      <c r="K44" s="544"/>
      <c r="L44" s="544"/>
      <c r="M44" s="544"/>
      <c r="N44" s="544"/>
      <c r="O44" s="544"/>
      <c r="P44" s="544"/>
      <c r="Q44" s="544"/>
      <c r="R44" s="544"/>
      <c r="S44" s="544"/>
      <c r="T44" s="544"/>
      <c r="U44" s="544"/>
      <c r="V44" s="544"/>
      <c r="W44" s="544"/>
      <c r="X44" s="544"/>
      <c r="Y44" s="544"/>
      <c r="Z44" s="544"/>
      <c r="AA44" s="544"/>
      <c r="AB44" s="544"/>
      <c r="AC44" s="544"/>
      <c r="AD44" s="544"/>
      <c r="AE44" s="544"/>
      <c r="AF44" s="544"/>
    </row>
    <row r="45" spans="1:32">
      <c r="A45" s="533">
        <v>8</v>
      </c>
      <c r="B45" s="534" t="s">
        <v>1332</v>
      </c>
      <c r="C45" s="535" t="s">
        <v>492</v>
      </c>
      <c r="D45" s="12" t="s">
        <v>742</v>
      </c>
      <c r="E45" s="13">
        <v>511</v>
      </c>
      <c r="F45" s="14" t="str">
        <f>VLOOKUP($E$45,[1]ON!$A$2:$FA$37, 3, FALSE)</f>
        <v xml:space="preserve">511  Exports of goods                                                                </v>
      </c>
      <c r="G45" s="544">
        <f>IF(VLOOKUP($E$45,[1]ON!$A$2:$FA$37, 6, FALSE)="",":",VLOOKUP($E$45,[1]ON!$A$2:$FA$37, 6, FALSE))</f>
        <v>3907.3501199141119</v>
      </c>
      <c r="H45" s="544">
        <f>IF(VLOOKUP($E$45,[1]ON!$A$2:$FA$37, 7, FALSE)="",":",VLOOKUP($E$45,[1]ON!$A$2:$FA$37, 7, FALSE))</f>
        <v>4573.9617407445858</v>
      </c>
      <c r="I45" s="544">
        <f>IF(VLOOKUP($E$45,[1]ON!$A$2:$FA$37, 8, FALSE)="",":",VLOOKUP($E$45,[1]ON!$A$2:$FA$37, 8, FALSE))</f>
        <v>5418.2026596939959</v>
      </c>
      <c r="J45" s="544">
        <f>IF(VLOOKUP($E$45,[1]ON!$A$2:$FA$37, 9, FALSE)="",":",VLOOKUP($E$45,[1]ON!$A$2:$FA$37, 9, FALSE))</f>
        <v>5572.1661905684068</v>
      </c>
      <c r="K45" s="544">
        <f>IF(VLOOKUP($E$45,[1]ON!$A$2:$FA$37, 10, FALSE)="",":",VLOOKUP($E$45,[1]ON!$A$2:$FA$37, 10, FALSE))</f>
        <v>4397.9269342993148</v>
      </c>
      <c r="L45" s="544">
        <f>IF(VLOOKUP($E$45,[1]ON!$A$2:$FA$37, 11, FALSE)="",":",VLOOKUP($E$45,[1]ON!$A$2:$FA$37, 11, FALSE))</f>
        <v>5056.0102189302843</v>
      </c>
      <c r="M45" s="544">
        <f>IF(VLOOKUP($E$45,[1]ON!$A$2:$FA$37, 12, FALSE)="",":",VLOOKUP($E$45,[1]ON!$A$2:$FA$37, 12, FALSE))</f>
        <v>6297.542875173579</v>
      </c>
      <c r="N45" s="544">
        <f>IF(VLOOKUP($E$45,[1]ON!$A$2:$FA$37, 13, FALSE)="",":",VLOOKUP($E$45,[1]ON!$A$2:$FA$37, 13, FALSE))</f>
        <v>7501.8609734554002</v>
      </c>
      <c r="O45" s="544">
        <f>IF(VLOOKUP($E$45,[1]ON!$A$2:$FA$37, 14, FALSE)="",":",VLOOKUP($E$45,[1]ON!$A$2:$FA$37, 14, FALSE))</f>
        <v>8182.3168779551888</v>
      </c>
      <c r="P45" s="544">
        <f>IF(VLOOKUP($E$45,[1]ON!$A$2:$FA$37, 15, FALSE)="",":",VLOOKUP($E$45,[1]ON!$A$2:$FA$37, 15, FALSE))</f>
        <v>8352.11</v>
      </c>
      <c r="Q45" s="544">
        <f>IF(VLOOKUP($E$45,[1]ON!$A$2:$FA$37, 16, FALSE)="",":",VLOOKUP($E$45,[1]ON!$A$2:$FA$37, 16, FALSE))</f>
        <v>10434.51</v>
      </c>
      <c r="R45" s="544">
        <f>IF(VLOOKUP($E$45,[1]ON!$A$2:$FA$37, 17, FALSE)="",":",VLOOKUP($E$45,[1]ON!$A$2:$FA$37, 17, FALSE))</f>
        <v>11827.11</v>
      </c>
      <c r="S45" s="544">
        <f>IF(VLOOKUP($E$45,[1]ON!$A$2:$FA$37, 18, FALSE)="",":",VLOOKUP($E$45,[1]ON!$A$2:$FA$37, 18, FALSE))</f>
        <v>12288.1</v>
      </c>
      <c r="T45" s="544">
        <f>IF(VLOOKUP($E$45,[1]ON!$A$2:$FA$37, 19, FALSE)="",":",VLOOKUP($E$45,[1]ON!$A$2:$FA$37, 19, FALSE))</f>
        <v>14264.49</v>
      </c>
      <c r="U45" s="544">
        <f>IF(VLOOKUP($E$45,[1]ON!$A$2:$FA$37, 20, FALSE)="",":",VLOOKUP($E$45,[1]ON!$A$2:$FA$37, 20, FALSE))</f>
        <v>12427.54</v>
      </c>
      <c r="V45" s="544">
        <f>IF(VLOOKUP($E$45,[1]ON!$A$2:$FA$37, 21, FALSE)="",":",VLOOKUP($E$45,[1]ON!$A$2:$FA$37, 21, FALSE))</f>
        <v>14891</v>
      </c>
      <c r="W45" s="544">
        <f>IF(VLOOKUP($E$45,[1]ON!$A$2:$FA$37, 22, FALSE)="",":",VLOOKUP($E$45,[1]ON!$A$2:$FA$37, 22, FALSE))</f>
        <v>17204.669999999998</v>
      </c>
      <c r="X45" s="544">
        <f>IF(VLOOKUP($E$45,[1]ON!$A$2:$FA$37, 23, FALSE)="",":",VLOOKUP($E$45,[1]ON!$A$2:$FA$37, 23, FALSE))</f>
        <v>19202.400000000001</v>
      </c>
      <c r="Y45" s="544">
        <f>IF(VLOOKUP($E$45,[1]ON!$A$2:$FA$37, 24, FALSE)="",":",VLOOKUP($E$45,[1]ON!$A$2:$FA$37, 24, FALSE))</f>
        <v>20987.58</v>
      </c>
      <c r="Z45" s="544">
        <f>IF(VLOOKUP($E$45,[1]ON!$A$2:$FA$37, 25, FALSE)="",":",VLOOKUP($E$45,[1]ON!$A$2:$FA$37, 25, FALSE))</f>
        <v>21368.49</v>
      </c>
      <c r="AA45" s="544">
        <f>IF(VLOOKUP($E$45,[1]ON!$A$2:$FA$37, 26, FALSE)="",":",VLOOKUP($E$45,[1]ON!$A$2:$FA$37, 26, FALSE))</f>
        <v>21201.09</v>
      </c>
      <c r="AB45" s="544">
        <f>IF(VLOOKUP($E$45,[1]ON!$A$2:$FA$37, 27, FALSE)="",":",VLOOKUP($E$45,[1]ON!$A$2:$FA$37, 27, FALSE))</f>
        <v>21490.98</v>
      </c>
      <c r="AC45" s="544">
        <f>IF(VLOOKUP($E$45,[1]ON!$A$2:$FA$37, 28, FALSE)="",":",VLOOKUP($E$45,[1]ON!$A$2:$FA$37, 28, FALSE))</f>
        <v>24115.1</v>
      </c>
      <c r="AD45" s="544" t="str">
        <f>IF(VLOOKUP($E$45,[1]ON!$A$2:$FA$37, 29, FALSE)="",":",VLOOKUP($E$45,[1]ON!$A$2:$FA$37, 29, FALSE))</f>
        <v>:</v>
      </c>
      <c r="AE45" s="544" t="str">
        <f>IF(VLOOKUP($E$45,[1]ON!$A$2:$FA$37, 30, FALSE)="",":",VLOOKUP($E$45,[1]ON!$A$2:$FA$37, 30, FALSE))</f>
        <v>:</v>
      </c>
      <c r="AF45" s="544" t="str">
        <f>IF(VLOOKUP($E$45,[1]ON!$A$2:$FA$37, 31, FALSE)="",":",VLOOKUP($E$45,[1]ON!$A$2:$FA$37, 31, FALSE))</f>
        <v>:</v>
      </c>
    </row>
    <row r="46" spans="1:32">
      <c r="A46" s="533">
        <v>9</v>
      </c>
      <c r="B46" s="534" t="s">
        <v>1995</v>
      </c>
      <c r="C46" s="535" t="s">
        <v>493</v>
      </c>
      <c r="D46" s="12" t="s">
        <v>742</v>
      </c>
      <c r="E46" s="13">
        <v>512</v>
      </c>
      <c r="F46" s="14" t="str">
        <f>VLOOKUP($E$46,[1]ON!$A$2:$FA$37, 3, FALSE)</f>
        <v xml:space="preserve">512  Exports of services </v>
      </c>
      <c r="G46" s="544">
        <f>IF(VLOOKUP($E$46,[1]ON!$A$2:$FA$37, 6, FALSE)="",":",VLOOKUP($E$46,[1]ON!$A$2:$FA$37, 6, FALSE))</f>
        <v>1099.8281060419638</v>
      </c>
      <c r="H46" s="544">
        <f>IF(VLOOKUP($E$46,[1]ON!$A$2:$FA$37, 7, FALSE)="",":",VLOOKUP($E$46,[1]ON!$A$2:$FA$37, 7, FALSE))</f>
        <v>1430.2389553745404</v>
      </c>
      <c r="I46" s="544">
        <f>IF(VLOOKUP($E$46,[1]ON!$A$2:$FA$37, 8, FALSE)="",":",VLOOKUP($E$46,[1]ON!$A$2:$FA$37, 8, FALSE))</f>
        <v>1722.7190172957553</v>
      </c>
      <c r="J46" s="544">
        <f>IF(VLOOKUP($E$46,[1]ON!$A$2:$FA$37, 9, FALSE)="",":",VLOOKUP($E$46,[1]ON!$A$2:$FA$37, 9, FALSE))</f>
        <v>1929.7793068012895</v>
      </c>
      <c r="K46" s="544">
        <f>IF(VLOOKUP($E$46,[1]ON!$A$2:$FA$37, 10, FALSE)="",":",VLOOKUP($E$46,[1]ON!$A$2:$FA$37, 10, FALSE))</f>
        <v>1935.4938303519414</v>
      </c>
      <c r="L46" s="544">
        <f>IF(VLOOKUP($E$46,[1]ON!$A$2:$FA$37, 11, FALSE)="",":",VLOOKUP($E$46,[1]ON!$A$2:$FA$37, 11, FALSE))</f>
        <v>1820.2071417810007</v>
      </c>
      <c r="M46" s="544">
        <f>IF(VLOOKUP($E$46,[1]ON!$A$2:$FA$37, 12, FALSE)="",":",VLOOKUP($E$46,[1]ON!$A$2:$FA$37, 12, FALSE))</f>
        <v>1975.4876509737651</v>
      </c>
      <c r="N46" s="544">
        <f>IF(VLOOKUP($E$46,[1]ON!$A$2:$FA$37, 13, FALSE)="",":",VLOOKUP($E$46,[1]ON!$A$2:$FA$37, 13, FALSE))</f>
        <v>2300.7566057456656</v>
      </c>
      <c r="O46" s="544">
        <f>IF(VLOOKUP($E$46,[1]ON!$A$2:$FA$37, 14, FALSE)="",":",VLOOKUP($E$46,[1]ON!$A$2:$FA$37, 14, FALSE))</f>
        <v>2434.689035538157</v>
      </c>
      <c r="P46" s="544">
        <f>IF(VLOOKUP($E$46,[1]ON!$A$2:$FA$37, 15, FALSE)="",":",VLOOKUP($E$46,[1]ON!$A$2:$FA$37, 15, FALSE))</f>
        <v>2722.76</v>
      </c>
      <c r="Q46" s="544">
        <f>IF(VLOOKUP($E$46,[1]ON!$A$2:$FA$37, 16, FALSE)="",":",VLOOKUP($E$46,[1]ON!$A$2:$FA$37, 16, FALSE))</f>
        <v>2938.3</v>
      </c>
      <c r="R46" s="544">
        <f>IF(VLOOKUP($E$46,[1]ON!$A$2:$FA$37, 17, FALSE)="",":",VLOOKUP($E$46,[1]ON!$A$2:$FA$37, 17, FALSE))</f>
        <v>3235.23</v>
      </c>
      <c r="S46" s="544">
        <f>IF(VLOOKUP($E$46,[1]ON!$A$2:$FA$37, 18, FALSE)="",":",VLOOKUP($E$46,[1]ON!$A$2:$FA$37, 18, FALSE))</f>
        <v>3252.69</v>
      </c>
      <c r="T46" s="544">
        <f>IF(VLOOKUP($E$46,[1]ON!$A$2:$FA$37, 19, FALSE)="",":",VLOOKUP($E$46,[1]ON!$A$2:$FA$37, 19, FALSE))</f>
        <v>3379.16</v>
      </c>
      <c r="U46" s="544">
        <f>IF(VLOOKUP($E$46,[1]ON!$A$2:$FA$37, 20, FALSE)="",":",VLOOKUP($E$46,[1]ON!$A$2:$FA$37, 20, FALSE))</f>
        <v>2960.34</v>
      </c>
      <c r="V46" s="544">
        <f>IF(VLOOKUP($E$46,[1]ON!$A$2:$FA$37, 21, FALSE)="",":",VLOOKUP($E$46,[1]ON!$A$2:$FA$37, 21, FALSE))</f>
        <v>3422.87</v>
      </c>
      <c r="W46" s="544">
        <f>IF(VLOOKUP($E$46,[1]ON!$A$2:$FA$37, 22, FALSE)="",":",VLOOKUP($E$46,[1]ON!$A$2:$FA$37, 22, FALSE))</f>
        <v>3930.35</v>
      </c>
      <c r="X46" s="544">
        <f>IF(VLOOKUP($E$46,[1]ON!$A$2:$FA$37, 23, FALSE)="",":",VLOOKUP($E$46,[1]ON!$A$2:$FA$37, 23, FALSE))</f>
        <v>4564.33</v>
      </c>
      <c r="Y46" s="544">
        <f>IF(VLOOKUP($E$46,[1]ON!$A$2:$FA$37, 24, FALSE)="",":",VLOOKUP($E$46,[1]ON!$A$2:$FA$37, 24, FALSE))</f>
        <v>5134.6400000000003</v>
      </c>
      <c r="Z46" s="544">
        <f>IF(VLOOKUP($E$46,[1]ON!$A$2:$FA$37, 25, FALSE)="",":",VLOOKUP($E$46,[1]ON!$A$2:$FA$37, 25, FALSE))</f>
        <v>5634.82</v>
      </c>
      <c r="AA46" s="544">
        <f>IF(VLOOKUP($E$46,[1]ON!$A$2:$FA$37, 26, FALSE)="",":",VLOOKUP($E$46,[1]ON!$A$2:$FA$37, 26, FALSE))</f>
        <v>5709.72</v>
      </c>
      <c r="AB46" s="544">
        <f>IF(VLOOKUP($E$46,[1]ON!$A$2:$FA$37, 27, FALSE)="",":",VLOOKUP($E$46,[1]ON!$A$2:$FA$37, 27, FALSE))</f>
        <v>6344.72</v>
      </c>
      <c r="AC46" s="544">
        <f>IF(VLOOKUP($E$46,[1]ON!$A$2:$FA$37, 28, FALSE)="",":",VLOOKUP($E$46,[1]ON!$A$2:$FA$37, 28, FALSE))</f>
        <v>7392.91</v>
      </c>
      <c r="AD46" s="544" t="str">
        <f>IF(VLOOKUP($E$46,[1]ON!$A$2:$FA$37, 29, FALSE)="",":",VLOOKUP($E$46,[1]ON!$A$2:$FA$37, 29, FALSE))</f>
        <v>:</v>
      </c>
      <c r="AE46" s="544" t="str">
        <f>IF(VLOOKUP($E$46,[1]ON!$A$2:$FA$37, 30, FALSE)="",":",VLOOKUP($E$46,[1]ON!$A$2:$FA$37, 30, FALSE))</f>
        <v>:</v>
      </c>
      <c r="AF46" s="544" t="str">
        <f>IF(VLOOKUP($E$46,[1]ON!$A$2:$FA$37, 31, FALSE)="",":",VLOOKUP($E$46,[1]ON!$A$2:$FA$37, 31, FALSE))</f>
        <v>:</v>
      </c>
    </row>
    <row r="47" spans="1:32">
      <c r="A47" s="533"/>
      <c r="B47" s="534" t="s">
        <v>2061</v>
      </c>
      <c r="C47" s="535" t="s">
        <v>494</v>
      </c>
      <c r="D47" s="12" t="s">
        <v>742</v>
      </c>
      <c r="E47" s="13">
        <v>510</v>
      </c>
      <c r="F47" s="14" t="str">
        <f>VLOOKUP($E$47,[1]ON!$A$2:$FA$37, 3, FALSE)</f>
        <v xml:space="preserve">510  Exports of goods and services                                                   </v>
      </c>
      <c r="G47" s="544">
        <f>IF(VLOOKUP($E$47,[1]ON!$A$2:$FA$37, 6, FALSE)="",":",VLOOKUP($E$47,[1]ON!$A$2:$FA$37, 6, FALSE))</f>
        <v>5048.8624980055201</v>
      </c>
      <c r="H47" s="544">
        <f>IF(VLOOKUP($E$47,[1]ON!$A$2:$FA$37, 7, FALSE)="",":",VLOOKUP($E$47,[1]ON!$A$2:$FA$37, 7, FALSE))</f>
        <v>6010.3945464491662</v>
      </c>
      <c r="I47" s="544">
        <f>IF(VLOOKUP($E$47,[1]ON!$A$2:$FA$37, 8, FALSE)="",":",VLOOKUP($E$47,[1]ON!$A$2:$FA$37, 8, FALSE))</f>
        <v>7142.6519644701457</v>
      </c>
      <c r="J47" s="544">
        <f>IF(VLOOKUP($E$47,[1]ON!$A$2:$FA$37, 9, FALSE)="",":",VLOOKUP($E$47,[1]ON!$A$2:$FA$37, 9, FALSE))</f>
        <v>7475.4434702729159</v>
      </c>
      <c r="K47" s="544">
        <f>IF(VLOOKUP($E$47,[1]ON!$A$2:$FA$37, 10, FALSE)="",":",VLOOKUP($E$47,[1]ON!$A$2:$FA$37, 10, FALSE))</f>
        <v>6251.5592078803729</v>
      </c>
      <c r="L47" s="544">
        <f>IF(VLOOKUP($E$47,[1]ON!$A$2:$FA$37, 11, FALSE)="",":",VLOOKUP($E$47,[1]ON!$A$2:$FA$37, 11, FALSE))</f>
        <v>6849.0337777093982</v>
      </c>
      <c r="M47" s="544">
        <f>IF(VLOOKUP($E$47,[1]ON!$A$2:$FA$37, 12, FALSE)="",":",VLOOKUP($E$47,[1]ON!$A$2:$FA$37, 12, FALSE))</f>
        <v>8301.6546339835877</v>
      </c>
      <c r="N47" s="544">
        <f>IF(VLOOKUP($E$47,[1]ON!$A$2:$FA$37, 13, FALSE)="",":",VLOOKUP($E$47,[1]ON!$A$2:$FA$37, 13, FALSE))</f>
        <v>9846.6792846551252</v>
      </c>
      <c r="O47" s="544">
        <f>IF(VLOOKUP($E$47,[1]ON!$A$2:$FA$37, 14, FALSE)="",":",VLOOKUP($E$47,[1]ON!$A$2:$FA$37, 14, FALSE))</f>
        <v>10676.380457755817</v>
      </c>
      <c r="P47" s="544">
        <f>IF(VLOOKUP($E$47,[1]ON!$A$2:$FA$37, 15, FALSE)="",":",VLOOKUP($E$47,[1]ON!$A$2:$FA$37, 15, FALSE))</f>
        <v>11102.8</v>
      </c>
      <c r="Q47" s="544">
        <f>IF(VLOOKUP($E$47,[1]ON!$A$2:$FA$37, 16, FALSE)="",":",VLOOKUP($E$47,[1]ON!$A$2:$FA$37, 16, FALSE))</f>
        <v>13383.35</v>
      </c>
      <c r="R47" s="544">
        <f>IF(VLOOKUP($E$47,[1]ON!$A$2:$FA$37, 17, FALSE)="",":",VLOOKUP($E$47,[1]ON!$A$2:$FA$37, 17, FALSE))</f>
        <v>15075.61</v>
      </c>
      <c r="S47" s="544">
        <f>IF(VLOOKUP($E$47,[1]ON!$A$2:$FA$37, 18, FALSE)="",":",VLOOKUP($E$47,[1]ON!$A$2:$FA$37, 18, FALSE))</f>
        <v>15554.21</v>
      </c>
      <c r="T47" s="544">
        <f>IF(VLOOKUP($E$47,[1]ON!$A$2:$FA$37, 19, FALSE)="",":",VLOOKUP($E$47,[1]ON!$A$2:$FA$37, 19, FALSE))</f>
        <v>17655.14</v>
      </c>
      <c r="U47" s="544">
        <f>IF(VLOOKUP($E$47,[1]ON!$A$2:$FA$37, 20, FALSE)="",":",VLOOKUP($E$47,[1]ON!$A$2:$FA$37, 20, FALSE))</f>
        <v>15397.29</v>
      </c>
      <c r="V47" s="544">
        <f>IF(VLOOKUP($E$47,[1]ON!$A$2:$FA$37, 21, FALSE)="",":",VLOOKUP($E$47,[1]ON!$A$2:$FA$37, 21, FALSE))</f>
        <v>18313.88</v>
      </c>
      <c r="W47" s="544">
        <f>IF(VLOOKUP($E$47,[1]ON!$A$2:$FA$37, 22, FALSE)="",":",VLOOKUP($E$47,[1]ON!$A$2:$FA$37, 22, FALSE))</f>
        <v>21135.02</v>
      </c>
      <c r="X47" s="544">
        <f>IF(VLOOKUP($E$47,[1]ON!$A$2:$FA$37, 23, FALSE)="",":",VLOOKUP($E$47,[1]ON!$A$2:$FA$37, 23, FALSE))</f>
        <v>23753.35</v>
      </c>
      <c r="Y47" s="544">
        <f>IF(VLOOKUP($E$47,[1]ON!$A$2:$FA$37, 24, FALSE)="",":",VLOOKUP($E$47,[1]ON!$A$2:$FA$37, 24, FALSE))</f>
        <v>26095.38</v>
      </c>
      <c r="Z47" s="544">
        <f>IF(VLOOKUP($E$47,[1]ON!$A$2:$FA$37, 25, FALSE)="",":",VLOOKUP($E$47,[1]ON!$A$2:$FA$37, 25, FALSE))</f>
        <v>26948.37</v>
      </c>
      <c r="AA47" s="544">
        <f>IF(VLOOKUP($E$47,[1]ON!$A$2:$FA$37, 26, FALSE)="",":",VLOOKUP($E$47,[1]ON!$A$2:$FA$37, 26, FALSE))</f>
        <v>26850.68</v>
      </c>
      <c r="AB47" s="544">
        <f>IF(VLOOKUP($E$47,[1]ON!$A$2:$FA$37, 27, FALSE)="",":",VLOOKUP($E$47,[1]ON!$A$2:$FA$37, 27, FALSE))</f>
        <v>27778.27</v>
      </c>
      <c r="AC47" s="544">
        <f>IF(VLOOKUP($E$47,[1]ON!$A$2:$FA$37, 28, FALSE)="",":",VLOOKUP($E$47,[1]ON!$A$2:$FA$37, 28, FALSE))</f>
        <v>31455.69</v>
      </c>
      <c r="AD47" s="544" t="str">
        <f>IF(VLOOKUP($E$47,[1]ON!$A$2:$FA$37, 29, FALSE)="",":",VLOOKUP($E$47,[1]ON!$A$2:$FA$37, 29, FALSE))</f>
        <v>:</v>
      </c>
      <c r="AE47" s="544" t="str">
        <f>IF(VLOOKUP($E$47,[1]ON!$A$2:$FA$37, 30, FALSE)="",":",VLOOKUP($E$47,[1]ON!$A$2:$FA$37, 30, FALSE))</f>
        <v>:</v>
      </c>
      <c r="AF47" s="544" t="str">
        <f>IF(VLOOKUP($E$47,[1]ON!$A$2:$FA$37, 31, FALSE)="",":",VLOOKUP($E$47,[1]ON!$A$2:$FA$37, 31, FALSE))</f>
        <v>:</v>
      </c>
    </row>
    <row r="48" spans="1:32">
      <c r="A48" s="533"/>
      <c r="B48" s="534"/>
      <c r="C48" s="535"/>
      <c r="D48" s="12"/>
      <c r="E48" s="13"/>
      <c r="F48" s="14"/>
      <c r="G48" s="544"/>
      <c r="H48" s="544"/>
      <c r="I48" s="544"/>
      <c r="J48" s="544"/>
      <c r="K48" s="544"/>
      <c r="L48" s="544"/>
      <c r="M48" s="544"/>
      <c r="N48" s="544"/>
      <c r="O48" s="544"/>
      <c r="P48" s="544"/>
      <c r="Q48" s="544"/>
      <c r="R48" s="544"/>
      <c r="S48" s="544"/>
      <c r="T48" s="544"/>
      <c r="U48" s="544"/>
      <c r="V48" s="544"/>
      <c r="W48" s="544"/>
      <c r="X48" s="544"/>
      <c r="Y48" s="544"/>
      <c r="Z48" s="544"/>
      <c r="AA48" s="544"/>
      <c r="AB48" s="544"/>
      <c r="AC48" s="544"/>
      <c r="AD48" s="544"/>
      <c r="AE48" s="544"/>
      <c r="AF48" s="544"/>
    </row>
    <row r="49" spans="1:32">
      <c r="A49" s="533">
        <v>10</v>
      </c>
      <c r="B49" s="534" t="s">
        <v>1521</v>
      </c>
      <c r="C49" s="535" t="s">
        <v>495</v>
      </c>
      <c r="D49" s="12" t="s">
        <v>742</v>
      </c>
      <c r="E49" s="13">
        <v>521</v>
      </c>
      <c r="F49" s="14" t="str">
        <f>VLOOKUP($E$49,[1]ON!$A$2:$FA$37, 3, FALSE)</f>
        <v xml:space="preserve">521  Imports of goods                                                                </v>
      </c>
      <c r="G49" s="544">
        <f>IF(VLOOKUP($E$49,[1]ON!$A$2:$FA$37, 6, FALSE)="",":",VLOOKUP($E$49,[1]ON!$A$2:$FA$37, 6, FALSE))</f>
        <v>4220.2361070355128</v>
      </c>
      <c r="H49" s="544">
        <f>IF(VLOOKUP($E$49,[1]ON!$A$2:$FA$37, 7, FALSE)="",":",VLOOKUP($E$49,[1]ON!$A$2:$FA$37, 7, FALSE))</f>
        <v>5145.9241982483736</v>
      </c>
      <c r="I49" s="544">
        <f>IF(VLOOKUP($E$49,[1]ON!$A$2:$FA$37, 8, FALSE)="",":",VLOOKUP($E$49,[1]ON!$A$2:$FA$37, 8, FALSE))</f>
        <v>6422.7812286901108</v>
      </c>
      <c r="J49" s="544">
        <f>IF(VLOOKUP($E$49,[1]ON!$A$2:$FA$37, 9, FALSE)="",":",VLOOKUP($E$49,[1]ON!$A$2:$FA$37, 9, FALSE))</f>
        <v>6874.6831285953276</v>
      </c>
      <c r="K49" s="544">
        <f>IF(VLOOKUP($E$49,[1]ON!$A$2:$FA$37, 10, FALSE)="",":",VLOOKUP($E$49,[1]ON!$A$2:$FA$37, 10, FALSE))</f>
        <v>5926.1647298424041</v>
      </c>
      <c r="L49" s="544">
        <f>IF(VLOOKUP($E$49,[1]ON!$A$2:$FA$37, 11, FALSE)="",":",VLOOKUP($E$49,[1]ON!$A$2:$FA$37, 11, FALSE))</f>
        <v>6444.0649774249559</v>
      </c>
      <c r="M49" s="544">
        <f>IF(VLOOKUP($E$49,[1]ON!$A$2:$FA$37, 12, FALSE)="",":",VLOOKUP($E$49,[1]ON!$A$2:$FA$37, 12, FALSE))</f>
        <v>7732.3226323786375</v>
      </c>
      <c r="N49" s="544">
        <f>IF(VLOOKUP($E$49,[1]ON!$A$2:$FA$37, 13, FALSE)="",":",VLOOKUP($E$49,[1]ON!$A$2:$FA$37, 13, FALSE))</f>
        <v>9173.0083482807513</v>
      </c>
      <c r="O49" s="544">
        <f>IF(VLOOKUP($E$49,[1]ON!$A$2:$FA$37, 14, FALSE)="",":",VLOOKUP($E$49,[1]ON!$A$2:$FA$37, 14, FALSE))</f>
        <v>9922.0561771248813</v>
      </c>
      <c r="P49" s="544">
        <f>IF(VLOOKUP($E$49,[1]ON!$A$2:$FA$37, 15, FALSE)="",":",VLOOKUP($E$49,[1]ON!$A$2:$FA$37, 15, FALSE))</f>
        <v>11380.47</v>
      </c>
      <c r="Q49" s="544">
        <f>IF(VLOOKUP($E$49,[1]ON!$A$2:$FA$37, 16, FALSE)="",":",VLOOKUP($E$49,[1]ON!$A$2:$FA$37, 16, FALSE))</f>
        <v>13640.18</v>
      </c>
      <c r="R49" s="544">
        <f>IF(VLOOKUP($E$49,[1]ON!$A$2:$FA$37, 17, FALSE)="",":",VLOOKUP($E$49,[1]ON!$A$2:$FA$37, 17, FALSE))</f>
        <v>15545.04</v>
      </c>
      <c r="S49" s="544">
        <f>IF(VLOOKUP($E$49,[1]ON!$A$2:$FA$37, 18, FALSE)="",":",VLOOKUP($E$49,[1]ON!$A$2:$FA$37, 18, FALSE))</f>
        <v>17068.759999999998</v>
      </c>
      <c r="T49" s="544">
        <f>IF(VLOOKUP($E$49,[1]ON!$A$2:$FA$37, 19, FALSE)="",":",VLOOKUP($E$49,[1]ON!$A$2:$FA$37, 19, FALSE))</f>
        <v>19235.55</v>
      </c>
      <c r="U49" s="544">
        <f>IF(VLOOKUP($E$49,[1]ON!$A$2:$FA$37, 20, FALSE)="",":",VLOOKUP($E$49,[1]ON!$A$2:$FA$37, 20, FALSE))</f>
        <v>13549.8</v>
      </c>
      <c r="V49" s="544">
        <f>IF(VLOOKUP($E$49,[1]ON!$A$2:$FA$37, 21, FALSE)="",":",VLOOKUP($E$49,[1]ON!$A$2:$FA$37, 21, FALSE))</f>
        <v>16539.330000000002</v>
      </c>
      <c r="W49" s="544">
        <f>IF(VLOOKUP($E$49,[1]ON!$A$2:$FA$37, 22, FALSE)="",":",VLOOKUP($E$49,[1]ON!$A$2:$FA$37, 22, FALSE))</f>
        <v>18973.060000000001</v>
      </c>
      <c r="X49" s="544">
        <f>IF(VLOOKUP($E$49,[1]ON!$A$2:$FA$37, 23, FALSE)="",":",VLOOKUP($E$49,[1]ON!$A$2:$FA$37, 23, FALSE))</f>
        <v>19879.45</v>
      </c>
      <c r="Y49" s="544">
        <f>IF(VLOOKUP($E$49,[1]ON!$A$2:$FA$37, 24, FALSE)="",":",VLOOKUP($E$49,[1]ON!$A$2:$FA$37, 24, FALSE))</f>
        <v>21409.67</v>
      </c>
      <c r="Z49" s="544">
        <f>IF(VLOOKUP($E$49,[1]ON!$A$2:$FA$37, 25, FALSE)="",":",VLOOKUP($E$49,[1]ON!$A$2:$FA$37, 25, FALSE))</f>
        <v>22005.84</v>
      </c>
      <c r="AA49" s="544">
        <f>IF(VLOOKUP($E$49,[1]ON!$A$2:$FA$37, 26, FALSE)="",":",VLOOKUP($E$49,[1]ON!$A$2:$FA$37, 26, FALSE))</f>
        <v>23611</v>
      </c>
      <c r="AB49" s="544">
        <f>IF(VLOOKUP($E$49,[1]ON!$A$2:$FA$37, 27, FALSE)="",":",VLOOKUP($E$49,[1]ON!$A$2:$FA$37, 27, FALSE))</f>
        <v>24316.97</v>
      </c>
      <c r="AC49" s="544">
        <f>IF(VLOOKUP($E$49,[1]ON!$A$2:$FA$37, 28, FALSE)="",":",VLOOKUP($E$49,[1]ON!$A$2:$FA$37, 28, FALSE))</f>
        <v>27416.92</v>
      </c>
      <c r="AD49" s="544" t="str">
        <f>IF(VLOOKUP($E$49,[1]ON!$A$2:$FA$37, 29, FALSE)="",":",VLOOKUP($E$49,[1]ON!$A$2:$FA$37, 29, FALSE))</f>
        <v>:</v>
      </c>
      <c r="AE49" s="544" t="str">
        <f>IF(VLOOKUP($E$49,[1]ON!$A$2:$FA$37, 30, FALSE)="",":",VLOOKUP($E$49,[1]ON!$A$2:$FA$37, 30, FALSE))</f>
        <v>:</v>
      </c>
      <c r="AF49" s="544" t="str">
        <f>IF(VLOOKUP($E$49,[1]ON!$A$2:$FA$37, 31, FALSE)="",":",VLOOKUP($E$49,[1]ON!$A$2:$FA$37, 31, FALSE))</f>
        <v>:</v>
      </c>
    </row>
    <row r="50" spans="1:32">
      <c r="A50" s="533">
        <v>11</v>
      </c>
      <c r="B50" s="534" t="s">
        <v>1703</v>
      </c>
      <c r="C50" s="535" t="s">
        <v>496</v>
      </c>
      <c r="D50" s="12" t="s">
        <v>742</v>
      </c>
      <c r="E50" s="13">
        <v>522</v>
      </c>
      <c r="F50" s="14" t="str">
        <f>VLOOKUP($E$50,[1]ON!$A$2:$FA$37, 3, FALSE)</f>
        <v xml:space="preserve">522  Imports of services </v>
      </c>
      <c r="G50" s="544">
        <f>IF(VLOOKUP($E$50,[1]ON!$A$2:$FA$37, 6, FALSE)="",":",VLOOKUP($E$50,[1]ON!$A$2:$FA$37, 6, FALSE))</f>
        <v>708.79742460775731</v>
      </c>
      <c r="H50" s="544">
        <f>IF(VLOOKUP($E$50,[1]ON!$A$2:$FA$37, 7, FALSE)="",":",VLOOKUP($E$50,[1]ON!$A$2:$FA$37, 7, FALSE))</f>
        <v>931.64550545415557</v>
      </c>
      <c r="I50" s="544">
        <f>IF(VLOOKUP($E$50,[1]ON!$A$2:$FA$37, 8, FALSE)="",":",VLOOKUP($E$50,[1]ON!$A$2:$FA$37, 8, FALSE))</f>
        <v>1173.2587156015638</v>
      </c>
      <c r="J50" s="544">
        <f>IF(VLOOKUP($E$50,[1]ON!$A$2:$FA$37, 9, FALSE)="",":",VLOOKUP($E$50,[1]ON!$A$2:$FA$37, 9, FALSE))</f>
        <v>1183.8226201112127</v>
      </c>
      <c r="K50" s="544">
        <f>IF(VLOOKUP($E$50,[1]ON!$A$2:$FA$37, 10, FALSE)="",":",VLOOKUP($E$50,[1]ON!$A$2:$FA$37, 10, FALSE))</f>
        <v>1144.3580797618031</v>
      </c>
      <c r="L50" s="544">
        <f>IF(VLOOKUP($E$50,[1]ON!$A$2:$FA$37, 11, FALSE)="",":",VLOOKUP($E$50,[1]ON!$A$2:$FA$37, 11, FALSE))</f>
        <v>954.77899588265791</v>
      </c>
      <c r="M50" s="544">
        <f>IF(VLOOKUP($E$50,[1]ON!$A$2:$FA$37, 12, FALSE)="",":",VLOOKUP($E$50,[1]ON!$A$2:$FA$37, 12, FALSE))</f>
        <v>948.45688037273612</v>
      </c>
      <c r="N50" s="544">
        <f>IF(VLOOKUP($E$50,[1]ON!$A$2:$FA$37, 13, FALSE)="",":",VLOOKUP($E$50,[1]ON!$A$2:$FA$37, 13, FALSE))</f>
        <v>1120.8351366324841</v>
      </c>
      <c r="O50" s="544">
        <f>IF(VLOOKUP($E$50,[1]ON!$A$2:$FA$37, 14, FALSE)="",":",VLOOKUP($E$50,[1]ON!$A$2:$FA$37, 14, FALSE))</f>
        <v>1278.6705799559077</v>
      </c>
      <c r="P50" s="544">
        <f>IF(VLOOKUP($E$50,[1]ON!$A$2:$FA$37, 15, FALSE)="",":",VLOOKUP($E$50,[1]ON!$A$2:$FA$37, 15, FALSE))</f>
        <v>1513.32</v>
      </c>
      <c r="Q50" s="544">
        <f>IF(VLOOKUP($E$50,[1]ON!$A$2:$FA$37, 16, FALSE)="",":",VLOOKUP($E$50,[1]ON!$A$2:$FA$37, 16, FALSE))</f>
        <v>1867.96</v>
      </c>
      <c r="R50" s="544">
        <f>IF(VLOOKUP($E$50,[1]ON!$A$2:$FA$37, 17, FALSE)="",":",VLOOKUP($E$50,[1]ON!$A$2:$FA$37, 17, FALSE))</f>
        <v>2170.91</v>
      </c>
      <c r="S50" s="544">
        <f>IF(VLOOKUP($E$50,[1]ON!$A$2:$FA$37, 18, FALSE)="",":",VLOOKUP($E$50,[1]ON!$A$2:$FA$37, 18, FALSE))</f>
        <v>2554.02</v>
      </c>
      <c r="T50" s="544">
        <f>IF(VLOOKUP($E$50,[1]ON!$A$2:$FA$37, 19, FALSE)="",":",VLOOKUP($E$50,[1]ON!$A$2:$FA$37, 19, FALSE))</f>
        <v>2782.51</v>
      </c>
      <c r="U50" s="544">
        <f>IF(VLOOKUP($E$50,[1]ON!$A$2:$FA$37, 20, FALSE)="",":",VLOOKUP($E$50,[1]ON!$A$2:$FA$37, 20, FALSE))</f>
        <v>2301</v>
      </c>
      <c r="V50" s="544">
        <f>IF(VLOOKUP($E$50,[1]ON!$A$2:$FA$37, 21, FALSE)="",":",VLOOKUP($E$50,[1]ON!$A$2:$FA$37, 21, FALSE))</f>
        <v>2300.7600000000002</v>
      </c>
      <c r="W50" s="544">
        <f>IF(VLOOKUP($E$50,[1]ON!$A$2:$FA$37, 22, FALSE)="",":",VLOOKUP($E$50,[1]ON!$A$2:$FA$37, 22, FALSE))</f>
        <v>2694.33</v>
      </c>
      <c r="X50" s="544">
        <f>IF(VLOOKUP($E$50,[1]ON!$A$2:$FA$37, 23, FALSE)="",":",VLOOKUP($E$50,[1]ON!$A$2:$FA$37, 23, FALSE))</f>
        <v>3264.32</v>
      </c>
      <c r="Y50" s="544">
        <f>IF(VLOOKUP($E$50,[1]ON!$A$2:$FA$37, 24, FALSE)="",":",VLOOKUP($E$50,[1]ON!$A$2:$FA$37, 24, FALSE))</f>
        <v>3881.18</v>
      </c>
      <c r="Z50" s="544">
        <f>IF(VLOOKUP($E$50,[1]ON!$A$2:$FA$37, 25, FALSE)="",":",VLOOKUP($E$50,[1]ON!$A$2:$FA$37, 25, FALSE))</f>
        <v>4076.12</v>
      </c>
      <c r="AA50" s="544">
        <f>IF(VLOOKUP($E$50,[1]ON!$A$2:$FA$37, 26, FALSE)="",":",VLOOKUP($E$50,[1]ON!$A$2:$FA$37, 26, FALSE))</f>
        <v>4067.61</v>
      </c>
      <c r="AB50" s="544">
        <f>IF(VLOOKUP($E$50,[1]ON!$A$2:$FA$37, 27, FALSE)="",":",VLOOKUP($E$50,[1]ON!$A$2:$FA$37, 27, FALSE))</f>
        <v>4335.68</v>
      </c>
      <c r="AC50" s="544">
        <f>IF(VLOOKUP($E$50,[1]ON!$A$2:$FA$37, 28, FALSE)="",":",VLOOKUP($E$50,[1]ON!$A$2:$FA$37, 28, FALSE))</f>
        <v>4905.53</v>
      </c>
      <c r="AD50" s="544" t="str">
        <f>IF(VLOOKUP($E$50,[1]ON!$A$2:$FA$37, 29, FALSE)="",":",VLOOKUP($E$50,[1]ON!$A$2:$FA$37, 29, FALSE))</f>
        <v>:</v>
      </c>
      <c r="AE50" s="544" t="str">
        <f>IF(VLOOKUP($E$50,[1]ON!$A$2:$FA$37, 30, FALSE)="",":",VLOOKUP($E$50,[1]ON!$A$2:$FA$37, 30, FALSE))</f>
        <v>:</v>
      </c>
      <c r="AF50" s="544" t="str">
        <f>IF(VLOOKUP($E$50,[1]ON!$A$2:$FA$37, 31, FALSE)="",":",VLOOKUP($E$50,[1]ON!$A$2:$FA$37, 31, FALSE))</f>
        <v>:</v>
      </c>
    </row>
    <row r="51" spans="1:32">
      <c r="A51" s="533"/>
      <c r="B51" s="534" t="s">
        <v>2062</v>
      </c>
      <c r="C51" s="535" t="s">
        <v>497</v>
      </c>
      <c r="D51" s="12" t="s">
        <v>742</v>
      </c>
      <c r="E51" s="13">
        <v>520</v>
      </c>
      <c r="F51" s="14" t="str">
        <f>VLOOKUP($E$51,[1]ON!$A$2:$FA$37, 3, FALSE)</f>
        <v xml:space="preserve">520  Imports of goods and services                                                   </v>
      </c>
      <c r="G51" s="544">
        <f>IF(VLOOKUP($E$51,[1]ON!$A$2:$FA$37, 6, FALSE)="",":",VLOOKUP($E$51,[1]ON!$A$2:$FA$37, 6, FALSE))</f>
        <v>4910.7185321392935</v>
      </c>
      <c r="H51" s="544">
        <f>IF(VLOOKUP($E$51,[1]ON!$A$2:$FA$37, 7, FALSE)="",":",VLOOKUP($E$51,[1]ON!$A$2:$FA$37, 7, FALSE))</f>
        <v>6048.3442153241231</v>
      </c>
      <c r="I51" s="544">
        <f>IF(VLOOKUP($E$51,[1]ON!$A$2:$FA$37, 8, FALSE)="",":",VLOOKUP($E$51,[1]ON!$A$2:$FA$37, 8, FALSE))</f>
        <v>7558.391635136144</v>
      </c>
      <c r="J51" s="544">
        <f>IF(VLOOKUP($E$51,[1]ON!$A$2:$FA$37, 9, FALSE)="",":",VLOOKUP($E$51,[1]ON!$A$2:$FA$37, 9, FALSE))</f>
        <v>8022.4920854429147</v>
      </c>
      <c r="K51" s="544">
        <f>IF(VLOOKUP($E$51,[1]ON!$A$2:$FA$37, 10, FALSE)="",":",VLOOKUP($E$51,[1]ON!$A$2:$FA$37, 10, FALSE))</f>
        <v>7031.6124846573121</v>
      </c>
      <c r="L51" s="544">
        <f>IF(VLOOKUP($E$51,[1]ON!$A$2:$FA$37, 11, FALSE)="",":",VLOOKUP($E$51,[1]ON!$A$2:$FA$37, 11, FALSE))</f>
        <v>7381.5106295693358</v>
      </c>
      <c r="M51" s="544">
        <f>IF(VLOOKUP($E$51,[1]ON!$A$2:$FA$37, 12, FALSE)="",":",VLOOKUP($E$51,[1]ON!$A$2:$FA$37, 12, FALSE))</f>
        <v>8678.9063726768891</v>
      </c>
      <c r="N51" s="544">
        <f>IF(VLOOKUP($E$51,[1]ON!$A$2:$FA$37, 13, FALSE)="",":",VLOOKUP($E$51,[1]ON!$A$2:$FA$37, 13, FALSE))</f>
        <v>10291.648566601103</v>
      </c>
      <c r="O51" s="544">
        <f>IF(VLOOKUP($E$51,[1]ON!$A$2:$FA$37, 14, FALSE)="",":",VLOOKUP($E$51,[1]ON!$A$2:$FA$37, 14, FALSE))</f>
        <v>11203.10712470802</v>
      </c>
      <c r="P51" s="544">
        <f>IF(VLOOKUP($E$51,[1]ON!$A$2:$FA$37, 15, FALSE)="",":",VLOOKUP($E$51,[1]ON!$A$2:$FA$37, 15, FALSE))</f>
        <v>12899.29</v>
      </c>
      <c r="Q51" s="544">
        <f>IF(VLOOKUP($E$51,[1]ON!$A$2:$FA$37, 16, FALSE)="",":",VLOOKUP($E$51,[1]ON!$A$2:$FA$37, 16, FALSE))</f>
        <v>15523.05</v>
      </c>
      <c r="R51" s="544">
        <f>IF(VLOOKUP($E$51,[1]ON!$A$2:$FA$37, 17, FALSE)="",":",VLOOKUP($E$51,[1]ON!$A$2:$FA$37, 17, FALSE))</f>
        <v>17736.43</v>
      </c>
      <c r="S51" s="544">
        <f>IF(VLOOKUP($E$51,[1]ON!$A$2:$FA$37, 18, FALSE)="",":",VLOOKUP($E$51,[1]ON!$A$2:$FA$37, 18, FALSE))</f>
        <v>19653.54</v>
      </c>
      <c r="T51" s="544">
        <f>IF(VLOOKUP($E$51,[1]ON!$A$2:$FA$37, 19, FALSE)="",":",VLOOKUP($E$51,[1]ON!$A$2:$FA$37, 19, FALSE))</f>
        <v>22048.82</v>
      </c>
      <c r="U51" s="544">
        <f>IF(VLOOKUP($E$51,[1]ON!$A$2:$FA$37, 20, FALSE)="",":",VLOOKUP($E$51,[1]ON!$A$2:$FA$37, 20, FALSE))</f>
        <v>15875.85</v>
      </c>
      <c r="V51" s="544">
        <f>IF(VLOOKUP($E$51,[1]ON!$A$2:$FA$37, 21, FALSE)="",":",VLOOKUP($E$51,[1]ON!$A$2:$FA$37, 21, FALSE))</f>
        <v>18840.09</v>
      </c>
      <c r="W51" s="544">
        <f>IF(VLOOKUP($E$51,[1]ON!$A$2:$FA$37, 22, FALSE)="",":",VLOOKUP($E$51,[1]ON!$A$2:$FA$37, 22, FALSE))</f>
        <v>21667.39</v>
      </c>
      <c r="X51" s="544">
        <f>IF(VLOOKUP($E$51,[1]ON!$A$2:$FA$37, 23, FALSE)="",":",VLOOKUP($E$51,[1]ON!$A$2:$FA$37, 23, FALSE))</f>
        <v>23107.18</v>
      </c>
      <c r="Y51" s="544">
        <f>IF(VLOOKUP($E$51,[1]ON!$A$2:$FA$37, 24, FALSE)="",":",VLOOKUP($E$51,[1]ON!$A$2:$FA$37, 24, FALSE))</f>
        <v>25212.880000000001</v>
      </c>
      <c r="Z51" s="544">
        <f>IF(VLOOKUP($E$51,[1]ON!$A$2:$FA$37, 25, FALSE)="",":",VLOOKUP($E$51,[1]ON!$A$2:$FA$37, 25, FALSE))</f>
        <v>25993.58</v>
      </c>
      <c r="AA51" s="544">
        <f>IF(VLOOKUP($E$51,[1]ON!$A$2:$FA$37, 26, FALSE)="",":",VLOOKUP($E$51,[1]ON!$A$2:$FA$37, 26, FALSE))</f>
        <v>27605.34</v>
      </c>
      <c r="AB51" s="544">
        <f>IF(VLOOKUP($E$51,[1]ON!$A$2:$FA$37, 27, FALSE)="",":",VLOOKUP($E$51,[1]ON!$A$2:$FA$37, 27, FALSE))</f>
        <v>28579.200000000001</v>
      </c>
      <c r="AC51" s="544">
        <f>IF(VLOOKUP($E$51,[1]ON!$A$2:$FA$37, 28, FALSE)="",":",VLOOKUP($E$51,[1]ON!$A$2:$FA$37, 28, FALSE))</f>
        <v>32240.86</v>
      </c>
      <c r="AD51" s="544" t="str">
        <f>IF(VLOOKUP($E$51,[1]ON!$A$2:$FA$37, 29, FALSE)="",":",VLOOKUP($E$51,[1]ON!$A$2:$FA$37, 29, FALSE))</f>
        <v>:</v>
      </c>
      <c r="AE51" s="544" t="str">
        <f>IF(VLOOKUP($E$51,[1]ON!$A$2:$FA$37, 30, FALSE)="",":",VLOOKUP($E$51,[1]ON!$A$2:$FA$37, 30, FALSE))</f>
        <v>:</v>
      </c>
      <c r="AF51" s="544" t="str">
        <f>IF(VLOOKUP($E$51,[1]ON!$A$2:$FA$37, 31, FALSE)="",":",VLOOKUP($E$51,[1]ON!$A$2:$FA$37, 31, FALSE))</f>
        <v>:</v>
      </c>
    </row>
    <row r="52" spans="1:32">
      <c r="A52" s="533"/>
      <c r="B52" s="534"/>
      <c r="C52" s="535"/>
      <c r="D52" s="12"/>
      <c r="E52" s="13"/>
      <c r="F52" s="14"/>
      <c r="G52" s="544"/>
      <c r="H52" s="544"/>
      <c r="I52" s="544"/>
      <c r="J52" s="544"/>
      <c r="K52" s="544"/>
      <c r="L52" s="544"/>
      <c r="M52" s="544"/>
      <c r="N52" s="544"/>
      <c r="O52" s="544"/>
      <c r="P52" s="544"/>
      <c r="Q52" s="544"/>
      <c r="R52" s="544"/>
      <c r="S52" s="544"/>
      <c r="T52" s="544"/>
      <c r="U52" s="544"/>
      <c r="V52" s="544"/>
      <c r="W52" s="544"/>
      <c r="X52" s="544"/>
      <c r="Y52" s="544"/>
      <c r="Z52" s="544"/>
      <c r="AA52" s="544"/>
      <c r="AB52" s="544"/>
      <c r="AC52" s="544"/>
      <c r="AD52" s="544"/>
      <c r="AE52" s="544"/>
      <c r="AF52" s="544"/>
    </row>
    <row r="53" spans="1:32">
      <c r="A53" s="533">
        <v>58</v>
      </c>
      <c r="B53" s="534" t="s">
        <v>2063</v>
      </c>
      <c r="C53" s="535"/>
      <c r="D53" s="12" t="s">
        <v>742</v>
      </c>
      <c r="E53" s="13">
        <v>601</v>
      </c>
      <c r="F53" s="14" t="str">
        <f>VLOOKUP($E$53,[1]ON!$A$2:$FA$37, 3, FALSE)</f>
        <v xml:space="preserve">601  Gross value added at basic prices (net of FISIM)                                </v>
      </c>
      <c r="G53" s="544">
        <f>IF(VLOOKUP($E$53,[1]ON!$A$2:$FA$37, 6, FALSE)="",":",VLOOKUP($E$53,[1]ON!$A$2:$FA$37, 6, FALSE))</f>
        <v>13007.718594954576</v>
      </c>
      <c r="H53" s="544">
        <f>IF(VLOOKUP($E$53,[1]ON!$A$2:$FA$37, 7, FALSE)="",":",VLOOKUP($E$53,[1]ON!$A$2:$FA$37, 7, FALSE))</f>
        <v>13689.21744656852</v>
      </c>
      <c r="I53" s="544">
        <f>IF(VLOOKUP($E$53,[1]ON!$A$2:$FA$37, 8, FALSE)="",":",VLOOKUP($E$53,[1]ON!$A$2:$FA$37, 8, FALSE))</f>
        <v>14803.55275774415</v>
      </c>
      <c r="J53" s="544">
        <f>IF(VLOOKUP($E$53,[1]ON!$A$2:$FA$37, 9, FALSE)="",":",VLOOKUP($E$53,[1]ON!$A$2:$FA$37, 9, FALSE))</f>
        <v>15932.074847052367</v>
      </c>
      <c r="K53" s="544">
        <f>IF(VLOOKUP($E$53,[1]ON!$A$2:$FA$37, 10, FALSE)="",":",VLOOKUP($E$53,[1]ON!$A$2:$FA$37, 10, FALSE))</f>
        <v>15769.32793178003</v>
      </c>
      <c r="L53" s="544">
        <f>IF(VLOOKUP($E$53,[1]ON!$A$2:$FA$37, 11, FALSE)="",":",VLOOKUP($E$53,[1]ON!$A$2:$FA$37, 11, FALSE))</f>
        <v>16340.395653944415</v>
      </c>
      <c r="M53" s="544">
        <f>IF(VLOOKUP($E$53,[1]ON!$A$2:$FA$37, 12, FALSE)="",":",VLOOKUP($E$53,[1]ON!$A$2:$FA$37, 12, FALSE))</f>
        <v>17435.136589285346</v>
      </c>
      <c r="N53" s="544">
        <f>IF(VLOOKUP($E$53,[1]ON!$A$2:$FA$37, 13, FALSE)="",":",VLOOKUP($E$53,[1]ON!$A$2:$FA$37, 13, FALSE))</f>
        <v>18627.352195151991</v>
      </c>
      <c r="O53" s="544">
        <f>IF(VLOOKUP($E$53,[1]ON!$A$2:$FA$37, 14, FALSE)="",":",VLOOKUP($E$53,[1]ON!$A$2:$FA$37, 14, FALSE))</f>
        <v>20541.478464990298</v>
      </c>
      <c r="P53" s="544">
        <f>IF(VLOOKUP($E$53,[1]ON!$A$2:$FA$37, 15, FALSE)="",":",VLOOKUP($E$53,[1]ON!$A$2:$FA$37, 15, FALSE))</f>
        <v>22072.5</v>
      </c>
      <c r="Q53" s="544">
        <f>IF(VLOOKUP($E$53,[1]ON!$A$2:$FA$37, 16, FALSE)="",":",VLOOKUP($E$53,[1]ON!$A$2:$FA$37, 16, FALSE))</f>
        <v>23778.13</v>
      </c>
      <c r="R53" s="544">
        <f>IF(VLOOKUP($E$53,[1]ON!$A$2:$FA$37, 17, FALSE)="",":",VLOOKUP($E$53,[1]ON!$A$2:$FA$37, 17, FALSE))</f>
        <v>25539.24</v>
      </c>
      <c r="S53" s="544">
        <f>IF(VLOOKUP($E$53,[1]ON!$A$2:$FA$37, 18, FALSE)="",":",VLOOKUP($E$53,[1]ON!$A$2:$FA$37, 18, FALSE))</f>
        <v>28370.77</v>
      </c>
      <c r="T53" s="544">
        <f>IF(VLOOKUP($E$53,[1]ON!$A$2:$FA$37, 19, FALSE)="",":",VLOOKUP($E$53,[1]ON!$A$2:$FA$37, 19, FALSE))</f>
        <v>29116.37</v>
      </c>
      <c r="U53" s="544">
        <f>IF(VLOOKUP($E$53,[1]ON!$A$2:$FA$37, 20, FALSE)="",":",VLOOKUP($E$53,[1]ON!$A$2:$FA$37, 20, FALSE))</f>
        <v>24803.03</v>
      </c>
      <c r="V53" s="544">
        <f>IF(VLOOKUP($E$53,[1]ON!$A$2:$FA$37, 21, FALSE)="",":",VLOOKUP($E$53,[1]ON!$A$2:$FA$37, 21, FALSE))</f>
        <v>25209.75</v>
      </c>
      <c r="W53" s="544">
        <f>IF(VLOOKUP($E$53,[1]ON!$A$2:$FA$37, 22, FALSE)="",":",VLOOKUP($E$53,[1]ON!$A$2:$FA$37, 22, FALSE))</f>
        <v>26733.21</v>
      </c>
      <c r="X53" s="544">
        <f>IF(VLOOKUP($E$53,[1]ON!$A$2:$FA$37, 23, FALSE)="",":",VLOOKUP($E$53,[1]ON!$A$2:$FA$37, 23, FALSE))</f>
        <v>27756.28</v>
      </c>
      <c r="Y53" s="544">
        <f>IF(VLOOKUP($E$53,[1]ON!$A$2:$FA$37, 24, FALSE)="",":",VLOOKUP($E$53,[1]ON!$A$2:$FA$37, 24, FALSE))</f>
        <v>28727.35</v>
      </c>
      <c r="Z53" s="544">
        <f>IF(VLOOKUP($E$53,[1]ON!$A$2:$FA$37, 25, FALSE)="",":",VLOOKUP($E$53,[1]ON!$A$2:$FA$37, 25, FALSE))</f>
        <v>29743.61</v>
      </c>
      <c r="AA53" s="544">
        <f>IF(VLOOKUP($E$53,[1]ON!$A$2:$FA$37, 26, FALSE)="",":",VLOOKUP($E$53,[1]ON!$A$2:$FA$37, 26, FALSE))</f>
        <v>30348.79</v>
      </c>
      <c r="AB53" s="544">
        <f>IF(VLOOKUP($E$53,[1]ON!$A$2:$FA$37, 27, FALSE)="",":",VLOOKUP($E$53,[1]ON!$A$2:$FA$37, 27, FALSE))</f>
        <v>31060.43</v>
      </c>
      <c r="AC53" s="544">
        <f>IF(VLOOKUP($E$53,[1]ON!$A$2:$FA$37, 28, FALSE)="",":",VLOOKUP($E$53,[1]ON!$A$2:$FA$37, 28, FALSE))</f>
        <v>32249.71</v>
      </c>
      <c r="AD53" s="544" t="str">
        <f>IF(VLOOKUP($E$53,[1]ON!$A$2:$FA$37, 29, FALSE)="",":",VLOOKUP($E$53,[1]ON!$A$2:$FA$37, 29, FALSE))</f>
        <v>:</v>
      </c>
      <c r="AE53" s="544" t="str">
        <f>IF(VLOOKUP($E$53,[1]ON!$A$2:$FA$37, 30, FALSE)="",":",VLOOKUP($E$53,[1]ON!$A$2:$FA$37, 30, FALSE))</f>
        <v>:</v>
      </c>
      <c r="AF53" s="544" t="str">
        <f>IF(VLOOKUP($E$53,[1]ON!$A$2:$FA$37, 31, FALSE)="",":",VLOOKUP($E$53,[1]ON!$A$2:$FA$37, 31, FALSE))</f>
        <v>:</v>
      </c>
    </row>
    <row r="54" spans="1:32">
      <c r="A54" s="533"/>
      <c r="B54" s="534"/>
      <c r="C54" s="535"/>
      <c r="D54" s="12"/>
      <c r="E54" s="13"/>
      <c r="F54" s="14"/>
      <c r="G54" s="544"/>
      <c r="H54" s="544"/>
      <c r="I54" s="544"/>
      <c r="J54" s="544"/>
      <c r="K54" s="544"/>
      <c r="L54" s="544"/>
      <c r="M54" s="544"/>
      <c r="N54" s="544"/>
      <c r="O54" s="544"/>
      <c r="P54" s="544"/>
      <c r="Q54" s="544"/>
      <c r="R54" s="544"/>
      <c r="S54" s="544"/>
      <c r="T54" s="544"/>
      <c r="U54" s="544"/>
      <c r="V54" s="544"/>
      <c r="W54" s="544"/>
      <c r="X54" s="544"/>
      <c r="Y54" s="544"/>
      <c r="Z54" s="544"/>
      <c r="AA54" s="544"/>
      <c r="AB54" s="544"/>
      <c r="AC54" s="544"/>
      <c r="AD54" s="544"/>
      <c r="AE54" s="544"/>
      <c r="AF54" s="544"/>
    </row>
    <row r="55" spans="1:32">
      <c r="A55" s="533">
        <v>12</v>
      </c>
      <c r="B55" s="534" t="s">
        <v>787</v>
      </c>
      <c r="C55" s="535" t="s">
        <v>312</v>
      </c>
      <c r="D55" s="12" t="s">
        <v>742</v>
      </c>
      <c r="E55" s="13">
        <v>600</v>
      </c>
      <c r="F55" s="14" t="str">
        <f>VLOOKUP($E$55,[1]ON!$A$2:$FA$37, 3, FALSE)</f>
        <v xml:space="preserve">600  Gross domestic product at market prices                                         </v>
      </c>
      <c r="G55" s="544">
        <f>IF(VLOOKUP($E$55,[1]ON!$A$2:$FA$37, 6, FALSE)="",":",VLOOKUP($E$55,[1]ON!$A$2:$FA$37, 6, FALSE))</f>
        <v>14462.380875625722</v>
      </c>
      <c r="H55" s="544">
        <f>IF(VLOOKUP($E$55,[1]ON!$A$2:$FA$37, 7, FALSE)="",":",VLOOKUP($E$55,[1]ON!$A$2:$FA$37, 7, FALSE))</f>
        <v>15220.090794230699</v>
      </c>
      <c r="I55" s="544">
        <f>IF(VLOOKUP($E$55,[1]ON!$A$2:$FA$37, 8, FALSE)="",":",VLOOKUP($E$55,[1]ON!$A$2:$FA$37, 8, FALSE))</f>
        <v>16459.042836240307</v>
      </c>
      <c r="J55" s="544">
        <f>IF(VLOOKUP($E$55,[1]ON!$A$2:$FA$37, 9, FALSE)="",":",VLOOKUP($E$55,[1]ON!$A$2:$FA$37, 9, FALSE))</f>
        <v>17713.769777470301</v>
      </c>
      <c r="K55" s="544">
        <f>IF(VLOOKUP($E$55,[1]ON!$A$2:$FA$37, 10, FALSE)="",":",VLOOKUP($E$55,[1]ON!$A$2:$FA$37, 10, FALSE))</f>
        <v>17532.823907310787</v>
      </c>
      <c r="L55" s="544">
        <f>IF(VLOOKUP($E$55,[1]ON!$A$2:$FA$37, 11, FALSE)="",":",VLOOKUP($E$55,[1]ON!$A$2:$FA$37, 11, FALSE))</f>
        <v>18167.755386739456</v>
      </c>
      <c r="M55" s="544">
        <f>IF(VLOOKUP($E$55,[1]ON!$A$2:$FA$37, 12, FALSE)="",":",VLOOKUP($E$55,[1]ON!$A$2:$FA$37, 12, FALSE))</f>
        <v>19384.923391802051</v>
      </c>
      <c r="N55" s="544">
        <f>IF(VLOOKUP($E$55,[1]ON!$A$2:$FA$37, 13, FALSE)="",":",VLOOKUP($E$55,[1]ON!$A$2:$FA$37, 13, FALSE))</f>
        <v>20710.463968805674</v>
      </c>
      <c r="O55" s="544">
        <f>IF(VLOOKUP($E$55,[1]ON!$A$2:$FA$37, 14, FALSE)="",":",VLOOKUP($E$55,[1]ON!$A$2:$FA$37, 14, FALSE))</f>
        <v>22838.64791954145</v>
      </c>
      <c r="P55" s="544">
        <f>IF(VLOOKUP($E$55,[1]ON!$A$2:$FA$37, 15, FALSE)="",":",VLOOKUP($E$55,[1]ON!$A$2:$FA$37, 15, FALSE))</f>
        <v>24539.73</v>
      </c>
      <c r="Q55" s="544">
        <f>IF(VLOOKUP($E$55,[1]ON!$A$2:$FA$37, 16, FALSE)="",":",VLOOKUP($E$55,[1]ON!$A$2:$FA$37, 16, FALSE))</f>
        <v>26436.01</v>
      </c>
      <c r="R55" s="544">
        <f>IF(VLOOKUP($E$55,[1]ON!$A$2:$FA$37, 17, FALSE)="",":",VLOOKUP($E$55,[1]ON!$A$2:$FA$37, 17, FALSE))</f>
        <v>28393.98</v>
      </c>
      <c r="S55" s="544">
        <f>IF(VLOOKUP($E$55,[1]ON!$A$2:$FA$37, 18, FALSE)="",":",VLOOKUP($E$55,[1]ON!$A$2:$FA$37, 18, FALSE))</f>
        <v>31542.01</v>
      </c>
      <c r="T55" s="544">
        <f>IF(VLOOKUP($E$55,[1]ON!$A$2:$FA$37, 19, FALSE)="",":",VLOOKUP($E$55,[1]ON!$A$2:$FA$37, 19, FALSE))</f>
        <v>32370.959999999999</v>
      </c>
      <c r="U55" s="544">
        <f>IF(VLOOKUP($E$55,[1]ON!$A$2:$FA$37, 20, FALSE)="",":",VLOOKUP($E$55,[1]ON!$A$2:$FA$37, 20, FALSE))</f>
        <v>27575.47</v>
      </c>
      <c r="V55" s="544">
        <f>IF(VLOOKUP($E$55,[1]ON!$A$2:$FA$37, 21, FALSE)="",":",VLOOKUP($E$55,[1]ON!$A$2:$FA$37, 21, FALSE))</f>
        <v>28027.66</v>
      </c>
      <c r="W55" s="544">
        <f>IF(VLOOKUP($E$55,[1]ON!$A$2:$FA$37, 22, FALSE)="",":",VLOOKUP($E$55,[1]ON!$A$2:$FA$37, 22, FALSE))</f>
        <v>29721.41</v>
      </c>
      <c r="X55" s="544">
        <f>IF(VLOOKUP($E$55,[1]ON!$A$2:$FA$37, 23, FALSE)="",":",VLOOKUP($E$55,[1]ON!$A$2:$FA$37, 23, FALSE))</f>
        <v>30858.83</v>
      </c>
      <c r="Y55" s="544">
        <f>IF(VLOOKUP($E$55,[1]ON!$A$2:$FA$37, 24, FALSE)="",":",VLOOKUP($E$55,[1]ON!$A$2:$FA$37, 24, FALSE))</f>
        <v>31938.45</v>
      </c>
      <c r="Z55" s="544">
        <f>IF(VLOOKUP($E$55,[1]ON!$A$2:$FA$37, 25, FALSE)="",":",VLOOKUP($E$55,[1]ON!$A$2:$FA$37, 25, FALSE))</f>
        <v>33068.300000000003</v>
      </c>
      <c r="AA55" s="544">
        <f>IF(VLOOKUP($E$55,[1]ON!$A$2:$FA$37, 26, FALSE)="",":",VLOOKUP($E$55,[1]ON!$A$2:$FA$37, 26, FALSE))</f>
        <v>33741.129999999997</v>
      </c>
      <c r="AB55" s="544">
        <f>IF(VLOOKUP($E$55,[1]ON!$A$2:$FA$37, 27, FALSE)="",":",VLOOKUP($E$55,[1]ON!$A$2:$FA$37, 27, FALSE))</f>
        <v>34532.32</v>
      </c>
      <c r="AC55" s="544">
        <f>IF(VLOOKUP($E$55,[1]ON!$A$2:$FA$37, 28, FALSE)="",":",VLOOKUP($E$55,[1]ON!$A$2:$FA$37, 28, FALSE))</f>
        <v>35854.54</v>
      </c>
      <c r="AD55" s="544" t="str">
        <f>IF(VLOOKUP($E$55,[1]ON!$A$2:$FA$37, 29, FALSE)="",":",VLOOKUP($E$55,[1]ON!$A$2:$FA$37, 29, FALSE))</f>
        <v>:</v>
      </c>
      <c r="AE55" s="544" t="str">
        <f>IF(VLOOKUP($E$55,[1]ON!$A$2:$FA$37, 30, FALSE)="",":",VLOOKUP($E$55,[1]ON!$A$2:$FA$37, 30, FALSE))</f>
        <v>:</v>
      </c>
      <c r="AF55" s="544" t="str">
        <f>IF(VLOOKUP($E$55,[1]ON!$A$2:$FA$37, 31, FALSE)="",":",VLOOKUP($E$55,[1]ON!$A$2:$FA$37, 31, FALSE))</f>
        <v>:</v>
      </c>
    </row>
    <row r="56" spans="1:32">
      <c r="A56" s="533"/>
      <c r="B56" s="534"/>
      <c r="C56" s="535"/>
      <c r="D56" s="12"/>
      <c r="E56" s="13"/>
      <c r="F56" s="14"/>
      <c r="G56" s="544"/>
      <c r="H56" s="544"/>
      <c r="I56" s="544"/>
      <c r="J56" s="544"/>
      <c r="K56" s="544"/>
      <c r="L56" s="544"/>
      <c r="M56" s="544"/>
      <c r="N56" s="544"/>
      <c r="O56" s="544"/>
      <c r="P56" s="544"/>
      <c r="Q56" s="544"/>
      <c r="R56" s="544"/>
      <c r="S56" s="544"/>
      <c r="T56" s="544"/>
      <c r="U56" s="544"/>
      <c r="V56" s="544"/>
      <c r="W56" s="544"/>
      <c r="X56" s="544"/>
      <c r="Y56" s="544"/>
      <c r="Z56" s="544"/>
      <c r="AA56" s="544"/>
      <c r="AB56" s="544"/>
      <c r="AC56" s="544"/>
      <c r="AD56" s="544"/>
      <c r="AE56" s="544"/>
      <c r="AF56" s="544"/>
    </row>
    <row r="57" spans="1:32">
      <c r="A57" s="533"/>
      <c r="B57" s="534"/>
      <c r="C57" s="535"/>
      <c r="D57" s="12"/>
      <c r="E57" s="13"/>
      <c r="F57" s="14"/>
      <c r="G57" s="544"/>
      <c r="H57" s="544"/>
      <c r="I57" s="544"/>
      <c r="J57" s="544"/>
      <c r="K57" s="544"/>
      <c r="L57" s="544"/>
      <c r="M57" s="544"/>
      <c r="N57" s="544"/>
      <c r="O57" s="544"/>
      <c r="P57" s="544"/>
      <c r="Q57" s="544"/>
      <c r="R57" s="544"/>
      <c r="S57" s="544"/>
      <c r="T57" s="544"/>
      <c r="U57" s="544"/>
      <c r="V57" s="544"/>
      <c r="W57" s="544"/>
      <c r="X57" s="544"/>
      <c r="Y57" s="544"/>
      <c r="Z57" s="544"/>
      <c r="AA57" s="544"/>
      <c r="AB57" s="544"/>
      <c r="AC57" s="544"/>
      <c r="AD57" s="544"/>
      <c r="AE57" s="544"/>
      <c r="AF57" s="544"/>
    </row>
    <row r="58" spans="1:32">
      <c r="A58" s="533"/>
      <c r="B58" s="534"/>
      <c r="C58" s="535"/>
      <c r="D58" s="12"/>
      <c r="E58" s="13"/>
      <c r="F58" s="14"/>
      <c r="G58" s="544"/>
      <c r="H58" s="544"/>
      <c r="I58" s="544"/>
      <c r="J58" s="544"/>
      <c r="K58" s="544"/>
      <c r="L58" s="544"/>
      <c r="M58" s="544"/>
      <c r="N58" s="544"/>
      <c r="O58" s="544"/>
      <c r="P58" s="544"/>
      <c r="Q58" s="544"/>
      <c r="R58" s="544"/>
      <c r="S58" s="544"/>
      <c r="T58" s="544"/>
      <c r="U58" s="544"/>
      <c r="V58" s="544"/>
      <c r="W58" s="544"/>
      <c r="X58" s="544"/>
      <c r="Y58" s="544"/>
      <c r="Z58" s="544"/>
      <c r="AA58" s="544"/>
      <c r="AB58" s="544"/>
      <c r="AC58" s="544"/>
      <c r="AD58" s="544"/>
      <c r="AE58" s="544"/>
      <c r="AF58" s="544"/>
    </row>
    <row r="59" spans="1:32">
      <c r="A59" s="533"/>
      <c r="B59" s="534"/>
      <c r="C59" s="535"/>
      <c r="D59" s="12"/>
      <c r="E59" s="13"/>
      <c r="F59" s="14"/>
      <c r="G59" s="544"/>
      <c r="H59" s="544"/>
      <c r="I59" s="544"/>
      <c r="J59" s="544"/>
      <c r="K59" s="544"/>
      <c r="L59" s="544"/>
      <c r="M59" s="544"/>
      <c r="N59" s="544"/>
      <c r="O59" s="544"/>
      <c r="P59" s="544"/>
      <c r="Q59" s="544"/>
      <c r="R59" s="544"/>
      <c r="S59" s="544"/>
      <c r="T59" s="544"/>
      <c r="U59" s="544"/>
      <c r="V59" s="544"/>
      <c r="W59" s="544"/>
      <c r="X59" s="544"/>
      <c r="Y59" s="544"/>
      <c r="Z59" s="544"/>
      <c r="AA59" s="544"/>
      <c r="AB59" s="544"/>
      <c r="AC59" s="544"/>
      <c r="AD59" s="544"/>
      <c r="AE59" s="544"/>
      <c r="AF59" s="544"/>
    </row>
    <row r="60" spans="1:32">
      <c r="A60" s="533">
        <v>36</v>
      </c>
      <c r="B60" s="534" t="s">
        <v>1895</v>
      </c>
      <c r="C60" s="535" t="s">
        <v>2064</v>
      </c>
      <c r="D60" s="12" t="s">
        <v>475</v>
      </c>
      <c r="E60" s="13">
        <v>200</v>
      </c>
      <c r="F60" s="14" t="str">
        <f>VLOOKUP($E$60,[1]UN!$A$2:$FA$67, 3, FALSE)</f>
        <v xml:space="preserve">200  Household final consumption expenditure (national)                           </v>
      </c>
      <c r="G60" s="544">
        <f>IF(VLOOKUP($E$60,[1]UN!$A$2:$FA$67, 6, FALSE)="",":",VLOOKUP($E$60,[1]UN!$A$2:$FA$67, 6, FALSE))</f>
        <v>4961.59</v>
      </c>
      <c r="H60" s="544">
        <f>IF(VLOOKUP($E$60,[1]UN!$A$2:$FA$67, 7, FALSE)="",":",VLOOKUP($E$60,[1]UN!$A$2:$FA$67, 7, FALSE))</f>
        <v>6232.86</v>
      </c>
      <c r="I60" s="544">
        <f>IF(VLOOKUP($E$60,[1]UN!$A$2:$FA$67, 8, FALSE)="",":",VLOOKUP($E$60,[1]UN!$A$2:$FA$67, 8, FALSE))</f>
        <v>7192.32</v>
      </c>
      <c r="J60" s="544">
        <f>IF(VLOOKUP($E$60,[1]UN!$A$2:$FA$67, 9, FALSE)="",":",VLOOKUP($E$60,[1]UN!$A$2:$FA$67, 9, FALSE))</f>
        <v>7967.31</v>
      </c>
      <c r="K60" s="544">
        <f>IF(VLOOKUP($E$60,[1]UN!$A$2:$FA$67, 10, FALSE)="",":",VLOOKUP($E$60,[1]UN!$A$2:$FA$67, 10, FALSE))</f>
        <v>8259.9500000000007</v>
      </c>
      <c r="L60" s="544">
        <f>IF(VLOOKUP($E$60,[1]UN!$A$2:$FA$67, 11, FALSE)="",":",VLOOKUP($E$60,[1]UN!$A$2:$FA$67, 11, FALSE))</f>
        <v>8691.89</v>
      </c>
      <c r="M60" s="544">
        <f>IF(VLOOKUP($E$60,[1]UN!$A$2:$FA$67, 12, FALSE)="",":",VLOOKUP($E$60,[1]UN!$A$2:$FA$67, 12, FALSE))</f>
        <v>9269.0300000000007</v>
      </c>
      <c r="N60" s="544">
        <f>IF(VLOOKUP($E$60,[1]UN!$A$2:$FA$67, 13, FALSE)="",":",VLOOKUP($E$60,[1]UN!$A$2:$FA$67, 13, FALSE))</f>
        <v>9802.42</v>
      </c>
      <c r="O60" s="544">
        <f>IF(VLOOKUP($E$60,[1]UN!$A$2:$FA$67, 14, FALSE)="",":",VLOOKUP($E$60,[1]UN!$A$2:$FA$67, 14, FALSE))</f>
        <v>10739.98</v>
      </c>
      <c r="P60" s="544">
        <f>IF(VLOOKUP($E$60,[1]UN!$A$2:$FA$67, 15, FALSE)="",":",VLOOKUP($E$60,[1]UN!$A$2:$FA$67, 15, FALSE))</f>
        <v>11889.08</v>
      </c>
      <c r="Q60" s="544">
        <f>IF(VLOOKUP($E$60,[1]UN!$A$2:$FA$67, 16, FALSE)="",":",VLOOKUP($E$60,[1]UN!$A$2:$FA$67, 16, FALSE))</f>
        <v>13583.08</v>
      </c>
      <c r="R60" s="544">
        <f>IF(VLOOKUP($E$60,[1]UN!$A$2:$FA$67, 17, FALSE)="",":",VLOOKUP($E$60,[1]UN!$A$2:$FA$67, 17, FALSE))</f>
        <v>15509.84</v>
      </c>
      <c r="S60" s="544">
        <f>IF(VLOOKUP($E$60,[1]UN!$A$2:$FA$67, 18, FALSE)="",":",VLOOKUP($E$60,[1]UN!$A$2:$FA$67, 18, FALSE))</f>
        <v>18460.61</v>
      </c>
      <c r="T60" s="544">
        <f>IF(VLOOKUP($E$60,[1]UN!$A$2:$FA$67, 19, FALSE)="",":",VLOOKUP($E$60,[1]UN!$A$2:$FA$67, 19, FALSE))</f>
        <v>21260.83</v>
      </c>
      <c r="U60" s="544">
        <f>IF(VLOOKUP($E$60,[1]UN!$A$2:$FA$67, 20, FALSE)="",":",VLOOKUP($E$60,[1]UN!$A$2:$FA$67, 20, FALSE))</f>
        <v>18335.39</v>
      </c>
      <c r="V60" s="544">
        <f>IF(VLOOKUP($E$60,[1]UN!$A$2:$FA$67, 21, FALSE)="",":",VLOOKUP($E$60,[1]UN!$A$2:$FA$67, 21, FALSE))</f>
        <v>17945.54</v>
      </c>
      <c r="W60" s="544">
        <f>IF(VLOOKUP($E$60,[1]UN!$A$2:$FA$67, 22, FALSE)="",":",VLOOKUP($E$60,[1]UN!$A$2:$FA$67, 22, FALSE))</f>
        <v>19543.849999999999</v>
      </c>
      <c r="X60" s="544">
        <f>IF(VLOOKUP($E$60,[1]UN!$A$2:$FA$67, 23, FALSE)="",":",VLOOKUP($E$60,[1]UN!$A$2:$FA$67, 23, FALSE))</f>
        <v>20770.080000000002</v>
      </c>
      <c r="Y60" s="544">
        <f>IF(VLOOKUP($E$60,[1]UN!$A$2:$FA$67, 24, FALSE)="",":",VLOOKUP($E$60,[1]UN!$A$2:$FA$67, 24, FALSE))</f>
        <v>21881.71</v>
      </c>
      <c r="Z60" s="544">
        <f>IF(VLOOKUP($E$60,[1]UN!$A$2:$FA$67, 25, FALSE)="",":",VLOOKUP($E$60,[1]UN!$A$2:$FA$67, 25, FALSE))</f>
        <v>22776.82</v>
      </c>
      <c r="AA60" s="544">
        <f>IF(VLOOKUP($E$60,[1]UN!$A$2:$FA$67, 26, FALSE)="",":",VLOOKUP($E$60,[1]UN!$A$2:$FA$67, 26, FALSE))</f>
        <v>23473.64</v>
      </c>
      <c r="AB60" s="544">
        <f>IF(VLOOKUP($E$60,[1]UN!$A$2:$FA$67, 27, FALSE)="",":",VLOOKUP($E$60,[1]UN!$A$2:$FA$67, 27, FALSE))</f>
        <v>24863.34</v>
      </c>
      <c r="AC60" s="544">
        <f>IF(VLOOKUP($E$60,[1]UN!$A$2:$FA$67, 28, FALSE)="",":",VLOOKUP($E$60,[1]UN!$A$2:$FA$67, 28, FALSE))</f>
        <v>26800.39</v>
      </c>
      <c r="AD60" s="544" t="str">
        <f>IF(VLOOKUP($E$60,[1]UN!$A$2:$FA$67, 29, FALSE)="",":",VLOOKUP($E$60,[1]UN!$A$2:$FA$67, 29, FALSE))</f>
        <v>:</v>
      </c>
      <c r="AE60" s="544" t="str">
        <f>IF(VLOOKUP($E$60,[1]UN!$A$2:$FA$67, 30, FALSE)="",":",VLOOKUP($E$60,[1]UN!$A$2:$FA$67, 30, FALSE))</f>
        <v>:</v>
      </c>
      <c r="AF60" s="544" t="str">
        <f>IF(VLOOKUP($E$60,[1]UN!$A$2:$FA$67, 31, FALSE)="",":",VLOOKUP($E$60,[1]UN!$A$2:$FA$67, 31, FALSE))</f>
        <v>:</v>
      </c>
    </row>
    <row r="61" spans="1:32">
      <c r="A61" s="533">
        <v>119</v>
      </c>
      <c r="B61" s="534" t="s">
        <v>744</v>
      </c>
      <c r="C61" s="535" t="s">
        <v>2065</v>
      </c>
      <c r="D61" s="12" t="s">
        <v>1214</v>
      </c>
      <c r="E61" s="13">
        <v>34</v>
      </c>
      <c r="F61" s="14" t="str">
        <f>VLOOKUP($E$61,[1]UG!$A$2:$FA$300, 3, FALSE)</f>
        <v>34. Individual consumption expenditure P.31</v>
      </c>
      <c r="G61" s="544" t="e">
        <f>IF(VLOOKUP($E$61,[1]UN!$A$2:$FA$300, 6, FALSE)="",":",VLOOKUP($E$61,[1]UN!$A$2:$FA$300, 6, FALSE))</f>
        <v>#N/A</v>
      </c>
      <c r="H61" s="544">
        <f>IF(VLOOKUP($E$61,[1]UG!$A$2:$FA$300, 7, FALSE)="",":",VLOOKUP($E$61,[1]UG!$A$2:$FA$300, 7, FALSE))</f>
        <v>1024.01</v>
      </c>
      <c r="I61" s="544">
        <f>IF(VLOOKUP($E$61,[1]UG!$A$2:$FA$300, 8, FALSE)="",":",VLOOKUP($E$61,[1]UG!$A$2:$FA$300, 8, FALSE))</f>
        <v>1352.97</v>
      </c>
      <c r="J61" s="544">
        <f>IF(VLOOKUP($E$61,[1]UG!$A$2:$FA$300, 9, FALSE)="",":",VLOOKUP($E$61,[1]UG!$A$2:$FA$300, 9, FALSE))</f>
        <v>1662.21</v>
      </c>
      <c r="K61" s="544">
        <f>IF(VLOOKUP($E$61,[1]UG!$A$2:$FA$300, 10, FALSE)="",":",VLOOKUP($E$61,[1]UG!$A$2:$FA$300, 10, FALSE))</f>
        <v>1733.1</v>
      </c>
      <c r="L61" s="544">
        <f>IF(VLOOKUP($E$61,[1]UG!$A$2:$FA$300, 11, FALSE)="",":",VLOOKUP($E$61,[1]UG!$A$2:$FA$300, 11, FALSE))</f>
        <v>1463.46</v>
      </c>
      <c r="M61" s="544">
        <f>IF(VLOOKUP($E$61,[1]UG!$A$2:$FA$300, 12, FALSE)="",":",VLOOKUP($E$61,[1]UG!$A$2:$FA$300, 12, FALSE))</f>
        <v>1520.02</v>
      </c>
      <c r="N61" s="544">
        <f>IF(VLOOKUP($E$61,[1]UG!$A$2:$FA$300, 13, FALSE)="",":",VLOOKUP($E$61,[1]UG!$A$2:$FA$300, 13, FALSE))</f>
        <v>1647.31</v>
      </c>
      <c r="O61" s="544">
        <f>IF(VLOOKUP($E$61,[1]UG!$A$2:$FA$300, 14, FALSE)="",":",VLOOKUP($E$61,[1]UG!$A$2:$FA$300, 14, FALSE))</f>
        <v>1714.97</v>
      </c>
      <c r="P61" s="544">
        <f>IF(VLOOKUP($E$61,[1]UG!$A$2:$FA$300, 15, FALSE)="",":",VLOOKUP($E$61,[1]UG!$A$2:$FA$300, 15, FALSE))</f>
        <v>1842.98</v>
      </c>
      <c r="Q61" s="544">
        <f>IF(VLOOKUP($E$61,[1]UG!$A$2:$FA$300, 16, FALSE)="",":",VLOOKUP($E$61,[1]UG!$A$2:$FA$300, 16, FALSE))</f>
        <v>2123.4</v>
      </c>
      <c r="R61" s="544">
        <f>IF(VLOOKUP($E$61,[1]UG!$A$2:$FA$300, 17, FALSE)="",":",VLOOKUP($E$61,[1]UG!$A$2:$FA$300, 17, FALSE))</f>
        <v>2442.19</v>
      </c>
      <c r="S61" s="544">
        <f>IF(VLOOKUP($E$61,[1]UG!$A$2:$FA$300, 18, FALSE)="",":",VLOOKUP($E$61,[1]UG!$A$2:$FA$300, 18, FALSE))</f>
        <v>2731.67</v>
      </c>
      <c r="T61" s="544">
        <f>IF(VLOOKUP($E$61,[1]UG!$A$2:$FA$300, 19, FALSE)="",":",VLOOKUP($E$61,[1]UG!$A$2:$FA$300, 19, FALSE))</f>
        <v>3376.12</v>
      </c>
      <c r="U61" s="544">
        <f>IF(VLOOKUP($E$61,[1]UG!$A$2:$FA$300, 20, FALSE)="",":",VLOOKUP($E$61,[1]UG!$A$2:$FA$300, 20, FALSE))</f>
        <v>3389.15</v>
      </c>
      <c r="V61" s="544">
        <f>IF(VLOOKUP($E$61,[1]UG!$A$2:$FA$300, 21, FALSE)="",":",VLOOKUP($E$61,[1]UG!$A$2:$FA$300, 21, FALSE))</f>
        <v>3192.75</v>
      </c>
      <c r="W61" s="544">
        <f>IF(VLOOKUP($E$61,[1]UG!$A$2:$FA$300, 22, FALSE)="",":",VLOOKUP($E$61,[1]UG!$A$2:$FA$300, 22, FALSE))</f>
        <v>3333.44</v>
      </c>
      <c r="X61" s="544">
        <f>IF(VLOOKUP($E$61,[1]UG!$A$2:$FA$300, 23, FALSE)="",":",VLOOKUP($E$61,[1]UG!$A$2:$FA$300, 23, FALSE))</f>
        <v>3297</v>
      </c>
      <c r="Y61" s="544">
        <f>IF(VLOOKUP($E$61,[1]UG!$A$2:$FA$300, 24, FALSE)="",":",VLOOKUP($E$61,[1]UG!$A$2:$FA$300, 24, FALSE))</f>
        <v>3309.95</v>
      </c>
      <c r="Z61" s="544">
        <f>IF(VLOOKUP($E$61,[1]UG!$A$2:$FA$300, 25, FALSE)="",":",VLOOKUP($E$61,[1]UG!$A$2:$FA$300, 25, FALSE))</f>
        <v>3392.4</v>
      </c>
      <c r="AA61" s="544">
        <f>IF(VLOOKUP($E$61,[1]UG!$A$2:$FA$300, 26, FALSE)="",":",VLOOKUP($E$61,[1]UG!$A$2:$FA$300, 26, FALSE))</f>
        <v>3638.47</v>
      </c>
      <c r="AB61" s="544">
        <f>IF(VLOOKUP($E$61,[1]UG!$A$2:$FA$300, 27, FALSE)="",":",VLOOKUP($E$61,[1]UG!$A$2:$FA$300, 27, FALSE))</f>
        <v>3776.52</v>
      </c>
      <c r="AC61" s="544" t="str">
        <f>IF(VLOOKUP($E$61,[1]UG!$A$2:$FA$300, 28, FALSE)="",":",VLOOKUP($E$61,[1]UG!$A$2:$FA$300, 28, FALSE))</f>
        <v>:</v>
      </c>
      <c r="AD61" s="544" t="str">
        <f>IF(VLOOKUP($E$61,[1]UG!$A$2:$FA$300, 29, FALSE)="",":",VLOOKUP($E$61,[1]UG!$A$2:$FA$300, 29, FALSE))</f>
        <v>:</v>
      </c>
      <c r="AE61" s="544" t="str">
        <f>IF(VLOOKUP($E$61,[1]UG!$A$2:$FA$300, 30, FALSE)="",":",VLOOKUP($E$61,[1]UG!$A$2:$FA$300, 30, FALSE))</f>
        <v>:</v>
      </c>
      <c r="AF61" s="544" t="str">
        <f>IF(VLOOKUP($E$61,[1]UG!$A$2:$FA$300, 31, FALSE)="",":",VLOOKUP($E$61,[1]UG!$A$2:$FA$300, 31, FALSE))</f>
        <v>:</v>
      </c>
    </row>
    <row r="62" spans="1:32">
      <c r="A62" s="533">
        <v>118</v>
      </c>
      <c r="B62" s="534" t="s">
        <v>745</v>
      </c>
      <c r="C62" s="535" t="s">
        <v>2066</v>
      </c>
      <c r="D62" s="12" t="s">
        <v>475</v>
      </c>
      <c r="E62" s="13">
        <v>120</v>
      </c>
      <c r="F62" s="14" t="str">
        <f>VLOOKUP($E$62,[1]UN!$A$2:$FA$300, 3, FALSE)</f>
        <v xml:space="preserve">120  Collective consumption expenditure                                           </v>
      </c>
      <c r="G62" s="544">
        <f>IF(VLOOKUP($E$62,[1]UN!$A$2:$FA$300, 6, FALSE)="",":",VLOOKUP($E$62,[1]UN!$A$2:$FA$300, 6, FALSE))</f>
        <v>1070.2</v>
      </c>
      <c r="H62" s="544">
        <f>IF(VLOOKUP($E$62,[1]UN!$A$2:$FA$300, 7, FALSE)="",":",VLOOKUP($E$62,[1]UN!$A$2:$FA$300, 7, FALSE))</f>
        <v>1314.53</v>
      </c>
      <c r="I62" s="544">
        <f>IF(VLOOKUP($E$62,[1]UN!$A$2:$FA$300, 8, FALSE)="",":",VLOOKUP($E$62,[1]UN!$A$2:$FA$300, 8, FALSE))</f>
        <v>1479.18</v>
      </c>
      <c r="J62" s="544">
        <f>IF(VLOOKUP($E$62,[1]UN!$A$2:$FA$300, 9, FALSE)="",":",VLOOKUP($E$62,[1]UN!$A$2:$FA$300, 9, FALSE))</f>
        <v>1708.26</v>
      </c>
      <c r="K62" s="544">
        <f>IF(VLOOKUP($E$62,[1]UN!$A$2:$FA$300, 10, FALSE)="",":",VLOOKUP($E$62,[1]UN!$A$2:$FA$300, 10, FALSE))</f>
        <v>1275.05</v>
      </c>
      <c r="L62" s="544">
        <f>IF(VLOOKUP($E$62,[1]UN!$A$2:$FA$300, 11, FALSE)="",":",VLOOKUP($E$62,[1]UN!$A$2:$FA$300, 11, FALSE))</f>
        <v>1531.67</v>
      </c>
      <c r="M62" s="544">
        <f>IF(VLOOKUP($E$62,[1]UN!$A$2:$FA$300, 12, FALSE)="",":",VLOOKUP($E$62,[1]UN!$A$2:$FA$300, 12, FALSE))</f>
        <v>1481.42</v>
      </c>
      <c r="N62" s="544">
        <f>IF(VLOOKUP($E$62,[1]UN!$A$2:$FA$300, 13, FALSE)="",":",VLOOKUP($E$62,[1]UN!$A$2:$FA$300, 13, FALSE))</f>
        <v>1478.61</v>
      </c>
      <c r="O62" s="544">
        <f>IF(VLOOKUP($E$62,[1]UN!$A$2:$FA$300, 14, FALSE)="",":",VLOOKUP($E$62,[1]UN!$A$2:$FA$300, 14, FALSE))</f>
        <v>1544.14</v>
      </c>
      <c r="P62" s="544">
        <f>IF(VLOOKUP($E$62,[1]UN!$A$2:$FA$300, 15, FALSE)="",":",VLOOKUP($E$62,[1]UN!$A$2:$FA$300, 15, FALSE))</f>
        <v>1652.51</v>
      </c>
      <c r="Q62" s="544">
        <f>IF(VLOOKUP($E$62,[1]UN!$A$2:$FA$300, 16, FALSE)="",":",VLOOKUP($E$62,[1]UN!$A$2:$FA$300, 16, FALSE))</f>
        <v>1763.01</v>
      </c>
      <c r="R62" s="544">
        <f>IF(VLOOKUP($E$62,[1]UN!$A$2:$FA$300, 17, FALSE)="",":",VLOOKUP($E$62,[1]UN!$A$2:$FA$300, 17, FALSE))</f>
        <v>2163.3200000000002</v>
      </c>
      <c r="S62" s="544">
        <f>IF(VLOOKUP($E$62,[1]UN!$A$2:$FA$300, 18, FALSE)="",":",VLOOKUP($E$62,[1]UN!$A$2:$FA$300, 18, FALSE))</f>
        <v>2335.16</v>
      </c>
      <c r="T62" s="544">
        <f>IF(VLOOKUP($E$62,[1]UN!$A$2:$FA$300, 19, FALSE)="",":",VLOOKUP($E$62,[1]UN!$A$2:$FA$300, 19, FALSE))</f>
        <v>2724.68</v>
      </c>
      <c r="U62" s="544">
        <f>IF(VLOOKUP($E$62,[1]UN!$A$2:$FA$300, 20, FALSE)="",":",VLOOKUP($E$62,[1]UN!$A$2:$FA$300, 20, FALSE))</f>
        <v>2330.6799999999998</v>
      </c>
      <c r="V62" s="3167">
        <f>IF(VLOOKUP($E$62,[1]UN!$A$2:$FA$300, 21, FALSE)="",":",VLOOKUP($E$62,[1]UN!$A$2:$FA$300, 21, FALSE))</f>
        <v>2370.63</v>
      </c>
      <c r="W62" s="3167">
        <f>IF(VLOOKUP($E$62,[1]UN!$A$2:$FA$300, 22, FALSE)="",":",VLOOKUP($E$62,[1]UN!$A$2:$FA$300, 22, FALSE))</f>
        <v>2403.88</v>
      </c>
      <c r="X62" s="544">
        <f>IF(VLOOKUP($E$62,[1]UN!$A$2:$FA$300, 23, FALSE)="",":",VLOOKUP($E$62,[1]UN!$A$2:$FA$300, 23, FALSE))</f>
        <v>2533.6799999999998</v>
      </c>
      <c r="Y62" s="544">
        <f>IF(VLOOKUP($E$62,[1]UN!$A$2:$FA$300, 24, FALSE)="",":",VLOOKUP($E$62,[1]UN!$A$2:$FA$300, 24, FALSE))</f>
        <v>2527.0100000000002</v>
      </c>
      <c r="Z62" s="544">
        <f>IF(VLOOKUP($E$62,[1]UN!$A$2:$FA$300, 25, FALSE)="",":",VLOOKUP($E$62,[1]UN!$A$2:$FA$300, 25, FALSE))</f>
        <v>2680.93</v>
      </c>
      <c r="AA62" s="544">
        <f>IF(VLOOKUP($E$62,[1]UN!$A$2:$FA$300, 26, FALSE)="",":",VLOOKUP($E$62,[1]UN!$A$2:$FA$300, 26, FALSE))</f>
        <v>2790.29</v>
      </c>
      <c r="AB62" s="544">
        <f>IF(VLOOKUP($E$62,[1]UN!$A$2:$FA$300, 27, FALSE)="",":",VLOOKUP($E$62,[1]UN!$A$2:$FA$300, 27, FALSE))</f>
        <v>2860.35</v>
      </c>
      <c r="AC62" s="544">
        <f>IF(VLOOKUP($E$62,[1]UN!$A$2:$FA$300, 28, FALSE)="",":",VLOOKUP($E$62,[1]UN!$A$2:$FA$300, 28, FALSE))</f>
        <v>2987.21</v>
      </c>
      <c r="AD62" s="544" t="str">
        <f>IF(VLOOKUP($E$62,[1]UN!$A$2:$FA$300, 29, FALSE)="",":",VLOOKUP($E$62,[1]UN!$A$2:$FA$300, 29, FALSE))</f>
        <v>:</v>
      </c>
      <c r="AE62" s="544" t="str">
        <f>IF(VLOOKUP($E$62,[1]UN!$A$2:$FA$300, 30, FALSE)="",":",VLOOKUP($E$62,[1]UN!$A$2:$FA$300, 30, FALSE))</f>
        <v>:</v>
      </c>
      <c r="AF62" s="544" t="str">
        <f>IF(VLOOKUP($E$62,[1]UN!$A$2:$FA$300, 31, FALSE)="",":",VLOOKUP($E$62,[1]UN!$A$2:$FA$300, 31, FALSE))</f>
        <v>:</v>
      </c>
    </row>
    <row r="63" spans="1:32">
      <c r="A63" s="533">
        <v>37</v>
      </c>
      <c r="B63" s="534" t="s">
        <v>1897</v>
      </c>
      <c r="C63" s="535" t="s">
        <v>2067</v>
      </c>
      <c r="D63" s="12" t="s">
        <v>475</v>
      </c>
      <c r="E63" s="13">
        <v>100</v>
      </c>
      <c r="F63" s="14" t="str">
        <f>VLOOKUP($E$63,[1]UN!$A$2:$FA$67, 3, FALSE)</f>
        <v xml:space="preserve">100  Government final consumption expenditure                                     </v>
      </c>
      <c r="G63" s="544">
        <f>IF(VLOOKUP($E$63,[1]UN!$A$2:$FA$67, 6, FALSE)="",":",VLOOKUP($E$63,[1]UN!$A$2:$FA$67, 6, FALSE))</f>
        <v>1862.44</v>
      </c>
      <c r="H63" s="544">
        <f>IF(VLOOKUP($E$63,[1]UN!$A$2:$FA$67, 7, FALSE)="",":",VLOOKUP($E$63,[1]UN!$A$2:$FA$67, 7, FALSE))</f>
        <v>2338.5500000000002</v>
      </c>
      <c r="I63" s="544">
        <f>IF(VLOOKUP($E$63,[1]UN!$A$2:$FA$67, 8, FALSE)="",":",VLOOKUP($E$63,[1]UN!$A$2:$FA$67, 8, FALSE))</f>
        <v>2832.16</v>
      </c>
      <c r="J63" s="544">
        <f>IF(VLOOKUP($E$63,[1]UN!$A$2:$FA$67, 9, FALSE)="",":",VLOOKUP($E$63,[1]UN!$A$2:$FA$67, 9, FALSE))</f>
        <v>3370.47</v>
      </c>
      <c r="K63" s="544">
        <f>IF(VLOOKUP($E$63,[1]UN!$A$2:$FA$67, 10, FALSE)="",":",VLOOKUP($E$63,[1]UN!$A$2:$FA$67, 10, FALSE))</f>
        <v>3008.15</v>
      </c>
      <c r="L63" s="544">
        <f>IF(VLOOKUP($E$63,[1]UN!$A$2:$FA$67, 11, FALSE)="",":",VLOOKUP($E$63,[1]UN!$A$2:$FA$67, 11, FALSE))</f>
        <v>2995.13</v>
      </c>
      <c r="M63" s="544">
        <f>IF(VLOOKUP($E$63,[1]UN!$A$2:$FA$67, 12, FALSE)="",":",VLOOKUP($E$63,[1]UN!$A$2:$FA$67, 12, FALSE))</f>
        <v>3001.44</v>
      </c>
      <c r="N63" s="544">
        <f>IF(VLOOKUP($E$63,[1]UN!$A$2:$FA$67, 13, FALSE)="",":",VLOOKUP($E$63,[1]UN!$A$2:$FA$67, 13, FALSE))</f>
        <v>3125.92</v>
      </c>
      <c r="O63" s="544">
        <f>IF(VLOOKUP($E$63,[1]UN!$A$2:$FA$67, 14, FALSE)="",":",VLOOKUP($E$63,[1]UN!$A$2:$FA$67, 14, FALSE))</f>
        <v>3259.11</v>
      </c>
      <c r="P63" s="544">
        <f>IF(VLOOKUP($E$63,[1]UN!$A$2:$FA$67, 15, FALSE)="",":",VLOOKUP($E$63,[1]UN!$A$2:$FA$67, 15, FALSE))</f>
        <v>3495.49</v>
      </c>
      <c r="Q63" s="544">
        <f>IF(VLOOKUP($E$63,[1]UN!$A$2:$FA$67, 16, FALSE)="",":",VLOOKUP($E$63,[1]UN!$A$2:$FA$67, 16, FALSE))</f>
        <v>3886.41</v>
      </c>
      <c r="R63" s="544">
        <f>IF(VLOOKUP($E$63,[1]UN!$A$2:$FA$67, 17, FALSE)="",":",VLOOKUP($E$63,[1]UN!$A$2:$FA$67, 17, FALSE))</f>
        <v>4605.5</v>
      </c>
      <c r="S63" s="544">
        <f>IF(VLOOKUP($E$63,[1]UN!$A$2:$FA$67, 18, FALSE)="",":",VLOOKUP($E$63,[1]UN!$A$2:$FA$67, 18, FALSE))</f>
        <v>5066.83</v>
      </c>
      <c r="T63" s="544">
        <f>IF(VLOOKUP($E$63,[1]UN!$A$2:$FA$67, 19, FALSE)="",":",VLOOKUP($E$63,[1]UN!$A$2:$FA$67, 19, FALSE))</f>
        <v>6100.8</v>
      </c>
      <c r="U63" s="544">
        <f>IF(VLOOKUP($E$63,[1]UN!$A$2:$FA$67, 20, FALSE)="",":",VLOOKUP($E$63,[1]UN!$A$2:$FA$67, 20, FALSE))</f>
        <v>5719.83</v>
      </c>
      <c r="V63" s="544">
        <f>IF(VLOOKUP($E$63,[1]UN!$A$2:$FA$67, 21, FALSE)="",":",VLOOKUP($E$63,[1]UN!$A$2:$FA$67, 21, FALSE))</f>
        <v>5563.38</v>
      </c>
      <c r="W63" s="544">
        <f>IF(VLOOKUP($E$63,[1]UN!$A$2:$FA$67, 22, FALSE)="",":",VLOOKUP($E$63,[1]UN!$A$2:$FA$67, 22, FALSE))</f>
        <v>5737.32</v>
      </c>
      <c r="X63" s="544">
        <f>IF(VLOOKUP($E$63,[1]UN!$A$2:$FA$67, 23, FALSE)="",":",VLOOKUP($E$63,[1]UN!$A$2:$FA$67, 23, FALSE))</f>
        <v>5830.68</v>
      </c>
      <c r="Y63" s="544">
        <f>IF(VLOOKUP($E$63,[1]UN!$A$2:$FA$67, 24, FALSE)="",":",VLOOKUP($E$63,[1]UN!$A$2:$FA$67, 24, FALSE))</f>
        <v>5836.97</v>
      </c>
      <c r="Z63" s="544">
        <f>IF(VLOOKUP($E$63,[1]UN!$A$2:$FA$67, 25, FALSE)="",":",VLOOKUP($E$63,[1]UN!$A$2:$FA$67, 25, FALSE))</f>
        <v>6073.33</v>
      </c>
      <c r="AA63" s="544">
        <f>IF(VLOOKUP($E$63,[1]UN!$A$2:$FA$67, 26, FALSE)="",":",VLOOKUP($E$63,[1]UN!$A$2:$FA$67, 26, FALSE))</f>
        <v>6428.77</v>
      </c>
      <c r="AB63" s="544">
        <f>IF(VLOOKUP($E$63,[1]UN!$A$2:$FA$67, 27, FALSE)="",":",VLOOKUP($E$63,[1]UN!$A$2:$FA$67, 27, FALSE))</f>
        <v>6636.87</v>
      </c>
      <c r="AC63" s="544">
        <f>IF(VLOOKUP($E$63,[1]UN!$A$2:$FA$67, 28, FALSE)="",":",VLOOKUP($E$63,[1]UN!$A$2:$FA$67, 28, FALSE))</f>
        <v>6908.05</v>
      </c>
      <c r="AD63" s="544" t="str">
        <f>IF(VLOOKUP($E$63,[1]UN!$A$2:$FA$67, 29, FALSE)="",":",VLOOKUP($E$63,[1]UN!$A$2:$FA$67, 29, FALSE))</f>
        <v>:</v>
      </c>
      <c r="AE63" s="544" t="str">
        <f>IF(VLOOKUP($E$63,[1]UN!$A$2:$FA$67, 30, FALSE)="",":",VLOOKUP($E$63,[1]UN!$A$2:$FA$67, 30, FALSE))</f>
        <v>:</v>
      </c>
      <c r="AF63" s="544" t="str">
        <f>IF(VLOOKUP($E$63,[1]UN!$A$2:$FA$67, 31, FALSE)="",":",VLOOKUP($E$63,[1]UN!$A$2:$FA$67, 31, FALSE))</f>
        <v>:</v>
      </c>
    </row>
    <row r="64" spans="1:32">
      <c r="A64" s="533"/>
      <c r="B64" s="534"/>
      <c r="C64" s="535"/>
      <c r="D64" s="12" t="s">
        <v>1214</v>
      </c>
      <c r="E64" s="13">
        <v>33</v>
      </c>
      <c r="F64" s="14" t="str">
        <f>VLOOKUP($E$64,[1]UG!$A$2:$FA$300, 3, FALSE)</f>
        <v>33 Final consumption expenditure P.3</v>
      </c>
      <c r="G64" s="544">
        <f>IF(VLOOKUP($E$64,[1]UG!$A$2:$FA$300, 6, FALSE)="",":",VLOOKUP($E$64,[1]UG!$A$2:$FA$300, 6, FALSE))</f>
        <v>1862.44</v>
      </c>
      <c r="H64" s="544">
        <f>IF(VLOOKUP($E$64,[1]UG!$A$2:$FA$300, 7, FALSE)="",":",VLOOKUP($E$64,[1]UG!$A$2:$FA$300, 7, FALSE))</f>
        <v>2338.5500000000002</v>
      </c>
      <c r="I64" s="544">
        <f>IF(VLOOKUP($E$64,[1]UG!$A$2:$FA$300, 8, FALSE)="",":",VLOOKUP($E$64,[1]UG!$A$2:$FA$300, 8, FALSE))</f>
        <v>2832.16</v>
      </c>
      <c r="J64" s="544">
        <f>IF(VLOOKUP($E$64,[1]UG!$A$2:$FA$300, 9, FALSE)="",":",VLOOKUP($E$64,[1]UG!$A$2:$FA$300, 9, FALSE))</f>
        <v>3370.47</v>
      </c>
      <c r="K64" s="544">
        <f>IF(VLOOKUP($E$64,[1]UG!$A$2:$FA$300, 10, FALSE)="",":",VLOOKUP($E$64,[1]UG!$A$2:$FA$300, 10, FALSE))</f>
        <v>3008.15</v>
      </c>
      <c r="L64" s="544">
        <f>IF(VLOOKUP($E$64,[1]UG!$A$2:$FA$300, 11, FALSE)="",":",VLOOKUP($E$64,[1]UG!$A$2:$FA$300, 11, FALSE))</f>
        <v>2995.13</v>
      </c>
      <c r="M64" s="544">
        <f>IF(VLOOKUP($E$64,[1]UG!$A$2:$FA$300, 12, FALSE)="",":",VLOOKUP($E$64,[1]UG!$A$2:$FA$300, 12, FALSE))</f>
        <v>3001.44</v>
      </c>
      <c r="N64" s="544">
        <f>IF(VLOOKUP($E$64,[1]UG!$A$2:$FA$300, 13, FALSE)="",":",VLOOKUP($E$64,[1]UG!$A$2:$FA$300, 13, FALSE))</f>
        <v>3125.92</v>
      </c>
      <c r="O64" s="544">
        <f>IF(VLOOKUP($E$64,[1]UG!$A$2:$FA$300, 14, FALSE)="",":",VLOOKUP($E$64,[1]UG!$A$2:$FA$300, 14, FALSE))</f>
        <v>3259.11</v>
      </c>
      <c r="P64" s="544">
        <f>IF(VLOOKUP($E$64,[1]UG!$A$2:$FA$300, 15, FALSE)="",":",VLOOKUP($E$64,[1]UG!$A$2:$FA$300, 15, FALSE))</f>
        <v>3495.49</v>
      </c>
      <c r="Q64" s="544">
        <f>IF(VLOOKUP($E$64,[1]UG!$A$2:$FA$300, 16, FALSE)="",":",VLOOKUP($E$64,[1]UG!$A$2:$FA$300, 16, FALSE))</f>
        <v>3886.41</v>
      </c>
      <c r="R64" s="544">
        <f>IF(VLOOKUP($E$64,[1]UG!$A$2:$FA$300, 17, FALSE)="",":",VLOOKUP($E$64,[1]UG!$A$2:$FA$300, 17, FALSE))</f>
        <v>4605.5</v>
      </c>
      <c r="S64" s="544">
        <f>IF(VLOOKUP($E$64,[1]UG!$A$2:$FA$300, 18, FALSE)="",":",VLOOKUP($E$64,[1]UG!$A$2:$FA$300, 18, FALSE))</f>
        <v>5066.83</v>
      </c>
      <c r="T64" s="544">
        <f>IF(VLOOKUP($E$64,[1]UG!$A$2:$FA$300, 19, FALSE)="",":",VLOOKUP($E$64,[1]UG!$A$2:$FA$300, 19, FALSE))</f>
        <v>6100.8</v>
      </c>
      <c r="U64" s="544">
        <f>IF(VLOOKUP($E$64,[1]UG!$A$2:$FA$300, 20, FALSE)="",":",VLOOKUP($E$64,[1]UG!$A$2:$FA$300, 20, FALSE))</f>
        <v>5719.83</v>
      </c>
      <c r="V64" s="544">
        <f>IF(VLOOKUP($E$64,[1]UG!$A$2:$FA$300, 21, FALSE)="",":",VLOOKUP($E$64,[1]UG!$A$2:$FA$300, 21, FALSE))</f>
        <v>5563.38</v>
      </c>
      <c r="W64" s="544">
        <f>IF(VLOOKUP($E$64,[1]UG!$A$2:$FA$300, 22, FALSE)="",":",VLOOKUP($E$64,[1]UG!$A$2:$FA$300, 22, FALSE))</f>
        <v>5737.32</v>
      </c>
      <c r="X64" s="544">
        <f>IF(VLOOKUP($E$64,[1]UG!$A$2:$FA$300, 23, FALSE)="",":",VLOOKUP($E$64,[1]UG!$A$2:$FA$300, 23, FALSE))</f>
        <v>5830.68</v>
      </c>
      <c r="Y64" s="544">
        <f>IF(VLOOKUP($E$64,[1]UG!$A$2:$FA$300, 24, FALSE)="",":",VLOOKUP($E$64,[1]UG!$A$2:$FA$300, 24, FALSE))</f>
        <v>5836.97</v>
      </c>
      <c r="Z64" s="544">
        <f>IF(VLOOKUP($E$64,[1]UG!$A$2:$FA$300, 25, FALSE)="",":",VLOOKUP($E$64,[1]UG!$A$2:$FA$300, 25, FALSE))</f>
        <v>6073.33</v>
      </c>
      <c r="AA64" s="544">
        <f>IF(VLOOKUP($E$64,[1]UG!$A$2:$FA$300, 26, FALSE)="",":",VLOOKUP($E$64,[1]UG!$A$2:$FA$300, 26, FALSE))</f>
        <v>6428.77</v>
      </c>
      <c r="AB64" s="544">
        <f>IF(VLOOKUP($E$64,[1]UG!$A$2:$FA$300, 27, FALSE)="",":",VLOOKUP($E$64,[1]UG!$A$2:$FA$300, 27, FALSE))</f>
        <v>6636.87</v>
      </c>
      <c r="AC64" s="544" t="str">
        <f>IF(VLOOKUP($E$64,[1]UG!$A$2:$FA$300, 28, FALSE)="",":",VLOOKUP($E$64,[1]UG!$A$2:$FA$300, 28, FALSE))</f>
        <v>:</v>
      </c>
      <c r="AD64" s="544" t="str">
        <f>IF(VLOOKUP($E$64,[1]UG!$A$2:$FA$300, 29, FALSE)="",":",VLOOKUP($E$64,[1]UG!$A$2:$FA$300, 29, FALSE))</f>
        <v>:</v>
      </c>
      <c r="AE64" s="544" t="str">
        <f>IF(VLOOKUP($E$64,[1]UG!$A$2:$FA$300, 30, FALSE)="",":",VLOOKUP($E$64,[1]UG!$A$2:$FA$300, 30, FALSE))</f>
        <v>:</v>
      </c>
      <c r="AF64" s="544" t="str">
        <f>IF(VLOOKUP($E$64,[1]UG!$A$2:$FA$300, 31, FALSE)="",":",VLOOKUP($E$64,[1]UG!$A$2:$FA$300, 31, FALSE))</f>
        <v>:</v>
      </c>
    </row>
    <row r="65" spans="1:32">
      <c r="A65" s="533"/>
      <c r="B65" s="534"/>
      <c r="C65" s="535"/>
      <c r="D65" s="1347" t="s">
        <v>475</v>
      </c>
      <c r="E65" s="13">
        <v>110</v>
      </c>
      <c r="F65" s="14" t="str">
        <f>VLOOKUP($E$65,[1]UN!$A$2:$FA$67, 3, FALSE)</f>
        <v xml:space="preserve">110  Individual consumption expenditure                                           </v>
      </c>
      <c r="G65" s="544">
        <f>IF(VLOOKUP($E$65,[1]UN!$A$2:$FA$67, 6, FALSE)="",":",VLOOKUP($E$65,[1]UN!$A$2:$FA$67, 6, FALSE))</f>
        <v>792.24</v>
      </c>
      <c r="H65" s="544">
        <f>IF(VLOOKUP($E$65,[1]UN!$A$2:$FA$67, 7, FALSE)="",":",VLOOKUP($E$65,[1]UN!$A$2:$FA$67, 7, FALSE))</f>
        <v>1024.01</v>
      </c>
      <c r="I65" s="544">
        <f>IF(VLOOKUP($E$65,[1]UN!$A$2:$FA$67, 8, FALSE)="",":",VLOOKUP($E$65,[1]UN!$A$2:$FA$67, 8, FALSE))</f>
        <v>1352.97</v>
      </c>
      <c r="J65" s="544">
        <f>IF(VLOOKUP($E$65,[1]UN!$A$2:$FA$67, 9, FALSE)="",":",VLOOKUP($E$65,[1]UN!$A$2:$FA$67, 9, FALSE))</f>
        <v>1662.21</v>
      </c>
      <c r="K65" s="544">
        <f>IF(VLOOKUP($E$65,[1]UN!$A$2:$FA$67, 10, FALSE)="",":",VLOOKUP($E$65,[1]UN!$A$2:$FA$67, 10, FALSE))</f>
        <v>1733.1</v>
      </c>
      <c r="L65" s="544">
        <f>IF(VLOOKUP($E$65,[1]UN!$A$2:$FA$67, 11, FALSE)="",":",VLOOKUP($E$65,[1]UN!$A$2:$FA$67, 11, FALSE))</f>
        <v>1463.46</v>
      </c>
      <c r="M65" s="544">
        <f>IF(VLOOKUP($E$65,[1]UN!$A$2:$FA$67, 12, FALSE)="",":",VLOOKUP($E$65,[1]UN!$A$2:$FA$67, 12, FALSE))</f>
        <v>1520.02</v>
      </c>
      <c r="N65" s="544">
        <f>IF(VLOOKUP($E$65,[1]UN!$A$2:$FA$67, 13, FALSE)="",":",VLOOKUP($E$65,[1]UN!$A$2:$FA$67, 13, FALSE))</f>
        <v>1647.31</v>
      </c>
      <c r="O65" s="544">
        <f>IF(VLOOKUP($E$65,[1]UN!$A$2:$FA$67, 14, FALSE)="",":",VLOOKUP($E$65,[1]UN!$A$2:$FA$67, 14, FALSE))</f>
        <v>1714.97</v>
      </c>
      <c r="P65" s="544">
        <f>IF(VLOOKUP($E$65,[1]UN!$A$2:$FA$67, 15, FALSE)="",":",VLOOKUP($E$65,[1]UN!$A$2:$FA$67, 15, FALSE))</f>
        <v>1842.98</v>
      </c>
      <c r="Q65" s="544">
        <f>IF(VLOOKUP($E$65,[1]UN!$A$2:$FA$67, 16, FALSE)="",":",VLOOKUP($E$65,[1]UN!$A$2:$FA$67, 16, FALSE))</f>
        <v>2123.4</v>
      </c>
      <c r="R65" s="544">
        <f>IF(VLOOKUP($E$65,[1]UN!$A$2:$FA$67, 17, FALSE)="",":",VLOOKUP($E$65,[1]UN!$A$2:$FA$67, 17, FALSE))</f>
        <v>2442.19</v>
      </c>
      <c r="S65" s="544">
        <f>IF(VLOOKUP($E$65,[1]UN!$A$2:$FA$67, 18, FALSE)="",":",VLOOKUP($E$65,[1]UN!$A$2:$FA$67, 18, FALSE))</f>
        <v>2731.67</v>
      </c>
      <c r="T65" s="544">
        <f>IF(VLOOKUP($E$65,[1]UN!$A$2:$FA$67, 19, FALSE)="",":",VLOOKUP($E$65,[1]UN!$A$2:$FA$67, 19, FALSE))</f>
        <v>3376.12</v>
      </c>
      <c r="U65" s="544">
        <f>IF(VLOOKUP($E$65,[1]UN!$A$2:$FA$67, 20, FALSE)="",":",VLOOKUP($E$65,[1]UN!$A$2:$FA$67, 20, FALSE))</f>
        <v>3389.15</v>
      </c>
      <c r="V65" s="544">
        <f>IF(VLOOKUP($E$65,[1]UN!$A$2:$FA$67, 21, FALSE)="",":",VLOOKUP($E$65,[1]UN!$A$2:$FA$67, 21, FALSE))</f>
        <v>3192.75</v>
      </c>
      <c r="W65" s="544">
        <f>IF(VLOOKUP($E$65,[1]UN!$A$2:$FA$67, 22, FALSE)="",":",VLOOKUP($E$65,[1]UN!$A$2:$FA$67, 22, FALSE))</f>
        <v>3333.44</v>
      </c>
      <c r="X65" s="544">
        <f>IF(VLOOKUP($E$65,[1]UN!$A$2:$FA$67, 23, FALSE)="",":",VLOOKUP($E$65,[1]UN!$A$2:$FA$67, 23, FALSE))</f>
        <v>3297</v>
      </c>
      <c r="Y65" s="544">
        <f>IF(VLOOKUP($E$65,[1]UN!$A$2:$FA$67, 24, FALSE)="",":",VLOOKUP($E$65,[1]UN!$A$2:$FA$67, 24, FALSE))</f>
        <v>3309.95</v>
      </c>
      <c r="Z65" s="544">
        <f>IF(VLOOKUP($E$65,[1]UN!$A$2:$FA$67, 25, FALSE)="",":",VLOOKUP($E$65,[1]UN!$A$2:$FA$67, 25, FALSE))</f>
        <v>3392.4</v>
      </c>
      <c r="AA65" s="544">
        <f>IF(VLOOKUP($E$65,[1]UN!$A$2:$FA$67, 26, FALSE)="",":",VLOOKUP($E$65,[1]UN!$A$2:$FA$67, 26, FALSE))</f>
        <v>3638.47</v>
      </c>
      <c r="AB65" s="544">
        <f>IF(VLOOKUP($E$65,[1]UN!$A$2:$FA$67, 27, FALSE)="",":",VLOOKUP($E$65,[1]UN!$A$2:$FA$67, 27, FALSE))</f>
        <v>3776.52</v>
      </c>
      <c r="AC65" s="544">
        <f>IF(VLOOKUP($E$65,[1]UN!$A$2:$FA$67, 28, FALSE)="",":",VLOOKUP($E$65,[1]UN!$A$2:$FA$67, 28, FALSE))</f>
        <v>3920.84</v>
      </c>
      <c r="AD65" s="544" t="str">
        <f>IF(VLOOKUP($E$65,[1]UN!$A$2:$FA$67, 29, FALSE)="",":",VLOOKUP($E$65,[1]UN!$A$2:$FA$67, 29, FALSE))</f>
        <v>:</v>
      </c>
      <c r="AE65" s="544" t="str">
        <f>IF(VLOOKUP($E$65,[1]UN!$A$2:$FA$67, 30, FALSE)="",":",VLOOKUP($E$65,[1]UN!$A$2:$FA$67, 30, FALSE))</f>
        <v>:</v>
      </c>
      <c r="AF65" s="544" t="str">
        <f>IF(VLOOKUP($E$65,[1]UN!$A$2:$FA$67, 31, FALSE)="",":",VLOOKUP($E$65,[1]UN!$A$2:$FA$67, 31, FALSE))</f>
        <v>:</v>
      </c>
    </row>
    <row r="66" spans="1:32">
      <c r="A66" s="533"/>
      <c r="B66" s="534" t="s">
        <v>1515</v>
      </c>
      <c r="C66" s="535"/>
      <c r="D66" s="12"/>
      <c r="E66" s="13"/>
      <c r="F66" s="14"/>
      <c r="G66" s="544"/>
      <c r="H66" s="544"/>
      <c r="I66" s="544"/>
      <c r="J66" s="544"/>
      <c r="K66" s="544"/>
      <c r="L66" s="544"/>
      <c r="M66" s="544"/>
      <c r="N66" s="544"/>
      <c r="O66" s="544"/>
      <c r="P66" s="544"/>
      <c r="Q66" s="544"/>
      <c r="R66" s="544"/>
      <c r="S66" s="544"/>
      <c r="T66" s="544"/>
      <c r="U66" s="544"/>
      <c r="V66" s="544"/>
      <c r="W66" s="544"/>
      <c r="X66" s="544"/>
      <c r="Y66" s="544"/>
      <c r="Z66" s="544"/>
      <c r="AA66" s="544"/>
      <c r="AB66" s="544"/>
      <c r="AC66" s="544"/>
      <c r="AD66" s="544"/>
      <c r="AE66" s="544"/>
      <c r="AF66" s="544"/>
    </row>
    <row r="67" spans="1:32">
      <c r="A67" s="533"/>
      <c r="B67" s="534" t="s">
        <v>1516</v>
      </c>
      <c r="C67" s="535"/>
      <c r="D67" s="12"/>
      <c r="E67" s="13"/>
      <c r="F67" s="14"/>
      <c r="G67" s="544"/>
      <c r="H67" s="544"/>
      <c r="I67" s="544"/>
      <c r="J67" s="544"/>
      <c r="K67" s="544"/>
      <c r="L67" s="544"/>
      <c r="M67" s="544"/>
      <c r="N67" s="544"/>
      <c r="O67" s="544"/>
      <c r="P67" s="544"/>
      <c r="Q67" s="544"/>
      <c r="R67" s="544"/>
      <c r="S67" s="544"/>
      <c r="T67" s="544"/>
      <c r="U67" s="544"/>
      <c r="V67" s="544"/>
      <c r="W67" s="544"/>
      <c r="X67" s="544"/>
      <c r="Y67" s="544"/>
      <c r="Z67" s="544"/>
      <c r="AA67" s="544"/>
      <c r="AB67" s="544"/>
      <c r="AC67" s="544"/>
      <c r="AD67" s="544"/>
      <c r="AE67" s="544"/>
      <c r="AF67" s="544"/>
    </row>
    <row r="68" spans="1:32">
      <c r="A68" s="533"/>
      <c r="B68" s="534" t="s">
        <v>1517</v>
      </c>
      <c r="C68" s="535"/>
      <c r="D68" s="12" t="s">
        <v>475</v>
      </c>
      <c r="E68" s="13">
        <v>317</v>
      </c>
      <c r="F68" s="14" t="str">
        <f>VLOOKUP($E$68,[1]UN!$A$2:$FA$67, 3, FALSE)</f>
        <v xml:space="preserve">317  Non-residential construction and civil engineering                           </v>
      </c>
      <c r="G68" s="544">
        <f>IF(VLOOKUP($E$68,[1]UN!$A$2:$FA$67, 6, FALSE)="",":",VLOOKUP($E$68,[1]UN!$A$2:$FA$67, 6, FALSE))</f>
        <v>752.56</v>
      </c>
      <c r="H68" s="544">
        <f>IF(VLOOKUP($E$68,[1]UN!$A$2:$FA$67, 7, FALSE)="",":",VLOOKUP($E$68,[1]UN!$A$2:$FA$67, 7, FALSE))</f>
        <v>873.7</v>
      </c>
      <c r="I68" s="544">
        <f>IF(VLOOKUP($E$68,[1]UN!$A$2:$FA$67, 8, FALSE)="",":",VLOOKUP($E$68,[1]UN!$A$2:$FA$67, 8, FALSE))</f>
        <v>1182.52</v>
      </c>
      <c r="J68" s="544">
        <f>IF(VLOOKUP($E$68,[1]UN!$A$2:$FA$67, 9, FALSE)="",":",VLOOKUP($E$68,[1]UN!$A$2:$FA$67, 9, FALSE))</f>
        <v>1567.89</v>
      </c>
      <c r="K68" s="544">
        <f>IF(VLOOKUP($E$68,[1]UN!$A$2:$FA$67, 10, FALSE)="",":",VLOOKUP($E$68,[1]UN!$A$2:$FA$67, 10, FALSE))</f>
        <v>1433.3</v>
      </c>
      <c r="L68" s="544">
        <f>IF(VLOOKUP($E$68,[1]UN!$A$2:$FA$67, 11, FALSE)="",":",VLOOKUP($E$68,[1]UN!$A$2:$FA$67, 11, FALSE))</f>
        <v>1148.71</v>
      </c>
      <c r="M68" s="544">
        <f>IF(VLOOKUP($E$68,[1]UN!$A$2:$FA$67, 12, FALSE)="",":",VLOOKUP($E$68,[1]UN!$A$2:$FA$67, 12, FALSE))</f>
        <v>1273.18</v>
      </c>
      <c r="N68" s="544">
        <f>IF(VLOOKUP($E$68,[1]UN!$A$2:$FA$67, 13, FALSE)="",":",VLOOKUP($E$68,[1]UN!$A$2:$FA$67, 13, FALSE))</f>
        <v>1464.95</v>
      </c>
      <c r="O68" s="544">
        <f>IF(VLOOKUP($E$68,[1]UN!$A$2:$FA$67, 14, FALSE)="",":",VLOOKUP($E$68,[1]UN!$A$2:$FA$67, 14, FALSE))</f>
        <v>1790.61</v>
      </c>
      <c r="P68" s="544">
        <f>IF(VLOOKUP($E$68,[1]UN!$A$2:$FA$67, 15, FALSE)="",":",VLOOKUP($E$68,[1]UN!$A$2:$FA$67, 15, FALSE))</f>
        <v>1858.97</v>
      </c>
      <c r="Q68" s="544">
        <f>IF(VLOOKUP($E$68,[1]UN!$A$2:$FA$67, 16, FALSE)="",":",VLOOKUP($E$68,[1]UN!$A$2:$FA$67, 16, FALSE))</f>
        <v>2271.5500000000002</v>
      </c>
      <c r="R68" s="544">
        <f>IF(VLOOKUP($E$68,[1]UN!$A$2:$FA$67, 17, FALSE)="",":",VLOOKUP($E$68,[1]UN!$A$2:$FA$67, 17, FALSE))</f>
        <v>3041.15</v>
      </c>
      <c r="S68" s="544">
        <f>IF(VLOOKUP($E$68,[1]UN!$A$2:$FA$67, 18, FALSE)="",":",VLOOKUP($E$68,[1]UN!$A$2:$FA$67, 18, FALSE))</f>
        <v>4216.71</v>
      </c>
      <c r="T68" s="544">
        <f>IF(VLOOKUP($E$68,[1]UN!$A$2:$FA$67, 19, FALSE)="",":",VLOOKUP($E$68,[1]UN!$A$2:$FA$67, 19, FALSE))</f>
        <v>4439.37</v>
      </c>
      <c r="U68" s="544">
        <f>IF(VLOOKUP($E$68,[1]UN!$A$2:$FA$67, 20, FALSE)="",":",VLOOKUP($E$68,[1]UN!$A$2:$FA$67, 20, FALSE))</f>
        <v>2238.7399999999998</v>
      </c>
      <c r="V68" s="544">
        <f>IF(VLOOKUP($E$68,[1]UN!$A$2:$FA$67, 21, FALSE)="",":",VLOOKUP($E$68,[1]UN!$A$2:$FA$67, 21, FALSE))</f>
        <v>2183.91</v>
      </c>
      <c r="W68" s="544">
        <f>IF(VLOOKUP($E$68,[1]UN!$A$2:$FA$67, 22, FALSE)="",":",VLOOKUP($E$68,[1]UN!$A$2:$FA$67, 22, FALSE))</f>
        <v>2681.04</v>
      </c>
      <c r="X68" s="544">
        <f>IF(VLOOKUP($E$68,[1]UN!$A$2:$FA$67, 23, FALSE)="",":",VLOOKUP($E$68,[1]UN!$A$2:$FA$67, 23, FALSE))</f>
        <v>2617.09</v>
      </c>
      <c r="Y68" s="544">
        <f>IF(VLOOKUP($E$68,[1]UN!$A$2:$FA$67, 24, FALSE)="",":",VLOOKUP($E$68,[1]UN!$A$2:$FA$67, 24, FALSE))</f>
        <v>2916.7</v>
      </c>
      <c r="Z68" s="544">
        <f>IF(VLOOKUP($E$68,[1]UN!$A$2:$FA$67, 25, FALSE)="",":",VLOOKUP($E$68,[1]UN!$A$2:$FA$67, 25, FALSE))</f>
        <v>3162.81</v>
      </c>
      <c r="AA68" s="544">
        <f>IF(VLOOKUP($E$68,[1]UN!$A$2:$FA$67, 26, FALSE)="",":",VLOOKUP($E$68,[1]UN!$A$2:$FA$67, 26, FALSE))</f>
        <v>3044.37</v>
      </c>
      <c r="AB68" s="544">
        <f>IF(VLOOKUP($E$68,[1]UN!$A$2:$FA$67, 27, FALSE)="",":",VLOOKUP($E$68,[1]UN!$A$2:$FA$67, 27, FALSE))</f>
        <v>2624.46</v>
      </c>
      <c r="AC68" s="544">
        <f>IF(VLOOKUP($E$68,[1]UN!$A$2:$FA$67, 28, FALSE)="",":",VLOOKUP($E$68,[1]UN!$A$2:$FA$67, 28, FALSE))</f>
        <v>2971.95</v>
      </c>
      <c r="AD68" s="544" t="str">
        <f>IF(VLOOKUP($E$68,[1]UN!$A$2:$FA$67, 29, FALSE)="",":",VLOOKUP($E$68,[1]UN!$A$2:$FA$67, 29, FALSE))</f>
        <v>:</v>
      </c>
      <c r="AE68" s="544" t="str">
        <f>IF(VLOOKUP($E$68,[1]UN!$A$2:$FA$67, 30, FALSE)="",":",VLOOKUP($E$68,[1]UN!$A$2:$FA$67, 30, FALSE))</f>
        <v>:</v>
      </c>
      <c r="AF68" s="544" t="str">
        <f>IF(VLOOKUP($E$68,[1]UN!$A$2:$FA$67, 31, FALSE)="",":",VLOOKUP($E$68,[1]UN!$A$2:$FA$67, 31, FALSE))</f>
        <v>:</v>
      </c>
    </row>
    <row r="69" spans="1:32">
      <c r="A69" s="533"/>
      <c r="B69" s="534"/>
      <c r="C69" s="535"/>
      <c r="D69" s="12"/>
      <c r="E69" s="13"/>
      <c r="F69" s="14"/>
      <c r="G69" s="544"/>
      <c r="H69" s="544"/>
      <c r="I69" s="544"/>
      <c r="J69" s="544"/>
      <c r="K69" s="544"/>
      <c r="L69" s="544"/>
      <c r="M69" s="544"/>
      <c r="N69" s="544"/>
      <c r="O69" s="544"/>
      <c r="P69" s="544"/>
      <c r="Q69" s="544"/>
      <c r="R69" s="544"/>
      <c r="S69" s="544"/>
      <c r="T69" s="544"/>
      <c r="U69" s="544"/>
      <c r="V69" s="544"/>
      <c r="W69" s="544"/>
      <c r="X69" s="544"/>
      <c r="Y69" s="544"/>
      <c r="Z69" s="544"/>
      <c r="AA69" s="544"/>
      <c r="AB69" s="544"/>
      <c r="AC69" s="544"/>
      <c r="AD69" s="544"/>
      <c r="AE69" s="544"/>
      <c r="AF69" s="544"/>
    </row>
    <row r="70" spans="1:32">
      <c r="A70" s="533">
        <v>33</v>
      </c>
      <c r="B70" s="534" t="s">
        <v>1518</v>
      </c>
      <c r="C70" s="535"/>
      <c r="D70" s="12" t="s">
        <v>475</v>
      </c>
      <c r="E70" s="13">
        <v>316</v>
      </c>
      <c r="F70" s="14" t="str">
        <f>VLOOKUP($E$70,[1]UN!$A$2:$FA$67, 3, FALSE)</f>
        <v xml:space="preserve">316  Dwellings                                                                    </v>
      </c>
      <c r="G70" s="544">
        <f>IF(VLOOKUP($E$70,[1]UN!$A$2:$FA$67, 6, FALSE)="",":",VLOOKUP($E$70,[1]UN!$A$2:$FA$67, 6, FALSE))</f>
        <v>176.34</v>
      </c>
      <c r="H70" s="544">
        <f>IF(VLOOKUP($E$70,[1]UN!$A$2:$FA$67, 7, FALSE)="",":",VLOOKUP($E$70,[1]UN!$A$2:$FA$67, 7, FALSE))</f>
        <v>206.04</v>
      </c>
      <c r="I70" s="544">
        <f>IF(VLOOKUP($E$70,[1]UN!$A$2:$FA$67, 8, FALSE)="",":",VLOOKUP($E$70,[1]UN!$A$2:$FA$67, 8, FALSE))</f>
        <v>202.93</v>
      </c>
      <c r="J70" s="544">
        <f>IF(VLOOKUP($E$70,[1]UN!$A$2:$FA$67, 9, FALSE)="",":",VLOOKUP($E$70,[1]UN!$A$2:$FA$67, 9, FALSE))</f>
        <v>198.41</v>
      </c>
      <c r="K70" s="544">
        <f>IF(VLOOKUP($E$70,[1]UN!$A$2:$FA$67, 10, FALSE)="",":",VLOOKUP($E$70,[1]UN!$A$2:$FA$67, 10, FALSE))</f>
        <v>213.08</v>
      </c>
      <c r="L70" s="544">
        <f>IF(VLOOKUP($E$70,[1]UN!$A$2:$FA$67, 11, FALSE)="",":",VLOOKUP($E$70,[1]UN!$A$2:$FA$67, 11, FALSE))</f>
        <v>234.57</v>
      </c>
      <c r="M70" s="544">
        <f>IF(VLOOKUP($E$70,[1]UN!$A$2:$FA$67, 12, FALSE)="",":",VLOOKUP($E$70,[1]UN!$A$2:$FA$67, 12, FALSE))</f>
        <v>223.57</v>
      </c>
      <c r="N70" s="544">
        <f>IF(VLOOKUP($E$70,[1]UN!$A$2:$FA$67, 13, FALSE)="",":",VLOOKUP($E$70,[1]UN!$A$2:$FA$67, 13, FALSE))</f>
        <v>201.57</v>
      </c>
      <c r="O70" s="544">
        <f>IF(VLOOKUP($E$70,[1]UN!$A$2:$FA$67, 14, FALSE)="",":",VLOOKUP($E$70,[1]UN!$A$2:$FA$67, 14, FALSE))</f>
        <v>233.41</v>
      </c>
      <c r="P70" s="544">
        <f>IF(VLOOKUP($E$70,[1]UN!$A$2:$FA$67, 15, FALSE)="",":",VLOOKUP($E$70,[1]UN!$A$2:$FA$67, 15, FALSE))</f>
        <v>418.74</v>
      </c>
      <c r="Q70" s="544">
        <f>IF(VLOOKUP($E$70,[1]UN!$A$2:$FA$67, 16, FALSE)="",":",VLOOKUP($E$70,[1]UN!$A$2:$FA$67, 16, FALSE))</f>
        <v>454.15</v>
      </c>
      <c r="R70" s="544">
        <f>IF(VLOOKUP($E$70,[1]UN!$A$2:$FA$67, 17, FALSE)="",":",VLOOKUP($E$70,[1]UN!$A$2:$FA$67, 17, FALSE))</f>
        <v>609.15</v>
      </c>
      <c r="S70" s="544">
        <f>IF(VLOOKUP($E$70,[1]UN!$A$2:$FA$67, 18, FALSE)="",":",VLOOKUP($E$70,[1]UN!$A$2:$FA$67, 18, FALSE))</f>
        <v>812.39</v>
      </c>
      <c r="T70" s="544">
        <f>IF(VLOOKUP($E$70,[1]UN!$A$2:$FA$67, 19, FALSE)="",":",VLOOKUP($E$70,[1]UN!$A$2:$FA$67, 19, FALSE))</f>
        <v>1106.31</v>
      </c>
      <c r="U70" s="544">
        <f>IF(VLOOKUP($E$70,[1]UN!$A$2:$FA$67, 20, FALSE)="",":",VLOOKUP($E$70,[1]UN!$A$2:$FA$67, 20, FALSE))</f>
        <v>878.08</v>
      </c>
      <c r="V70" s="544">
        <f>IF(VLOOKUP($E$70,[1]UN!$A$2:$FA$67, 21, FALSE)="",":",VLOOKUP($E$70,[1]UN!$A$2:$FA$67, 21, FALSE))</f>
        <v>588.1</v>
      </c>
      <c r="W70" s="544">
        <f>IF(VLOOKUP($E$70,[1]UN!$A$2:$FA$67, 22, FALSE)="",":",VLOOKUP($E$70,[1]UN!$A$2:$FA$67, 22, FALSE))</f>
        <v>616.27</v>
      </c>
      <c r="X70" s="544">
        <f>IF(VLOOKUP($E$70,[1]UN!$A$2:$FA$67, 23, FALSE)="",":",VLOOKUP($E$70,[1]UN!$A$2:$FA$67, 23, FALSE))</f>
        <v>649.44000000000005</v>
      </c>
      <c r="Y70" s="544">
        <f>IF(VLOOKUP($E$70,[1]UN!$A$2:$FA$67, 24, FALSE)="",":",VLOOKUP($E$70,[1]UN!$A$2:$FA$67, 24, FALSE))</f>
        <v>756.92</v>
      </c>
      <c r="Z70" s="544">
        <f>IF(VLOOKUP($E$70,[1]UN!$A$2:$FA$67, 25, FALSE)="",":",VLOOKUP($E$70,[1]UN!$A$2:$FA$67, 25, FALSE))</f>
        <v>913.34</v>
      </c>
      <c r="AA70" s="544">
        <f>IF(VLOOKUP($E$70,[1]UN!$A$2:$FA$67, 26, FALSE)="",":",VLOOKUP($E$70,[1]UN!$A$2:$FA$67, 26, FALSE))</f>
        <v>1053.3900000000001</v>
      </c>
      <c r="AB70" s="544">
        <f>IF(VLOOKUP($E$70,[1]UN!$A$2:$FA$67, 27, FALSE)="",":",VLOOKUP($E$70,[1]UN!$A$2:$FA$67, 27, FALSE))</f>
        <v>1160.68</v>
      </c>
      <c r="AC70" s="544">
        <f>IF(VLOOKUP($E$70,[1]UN!$A$2:$FA$67, 28, FALSE)="",":",VLOOKUP($E$70,[1]UN!$A$2:$FA$67, 28, FALSE))</f>
        <v>1125.97</v>
      </c>
      <c r="AD70" s="544" t="str">
        <f>IF(VLOOKUP($E$70,[1]UN!$A$2:$FA$67, 29, FALSE)="",":",VLOOKUP($E$70,[1]UN!$A$2:$FA$67, 29, FALSE))</f>
        <v>:</v>
      </c>
      <c r="AE70" s="544" t="str">
        <f>IF(VLOOKUP($E$70,[1]UN!$A$2:$FA$67, 30, FALSE)="",":",VLOOKUP($E$70,[1]UN!$A$2:$FA$67, 30, FALSE))</f>
        <v>:</v>
      </c>
      <c r="AF70" s="544" t="str">
        <f>IF(VLOOKUP($E$70,[1]UN!$A$2:$FA$67, 31, FALSE)="",":",VLOOKUP($E$70,[1]UN!$A$2:$FA$67, 31, FALSE))</f>
        <v>:</v>
      </c>
    </row>
    <row r="71" spans="1:32">
      <c r="A71" s="533"/>
      <c r="B71" s="534" t="s">
        <v>469</v>
      </c>
      <c r="C71" s="535"/>
      <c r="D71" s="12"/>
      <c r="E71" s="13"/>
      <c r="F71" s="14"/>
      <c r="G71" s="544"/>
      <c r="H71" s="544"/>
      <c r="I71" s="544"/>
      <c r="J71" s="544"/>
      <c r="K71" s="544"/>
      <c r="L71" s="544"/>
      <c r="M71" s="544"/>
      <c r="N71" s="544"/>
      <c r="O71" s="544"/>
      <c r="P71" s="544"/>
      <c r="Q71" s="544"/>
      <c r="R71" s="544"/>
      <c r="S71" s="544"/>
      <c r="T71" s="544"/>
      <c r="U71" s="544"/>
      <c r="V71" s="544"/>
      <c r="W71" s="544"/>
      <c r="X71" s="544"/>
      <c r="Y71" s="544"/>
      <c r="Z71" s="544"/>
      <c r="AA71" s="544"/>
      <c r="AB71" s="544"/>
      <c r="AC71" s="544"/>
      <c r="AD71" s="544"/>
      <c r="AE71" s="544"/>
      <c r="AF71" s="544"/>
    </row>
    <row r="72" spans="1:32">
      <c r="A72" s="533"/>
      <c r="B72" s="534" t="s">
        <v>470</v>
      </c>
      <c r="C72" s="535"/>
      <c r="D72" s="12"/>
      <c r="E72" s="13"/>
      <c r="F72" s="14"/>
      <c r="G72" s="544"/>
      <c r="H72" s="544"/>
      <c r="I72" s="544"/>
      <c r="J72" s="544"/>
      <c r="K72" s="544"/>
      <c r="L72" s="544"/>
      <c r="M72" s="544"/>
      <c r="N72" s="544"/>
      <c r="O72" s="544"/>
      <c r="P72" s="544"/>
      <c r="Q72" s="544"/>
      <c r="R72" s="544"/>
      <c r="S72" s="544"/>
      <c r="T72" s="544"/>
      <c r="U72" s="544"/>
      <c r="V72" s="544"/>
      <c r="W72" s="544"/>
      <c r="X72" s="544"/>
      <c r="Y72" s="544"/>
      <c r="Z72" s="544"/>
      <c r="AA72" s="544"/>
      <c r="AB72" s="544"/>
      <c r="AC72" s="544"/>
      <c r="AD72" s="544"/>
      <c r="AE72" s="544"/>
      <c r="AF72" s="544"/>
    </row>
    <row r="73" spans="1:32">
      <c r="A73" s="533">
        <v>14</v>
      </c>
      <c r="B73" s="534" t="s">
        <v>471</v>
      </c>
      <c r="C73" s="535"/>
      <c r="D73" s="12" t="s">
        <v>475</v>
      </c>
      <c r="E73" s="13">
        <v>312</v>
      </c>
      <c r="F73" s="14" t="str">
        <f>VLOOKUP($E$73,[1]UN!$A$2:$FA$67, 3, FALSE)</f>
        <v xml:space="preserve">312  Equipment                                                                    </v>
      </c>
      <c r="G73" s="544">
        <f>IF(VLOOKUP($E$73,[1]UN!$A$2:$FA$67, 6, FALSE)="",":",VLOOKUP($E$73,[1]UN!$A$2:$FA$67, 6, FALSE))</f>
        <v>579.79999999999995</v>
      </c>
      <c r="H73" s="544">
        <f>IF(VLOOKUP($E$73,[1]UN!$A$2:$FA$67, 7, FALSE)="",":",VLOOKUP($E$73,[1]UN!$A$2:$FA$67, 7, FALSE))</f>
        <v>828.04</v>
      </c>
      <c r="I73" s="544">
        <f>IF(VLOOKUP($E$73,[1]UN!$A$2:$FA$67, 8, FALSE)="",":",VLOOKUP($E$73,[1]UN!$A$2:$FA$67, 8, FALSE))</f>
        <v>1132.4100000000001</v>
      </c>
      <c r="J73" s="544">
        <f>IF(VLOOKUP($E$73,[1]UN!$A$2:$FA$67, 9, FALSE)="",":",VLOOKUP($E$73,[1]UN!$A$2:$FA$67, 9, FALSE))</f>
        <v>1247.8</v>
      </c>
      <c r="K73" s="544">
        <f>IF(VLOOKUP($E$73,[1]UN!$A$2:$FA$67, 10, FALSE)="",":",VLOOKUP($E$73,[1]UN!$A$2:$FA$67, 10, FALSE))</f>
        <v>1056.9000000000001</v>
      </c>
      <c r="L73" s="544">
        <f>IF(VLOOKUP($E$73,[1]UN!$A$2:$FA$67, 11, FALSE)="",":",VLOOKUP($E$73,[1]UN!$A$2:$FA$67, 11, FALSE))</f>
        <v>987.39</v>
      </c>
      <c r="M73" s="544">
        <f>IF(VLOOKUP($E$73,[1]UN!$A$2:$FA$67, 12, FALSE)="",":",VLOOKUP($E$73,[1]UN!$A$2:$FA$67, 12, FALSE))</f>
        <v>1204.49</v>
      </c>
      <c r="N73" s="544">
        <f>IF(VLOOKUP($E$73,[1]UN!$A$2:$FA$67, 13, FALSE)="",":",VLOOKUP($E$73,[1]UN!$A$2:$FA$67, 13, FALSE))</f>
        <v>1276.48</v>
      </c>
      <c r="O73" s="544">
        <f>IF(VLOOKUP($E$73,[1]UN!$A$2:$FA$67, 14, FALSE)="",":",VLOOKUP($E$73,[1]UN!$A$2:$FA$67, 14, FALSE))</f>
        <v>1336.81</v>
      </c>
      <c r="P73" s="544">
        <f>IF(VLOOKUP($E$73,[1]UN!$A$2:$FA$67, 15, FALSE)="",":",VLOOKUP($E$73,[1]UN!$A$2:$FA$67, 15, FALSE))</f>
        <v>1637.99</v>
      </c>
      <c r="Q73" s="544">
        <f>IF(VLOOKUP($E$73,[1]UN!$A$2:$FA$67, 16, FALSE)="",":",VLOOKUP($E$73,[1]UN!$A$2:$FA$67, 16, FALSE))</f>
        <v>1856.99</v>
      </c>
      <c r="R73" s="544">
        <f>IF(VLOOKUP($E$73,[1]UN!$A$2:$FA$67, 17, FALSE)="",":",VLOOKUP($E$73,[1]UN!$A$2:$FA$67, 17, FALSE))</f>
        <v>2161</v>
      </c>
      <c r="S73" s="544">
        <f>IF(VLOOKUP($E$73,[1]UN!$A$2:$FA$67, 18, FALSE)="",":",VLOOKUP($E$73,[1]UN!$A$2:$FA$67, 18, FALSE))</f>
        <v>2718.23</v>
      </c>
      <c r="T73" s="544">
        <f>IF(VLOOKUP($E$73,[1]UN!$A$2:$FA$67, 19, FALSE)="",":",VLOOKUP($E$73,[1]UN!$A$2:$FA$67, 19, FALSE))</f>
        <v>2309.29</v>
      </c>
      <c r="U73" s="544">
        <f>IF(VLOOKUP($E$73,[1]UN!$A$2:$FA$67, 20, FALSE)="",":",VLOOKUP($E$73,[1]UN!$A$2:$FA$67, 20, FALSE))</f>
        <v>1148.32</v>
      </c>
      <c r="V73" s="544">
        <f>IF(VLOOKUP($E$73,[1]UN!$A$2:$FA$67, 21, FALSE)="",":",VLOOKUP($E$73,[1]UN!$A$2:$FA$67, 21, FALSE))</f>
        <v>1370.85</v>
      </c>
      <c r="W73" s="544">
        <f>IF(VLOOKUP($E$73,[1]UN!$A$2:$FA$67, 22, FALSE)="",":",VLOOKUP($E$73,[1]UN!$A$2:$FA$67, 22, FALSE))</f>
        <v>1881.08</v>
      </c>
      <c r="X73" s="544">
        <f>IF(VLOOKUP($E$73,[1]UN!$A$2:$FA$67, 23, FALSE)="",":",VLOOKUP($E$73,[1]UN!$A$2:$FA$67, 23, FALSE))</f>
        <v>1943.58</v>
      </c>
      <c r="Y73" s="544">
        <f>IF(VLOOKUP($E$73,[1]UN!$A$2:$FA$67, 24, FALSE)="",":",VLOOKUP($E$73,[1]UN!$A$2:$FA$67, 24, FALSE))</f>
        <v>2188.9499999999998</v>
      </c>
      <c r="Z73" s="544">
        <f>IF(VLOOKUP($E$73,[1]UN!$A$2:$FA$67, 25, FALSE)="",":",VLOOKUP($E$73,[1]UN!$A$2:$FA$67, 25, FALSE))</f>
        <v>2171.85</v>
      </c>
      <c r="AA73" s="544">
        <f>IF(VLOOKUP($E$73,[1]UN!$A$2:$FA$67, 26, FALSE)="",":",VLOOKUP($E$73,[1]UN!$A$2:$FA$67, 26, FALSE))</f>
        <v>2474.14</v>
      </c>
      <c r="AB73" s="544">
        <f>IF(VLOOKUP($E$73,[1]UN!$A$2:$FA$67, 27, FALSE)="",":",VLOOKUP($E$73,[1]UN!$A$2:$FA$67, 27, FALSE))</f>
        <v>2682.53</v>
      </c>
      <c r="AC73" s="544">
        <f>IF(VLOOKUP($E$73,[1]UN!$A$2:$FA$67, 28, FALSE)="",":",VLOOKUP($E$73,[1]UN!$A$2:$FA$67, 28, FALSE))</f>
        <v>2859.99</v>
      </c>
      <c r="AD73" s="544" t="str">
        <f>IF(VLOOKUP($E$73,[1]UN!$A$2:$FA$67, 29, FALSE)="",":",VLOOKUP($E$73,[1]UN!$A$2:$FA$67, 29, FALSE))</f>
        <v>:</v>
      </c>
      <c r="AE73" s="544" t="str">
        <f>IF(VLOOKUP($E$73,[1]UN!$A$2:$FA$67, 30, FALSE)="",":",VLOOKUP($E$73,[1]UN!$A$2:$FA$67, 30, FALSE))</f>
        <v>:</v>
      </c>
      <c r="AF73" s="544" t="str">
        <f>IF(VLOOKUP($E$73,[1]UN!$A$2:$FA$67, 31, FALSE)="",":",VLOOKUP($E$73,[1]UN!$A$2:$FA$67, 31, FALSE))</f>
        <v>:</v>
      </c>
    </row>
    <row r="74" spans="1:32">
      <c r="A74" s="533">
        <v>39</v>
      </c>
      <c r="B74" s="534"/>
      <c r="C74" s="535"/>
      <c r="D74" s="12" t="s">
        <v>475</v>
      </c>
      <c r="E74" s="13">
        <v>315</v>
      </c>
      <c r="F74" s="14" t="str">
        <f>VLOOKUP($E$74,[1]UN!$A$2:$FA$304, 3, FALSE)</f>
        <v xml:space="preserve">315  Construction                                                                 </v>
      </c>
      <c r="G74" s="544">
        <f>IF(VLOOKUP($E$74,[1]UN!$A$2:$FA$304, 6, FALSE)="",":",VLOOKUP($E$74,[1]UN!$A$2:$FA$304, 6, FALSE))</f>
        <v>928.9</v>
      </c>
      <c r="H74" s="544">
        <f>IF(VLOOKUP($E$74,[1]UN!$A$2:$FA$304, 7, FALSE)="",":",VLOOKUP($E$74,[1]UN!$A$2:$FA$304, 7, FALSE))</f>
        <v>1079.74</v>
      </c>
      <c r="I74" s="544">
        <f>IF(VLOOKUP($E$74,[1]UN!$A$2:$FA$304, 8, FALSE)="",":",VLOOKUP($E$74,[1]UN!$A$2:$FA$304, 8, FALSE))</f>
        <v>1385.45</v>
      </c>
      <c r="J74" s="544">
        <f>IF(VLOOKUP($E$74,[1]UN!$A$2:$FA$304, 9, FALSE)="",":",VLOOKUP($E$74,[1]UN!$A$2:$FA$304, 9, FALSE))</f>
        <v>1766.3</v>
      </c>
      <c r="K74" s="544">
        <f>IF(VLOOKUP($E$74,[1]UN!$A$2:$FA$304, 10, FALSE)="",":",VLOOKUP($E$74,[1]UN!$A$2:$FA$304, 10, FALSE))</f>
        <v>1646.38</v>
      </c>
      <c r="L74" s="544">
        <f>IF(VLOOKUP($E$74,[1]UN!$A$2:$FA$304, 11, FALSE)="",":",VLOOKUP($E$74,[1]UN!$A$2:$FA$304, 11, FALSE))</f>
        <v>1383.28</v>
      </c>
      <c r="M74" s="544">
        <f>IF(VLOOKUP($E$74,[1]UN!$A$2:$FA$304, 12, FALSE)="",":",VLOOKUP($E$74,[1]UN!$A$2:$FA$304, 12, FALSE))</f>
        <v>1496.75</v>
      </c>
      <c r="N74" s="544">
        <f>IF(VLOOKUP($E$74,[1]UN!$A$2:$FA$304, 13, FALSE)="",":",VLOOKUP($E$74,[1]UN!$A$2:$FA$304, 13, FALSE))</f>
        <v>1666.52</v>
      </c>
      <c r="O74" s="544">
        <f>IF(VLOOKUP($E$74,[1]UN!$A$2:$FA$304, 14, FALSE)="",":",VLOOKUP($E$74,[1]UN!$A$2:$FA$304, 14, FALSE))</f>
        <v>2024.02</v>
      </c>
      <c r="P74" s="544">
        <f>IF(VLOOKUP($E$74,[1]UN!$A$2:$FA$304, 15, FALSE)="",":",VLOOKUP($E$74,[1]UN!$A$2:$FA$304, 15, FALSE))</f>
        <v>2277.71</v>
      </c>
      <c r="Q74" s="544">
        <f>IF(VLOOKUP($E$74,[1]UN!$A$2:$FA$304, 16, FALSE)="",":",VLOOKUP($E$74,[1]UN!$A$2:$FA$304, 16, FALSE))</f>
        <v>2725.7</v>
      </c>
      <c r="R74" s="544">
        <f>IF(VLOOKUP($E$74,[1]UN!$A$2:$FA$304, 17, FALSE)="",":",VLOOKUP($E$74,[1]UN!$A$2:$FA$304, 17, FALSE))</f>
        <v>3650.3</v>
      </c>
      <c r="S74" s="544">
        <f>IF(VLOOKUP($E$74,[1]UN!$A$2:$FA$304, 18, FALSE)="",":",VLOOKUP($E$74,[1]UN!$A$2:$FA$304, 18, FALSE))</f>
        <v>5029.1000000000004</v>
      </c>
      <c r="T74" s="544">
        <f>IF(VLOOKUP($E$74,[1]UN!$A$2:$FA$304, 19, FALSE)="",":",VLOOKUP($E$74,[1]UN!$A$2:$FA$304, 19, FALSE))</f>
        <v>5545.68</v>
      </c>
      <c r="U74" s="544">
        <f>IF(VLOOKUP($E$74,[1]UN!$A$2:$FA$304, 20, FALSE)="",":",VLOOKUP($E$74,[1]UN!$A$2:$FA$304, 20, FALSE))</f>
        <v>3116.82</v>
      </c>
      <c r="V74" s="544">
        <f>IF(VLOOKUP($E$74,[1]UN!$A$2:$FA$304, 21, FALSE)="",":",VLOOKUP($E$74,[1]UN!$A$2:$FA$304, 21, FALSE))</f>
        <v>2772.01</v>
      </c>
      <c r="W74" s="544">
        <f>IF(VLOOKUP($E$74,[1]UN!$A$2:$FA$304, 22, FALSE)="",":",VLOOKUP($E$74,[1]UN!$A$2:$FA$304, 22, FALSE))</f>
        <v>3297.31</v>
      </c>
      <c r="X74" s="544">
        <f>IF(VLOOKUP($E$74,[1]UN!$A$2:$FA$304, 23, FALSE)="",":",VLOOKUP($E$74,[1]UN!$A$2:$FA$304, 23, FALSE))</f>
        <v>3266.53</v>
      </c>
      <c r="Y74" s="544">
        <f>IF(VLOOKUP($E$74,[1]UN!$A$2:$FA$304, 24, FALSE)="",":",VLOOKUP($E$74,[1]UN!$A$2:$FA$304, 24, FALSE))</f>
        <v>3673.62</v>
      </c>
      <c r="Z74" s="544">
        <f>IF(VLOOKUP($E$74,[1]UN!$A$2:$FA$304, 25, FALSE)="",":",VLOOKUP($E$74,[1]UN!$A$2:$FA$304, 25, FALSE))</f>
        <v>4076.15</v>
      </c>
      <c r="AA74" s="544">
        <f>IF(VLOOKUP($E$74,[1]UN!$A$2:$FA$304, 26, FALSE)="",":",VLOOKUP($E$74,[1]UN!$A$2:$FA$304, 26, FALSE))</f>
        <v>4097.76</v>
      </c>
      <c r="AB74" s="544">
        <f>IF(VLOOKUP($E$74,[1]UN!$A$2:$FA$304, 27, FALSE)="",":",VLOOKUP($E$74,[1]UN!$A$2:$FA$304, 27, FALSE))</f>
        <v>3785.14</v>
      </c>
      <c r="AC74" s="544">
        <f>IF(VLOOKUP($E$74,[1]UN!$A$2:$FA$304, 28, FALSE)="",":",VLOOKUP($E$74,[1]UN!$A$2:$FA$304, 28, FALSE))</f>
        <v>4097.92</v>
      </c>
      <c r="AD74" s="544" t="str">
        <f>IF(VLOOKUP($E$74,[1]UN!$A$2:$FA$304, 29, FALSE)="",":",VLOOKUP($E$74,[1]UN!$A$2:$FA$304, 29, FALSE))</f>
        <v>:</v>
      </c>
      <c r="AE74" s="544" t="str">
        <f>IF(VLOOKUP($E$74,[1]UN!$A$2:$FA$304, 30, FALSE)="",":",VLOOKUP($E$74,[1]UN!$A$2:$FA$304, 30, FALSE))</f>
        <v>:</v>
      </c>
      <c r="AF74" s="544" t="str">
        <f>IF(VLOOKUP($E$74,[1]UN!$A$2:$FA$304, 31, FALSE)="",":",VLOOKUP($E$74,[1]UN!$A$2:$FA$304, 31, FALSE))</f>
        <v>:</v>
      </c>
    </row>
    <row r="75" spans="1:32">
      <c r="A75" s="533"/>
      <c r="B75" s="534" t="s">
        <v>404</v>
      </c>
      <c r="C75" s="535"/>
      <c r="D75" s="12" t="s">
        <v>475</v>
      </c>
      <c r="E75" s="13">
        <v>311</v>
      </c>
      <c r="F75" s="14" t="str">
        <f>VLOOKUP($E$75,[1]UN!$A$2:$FA$67, 3, FALSE)</f>
        <v xml:space="preserve">311  Agricultural, forestry and fishery products                                  </v>
      </c>
      <c r="G75" s="544">
        <f>IF(VLOOKUP($E$75,[1]UN!$A$2:$FA$67, 6, FALSE)="",":",VLOOKUP($E$75,[1]UN!$A$2:$FA$67, 6, FALSE))</f>
        <v>46.41</v>
      </c>
      <c r="H75" s="544">
        <f>IF(VLOOKUP($E$75,[1]UN!$A$2:$FA$67, 7, FALSE)="",":",VLOOKUP($E$75,[1]UN!$A$2:$FA$67, 7, FALSE))</f>
        <v>60.91</v>
      </c>
      <c r="I75" s="544">
        <f>IF(VLOOKUP($E$75,[1]UN!$A$2:$FA$67, 8, FALSE)="",":",VLOOKUP($E$75,[1]UN!$A$2:$FA$67, 8, FALSE))</f>
        <v>47.22</v>
      </c>
      <c r="J75" s="544">
        <f>IF(VLOOKUP($E$75,[1]UN!$A$2:$FA$67, 9, FALSE)="",":",VLOOKUP($E$75,[1]UN!$A$2:$FA$67, 9, FALSE))</f>
        <v>36.97</v>
      </c>
      <c r="K75" s="544">
        <f>IF(VLOOKUP($E$75,[1]UN!$A$2:$FA$67, 10, FALSE)="",":",VLOOKUP($E$75,[1]UN!$A$2:$FA$67, 10, FALSE))</f>
        <v>28.06</v>
      </c>
      <c r="L75" s="544">
        <f>IF(VLOOKUP($E$75,[1]UN!$A$2:$FA$67, 11, FALSE)="",":",VLOOKUP($E$75,[1]UN!$A$2:$FA$67, 11, FALSE))</f>
        <v>5.8100000000000005</v>
      </c>
      <c r="M75" s="544">
        <f>IF(VLOOKUP($E$75,[1]UN!$A$2:$FA$67, 12, FALSE)="",":",VLOOKUP($E$75,[1]UN!$A$2:$FA$67, 12, FALSE))</f>
        <v>47.44</v>
      </c>
      <c r="N75" s="544">
        <f>IF(VLOOKUP($E$75,[1]UN!$A$2:$FA$67, 13, FALSE)="",":",VLOOKUP($E$75,[1]UN!$A$2:$FA$67, 13, FALSE))</f>
        <v>42.76</v>
      </c>
      <c r="O75" s="544">
        <f>IF(VLOOKUP($E$75,[1]UN!$A$2:$FA$67, 14, FALSE)="",":",VLOOKUP($E$75,[1]UN!$A$2:$FA$67, 14, FALSE))</f>
        <v>36.71</v>
      </c>
      <c r="P75" s="544">
        <f>IF(VLOOKUP($E$75,[1]UN!$A$2:$FA$67, 15, FALSE)="",":",VLOOKUP($E$75,[1]UN!$A$2:$FA$67, 15, FALSE))</f>
        <v>25.96</v>
      </c>
      <c r="Q75" s="544">
        <f>IF(VLOOKUP($E$75,[1]UN!$A$2:$FA$67, 16, FALSE)="",":",VLOOKUP($E$75,[1]UN!$A$2:$FA$67, 16, FALSE))</f>
        <v>57.78</v>
      </c>
      <c r="R75" s="544">
        <f>IF(VLOOKUP($E$75,[1]UN!$A$2:$FA$67, 17, FALSE)="",":",VLOOKUP($E$75,[1]UN!$A$2:$FA$67, 17, FALSE))</f>
        <v>105.93</v>
      </c>
      <c r="S75" s="544">
        <f>IF(VLOOKUP($E$75,[1]UN!$A$2:$FA$67, 18, FALSE)="",":",VLOOKUP($E$75,[1]UN!$A$2:$FA$67, 18, FALSE))</f>
        <v>112.07</v>
      </c>
      <c r="T75" s="544">
        <f>IF(VLOOKUP($E$75,[1]UN!$A$2:$FA$67, 19, FALSE)="",":",VLOOKUP($E$75,[1]UN!$A$2:$FA$67, 19, FALSE))</f>
        <v>69.42</v>
      </c>
      <c r="U75" s="544">
        <f>IF(VLOOKUP($E$75,[1]UN!$A$2:$FA$67, 20, FALSE)="",":",VLOOKUP($E$75,[1]UN!$A$2:$FA$67, 20, FALSE))</f>
        <v>35.200000000000003</v>
      </c>
      <c r="V75" s="544">
        <f>IF(VLOOKUP($E$75,[1]UN!$A$2:$FA$67, 21, FALSE)="",":",VLOOKUP($E$75,[1]UN!$A$2:$FA$67, 21, FALSE))</f>
        <v>59.66</v>
      </c>
      <c r="W75" s="544">
        <f>IF(VLOOKUP($E$75,[1]UN!$A$2:$FA$67, 22, FALSE)="",":",VLOOKUP($E$75,[1]UN!$A$2:$FA$67, 22, FALSE))</f>
        <v>58.44</v>
      </c>
      <c r="X75" s="544">
        <f>IF(VLOOKUP($E$75,[1]UN!$A$2:$FA$67, 23, FALSE)="",":",VLOOKUP($E$75,[1]UN!$A$2:$FA$67, 23, FALSE))</f>
        <v>23.89</v>
      </c>
      <c r="Y75" s="544">
        <f>IF(VLOOKUP($E$75,[1]UN!$A$2:$FA$67, 24, FALSE)="",":",VLOOKUP($E$75,[1]UN!$A$2:$FA$67, 24, FALSE))</f>
        <v>54.77</v>
      </c>
      <c r="Z75" s="544">
        <f>IF(VLOOKUP($E$75,[1]UN!$A$2:$FA$67, 25, FALSE)="",":",VLOOKUP($E$75,[1]UN!$A$2:$FA$67, 25, FALSE))</f>
        <v>39.61</v>
      </c>
      <c r="AA75" s="544">
        <f>IF(VLOOKUP($E$75,[1]UN!$A$2:$FA$67, 26, FALSE)="",":",VLOOKUP($E$75,[1]UN!$A$2:$FA$67, 26, FALSE))</f>
        <v>67.94</v>
      </c>
      <c r="AB75" s="544">
        <f>IF(VLOOKUP($E$75,[1]UN!$A$2:$FA$67, 27, FALSE)="",":",VLOOKUP($E$75,[1]UN!$A$2:$FA$67, 27, FALSE))</f>
        <v>116.81</v>
      </c>
      <c r="AC75" s="544">
        <f>IF(VLOOKUP($E$75,[1]UN!$A$2:$FA$67, 28, FALSE)="",":",VLOOKUP($E$75,[1]UN!$A$2:$FA$67, 28, FALSE))</f>
        <v>49.05</v>
      </c>
      <c r="AD75" s="544" t="str">
        <f>IF(VLOOKUP($E$75,[1]UN!$A$2:$FA$67, 29, FALSE)="",":",VLOOKUP($E$75,[1]UN!$A$2:$FA$67, 29, FALSE))</f>
        <v>:</v>
      </c>
      <c r="AE75" s="544" t="str">
        <f>IF(VLOOKUP($E$75,[1]UN!$A$2:$FA$67, 30, FALSE)="",":",VLOOKUP($E$75,[1]UN!$A$2:$FA$67, 30, FALSE))</f>
        <v>:</v>
      </c>
      <c r="AF75" s="544" t="str">
        <f>IF(VLOOKUP($E$75,[1]UN!$A$2:$FA$67, 31, FALSE)="",":",VLOOKUP($E$75,[1]UN!$A$2:$FA$67, 31, FALSE))</f>
        <v>:</v>
      </c>
    </row>
    <row r="76" spans="1:32">
      <c r="A76" s="533"/>
      <c r="B76" s="534" t="s">
        <v>113</v>
      </c>
      <c r="C76" s="535"/>
      <c r="D76" s="12" t="s">
        <v>475</v>
      </c>
      <c r="E76" s="13">
        <v>318</v>
      </c>
      <c r="F76" s="14" t="str">
        <f>VLOOKUP($E$76,[1]UN!$A$2:$FA$67, 3, FALSE)</f>
        <v xml:space="preserve">318  Other products                                                               </v>
      </c>
      <c r="G76" s="544">
        <f>IF(VLOOKUP($E$76,[1]UN!$A$2:$FA$67, 6, FALSE)="",":",VLOOKUP($E$76,[1]UN!$A$2:$FA$67, 6, FALSE))</f>
        <v>26.11</v>
      </c>
      <c r="H76" s="544">
        <f>IF(VLOOKUP($E$76,[1]UN!$A$2:$FA$67, 7, FALSE)="",":",VLOOKUP($E$76,[1]UN!$A$2:$FA$67, 7, FALSE))</f>
        <v>30.14</v>
      </c>
      <c r="I76" s="544">
        <f>IF(VLOOKUP($E$76,[1]UN!$A$2:$FA$67, 8, FALSE)="",":",VLOOKUP($E$76,[1]UN!$A$2:$FA$67, 8, FALSE))</f>
        <v>57.65</v>
      </c>
      <c r="J76" s="544">
        <f>IF(VLOOKUP($E$76,[1]UN!$A$2:$FA$67, 9, FALSE)="",":",VLOOKUP($E$76,[1]UN!$A$2:$FA$67, 9, FALSE))</f>
        <v>59.07</v>
      </c>
      <c r="K76" s="544">
        <f>IF(VLOOKUP($E$76,[1]UN!$A$2:$FA$67, 10, FALSE)="",":",VLOOKUP($E$76,[1]UN!$A$2:$FA$67, 10, FALSE))</f>
        <v>58.98</v>
      </c>
      <c r="L76" s="544">
        <f>IF(VLOOKUP($E$76,[1]UN!$A$2:$FA$67, 11, FALSE)="",":",VLOOKUP($E$76,[1]UN!$A$2:$FA$67, 11, FALSE))</f>
        <v>180.21</v>
      </c>
      <c r="M76" s="544">
        <f>IF(VLOOKUP($E$76,[1]UN!$A$2:$FA$67, 12, FALSE)="",":",VLOOKUP($E$76,[1]UN!$A$2:$FA$67, 12, FALSE))</f>
        <v>163.35</v>
      </c>
      <c r="N76" s="544">
        <f>IF(VLOOKUP($E$76,[1]UN!$A$2:$FA$67, 13, FALSE)="",":",VLOOKUP($E$76,[1]UN!$A$2:$FA$67, 13, FALSE))</f>
        <v>160.13999999999999</v>
      </c>
      <c r="O76" s="544">
        <f>IF(VLOOKUP($E$76,[1]UN!$A$2:$FA$67, 14, FALSE)="",":",VLOOKUP($E$76,[1]UN!$A$2:$FA$67, 14, FALSE))</f>
        <v>192.74</v>
      </c>
      <c r="P76" s="544">
        <f>IF(VLOOKUP($E$76,[1]UN!$A$2:$FA$67, 15, FALSE)="",":",VLOOKUP($E$76,[1]UN!$A$2:$FA$67, 15, FALSE))</f>
        <v>234.34</v>
      </c>
      <c r="Q76" s="544">
        <f>IF(VLOOKUP($E$76,[1]UN!$A$2:$FA$67, 16, FALSE)="",":",VLOOKUP($E$76,[1]UN!$A$2:$FA$67, 16, FALSE))</f>
        <v>270.92</v>
      </c>
      <c r="R76" s="544">
        <f>IF(VLOOKUP($E$76,[1]UN!$A$2:$FA$67, 17, FALSE)="",":",VLOOKUP($E$76,[1]UN!$A$2:$FA$67, 17, FALSE))</f>
        <v>325.68</v>
      </c>
      <c r="S76" s="544">
        <f>IF(VLOOKUP($E$76,[1]UN!$A$2:$FA$67, 18, FALSE)="",":",VLOOKUP($E$76,[1]UN!$A$2:$FA$67, 18, FALSE))</f>
        <v>439.28</v>
      </c>
      <c r="T76" s="544">
        <f>IF(VLOOKUP($E$76,[1]UN!$A$2:$FA$67, 19, FALSE)="",":",VLOOKUP($E$76,[1]UN!$A$2:$FA$67, 19, FALSE))</f>
        <v>588.91999999999996</v>
      </c>
      <c r="U76" s="544">
        <f>IF(VLOOKUP($E$76,[1]UN!$A$2:$FA$67, 20, FALSE)="",":",VLOOKUP($E$76,[1]UN!$A$2:$FA$67, 20, FALSE))</f>
        <v>510.19</v>
      </c>
      <c r="V76" s="544">
        <f>IF(VLOOKUP($E$76,[1]UN!$A$2:$FA$67, 21, FALSE)="",":",VLOOKUP($E$76,[1]UN!$A$2:$FA$67, 21, FALSE))</f>
        <v>523.78</v>
      </c>
      <c r="W76" s="544">
        <f>IF(VLOOKUP($E$76,[1]UN!$A$2:$FA$67, 22, FALSE)="",":",VLOOKUP($E$76,[1]UN!$A$2:$FA$67, 22, FALSE))</f>
        <v>544.28</v>
      </c>
      <c r="X76" s="544">
        <f>IF(VLOOKUP($E$76,[1]UN!$A$2:$FA$67, 23, FALSE)="",":",VLOOKUP($E$76,[1]UN!$A$2:$FA$67, 23, FALSE))</f>
        <v>554.03</v>
      </c>
      <c r="Y76" s="544">
        <f>IF(VLOOKUP($E$76,[1]UN!$A$2:$FA$67, 24, FALSE)="",":",VLOOKUP($E$76,[1]UN!$A$2:$FA$67, 24, FALSE))</f>
        <v>537.54</v>
      </c>
      <c r="Z76" s="544">
        <f>IF(VLOOKUP($E$76,[1]UN!$A$2:$FA$67, 25, FALSE)="",":",VLOOKUP($E$76,[1]UN!$A$2:$FA$67, 25, FALSE))</f>
        <v>617.88</v>
      </c>
      <c r="AA76" s="544">
        <f>IF(VLOOKUP($E$76,[1]UN!$A$2:$FA$67, 26, FALSE)="",":",VLOOKUP($E$76,[1]UN!$A$2:$FA$67, 26, FALSE))</f>
        <v>685.38</v>
      </c>
      <c r="AB76" s="544">
        <f>IF(VLOOKUP($E$76,[1]UN!$A$2:$FA$67, 27, FALSE)="",":",VLOOKUP($E$76,[1]UN!$A$2:$FA$67, 27, FALSE))</f>
        <v>729.71</v>
      </c>
      <c r="AC76" s="544">
        <f>IF(VLOOKUP($E$76,[1]UN!$A$2:$FA$67, 28, FALSE)="",":",VLOOKUP($E$76,[1]UN!$A$2:$FA$67, 28, FALSE))</f>
        <v>873.43</v>
      </c>
      <c r="AD76" s="544" t="str">
        <f>IF(VLOOKUP($E$76,[1]UN!$A$2:$FA$67, 29, FALSE)="",":",VLOOKUP($E$76,[1]UN!$A$2:$FA$67, 29, FALSE))</f>
        <v>:</v>
      </c>
      <c r="AE76" s="544" t="str">
        <f>IF(VLOOKUP($E$76,[1]UN!$A$2:$FA$67, 30, FALSE)="",":",VLOOKUP($E$76,[1]UN!$A$2:$FA$67, 30, FALSE))</f>
        <v>:</v>
      </c>
      <c r="AF76" s="544" t="str">
        <f>IF(VLOOKUP($E$76,[1]UN!$A$2:$FA$67, 31, FALSE)="",":",VLOOKUP($E$76,[1]UN!$A$2:$FA$67, 31, FALSE))</f>
        <v>:</v>
      </c>
    </row>
    <row r="77" spans="1:32" s="540" customFormat="1">
      <c r="A77" s="536">
        <v>41</v>
      </c>
      <c r="B77" s="537" t="s">
        <v>1534</v>
      </c>
      <c r="C77" s="538"/>
      <c r="D77" s="528"/>
      <c r="E77" s="529"/>
      <c r="F77" s="539"/>
      <c r="G77" s="545">
        <f>+G75+G76</f>
        <v>72.52</v>
      </c>
      <c r="H77" s="545">
        <f t="shared" ref="H77:AF77" si="2">+H75+H76</f>
        <v>91.05</v>
      </c>
      <c r="I77" s="545">
        <f t="shared" si="2"/>
        <v>104.87</v>
      </c>
      <c r="J77" s="545">
        <f t="shared" si="2"/>
        <v>96.039999999999992</v>
      </c>
      <c r="K77" s="545">
        <f t="shared" si="2"/>
        <v>87.039999999999992</v>
      </c>
      <c r="L77" s="545">
        <f t="shared" si="2"/>
        <v>186.02</v>
      </c>
      <c r="M77" s="545">
        <f t="shared" si="2"/>
        <v>210.79</v>
      </c>
      <c r="N77" s="545">
        <f t="shared" si="2"/>
        <v>202.89999999999998</v>
      </c>
      <c r="O77" s="545">
        <f t="shared" si="2"/>
        <v>229.45000000000002</v>
      </c>
      <c r="P77" s="545">
        <f t="shared" si="2"/>
        <v>260.3</v>
      </c>
      <c r="Q77" s="545">
        <f t="shared" si="2"/>
        <v>328.70000000000005</v>
      </c>
      <c r="R77" s="545">
        <f t="shared" si="2"/>
        <v>431.61</v>
      </c>
      <c r="S77" s="545">
        <f t="shared" si="2"/>
        <v>551.34999999999991</v>
      </c>
      <c r="T77" s="545">
        <f t="shared" si="2"/>
        <v>658.33999999999992</v>
      </c>
      <c r="U77" s="545">
        <f t="shared" si="2"/>
        <v>545.39</v>
      </c>
      <c r="V77" s="545">
        <f t="shared" si="2"/>
        <v>583.43999999999994</v>
      </c>
      <c r="W77" s="545">
        <f t="shared" si="2"/>
        <v>602.72</v>
      </c>
      <c r="X77" s="545">
        <f t="shared" si="2"/>
        <v>577.91999999999996</v>
      </c>
      <c r="Y77" s="545">
        <f t="shared" si="2"/>
        <v>592.30999999999995</v>
      </c>
      <c r="Z77" s="545">
        <f t="shared" si="2"/>
        <v>657.49</v>
      </c>
      <c r="AA77" s="545">
        <f t="shared" si="2"/>
        <v>753.31999999999994</v>
      </c>
      <c r="AB77" s="545">
        <f t="shared" si="2"/>
        <v>846.52</v>
      </c>
      <c r="AC77" s="545">
        <f t="shared" si="2"/>
        <v>922.4799999999999</v>
      </c>
      <c r="AD77" s="545" t="e">
        <f t="shared" si="2"/>
        <v>#VALUE!</v>
      </c>
      <c r="AE77" s="545" t="e">
        <f t="shared" si="2"/>
        <v>#VALUE!</v>
      </c>
      <c r="AF77" s="545" t="e">
        <f t="shared" si="2"/>
        <v>#VALUE!</v>
      </c>
    </row>
    <row r="78" spans="1:32">
      <c r="A78" s="533">
        <v>38</v>
      </c>
      <c r="B78" s="534"/>
      <c r="C78" s="535" t="s">
        <v>417</v>
      </c>
      <c r="D78" s="12" t="s">
        <v>475</v>
      </c>
      <c r="E78" s="13">
        <v>310</v>
      </c>
      <c r="F78" s="14" t="str">
        <f>VLOOKUP($E$78,[1]UN!$A$2:$FA$304, 3, FALSE)</f>
        <v xml:space="preserve">310  Gross fixed capital formation                                                </v>
      </c>
      <c r="G78" s="544">
        <f>IF(VLOOKUP($E$78,[1]UN!$A$2:$FA$304, 6, FALSE)="",":",VLOOKUP($E$78,[1]UN!$A$2:$FA$304, 6, FALSE))</f>
        <v>1581.23</v>
      </c>
      <c r="H78" s="544">
        <f>IF(VLOOKUP($E$78,[1]UN!$A$2:$FA$304, 7, FALSE)="",":",VLOOKUP($E$78,[1]UN!$A$2:$FA$304, 7, FALSE))</f>
        <v>1998.84</v>
      </c>
      <c r="I78" s="544">
        <f>IF(VLOOKUP($E$78,[1]UN!$A$2:$FA$304, 8, FALSE)="",":",VLOOKUP($E$78,[1]UN!$A$2:$FA$304, 8, FALSE))</f>
        <v>2622.73</v>
      </c>
      <c r="J78" s="544">
        <f>IF(VLOOKUP($E$78,[1]UN!$A$2:$FA$304, 9, FALSE)="",":",VLOOKUP($E$78,[1]UN!$A$2:$FA$304, 9, FALSE))</f>
        <v>3110.13</v>
      </c>
      <c r="K78" s="544">
        <f>IF(VLOOKUP($E$78,[1]UN!$A$2:$FA$304, 10, FALSE)="",":",VLOOKUP($E$78,[1]UN!$A$2:$FA$304, 10, FALSE))</f>
        <v>2790.32</v>
      </c>
      <c r="L78" s="544">
        <f>IF(VLOOKUP($E$78,[1]UN!$A$2:$FA$304, 11, FALSE)="",":",VLOOKUP($E$78,[1]UN!$A$2:$FA$304, 11, FALSE))</f>
        <v>2556.69</v>
      </c>
      <c r="M78" s="544">
        <f>IF(VLOOKUP($E$78,[1]UN!$A$2:$FA$304, 12, FALSE)="",":",VLOOKUP($E$78,[1]UN!$A$2:$FA$304, 12, FALSE))</f>
        <v>2912.04</v>
      </c>
      <c r="N78" s="544">
        <f>IF(VLOOKUP($E$78,[1]UN!$A$2:$FA$304, 13, FALSE)="",":",VLOOKUP($E$78,[1]UN!$A$2:$FA$304, 13, FALSE))</f>
        <v>3145.9</v>
      </c>
      <c r="O78" s="544">
        <f>IF(VLOOKUP($E$78,[1]UN!$A$2:$FA$304, 14, FALSE)="",":",VLOOKUP($E$78,[1]UN!$A$2:$FA$304, 14, FALSE))</f>
        <v>3590.28</v>
      </c>
      <c r="P78" s="544">
        <f>IF(VLOOKUP($E$78,[1]UN!$A$2:$FA$304, 15, FALSE)="",":",VLOOKUP($E$78,[1]UN!$A$2:$FA$304, 15, FALSE))</f>
        <v>4176</v>
      </c>
      <c r="Q78" s="544">
        <f>IF(VLOOKUP($E$78,[1]UN!$A$2:$FA$304, 16, FALSE)="",":",VLOOKUP($E$78,[1]UN!$A$2:$FA$304, 16, FALSE))</f>
        <v>4911.38</v>
      </c>
      <c r="R78" s="544">
        <f>IF(VLOOKUP($E$78,[1]UN!$A$2:$FA$304, 17, FALSE)="",":",VLOOKUP($E$78,[1]UN!$A$2:$FA$304, 17, FALSE))</f>
        <v>6242.9</v>
      </c>
      <c r="S78" s="544">
        <f>IF(VLOOKUP($E$78,[1]UN!$A$2:$FA$304, 18, FALSE)="",":",VLOOKUP($E$78,[1]UN!$A$2:$FA$304, 18, FALSE))</f>
        <v>8298.67</v>
      </c>
      <c r="T78" s="544">
        <f>IF(VLOOKUP($E$78,[1]UN!$A$2:$FA$304, 19, FALSE)="",":",VLOOKUP($E$78,[1]UN!$A$2:$FA$304, 19, FALSE))</f>
        <v>8513.32</v>
      </c>
      <c r="U78" s="544">
        <f>IF(VLOOKUP($E$78,[1]UN!$A$2:$FA$304, 20, FALSE)="",":",VLOOKUP($E$78,[1]UN!$A$2:$FA$304, 20, FALSE))</f>
        <v>4810.5200000000004</v>
      </c>
      <c r="V78" s="544">
        <f>IF(VLOOKUP($E$78,[1]UN!$A$2:$FA$304, 21, FALSE)="",":",VLOOKUP($E$78,[1]UN!$A$2:$FA$304, 21, FALSE))</f>
        <v>4726.3</v>
      </c>
      <c r="W78" s="544">
        <f>IF(VLOOKUP($E$78,[1]UN!$A$2:$FA$304, 22, FALSE)="",":",VLOOKUP($E$78,[1]UN!$A$2:$FA$304, 22, FALSE))</f>
        <v>5781.11</v>
      </c>
      <c r="X78" s="544">
        <f>IF(VLOOKUP($E$78,[1]UN!$A$2:$FA$304, 23, FALSE)="",":",VLOOKUP($E$78,[1]UN!$A$2:$FA$304, 23, FALSE))</f>
        <v>5788.03</v>
      </c>
      <c r="Y78" s="544">
        <f>IF(VLOOKUP($E$78,[1]UN!$A$2:$FA$304, 24, FALSE)="",":",VLOOKUP($E$78,[1]UN!$A$2:$FA$304, 24, FALSE))</f>
        <v>6454.88</v>
      </c>
      <c r="Z78" s="544">
        <f>IF(VLOOKUP($E$78,[1]UN!$A$2:$FA$304, 25, FALSE)="",":",VLOOKUP($E$78,[1]UN!$A$2:$FA$304, 25, FALSE))</f>
        <v>6905.49</v>
      </c>
      <c r="AA78" s="544">
        <f>IF(VLOOKUP($E$78,[1]UN!$A$2:$FA$304, 26, FALSE)="",":",VLOOKUP($E$78,[1]UN!$A$2:$FA$304, 26, FALSE))</f>
        <v>7325.22</v>
      </c>
      <c r="AB78" s="544">
        <f>IF(VLOOKUP($E$78,[1]UN!$A$2:$FA$304, 27, FALSE)="",":",VLOOKUP($E$78,[1]UN!$A$2:$FA$304, 27, FALSE))</f>
        <v>7314.2</v>
      </c>
      <c r="AC78" s="544">
        <f>IF(VLOOKUP($E$78,[1]UN!$A$2:$FA$304, 28, FALSE)="",":",VLOOKUP($E$78,[1]UN!$A$2:$FA$304, 28, FALSE))</f>
        <v>7880.39</v>
      </c>
      <c r="AD78" s="544" t="str">
        <f>IF(VLOOKUP($E$78,[1]UN!$A$2:$FA$304, 29, FALSE)="",":",VLOOKUP($E$78,[1]UN!$A$2:$FA$304, 29, FALSE))</f>
        <v>:</v>
      </c>
      <c r="AE78" s="544" t="str">
        <f>IF(VLOOKUP($E$78,[1]UN!$A$2:$FA$304, 30, FALSE)="",":",VLOOKUP($E$78,[1]UN!$A$2:$FA$304, 30, FALSE))</f>
        <v>:</v>
      </c>
      <c r="AF78" s="544" t="str">
        <f>IF(VLOOKUP($E$78,[1]UN!$A$2:$FA$304, 31, FALSE)="",":",VLOOKUP($E$78,[1]UN!$A$2:$FA$304, 31, FALSE))</f>
        <v>:</v>
      </c>
    </row>
    <row r="79" spans="1:32">
      <c r="A79" s="533">
        <v>42</v>
      </c>
      <c r="B79" s="534" t="s">
        <v>1536</v>
      </c>
      <c r="C79" s="535" t="s">
        <v>476</v>
      </c>
      <c r="D79" s="12" t="s">
        <v>475</v>
      </c>
      <c r="E79" s="13">
        <v>320</v>
      </c>
      <c r="F79" s="14" t="str">
        <f>VLOOKUP($E$79,[1]UN!$A$2:$FA$67, 3, FALSE)</f>
        <v xml:space="preserve">320  Changes in inventories and net acquisition of valuables                      </v>
      </c>
      <c r="G79" s="544">
        <f>IF(VLOOKUP($E$79,[1]UN!$A$2:$FA$67, 6, FALSE)="",":",VLOOKUP($E$79,[1]UN!$A$2:$FA$67, 6, FALSE))</f>
        <v>184.46</v>
      </c>
      <c r="H79" s="544">
        <f>IF(VLOOKUP($E$79,[1]UN!$A$2:$FA$67, 7, FALSE)="",":",VLOOKUP($E$79,[1]UN!$A$2:$FA$67, 7, FALSE))</f>
        <v>46.68</v>
      </c>
      <c r="I79" s="544">
        <f>IF(VLOOKUP($E$79,[1]UN!$A$2:$FA$67, 8, FALSE)="",":",VLOOKUP($E$79,[1]UN!$A$2:$FA$67, 8, FALSE))</f>
        <v>258.45999999999998</v>
      </c>
      <c r="J79" s="544">
        <f>IF(VLOOKUP($E$79,[1]UN!$A$2:$FA$67, 9, FALSE)="",":",VLOOKUP($E$79,[1]UN!$A$2:$FA$67, 9, FALSE))</f>
        <v>58.84</v>
      </c>
      <c r="K79" s="544">
        <f>IF(VLOOKUP($E$79,[1]UN!$A$2:$FA$67, 10, FALSE)="",":",VLOOKUP($E$79,[1]UN!$A$2:$FA$67, 10, FALSE))</f>
        <v>-77.16</v>
      </c>
      <c r="L79" s="544">
        <f>IF(VLOOKUP($E$79,[1]UN!$A$2:$FA$67, 11, FALSE)="",":",VLOOKUP($E$79,[1]UN!$A$2:$FA$67, 11, FALSE))</f>
        <v>-48.98</v>
      </c>
      <c r="M79" s="544">
        <f>IF(VLOOKUP($E$79,[1]UN!$A$2:$FA$67, 12, FALSE)="",":",VLOOKUP($E$79,[1]UN!$A$2:$FA$67, 12, FALSE))</f>
        <v>-212.27</v>
      </c>
      <c r="N79" s="544">
        <f>IF(VLOOKUP($E$79,[1]UN!$A$2:$FA$67, 13, FALSE)="",":",VLOOKUP($E$79,[1]UN!$A$2:$FA$67, 13, FALSE))</f>
        <v>-9.24</v>
      </c>
      <c r="O79" s="544">
        <f>IF(VLOOKUP($E$79,[1]UN!$A$2:$FA$67, 14, FALSE)="",":",VLOOKUP($E$79,[1]UN!$A$2:$FA$67, 14, FALSE))</f>
        <v>43.63</v>
      </c>
      <c r="P79" s="544">
        <f>IF(VLOOKUP($E$79,[1]UN!$A$2:$FA$67, 15, FALSE)="",":",VLOOKUP($E$79,[1]UN!$A$2:$FA$67, 15, FALSE))</f>
        <v>-39.409999999999997</v>
      </c>
      <c r="Q79" s="544">
        <f>IF(VLOOKUP($E$79,[1]UN!$A$2:$FA$67, 16, FALSE)="",":",VLOOKUP($E$79,[1]UN!$A$2:$FA$67, 16, FALSE))</f>
        <v>140.46</v>
      </c>
      <c r="R79" s="544">
        <f>IF(VLOOKUP($E$79,[1]UN!$A$2:$FA$67, 17, FALSE)="",":",VLOOKUP($E$79,[1]UN!$A$2:$FA$67, 17, FALSE))</f>
        <v>192.34</v>
      </c>
      <c r="S79" s="544">
        <f>IF(VLOOKUP($E$79,[1]UN!$A$2:$FA$67, 18, FALSE)="",":",VLOOKUP($E$79,[1]UN!$A$2:$FA$67, 18, FALSE))</f>
        <v>1026.08</v>
      </c>
      <c r="T79" s="544">
        <f>IF(VLOOKUP($E$79,[1]UN!$A$2:$FA$67, 19, FALSE)="",":",VLOOKUP($E$79,[1]UN!$A$2:$FA$67, 19, FALSE))</f>
        <v>604.74</v>
      </c>
      <c r="U79" s="544">
        <f>IF(VLOOKUP($E$79,[1]UN!$A$2:$FA$67, 20, FALSE)="",":",VLOOKUP($E$79,[1]UN!$A$2:$FA$67, 20, FALSE))</f>
        <v>-1478.37</v>
      </c>
      <c r="V79" s="544">
        <f>IF(VLOOKUP($E$79,[1]UN!$A$2:$FA$67, 21, FALSE)="",":",VLOOKUP($E$79,[1]UN!$A$2:$FA$67, 21, FALSE))</f>
        <v>318.64999999999998</v>
      </c>
      <c r="W79" s="544">
        <f>IF(VLOOKUP($E$79,[1]UN!$A$2:$FA$67, 22, FALSE)="",":",VLOOKUP($E$79,[1]UN!$A$2:$FA$67, 22, FALSE))</f>
        <v>1010.7</v>
      </c>
      <c r="X79" s="544">
        <f>IF(VLOOKUP($E$79,[1]UN!$A$2:$FA$67, 23, FALSE)="",":",VLOOKUP($E$79,[1]UN!$A$2:$FA$67, 23, FALSE))</f>
        <v>672.82</v>
      </c>
      <c r="Y79" s="544">
        <f>IF(VLOOKUP($E$79,[1]UN!$A$2:$FA$67, 24, FALSE)="",":",VLOOKUP($E$79,[1]UN!$A$2:$FA$67, 24, FALSE))</f>
        <v>348.85</v>
      </c>
      <c r="Z79" s="544">
        <f>IF(VLOOKUP($E$79,[1]UN!$A$2:$FA$67, 25, FALSE)="",":",VLOOKUP($E$79,[1]UN!$A$2:$FA$67, 25, FALSE))</f>
        <v>53.12</v>
      </c>
      <c r="AA79" s="544">
        <f>IF(VLOOKUP($E$79,[1]UN!$A$2:$FA$67, 26, FALSE)="",":",VLOOKUP($E$79,[1]UN!$A$2:$FA$67, 26, FALSE))</f>
        <v>378.47</v>
      </c>
      <c r="AB79" s="544">
        <f>IF(VLOOKUP($E$79,[1]UN!$A$2:$FA$67, 27, FALSE)="",":",VLOOKUP($E$79,[1]UN!$A$2:$FA$67, 27, FALSE))</f>
        <v>-645.98</v>
      </c>
      <c r="AC79" s="544">
        <f>IF(VLOOKUP($E$79,[1]UN!$A$2:$FA$67, 28, FALSE)="",":",VLOOKUP($E$79,[1]UN!$A$2:$FA$67, 28, FALSE))</f>
        <v>-574.92999999999995</v>
      </c>
      <c r="AD79" s="544" t="str">
        <f>IF(VLOOKUP($E$79,[1]UN!$A$2:$FA$67, 29, FALSE)="",":",VLOOKUP($E$79,[1]UN!$A$2:$FA$67, 29, FALSE))</f>
        <v>:</v>
      </c>
      <c r="AE79" s="544" t="str">
        <f>IF(VLOOKUP($E$79,[1]UN!$A$2:$FA$67, 30, FALSE)="",":",VLOOKUP($E$79,[1]UN!$A$2:$FA$67, 30, FALSE))</f>
        <v>:</v>
      </c>
      <c r="AF79" s="544" t="str">
        <f>IF(VLOOKUP($E$79,[1]UN!$A$2:$FA$67, 31, FALSE)="",":",VLOOKUP($E$79,[1]UN!$A$2:$FA$67, 31, FALSE))</f>
        <v>:</v>
      </c>
    </row>
    <row r="80" spans="1:32">
      <c r="A80" s="533"/>
      <c r="B80" s="534"/>
      <c r="C80" s="535"/>
      <c r="D80" s="12"/>
      <c r="E80" s="13"/>
      <c r="F80" s="14"/>
      <c r="G80" s="544"/>
      <c r="H80" s="544"/>
      <c r="I80" s="544"/>
      <c r="J80" s="544"/>
      <c r="K80" s="544"/>
      <c r="L80" s="544"/>
      <c r="M80" s="544"/>
      <c r="N80" s="544"/>
      <c r="O80" s="544"/>
      <c r="P80" s="544"/>
      <c r="Q80" s="544"/>
      <c r="R80" s="544"/>
      <c r="S80" s="544"/>
      <c r="T80" s="544"/>
      <c r="U80" s="544"/>
      <c r="V80" s="544"/>
      <c r="W80" s="544"/>
      <c r="X80" s="544"/>
      <c r="Y80" s="544"/>
      <c r="Z80" s="544"/>
      <c r="AA80" s="544"/>
      <c r="AB80" s="544"/>
      <c r="AC80" s="544"/>
      <c r="AD80" s="544"/>
      <c r="AE80" s="544"/>
      <c r="AF80" s="544"/>
    </row>
    <row r="81" spans="1:32">
      <c r="A81" s="533"/>
      <c r="B81" s="534"/>
      <c r="C81" s="535"/>
      <c r="D81" s="12" t="s">
        <v>475</v>
      </c>
      <c r="E81" s="13">
        <v>401</v>
      </c>
      <c r="F81" s="14" t="str">
        <f>VLOOKUP($E$81,[1]UN!$A$2:$FA$304, 3, FALSE)</f>
        <v>401  Domestic demand excl. changes in inventories and net acquisition of valuables</v>
      </c>
      <c r="G81" s="544">
        <f>IF(VLOOKUP($E$81,[1]UN!$A$2:$FA$304, 6, FALSE)="",":",VLOOKUP($E$81,[1]UN!$A$2:$FA$304, 6, FALSE))</f>
        <v>8405.26</v>
      </c>
      <c r="H81" s="544">
        <f>IF(VLOOKUP($E$81,[1]UN!$A$2:$FA$304, 7, FALSE)="",":",VLOOKUP($E$81,[1]UN!$A$2:$FA$304, 7, FALSE))</f>
        <v>10570.25</v>
      </c>
      <c r="I81" s="544">
        <f>IF(VLOOKUP($E$81,[1]UN!$A$2:$FA$304, 8, FALSE)="",":",VLOOKUP($E$81,[1]UN!$A$2:$FA$304, 8, FALSE))</f>
        <v>12647.21</v>
      </c>
      <c r="J81" s="544">
        <f>IF(VLOOKUP($E$81,[1]UN!$A$2:$FA$304, 9, FALSE)="",":",VLOOKUP($E$81,[1]UN!$A$2:$FA$304, 9, FALSE))</f>
        <v>14447.91</v>
      </c>
      <c r="K81" s="544">
        <f>IF(VLOOKUP($E$81,[1]UN!$A$2:$FA$304, 10, FALSE)="",":",VLOOKUP($E$81,[1]UN!$A$2:$FA$304, 10, FALSE))</f>
        <v>14058.42</v>
      </c>
      <c r="L81" s="544">
        <f>IF(VLOOKUP($E$81,[1]UN!$A$2:$FA$304, 11, FALSE)="",":",VLOOKUP($E$81,[1]UN!$A$2:$FA$304, 11, FALSE))</f>
        <v>14243.71</v>
      </c>
      <c r="M81" s="544">
        <f>IF(VLOOKUP($E$81,[1]UN!$A$2:$FA$304, 12, FALSE)="",":",VLOOKUP($E$81,[1]UN!$A$2:$FA$304, 12, FALSE))</f>
        <v>15182.51</v>
      </c>
      <c r="N81" s="544">
        <f>IF(VLOOKUP($E$81,[1]UN!$A$2:$FA$304, 13, FALSE)="",":",VLOOKUP($E$81,[1]UN!$A$2:$FA$304, 13, FALSE))</f>
        <v>16074.24</v>
      </c>
      <c r="O81" s="544">
        <f>IF(VLOOKUP($E$81,[1]UN!$A$2:$FA$304, 14, FALSE)="",":",VLOOKUP($E$81,[1]UN!$A$2:$FA$304, 14, FALSE))</f>
        <v>17589.37</v>
      </c>
      <c r="P81" s="544">
        <f>IF(VLOOKUP($E$81,[1]UN!$A$2:$FA$304, 15, FALSE)="",":",VLOOKUP($E$81,[1]UN!$A$2:$FA$304, 15, FALSE))</f>
        <v>19560.57</v>
      </c>
      <c r="Q81" s="544">
        <f>IF(VLOOKUP($E$81,[1]UN!$A$2:$FA$304, 16, FALSE)="",":",VLOOKUP($E$81,[1]UN!$A$2:$FA$304, 16, FALSE))</f>
        <v>22380.87</v>
      </c>
      <c r="R81" s="544">
        <f>IF(VLOOKUP($E$81,[1]UN!$A$2:$FA$304, 17, FALSE)="",":",VLOOKUP($E$81,[1]UN!$A$2:$FA$304, 17, FALSE))</f>
        <v>26358.240000000002</v>
      </c>
      <c r="S81" s="544">
        <f>IF(VLOOKUP($E$81,[1]UN!$A$2:$FA$304, 18, FALSE)="",":",VLOOKUP($E$81,[1]UN!$A$2:$FA$304, 18, FALSE))</f>
        <v>31826.11</v>
      </c>
      <c r="T81" s="544">
        <f>IF(VLOOKUP($E$81,[1]UN!$A$2:$FA$304, 19, FALSE)="",":",VLOOKUP($E$81,[1]UN!$A$2:$FA$304, 19, FALSE))</f>
        <v>35874.949999999997</v>
      </c>
      <c r="U81" s="544">
        <f>IF(VLOOKUP($E$81,[1]UN!$A$2:$FA$304, 20, FALSE)="",":",VLOOKUP($E$81,[1]UN!$A$2:$FA$304, 20, FALSE))</f>
        <v>28865.74</v>
      </c>
      <c r="V81" s="544">
        <f>IF(VLOOKUP($E$81,[1]UN!$A$2:$FA$304, 21, FALSE)="",":",VLOOKUP($E$81,[1]UN!$A$2:$FA$304, 21, FALSE))</f>
        <v>28235.22</v>
      </c>
      <c r="W81" s="544">
        <f>IF(VLOOKUP($E$81,[1]UN!$A$2:$FA$304, 22, FALSE)="",":",VLOOKUP($E$81,[1]UN!$A$2:$FA$304, 22, FALSE))</f>
        <v>31062.28</v>
      </c>
      <c r="X81" s="544">
        <f>IF(VLOOKUP($E$81,[1]UN!$A$2:$FA$304, 23, FALSE)="",":",VLOOKUP($E$81,[1]UN!$A$2:$FA$304, 23, FALSE))</f>
        <v>32388.79</v>
      </c>
      <c r="Y81" s="544">
        <f>IF(VLOOKUP($E$81,[1]UN!$A$2:$FA$304, 24, FALSE)="",":",VLOOKUP($E$81,[1]UN!$A$2:$FA$304, 24, FALSE))</f>
        <v>34173.56</v>
      </c>
      <c r="Z81" s="544">
        <f>IF(VLOOKUP($E$81,[1]UN!$A$2:$FA$304, 25, FALSE)="",":",VLOOKUP($E$81,[1]UN!$A$2:$FA$304, 25, FALSE))</f>
        <v>35755.64</v>
      </c>
      <c r="AA81" s="544">
        <f>IF(VLOOKUP($E$81,[1]UN!$A$2:$FA$304, 26, FALSE)="",":",VLOOKUP($E$81,[1]UN!$A$2:$FA$304, 26, FALSE))</f>
        <v>37227.629999999997</v>
      </c>
      <c r="AB81" s="544">
        <f>IF(VLOOKUP($E$81,[1]UN!$A$2:$FA$304, 27, FALSE)="",":",VLOOKUP($E$81,[1]UN!$A$2:$FA$304, 27, FALSE))</f>
        <v>38814.410000000003</v>
      </c>
      <c r="AC81" s="544">
        <f>IF(VLOOKUP($E$81,[1]UN!$A$2:$FA$304, 28, FALSE)="",":",VLOOKUP($E$81,[1]UN!$A$2:$FA$304, 28, FALSE))</f>
        <v>41588.83</v>
      </c>
      <c r="AD81" s="544" t="str">
        <f>IF(VLOOKUP($E$81,[1]UN!$A$2:$FA$304, 29, FALSE)="",":",VLOOKUP($E$81,[1]UN!$A$2:$FA$304, 29, FALSE))</f>
        <v>:</v>
      </c>
      <c r="AE81" s="544" t="str">
        <f>IF(VLOOKUP($E$81,[1]UN!$A$2:$FA$304, 30, FALSE)="",":",VLOOKUP($E$81,[1]UN!$A$2:$FA$304, 30, FALSE))</f>
        <v>:</v>
      </c>
      <c r="AF81" s="544" t="str">
        <f>IF(VLOOKUP($E$81,[1]UN!$A$2:$FA$304, 31, FALSE)="",":",VLOOKUP($E$81,[1]UN!$A$2:$FA$304, 31, FALSE))</f>
        <v>:</v>
      </c>
    </row>
    <row r="82" spans="1:32">
      <c r="A82" s="533"/>
      <c r="B82" s="534"/>
      <c r="C82" s="535"/>
      <c r="D82" s="12" t="s">
        <v>475</v>
      </c>
      <c r="E82" s="13">
        <v>402</v>
      </c>
      <c r="F82" s="14" t="str">
        <f>VLOOKUP($E$82,[1]UN!$A$2:$FA$304, 3, FALSE)</f>
        <v>402  Domestic demand incl. changes in inventories and net acquisition of valuables</v>
      </c>
      <c r="G82" s="544">
        <f>IF(VLOOKUP($E$82,[1]UN!$A$2:$FA$304, 6, FALSE)="",":",VLOOKUP($E$82,[1]UN!$A$2:$FA$304, 6, FALSE))</f>
        <v>8589.7099999999991</v>
      </c>
      <c r="H82" s="544">
        <f>IF(VLOOKUP($E$82,[1]UN!$A$2:$FA$304, 7, FALSE)="",":",VLOOKUP($E$82,[1]UN!$A$2:$FA$304, 7, FALSE))</f>
        <v>10616.93</v>
      </c>
      <c r="I82" s="544">
        <f>IF(VLOOKUP($E$82,[1]UN!$A$2:$FA$304, 8, FALSE)="",":",VLOOKUP($E$82,[1]UN!$A$2:$FA$304, 8, FALSE))</f>
        <v>12905.67</v>
      </c>
      <c r="J82" s="544">
        <f>IF(VLOOKUP($E$82,[1]UN!$A$2:$FA$304, 9, FALSE)="",":",VLOOKUP($E$82,[1]UN!$A$2:$FA$304, 9, FALSE))</f>
        <v>14506.76</v>
      </c>
      <c r="K82" s="544">
        <f>IF(VLOOKUP($E$82,[1]UN!$A$2:$FA$304, 10, FALSE)="",":",VLOOKUP($E$82,[1]UN!$A$2:$FA$304, 10, FALSE))</f>
        <v>13981.25</v>
      </c>
      <c r="L82" s="544">
        <f>IF(VLOOKUP($E$82,[1]UN!$A$2:$FA$304, 11, FALSE)="",":",VLOOKUP($E$82,[1]UN!$A$2:$FA$304, 11, FALSE))</f>
        <v>14194.73</v>
      </c>
      <c r="M82" s="544">
        <f>IF(VLOOKUP($E$82,[1]UN!$A$2:$FA$304, 12, FALSE)="",":",VLOOKUP($E$82,[1]UN!$A$2:$FA$304, 12, FALSE))</f>
        <v>14970.23</v>
      </c>
      <c r="N82" s="544">
        <f>IF(VLOOKUP($E$82,[1]UN!$A$2:$FA$304, 13, FALSE)="",":",VLOOKUP($E$82,[1]UN!$A$2:$FA$304, 13, FALSE))</f>
        <v>16065</v>
      </c>
      <c r="O82" s="544">
        <f>IF(VLOOKUP($E$82,[1]UN!$A$2:$FA$304, 14, FALSE)="",":",VLOOKUP($E$82,[1]UN!$A$2:$FA$304, 14, FALSE))</f>
        <v>17633</v>
      </c>
      <c r="P82" s="544">
        <f>IF(VLOOKUP($E$82,[1]UN!$A$2:$FA$304, 15, FALSE)="",":",VLOOKUP($E$82,[1]UN!$A$2:$FA$304, 15, FALSE))</f>
        <v>19521.16</v>
      </c>
      <c r="Q82" s="544">
        <f>IF(VLOOKUP($E$82,[1]UN!$A$2:$FA$304, 16, FALSE)="",":",VLOOKUP($E$82,[1]UN!$A$2:$FA$304, 16, FALSE))</f>
        <v>22521.33</v>
      </c>
      <c r="R82" s="544">
        <f>IF(VLOOKUP($E$82,[1]UN!$A$2:$FA$304, 17, FALSE)="",":",VLOOKUP($E$82,[1]UN!$A$2:$FA$304, 17, FALSE))</f>
        <v>26550.58</v>
      </c>
      <c r="S82" s="544">
        <f>IF(VLOOKUP($E$82,[1]UN!$A$2:$FA$304, 18, FALSE)="",":",VLOOKUP($E$82,[1]UN!$A$2:$FA$304, 18, FALSE))</f>
        <v>32852.199999999997</v>
      </c>
      <c r="T82" s="544">
        <f>IF(VLOOKUP($E$82,[1]UN!$A$2:$FA$304, 19, FALSE)="",":",VLOOKUP($E$82,[1]UN!$A$2:$FA$304, 19, FALSE))</f>
        <v>36479.69</v>
      </c>
      <c r="U82" s="544">
        <f>IF(VLOOKUP($E$82,[1]UN!$A$2:$FA$304, 20, FALSE)="",":",VLOOKUP($E$82,[1]UN!$A$2:$FA$304, 20, FALSE))</f>
        <v>27387.37</v>
      </c>
      <c r="V82" s="544">
        <f>IF(VLOOKUP($E$82,[1]UN!$A$2:$FA$304, 21, FALSE)="",":",VLOOKUP($E$82,[1]UN!$A$2:$FA$304, 21, FALSE))</f>
        <v>28553.87</v>
      </c>
      <c r="W82" s="544">
        <f>IF(VLOOKUP($E$82,[1]UN!$A$2:$FA$304, 22, FALSE)="",":",VLOOKUP($E$82,[1]UN!$A$2:$FA$304, 22, FALSE))</f>
        <v>32072.98</v>
      </c>
      <c r="X82" s="544">
        <f>IF(VLOOKUP($E$82,[1]UN!$A$2:$FA$304, 23, FALSE)="",":",VLOOKUP($E$82,[1]UN!$A$2:$FA$304, 23, FALSE))</f>
        <v>33061.620000000003</v>
      </c>
      <c r="Y82" s="544">
        <f>IF(VLOOKUP($E$82,[1]UN!$A$2:$FA$304, 24, FALSE)="",":",VLOOKUP($E$82,[1]UN!$A$2:$FA$304, 24, FALSE))</f>
        <v>34522.400000000001</v>
      </c>
      <c r="Z82" s="544">
        <f>IF(VLOOKUP($E$82,[1]UN!$A$2:$FA$304, 25, FALSE)="",":",VLOOKUP($E$82,[1]UN!$A$2:$FA$304, 25, FALSE))</f>
        <v>35808.76</v>
      </c>
      <c r="AA82" s="544">
        <f>IF(VLOOKUP($E$82,[1]UN!$A$2:$FA$304, 26, FALSE)="",":",VLOOKUP($E$82,[1]UN!$A$2:$FA$304, 26, FALSE))</f>
        <v>37606.1</v>
      </c>
      <c r="AB82" s="544">
        <f>IF(VLOOKUP($E$82,[1]UN!$A$2:$FA$304, 27, FALSE)="",":",VLOOKUP($E$82,[1]UN!$A$2:$FA$304, 27, FALSE))</f>
        <v>38168.43</v>
      </c>
      <c r="AC82" s="544">
        <f>IF(VLOOKUP($E$82,[1]UN!$A$2:$FA$304, 28, FALSE)="",":",VLOOKUP($E$82,[1]UN!$A$2:$FA$304, 28, FALSE))</f>
        <v>41013.9</v>
      </c>
      <c r="AD82" s="544" t="str">
        <f>IF(VLOOKUP($E$82,[1]UN!$A$2:$FA$304, 29, FALSE)="",":",VLOOKUP($E$82,[1]UN!$A$2:$FA$304, 29, FALSE))</f>
        <v>:</v>
      </c>
      <c r="AE82" s="544" t="str">
        <f>IF(VLOOKUP($E$82,[1]UN!$A$2:$FA$304, 30, FALSE)="",":",VLOOKUP($E$82,[1]UN!$A$2:$FA$304, 30, FALSE))</f>
        <v>:</v>
      </c>
      <c r="AF82" s="544" t="str">
        <f>IF(VLOOKUP($E$82,[1]UN!$A$2:$FA$304, 31, FALSE)="",":",VLOOKUP($E$82,[1]UN!$A$2:$FA$304, 31, FALSE))</f>
        <v>:</v>
      </c>
    </row>
    <row r="83" spans="1:32">
      <c r="A83" s="533"/>
      <c r="B83" s="534"/>
      <c r="C83" s="535"/>
      <c r="D83" s="12" t="s">
        <v>475</v>
      </c>
      <c r="E83" s="13">
        <v>403</v>
      </c>
      <c r="F83" s="14" t="str">
        <f>VLOOKUP($E$83,[1]UN!$A$2:$FA$304, 3, FALSE)</f>
        <v xml:space="preserve">403  Final demand                                                                 </v>
      </c>
      <c r="G83" s="544">
        <f>IF(VLOOKUP($E$83,[1]UN!$A$2:$FA$304, 6, FALSE)="",":",VLOOKUP($E$83,[1]UN!$A$2:$FA$304, 6, FALSE))</f>
        <v>11473.81</v>
      </c>
      <c r="H83" s="544">
        <f>IF(VLOOKUP($E$83,[1]UN!$A$2:$FA$304, 7, FALSE)="",":",VLOOKUP($E$83,[1]UN!$A$2:$FA$304, 7, FALSE))</f>
        <v>14691.09</v>
      </c>
      <c r="I83" s="544">
        <f>IF(VLOOKUP($E$83,[1]UN!$A$2:$FA$304, 8, FALSE)="",":",VLOOKUP($E$83,[1]UN!$A$2:$FA$304, 8, FALSE))</f>
        <v>18177.72</v>
      </c>
      <c r="J83" s="544">
        <f>IF(VLOOKUP($E$83,[1]UN!$A$2:$FA$304, 9, FALSE)="",":",VLOOKUP($E$83,[1]UN!$A$2:$FA$304, 9, FALSE))</f>
        <v>19601.57</v>
      </c>
      <c r="K83" s="544">
        <f>IF(VLOOKUP($E$83,[1]UN!$A$2:$FA$304, 10, FALSE)="",":",VLOOKUP($E$83,[1]UN!$A$2:$FA$304, 10, FALSE))</f>
        <v>18101.79</v>
      </c>
      <c r="L83" s="544">
        <f>IF(VLOOKUP($E$83,[1]UN!$A$2:$FA$304, 11, FALSE)="",":",VLOOKUP($E$83,[1]UN!$A$2:$FA$304, 11, FALSE))</f>
        <v>19347.580000000002</v>
      </c>
      <c r="M83" s="544">
        <f>IF(VLOOKUP($E$83,[1]UN!$A$2:$FA$304, 12, FALSE)="",":",VLOOKUP($E$83,[1]UN!$A$2:$FA$304, 12, FALSE))</f>
        <v>21221.87</v>
      </c>
      <c r="N83" s="544">
        <f>IF(VLOOKUP($E$83,[1]UN!$A$2:$FA$304, 13, FALSE)="",":",VLOOKUP($E$83,[1]UN!$A$2:$FA$304, 13, FALSE))</f>
        <v>23262.03</v>
      </c>
      <c r="O83" s="544">
        <f>IF(VLOOKUP($E$83,[1]UN!$A$2:$FA$304, 14, FALSE)="",":",VLOOKUP($E$83,[1]UN!$A$2:$FA$304, 14, FALSE))</f>
        <v>25328.79</v>
      </c>
      <c r="P83" s="544">
        <f>IF(VLOOKUP($E$83,[1]UN!$A$2:$FA$304, 15, FALSE)="",":",VLOOKUP($E$83,[1]UN!$A$2:$FA$304, 15, FALSE))</f>
        <v>28156.12</v>
      </c>
      <c r="Q83" s="544">
        <f>IF(VLOOKUP($E$83,[1]UN!$A$2:$FA$304, 16, FALSE)="",":",VLOOKUP($E$83,[1]UN!$A$2:$FA$304, 16, FALSE))</f>
        <v>33829.47</v>
      </c>
      <c r="R83" s="544">
        <f>IF(VLOOKUP($E$83,[1]UN!$A$2:$FA$304, 17, FALSE)="",":",VLOOKUP($E$83,[1]UN!$A$2:$FA$304, 17, FALSE))</f>
        <v>39943.480000000003</v>
      </c>
      <c r="S83" s="544">
        <f>IF(VLOOKUP($E$83,[1]UN!$A$2:$FA$304, 18, FALSE)="",":",VLOOKUP($E$83,[1]UN!$A$2:$FA$304, 18, FALSE))</f>
        <v>47476.59</v>
      </c>
      <c r="T83" s="544">
        <f>IF(VLOOKUP($E$83,[1]UN!$A$2:$FA$304, 19, FALSE)="",":",VLOOKUP($E$83,[1]UN!$A$2:$FA$304, 19, FALSE))</f>
        <v>55162.02</v>
      </c>
      <c r="U83" s="544">
        <f>IF(VLOOKUP($E$83,[1]UN!$A$2:$FA$304, 20, FALSE)="",":",VLOOKUP($E$83,[1]UN!$A$2:$FA$304, 20, FALSE))</f>
        <v>41377.1</v>
      </c>
      <c r="V83" s="544">
        <f>IF(VLOOKUP($E$83,[1]UN!$A$2:$FA$304, 21, FALSE)="",":",VLOOKUP($E$83,[1]UN!$A$2:$FA$304, 21, FALSE))</f>
        <v>46867.75</v>
      </c>
      <c r="W83" s="544">
        <f>IF(VLOOKUP($E$83,[1]UN!$A$2:$FA$304, 22, FALSE)="",":",VLOOKUP($E$83,[1]UN!$A$2:$FA$304, 22, FALSE))</f>
        <v>55528.03</v>
      </c>
      <c r="X83" s="544">
        <f>IF(VLOOKUP($E$83,[1]UN!$A$2:$FA$304, 23, FALSE)="",":",VLOOKUP($E$83,[1]UN!$A$2:$FA$304, 23, FALSE))</f>
        <v>60281.69</v>
      </c>
      <c r="Y83" s="544">
        <f>IF(VLOOKUP($E$83,[1]UN!$A$2:$FA$304, 24, FALSE)="",":",VLOOKUP($E$83,[1]UN!$A$2:$FA$304, 24, FALSE))</f>
        <v>63910.27</v>
      </c>
      <c r="Z83" s="544">
        <f>IF(VLOOKUP($E$83,[1]UN!$A$2:$FA$304, 25, FALSE)="",":",VLOOKUP($E$83,[1]UN!$A$2:$FA$304, 25, FALSE))</f>
        <v>65466.78</v>
      </c>
      <c r="AA83" s="544">
        <f>IF(VLOOKUP($E$83,[1]UN!$A$2:$FA$304, 26, FALSE)="",":",VLOOKUP($E$83,[1]UN!$A$2:$FA$304, 26, FALSE))</f>
        <v>65989.259999999995</v>
      </c>
      <c r="AB83" s="544">
        <f>IF(VLOOKUP($E$83,[1]UN!$A$2:$FA$304, 27, FALSE)="",":",VLOOKUP($E$83,[1]UN!$A$2:$FA$304, 27, FALSE))</f>
        <v>66957.56</v>
      </c>
      <c r="AC83" s="544">
        <f>IF(VLOOKUP($E$83,[1]UN!$A$2:$FA$304, 28, FALSE)="",":",VLOOKUP($E$83,[1]UN!$A$2:$FA$304, 28, FALSE))</f>
        <v>75046.990000000005</v>
      </c>
      <c r="AD83" s="544" t="str">
        <f>IF(VLOOKUP($E$83,[1]UN!$A$2:$FA$304, 29, FALSE)="",":",VLOOKUP($E$83,[1]UN!$A$2:$FA$304, 29, FALSE))</f>
        <v>:</v>
      </c>
      <c r="AE83" s="544" t="str">
        <f>IF(VLOOKUP($E$83,[1]UN!$A$2:$FA$304, 30, FALSE)="",":",VLOOKUP($E$83,[1]UN!$A$2:$FA$304, 30, FALSE))</f>
        <v>:</v>
      </c>
      <c r="AF83" s="544" t="str">
        <f>IF(VLOOKUP($E$83,[1]UN!$A$2:$FA$304, 31, FALSE)="",":",VLOOKUP($E$83,[1]UN!$A$2:$FA$304, 31, FALSE))</f>
        <v>:</v>
      </c>
    </row>
    <row r="84" spans="1:32">
      <c r="A84" s="533"/>
      <c r="B84" s="534"/>
      <c r="C84" s="535"/>
      <c r="D84" s="12"/>
      <c r="E84" s="13"/>
      <c r="F84" s="14"/>
      <c r="G84" s="544"/>
      <c r="H84" s="544"/>
      <c r="I84" s="544"/>
      <c r="J84" s="544"/>
      <c r="K84" s="544"/>
      <c r="L84" s="544"/>
      <c r="M84" s="544"/>
      <c r="N84" s="544"/>
      <c r="O84" s="544"/>
      <c r="P84" s="544"/>
      <c r="Q84" s="544"/>
      <c r="R84" s="544"/>
      <c r="S84" s="544"/>
      <c r="T84" s="544"/>
      <c r="U84" s="544"/>
      <c r="V84" s="544"/>
      <c r="W84" s="544"/>
      <c r="X84" s="544"/>
      <c r="Y84" s="544"/>
      <c r="Z84" s="544"/>
      <c r="AA84" s="544"/>
      <c r="AB84" s="544"/>
      <c r="AC84" s="544"/>
      <c r="AD84" s="544"/>
      <c r="AE84" s="544"/>
      <c r="AF84" s="544"/>
    </row>
    <row r="85" spans="1:32">
      <c r="A85" s="1954"/>
      <c r="B85" s="534"/>
      <c r="C85" s="535"/>
      <c r="D85" s="12" t="s">
        <v>475</v>
      </c>
      <c r="E85" s="13">
        <v>500</v>
      </c>
      <c r="F85" s="14" t="str">
        <f>VLOOKUP($E$85,[1]UN!$A$2:$FA$67, 3, FALSE)</f>
        <v xml:space="preserve">500  Net lending (+) or net borrowing (-) of the nation                           </v>
      </c>
      <c r="G85" s="544">
        <f>IF(VLOOKUP($E$85,[1]UN!$A$2:$FA$67, 6, FALSE)="",":",VLOOKUP($E$85,[1]UN!$A$2:$FA$67, 6, FALSE))</f>
        <v>-756.88</v>
      </c>
      <c r="H85" s="544">
        <f>IF(VLOOKUP($E$85,[1]UN!$A$2:$FA$67, 7, FALSE)="",":",VLOOKUP($E$85,[1]UN!$A$2:$FA$67, 7, FALSE))</f>
        <v>-830.72</v>
      </c>
      <c r="I85" s="544">
        <f>IF(VLOOKUP($E$85,[1]UN!$A$2:$FA$67, 8, FALSE)="",":",VLOOKUP($E$85,[1]UN!$A$2:$FA$67, 8, FALSE))</f>
        <v>-1132.1099999999999</v>
      </c>
      <c r="J85" s="544">
        <f>IF(VLOOKUP($E$85,[1]UN!$A$2:$FA$67, 9, FALSE)="",":",VLOOKUP($E$85,[1]UN!$A$2:$FA$67, 9, FALSE))</f>
        <v>-1505.83</v>
      </c>
      <c r="K85" s="544">
        <f>IF(VLOOKUP($E$85,[1]UN!$A$2:$FA$67, 10, FALSE)="",":",VLOOKUP($E$85,[1]UN!$A$2:$FA$67, 10, FALSE))</f>
        <v>-1362.02</v>
      </c>
      <c r="L85" s="544">
        <f>IF(VLOOKUP($E$85,[1]UN!$A$2:$FA$67, 11, FALSE)="",":",VLOOKUP($E$85,[1]UN!$A$2:$FA$67, 11, FALSE))</f>
        <v>-779.47</v>
      </c>
      <c r="M85" s="544">
        <f>IF(VLOOKUP($E$85,[1]UN!$A$2:$FA$67, 12, FALSE)="",":",VLOOKUP($E$85,[1]UN!$A$2:$FA$67, 12, FALSE))</f>
        <v>-671.77</v>
      </c>
      <c r="N85" s="544">
        <f>IF(VLOOKUP($E$85,[1]UN!$A$2:$FA$67, 13, FALSE)="",":",VLOOKUP($E$85,[1]UN!$A$2:$FA$67, 13, FALSE))</f>
        <v>-731.58</v>
      </c>
      <c r="O85" s="544">
        <f>IF(VLOOKUP($E$85,[1]UN!$A$2:$FA$67, 14, FALSE)="",":",VLOOKUP($E$85,[1]UN!$A$2:$FA$67, 14, FALSE))</f>
        <v>-1070.5</v>
      </c>
      <c r="P85" s="544">
        <f>IF(VLOOKUP($E$85,[1]UN!$A$2:$FA$67, 15, FALSE)="",":",VLOOKUP($E$85,[1]UN!$A$2:$FA$67, 15, FALSE))</f>
        <v>-1219.4000000000001</v>
      </c>
      <c r="Q85" s="544">
        <f>IF(VLOOKUP($E$85,[1]UN!$A$2:$FA$67, 16, FALSE)="",":",VLOOKUP($E$85,[1]UN!$A$2:$FA$67, 16, FALSE))</f>
        <v>-1275.0999999999999</v>
      </c>
      <c r="R85" s="544">
        <f>IF(VLOOKUP($E$85,[1]UN!$A$2:$FA$67, 17, FALSE)="",":",VLOOKUP($E$85,[1]UN!$A$2:$FA$67, 17, FALSE))</f>
        <v>-2098.1</v>
      </c>
      <c r="S85" s="544">
        <f>IF(VLOOKUP($E$85,[1]UN!$A$2:$FA$67, 18, FALSE)="",":",VLOOKUP($E$85,[1]UN!$A$2:$FA$67, 18, FALSE))</f>
        <v>-3721.6</v>
      </c>
      <c r="T85" s="544">
        <f>IF(VLOOKUP($E$85,[1]UN!$A$2:$FA$67, 19, FALSE)="",":",VLOOKUP($E$85,[1]UN!$A$2:$FA$67, 19, FALSE))</f>
        <v>-3683.1</v>
      </c>
      <c r="U85" s="544">
        <f>IF(VLOOKUP($E$85,[1]UN!$A$2:$FA$67, 20, FALSE)="",":",VLOOKUP($E$85,[1]UN!$A$2:$FA$67, 20, FALSE))</f>
        <v>1733</v>
      </c>
      <c r="V85" s="544">
        <f>IF(VLOOKUP($E$85,[1]UN!$A$2:$FA$67, 21, FALSE)="",":",VLOOKUP($E$85,[1]UN!$A$2:$FA$67, 21, FALSE))</f>
        <v>969.2</v>
      </c>
      <c r="W85" s="544">
        <f>IF(VLOOKUP($E$85,[1]UN!$A$2:$FA$67, 22, FALSE)="",":",VLOOKUP($E$85,[1]UN!$A$2:$FA$67, 22, FALSE))</f>
        <v>-193.7</v>
      </c>
      <c r="X85" s="544">
        <f>IF(VLOOKUP($E$85,[1]UN!$A$2:$FA$67, 23, FALSE)="",":",VLOOKUP($E$85,[1]UN!$A$2:$FA$67, 23, FALSE))</f>
        <v>648.29999999999995</v>
      </c>
      <c r="Y85" s="544">
        <f>IF(VLOOKUP($E$85,[1]UN!$A$2:$FA$67, 24, FALSE)="",":",VLOOKUP($E$85,[1]UN!$A$2:$FA$67, 24, FALSE))</f>
        <v>1586.8</v>
      </c>
      <c r="Z85" s="544">
        <f>IF(VLOOKUP($E$85,[1]UN!$A$2:$FA$67, 25, FALSE)="",":",VLOOKUP($E$85,[1]UN!$A$2:$FA$67, 25, FALSE))</f>
        <v>2430.6</v>
      </c>
      <c r="AA85" s="544">
        <f>IF(VLOOKUP($E$85,[1]UN!$A$2:$FA$67, 26, FALSE)="",":",VLOOKUP($E$85,[1]UN!$A$2:$FA$67, 26, FALSE))</f>
        <v>359.9</v>
      </c>
      <c r="AB85" s="544">
        <f>IF(VLOOKUP($E$85,[1]UN!$A$2:$FA$67, 27, FALSE)="",":",VLOOKUP($E$85,[1]UN!$A$2:$FA$67, 27, FALSE))</f>
        <v>332.97</v>
      </c>
      <c r="AC85" s="544" t="str">
        <f>IF(VLOOKUP($E$85,[1]UN!$A$2:$FA$67, 28, FALSE)="",":",VLOOKUP($E$85,[1]UN!$A$2:$FA$67, 28, FALSE))</f>
        <v>:</v>
      </c>
      <c r="AD85" s="544" t="str">
        <f>IF(VLOOKUP($E$85,[1]UN!$A$2:$FA$67, 29, FALSE)="",":",VLOOKUP($E$85,[1]UN!$A$2:$FA$67, 29, FALSE))</f>
        <v>:</v>
      </c>
      <c r="AE85" s="544" t="str">
        <f>IF(VLOOKUP($E$85,[1]UN!$A$2:$FA$67, 30, FALSE)="",":",VLOOKUP($E$85,[1]UN!$A$2:$FA$67, 30, FALSE))</f>
        <v>:</v>
      </c>
      <c r="AF85" s="544" t="str">
        <f>IF(VLOOKUP($E$85,[1]UN!$A$2:$FA$67, 31, FALSE)="",":",VLOOKUP($E$85,[1]UN!$A$2:$FA$67, 31, FALSE))</f>
        <v>:</v>
      </c>
    </row>
    <row r="86" spans="1:32">
      <c r="A86" s="533"/>
      <c r="B86" s="534"/>
      <c r="C86" s="535"/>
      <c r="D86" s="12" t="s">
        <v>475</v>
      </c>
      <c r="E86" s="13">
        <v>502</v>
      </c>
      <c r="F86" s="14" t="str">
        <f>VLOOKUP($E$86,[1]UN!$A$2:$FA$67, 3, FALSE)</f>
        <v>502 Current account balance (BPM6 - Balance of payments statistics)</v>
      </c>
      <c r="G86" s="544" t="str">
        <f>IF(VLOOKUP($E$86,[1]UN!$A$2:$FA$67, 6, FALSE)="",":",VLOOKUP($E$86,[1]UN!$A$2:$FA$67, 6, FALSE))</f>
        <v>:</v>
      </c>
      <c r="H86" s="544" t="str">
        <f>IF(VLOOKUP($E$86,[1]UN!$A$2:$FA$67, 7, FALSE)="",":",VLOOKUP($E$86,[1]UN!$A$2:$FA$67, 7, FALSE))</f>
        <v>:</v>
      </c>
      <c r="I86" s="544" t="str">
        <f>IF(VLOOKUP($E$86,[1]UN!$A$2:$FA$67, 8, FALSE)="",":",VLOOKUP($E$86,[1]UN!$A$2:$FA$67, 8, FALSE))</f>
        <v>:</v>
      </c>
      <c r="J86" s="544" t="str">
        <f>IF(VLOOKUP($E$86,[1]UN!$A$2:$FA$67, 9, FALSE)="",":",VLOOKUP($E$86,[1]UN!$A$2:$FA$67, 9, FALSE))</f>
        <v>:</v>
      </c>
      <c r="K86" s="544" t="str">
        <f>IF(VLOOKUP($E$86,[1]UN!$A$2:$FA$67, 10, FALSE)="",":",VLOOKUP($E$86,[1]UN!$A$2:$FA$67, 10, FALSE))</f>
        <v>:</v>
      </c>
      <c r="L86" s="544" t="str">
        <f>IF(VLOOKUP($E$86,[1]UN!$A$2:$FA$67, 11, FALSE)="",":",VLOOKUP($E$86,[1]UN!$A$2:$FA$67, 11, FALSE))</f>
        <v>:</v>
      </c>
      <c r="M86" s="544" t="str">
        <f>IF(VLOOKUP($E$86,[1]UN!$A$2:$FA$67, 12, FALSE)="",":",VLOOKUP($E$86,[1]UN!$A$2:$FA$67, 12, FALSE))</f>
        <v>:</v>
      </c>
      <c r="N86" s="544" t="str">
        <f>IF(VLOOKUP($E$86,[1]UN!$A$2:$FA$67, 13, FALSE)="",":",VLOOKUP($E$86,[1]UN!$A$2:$FA$67, 13, FALSE))</f>
        <v>:</v>
      </c>
      <c r="O86" s="544" t="str">
        <f>IF(VLOOKUP($E$86,[1]UN!$A$2:$FA$67, 14, FALSE)="",":",VLOOKUP($E$86,[1]UN!$A$2:$FA$67, 14, FALSE))</f>
        <v>:</v>
      </c>
      <c r="P86" s="544">
        <f>IF(VLOOKUP($E$86,[1]UN!$A$2:$FA$67, 15, FALSE)="",":",VLOOKUP($E$86,[1]UN!$A$2:$FA$67, 15, FALSE))</f>
        <v>-1387</v>
      </c>
      <c r="Q86" s="544">
        <f>IF(VLOOKUP($E$86,[1]UN!$A$2:$FA$67, 16, FALSE)="",":",VLOOKUP($E$86,[1]UN!$A$2:$FA$67, 16, FALSE))</f>
        <v>-1526.9</v>
      </c>
      <c r="R86" s="544">
        <f>IF(VLOOKUP($E$86,[1]UN!$A$2:$FA$67, 17, FALSE)="",":",VLOOKUP($E$86,[1]UN!$A$2:$FA$67, 17, FALSE))</f>
        <v>-2623.8</v>
      </c>
      <c r="S86" s="544">
        <f>IF(VLOOKUP($E$86,[1]UN!$A$2:$FA$67, 18, FALSE)="",":",VLOOKUP($E$86,[1]UN!$A$2:$FA$67, 18, FALSE))</f>
        <v>-4496</v>
      </c>
      <c r="T86" s="544">
        <f>IF(VLOOKUP($E$86,[1]UN!$A$2:$FA$67, 19, FALSE)="",":",VLOOKUP($E$86,[1]UN!$A$2:$FA$67, 19, FALSE))</f>
        <v>-4448.6000000000004</v>
      </c>
      <c r="U86" s="544">
        <f>IF(VLOOKUP($E$86,[1]UN!$A$2:$FA$67, 20, FALSE)="",":",VLOOKUP($E$86,[1]UN!$A$2:$FA$67, 20, FALSE))</f>
        <v>385.3</v>
      </c>
      <c r="V86" s="544">
        <f>IF(VLOOKUP($E$86,[1]UN!$A$2:$FA$67, 21, FALSE)="",":",VLOOKUP($E$86,[1]UN!$A$2:$FA$67, 21, FALSE))</f>
        <v>-357.5</v>
      </c>
      <c r="W86" s="544">
        <f>IF(VLOOKUP($E$86,[1]UN!$A$2:$FA$67, 22, FALSE)="",":",VLOOKUP($E$86,[1]UN!$A$2:$FA$67, 22, FALSE))</f>
        <v>-1423.4</v>
      </c>
      <c r="X86" s="544">
        <f>IF(VLOOKUP($E$86,[1]UN!$A$2:$FA$67, 23, FALSE)="",":",VLOOKUP($E$86,[1]UN!$A$2:$FA$67, 23, FALSE))</f>
        <v>-470.2</v>
      </c>
      <c r="Y86" s="544">
        <f>IF(VLOOKUP($E$86,[1]UN!$A$2:$FA$67, 24, FALSE)="",":",VLOOKUP($E$86,[1]UN!$A$2:$FA$67, 24, FALSE))</f>
        <v>292.10000000000002</v>
      </c>
      <c r="Z86" s="544">
        <f>IF(VLOOKUP($E$86,[1]UN!$A$2:$FA$67, 25, FALSE)="",":",VLOOKUP($E$86,[1]UN!$A$2:$FA$67, 25, FALSE))</f>
        <v>1157.7</v>
      </c>
      <c r="AA86" s="544">
        <f>IF(VLOOKUP($E$86,[1]UN!$A$2:$FA$67, 26, FALSE)="",":",VLOOKUP($E$86,[1]UN!$A$2:$FA$67, 26, FALSE))</f>
        <v>-1049.8</v>
      </c>
      <c r="AB86" s="544">
        <f>IF(VLOOKUP($E$86,[1]UN!$A$2:$FA$67, 27, FALSE)="",":",VLOOKUP($E$86,[1]UN!$A$2:$FA$67, 27, FALSE))</f>
        <v>-433.3</v>
      </c>
      <c r="AC86" s="544" t="str">
        <f>IF(VLOOKUP($E$86,[1]UN!$A$2:$FA$67, 28, FALSE)="",":",VLOOKUP($E$86,[1]UN!$A$2:$FA$67, 28, FALSE))</f>
        <v>:</v>
      </c>
      <c r="AD86" s="544" t="str">
        <f>IF(VLOOKUP($E$86,[1]UN!$A$2:$FA$67, 29, FALSE)="",":",VLOOKUP($E$86,[1]UN!$A$2:$FA$67, 29, FALSE))</f>
        <v>:</v>
      </c>
      <c r="AE86" s="544" t="str">
        <f>IF(VLOOKUP($E$86,[1]UN!$A$2:$FA$67, 30, FALSE)="",":",VLOOKUP($E$86,[1]UN!$A$2:$FA$67, 30, FALSE))</f>
        <v>:</v>
      </c>
      <c r="AF86" s="544" t="str">
        <f>IF(VLOOKUP($E$86,[1]UN!$A$2:$FA$67, 31, FALSE)="",":",VLOOKUP($E$86,[1]UN!$A$2:$FA$67, 31, FALSE))</f>
        <v>:</v>
      </c>
    </row>
    <row r="87" spans="1:32">
      <c r="A87" s="533">
        <v>43</v>
      </c>
      <c r="B87" s="534" t="s">
        <v>1522</v>
      </c>
      <c r="C87" s="535" t="s">
        <v>492</v>
      </c>
      <c r="D87" s="12" t="s">
        <v>475</v>
      </c>
      <c r="E87" s="13">
        <v>511</v>
      </c>
      <c r="F87" s="14" t="str">
        <f>VLOOKUP($E$87,[1]UN!$A$2:$FA$67, 3, FALSE)</f>
        <v xml:space="preserve">511  Exports of goods                                                             </v>
      </c>
      <c r="G87" s="544">
        <f>IF(VLOOKUP($E$87,[1]UN!$A$2:$FA$67, 6, FALSE)="",":",VLOOKUP($E$87,[1]UN!$A$2:$FA$67, 6, FALSE))</f>
        <v>2171.98</v>
      </c>
      <c r="H87" s="544">
        <f>IF(VLOOKUP($E$87,[1]UN!$A$2:$FA$67, 7, FALSE)="",":",VLOOKUP($E$87,[1]UN!$A$2:$FA$67, 7, FALSE))</f>
        <v>3003.8</v>
      </c>
      <c r="I87" s="544">
        <f>IF(VLOOKUP($E$87,[1]UN!$A$2:$FA$67, 8, FALSE)="",":",VLOOKUP($E$87,[1]UN!$A$2:$FA$67, 8, FALSE))</f>
        <v>3920.68</v>
      </c>
      <c r="J87" s="544">
        <f>IF(VLOOKUP($E$87,[1]UN!$A$2:$FA$67, 9, FALSE)="",":",VLOOKUP($E$87,[1]UN!$A$2:$FA$67, 9, FALSE))</f>
        <v>3649.09</v>
      </c>
      <c r="K87" s="544">
        <f>IF(VLOOKUP($E$87,[1]UN!$A$2:$FA$67, 10, FALSE)="",":",VLOOKUP($E$87,[1]UN!$A$2:$FA$67, 10, FALSE))</f>
        <v>2690.36</v>
      </c>
      <c r="L87" s="544">
        <f>IF(VLOOKUP($E$87,[1]UN!$A$2:$FA$67, 11, FALSE)="",":",VLOOKUP($E$87,[1]UN!$A$2:$FA$67, 11, FALSE))</f>
        <v>3753.57</v>
      </c>
      <c r="M87" s="544">
        <f>IF(VLOOKUP($E$87,[1]UN!$A$2:$FA$67, 12, FALSE)="",":",VLOOKUP($E$87,[1]UN!$A$2:$FA$67, 12, FALSE))</f>
        <v>4740.09</v>
      </c>
      <c r="N87" s="544">
        <f>IF(VLOOKUP($E$87,[1]UN!$A$2:$FA$67, 13, FALSE)="",":",VLOOKUP($E$87,[1]UN!$A$2:$FA$67, 13, FALSE))</f>
        <v>5462.89</v>
      </c>
      <c r="O87" s="544">
        <f>IF(VLOOKUP($E$87,[1]UN!$A$2:$FA$67, 14, FALSE)="",":",VLOOKUP($E$87,[1]UN!$A$2:$FA$67, 14, FALSE))</f>
        <v>5866.46</v>
      </c>
      <c r="P87" s="544">
        <f>IF(VLOOKUP($E$87,[1]UN!$A$2:$FA$67, 15, FALSE)="",":",VLOOKUP($E$87,[1]UN!$A$2:$FA$67, 15, FALSE))</f>
        <v>6406.1</v>
      </c>
      <c r="Q87" s="544">
        <f>IF(VLOOKUP($E$87,[1]UN!$A$2:$FA$67, 16, FALSE)="",":",VLOOKUP($E$87,[1]UN!$A$2:$FA$67, 16, FALSE))</f>
        <v>8859.93</v>
      </c>
      <c r="R87" s="544">
        <f>IF(VLOOKUP($E$87,[1]UN!$A$2:$FA$67, 17, FALSE)="",":",VLOOKUP($E$87,[1]UN!$A$2:$FA$67, 17, FALSE))</f>
        <v>10509.17</v>
      </c>
      <c r="S87" s="544">
        <f>IF(VLOOKUP($E$87,[1]UN!$A$2:$FA$67, 18, FALSE)="",":",VLOOKUP($E$87,[1]UN!$A$2:$FA$67, 18, FALSE))</f>
        <v>11534.53</v>
      </c>
      <c r="T87" s="544">
        <f>IF(VLOOKUP($E$87,[1]UN!$A$2:$FA$67, 19, FALSE)="",":",VLOOKUP($E$87,[1]UN!$A$2:$FA$67, 19, FALSE))</f>
        <v>15235.94</v>
      </c>
      <c r="U87" s="544">
        <f>IF(VLOOKUP($E$87,[1]UN!$A$2:$FA$67, 20, FALSE)="",":",VLOOKUP($E$87,[1]UN!$A$2:$FA$67, 20, FALSE))</f>
        <v>11055.72</v>
      </c>
      <c r="V87" s="544">
        <f>IF(VLOOKUP($E$87,[1]UN!$A$2:$FA$67, 21, FALSE)="",":",VLOOKUP($E$87,[1]UN!$A$2:$FA$67, 21, FALSE))</f>
        <v>14891</v>
      </c>
      <c r="W87" s="544">
        <f>IF(VLOOKUP($E$87,[1]UN!$A$2:$FA$67, 22, FALSE)="",":",VLOOKUP($E$87,[1]UN!$A$2:$FA$67, 22, FALSE))</f>
        <v>19421.95</v>
      </c>
      <c r="X87" s="544">
        <f>IF(VLOOKUP($E$87,[1]UN!$A$2:$FA$67, 23, FALSE)="",":",VLOOKUP($E$87,[1]UN!$A$2:$FA$67, 23, FALSE))</f>
        <v>22427.16</v>
      </c>
      <c r="Y87" s="544">
        <f>IF(VLOOKUP($E$87,[1]UN!$A$2:$FA$67, 24, FALSE)="",":",VLOOKUP($E$87,[1]UN!$A$2:$FA$67, 24, FALSE))</f>
        <v>23997.66</v>
      </c>
      <c r="Z87" s="544">
        <f>IF(VLOOKUP($E$87,[1]UN!$A$2:$FA$67, 25, FALSE)="",":",VLOOKUP($E$87,[1]UN!$A$2:$FA$67, 25, FALSE))</f>
        <v>23749.599999999999</v>
      </c>
      <c r="AA87" s="544">
        <f>IF(VLOOKUP($E$87,[1]UN!$A$2:$FA$67, 26, FALSE)="",":",VLOOKUP($E$87,[1]UN!$A$2:$FA$67, 26, FALSE))</f>
        <v>22309.39</v>
      </c>
      <c r="AB87" s="544">
        <f>IF(VLOOKUP($E$87,[1]UN!$A$2:$FA$67, 27, FALSE)="",":",VLOOKUP($E$87,[1]UN!$A$2:$FA$67, 27, FALSE))</f>
        <v>21921.91</v>
      </c>
      <c r="AC87" s="544">
        <f>IF(VLOOKUP($E$87,[1]UN!$A$2:$FA$67, 28, FALSE)="",":",VLOOKUP($E$87,[1]UN!$A$2:$FA$67, 28, FALSE))</f>
        <v>25752.92</v>
      </c>
      <c r="AD87" s="544" t="str">
        <f>IF(VLOOKUP($E$87,[1]UN!$A$2:$FA$67, 29, FALSE)="",":",VLOOKUP($E$87,[1]UN!$A$2:$FA$67, 29, FALSE))</f>
        <v>:</v>
      </c>
      <c r="AE87" s="544" t="str">
        <f>IF(VLOOKUP($E$87,[1]UN!$A$2:$FA$67, 30, FALSE)="",":",VLOOKUP($E$87,[1]UN!$A$2:$FA$67, 30, FALSE))</f>
        <v>:</v>
      </c>
      <c r="AF87" s="544" t="str">
        <f>IF(VLOOKUP($E$87,[1]UN!$A$2:$FA$67, 31, FALSE)="",":",VLOOKUP($E$87,[1]UN!$A$2:$FA$67, 31, FALSE))</f>
        <v>:</v>
      </c>
    </row>
    <row r="88" spans="1:32">
      <c r="A88" s="533">
        <v>44</v>
      </c>
      <c r="B88" s="534" t="s">
        <v>1539</v>
      </c>
      <c r="C88" s="535" t="s">
        <v>493</v>
      </c>
      <c r="D88" s="12" t="s">
        <v>475</v>
      </c>
      <c r="E88" s="13">
        <v>512</v>
      </c>
      <c r="F88" s="14" t="str">
        <f>VLOOKUP($E$88,[1]UN!$A$2:$FA$67, 3, FALSE)</f>
        <v xml:space="preserve">512  Exports of services </v>
      </c>
      <c r="G88" s="544">
        <f>IF(VLOOKUP($E$88,[1]UN!$A$2:$FA$67, 6, FALSE)="",":",VLOOKUP($E$88,[1]UN!$A$2:$FA$67, 6, FALSE))</f>
        <v>712.13</v>
      </c>
      <c r="H88" s="544">
        <f>IF(VLOOKUP($E$88,[1]UN!$A$2:$FA$67, 7, FALSE)="",":",VLOOKUP($E$88,[1]UN!$A$2:$FA$67, 7, FALSE))</f>
        <v>1070.3499999999999</v>
      </c>
      <c r="I88" s="544">
        <f>IF(VLOOKUP($E$88,[1]UN!$A$2:$FA$67, 8, FALSE)="",":",VLOOKUP($E$88,[1]UN!$A$2:$FA$67, 8, FALSE))</f>
        <v>1351.38</v>
      </c>
      <c r="J88" s="544">
        <f>IF(VLOOKUP($E$88,[1]UN!$A$2:$FA$67, 9, FALSE)="",":",VLOOKUP($E$88,[1]UN!$A$2:$FA$67, 9, FALSE))</f>
        <v>1445.72</v>
      </c>
      <c r="K88" s="544">
        <f>IF(VLOOKUP($E$88,[1]UN!$A$2:$FA$67, 10, FALSE)="",":",VLOOKUP($E$88,[1]UN!$A$2:$FA$67, 10, FALSE))</f>
        <v>1430.18</v>
      </c>
      <c r="L88" s="544">
        <f>IF(VLOOKUP($E$88,[1]UN!$A$2:$FA$67, 11, FALSE)="",":",VLOOKUP($E$88,[1]UN!$A$2:$FA$67, 11, FALSE))</f>
        <v>1399.29</v>
      </c>
      <c r="M88" s="544">
        <f>IF(VLOOKUP($E$88,[1]UN!$A$2:$FA$67, 12, FALSE)="",":",VLOOKUP($E$88,[1]UN!$A$2:$FA$67, 12, FALSE))</f>
        <v>1511.55</v>
      </c>
      <c r="N88" s="544">
        <f>IF(VLOOKUP($E$88,[1]UN!$A$2:$FA$67, 13, FALSE)="",":",VLOOKUP($E$88,[1]UN!$A$2:$FA$67, 13, FALSE))</f>
        <v>1734.14</v>
      </c>
      <c r="O88" s="544">
        <f>IF(VLOOKUP($E$88,[1]UN!$A$2:$FA$67, 14, FALSE)="",":",VLOOKUP($E$88,[1]UN!$A$2:$FA$67, 14, FALSE))</f>
        <v>1829.33</v>
      </c>
      <c r="P88" s="544">
        <f>IF(VLOOKUP($E$88,[1]UN!$A$2:$FA$67, 15, FALSE)="",":",VLOOKUP($E$88,[1]UN!$A$2:$FA$67, 15, FALSE))</f>
        <v>2228.85</v>
      </c>
      <c r="Q88" s="544">
        <f>IF(VLOOKUP($E$88,[1]UN!$A$2:$FA$67, 16, FALSE)="",":",VLOOKUP($E$88,[1]UN!$A$2:$FA$67, 16, FALSE))</f>
        <v>2448.21</v>
      </c>
      <c r="R88" s="544">
        <f>IF(VLOOKUP($E$88,[1]UN!$A$2:$FA$67, 17, FALSE)="",":",VLOOKUP($E$88,[1]UN!$A$2:$FA$67, 17, FALSE))</f>
        <v>2883.73</v>
      </c>
      <c r="S88" s="544">
        <f>IF(VLOOKUP($E$88,[1]UN!$A$2:$FA$67, 18, FALSE)="",":",VLOOKUP($E$88,[1]UN!$A$2:$FA$67, 18, FALSE))</f>
        <v>3089.85</v>
      </c>
      <c r="T88" s="544">
        <f>IF(VLOOKUP($E$88,[1]UN!$A$2:$FA$67, 19, FALSE)="",":",VLOOKUP($E$88,[1]UN!$A$2:$FA$67, 19, FALSE))</f>
        <v>3446.39</v>
      </c>
      <c r="U88" s="544">
        <f>IF(VLOOKUP($E$88,[1]UN!$A$2:$FA$67, 20, FALSE)="",":",VLOOKUP($E$88,[1]UN!$A$2:$FA$67, 20, FALSE))</f>
        <v>2934.01</v>
      </c>
      <c r="V88" s="544">
        <f>IF(VLOOKUP($E$88,[1]UN!$A$2:$FA$67, 21, FALSE)="",":",VLOOKUP($E$88,[1]UN!$A$2:$FA$67, 21, FALSE))</f>
        <v>3422.87</v>
      </c>
      <c r="W88" s="544">
        <f>IF(VLOOKUP($E$88,[1]UN!$A$2:$FA$67, 22, FALSE)="",":",VLOOKUP($E$88,[1]UN!$A$2:$FA$67, 22, FALSE))</f>
        <v>4033.1</v>
      </c>
      <c r="X88" s="544">
        <f>IF(VLOOKUP($E$88,[1]UN!$A$2:$FA$67, 23, FALSE)="",":",VLOOKUP($E$88,[1]UN!$A$2:$FA$67, 23, FALSE))</f>
        <v>4792.91</v>
      </c>
      <c r="Y88" s="544">
        <f>IF(VLOOKUP($E$88,[1]UN!$A$2:$FA$67, 24, FALSE)="",":",VLOOKUP($E$88,[1]UN!$A$2:$FA$67, 24, FALSE))</f>
        <v>5390.21</v>
      </c>
      <c r="Z88" s="544">
        <f>IF(VLOOKUP($E$88,[1]UN!$A$2:$FA$67, 25, FALSE)="",":",VLOOKUP($E$88,[1]UN!$A$2:$FA$67, 25, FALSE))</f>
        <v>5908.43</v>
      </c>
      <c r="AA88" s="544">
        <f>IF(VLOOKUP($E$88,[1]UN!$A$2:$FA$67, 26, FALSE)="",":",VLOOKUP($E$88,[1]UN!$A$2:$FA$67, 26, FALSE))</f>
        <v>6073.77</v>
      </c>
      <c r="AB88" s="544">
        <f>IF(VLOOKUP($E$88,[1]UN!$A$2:$FA$67, 27, FALSE)="",":",VLOOKUP($E$88,[1]UN!$A$2:$FA$67, 27, FALSE))</f>
        <v>6867.22</v>
      </c>
      <c r="AC88" s="544">
        <f>IF(VLOOKUP($E$88,[1]UN!$A$2:$FA$67, 28, FALSE)="",":",VLOOKUP($E$88,[1]UN!$A$2:$FA$67, 28, FALSE))</f>
        <v>8280.17</v>
      </c>
      <c r="AD88" s="544" t="str">
        <f>IF(VLOOKUP($E$88,[1]UN!$A$2:$FA$67, 29, FALSE)="",":",VLOOKUP($E$88,[1]UN!$A$2:$FA$67, 29, FALSE))</f>
        <v>:</v>
      </c>
      <c r="AE88" s="544" t="str">
        <f>IF(VLOOKUP($E$88,[1]UN!$A$2:$FA$67, 30, FALSE)="",":",VLOOKUP($E$88,[1]UN!$A$2:$FA$67, 30, FALSE))</f>
        <v>:</v>
      </c>
      <c r="AF88" s="544" t="str">
        <f>IF(VLOOKUP($E$88,[1]UN!$A$2:$FA$67, 31, FALSE)="",":",VLOOKUP($E$88,[1]UN!$A$2:$FA$67, 31, FALSE))</f>
        <v>:</v>
      </c>
    </row>
    <row r="89" spans="1:32">
      <c r="A89" s="533"/>
      <c r="B89" s="534" t="s">
        <v>472</v>
      </c>
      <c r="C89" s="535" t="s">
        <v>494</v>
      </c>
      <c r="D89" s="12" t="s">
        <v>475</v>
      </c>
      <c r="E89" s="13">
        <v>510</v>
      </c>
      <c r="F89" s="14" t="str">
        <f>VLOOKUP($E$89,[1]UN!$A$2:$FA$67, 3, FALSE)</f>
        <v xml:space="preserve">510  Exports of goods and services                                                </v>
      </c>
      <c r="G89" s="544">
        <f>IF(VLOOKUP($E$89,[1]UN!$A$2:$FA$67, 6, FALSE)="",":",VLOOKUP($E$89,[1]UN!$A$2:$FA$67, 6, FALSE))</f>
        <v>2884.1</v>
      </c>
      <c r="H89" s="544">
        <f>IF(VLOOKUP($E$89,[1]UN!$A$2:$FA$67, 7, FALSE)="",":",VLOOKUP($E$89,[1]UN!$A$2:$FA$67, 7, FALSE))</f>
        <v>4074.16</v>
      </c>
      <c r="I89" s="544">
        <f>IF(VLOOKUP($E$89,[1]UN!$A$2:$FA$67, 8, FALSE)="",":",VLOOKUP($E$89,[1]UN!$A$2:$FA$67, 8, FALSE))</f>
        <v>5272.05</v>
      </c>
      <c r="J89" s="544">
        <f>IF(VLOOKUP($E$89,[1]UN!$A$2:$FA$67, 9, FALSE)="",":",VLOOKUP($E$89,[1]UN!$A$2:$FA$67, 9, FALSE))</f>
        <v>5094.8100000000004</v>
      </c>
      <c r="K89" s="544">
        <f>IF(VLOOKUP($E$89,[1]UN!$A$2:$FA$67, 10, FALSE)="",":",VLOOKUP($E$89,[1]UN!$A$2:$FA$67, 10, FALSE))</f>
        <v>4120.54</v>
      </c>
      <c r="L89" s="544">
        <f>IF(VLOOKUP($E$89,[1]UN!$A$2:$FA$67, 11, FALSE)="",":",VLOOKUP($E$89,[1]UN!$A$2:$FA$67, 11, FALSE))</f>
        <v>5152.8500000000004</v>
      </c>
      <c r="M89" s="544">
        <f>IF(VLOOKUP($E$89,[1]UN!$A$2:$FA$67, 12, FALSE)="",":",VLOOKUP($E$89,[1]UN!$A$2:$FA$67, 12, FALSE))</f>
        <v>6251.64</v>
      </c>
      <c r="N89" s="544">
        <f>IF(VLOOKUP($E$89,[1]UN!$A$2:$FA$67, 13, FALSE)="",":",VLOOKUP($E$89,[1]UN!$A$2:$FA$67, 13, FALSE))</f>
        <v>7197.03</v>
      </c>
      <c r="O89" s="544">
        <f>IF(VLOOKUP($E$89,[1]UN!$A$2:$FA$67, 14, FALSE)="",":",VLOOKUP($E$89,[1]UN!$A$2:$FA$67, 14, FALSE))</f>
        <v>7695.79</v>
      </c>
      <c r="P89" s="544">
        <f>IF(VLOOKUP($E$89,[1]UN!$A$2:$FA$67, 15, FALSE)="",":",VLOOKUP($E$89,[1]UN!$A$2:$FA$67, 15, FALSE))</f>
        <v>8634.9599999999991</v>
      </c>
      <c r="Q89" s="544">
        <f>IF(VLOOKUP($E$89,[1]UN!$A$2:$FA$67, 16, FALSE)="",":",VLOOKUP($E$89,[1]UN!$A$2:$FA$67, 16, FALSE))</f>
        <v>11308.14</v>
      </c>
      <c r="R89" s="544">
        <f>IF(VLOOKUP($E$89,[1]UN!$A$2:$FA$67, 17, FALSE)="",":",VLOOKUP($E$89,[1]UN!$A$2:$FA$67, 17, FALSE))</f>
        <v>13392.9</v>
      </c>
      <c r="S89" s="544">
        <f>IF(VLOOKUP($E$89,[1]UN!$A$2:$FA$67, 18, FALSE)="",":",VLOOKUP($E$89,[1]UN!$A$2:$FA$67, 18, FALSE))</f>
        <v>14624.39</v>
      </c>
      <c r="T89" s="544">
        <f>IF(VLOOKUP($E$89,[1]UN!$A$2:$FA$67, 19, FALSE)="",":",VLOOKUP($E$89,[1]UN!$A$2:$FA$67, 19, FALSE))</f>
        <v>18682.330000000002</v>
      </c>
      <c r="U89" s="544">
        <f>IF(VLOOKUP($E$89,[1]UN!$A$2:$FA$67, 20, FALSE)="",":",VLOOKUP($E$89,[1]UN!$A$2:$FA$67, 20, FALSE))</f>
        <v>13989.73</v>
      </c>
      <c r="V89" s="544">
        <f>IF(VLOOKUP($E$89,[1]UN!$A$2:$FA$67, 21, FALSE)="",":",VLOOKUP($E$89,[1]UN!$A$2:$FA$67, 21, FALSE))</f>
        <v>18313.88</v>
      </c>
      <c r="W89" s="544">
        <f>IF(VLOOKUP($E$89,[1]UN!$A$2:$FA$67, 22, FALSE)="",":",VLOOKUP($E$89,[1]UN!$A$2:$FA$67, 22, FALSE))</f>
        <v>23455.05</v>
      </c>
      <c r="X89" s="544">
        <f>IF(VLOOKUP($E$89,[1]UN!$A$2:$FA$67, 23, FALSE)="",":",VLOOKUP($E$89,[1]UN!$A$2:$FA$67, 23, FALSE))</f>
        <v>27220.07</v>
      </c>
      <c r="Y89" s="544">
        <f>IF(VLOOKUP($E$89,[1]UN!$A$2:$FA$67, 24, FALSE)="",":",VLOOKUP($E$89,[1]UN!$A$2:$FA$67, 24, FALSE))</f>
        <v>29387.87</v>
      </c>
      <c r="Z89" s="544">
        <f>IF(VLOOKUP($E$89,[1]UN!$A$2:$FA$67, 25, FALSE)="",":",VLOOKUP($E$89,[1]UN!$A$2:$FA$67, 25, FALSE))</f>
        <v>29658.02</v>
      </c>
      <c r="AA89" s="544">
        <f>IF(VLOOKUP($E$89,[1]UN!$A$2:$FA$67, 26, FALSE)="",":",VLOOKUP($E$89,[1]UN!$A$2:$FA$67, 26, FALSE))</f>
        <v>28383.16</v>
      </c>
      <c r="AB89" s="544">
        <f>IF(VLOOKUP($E$89,[1]UN!$A$2:$FA$67, 27, FALSE)="",":",VLOOKUP($E$89,[1]UN!$A$2:$FA$67, 27, FALSE))</f>
        <v>28789.13</v>
      </c>
      <c r="AC89" s="544">
        <f>IF(VLOOKUP($E$89,[1]UN!$A$2:$FA$67, 28, FALSE)="",":",VLOOKUP($E$89,[1]UN!$A$2:$FA$67, 28, FALSE))</f>
        <v>34033.089999999997</v>
      </c>
      <c r="AD89" s="544" t="str">
        <f>IF(VLOOKUP($E$89,[1]UN!$A$2:$FA$67, 29, FALSE)="",":",VLOOKUP($E$89,[1]UN!$A$2:$FA$67, 29, FALSE))</f>
        <v>:</v>
      </c>
      <c r="AE89" s="544" t="str">
        <f>IF(VLOOKUP($E$89,[1]UN!$A$2:$FA$67, 30, FALSE)="",":",VLOOKUP($E$89,[1]UN!$A$2:$FA$67, 30, FALSE))</f>
        <v>:</v>
      </c>
      <c r="AF89" s="544" t="str">
        <f>IF(VLOOKUP($E$89,[1]UN!$A$2:$FA$67, 31, FALSE)="",":",VLOOKUP($E$89,[1]UN!$A$2:$FA$67, 31, FALSE))</f>
        <v>:</v>
      </c>
    </row>
    <row r="90" spans="1:32">
      <c r="A90" s="533"/>
      <c r="B90" s="534"/>
      <c r="C90" s="535"/>
      <c r="D90" s="12"/>
      <c r="E90" s="13"/>
      <c r="F90" s="14"/>
      <c r="G90" s="544"/>
      <c r="H90" s="544"/>
      <c r="I90" s="544"/>
      <c r="J90" s="544"/>
      <c r="K90" s="544"/>
      <c r="L90" s="544"/>
      <c r="M90" s="544"/>
      <c r="N90" s="544"/>
      <c r="O90" s="544"/>
      <c r="P90" s="544"/>
      <c r="Q90" s="544"/>
      <c r="R90" s="544"/>
      <c r="S90" s="544"/>
      <c r="T90" s="544"/>
      <c r="U90" s="544"/>
      <c r="V90" s="544"/>
      <c r="W90" s="544"/>
      <c r="X90" s="544"/>
      <c r="Y90" s="544"/>
      <c r="Z90" s="544"/>
      <c r="AA90" s="544"/>
      <c r="AB90" s="544"/>
      <c r="AC90" s="544"/>
      <c r="AD90" s="544"/>
      <c r="AE90" s="544"/>
      <c r="AF90" s="544"/>
    </row>
    <row r="91" spans="1:32">
      <c r="A91" s="533">
        <v>45</v>
      </c>
      <c r="B91" s="534" t="s">
        <v>1436</v>
      </c>
      <c r="C91" s="535" t="s">
        <v>495</v>
      </c>
      <c r="D91" s="12" t="s">
        <v>475</v>
      </c>
      <c r="E91" s="13">
        <v>521</v>
      </c>
      <c r="F91" s="14" t="str">
        <f>VLOOKUP($E$91,[1]UN!$A$2:$FA$67, 3, FALSE)</f>
        <v xml:space="preserve">521  Imports of goods                                                             </v>
      </c>
      <c r="G91" s="544">
        <f>IF(VLOOKUP($E$91,[1]UN!$A$2:$FA$67, 6, FALSE)="",":",VLOOKUP($E$91,[1]UN!$A$2:$FA$67, 6, FALSE))</f>
        <v>3093.69</v>
      </c>
      <c r="H91" s="544">
        <f>IF(VLOOKUP($E$91,[1]UN!$A$2:$FA$67, 7, FALSE)="",":",VLOOKUP($E$91,[1]UN!$A$2:$FA$67, 7, FALSE))</f>
        <v>4160.7299999999996</v>
      </c>
      <c r="I91" s="544">
        <f>IF(VLOOKUP($E$91,[1]UN!$A$2:$FA$67, 8, FALSE)="",":",VLOOKUP($E$91,[1]UN!$A$2:$FA$67, 8, FALSE))</f>
        <v>5375.49</v>
      </c>
      <c r="J91" s="544">
        <f>IF(VLOOKUP($E$91,[1]UN!$A$2:$FA$67, 9, FALSE)="",":",VLOOKUP($E$91,[1]UN!$A$2:$FA$67, 9, FALSE))</f>
        <v>5540.55</v>
      </c>
      <c r="K91" s="544">
        <f>IF(VLOOKUP($E$91,[1]UN!$A$2:$FA$67, 10, FALSE)="",":",VLOOKUP($E$91,[1]UN!$A$2:$FA$67, 10, FALSE))</f>
        <v>4445.91</v>
      </c>
      <c r="L91" s="544">
        <f>IF(VLOOKUP($E$91,[1]UN!$A$2:$FA$67, 11, FALSE)="",":",VLOOKUP($E$91,[1]UN!$A$2:$FA$67, 11, FALSE))</f>
        <v>5162.8900000000003</v>
      </c>
      <c r="M91" s="544">
        <f>IF(VLOOKUP($E$91,[1]UN!$A$2:$FA$67, 12, FALSE)="",":",VLOOKUP($E$91,[1]UN!$A$2:$FA$67, 12, FALSE))</f>
        <v>6156.4</v>
      </c>
      <c r="N91" s="544">
        <f>IF(VLOOKUP($E$91,[1]UN!$A$2:$FA$67, 13, FALSE)="",":",VLOOKUP($E$91,[1]UN!$A$2:$FA$67, 13, FALSE))</f>
        <v>7009.42</v>
      </c>
      <c r="O91" s="544">
        <f>IF(VLOOKUP($E$91,[1]UN!$A$2:$FA$67, 14, FALSE)="",":",VLOOKUP($E$91,[1]UN!$A$2:$FA$67, 14, FALSE))</f>
        <v>7497.59</v>
      </c>
      <c r="P91" s="544">
        <f>IF(VLOOKUP($E$91,[1]UN!$A$2:$FA$67, 15, FALSE)="",":",VLOOKUP($E$91,[1]UN!$A$2:$FA$67, 15, FALSE))</f>
        <v>8575.86</v>
      </c>
      <c r="Q91" s="544">
        <f>IF(VLOOKUP($E$91,[1]UN!$A$2:$FA$67, 16, FALSE)="",":",VLOOKUP($E$91,[1]UN!$A$2:$FA$67, 16, FALSE))</f>
        <v>11156.01</v>
      </c>
      <c r="R91" s="544">
        <f>IF(VLOOKUP($E$91,[1]UN!$A$2:$FA$67, 17, FALSE)="",":",VLOOKUP($E$91,[1]UN!$A$2:$FA$67, 17, FALSE))</f>
        <v>13828.06</v>
      </c>
      <c r="S91" s="544">
        <f>IF(VLOOKUP($E$91,[1]UN!$A$2:$FA$67, 18, FALSE)="",":",VLOOKUP($E$91,[1]UN!$A$2:$FA$67, 18, FALSE))</f>
        <v>15942.17</v>
      </c>
      <c r="T91" s="544">
        <f>IF(VLOOKUP($E$91,[1]UN!$A$2:$FA$67, 19, FALSE)="",":",VLOOKUP($E$91,[1]UN!$A$2:$FA$67, 19, FALSE))</f>
        <v>19602.48</v>
      </c>
      <c r="U91" s="544">
        <f>IF(VLOOKUP($E$91,[1]UN!$A$2:$FA$67, 20, FALSE)="",":",VLOOKUP($E$91,[1]UN!$A$2:$FA$67, 20, FALSE))</f>
        <v>12223.05</v>
      </c>
      <c r="V91" s="544">
        <f>IF(VLOOKUP($E$91,[1]UN!$A$2:$FA$67, 21, FALSE)="",":",VLOOKUP($E$91,[1]UN!$A$2:$FA$67, 21, FALSE))</f>
        <v>16539.330000000002</v>
      </c>
      <c r="W91" s="544">
        <f>IF(VLOOKUP($E$91,[1]UN!$A$2:$FA$67, 22, FALSE)="",":",VLOOKUP($E$91,[1]UN!$A$2:$FA$67, 22, FALSE))</f>
        <v>21486.98</v>
      </c>
      <c r="X91" s="544">
        <f>IF(VLOOKUP($E$91,[1]UN!$A$2:$FA$67, 23, FALSE)="",":",VLOOKUP($E$91,[1]UN!$A$2:$FA$67, 23, FALSE))</f>
        <v>23529.599999999999</v>
      </c>
      <c r="Y91" s="544">
        <f>IF(VLOOKUP($E$91,[1]UN!$A$2:$FA$67, 24, FALSE)="",":",VLOOKUP($E$91,[1]UN!$A$2:$FA$67, 24, FALSE))</f>
        <v>24917.59</v>
      </c>
      <c r="Z91" s="544">
        <f>IF(VLOOKUP($E$91,[1]UN!$A$2:$FA$67, 25, FALSE)="",":",VLOOKUP($E$91,[1]UN!$A$2:$FA$67, 25, FALSE))</f>
        <v>24686.38</v>
      </c>
      <c r="AA91" s="544">
        <f>IF(VLOOKUP($E$91,[1]UN!$A$2:$FA$67, 26, FALSE)="",":",VLOOKUP($E$91,[1]UN!$A$2:$FA$67, 26, FALSE))</f>
        <v>24296.28</v>
      </c>
      <c r="AB91" s="544">
        <f>IF(VLOOKUP($E$91,[1]UN!$A$2:$FA$67, 27, FALSE)="",":",VLOOKUP($E$91,[1]UN!$A$2:$FA$67, 27, FALSE))</f>
        <v>23690.35</v>
      </c>
      <c r="AC91" s="544">
        <f>IF(VLOOKUP($E$91,[1]UN!$A$2:$FA$67, 28, FALSE)="",":",VLOOKUP($E$91,[1]UN!$A$2:$FA$67, 28, FALSE))</f>
        <v>27813.87</v>
      </c>
      <c r="AD91" s="544" t="str">
        <f>IF(VLOOKUP($E$91,[1]UN!$A$2:$FA$67, 29, FALSE)="",":",VLOOKUP($E$91,[1]UN!$A$2:$FA$67, 29, FALSE))</f>
        <v>:</v>
      </c>
      <c r="AE91" s="544" t="str">
        <f>IF(VLOOKUP($E$91,[1]UN!$A$2:$FA$67, 30, FALSE)="",":",VLOOKUP($E$91,[1]UN!$A$2:$FA$67, 30, FALSE))</f>
        <v>:</v>
      </c>
      <c r="AF91" s="544" t="str">
        <f>IF(VLOOKUP($E$91,[1]UN!$A$2:$FA$67, 31, FALSE)="",":",VLOOKUP($E$91,[1]UN!$A$2:$FA$67, 31, FALSE))</f>
        <v>:</v>
      </c>
    </row>
    <row r="92" spans="1:32">
      <c r="A92" s="533">
        <v>46</v>
      </c>
      <c r="B92" s="534" t="s">
        <v>1542</v>
      </c>
      <c r="C92" s="535" t="s">
        <v>496</v>
      </c>
      <c r="D92" s="12" t="s">
        <v>475</v>
      </c>
      <c r="E92" s="13">
        <v>522</v>
      </c>
      <c r="F92" s="14" t="str">
        <f>VLOOKUP($E$92,[1]UN!$A$2:$FA$67, 3, FALSE)</f>
        <v xml:space="preserve">522  Imports of services </v>
      </c>
      <c r="G92" s="544">
        <f>IF(VLOOKUP($E$92,[1]UN!$A$2:$FA$67, 6, FALSE)="",":",VLOOKUP($E$92,[1]UN!$A$2:$FA$67, 6, FALSE))</f>
        <v>615.6</v>
      </c>
      <c r="H92" s="544">
        <f>IF(VLOOKUP($E$92,[1]UN!$A$2:$FA$67, 7, FALSE)="",":",VLOOKUP($E$92,[1]UN!$A$2:$FA$67, 7, FALSE))</f>
        <v>816.2</v>
      </c>
      <c r="I92" s="544">
        <f>IF(VLOOKUP($E$92,[1]UN!$A$2:$FA$67, 8, FALSE)="",":",VLOOKUP($E$92,[1]UN!$A$2:$FA$67, 8, FALSE))</f>
        <v>1077.8900000000001</v>
      </c>
      <c r="J92" s="544">
        <f>IF(VLOOKUP($E$92,[1]UN!$A$2:$FA$67, 9, FALSE)="",":",VLOOKUP($E$92,[1]UN!$A$2:$FA$67, 9, FALSE))</f>
        <v>1039.06</v>
      </c>
      <c r="K92" s="544">
        <f>IF(VLOOKUP($E$92,[1]UN!$A$2:$FA$67, 10, FALSE)="",":",VLOOKUP($E$92,[1]UN!$A$2:$FA$67, 10, FALSE))</f>
        <v>943.8</v>
      </c>
      <c r="L92" s="544">
        <f>IF(VLOOKUP($E$92,[1]UN!$A$2:$FA$67, 11, FALSE)="",":",VLOOKUP($E$92,[1]UN!$A$2:$FA$67, 11, FALSE))</f>
        <v>816.51</v>
      </c>
      <c r="M92" s="544">
        <f>IF(VLOOKUP($E$92,[1]UN!$A$2:$FA$67, 12, FALSE)="",":",VLOOKUP($E$92,[1]UN!$A$2:$FA$67, 12, FALSE))</f>
        <v>870.96</v>
      </c>
      <c r="N92" s="544">
        <f>IF(VLOOKUP($E$92,[1]UN!$A$2:$FA$67, 13, FALSE)="",":",VLOOKUP($E$92,[1]UN!$A$2:$FA$67, 13, FALSE))</f>
        <v>1050.43</v>
      </c>
      <c r="O92" s="544">
        <f>IF(VLOOKUP($E$92,[1]UN!$A$2:$FA$67, 14, FALSE)="",":",VLOOKUP($E$92,[1]UN!$A$2:$FA$67, 14, FALSE))</f>
        <v>1162.73</v>
      </c>
      <c r="P92" s="544">
        <f>IF(VLOOKUP($E$92,[1]UN!$A$2:$FA$67, 15, FALSE)="",":",VLOOKUP($E$92,[1]UN!$A$2:$FA$67, 15, FALSE))</f>
        <v>1342.53</v>
      </c>
      <c r="Q92" s="544">
        <f>IF(VLOOKUP($E$92,[1]UN!$A$2:$FA$67, 16, FALSE)="",":",VLOOKUP($E$92,[1]UN!$A$2:$FA$67, 16, FALSE))</f>
        <v>1671.11</v>
      </c>
      <c r="R92" s="544">
        <f>IF(VLOOKUP($E$92,[1]UN!$A$2:$FA$67, 17, FALSE)="",":",VLOOKUP($E$92,[1]UN!$A$2:$FA$67, 17, FALSE))</f>
        <v>2036.25</v>
      </c>
      <c r="S92" s="544">
        <f>IF(VLOOKUP($E$92,[1]UN!$A$2:$FA$67, 18, FALSE)="",":",VLOOKUP($E$92,[1]UN!$A$2:$FA$67, 18, FALSE))</f>
        <v>2493.75</v>
      </c>
      <c r="T92" s="544">
        <f>IF(VLOOKUP($E$92,[1]UN!$A$2:$FA$67, 19, FALSE)="",":",VLOOKUP($E$92,[1]UN!$A$2:$FA$67, 19, FALSE))</f>
        <v>2863.26</v>
      </c>
      <c r="U92" s="544">
        <f>IF(VLOOKUP($E$92,[1]UN!$A$2:$FA$67, 20, FALSE)="",":",VLOOKUP($E$92,[1]UN!$A$2:$FA$67, 20, FALSE))</f>
        <v>2219.2399999999998</v>
      </c>
      <c r="V92" s="544">
        <f>IF(VLOOKUP($E$92,[1]UN!$A$2:$FA$67, 21, FALSE)="",":",VLOOKUP($E$92,[1]UN!$A$2:$FA$67, 21, FALSE))</f>
        <v>2300.7600000000002</v>
      </c>
      <c r="W92" s="544">
        <f>IF(VLOOKUP($E$92,[1]UN!$A$2:$FA$67, 22, FALSE)="",":",VLOOKUP($E$92,[1]UN!$A$2:$FA$67, 22, FALSE))</f>
        <v>2765.73</v>
      </c>
      <c r="X92" s="544">
        <f>IF(VLOOKUP($E$92,[1]UN!$A$2:$FA$67, 23, FALSE)="",":",VLOOKUP($E$92,[1]UN!$A$2:$FA$67, 23, FALSE))</f>
        <v>3403.6</v>
      </c>
      <c r="Y92" s="544">
        <f>IF(VLOOKUP($E$92,[1]UN!$A$2:$FA$67, 24, FALSE)="",":",VLOOKUP($E$92,[1]UN!$A$2:$FA$67, 24, FALSE))</f>
        <v>4033.03</v>
      </c>
      <c r="Z92" s="544">
        <f>IF(VLOOKUP($E$92,[1]UN!$A$2:$FA$67, 25, FALSE)="",":",VLOOKUP($E$92,[1]UN!$A$2:$FA$67, 25, FALSE))</f>
        <v>4212.12</v>
      </c>
      <c r="AA92" s="544">
        <f>IF(VLOOKUP($E$92,[1]UN!$A$2:$FA$67, 26, FALSE)="",":",VLOOKUP($E$92,[1]UN!$A$2:$FA$67, 26, FALSE))</f>
        <v>4266.37</v>
      </c>
      <c r="AB92" s="544">
        <f>IF(VLOOKUP($E$92,[1]UN!$A$2:$FA$67, 27, FALSE)="",":",VLOOKUP($E$92,[1]UN!$A$2:$FA$67, 27, FALSE))</f>
        <v>4598.88</v>
      </c>
      <c r="AC92" s="544">
        <f>IF(VLOOKUP($E$92,[1]UN!$A$2:$FA$67, 28, FALSE)="",":",VLOOKUP($E$92,[1]UN!$A$2:$FA$67, 28, FALSE))</f>
        <v>5376.09</v>
      </c>
      <c r="AD92" s="544" t="str">
        <f>IF(VLOOKUP($E$92,[1]UN!$A$2:$FA$67, 29, FALSE)="",":",VLOOKUP($E$92,[1]UN!$A$2:$FA$67, 29, FALSE))</f>
        <v>:</v>
      </c>
      <c r="AE92" s="544" t="str">
        <f>IF(VLOOKUP($E$92,[1]UN!$A$2:$FA$67, 30, FALSE)="",":",VLOOKUP($E$92,[1]UN!$A$2:$FA$67, 30, FALSE))</f>
        <v>:</v>
      </c>
      <c r="AF92" s="544" t="str">
        <f>IF(VLOOKUP($E$92,[1]UN!$A$2:$FA$67, 31, FALSE)="",":",VLOOKUP($E$92,[1]UN!$A$2:$FA$67, 31, FALSE))</f>
        <v>:</v>
      </c>
    </row>
    <row r="93" spans="1:32">
      <c r="A93" s="533"/>
      <c r="B93" s="534" t="s">
        <v>473</v>
      </c>
      <c r="C93" s="535" t="s">
        <v>497</v>
      </c>
      <c r="D93" s="12" t="s">
        <v>475</v>
      </c>
      <c r="E93" s="13">
        <v>520</v>
      </c>
      <c r="F93" s="14" t="str">
        <f>VLOOKUP($E$93,[1]UN!$A$2:$FA$67, 3, FALSE)</f>
        <v xml:space="preserve">520  Imports of goods and services                                                </v>
      </c>
      <c r="G93" s="544">
        <f>IF(VLOOKUP($E$93,[1]UN!$A$2:$FA$67, 6, FALSE)="",":",VLOOKUP($E$93,[1]UN!$A$2:$FA$67, 6, FALSE))</f>
        <v>3709.29</v>
      </c>
      <c r="H93" s="544">
        <f>IF(VLOOKUP($E$93,[1]UN!$A$2:$FA$67, 7, FALSE)="",":",VLOOKUP($E$93,[1]UN!$A$2:$FA$67, 7, FALSE))</f>
        <v>4976.9399999999996</v>
      </c>
      <c r="I93" s="544">
        <f>IF(VLOOKUP($E$93,[1]UN!$A$2:$FA$67, 8, FALSE)="",":",VLOOKUP($E$93,[1]UN!$A$2:$FA$67, 8, FALSE))</f>
        <v>6453.38</v>
      </c>
      <c r="J93" s="544">
        <f>IF(VLOOKUP($E$93,[1]UN!$A$2:$FA$67, 9, FALSE)="",":",VLOOKUP($E$93,[1]UN!$A$2:$FA$67, 9, FALSE))</f>
        <v>6579.61</v>
      </c>
      <c r="K93" s="544">
        <f>IF(VLOOKUP($E$93,[1]UN!$A$2:$FA$67, 10, FALSE)="",":",VLOOKUP($E$93,[1]UN!$A$2:$FA$67, 10, FALSE))</f>
        <v>5389.71</v>
      </c>
      <c r="L93" s="544">
        <f>IF(VLOOKUP($E$93,[1]UN!$A$2:$FA$67, 11, FALSE)="",":",VLOOKUP($E$93,[1]UN!$A$2:$FA$67, 11, FALSE))</f>
        <v>5979.4</v>
      </c>
      <c r="M93" s="544">
        <f>IF(VLOOKUP($E$93,[1]UN!$A$2:$FA$67, 12, FALSE)="",":",VLOOKUP($E$93,[1]UN!$A$2:$FA$67, 12, FALSE))</f>
        <v>7027.36</v>
      </c>
      <c r="N93" s="544">
        <f>IF(VLOOKUP($E$93,[1]UN!$A$2:$FA$67, 13, FALSE)="",":",VLOOKUP($E$93,[1]UN!$A$2:$FA$67, 13, FALSE))</f>
        <v>8059.85</v>
      </c>
      <c r="O93" s="544">
        <f>IF(VLOOKUP($E$93,[1]UN!$A$2:$FA$67, 14, FALSE)="",":",VLOOKUP($E$93,[1]UN!$A$2:$FA$67, 14, FALSE))</f>
        <v>8660.32</v>
      </c>
      <c r="P93" s="544">
        <f>IF(VLOOKUP($E$93,[1]UN!$A$2:$FA$67, 15, FALSE)="",":",VLOOKUP($E$93,[1]UN!$A$2:$FA$67, 15, FALSE))</f>
        <v>9918.39</v>
      </c>
      <c r="Q93" s="544">
        <f>IF(VLOOKUP($E$93,[1]UN!$A$2:$FA$67, 16, FALSE)="",":",VLOOKUP($E$93,[1]UN!$A$2:$FA$67, 16, FALSE))</f>
        <v>12827.12</v>
      </c>
      <c r="R93" s="544">
        <f>IF(VLOOKUP($E$93,[1]UN!$A$2:$FA$67, 17, FALSE)="",":",VLOOKUP($E$93,[1]UN!$A$2:$FA$67, 17, FALSE))</f>
        <v>15864.31</v>
      </c>
      <c r="S93" s="544">
        <f>IF(VLOOKUP($E$93,[1]UN!$A$2:$FA$67, 18, FALSE)="",":",VLOOKUP($E$93,[1]UN!$A$2:$FA$67, 18, FALSE))</f>
        <v>18435.919999999998</v>
      </c>
      <c r="T93" s="544">
        <f>IF(VLOOKUP($E$93,[1]UN!$A$2:$FA$67, 19, FALSE)="",":",VLOOKUP($E$93,[1]UN!$A$2:$FA$67, 19, FALSE))</f>
        <v>22465.75</v>
      </c>
      <c r="U93" s="544">
        <f>IF(VLOOKUP($E$93,[1]UN!$A$2:$FA$67, 20, FALSE)="",":",VLOOKUP($E$93,[1]UN!$A$2:$FA$67, 20, FALSE))</f>
        <v>14442.28</v>
      </c>
      <c r="V93" s="544">
        <f>IF(VLOOKUP($E$93,[1]UN!$A$2:$FA$67, 21, FALSE)="",":",VLOOKUP($E$93,[1]UN!$A$2:$FA$67, 21, FALSE))</f>
        <v>18840.09</v>
      </c>
      <c r="W93" s="544">
        <f>IF(VLOOKUP($E$93,[1]UN!$A$2:$FA$67, 22, FALSE)="",":",VLOOKUP($E$93,[1]UN!$A$2:$FA$67, 22, FALSE))</f>
        <v>24252.71</v>
      </c>
      <c r="X93" s="544">
        <f>IF(VLOOKUP($E$93,[1]UN!$A$2:$FA$67, 23, FALSE)="",":",VLOOKUP($E$93,[1]UN!$A$2:$FA$67, 23, FALSE))</f>
        <v>26933.21</v>
      </c>
      <c r="Y93" s="544">
        <f>IF(VLOOKUP($E$93,[1]UN!$A$2:$FA$67, 24, FALSE)="",":",VLOOKUP($E$93,[1]UN!$A$2:$FA$67, 24, FALSE))</f>
        <v>28950.62</v>
      </c>
      <c r="Z93" s="544">
        <f>IF(VLOOKUP($E$93,[1]UN!$A$2:$FA$67, 25, FALSE)="",":",VLOOKUP($E$93,[1]UN!$A$2:$FA$67, 25, FALSE))</f>
        <v>28898.5</v>
      </c>
      <c r="AA93" s="544">
        <f>IF(VLOOKUP($E$93,[1]UN!$A$2:$FA$67, 26, FALSE)="",":",VLOOKUP($E$93,[1]UN!$A$2:$FA$67, 26, FALSE))</f>
        <v>28562.65</v>
      </c>
      <c r="AB93" s="544">
        <f>IF(VLOOKUP($E$93,[1]UN!$A$2:$FA$67, 27, FALSE)="",":",VLOOKUP($E$93,[1]UN!$A$2:$FA$67, 27, FALSE))</f>
        <v>28289.23</v>
      </c>
      <c r="AC93" s="544">
        <f>IF(VLOOKUP($E$93,[1]UN!$A$2:$FA$67, 28, FALSE)="",":",VLOOKUP($E$93,[1]UN!$A$2:$FA$67, 28, FALSE))</f>
        <v>33189.96</v>
      </c>
      <c r="AD93" s="544" t="str">
        <f>IF(VLOOKUP($E$93,[1]UN!$A$2:$FA$67, 29, FALSE)="",":",VLOOKUP($E$93,[1]UN!$A$2:$FA$67, 29, FALSE))</f>
        <v>:</v>
      </c>
      <c r="AE93" s="544" t="str">
        <f>IF(VLOOKUP($E$93,[1]UN!$A$2:$FA$67, 30, FALSE)="",":",VLOOKUP($E$93,[1]UN!$A$2:$FA$67, 30, FALSE))</f>
        <v>:</v>
      </c>
      <c r="AF93" s="544" t="str">
        <f>IF(VLOOKUP($E$93,[1]UN!$A$2:$FA$67, 31, FALSE)="",":",VLOOKUP($E$93,[1]UN!$A$2:$FA$67, 31, FALSE))</f>
        <v>:</v>
      </c>
    </row>
    <row r="94" spans="1:32">
      <c r="A94" s="1954"/>
      <c r="B94" s="534"/>
      <c r="C94" s="535"/>
      <c r="D94" s="12" t="s">
        <v>475</v>
      </c>
      <c r="E94" s="13">
        <v>530</v>
      </c>
      <c r="F94" s="14" t="str">
        <f>VLOOKUP($E$94,[1]UN!$A$2:$FA$67, 3, FALSE)</f>
        <v xml:space="preserve">530  Balance of primary income with the r.o.w.                                    </v>
      </c>
      <c r="G94" s="544">
        <f>IF(VLOOKUP($E$94,[1]UN!$A$2:$FA$67, 6, FALSE)="",":",VLOOKUP($E$94,[1]UN!$A$2:$FA$67, 6, FALSE))</f>
        <v>-13.2</v>
      </c>
      <c r="H94" s="544">
        <f>IF(VLOOKUP($E$94,[1]UN!$A$2:$FA$67, 7, FALSE)="",":",VLOOKUP($E$94,[1]UN!$A$2:$FA$67, 7, FALSE))</f>
        <v>-100.87</v>
      </c>
      <c r="I94" s="544">
        <f>IF(VLOOKUP($E$94,[1]UN!$A$2:$FA$67, 8, FALSE)="",":",VLOOKUP($E$94,[1]UN!$A$2:$FA$67, 8, FALSE))</f>
        <v>-222.04</v>
      </c>
      <c r="J94" s="544">
        <f>IF(VLOOKUP($E$94,[1]UN!$A$2:$FA$67, 9, FALSE)="",":",VLOOKUP($E$94,[1]UN!$A$2:$FA$67, 9, FALSE))</f>
        <v>-291.29000000000002</v>
      </c>
      <c r="K94" s="544">
        <f>IF(VLOOKUP($E$94,[1]UN!$A$2:$FA$67, 10, FALSE)="",":",VLOOKUP($E$94,[1]UN!$A$2:$FA$67, 10, FALSE))</f>
        <v>-302.79000000000002</v>
      </c>
      <c r="L94" s="544">
        <f>IF(VLOOKUP($E$94,[1]UN!$A$2:$FA$67, 11, FALSE)="",":",VLOOKUP($E$94,[1]UN!$A$2:$FA$67, 11, FALSE))</f>
        <v>-239.89</v>
      </c>
      <c r="M94" s="544">
        <f>IF(VLOOKUP($E$94,[1]UN!$A$2:$FA$67, 12, FALSE)="",":",VLOOKUP($E$94,[1]UN!$A$2:$FA$67, 12, FALSE))</f>
        <v>-191.55</v>
      </c>
      <c r="N94" s="544">
        <f>IF(VLOOKUP($E$94,[1]UN!$A$2:$FA$67, 13, FALSE)="",":",VLOOKUP($E$94,[1]UN!$A$2:$FA$67, 13, FALSE))</f>
        <v>-160.68</v>
      </c>
      <c r="O94" s="544">
        <f>IF(VLOOKUP($E$94,[1]UN!$A$2:$FA$67, 14, FALSE)="",":",VLOOKUP($E$94,[1]UN!$A$2:$FA$67, 14, FALSE))</f>
        <v>-412.88</v>
      </c>
      <c r="P94" s="544">
        <f>IF(VLOOKUP($E$94,[1]UN!$A$2:$FA$67, 15, FALSE)="",":",VLOOKUP($E$94,[1]UN!$A$2:$FA$67, 15, FALSE))</f>
        <v>-355.07</v>
      </c>
      <c r="Q94" s="544">
        <f>IF(VLOOKUP($E$94,[1]UN!$A$2:$FA$67, 16, FALSE)="",":",VLOOKUP($E$94,[1]UN!$A$2:$FA$67, 16, FALSE))</f>
        <v>-280.81</v>
      </c>
      <c r="R94" s="544">
        <f>IF(VLOOKUP($E$94,[1]UN!$A$2:$FA$67, 17, FALSE)="",":",VLOOKUP($E$94,[1]UN!$A$2:$FA$67, 17, FALSE))</f>
        <v>-459.49</v>
      </c>
      <c r="S94" s="544">
        <f>IF(VLOOKUP($E$94,[1]UN!$A$2:$FA$67, 18, FALSE)="",":",VLOOKUP($E$94,[1]UN!$A$2:$FA$67, 18, FALSE))</f>
        <v>-1093.4000000000001</v>
      </c>
      <c r="T94" s="544">
        <f>IF(VLOOKUP($E$94,[1]UN!$A$2:$FA$67, 19, FALSE)="",":",VLOOKUP($E$94,[1]UN!$A$2:$FA$67, 19, FALSE))</f>
        <v>-1114.77</v>
      </c>
      <c r="U94" s="544">
        <f>IF(VLOOKUP($E$94,[1]UN!$A$2:$FA$67, 20, FALSE)="",":",VLOOKUP($E$94,[1]UN!$A$2:$FA$67, 20, FALSE))</f>
        <v>502.8</v>
      </c>
      <c r="V94" s="544">
        <f>IF(VLOOKUP($E$94,[1]UN!$A$2:$FA$67, 21, FALSE)="",":",VLOOKUP($E$94,[1]UN!$A$2:$FA$67, 21, FALSE))</f>
        <v>-522.07000000000005</v>
      </c>
      <c r="W94" s="544">
        <f>IF(VLOOKUP($E$94,[1]UN!$A$2:$FA$67, 22, FALSE)="",":",VLOOKUP($E$94,[1]UN!$A$2:$FA$67, 22, FALSE))</f>
        <v>-1148.03</v>
      </c>
      <c r="X94" s="544">
        <f>IF(VLOOKUP($E$94,[1]UN!$A$2:$FA$67, 23, FALSE)="",":",VLOOKUP($E$94,[1]UN!$A$2:$FA$67, 23, FALSE))</f>
        <v>-1006.17</v>
      </c>
      <c r="Y94" s="544">
        <f>IF(VLOOKUP($E$94,[1]UN!$A$2:$FA$67, 24, FALSE)="",":",VLOOKUP($E$94,[1]UN!$A$2:$FA$67, 24, FALSE))</f>
        <v>-909.69</v>
      </c>
      <c r="Z94" s="544">
        <f>IF(VLOOKUP($E$94,[1]UN!$A$2:$FA$67, 25, FALSE)="",":",VLOOKUP($E$94,[1]UN!$A$2:$FA$67, 25, FALSE))</f>
        <v>-474.8</v>
      </c>
      <c r="AA94" s="544">
        <f>IF(VLOOKUP($E$94,[1]UN!$A$2:$FA$67, 26, FALSE)="",":",VLOOKUP($E$94,[1]UN!$A$2:$FA$67, 26, FALSE))</f>
        <v>-1523.96</v>
      </c>
      <c r="AB94" s="544">
        <f>IF(VLOOKUP($E$94,[1]UN!$A$2:$FA$67, 27, FALSE)="",":",VLOOKUP($E$94,[1]UN!$A$2:$FA$67, 27, FALSE))</f>
        <v>-1525.03</v>
      </c>
      <c r="AC94" s="544" t="str">
        <f>IF(VLOOKUP($E$94,[1]UN!$A$2:$FA$67, 28, FALSE)="",":",VLOOKUP($E$94,[1]UN!$A$2:$FA$67, 28, FALSE))</f>
        <v>:</v>
      </c>
      <c r="AD94" s="544" t="str">
        <f>IF(VLOOKUP($E$94,[1]UN!$A$2:$FA$67, 29, FALSE)="",":",VLOOKUP($E$94,[1]UN!$A$2:$FA$67, 29, FALSE))</f>
        <v>:</v>
      </c>
      <c r="AE94" s="544" t="str">
        <f>IF(VLOOKUP($E$94,[1]UN!$A$2:$FA$67, 30, FALSE)="",":",VLOOKUP($E$94,[1]UN!$A$2:$FA$67, 30, FALSE))</f>
        <v>:</v>
      </c>
      <c r="AF94" s="544" t="str">
        <f>IF(VLOOKUP($E$94,[1]UN!$A$2:$FA$67, 31, FALSE)="",":",VLOOKUP($E$94,[1]UN!$A$2:$FA$67, 31, FALSE))</f>
        <v>:</v>
      </c>
    </row>
    <row r="95" spans="1:32">
      <c r="A95" s="1954"/>
      <c r="B95" s="534"/>
      <c r="C95" s="535"/>
      <c r="D95" s="12" t="s">
        <v>475</v>
      </c>
      <c r="E95" s="13">
        <v>540</v>
      </c>
      <c r="F95" s="14" t="str">
        <f>VLOOKUP($E$95,[1]UN!$A$2:$FA$67, 3, FALSE)</f>
        <v xml:space="preserve">540  Net current transfers with the r.o.w.                                        </v>
      </c>
      <c r="G95" s="544">
        <f>IF(VLOOKUP($E$95,[1]UN!$A$2:$FA$67, 6, FALSE)="",":",VLOOKUP($E$95,[1]UN!$A$2:$FA$67, 6, FALSE))</f>
        <v>126.68</v>
      </c>
      <c r="H95" s="544">
        <f>IF(VLOOKUP($E$95,[1]UN!$A$2:$FA$67, 7, FALSE)="",":",VLOOKUP($E$95,[1]UN!$A$2:$FA$67, 7, FALSE))</f>
        <v>166.56</v>
      </c>
      <c r="I95" s="544">
        <f>IF(VLOOKUP($E$95,[1]UN!$A$2:$FA$67, 8, FALSE)="",":",VLOOKUP($E$95,[1]UN!$A$2:$FA$67, 8, FALSE))</f>
        <v>266.49</v>
      </c>
      <c r="J95" s="544">
        <f>IF(VLOOKUP($E$95,[1]UN!$A$2:$FA$67, 9, FALSE)="",":",VLOOKUP($E$95,[1]UN!$A$2:$FA$67, 9, FALSE))</f>
        <v>272.24</v>
      </c>
      <c r="K95" s="544">
        <f>IF(VLOOKUP($E$95,[1]UN!$A$2:$FA$67, 10, FALSE)="",":",VLOOKUP($E$95,[1]UN!$A$2:$FA$67, 10, FALSE))</f>
        <v>213.76</v>
      </c>
      <c r="L95" s="544">
        <f>IF(VLOOKUP($E$95,[1]UN!$A$2:$FA$67, 11, FALSE)="",":",VLOOKUP($E$95,[1]UN!$A$2:$FA$67, 11, FALSE))</f>
        <v>284.48</v>
      </c>
      <c r="M95" s="544">
        <f>IF(VLOOKUP($E$95,[1]UN!$A$2:$FA$67, 12, FALSE)="",":",VLOOKUP($E$95,[1]UN!$A$2:$FA$67, 12, FALSE))</f>
        <v>293.89</v>
      </c>
      <c r="N95" s="544">
        <f>IF(VLOOKUP($E$95,[1]UN!$A$2:$FA$67, 13, FALSE)="",":",VLOOKUP($E$95,[1]UN!$A$2:$FA$67, 13, FALSE))</f>
        <v>232.89</v>
      </c>
      <c r="O95" s="544">
        <f>IF(VLOOKUP($E$95,[1]UN!$A$2:$FA$67, 14, FALSE)="",":",VLOOKUP($E$95,[1]UN!$A$2:$FA$67, 14, FALSE))</f>
        <v>247.54</v>
      </c>
      <c r="P95" s="544">
        <f>IF(VLOOKUP($E$95,[1]UN!$A$2:$FA$67, 15, FALSE)="",":",VLOOKUP($E$95,[1]UN!$A$2:$FA$67, 15, FALSE))</f>
        <v>289.42</v>
      </c>
      <c r="Q95" s="544">
        <f>IF(VLOOKUP($E$95,[1]UN!$A$2:$FA$67, 16, FALSE)="",":",VLOOKUP($E$95,[1]UN!$A$2:$FA$67, 16, FALSE))</f>
        <v>320.7</v>
      </c>
      <c r="R95" s="544">
        <f>IF(VLOOKUP($E$95,[1]UN!$A$2:$FA$67, 17, FALSE)="",":",VLOOKUP($E$95,[1]UN!$A$2:$FA$67, 17, FALSE))</f>
        <v>474.2</v>
      </c>
      <c r="S95" s="544">
        <f>IF(VLOOKUP($E$95,[1]UN!$A$2:$FA$67, 18, FALSE)="",":",VLOOKUP($E$95,[1]UN!$A$2:$FA$67, 18, FALSE))</f>
        <v>571.91999999999996</v>
      </c>
      <c r="T95" s="544">
        <f>IF(VLOOKUP($E$95,[1]UN!$A$2:$FA$67, 19, FALSE)="",":",VLOOKUP($E$95,[1]UN!$A$2:$FA$67, 19, FALSE))</f>
        <v>595.99</v>
      </c>
      <c r="U95" s="544">
        <f>IF(VLOOKUP($E$95,[1]UN!$A$2:$FA$67, 20, FALSE)="",":",VLOOKUP($E$95,[1]UN!$A$2:$FA$67, 20, FALSE))</f>
        <v>524.57000000000005</v>
      </c>
      <c r="V95" s="544">
        <f>IF(VLOOKUP($E$95,[1]UN!$A$2:$FA$67, 21, FALSE)="",":",VLOOKUP($E$95,[1]UN!$A$2:$FA$67, 21, FALSE))</f>
        <v>959.71</v>
      </c>
      <c r="W95" s="544">
        <f>IF(VLOOKUP($E$95,[1]UN!$A$2:$FA$67, 22, FALSE)="",":",VLOOKUP($E$95,[1]UN!$A$2:$FA$67, 22, FALSE))</f>
        <v>748.13</v>
      </c>
      <c r="X95" s="544">
        <f>IF(VLOOKUP($E$95,[1]UN!$A$2:$FA$67, 23, FALSE)="",":",VLOOKUP($E$95,[1]UN!$A$2:$FA$67, 23, FALSE))</f>
        <v>403.51</v>
      </c>
      <c r="Y95" s="544">
        <f>IF(VLOOKUP($E$95,[1]UN!$A$2:$FA$67, 24, FALSE)="",":",VLOOKUP($E$95,[1]UN!$A$2:$FA$67, 24, FALSE))</f>
        <v>970.36</v>
      </c>
      <c r="Z95" s="544">
        <f>IF(VLOOKUP($E$95,[1]UN!$A$2:$FA$67, 25, FALSE)="",":",VLOOKUP($E$95,[1]UN!$A$2:$FA$67, 25, FALSE))</f>
        <v>1170.18</v>
      </c>
      <c r="AA95" s="544">
        <f>IF(VLOOKUP($E$95,[1]UN!$A$2:$FA$67, 26, FALSE)="",":",VLOOKUP($E$95,[1]UN!$A$2:$FA$67, 26, FALSE))</f>
        <v>946.04</v>
      </c>
      <c r="AB95" s="544">
        <f>IF(VLOOKUP($E$95,[1]UN!$A$2:$FA$67, 27, FALSE)="",":",VLOOKUP($E$95,[1]UN!$A$2:$FA$67, 27, FALSE))</f>
        <v>789.38</v>
      </c>
      <c r="AC95" s="544" t="str">
        <f>IF(VLOOKUP($E$95,[1]UN!$A$2:$FA$67, 28, FALSE)="",":",VLOOKUP($E$95,[1]UN!$A$2:$FA$67, 28, FALSE))</f>
        <v>:</v>
      </c>
      <c r="AD95" s="544" t="str">
        <f>IF(VLOOKUP($E$95,[1]UN!$A$2:$FA$67, 29, FALSE)="",":",VLOOKUP($E$95,[1]UN!$A$2:$FA$67, 29, FALSE))</f>
        <v>:</v>
      </c>
      <c r="AE95" s="544" t="str">
        <f>IF(VLOOKUP($E$95,[1]UN!$A$2:$FA$67, 30, FALSE)="",":",VLOOKUP($E$95,[1]UN!$A$2:$FA$67, 30, FALSE))</f>
        <v>:</v>
      </c>
      <c r="AF95" s="544" t="str">
        <f>IF(VLOOKUP($E$95,[1]UN!$A$2:$FA$67, 31, FALSE)="",":",VLOOKUP($E$95,[1]UN!$A$2:$FA$67, 31, FALSE))</f>
        <v>:</v>
      </c>
    </row>
    <row r="96" spans="1:32">
      <c r="A96" s="1954"/>
      <c r="B96" s="534"/>
      <c r="C96" s="535"/>
      <c r="D96" s="12" t="s">
        <v>475</v>
      </c>
      <c r="E96" s="13">
        <v>550</v>
      </c>
      <c r="F96" s="14" t="str">
        <f>VLOOKUP($E$96,[1]UN!$A$2:$FA$67, 3, FALSE)</f>
        <v xml:space="preserve">550  Net capital transfers with the r.o.w.                                        </v>
      </c>
      <c r="G96" s="544">
        <f>IF(VLOOKUP($E$96,[1]UN!$A$2:$FA$67, 6, FALSE)="",":",VLOOKUP($E$96,[1]UN!$A$2:$FA$67, 6, FALSE))</f>
        <v>-45.17</v>
      </c>
      <c r="H96" s="544">
        <f>IF(VLOOKUP($E$96,[1]UN!$A$2:$FA$67, 7, FALSE)="",":",VLOOKUP($E$96,[1]UN!$A$2:$FA$67, 7, FALSE))</f>
        <v>6.37</v>
      </c>
      <c r="I96" s="544">
        <f>IF(VLOOKUP($E$96,[1]UN!$A$2:$FA$67, 8, FALSE)="",":",VLOOKUP($E$96,[1]UN!$A$2:$FA$67, 8, FALSE))</f>
        <v>4.7699999999999996</v>
      </c>
      <c r="J96" s="544">
        <f>IF(VLOOKUP($E$96,[1]UN!$A$2:$FA$67, 9, FALSE)="",":",VLOOKUP($E$96,[1]UN!$A$2:$FA$67, 9, FALSE))</f>
        <v>-1.98</v>
      </c>
      <c r="K96" s="544">
        <f>IF(VLOOKUP($E$96,[1]UN!$A$2:$FA$67, 10, FALSE)="",":",VLOOKUP($E$96,[1]UN!$A$2:$FA$67, 10, FALSE))</f>
        <v>-3.81</v>
      </c>
      <c r="L96" s="544">
        <f>IF(VLOOKUP($E$96,[1]UN!$A$2:$FA$67, 11, FALSE)="",":",VLOOKUP($E$96,[1]UN!$A$2:$FA$67, 11, FALSE))</f>
        <v>2.4900000000000002</v>
      </c>
      <c r="M96" s="544">
        <f>IF(VLOOKUP($E$96,[1]UN!$A$2:$FA$67, 12, FALSE)="",":",VLOOKUP($E$96,[1]UN!$A$2:$FA$67, 12, FALSE))</f>
        <v>1.61</v>
      </c>
      <c r="N96" s="544">
        <f>IF(VLOOKUP($E$96,[1]UN!$A$2:$FA$67, 13, FALSE)="",":",VLOOKUP($E$96,[1]UN!$A$2:$FA$67, 13, FALSE))</f>
        <v>59.02</v>
      </c>
      <c r="O96" s="544">
        <f>IF(VLOOKUP($E$96,[1]UN!$A$2:$FA$67, 14, FALSE)="",":",VLOOKUP($E$96,[1]UN!$A$2:$FA$67, 14, FALSE))</f>
        <v>59.36</v>
      </c>
      <c r="P96" s="544">
        <f>IF(VLOOKUP($E$96,[1]UN!$A$2:$FA$67, 15, FALSE)="",":",VLOOKUP($E$96,[1]UN!$A$2:$FA$67, 15, FALSE))</f>
        <v>129.66999999999999</v>
      </c>
      <c r="Q96" s="544">
        <f>IF(VLOOKUP($E$96,[1]UN!$A$2:$FA$67, 16, FALSE)="",":",VLOOKUP($E$96,[1]UN!$A$2:$FA$67, 16, FALSE))</f>
        <v>203.97</v>
      </c>
      <c r="R96" s="544">
        <f>IF(VLOOKUP($E$96,[1]UN!$A$2:$FA$67, 17, FALSE)="",":",VLOOKUP($E$96,[1]UN!$A$2:$FA$67, 17, FALSE))</f>
        <v>358.57</v>
      </c>
      <c r="S96" s="544">
        <f>IF(VLOOKUP($E$96,[1]UN!$A$2:$FA$67, 18, FALSE)="",":",VLOOKUP($E$96,[1]UN!$A$2:$FA$67, 18, FALSE))</f>
        <v>611.41999999999996</v>
      </c>
      <c r="T96" s="544">
        <f>IF(VLOOKUP($E$96,[1]UN!$A$2:$FA$67, 19, FALSE)="",":",VLOOKUP($E$96,[1]UN!$A$2:$FA$67, 19, FALSE))</f>
        <v>619.07000000000005</v>
      </c>
      <c r="U96" s="544">
        <f>IF(VLOOKUP($E$96,[1]UN!$A$2:$FA$67, 20, FALSE)="",":",VLOOKUP($E$96,[1]UN!$A$2:$FA$67, 20, FALSE))</f>
        <v>1158.22</v>
      </c>
      <c r="V96" s="544">
        <f>IF(VLOOKUP($E$96,[1]UN!$A$2:$FA$67, 21, FALSE)="",":",VLOOKUP($E$96,[1]UN!$A$2:$FA$67, 21, FALSE))</f>
        <v>1057.8</v>
      </c>
      <c r="W96" s="544">
        <f>IF(VLOOKUP($E$96,[1]UN!$A$2:$FA$67, 22, FALSE)="",":",VLOOKUP($E$96,[1]UN!$A$2:$FA$67, 22, FALSE))</f>
        <v>1003.81</v>
      </c>
      <c r="X96" s="544">
        <f>IF(VLOOKUP($E$96,[1]UN!$A$2:$FA$67, 23, FALSE)="",":",VLOOKUP($E$96,[1]UN!$A$2:$FA$67, 23, FALSE))</f>
        <v>964.09</v>
      </c>
      <c r="Y96" s="544">
        <f>IF(VLOOKUP($E$96,[1]UN!$A$2:$FA$67, 24, FALSE)="",":",VLOOKUP($E$96,[1]UN!$A$2:$FA$67, 24, FALSE))</f>
        <v>1088.8699999999999</v>
      </c>
      <c r="Z96" s="544">
        <f>IF(VLOOKUP($E$96,[1]UN!$A$2:$FA$67, 25, FALSE)="",":",VLOOKUP($E$96,[1]UN!$A$2:$FA$67, 25, FALSE))</f>
        <v>975.72</v>
      </c>
      <c r="AA96" s="544">
        <f>IF(VLOOKUP($E$96,[1]UN!$A$2:$FA$67, 26, FALSE)="",":",VLOOKUP($E$96,[1]UN!$A$2:$FA$67, 26, FALSE))</f>
        <v>1117.27</v>
      </c>
      <c r="AB96" s="544">
        <f>IF(VLOOKUP($E$96,[1]UN!$A$2:$FA$67, 27, FALSE)="",":",VLOOKUP($E$96,[1]UN!$A$2:$FA$67, 27, FALSE))</f>
        <v>568.72</v>
      </c>
      <c r="AC96" s="544" t="str">
        <f>IF(VLOOKUP($E$96,[1]UN!$A$2:$FA$67, 28, FALSE)="",":",VLOOKUP($E$96,[1]UN!$A$2:$FA$67, 28, FALSE))</f>
        <v>:</v>
      </c>
      <c r="AD96" s="544" t="str">
        <f>IF(VLOOKUP($E$96,[1]UN!$A$2:$FA$67, 29, FALSE)="",":",VLOOKUP($E$96,[1]UN!$A$2:$FA$67, 29, FALSE))</f>
        <v>:</v>
      </c>
      <c r="AE96" s="544" t="str">
        <f>IF(VLOOKUP($E$96,[1]UN!$A$2:$FA$67, 30, FALSE)="",":",VLOOKUP($E$96,[1]UN!$A$2:$FA$67, 30, FALSE))</f>
        <v>:</v>
      </c>
      <c r="AF96" s="544" t="str">
        <f>IF(VLOOKUP($E$96,[1]UN!$A$2:$FA$67, 31, FALSE)="",":",VLOOKUP($E$96,[1]UN!$A$2:$FA$67, 31, FALSE))</f>
        <v>:</v>
      </c>
    </row>
    <row r="97" spans="1:32">
      <c r="A97" s="533"/>
      <c r="B97" s="534"/>
      <c r="C97" s="535"/>
      <c r="D97" s="12"/>
      <c r="E97" s="13"/>
      <c r="F97" s="14"/>
      <c r="G97" s="544"/>
      <c r="H97" s="544"/>
      <c r="I97" s="544"/>
      <c r="J97" s="544"/>
      <c r="K97" s="544"/>
      <c r="L97" s="544"/>
      <c r="M97" s="544"/>
      <c r="N97" s="544"/>
      <c r="O97" s="544"/>
      <c r="P97" s="544"/>
      <c r="Q97" s="544"/>
      <c r="R97" s="544"/>
      <c r="S97" s="544"/>
      <c r="T97" s="544"/>
      <c r="U97" s="544"/>
      <c r="V97" s="544"/>
      <c r="W97" s="544"/>
      <c r="X97" s="544"/>
      <c r="Y97" s="544"/>
      <c r="Z97" s="544"/>
      <c r="AA97" s="544"/>
      <c r="AB97" s="544"/>
      <c r="AC97" s="544"/>
      <c r="AD97" s="544"/>
      <c r="AE97" s="544"/>
      <c r="AF97" s="544"/>
    </row>
    <row r="98" spans="1:32">
      <c r="A98" s="533"/>
      <c r="B98" s="534" t="s">
        <v>1907</v>
      </c>
      <c r="C98" s="535" t="s">
        <v>312</v>
      </c>
      <c r="D98" s="12" t="s">
        <v>475</v>
      </c>
      <c r="E98" s="13">
        <v>600</v>
      </c>
      <c r="F98" s="14" t="str">
        <f>VLOOKUP($E$98,[1]UN!$A$2:$FA$67, 3, FALSE)</f>
        <v xml:space="preserve">600  Gross domestic product at market prices                                      </v>
      </c>
      <c r="G98" s="544">
        <f>IF(VLOOKUP($E$98,[1]UN!$A$2:$FA$67, 6, FALSE)="",":",VLOOKUP($E$98,[1]UN!$A$2:$FA$67, 6, FALSE))</f>
        <v>7764.53</v>
      </c>
      <c r="H98" s="544">
        <f>IF(VLOOKUP($E$98,[1]UN!$A$2:$FA$67, 7, FALSE)="",":",VLOOKUP($E$98,[1]UN!$A$2:$FA$67, 7, FALSE))</f>
        <v>9714.15</v>
      </c>
      <c r="I98" s="544">
        <f>IF(VLOOKUP($E$98,[1]UN!$A$2:$FA$67, 8, FALSE)="",":",VLOOKUP($E$98,[1]UN!$A$2:$FA$67, 8, FALSE))</f>
        <v>11724.34</v>
      </c>
      <c r="J98" s="544">
        <f>IF(VLOOKUP($E$98,[1]UN!$A$2:$FA$67, 9, FALSE)="",":",VLOOKUP($E$98,[1]UN!$A$2:$FA$67, 9, FALSE))</f>
        <v>13021.96</v>
      </c>
      <c r="K98" s="544">
        <f>IF(VLOOKUP($E$98,[1]UN!$A$2:$FA$67, 10, FALSE)="",":",VLOOKUP($E$98,[1]UN!$A$2:$FA$67, 10, FALSE))</f>
        <v>12712.08</v>
      </c>
      <c r="L98" s="544">
        <f>IF(VLOOKUP($E$98,[1]UN!$A$2:$FA$67, 11, FALSE)="",":",VLOOKUP($E$98,[1]UN!$A$2:$FA$67, 11, FALSE))</f>
        <v>13368.18</v>
      </c>
      <c r="M98" s="544">
        <f>IF(VLOOKUP($E$98,[1]UN!$A$2:$FA$67, 12, FALSE)="",":",VLOOKUP($E$98,[1]UN!$A$2:$FA$67, 12, FALSE))</f>
        <v>14194.52</v>
      </c>
      <c r="N98" s="544">
        <f>IF(VLOOKUP($E$98,[1]UN!$A$2:$FA$67, 13, FALSE)="",":",VLOOKUP($E$98,[1]UN!$A$2:$FA$67, 13, FALSE))</f>
        <v>15202.17</v>
      </c>
      <c r="O98" s="544">
        <f>IF(VLOOKUP($E$98,[1]UN!$A$2:$FA$67, 14, FALSE)="",":",VLOOKUP($E$98,[1]UN!$A$2:$FA$67, 14, FALSE))</f>
        <v>16668.48</v>
      </c>
      <c r="P98" s="544">
        <f>IF(VLOOKUP($E$98,[1]UN!$A$2:$FA$67, 15, FALSE)="",":",VLOOKUP($E$98,[1]UN!$A$2:$FA$67, 15, FALSE))</f>
        <v>18237.72</v>
      </c>
      <c r="Q98" s="544">
        <f>IF(VLOOKUP($E$98,[1]UN!$A$2:$FA$67, 16, FALSE)="",":",VLOOKUP($E$98,[1]UN!$A$2:$FA$67, 16, FALSE))</f>
        <v>21002.35</v>
      </c>
      <c r="R98" s="544">
        <f>IF(VLOOKUP($E$98,[1]UN!$A$2:$FA$67, 17, FALSE)="",":",VLOOKUP($E$98,[1]UN!$A$2:$FA$67, 17, FALSE))</f>
        <v>24079.18</v>
      </c>
      <c r="S98" s="544">
        <f>IF(VLOOKUP($E$98,[1]UN!$A$2:$FA$67, 18, FALSE)="",":",VLOOKUP($E$98,[1]UN!$A$2:$FA$67, 18, FALSE))</f>
        <v>29040.66</v>
      </c>
      <c r="T98" s="544">
        <f>IF(VLOOKUP($E$98,[1]UN!$A$2:$FA$67, 19, FALSE)="",":",VLOOKUP($E$98,[1]UN!$A$2:$FA$67, 19, FALSE))</f>
        <v>32696.28</v>
      </c>
      <c r="U98" s="544">
        <f>IF(VLOOKUP($E$98,[1]UN!$A$2:$FA$67, 20, FALSE)="",":",VLOOKUP($E$98,[1]UN!$A$2:$FA$67, 20, FALSE))</f>
        <v>26934.82</v>
      </c>
      <c r="V98" s="544">
        <f>IF(VLOOKUP($E$98,[1]UN!$A$2:$FA$67, 21, FALSE)="",":",VLOOKUP($E$98,[1]UN!$A$2:$FA$67, 21, FALSE))</f>
        <v>28027.66</v>
      </c>
      <c r="W98" s="544">
        <f>IF(VLOOKUP($E$98,[1]UN!$A$2:$FA$67, 22, FALSE)="",":",VLOOKUP($E$98,[1]UN!$A$2:$FA$67, 22, FALSE))</f>
        <v>31275.32</v>
      </c>
      <c r="X98" s="544">
        <f>IF(VLOOKUP($E$98,[1]UN!$A$2:$FA$67, 23, FALSE)="",":",VLOOKUP($E$98,[1]UN!$A$2:$FA$67, 23, FALSE))</f>
        <v>33348.480000000003</v>
      </c>
      <c r="Y98" s="544">
        <f>IF(VLOOKUP($E$98,[1]UN!$A$2:$FA$67, 24, FALSE)="",":",VLOOKUP($E$98,[1]UN!$A$2:$FA$67, 24, FALSE))</f>
        <v>34959.65</v>
      </c>
      <c r="Z98" s="544">
        <f>IF(VLOOKUP($E$98,[1]UN!$A$2:$FA$67, 25, FALSE)="",":",VLOOKUP($E$98,[1]UN!$A$2:$FA$67, 25, FALSE))</f>
        <v>36568.28</v>
      </c>
      <c r="AA98" s="544">
        <f>IF(VLOOKUP($E$98,[1]UN!$A$2:$FA$67, 26, FALSE)="",":",VLOOKUP($E$98,[1]UN!$A$2:$FA$67, 26, FALSE))</f>
        <v>37426.61</v>
      </c>
      <c r="AB98" s="544">
        <f>IF(VLOOKUP($E$98,[1]UN!$A$2:$FA$67, 27, FALSE)="",":",VLOOKUP($E$98,[1]UN!$A$2:$FA$67, 27, FALSE))</f>
        <v>38668.32</v>
      </c>
      <c r="AC98" s="544">
        <f>IF(VLOOKUP($E$98,[1]UN!$A$2:$FA$67, 28, FALSE)="",":",VLOOKUP($E$98,[1]UN!$A$2:$FA$67, 28, FALSE))</f>
        <v>41857.03</v>
      </c>
      <c r="AD98" s="544" t="str">
        <f>IF(VLOOKUP($E$98,[1]UN!$A$2:$FA$67, 29, FALSE)="",":",VLOOKUP($E$98,[1]UN!$A$2:$FA$67, 29, FALSE))</f>
        <v>:</v>
      </c>
      <c r="AE98" s="544" t="str">
        <f>IF(VLOOKUP($E$98,[1]UN!$A$2:$FA$67, 30, FALSE)="",":",VLOOKUP($E$98,[1]UN!$A$2:$FA$67, 30, FALSE))</f>
        <v>:</v>
      </c>
      <c r="AF98" s="544" t="str">
        <f>IF(VLOOKUP($E$98,[1]UN!$A$2:$FA$67, 31, FALSE)="",":",VLOOKUP($E$98,[1]UN!$A$2:$FA$67, 31, FALSE))</f>
        <v>:</v>
      </c>
    </row>
    <row r="99" spans="1:32">
      <c r="A99" s="533"/>
      <c r="B99" s="534"/>
      <c r="C99" s="535"/>
      <c r="D99" s="12"/>
      <c r="E99" s="13"/>
      <c r="F99" s="14"/>
      <c r="G99" s="544"/>
      <c r="H99" s="544"/>
      <c r="I99" s="544"/>
      <c r="J99" s="544"/>
      <c r="K99" s="544"/>
      <c r="L99" s="544"/>
      <c r="M99" s="544"/>
      <c r="N99" s="544"/>
      <c r="O99" s="544"/>
      <c r="P99" s="544"/>
      <c r="Q99" s="544"/>
      <c r="R99" s="544"/>
      <c r="S99" s="544"/>
      <c r="T99" s="544"/>
      <c r="U99" s="544"/>
      <c r="V99" s="544"/>
      <c r="W99" s="544"/>
      <c r="X99" s="544"/>
      <c r="Y99" s="544"/>
      <c r="Z99" s="544"/>
      <c r="AA99" s="544"/>
      <c r="AB99" s="544"/>
      <c r="AC99" s="544"/>
      <c r="AD99" s="544"/>
      <c r="AE99" s="544"/>
      <c r="AF99" s="544"/>
    </row>
    <row r="100" spans="1:32">
      <c r="A100" s="1954"/>
      <c r="B100" s="534"/>
      <c r="C100" s="535"/>
      <c r="D100" s="12" t="s">
        <v>475</v>
      </c>
      <c r="E100" s="13">
        <v>601</v>
      </c>
      <c r="F100" s="14" t="str">
        <f>VLOOKUP($E$100,[1]UN!$A$2:$FA$67, 3, FALSE)</f>
        <v xml:space="preserve">601  Gross value added at current basic prices (net of FISIM)                             </v>
      </c>
      <c r="G100" s="544">
        <f>IF(VLOOKUP($E$100,[1]UN!$A$2:$FA$67, 6, FALSE)="",":",VLOOKUP($E$100,[1]UN!$A$2:$FA$67, 6, FALSE))</f>
        <v>6935.84</v>
      </c>
      <c r="H100" s="544">
        <f>IF(VLOOKUP($E$100,[1]UN!$A$2:$FA$67, 7, FALSE)="",":",VLOOKUP($E$100,[1]UN!$A$2:$FA$67, 7, FALSE))</f>
        <v>8733.81</v>
      </c>
      <c r="I100" s="544">
        <f>IF(VLOOKUP($E$100,[1]UN!$A$2:$FA$67, 8, FALSE)="",":",VLOOKUP($E$100,[1]UN!$A$2:$FA$67, 8, FALSE))</f>
        <v>10275.15</v>
      </c>
      <c r="J100" s="544">
        <f>IF(VLOOKUP($E$100,[1]UN!$A$2:$FA$67, 9, FALSE)="",":",VLOOKUP($E$100,[1]UN!$A$2:$FA$67, 9, FALSE))</f>
        <v>11413.13</v>
      </c>
      <c r="K100" s="544">
        <f>IF(VLOOKUP($E$100,[1]UN!$A$2:$FA$67, 10, FALSE)="",":",VLOOKUP($E$100,[1]UN!$A$2:$FA$67, 10, FALSE))</f>
        <v>11173.71</v>
      </c>
      <c r="L100" s="544">
        <f>IF(VLOOKUP($E$100,[1]UN!$A$2:$FA$67, 11, FALSE)="",":",VLOOKUP($E$100,[1]UN!$A$2:$FA$67, 11, FALSE))</f>
        <v>11880.89</v>
      </c>
      <c r="M100" s="544">
        <f>IF(VLOOKUP($E$100,[1]UN!$A$2:$FA$67, 12, FALSE)="",":",VLOOKUP($E$100,[1]UN!$A$2:$FA$67, 12, FALSE))</f>
        <v>12634.51</v>
      </c>
      <c r="N100" s="544">
        <f>IF(VLOOKUP($E$100,[1]UN!$A$2:$FA$67, 13, FALSE)="",":",VLOOKUP($E$100,[1]UN!$A$2:$FA$67, 13, FALSE))</f>
        <v>13523.92</v>
      </c>
      <c r="O100" s="544">
        <f>IF(VLOOKUP($E$100,[1]UN!$A$2:$FA$67, 14, FALSE)="",":",VLOOKUP($E$100,[1]UN!$A$2:$FA$67, 14, FALSE))</f>
        <v>14937.06</v>
      </c>
      <c r="P100" s="544">
        <f>IF(VLOOKUP($E$100,[1]UN!$A$2:$FA$67, 15, FALSE)="",":",VLOOKUP($E$100,[1]UN!$A$2:$FA$67, 15, FALSE))</f>
        <v>16499.599999999999</v>
      </c>
      <c r="Q100" s="544">
        <f>IF(VLOOKUP($E$100,[1]UN!$A$2:$FA$67, 16, FALSE)="",":",VLOOKUP($E$100,[1]UN!$A$2:$FA$67, 16, FALSE))</f>
        <v>19009.71</v>
      </c>
      <c r="R100" s="544">
        <f>IF(VLOOKUP($E$100,[1]UN!$A$2:$FA$67, 17, FALSE)="",":",VLOOKUP($E$100,[1]UN!$A$2:$FA$67, 17, FALSE))</f>
        <v>21733.68</v>
      </c>
      <c r="S100" s="544">
        <f>IF(VLOOKUP($E$100,[1]UN!$A$2:$FA$67, 18, FALSE)="",":",VLOOKUP($E$100,[1]UN!$A$2:$FA$67, 18, FALSE))</f>
        <v>26076.5</v>
      </c>
      <c r="T100" s="544">
        <f>IF(VLOOKUP($E$100,[1]UN!$A$2:$FA$67, 19, FALSE)="",":",VLOOKUP($E$100,[1]UN!$A$2:$FA$67, 19, FALSE))</f>
        <v>29349.21</v>
      </c>
      <c r="U100" s="544">
        <f>IF(VLOOKUP($E$100,[1]UN!$A$2:$FA$67, 20, FALSE)="",":",VLOOKUP($E$100,[1]UN!$A$2:$FA$67, 20, FALSE))</f>
        <v>24300.36</v>
      </c>
      <c r="V100" s="544">
        <f>IF(VLOOKUP($E$100,[1]UN!$A$2:$FA$67, 21, FALSE)="",":",VLOOKUP($E$100,[1]UN!$A$2:$FA$67, 21, FALSE))</f>
        <v>25209.75</v>
      </c>
      <c r="W100" s="544">
        <f>IF(VLOOKUP($E$100,[1]UN!$A$2:$FA$67, 22, FALSE)="",":",VLOOKUP($E$100,[1]UN!$A$2:$FA$67, 22, FALSE))</f>
        <v>28160.06</v>
      </c>
      <c r="X100" s="544">
        <f>IF(VLOOKUP($E$100,[1]UN!$A$2:$FA$67, 23, FALSE)="",":",VLOOKUP($E$100,[1]UN!$A$2:$FA$67, 23, FALSE))</f>
        <v>30165.16</v>
      </c>
      <c r="Y100" s="544">
        <f>IF(VLOOKUP($E$100,[1]UN!$A$2:$FA$67, 24, FALSE)="",":",VLOOKUP($E$100,[1]UN!$A$2:$FA$67, 24, FALSE))</f>
        <v>31690.080000000002</v>
      </c>
      <c r="Z100" s="544">
        <f>IF(VLOOKUP($E$100,[1]UN!$A$2:$FA$67, 25, FALSE)="",":",VLOOKUP($E$100,[1]UN!$A$2:$FA$67, 25, FALSE))</f>
        <v>33067.68</v>
      </c>
      <c r="AA100" s="544">
        <f>IF(VLOOKUP($E$100,[1]UN!$A$2:$FA$67, 26, FALSE)="",":",VLOOKUP($E$100,[1]UN!$A$2:$FA$67, 26, FALSE))</f>
        <v>33709.15</v>
      </c>
      <c r="AB100" s="544">
        <f>IF(VLOOKUP($E$100,[1]UN!$A$2:$FA$67, 27, FALSE)="",":",VLOOKUP($E$100,[1]UN!$A$2:$FA$67, 27, FALSE))</f>
        <v>34789.370000000003</v>
      </c>
      <c r="AC100" s="544">
        <f>IF(VLOOKUP($E$100,[1]UN!$A$2:$FA$67, 28, FALSE)="",":",VLOOKUP($E$100,[1]UN!$A$2:$FA$67, 28, FALSE))</f>
        <v>37589.730000000003</v>
      </c>
      <c r="AD100" s="544" t="str">
        <f>IF(VLOOKUP($E$100,[1]UN!$A$2:$FA$67, 29, FALSE)="",":",VLOOKUP($E$100,[1]UN!$A$2:$FA$67, 29, FALSE))</f>
        <v>:</v>
      </c>
      <c r="AE100" s="544" t="str">
        <f>IF(VLOOKUP($E$100,[1]UN!$A$2:$FA$67, 30, FALSE)="",":",VLOOKUP($E$100,[1]UN!$A$2:$FA$67, 30, FALSE))</f>
        <v>:</v>
      </c>
      <c r="AF100" s="544" t="str">
        <f>IF(VLOOKUP($E$100,[1]UN!$A$2:$FA$67, 31, FALSE)="",":",VLOOKUP($E$100,[1]UN!$A$2:$FA$67, 31, FALSE))</f>
        <v>:</v>
      </c>
    </row>
    <row r="101" spans="1:32">
      <c r="A101" s="1954"/>
      <c r="B101" s="534" t="s">
        <v>474</v>
      </c>
      <c r="C101" s="535"/>
      <c r="D101" s="12" t="s">
        <v>475</v>
      </c>
      <c r="E101" s="13">
        <v>610</v>
      </c>
      <c r="F101" s="14" t="str">
        <f>VLOOKUP($E$101,[1]UN!$A$2:$FA$67, 3, FALSE)</f>
        <v xml:space="preserve">610  Compensation of employees                                                    </v>
      </c>
      <c r="G101" s="544">
        <f>IF(VLOOKUP($E$101,[1]UN!$A$2:$FA$67, 6, FALSE)="",":",VLOOKUP($E$101,[1]UN!$A$2:$FA$67, 6, FALSE))</f>
        <v>2901.95</v>
      </c>
      <c r="H101" s="544">
        <f>IF(VLOOKUP($E$101,[1]UN!$A$2:$FA$67, 7, FALSE)="",":",VLOOKUP($E$101,[1]UN!$A$2:$FA$67, 7, FALSE))</f>
        <v>3690.65</v>
      </c>
      <c r="I101" s="544">
        <f>IF(VLOOKUP($E$101,[1]UN!$A$2:$FA$67, 8, FALSE)="",":",VLOOKUP($E$101,[1]UN!$A$2:$FA$67, 8, FALSE))</f>
        <v>4536.3999999999996</v>
      </c>
      <c r="J101" s="544">
        <f>IF(VLOOKUP($E$101,[1]UN!$A$2:$FA$67, 9, FALSE)="",":",VLOOKUP($E$101,[1]UN!$A$2:$FA$67, 9, FALSE))</f>
        <v>5415.39</v>
      </c>
      <c r="K101" s="544">
        <f>IF(VLOOKUP($E$101,[1]UN!$A$2:$FA$67, 10, FALSE)="",":",VLOOKUP($E$101,[1]UN!$A$2:$FA$67, 10, FALSE))</f>
        <v>5453.77</v>
      </c>
      <c r="L101" s="544">
        <f>IF(VLOOKUP($E$101,[1]UN!$A$2:$FA$67, 11, FALSE)="",":",VLOOKUP($E$101,[1]UN!$A$2:$FA$67, 11, FALSE))</f>
        <v>5222.8500000000004</v>
      </c>
      <c r="M101" s="544">
        <f>IF(VLOOKUP($E$101,[1]UN!$A$2:$FA$67, 12, FALSE)="",":",VLOOKUP($E$101,[1]UN!$A$2:$FA$67, 12, FALSE))</f>
        <v>5365.29</v>
      </c>
      <c r="N101" s="544">
        <f>IF(VLOOKUP($E$101,[1]UN!$A$2:$FA$67, 13, FALSE)="",":",VLOOKUP($E$101,[1]UN!$A$2:$FA$67, 13, FALSE))</f>
        <v>5810.31</v>
      </c>
      <c r="O101" s="544">
        <f>IF(VLOOKUP($E$101,[1]UN!$A$2:$FA$67, 14, FALSE)="",":",VLOOKUP($E$101,[1]UN!$A$2:$FA$67, 14, FALSE))</f>
        <v>6443.04</v>
      </c>
      <c r="P101" s="544">
        <f>IF(VLOOKUP($E$101,[1]UN!$A$2:$FA$67, 15, FALSE)="",":",VLOOKUP($E$101,[1]UN!$A$2:$FA$67, 15, FALSE))</f>
        <v>7310.09</v>
      </c>
      <c r="Q101" s="544">
        <f>IF(VLOOKUP($E$101,[1]UN!$A$2:$FA$67, 16, FALSE)="",":",VLOOKUP($E$101,[1]UN!$A$2:$FA$67, 16, FALSE))</f>
        <v>8520.02</v>
      </c>
      <c r="R101" s="544">
        <f>IF(VLOOKUP($E$101,[1]UN!$A$2:$FA$67, 17, FALSE)="",":",VLOOKUP($E$101,[1]UN!$A$2:$FA$67, 17, FALSE))</f>
        <v>10277.299999999999</v>
      </c>
      <c r="S101" s="544">
        <f>IF(VLOOKUP($E$101,[1]UN!$A$2:$FA$67, 18, FALSE)="",":",VLOOKUP($E$101,[1]UN!$A$2:$FA$67, 18, FALSE))</f>
        <v>12325.9</v>
      </c>
      <c r="T101" s="544">
        <f>IF(VLOOKUP($E$101,[1]UN!$A$2:$FA$67, 19, FALSE)="",":",VLOOKUP($E$101,[1]UN!$A$2:$FA$67, 19, FALSE))</f>
        <v>14355.07</v>
      </c>
      <c r="U101" s="544">
        <f>IF(VLOOKUP($E$101,[1]UN!$A$2:$FA$67, 20, FALSE)="",":",VLOOKUP($E$101,[1]UN!$A$2:$FA$67, 20, FALSE))</f>
        <v>11978.25</v>
      </c>
      <c r="V101" s="544">
        <f>IF(VLOOKUP($E$101,[1]UN!$A$2:$FA$67, 21, FALSE)="",":",VLOOKUP($E$101,[1]UN!$A$2:$FA$67, 21, FALSE))</f>
        <v>11469.97</v>
      </c>
      <c r="W101" s="544">
        <f>IF(VLOOKUP($E$101,[1]UN!$A$2:$FA$67, 22, FALSE)="",":",VLOOKUP($E$101,[1]UN!$A$2:$FA$67, 22, FALSE))</f>
        <v>12296.09</v>
      </c>
      <c r="X101" s="544">
        <f>IF(VLOOKUP($E$101,[1]UN!$A$2:$FA$67, 23, FALSE)="",":",VLOOKUP($E$101,[1]UN!$A$2:$FA$67, 23, FALSE))</f>
        <v>12977.05</v>
      </c>
      <c r="Y101" s="544">
        <f>IF(VLOOKUP($E$101,[1]UN!$A$2:$FA$67, 24, FALSE)="",":",VLOOKUP($E$101,[1]UN!$A$2:$FA$67, 24, FALSE))</f>
        <v>13742.62</v>
      </c>
      <c r="Z101" s="544">
        <f>IF(VLOOKUP($E$101,[1]UN!$A$2:$FA$67, 25, FALSE)="",":",VLOOKUP($E$101,[1]UN!$A$2:$FA$67, 25, FALSE))</f>
        <v>14623.93</v>
      </c>
      <c r="AA101" s="544">
        <f>IF(VLOOKUP($E$101,[1]UN!$A$2:$FA$67, 26, FALSE)="",":",VLOOKUP($E$101,[1]UN!$A$2:$FA$67, 26, FALSE))</f>
        <v>15637.28</v>
      </c>
      <c r="AB101" s="544">
        <f>IF(VLOOKUP($E$101,[1]UN!$A$2:$FA$67, 27, FALSE)="",":",VLOOKUP($E$101,[1]UN!$A$2:$FA$67, 27, FALSE))</f>
        <v>16929.060000000001</v>
      </c>
      <c r="AC101" s="544">
        <f>IF(VLOOKUP($E$101,[1]UN!$A$2:$FA$67, 28, FALSE)="",":",VLOOKUP($E$101,[1]UN!$A$2:$FA$67, 28, FALSE))</f>
        <v>18449.63</v>
      </c>
      <c r="AD101" s="544" t="str">
        <f>IF(VLOOKUP($E$101,[1]UN!$A$2:$FA$67, 29, FALSE)="",":",VLOOKUP($E$101,[1]UN!$A$2:$FA$67, 29, FALSE))</f>
        <v>:</v>
      </c>
      <c r="AE101" s="544" t="str">
        <f>IF(VLOOKUP($E$101,[1]UN!$A$2:$FA$67, 30, FALSE)="",":",VLOOKUP($E$101,[1]UN!$A$2:$FA$67, 30, FALSE))</f>
        <v>:</v>
      </c>
      <c r="AF101" s="544" t="str">
        <f>IF(VLOOKUP($E$101,[1]UN!$A$2:$FA$67, 31, FALSE)="",":",VLOOKUP($E$101,[1]UN!$A$2:$FA$67, 31, FALSE))</f>
        <v>:</v>
      </c>
    </row>
    <row r="102" spans="1:32">
      <c r="A102" s="533"/>
      <c r="B102" s="534"/>
      <c r="C102" s="535"/>
      <c r="D102" s="12"/>
      <c r="E102" s="13"/>
      <c r="F102" s="14"/>
      <c r="G102" s="544"/>
      <c r="H102" s="544"/>
      <c r="I102" s="544"/>
      <c r="J102" s="544"/>
      <c r="K102" s="544"/>
      <c r="L102" s="544"/>
      <c r="M102" s="544"/>
      <c r="N102" s="544"/>
      <c r="O102" s="544"/>
      <c r="P102" s="544"/>
      <c r="Q102" s="544"/>
      <c r="R102" s="544"/>
      <c r="S102" s="544"/>
      <c r="T102" s="544"/>
      <c r="U102" s="544"/>
      <c r="V102" s="544"/>
      <c r="W102" s="544"/>
      <c r="X102" s="544"/>
      <c r="Y102" s="544"/>
      <c r="Z102" s="544"/>
      <c r="AA102" s="544"/>
      <c r="AB102" s="544"/>
      <c r="AC102" s="544"/>
      <c r="AD102" s="544"/>
      <c r="AE102" s="544"/>
      <c r="AF102" s="544"/>
    </row>
    <row r="103" spans="1:32">
      <c r="A103" s="533">
        <v>50</v>
      </c>
      <c r="B103" s="534" t="s">
        <v>1494</v>
      </c>
      <c r="C103" s="535" t="s">
        <v>1179</v>
      </c>
      <c r="D103" s="12" t="s">
        <v>475</v>
      </c>
      <c r="E103" s="13">
        <v>634</v>
      </c>
      <c r="F103" s="14" t="str">
        <f>VLOOKUP($E$103,[1]UN!$A$2:$FA$67, 3, FALSE)</f>
        <v>634  Taxes on products (D.21)</v>
      </c>
      <c r="G103" s="544">
        <f>IF(VLOOKUP($E$103,[1]UN!$A$2:$FA$67, 6, FALSE)="",":",VLOOKUP($E$103,[1]UN!$A$2:$FA$67, 6, FALSE))</f>
        <v>898.54</v>
      </c>
      <c r="H103" s="544">
        <f>IF(VLOOKUP($E$103,[1]UN!$A$2:$FA$67, 7, FALSE)="",":",VLOOKUP($E$103,[1]UN!$A$2:$FA$67, 7, FALSE))</f>
        <v>1068.29</v>
      </c>
      <c r="I103" s="544">
        <f>IF(VLOOKUP($E$103,[1]UN!$A$2:$FA$67, 8, FALSE)="",":",VLOOKUP($E$103,[1]UN!$A$2:$FA$67, 8, FALSE))</f>
        <v>1512.29</v>
      </c>
      <c r="J103" s="544">
        <f>IF(VLOOKUP($E$103,[1]UN!$A$2:$FA$67, 9, FALSE)="",":",VLOOKUP($E$103,[1]UN!$A$2:$FA$67, 9, FALSE))</f>
        <v>1717.88</v>
      </c>
      <c r="K103" s="544">
        <f>IF(VLOOKUP($E$103,[1]UN!$A$2:$FA$67, 10, FALSE)="",":",VLOOKUP($E$103,[1]UN!$A$2:$FA$67, 10, FALSE))</f>
        <v>1654.48</v>
      </c>
      <c r="L103" s="544">
        <f>IF(VLOOKUP($E$103,[1]UN!$A$2:$FA$67, 11, FALSE)="",":",VLOOKUP($E$103,[1]UN!$A$2:$FA$67, 11, FALSE))</f>
        <v>1589.41</v>
      </c>
      <c r="M103" s="544">
        <f>IF(VLOOKUP($E$103,[1]UN!$A$2:$FA$67, 12, FALSE)="",":",VLOOKUP($E$103,[1]UN!$A$2:$FA$67, 12, FALSE))</f>
        <v>1635.85</v>
      </c>
      <c r="N103" s="544">
        <f>IF(VLOOKUP($E$103,[1]UN!$A$2:$FA$67, 13, FALSE)="",":",VLOOKUP($E$103,[1]UN!$A$2:$FA$67, 13, FALSE))</f>
        <v>1779.97</v>
      </c>
      <c r="O103" s="544">
        <f>IF(VLOOKUP($E$103,[1]UN!$A$2:$FA$67, 14, FALSE)="",":",VLOOKUP($E$103,[1]UN!$A$2:$FA$67, 14, FALSE))</f>
        <v>1839.22</v>
      </c>
      <c r="P103" s="544">
        <f>IF(VLOOKUP($E$103,[1]UN!$A$2:$FA$67, 15, FALSE)="",":",VLOOKUP($E$103,[1]UN!$A$2:$FA$67, 15, FALSE))</f>
        <v>1928.1</v>
      </c>
      <c r="Q103" s="544">
        <f>IF(VLOOKUP($E$103,[1]UN!$A$2:$FA$67, 16, FALSE)="",":",VLOOKUP($E$103,[1]UN!$A$2:$FA$67, 16, FALSE))</f>
        <v>2263.77</v>
      </c>
      <c r="R103" s="544">
        <f>IF(VLOOKUP($E$103,[1]UN!$A$2:$FA$67, 17, FALSE)="",":",VLOOKUP($E$103,[1]UN!$A$2:$FA$67, 17, FALSE))</f>
        <v>2612.5300000000002</v>
      </c>
      <c r="S103" s="544">
        <f>IF(VLOOKUP($E$103,[1]UN!$A$2:$FA$67, 18, FALSE)="",":",VLOOKUP($E$103,[1]UN!$A$2:$FA$67, 18, FALSE))</f>
        <v>3265.49</v>
      </c>
      <c r="T103" s="544">
        <f>IF(VLOOKUP($E$103,[1]UN!$A$2:$FA$67, 19, FALSE)="",":",VLOOKUP($E$103,[1]UN!$A$2:$FA$67, 19, FALSE))</f>
        <v>3701.18</v>
      </c>
      <c r="U103" s="544">
        <f>IF(VLOOKUP($E$103,[1]UN!$A$2:$FA$67, 20, FALSE)="",":",VLOOKUP($E$103,[1]UN!$A$2:$FA$67, 20, FALSE))</f>
        <v>2996.16</v>
      </c>
      <c r="V103" s="544">
        <f>IF(VLOOKUP($E$103,[1]UN!$A$2:$FA$67, 21, FALSE)="",":",VLOOKUP($E$103,[1]UN!$A$2:$FA$67, 21, FALSE))</f>
        <v>3192.48</v>
      </c>
      <c r="W103" s="544">
        <f>IF(VLOOKUP($E$103,[1]UN!$A$2:$FA$67, 22, FALSE)="",":",VLOOKUP($E$103,[1]UN!$A$2:$FA$67, 22, FALSE))</f>
        <v>3502.14</v>
      </c>
      <c r="X103" s="544">
        <f>IF(VLOOKUP($E$103,[1]UN!$A$2:$FA$67, 23, FALSE)="",":",VLOOKUP($E$103,[1]UN!$A$2:$FA$67, 23, FALSE))</f>
        <v>3593.79</v>
      </c>
      <c r="Y103" s="544">
        <f>IF(VLOOKUP($E$103,[1]UN!$A$2:$FA$67, 24, FALSE)="",":",VLOOKUP($E$103,[1]UN!$A$2:$FA$67, 24, FALSE))</f>
        <v>3709.15</v>
      </c>
      <c r="Z103" s="544">
        <f>IF(VLOOKUP($E$103,[1]UN!$A$2:$FA$67, 25, FALSE)="",":",VLOOKUP($E$103,[1]UN!$A$2:$FA$67, 25, FALSE))</f>
        <v>3940.33</v>
      </c>
      <c r="AA103" s="544">
        <f>IF(VLOOKUP($E$103,[1]UN!$A$2:$FA$67, 26, FALSE)="",":",VLOOKUP($E$103,[1]UN!$A$2:$FA$67, 26, FALSE))</f>
        <v>4211.09</v>
      </c>
      <c r="AB103" s="544">
        <f>IF(VLOOKUP($E$103,[1]UN!$A$2:$FA$67, 27, FALSE)="",":",VLOOKUP($E$103,[1]UN!$A$2:$FA$67, 27, FALSE))</f>
        <v>4417.1499999999996</v>
      </c>
      <c r="AC103" s="544">
        <f>IF(VLOOKUP($E$103,[1]UN!$A$2:$FA$67, 28, FALSE)="",":",VLOOKUP($E$103,[1]UN!$A$2:$FA$67, 28, FALSE))</f>
        <v>4813.3</v>
      </c>
      <c r="AD103" s="544" t="str">
        <f>IF(VLOOKUP($E$103,[1]UN!$A$2:$FA$67, 29, FALSE)="",":",VLOOKUP($E$103,[1]UN!$A$2:$FA$67, 29, FALSE))</f>
        <v>:</v>
      </c>
      <c r="AE103" s="544" t="str">
        <f>IF(VLOOKUP($E$103,[1]UN!$A$2:$FA$67, 30, FALSE)="",":",VLOOKUP($E$103,[1]UN!$A$2:$FA$67, 30, FALSE))</f>
        <v>:</v>
      </c>
      <c r="AF103" s="544" t="str">
        <f>IF(VLOOKUP($E$103,[1]UN!$A$2:$FA$67, 31, FALSE)="",":",VLOOKUP($E$103,[1]UN!$A$2:$FA$67, 31, FALSE))</f>
        <v>:</v>
      </c>
    </row>
    <row r="104" spans="1:32">
      <c r="A104" s="533">
        <v>51</v>
      </c>
      <c r="B104" s="534" t="s">
        <v>888</v>
      </c>
      <c r="C104" s="535" t="s">
        <v>403</v>
      </c>
      <c r="D104" s="12" t="s">
        <v>475</v>
      </c>
      <c r="E104" s="13">
        <v>635</v>
      </c>
      <c r="F104" s="14" t="str">
        <f>VLOOKUP($E$104,[1]UN!$A$2:$FA$67, 3, FALSE)</f>
        <v>635  Subsidies on products (D.31)</v>
      </c>
      <c r="G104" s="544">
        <f>IF(VLOOKUP($E$104,[1]UN!$A$2:$FA$67, 6, FALSE)="",":",VLOOKUP($E$104,[1]UN!$A$2:$FA$67, 6, FALSE))</f>
        <v>69.86</v>
      </c>
      <c r="H104" s="544">
        <f>IF(VLOOKUP($E$104,[1]UN!$A$2:$FA$67, 7, FALSE)="",":",VLOOKUP($E$104,[1]UN!$A$2:$FA$67, 7, FALSE))</f>
        <v>87.96</v>
      </c>
      <c r="I104" s="544">
        <f>IF(VLOOKUP($E$104,[1]UN!$A$2:$FA$67, 8, FALSE)="",":",VLOOKUP($E$104,[1]UN!$A$2:$FA$67, 8, FALSE))</f>
        <v>63.11</v>
      </c>
      <c r="J104" s="544">
        <f>IF(VLOOKUP($E$104,[1]UN!$A$2:$FA$67, 9, FALSE)="",":",VLOOKUP($E$104,[1]UN!$A$2:$FA$67, 9, FALSE))</f>
        <v>109.05</v>
      </c>
      <c r="K104" s="544">
        <f>IF(VLOOKUP($E$104,[1]UN!$A$2:$FA$67, 10, FALSE)="",":",VLOOKUP($E$104,[1]UN!$A$2:$FA$67, 10, FALSE))</f>
        <v>116.12</v>
      </c>
      <c r="L104" s="544">
        <f>IF(VLOOKUP($E$104,[1]UN!$A$2:$FA$67, 11, FALSE)="",":",VLOOKUP($E$104,[1]UN!$A$2:$FA$67, 11, FALSE))</f>
        <v>102.12</v>
      </c>
      <c r="M104" s="544">
        <f>IF(VLOOKUP($E$104,[1]UN!$A$2:$FA$67, 12, FALSE)="",":",VLOOKUP($E$104,[1]UN!$A$2:$FA$67, 12, FALSE))</f>
        <v>75.84</v>
      </c>
      <c r="N104" s="544">
        <f>IF(VLOOKUP($E$104,[1]UN!$A$2:$FA$67, 13, FALSE)="",":",VLOOKUP($E$104,[1]UN!$A$2:$FA$67, 13, FALSE))</f>
        <v>101.73</v>
      </c>
      <c r="O104" s="544">
        <f>IF(VLOOKUP($E$104,[1]UN!$A$2:$FA$67, 14, FALSE)="",":",VLOOKUP($E$104,[1]UN!$A$2:$FA$67, 14, FALSE))</f>
        <v>107.79</v>
      </c>
      <c r="P104" s="544">
        <f>IF(VLOOKUP($E$104,[1]UN!$A$2:$FA$67, 15, FALSE)="",":",VLOOKUP($E$104,[1]UN!$A$2:$FA$67, 15, FALSE))</f>
        <v>189.97</v>
      </c>
      <c r="Q104" s="544">
        <f>IF(VLOOKUP($E$104,[1]UN!$A$2:$FA$67, 16, FALSE)="",":",VLOOKUP($E$104,[1]UN!$A$2:$FA$67, 16, FALSE))</f>
        <v>271.13</v>
      </c>
      <c r="R104" s="544">
        <f>IF(VLOOKUP($E$104,[1]UN!$A$2:$FA$67, 17, FALSE)="",":",VLOOKUP($E$104,[1]UN!$A$2:$FA$67, 17, FALSE))</f>
        <v>267.02999999999997</v>
      </c>
      <c r="S104" s="544">
        <f>IF(VLOOKUP($E$104,[1]UN!$A$2:$FA$67, 18, FALSE)="",":",VLOOKUP($E$104,[1]UN!$A$2:$FA$67, 18, FALSE))</f>
        <v>301.32</v>
      </c>
      <c r="T104" s="544">
        <f>IF(VLOOKUP($E$104,[1]UN!$A$2:$FA$67, 19, FALSE)="",":",VLOOKUP($E$104,[1]UN!$A$2:$FA$67, 19, FALSE))</f>
        <v>354.11</v>
      </c>
      <c r="U104" s="544">
        <f>IF(VLOOKUP($E$104,[1]UN!$A$2:$FA$67, 20, FALSE)="",":",VLOOKUP($E$104,[1]UN!$A$2:$FA$67, 20, FALSE))</f>
        <v>361.7</v>
      </c>
      <c r="V104" s="544">
        <f>IF(VLOOKUP($E$104,[1]UN!$A$2:$FA$67, 21, FALSE)="",":",VLOOKUP($E$104,[1]UN!$A$2:$FA$67, 21, FALSE))</f>
        <v>374.57</v>
      </c>
      <c r="W104" s="544">
        <f>IF(VLOOKUP($E$104,[1]UN!$A$2:$FA$67, 22, FALSE)="",":",VLOOKUP($E$104,[1]UN!$A$2:$FA$67, 22, FALSE))</f>
        <v>386.88</v>
      </c>
      <c r="X104" s="544">
        <f>IF(VLOOKUP($E$104,[1]UN!$A$2:$FA$67, 23, FALSE)="",":",VLOOKUP($E$104,[1]UN!$A$2:$FA$67, 23, FALSE))</f>
        <v>410.48</v>
      </c>
      <c r="Y104" s="544">
        <f>IF(VLOOKUP($E$104,[1]UN!$A$2:$FA$67, 24, FALSE)="",":",VLOOKUP($E$104,[1]UN!$A$2:$FA$67, 24, FALSE))</f>
        <v>439.58</v>
      </c>
      <c r="Z104" s="544">
        <f>IF(VLOOKUP($E$104,[1]UN!$A$2:$FA$67, 25, FALSE)="",":",VLOOKUP($E$104,[1]UN!$A$2:$FA$67, 25, FALSE))</f>
        <v>439.72</v>
      </c>
      <c r="AA104" s="544">
        <f>IF(VLOOKUP($E$104,[1]UN!$A$2:$FA$67, 26, FALSE)="",":",VLOOKUP($E$104,[1]UN!$A$2:$FA$67, 26, FALSE))</f>
        <v>493.63</v>
      </c>
      <c r="AB104" s="544">
        <f>IF(VLOOKUP($E$104,[1]UN!$A$2:$FA$67, 27, FALSE)="",":",VLOOKUP($E$104,[1]UN!$A$2:$FA$67, 27, FALSE))</f>
        <v>538.20000000000005</v>
      </c>
      <c r="AC104" s="544">
        <f>IF(VLOOKUP($E$104,[1]UN!$A$2:$FA$67, 28, FALSE)="",":",VLOOKUP($E$104,[1]UN!$A$2:$FA$67, 28, FALSE))</f>
        <v>546</v>
      </c>
      <c r="AD104" s="544" t="str">
        <f>IF(VLOOKUP($E$104,[1]UN!$A$2:$FA$67, 29, FALSE)="",":",VLOOKUP($E$104,[1]UN!$A$2:$FA$67, 29, FALSE))</f>
        <v>:</v>
      </c>
      <c r="AE104" s="544" t="str">
        <f>IF(VLOOKUP($E$104,[1]UN!$A$2:$FA$67, 30, FALSE)="",":",VLOOKUP($E$104,[1]UN!$A$2:$FA$67, 30, FALSE))</f>
        <v>:</v>
      </c>
      <c r="AF104" s="544" t="str">
        <f>IF(VLOOKUP($E$104,[1]UN!$A$2:$FA$67, 31, FALSE)="",":",VLOOKUP($E$104,[1]UN!$A$2:$FA$67, 31, FALSE))</f>
        <v>:</v>
      </c>
    </row>
    <row r="105" spans="1:32">
      <c r="A105" s="533"/>
      <c r="B105" s="534"/>
      <c r="C105" s="535"/>
      <c r="D105" s="12"/>
      <c r="E105" s="13"/>
      <c r="F105" s="14"/>
      <c r="G105" s="544"/>
      <c r="H105" s="544"/>
      <c r="I105" s="544"/>
      <c r="J105" s="544"/>
      <c r="K105" s="544"/>
      <c r="L105" s="544"/>
      <c r="M105" s="544"/>
      <c r="N105" s="544"/>
      <c r="O105" s="544"/>
      <c r="P105" s="544"/>
      <c r="Q105" s="544"/>
      <c r="R105" s="544"/>
      <c r="S105" s="544"/>
      <c r="T105" s="544"/>
      <c r="U105" s="544"/>
      <c r="V105" s="544"/>
      <c r="W105" s="544"/>
      <c r="X105" s="544"/>
      <c r="Y105" s="544"/>
      <c r="Z105" s="544"/>
      <c r="AA105" s="544"/>
      <c r="AB105" s="544"/>
      <c r="AC105" s="544"/>
      <c r="AD105" s="544"/>
      <c r="AE105" s="544"/>
      <c r="AF105" s="544"/>
    </row>
    <row r="106" spans="1:32">
      <c r="A106" s="1954"/>
      <c r="B106" s="534"/>
      <c r="C106" s="535"/>
      <c r="D106" s="12" t="s">
        <v>475</v>
      </c>
      <c r="E106" s="13">
        <v>640</v>
      </c>
      <c r="F106" s="14" t="str">
        <f>VLOOKUP($E$106,[1]UN!$A$2:$FA$67, 3, FALSE)</f>
        <v xml:space="preserve">640  Operating surplus/mixed income (gross)                                       </v>
      </c>
      <c r="G106" s="544">
        <f>IF(VLOOKUP($E$106,[1]UN!$A$2:$FA$67, 6, FALSE)="",":",VLOOKUP($E$106,[1]UN!$A$2:$FA$67, 6, FALSE))</f>
        <v>4008.08</v>
      </c>
      <c r="H106" s="544">
        <f>IF(VLOOKUP($E$106,[1]UN!$A$2:$FA$67, 7, FALSE)="",":",VLOOKUP($E$106,[1]UN!$A$2:$FA$67, 7, FALSE))</f>
        <v>5014.58</v>
      </c>
      <c r="I106" s="544">
        <f>IF(VLOOKUP($E$106,[1]UN!$A$2:$FA$67, 8, FALSE)="",":",VLOOKUP($E$106,[1]UN!$A$2:$FA$67, 8, FALSE))</f>
        <v>5703.43</v>
      </c>
      <c r="J106" s="544">
        <f>IF(VLOOKUP($E$106,[1]UN!$A$2:$FA$67, 9, FALSE)="",":",VLOOKUP($E$106,[1]UN!$A$2:$FA$67, 9, FALSE))</f>
        <v>5948.15</v>
      </c>
      <c r="K106" s="544">
        <f>IF(VLOOKUP($E$106,[1]UN!$A$2:$FA$67, 10, FALSE)="",":",VLOOKUP($E$106,[1]UN!$A$2:$FA$67, 10, FALSE))</f>
        <v>5647.13</v>
      </c>
      <c r="L106" s="544">
        <f>IF(VLOOKUP($E$106,[1]UN!$A$2:$FA$67, 11, FALSE)="",":",VLOOKUP($E$106,[1]UN!$A$2:$FA$67, 11, FALSE))</f>
        <v>6577.36</v>
      </c>
      <c r="M106" s="544">
        <f>IF(VLOOKUP($E$106,[1]UN!$A$2:$FA$67, 12, FALSE)="",":",VLOOKUP($E$106,[1]UN!$A$2:$FA$67, 12, FALSE))</f>
        <v>7219.17</v>
      </c>
      <c r="N106" s="544">
        <f>IF(VLOOKUP($E$106,[1]UN!$A$2:$FA$67, 13, FALSE)="",":",VLOOKUP($E$106,[1]UN!$A$2:$FA$67, 13, FALSE))</f>
        <v>7628.26</v>
      </c>
      <c r="O106" s="544">
        <f>IF(VLOOKUP($E$106,[1]UN!$A$2:$FA$67, 14, FALSE)="",":",VLOOKUP($E$106,[1]UN!$A$2:$FA$67, 14, FALSE))</f>
        <v>8414.25</v>
      </c>
      <c r="P106" s="544">
        <f>IF(VLOOKUP($E$106,[1]UN!$A$2:$FA$67, 15, FALSE)="",":",VLOOKUP($E$106,[1]UN!$A$2:$FA$67, 15, FALSE))</f>
        <v>9117.44</v>
      </c>
      <c r="Q106" s="544">
        <f>IF(VLOOKUP($E$106,[1]UN!$A$2:$FA$67, 16, FALSE)="",":",VLOOKUP($E$106,[1]UN!$A$2:$FA$67, 16, FALSE))</f>
        <v>10468.870000000001</v>
      </c>
      <c r="R106" s="544">
        <f>IF(VLOOKUP($E$106,[1]UN!$A$2:$FA$67, 17, FALSE)="",":",VLOOKUP($E$106,[1]UN!$A$2:$FA$67, 17, FALSE))</f>
        <v>11424.27</v>
      </c>
      <c r="S106" s="544">
        <f>IF(VLOOKUP($E$106,[1]UN!$A$2:$FA$67, 18, FALSE)="",":",VLOOKUP($E$106,[1]UN!$A$2:$FA$67, 18, FALSE))</f>
        <v>13707.92</v>
      </c>
      <c r="T106" s="544">
        <f>IF(VLOOKUP($E$106,[1]UN!$A$2:$FA$67, 19, FALSE)="",":",VLOOKUP($E$106,[1]UN!$A$2:$FA$67, 19, FALSE))</f>
        <v>14882.71</v>
      </c>
      <c r="U106" s="544">
        <f>IF(VLOOKUP($E$106,[1]UN!$A$2:$FA$67, 20, FALSE)="",":",VLOOKUP($E$106,[1]UN!$A$2:$FA$67, 20, FALSE))</f>
        <v>12226.56</v>
      </c>
      <c r="V106" s="544">
        <f>IF(VLOOKUP($E$106,[1]UN!$A$2:$FA$67, 21, FALSE)="",":",VLOOKUP($E$106,[1]UN!$A$2:$FA$67, 21, FALSE))</f>
        <v>13627.14</v>
      </c>
      <c r="W106" s="544">
        <f>IF(VLOOKUP($E$106,[1]UN!$A$2:$FA$67, 22, FALSE)="",":",VLOOKUP($E$106,[1]UN!$A$2:$FA$67, 22, FALSE))</f>
        <v>15734.59</v>
      </c>
      <c r="X106" s="544">
        <f>IF(VLOOKUP($E$106,[1]UN!$A$2:$FA$67, 23, FALSE)="",":",VLOOKUP($E$106,[1]UN!$A$2:$FA$67, 23, FALSE))</f>
        <v>17053.64</v>
      </c>
      <c r="Y106" s="544">
        <f>IF(VLOOKUP($E$106,[1]UN!$A$2:$FA$67, 24, FALSE)="",":",VLOOKUP($E$106,[1]UN!$A$2:$FA$67, 24, FALSE))</f>
        <v>17805.41</v>
      </c>
      <c r="Z106" s="544">
        <f>IF(VLOOKUP($E$106,[1]UN!$A$2:$FA$67, 25, FALSE)="",":",VLOOKUP($E$106,[1]UN!$A$2:$FA$67, 25, FALSE))</f>
        <v>18282.46</v>
      </c>
      <c r="AA106" s="544">
        <f>IF(VLOOKUP($E$106,[1]UN!$A$2:$FA$67, 26, FALSE)="",":",VLOOKUP($E$106,[1]UN!$A$2:$FA$67, 26, FALSE))</f>
        <v>17924.57</v>
      </c>
      <c r="AB106" s="544">
        <f>IF(VLOOKUP($E$106,[1]UN!$A$2:$FA$67, 27, FALSE)="",":",VLOOKUP($E$106,[1]UN!$A$2:$FA$67, 27, FALSE))</f>
        <v>17732.099999999999</v>
      </c>
      <c r="AC106" s="544">
        <f>IF(VLOOKUP($E$106,[1]UN!$A$2:$FA$67, 28, FALSE)="",":",VLOOKUP($E$106,[1]UN!$A$2:$FA$67, 28, FALSE))</f>
        <v>19083.96</v>
      </c>
      <c r="AD106" s="544" t="str">
        <f>IF(VLOOKUP($E$106,[1]UN!$A$2:$FA$67, 29, FALSE)="",":",VLOOKUP($E$106,[1]UN!$A$2:$FA$67, 29, FALSE))</f>
        <v>:</v>
      </c>
      <c r="AE106" s="544" t="str">
        <f>IF(VLOOKUP($E$106,[1]UN!$A$2:$FA$67, 30, FALSE)="",":",VLOOKUP($E$106,[1]UN!$A$2:$FA$67, 30, FALSE))</f>
        <v>:</v>
      </c>
      <c r="AF106" s="544" t="str">
        <f>IF(VLOOKUP($E$106,[1]UN!$A$2:$FA$67, 31, FALSE)="",":",VLOOKUP($E$106,[1]UN!$A$2:$FA$67, 31, FALSE))</f>
        <v>:</v>
      </c>
    </row>
    <row r="107" spans="1:32">
      <c r="A107" s="533"/>
      <c r="B107" s="534"/>
      <c r="C107" s="535"/>
      <c r="D107" s="12"/>
      <c r="E107" s="13"/>
      <c r="F107" s="14"/>
      <c r="G107" s="544"/>
      <c r="H107" s="544"/>
      <c r="I107" s="544"/>
      <c r="J107" s="544"/>
      <c r="K107" s="544"/>
      <c r="L107" s="544"/>
      <c r="M107" s="544"/>
      <c r="N107" s="544"/>
      <c r="O107" s="544"/>
      <c r="P107" s="544"/>
      <c r="Q107" s="544"/>
      <c r="R107" s="544"/>
      <c r="S107" s="544"/>
      <c r="T107" s="544"/>
      <c r="U107" s="544"/>
      <c r="V107" s="544"/>
      <c r="W107" s="544"/>
      <c r="X107" s="544"/>
      <c r="Y107" s="544"/>
      <c r="Z107" s="544"/>
      <c r="AA107" s="544"/>
      <c r="AB107" s="544"/>
      <c r="AC107" s="544"/>
      <c r="AD107" s="544"/>
      <c r="AE107" s="544"/>
      <c r="AF107" s="544"/>
    </row>
    <row r="108" spans="1:32">
      <c r="A108" s="533"/>
      <c r="B108" s="534"/>
      <c r="C108" s="535"/>
      <c r="D108" s="12"/>
      <c r="E108" s="13"/>
      <c r="F108" s="14"/>
      <c r="G108" s="544"/>
      <c r="H108" s="544"/>
      <c r="I108" s="544"/>
      <c r="J108" s="544"/>
      <c r="K108" s="544"/>
      <c r="L108" s="544"/>
      <c r="M108" s="544"/>
      <c r="N108" s="544"/>
      <c r="O108" s="544"/>
      <c r="P108" s="544"/>
      <c r="Q108" s="544"/>
      <c r="R108" s="544"/>
      <c r="S108" s="544"/>
      <c r="T108" s="544"/>
      <c r="U108" s="544"/>
      <c r="V108" s="544"/>
      <c r="W108" s="544"/>
      <c r="X108" s="544"/>
      <c r="Y108" s="544"/>
      <c r="Z108" s="544"/>
      <c r="AA108" s="544"/>
      <c r="AB108" s="544"/>
      <c r="AC108" s="544"/>
      <c r="AD108" s="544"/>
      <c r="AE108" s="544"/>
      <c r="AF108" s="544"/>
    </row>
    <row r="109" spans="1:32">
      <c r="A109" s="533"/>
      <c r="B109" s="534"/>
      <c r="C109" s="535"/>
      <c r="D109" s="12"/>
      <c r="E109" s="13"/>
      <c r="F109" s="14"/>
      <c r="G109" s="544"/>
      <c r="H109" s="544"/>
      <c r="I109" s="544"/>
      <c r="J109" s="544"/>
      <c r="K109" s="544"/>
      <c r="L109" s="544"/>
      <c r="M109" s="544"/>
      <c r="N109" s="544"/>
      <c r="O109" s="544"/>
      <c r="P109" s="544"/>
      <c r="Q109" s="544"/>
      <c r="R109" s="544"/>
      <c r="S109" s="544"/>
      <c r="T109" s="544"/>
      <c r="U109" s="544"/>
      <c r="V109" s="544"/>
      <c r="W109" s="544"/>
      <c r="X109" s="544"/>
      <c r="Y109" s="544"/>
      <c r="Z109" s="544"/>
      <c r="AA109" s="544"/>
      <c r="AB109" s="544"/>
      <c r="AC109" s="544"/>
      <c r="AD109" s="544"/>
      <c r="AE109" s="544"/>
      <c r="AF109" s="544"/>
    </row>
    <row r="110" spans="1:32">
      <c r="A110" s="533"/>
      <c r="B110" s="534"/>
      <c r="C110" s="535"/>
      <c r="D110" s="12"/>
      <c r="E110" s="13"/>
      <c r="F110" s="14"/>
      <c r="G110" s="544"/>
      <c r="H110" s="544"/>
      <c r="I110" s="544"/>
      <c r="J110" s="544"/>
      <c r="K110" s="544"/>
      <c r="L110" s="544"/>
      <c r="M110" s="544"/>
      <c r="N110" s="544"/>
      <c r="O110" s="544"/>
      <c r="P110" s="544"/>
      <c r="Q110" s="544"/>
      <c r="R110" s="544"/>
      <c r="S110" s="544"/>
      <c r="T110" s="544"/>
      <c r="U110" s="544"/>
      <c r="V110" s="544"/>
      <c r="W110" s="544"/>
      <c r="X110" s="544"/>
      <c r="Y110" s="544"/>
      <c r="Z110" s="544"/>
      <c r="AA110" s="544"/>
      <c r="AB110" s="544"/>
      <c r="AC110" s="544"/>
      <c r="AD110" s="544"/>
      <c r="AE110" s="544"/>
      <c r="AF110" s="544"/>
    </row>
    <row r="111" spans="1:32">
      <c r="A111" s="533"/>
      <c r="B111" s="534"/>
      <c r="C111" s="535"/>
      <c r="D111" s="12"/>
      <c r="E111" s="13"/>
      <c r="F111" s="14"/>
      <c r="G111" s="544"/>
      <c r="H111" s="544"/>
      <c r="I111" s="544"/>
      <c r="J111" s="544"/>
      <c r="K111" s="544"/>
      <c r="L111" s="544"/>
      <c r="M111" s="544"/>
      <c r="N111" s="544"/>
      <c r="O111" s="544"/>
      <c r="P111" s="544"/>
      <c r="Q111" s="544"/>
      <c r="R111" s="544"/>
      <c r="S111" s="544"/>
      <c r="T111" s="544"/>
      <c r="U111" s="544"/>
      <c r="V111" s="544"/>
      <c r="W111" s="544"/>
      <c r="X111" s="544"/>
      <c r="Y111" s="544"/>
      <c r="Z111" s="544"/>
      <c r="AA111" s="544"/>
      <c r="AB111" s="544"/>
      <c r="AC111" s="544"/>
      <c r="AD111" s="544"/>
      <c r="AE111" s="544"/>
      <c r="AF111" s="544"/>
    </row>
    <row r="112" spans="1:32">
      <c r="A112" s="533"/>
      <c r="B112" s="534"/>
      <c r="C112" s="535"/>
      <c r="D112" s="12"/>
      <c r="E112" s="13"/>
      <c r="F112" s="14"/>
      <c r="G112" s="544"/>
      <c r="H112" s="544"/>
      <c r="I112" s="544"/>
      <c r="J112" s="544"/>
      <c r="K112" s="544"/>
      <c r="L112" s="544"/>
      <c r="M112" s="544"/>
      <c r="N112" s="544"/>
      <c r="O112" s="544"/>
      <c r="P112" s="544"/>
      <c r="Q112" s="544"/>
      <c r="R112" s="544"/>
      <c r="S112" s="544"/>
      <c r="T112" s="544"/>
      <c r="U112" s="544"/>
      <c r="V112" s="544"/>
      <c r="W112" s="544"/>
      <c r="X112" s="544"/>
      <c r="Y112" s="544"/>
      <c r="Z112" s="544"/>
      <c r="AA112" s="544"/>
      <c r="AB112" s="544"/>
      <c r="AC112" s="544"/>
      <c r="AD112" s="544"/>
      <c r="AE112" s="544"/>
      <c r="AF112" s="544"/>
    </row>
    <row r="113" spans="1:32">
      <c r="A113" s="533">
        <v>100</v>
      </c>
      <c r="B113" s="534" t="s">
        <v>1551</v>
      </c>
      <c r="C113" s="535" t="s">
        <v>313</v>
      </c>
      <c r="D113" s="12" t="s">
        <v>413</v>
      </c>
      <c r="E113" s="13">
        <v>3</v>
      </c>
      <c r="F113" s="14" t="str">
        <f>VLOOKUP($E$113,[1]UC!$A$2:$FA$48, 3, FALSE)</f>
        <v xml:space="preserve">3   Gross value added at basic prices  B1g                                               </v>
      </c>
      <c r="G113" s="544">
        <f>IF(VLOOKUP($E$113,[1]UC!$A$2:$FA$48, 6, FALSE)="",":",VLOOKUP($E$113,[1]UC!$A$2:$FA$48, 6, FALSE))</f>
        <v>3993.06</v>
      </c>
      <c r="H113" s="544">
        <f>IF(VLOOKUP($E$113,[1]UC!$A$2:$FA$48, 7, FALSE)="",":",VLOOKUP($E$113,[1]UC!$A$2:$FA$48, 7, FALSE))</f>
        <v>5025.9799999999996</v>
      </c>
      <c r="I113" s="544">
        <f>IF(VLOOKUP($E$113,[1]UC!$A$2:$FA$48, 8, FALSE)="",":",VLOOKUP($E$113,[1]UC!$A$2:$FA$48, 8, FALSE))</f>
        <v>5943.62</v>
      </c>
      <c r="J113" s="544">
        <f>IF(VLOOKUP($E$113,[1]UC!$A$2:$FA$48, 9, FALSE)="",":",VLOOKUP($E$113,[1]UC!$A$2:$FA$48, 9, FALSE))</f>
        <v>6482.41</v>
      </c>
      <c r="K113" s="544">
        <f>IF(VLOOKUP($E$113,[1]UC!$A$2:$FA$48, 10, FALSE)="",":",VLOOKUP($E$113,[1]UC!$A$2:$FA$48, 10, FALSE))</f>
        <v>6331.39</v>
      </c>
      <c r="L113" s="544">
        <f>IF(VLOOKUP($E$113,[1]UC!$A$2:$FA$48, 11, FALSE)="",":",VLOOKUP($E$113,[1]UC!$A$2:$FA$48, 11, FALSE))</f>
        <v>7040.54</v>
      </c>
      <c r="M113" s="544">
        <f>IF(VLOOKUP($E$113,[1]UC!$A$2:$FA$48, 12, FALSE)="",":",VLOOKUP($E$113,[1]UC!$A$2:$FA$48, 12, FALSE))</f>
        <v>7837.78</v>
      </c>
      <c r="N113" s="544">
        <f>IF(VLOOKUP($E$113,[1]UC!$A$2:$FA$48, 13, FALSE)="",":",VLOOKUP($E$113,[1]UC!$A$2:$FA$48, 13, FALSE))</f>
        <v>8652.69</v>
      </c>
      <c r="O113" s="544">
        <f>IF(VLOOKUP($E$113,[1]UC!$A$2:$FA$48, 14, FALSE)="",":",VLOOKUP($E$113,[1]UC!$A$2:$FA$48, 14, FALSE))</f>
        <v>9867.7000000000007</v>
      </c>
      <c r="P113" s="544">
        <f>IF(VLOOKUP($E$113,[1]UC!$A$2:$FA$48, 15, FALSE)="",":",VLOOKUP($E$113,[1]UC!$A$2:$FA$48, 15, FALSE))</f>
        <v>11100.08</v>
      </c>
      <c r="Q113" s="544">
        <f>IF(VLOOKUP($E$113,[1]UC!$A$2:$FA$48, 16, FALSE)="",":",VLOOKUP($E$113,[1]UC!$A$2:$FA$48, 16, FALSE))</f>
        <v>13076.6</v>
      </c>
      <c r="R113" s="544">
        <f>IF(VLOOKUP($E$113,[1]UC!$A$2:$FA$48, 17, FALSE)="",":",VLOOKUP($E$113,[1]UC!$A$2:$FA$48, 17, FALSE))</f>
        <v>15146.89</v>
      </c>
      <c r="S113" s="544">
        <f>IF(VLOOKUP($E$113,[1]UC!$A$2:$FA$48, 18, FALSE)="",":",VLOOKUP($E$113,[1]UC!$A$2:$FA$48, 18, FALSE))</f>
        <v>18652.310000000001</v>
      </c>
      <c r="T113" s="544">
        <f>IF(VLOOKUP($E$113,[1]UC!$A$2:$FA$48, 19, FALSE)="",":",VLOOKUP($E$113,[1]UC!$A$2:$FA$48, 19, FALSE))</f>
        <v>20888.43</v>
      </c>
      <c r="U113" s="544">
        <f>IF(VLOOKUP($E$113,[1]UC!$A$2:$FA$48, 20, FALSE)="",":",VLOOKUP($E$113,[1]UC!$A$2:$FA$48, 20, FALSE))</f>
        <v>16735.37</v>
      </c>
      <c r="V113" s="544">
        <f>IF(VLOOKUP($E$113,[1]UC!$A$2:$FA$48, 21, FALSE)="",":",VLOOKUP($E$113,[1]UC!$A$2:$FA$48, 21, FALSE))</f>
        <v>18234.16</v>
      </c>
      <c r="W113" s="544">
        <f>IF(VLOOKUP($E$113,[1]UC!$A$2:$FA$48, 22, FALSE)="",":",VLOOKUP($E$113,[1]UC!$A$2:$FA$48, 22, FALSE))</f>
        <v>20770.669999999998</v>
      </c>
      <c r="X113" s="544">
        <f>IF(VLOOKUP($E$113,[1]UC!$A$2:$FA$48, 23, FALSE)="",":",VLOOKUP($E$113,[1]UC!$A$2:$FA$48, 23, FALSE))</f>
        <v>22225.49</v>
      </c>
      <c r="Y113" s="544">
        <f>IF(VLOOKUP($E$113,[1]UC!$A$2:$FA$48, 24, FALSE)="",":",VLOOKUP($E$113,[1]UC!$A$2:$FA$48, 24, FALSE))</f>
        <v>23438.720000000001</v>
      </c>
      <c r="Z113" s="544">
        <f>IF(VLOOKUP($E$113,[1]UC!$A$2:$FA$48, 25, FALSE)="",":",VLOOKUP($E$113,[1]UC!$A$2:$FA$48, 25, FALSE))</f>
        <v>24500.11</v>
      </c>
      <c r="AA113" s="544">
        <f>IF(VLOOKUP($E$113,[1]UC!$A$2:$FA$48, 26, FALSE)="",":",VLOOKUP($E$113,[1]UC!$A$2:$FA$48, 26, FALSE))</f>
        <v>24728.16</v>
      </c>
      <c r="AB113" s="544">
        <f>IF(VLOOKUP($E$113,[1]UC!$A$2:$FA$48, 27, FALSE)="",":",VLOOKUP($E$113,[1]UC!$A$2:$FA$48, 27, FALSE))</f>
        <v>25567.38</v>
      </c>
      <c r="AC113" s="544" t="str">
        <f>IF(VLOOKUP($E$113,[1]UC!$A$2:$FA$48, 28, FALSE)="",":",VLOOKUP($E$113,[1]UC!$A$2:$FA$48, 28, FALSE))</f>
        <v>:</v>
      </c>
      <c r="AD113" s="544" t="str">
        <f>IF(VLOOKUP($E$113,[1]UC!$A$2:$FA$48, 29, FALSE)="",":",VLOOKUP($E$113,[1]UC!$A$2:$FA$48, 29, FALSE))</f>
        <v>:</v>
      </c>
      <c r="AE113" s="544" t="str">
        <f>IF(VLOOKUP($E$113,[1]UC!$A$2:$FA$48, 30, FALSE)="",":",VLOOKUP($E$113,[1]UC!$A$2:$FA$48, 30, FALSE))</f>
        <v>:</v>
      </c>
      <c r="AF113" s="544" t="str">
        <f>IF(VLOOKUP($E$113,[1]UC!$A$2:$FA$48, 31, FALSE)="",":",VLOOKUP($E$113,[1]UC!$A$2:$FA$48, 31, FALSE))</f>
        <v>:</v>
      </c>
    </row>
    <row r="114" spans="1:32">
      <c r="A114" s="533">
        <v>102</v>
      </c>
      <c r="B114" s="534" t="s">
        <v>1059</v>
      </c>
      <c r="C114" s="535" t="s">
        <v>314</v>
      </c>
      <c r="D114" s="12" t="s">
        <v>413</v>
      </c>
      <c r="E114" s="13">
        <v>7</v>
      </c>
      <c r="F114" s="14" t="str">
        <f>VLOOKUP($E$114,[1]UC!$A$2:$FA$48, 3, FALSE)</f>
        <v>7 Other taxes on production, payable D.29p</v>
      </c>
      <c r="G114" s="544">
        <f>IF(VLOOKUP($E$114,[1]UC!$A$2:$FA$48, 6, FALSE)="",":",VLOOKUP($E$114,[1]UC!$A$2:$FA$48, 6, FALSE))</f>
        <v>24.44</v>
      </c>
      <c r="H114" s="544">
        <f>IF(VLOOKUP($E$114,[1]UC!$A$2:$FA$48, 7, FALSE)="",":",VLOOKUP($E$114,[1]UC!$A$2:$FA$48, 7, FALSE))</f>
        <v>20.420000000000002</v>
      </c>
      <c r="I114" s="544">
        <f>IF(VLOOKUP($E$114,[1]UC!$A$2:$FA$48, 8, FALSE)="",":",VLOOKUP($E$114,[1]UC!$A$2:$FA$48, 8, FALSE))</f>
        <v>54.79</v>
      </c>
      <c r="J114" s="544">
        <f>IF(VLOOKUP($E$114,[1]UC!$A$2:$FA$48, 9, FALSE)="",":",VLOOKUP($E$114,[1]UC!$A$2:$FA$48, 9, FALSE))</f>
        <v>59.07</v>
      </c>
      <c r="K114" s="544">
        <f>IF(VLOOKUP($E$114,[1]UC!$A$2:$FA$48, 10, FALSE)="",":",VLOOKUP($E$114,[1]UC!$A$2:$FA$48, 10, FALSE))</f>
        <v>71.02</v>
      </c>
      <c r="L114" s="544">
        <f>IF(VLOOKUP($E$114,[1]UC!$A$2:$FA$48, 11, FALSE)="",":",VLOOKUP($E$114,[1]UC!$A$2:$FA$48, 11, FALSE))</f>
        <v>61.15</v>
      </c>
      <c r="M114" s="544">
        <f>IF(VLOOKUP($E$114,[1]UC!$A$2:$FA$48, 12, FALSE)="",":",VLOOKUP($E$114,[1]UC!$A$2:$FA$48, 12, FALSE))</f>
        <v>65.7</v>
      </c>
      <c r="N114" s="544">
        <f>IF(VLOOKUP($E$114,[1]UC!$A$2:$FA$48, 13, FALSE)="",":",VLOOKUP($E$114,[1]UC!$A$2:$FA$48, 13, FALSE))</f>
        <v>60.03</v>
      </c>
      <c r="O114" s="544">
        <f>IF(VLOOKUP($E$114,[1]UC!$A$2:$FA$48, 14, FALSE)="",":",VLOOKUP($E$114,[1]UC!$A$2:$FA$48, 14, FALSE))</f>
        <v>78.19</v>
      </c>
      <c r="P114" s="544">
        <f>IF(VLOOKUP($E$114,[1]UC!$A$2:$FA$48, 15, FALSE)="",":",VLOOKUP($E$114,[1]UC!$A$2:$FA$48, 15, FALSE))</f>
        <v>100.31</v>
      </c>
      <c r="Q114" s="544">
        <f>IF(VLOOKUP($E$114,[1]UC!$A$2:$FA$48, 16, FALSE)="",":",VLOOKUP($E$114,[1]UC!$A$2:$FA$48, 16, FALSE))</f>
        <v>109.57</v>
      </c>
      <c r="R114" s="544">
        <f>IF(VLOOKUP($E$114,[1]UC!$A$2:$FA$48, 17, FALSE)="",":",VLOOKUP($E$114,[1]UC!$A$2:$FA$48, 17, FALSE))</f>
        <v>137.01</v>
      </c>
      <c r="S114" s="544">
        <f>IF(VLOOKUP($E$114,[1]UC!$A$2:$FA$48, 18, FALSE)="",":",VLOOKUP($E$114,[1]UC!$A$2:$FA$48, 18, FALSE))</f>
        <v>157.27000000000001</v>
      </c>
      <c r="T114" s="544">
        <f>IF(VLOOKUP($E$114,[1]UC!$A$2:$FA$48, 19, FALSE)="",":",VLOOKUP($E$114,[1]UC!$A$2:$FA$48, 19, FALSE))</f>
        <v>152.79</v>
      </c>
      <c r="U114" s="544">
        <f>IF(VLOOKUP($E$114,[1]UC!$A$2:$FA$48, 20, FALSE)="",":",VLOOKUP($E$114,[1]UC!$A$2:$FA$48, 20, FALSE))</f>
        <v>153.37</v>
      </c>
      <c r="V114" s="544">
        <f>IF(VLOOKUP($E$114,[1]UC!$A$2:$FA$48, 21, FALSE)="",":",VLOOKUP($E$114,[1]UC!$A$2:$FA$48, 21, FALSE))</f>
        <v>148.97999999999999</v>
      </c>
      <c r="W114" s="544">
        <f>IF(VLOOKUP($E$114,[1]UC!$A$2:$FA$48, 22, FALSE)="",":",VLOOKUP($E$114,[1]UC!$A$2:$FA$48, 22, FALSE))</f>
        <v>161.41999999999999</v>
      </c>
      <c r="X114" s="544">
        <f>IF(VLOOKUP($E$114,[1]UC!$A$2:$FA$48, 23, FALSE)="",":",VLOOKUP($E$114,[1]UC!$A$2:$FA$48, 23, FALSE))</f>
        <v>169.39</v>
      </c>
      <c r="Y114" s="544">
        <f>IF(VLOOKUP($E$114,[1]UC!$A$2:$FA$48, 24, FALSE)="",":",VLOOKUP($E$114,[1]UC!$A$2:$FA$48, 24, FALSE))</f>
        <v>180.54</v>
      </c>
      <c r="Z114" s="544">
        <f>IF(VLOOKUP($E$114,[1]UC!$A$2:$FA$48, 25, FALSE)="",":",VLOOKUP($E$114,[1]UC!$A$2:$FA$48, 25, FALSE))</f>
        <v>203.43</v>
      </c>
      <c r="AA114" s="544">
        <f>IF(VLOOKUP($E$114,[1]UC!$A$2:$FA$48, 26, FALSE)="",":",VLOOKUP($E$114,[1]UC!$A$2:$FA$48, 26, FALSE))</f>
        <v>215.67</v>
      </c>
      <c r="AB114" s="544">
        <f>IF(VLOOKUP($E$114,[1]UC!$A$2:$FA$48, 27, FALSE)="",":",VLOOKUP($E$114,[1]UC!$A$2:$FA$48, 27, FALSE))</f>
        <v>192.43</v>
      </c>
      <c r="AC114" s="544" t="str">
        <f>IF(VLOOKUP($E$114,[1]UC!$A$2:$FA$48, 28, FALSE)="",":",VLOOKUP($E$114,[1]UC!$A$2:$FA$48, 28, FALSE))</f>
        <v>:</v>
      </c>
      <c r="AD114" s="544" t="str">
        <f>IF(VLOOKUP($E$114,[1]UC!$A$2:$FA$48, 29, FALSE)="",":",VLOOKUP($E$114,[1]UC!$A$2:$FA$48, 29, FALSE))</f>
        <v>:</v>
      </c>
      <c r="AE114" s="544" t="str">
        <f>IF(VLOOKUP($E$114,[1]UC!$A$2:$FA$48, 30, FALSE)="",":",VLOOKUP($E$114,[1]UC!$A$2:$FA$48, 30, FALSE))</f>
        <v>:</v>
      </c>
      <c r="AF114" s="544" t="str">
        <f>IF(VLOOKUP($E$114,[1]UC!$A$2:$FA$48, 31, FALSE)="",":",VLOOKUP($E$114,[1]UC!$A$2:$FA$48, 31, FALSE))</f>
        <v>:</v>
      </c>
    </row>
    <row r="115" spans="1:32">
      <c r="A115" s="533">
        <v>101</v>
      </c>
      <c r="B115" s="534" t="s">
        <v>383</v>
      </c>
      <c r="C115" s="535" t="s">
        <v>420</v>
      </c>
      <c r="D115" s="12" t="s">
        <v>413</v>
      </c>
      <c r="E115" s="13">
        <v>8</v>
      </c>
      <c r="F115" s="14" t="str">
        <f>VLOOKUP($E$115,[1]UC!$A$2:$FA$48, 3, FALSE)</f>
        <v>8 Other subsidies on production receivable D.39r</v>
      </c>
      <c r="G115" s="544">
        <f>IF(VLOOKUP($E$115,[1]UC!$A$2:$FA$48, 6, FALSE)="",":",VLOOKUP($E$115,[1]UC!$A$2:$FA$48, 6, FALSE))</f>
        <v>9.7899999999999991</v>
      </c>
      <c r="H115" s="544">
        <f>IF(VLOOKUP($E$115,[1]UC!$A$2:$FA$48, 7, FALSE)="",":",VLOOKUP($E$115,[1]UC!$A$2:$FA$48, 7, FALSE))</f>
        <v>26.85</v>
      </c>
      <c r="I115" s="544">
        <f>IF(VLOOKUP($E$115,[1]UC!$A$2:$FA$48, 8, FALSE)="",":",VLOOKUP($E$115,[1]UC!$A$2:$FA$48, 8, FALSE))</f>
        <v>38</v>
      </c>
      <c r="J115" s="544">
        <f>IF(VLOOKUP($E$115,[1]UC!$A$2:$FA$48, 9, FALSE)="",":",VLOOKUP($E$115,[1]UC!$A$2:$FA$48, 9, FALSE))</f>
        <v>27.57</v>
      </c>
      <c r="K115" s="544">
        <f>IF(VLOOKUP($E$115,[1]UC!$A$2:$FA$48, 10, FALSE)="",":",VLOOKUP($E$115,[1]UC!$A$2:$FA$48, 10, FALSE))</f>
        <v>16.27</v>
      </c>
      <c r="L115" s="544">
        <f>IF(VLOOKUP($E$115,[1]UC!$A$2:$FA$48, 11, FALSE)="",":",VLOOKUP($E$115,[1]UC!$A$2:$FA$48, 11, FALSE))</f>
        <v>2.5300000000000002</v>
      </c>
      <c r="M115" s="544">
        <f>IF(VLOOKUP($E$115,[1]UC!$A$2:$FA$48, 12, FALSE)="",":",VLOOKUP($E$115,[1]UC!$A$2:$FA$48, 12, FALSE))</f>
        <v>31.58</v>
      </c>
      <c r="N115" s="544">
        <f>IF(VLOOKUP($E$115,[1]UC!$A$2:$FA$48, 13, FALSE)="",":",VLOOKUP($E$115,[1]UC!$A$2:$FA$48, 13, FALSE))</f>
        <v>18.100000000000001</v>
      </c>
      <c r="O115" s="544">
        <f>IF(VLOOKUP($E$115,[1]UC!$A$2:$FA$48, 14, FALSE)="",":",VLOOKUP($E$115,[1]UC!$A$2:$FA$48, 14, FALSE))</f>
        <v>14.15</v>
      </c>
      <c r="P115" s="544">
        <f>IF(VLOOKUP($E$115,[1]UC!$A$2:$FA$48, 15, FALSE)="",":",VLOOKUP($E$115,[1]UC!$A$2:$FA$48, 15, FALSE))</f>
        <v>22.14</v>
      </c>
      <c r="Q115" s="544">
        <f>IF(VLOOKUP($E$115,[1]UC!$A$2:$FA$48, 16, FALSE)="",":",VLOOKUP($E$115,[1]UC!$A$2:$FA$48, 16, FALSE))</f>
        <v>22.51</v>
      </c>
      <c r="R115" s="544">
        <f>IF(VLOOKUP($E$115,[1]UC!$A$2:$FA$48, 17, FALSE)="",":",VLOOKUP($E$115,[1]UC!$A$2:$FA$48, 17, FALSE))</f>
        <v>66.27</v>
      </c>
      <c r="S115" s="544">
        <f>IF(VLOOKUP($E$115,[1]UC!$A$2:$FA$48, 18, FALSE)="",":",VLOOKUP($E$115,[1]UC!$A$2:$FA$48, 18, FALSE))</f>
        <v>71.400000000000006</v>
      </c>
      <c r="T115" s="544">
        <f>IF(VLOOKUP($E$115,[1]UC!$A$2:$FA$48, 19, FALSE)="",":",VLOOKUP($E$115,[1]UC!$A$2:$FA$48, 19, FALSE))</f>
        <v>36.409999999999997</v>
      </c>
      <c r="U115" s="544">
        <f>IF(VLOOKUP($E$115,[1]UC!$A$2:$FA$48, 20, FALSE)="",":",VLOOKUP($E$115,[1]UC!$A$2:$FA$48, 20, FALSE))</f>
        <v>18.98</v>
      </c>
      <c r="V115" s="544">
        <f>IF(VLOOKUP($E$115,[1]UC!$A$2:$FA$48, 21, FALSE)="",":",VLOOKUP($E$115,[1]UC!$A$2:$FA$48, 21, FALSE))</f>
        <v>45.65</v>
      </c>
      <c r="W115" s="544">
        <f>IF(VLOOKUP($E$115,[1]UC!$A$2:$FA$48, 22, FALSE)="",":",VLOOKUP($E$115,[1]UC!$A$2:$FA$48, 22, FALSE))</f>
        <v>26.89</v>
      </c>
      <c r="X115" s="544">
        <f>IF(VLOOKUP($E$115,[1]UC!$A$2:$FA$48, 23, FALSE)="",":",VLOOKUP($E$115,[1]UC!$A$2:$FA$48, 23, FALSE))</f>
        <v>25.72</v>
      </c>
      <c r="Y115" s="544">
        <f>IF(VLOOKUP($E$115,[1]UC!$A$2:$FA$48, 24, FALSE)="",":",VLOOKUP($E$115,[1]UC!$A$2:$FA$48, 24, FALSE))</f>
        <v>49.03</v>
      </c>
      <c r="Z115" s="544">
        <f>IF(VLOOKUP($E$115,[1]UC!$A$2:$FA$48, 25, FALSE)="",":",VLOOKUP($E$115,[1]UC!$A$2:$FA$48, 25, FALSE))</f>
        <v>47.33</v>
      </c>
      <c r="AA115" s="544">
        <f>IF(VLOOKUP($E$115,[1]UC!$A$2:$FA$48, 26, FALSE)="",":",VLOOKUP($E$115,[1]UC!$A$2:$FA$48, 26, FALSE))</f>
        <v>60.97</v>
      </c>
      <c r="AB115" s="544">
        <f>IF(VLOOKUP($E$115,[1]UC!$A$2:$FA$48, 27, FALSE)="",":",VLOOKUP($E$115,[1]UC!$A$2:$FA$48, 27, FALSE))</f>
        <v>72.87</v>
      </c>
      <c r="AC115" s="544" t="str">
        <f>IF(VLOOKUP($E$115,[1]UC!$A$2:$FA$48, 28, FALSE)="",":",VLOOKUP($E$115,[1]UC!$A$2:$FA$48, 28, FALSE))</f>
        <v>:</v>
      </c>
      <c r="AD115" s="544" t="str">
        <f>IF(VLOOKUP($E$115,[1]UC!$A$2:$FA$48, 29, FALSE)="",":",VLOOKUP($E$115,[1]UC!$A$2:$FA$48, 29, FALSE))</f>
        <v>:</v>
      </c>
      <c r="AE115" s="544" t="str">
        <f>IF(VLOOKUP($E$115,[1]UC!$A$2:$FA$48, 30, FALSE)="",":",VLOOKUP($E$115,[1]UC!$A$2:$FA$48, 30, FALSE))</f>
        <v>:</v>
      </c>
      <c r="AF115" s="544" t="str">
        <f>IF(VLOOKUP($E$115,[1]UC!$A$2:$FA$48, 31, FALSE)="",":",VLOOKUP($E$115,[1]UC!$A$2:$FA$48, 31, FALSE))</f>
        <v>:</v>
      </c>
    </row>
    <row r="116" spans="1:32">
      <c r="A116" s="533">
        <v>103</v>
      </c>
      <c r="B116" s="534" t="s">
        <v>1158</v>
      </c>
      <c r="C116" s="535" t="s">
        <v>315</v>
      </c>
      <c r="D116" s="12" t="s">
        <v>413</v>
      </c>
      <c r="E116" s="13">
        <v>6</v>
      </c>
      <c r="F116" s="14" t="str">
        <f>VLOOKUP($E$116,[1]UC!$A$2:$FA$48, 3, FALSE)</f>
        <v xml:space="preserve">6   Compensation of employees, payable  D.1p                                  </v>
      </c>
      <c r="G116" s="544">
        <f>IF(VLOOKUP($E$116,[1]UC!$A$2:$FA$48, 6, FALSE)="",":",VLOOKUP($E$116,[1]UC!$A$2:$FA$48, 6, FALSE))</f>
        <v>2017.06</v>
      </c>
      <c r="H116" s="544">
        <f>IF(VLOOKUP($E$116,[1]UC!$A$2:$FA$48, 7, FALSE)="",":",VLOOKUP($E$116,[1]UC!$A$2:$FA$48, 7, FALSE))</f>
        <v>2529.5700000000002</v>
      </c>
      <c r="I116" s="544">
        <f>IF(VLOOKUP($E$116,[1]UC!$A$2:$FA$48, 8, FALSE)="",":",VLOOKUP($E$116,[1]UC!$A$2:$FA$48, 8, FALSE))</f>
        <v>3048.64</v>
      </c>
      <c r="J116" s="544">
        <f>IF(VLOOKUP($E$116,[1]UC!$A$2:$FA$48, 9, FALSE)="",":",VLOOKUP($E$116,[1]UC!$A$2:$FA$48, 9, FALSE))</f>
        <v>3518.14</v>
      </c>
      <c r="K116" s="544">
        <f>IF(VLOOKUP($E$116,[1]UC!$A$2:$FA$48, 10, FALSE)="",":",VLOOKUP($E$116,[1]UC!$A$2:$FA$48, 10, FALSE))</f>
        <v>3585.65</v>
      </c>
      <c r="L116" s="544">
        <f>IF(VLOOKUP($E$116,[1]UC!$A$2:$FA$48, 11, FALSE)="",":",VLOOKUP($E$116,[1]UC!$A$2:$FA$48, 11, FALSE))</f>
        <v>3371.24</v>
      </c>
      <c r="M116" s="544">
        <f>IF(VLOOKUP($E$116,[1]UC!$A$2:$FA$48, 12, FALSE)="",":",VLOOKUP($E$116,[1]UC!$A$2:$FA$48, 12, FALSE))</f>
        <v>3419.67</v>
      </c>
      <c r="N116" s="544">
        <f>IF(VLOOKUP($E$116,[1]UC!$A$2:$FA$48, 13, FALSE)="",":",VLOOKUP($E$116,[1]UC!$A$2:$FA$48, 13, FALSE))</f>
        <v>3772.54</v>
      </c>
      <c r="O116" s="544">
        <f>IF(VLOOKUP($E$116,[1]UC!$A$2:$FA$48, 14, FALSE)="",":",VLOOKUP($E$116,[1]UC!$A$2:$FA$48, 14, FALSE))</f>
        <v>4297.9799999999996</v>
      </c>
      <c r="P116" s="544">
        <f>IF(VLOOKUP($E$116,[1]UC!$A$2:$FA$48, 15, FALSE)="",":",VLOOKUP($E$116,[1]UC!$A$2:$FA$48, 15, FALSE))</f>
        <v>4950.12</v>
      </c>
      <c r="Q116" s="544">
        <f>IF(VLOOKUP($E$116,[1]UC!$A$2:$FA$48, 16, FALSE)="",":",VLOOKUP($E$116,[1]UC!$A$2:$FA$48, 16, FALSE))</f>
        <v>5917.67</v>
      </c>
      <c r="R116" s="544">
        <f>IF(VLOOKUP($E$116,[1]UC!$A$2:$FA$48, 17, FALSE)="",":",VLOOKUP($E$116,[1]UC!$A$2:$FA$48, 17, FALSE))</f>
        <v>7232.6</v>
      </c>
      <c r="S116" s="544">
        <f>IF(VLOOKUP($E$116,[1]UC!$A$2:$FA$48, 18, FALSE)="",":",VLOOKUP($E$116,[1]UC!$A$2:$FA$48, 18, FALSE))</f>
        <v>8760.64</v>
      </c>
      <c r="T116" s="544">
        <f>IF(VLOOKUP($E$116,[1]UC!$A$2:$FA$48, 19, FALSE)="",":",VLOOKUP($E$116,[1]UC!$A$2:$FA$48, 19, FALSE))</f>
        <v>10118.370000000001</v>
      </c>
      <c r="U116" s="544">
        <f>IF(VLOOKUP($E$116,[1]UC!$A$2:$FA$48, 20, FALSE)="",":",VLOOKUP($E$116,[1]UC!$A$2:$FA$48, 20, FALSE))</f>
        <v>8014.44</v>
      </c>
      <c r="V116" s="544">
        <f>IF(VLOOKUP($E$116,[1]UC!$A$2:$FA$48, 21, FALSE)="",":",VLOOKUP($E$116,[1]UC!$A$2:$FA$48, 21, FALSE))</f>
        <v>7950.25</v>
      </c>
      <c r="W116" s="544">
        <f>IF(VLOOKUP($E$116,[1]UC!$A$2:$FA$48, 22, FALSE)="",":",VLOOKUP($E$116,[1]UC!$A$2:$FA$48, 22, FALSE))</f>
        <v>8626.9599999999991</v>
      </c>
      <c r="X116" s="544">
        <f>IF(VLOOKUP($E$116,[1]UC!$A$2:$FA$48, 23, FALSE)="",":",VLOOKUP($E$116,[1]UC!$A$2:$FA$48, 23, FALSE))</f>
        <v>9275.5400000000009</v>
      </c>
      <c r="Y116" s="544">
        <f>IF(VLOOKUP($E$116,[1]UC!$A$2:$FA$48, 24, FALSE)="",":",VLOOKUP($E$116,[1]UC!$A$2:$FA$48, 24, FALSE))</f>
        <v>9920.35</v>
      </c>
      <c r="Z116" s="544">
        <f>IF(VLOOKUP($E$116,[1]UC!$A$2:$FA$48, 25, FALSE)="",":",VLOOKUP($E$116,[1]UC!$A$2:$FA$48, 25, FALSE))</f>
        <v>10668.33</v>
      </c>
      <c r="AA116" s="544">
        <f>IF(VLOOKUP($E$116,[1]UC!$A$2:$FA$48, 26, FALSE)="",":",VLOOKUP($E$116,[1]UC!$A$2:$FA$48, 26, FALSE))</f>
        <v>11525.49</v>
      </c>
      <c r="AB116" s="544">
        <f>IF(VLOOKUP($E$116,[1]UC!$A$2:$FA$48, 27, FALSE)="",":",VLOOKUP($E$116,[1]UC!$A$2:$FA$48, 27, FALSE))</f>
        <v>12637.39</v>
      </c>
      <c r="AC116" s="544" t="str">
        <f>IF(VLOOKUP($E$116,[1]UC!$A$2:$FA$48, 28, FALSE)="",":",VLOOKUP($E$116,[1]UC!$A$2:$FA$48, 28, FALSE))</f>
        <v>:</v>
      </c>
      <c r="AD116" s="544" t="str">
        <f>IF(VLOOKUP($E$116,[1]UC!$A$2:$FA$48, 29, FALSE)="",":",VLOOKUP($E$116,[1]UC!$A$2:$FA$48, 29, FALSE))</f>
        <v>:</v>
      </c>
      <c r="AE116" s="544" t="str">
        <f>IF(VLOOKUP($E$116,[1]UC!$A$2:$FA$48, 30, FALSE)="",":",VLOOKUP($E$116,[1]UC!$A$2:$FA$48, 30, FALSE))</f>
        <v>:</v>
      </c>
      <c r="AF116" s="544" t="str">
        <f>IF(VLOOKUP($E$116,[1]UC!$A$2:$FA$48, 31, FALSE)="",":",VLOOKUP($E$116,[1]UC!$A$2:$FA$48, 31, FALSE))</f>
        <v>:</v>
      </c>
    </row>
    <row r="117" spans="1:32">
      <c r="A117" s="533"/>
      <c r="B117" s="534" t="s">
        <v>418</v>
      </c>
      <c r="C117" s="535" t="s">
        <v>421</v>
      </c>
      <c r="D117" s="12" t="s">
        <v>413</v>
      </c>
      <c r="E117" s="13">
        <v>10</v>
      </c>
      <c r="F117" s="14" t="str">
        <f>VLOOKUP($E$117,[1]UC!$A$2:$FA$48, 3, FALSE)</f>
        <v>10 Property income, receivable D.4r</v>
      </c>
      <c r="G117" s="544">
        <f>IF(VLOOKUP($E$117,[1]UC!$A$2:$FA$48, 6, FALSE)="",":",VLOOKUP($E$117,[1]UC!$A$2:$FA$48, 6, FALSE))</f>
        <v>335.13</v>
      </c>
      <c r="H117" s="544">
        <f>IF(VLOOKUP($E$117,[1]UC!$A$2:$FA$48, 7, FALSE)="",":",VLOOKUP($E$117,[1]UC!$A$2:$FA$48, 7, FALSE))</f>
        <v>219.05</v>
      </c>
      <c r="I117" s="544">
        <f>IF(VLOOKUP($E$117,[1]UC!$A$2:$FA$48, 8, FALSE)="",":",VLOOKUP($E$117,[1]UC!$A$2:$FA$48, 8, FALSE))</f>
        <v>257.66000000000003</v>
      </c>
      <c r="J117" s="544">
        <f>IF(VLOOKUP($E$117,[1]UC!$A$2:$FA$48, 9, FALSE)="",":",VLOOKUP($E$117,[1]UC!$A$2:$FA$48, 9, FALSE))</f>
        <v>379.46</v>
      </c>
      <c r="K117" s="544">
        <f>IF(VLOOKUP($E$117,[1]UC!$A$2:$FA$48, 10, FALSE)="",":",VLOOKUP($E$117,[1]UC!$A$2:$FA$48, 10, FALSE))</f>
        <v>394.08</v>
      </c>
      <c r="L117" s="544">
        <f>IF(VLOOKUP($E$117,[1]UC!$A$2:$FA$48, 11, FALSE)="",":",VLOOKUP($E$117,[1]UC!$A$2:$FA$48, 11, FALSE))</f>
        <v>409.34</v>
      </c>
      <c r="M117" s="544">
        <f>IF(VLOOKUP($E$117,[1]UC!$A$2:$FA$48, 12, FALSE)="",":",VLOOKUP($E$117,[1]UC!$A$2:$FA$48, 12, FALSE))</f>
        <v>391.75</v>
      </c>
      <c r="N117" s="544">
        <f>IF(VLOOKUP($E$117,[1]UC!$A$2:$FA$48, 13, FALSE)="",":",VLOOKUP($E$117,[1]UC!$A$2:$FA$48, 13, FALSE))</f>
        <v>390.16</v>
      </c>
      <c r="O117" s="544">
        <f>IF(VLOOKUP($E$117,[1]UC!$A$2:$FA$48, 14, FALSE)="",":",VLOOKUP($E$117,[1]UC!$A$2:$FA$48, 14, FALSE))</f>
        <v>403.54</v>
      </c>
      <c r="P117" s="544">
        <f>IF(VLOOKUP($E$117,[1]UC!$A$2:$FA$48, 15, FALSE)="",":",VLOOKUP($E$117,[1]UC!$A$2:$FA$48, 15, FALSE))</f>
        <v>711.28</v>
      </c>
      <c r="Q117" s="544">
        <f>IF(VLOOKUP($E$117,[1]UC!$A$2:$FA$48, 16, FALSE)="",":",VLOOKUP($E$117,[1]UC!$A$2:$FA$48, 16, FALSE))</f>
        <v>779.4</v>
      </c>
      <c r="R117" s="544">
        <f>IF(VLOOKUP($E$117,[1]UC!$A$2:$FA$48, 17, FALSE)="",":",VLOOKUP($E$117,[1]UC!$A$2:$FA$48, 17, FALSE))</f>
        <v>1128.52</v>
      </c>
      <c r="S117" s="544">
        <f>IF(VLOOKUP($E$117,[1]UC!$A$2:$FA$48, 18, FALSE)="",":",VLOOKUP($E$117,[1]UC!$A$2:$FA$48, 18, FALSE))</f>
        <v>1390.18</v>
      </c>
      <c r="T117" s="544">
        <f>IF(VLOOKUP($E$117,[1]UC!$A$2:$FA$48, 19, FALSE)="",":",VLOOKUP($E$117,[1]UC!$A$2:$FA$48, 19, FALSE))</f>
        <v>1970.52</v>
      </c>
      <c r="U117" s="544">
        <f>IF(VLOOKUP($E$117,[1]UC!$A$2:$FA$48, 20, FALSE)="",":",VLOOKUP($E$117,[1]UC!$A$2:$FA$48, 20, FALSE))</f>
        <v>1602.54</v>
      </c>
      <c r="V117" s="544">
        <f>IF(VLOOKUP($E$117,[1]UC!$A$2:$FA$48, 21, FALSE)="",":",VLOOKUP($E$117,[1]UC!$A$2:$FA$48, 21, FALSE))</f>
        <v>1120.44</v>
      </c>
      <c r="W117" s="544">
        <f>IF(VLOOKUP($E$117,[1]UC!$A$2:$FA$48, 22, FALSE)="",":",VLOOKUP($E$117,[1]UC!$A$2:$FA$48, 22, FALSE))</f>
        <v>1148.48</v>
      </c>
      <c r="X117" s="544">
        <f>IF(VLOOKUP($E$117,[1]UC!$A$2:$FA$48, 23, FALSE)="",":",VLOOKUP($E$117,[1]UC!$A$2:$FA$48, 23, FALSE))</f>
        <v>1277.82</v>
      </c>
      <c r="Y117" s="544">
        <f>IF(VLOOKUP($E$117,[1]UC!$A$2:$FA$48, 24, FALSE)="",":",VLOOKUP($E$117,[1]UC!$A$2:$FA$48, 24, FALSE))</f>
        <v>961.34</v>
      </c>
      <c r="Z117" s="544">
        <f>IF(VLOOKUP($E$117,[1]UC!$A$2:$FA$48, 25, FALSE)="",":",VLOOKUP($E$117,[1]UC!$A$2:$FA$48, 25, FALSE))</f>
        <v>824.64</v>
      </c>
      <c r="AA117" s="544">
        <f>IF(VLOOKUP($E$117,[1]UC!$A$2:$FA$48, 26, FALSE)="",":",VLOOKUP($E$117,[1]UC!$A$2:$FA$48, 26, FALSE))</f>
        <v>1299.0899999999999</v>
      </c>
      <c r="AB117" s="544">
        <f>IF(VLOOKUP($E$117,[1]UC!$A$2:$FA$48, 27, FALSE)="",":",VLOOKUP($E$117,[1]UC!$A$2:$FA$48, 27, FALSE))</f>
        <v>1137.06</v>
      </c>
      <c r="AC117" s="544" t="str">
        <f>IF(VLOOKUP($E$117,[1]UC!$A$2:$FA$48, 28, FALSE)="",":",VLOOKUP($E$117,[1]UC!$A$2:$FA$48, 28, FALSE))</f>
        <v>:</v>
      </c>
      <c r="AD117" s="544" t="str">
        <f>IF(VLOOKUP($E$117,[1]UC!$A$2:$FA$48, 29, FALSE)="",":",VLOOKUP($E$117,[1]UC!$A$2:$FA$48, 29, FALSE))</f>
        <v>:</v>
      </c>
      <c r="AE117" s="544" t="str">
        <f>IF(VLOOKUP($E$117,[1]UC!$A$2:$FA$48, 30, FALSE)="",":",VLOOKUP($E$117,[1]UC!$A$2:$FA$48, 30, FALSE))</f>
        <v>:</v>
      </c>
      <c r="AF117" s="544" t="str">
        <f>IF(VLOOKUP($E$117,[1]UC!$A$2:$FA$48, 31, FALSE)="",":",VLOOKUP($E$117,[1]UC!$A$2:$FA$48, 31, FALSE))</f>
        <v>:</v>
      </c>
    </row>
    <row r="118" spans="1:32">
      <c r="A118" s="533"/>
      <c r="B118" s="534" t="s">
        <v>419</v>
      </c>
      <c r="C118" s="535" t="s">
        <v>422</v>
      </c>
      <c r="D118" s="12" t="s">
        <v>413</v>
      </c>
      <c r="E118" s="13">
        <v>11</v>
      </c>
      <c r="F118" s="14" t="str">
        <f>VLOOKUP($E$118,[1]UC!$A$2:$FA$48, 3, FALSE)</f>
        <v>11 Property income, payable D.4p</v>
      </c>
      <c r="G118" s="544">
        <f>IF(VLOOKUP($E$118,[1]UC!$A$2:$FA$48, 6, FALSE)="",":",VLOOKUP($E$118,[1]UC!$A$2:$FA$48, 6, FALSE))</f>
        <v>1119.1500000000001</v>
      </c>
      <c r="H118" s="544">
        <f>IF(VLOOKUP($E$118,[1]UC!$A$2:$FA$48, 7, FALSE)="",":",VLOOKUP($E$118,[1]UC!$A$2:$FA$48, 7, FALSE))</f>
        <v>1145.18</v>
      </c>
      <c r="I118" s="544">
        <f>IF(VLOOKUP($E$118,[1]UC!$A$2:$FA$48, 8, FALSE)="",":",VLOOKUP($E$118,[1]UC!$A$2:$FA$48, 8, FALSE))</f>
        <v>1561.18</v>
      </c>
      <c r="J118" s="544">
        <f>IF(VLOOKUP($E$118,[1]UC!$A$2:$FA$48, 9, FALSE)="",":",VLOOKUP($E$118,[1]UC!$A$2:$FA$48, 9, FALSE))</f>
        <v>1998</v>
      </c>
      <c r="K118" s="544">
        <f>IF(VLOOKUP($E$118,[1]UC!$A$2:$FA$48, 10, FALSE)="",":",VLOOKUP($E$118,[1]UC!$A$2:$FA$48, 10, FALSE))</f>
        <v>1945.72</v>
      </c>
      <c r="L118" s="544">
        <f>IF(VLOOKUP($E$118,[1]UC!$A$2:$FA$48, 11, FALSE)="",":",VLOOKUP($E$118,[1]UC!$A$2:$FA$48, 11, FALSE))</f>
        <v>2851.07</v>
      </c>
      <c r="M118" s="544">
        <f>IF(VLOOKUP($E$118,[1]UC!$A$2:$FA$48, 12, FALSE)="",":",VLOOKUP($E$118,[1]UC!$A$2:$FA$48, 12, FALSE))</f>
        <v>3089.62</v>
      </c>
      <c r="N118" s="544">
        <f>IF(VLOOKUP($E$118,[1]UC!$A$2:$FA$48, 13, FALSE)="",":",VLOOKUP($E$118,[1]UC!$A$2:$FA$48, 13, FALSE))</f>
        <v>3420.42</v>
      </c>
      <c r="O118" s="544">
        <f>IF(VLOOKUP($E$118,[1]UC!$A$2:$FA$48, 14, FALSE)="",":",VLOOKUP($E$118,[1]UC!$A$2:$FA$48, 14, FALSE))</f>
        <v>3666.11</v>
      </c>
      <c r="P118" s="544">
        <f>IF(VLOOKUP($E$118,[1]UC!$A$2:$FA$48, 15, FALSE)="",":",VLOOKUP($E$118,[1]UC!$A$2:$FA$48, 15, FALSE))</f>
        <v>5035.3900000000003</v>
      </c>
      <c r="Q118" s="544">
        <f>IF(VLOOKUP($E$118,[1]UC!$A$2:$FA$48, 16, FALSE)="",":",VLOOKUP($E$118,[1]UC!$A$2:$FA$48, 16, FALSE))</f>
        <v>4871.87</v>
      </c>
      <c r="R118" s="544">
        <f>IF(VLOOKUP($E$118,[1]UC!$A$2:$FA$48, 17, FALSE)="",":",VLOOKUP($E$118,[1]UC!$A$2:$FA$48, 17, FALSE))</f>
        <v>6011.5</v>
      </c>
      <c r="S118" s="544">
        <f>IF(VLOOKUP($E$118,[1]UC!$A$2:$FA$48, 18, FALSE)="",":",VLOOKUP($E$118,[1]UC!$A$2:$FA$48, 18, FALSE))</f>
        <v>5911.55</v>
      </c>
      <c r="T118" s="544">
        <f>IF(VLOOKUP($E$118,[1]UC!$A$2:$FA$48, 19, FALSE)="",":",VLOOKUP($E$118,[1]UC!$A$2:$FA$48, 19, FALSE))</f>
        <v>7056.76</v>
      </c>
      <c r="U118" s="544">
        <f>IF(VLOOKUP($E$118,[1]UC!$A$2:$FA$48, 20, FALSE)="",":",VLOOKUP($E$118,[1]UC!$A$2:$FA$48, 20, FALSE))</f>
        <v>4949.87</v>
      </c>
      <c r="V118" s="544">
        <f>IF(VLOOKUP($E$118,[1]UC!$A$2:$FA$48, 21, FALSE)="",":",VLOOKUP($E$118,[1]UC!$A$2:$FA$48, 21, FALSE))</f>
        <v>6197.39</v>
      </c>
      <c r="W118" s="544">
        <f>IF(VLOOKUP($E$118,[1]UC!$A$2:$FA$48, 22, FALSE)="",":",VLOOKUP($E$118,[1]UC!$A$2:$FA$48, 22, FALSE))</f>
        <v>7263.86</v>
      </c>
      <c r="X118" s="544">
        <f>IF(VLOOKUP($E$118,[1]UC!$A$2:$FA$48, 23, FALSE)="",":",VLOOKUP($E$118,[1]UC!$A$2:$FA$48, 23, FALSE))</f>
        <v>7258.36</v>
      </c>
      <c r="Y118" s="544">
        <f>IF(VLOOKUP($E$118,[1]UC!$A$2:$FA$48, 24, FALSE)="",":",VLOOKUP($E$118,[1]UC!$A$2:$FA$48, 24, FALSE))</f>
        <v>6844.49</v>
      </c>
      <c r="Z118" s="544">
        <f>IF(VLOOKUP($E$118,[1]UC!$A$2:$FA$48, 25, FALSE)="",":",VLOOKUP($E$118,[1]UC!$A$2:$FA$48, 25, FALSE))</f>
        <v>5867.19</v>
      </c>
      <c r="AA118" s="544">
        <f>IF(VLOOKUP($E$118,[1]UC!$A$2:$FA$48, 26, FALSE)="",":",VLOOKUP($E$118,[1]UC!$A$2:$FA$48, 26, FALSE))</f>
        <v>7403.8</v>
      </c>
      <c r="AB118" s="544">
        <f>IF(VLOOKUP($E$118,[1]UC!$A$2:$FA$48, 27, FALSE)="",":",VLOOKUP($E$118,[1]UC!$A$2:$FA$48, 27, FALSE))</f>
        <v>7569.71</v>
      </c>
      <c r="AC118" s="544" t="str">
        <f>IF(VLOOKUP($E$118,[1]UC!$A$2:$FA$48, 28, FALSE)="",":",VLOOKUP($E$118,[1]UC!$A$2:$FA$48, 28, FALSE))</f>
        <v>:</v>
      </c>
      <c r="AD118" s="544" t="str">
        <f>IF(VLOOKUP($E$118,[1]UC!$A$2:$FA$48, 29, FALSE)="",":",VLOOKUP($E$118,[1]UC!$A$2:$FA$48, 29, FALSE))</f>
        <v>:</v>
      </c>
      <c r="AE118" s="544" t="str">
        <f>IF(VLOOKUP($E$118,[1]UC!$A$2:$FA$48, 30, FALSE)="",":",VLOOKUP($E$118,[1]UC!$A$2:$FA$48, 30, FALSE))</f>
        <v>:</v>
      </c>
      <c r="AF118" s="544" t="str">
        <f>IF(VLOOKUP($E$118,[1]UC!$A$2:$FA$48, 31, FALSE)="",":",VLOOKUP($E$118,[1]UC!$A$2:$FA$48, 31, FALSE))</f>
        <v>:</v>
      </c>
    </row>
    <row r="119" spans="1:32" s="540" customFormat="1">
      <c r="A119" s="536">
        <v>105</v>
      </c>
      <c r="B119" s="537" t="s">
        <v>1162</v>
      </c>
      <c r="C119" s="538" t="s">
        <v>116</v>
      </c>
      <c r="D119" s="528"/>
      <c r="E119" s="529"/>
      <c r="F119" s="539"/>
      <c r="G119" s="545">
        <f>+G117-G118</f>
        <v>-784.0200000000001</v>
      </c>
      <c r="H119" s="545">
        <f t="shared" ref="H119:AF119" si="3">+H117-H118</f>
        <v>-926.13000000000011</v>
      </c>
      <c r="I119" s="545">
        <f t="shared" si="3"/>
        <v>-1303.52</v>
      </c>
      <c r="J119" s="545">
        <f t="shared" si="3"/>
        <v>-1618.54</v>
      </c>
      <c r="K119" s="545">
        <f t="shared" si="3"/>
        <v>-1551.64</v>
      </c>
      <c r="L119" s="545">
        <f t="shared" si="3"/>
        <v>-2441.73</v>
      </c>
      <c r="M119" s="545">
        <f t="shared" si="3"/>
        <v>-2697.87</v>
      </c>
      <c r="N119" s="545">
        <f t="shared" si="3"/>
        <v>-3030.26</v>
      </c>
      <c r="O119" s="545">
        <f t="shared" si="3"/>
        <v>-3262.57</v>
      </c>
      <c r="P119" s="545">
        <f t="shared" si="3"/>
        <v>-4324.1100000000006</v>
      </c>
      <c r="Q119" s="545">
        <f t="shared" si="3"/>
        <v>-4092.47</v>
      </c>
      <c r="R119" s="545">
        <f t="shared" si="3"/>
        <v>-4882.9799999999996</v>
      </c>
      <c r="S119" s="545">
        <f t="shared" si="3"/>
        <v>-4521.37</v>
      </c>
      <c r="T119" s="545">
        <f>+T117-T118</f>
        <v>-5086.24</v>
      </c>
      <c r="U119" s="545">
        <f t="shared" si="3"/>
        <v>-3347.33</v>
      </c>
      <c r="V119" s="545">
        <f t="shared" si="3"/>
        <v>-5076.9500000000007</v>
      </c>
      <c r="W119" s="545">
        <f t="shared" si="3"/>
        <v>-6115.3799999999992</v>
      </c>
      <c r="X119" s="545">
        <f t="shared" si="3"/>
        <v>-5980.54</v>
      </c>
      <c r="Y119" s="545">
        <f t="shared" si="3"/>
        <v>-5883.15</v>
      </c>
      <c r="Z119" s="545">
        <f t="shared" si="3"/>
        <v>-5042.5499999999993</v>
      </c>
      <c r="AA119" s="545">
        <f t="shared" si="3"/>
        <v>-6104.71</v>
      </c>
      <c r="AB119" s="545">
        <f t="shared" si="3"/>
        <v>-6432.65</v>
      </c>
      <c r="AC119" s="545" t="e">
        <f t="shared" si="3"/>
        <v>#VALUE!</v>
      </c>
      <c r="AD119" s="545" t="e">
        <f t="shared" si="3"/>
        <v>#VALUE!</v>
      </c>
      <c r="AE119" s="545" t="e">
        <f t="shared" si="3"/>
        <v>#VALUE!</v>
      </c>
      <c r="AF119" s="545" t="e">
        <f t="shared" si="3"/>
        <v>#VALUE!</v>
      </c>
    </row>
    <row r="120" spans="1:32">
      <c r="A120" s="533"/>
      <c r="B120" s="534"/>
      <c r="C120" s="535"/>
      <c r="D120" s="12"/>
      <c r="E120" s="13"/>
      <c r="F120" s="14"/>
      <c r="G120" s="544"/>
      <c r="H120" s="544"/>
      <c r="I120" s="544"/>
      <c r="J120" s="544"/>
      <c r="K120" s="544"/>
      <c r="L120" s="544"/>
      <c r="M120" s="544"/>
      <c r="N120" s="544"/>
      <c r="O120" s="544"/>
      <c r="P120" s="544"/>
      <c r="Q120" s="544"/>
      <c r="R120" s="544"/>
      <c r="S120" s="544"/>
      <c r="T120" s="544"/>
      <c r="U120" s="544"/>
      <c r="V120" s="544"/>
      <c r="W120" s="544"/>
      <c r="X120" s="544"/>
      <c r="Y120" s="544"/>
      <c r="Z120" s="544"/>
      <c r="AA120" s="544"/>
      <c r="AB120" s="544"/>
      <c r="AC120" s="544"/>
      <c r="AD120" s="544"/>
      <c r="AE120" s="544"/>
      <c r="AF120" s="544"/>
    </row>
    <row r="121" spans="1:32">
      <c r="A121" s="533">
        <v>107</v>
      </c>
      <c r="B121" s="534" t="s">
        <v>1966</v>
      </c>
      <c r="C121" s="535" t="s">
        <v>411</v>
      </c>
      <c r="D121" s="12" t="s">
        <v>413</v>
      </c>
      <c r="E121" s="13">
        <v>16</v>
      </c>
      <c r="F121" s="14" t="str">
        <f>VLOOKUP($E$121,[1]UC!$A$2:$FA$48, 3, FALSE)</f>
        <v>16 Current taxes on income and wealth, payable D.5p</v>
      </c>
      <c r="G121" s="544">
        <f>IF(VLOOKUP($E$121,[1]UC!$A$2:$FA$48, 6, FALSE)="",":",VLOOKUP($E$121,[1]UC!$A$2:$FA$48, 6, FALSE))</f>
        <v>159.54</v>
      </c>
      <c r="H121" s="544">
        <f>IF(VLOOKUP($E$121,[1]UC!$A$2:$FA$48, 7, FALSE)="",":",VLOOKUP($E$121,[1]UC!$A$2:$FA$48, 7, FALSE))</f>
        <v>111.73</v>
      </c>
      <c r="I121" s="544">
        <f>IF(VLOOKUP($E$121,[1]UC!$A$2:$FA$48, 8, FALSE)="",":",VLOOKUP($E$121,[1]UC!$A$2:$FA$48, 8, FALSE))</f>
        <v>179.83</v>
      </c>
      <c r="J121" s="544">
        <f>IF(VLOOKUP($E$121,[1]UC!$A$2:$FA$48, 9, FALSE)="",":",VLOOKUP($E$121,[1]UC!$A$2:$FA$48, 9, FALSE))</f>
        <v>168.05</v>
      </c>
      <c r="K121" s="544">
        <f>IF(VLOOKUP($E$121,[1]UC!$A$2:$FA$48, 10, FALSE)="",":",VLOOKUP($E$121,[1]UC!$A$2:$FA$48, 10, FALSE))</f>
        <v>104.5</v>
      </c>
      <c r="L121" s="544">
        <f>IF(VLOOKUP($E$121,[1]UC!$A$2:$FA$48, 11, FALSE)="",":",VLOOKUP($E$121,[1]UC!$A$2:$FA$48, 11, FALSE))</f>
        <v>90.27</v>
      </c>
      <c r="M121" s="544">
        <f>IF(VLOOKUP($E$121,[1]UC!$A$2:$FA$48, 12, FALSE)="",":",VLOOKUP($E$121,[1]UC!$A$2:$FA$48, 12, FALSE))</f>
        <v>75.08</v>
      </c>
      <c r="N121" s="544">
        <f>IF(VLOOKUP($E$121,[1]UC!$A$2:$FA$48, 13, FALSE)="",":",VLOOKUP($E$121,[1]UC!$A$2:$FA$48, 13, FALSE))</f>
        <v>89.09</v>
      </c>
      <c r="O121" s="544">
        <f>IF(VLOOKUP($E$121,[1]UC!$A$2:$FA$48, 14, FALSE)="",":",VLOOKUP($E$121,[1]UC!$A$2:$FA$48, 14, FALSE))</f>
        <v>227.16</v>
      </c>
      <c r="P121" s="544">
        <f>IF(VLOOKUP($E$121,[1]UC!$A$2:$FA$48, 15, FALSE)="",":",VLOOKUP($E$121,[1]UC!$A$2:$FA$48, 15, FALSE))</f>
        <v>337.69</v>
      </c>
      <c r="Q121" s="544">
        <f>IF(VLOOKUP($E$121,[1]UC!$A$2:$FA$48, 16, FALSE)="",":",VLOOKUP($E$121,[1]UC!$A$2:$FA$48, 16, FALSE))</f>
        <v>436.42</v>
      </c>
      <c r="R121" s="544">
        <f>IF(VLOOKUP($E$121,[1]UC!$A$2:$FA$48, 17, FALSE)="",":",VLOOKUP($E$121,[1]UC!$A$2:$FA$48, 17, FALSE))</f>
        <v>662.29</v>
      </c>
      <c r="S121" s="544">
        <f>IF(VLOOKUP($E$121,[1]UC!$A$2:$FA$48, 18, FALSE)="",":",VLOOKUP($E$121,[1]UC!$A$2:$FA$48, 18, FALSE))</f>
        <v>733.42</v>
      </c>
      <c r="T121" s="544">
        <f>IF(VLOOKUP($E$121,[1]UC!$A$2:$FA$48, 19, FALSE)="",":",VLOOKUP($E$121,[1]UC!$A$2:$FA$48, 19, FALSE))</f>
        <v>886.09</v>
      </c>
      <c r="U121" s="544">
        <f>IF(VLOOKUP($E$121,[1]UC!$A$2:$FA$48, 20, FALSE)="",":",VLOOKUP($E$121,[1]UC!$A$2:$FA$48, 20, FALSE))</f>
        <v>488.55</v>
      </c>
      <c r="V121" s="544">
        <f>IF(VLOOKUP($E$121,[1]UC!$A$2:$FA$48, 21, FALSE)="",":",VLOOKUP($E$121,[1]UC!$A$2:$FA$48, 21, FALSE))</f>
        <v>275.95</v>
      </c>
      <c r="W121" s="544">
        <f>IF(VLOOKUP($E$121,[1]UC!$A$2:$FA$48, 22, FALSE)="",":",VLOOKUP($E$121,[1]UC!$A$2:$FA$48, 22, FALSE))</f>
        <v>251.96</v>
      </c>
      <c r="X121" s="544">
        <f>IF(VLOOKUP($E$121,[1]UC!$A$2:$FA$48, 23, FALSE)="",":",VLOOKUP($E$121,[1]UC!$A$2:$FA$48, 23, FALSE))</f>
        <v>430.2</v>
      </c>
      <c r="Y121" s="544">
        <f>IF(VLOOKUP($E$121,[1]UC!$A$2:$FA$48, 24, FALSE)="",":",VLOOKUP($E$121,[1]UC!$A$2:$FA$48, 24, FALSE))</f>
        <v>475.25</v>
      </c>
      <c r="Z121" s="544">
        <f>IF(VLOOKUP($E$121,[1]UC!$A$2:$FA$48, 25, FALSE)="",":",VLOOKUP($E$121,[1]UC!$A$2:$FA$48, 25, FALSE))</f>
        <v>498.52</v>
      </c>
      <c r="AA121" s="544">
        <f>IF(VLOOKUP($E$121,[1]UC!$A$2:$FA$48, 26, FALSE)="",":",VLOOKUP($E$121,[1]UC!$A$2:$FA$48, 26, FALSE))</f>
        <v>572.66</v>
      </c>
      <c r="AB121" s="544">
        <f>IF(VLOOKUP($E$121,[1]UC!$A$2:$FA$48, 27, FALSE)="",":",VLOOKUP($E$121,[1]UC!$A$2:$FA$48, 27, FALSE))</f>
        <v>625.55999999999995</v>
      </c>
      <c r="AC121" s="544" t="str">
        <f>IF(VLOOKUP($E$121,[1]UC!$A$2:$FA$48, 28, FALSE)="",":",VLOOKUP($E$121,[1]UC!$A$2:$FA$48, 28, FALSE))</f>
        <v>:</v>
      </c>
      <c r="AD121" s="544" t="str">
        <f>IF(VLOOKUP($E$121,[1]UC!$A$2:$FA$48, 29, FALSE)="",":",VLOOKUP($E$121,[1]UC!$A$2:$FA$48, 29, FALSE))</f>
        <v>:</v>
      </c>
      <c r="AE121" s="544" t="str">
        <f>IF(VLOOKUP($E$121,[1]UC!$A$2:$FA$48, 30, FALSE)="",":",VLOOKUP($E$121,[1]UC!$A$2:$FA$48, 30, FALSE))</f>
        <v>:</v>
      </c>
      <c r="AF121" s="544" t="str">
        <f>IF(VLOOKUP($E$121,[1]UC!$A$2:$FA$48, 31, FALSE)="",":",VLOOKUP($E$121,[1]UC!$A$2:$FA$48, 31, FALSE))</f>
        <v>:</v>
      </c>
    </row>
    <row r="122" spans="1:32">
      <c r="A122" s="533"/>
      <c r="B122" s="534" t="s">
        <v>1555</v>
      </c>
      <c r="C122" s="535" t="s">
        <v>1739</v>
      </c>
      <c r="D122" s="12" t="s">
        <v>413</v>
      </c>
      <c r="E122" s="13">
        <v>14</v>
      </c>
      <c r="F122" s="14" t="str">
        <f>VLOOKUP($E$122,[1]UC!$A$2:$FA$48, 3, FALSE)</f>
        <v>14 Social contributions, receivable D.61r</v>
      </c>
      <c r="G122" s="544">
        <f>IF(VLOOKUP($E$122,[1]UC!$A$2:$FA$48, 6, FALSE)="",":",VLOOKUP($E$122,[1]UC!$A$2:$FA$48, 6, FALSE))</f>
        <v>4.4400000000000004</v>
      </c>
      <c r="H122" s="544">
        <f>IF(VLOOKUP($E$122,[1]UC!$A$2:$FA$48, 7, FALSE)="",":",VLOOKUP($E$122,[1]UC!$A$2:$FA$48, 7, FALSE))</f>
        <v>4.1399999999999997</v>
      </c>
      <c r="I122" s="544">
        <f>IF(VLOOKUP($E$122,[1]UC!$A$2:$FA$48, 8, FALSE)="",":",VLOOKUP($E$122,[1]UC!$A$2:$FA$48, 8, FALSE))</f>
        <v>5.72</v>
      </c>
      <c r="J122" s="544">
        <f>IF(VLOOKUP($E$122,[1]UC!$A$2:$FA$48, 9, FALSE)="",":",VLOOKUP($E$122,[1]UC!$A$2:$FA$48, 9, FALSE))</f>
        <v>7.09</v>
      </c>
      <c r="K122" s="544">
        <f>IF(VLOOKUP($E$122,[1]UC!$A$2:$FA$48, 10, FALSE)="",":",VLOOKUP($E$122,[1]UC!$A$2:$FA$48, 10, FALSE))</f>
        <v>7.74</v>
      </c>
      <c r="L122" s="544">
        <f>IF(VLOOKUP($E$122,[1]UC!$A$2:$FA$48, 11, FALSE)="",":",VLOOKUP($E$122,[1]UC!$A$2:$FA$48, 11, FALSE))</f>
        <v>6.17</v>
      </c>
      <c r="M122" s="544">
        <f>IF(VLOOKUP($E$122,[1]UC!$A$2:$FA$48, 12, FALSE)="",":",VLOOKUP($E$122,[1]UC!$A$2:$FA$48, 12, FALSE))</f>
        <v>4.5999999999999996</v>
      </c>
      <c r="N122" s="544">
        <f>IF(VLOOKUP($E$122,[1]UC!$A$2:$FA$48, 13, FALSE)="",":",VLOOKUP($E$122,[1]UC!$A$2:$FA$48, 13, FALSE))</f>
        <v>4.37</v>
      </c>
      <c r="O122" s="544">
        <f>IF(VLOOKUP($E$122,[1]UC!$A$2:$FA$48, 14, FALSE)="",":",VLOOKUP($E$122,[1]UC!$A$2:$FA$48, 14, FALSE))</f>
        <v>5.29</v>
      </c>
      <c r="P122" s="544">
        <f>IF(VLOOKUP($E$122,[1]UC!$A$2:$FA$48, 15, FALSE)="",":",VLOOKUP($E$122,[1]UC!$A$2:$FA$48, 15, FALSE))</f>
        <v>56.23</v>
      </c>
      <c r="Q122" s="544">
        <f>IF(VLOOKUP($E$122,[1]UC!$A$2:$FA$48, 16, FALSE)="",":",VLOOKUP($E$122,[1]UC!$A$2:$FA$48, 16, FALSE))</f>
        <v>179.93</v>
      </c>
      <c r="R122" s="544">
        <f>IF(VLOOKUP($E$122,[1]UC!$A$2:$FA$48, 17, FALSE)="",":",VLOOKUP($E$122,[1]UC!$A$2:$FA$48, 17, FALSE))</f>
        <v>265.98</v>
      </c>
      <c r="S122" s="544">
        <f>IF(VLOOKUP($E$122,[1]UC!$A$2:$FA$48, 18, FALSE)="",":",VLOOKUP($E$122,[1]UC!$A$2:$FA$48, 18, FALSE))</f>
        <v>390.18</v>
      </c>
      <c r="T122" s="544">
        <f>IF(VLOOKUP($E$122,[1]UC!$A$2:$FA$48, 19, FALSE)="",":",VLOOKUP($E$122,[1]UC!$A$2:$FA$48, 19, FALSE))</f>
        <v>475.38</v>
      </c>
      <c r="U122" s="544">
        <f>IF(VLOOKUP($E$122,[1]UC!$A$2:$FA$48, 20, FALSE)="",":",VLOOKUP($E$122,[1]UC!$A$2:$FA$48, 20, FALSE))</f>
        <v>247.35</v>
      </c>
      <c r="V122" s="544">
        <f>IF(VLOOKUP($E$122,[1]UC!$A$2:$FA$48, 21, FALSE)="",":",VLOOKUP($E$122,[1]UC!$A$2:$FA$48, 21, FALSE))</f>
        <v>213.82</v>
      </c>
      <c r="W122" s="544">
        <f>IF(VLOOKUP($E$122,[1]UC!$A$2:$FA$48, 22, FALSE)="",":",VLOOKUP($E$122,[1]UC!$A$2:$FA$48, 22, FALSE))</f>
        <v>250.58</v>
      </c>
      <c r="X122" s="544">
        <f>IF(VLOOKUP($E$122,[1]UC!$A$2:$FA$48, 23, FALSE)="",":",VLOOKUP($E$122,[1]UC!$A$2:$FA$48, 23, FALSE))</f>
        <v>211.43</v>
      </c>
      <c r="Y122" s="544">
        <f>IF(VLOOKUP($E$122,[1]UC!$A$2:$FA$48, 24, FALSE)="",":",VLOOKUP($E$122,[1]UC!$A$2:$FA$48, 24, FALSE))</f>
        <v>290.31</v>
      </c>
      <c r="Z122" s="544">
        <f>IF(VLOOKUP($E$122,[1]UC!$A$2:$FA$48, 25, FALSE)="",":",VLOOKUP($E$122,[1]UC!$A$2:$FA$48, 25, FALSE))</f>
        <v>278.92</v>
      </c>
      <c r="AA122" s="544">
        <f>IF(VLOOKUP($E$122,[1]UC!$A$2:$FA$48, 26, FALSE)="",":",VLOOKUP($E$122,[1]UC!$A$2:$FA$48, 26, FALSE))</f>
        <v>302.10000000000002</v>
      </c>
      <c r="AB122" s="544">
        <f>IF(VLOOKUP($E$122,[1]UC!$A$2:$FA$48, 27, FALSE)="",":",VLOOKUP($E$122,[1]UC!$A$2:$FA$48, 27, FALSE))</f>
        <v>318.82</v>
      </c>
      <c r="AC122" s="544" t="str">
        <f>IF(VLOOKUP($E$122,[1]UC!$A$2:$FA$48, 28, FALSE)="",":",VLOOKUP($E$122,[1]UC!$A$2:$FA$48, 28, FALSE))</f>
        <v>:</v>
      </c>
      <c r="AD122" s="544" t="str">
        <f>IF(VLOOKUP($E$122,[1]UC!$A$2:$FA$48, 29, FALSE)="",":",VLOOKUP($E$122,[1]UC!$A$2:$FA$48, 29, FALSE))</f>
        <v>:</v>
      </c>
      <c r="AE122" s="544" t="str">
        <f>IF(VLOOKUP($E$122,[1]UC!$A$2:$FA$48, 30, FALSE)="",":",VLOOKUP($E$122,[1]UC!$A$2:$FA$48, 30, FALSE))</f>
        <v>:</v>
      </c>
      <c r="AF122" s="544" t="str">
        <f>IF(VLOOKUP($E$122,[1]UC!$A$2:$FA$48, 31, FALSE)="",":",VLOOKUP($E$122,[1]UC!$A$2:$FA$48, 31, FALSE))</f>
        <v>:</v>
      </c>
    </row>
    <row r="123" spans="1:32">
      <c r="A123" s="533"/>
      <c r="B123" s="534" t="s">
        <v>1556</v>
      </c>
      <c r="C123" s="535" t="s">
        <v>1740</v>
      </c>
      <c r="D123" s="12" t="s">
        <v>413</v>
      </c>
      <c r="E123" s="13">
        <v>17</v>
      </c>
      <c r="F123" s="14" t="str">
        <f>VLOOKUP($E$123,[1]UC!$A$2:$FA$48, 3, FALSE)</f>
        <v>17 Social benefits other than social transfers in kind, payable D.62p</v>
      </c>
      <c r="G123" s="544">
        <f>IF(VLOOKUP($E$123,[1]UC!$A$2:$FA$48, 6, FALSE)="",":",VLOOKUP($E$123,[1]UC!$A$2:$FA$48, 6, FALSE))</f>
        <v>4.4400000000000004</v>
      </c>
      <c r="H123" s="544">
        <f>IF(VLOOKUP($E$123,[1]UC!$A$2:$FA$48, 7, FALSE)="",":",VLOOKUP($E$123,[1]UC!$A$2:$FA$48, 7, FALSE))</f>
        <v>4.1399999999999997</v>
      </c>
      <c r="I123" s="544">
        <f>IF(VLOOKUP($E$123,[1]UC!$A$2:$FA$48, 8, FALSE)="",":",VLOOKUP($E$123,[1]UC!$A$2:$FA$48, 8, FALSE))</f>
        <v>5.72</v>
      </c>
      <c r="J123" s="544">
        <f>IF(VLOOKUP($E$123,[1]UC!$A$2:$FA$48, 9, FALSE)="",":",VLOOKUP($E$123,[1]UC!$A$2:$FA$48, 9, FALSE))</f>
        <v>7.09</v>
      </c>
      <c r="K123" s="544">
        <f>IF(VLOOKUP($E$123,[1]UC!$A$2:$FA$48, 10, FALSE)="",":",VLOOKUP($E$123,[1]UC!$A$2:$FA$48, 10, FALSE))</f>
        <v>7.74</v>
      </c>
      <c r="L123" s="544">
        <f>IF(VLOOKUP($E$123,[1]UC!$A$2:$FA$48, 11, FALSE)="",":",VLOOKUP($E$123,[1]UC!$A$2:$FA$48, 11, FALSE))</f>
        <v>6.17</v>
      </c>
      <c r="M123" s="544">
        <f>IF(VLOOKUP($E$123,[1]UC!$A$2:$FA$48, 12, FALSE)="",":",VLOOKUP($E$123,[1]UC!$A$2:$FA$48, 12, FALSE))</f>
        <v>4.5999999999999996</v>
      </c>
      <c r="N123" s="544">
        <f>IF(VLOOKUP($E$123,[1]UC!$A$2:$FA$48, 13, FALSE)="",":",VLOOKUP($E$123,[1]UC!$A$2:$FA$48, 13, FALSE))</f>
        <v>4.37</v>
      </c>
      <c r="O123" s="544">
        <f>IF(VLOOKUP($E$123,[1]UC!$A$2:$FA$48, 14, FALSE)="",":",VLOOKUP($E$123,[1]UC!$A$2:$FA$48, 14, FALSE))</f>
        <v>5.29</v>
      </c>
      <c r="P123" s="544">
        <f>IF(VLOOKUP($E$123,[1]UC!$A$2:$FA$48, 15, FALSE)="",":",VLOOKUP($E$123,[1]UC!$A$2:$FA$48, 15, FALSE))</f>
        <v>6.09</v>
      </c>
      <c r="Q123" s="544">
        <f>IF(VLOOKUP($E$123,[1]UC!$A$2:$FA$48, 16, FALSE)="",":",VLOOKUP($E$123,[1]UC!$A$2:$FA$48, 16, FALSE))</f>
        <v>90.66</v>
      </c>
      <c r="R123" s="544">
        <f>IF(VLOOKUP($E$123,[1]UC!$A$2:$FA$48, 17, FALSE)="",":",VLOOKUP($E$123,[1]UC!$A$2:$FA$48, 17, FALSE))</f>
        <v>112.32</v>
      </c>
      <c r="S123" s="544">
        <f>IF(VLOOKUP($E$123,[1]UC!$A$2:$FA$48, 18, FALSE)="",":",VLOOKUP($E$123,[1]UC!$A$2:$FA$48, 18, FALSE))</f>
        <v>144.11000000000001</v>
      </c>
      <c r="T123" s="544">
        <f>IF(VLOOKUP($E$123,[1]UC!$A$2:$FA$48, 19, FALSE)="",":",VLOOKUP($E$123,[1]UC!$A$2:$FA$48, 19, FALSE))</f>
        <v>168.62</v>
      </c>
      <c r="U123" s="544">
        <f>IF(VLOOKUP($E$123,[1]UC!$A$2:$FA$48, 20, FALSE)="",":",VLOOKUP($E$123,[1]UC!$A$2:$FA$48, 20, FALSE))</f>
        <v>125.21</v>
      </c>
      <c r="V123" s="544">
        <f>IF(VLOOKUP($E$123,[1]UC!$A$2:$FA$48, 21, FALSE)="",":",VLOOKUP($E$123,[1]UC!$A$2:$FA$48, 21, FALSE))</f>
        <v>118.31</v>
      </c>
      <c r="W123" s="544">
        <f>IF(VLOOKUP($E$123,[1]UC!$A$2:$FA$48, 22, FALSE)="",":",VLOOKUP($E$123,[1]UC!$A$2:$FA$48, 22, FALSE))</f>
        <v>157.63</v>
      </c>
      <c r="X123" s="544">
        <f>IF(VLOOKUP($E$123,[1]UC!$A$2:$FA$48, 23, FALSE)="",":",VLOOKUP($E$123,[1]UC!$A$2:$FA$48, 23, FALSE))</f>
        <v>136.91999999999999</v>
      </c>
      <c r="Y123" s="544">
        <f>IF(VLOOKUP($E$123,[1]UC!$A$2:$FA$48, 24, FALSE)="",":",VLOOKUP($E$123,[1]UC!$A$2:$FA$48, 24, FALSE))</f>
        <v>150.28</v>
      </c>
      <c r="Z123" s="544">
        <f>IF(VLOOKUP($E$123,[1]UC!$A$2:$FA$48, 25, FALSE)="",":",VLOOKUP($E$123,[1]UC!$A$2:$FA$48, 25, FALSE))</f>
        <v>159.12</v>
      </c>
      <c r="AA123" s="544">
        <f>IF(VLOOKUP($E$123,[1]UC!$A$2:$FA$48, 26, FALSE)="",":",VLOOKUP($E$123,[1]UC!$A$2:$FA$48, 26, FALSE))</f>
        <v>173.38</v>
      </c>
      <c r="AB123" s="544">
        <f>IF(VLOOKUP($E$123,[1]UC!$A$2:$FA$48, 27, FALSE)="",":",VLOOKUP($E$123,[1]UC!$A$2:$FA$48, 27, FALSE))</f>
        <v>187.76</v>
      </c>
      <c r="AC123" s="544" t="str">
        <f>IF(VLOOKUP($E$123,[1]UC!$A$2:$FA$48, 28, FALSE)="",":",VLOOKUP($E$123,[1]UC!$A$2:$FA$48, 28, FALSE))</f>
        <v>:</v>
      </c>
      <c r="AD123" s="544" t="str">
        <f>IF(VLOOKUP($E$123,[1]UC!$A$2:$FA$48, 29, FALSE)="",":",VLOOKUP($E$123,[1]UC!$A$2:$FA$48, 29, FALSE))</f>
        <v>:</v>
      </c>
      <c r="AE123" s="544" t="str">
        <f>IF(VLOOKUP($E$123,[1]UC!$A$2:$FA$48, 30, FALSE)="",":",VLOOKUP($E$123,[1]UC!$A$2:$FA$48, 30, FALSE))</f>
        <v>:</v>
      </c>
      <c r="AF123" s="544" t="str">
        <f>IF(VLOOKUP($E$123,[1]UC!$A$2:$FA$48, 31, FALSE)="",":",VLOOKUP($E$123,[1]UC!$A$2:$FA$48, 31, FALSE))</f>
        <v>:</v>
      </c>
    </row>
    <row r="124" spans="1:32">
      <c r="A124" s="533"/>
      <c r="B124" s="534" t="s">
        <v>1553</v>
      </c>
      <c r="C124" s="535" t="s">
        <v>316</v>
      </c>
      <c r="D124" s="12" t="s">
        <v>413</v>
      </c>
      <c r="E124" s="13">
        <v>15</v>
      </c>
      <c r="F124" s="14" t="str">
        <f>VLOOKUP($E$124,[1]UC!$A$2:$FA$48, 3, FALSE)</f>
        <v>15 Other current transfers, receivable D.7r</v>
      </c>
      <c r="G124" s="544">
        <f>IF(VLOOKUP($E$124,[1]UC!$A$2:$FA$48, 6, FALSE)="",":",VLOOKUP($E$124,[1]UC!$A$2:$FA$48, 6, FALSE))</f>
        <v>21.78</v>
      </c>
      <c r="H124" s="544">
        <f>IF(VLOOKUP($E$124,[1]UC!$A$2:$FA$48, 7, FALSE)="",":",VLOOKUP($E$124,[1]UC!$A$2:$FA$48, 7, FALSE))</f>
        <v>18.239999999999998</v>
      </c>
      <c r="I124" s="544">
        <f>IF(VLOOKUP($E$124,[1]UC!$A$2:$FA$48, 8, FALSE)="",":",VLOOKUP($E$124,[1]UC!$A$2:$FA$48, 8, FALSE))</f>
        <v>113.93</v>
      </c>
      <c r="J124" s="544">
        <f>IF(VLOOKUP($E$124,[1]UC!$A$2:$FA$48, 9, FALSE)="",":",VLOOKUP($E$124,[1]UC!$A$2:$FA$48, 9, FALSE))</f>
        <v>130.08000000000001</v>
      </c>
      <c r="K124" s="544">
        <f>IF(VLOOKUP($E$124,[1]UC!$A$2:$FA$48, 10, FALSE)="",":",VLOOKUP($E$124,[1]UC!$A$2:$FA$48, 10, FALSE))</f>
        <v>157.76</v>
      </c>
      <c r="L124" s="544">
        <f>IF(VLOOKUP($E$124,[1]UC!$A$2:$FA$48, 11, FALSE)="",":",VLOOKUP($E$124,[1]UC!$A$2:$FA$48, 11, FALSE))</f>
        <v>119.75</v>
      </c>
      <c r="M124" s="544">
        <f>IF(VLOOKUP($E$124,[1]UC!$A$2:$FA$48, 12, FALSE)="",":",VLOOKUP($E$124,[1]UC!$A$2:$FA$48, 12, FALSE))</f>
        <v>126.32</v>
      </c>
      <c r="N124" s="544">
        <f>IF(VLOOKUP($E$124,[1]UC!$A$2:$FA$48, 13, FALSE)="",":",VLOOKUP($E$124,[1]UC!$A$2:$FA$48, 13, FALSE))</f>
        <v>195.88</v>
      </c>
      <c r="O124" s="544">
        <f>IF(VLOOKUP($E$124,[1]UC!$A$2:$FA$48, 14, FALSE)="",":",VLOOKUP($E$124,[1]UC!$A$2:$FA$48, 14, FALSE))</f>
        <v>148.13</v>
      </c>
      <c r="P124" s="544">
        <f>IF(VLOOKUP($E$124,[1]UC!$A$2:$FA$48, 15, FALSE)="",":",VLOOKUP($E$124,[1]UC!$A$2:$FA$48, 15, FALSE))</f>
        <v>185.13</v>
      </c>
      <c r="Q124" s="544">
        <f>IF(VLOOKUP($E$124,[1]UC!$A$2:$FA$48, 16, FALSE)="",":",VLOOKUP($E$124,[1]UC!$A$2:$FA$48, 16, FALSE))</f>
        <v>197.78</v>
      </c>
      <c r="R124" s="544">
        <f>IF(VLOOKUP($E$124,[1]UC!$A$2:$FA$48, 17, FALSE)="",":",VLOOKUP($E$124,[1]UC!$A$2:$FA$48, 17, FALSE))</f>
        <v>355.34</v>
      </c>
      <c r="S124" s="544">
        <f>IF(VLOOKUP($E$124,[1]UC!$A$2:$FA$48, 18, FALSE)="",":",VLOOKUP($E$124,[1]UC!$A$2:$FA$48, 18, FALSE))</f>
        <v>389.28</v>
      </c>
      <c r="T124" s="544">
        <f>IF(VLOOKUP($E$124,[1]UC!$A$2:$FA$48, 19, FALSE)="",":",VLOOKUP($E$124,[1]UC!$A$2:$FA$48, 19, FALSE))</f>
        <v>466.15</v>
      </c>
      <c r="U124" s="544">
        <f>IF(VLOOKUP($E$124,[1]UC!$A$2:$FA$48, 20, FALSE)="",":",VLOOKUP($E$124,[1]UC!$A$2:$FA$48, 20, FALSE))</f>
        <v>418.81</v>
      </c>
      <c r="V124" s="544">
        <f>IF(VLOOKUP($E$124,[1]UC!$A$2:$FA$48, 21, FALSE)="",":",VLOOKUP($E$124,[1]UC!$A$2:$FA$48, 21, FALSE))</f>
        <v>401.81</v>
      </c>
      <c r="W124" s="544">
        <f>IF(VLOOKUP($E$124,[1]UC!$A$2:$FA$48, 22, FALSE)="",":",VLOOKUP($E$124,[1]UC!$A$2:$FA$48, 22, FALSE))</f>
        <v>443.27</v>
      </c>
      <c r="X124" s="544">
        <f>IF(VLOOKUP($E$124,[1]UC!$A$2:$FA$48, 23, FALSE)="",":",VLOOKUP($E$124,[1]UC!$A$2:$FA$48, 23, FALSE))</f>
        <v>399.75</v>
      </c>
      <c r="Y124" s="544">
        <f>IF(VLOOKUP($E$124,[1]UC!$A$2:$FA$48, 24, FALSE)="",":",VLOOKUP($E$124,[1]UC!$A$2:$FA$48, 24, FALSE))</f>
        <v>434.22</v>
      </c>
      <c r="Z124" s="544">
        <f>IF(VLOOKUP($E$124,[1]UC!$A$2:$FA$48, 25, FALSE)="",":",VLOOKUP($E$124,[1]UC!$A$2:$FA$48, 25, FALSE))</f>
        <v>463.85</v>
      </c>
      <c r="AA124" s="544">
        <f>IF(VLOOKUP($E$124,[1]UC!$A$2:$FA$48, 26, FALSE)="",":",VLOOKUP($E$124,[1]UC!$A$2:$FA$48, 26, FALSE))</f>
        <v>499.33</v>
      </c>
      <c r="AB124" s="544">
        <f>IF(VLOOKUP($E$124,[1]UC!$A$2:$FA$48, 27, FALSE)="",":",VLOOKUP($E$124,[1]UC!$A$2:$FA$48, 27, FALSE))</f>
        <v>493.92</v>
      </c>
      <c r="AC124" s="544" t="str">
        <f>IF(VLOOKUP($E$124,[1]UC!$A$2:$FA$48, 28, FALSE)="",":",VLOOKUP($E$124,[1]UC!$A$2:$FA$48, 28, FALSE))</f>
        <v>:</v>
      </c>
      <c r="AD124" s="544" t="str">
        <f>IF(VLOOKUP($E$124,[1]UC!$A$2:$FA$48, 29, FALSE)="",":",VLOOKUP($E$124,[1]UC!$A$2:$FA$48, 29, FALSE))</f>
        <v>:</v>
      </c>
      <c r="AE124" s="544" t="str">
        <f>IF(VLOOKUP($E$124,[1]UC!$A$2:$FA$48, 30, FALSE)="",":",VLOOKUP($E$124,[1]UC!$A$2:$FA$48, 30, FALSE))</f>
        <v>:</v>
      </c>
      <c r="AF124" s="544" t="str">
        <f>IF(VLOOKUP($E$124,[1]UC!$A$2:$FA$48, 31, FALSE)="",":",VLOOKUP($E$124,[1]UC!$A$2:$FA$48, 31, FALSE))</f>
        <v>:</v>
      </c>
    </row>
    <row r="125" spans="1:32">
      <c r="A125" s="533"/>
      <c r="B125" s="534" t="s">
        <v>1554</v>
      </c>
      <c r="C125" s="535" t="s">
        <v>1738</v>
      </c>
      <c r="D125" s="12" t="s">
        <v>413</v>
      </c>
      <c r="E125" s="13">
        <v>18</v>
      </c>
      <c r="F125" s="14" t="str">
        <f>VLOOKUP($E$125,[1]UC!$A$2:$FA$48, 3, FALSE)</f>
        <v>18 Other current transfers, payable D.7p</v>
      </c>
      <c r="G125" s="544">
        <f>IF(VLOOKUP($E$125,[1]UC!$A$2:$FA$48, 6, FALSE)="",":",VLOOKUP($E$125,[1]UC!$A$2:$FA$48, 6, FALSE))</f>
        <v>290.97000000000003</v>
      </c>
      <c r="H125" s="544">
        <f>IF(VLOOKUP($E$125,[1]UC!$A$2:$FA$48, 7, FALSE)="",":",VLOOKUP($E$125,[1]UC!$A$2:$FA$48, 7, FALSE))</f>
        <v>360.98</v>
      </c>
      <c r="I125" s="544">
        <f>IF(VLOOKUP($E$125,[1]UC!$A$2:$FA$48, 8, FALSE)="",":",VLOOKUP($E$125,[1]UC!$A$2:$FA$48, 8, FALSE))</f>
        <v>369.08</v>
      </c>
      <c r="J125" s="544">
        <f>IF(VLOOKUP($E$125,[1]UC!$A$2:$FA$48, 9, FALSE)="",":",VLOOKUP($E$125,[1]UC!$A$2:$FA$48, 9, FALSE))</f>
        <v>308.86</v>
      </c>
      <c r="K125" s="544">
        <f>IF(VLOOKUP($E$125,[1]UC!$A$2:$FA$48, 10, FALSE)="",":",VLOOKUP($E$125,[1]UC!$A$2:$FA$48, 10, FALSE))</f>
        <v>275.94</v>
      </c>
      <c r="L125" s="544">
        <f>IF(VLOOKUP($E$125,[1]UC!$A$2:$FA$48, 11, FALSE)="",":",VLOOKUP($E$125,[1]UC!$A$2:$FA$48, 11, FALSE))</f>
        <v>252.37</v>
      </c>
      <c r="M125" s="544">
        <f>IF(VLOOKUP($E$125,[1]UC!$A$2:$FA$48, 12, FALSE)="",":",VLOOKUP($E$125,[1]UC!$A$2:$FA$48, 12, FALSE))</f>
        <v>245.36</v>
      </c>
      <c r="N125" s="544">
        <f>IF(VLOOKUP($E$125,[1]UC!$A$2:$FA$48, 13, FALSE)="",":",VLOOKUP($E$125,[1]UC!$A$2:$FA$48, 13, FALSE))</f>
        <v>278.67</v>
      </c>
      <c r="O125" s="544">
        <f>IF(VLOOKUP($E$125,[1]UC!$A$2:$FA$48, 14, FALSE)="",":",VLOOKUP($E$125,[1]UC!$A$2:$FA$48, 14, FALSE))</f>
        <v>186.17</v>
      </c>
      <c r="P125" s="544">
        <f>IF(VLOOKUP($E$125,[1]UC!$A$2:$FA$48, 15, FALSE)="",":",VLOOKUP($E$125,[1]UC!$A$2:$FA$48, 15, FALSE))</f>
        <v>231.57</v>
      </c>
      <c r="Q125" s="544">
        <f>IF(VLOOKUP($E$125,[1]UC!$A$2:$FA$48, 16, FALSE)="",":",VLOOKUP($E$125,[1]UC!$A$2:$FA$48, 16, FALSE))</f>
        <v>325.92</v>
      </c>
      <c r="R125" s="544">
        <f>IF(VLOOKUP($E$125,[1]UC!$A$2:$FA$48, 17, FALSE)="",":",VLOOKUP($E$125,[1]UC!$A$2:$FA$48, 17, FALSE))</f>
        <v>329.91</v>
      </c>
      <c r="S125" s="544">
        <f>IF(VLOOKUP($E$125,[1]UC!$A$2:$FA$48, 18, FALSE)="",":",VLOOKUP($E$125,[1]UC!$A$2:$FA$48, 18, FALSE))</f>
        <v>403.14</v>
      </c>
      <c r="T125" s="544">
        <f>IF(VLOOKUP($E$125,[1]UC!$A$2:$FA$48, 19, FALSE)="",":",VLOOKUP($E$125,[1]UC!$A$2:$FA$48, 19, FALSE))</f>
        <v>791.37</v>
      </c>
      <c r="U125" s="544">
        <f>IF(VLOOKUP($E$125,[1]UC!$A$2:$FA$48, 20, FALSE)="",":",VLOOKUP($E$125,[1]UC!$A$2:$FA$48, 20, FALSE))</f>
        <v>713.42</v>
      </c>
      <c r="V125" s="544">
        <f>IF(VLOOKUP($E$125,[1]UC!$A$2:$FA$48, 21, FALSE)="",":",VLOOKUP($E$125,[1]UC!$A$2:$FA$48, 21, FALSE))</f>
        <v>643.09</v>
      </c>
      <c r="W125" s="544">
        <f>IF(VLOOKUP($E$125,[1]UC!$A$2:$FA$48, 22, FALSE)="",":",VLOOKUP($E$125,[1]UC!$A$2:$FA$48, 22, FALSE))</f>
        <v>717.73</v>
      </c>
      <c r="X125" s="544">
        <f>IF(VLOOKUP($E$125,[1]UC!$A$2:$FA$48, 23, FALSE)="",":",VLOOKUP($E$125,[1]UC!$A$2:$FA$48, 23, FALSE))</f>
        <v>689.96</v>
      </c>
      <c r="Y125" s="544">
        <f>IF(VLOOKUP($E$125,[1]UC!$A$2:$FA$48, 24, FALSE)="",":",VLOOKUP($E$125,[1]UC!$A$2:$FA$48, 24, FALSE))</f>
        <v>713.71</v>
      </c>
      <c r="Z125" s="544">
        <f>IF(VLOOKUP($E$125,[1]UC!$A$2:$FA$48, 25, FALSE)="",":",VLOOKUP($E$125,[1]UC!$A$2:$FA$48, 25, FALSE))</f>
        <v>724.88</v>
      </c>
      <c r="AA125" s="544">
        <f>IF(VLOOKUP($E$125,[1]UC!$A$2:$FA$48, 26, FALSE)="",":",VLOOKUP($E$125,[1]UC!$A$2:$FA$48, 26, FALSE))</f>
        <v>778.82</v>
      </c>
      <c r="AB125" s="544">
        <f>IF(VLOOKUP($E$125,[1]UC!$A$2:$FA$48, 27, FALSE)="",":",VLOOKUP($E$125,[1]UC!$A$2:$FA$48, 27, FALSE))</f>
        <v>831.96</v>
      </c>
      <c r="AC125" s="544" t="str">
        <f>IF(VLOOKUP($E$125,[1]UC!$A$2:$FA$48, 28, FALSE)="",":",VLOOKUP($E$125,[1]UC!$A$2:$FA$48, 28, FALSE))</f>
        <v>:</v>
      </c>
      <c r="AD125" s="544" t="str">
        <f>IF(VLOOKUP($E$125,[1]UC!$A$2:$FA$48, 29, FALSE)="",":",VLOOKUP($E$125,[1]UC!$A$2:$FA$48, 29, FALSE))</f>
        <v>:</v>
      </c>
      <c r="AE125" s="544" t="str">
        <f>IF(VLOOKUP($E$125,[1]UC!$A$2:$FA$48, 30, FALSE)="",":",VLOOKUP($E$125,[1]UC!$A$2:$FA$48, 30, FALSE))</f>
        <v>:</v>
      </c>
      <c r="AF125" s="544" t="str">
        <f>IF(VLOOKUP($E$125,[1]UC!$A$2:$FA$48, 31, FALSE)="",":",VLOOKUP($E$125,[1]UC!$A$2:$FA$48, 31, FALSE))</f>
        <v>:</v>
      </c>
    </row>
    <row r="126" spans="1:32">
      <c r="A126" s="533"/>
      <c r="B126" s="534"/>
      <c r="C126" s="535"/>
      <c r="D126" s="12"/>
      <c r="E126" s="13"/>
      <c r="F126" s="14"/>
      <c r="G126" s="544"/>
      <c r="H126" s="544"/>
      <c r="I126" s="544"/>
      <c r="J126" s="544"/>
      <c r="K126" s="544"/>
      <c r="L126" s="544"/>
      <c r="M126" s="544"/>
      <c r="N126" s="544"/>
      <c r="O126" s="544"/>
      <c r="P126" s="544"/>
      <c r="Q126" s="544"/>
      <c r="R126" s="544"/>
      <c r="S126" s="544"/>
      <c r="T126" s="544"/>
      <c r="U126" s="544"/>
      <c r="V126" s="544"/>
      <c r="W126" s="544"/>
      <c r="X126" s="544"/>
      <c r="Y126" s="544"/>
      <c r="Z126" s="544"/>
      <c r="AA126" s="544"/>
      <c r="AB126" s="544"/>
      <c r="AC126" s="544"/>
      <c r="AD126" s="544"/>
      <c r="AE126" s="544"/>
      <c r="AF126" s="544"/>
    </row>
    <row r="127" spans="1:32">
      <c r="A127" s="533"/>
      <c r="B127" s="534" t="s">
        <v>1552</v>
      </c>
      <c r="C127" s="535" t="s">
        <v>485</v>
      </c>
      <c r="D127" s="12" t="s">
        <v>413</v>
      </c>
      <c r="E127" s="13">
        <v>20</v>
      </c>
      <c r="F127" s="14" t="str">
        <f>VLOOKUP($E$127,[1]UC!$A$2:$FA$48, 3, FALSE)</f>
        <v>20 Adjustment for the change in net equity of households on pension funds D.8</v>
      </c>
      <c r="G127" s="544">
        <f>IF(VLOOKUP($E$127,[1]UC!$A$2:$FA$48, 6, FALSE)="",":",VLOOKUP($E$127,[1]UC!$A$2:$FA$48, 6, FALSE))</f>
        <v>0</v>
      </c>
      <c r="H127" s="544">
        <f>IF(VLOOKUP($E$127,[1]UC!$A$2:$FA$48, 7, FALSE)="",":",VLOOKUP($E$127,[1]UC!$A$2:$FA$48, 7, FALSE))</f>
        <v>0</v>
      </c>
      <c r="I127" s="544">
        <f>IF(VLOOKUP($E$127,[1]UC!$A$2:$FA$48, 8, FALSE)="",":",VLOOKUP($E$127,[1]UC!$A$2:$FA$48, 8, FALSE))</f>
        <v>0</v>
      </c>
      <c r="J127" s="544">
        <f>IF(VLOOKUP($E$127,[1]UC!$A$2:$FA$48, 9, FALSE)="",":",VLOOKUP($E$127,[1]UC!$A$2:$FA$48, 9, FALSE))</f>
        <v>0</v>
      </c>
      <c r="K127" s="544">
        <f>IF(VLOOKUP($E$127,[1]UC!$A$2:$FA$48, 10, FALSE)="",":",VLOOKUP($E$127,[1]UC!$A$2:$FA$48, 10, FALSE))</f>
        <v>0</v>
      </c>
      <c r="L127" s="544">
        <f>IF(VLOOKUP($E$127,[1]UC!$A$2:$FA$48, 11, FALSE)="",":",VLOOKUP($E$127,[1]UC!$A$2:$FA$48, 11, FALSE))</f>
        <v>0</v>
      </c>
      <c r="M127" s="544">
        <f>IF(VLOOKUP($E$127,[1]UC!$A$2:$FA$48, 12, FALSE)="",":",VLOOKUP($E$127,[1]UC!$A$2:$FA$48, 12, FALSE))</f>
        <v>0</v>
      </c>
      <c r="N127" s="544">
        <f>IF(VLOOKUP($E$127,[1]UC!$A$2:$FA$48, 13, FALSE)="",":",VLOOKUP($E$127,[1]UC!$A$2:$FA$48, 13, FALSE))</f>
        <v>0</v>
      </c>
      <c r="O127" s="544">
        <f>IF(VLOOKUP($E$127,[1]UC!$A$2:$FA$48, 14, FALSE)="",":",VLOOKUP($E$127,[1]UC!$A$2:$FA$48, 14, FALSE))</f>
        <v>0</v>
      </c>
      <c r="P127" s="544">
        <f>IF(VLOOKUP($E$127,[1]UC!$A$2:$FA$48, 15, FALSE)="",":",VLOOKUP($E$127,[1]UC!$A$2:$FA$48, 15, FALSE))</f>
        <v>50.14</v>
      </c>
      <c r="Q127" s="544">
        <f>IF(VLOOKUP($E$127,[1]UC!$A$2:$FA$48, 16, FALSE)="",":",VLOOKUP($E$127,[1]UC!$A$2:$FA$48, 16, FALSE))</f>
        <v>89.27</v>
      </c>
      <c r="R127" s="544">
        <f>IF(VLOOKUP($E$127,[1]UC!$A$2:$FA$48, 17, FALSE)="",":",VLOOKUP($E$127,[1]UC!$A$2:$FA$48, 17, FALSE))</f>
        <v>153.66</v>
      </c>
      <c r="S127" s="544">
        <f>IF(VLOOKUP($E$127,[1]UC!$A$2:$FA$48, 18, FALSE)="",":",VLOOKUP($E$127,[1]UC!$A$2:$FA$48, 18, FALSE))</f>
        <v>246.07</v>
      </c>
      <c r="T127" s="544">
        <f>IF(VLOOKUP($E$127,[1]UC!$A$2:$FA$48, 19, FALSE)="",":",VLOOKUP($E$127,[1]UC!$A$2:$FA$48, 19, FALSE))</f>
        <v>306.76</v>
      </c>
      <c r="U127" s="544">
        <f>IF(VLOOKUP($E$127,[1]UC!$A$2:$FA$48, 20, FALSE)="",":",VLOOKUP($E$127,[1]UC!$A$2:$FA$48, 20, FALSE))</f>
        <v>122.14</v>
      </c>
      <c r="V127" s="544">
        <f>IF(VLOOKUP($E$127,[1]UC!$A$2:$FA$48, 21, FALSE)="",":",VLOOKUP($E$127,[1]UC!$A$2:$FA$48, 21, FALSE))</f>
        <v>95.51</v>
      </c>
      <c r="W127" s="544">
        <f>IF(VLOOKUP($E$127,[1]UC!$A$2:$FA$48, 22, FALSE)="",":",VLOOKUP($E$127,[1]UC!$A$2:$FA$48, 22, FALSE))</f>
        <v>92.94</v>
      </c>
      <c r="X127" s="544">
        <f>IF(VLOOKUP($E$127,[1]UC!$A$2:$FA$48, 23, FALSE)="",":",VLOOKUP($E$127,[1]UC!$A$2:$FA$48, 23, FALSE))</f>
        <v>74.510000000000005</v>
      </c>
      <c r="Y127" s="544">
        <f>IF(VLOOKUP($E$127,[1]UC!$A$2:$FA$48, 24, FALSE)="",":",VLOOKUP($E$127,[1]UC!$A$2:$FA$48, 24, FALSE))</f>
        <v>140.03</v>
      </c>
      <c r="Z127" s="544">
        <f>IF(VLOOKUP($E$127,[1]UC!$A$2:$FA$48, 25, FALSE)="",":",VLOOKUP($E$127,[1]UC!$A$2:$FA$48, 25, FALSE))</f>
        <v>119.8</v>
      </c>
      <c r="AA127" s="544">
        <f>IF(VLOOKUP($E$127,[1]UC!$A$2:$FA$48, 26, FALSE)="",":",VLOOKUP($E$127,[1]UC!$A$2:$FA$48, 26, FALSE))</f>
        <v>128.72</v>
      </c>
      <c r="AB127" s="544">
        <f>IF(VLOOKUP($E$127,[1]UC!$A$2:$FA$48, 27, FALSE)="",":",VLOOKUP($E$127,[1]UC!$A$2:$FA$48, 27, FALSE))</f>
        <v>131.06</v>
      </c>
      <c r="AC127" s="544" t="str">
        <f>IF(VLOOKUP($E$127,[1]UC!$A$2:$FA$48, 28, FALSE)="",":",VLOOKUP($E$127,[1]UC!$A$2:$FA$48, 28, FALSE))</f>
        <v>:</v>
      </c>
      <c r="AD127" s="544" t="str">
        <f>IF(VLOOKUP($E$127,[1]UC!$A$2:$FA$48, 29, FALSE)="",":",VLOOKUP($E$127,[1]UC!$A$2:$FA$48, 29, FALSE))</f>
        <v>:</v>
      </c>
      <c r="AE127" s="544" t="str">
        <f>IF(VLOOKUP($E$127,[1]UC!$A$2:$FA$48, 30, FALSE)="",":",VLOOKUP($E$127,[1]UC!$A$2:$FA$48, 30, FALSE))</f>
        <v>:</v>
      </c>
      <c r="AF127" s="544" t="str">
        <f>IF(VLOOKUP($E$127,[1]UC!$A$2:$FA$48, 31, FALSE)="",":",VLOOKUP($E$127,[1]UC!$A$2:$FA$48, 31, FALSE))</f>
        <v>:</v>
      </c>
    </row>
    <row r="128" spans="1:32">
      <c r="A128" s="533"/>
      <c r="B128" s="534" t="s">
        <v>414</v>
      </c>
      <c r="C128" s="535" t="s">
        <v>412</v>
      </c>
      <c r="D128" s="12" t="s">
        <v>413</v>
      </c>
      <c r="E128" s="13">
        <v>22</v>
      </c>
      <c r="F128" s="14" t="str">
        <f>VLOOKUP($E$128,[1]UC!$A$2:$FA$48, 3, FALSE)</f>
        <v>22 Capital transfers, receivable D.9r</v>
      </c>
      <c r="G128" s="544">
        <f>IF(VLOOKUP($E$128,[1]UC!$A$2:$FA$48, 6, FALSE)="",":",VLOOKUP($E$128,[1]UC!$A$2:$FA$48, 6, FALSE))</f>
        <v>33.049999999999997</v>
      </c>
      <c r="H128" s="544">
        <f>IF(VLOOKUP($E$128,[1]UC!$A$2:$FA$48, 7, FALSE)="",":",VLOOKUP($E$128,[1]UC!$A$2:$FA$48, 7, FALSE))</f>
        <v>222.08</v>
      </c>
      <c r="I128" s="544">
        <f>IF(VLOOKUP($E$128,[1]UC!$A$2:$FA$48, 8, FALSE)="",":",VLOOKUP($E$128,[1]UC!$A$2:$FA$48, 8, FALSE))</f>
        <v>32.03</v>
      </c>
      <c r="J128" s="544">
        <f>IF(VLOOKUP($E$128,[1]UC!$A$2:$FA$48, 9, FALSE)="",":",VLOOKUP($E$128,[1]UC!$A$2:$FA$48, 9, FALSE))</f>
        <v>103.12</v>
      </c>
      <c r="K128" s="544">
        <f>IF(VLOOKUP($E$128,[1]UC!$A$2:$FA$48, 10, FALSE)="",":",VLOOKUP($E$128,[1]UC!$A$2:$FA$48, 10, FALSE))</f>
        <v>72.08</v>
      </c>
      <c r="L128" s="544">
        <f>IF(VLOOKUP($E$128,[1]UC!$A$2:$FA$48, 11, FALSE)="",":",VLOOKUP($E$128,[1]UC!$A$2:$FA$48, 11, FALSE))</f>
        <v>96.55</v>
      </c>
      <c r="M128" s="544">
        <f>IF(VLOOKUP($E$128,[1]UC!$A$2:$FA$48, 12, FALSE)="",":",VLOOKUP($E$128,[1]UC!$A$2:$FA$48, 12, FALSE))</f>
        <v>228.37</v>
      </c>
      <c r="N128" s="544">
        <f>IF(VLOOKUP($E$128,[1]UC!$A$2:$FA$48, 13, FALSE)="",":",VLOOKUP($E$128,[1]UC!$A$2:$FA$48, 13, FALSE))</f>
        <v>108.83</v>
      </c>
      <c r="O128" s="544">
        <f>IF(VLOOKUP($E$128,[1]UC!$A$2:$FA$48, 14, FALSE)="",":",VLOOKUP($E$128,[1]UC!$A$2:$FA$48, 14, FALSE))</f>
        <v>37.51</v>
      </c>
      <c r="P128" s="544">
        <f>IF(VLOOKUP($E$128,[1]UC!$A$2:$FA$48, 15, FALSE)="",":",VLOOKUP($E$128,[1]UC!$A$2:$FA$48, 15, FALSE))</f>
        <v>72.2</v>
      </c>
      <c r="Q128" s="544">
        <f>IF(VLOOKUP($E$128,[1]UC!$A$2:$FA$48, 16, FALSE)="",":",VLOOKUP($E$128,[1]UC!$A$2:$FA$48, 16, FALSE))</f>
        <v>69.08</v>
      </c>
      <c r="R128" s="544">
        <f>IF(VLOOKUP($E$128,[1]UC!$A$2:$FA$48, 17, FALSE)="",":",VLOOKUP($E$128,[1]UC!$A$2:$FA$48, 17, FALSE))</f>
        <v>135.58000000000001</v>
      </c>
      <c r="S128" s="544">
        <f>IF(VLOOKUP($E$128,[1]UC!$A$2:$FA$48, 18, FALSE)="",":",VLOOKUP($E$128,[1]UC!$A$2:$FA$48, 18, FALSE))</f>
        <v>269.8</v>
      </c>
      <c r="T128" s="544">
        <f>IF(VLOOKUP($E$128,[1]UC!$A$2:$FA$48, 19, FALSE)="",":",VLOOKUP($E$128,[1]UC!$A$2:$FA$48, 19, FALSE))</f>
        <v>348.25</v>
      </c>
      <c r="U128" s="544">
        <f>IF(VLOOKUP($E$128,[1]UC!$A$2:$FA$48, 20, FALSE)="",":",VLOOKUP($E$128,[1]UC!$A$2:$FA$48, 20, FALSE))</f>
        <v>799.54</v>
      </c>
      <c r="V128" s="544">
        <f>IF(VLOOKUP($E$128,[1]UC!$A$2:$FA$48, 21, FALSE)="",":",VLOOKUP($E$128,[1]UC!$A$2:$FA$48, 21, FALSE))</f>
        <v>404.59</v>
      </c>
      <c r="W128" s="544">
        <f>IF(VLOOKUP($E$128,[1]UC!$A$2:$FA$48, 22, FALSE)="",":",VLOOKUP($E$128,[1]UC!$A$2:$FA$48, 22, FALSE))</f>
        <v>458.18</v>
      </c>
      <c r="X128" s="544">
        <f>IF(VLOOKUP($E$128,[1]UC!$A$2:$FA$48, 23, FALSE)="",":",VLOOKUP($E$128,[1]UC!$A$2:$FA$48, 23, FALSE))</f>
        <v>404.61</v>
      </c>
      <c r="Y128" s="544">
        <f>IF(VLOOKUP($E$128,[1]UC!$A$2:$FA$48, 24, FALSE)="",":",VLOOKUP($E$128,[1]UC!$A$2:$FA$48, 24, FALSE))</f>
        <v>840.95</v>
      </c>
      <c r="Z128" s="544">
        <f>IF(VLOOKUP($E$128,[1]UC!$A$2:$FA$48, 25, FALSE)="",":",VLOOKUP($E$128,[1]UC!$A$2:$FA$48, 25, FALSE))</f>
        <v>570.54999999999995</v>
      </c>
      <c r="AA128" s="544">
        <f>IF(VLOOKUP($E$128,[1]UC!$A$2:$FA$48, 26, FALSE)="",":",VLOOKUP($E$128,[1]UC!$A$2:$FA$48, 26, FALSE))</f>
        <v>772.32</v>
      </c>
      <c r="AB128" s="544">
        <f>IF(VLOOKUP($E$128,[1]UC!$A$2:$FA$48, 27, FALSE)="",":",VLOOKUP($E$128,[1]UC!$A$2:$FA$48, 27, FALSE))</f>
        <v>464.52</v>
      </c>
      <c r="AC128" s="544" t="str">
        <f>IF(VLOOKUP($E$128,[1]UC!$A$2:$FA$48, 28, FALSE)="",":",VLOOKUP($E$128,[1]UC!$A$2:$FA$48, 28, FALSE))</f>
        <v>:</v>
      </c>
      <c r="AD128" s="544" t="str">
        <f>IF(VLOOKUP($E$128,[1]UC!$A$2:$FA$48, 29, FALSE)="",":",VLOOKUP($E$128,[1]UC!$A$2:$FA$48, 29, FALSE))</f>
        <v>:</v>
      </c>
      <c r="AE128" s="544" t="str">
        <f>IF(VLOOKUP($E$128,[1]UC!$A$2:$FA$48, 30, FALSE)="",":",VLOOKUP($E$128,[1]UC!$A$2:$FA$48, 30, FALSE))</f>
        <v>:</v>
      </c>
      <c r="AF128" s="544" t="str">
        <f>IF(VLOOKUP($E$128,[1]UC!$A$2:$FA$48, 31, FALSE)="",":",VLOOKUP($E$128,[1]UC!$A$2:$FA$48, 31, FALSE))</f>
        <v>:</v>
      </c>
    </row>
    <row r="129" spans="1:32">
      <c r="A129" s="533"/>
      <c r="B129" s="534" t="s">
        <v>1970</v>
      </c>
      <c r="C129" s="535" t="s">
        <v>415</v>
      </c>
      <c r="D129" s="12" t="s">
        <v>413</v>
      </c>
      <c r="E129" s="13">
        <v>23</v>
      </c>
      <c r="F129" s="14" t="str">
        <f>VLOOKUP($E$129,[1]UC!$A$2:$FA$48, 3, FALSE)</f>
        <v>23 Capital transfers, payable D.9p</v>
      </c>
      <c r="G129" s="544">
        <f>IF(VLOOKUP($E$129,[1]UC!$A$2:$FA$48, 6, FALSE)="",":",VLOOKUP($E$129,[1]UC!$A$2:$FA$48, 6, FALSE))</f>
        <v>0</v>
      </c>
      <c r="H129" s="544">
        <f>IF(VLOOKUP($E$129,[1]UC!$A$2:$FA$48, 7, FALSE)="",":",VLOOKUP($E$129,[1]UC!$A$2:$FA$48, 7, FALSE))</f>
        <v>0</v>
      </c>
      <c r="I129" s="544">
        <f>IF(VLOOKUP($E$129,[1]UC!$A$2:$FA$48, 8, FALSE)="",":",VLOOKUP($E$129,[1]UC!$A$2:$FA$48, 8, FALSE))</f>
        <v>0.42000000000000004</v>
      </c>
      <c r="J129" s="544">
        <f>IF(VLOOKUP($E$129,[1]UC!$A$2:$FA$48, 9, FALSE)="",":",VLOOKUP($E$129,[1]UC!$A$2:$FA$48, 9, FALSE))</f>
        <v>3</v>
      </c>
      <c r="K129" s="544">
        <f>IF(VLOOKUP($E$129,[1]UC!$A$2:$FA$48, 10, FALSE)="",":",VLOOKUP($E$129,[1]UC!$A$2:$FA$48, 10, FALSE))</f>
        <v>18.079999999999998</v>
      </c>
      <c r="L129" s="544">
        <f>IF(VLOOKUP($E$129,[1]UC!$A$2:$FA$48, 11, FALSE)="",":",VLOOKUP($E$129,[1]UC!$A$2:$FA$48, 11, FALSE))</f>
        <v>-29.28</v>
      </c>
      <c r="M129" s="544">
        <f>IF(VLOOKUP($E$129,[1]UC!$A$2:$FA$48, 12, FALSE)="",":",VLOOKUP($E$129,[1]UC!$A$2:$FA$48, 12, FALSE))</f>
        <v>-33.770000000000003</v>
      </c>
      <c r="N129" s="544">
        <f>IF(VLOOKUP($E$129,[1]UC!$A$2:$FA$48, 13, FALSE)="",":",VLOOKUP($E$129,[1]UC!$A$2:$FA$48, 13, FALSE))</f>
        <v>-12.9</v>
      </c>
      <c r="O129" s="544">
        <f>IF(VLOOKUP($E$129,[1]UC!$A$2:$FA$48, 14, FALSE)="",":",VLOOKUP($E$129,[1]UC!$A$2:$FA$48, 14, FALSE))</f>
        <v>-6.05</v>
      </c>
      <c r="P129" s="544">
        <f>IF(VLOOKUP($E$129,[1]UC!$A$2:$FA$48, 15, FALSE)="",":",VLOOKUP($E$129,[1]UC!$A$2:$FA$48, 15, FALSE))</f>
        <v>-3.63</v>
      </c>
      <c r="Q129" s="544">
        <f>IF(VLOOKUP($E$129,[1]UC!$A$2:$FA$48, 16, FALSE)="",":",VLOOKUP($E$129,[1]UC!$A$2:$FA$48, 16, FALSE))</f>
        <v>13.98</v>
      </c>
      <c r="R129" s="544">
        <f>IF(VLOOKUP($E$129,[1]UC!$A$2:$FA$48, 17, FALSE)="",":",VLOOKUP($E$129,[1]UC!$A$2:$FA$48, 17, FALSE))</f>
        <v>-8.3800000000000008</v>
      </c>
      <c r="S129" s="544">
        <f>IF(VLOOKUP($E$129,[1]UC!$A$2:$FA$48, 18, FALSE)="",":",VLOOKUP($E$129,[1]UC!$A$2:$FA$48, 18, FALSE))</f>
        <v>-1.73</v>
      </c>
      <c r="T129" s="544">
        <f>IF(VLOOKUP($E$129,[1]UC!$A$2:$FA$48, 19, FALSE)="",":",VLOOKUP($E$129,[1]UC!$A$2:$FA$48, 19, FALSE))</f>
        <v>-13.16</v>
      </c>
      <c r="U129" s="544">
        <f>IF(VLOOKUP($E$129,[1]UC!$A$2:$FA$48, 20, FALSE)="",":",VLOOKUP($E$129,[1]UC!$A$2:$FA$48, 20, FALSE))</f>
        <v>-44.34</v>
      </c>
      <c r="V129" s="544">
        <f>IF(VLOOKUP($E$129,[1]UC!$A$2:$FA$48, 21, FALSE)="",":",VLOOKUP($E$129,[1]UC!$A$2:$FA$48, 21, FALSE))</f>
        <v>-27.74</v>
      </c>
      <c r="W129" s="544">
        <f>IF(VLOOKUP($E$129,[1]UC!$A$2:$FA$48, 22, FALSE)="",":",VLOOKUP($E$129,[1]UC!$A$2:$FA$48, 22, FALSE))</f>
        <v>-15.53</v>
      </c>
      <c r="X129" s="544">
        <f>IF(VLOOKUP($E$129,[1]UC!$A$2:$FA$48, 23, FALSE)="",":",VLOOKUP($E$129,[1]UC!$A$2:$FA$48, 23, FALSE))</f>
        <v>23.83</v>
      </c>
      <c r="Y129" s="544">
        <f>IF(VLOOKUP($E$129,[1]UC!$A$2:$FA$48, 24, FALSE)="",":",VLOOKUP($E$129,[1]UC!$A$2:$FA$48, 24, FALSE))</f>
        <v>96.68</v>
      </c>
      <c r="Z129" s="544">
        <f>IF(VLOOKUP($E$129,[1]UC!$A$2:$FA$48, 25, FALSE)="",":",VLOOKUP($E$129,[1]UC!$A$2:$FA$48, 25, FALSE))</f>
        <v>479.61</v>
      </c>
      <c r="AA129" s="544">
        <f>IF(VLOOKUP($E$129,[1]UC!$A$2:$FA$48, 26, FALSE)="",":",VLOOKUP($E$129,[1]UC!$A$2:$FA$48, 26, FALSE))</f>
        <v>199.53</v>
      </c>
      <c r="AB129" s="544">
        <f>IF(VLOOKUP($E$129,[1]UC!$A$2:$FA$48, 27, FALSE)="",":",VLOOKUP($E$129,[1]UC!$A$2:$FA$48, 27, FALSE))</f>
        <v>80.52</v>
      </c>
      <c r="AC129" s="544" t="str">
        <f>IF(VLOOKUP($E$129,[1]UC!$A$2:$FA$48, 28, FALSE)="",":",VLOOKUP($E$129,[1]UC!$A$2:$FA$48, 28, FALSE))</f>
        <v>:</v>
      </c>
      <c r="AD129" s="544" t="str">
        <f>IF(VLOOKUP($E$129,[1]UC!$A$2:$FA$48, 29, FALSE)="",":",VLOOKUP($E$129,[1]UC!$A$2:$FA$48, 29, FALSE))</f>
        <v>:</v>
      </c>
      <c r="AE129" s="544" t="str">
        <f>IF(VLOOKUP($E$129,[1]UC!$A$2:$FA$48, 30, FALSE)="",":",VLOOKUP($E$129,[1]UC!$A$2:$FA$48, 30, FALSE))</f>
        <v>:</v>
      </c>
      <c r="AF129" s="544" t="str">
        <f>IF(VLOOKUP($E$129,[1]UC!$A$2:$FA$48, 31, FALSE)="",":",VLOOKUP($E$129,[1]UC!$A$2:$FA$48, 31, FALSE))</f>
        <v>:</v>
      </c>
    </row>
    <row r="130" spans="1:32" s="540" customFormat="1">
      <c r="A130" s="536"/>
      <c r="B130" s="537" t="s">
        <v>114</v>
      </c>
      <c r="C130" s="538" t="s">
        <v>115</v>
      </c>
      <c r="D130" s="528"/>
      <c r="E130" s="529"/>
      <c r="F130" s="539"/>
      <c r="G130" s="545">
        <f>+G128-G129</f>
        <v>33.049999999999997</v>
      </c>
      <c r="H130" s="545">
        <f t="shared" ref="H130:AF130" si="4">+H128-H129</f>
        <v>222.08</v>
      </c>
      <c r="I130" s="545">
        <f t="shared" si="4"/>
        <v>31.61</v>
      </c>
      <c r="J130" s="545">
        <f t="shared" si="4"/>
        <v>100.12</v>
      </c>
      <c r="K130" s="545">
        <f t="shared" si="4"/>
        <v>54</v>
      </c>
      <c r="L130" s="545">
        <f t="shared" si="4"/>
        <v>125.83</v>
      </c>
      <c r="M130" s="545">
        <f t="shared" si="4"/>
        <v>262.14</v>
      </c>
      <c r="N130" s="545">
        <f t="shared" si="4"/>
        <v>121.73</v>
      </c>
      <c r="O130" s="545">
        <f t="shared" si="4"/>
        <v>43.559999999999995</v>
      </c>
      <c r="P130" s="545">
        <f t="shared" si="4"/>
        <v>75.83</v>
      </c>
      <c r="Q130" s="545">
        <f t="shared" si="4"/>
        <v>55.099999999999994</v>
      </c>
      <c r="R130" s="545">
        <f t="shared" si="4"/>
        <v>143.96</v>
      </c>
      <c r="S130" s="545">
        <f t="shared" si="4"/>
        <v>271.53000000000003</v>
      </c>
      <c r="T130" s="545">
        <f t="shared" si="4"/>
        <v>361.41</v>
      </c>
      <c r="U130" s="545">
        <f t="shared" si="4"/>
        <v>843.88</v>
      </c>
      <c r="V130" s="545">
        <f t="shared" si="4"/>
        <v>432.33</v>
      </c>
      <c r="W130" s="545">
        <f t="shared" si="4"/>
        <v>473.71</v>
      </c>
      <c r="X130" s="545">
        <f t="shared" si="4"/>
        <v>380.78000000000003</v>
      </c>
      <c r="Y130" s="545">
        <f t="shared" si="4"/>
        <v>744.27</v>
      </c>
      <c r="Z130" s="545">
        <f t="shared" si="4"/>
        <v>90.939999999999941</v>
      </c>
      <c r="AA130" s="545">
        <f t="shared" si="4"/>
        <v>572.79000000000008</v>
      </c>
      <c r="AB130" s="545">
        <f t="shared" si="4"/>
        <v>384</v>
      </c>
      <c r="AC130" s="545" t="e">
        <f t="shared" si="4"/>
        <v>#VALUE!</v>
      </c>
      <c r="AD130" s="545" t="e">
        <f t="shared" si="4"/>
        <v>#VALUE!</v>
      </c>
      <c r="AE130" s="545" t="e">
        <f t="shared" si="4"/>
        <v>#VALUE!</v>
      </c>
      <c r="AF130" s="545" t="e">
        <f t="shared" si="4"/>
        <v>#VALUE!</v>
      </c>
    </row>
    <row r="131" spans="1:32">
      <c r="A131" s="533"/>
      <c r="B131" s="534"/>
      <c r="C131" s="535"/>
      <c r="D131" s="12"/>
      <c r="E131" s="13"/>
      <c r="F131" s="14"/>
      <c r="G131" s="544"/>
      <c r="H131" s="544"/>
      <c r="I131" s="544"/>
      <c r="J131" s="544"/>
      <c r="K131" s="544"/>
      <c r="L131" s="544"/>
      <c r="M131" s="544"/>
      <c r="N131" s="544"/>
      <c r="O131" s="544"/>
      <c r="P131" s="544"/>
      <c r="Q131" s="544"/>
      <c r="R131" s="544"/>
      <c r="S131" s="544"/>
      <c r="T131" s="544"/>
      <c r="U131" s="544"/>
      <c r="V131" s="544"/>
      <c r="W131" s="544"/>
      <c r="X131" s="544"/>
      <c r="Y131" s="544"/>
      <c r="Z131" s="544"/>
      <c r="AA131" s="544"/>
      <c r="AB131" s="544"/>
      <c r="AC131" s="544"/>
      <c r="AD131" s="544"/>
      <c r="AE131" s="544"/>
      <c r="AF131" s="544"/>
    </row>
    <row r="132" spans="1:32">
      <c r="A132" s="533"/>
      <c r="B132" s="534" t="s">
        <v>1557</v>
      </c>
      <c r="C132" s="535" t="s">
        <v>416</v>
      </c>
      <c r="D132" s="12" t="s">
        <v>413</v>
      </c>
      <c r="E132" s="13">
        <v>28</v>
      </c>
      <c r="F132" s="14" t="str">
        <f>VLOOKUP($E$132,[1]UC!$A$2:$FA$48, 3, FALSE)</f>
        <v>28 Net acquisitions of non-produced non-financial assets K.2</v>
      </c>
      <c r="G132" s="544">
        <f>IF(VLOOKUP($E$132,[1]UC!$A$2:$FA$48, 6, FALSE)="",":",VLOOKUP($E$132,[1]UC!$A$2:$FA$48, 6, FALSE))</f>
        <v>0</v>
      </c>
      <c r="H132" s="544">
        <f>IF(VLOOKUP($E$132,[1]UC!$A$2:$FA$48, 7, FALSE)="",":",VLOOKUP($E$132,[1]UC!$A$2:$FA$48, 7, FALSE))</f>
        <v>0</v>
      </c>
      <c r="I132" s="544">
        <f>IF(VLOOKUP($E$132,[1]UC!$A$2:$FA$48, 8, FALSE)="",":",VLOOKUP($E$132,[1]UC!$A$2:$FA$48, 8, FALSE))</f>
        <v>6.42</v>
      </c>
      <c r="J132" s="544">
        <f>IF(VLOOKUP($E$132,[1]UC!$A$2:$FA$48, 9, FALSE)="",":",VLOOKUP($E$132,[1]UC!$A$2:$FA$48, 9, FALSE))</f>
        <v>1.36</v>
      </c>
      <c r="K132" s="544">
        <f>IF(VLOOKUP($E$132,[1]UC!$A$2:$FA$48, 10, FALSE)="",":",VLOOKUP($E$132,[1]UC!$A$2:$FA$48, 10, FALSE))</f>
        <v>4.2699999999999996</v>
      </c>
      <c r="L132" s="544">
        <f>IF(VLOOKUP($E$132,[1]UC!$A$2:$FA$48, 11, FALSE)="",":",VLOOKUP($E$132,[1]UC!$A$2:$FA$48, 11, FALSE))</f>
        <v>6.53</v>
      </c>
      <c r="M132" s="544">
        <f>IF(VLOOKUP($E$132,[1]UC!$A$2:$FA$48, 12, FALSE)="",":",VLOOKUP($E$132,[1]UC!$A$2:$FA$48, 12, FALSE))</f>
        <v>17.149999999999999</v>
      </c>
      <c r="N132" s="544">
        <f>IF(VLOOKUP($E$132,[1]UC!$A$2:$FA$48, 13, FALSE)="",":",VLOOKUP($E$132,[1]UC!$A$2:$FA$48, 13, FALSE))</f>
        <v>19.89</v>
      </c>
      <c r="O132" s="544">
        <f>IF(VLOOKUP($E$132,[1]UC!$A$2:$FA$48, 14, FALSE)="",":",VLOOKUP($E$132,[1]UC!$A$2:$FA$48, 14, FALSE))</f>
        <v>23.65</v>
      </c>
      <c r="P132" s="544">
        <f>IF(VLOOKUP($E$132,[1]UC!$A$2:$FA$48, 15, FALSE)="",":",VLOOKUP($E$132,[1]UC!$A$2:$FA$48, 15, FALSE))</f>
        <v>68.23</v>
      </c>
      <c r="Q132" s="544">
        <f>IF(VLOOKUP($E$132,[1]UC!$A$2:$FA$48, 16, FALSE)="",":",VLOOKUP($E$132,[1]UC!$A$2:$FA$48, 16, FALSE))</f>
        <v>182.68</v>
      </c>
      <c r="R132" s="544">
        <f>IF(VLOOKUP($E$132,[1]UC!$A$2:$FA$48, 17, FALSE)="",":",VLOOKUP($E$132,[1]UC!$A$2:$FA$48, 17, FALSE))</f>
        <v>260.54000000000002</v>
      </c>
      <c r="S132" s="544">
        <f>IF(VLOOKUP($E$132,[1]UC!$A$2:$FA$48, 18, FALSE)="",":",VLOOKUP($E$132,[1]UC!$A$2:$FA$48, 18, FALSE))</f>
        <v>408.06</v>
      </c>
      <c r="T132" s="544">
        <f>IF(VLOOKUP($E$132,[1]UC!$A$2:$FA$48, 19, FALSE)="",":",VLOOKUP($E$132,[1]UC!$A$2:$FA$48, 19, FALSE))</f>
        <v>168.67</v>
      </c>
      <c r="U132" s="544">
        <f>IF(VLOOKUP($E$132,[1]UC!$A$2:$FA$48, 20, FALSE)="",":",VLOOKUP($E$132,[1]UC!$A$2:$FA$48, 20, FALSE))</f>
        <v>-24.57</v>
      </c>
      <c r="V132" s="544">
        <f>IF(VLOOKUP($E$132,[1]UC!$A$2:$FA$48, 21, FALSE)="",":",VLOOKUP($E$132,[1]UC!$A$2:$FA$48, 21, FALSE))</f>
        <v>-16.739999999999998</v>
      </c>
      <c r="W132" s="544">
        <f>IF(VLOOKUP($E$132,[1]UC!$A$2:$FA$48, 22, FALSE)="",":",VLOOKUP($E$132,[1]UC!$A$2:$FA$48, 22, FALSE))</f>
        <v>122.36</v>
      </c>
      <c r="X132" s="544">
        <f>IF(VLOOKUP($E$132,[1]UC!$A$2:$FA$48, 23, FALSE)="",":",VLOOKUP($E$132,[1]UC!$A$2:$FA$48, 23, FALSE))</f>
        <v>118.3</v>
      </c>
      <c r="Y132" s="544">
        <f>IF(VLOOKUP($E$132,[1]UC!$A$2:$FA$48, 24, FALSE)="",":",VLOOKUP($E$132,[1]UC!$A$2:$FA$48, 24, FALSE))</f>
        <v>94.85</v>
      </c>
      <c r="Z132" s="544">
        <f>IF(VLOOKUP($E$132,[1]UC!$A$2:$FA$48, 25, FALSE)="",":",VLOOKUP($E$132,[1]UC!$A$2:$FA$48, 25, FALSE))</f>
        <v>37.08</v>
      </c>
      <c r="AA132" s="544">
        <f>IF(VLOOKUP($E$132,[1]UC!$A$2:$FA$48, 26, FALSE)="",":",VLOOKUP($E$132,[1]UC!$A$2:$FA$48, 26, FALSE))</f>
        <v>86.23</v>
      </c>
      <c r="AB132" s="544">
        <f>IF(VLOOKUP($E$132,[1]UC!$A$2:$FA$48, 27, FALSE)="",":",VLOOKUP($E$132,[1]UC!$A$2:$FA$48, 27, FALSE))</f>
        <v>105.53</v>
      </c>
      <c r="AC132" s="544" t="str">
        <f>IF(VLOOKUP($E$132,[1]UC!$A$2:$FA$48, 28, FALSE)="",":",VLOOKUP($E$132,[1]UC!$A$2:$FA$48, 28, FALSE))</f>
        <v>:</v>
      </c>
      <c r="AD132" s="544" t="str">
        <f>IF(VLOOKUP($E$132,[1]UC!$A$2:$FA$48, 29, FALSE)="",":",VLOOKUP($E$132,[1]UC!$A$2:$FA$48, 29, FALSE))</f>
        <v>:</v>
      </c>
      <c r="AE132" s="544" t="str">
        <f>IF(VLOOKUP($E$132,[1]UC!$A$2:$FA$48, 30, FALSE)="",":",VLOOKUP($E$132,[1]UC!$A$2:$FA$48, 30, FALSE))</f>
        <v>:</v>
      </c>
      <c r="AF132" s="544" t="str">
        <f>IF(VLOOKUP($E$132,[1]UC!$A$2:$FA$48, 31, FALSE)="",":",VLOOKUP($E$132,[1]UC!$A$2:$FA$48, 31, FALSE))</f>
        <v>:</v>
      </c>
    </row>
    <row r="133" spans="1:32">
      <c r="A133" s="533"/>
      <c r="B133" s="534" t="s">
        <v>1558</v>
      </c>
      <c r="C133" s="535" t="s">
        <v>417</v>
      </c>
      <c r="D133" s="12" t="s">
        <v>413</v>
      </c>
      <c r="E133" s="13">
        <v>25</v>
      </c>
      <c r="F133" s="14" t="str">
        <f>VLOOKUP($E$133,[1]UC!$A$2:$FA$48, 3, FALSE)</f>
        <v>25. Gross fixed capital formation P.51</v>
      </c>
      <c r="G133" s="544">
        <f>IF(VLOOKUP($E$133,[1]UC!$A$2:$FA$48, 6, FALSE)="",":",VLOOKUP($E$133,[1]UC!$A$2:$FA$48, 6, FALSE))</f>
        <v>1031.51</v>
      </c>
      <c r="H133" s="544">
        <f>IF(VLOOKUP($E$133,[1]UC!$A$2:$FA$48, 7, FALSE)="",":",VLOOKUP($E$133,[1]UC!$A$2:$FA$48, 7, FALSE))</f>
        <v>1453.16</v>
      </c>
      <c r="I133" s="544">
        <f>IF(VLOOKUP($E$133,[1]UC!$A$2:$FA$48, 8, FALSE)="",":",VLOOKUP($E$133,[1]UC!$A$2:$FA$48, 8, FALSE))</f>
        <v>1930.88</v>
      </c>
      <c r="J133" s="544">
        <f>IF(VLOOKUP($E$133,[1]UC!$A$2:$FA$48, 9, FALSE)="",":",VLOOKUP($E$133,[1]UC!$A$2:$FA$48, 9, FALSE))</f>
        <v>2196.39</v>
      </c>
      <c r="K133" s="544">
        <f>IF(VLOOKUP($E$133,[1]UC!$A$2:$FA$48, 10, FALSE)="",":",VLOOKUP($E$133,[1]UC!$A$2:$FA$48, 10, FALSE))</f>
        <v>2030.02</v>
      </c>
      <c r="L133" s="544">
        <f>IF(VLOOKUP($E$133,[1]UC!$A$2:$FA$48, 11, FALSE)="",":",VLOOKUP($E$133,[1]UC!$A$2:$FA$48, 11, FALSE))</f>
        <v>1749.54</v>
      </c>
      <c r="M133" s="544">
        <f>IF(VLOOKUP($E$133,[1]UC!$A$2:$FA$48, 12, FALSE)="",":",VLOOKUP($E$133,[1]UC!$A$2:$FA$48, 12, FALSE))</f>
        <v>2053.2399999999998</v>
      </c>
      <c r="N133" s="544">
        <f>IF(VLOOKUP($E$133,[1]UC!$A$2:$FA$48, 13, FALSE)="",":",VLOOKUP($E$133,[1]UC!$A$2:$FA$48, 13, FALSE))</f>
        <v>2157.1</v>
      </c>
      <c r="O133" s="544">
        <f>IF(VLOOKUP($E$133,[1]UC!$A$2:$FA$48, 14, FALSE)="",":",VLOOKUP($E$133,[1]UC!$A$2:$FA$48, 14, FALSE))</f>
        <v>2387.41</v>
      </c>
      <c r="P133" s="544">
        <f>IF(VLOOKUP($E$133,[1]UC!$A$2:$FA$48, 15, FALSE)="",":",VLOOKUP($E$133,[1]UC!$A$2:$FA$48, 15, FALSE))</f>
        <v>2724.99</v>
      </c>
      <c r="Q133" s="544">
        <f>IF(VLOOKUP($E$133,[1]UC!$A$2:$FA$48, 16, FALSE)="",":",VLOOKUP($E$133,[1]UC!$A$2:$FA$48, 16, FALSE))</f>
        <v>3314.25</v>
      </c>
      <c r="R133" s="544">
        <f>IF(VLOOKUP($E$133,[1]UC!$A$2:$FA$48, 17, FALSE)="",":",VLOOKUP($E$133,[1]UC!$A$2:$FA$48, 17, FALSE))</f>
        <v>4335.8999999999996</v>
      </c>
      <c r="S133" s="544">
        <f>IF(VLOOKUP($E$133,[1]UC!$A$2:$FA$48, 18, FALSE)="",":",VLOOKUP($E$133,[1]UC!$A$2:$FA$48, 18, FALSE))</f>
        <v>5643.8</v>
      </c>
      <c r="T133" s="544">
        <f>IF(VLOOKUP($E$133,[1]UC!$A$2:$FA$48, 19, FALSE)="",":",VLOOKUP($E$133,[1]UC!$A$2:$FA$48, 19, FALSE))</f>
        <v>5474.98</v>
      </c>
      <c r="U133" s="544">
        <f>IF(VLOOKUP($E$133,[1]UC!$A$2:$FA$48, 20, FALSE)="",":",VLOOKUP($E$133,[1]UC!$A$2:$FA$48, 20, FALSE))</f>
        <v>2664.17</v>
      </c>
      <c r="V133" s="544">
        <f>IF(VLOOKUP($E$133,[1]UC!$A$2:$FA$48, 21, FALSE)="",":",VLOOKUP($E$133,[1]UC!$A$2:$FA$48, 21, FALSE))</f>
        <v>2413.17</v>
      </c>
      <c r="W133" s="544">
        <f>IF(VLOOKUP($E$133,[1]UC!$A$2:$FA$48, 22, FALSE)="",":",VLOOKUP($E$133,[1]UC!$A$2:$FA$48, 22, FALSE))</f>
        <v>3258.13</v>
      </c>
      <c r="X133" s="544">
        <f>IF(VLOOKUP($E$133,[1]UC!$A$2:$FA$48, 23, FALSE)="",":",VLOOKUP($E$133,[1]UC!$A$2:$FA$48, 23, FALSE))</f>
        <v>3458.71</v>
      </c>
      <c r="Y133" s="544">
        <f>IF(VLOOKUP($E$133,[1]UC!$A$2:$FA$48, 24, FALSE)="",":",VLOOKUP($E$133,[1]UC!$A$2:$FA$48, 24, FALSE))</f>
        <v>3904.03</v>
      </c>
      <c r="Z133" s="544">
        <f>IF(VLOOKUP($E$133,[1]UC!$A$2:$FA$48, 25, FALSE)="",":",VLOOKUP($E$133,[1]UC!$A$2:$FA$48, 25, FALSE))</f>
        <v>4250.8</v>
      </c>
      <c r="AA133" s="544">
        <f>IF(VLOOKUP($E$133,[1]UC!$A$2:$FA$48, 26, FALSE)="",":",VLOOKUP($E$133,[1]UC!$A$2:$FA$48, 26, FALSE))</f>
        <v>4387.2</v>
      </c>
      <c r="AB133" s="544">
        <f>IF(VLOOKUP($E$133,[1]UC!$A$2:$FA$48, 27, FALSE)="",":",VLOOKUP($E$133,[1]UC!$A$2:$FA$48, 27, FALSE))</f>
        <v>4418.33</v>
      </c>
      <c r="AC133" s="544" t="str">
        <f>IF(VLOOKUP($E$133,[1]UC!$A$2:$FA$48, 28, FALSE)="",":",VLOOKUP($E$133,[1]UC!$A$2:$FA$48, 28, FALSE))</f>
        <v>:</v>
      </c>
      <c r="AD133" s="544" t="str">
        <f>IF(VLOOKUP($E$133,[1]UC!$A$2:$FA$48, 29, FALSE)="",":",VLOOKUP($E$133,[1]UC!$A$2:$FA$48, 29, FALSE))</f>
        <v>:</v>
      </c>
      <c r="AE133" s="544" t="str">
        <f>IF(VLOOKUP($E$133,[1]UC!$A$2:$FA$48, 30, FALSE)="",":",VLOOKUP($E$133,[1]UC!$A$2:$FA$48, 30, FALSE))</f>
        <v>:</v>
      </c>
      <c r="AF133" s="544" t="str">
        <f>IF(VLOOKUP($E$133,[1]UC!$A$2:$FA$48, 31, FALSE)="",":",VLOOKUP($E$133,[1]UC!$A$2:$FA$48, 31, FALSE))</f>
        <v>:</v>
      </c>
    </row>
    <row r="134" spans="1:32">
      <c r="A134" s="533"/>
      <c r="B134" s="534"/>
      <c r="C134" s="535" t="s">
        <v>423</v>
      </c>
      <c r="D134" s="12" t="s">
        <v>413</v>
      </c>
      <c r="E134" s="13">
        <v>26</v>
      </c>
      <c r="F134" s="14" t="str">
        <f>VLOOKUP($E$134,[1]UC!$A$2:$FA$48, 3, FALSE)</f>
        <v xml:space="preserve">26 Changes in inventories P.52 </v>
      </c>
      <c r="G134" s="544">
        <f>IF(VLOOKUP($E$134,[1]UC!$A$2:$FA$48, 6, FALSE)="",":",VLOOKUP($E$134,[1]UC!$A$2:$FA$48, 6, FALSE))</f>
        <v>161.75</v>
      </c>
      <c r="H134" s="544">
        <f>IF(VLOOKUP($E$134,[1]UC!$A$2:$FA$48, 7, FALSE)="",":",VLOOKUP($E$134,[1]UC!$A$2:$FA$48, 7, FALSE))</f>
        <v>40.89</v>
      </c>
      <c r="I134" s="544">
        <f>IF(VLOOKUP($E$134,[1]UC!$A$2:$FA$48, 8, FALSE)="",":",VLOOKUP($E$134,[1]UC!$A$2:$FA$48, 8, FALSE))</f>
        <v>198.27</v>
      </c>
      <c r="J134" s="544">
        <f>IF(VLOOKUP($E$134,[1]UC!$A$2:$FA$48, 9, FALSE)="",":",VLOOKUP($E$134,[1]UC!$A$2:$FA$48, 9, FALSE))</f>
        <v>29.59</v>
      </c>
      <c r="K134" s="544">
        <f>IF(VLOOKUP($E$134,[1]UC!$A$2:$FA$48, 10, FALSE)="",":",VLOOKUP($E$134,[1]UC!$A$2:$FA$48, 10, FALSE))</f>
        <v>-42.6</v>
      </c>
      <c r="L134" s="544">
        <f>IF(VLOOKUP($E$134,[1]UC!$A$2:$FA$48, 11, FALSE)="",":",VLOOKUP($E$134,[1]UC!$A$2:$FA$48, 11, FALSE))</f>
        <v>-50.57</v>
      </c>
      <c r="M134" s="544">
        <f>IF(VLOOKUP($E$134,[1]UC!$A$2:$FA$48, 12, FALSE)="",":",VLOOKUP($E$134,[1]UC!$A$2:$FA$48, 12, FALSE))</f>
        <v>-111.42</v>
      </c>
      <c r="N134" s="544">
        <f>IF(VLOOKUP($E$134,[1]UC!$A$2:$FA$48, 13, FALSE)="",":",VLOOKUP($E$134,[1]UC!$A$2:$FA$48, 13, FALSE))</f>
        <v>-19.64</v>
      </c>
      <c r="O134" s="544">
        <f>IF(VLOOKUP($E$134,[1]UC!$A$2:$FA$48, 14, FALSE)="",":",VLOOKUP($E$134,[1]UC!$A$2:$FA$48, 14, FALSE))</f>
        <v>30.72</v>
      </c>
      <c r="P134" s="544">
        <f>IF(VLOOKUP($E$134,[1]UC!$A$2:$FA$48, 15, FALSE)="",":",VLOOKUP($E$134,[1]UC!$A$2:$FA$48, 15, FALSE))</f>
        <v>-63.61</v>
      </c>
      <c r="Q134" s="544">
        <f>IF(VLOOKUP($E$134,[1]UC!$A$2:$FA$48, 16, FALSE)="",":",VLOOKUP($E$134,[1]UC!$A$2:$FA$48, 16, FALSE))</f>
        <v>167.45</v>
      </c>
      <c r="R134" s="544">
        <f>IF(VLOOKUP($E$134,[1]UC!$A$2:$FA$48, 17, FALSE)="",":",VLOOKUP($E$134,[1]UC!$A$2:$FA$48, 17, FALSE))</f>
        <v>160.13</v>
      </c>
      <c r="S134" s="544">
        <f>IF(VLOOKUP($E$134,[1]UC!$A$2:$FA$48, 18, FALSE)="",":",VLOOKUP($E$134,[1]UC!$A$2:$FA$48, 18, FALSE))</f>
        <v>950.69</v>
      </c>
      <c r="T134" s="544">
        <f>IF(VLOOKUP($E$134,[1]UC!$A$2:$FA$48, 19, FALSE)="",":",VLOOKUP($E$134,[1]UC!$A$2:$FA$48, 19, FALSE))</f>
        <v>424.95</v>
      </c>
      <c r="U134" s="544">
        <f>IF(VLOOKUP($E$134,[1]UC!$A$2:$FA$48, 20, FALSE)="",":",VLOOKUP($E$134,[1]UC!$A$2:$FA$48, 20, FALSE))</f>
        <v>-1437.22</v>
      </c>
      <c r="V134" s="544">
        <f>IF(VLOOKUP($E$134,[1]UC!$A$2:$FA$48, 21, FALSE)="",":",VLOOKUP($E$134,[1]UC!$A$2:$FA$48, 21, FALSE))</f>
        <v>334.7</v>
      </c>
      <c r="W134" s="544">
        <f>IF(VLOOKUP($E$134,[1]UC!$A$2:$FA$48, 22, FALSE)="",":",VLOOKUP($E$134,[1]UC!$A$2:$FA$48, 22, FALSE))</f>
        <v>930.86</v>
      </c>
      <c r="X134" s="544">
        <f>IF(VLOOKUP($E$134,[1]UC!$A$2:$FA$48, 23, FALSE)="",":",VLOOKUP($E$134,[1]UC!$A$2:$FA$48, 23, FALSE))</f>
        <v>571.46</v>
      </c>
      <c r="Y134" s="544">
        <f>IF(VLOOKUP($E$134,[1]UC!$A$2:$FA$48, 24, FALSE)="",":",VLOOKUP($E$134,[1]UC!$A$2:$FA$48, 24, FALSE))</f>
        <v>226.93</v>
      </c>
      <c r="Z134" s="544">
        <f>IF(VLOOKUP($E$134,[1]UC!$A$2:$FA$48, 25, FALSE)="",":",VLOOKUP($E$134,[1]UC!$A$2:$FA$48, 25, FALSE))</f>
        <v>20.34</v>
      </c>
      <c r="AA134" s="544">
        <f>IF(VLOOKUP($E$134,[1]UC!$A$2:$FA$48, 26, FALSE)="",":",VLOOKUP($E$134,[1]UC!$A$2:$FA$48, 26, FALSE))</f>
        <v>292.39999999999998</v>
      </c>
      <c r="AB134" s="544">
        <f>IF(VLOOKUP($E$134,[1]UC!$A$2:$FA$48, 27, FALSE)="",":",VLOOKUP($E$134,[1]UC!$A$2:$FA$48, 27, FALSE))</f>
        <v>-689.19</v>
      </c>
      <c r="AC134" s="544" t="str">
        <f>IF(VLOOKUP($E$134,[1]UC!$A$2:$FA$48, 28, FALSE)="",":",VLOOKUP($E$134,[1]UC!$A$2:$FA$48, 28, FALSE))</f>
        <v>:</v>
      </c>
      <c r="AD134" s="544" t="str">
        <f>IF(VLOOKUP($E$134,[1]UC!$A$2:$FA$48, 29, FALSE)="",":",VLOOKUP($E$134,[1]UC!$A$2:$FA$48, 29, FALSE))</f>
        <v>:</v>
      </c>
      <c r="AE134" s="544" t="str">
        <f>IF(VLOOKUP($E$134,[1]UC!$A$2:$FA$48, 30, FALSE)="",":",VLOOKUP($E$134,[1]UC!$A$2:$FA$48, 30, FALSE))</f>
        <v>:</v>
      </c>
      <c r="AF134" s="544" t="str">
        <f>IF(VLOOKUP($E$134,[1]UC!$A$2:$FA$48, 31, FALSE)="",":",VLOOKUP($E$134,[1]UC!$A$2:$FA$48, 31, FALSE))</f>
        <v>:</v>
      </c>
    </row>
    <row r="135" spans="1:32">
      <c r="A135" s="533"/>
      <c r="B135" s="534"/>
      <c r="C135" s="535" t="s">
        <v>381</v>
      </c>
      <c r="D135" s="12" t="s">
        <v>413</v>
      </c>
      <c r="E135" s="13">
        <v>27</v>
      </c>
      <c r="F135" s="14" t="str">
        <f>VLOOKUP($E$135,[1]UC!$A$2:$FA$48, 3, FALSE)</f>
        <v>27 Net acquisitions of valuables P.53</v>
      </c>
      <c r="G135" s="544">
        <f>IF(VLOOKUP($E$135,[1]UC!$A$2:$FA$48, 6, FALSE)="",":",VLOOKUP($E$135,[1]UC!$A$2:$FA$48, 6, FALSE))</f>
        <v>0</v>
      </c>
      <c r="H135" s="544">
        <f>IF(VLOOKUP($E$135,[1]UC!$A$2:$FA$48, 7, FALSE)="",":",VLOOKUP($E$135,[1]UC!$A$2:$FA$48, 7, FALSE))</f>
        <v>0.45</v>
      </c>
      <c r="I135" s="544">
        <f>IF(VLOOKUP($E$135,[1]UC!$A$2:$FA$48, 8, FALSE)="",":",VLOOKUP($E$135,[1]UC!$A$2:$FA$48, 8, FALSE))</f>
        <v>0.68</v>
      </c>
      <c r="J135" s="544">
        <f>IF(VLOOKUP($E$135,[1]UC!$A$2:$FA$48, 9, FALSE)="",":",VLOOKUP($E$135,[1]UC!$A$2:$FA$48, 9, FALSE))</f>
        <v>1.52</v>
      </c>
      <c r="K135" s="544">
        <f>IF(VLOOKUP($E$135,[1]UC!$A$2:$FA$48, 10, FALSE)="",":",VLOOKUP($E$135,[1]UC!$A$2:$FA$48, 10, FALSE))</f>
        <v>1.73</v>
      </c>
      <c r="L135" s="544">
        <f>IF(VLOOKUP($E$135,[1]UC!$A$2:$FA$48, 11, FALSE)="",":",VLOOKUP($E$135,[1]UC!$A$2:$FA$48, 11, FALSE))</f>
        <v>1.35</v>
      </c>
      <c r="M135" s="544">
        <f>IF(VLOOKUP($E$135,[1]UC!$A$2:$FA$48, 12, FALSE)="",":",VLOOKUP($E$135,[1]UC!$A$2:$FA$48, 12, FALSE))</f>
        <v>1.07</v>
      </c>
      <c r="N135" s="544">
        <f>IF(VLOOKUP($E$135,[1]UC!$A$2:$FA$48, 13, FALSE)="",":",VLOOKUP($E$135,[1]UC!$A$2:$FA$48, 13, FALSE))</f>
        <v>-0.54</v>
      </c>
      <c r="O135" s="544">
        <f>IF(VLOOKUP($E$135,[1]UC!$A$2:$FA$48, 14, FALSE)="",":",VLOOKUP($E$135,[1]UC!$A$2:$FA$48, 14, FALSE))</f>
        <v>1.53</v>
      </c>
      <c r="P135" s="544">
        <f>IF(VLOOKUP($E$135,[1]UC!$A$2:$FA$48, 15, FALSE)="",":",VLOOKUP($E$135,[1]UC!$A$2:$FA$48, 15, FALSE))</f>
        <v>2.12</v>
      </c>
      <c r="Q135" s="544">
        <f>IF(VLOOKUP($E$135,[1]UC!$A$2:$FA$48, 16, FALSE)="",":",VLOOKUP($E$135,[1]UC!$A$2:$FA$48, 16, FALSE))</f>
        <v>3.12</v>
      </c>
      <c r="R135" s="544">
        <f>IF(VLOOKUP($E$135,[1]UC!$A$2:$FA$48, 17, FALSE)="",":",VLOOKUP($E$135,[1]UC!$A$2:$FA$48, 17, FALSE))</f>
        <v>5.34</v>
      </c>
      <c r="S135" s="544">
        <f>IF(VLOOKUP($E$135,[1]UC!$A$2:$FA$48, 18, FALSE)="",":",VLOOKUP($E$135,[1]UC!$A$2:$FA$48, 18, FALSE))</f>
        <v>8.5</v>
      </c>
      <c r="T135" s="544">
        <f>IF(VLOOKUP($E$135,[1]UC!$A$2:$FA$48, 19, FALSE)="",":",VLOOKUP($E$135,[1]UC!$A$2:$FA$48, 19, FALSE))</f>
        <v>9.91</v>
      </c>
      <c r="U135" s="544">
        <f>IF(VLOOKUP($E$135,[1]UC!$A$2:$FA$48, 20, FALSE)="",":",VLOOKUP($E$135,[1]UC!$A$2:$FA$48, 20, FALSE))</f>
        <v>7.54</v>
      </c>
      <c r="V135" s="544">
        <f>IF(VLOOKUP($E$135,[1]UC!$A$2:$FA$48, 21, FALSE)="",":",VLOOKUP($E$135,[1]UC!$A$2:$FA$48, 21, FALSE))</f>
        <v>7.53</v>
      </c>
      <c r="W135" s="544">
        <f>IF(VLOOKUP($E$135,[1]UC!$A$2:$FA$48, 22, FALSE)="",":",VLOOKUP($E$135,[1]UC!$A$2:$FA$48, 22, FALSE))</f>
        <v>10.39</v>
      </c>
      <c r="X135" s="544">
        <f>IF(VLOOKUP($E$135,[1]UC!$A$2:$FA$48, 23, FALSE)="",":",VLOOKUP($E$135,[1]UC!$A$2:$FA$48, 23, FALSE))</f>
        <v>6.69</v>
      </c>
      <c r="Y135" s="544">
        <f>IF(VLOOKUP($E$135,[1]UC!$A$2:$FA$48, 24, FALSE)="",":",VLOOKUP($E$135,[1]UC!$A$2:$FA$48, 24, FALSE))</f>
        <v>8.9600000000000009</v>
      </c>
      <c r="Z135" s="544">
        <f>IF(VLOOKUP($E$135,[1]UC!$A$2:$FA$48, 25, FALSE)="",":",VLOOKUP($E$135,[1]UC!$A$2:$FA$48, 25, FALSE))</f>
        <v>7.21</v>
      </c>
      <c r="AA135" s="544">
        <f>IF(VLOOKUP($E$135,[1]UC!$A$2:$FA$48, 26, FALSE)="",":",VLOOKUP($E$135,[1]UC!$A$2:$FA$48, 26, FALSE))</f>
        <v>9.02</v>
      </c>
      <c r="AB135" s="544">
        <f>IF(VLOOKUP($E$135,[1]UC!$A$2:$FA$48, 27, FALSE)="",":",VLOOKUP($E$135,[1]UC!$A$2:$FA$48, 27, FALSE))</f>
        <v>8.3699999999999992</v>
      </c>
      <c r="AC135" s="544" t="str">
        <f>IF(VLOOKUP($E$135,[1]UC!$A$2:$FA$48, 28, FALSE)="",":",VLOOKUP($E$135,[1]UC!$A$2:$FA$48, 28, FALSE))</f>
        <v>:</v>
      </c>
      <c r="AD135" s="544" t="str">
        <f>IF(VLOOKUP($E$135,[1]UC!$A$2:$FA$48, 29, FALSE)="",":",VLOOKUP($E$135,[1]UC!$A$2:$FA$48, 29, FALSE))</f>
        <v>:</v>
      </c>
      <c r="AE135" s="544" t="str">
        <f>IF(VLOOKUP($E$135,[1]UC!$A$2:$FA$48, 30, FALSE)="",":",VLOOKUP($E$135,[1]UC!$A$2:$FA$48, 30, FALSE))</f>
        <v>:</v>
      </c>
      <c r="AF135" s="544" t="str">
        <f>IF(VLOOKUP($E$135,[1]UC!$A$2:$FA$48, 31, FALSE)="",":",VLOOKUP($E$135,[1]UC!$A$2:$FA$48, 31, FALSE))</f>
        <v>:</v>
      </c>
    </row>
    <row r="136" spans="1:32" s="540" customFormat="1">
      <c r="A136" s="536"/>
      <c r="B136" s="537" t="s">
        <v>382</v>
      </c>
      <c r="C136" s="538" t="s">
        <v>476</v>
      </c>
      <c r="D136" s="528"/>
      <c r="E136" s="529"/>
      <c r="F136" s="539"/>
      <c r="G136" s="545">
        <f>+G134+G135</f>
        <v>161.75</v>
      </c>
      <c r="H136" s="545">
        <f t="shared" ref="H136:AF136" si="5">+H134+H135</f>
        <v>41.34</v>
      </c>
      <c r="I136" s="545">
        <f t="shared" si="5"/>
        <v>198.95000000000002</v>
      </c>
      <c r="J136" s="545">
        <f t="shared" si="5"/>
        <v>31.11</v>
      </c>
      <c r="K136" s="545">
        <f t="shared" si="5"/>
        <v>-40.870000000000005</v>
      </c>
      <c r="L136" s="545">
        <f t="shared" si="5"/>
        <v>-49.22</v>
      </c>
      <c r="M136" s="545">
        <f t="shared" si="5"/>
        <v>-110.35000000000001</v>
      </c>
      <c r="N136" s="545">
        <f t="shared" si="5"/>
        <v>-20.18</v>
      </c>
      <c r="O136" s="545">
        <f t="shared" si="5"/>
        <v>32.25</v>
      </c>
      <c r="P136" s="545">
        <f t="shared" si="5"/>
        <v>-61.49</v>
      </c>
      <c r="Q136" s="545">
        <f t="shared" si="5"/>
        <v>170.57</v>
      </c>
      <c r="R136" s="545">
        <f t="shared" si="5"/>
        <v>165.47</v>
      </c>
      <c r="S136" s="545">
        <f t="shared" si="5"/>
        <v>959.19</v>
      </c>
      <c r="T136" s="545">
        <f t="shared" si="5"/>
        <v>434.86</v>
      </c>
      <c r="U136" s="545">
        <f t="shared" si="5"/>
        <v>-1429.68</v>
      </c>
      <c r="V136" s="545">
        <f t="shared" si="5"/>
        <v>342.22999999999996</v>
      </c>
      <c r="W136" s="545">
        <f t="shared" si="5"/>
        <v>941.25</v>
      </c>
      <c r="X136" s="545">
        <f t="shared" si="5"/>
        <v>578.15000000000009</v>
      </c>
      <c r="Y136" s="545">
        <f t="shared" si="5"/>
        <v>235.89000000000001</v>
      </c>
      <c r="Z136" s="545">
        <f t="shared" si="5"/>
        <v>27.55</v>
      </c>
      <c r="AA136" s="545">
        <f t="shared" si="5"/>
        <v>301.41999999999996</v>
      </c>
      <c r="AB136" s="545">
        <f t="shared" si="5"/>
        <v>-680.82</v>
      </c>
      <c r="AC136" s="545" t="e">
        <f t="shared" si="5"/>
        <v>#VALUE!</v>
      </c>
      <c r="AD136" s="545" t="e">
        <f t="shared" si="5"/>
        <v>#VALUE!</v>
      </c>
      <c r="AE136" s="545" t="e">
        <f t="shared" si="5"/>
        <v>#VALUE!</v>
      </c>
      <c r="AF136" s="545" t="e">
        <f t="shared" si="5"/>
        <v>#VALUE!</v>
      </c>
    </row>
    <row r="137" spans="1:32">
      <c r="A137" s="533"/>
      <c r="B137" s="534"/>
      <c r="C137" s="535"/>
      <c r="D137" s="12"/>
      <c r="E137" s="13"/>
      <c r="F137" s="14"/>
      <c r="G137" s="544"/>
      <c r="H137" s="544"/>
      <c r="I137" s="544"/>
      <c r="J137" s="544"/>
      <c r="K137" s="544"/>
      <c r="L137" s="544"/>
      <c r="M137" s="544"/>
      <c r="N137" s="544"/>
      <c r="O137" s="544"/>
      <c r="P137" s="544"/>
      <c r="Q137" s="544"/>
      <c r="R137" s="544"/>
      <c r="S137" s="544"/>
      <c r="T137" s="544"/>
      <c r="U137" s="544"/>
      <c r="V137" s="544"/>
      <c r="W137" s="544"/>
      <c r="X137" s="544"/>
      <c r="Y137" s="544"/>
      <c r="Z137" s="544"/>
      <c r="AA137" s="544"/>
      <c r="AB137" s="544"/>
      <c r="AC137" s="544"/>
      <c r="AD137" s="544"/>
      <c r="AE137" s="544"/>
      <c r="AF137" s="544"/>
    </row>
    <row r="138" spans="1:32">
      <c r="A138" s="533"/>
      <c r="B138" s="534"/>
      <c r="C138" s="535" t="s">
        <v>771</v>
      </c>
      <c r="D138" s="12" t="s">
        <v>1214</v>
      </c>
      <c r="E138" s="13">
        <v>2</v>
      </c>
      <c r="F138" s="14" t="str">
        <f>VLOOKUP($E$138,[1]UG!$A$2:$FA$69, 3, FALSE)</f>
        <v>2 Market output  and output for own use P.11+P.12</v>
      </c>
      <c r="G138" s="544">
        <f>IF(VLOOKUP($E$138,[1]UG!$A$2:$FA$69, 6, FALSE)="",":",VLOOKUP($E$138,[1]UG!$A$2:$FA$69, 6, FALSE))</f>
        <v>0</v>
      </c>
      <c r="H138" s="544">
        <f>IF(VLOOKUP($E$138,[1]UG!$A$2:$FA$69, 7, FALSE)="",":",VLOOKUP($E$138,[1]UG!$A$2:$FA$69, 7, FALSE))</f>
        <v>0</v>
      </c>
      <c r="I138" s="544">
        <f>IF(VLOOKUP($E$138,[1]UG!$A$2:$FA$69, 8, FALSE)="",":",VLOOKUP($E$138,[1]UG!$A$2:$FA$69, 8, FALSE))</f>
        <v>0</v>
      </c>
      <c r="J138" s="544">
        <f>IF(VLOOKUP($E$138,[1]UG!$A$2:$FA$69, 9, FALSE)="",":",VLOOKUP($E$138,[1]UG!$A$2:$FA$69, 9, FALSE))</f>
        <v>0</v>
      </c>
      <c r="K138" s="544">
        <f>IF(VLOOKUP($E$138,[1]UG!$A$2:$FA$69, 10, FALSE)="",":",VLOOKUP($E$138,[1]UG!$A$2:$FA$69, 10, FALSE))</f>
        <v>0</v>
      </c>
      <c r="L138" s="544">
        <f>IF(VLOOKUP($E$138,[1]UG!$A$2:$FA$69, 11, FALSE)="",":",VLOOKUP($E$138,[1]UG!$A$2:$FA$69, 11, FALSE))</f>
        <v>5.77</v>
      </c>
      <c r="M138" s="544">
        <f>IF(VLOOKUP($E$138,[1]UG!$A$2:$FA$69, 12, FALSE)="",":",VLOOKUP($E$138,[1]UG!$A$2:$FA$69, 12, FALSE))</f>
        <v>9.23</v>
      </c>
      <c r="N138" s="544">
        <f>IF(VLOOKUP($E$138,[1]UG!$A$2:$FA$69, 13, FALSE)="",":",VLOOKUP($E$138,[1]UG!$A$2:$FA$69, 13, FALSE))</f>
        <v>8.93</v>
      </c>
      <c r="O138" s="544">
        <f>IF(VLOOKUP($E$138,[1]UG!$A$2:$FA$69, 14, FALSE)="",":",VLOOKUP($E$138,[1]UG!$A$2:$FA$69, 14, FALSE))</f>
        <v>9.7899999999999991</v>
      </c>
      <c r="P138" s="544">
        <f>IF(VLOOKUP($E$138,[1]UG!$A$2:$FA$69, 15, FALSE)="",":",VLOOKUP($E$138,[1]UG!$A$2:$FA$69, 15, FALSE))</f>
        <v>16.09</v>
      </c>
      <c r="Q138" s="544">
        <f>IF(VLOOKUP($E$138,[1]UG!$A$2:$FA$69, 16, FALSE)="",":",VLOOKUP($E$138,[1]UG!$A$2:$FA$69, 16, FALSE))</f>
        <v>19.27</v>
      </c>
      <c r="R138" s="544">
        <f>IF(VLOOKUP($E$138,[1]UG!$A$2:$FA$69, 17, FALSE)="",":",VLOOKUP($E$138,[1]UG!$A$2:$FA$69, 17, FALSE))</f>
        <v>22.15</v>
      </c>
      <c r="S138" s="544">
        <f>IF(VLOOKUP($E$138,[1]UG!$A$2:$FA$69, 18, FALSE)="",":",VLOOKUP($E$138,[1]UG!$A$2:$FA$69, 18, FALSE))</f>
        <v>85.01</v>
      </c>
      <c r="T138" s="544">
        <f>IF(VLOOKUP($E$138,[1]UG!$A$2:$FA$69, 19, FALSE)="",":",VLOOKUP($E$138,[1]UG!$A$2:$FA$69, 19, FALSE))</f>
        <v>107.72</v>
      </c>
      <c r="U138" s="544">
        <f>IF(VLOOKUP($E$138,[1]UG!$A$2:$FA$69, 20, FALSE)="",":",VLOOKUP($E$138,[1]UG!$A$2:$FA$69, 20, FALSE))</f>
        <v>104.13</v>
      </c>
      <c r="V138" s="544">
        <f>IF(VLOOKUP($E$138,[1]UG!$A$2:$FA$69, 21, FALSE)="",":",VLOOKUP($E$138,[1]UG!$A$2:$FA$69, 21, FALSE))</f>
        <v>108.68</v>
      </c>
      <c r="W138" s="544">
        <f>IF(VLOOKUP($E$138,[1]UG!$A$2:$FA$69, 22, FALSE)="",":",VLOOKUP($E$138,[1]UG!$A$2:$FA$69, 22, FALSE))</f>
        <v>114.14</v>
      </c>
      <c r="X138" s="544">
        <f>IF(VLOOKUP($E$138,[1]UG!$A$2:$FA$69, 23, FALSE)="",":",VLOOKUP($E$138,[1]UG!$A$2:$FA$69, 23, FALSE))</f>
        <v>102.71</v>
      </c>
      <c r="Y138" s="544">
        <f>IF(VLOOKUP($E$138,[1]UG!$A$2:$FA$69, 24, FALSE)="",":",VLOOKUP($E$138,[1]UG!$A$2:$FA$69, 24, FALSE))</f>
        <v>105.32</v>
      </c>
      <c r="Z138" s="544">
        <f>IF(VLOOKUP($E$138,[1]UG!$A$2:$FA$69, 25, FALSE)="",":",VLOOKUP($E$138,[1]UG!$A$2:$FA$69, 25, FALSE))</f>
        <v>121.3</v>
      </c>
      <c r="AA138" s="544">
        <f>IF(VLOOKUP($E$138,[1]UG!$A$2:$FA$69, 26, FALSE)="",":",VLOOKUP($E$138,[1]UG!$A$2:$FA$69, 26, FALSE))</f>
        <v>119.08</v>
      </c>
      <c r="AB138" s="544">
        <f>IF(VLOOKUP($E$138,[1]UG!$A$2:$FA$69, 27, FALSE)="",":",VLOOKUP($E$138,[1]UG!$A$2:$FA$69, 27, FALSE))</f>
        <v>121.23</v>
      </c>
      <c r="AC138" s="544" t="str">
        <f>IF(VLOOKUP($E$138,[1]UG!$A$2:$FA$69, 28, FALSE)="",":",VLOOKUP($E$138,[1]UG!$A$2:$FA$69, 28, FALSE))</f>
        <v>:</v>
      </c>
      <c r="AD138" s="544" t="str">
        <f>IF(VLOOKUP($E$138,[1]UG!$A$2:$FA$69, 29, FALSE)="",":",VLOOKUP($E$138,[1]UG!$A$2:$FA$69, 29, FALSE))</f>
        <v>:</v>
      </c>
      <c r="AE138" s="544" t="str">
        <f>IF(VLOOKUP($E$138,[1]UG!$A$2:$FA$69, 30, FALSE)="",":",VLOOKUP($E$138,[1]UG!$A$2:$FA$69, 30, FALSE))</f>
        <v>:</v>
      </c>
      <c r="AF138" s="544" t="str">
        <f>IF(VLOOKUP($E$138,[1]UG!$A$2:$FA$69, 31, FALSE)="",":",VLOOKUP($E$138,[1]UG!$A$2:$FA$69, 31, FALSE))</f>
        <v>:</v>
      </c>
    </row>
    <row r="139" spans="1:32">
      <c r="A139" s="533"/>
      <c r="B139" s="534"/>
      <c r="C139" s="535" t="s">
        <v>772</v>
      </c>
      <c r="D139" s="12" t="s">
        <v>1214</v>
      </c>
      <c r="E139" s="13">
        <v>4</v>
      </c>
      <c r="F139" s="14" t="str">
        <f>VLOOKUP($E$139,[1]UG!$A$2:$FA$69, 3, FALSE)</f>
        <v>4 Payments for other non-market output P.131</v>
      </c>
      <c r="G139" s="544">
        <f>IF(VLOOKUP($E$139,[1]UG!$A$2:$FA$69, 6, FALSE)="",":",VLOOKUP($E$139,[1]UG!$A$2:$FA$69, 6, FALSE))</f>
        <v>66.88</v>
      </c>
      <c r="H139" s="544">
        <f>IF(VLOOKUP($E$139,[1]UG!$A$2:$FA$69, 7, FALSE)="",":",VLOOKUP($E$139,[1]UG!$A$2:$FA$69, 7, FALSE))</f>
        <v>85.26</v>
      </c>
      <c r="I139" s="544">
        <f>IF(VLOOKUP($E$139,[1]UG!$A$2:$FA$69, 8, FALSE)="",":",VLOOKUP($E$139,[1]UG!$A$2:$FA$69, 8, FALSE))</f>
        <v>172.76</v>
      </c>
      <c r="J139" s="544">
        <f>IF(VLOOKUP($E$139,[1]UG!$A$2:$FA$69, 9, FALSE)="",":",VLOOKUP($E$139,[1]UG!$A$2:$FA$69, 9, FALSE))</f>
        <v>170.68</v>
      </c>
      <c r="K139" s="544">
        <f>IF(VLOOKUP($E$139,[1]UG!$A$2:$FA$69, 10, FALSE)="",":",VLOOKUP($E$139,[1]UG!$A$2:$FA$69, 10, FALSE))</f>
        <v>246.78</v>
      </c>
      <c r="L139" s="544">
        <f>IF(VLOOKUP($E$139,[1]UG!$A$2:$FA$69, 11, FALSE)="",":",VLOOKUP($E$139,[1]UG!$A$2:$FA$69, 11, FALSE))</f>
        <v>220.75</v>
      </c>
      <c r="M139" s="544">
        <f>IF(VLOOKUP($E$139,[1]UG!$A$2:$FA$69, 12, FALSE)="",":",VLOOKUP($E$139,[1]UG!$A$2:$FA$69, 12, FALSE))</f>
        <v>132.47</v>
      </c>
      <c r="N139" s="544">
        <f>IF(VLOOKUP($E$139,[1]UG!$A$2:$FA$69, 13, FALSE)="",":",VLOOKUP($E$139,[1]UG!$A$2:$FA$69, 13, FALSE))</f>
        <v>203.16</v>
      </c>
      <c r="O139" s="544">
        <f>IF(VLOOKUP($E$139,[1]UG!$A$2:$FA$69, 14, FALSE)="",":",VLOOKUP($E$139,[1]UG!$A$2:$FA$69, 14, FALSE))</f>
        <v>227.53</v>
      </c>
      <c r="P139" s="544">
        <f>IF(VLOOKUP($E$139,[1]UG!$A$2:$FA$69, 15, FALSE)="",":",VLOOKUP($E$139,[1]UG!$A$2:$FA$69, 15, FALSE))</f>
        <v>245.49</v>
      </c>
      <c r="Q139" s="544">
        <f>IF(VLOOKUP($E$139,[1]UG!$A$2:$FA$69, 16, FALSE)="",":",VLOOKUP($E$139,[1]UG!$A$2:$FA$69, 16, FALSE))</f>
        <v>344.26</v>
      </c>
      <c r="R139" s="544">
        <f>IF(VLOOKUP($E$139,[1]UG!$A$2:$FA$69, 17, FALSE)="",":",VLOOKUP($E$139,[1]UG!$A$2:$FA$69, 17, FALSE))</f>
        <v>295.45999999999998</v>
      </c>
      <c r="S139" s="544">
        <f>IF(VLOOKUP($E$139,[1]UG!$A$2:$FA$69, 18, FALSE)="",":",VLOOKUP($E$139,[1]UG!$A$2:$FA$69, 18, FALSE))</f>
        <v>336.68</v>
      </c>
      <c r="T139" s="544">
        <f>IF(VLOOKUP($E$139,[1]UG!$A$2:$FA$69, 19, FALSE)="",":",VLOOKUP($E$139,[1]UG!$A$2:$FA$69, 19, FALSE))</f>
        <v>473.64</v>
      </c>
      <c r="U139" s="544">
        <f>IF(VLOOKUP($E$139,[1]UG!$A$2:$FA$69, 20, FALSE)="",":",VLOOKUP($E$139,[1]UG!$A$2:$FA$69, 20, FALSE))</f>
        <v>466.36</v>
      </c>
      <c r="V139" s="544">
        <f>IF(VLOOKUP($E$139,[1]UG!$A$2:$FA$69, 21, FALSE)="",":",VLOOKUP($E$139,[1]UG!$A$2:$FA$69, 21, FALSE))</f>
        <v>499.49</v>
      </c>
      <c r="W139" s="544">
        <f>IF(VLOOKUP($E$139,[1]UG!$A$2:$FA$69, 22, FALSE)="",":",VLOOKUP($E$139,[1]UG!$A$2:$FA$69, 22, FALSE))</f>
        <v>441.94</v>
      </c>
      <c r="X139" s="544">
        <f>IF(VLOOKUP($E$139,[1]UG!$A$2:$FA$69, 23, FALSE)="",":",VLOOKUP($E$139,[1]UG!$A$2:$FA$69, 23, FALSE))</f>
        <v>515</v>
      </c>
      <c r="Y139" s="544">
        <f>IF(VLOOKUP($E$139,[1]UG!$A$2:$FA$69, 24, FALSE)="",":",VLOOKUP($E$139,[1]UG!$A$2:$FA$69, 24, FALSE))</f>
        <v>604.16</v>
      </c>
      <c r="Z139" s="544">
        <f>IF(VLOOKUP($E$139,[1]UG!$A$2:$FA$69, 25, FALSE)="",":",VLOOKUP($E$139,[1]UG!$A$2:$FA$69, 25, FALSE))</f>
        <v>639</v>
      </c>
      <c r="AA139" s="544">
        <f>IF(VLOOKUP($E$139,[1]UG!$A$2:$FA$69, 26, FALSE)="",":",VLOOKUP($E$139,[1]UG!$A$2:$FA$69, 26, FALSE))</f>
        <v>649.54</v>
      </c>
      <c r="AB139" s="544">
        <f>IF(VLOOKUP($E$139,[1]UG!$A$2:$FA$69, 27, FALSE)="",":",VLOOKUP($E$139,[1]UG!$A$2:$FA$69, 27, FALSE))</f>
        <v>679.05</v>
      </c>
      <c r="AC139" s="544" t="str">
        <f>IF(VLOOKUP($E$139,[1]UG!$A$2:$FA$69, 28, FALSE)="",":",VLOOKUP($E$139,[1]UG!$A$2:$FA$69, 28, FALSE))</f>
        <v>:</v>
      </c>
      <c r="AD139" s="544" t="str">
        <f>IF(VLOOKUP($E$139,[1]UG!$A$2:$FA$69, 29, FALSE)="",":",VLOOKUP($E$139,[1]UG!$A$2:$FA$69, 29, FALSE))</f>
        <v>:</v>
      </c>
      <c r="AE139" s="544" t="str">
        <f>IF(VLOOKUP($E$139,[1]UG!$A$2:$FA$69, 30, FALSE)="",":",VLOOKUP($E$139,[1]UG!$A$2:$FA$69, 30, FALSE))</f>
        <v>:</v>
      </c>
      <c r="AF139" s="544" t="str">
        <f>IF(VLOOKUP($E$139,[1]UG!$A$2:$FA$69, 31, FALSE)="",":",VLOOKUP($E$139,[1]UG!$A$2:$FA$69, 31, FALSE))</f>
        <v>:</v>
      </c>
    </row>
    <row r="140" spans="1:32" s="540" customFormat="1">
      <c r="A140" s="536"/>
      <c r="B140" s="537"/>
      <c r="C140" s="538" t="s">
        <v>773</v>
      </c>
      <c r="D140" s="528"/>
      <c r="E140" s="529"/>
      <c r="F140" s="539"/>
      <c r="G140" s="545">
        <f>+G138+G139</f>
        <v>66.88</v>
      </c>
      <c r="H140" s="545">
        <f t="shared" ref="H140:AF140" si="6">+H138+H139</f>
        <v>85.26</v>
      </c>
      <c r="I140" s="545">
        <f t="shared" si="6"/>
        <v>172.76</v>
      </c>
      <c r="J140" s="545">
        <f t="shared" si="6"/>
        <v>170.68</v>
      </c>
      <c r="K140" s="545">
        <f t="shared" si="6"/>
        <v>246.78</v>
      </c>
      <c r="L140" s="545">
        <f t="shared" si="6"/>
        <v>226.52</v>
      </c>
      <c r="M140" s="545">
        <f t="shared" si="6"/>
        <v>141.69999999999999</v>
      </c>
      <c r="N140" s="545">
        <f t="shared" si="6"/>
        <v>212.09</v>
      </c>
      <c r="O140" s="545">
        <f t="shared" si="6"/>
        <v>237.32</v>
      </c>
      <c r="P140" s="545">
        <f t="shared" si="6"/>
        <v>261.58</v>
      </c>
      <c r="Q140" s="545">
        <f t="shared" si="6"/>
        <v>363.53</v>
      </c>
      <c r="R140" s="545">
        <f t="shared" si="6"/>
        <v>317.60999999999996</v>
      </c>
      <c r="S140" s="545">
        <f t="shared" si="6"/>
        <v>421.69</v>
      </c>
      <c r="T140" s="545">
        <f t="shared" si="6"/>
        <v>581.36</v>
      </c>
      <c r="U140" s="545">
        <f t="shared" si="6"/>
        <v>570.49</v>
      </c>
      <c r="V140" s="545">
        <f t="shared" si="6"/>
        <v>608.17000000000007</v>
      </c>
      <c r="W140" s="545">
        <f t="shared" si="6"/>
        <v>556.08000000000004</v>
      </c>
      <c r="X140" s="545">
        <f t="shared" si="6"/>
        <v>617.71</v>
      </c>
      <c r="Y140" s="545">
        <f t="shared" si="6"/>
        <v>709.48</v>
      </c>
      <c r="Z140" s="545">
        <f t="shared" si="6"/>
        <v>760.3</v>
      </c>
      <c r="AA140" s="545">
        <f t="shared" si="6"/>
        <v>768.62</v>
      </c>
      <c r="AB140" s="545">
        <f t="shared" si="6"/>
        <v>800.28</v>
      </c>
      <c r="AC140" s="545" t="e">
        <f t="shared" si="6"/>
        <v>#VALUE!</v>
      </c>
      <c r="AD140" s="545" t="e">
        <f t="shared" si="6"/>
        <v>#VALUE!</v>
      </c>
      <c r="AE140" s="545" t="e">
        <f t="shared" si="6"/>
        <v>#VALUE!</v>
      </c>
      <c r="AF140" s="545" t="e">
        <f t="shared" si="6"/>
        <v>#VALUE!</v>
      </c>
    </row>
    <row r="141" spans="1:32">
      <c r="A141" s="533"/>
      <c r="B141" s="534"/>
      <c r="C141" s="535"/>
      <c r="D141" s="12"/>
      <c r="E141" s="13"/>
      <c r="F141" s="14"/>
      <c r="G141" s="544"/>
      <c r="H141" s="544"/>
      <c r="I141" s="544"/>
      <c r="J141" s="544"/>
      <c r="K141" s="544"/>
      <c r="L141" s="544"/>
      <c r="M141" s="544"/>
      <c r="N141" s="544"/>
      <c r="O141" s="544"/>
      <c r="P141" s="544"/>
      <c r="Q141" s="544"/>
      <c r="R141" s="544"/>
      <c r="S141" s="544"/>
      <c r="T141" s="544"/>
      <c r="U141" s="544"/>
      <c r="V141" s="544"/>
      <c r="W141" s="544"/>
      <c r="X141" s="544"/>
      <c r="Y141" s="544"/>
      <c r="Z141" s="544"/>
      <c r="AA141" s="544"/>
      <c r="AB141" s="544"/>
      <c r="AC141" s="544"/>
      <c r="AD141" s="544"/>
      <c r="AE141" s="544"/>
      <c r="AF141" s="544"/>
    </row>
    <row r="142" spans="1:32">
      <c r="A142" s="533">
        <v>145</v>
      </c>
      <c r="B142" s="534"/>
      <c r="C142" s="535" t="s">
        <v>1627</v>
      </c>
      <c r="D142" s="12" t="s">
        <v>1214</v>
      </c>
      <c r="E142" s="13">
        <v>7</v>
      </c>
      <c r="F142" s="14" t="str">
        <f>VLOOKUP($E$142,[1]UG!$A$2:$FA$69, 3, FALSE)</f>
        <v>7 Intermediate consumption P.2</v>
      </c>
      <c r="G142" s="544">
        <f>IF(VLOOKUP($E$142,[1]UG!$A$2:$FA$69, 6, FALSE)="",":",VLOOKUP($E$142,[1]UG!$A$2:$FA$69, 6, FALSE))</f>
        <v>704.91</v>
      </c>
      <c r="H142" s="544">
        <f>IF(VLOOKUP($E$142,[1]UG!$A$2:$FA$69, 7, FALSE)="",":",VLOOKUP($E$142,[1]UG!$A$2:$FA$69, 7, FALSE))</f>
        <v>837.32</v>
      </c>
      <c r="I142" s="544">
        <f>IF(VLOOKUP($E$142,[1]UG!$A$2:$FA$69, 8, FALSE)="",":",VLOOKUP($E$142,[1]UG!$A$2:$FA$69, 8, FALSE))</f>
        <v>1130.32</v>
      </c>
      <c r="J142" s="544">
        <f>IF(VLOOKUP($E$142,[1]UG!$A$2:$FA$69, 9, FALSE)="",":",VLOOKUP($E$142,[1]UG!$A$2:$FA$69, 9, FALSE))</f>
        <v>1208.6300000000001</v>
      </c>
      <c r="K142" s="544">
        <f>IF(VLOOKUP($E$142,[1]UG!$A$2:$FA$69, 10, FALSE)="",":",VLOOKUP($E$142,[1]UG!$A$2:$FA$69, 10, FALSE))</f>
        <v>883.62</v>
      </c>
      <c r="L142" s="544">
        <f>IF(VLOOKUP($E$142,[1]UG!$A$2:$FA$69, 11, FALSE)="",":",VLOOKUP($E$142,[1]UG!$A$2:$FA$69, 11, FALSE))</f>
        <v>970.5</v>
      </c>
      <c r="M142" s="544">
        <f>IF(VLOOKUP($E$142,[1]UG!$A$2:$FA$69, 12, FALSE)="",":",VLOOKUP($E$142,[1]UG!$A$2:$FA$69, 12, FALSE))</f>
        <v>856.73</v>
      </c>
      <c r="N142" s="544">
        <f>IF(VLOOKUP($E$142,[1]UG!$A$2:$FA$69, 13, FALSE)="",":",VLOOKUP($E$142,[1]UG!$A$2:$FA$69, 13, FALSE))</f>
        <v>953.12</v>
      </c>
      <c r="O142" s="544">
        <f>IF(VLOOKUP($E$142,[1]UG!$A$2:$FA$69, 14, FALSE)="",":",VLOOKUP($E$142,[1]UG!$A$2:$FA$69, 14, FALSE))</f>
        <v>987.18</v>
      </c>
      <c r="P142" s="544">
        <f>IF(VLOOKUP($E$142,[1]UG!$A$2:$FA$69, 15, FALSE)="",":",VLOOKUP($E$142,[1]UG!$A$2:$FA$69, 15, FALSE))</f>
        <v>1018.08</v>
      </c>
      <c r="Q142" s="544">
        <f>IF(VLOOKUP($E$142,[1]UG!$A$2:$FA$69, 16, FALSE)="",":",VLOOKUP($E$142,[1]UG!$A$2:$FA$69, 16, FALSE))</f>
        <v>1166.45</v>
      </c>
      <c r="R142" s="544">
        <f>IF(VLOOKUP($E$142,[1]UG!$A$2:$FA$69, 17, FALSE)="",":",VLOOKUP($E$142,[1]UG!$A$2:$FA$69, 17, FALSE))</f>
        <v>1399.47</v>
      </c>
      <c r="S142" s="544">
        <f>IF(VLOOKUP($E$142,[1]UG!$A$2:$FA$69, 18, FALSE)="",":",VLOOKUP($E$142,[1]UG!$A$2:$FA$69, 18, FALSE))</f>
        <v>1484.01</v>
      </c>
      <c r="T142" s="544">
        <f>IF(VLOOKUP($E$142,[1]UG!$A$2:$FA$69, 19, FALSE)="",":",VLOOKUP($E$142,[1]UG!$A$2:$FA$69, 19, FALSE))</f>
        <v>1819.99</v>
      </c>
      <c r="U142" s="544">
        <f>IF(VLOOKUP($E$142,[1]UG!$A$2:$FA$69, 20, FALSE)="",":",VLOOKUP($E$142,[1]UG!$A$2:$FA$69, 20, FALSE))</f>
        <v>1523.19</v>
      </c>
      <c r="V142" s="544">
        <f>IF(VLOOKUP($E$142,[1]UG!$A$2:$FA$69, 21, FALSE)="",":",VLOOKUP($E$142,[1]UG!$A$2:$FA$69, 21, FALSE))</f>
        <v>1758.29</v>
      </c>
      <c r="W142" s="544">
        <f>IF(VLOOKUP($E$142,[1]UG!$A$2:$FA$69, 22, FALSE)="",":",VLOOKUP($E$142,[1]UG!$A$2:$FA$69, 22, FALSE))</f>
        <v>1584.67</v>
      </c>
      <c r="X142" s="544">
        <f>IF(VLOOKUP($E$142,[1]UG!$A$2:$FA$69, 23, FALSE)="",":",VLOOKUP($E$142,[1]UG!$A$2:$FA$69, 23, FALSE))</f>
        <v>1641.54</v>
      </c>
      <c r="Y142" s="544">
        <f>IF(VLOOKUP($E$142,[1]UG!$A$2:$FA$69, 24, FALSE)="",":",VLOOKUP($E$142,[1]UG!$A$2:$FA$69, 24, FALSE))</f>
        <v>1619.77</v>
      </c>
      <c r="Z142" s="544">
        <f>IF(VLOOKUP($E$142,[1]UG!$A$2:$FA$69, 25, FALSE)="",":",VLOOKUP($E$142,[1]UG!$A$2:$FA$69, 25, FALSE))</f>
        <v>1709.62</v>
      </c>
      <c r="AA142" s="544">
        <f>IF(VLOOKUP($E$142,[1]UG!$A$2:$FA$69, 26, FALSE)="",":",VLOOKUP($E$142,[1]UG!$A$2:$FA$69, 26, FALSE))</f>
        <v>1867.69</v>
      </c>
      <c r="AB142" s="544">
        <f>IF(VLOOKUP($E$142,[1]UG!$A$2:$FA$69, 27, FALSE)="",":",VLOOKUP($E$142,[1]UG!$A$2:$FA$69, 27, FALSE))</f>
        <v>1846.43</v>
      </c>
      <c r="AC142" s="544" t="str">
        <f>IF(VLOOKUP($E$142,[1]UG!$A$2:$FA$69, 28, FALSE)="",":",VLOOKUP($E$142,[1]UG!$A$2:$FA$69, 28, FALSE))</f>
        <v>:</v>
      </c>
      <c r="AD142" s="544" t="str">
        <f>IF(VLOOKUP($E$142,[1]UG!$A$2:$FA$69, 29, FALSE)="",":",VLOOKUP($E$142,[1]UG!$A$2:$FA$69, 29, FALSE))</f>
        <v>:</v>
      </c>
      <c r="AE142" s="544" t="str">
        <f>IF(VLOOKUP($E$142,[1]UG!$A$2:$FA$69, 30, FALSE)="",":",VLOOKUP($E$142,[1]UG!$A$2:$FA$69, 30, FALSE))</f>
        <v>:</v>
      </c>
      <c r="AF142" s="544" t="str">
        <f>IF(VLOOKUP($E$142,[1]UG!$A$2:$FA$69, 31, FALSE)="",":",VLOOKUP($E$142,[1]UG!$A$2:$FA$69, 31, FALSE))</f>
        <v>:</v>
      </c>
    </row>
    <row r="143" spans="1:32">
      <c r="A143" s="533"/>
      <c r="B143" s="534" t="s">
        <v>1027</v>
      </c>
      <c r="C143" s="535" t="s">
        <v>312</v>
      </c>
      <c r="D143" s="12" t="s">
        <v>1214</v>
      </c>
      <c r="E143" s="13">
        <v>8</v>
      </c>
      <c r="F143" s="14" t="str">
        <f>VLOOKUP($E$143,[1]UG!$A$2:$FA$69, 3, FALSE)</f>
        <v>8 Value added, gross B.1g</v>
      </c>
      <c r="G143" s="544">
        <f>IF(VLOOKUP($E$143,[1]UG!$A$2:$FA$69, 6, FALSE)="",":",VLOOKUP($E$143,[1]UG!$A$2:$FA$69, 6, FALSE))</f>
        <v>1099.1400000000001</v>
      </c>
      <c r="H143" s="544">
        <f>IF(VLOOKUP($E$143,[1]UG!$A$2:$FA$69, 7, FALSE)="",":",VLOOKUP($E$143,[1]UG!$A$2:$FA$69, 7, FALSE))</f>
        <v>1407.67</v>
      </c>
      <c r="I143" s="544">
        <f>IF(VLOOKUP($E$143,[1]UG!$A$2:$FA$69, 8, FALSE)="",":",VLOOKUP($E$143,[1]UG!$A$2:$FA$69, 8, FALSE))</f>
        <v>1730.56</v>
      </c>
      <c r="J143" s="544">
        <f>IF(VLOOKUP($E$143,[1]UG!$A$2:$FA$69, 9, FALSE)="",":",VLOOKUP($E$143,[1]UG!$A$2:$FA$69, 9, FALSE))</f>
        <v>2092.77</v>
      </c>
      <c r="K143" s="544">
        <f>IF(VLOOKUP($E$143,[1]UG!$A$2:$FA$69, 10, FALSE)="",":",VLOOKUP($E$143,[1]UG!$A$2:$FA$69, 10, FALSE))</f>
        <v>2146.39</v>
      </c>
      <c r="L143" s="544">
        <f>IF(VLOOKUP($E$143,[1]UG!$A$2:$FA$69, 11, FALSE)="",":",VLOOKUP($E$143,[1]UG!$A$2:$FA$69, 11, FALSE))</f>
        <v>2063.48</v>
      </c>
      <c r="M143" s="544">
        <f>IF(VLOOKUP($E$143,[1]UG!$A$2:$FA$69, 12, FALSE)="",":",VLOOKUP($E$143,[1]UG!$A$2:$FA$69, 12, FALSE))</f>
        <v>2104.23</v>
      </c>
      <c r="N143" s="544">
        <f>IF(VLOOKUP($E$143,[1]UG!$A$2:$FA$69, 13, FALSE)="",":",VLOOKUP($E$143,[1]UG!$A$2:$FA$69, 13, FALSE))</f>
        <v>2165.2600000000002</v>
      </c>
      <c r="O143" s="544">
        <f>IF(VLOOKUP($E$143,[1]UG!$A$2:$FA$69, 14, FALSE)="",":",VLOOKUP($E$143,[1]UG!$A$2:$FA$69, 14, FALSE))</f>
        <v>2265.9699999999998</v>
      </c>
      <c r="P143" s="544">
        <f>IF(VLOOKUP($E$143,[1]UG!$A$2:$FA$69, 15, FALSE)="",":",VLOOKUP($E$143,[1]UG!$A$2:$FA$69, 15, FALSE))</f>
        <v>2474.09</v>
      </c>
      <c r="Q143" s="544">
        <f>IF(VLOOKUP($E$143,[1]UG!$A$2:$FA$69, 16, FALSE)="",":",VLOOKUP($E$143,[1]UG!$A$2:$FA$69, 16, FALSE))</f>
        <v>2702.72</v>
      </c>
      <c r="R143" s="544">
        <f>IF(VLOOKUP($E$143,[1]UG!$A$2:$FA$69, 17, FALSE)="",":",VLOOKUP($E$143,[1]UG!$A$2:$FA$69, 17, FALSE))</f>
        <v>3121.1</v>
      </c>
      <c r="S143" s="544">
        <f>IF(VLOOKUP($E$143,[1]UG!$A$2:$FA$69, 18, FALSE)="",":",VLOOKUP($E$143,[1]UG!$A$2:$FA$69, 18, FALSE))</f>
        <v>3547.16</v>
      </c>
      <c r="T143" s="544">
        <f>IF(VLOOKUP($E$143,[1]UG!$A$2:$FA$69, 19, FALSE)="",":",VLOOKUP($E$143,[1]UG!$A$2:$FA$69, 19, FALSE))</f>
        <v>4297.67</v>
      </c>
      <c r="U143" s="544">
        <f>IF(VLOOKUP($E$143,[1]UG!$A$2:$FA$69, 20, FALSE)="",":",VLOOKUP($E$143,[1]UG!$A$2:$FA$69, 20, FALSE))</f>
        <v>4230.5</v>
      </c>
      <c r="V143" s="544">
        <f>IF(VLOOKUP($E$143,[1]UG!$A$2:$FA$69, 21, FALSE)="",":",VLOOKUP($E$143,[1]UG!$A$2:$FA$69, 21, FALSE))</f>
        <v>3876.65</v>
      </c>
      <c r="W143" s="544">
        <f>IF(VLOOKUP($E$143,[1]UG!$A$2:$FA$69, 22, FALSE)="",":",VLOOKUP($E$143,[1]UG!$A$2:$FA$69, 22, FALSE))</f>
        <v>4088.89</v>
      </c>
      <c r="X143" s="544">
        <f>IF(VLOOKUP($E$143,[1]UG!$A$2:$FA$69, 23, FALSE)="",":",VLOOKUP($E$143,[1]UG!$A$2:$FA$69, 23, FALSE))</f>
        <v>4222.12</v>
      </c>
      <c r="Y143" s="544">
        <f>IF(VLOOKUP($E$143,[1]UG!$A$2:$FA$69, 24, FALSE)="",":",VLOOKUP($E$143,[1]UG!$A$2:$FA$69, 24, FALSE))</f>
        <v>4373.41</v>
      </c>
      <c r="Z143" s="544">
        <f>IF(VLOOKUP($E$143,[1]UG!$A$2:$FA$69, 25, FALSE)="",":",VLOOKUP($E$143,[1]UG!$A$2:$FA$69, 25, FALSE))</f>
        <v>4546.28</v>
      </c>
      <c r="AA143" s="544">
        <f>IF(VLOOKUP($E$143,[1]UG!$A$2:$FA$69, 26, FALSE)="",":",VLOOKUP($E$143,[1]UG!$A$2:$FA$69, 26, FALSE))</f>
        <v>4711.3900000000003</v>
      </c>
      <c r="AB143" s="544">
        <f>IF(VLOOKUP($E$143,[1]UG!$A$2:$FA$69, 27, FALSE)="",":",VLOOKUP($E$143,[1]UG!$A$2:$FA$69, 27, FALSE))</f>
        <v>4948.03</v>
      </c>
      <c r="AC143" s="544" t="str">
        <f>IF(VLOOKUP($E$143,[1]UG!$A$2:$FA$69, 28, FALSE)="",":",VLOOKUP($E$143,[1]UG!$A$2:$FA$69, 28, FALSE))</f>
        <v>:</v>
      </c>
      <c r="AD143" s="544" t="str">
        <f>IF(VLOOKUP($E$143,[1]UG!$A$2:$FA$69, 29, FALSE)="",":",VLOOKUP($E$143,[1]UG!$A$2:$FA$69, 29, FALSE))</f>
        <v>:</v>
      </c>
      <c r="AE143" s="544" t="str">
        <f>IF(VLOOKUP($E$143,[1]UG!$A$2:$FA$69, 30, FALSE)="",":",VLOOKUP($E$143,[1]UG!$A$2:$FA$69, 30, FALSE))</f>
        <v>:</v>
      </c>
      <c r="AF143" s="544" t="str">
        <f>IF(VLOOKUP($E$143,[1]UG!$A$2:$FA$69, 31, FALSE)="",":",VLOOKUP($E$143,[1]UG!$A$2:$FA$69, 31, FALSE))</f>
        <v>:</v>
      </c>
    </row>
    <row r="144" spans="1:32">
      <c r="A144" s="533">
        <v>144</v>
      </c>
      <c r="B144" s="534"/>
      <c r="C144" s="535" t="s">
        <v>1626</v>
      </c>
      <c r="D144" s="12" t="s">
        <v>1214</v>
      </c>
      <c r="E144" s="13">
        <v>9</v>
      </c>
      <c r="F144" s="14" t="str">
        <f>VLOOKUP($E$144,[1]UG!$A$2:$FA$69, 3, FALSE)</f>
        <v>9 Consumption of fixed capital K.1</v>
      </c>
      <c r="G144" s="544">
        <f>IF(VLOOKUP($E$144,[1]UG!$A$2:$FA$69, 6, FALSE)="",":",VLOOKUP($E$144,[1]UG!$A$2:$FA$69, 6, FALSE))</f>
        <v>348.08</v>
      </c>
      <c r="H144" s="544">
        <f>IF(VLOOKUP($E$144,[1]UG!$A$2:$FA$69, 7, FALSE)="",":",VLOOKUP($E$144,[1]UG!$A$2:$FA$69, 7, FALSE))</f>
        <v>387.89</v>
      </c>
      <c r="I144" s="544">
        <f>IF(VLOOKUP($E$144,[1]UG!$A$2:$FA$69, 8, FALSE)="",":",VLOOKUP($E$144,[1]UG!$A$2:$FA$69, 8, FALSE))</f>
        <v>426.3</v>
      </c>
      <c r="J144" s="544">
        <f>IF(VLOOKUP($E$144,[1]UG!$A$2:$FA$69, 9, FALSE)="",":",VLOOKUP($E$144,[1]UG!$A$2:$FA$69, 9, FALSE))</f>
        <v>439.6</v>
      </c>
      <c r="K144" s="544">
        <f>IF(VLOOKUP($E$144,[1]UG!$A$2:$FA$69, 10, FALSE)="",":",VLOOKUP($E$144,[1]UG!$A$2:$FA$69, 10, FALSE))</f>
        <v>443.93</v>
      </c>
      <c r="L144" s="544">
        <f>IF(VLOOKUP($E$144,[1]UG!$A$2:$FA$69, 11, FALSE)="",":",VLOOKUP($E$144,[1]UG!$A$2:$FA$69, 11, FALSE))</f>
        <v>449.7</v>
      </c>
      <c r="M144" s="544">
        <f>IF(VLOOKUP($E$144,[1]UG!$A$2:$FA$69, 12, FALSE)="",":",VLOOKUP($E$144,[1]UG!$A$2:$FA$69, 12, FALSE))</f>
        <v>447.92</v>
      </c>
      <c r="N144" s="544">
        <f>IF(VLOOKUP($E$144,[1]UG!$A$2:$FA$69, 13, FALSE)="",":",VLOOKUP($E$144,[1]UG!$A$2:$FA$69, 13, FALSE))</f>
        <v>443.73</v>
      </c>
      <c r="O144" s="544">
        <f>IF(VLOOKUP($E$144,[1]UG!$A$2:$FA$69, 14, FALSE)="",":",VLOOKUP($E$144,[1]UG!$A$2:$FA$69, 14, FALSE))</f>
        <v>471.65</v>
      </c>
      <c r="P144" s="544">
        <f>IF(VLOOKUP($E$144,[1]UG!$A$2:$FA$69, 15, FALSE)="",":",VLOOKUP($E$144,[1]UG!$A$2:$FA$69, 15, FALSE))</f>
        <v>495.76</v>
      </c>
      <c r="Q144" s="544">
        <f>IF(VLOOKUP($E$144,[1]UG!$A$2:$FA$69, 16, FALSE)="",":",VLOOKUP($E$144,[1]UG!$A$2:$FA$69, 16, FALSE))</f>
        <v>544.59</v>
      </c>
      <c r="R144" s="544">
        <f>IF(VLOOKUP($E$144,[1]UG!$A$2:$FA$69, 17, FALSE)="",":",VLOOKUP($E$144,[1]UG!$A$2:$FA$69, 17, FALSE))</f>
        <v>607.70000000000005</v>
      </c>
      <c r="S144" s="544">
        <f>IF(VLOOKUP($E$144,[1]UG!$A$2:$FA$69, 18, FALSE)="",":",VLOOKUP($E$144,[1]UG!$A$2:$FA$69, 18, FALSE))</f>
        <v>702.46</v>
      </c>
      <c r="T144" s="544">
        <f>IF(VLOOKUP($E$144,[1]UG!$A$2:$FA$69, 19, FALSE)="",":",VLOOKUP($E$144,[1]UG!$A$2:$FA$69, 19, FALSE))</f>
        <v>815.39</v>
      </c>
      <c r="U144" s="544">
        <f>IF(VLOOKUP($E$144,[1]UG!$A$2:$FA$69, 20, FALSE)="",":",VLOOKUP($E$144,[1]UG!$A$2:$FA$69, 20, FALSE))</f>
        <v>817</v>
      </c>
      <c r="V144" s="544">
        <f>IF(VLOOKUP($E$144,[1]UG!$A$2:$FA$69, 21, FALSE)="",":",VLOOKUP($E$144,[1]UG!$A$2:$FA$69, 21, FALSE))</f>
        <v>812.59</v>
      </c>
      <c r="W144" s="544">
        <f>IF(VLOOKUP($E$144,[1]UG!$A$2:$FA$69, 22, FALSE)="",":",VLOOKUP($E$144,[1]UG!$A$2:$FA$69, 22, FALSE))</f>
        <v>885.75</v>
      </c>
      <c r="X144" s="544">
        <f>IF(VLOOKUP($E$144,[1]UG!$A$2:$FA$69, 23, FALSE)="",":",VLOOKUP($E$144,[1]UG!$A$2:$FA$69, 23, FALSE))</f>
        <v>961.64</v>
      </c>
      <c r="Y144" s="544">
        <f>IF(VLOOKUP($E$144,[1]UG!$A$2:$FA$69, 24, FALSE)="",":",VLOOKUP($E$144,[1]UG!$A$2:$FA$69, 24, FALSE))</f>
        <v>1026.27</v>
      </c>
      <c r="Z144" s="544">
        <f>IF(VLOOKUP($E$144,[1]UG!$A$2:$FA$69, 25, FALSE)="",":",VLOOKUP($E$144,[1]UG!$A$2:$FA$69, 25, FALSE))</f>
        <v>1073.94</v>
      </c>
      <c r="AA144" s="544">
        <f>IF(VLOOKUP($E$144,[1]UG!$A$2:$FA$69, 26, FALSE)="",":",VLOOKUP($E$144,[1]UG!$A$2:$FA$69, 26, FALSE))</f>
        <v>1104</v>
      </c>
      <c r="AB144" s="544">
        <f>IF(VLOOKUP($E$144,[1]UG!$A$2:$FA$69, 27, FALSE)="",":",VLOOKUP($E$144,[1]UG!$A$2:$FA$69, 27, FALSE))</f>
        <v>1141.78</v>
      </c>
      <c r="AC144" s="544" t="str">
        <f>IF(VLOOKUP($E$144,[1]UG!$A$2:$FA$69, 28, FALSE)="",":",VLOOKUP($E$144,[1]UG!$A$2:$FA$69, 28, FALSE))</f>
        <v>:</v>
      </c>
      <c r="AD144" s="544" t="str">
        <f>IF(VLOOKUP($E$144,[1]UG!$A$2:$FA$69, 29, FALSE)="",":",VLOOKUP($E$144,[1]UG!$A$2:$FA$69, 29, FALSE))</f>
        <v>:</v>
      </c>
      <c r="AE144" s="544" t="str">
        <f>IF(VLOOKUP($E$144,[1]UG!$A$2:$FA$69, 30, FALSE)="",":",VLOOKUP($E$144,[1]UG!$A$2:$FA$69, 30, FALSE))</f>
        <v>:</v>
      </c>
      <c r="AF144" s="544" t="str">
        <f>IF(VLOOKUP($E$144,[1]UG!$A$2:$FA$69, 31, FALSE)="",":",VLOOKUP($E$144,[1]UG!$A$2:$FA$69, 31, FALSE))</f>
        <v>:</v>
      </c>
    </row>
    <row r="145" spans="1:32">
      <c r="A145" s="533">
        <v>120</v>
      </c>
      <c r="B145" s="534" t="s">
        <v>321</v>
      </c>
      <c r="C145" s="535" t="s">
        <v>1210</v>
      </c>
      <c r="D145" s="12" t="s">
        <v>1214</v>
      </c>
      <c r="E145" s="13">
        <v>11</v>
      </c>
      <c r="F145" s="14" t="str">
        <f>VLOOKUP($E$145,[1]UG!$A$2:$FA$69, 3, FALSE)</f>
        <v>11 Compensation of employees, payable D.1p</v>
      </c>
      <c r="G145" s="544">
        <f>IF(VLOOKUP($E$145,[1]UG!$A$2:$FA$69, 6, FALSE)="",":",VLOOKUP($E$145,[1]UG!$A$2:$FA$69, 6, FALSE))</f>
        <v>748.21</v>
      </c>
      <c r="H145" s="544">
        <f>IF(VLOOKUP($E$145,[1]UG!$A$2:$FA$69, 7, FALSE)="",":",VLOOKUP($E$145,[1]UG!$A$2:$FA$69, 7, FALSE))</f>
        <v>1015.35</v>
      </c>
      <c r="I145" s="544">
        <f>IF(VLOOKUP($E$145,[1]UG!$A$2:$FA$69, 8, FALSE)="",":",VLOOKUP($E$145,[1]UG!$A$2:$FA$69, 8, FALSE))</f>
        <v>1298.4000000000001</v>
      </c>
      <c r="J145" s="544">
        <f>IF(VLOOKUP($E$145,[1]UG!$A$2:$FA$69, 9, FALSE)="",":",VLOOKUP($E$145,[1]UG!$A$2:$FA$69, 9, FALSE))</f>
        <v>1647</v>
      </c>
      <c r="K145" s="544">
        <f>IF(VLOOKUP($E$145,[1]UG!$A$2:$FA$69, 10, FALSE)="",":",VLOOKUP($E$145,[1]UG!$A$2:$FA$69, 10, FALSE))</f>
        <v>1696.03</v>
      </c>
      <c r="L145" s="544">
        <f>IF(VLOOKUP($E$145,[1]UG!$A$2:$FA$69, 11, FALSE)="",":",VLOOKUP($E$145,[1]UG!$A$2:$FA$69, 11, FALSE))</f>
        <v>1607.58</v>
      </c>
      <c r="M145" s="544">
        <f>IF(VLOOKUP($E$145,[1]UG!$A$2:$FA$69, 12, FALSE)="",":",VLOOKUP($E$145,[1]UG!$A$2:$FA$69, 12, FALSE))</f>
        <v>1649.41</v>
      </c>
      <c r="N145" s="544">
        <f>IF(VLOOKUP($E$145,[1]UG!$A$2:$FA$69, 13, FALSE)="",":",VLOOKUP($E$145,[1]UG!$A$2:$FA$69, 13, FALSE))</f>
        <v>1714.01</v>
      </c>
      <c r="O145" s="544">
        <f>IF(VLOOKUP($E$145,[1]UG!$A$2:$FA$69, 14, FALSE)="",":",VLOOKUP($E$145,[1]UG!$A$2:$FA$69, 14, FALSE))</f>
        <v>1786.53</v>
      </c>
      <c r="P145" s="544">
        <f>IF(VLOOKUP($E$145,[1]UG!$A$2:$FA$69, 15, FALSE)="",":",VLOOKUP($E$145,[1]UG!$A$2:$FA$69, 15, FALSE))</f>
        <v>1968.67</v>
      </c>
      <c r="Q145" s="544">
        <f>IF(VLOOKUP($E$145,[1]UG!$A$2:$FA$69, 16, FALSE)="",":",VLOOKUP($E$145,[1]UG!$A$2:$FA$69, 16, FALSE))</f>
        <v>2153.08</v>
      </c>
      <c r="R145" s="544">
        <f>IF(VLOOKUP($E$145,[1]UG!$A$2:$FA$69, 17, FALSE)="",":",VLOOKUP($E$145,[1]UG!$A$2:$FA$69, 17, FALSE))</f>
        <v>2504.61</v>
      </c>
      <c r="S145" s="544">
        <f>IF(VLOOKUP($E$145,[1]UG!$A$2:$FA$69, 18, FALSE)="",":",VLOOKUP($E$145,[1]UG!$A$2:$FA$69, 18, FALSE))</f>
        <v>2834.48</v>
      </c>
      <c r="T145" s="544">
        <f>IF(VLOOKUP($E$145,[1]UG!$A$2:$FA$69, 19, FALSE)="",":",VLOOKUP($E$145,[1]UG!$A$2:$FA$69, 19, FALSE))</f>
        <v>3475.8</v>
      </c>
      <c r="U145" s="544">
        <f>IF(VLOOKUP($E$145,[1]UG!$A$2:$FA$69, 20, FALSE)="",":",VLOOKUP($E$145,[1]UG!$A$2:$FA$69, 20, FALSE))</f>
        <v>3410.26</v>
      </c>
      <c r="V145" s="544">
        <f>IF(VLOOKUP($E$145,[1]UG!$A$2:$FA$69, 21, FALSE)="",":",VLOOKUP($E$145,[1]UG!$A$2:$FA$69, 21, FALSE))</f>
        <v>3058.84</v>
      </c>
      <c r="W145" s="544">
        <f>IF(VLOOKUP($E$145,[1]UG!$A$2:$FA$69, 22, FALSE)="",":",VLOOKUP($E$145,[1]UG!$A$2:$FA$69, 22, FALSE))</f>
        <v>3197.33</v>
      </c>
      <c r="X145" s="544">
        <f>IF(VLOOKUP($E$145,[1]UG!$A$2:$FA$69, 23, FALSE)="",":",VLOOKUP($E$145,[1]UG!$A$2:$FA$69, 23, FALSE))</f>
        <v>3241.61</v>
      </c>
      <c r="Y145" s="544">
        <f>IF(VLOOKUP($E$145,[1]UG!$A$2:$FA$69, 24, FALSE)="",":",VLOOKUP($E$145,[1]UG!$A$2:$FA$69, 24, FALSE))</f>
        <v>3338.45</v>
      </c>
      <c r="Z145" s="544">
        <f>IF(VLOOKUP($E$145,[1]UG!$A$2:$FA$69, 25, FALSE)="",":",VLOOKUP($E$145,[1]UG!$A$2:$FA$69, 25, FALSE))</f>
        <v>3462.15</v>
      </c>
      <c r="AA145" s="544">
        <f>IF(VLOOKUP($E$145,[1]UG!$A$2:$FA$69, 26, FALSE)="",":",VLOOKUP($E$145,[1]UG!$A$2:$FA$69, 26, FALSE))</f>
        <v>3605.31</v>
      </c>
      <c r="AB145" s="544">
        <f>IF(VLOOKUP($E$145,[1]UG!$A$2:$FA$69, 27, FALSE)="",":",VLOOKUP($E$145,[1]UG!$A$2:$FA$69, 27, FALSE))</f>
        <v>3802.35</v>
      </c>
      <c r="AC145" s="544" t="str">
        <f>IF(VLOOKUP($E$145,[1]UG!$A$2:$FA$69, 28, FALSE)="",":",VLOOKUP($E$145,[1]UG!$A$2:$FA$69, 28, FALSE))</f>
        <v>:</v>
      </c>
      <c r="AD145" s="544" t="str">
        <f>IF(VLOOKUP($E$145,[1]UG!$A$2:$FA$69, 29, FALSE)="",":",VLOOKUP($E$145,[1]UG!$A$2:$FA$69, 29, FALSE))</f>
        <v>:</v>
      </c>
      <c r="AE145" s="544" t="str">
        <f>IF(VLOOKUP($E$145,[1]UG!$A$2:$FA$69, 30, FALSE)="",":",VLOOKUP($E$145,[1]UG!$A$2:$FA$69, 30, FALSE))</f>
        <v>:</v>
      </c>
      <c r="AF145" s="544" t="str">
        <f>IF(VLOOKUP($E$145,[1]UG!$A$2:$FA$69, 31, FALSE)="",":",VLOOKUP($E$145,[1]UG!$A$2:$FA$69, 31, FALSE))</f>
        <v>:</v>
      </c>
    </row>
    <row r="146" spans="1:32">
      <c r="A146" s="533">
        <v>113</v>
      </c>
      <c r="B146" s="534" t="s">
        <v>1801</v>
      </c>
      <c r="C146" s="535" t="s">
        <v>1029</v>
      </c>
      <c r="D146" s="12" t="s">
        <v>1214</v>
      </c>
      <c r="E146" s="13">
        <v>15</v>
      </c>
      <c r="F146" s="14" t="str">
        <f>VLOOKUP($E$146,[1]UG!$A$2:$FA$69, 3, FALSE)</f>
        <v>15 Taxes on production and imports, receivable D.2r</v>
      </c>
      <c r="G146" s="544">
        <f>IF(VLOOKUP($E$146,[1]UG!$A$2:$FA$69, 6, FALSE)="",":",VLOOKUP($E$146,[1]UG!$A$2:$FA$69, 6, FALSE))</f>
        <v>934.14</v>
      </c>
      <c r="H146" s="544">
        <f>IF(VLOOKUP($E$146,[1]UG!$A$2:$FA$69, 7, FALSE)="",":",VLOOKUP($E$146,[1]UG!$A$2:$FA$69, 7, FALSE))</f>
        <v>1123.72</v>
      </c>
      <c r="I146" s="544">
        <f>IF(VLOOKUP($E$146,[1]UG!$A$2:$FA$69, 8, FALSE)="",":",VLOOKUP($E$146,[1]UG!$A$2:$FA$69, 8, FALSE))</f>
        <v>1585.61</v>
      </c>
      <c r="J146" s="544">
        <f>IF(VLOOKUP($E$146,[1]UG!$A$2:$FA$69, 9, FALSE)="",":",VLOOKUP($E$146,[1]UG!$A$2:$FA$69, 9, FALSE))</f>
        <v>1795.03</v>
      </c>
      <c r="K146" s="544">
        <f>IF(VLOOKUP($E$146,[1]UG!$A$2:$FA$69, 10, FALSE)="",":",VLOOKUP($E$146,[1]UG!$A$2:$FA$69, 10, FALSE))</f>
        <v>1743.56</v>
      </c>
      <c r="L146" s="544">
        <f>IF(VLOOKUP($E$146,[1]UG!$A$2:$FA$69, 11, FALSE)="",":",VLOOKUP($E$146,[1]UG!$A$2:$FA$69, 11, FALSE))</f>
        <v>1672.61</v>
      </c>
      <c r="M146" s="544">
        <f>IF(VLOOKUP($E$146,[1]UG!$A$2:$FA$69, 12, FALSE)="",":",VLOOKUP($E$146,[1]UG!$A$2:$FA$69, 12, FALSE))</f>
        <v>1729.33</v>
      </c>
      <c r="N146" s="544">
        <f>IF(VLOOKUP($E$146,[1]UG!$A$2:$FA$69, 13, FALSE)="",":",VLOOKUP($E$146,[1]UG!$A$2:$FA$69, 13, FALSE))</f>
        <v>1883.42</v>
      </c>
      <c r="O146" s="544">
        <f>IF(VLOOKUP($E$146,[1]UG!$A$2:$FA$69, 14, FALSE)="",":",VLOOKUP($E$146,[1]UG!$A$2:$FA$69, 14, FALSE))</f>
        <v>1940.69</v>
      </c>
      <c r="P146" s="544">
        <f>IF(VLOOKUP($E$146,[1]UG!$A$2:$FA$69, 15, FALSE)="",":",VLOOKUP($E$146,[1]UG!$A$2:$FA$69, 15, FALSE))</f>
        <v>2038.74</v>
      </c>
      <c r="Q146" s="544">
        <f>IF(VLOOKUP($E$146,[1]UG!$A$2:$FA$69, 16, FALSE)="",":",VLOOKUP($E$146,[1]UG!$A$2:$FA$69, 16, FALSE))</f>
        <v>2354.56</v>
      </c>
      <c r="R146" s="544">
        <f>IF(VLOOKUP($E$146,[1]UG!$A$2:$FA$69, 17, FALSE)="",":",VLOOKUP($E$146,[1]UG!$A$2:$FA$69, 17, FALSE))</f>
        <v>2723.47</v>
      </c>
      <c r="S146" s="544">
        <f>IF(VLOOKUP($E$146,[1]UG!$A$2:$FA$69, 18, FALSE)="",":",VLOOKUP($E$146,[1]UG!$A$2:$FA$69, 18, FALSE))</f>
        <v>3377.35</v>
      </c>
      <c r="T146" s="544">
        <f>IF(VLOOKUP($E$146,[1]UG!$A$2:$FA$69, 19, FALSE)="",":",VLOOKUP($E$146,[1]UG!$A$2:$FA$69, 19, FALSE))</f>
        <v>3790.74</v>
      </c>
      <c r="U146" s="544">
        <f>IF(VLOOKUP($E$146,[1]UG!$A$2:$FA$69, 20, FALSE)="",":",VLOOKUP($E$146,[1]UG!$A$2:$FA$69, 20, FALSE))</f>
        <v>3114.44</v>
      </c>
      <c r="V146" s="544">
        <f>IF(VLOOKUP($E$146,[1]UG!$A$2:$FA$69, 21, FALSE)="",":",VLOOKUP($E$146,[1]UG!$A$2:$FA$69, 21, FALSE))</f>
        <v>3319.26</v>
      </c>
      <c r="W146" s="544">
        <f>IF(VLOOKUP($E$146,[1]UG!$A$2:$FA$69, 22, FALSE)="",":",VLOOKUP($E$146,[1]UG!$A$2:$FA$69, 22, FALSE))</f>
        <v>3628.6</v>
      </c>
      <c r="X146" s="544">
        <f>IF(VLOOKUP($E$146,[1]UG!$A$2:$FA$69, 23, FALSE)="",":",VLOOKUP($E$146,[1]UG!$A$2:$FA$69, 23, FALSE))</f>
        <v>3724.07</v>
      </c>
      <c r="Y146" s="544">
        <f>IF(VLOOKUP($E$146,[1]UG!$A$2:$FA$69, 24, FALSE)="",":",VLOOKUP($E$146,[1]UG!$A$2:$FA$69, 24, FALSE))</f>
        <v>3841.34</v>
      </c>
      <c r="Z146" s="544">
        <f>IF(VLOOKUP($E$146,[1]UG!$A$2:$FA$69, 25, FALSE)="",":",VLOOKUP($E$146,[1]UG!$A$2:$FA$69, 25, FALSE))</f>
        <v>4079.54</v>
      </c>
      <c r="AA146" s="544">
        <f>IF(VLOOKUP($E$146,[1]UG!$A$2:$FA$69, 26, FALSE)="",":",VLOOKUP($E$146,[1]UG!$A$2:$FA$69, 26, FALSE))</f>
        <v>4343.63</v>
      </c>
      <c r="AB146" s="544">
        <f>IF(VLOOKUP($E$146,[1]UG!$A$2:$FA$69, 27, FALSE)="",":",VLOOKUP($E$146,[1]UG!$A$2:$FA$69, 27, FALSE))</f>
        <v>4532.76</v>
      </c>
      <c r="AC146" s="544" t="str">
        <f>IF(VLOOKUP($E$146,[1]UG!$A$2:$FA$69, 28, FALSE)="",":",VLOOKUP($E$146,[1]UG!$A$2:$FA$69, 28, FALSE))</f>
        <v>:</v>
      </c>
      <c r="AD146" s="544" t="str">
        <f>IF(VLOOKUP($E$146,[1]UG!$A$2:$FA$69, 29, FALSE)="",":",VLOOKUP($E$146,[1]UG!$A$2:$FA$69, 29, FALSE))</f>
        <v>:</v>
      </c>
      <c r="AE146" s="544" t="str">
        <f>IF(VLOOKUP($E$146,[1]UG!$A$2:$FA$69, 30, FALSE)="",":",VLOOKUP($E$146,[1]UG!$A$2:$FA$69, 30, FALSE))</f>
        <v>:</v>
      </c>
      <c r="AF146" s="544" t="str">
        <f>IF(VLOOKUP($E$146,[1]UG!$A$2:$FA$69, 31, FALSE)="",":",VLOOKUP($E$146,[1]UG!$A$2:$FA$69, 31, FALSE))</f>
        <v>:</v>
      </c>
    </row>
    <row r="147" spans="1:32">
      <c r="A147" s="533">
        <v>123</v>
      </c>
      <c r="B147" s="534" t="s">
        <v>2086</v>
      </c>
      <c r="C147" s="535" t="s">
        <v>1207</v>
      </c>
      <c r="D147" s="12" t="s">
        <v>1214</v>
      </c>
      <c r="E147" s="13">
        <v>17</v>
      </c>
      <c r="F147" s="14" t="str">
        <f>VLOOKUP($E$147,[1]UG!$A$2:$FA$69, 3, FALSE)</f>
        <v>17 Subsidies, payable D.3p</v>
      </c>
      <c r="G147" s="544">
        <f>IF(VLOOKUP($E$147,[1]UG!$A$2:$FA$69, 6, FALSE)="",":",VLOOKUP($E$147,[1]UG!$A$2:$FA$69, 6, FALSE))</f>
        <v>79.650000000000006</v>
      </c>
      <c r="H147" s="544">
        <f>IF(VLOOKUP($E$147,[1]UG!$A$2:$FA$69, 7, FALSE)="",":",VLOOKUP($E$147,[1]UG!$A$2:$FA$69, 7, FALSE))</f>
        <v>114.81</v>
      </c>
      <c r="I147" s="544">
        <f>IF(VLOOKUP($E$147,[1]UG!$A$2:$FA$69, 8, FALSE)="",":",VLOOKUP($E$147,[1]UG!$A$2:$FA$69, 8, FALSE))</f>
        <v>101.11</v>
      </c>
      <c r="J147" s="544">
        <f>IF(VLOOKUP($E$147,[1]UG!$A$2:$FA$69, 9, FALSE)="",":",VLOOKUP($E$147,[1]UG!$A$2:$FA$69, 9, FALSE))</f>
        <v>136.61000000000001</v>
      </c>
      <c r="K147" s="544">
        <f>IF(VLOOKUP($E$147,[1]UG!$A$2:$FA$69, 10, FALSE)="",":",VLOOKUP($E$147,[1]UG!$A$2:$FA$69, 10, FALSE))</f>
        <v>132.38999999999999</v>
      </c>
      <c r="L147" s="544">
        <f>IF(VLOOKUP($E$147,[1]UG!$A$2:$FA$69, 11, FALSE)="",":",VLOOKUP($E$147,[1]UG!$A$2:$FA$69, 11, FALSE))</f>
        <v>104.64</v>
      </c>
      <c r="M147" s="544">
        <f>IF(VLOOKUP($E$147,[1]UG!$A$2:$FA$69, 12, FALSE)="",":",VLOOKUP($E$147,[1]UG!$A$2:$FA$69, 12, FALSE))</f>
        <v>119.26</v>
      </c>
      <c r="N147" s="544">
        <f>IF(VLOOKUP($E$147,[1]UG!$A$2:$FA$69, 13, FALSE)="",":",VLOOKUP($E$147,[1]UG!$A$2:$FA$69, 13, FALSE))</f>
        <v>119.82</v>
      </c>
      <c r="O147" s="544">
        <f>IF(VLOOKUP($E$147,[1]UG!$A$2:$FA$69, 14, FALSE)="",":",VLOOKUP($E$147,[1]UG!$A$2:$FA$69, 14, FALSE))</f>
        <v>129.5</v>
      </c>
      <c r="P147" s="544">
        <f>IF(VLOOKUP($E$147,[1]UG!$A$2:$FA$69, 15, FALSE)="",":",VLOOKUP($E$147,[1]UG!$A$2:$FA$69, 15, FALSE))</f>
        <v>125.61</v>
      </c>
      <c r="Q147" s="544">
        <f>IF(VLOOKUP($E$147,[1]UG!$A$2:$FA$69, 16, FALSE)="",":",VLOOKUP($E$147,[1]UG!$A$2:$FA$69, 16, FALSE))</f>
        <v>141.76</v>
      </c>
      <c r="R147" s="544">
        <f>IF(VLOOKUP($E$147,[1]UG!$A$2:$FA$69, 17, FALSE)="",":",VLOOKUP($E$147,[1]UG!$A$2:$FA$69, 17, FALSE))</f>
        <v>161.9</v>
      </c>
      <c r="S147" s="544">
        <f>IF(VLOOKUP($E$147,[1]UG!$A$2:$FA$69, 18, FALSE)="",":",VLOOKUP($E$147,[1]UG!$A$2:$FA$69, 18, FALSE))</f>
        <v>255.57</v>
      </c>
      <c r="T147" s="544">
        <f>IF(VLOOKUP($E$147,[1]UG!$A$2:$FA$69, 19, FALSE)="",":",VLOOKUP($E$147,[1]UG!$A$2:$FA$69, 19, FALSE))</f>
        <v>220.84</v>
      </c>
      <c r="U147" s="544">
        <f>IF(VLOOKUP($E$147,[1]UG!$A$2:$FA$69, 20, FALSE)="",":",VLOOKUP($E$147,[1]UG!$A$2:$FA$69, 20, FALSE))</f>
        <v>170.44</v>
      </c>
      <c r="V147" s="544">
        <f>IF(VLOOKUP($E$147,[1]UG!$A$2:$FA$69, 21, FALSE)="",":",VLOOKUP($E$147,[1]UG!$A$2:$FA$69, 21, FALSE))</f>
        <v>137.99</v>
      </c>
      <c r="W147" s="544">
        <f>IF(VLOOKUP($E$147,[1]UG!$A$2:$FA$69, 22, FALSE)="",":",VLOOKUP($E$147,[1]UG!$A$2:$FA$69, 22, FALSE))</f>
        <v>122.57</v>
      </c>
      <c r="X147" s="544">
        <f>IF(VLOOKUP($E$147,[1]UG!$A$2:$FA$69, 23, FALSE)="",":",VLOOKUP($E$147,[1]UG!$A$2:$FA$69, 23, FALSE))</f>
        <v>104.82</v>
      </c>
      <c r="Y147" s="544">
        <f>IF(VLOOKUP($E$147,[1]UG!$A$2:$FA$69, 24, FALSE)="",":",VLOOKUP($E$147,[1]UG!$A$2:$FA$69, 24, FALSE))</f>
        <v>115.63</v>
      </c>
      <c r="Z147" s="544">
        <f>IF(VLOOKUP($E$147,[1]UG!$A$2:$FA$69, 25, FALSE)="",":",VLOOKUP($E$147,[1]UG!$A$2:$FA$69, 25, FALSE))</f>
        <v>118.74</v>
      </c>
      <c r="AA147" s="544">
        <f>IF(VLOOKUP($E$147,[1]UG!$A$2:$FA$69, 26, FALSE)="",":",VLOOKUP($E$147,[1]UG!$A$2:$FA$69, 26, FALSE))</f>
        <v>147.57</v>
      </c>
      <c r="AB147" s="544">
        <f>IF(VLOOKUP($E$147,[1]UG!$A$2:$FA$69, 27, FALSE)="",":",VLOOKUP($E$147,[1]UG!$A$2:$FA$69, 27, FALSE))</f>
        <v>162.43</v>
      </c>
      <c r="AC147" s="544" t="str">
        <f>IF(VLOOKUP($E$147,[1]UG!$A$2:$FA$69, 28, FALSE)="",":",VLOOKUP($E$147,[1]UG!$A$2:$FA$69, 28, FALSE))</f>
        <v>:</v>
      </c>
      <c r="AD147" s="544" t="str">
        <f>IF(VLOOKUP($E$147,[1]UG!$A$2:$FA$69, 29, FALSE)="",":",VLOOKUP($E$147,[1]UG!$A$2:$FA$69, 29, FALSE))</f>
        <v>:</v>
      </c>
      <c r="AE147" s="544" t="str">
        <f>IF(VLOOKUP($E$147,[1]UG!$A$2:$FA$69, 30, FALSE)="",":",VLOOKUP($E$147,[1]UG!$A$2:$FA$69, 30, FALSE))</f>
        <v>:</v>
      </c>
      <c r="AF147" s="544" t="str">
        <f>IF(VLOOKUP($E$147,[1]UG!$A$2:$FA$69, 31, FALSE)="",":",VLOOKUP($E$147,[1]UG!$A$2:$FA$69, 31, FALSE))</f>
        <v>:</v>
      </c>
    </row>
    <row r="148" spans="1:32">
      <c r="A148" s="533"/>
      <c r="B148" s="534" t="s">
        <v>215</v>
      </c>
      <c r="C148" s="535" t="s">
        <v>216</v>
      </c>
      <c r="D148" s="12" t="s">
        <v>1214</v>
      </c>
      <c r="E148" s="13">
        <v>12</v>
      </c>
      <c r="F148" s="14" t="str">
        <f>VLOOKUP($E$148,[1]UG!$A$2:$FA$69, 3, FALSE)</f>
        <v>12 Other taxes on production, payable D.29p</v>
      </c>
      <c r="G148" s="544">
        <f>IF(VLOOKUP($E$148,[1]UG!$A$2:$FA$69, 6, FALSE)="",":",VLOOKUP($E$148,[1]UG!$A$2:$FA$69, 6, FALSE))</f>
        <v>2.85</v>
      </c>
      <c r="H148" s="544">
        <f>IF(VLOOKUP($E$148,[1]UG!$A$2:$FA$69, 7, FALSE)="",":",VLOOKUP($E$148,[1]UG!$A$2:$FA$69, 7, FALSE))</f>
        <v>4.43</v>
      </c>
      <c r="I148" s="544">
        <f>IF(VLOOKUP($E$148,[1]UG!$A$2:$FA$69, 8, FALSE)="",":",VLOOKUP($E$148,[1]UG!$A$2:$FA$69, 8, FALSE))</f>
        <v>5.87</v>
      </c>
      <c r="J148" s="544">
        <f>IF(VLOOKUP($E$148,[1]UG!$A$2:$FA$69, 9, FALSE)="",":",VLOOKUP($E$148,[1]UG!$A$2:$FA$69, 9, FALSE))</f>
        <v>6.17</v>
      </c>
      <c r="K148" s="544">
        <f>IF(VLOOKUP($E$148,[1]UG!$A$2:$FA$69, 10, FALSE)="",":",VLOOKUP($E$148,[1]UG!$A$2:$FA$69, 10, FALSE))</f>
        <v>6.43</v>
      </c>
      <c r="L148" s="544">
        <f>IF(VLOOKUP($E$148,[1]UG!$A$2:$FA$69, 11, FALSE)="",":",VLOOKUP($E$148,[1]UG!$A$2:$FA$69, 11, FALSE))</f>
        <v>6.19</v>
      </c>
      <c r="M148" s="544">
        <f>IF(VLOOKUP($E$148,[1]UG!$A$2:$FA$69, 12, FALSE)="",":",VLOOKUP($E$148,[1]UG!$A$2:$FA$69, 12, FALSE))</f>
        <v>6.95</v>
      </c>
      <c r="N148" s="544">
        <f>IF(VLOOKUP($E$148,[1]UG!$A$2:$FA$69, 13, FALSE)="",":",VLOOKUP($E$148,[1]UG!$A$2:$FA$69, 13, FALSE))</f>
        <v>7.62</v>
      </c>
      <c r="O148" s="544">
        <f>IF(VLOOKUP($E$148,[1]UG!$A$2:$FA$69, 14, FALSE)="",":",VLOOKUP($E$148,[1]UG!$A$2:$FA$69, 14, FALSE))</f>
        <v>7.67</v>
      </c>
      <c r="P148" s="544">
        <f>IF(VLOOKUP($E$148,[1]UG!$A$2:$FA$69, 15, FALSE)="",":",VLOOKUP($E$148,[1]UG!$A$2:$FA$69, 15, FALSE))</f>
        <v>9.5500000000000007</v>
      </c>
      <c r="Q148" s="544">
        <f>IF(VLOOKUP($E$148,[1]UG!$A$2:$FA$69, 16, FALSE)="",":",VLOOKUP($E$148,[1]UG!$A$2:$FA$69, 16, FALSE))</f>
        <v>4.1500000000000004</v>
      </c>
      <c r="R148" s="544">
        <f>IF(VLOOKUP($E$148,[1]UG!$A$2:$FA$69, 17, FALSE)="",":",VLOOKUP($E$148,[1]UG!$A$2:$FA$69, 17, FALSE))</f>
        <v>3.6</v>
      </c>
      <c r="S148" s="544">
        <f>IF(VLOOKUP($E$148,[1]UG!$A$2:$FA$69, 18, FALSE)="",":",VLOOKUP($E$148,[1]UG!$A$2:$FA$69, 18, FALSE))</f>
        <v>3.64</v>
      </c>
      <c r="T148" s="544">
        <f>IF(VLOOKUP($E$148,[1]UG!$A$2:$FA$69, 19, FALSE)="",":",VLOOKUP($E$148,[1]UG!$A$2:$FA$69, 19, FALSE))</f>
        <v>3.27</v>
      </c>
      <c r="U148" s="544">
        <f>IF(VLOOKUP($E$148,[1]UG!$A$2:$FA$69, 20, FALSE)="",":",VLOOKUP($E$148,[1]UG!$A$2:$FA$69, 20, FALSE))</f>
        <v>2.46</v>
      </c>
      <c r="V148" s="544">
        <f>IF(VLOOKUP($E$148,[1]UG!$A$2:$FA$69, 21, FALSE)="",":",VLOOKUP($E$148,[1]UG!$A$2:$FA$69, 21, FALSE))</f>
        <v>2.2200000000000002</v>
      </c>
      <c r="W148" s="544">
        <f>IF(VLOOKUP($E$148,[1]UG!$A$2:$FA$69, 22, FALSE)="",":",VLOOKUP($E$148,[1]UG!$A$2:$FA$69, 22, FALSE))</f>
        <v>2.8200000000000003</v>
      </c>
      <c r="X148" s="544">
        <f>IF(VLOOKUP($E$148,[1]UG!$A$2:$FA$69, 23, FALSE)="",":",VLOOKUP($E$148,[1]UG!$A$2:$FA$69, 23, FALSE))</f>
        <v>3.72</v>
      </c>
      <c r="Y148" s="544">
        <f>IF(VLOOKUP($E$148,[1]UG!$A$2:$FA$69, 24, FALSE)="",":",VLOOKUP($E$148,[1]UG!$A$2:$FA$69, 24, FALSE))</f>
        <v>4.3600000000000003</v>
      </c>
      <c r="Z148" s="544">
        <f>IF(VLOOKUP($E$148,[1]UG!$A$2:$FA$69, 25, FALSE)="",":",VLOOKUP($E$148,[1]UG!$A$2:$FA$69, 25, FALSE))</f>
        <v>5.05</v>
      </c>
      <c r="AA148" s="544">
        <f>IF(VLOOKUP($E$148,[1]UG!$A$2:$FA$69, 26, FALSE)="",":",VLOOKUP($E$148,[1]UG!$A$2:$FA$69, 26, FALSE))</f>
        <v>2.62</v>
      </c>
      <c r="AB148" s="544">
        <f>IF(VLOOKUP($E$148,[1]UG!$A$2:$FA$69, 27, FALSE)="",":",VLOOKUP($E$148,[1]UG!$A$2:$FA$69, 27, FALSE))</f>
        <v>2.7</v>
      </c>
      <c r="AC148" s="544" t="str">
        <f>IF(VLOOKUP($E$148,[1]UG!$A$2:$FA$69, 28, FALSE)="",":",VLOOKUP($E$148,[1]UG!$A$2:$FA$69, 28, FALSE))</f>
        <v>:</v>
      </c>
      <c r="AD148" s="544" t="str">
        <f>IF(VLOOKUP($E$148,[1]UG!$A$2:$FA$69, 29, FALSE)="",":",VLOOKUP($E$148,[1]UG!$A$2:$FA$69, 29, FALSE))</f>
        <v>:</v>
      </c>
      <c r="AE148" s="544" t="str">
        <f>IF(VLOOKUP($E$148,[1]UG!$A$2:$FA$69, 30, FALSE)="",":",VLOOKUP($E$148,[1]UG!$A$2:$FA$69, 30, FALSE))</f>
        <v>:</v>
      </c>
      <c r="AF148" s="544" t="str">
        <f>IF(VLOOKUP($E$148,[1]UG!$A$2:$FA$69, 31, FALSE)="",":",VLOOKUP($E$148,[1]UG!$A$2:$FA$69, 31, FALSE))</f>
        <v>:</v>
      </c>
    </row>
    <row r="149" spans="1:32">
      <c r="A149" s="533"/>
      <c r="B149" s="534" t="s">
        <v>218</v>
      </c>
      <c r="C149" s="535" t="s">
        <v>217</v>
      </c>
      <c r="D149" s="12" t="s">
        <v>1214</v>
      </c>
      <c r="E149" s="13">
        <v>13</v>
      </c>
      <c r="F149" s="14" t="str">
        <f>VLOOKUP($E$149,[1]UG!$A$2:$FA$69, 3, FALSE)</f>
        <v>13 Other subsidies on production receivable D.39r</v>
      </c>
      <c r="G149" s="544">
        <f>IF(VLOOKUP($E$149,[1]UG!$A$2:$FA$69, 6, FALSE)="",":",VLOOKUP($E$149,[1]UG!$A$2:$FA$69, 6, FALSE))</f>
        <v>0</v>
      </c>
      <c r="H149" s="544">
        <f>IF(VLOOKUP($E$149,[1]UG!$A$2:$FA$69, 7, FALSE)="",":",VLOOKUP($E$149,[1]UG!$A$2:$FA$69, 7, FALSE))</f>
        <v>0</v>
      </c>
      <c r="I149" s="544">
        <f>IF(VLOOKUP($E$149,[1]UG!$A$2:$FA$69, 8, FALSE)="",":",VLOOKUP($E$149,[1]UG!$A$2:$FA$69, 8, FALSE))</f>
        <v>0</v>
      </c>
      <c r="J149" s="544">
        <f>IF(VLOOKUP($E$149,[1]UG!$A$2:$FA$69, 9, FALSE)="",":",VLOOKUP($E$149,[1]UG!$A$2:$FA$69, 9, FALSE))</f>
        <v>0</v>
      </c>
      <c r="K149" s="544">
        <f>IF(VLOOKUP($E$149,[1]UG!$A$2:$FA$69, 10, FALSE)="",":",VLOOKUP($E$149,[1]UG!$A$2:$FA$69, 10, FALSE))</f>
        <v>0</v>
      </c>
      <c r="L149" s="544">
        <f>IF(VLOOKUP($E$149,[1]UG!$A$2:$FA$69, 11, FALSE)="",":",VLOOKUP($E$149,[1]UG!$A$2:$FA$69, 11, FALSE))</f>
        <v>0</v>
      </c>
      <c r="M149" s="544">
        <f>IF(VLOOKUP($E$149,[1]UG!$A$2:$FA$69, 12, FALSE)="",":",VLOOKUP($E$149,[1]UG!$A$2:$FA$69, 12, FALSE))</f>
        <v>0</v>
      </c>
      <c r="N149" s="544">
        <f>IF(VLOOKUP($E$149,[1]UG!$A$2:$FA$69, 13, FALSE)="",":",VLOOKUP($E$149,[1]UG!$A$2:$FA$69, 13, FALSE))</f>
        <v>0</v>
      </c>
      <c r="O149" s="544">
        <f>IF(VLOOKUP($E$149,[1]UG!$A$2:$FA$69, 14, FALSE)="",":",VLOOKUP($E$149,[1]UG!$A$2:$FA$69, 14, FALSE))</f>
        <v>0</v>
      </c>
      <c r="P149" s="544">
        <f>IF(VLOOKUP($E$149,[1]UG!$A$2:$FA$69, 15, FALSE)="",":",VLOOKUP($E$149,[1]UG!$A$2:$FA$69, 15, FALSE))</f>
        <v>0</v>
      </c>
      <c r="Q149" s="544">
        <f>IF(VLOOKUP($E$149,[1]UG!$A$2:$FA$69, 16, FALSE)="",":",VLOOKUP($E$149,[1]UG!$A$2:$FA$69, 16, FALSE))</f>
        <v>0</v>
      </c>
      <c r="R149" s="544">
        <f>IF(VLOOKUP($E$149,[1]UG!$A$2:$FA$69, 17, FALSE)="",":",VLOOKUP($E$149,[1]UG!$A$2:$FA$69, 17, FALSE))</f>
        <v>0</v>
      </c>
      <c r="S149" s="544">
        <f>IF(VLOOKUP($E$149,[1]UG!$A$2:$FA$69, 18, FALSE)="",":",VLOOKUP($E$149,[1]UG!$A$2:$FA$69, 18, FALSE))</f>
        <v>0</v>
      </c>
      <c r="T149" s="544">
        <f>IF(VLOOKUP($E$149,[1]UG!$A$2:$FA$69, 19, FALSE)="",":",VLOOKUP($E$149,[1]UG!$A$2:$FA$69, 19, FALSE))</f>
        <v>0</v>
      </c>
      <c r="U149" s="544">
        <f>IF(VLOOKUP($E$149,[1]UG!$A$2:$FA$69, 20, FALSE)="",":",VLOOKUP($E$149,[1]UG!$A$2:$FA$69, 20, FALSE))</f>
        <v>0</v>
      </c>
      <c r="V149" s="544">
        <f>IF(VLOOKUP($E$149,[1]UG!$A$2:$FA$69, 21, FALSE)="",":",VLOOKUP($E$149,[1]UG!$A$2:$FA$69, 21, FALSE))</f>
        <v>0</v>
      </c>
      <c r="W149" s="544">
        <f>IF(VLOOKUP($E$149,[1]UG!$A$2:$FA$69, 22, FALSE)="",":",VLOOKUP($E$149,[1]UG!$A$2:$FA$69, 22, FALSE))</f>
        <v>0</v>
      </c>
      <c r="X149" s="544">
        <f>IF(VLOOKUP($E$149,[1]UG!$A$2:$FA$69, 23, FALSE)="",":",VLOOKUP($E$149,[1]UG!$A$2:$FA$69, 23, FALSE))</f>
        <v>0</v>
      </c>
      <c r="Y149" s="544">
        <f>IF(VLOOKUP($E$149,[1]UG!$A$2:$FA$69, 24, FALSE)="",":",VLOOKUP($E$149,[1]UG!$A$2:$FA$69, 24, FALSE))</f>
        <v>0</v>
      </c>
      <c r="Z149" s="544">
        <f>IF(VLOOKUP($E$149,[1]UG!$A$2:$FA$69, 25, FALSE)="",":",VLOOKUP($E$149,[1]UG!$A$2:$FA$69, 25, FALSE))</f>
        <v>0</v>
      </c>
      <c r="AA149" s="544">
        <f>IF(VLOOKUP($E$149,[1]UG!$A$2:$FA$69, 26, FALSE)="",":",VLOOKUP($E$149,[1]UG!$A$2:$FA$69, 26, FALSE))</f>
        <v>0</v>
      </c>
      <c r="AB149" s="544">
        <f>IF(VLOOKUP($E$149,[1]UG!$A$2:$FA$69, 27, FALSE)="",":",VLOOKUP($E$149,[1]UG!$A$2:$FA$69, 27, FALSE))</f>
        <v>0</v>
      </c>
      <c r="AC149" s="544" t="str">
        <f>IF(VLOOKUP($E$149,[1]UG!$A$2:$FA$69, 28, FALSE)="",":",VLOOKUP($E$149,[1]UG!$A$2:$FA$69, 28, FALSE))</f>
        <v>:</v>
      </c>
      <c r="AD149" s="544" t="str">
        <f>IF(VLOOKUP($E$149,[1]UG!$A$2:$FA$69, 29, FALSE)="",":",VLOOKUP($E$149,[1]UG!$A$2:$FA$69, 29, FALSE))</f>
        <v>:</v>
      </c>
      <c r="AE149" s="544" t="str">
        <f>IF(VLOOKUP($E$149,[1]UG!$A$2:$FA$69, 30, FALSE)="",":",VLOOKUP($E$149,[1]UG!$A$2:$FA$69, 30, FALSE))</f>
        <v>:</v>
      </c>
      <c r="AF149" s="544" t="str">
        <f>IF(VLOOKUP($E$149,[1]UG!$A$2:$FA$69, 31, FALSE)="",":",VLOOKUP($E$149,[1]UG!$A$2:$FA$69, 31, FALSE))</f>
        <v>:</v>
      </c>
    </row>
    <row r="150" spans="1:32">
      <c r="A150" s="533"/>
      <c r="B150" s="534"/>
      <c r="C150" s="535"/>
      <c r="D150" s="12"/>
      <c r="E150" s="13"/>
      <c r="F150" s="14"/>
      <c r="G150" s="544"/>
      <c r="H150" s="544"/>
      <c r="I150" s="544"/>
      <c r="J150" s="544"/>
      <c r="K150" s="544"/>
      <c r="L150" s="544"/>
      <c r="M150" s="544"/>
      <c r="N150" s="544"/>
      <c r="O150" s="544"/>
      <c r="P150" s="544"/>
      <c r="Q150" s="544"/>
      <c r="R150" s="544"/>
      <c r="S150" s="544"/>
      <c r="T150" s="544"/>
      <c r="U150" s="544"/>
      <c r="V150" s="544"/>
      <c r="W150" s="544"/>
      <c r="X150" s="544"/>
      <c r="Y150" s="544"/>
      <c r="Z150" s="544"/>
      <c r="AA150" s="544"/>
      <c r="AB150" s="544"/>
      <c r="AC150" s="544"/>
      <c r="AD150" s="544"/>
      <c r="AE150" s="544"/>
      <c r="AF150" s="544"/>
    </row>
    <row r="151" spans="1:32">
      <c r="A151" s="533"/>
      <c r="B151" s="534" t="s">
        <v>387</v>
      </c>
      <c r="C151" s="535" t="s">
        <v>2091</v>
      </c>
      <c r="D151" s="12" t="s">
        <v>1214</v>
      </c>
      <c r="E151" s="13">
        <v>16</v>
      </c>
      <c r="F151" s="14" t="str">
        <f>VLOOKUP($E$151,[1]UG!$A$2:$FA$69, 3, FALSE)</f>
        <v>16 Property income, receivable D.4r</v>
      </c>
      <c r="G151" s="544">
        <f>IF(VLOOKUP($E$151,[1]UG!$A$2:$FA$69, 6, FALSE)="",":",VLOOKUP($E$151,[1]UG!$A$2:$FA$69, 6, FALSE))</f>
        <v>27.74</v>
      </c>
      <c r="H151" s="544">
        <f>IF(VLOOKUP($E$151,[1]UG!$A$2:$FA$69, 7, FALSE)="",":",VLOOKUP($E$151,[1]UG!$A$2:$FA$69, 7, FALSE))</f>
        <v>30.05</v>
      </c>
      <c r="I151" s="544">
        <f>IF(VLOOKUP($E$151,[1]UG!$A$2:$FA$69, 8, FALSE)="",":",VLOOKUP($E$151,[1]UG!$A$2:$FA$69, 8, FALSE))</f>
        <v>54.47</v>
      </c>
      <c r="J151" s="544">
        <f>IF(VLOOKUP($E$151,[1]UG!$A$2:$FA$69, 9, FALSE)="",":",VLOOKUP($E$151,[1]UG!$A$2:$FA$69, 9, FALSE))</f>
        <v>152.41999999999999</v>
      </c>
      <c r="K151" s="544">
        <f>IF(VLOOKUP($E$151,[1]UG!$A$2:$FA$69, 10, FALSE)="",":",VLOOKUP($E$151,[1]UG!$A$2:$FA$69, 10, FALSE))</f>
        <v>150.72</v>
      </c>
      <c r="L151" s="544">
        <f>IF(VLOOKUP($E$151,[1]UG!$A$2:$FA$69, 11, FALSE)="",":",VLOOKUP($E$151,[1]UG!$A$2:$FA$69, 11, FALSE))</f>
        <v>172.79</v>
      </c>
      <c r="M151" s="544">
        <f>IF(VLOOKUP($E$151,[1]UG!$A$2:$FA$69, 12, FALSE)="",":",VLOOKUP($E$151,[1]UG!$A$2:$FA$69, 12, FALSE))</f>
        <v>212.27</v>
      </c>
      <c r="N151" s="544">
        <f>IF(VLOOKUP($E$151,[1]UG!$A$2:$FA$69, 13, FALSE)="",":",VLOOKUP($E$151,[1]UG!$A$2:$FA$69, 13, FALSE))</f>
        <v>167.36</v>
      </c>
      <c r="O151" s="544">
        <f>IF(VLOOKUP($E$151,[1]UG!$A$2:$FA$69, 14, FALSE)="",":",VLOOKUP($E$151,[1]UG!$A$2:$FA$69, 14, FALSE))</f>
        <v>155.13</v>
      </c>
      <c r="P151" s="544">
        <f>IF(VLOOKUP($E$151,[1]UG!$A$2:$FA$69, 15, FALSE)="",":",VLOOKUP($E$151,[1]UG!$A$2:$FA$69, 15, FALSE))</f>
        <v>143.69</v>
      </c>
      <c r="Q151" s="544">
        <f>IF(VLOOKUP($E$151,[1]UG!$A$2:$FA$69, 16, FALSE)="",":",VLOOKUP($E$151,[1]UG!$A$2:$FA$69, 16, FALSE))</f>
        <v>161.32</v>
      </c>
      <c r="R151" s="544">
        <f>IF(VLOOKUP($E$151,[1]UG!$A$2:$FA$69, 17, FALSE)="",":",VLOOKUP($E$151,[1]UG!$A$2:$FA$69, 17, FALSE))</f>
        <v>144.07</v>
      </c>
      <c r="S151" s="544">
        <f>IF(VLOOKUP($E$151,[1]UG!$A$2:$FA$69, 18, FALSE)="",":",VLOOKUP($E$151,[1]UG!$A$2:$FA$69, 18, FALSE))</f>
        <v>172.17</v>
      </c>
      <c r="T151" s="544">
        <f>IF(VLOOKUP($E$151,[1]UG!$A$2:$FA$69, 19, FALSE)="",":",VLOOKUP($E$151,[1]UG!$A$2:$FA$69, 19, FALSE))</f>
        <v>198.49</v>
      </c>
      <c r="U151" s="544">
        <f>IF(VLOOKUP($E$151,[1]UG!$A$2:$FA$69, 20, FALSE)="",":",VLOOKUP($E$151,[1]UG!$A$2:$FA$69, 20, FALSE))</f>
        <v>167.55</v>
      </c>
      <c r="V151" s="544">
        <f>IF(VLOOKUP($E$151,[1]UG!$A$2:$FA$69, 21, FALSE)="",":",VLOOKUP($E$151,[1]UG!$A$2:$FA$69, 21, FALSE))</f>
        <v>192.3</v>
      </c>
      <c r="W151" s="544">
        <f>IF(VLOOKUP($E$151,[1]UG!$A$2:$FA$69, 22, FALSE)="",":",VLOOKUP($E$151,[1]UG!$A$2:$FA$69, 22, FALSE))</f>
        <v>172.41</v>
      </c>
      <c r="X151" s="544">
        <f>IF(VLOOKUP($E$151,[1]UG!$A$2:$FA$69, 23, FALSE)="",":",VLOOKUP($E$151,[1]UG!$A$2:$FA$69, 23, FALSE))</f>
        <v>203.12</v>
      </c>
      <c r="Y151" s="544">
        <f>IF(VLOOKUP($E$151,[1]UG!$A$2:$FA$69, 24, FALSE)="",":",VLOOKUP($E$151,[1]UG!$A$2:$FA$69, 24, FALSE))</f>
        <v>128.08000000000001</v>
      </c>
      <c r="Z151" s="544">
        <f>IF(VLOOKUP($E$151,[1]UG!$A$2:$FA$69, 25, FALSE)="",":",VLOOKUP($E$151,[1]UG!$A$2:$FA$69, 25, FALSE))</f>
        <v>137.41</v>
      </c>
      <c r="AA151" s="544">
        <f>IF(VLOOKUP($E$151,[1]UG!$A$2:$FA$69, 26, FALSE)="",":",VLOOKUP($E$151,[1]UG!$A$2:$FA$69, 26, FALSE))</f>
        <v>148.58000000000001</v>
      </c>
      <c r="AB151" s="544">
        <f>IF(VLOOKUP($E$151,[1]UG!$A$2:$FA$69, 27, FALSE)="",":",VLOOKUP($E$151,[1]UG!$A$2:$FA$69, 27, FALSE))</f>
        <v>188.26</v>
      </c>
      <c r="AC151" s="544" t="str">
        <f>IF(VLOOKUP($E$151,[1]UG!$A$2:$FA$69, 28, FALSE)="",":",VLOOKUP($E$151,[1]UG!$A$2:$FA$69, 28, FALSE))</f>
        <v>:</v>
      </c>
      <c r="AD151" s="544" t="str">
        <f>IF(VLOOKUP($E$151,[1]UG!$A$2:$FA$69, 29, FALSE)="",":",VLOOKUP($E$151,[1]UG!$A$2:$FA$69, 29, FALSE))</f>
        <v>:</v>
      </c>
      <c r="AE151" s="544" t="str">
        <f>IF(VLOOKUP($E$151,[1]UG!$A$2:$FA$69, 30, FALSE)="",":",VLOOKUP($E$151,[1]UG!$A$2:$FA$69, 30, FALSE))</f>
        <v>:</v>
      </c>
      <c r="AF151" s="544" t="str">
        <f>IF(VLOOKUP($E$151,[1]UG!$A$2:$FA$69, 31, FALSE)="",":",VLOOKUP($E$151,[1]UG!$A$2:$FA$69, 31, FALSE))</f>
        <v>:</v>
      </c>
    </row>
    <row r="152" spans="1:32">
      <c r="A152" s="533"/>
      <c r="B152" s="534" t="s">
        <v>1646</v>
      </c>
      <c r="C152" s="535" t="s">
        <v>2092</v>
      </c>
      <c r="D152" s="12" t="s">
        <v>1214</v>
      </c>
      <c r="E152" s="13">
        <v>18</v>
      </c>
      <c r="F152" s="14" t="str">
        <f>VLOOKUP($E$152,[1]UG!$A$2:$FA$69, 3, FALSE)</f>
        <v>18 Property income, payable D.4p</v>
      </c>
      <c r="G152" s="544">
        <f>IF(VLOOKUP($E$152,[1]UG!$A$2:$FA$69, 6, FALSE)="",":",VLOOKUP($E$152,[1]UG!$A$2:$FA$69, 6, FALSE))</f>
        <v>26.94</v>
      </c>
      <c r="H152" s="544">
        <f>IF(VLOOKUP($E$152,[1]UG!$A$2:$FA$69, 7, FALSE)="",":",VLOOKUP($E$152,[1]UG!$A$2:$FA$69, 7, FALSE))</f>
        <v>80.97</v>
      </c>
      <c r="I152" s="544">
        <f>IF(VLOOKUP($E$152,[1]UG!$A$2:$FA$69, 8, FALSE)="",":",VLOOKUP($E$152,[1]UG!$A$2:$FA$69, 8, FALSE))</f>
        <v>85.84</v>
      </c>
      <c r="J152" s="544">
        <f>IF(VLOOKUP($E$152,[1]UG!$A$2:$FA$69, 9, FALSE)="",":",VLOOKUP($E$152,[1]UG!$A$2:$FA$69, 9, FALSE))</f>
        <v>147.53</v>
      </c>
      <c r="K152" s="544">
        <f>IF(VLOOKUP($E$152,[1]UG!$A$2:$FA$69, 10, FALSE)="",":",VLOOKUP($E$152,[1]UG!$A$2:$FA$69, 10, FALSE))</f>
        <v>186.94</v>
      </c>
      <c r="L152" s="544">
        <f>IF(VLOOKUP($E$152,[1]UG!$A$2:$FA$69, 11, FALSE)="",":",VLOOKUP($E$152,[1]UG!$A$2:$FA$69, 11, FALSE))</f>
        <v>231.7</v>
      </c>
      <c r="M152" s="544">
        <f>IF(VLOOKUP($E$152,[1]UG!$A$2:$FA$69, 12, FALSE)="",":",VLOOKUP($E$152,[1]UG!$A$2:$FA$69, 12, FALSE))</f>
        <v>213.52</v>
      </c>
      <c r="N152" s="544">
        <f>IF(VLOOKUP($E$152,[1]UG!$A$2:$FA$69, 13, FALSE)="",":",VLOOKUP($E$152,[1]UG!$A$2:$FA$69, 13, FALSE))</f>
        <v>198.41</v>
      </c>
      <c r="O152" s="544">
        <f>IF(VLOOKUP($E$152,[1]UG!$A$2:$FA$69, 14, FALSE)="",":",VLOOKUP($E$152,[1]UG!$A$2:$FA$69, 14, FALSE))</f>
        <v>205.81</v>
      </c>
      <c r="P152" s="544">
        <f>IF(VLOOKUP($E$152,[1]UG!$A$2:$FA$69, 15, FALSE)="",":",VLOOKUP($E$152,[1]UG!$A$2:$FA$69, 15, FALSE))</f>
        <v>163.72</v>
      </c>
      <c r="Q152" s="544">
        <f>IF(VLOOKUP($E$152,[1]UG!$A$2:$FA$69, 16, FALSE)="",":",VLOOKUP($E$152,[1]UG!$A$2:$FA$69, 16, FALSE))</f>
        <v>160.72999999999999</v>
      </c>
      <c r="R152" s="544">
        <f>IF(VLOOKUP($E$152,[1]UG!$A$2:$FA$69, 17, FALSE)="",":",VLOOKUP($E$152,[1]UG!$A$2:$FA$69, 17, FALSE))</f>
        <v>168.02</v>
      </c>
      <c r="S152" s="544">
        <f>IF(VLOOKUP($E$152,[1]UG!$A$2:$FA$69, 18, FALSE)="",":",VLOOKUP($E$152,[1]UG!$A$2:$FA$69, 18, FALSE))</f>
        <v>192.32</v>
      </c>
      <c r="T152" s="544">
        <f>IF(VLOOKUP($E$152,[1]UG!$A$2:$FA$69, 19, FALSE)="",":",VLOOKUP($E$152,[1]UG!$A$2:$FA$69, 19, FALSE))</f>
        <v>214.12</v>
      </c>
      <c r="U152" s="544">
        <f>IF(VLOOKUP($E$152,[1]UG!$A$2:$FA$69, 20, FALSE)="",":",VLOOKUP($E$152,[1]UG!$A$2:$FA$69, 20, FALSE))</f>
        <v>333.22</v>
      </c>
      <c r="V152" s="544">
        <f>IF(VLOOKUP($E$152,[1]UG!$A$2:$FA$69, 21, FALSE)="",":",VLOOKUP($E$152,[1]UG!$A$2:$FA$69, 21, FALSE))</f>
        <v>509.88</v>
      </c>
      <c r="W152" s="544">
        <f>IF(VLOOKUP($E$152,[1]UG!$A$2:$FA$69, 22, FALSE)="",":",VLOOKUP($E$152,[1]UG!$A$2:$FA$69, 22, FALSE))</f>
        <v>575.66999999999996</v>
      </c>
      <c r="X152" s="544">
        <f>IF(VLOOKUP($E$152,[1]UG!$A$2:$FA$69, 23, FALSE)="",":",VLOOKUP($E$152,[1]UG!$A$2:$FA$69, 23, FALSE))</f>
        <v>658.58</v>
      </c>
      <c r="Y152" s="544">
        <f>IF(VLOOKUP($E$152,[1]UG!$A$2:$FA$69, 24, FALSE)="",":",VLOOKUP($E$152,[1]UG!$A$2:$FA$69, 24, FALSE))</f>
        <v>614.82000000000005</v>
      </c>
      <c r="Z152" s="544">
        <f>IF(VLOOKUP($E$152,[1]UG!$A$2:$FA$69, 25, FALSE)="",":",VLOOKUP($E$152,[1]UG!$A$2:$FA$69, 25, FALSE))</f>
        <v>586.77</v>
      </c>
      <c r="AA152" s="544">
        <f>IF(VLOOKUP($E$152,[1]UG!$A$2:$FA$69, 26, FALSE)="",":",VLOOKUP($E$152,[1]UG!$A$2:$FA$69, 26, FALSE))</f>
        <v>568.69000000000005</v>
      </c>
      <c r="AB152" s="544">
        <f>IF(VLOOKUP($E$152,[1]UG!$A$2:$FA$69, 27, FALSE)="",":",VLOOKUP($E$152,[1]UG!$A$2:$FA$69, 27, FALSE))</f>
        <v>516.78</v>
      </c>
      <c r="AC152" s="544" t="str">
        <f>IF(VLOOKUP($E$152,[1]UG!$A$2:$FA$69, 28, FALSE)="",":",VLOOKUP($E$152,[1]UG!$A$2:$FA$69, 28, FALSE))</f>
        <v>:</v>
      </c>
      <c r="AD152" s="544" t="str">
        <f>IF(VLOOKUP($E$152,[1]UG!$A$2:$FA$69, 29, FALSE)="",":",VLOOKUP($E$152,[1]UG!$A$2:$FA$69, 29, FALSE))</f>
        <v>:</v>
      </c>
      <c r="AE152" s="544" t="str">
        <f>IF(VLOOKUP($E$152,[1]UG!$A$2:$FA$69, 30, FALSE)="",":",VLOOKUP($E$152,[1]UG!$A$2:$FA$69, 30, FALSE))</f>
        <v>:</v>
      </c>
      <c r="AF152" s="544" t="str">
        <f>IF(VLOOKUP($E$152,[1]UG!$A$2:$FA$69, 31, FALSE)="",":",VLOOKUP($E$152,[1]UG!$A$2:$FA$69, 31, FALSE))</f>
        <v>:</v>
      </c>
    </row>
    <row r="153" spans="1:32">
      <c r="A153" s="533">
        <v>122</v>
      </c>
      <c r="B153" s="534" t="s">
        <v>846</v>
      </c>
      <c r="C153" s="535" t="s">
        <v>2093</v>
      </c>
      <c r="D153" s="12" t="s">
        <v>1214</v>
      </c>
      <c r="E153" s="13">
        <v>19</v>
      </c>
      <c r="F153" s="14" t="str">
        <f>VLOOKUP($E$153,[1]UG!$A$2:$FA$69, 3, FALSE)</f>
        <v>19 Interest D.41p</v>
      </c>
      <c r="G153" s="544">
        <f>IF(VLOOKUP($E$153,[1]UG!$A$2:$FA$69, 6, FALSE)="",":",VLOOKUP($E$153,[1]UG!$A$2:$FA$69, 6, FALSE))</f>
        <v>26.94</v>
      </c>
      <c r="H153" s="544">
        <f>IF(VLOOKUP($E$153,[1]UG!$A$2:$FA$69, 7, FALSE)="",":",VLOOKUP($E$153,[1]UG!$A$2:$FA$69, 7, FALSE))</f>
        <v>80.97</v>
      </c>
      <c r="I153" s="544">
        <f>IF(VLOOKUP($E$153,[1]UG!$A$2:$FA$69, 8, FALSE)="",":",VLOOKUP($E$153,[1]UG!$A$2:$FA$69, 8, FALSE))</f>
        <v>85.84</v>
      </c>
      <c r="J153" s="544">
        <f>IF(VLOOKUP($E$153,[1]UG!$A$2:$FA$69, 9, FALSE)="",":",VLOOKUP($E$153,[1]UG!$A$2:$FA$69, 9, FALSE))</f>
        <v>147.53</v>
      </c>
      <c r="K153" s="544">
        <f>IF(VLOOKUP($E$153,[1]UG!$A$2:$FA$69, 10, FALSE)="",":",VLOOKUP($E$153,[1]UG!$A$2:$FA$69, 10, FALSE))</f>
        <v>186.94</v>
      </c>
      <c r="L153" s="544">
        <f>IF(VLOOKUP($E$153,[1]UG!$A$2:$FA$69, 11, FALSE)="",":",VLOOKUP($E$153,[1]UG!$A$2:$FA$69, 11, FALSE))</f>
        <v>231.7</v>
      </c>
      <c r="M153" s="544">
        <f>IF(VLOOKUP($E$153,[1]UG!$A$2:$FA$69, 12, FALSE)="",":",VLOOKUP($E$153,[1]UG!$A$2:$FA$69, 12, FALSE))</f>
        <v>213.52</v>
      </c>
      <c r="N153" s="544">
        <f>IF(VLOOKUP($E$153,[1]UG!$A$2:$FA$69, 13, FALSE)="",":",VLOOKUP($E$153,[1]UG!$A$2:$FA$69, 13, FALSE))</f>
        <v>198.41</v>
      </c>
      <c r="O153" s="544">
        <f>IF(VLOOKUP($E$153,[1]UG!$A$2:$FA$69, 14, FALSE)="",":",VLOOKUP($E$153,[1]UG!$A$2:$FA$69, 14, FALSE))</f>
        <v>205.81</v>
      </c>
      <c r="P153" s="544">
        <f>IF(VLOOKUP($E$153,[1]UG!$A$2:$FA$69, 15, FALSE)="",":",VLOOKUP($E$153,[1]UG!$A$2:$FA$69, 15, FALSE))</f>
        <v>163.71</v>
      </c>
      <c r="Q153" s="544">
        <f>IF(VLOOKUP($E$153,[1]UG!$A$2:$FA$69, 16, FALSE)="",":",VLOOKUP($E$153,[1]UG!$A$2:$FA$69, 16, FALSE))</f>
        <v>160.72</v>
      </c>
      <c r="R153" s="544">
        <f>IF(VLOOKUP($E$153,[1]UG!$A$2:$FA$69, 17, FALSE)="",":",VLOOKUP($E$153,[1]UG!$A$2:$FA$69, 17, FALSE))</f>
        <v>168.01</v>
      </c>
      <c r="S153" s="544">
        <f>IF(VLOOKUP($E$153,[1]UG!$A$2:$FA$69, 18, FALSE)="",":",VLOOKUP($E$153,[1]UG!$A$2:$FA$69, 18, FALSE))</f>
        <v>192.31</v>
      </c>
      <c r="T153" s="544">
        <f>IF(VLOOKUP($E$153,[1]UG!$A$2:$FA$69, 19, FALSE)="",":",VLOOKUP($E$153,[1]UG!$A$2:$FA$69, 19, FALSE))</f>
        <v>214.1</v>
      </c>
      <c r="U153" s="544">
        <f>IF(VLOOKUP($E$153,[1]UG!$A$2:$FA$69, 20, FALSE)="",":",VLOOKUP($E$153,[1]UG!$A$2:$FA$69, 20, FALSE))</f>
        <v>333.2</v>
      </c>
      <c r="V153" s="544">
        <f>IF(VLOOKUP($E$153,[1]UG!$A$2:$FA$69, 21, FALSE)="",":",VLOOKUP($E$153,[1]UG!$A$2:$FA$69, 21, FALSE))</f>
        <v>509.86</v>
      </c>
      <c r="W153" s="544">
        <f>IF(VLOOKUP($E$153,[1]UG!$A$2:$FA$69, 22, FALSE)="",":",VLOOKUP($E$153,[1]UG!$A$2:$FA$69, 22, FALSE))</f>
        <v>575.65</v>
      </c>
      <c r="X153" s="544">
        <f>IF(VLOOKUP($E$153,[1]UG!$A$2:$FA$69, 23, FALSE)="",":",VLOOKUP($E$153,[1]UG!$A$2:$FA$69, 23, FALSE))</f>
        <v>658.57</v>
      </c>
      <c r="Y153" s="544">
        <f>IF(VLOOKUP($E$153,[1]UG!$A$2:$FA$69, 24, FALSE)="",":",VLOOKUP($E$153,[1]UG!$A$2:$FA$69, 24, FALSE))</f>
        <v>614.80999999999995</v>
      </c>
      <c r="Z153" s="544">
        <f>IF(VLOOKUP($E$153,[1]UG!$A$2:$FA$69, 25, FALSE)="",":",VLOOKUP($E$153,[1]UG!$A$2:$FA$69, 25, FALSE))</f>
        <v>586.76</v>
      </c>
      <c r="AA153" s="544">
        <f>IF(VLOOKUP($E$153,[1]UG!$A$2:$FA$69, 26, FALSE)="",":",VLOOKUP($E$153,[1]UG!$A$2:$FA$69, 26, FALSE))</f>
        <v>568.67999999999995</v>
      </c>
      <c r="AB153" s="544">
        <f>IF(VLOOKUP($E$153,[1]UG!$A$2:$FA$69, 27, FALSE)="",":",VLOOKUP($E$153,[1]UG!$A$2:$FA$69, 27, FALSE))</f>
        <v>516.77</v>
      </c>
      <c r="AC153" s="544" t="str">
        <f>IF(VLOOKUP($E$153,[1]UG!$A$2:$FA$69, 28, FALSE)="",":",VLOOKUP($E$153,[1]UG!$A$2:$FA$69, 28, FALSE))</f>
        <v>:</v>
      </c>
      <c r="AD153" s="544" t="str">
        <f>IF(VLOOKUP($E$153,[1]UG!$A$2:$FA$69, 29, FALSE)="",":",VLOOKUP($E$153,[1]UG!$A$2:$FA$69, 29, FALSE))</f>
        <v>:</v>
      </c>
      <c r="AE153" s="544" t="str">
        <f>IF(VLOOKUP($E$153,[1]UG!$A$2:$FA$69, 30, FALSE)="",":",VLOOKUP($E$153,[1]UG!$A$2:$FA$69, 30, FALSE))</f>
        <v>:</v>
      </c>
      <c r="AF153" s="544" t="str">
        <f>IF(VLOOKUP($E$153,[1]UG!$A$2:$FA$69, 31, FALSE)="",":",VLOOKUP($E$153,[1]UG!$A$2:$FA$69, 31, FALSE))</f>
        <v>:</v>
      </c>
    </row>
    <row r="154" spans="1:32" s="540" customFormat="1">
      <c r="A154" s="536"/>
      <c r="B154" s="537" t="s">
        <v>854</v>
      </c>
      <c r="C154" s="538" t="s">
        <v>853</v>
      </c>
      <c r="D154" s="12"/>
      <c r="E154" s="529"/>
      <c r="F154" s="539"/>
      <c r="G154" s="545">
        <f>+G152-G153</f>
        <v>0</v>
      </c>
      <c r="H154" s="545">
        <f t="shared" ref="H154:AF154" si="7">+H152-H153</f>
        <v>0</v>
      </c>
      <c r="I154" s="545">
        <f t="shared" si="7"/>
        <v>0</v>
      </c>
      <c r="J154" s="545">
        <f t="shared" si="7"/>
        <v>0</v>
      </c>
      <c r="K154" s="545">
        <f t="shared" si="7"/>
        <v>0</v>
      </c>
      <c r="L154" s="545">
        <f t="shared" si="7"/>
        <v>0</v>
      </c>
      <c r="M154" s="545">
        <f t="shared" si="7"/>
        <v>0</v>
      </c>
      <c r="N154" s="545">
        <f t="shared" si="7"/>
        <v>0</v>
      </c>
      <c r="O154" s="545">
        <f t="shared" si="7"/>
        <v>0</v>
      </c>
      <c r="P154" s="545">
        <f t="shared" si="7"/>
        <v>9.9999999999909051E-3</v>
      </c>
      <c r="Q154" s="545">
        <f t="shared" si="7"/>
        <v>9.9999999999909051E-3</v>
      </c>
      <c r="R154" s="545">
        <f t="shared" si="7"/>
        <v>1.0000000000019327E-2</v>
      </c>
      <c r="S154" s="545">
        <f t="shared" si="7"/>
        <v>9.9999999999909051E-3</v>
      </c>
      <c r="T154" s="545">
        <f t="shared" si="7"/>
        <v>2.0000000000010232E-2</v>
      </c>
      <c r="U154" s="545">
        <f t="shared" si="7"/>
        <v>2.0000000000038654E-2</v>
      </c>
      <c r="V154" s="545">
        <f t="shared" si="7"/>
        <v>1.999999999998181E-2</v>
      </c>
      <c r="W154" s="545">
        <f t="shared" si="7"/>
        <v>1.999999999998181E-2</v>
      </c>
      <c r="X154" s="545">
        <f t="shared" si="7"/>
        <v>9.9999999999909051E-3</v>
      </c>
      <c r="Y154" s="545">
        <f t="shared" si="7"/>
        <v>1.0000000000104592E-2</v>
      </c>
      <c r="Z154" s="545">
        <f t="shared" si="7"/>
        <v>9.9999999999909051E-3</v>
      </c>
      <c r="AA154" s="545">
        <f t="shared" si="7"/>
        <v>1.0000000000104592E-2</v>
      </c>
      <c r="AB154" s="545">
        <f t="shared" si="7"/>
        <v>9.9999999999909051E-3</v>
      </c>
      <c r="AC154" s="545" t="e">
        <f t="shared" si="7"/>
        <v>#VALUE!</v>
      </c>
      <c r="AD154" s="545" t="e">
        <f t="shared" si="7"/>
        <v>#VALUE!</v>
      </c>
      <c r="AE154" s="545" t="e">
        <f t="shared" si="7"/>
        <v>#VALUE!</v>
      </c>
      <c r="AF154" s="545" t="e">
        <f t="shared" si="7"/>
        <v>#VALUE!</v>
      </c>
    </row>
    <row r="155" spans="1:32">
      <c r="A155" s="533"/>
      <c r="B155" s="534"/>
      <c r="C155" s="535"/>
      <c r="D155" s="12"/>
      <c r="E155" s="13"/>
      <c r="F155" s="14"/>
      <c r="G155" s="544"/>
      <c r="H155" s="544"/>
      <c r="I155" s="544"/>
      <c r="J155" s="544"/>
      <c r="K155" s="544"/>
      <c r="L155" s="544"/>
      <c r="M155" s="544"/>
      <c r="N155" s="544"/>
      <c r="O155" s="544"/>
      <c r="P155" s="544"/>
      <c r="Q155" s="544"/>
      <c r="R155" s="544"/>
      <c r="S155" s="544"/>
      <c r="T155" s="544"/>
      <c r="U155" s="544"/>
      <c r="V155" s="544"/>
      <c r="W155" s="544"/>
      <c r="X155" s="544"/>
      <c r="Y155" s="544"/>
      <c r="Z155" s="544"/>
      <c r="AA155" s="544"/>
      <c r="AB155" s="544"/>
      <c r="AC155" s="544"/>
      <c r="AD155" s="544"/>
      <c r="AE155" s="544"/>
      <c r="AF155" s="544"/>
    </row>
    <row r="156" spans="1:32">
      <c r="A156" s="533">
        <v>114</v>
      </c>
      <c r="B156" s="534" t="s">
        <v>1803</v>
      </c>
      <c r="C156" s="535" t="s">
        <v>2089</v>
      </c>
      <c r="D156" s="12" t="s">
        <v>1214</v>
      </c>
      <c r="E156" s="13">
        <v>22</v>
      </c>
      <c r="F156" s="14" t="str">
        <f>VLOOKUP($E$156,[1]UG!$A$2:$FA$69, 3, FALSE)</f>
        <v>22 Current taxes on income and wealth, receivable D.5r</v>
      </c>
      <c r="G156" s="544">
        <f>IF(VLOOKUP($E$156,[1]UG!$A$2:$FA$69, 6, FALSE)="",":",VLOOKUP($E$156,[1]UG!$A$2:$FA$69, 6, FALSE))</f>
        <v>652.82000000000005</v>
      </c>
      <c r="H156" s="544">
        <f>IF(VLOOKUP($E$156,[1]UG!$A$2:$FA$69, 7, FALSE)="",":",VLOOKUP($E$156,[1]UG!$A$2:$FA$69, 7, FALSE))</f>
        <v>777.39</v>
      </c>
      <c r="I156" s="544">
        <f>IF(VLOOKUP($E$156,[1]UG!$A$2:$FA$69, 8, FALSE)="",":",VLOOKUP($E$156,[1]UG!$A$2:$FA$69, 8, FALSE))</f>
        <v>1025.21</v>
      </c>
      <c r="J156" s="544">
        <f>IF(VLOOKUP($E$156,[1]UG!$A$2:$FA$69, 9, FALSE)="",":",VLOOKUP($E$156,[1]UG!$A$2:$FA$69, 9, FALSE))</f>
        <v>1170.3900000000001</v>
      </c>
      <c r="K156" s="544">
        <f>IF(VLOOKUP($E$156,[1]UG!$A$2:$FA$69, 10, FALSE)="",":",VLOOKUP($E$156,[1]UG!$A$2:$FA$69, 10, FALSE))</f>
        <v>1159.6099999999999</v>
      </c>
      <c r="L156" s="544">
        <f>IF(VLOOKUP($E$156,[1]UG!$A$2:$FA$69, 11, FALSE)="",":",VLOOKUP($E$156,[1]UG!$A$2:$FA$69, 11, FALSE))</f>
        <v>1118.5</v>
      </c>
      <c r="M156" s="544">
        <f>IF(VLOOKUP($E$156,[1]UG!$A$2:$FA$69, 12, FALSE)="",":",VLOOKUP($E$156,[1]UG!$A$2:$FA$69, 12, FALSE))</f>
        <v>1101.47</v>
      </c>
      <c r="N156" s="544">
        <f>IF(VLOOKUP($E$156,[1]UG!$A$2:$FA$69, 13, FALSE)="",":",VLOOKUP($E$156,[1]UG!$A$2:$FA$69, 13, FALSE))</f>
        <v>1128.1500000000001</v>
      </c>
      <c r="O156" s="544">
        <f>IF(VLOOKUP($E$156,[1]UG!$A$2:$FA$69, 14, FALSE)="",":",VLOOKUP($E$156,[1]UG!$A$2:$FA$69, 14, FALSE))</f>
        <v>1313.76</v>
      </c>
      <c r="P156" s="544">
        <f>IF(VLOOKUP($E$156,[1]UG!$A$2:$FA$69, 15, FALSE)="",":",VLOOKUP($E$156,[1]UG!$A$2:$FA$69, 15, FALSE))</f>
        <v>1578.97</v>
      </c>
      <c r="Q156" s="544">
        <f>IF(VLOOKUP($E$156,[1]UG!$A$2:$FA$69, 16, FALSE)="",":",VLOOKUP($E$156,[1]UG!$A$2:$FA$69, 16, FALSE))</f>
        <v>1878.48</v>
      </c>
      <c r="R156" s="544">
        <f>IF(VLOOKUP($E$156,[1]UG!$A$2:$FA$69, 17, FALSE)="",":",VLOOKUP($E$156,[1]UG!$A$2:$FA$69, 17, FALSE))</f>
        <v>2299.4699999999998</v>
      </c>
      <c r="S156" s="544">
        <f>IF(VLOOKUP($E$156,[1]UG!$A$2:$FA$69, 18, FALSE)="",":",VLOOKUP($E$156,[1]UG!$A$2:$FA$69, 18, FALSE))</f>
        <v>2633.69</v>
      </c>
      <c r="T156" s="544">
        <f>IF(VLOOKUP($E$156,[1]UG!$A$2:$FA$69, 19, FALSE)="",":",VLOOKUP($E$156,[1]UG!$A$2:$FA$69, 19, FALSE))</f>
        <v>3016.6</v>
      </c>
      <c r="U156" s="544">
        <f>IF(VLOOKUP($E$156,[1]UG!$A$2:$FA$69, 20, FALSE)="",":",VLOOKUP($E$156,[1]UG!$A$2:$FA$69, 20, FALSE))</f>
        <v>1598.31</v>
      </c>
      <c r="V156" s="544">
        <f>IF(VLOOKUP($E$156,[1]UG!$A$2:$FA$69, 21, FALSE)="",":",VLOOKUP($E$156,[1]UG!$A$2:$FA$69, 21, FALSE))</f>
        <v>1294.05</v>
      </c>
      <c r="W156" s="544">
        <f>IF(VLOOKUP($E$156,[1]UG!$A$2:$FA$69, 22, FALSE)="",":",VLOOKUP($E$156,[1]UG!$A$2:$FA$69, 22, FALSE))</f>
        <v>1359.08</v>
      </c>
      <c r="X156" s="544">
        <f>IF(VLOOKUP($E$156,[1]UG!$A$2:$FA$69, 23, FALSE)="",":",VLOOKUP($E$156,[1]UG!$A$2:$FA$69, 23, FALSE))</f>
        <v>1607.55</v>
      </c>
      <c r="Y156" s="544">
        <f>IF(VLOOKUP($E$156,[1]UG!$A$2:$FA$69, 24, FALSE)="",":",VLOOKUP($E$156,[1]UG!$A$2:$FA$69, 24, FALSE))</f>
        <v>1736.19</v>
      </c>
      <c r="Z156" s="544">
        <f>IF(VLOOKUP($E$156,[1]UG!$A$2:$FA$69, 25, FALSE)="",":",VLOOKUP($E$156,[1]UG!$A$2:$FA$69, 25, FALSE))</f>
        <v>1836.73</v>
      </c>
      <c r="AA156" s="544">
        <f>IF(VLOOKUP($E$156,[1]UG!$A$2:$FA$69, 26, FALSE)="",":",VLOOKUP($E$156,[1]UG!$A$2:$FA$69, 26, FALSE))</f>
        <v>2032.19</v>
      </c>
      <c r="AB156" s="544">
        <f>IF(VLOOKUP($E$156,[1]UG!$A$2:$FA$69, 27, FALSE)="",":",VLOOKUP($E$156,[1]UG!$A$2:$FA$69, 27, FALSE))</f>
        <v>2194.5</v>
      </c>
      <c r="AC156" s="544" t="str">
        <f>IF(VLOOKUP($E$156,[1]UG!$A$2:$FA$69, 28, FALSE)="",":",VLOOKUP($E$156,[1]UG!$A$2:$FA$69, 28, FALSE))</f>
        <v>:</v>
      </c>
      <c r="AD156" s="544" t="str">
        <f>IF(VLOOKUP($E$156,[1]UG!$A$2:$FA$69, 29, FALSE)="",":",VLOOKUP($E$156,[1]UG!$A$2:$FA$69, 29, FALSE))</f>
        <v>:</v>
      </c>
      <c r="AE156" s="544" t="str">
        <f>IF(VLOOKUP($E$156,[1]UG!$A$2:$FA$69, 30, FALSE)="",":",VLOOKUP($E$156,[1]UG!$A$2:$FA$69, 30, FALSE))</f>
        <v>:</v>
      </c>
      <c r="AF156" s="544" t="str">
        <f>IF(VLOOKUP($E$156,[1]UG!$A$2:$FA$69, 31, FALSE)="",":",VLOOKUP($E$156,[1]UG!$A$2:$FA$69, 31, FALSE))</f>
        <v>:</v>
      </c>
    </row>
    <row r="157" spans="1:32">
      <c r="A157" s="533"/>
      <c r="B157" s="534" t="s">
        <v>384</v>
      </c>
      <c r="C157" s="535" t="s">
        <v>2090</v>
      </c>
      <c r="D157" s="12" t="s">
        <v>1214</v>
      </c>
      <c r="E157" s="13">
        <v>27</v>
      </c>
      <c r="F157" s="14" t="str">
        <f>VLOOKUP($E$157,[1]UG!$A$2:$FA$69, 3, FALSE)</f>
        <v>27 Current taxes on income and wealth, payable D.5p</v>
      </c>
      <c r="G157" s="544">
        <f>IF(VLOOKUP($E$157,[1]UG!$A$2:$FA$69, 6, FALSE)="",":",VLOOKUP($E$157,[1]UG!$A$2:$FA$69, 6, FALSE))</f>
        <v>0</v>
      </c>
      <c r="H157" s="544">
        <f>IF(VLOOKUP($E$157,[1]UG!$A$2:$FA$69, 7, FALSE)="",":",VLOOKUP($E$157,[1]UG!$A$2:$FA$69, 7, FALSE))</f>
        <v>0</v>
      </c>
      <c r="I157" s="544">
        <f>IF(VLOOKUP($E$157,[1]UG!$A$2:$FA$69, 8, FALSE)="",":",VLOOKUP($E$157,[1]UG!$A$2:$FA$69, 8, FALSE))</f>
        <v>0</v>
      </c>
      <c r="J157" s="544">
        <f>IF(VLOOKUP($E$157,[1]UG!$A$2:$FA$69, 9, FALSE)="",":",VLOOKUP($E$157,[1]UG!$A$2:$FA$69, 9, FALSE))</f>
        <v>0</v>
      </c>
      <c r="K157" s="544">
        <f>IF(VLOOKUP($E$157,[1]UG!$A$2:$FA$69, 10, FALSE)="",":",VLOOKUP($E$157,[1]UG!$A$2:$FA$69, 10, FALSE))</f>
        <v>0</v>
      </c>
      <c r="L157" s="544">
        <f>IF(VLOOKUP($E$157,[1]UG!$A$2:$FA$69, 11, FALSE)="",":",VLOOKUP($E$157,[1]UG!$A$2:$FA$69, 11, FALSE))</f>
        <v>0</v>
      </c>
      <c r="M157" s="544">
        <f>IF(VLOOKUP($E$157,[1]UG!$A$2:$FA$69, 12, FALSE)="",":",VLOOKUP($E$157,[1]UG!$A$2:$FA$69, 12, FALSE))</f>
        <v>0</v>
      </c>
      <c r="N157" s="544">
        <f>IF(VLOOKUP($E$157,[1]UG!$A$2:$FA$69, 13, FALSE)="",":",VLOOKUP($E$157,[1]UG!$A$2:$FA$69, 13, FALSE))</f>
        <v>3.0000000000000002E-2</v>
      </c>
      <c r="O157" s="544">
        <f>IF(VLOOKUP($E$157,[1]UG!$A$2:$FA$69, 14, FALSE)="",":",VLOOKUP($E$157,[1]UG!$A$2:$FA$69, 14, FALSE))</f>
        <v>0.15000000000000002</v>
      </c>
      <c r="P157" s="544">
        <f>IF(VLOOKUP($E$157,[1]UG!$A$2:$FA$69, 15, FALSE)="",":",VLOOKUP($E$157,[1]UG!$A$2:$FA$69, 15, FALSE))</f>
        <v>0.32</v>
      </c>
      <c r="Q157" s="544">
        <f>IF(VLOOKUP($E$157,[1]UG!$A$2:$FA$69, 16, FALSE)="",":",VLOOKUP($E$157,[1]UG!$A$2:$FA$69, 16, FALSE))</f>
        <v>0.24000000000000002</v>
      </c>
      <c r="R157" s="544">
        <f>IF(VLOOKUP($E$157,[1]UG!$A$2:$FA$69, 17, FALSE)="",":",VLOOKUP($E$157,[1]UG!$A$2:$FA$69, 17, FALSE))</f>
        <v>0.94000000000000006</v>
      </c>
      <c r="S157" s="544">
        <f>IF(VLOOKUP($E$157,[1]UG!$A$2:$FA$69, 18, FALSE)="",":",VLOOKUP($E$157,[1]UG!$A$2:$FA$69, 18, FALSE))</f>
        <v>0.93</v>
      </c>
      <c r="T157" s="544">
        <f>IF(VLOOKUP($E$157,[1]UG!$A$2:$FA$69, 19, FALSE)="",":",VLOOKUP($E$157,[1]UG!$A$2:$FA$69, 19, FALSE))</f>
        <v>1.69</v>
      </c>
      <c r="U157" s="544">
        <f>IF(VLOOKUP($E$157,[1]UG!$A$2:$FA$69, 20, FALSE)="",":",VLOOKUP($E$157,[1]UG!$A$2:$FA$69, 20, FALSE))</f>
        <v>0.72000000000000008</v>
      </c>
      <c r="V157" s="544">
        <f>IF(VLOOKUP($E$157,[1]UG!$A$2:$FA$69, 21, FALSE)="",":",VLOOKUP($E$157,[1]UG!$A$2:$FA$69, 21, FALSE))</f>
        <v>0.30000000000000004</v>
      </c>
      <c r="W157" s="544">
        <f>IF(VLOOKUP($E$157,[1]UG!$A$2:$FA$69, 22, FALSE)="",":",VLOOKUP($E$157,[1]UG!$A$2:$FA$69, 22, FALSE))</f>
        <v>0.91</v>
      </c>
      <c r="X157" s="544">
        <f>IF(VLOOKUP($E$157,[1]UG!$A$2:$FA$69, 23, FALSE)="",":",VLOOKUP($E$157,[1]UG!$A$2:$FA$69, 23, FALSE))</f>
        <v>2.71</v>
      </c>
      <c r="Y157" s="544">
        <f>IF(VLOOKUP($E$157,[1]UG!$A$2:$FA$69, 24, FALSE)="",":",VLOOKUP($E$157,[1]UG!$A$2:$FA$69, 24, FALSE))</f>
        <v>1.42</v>
      </c>
      <c r="Z157" s="544">
        <f>IF(VLOOKUP($E$157,[1]UG!$A$2:$FA$69, 25, FALSE)="",":",VLOOKUP($E$157,[1]UG!$A$2:$FA$69, 25, FALSE))</f>
        <v>1.25</v>
      </c>
      <c r="AA157" s="544">
        <f>IF(VLOOKUP($E$157,[1]UG!$A$2:$FA$69, 26, FALSE)="",":",VLOOKUP($E$157,[1]UG!$A$2:$FA$69, 26, FALSE))</f>
        <v>1.22</v>
      </c>
      <c r="AB157" s="544">
        <f>IF(VLOOKUP($E$157,[1]UG!$A$2:$FA$69, 27, FALSE)="",":",VLOOKUP($E$157,[1]UG!$A$2:$FA$69, 27, FALSE))</f>
        <v>2.09</v>
      </c>
      <c r="AC157" s="544" t="str">
        <f>IF(VLOOKUP($E$157,[1]UG!$A$2:$FA$69, 28, FALSE)="",":",VLOOKUP($E$157,[1]UG!$A$2:$FA$69, 28, FALSE))</f>
        <v>:</v>
      </c>
      <c r="AD157" s="544" t="str">
        <f>IF(VLOOKUP($E$157,[1]UG!$A$2:$FA$69, 29, FALSE)="",":",VLOOKUP($E$157,[1]UG!$A$2:$FA$69, 29, FALSE))</f>
        <v>:</v>
      </c>
      <c r="AE157" s="544" t="str">
        <f>IF(VLOOKUP($E$157,[1]UG!$A$2:$FA$69, 30, FALSE)="",":",VLOOKUP($E$157,[1]UG!$A$2:$FA$69, 30, FALSE))</f>
        <v>:</v>
      </c>
      <c r="AF157" s="544" t="str">
        <f>IF(VLOOKUP($E$157,[1]UG!$A$2:$FA$69, 31, FALSE)="",":",VLOOKUP($E$157,[1]UG!$A$2:$FA$69, 31, FALSE))</f>
        <v>:</v>
      </c>
    </row>
    <row r="158" spans="1:32">
      <c r="A158" s="533"/>
      <c r="B158" s="534" t="s">
        <v>385</v>
      </c>
      <c r="C158" s="535" t="s">
        <v>1526</v>
      </c>
      <c r="D158" s="12" t="s">
        <v>1214</v>
      </c>
      <c r="E158" s="13">
        <v>25</v>
      </c>
      <c r="F158" s="14" t="str">
        <f>VLOOKUP($E$158,[1]UG!$A$2:$FA$69, 3, FALSE)</f>
        <v>25 Imputed social contributions D.612</v>
      </c>
      <c r="G158" s="544">
        <f>IF(VLOOKUP($E$158,[1]UG!$A$2:$FA$69, 6, FALSE)="",":",VLOOKUP($E$158,[1]UG!$A$2:$FA$69, 6, FALSE))</f>
        <v>1.24</v>
      </c>
      <c r="H158" s="544">
        <f>IF(VLOOKUP($E$158,[1]UG!$A$2:$FA$69, 7, FALSE)="",":",VLOOKUP($E$158,[1]UG!$A$2:$FA$69, 7, FALSE))</f>
        <v>1.69</v>
      </c>
      <c r="I158" s="544">
        <f>IF(VLOOKUP($E$158,[1]UG!$A$2:$FA$69, 8, FALSE)="",":",VLOOKUP($E$158,[1]UG!$A$2:$FA$69, 8, FALSE))</f>
        <v>2.13</v>
      </c>
      <c r="J158" s="544">
        <f>IF(VLOOKUP($E$158,[1]UG!$A$2:$FA$69, 9, FALSE)="",":",VLOOKUP($E$158,[1]UG!$A$2:$FA$69, 9, FALSE))</f>
        <v>2.7</v>
      </c>
      <c r="K158" s="544">
        <f>IF(VLOOKUP($E$158,[1]UG!$A$2:$FA$69, 10, FALSE)="",":",VLOOKUP($E$158,[1]UG!$A$2:$FA$69, 10, FALSE))</f>
        <v>2.8</v>
      </c>
      <c r="L158" s="544">
        <f>IF(VLOOKUP($E$158,[1]UG!$A$2:$FA$69, 11, FALSE)="",":",VLOOKUP($E$158,[1]UG!$A$2:$FA$69, 11, FALSE))</f>
        <v>2.6100000000000003</v>
      </c>
      <c r="M158" s="544">
        <f>IF(VLOOKUP($E$158,[1]UG!$A$2:$FA$69, 12, FALSE)="",":",VLOOKUP($E$158,[1]UG!$A$2:$FA$69, 12, FALSE))</f>
        <v>2.68</v>
      </c>
      <c r="N158" s="544">
        <f>IF(VLOOKUP($E$158,[1]UG!$A$2:$FA$69, 13, FALSE)="",":",VLOOKUP($E$158,[1]UG!$A$2:$FA$69, 13, FALSE))</f>
        <v>2.7800000000000002</v>
      </c>
      <c r="O158" s="544">
        <f>IF(VLOOKUP($E$158,[1]UG!$A$2:$FA$69, 14, FALSE)="",":",VLOOKUP($E$158,[1]UG!$A$2:$FA$69, 14, FALSE))</f>
        <v>2.89</v>
      </c>
      <c r="P158" s="544">
        <f>IF(VLOOKUP($E$158,[1]UG!$A$2:$FA$69, 15, FALSE)="",":",VLOOKUP($E$158,[1]UG!$A$2:$FA$69, 15, FALSE))</f>
        <v>52.05</v>
      </c>
      <c r="Q158" s="544">
        <f>IF(VLOOKUP($E$158,[1]UG!$A$2:$FA$69, 16, FALSE)="",":",VLOOKUP($E$158,[1]UG!$A$2:$FA$69, 16, FALSE))</f>
        <v>60.58</v>
      </c>
      <c r="R158" s="544">
        <f>IF(VLOOKUP($E$158,[1]UG!$A$2:$FA$69, 17, FALSE)="",":",VLOOKUP($E$158,[1]UG!$A$2:$FA$69, 17, FALSE))</f>
        <v>72.12</v>
      </c>
      <c r="S158" s="544">
        <f>IF(VLOOKUP($E$158,[1]UG!$A$2:$FA$69, 18, FALSE)="",":",VLOOKUP($E$158,[1]UG!$A$2:$FA$69, 18, FALSE))</f>
        <v>90.97</v>
      </c>
      <c r="T158" s="544">
        <f>IF(VLOOKUP($E$158,[1]UG!$A$2:$FA$69, 19, FALSE)="",":",VLOOKUP($E$158,[1]UG!$A$2:$FA$69, 19, FALSE))</f>
        <v>111.68</v>
      </c>
      <c r="U158" s="544">
        <f>IF(VLOOKUP($E$158,[1]UG!$A$2:$FA$69, 20, FALSE)="",":",VLOOKUP($E$158,[1]UG!$A$2:$FA$69, 20, FALSE))</f>
        <v>118.32</v>
      </c>
      <c r="V158" s="544">
        <f>IF(VLOOKUP($E$158,[1]UG!$A$2:$FA$69, 21, FALSE)="",":",VLOOKUP($E$158,[1]UG!$A$2:$FA$69, 21, FALSE))</f>
        <v>102.93</v>
      </c>
      <c r="W158" s="544">
        <f>IF(VLOOKUP($E$158,[1]UG!$A$2:$FA$69, 22, FALSE)="",":",VLOOKUP($E$158,[1]UG!$A$2:$FA$69, 22, FALSE))</f>
        <v>107.77</v>
      </c>
      <c r="X158" s="544">
        <f>IF(VLOOKUP($E$158,[1]UG!$A$2:$FA$69, 23, FALSE)="",":",VLOOKUP($E$158,[1]UG!$A$2:$FA$69, 23, FALSE))</f>
        <v>113.47</v>
      </c>
      <c r="Y158" s="544">
        <f>IF(VLOOKUP($E$158,[1]UG!$A$2:$FA$69, 24, FALSE)="",":",VLOOKUP($E$158,[1]UG!$A$2:$FA$69, 24, FALSE))</f>
        <v>98.51</v>
      </c>
      <c r="Z158" s="544">
        <f>IF(VLOOKUP($E$158,[1]UG!$A$2:$FA$69, 25, FALSE)="",":",VLOOKUP($E$158,[1]UG!$A$2:$FA$69, 25, FALSE))</f>
        <v>109.11</v>
      </c>
      <c r="AA158" s="544">
        <f>IF(VLOOKUP($E$158,[1]UG!$A$2:$FA$69, 26, FALSE)="",":",VLOOKUP($E$158,[1]UG!$A$2:$FA$69, 26, FALSE))</f>
        <v>116.24</v>
      </c>
      <c r="AB158" s="544">
        <f>IF(VLOOKUP($E$158,[1]UG!$A$2:$FA$69, 27, FALSE)="",":",VLOOKUP($E$158,[1]UG!$A$2:$FA$69, 27, FALSE))</f>
        <v>128.31</v>
      </c>
      <c r="AC158" s="544" t="str">
        <f>IF(VLOOKUP($E$158,[1]UG!$A$2:$FA$69, 28, FALSE)="",":",VLOOKUP($E$158,[1]UG!$A$2:$FA$69, 28, FALSE))</f>
        <v>:</v>
      </c>
      <c r="AD158" s="544" t="str">
        <f>IF(VLOOKUP($E$158,[1]UG!$A$2:$FA$69, 29, FALSE)="",":",VLOOKUP($E$158,[1]UG!$A$2:$FA$69, 29, FALSE))</f>
        <v>:</v>
      </c>
      <c r="AE158" s="544" t="str">
        <f>IF(VLOOKUP($E$158,[1]UG!$A$2:$FA$69, 30, FALSE)="",":",VLOOKUP($E$158,[1]UG!$A$2:$FA$69, 30, FALSE))</f>
        <v>:</v>
      </c>
      <c r="AF158" s="544" t="str">
        <f>IF(VLOOKUP($E$158,[1]UG!$A$2:$FA$69, 31, FALSE)="",":",VLOOKUP($E$158,[1]UG!$A$2:$FA$69, 31, FALSE))</f>
        <v>:</v>
      </c>
    </row>
    <row r="159" spans="1:32">
      <c r="A159" s="533">
        <v>116</v>
      </c>
      <c r="B159" s="534" t="s">
        <v>2006</v>
      </c>
      <c r="C159" s="1346" t="s">
        <v>2097</v>
      </c>
      <c r="D159" s="12" t="s">
        <v>1214</v>
      </c>
      <c r="E159" s="13">
        <v>24</v>
      </c>
      <c r="F159" s="14" t="str">
        <f>VLOOKUP($E$159,[1]UG!$A$2:$FA$69, 3, FALSE)</f>
        <v>24 Actual social contributions D.611r</v>
      </c>
      <c r="G159" s="544">
        <f>IF(VLOOKUP($E$159,[1]UG!$A$2:$FA$69, 6, FALSE)="",":",VLOOKUP($E$159,[1]UG!$A$2:$FA$69, 6, FALSE))</f>
        <v>559.20000000000005</v>
      </c>
      <c r="H159" s="544">
        <f>IF(VLOOKUP($E$159,[1]UG!$A$2:$FA$69, 7, FALSE)="",":",VLOOKUP($E$159,[1]UG!$A$2:$FA$69, 7, FALSE))</f>
        <v>746.58</v>
      </c>
      <c r="I159" s="544">
        <f>IF(VLOOKUP($E$159,[1]UG!$A$2:$FA$69, 8, FALSE)="",":",VLOOKUP($E$159,[1]UG!$A$2:$FA$69, 8, FALSE))</f>
        <v>1052.33</v>
      </c>
      <c r="J159" s="544">
        <f>IF(VLOOKUP($E$159,[1]UG!$A$2:$FA$69, 9, FALSE)="",":",VLOOKUP($E$159,[1]UG!$A$2:$FA$69, 9, FALSE))</f>
        <v>1300.3599999999999</v>
      </c>
      <c r="K159" s="544">
        <f>IF(VLOOKUP($E$159,[1]UG!$A$2:$FA$69, 10, FALSE)="",":",VLOOKUP($E$159,[1]UG!$A$2:$FA$69, 10, FALSE))</f>
        <v>1284.43</v>
      </c>
      <c r="L159" s="544">
        <f>IF(VLOOKUP($E$159,[1]UG!$A$2:$FA$69, 11, FALSE)="",":",VLOOKUP($E$159,[1]UG!$A$2:$FA$69, 11, FALSE))</f>
        <v>1362.28</v>
      </c>
      <c r="M159" s="544">
        <f>IF(VLOOKUP($E$159,[1]UG!$A$2:$FA$69, 12, FALSE)="",":",VLOOKUP($E$159,[1]UG!$A$2:$FA$69, 12, FALSE))</f>
        <v>1376.43</v>
      </c>
      <c r="N159" s="544">
        <f>IF(VLOOKUP($E$159,[1]UG!$A$2:$FA$69, 13, FALSE)="",":",VLOOKUP($E$159,[1]UG!$A$2:$FA$69, 13, FALSE))</f>
        <v>1422.43</v>
      </c>
      <c r="O159" s="544">
        <f>IF(VLOOKUP($E$159,[1]UG!$A$2:$FA$69, 14, FALSE)="",":",VLOOKUP($E$159,[1]UG!$A$2:$FA$69, 14, FALSE))</f>
        <v>1532.71</v>
      </c>
      <c r="P159" s="544">
        <f>IF(VLOOKUP($E$159,[1]UG!$A$2:$FA$69, 15, FALSE)="",":",VLOOKUP($E$159,[1]UG!$A$2:$FA$69, 15, FALSE))</f>
        <v>1664.25</v>
      </c>
      <c r="Q159" s="544">
        <f>IF(VLOOKUP($E$159,[1]UG!$A$2:$FA$69, 16, FALSE)="",":",VLOOKUP($E$159,[1]UG!$A$2:$FA$69, 16, FALSE))</f>
        <v>1865.49</v>
      </c>
      <c r="R159" s="544">
        <f>IF(VLOOKUP($E$159,[1]UG!$A$2:$FA$69, 17, FALSE)="",":",VLOOKUP($E$159,[1]UG!$A$2:$FA$69, 17, FALSE))</f>
        <v>2197.75</v>
      </c>
      <c r="S159" s="544">
        <f>IF(VLOOKUP($E$159,[1]UG!$A$2:$FA$69, 18, FALSE)="",":",VLOOKUP($E$159,[1]UG!$A$2:$FA$69, 18, FALSE))</f>
        <v>2645.81</v>
      </c>
      <c r="T159" s="544">
        <f>IF(VLOOKUP($E$159,[1]UG!$A$2:$FA$69, 19, FALSE)="",":",VLOOKUP($E$159,[1]UG!$A$2:$FA$69, 19, FALSE))</f>
        <v>3114.79</v>
      </c>
      <c r="U159" s="544">
        <f>IF(VLOOKUP($E$159,[1]UG!$A$2:$FA$69, 20, FALSE)="",":",VLOOKUP($E$159,[1]UG!$A$2:$FA$69, 20, FALSE))</f>
        <v>3403.01</v>
      </c>
      <c r="V159" s="544">
        <f>IF(VLOOKUP($E$159,[1]UG!$A$2:$FA$69, 21, FALSE)="",":",VLOOKUP($E$159,[1]UG!$A$2:$FA$69, 21, FALSE))</f>
        <v>3295.55</v>
      </c>
      <c r="W159" s="544">
        <f>IF(VLOOKUP($E$159,[1]UG!$A$2:$FA$69, 22, FALSE)="",":",VLOOKUP($E$159,[1]UG!$A$2:$FA$69, 22, FALSE))</f>
        <v>3475.62</v>
      </c>
      <c r="X159" s="544">
        <f>IF(VLOOKUP($E$159,[1]UG!$A$2:$FA$69, 23, FALSE)="",":",VLOOKUP($E$159,[1]UG!$A$2:$FA$69, 23, FALSE))</f>
        <v>3612.01</v>
      </c>
      <c r="Y159" s="544">
        <f>IF(VLOOKUP($E$159,[1]UG!$A$2:$FA$69, 24, FALSE)="",":",VLOOKUP($E$159,[1]UG!$A$2:$FA$69, 24, FALSE))</f>
        <v>3794.24</v>
      </c>
      <c r="Z159" s="544">
        <f>IF(VLOOKUP($E$159,[1]UG!$A$2:$FA$69, 25, FALSE)="",":",VLOOKUP($E$159,[1]UG!$A$2:$FA$69, 25, FALSE))</f>
        <v>4064.62</v>
      </c>
      <c r="AA159" s="544">
        <f>IF(VLOOKUP($E$159,[1]UG!$A$2:$FA$69, 26, FALSE)="",":",VLOOKUP($E$159,[1]UG!$A$2:$FA$69, 26, FALSE))</f>
        <v>4340.1000000000004</v>
      </c>
      <c r="AB159" s="544">
        <f>IF(VLOOKUP($E$159,[1]UG!$A$2:$FA$69, 27, FALSE)="",":",VLOOKUP($E$159,[1]UG!$A$2:$FA$69, 27, FALSE))</f>
        <v>4715.79</v>
      </c>
      <c r="AC159" s="544" t="str">
        <f>IF(VLOOKUP($E$159,[1]UG!$A$2:$FA$69, 28, FALSE)="",":",VLOOKUP($E$159,[1]UG!$A$2:$FA$69, 28, FALSE))</f>
        <v>:</v>
      </c>
      <c r="AD159" s="544" t="str">
        <f>IF(VLOOKUP($E$159,[1]UG!$A$2:$FA$69, 29, FALSE)="",":",VLOOKUP($E$159,[1]UG!$A$2:$FA$69, 29, FALSE))</f>
        <v>:</v>
      </c>
      <c r="AE159" s="544" t="str">
        <f>IF(VLOOKUP($E$159,[1]UG!$A$2:$FA$69, 30, FALSE)="",":",VLOOKUP($E$159,[1]UG!$A$2:$FA$69, 30, FALSE))</f>
        <v>:</v>
      </c>
      <c r="AF159" s="544" t="str">
        <f>IF(VLOOKUP($E$159,[1]UG!$A$2:$FA$69, 31, FALSE)="",":",VLOOKUP($E$159,[1]UG!$A$2:$FA$69, 31, FALSE))</f>
        <v>:</v>
      </c>
    </row>
    <row r="160" spans="1:32">
      <c r="A160" s="533">
        <v>121</v>
      </c>
      <c r="B160" s="534" t="s">
        <v>844</v>
      </c>
      <c r="C160" s="535" t="s">
        <v>1208</v>
      </c>
      <c r="D160" s="12" t="s">
        <v>1214</v>
      </c>
      <c r="E160" s="13">
        <v>28</v>
      </c>
      <c r="F160" s="14" t="str">
        <f>VLOOKUP($E$160,[1]UG!$A$2:$FA$69, 3, FALSE)</f>
        <v>28 Social benefits other than social transfers in kind, payable D.62p</v>
      </c>
      <c r="G160" s="544">
        <f>IF(VLOOKUP($E$160,[1]UG!$A$2:$FA$69, 6, FALSE)="",":",VLOOKUP($E$160,[1]UG!$A$2:$FA$69, 6, FALSE))</f>
        <v>634.55999999999995</v>
      </c>
      <c r="H160" s="544">
        <f>IF(VLOOKUP($E$160,[1]UG!$A$2:$FA$69, 7, FALSE)="",":",VLOOKUP($E$160,[1]UG!$A$2:$FA$69, 7, FALSE))</f>
        <v>833.56</v>
      </c>
      <c r="I160" s="544">
        <f>IF(VLOOKUP($E$160,[1]UG!$A$2:$FA$69, 8, FALSE)="",":",VLOOKUP($E$160,[1]UG!$A$2:$FA$69, 8, FALSE))</f>
        <v>1130.78</v>
      </c>
      <c r="J160" s="544">
        <f>IF(VLOOKUP($E$160,[1]UG!$A$2:$FA$69, 9, FALSE)="",":",VLOOKUP($E$160,[1]UG!$A$2:$FA$69, 9, FALSE))</f>
        <v>1411.49</v>
      </c>
      <c r="K160" s="544">
        <f>IF(VLOOKUP($E$160,[1]UG!$A$2:$FA$69, 10, FALSE)="",":",VLOOKUP($E$160,[1]UG!$A$2:$FA$69, 10, FALSE))</f>
        <v>1551.27</v>
      </c>
      <c r="L160" s="544">
        <f>IF(VLOOKUP($E$160,[1]UG!$A$2:$FA$69, 11, FALSE)="",":",VLOOKUP($E$160,[1]UG!$A$2:$FA$69, 11, FALSE))</f>
        <v>1534.94</v>
      </c>
      <c r="M160" s="544">
        <f>IF(VLOOKUP($E$160,[1]UG!$A$2:$FA$69, 12, FALSE)="",":",VLOOKUP($E$160,[1]UG!$A$2:$FA$69, 12, FALSE))</f>
        <v>1601.96</v>
      </c>
      <c r="N160" s="544">
        <f>IF(VLOOKUP($E$160,[1]UG!$A$2:$FA$69, 13, FALSE)="",":",VLOOKUP($E$160,[1]UG!$A$2:$FA$69, 13, FALSE))</f>
        <v>1518.59</v>
      </c>
      <c r="O160" s="544">
        <f>IF(VLOOKUP($E$160,[1]UG!$A$2:$FA$69, 14, FALSE)="",":",VLOOKUP($E$160,[1]UG!$A$2:$FA$69, 14, FALSE))</f>
        <v>1629.16</v>
      </c>
      <c r="P160" s="544">
        <f>IF(VLOOKUP($E$160,[1]UG!$A$2:$FA$69, 15, FALSE)="",":",VLOOKUP($E$160,[1]UG!$A$2:$FA$69, 15, FALSE))</f>
        <v>1778.17</v>
      </c>
      <c r="Q160" s="544">
        <f>IF(VLOOKUP($E$160,[1]UG!$A$2:$FA$69, 16, FALSE)="",":",VLOOKUP($E$160,[1]UG!$A$2:$FA$69, 16, FALSE))</f>
        <v>1957.79</v>
      </c>
      <c r="R160" s="544">
        <f>IF(VLOOKUP($E$160,[1]UG!$A$2:$FA$69, 17, FALSE)="",":",VLOOKUP($E$160,[1]UG!$A$2:$FA$69, 17, FALSE))</f>
        <v>2208.4899999999998</v>
      </c>
      <c r="S160" s="544">
        <f>IF(VLOOKUP($E$160,[1]UG!$A$2:$FA$69, 18, FALSE)="",":",VLOOKUP($E$160,[1]UG!$A$2:$FA$69, 18, FALSE))</f>
        <v>2805.12</v>
      </c>
      <c r="T160" s="544">
        <f>IF(VLOOKUP($E$160,[1]UG!$A$2:$FA$69, 19, FALSE)="",":",VLOOKUP($E$160,[1]UG!$A$2:$FA$69, 19, FALSE))</f>
        <v>3756.45</v>
      </c>
      <c r="U160" s="544">
        <f>IF(VLOOKUP($E$160,[1]UG!$A$2:$FA$69, 20, FALSE)="",":",VLOOKUP($E$160,[1]UG!$A$2:$FA$69, 20, FALSE))</f>
        <v>4354.76</v>
      </c>
      <c r="V160" s="544">
        <f>IF(VLOOKUP($E$160,[1]UG!$A$2:$FA$69, 21, FALSE)="",":",VLOOKUP($E$160,[1]UG!$A$2:$FA$69, 21, FALSE))</f>
        <v>4008.98</v>
      </c>
      <c r="W160" s="544">
        <f>IF(VLOOKUP($E$160,[1]UG!$A$2:$FA$69, 22, FALSE)="",":",VLOOKUP($E$160,[1]UG!$A$2:$FA$69, 22, FALSE))</f>
        <v>3903.22</v>
      </c>
      <c r="X160" s="544">
        <f>IF(VLOOKUP($E$160,[1]UG!$A$2:$FA$69, 23, FALSE)="",":",VLOOKUP($E$160,[1]UG!$A$2:$FA$69, 23, FALSE))</f>
        <v>3988.42</v>
      </c>
      <c r="Y160" s="544">
        <f>IF(VLOOKUP($E$160,[1]UG!$A$2:$FA$69, 24, FALSE)="",":",VLOOKUP($E$160,[1]UG!$A$2:$FA$69, 24, FALSE))</f>
        <v>3954.35</v>
      </c>
      <c r="Z160" s="544">
        <f>IF(VLOOKUP($E$160,[1]UG!$A$2:$FA$69, 25, FALSE)="",":",VLOOKUP($E$160,[1]UG!$A$2:$FA$69, 25, FALSE))</f>
        <v>3967.7</v>
      </c>
      <c r="AA160" s="544">
        <f>IF(VLOOKUP($E$160,[1]UG!$A$2:$FA$69, 26, FALSE)="",":",VLOOKUP($E$160,[1]UG!$A$2:$FA$69, 26, FALSE))</f>
        <v>4054.05</v>
      </c>
      <c r="AB160" s="544">
        <f>IF(VLOOKUP($E$160,[1]UG!$A$2:$FA$69, 27, FALSE)="",":",VLOOKUP($E$160,[1]UG!$A$2:$FA$69, 27, FALSE))</f>
        <v>4260.17</v>
      </c>
      <c r="AC160" s="544" t="str">
        <f>IF(VLOOKUP($E$160,[1]UG!$A$2:$FA$69, 28, FALSE)="",":",VLOOKUP($E$160,[1]UG!$A$2:$FA$69, 28, FALSE))</f>
        <v>:</v>
      </c>
      <c r="AD160" s="544" t="str">
        <f>IF(VLOOKUP($E$160,[1]UG!$A$2:$FA$69, 29, FALSE)="",":",VLOOKUP($E$160,[1]UG!$A$2:$FA$69, 29, FALSE))</f>
        <v>:</v>
      </c>
      <c r="AE160" s="544" t="str">
        <f>IF(VLOOKUP($E$160,[1]UG!$A$2:$FA$69, 30, FALSE)="",":",VLOOKUP($E$160,[1]UG!$A$2:$FA$69, 30, FALSE))</f>
        <v>:</v>
      </c>
      <c r="AF160" s="544" t="str">
        <f>IF(VLOOKUP($E$160,[1]UG!$A$2:$FA$69, 31, FALSE)="",":",VLOOKUP($E$160,[1]UG!$A$2:$FA$69, 31, FALSE))</f>
        <v>:</v>
      </c>
    </row>
    <row r="161" spans="1:32">
      <c r="A161" s="533"/>
      <c r="B161" s="534" t="s">
        <v>317</v>
      </c>
      <c r="C161" s="535" t="s">
        <v>2095</v>
      </c>
      <c r="D161" s="12" t="s">
        <v>1214</v>
      </c>
      <c r="E161" s="13">
        <v>26</v>
      </c>
      <c r="F161" s="14" t="str">
        <f>VLOOKUP($E$161,[1]UG!$A$2:$FA$69, 3, FALSE)</f>
        <v>26 Other current transfers, receivable D.7r</v>
      </c>
      <c r="G161" s="544">
        <f>IF(VLOOKUP($E$161,[1]UG!$A$2:$FA$69, 6, FALSE)="",":",VLOOKUP($E$161,[1]UG!$A$2:$FA$69, 6, FALSE))</f>
        <v>322.74</v>
      </c>
      <c r="H161" s="544">
        <f>IF(VLOOKUP($E$161,[1]UG!$A$2:$FA$69, 7, FALSE)="",":",VLOOKUP($E$161,[1]UG!$A$2:$FA$69, 7, FALSE))</f>
        <v>470.89</v>
      </c>
      <c r="I161" s="544">
        <f>IF(VLOOKUP($E$161,[1]UG!$A$2:$FA$69, 8, FALSE)="",":",VLOOKUP($E$161,[1]UG!$A$2:$FA$69, 8, FALSE))</f>
        <v>621</v>
      </c>
      <c r="J161" s="544">
        <f>IF(VLOOKUP($E$161,[1]UG!$A$2:$FA$69, 9, FALSE)="",":",VLOOKUP($E$161,[1]UG!$A$2:$FA$69, 9, FALSE))</f>
        <v>375.46</v>
      </c>
      <c r="K161" s="544">
        <f>IF(VLOOKUP($E$161,[1]UG!$A$2:$FA$69, 10, FALSE)="",":",VLOOKUP($E$161,[1]UG!$A$2:$FA$69, 10, FALSE))</f>
        <v>233.4</v>
      </c>
      <c r="L161" s="544">
        <f>IF(VLOOKUP($E$161,[1]UG!$A$2:$FA$69, 11, FALSE)="",":",VLOOKUP($E$161,[1]UG!$A$2:$FA$69, 11, FALSE))</f>
        <v>313.13</v>
      </c>
      <c r="M161" s="544">
        <f>IF(VLOOKUP($E$161,[1]UG!$A$2:$FA$69, 12, FALSE)="",":",VLOOKUP($E$161,[1]UG!$A$2:$FA$69, 12, FALSE))</f>
        <v>229.91</v>
      </c>
      <c r="N161" s="544">
        <f>IF(VLOOKUP($E$161,[1]UG!$A$2:$FA$69, 13, FALSE)="",":",VLOOKUP($E$161,[1]UG!$A$2:$FA$69, 13, FALSE))</f>
        <v>198.96</v>
      </c>
      <c r="O161" s="544">
        <f>IF(VLOOKUP($E$161,[1]UG!$A$2:$FA$69, 14, FALSE)="",":",VLOOKUP($E$161,[1]UG!$A$2:$FA$69, 14, FALSE))</f>
        <v>150.41999999999999</v>
      </c>
      <c r="P161" s="544">
        <f>IF(VLOOKUP($E$161,[1]UG!$A$2:$FA$69, 15, FALSE)="",":",VLOOKUP($E$161,[1]UG!$A$2:$FA$69, 15, FALSE))</f>
        <v>141.99</v>
      </c>
      <c r="Q161" s="544">
        <f>IF(VLOOKUP($E$161,[1]UG!$A$2:$FA$69, 16, FALSE)="",":",VLOOKUP($E$161,[1]UG!$A$2:$FA$69, 16, FALSE))</f>
        <v>241.66</v>
      </c>
      <c r="R161" s="544">
        <f>IF(VLOOKUP($E$161,[1]UG!$A$2:$FA$69, 17, FALSE)="",":",VLOOKUP($E$161,[1]UG!$A$2:$FA$69, 17, FALSE))</f>
        <v>209.96</v>
      </c>
      <c r="S161" s="544">
        <f>IF(VLOOKUP($E$161,[1]UG!$A$2:$FA$69, 18, FALSE)="",":",VLOOKUP($E$161,[1]UG!$A$2:$FA$69, 18, FALSE))</f>
        <v>246.81</v>
      </c>
      <c r="T161" s="544">
        <f>IF(VLOOKUP($E$161,[1]UG!$A$2:$FA$69, 19, FALSE)="",":",VLOOKUP($E$161,[1]UG!$A$2:$FA$69, 19, FALSE))</f>
        <v>289.89</v>
      </c>
      <c r="U161" s="544">
        <f>IF(VLOOKUP($E$161,[1]UG!$A$2:$FA$69, 20, FALSE)="",":",VLOOKUP($E$161,[1]UG!$A$2:$FA$69, 20, FALSE))</f>
        <v>271.45999999999998</v>
      </c>
      <c r="V161" s="544">
        <f>IF(VLOOKUP($E$161,[1]UG!$A$2:$FA$69, 21, FALSE)="",":",VLOOKUP($E$161,[1]UG!$A$2:$FA$69, 21, FALSE))</f>
        <v>401.32</v>
      </c>
      <c r="W161" s="544">
        <f>IF(VLOOKUP($E$161,[1]UG!$A$2:$FA$69, 22, FALSE)="",":",VLOOKUP($E$161,[1]UG!$A$2:$FA$69, 22, FALSE))</f>
        <v>500.74</v>
      </c>
      <c r="X161" s="544">
        <f>IF(VLOOKUP($E$161,[1]UG!$A$2:$FA$69, 23, FALSE)="",":",VLOOKUP($E$161,[1]UG!$A$2:$FA$69, 23, FALSE))</f>
        <v>476.95</v>
      </c>
      <c r="Y161" s="544">
        <f>IF(VLOOKUP($E$161,[1]UG!$A$2:$FA$69, 24, FALSE)="",":",VLOOKUP($E$161,[1]UG!$A$2:$FA$69, 24, FALSE))</f>
        <v>465.64</v>
      </c>
      <c r="Z161" s="544">
        <f>IF(VLOOKUP($E$161,[1]UG!$A$2:$FA$69, 25, FALSE)="",":",VLOOKUP($E$161,[1]UG!$A$2:$FA$69, 25, FALSE))</f>
        <v>460.3</v>
      </c>
      <c r="AA161" s="544">
        <f>IF(VLOOKUP($E$161,[1]UG!$A$2:$FA$69, 26, FALSE)="",":",VLOOKUP($E$161,[1]UG!$A$2:$FA$69, 26, FALSE))</f>
        <v>525.41</v>
      </c>
      <c r="AB161" s="544">
        <f>IF(VLOOKUP($E$161,[1]UG!$A$2:$FA$69, 27, FALSE)="",":",VLOOKUP($E$161,[1]UG!$A$2:$FA$69, 27, FALSE))</f>
        <v>456.52</v>
      </c>
      <c r="AC161" s="544" t="str">
        <f>IF(VLOOKUP($E$161,[1]UG!$A$2:$FA$69, 28, FALSE)="",":",VLOOKUP($E$161,[1]UG!$A$2:$FA$69, 28, FALSE))</f>
        <v>:</v>
      </c>
      <c r="AD161" s="544" t="str">
        <f>IF(VLOOKUP($E$161,[1]UG!$A$2:$FA$69, 29, FALSE)="",":",VLOOKUP($E$161,[1]UG!$A$2:$FA$69, 29, FALSE))</f>
        <v>:</v>
      </c>
      <c r="AE161" s="544" t="str">
        <f>IF(VLOOKUP($E$161,[1]UG!$A$2:$FA$69, 30, FALSE)="",":",VLOOKUP($E$161,[1]UG!$A$2:$FA$69, 30, FALSE))</f>
        <v>:</v>
      </c>
      <c r="AF161" s="544" t="str">
        <f>IF(VLOOKUP($E$161,[1]UG!$A$2:$FA$69, 31, FALSE)="",":",VLOOKUP($E$161,[1]UG!$A$2:$FA$69, 31, FALSE))</f>
        <v>:</v>
      </c>
    </row>
    <row r="162" spans="1:32">
      <c r="A162" s="533"/>
      <c r="B162" s="534"/>
      <c r="C162" s="535" t="s">
        <v>774</v>
      </c>
      <c r="D162" s="12" t="s">
        <v>1214</v>
      </c>
      <c r="E162" s="13">
        <v>29</v>
      </c>
      <c r="F162" s="14" t="str">
        <f>VLOOKUP($E$162,[1]UG!$A$2:$FA$69, 3, FALSE)</f>
        <v>29 Social transfers in kind related to expenditure on products supplied to households via market producers D.6311p + D.63121p + D.63131p</v>
      </c>
      <c r="G162" s="544">
        <f>IF(VLOOKUP($E$162,[1]UG!$A$2:$FA$69, 6, FALSE)="",":",VLOOKUP($E$162,[1]UG!$A$2:$FA$69, 6, FALSE))</f>
        <v>125.28</v>
      </c>
      <c r="H162" s="544">
        <f>IF(VLOOKUP($E$162,[1]UG!$A$2:$FA$69, 7, FALSE)="",":",VLOOKUP($E$162,[1]UG!$A$2:$FA$69, 7, FALSE))</f>
        <v>178.81</v>
      </c>
      <c r="I162" s="544">
        <f>IF(VLOOKUP($E$162,[1]UG!$A$2:$FA$69, 8, FALSE)="",":",VLOOKUP($E$162,[1]UG!$A$2:$FA$69, 8, FALSE))</f>
        <v>144.05000000000001</v>
      </c>
      <c r="J162" s="544">
        <f>IF(VLOOKUP($E$162,[1]UG!$A$2:$FA$69, 9, FALSE)="",":",VLOOKUP($E$162,[1]UG!$A$2:$FA$69, 9, FALSE))</f>
        <v>239.77</v>
      </c>
      <c r="K162" s="544">
        <f>IF(VLOOKUP($E$162,[1]UG!$A$2:$FA$69, 10, FALSE)="",":",VLOOKUP($E$162,[1]UG!$A$2:$FA$69, 10, FALSE))</f>
        <v>224.92</v>
      </c>
      <c r="L162" s="544">
        <f>IF(VLOOKUP($E$162,[1]UG!$A$2:$FA$69, 11, FALSE)="",":",VLOOKUP($E$162,[1]UG!$A$2:$FA$69, 11, FALSE))</f>
        <v>187.68</v>
      </c>
      <c r="M162" s="544">
        <f>IF(VLOOKUP($E$162,[1]UG!$A$2:$FA$69, 12, FALSE)="",":",VLOOKUP($E$162,[1]UG!$A$2:$FA$69, 12, FALSE))</f>
        <v>182.18</v>
      </c>
      <c r="N162" s="544">
        <f>IF(VLOOKUP($E$162,[1]UG!$A$2:$FA$69, 13, FALSE)="",":",VLOOKUP($E$162,[1]UG!$A$2:$FA$69, 13, FALSE))</f>
        <v>219.63</v>
      </c>
      <c r="O162" s="544">
        <f>IF(VLOOKUP($E$162,[1]UG!$A$2:$FA$69, 14, FALSE)="",":",VLOOKUP($E$162,[1]UG!$A$2:$FA$69, 14, FALSE))</f>
        <v>243.27</v>
      </c>
      <c r="P162" s="544">
        <f>IF(VLOOKUP($E$162,[1]UG!$A$2:$FA$69, 15, FALSE)="",":",VLOOKUP($E$162,[1]UG!$A$2:$FA$69, 15, FALSE))</f>
        <v>264.91000000000003</v>
      </c>
      <c r="Q162" s="544">
        <f>IF(VLOOKUP($E$162,[1]UG!$A$2:$FA$69, 16, FALSE)="",":",VLOOKUP($E$162,[1]UG!$A$2:$FA$69, 16, FALSE))</f>
        <v>380.77</v>
      </c>
      <c r="R162" s="544">
        <f>IF(VLOOKUP($E$162,[1]UG!$A$2:$FA$69, 17, FALSE)="",":",VLOOKUP($E$162,[1]UG!$A$2:$FA$69, 17, FALSE))</f>
        <v>402.55</v>
      </c>
      <c r="S162" s="544">
        <f>IF(VLOOKUP($E$162,[1]UG!$A$2:$FA$69, 18, FALSE)="",":",VLOOKUP($E$162,[1]UG!$A$2:$FA$69, 18, FALSE))</f>
        <v>457.36</v>
      </c>
      <c r="T162" s="544">
        <f>IF(VLOOKUP($E$162,[1]UG!$A$2:$FA$69, 19, FALSE)="",":",VLOOKUP($E$162,[1]UG!$A$2:$FA$69, 19, FALSE))</f>
        <v>564.5</v>
      </c>
      <c r="U162" s="544">
        <f>IF(VLOOKUP($E$162,[1]UG!$A$2:$FA$69, 20, FALSE)="",":",VLOOKUP($E$162,[1]UG!$A$2:$FA$69, 20, FALSE))</f>
        <v>536.63</v>
      </c>
      <c r="V162" s="544">
        <f>IF(VLOOKUP($E$162,[1]UG!$A$2:$FA$69, 21, FALSE)="",":",VLOOKUP($E$162,[1]UG!$A$2:$FA$69, 21, FALSE))</f>
        <v>536.62</v>
      </c>
      <c r="W162" s="544">
        <f>IF(VLOOKUP($E$162,[1]UG!$A$2:$FA$69, 22, FALSE)="",":",VLOOKUP($E$162,[1]UG!$A$2:$FA$69, 22, FALSE))</f>
        <v>619.84</v>
      </c>
      <c r="X162" s="544">
        <f>IF(VLOOKUP($E$162,[1]UG!$A$2:$FA$69, 23, FALSE)="",":",VLOOKUP($E$162,[1]UG!$A$2:$FA$69, 23, FALSE))</f>
        <v>584.73</v>
      </c>
      <c r="Y162" s="544">
        <f>IF(VLOOKUP($E$162,[1]UG!$A$2:$FA$69, 24, FALSE)="",":",VLOOKUP($E$162,[1]UG!$A$2:$FA$69, 24, FALSE))</f>
        <v>553.26</v>
      </c>
      <c r="Z162" s="544">
        <f>IF(VLOOKUP($E$162,[1]UG!$A$2:$FA$69, 25, FALSE)="",":",VLOOKUP($E$162,[1]UG!$A$2:$FA$69, 25, FALSE))</f>
        <v>577.73</v>
      </c>
      <c r="AA162" s="544">
        <f>IF(VLOOKUP($E$162,[1]UG!$A$2:$FA$69, 26, FALSE)="",":",VLOOKUP($E$162,[1]UG!$A$2:$FA$69, 26, FALSE))</f>
        <v>618.29999999999995</v>
      </c>
      <c r="AB162" s="544">
        <f>IF(VLOOKUP($E$162,[1]UG!$A$2:$FA$69, 27, FALSE)="",":",VLOOKUP($E$162,[1]UG!$A$2:$FA$69, 27, FALSE))</f>
        <v>642.69000000000005</v>
      </c>
      <c r="AC162" s="544" t="str">
        <f>IF(VLOOKUP($E$162,[1]UG!$A$2:$FA$69, 28, FALSE)="",":",VLOOKUP($E$162,[1]UG!$A$2:$FA$69, 28, FALSE))</f>
        <v>:</v>
      </c>
      <c r="AD162" s="544" t="str">
        <f>IF(VLOOKUP($E$162,[1]UG!$A$2:$FA$69, 29, FALSE)="",":",VLOOKUP($E$162,[1]UG!$A$2:$FA$69, 29, FALSE))</f>
        <v>:</v>
      </c>
      <c r="AE162" s="544" t="str">
        <f>IF(VLOOKUP($E$162,[1]UG!$A$2:$FA$69, 30, FALSE)="",":",VLOOKUP($E$162,[1]UG!$A$2:$FA$69, 30, FALSE))</f>
        <v>:</v>
      </c>
      <c r="AF162" s="544" t="str">
        <f>IF(VLOOKUP($E$162,[1]UG!$A$2:$FA$69, 31, FALSE)="",":",VLOOKUP($E$162,[1]UG!$A$2:$FA$69, 31, FALSE))</f>
        <v>:</v>
      </c>
    </row>
    <row r="163" spans="1:32">
      <c r="A163" s="533"/>
      <c r="B163" s="534" t="s">
        <v>318</v>
      </c>
      <c r="C163" s="535" t="s">
        <v>2096</v>
      </c>
      <c r="D163" s="12" t="s">
        <v>1214</v>
      </c>
      <c r="E163" s="13">
        <v>31</v>
      </c>
      <c r="F163" s="14" t="str">
        <f>VLOOKUP($E$163,[1]UG!$A$2:$FA$69, 3, FALSE)</f>
        <v>31 Other current transfers, payable D.7p</v>
      </c>
      <c r="G163" s="544">
        <f>IF(VLOOKUP($E$163,[1]UG!$A$2:$FA$69, 6, FALSE)="",":",VLOOKUP($E$163,[1]UG!$A$2:$FA$69, 6, FALSE))</f>
        <v>5.68</v>
      </c>
      <c r="H163" s="544">
        <f>IF(VLOOKUP($E$163,[1]UG!$A$2:$FA$69, 7, FALSE)="",":",VLOOKUP($E$163,[1]UG!$A$2:$FA$69, 7, FALSE))</f>
        <v>5.5</v>
      </c>
      <c r="I163" s="544">
        <f>IF(VLOOKUP($E$163,[1]UG!$A$2:$FA$69, 8, FALSE)="",":",VLOOKUP($E$163,[1]UG!$A$2:$FA$69, 8, FALSE))</f>
        <v>229.15</v>
      </c>
      <c r="J163" s="544">
        <f>IF(VLOOKUP($E$163,[1]UG!$A$2:$FA$69, 9, FALSE)="",":",VLOOKUP($E$163,[1]UG!$A$2:$FA$69, 9, FALSE))</f>
        <v>82.86</v>
      </c>
      <c r="K163" s="544">
        <f>IF(VLOOKUP($E$163,[1]UG!$A$2:$FA$69, 10, FALSE)="",":",VLOOKUP($E$163,[1]UG!$A$2:$FA$69, 10, FALSE))</f>
        <v>64.03</v>
      </c>
      <c r="L163" s="544">
        <f>IF(VLOOKUP($E$163,[1]UG!$A$2:$FA$69, 11, FALSE)="",":",VLOOKUP($E$163,[1]UG!$A$2:$FA$69, 11, FALSE))</f>
        <v>13.25</v>
      </c>
      <c r="M163" s="544">
        <f>IF(VLOOKUP($E$163,[1]UG!$A$2:$FA$69, 12, FALSE)="",":",VLOOKUP($E$163,[1]UG!$A$2:$FA$69, 12, FALSE))</f>
        <v>52.37</v>
      </c>
      <c r="N163" s="544">
        <f>IF(VLOOKUP($E$163,[1]UG!$A$2:$FA$69, 13, FALSE)="",":",VLOOKUP($E$163,[1]UG!$A$2:$FA$69, 13, FALSE))</f>
        <v>18.09</v>
      </c>
      <c r="O163" s="544">
        <f>IF(VLOOKUP($E$163,[1]UG!$A$2:$FA$69, 14, FALSE)="",":",VLOOKUP($E$163,[1]UG!$A$2:$FA$69, 14, FALSE))</f>
        <v>27.05</v>
      </c>
      <c r="P163" s="544">
        <f>IF(VLOOKUP($E$163,[1]UG!$A$2:$FA$69, 15, FALSE)="",":",VLOOKUP($E$163,[1]UG!$A$2:$FA$69, 15, FALSE))</f>
        <v>131.55000000000001</v>
      </c>
      <c r="Q163" s="544">
        <f>IF(VLOOKUP($E$163,[1]UG!$A$2:$FA$69, 16, FALSE)="",":",VLOOKUP($E$163,[1]UG!$A$2:$FA$69, 16, FALSE))</f>
        <v>376.28</v>
      </c>
      <c r="R163" s="544">
        <f>IF(VLOOKUP($E$163,[1]UG!$A$2:$FA$69, 17, FALSE)="",":",VLOOKUP($E$163,[1]UG!$A$2:$FA$69, 17, FALSE))</f>
        <v>301.3</v>
      </c>
      <c r="S163" s="544">
        <f>IF(VLOOKUP($E$163,[1]UG!$A$2:$FA$69, 18, FALSE)="",":",VLOOKUP($E$163,[1]UG!$A$2:$FA$69, 18, FALSE))</f>
        <v>380.61</v>
      </c>
      <c r="T163" s="544">
        <f>IF(VLOOKUP($E$163,[1]UG!$A$2:$FA$69, 19, FALSE)="",":",VLOOKUP($E$163,[1]UG!$A$2:$FA$69, 19, FALSE))</f>
        <v>478.85</v>
      </c>
      <c r="U163" s="544">
        <f>IF(VLOOKUP($E$163,[1]UG!$A$2:$FA$69, 20, FALSE)="",":",VLOOKUP($E$163,[1]UG!$A$2:$FA$69, 20, FALSE))</f>
        <v>447.94</v>
      </c>
      <c r="V163" s="544">
        <f>IF(VLOOKUP($E$163,[1]UG!$A$2:$FA$69, 21, FALSE)="",":",VLOOKUP($E$163,[1]UG!$A$2:$FA$69, 21, FALSE))</f>
        <v>346.64</v>
      </c>
      <c r="W163" s="544">
        <f>IF(VLOOKUP($E$163,[1]UG!$A$2:$FA$69, 22, FALSE)="",":",VLOOKUP($E$163,[1]UG!$A$2:$FA$69, 22, FALSE))</f>
        <v>498.45</v>
      </c>
      <c r="X163" s="544">
        <f>IF(VLOOKUP($E$163,[1]UG!$A$2:$FA$69, 23, FALSE)="",":",VLOOKUP($E$163,[1]UG!$A$2:$FA$69, 23, FALSE))</f>
        <v>465.72</v>
      </c>
      <c r="Y163" s="544">
        <f>IF(VLOOKUP($E$163,[1]UG!$A$2:$FA$69, 24, FALSE)="",":",VLOOKUP($E$163,[1]UG!$A$2:$FA$69, 24, FALSE))</f>
        <v>554.29999999999995</v>
      </c>
      <c r="Z163" s="544">
        <f>IF(VLOOKUP($E$163,[1]UG!$A$2:$FA$69, 25, FALSE)="",":",VLOOKUP($E$163,[1]UG!$A$2:$FA$69, 25, FALSE))</f>
        <v>515.4</v>
      </c>
      <c r="AA163" s="544">
        <f>IF(VLOOKUP($E$163,[1]UG!$A$2:$FA$69, 26, FALSE)="",":",VLOOKUP($E$163,[1]UG!$A$2:$FA$69, 26, FALSE))</f>
        <v>554.09</v>
      </c>
      <c r="AB163" s="544">
        <f>IF(VLOOKUP($E$163,[1]UG!$A$2:$FA$69, 27, FALSE)="",":",VLOOKUP($E$163,[1]UG!$A$2:$FA$69, 27, FALSE))</f>
        <v>642.64</v>
      </c>
      <c r="AC163" s="544" t="str">
        <f>IF(VLOOKUP($E$163,[1]UG!$A$2:$FA$69, 28, FALSE)="",":",VLOOKUP($E$163,[1]UG!$A$2:$FA$69, 28, FALSE))</f>
        <v>:</v>
      </c>
      <c r="AD163" s="544" t="str">
        <f>IF(VLOOKUP($E$163,[1]UG!$A$2:$FA$69, 29, FALSE)="",":",VLOOKUP($E$163,[1]UG!$A$2:$FA$69, 29, FALSE))</f>
        <v>:</v>
      </c>
      <c r="AE163" s="544" t="str">
        <f>IF(VLOOKUP($E$163,[1]UG!$A$2:$FA$69, 30, FALSE)="",":",VLOOKUP($E$163,[1]UG!$A$2:$FA$69, 30, FALSE))</f>
        <v>:</v>
      </c>
      <c r="AF163" s="544" t="str">
        <f>IF(VLOOKUP($E$163,[1]UG!$A$2:$FA$69, 31, FALSE)="",":",VLOOKUP($E$163,[1]UG!$A$2:$FA$69, 31, FALSE))</f>
        <v>:</v>
      </c>
    </row>
    <row r="164" spans="1:32">
      <c r="A164" s="533"/>
      <c r="B164" s="534"/>
      <c r="C164" s="535"/>
      <c r="D164" s="12"/>
      <c r="E164" s="13"/>
      <c r="F164" s="14"/>
      <c r="G164" s="544"/>
      <c r="H164" s="544"/>
      <c r="I164" s="544"/>
      <c r="J164" s="544"/>
      <c r="K164" s="544"/>
      <c r="L164" s="544"/>
      <c r="M164" s="544"/>
      <c r="N164" s="544"/>
      <c r="O164" s="544"/>
      <c r="P164" s="544"/>
      <c r="Q164" s="544"/>
      <c r="R164" s="544"/>
      <c r="S164" s="544"/>
      <c r="T164" s="544"/>
      <c r="U164" s="544"/>
      <c r="V164" s="544"/>
      <c r="W164" s="544"/>
      <c r="X164" s="544"/>
      <c r="Y164" s="544"/>
      <c r="Z164" s="544"/>
      <c r="AA164" s="544"/>
      <c r="AB164" s="544"/>
      <c r="AC164" s="544"/>
      <c r="AD164" s="544"/>
      <c r="AE164" s="544"/>
      <c r="AF164" s="544"/>
    </row>
    <row r="165" spans="1:32">
      <c r="A165" s="533"/>
      <c r="B165" s="534" t="s">
        <v>386</v>
      </c>
      <c r="C165" s="535" t="s">
        <v>1365</v>
      </c>
      <c r="D165" s="12" t="s">
        <v>1214</v>
      </c>
      <c r="E165" s="13">
        <v>36</v>
      </c>
      <c r="F165" s="14" t="str">
        <f>VLOOKUP($E$165,[1]UG!$A$2:$FA$69, 3, FALSE)</f>
        <v>36 Adjustment for the change in net equity of households on pension funds D.8</v>
      </c>
      <c r="G165" s="544">
        <f>IF(VLOOKUP($E$165,[1]UG!$A$2:$FA$69, 6, FALSE)="",":",VLOOKUP($E$165,[1]UG!$A$2:$FA$69, 6, FALSE))</f>
        <v>0</v>
      </c>
      <c r="H165" s="544">
        <f>IF(VLOOKUP($E$165,[1]UG!$A$2:$FA$69, 7, FALSE)="",":",VLOOKUP($E$165,[1]UG!$A$2:$FA$69, 7, FALSE))</f>
        <v>0</v>
      </c>
      <c r="I165" s="544">
        <f>IF(VLOOKUP($E$165,[1]UG!$A$2:$FA$69, 8, FALSE)="",":",VLOOKUP($E$165,[1]UG!$A$2:$FA$69, 8, FALSE))</f>
        <v>0</v>
      </c>
      <c r="J165" s="544">
        <f>IF(VLOOKUP($E$165,[1]UG!$A$2:$FA$69, 9, FALSE)="",":",VLOOKUP($E$165,[1]UG!$A$2:$FA$69, 9, FALSE))</f>
        <v>0</v>
      </c>
      <c r="K165" s="544">
        <f>IF(VLOOKUP($E$165,[1]UG!$A$2:$FA$69, 10, FALSE)="",":",VLOOKUP($E$165,[1]UG!$A$2:$FA$69, 10, FALSE))</f>
        <v>0</v>
      </c>
      <c r="L165" s="544">
        <f>IF(VLOOKUP($E$165,[1]UG!$A$2:$FA$69, 11, FALSE)="",":",VLOOKUP($E$165,[1]UG!$A$2:$FA$69, 11, FALSE))</f>
        <v>0</v>
      </c>
      <c r="M165" s="544">
        <f>IF(VLOOKUP($E$165,[1]UG!$A$2:$FA$69, 12, FALSE)="",":",VLOOKUP($E$165,[1]UG!$A$2:$FA$69, 12, FALSE))</f>
        <v>0</v>
      </c>
      <c r="N165" s="544">
        <f>IF(VLOOKUP($E$165,[1]UG!$A$2:$FA$69, 13, FALSE)="",":",VLOOKUP($E$165,[1]UG!$A$2:$FA$69, 13, FALSE))</f>
        <v>0</v>
      </c>
      <c r="O165" s="544">
        <f>IF(VLOOKUP($E$165,[1]UG!$A$2:$FA$69, 14, FALSE)="",":",VLOOKUP($E$165,[1]UG!$A$2:$FA$69, 14, FALSE))</f>
        <v>0</v>
      </c>
      <c r="P165" s="544">
        <f>IF(VLOOKUP($E$165,[1]UG!$A$2:$FA$69, 15, FALSE)="",":",VLOOKUP($E$165,[1]UG!$A$2:$FA$69, 15, FALSE))</f>
        <v>0</v>
      </c>
      <c r="Q165" s="544">
        <f>IF(VLOOKUP($E$165,[1]UG!$A$2:$FA$69, 16, FALSE)="",":",VLOOKUP($E$165,[1]UG!$A$2:$FA$69, 16, FALSE))</f>
        <v>0</v>
      </c>
      <c r="R165" s="544">
        <f>IF(VLOOKUP($E$165,[1]UG!$A$2:$FA$69, 17, FALSE)="",":",VLOOKUP($E$165,[1]UG!$A$2:$FA$69, 17, FALSE))</f>
        <v>0</v>
      </c>
      <c r="S165" s="544">
        <f>IF(VLOOKUP($E$165,[1]UG!$A$2:$FA$69, 18, FALSE)="",":",VLOOKUP($E$165,[1]UG!$A$2:$FA$69, 18, FALSE))</f>
        <v>0</v>
      </c>
      <c r="T165" s="544">
        <f>IF(VLOOKUP($E$165,[1]UG!$A$2:$FA$69, 19, FALSE)="",":",VLOOKUP($E$165,[1]UG!$A$2:$FA$69, 19, FALSE))</f>
        <v>0</v>
      </c>
      <c r="U165" s="544">
        <f>IF(VLOOKUP($E$165,[1]UG!$A$2:$FA$69, 20, FALSE)="",":",VLOOKUP($E$165,[1]UG!$A$2:$FA$69, 20, FALSE))</f>
        <v>0</v>
      </c>
      <c r="V165" s="544">
        <f>IF(VLOOKUP($E$165,[1]UG!$A$2:$FA$69, 21, FALSE)="",":",VLOOKUP($E$165,[1]UG!$A$2:$FA$69, 21, FALSE))</f>
        <v>0</v>
      </c>
      <c r="W165" s="544">
        <f>IF(VLOOKUP($E$165,[1]UG!$A$2:$FA$69, 22, FALSE)="",":",VLOOKUP($E$165,[1]UG!$A$2:$FA$69, 22, FALSE))</f>
        <v>0</v>
      </c>
      <c r="X165" s="544">
        <f>IF(VLOOKUP($E$165,[1]UG!$A$2:$FA$69, 23, FALSE)="",":",VLOOKUP($E$165,[1]UG!$A$2:$FA$69, 23, FALSE))</f>
        <v>0</v>
      </c>
      <c r="Y165" s="544">
        <f>IF(VLOOKUP($E$165,[1]UG!$A$2:$FA$69, 24, FALSE)="",":",VLOOKUP($E$165,[1]UG!$A$2:$FA$69, 24, FALSE))</f>
        <v>0</v>
      </c>
      <c r="Z165" s="544">
        <f>IF(VLOOKUP($E$165,[1]UG!$A$2:$FA$69, 25, FALSE)="",":",VLOOKUP($E$165,[1]UG!$A$2:$FA$69, 25, FALSE))</f>
        <v>0</v>
      </c>
      <c r="AA165" s="544">
        <f>IF(VLOOKUP($E$165,[1]UG!$A$2:$FA$69, 26, FALSE)="",":",VLOOKUP($E$165,[1]UG!$A$2:$FA$69, 26, FALSE))</f>
        <v>0</v>
      </c>
      <c r="AB165" s="544">
        <f>IF(VLOOKUP($E$165,[1]UG!$A$2:$FA$69, 27, FALSE)="",":",VLOOKUP($E$165,[1]UG!$A$2:$FA$69, 27, FALSE))</f>
        <v>0</v>
      </c>
      <c r="AC165" s="544" t="str">
        <f>IF(VLOOKUP($E$165,[1]UG!$A$2:$FA$69, 28, FALSE)="",":",VLOOKUP($E$165,[1]UG!$A$2:$FA$69, 28, FALSE))</f>
        <v>:</v>
      </c>
      <c r="AD165" s="544" t="str">
        <f>IF(VLOOKUP($E$165,[1]UG!$A$2:$FA$69, 29, FALSE)="",":",VLOOKUP($E$165,[1]UG!$A$2:$FA$69, 29, FALSE))</f>
        <v>:</v>
      </c>
      <c r="AE165" s="544" t="str">
        <f>IF(VLOOKUP($E$165,[1]UG!$A$2:$FA$69, 30, FALSE)="",":",VLOOKUP($E$165,[1]UG!$A$2:$FA$69, 30, FALSE))</f>
        <v>:</v>
      </c>
      <c r="AF165" s="544" t="str">
        <f>IF(VLOOKUP($E$165,[1]UG!$A$2:$FA$69, 31, FALSE)="",":",VLOOKUP($E$165,[1]UG!$A$2:$FA$69, 31, FALSE))</f>
        <v>:</v>
      </c>
    </row>
    <row r="166" spans="1:32">
      <c r="A166" s="533"/>
      <c r="B166" s="534" t="s">
        <v>1153</v>
      </c>
      <c r="C166" s="535" t="s">
        <v>1154</v>
      </c>
      <c r="D166" s="12" t="s">
        <v>1214</v>
      </c>
      <c r="E166" s="13">
        <v>39</v>
      </c>
      <c r="F166" s="14" t="str">
        <f>VLOOKUP($E$166,[1]UG!$A$2:$FA$69, 3, FALSE)</f>
        <v>39 Capital transfers, receivable D.9r</v>
      </c>
      <c r="G166" s="544">
        <f>IF(VLOOKUP($E$166,[1]UG!$A$2:$FA$69, 6, FALSE)="",":",VLOOKUP($E$166,[1]UG!$A$2:$FA$69, 6, FALSE))</f>
        <v>0</v>
      </c>
      <c r="H166" s="544">
        <f>IF(VLOOKUP($E$166,[1]UG!$A$2:$FA$69, 7, FALSE)="",":",VLOOKUP($E$166,[1]UG!$A$2:$FA$69, 7, FALSE))</f>
        <v>0</v>
      </c>
      <c r="I166" s="544">
        <f>IF(VLOOKUP($E$166,[1]UG!$A$2:$FA$69, 8, FALSE)="",":",VLOOKUP($E$166,[1]UG!$A$2:$FA$69, 8, FALSE))</f>
        <v>2.2999999999999998</v>
      </c>
      <c r="J166" s="544">
        <f>IF(VLOOKUP($E$166,[1]UG!$A$2:$FA$69, 9, FALSE)="",":",VLOOKUP($E$166,[1]UG!$A$2:$FA$69, 9, FALSE))</f>
        <v>0.47000000000000003</v>
      </c>
      <c r="K166" s="544">
        <f>IF(VLOOKUP($E$166,[1]UG!$A$2:$FA$69, 10, FALSE)="",":",VLOOKUP($E$166,[1]UG!$A$2:$FA$69, 10, FALSE))</f>
        <v>11.89</v>
      </c>
      <c r="L166" s="544">
        <f>IF(VLOOKUP($E$166,[1]UG!$A$2:$FA$69, 11, FALSE)="",":",VLOOKUP($E$166,[1]UG!$A$2:$FA$69, 11, FALSE))</f>
        <v>-27.85</v>
      </c>
      <c r="M166" s="544">
        <f>IF(VLOOKUP($E$166,[1]UG!$A$2:$FA$69, 12, FALSE)="",":",VLOOKUP($E$166,[1]UG!$A$2:$FA$69, 12, FALSE))</f>
        <v>-29.45</v>
      </c>
      <c r="N166" s="544">
        <f>IF(VLOOKUP($E$166,[1]UG!$A$2:$FA$69, 13, FALSE)="",":",VLOOKUP($E$166,[1]UG!$A$2:$FA$69, 13, FALSE))</f>
        <v>45.9</v>
      </c>
      <c r="O166" s="544">
        <f>IF(VLOOKUP($E$166,[1]UG!$A$2:$FA$69, 14, FALSE)="",":",VLOOKUP($E$166,[1]UG!$A$2:$FA$69, 14, FALSE))</f>
        <v>53.4</v>
      </c>
      <c r="P166" s="544">
        <f>IF(VLOOKUP($E$166,[1]UG!$A$2:$FA$69, 15, FALSE)="",":",VLOOKUP($E$166,[1]UG!$A$2:$FA$69, 15, FALSE))</f>
        <v>72.19</v>
      </c>
      <c r="Q166" s="544">
        <f>IF(VLOOKUP($E$166,[1]UG!$A$2:$FA$69, 16, FALSE)="",":",VLOOKUP($E$166,[1]UG!$A$2:$FA$69, 16, FALSE))</f>
        <v>159.71</v>
      </c>
      <c r="R166" s="544">
        <f>IF(VLOOKUP($E$166,[1]UG!$A$2:$FA$69, 17, FALSE)="",":",VLOOKUP($E$166,[1]UG!$A$2:$FA$69, 17, FALSE))</f>
        <v>231.73</v>
      </c>
      <c r="S166" s="544">
        <f>IF(VLOOKUP($E$166,[1]UG!$A$2:$FA$69, 18, FALSE)="",":",VLOOKUP($E$166,[1]UG!$A$2:$FA$69, 18, FALSE))</f>
        <v>413.25</v>
      </c>
      <c r="T166" s="544">
        <f>IF(VLOOKUP($E$166,[1]UG!$A$2:$FA$69, 19, FALSE)="",":",VLOOKUP($E$166,[1]UG!$A$2:$FA$69, 19, FALSE))</f>
        <v>342.73</v>
      </c>
      <c r="U166" s="544">
        <f>IF(VLOOKUP($E$166,[1]UG!$A$2:$FA$69, 20, FALSE)="",":",VLOOKUP($E$166,[1]UG!$A$2:$FA$69, 20, FALSE))</f>
        <v>394.42</v>
      </c>
      <c r="V166" s="544">
        <f>IF(VLOOKUP($E$166,[1]UG!$A$2:$FA$69, 21, FALSE)="",":",VLOOKUP($E$166,[1]UG!$A$2:$FA$69, 21, FALSE))</f>
        <v>707.7</v>
      </c>
      <c r="W166" s="544">
        <f>IF(VLOOKUP($E$166,[1]UG!$A$2:$FA$69, 22, FALSE)="",":",VLOOKUP($E$166,[1]UG!$A$2:$FA$69, 22, FALSE))</f>
        <v>687.31</v>
      </c>
      <c r="X166" s="544">
        <f>IF(VLOOKUP($E$166,[1]UG!$A$2:$FA$69, 23, FALSE)="",":",VLOOKUP($E$166,[1]UG!$A$2:$FA$69, 23, FALSE))</f>
        <v>635.71</v>
      </c>
      <c r="Y166" s="544">
        <f>IF(VLOOKUP($E$166,[1]UG!$A$2:$FA$69, 24, FALSE)="",":",VLOOKUP($E$166,[1]UG!$A$2:$FA$69, 24, FALSE))</f>
        <v>722.31</v>
      </c>
      <c r="Z166" s="544">
        <f>IF(VLOOKUP($E$166,[1]UG!$A$2:$FA$69, 25, FALSE)="",":",VLOOKUP($E$166,[1]UG!$A$2:$FA$69, 25, FALSE))</f>
        <v>992.97</v>
      </c>
      <c r="AA166" s="544">
        <f>IF(VLOOKUP($E$166,[1]UG!$A$2:$FA$69, 26, FALSE)="",":",VLOOKUP($E$166,[1]UG!$A$2:$FA$69, 26, FALSE))</f>
        <v>691.3</v>
      </c>
      <c r="AB166" s="544">
        <f>IF(VLOOKUP($E$166,[1]UG!$A$2:$FA$69, 27, FALSE)="",":",VLOOKUP($E$166,[1]UG!$A$2:$FA$69, 27, FALSE))</f>
        <v>313.55</v>
      </c>
      <c r="AC166" s="544" t="str">
        <f>IF(VLOOKUP($E$166,[1]UG!$A$2:$FA$69, 28, FALSE)="",":",VLOOKUP($E$166,[1]UG!$A$2:$FA$69, 28, FALSE))</f>
        <v>:</v>
      </c>
      <c r="AD166" s="544" t="str">
        <f>IF(VLOOKUP($E$166,[1]UG!$A$2:$FA$69, 29, FALSE)="",":",VLOOKUP($E$166,[1]UG!$A$2:$FA$69, 29, FALSE))</f>
        <v>:</v>
      </c>
      <c r="AE166" s="544" t="str">
        <f>IF(VLOOKUP($E$166,[1]UG!$A$2:$FA$69, 30, FALSE)="",":",VLOOKUP($E$166,[1]UG!$A$2:$FA$69, 30, FALSE))</f>
        <v>:</v>
      </c>
      <c r="AF166" s="544" t="str">
        <f>IF(VLOOKUP($E$166,[1]UG!$A$2:$FA$69, 31, FALSE)="",":",VLOOKUP($E$166,[1]UG!$A$2:$FA$69, 31, FALSE))</f>
        <v>:</v>
      </c>
    </row>
    <row r="167" spans="1:32">
      <c r="A167" s="533">
        <v>130</v>
      </c>
      <c r="B167" s="534" t="s">
        <v>319</v>
      </c>
      <c r="C167" s="535" t="s">
        <v>1209</v>
      </c>
      <c r="D167" s="12" t="s">
        <v>1214</v>
      </c>
      <c r="E167" s="13">
        <v>40</v>
      </c>
      <c r="F167" s="14" t="str">
        <f>VLOOKUP($E$167,[1]UG!$A$2:$FA$69, 3, FALSE)</f>
        <v>40 Capital taxes D.91r</v>
      </c>
      <c r="G167" s="544">
        <f>IF(VLOOKUP($E$167,[1]UG!$A$2:$FA$69, 6, FALSE)="",":",VLOOKUP($E$167,[1]UG!$A$2:$FA$69, 6, FALSE))</f>
        <v>0</v>
      </c>
      <c r="H167" s="544">
        <f>IF(VLOOKUP($E$167,[1]UG!$A$2:$FA$69, 7, FALSE)="",":",VLOOKUP($E$167,[1]UG!$A$2:$FA$69, 7, FALSE))</f>
        <v>0</v>
      </c>
      <c r="I167" s="544">
        <f>IF(VLOOKUP($E$167,[1]UG!$A$2:$FA$69, 8, FALSE)="",":",VLOOKUP($E$167,[1]UG!$A$2:$FA$69, 8, FALSE))</f>
        <v>3.0000000000000002E-2</v>
      </c>
      <c r="J167" s="544">
        <f>IF(VLOOKUP($E$167,[1]UG!$A$2:$FA$69, 9, FALSE)="",":",VLOOKUP($E$167,[1]UG!$A$2:$FA$69, 9, FALSE))</f>
        <v>0.2</v>
      </c>
      <c r="K167" s="544">
        <f>IF(VLOOKUP($E$167,[1]UG!$A$2:$FA$69, 10, FALSE)="",":",VLOOKUP($E$167,[1]UG!$A$2:$FA$69, 10, FALSE))</f>
        <v>0.62</v>
      </c>
      <c r="L167" s="544">
        <f>IF(VLOOKUP($E$167,[1]UG!$A$2:$FA$69, 11, FALSE)="",":",VLOOKUP($E$167,[1]UG!$A$2:$FA$69, 11, FALSE))</f>
        <v>0.53</v>
      </c>
      <c r="M167" s="544">
        <f>IF(VLOOKUP($E$167,[1]UG!$A$2:$FA$69, 12, FALSE)="",":",VLOOKUP($E$167,[1]UG!$A$2:$FA$69, 12, FALSE))</f>
        <v>0.65</v>
      </c>
      <c r="N167" s="544">
        <f>IF(VLOOKUP($E$167,[1]UG!$A$2:$FA$69, 13, FALSE)="",":",VLOOKUP($E$167,[1]UG!$A$2:$FA$69, 13, FALSE))</f>
        <v>0.66</v>
      </c>
      <c r="O167" s="544">
        <f>IF(VLOOKUP($E$167,[1]UG!$A$2:$FA$69, 14, FALSE)="",":",VLOOKUP($E$167,[1]UG!$A$2:$FA$69, 14, FALSE))</f>
        <v>0.32</v>
      </c>
      <c r="P167" s="544">
        <f>IF(VLOOKUP($E$167,[1]UG!$A$2:$FA$69, 15, FALSE)="",":",VLOOKUP($E$167,[1]UG!$A$2:$FA$69, 15, FALSE))</f>
        <v>0.5</v>
      </c>
      <c r="Q167" s="544">
        <f>IF(VLOOKUP($E$167,[1]UG!$A$2:$FA$69, 16, FALSE)="",":",VLOOKUP($E$167,[1]UG!$A$2:$FA$69, 16, FALSE))</f>
        <v>0.67</v>
      </c>
      <c r="R167" s="544">
        <f>IF(VLOOKUP($E$167,[1]UG!$A$2:$FA$69, 17, FALSE)="",":",VLOOKUP($E$167,[1]UG!$A$2:$FA$69, 17, FALSE))</f>
        <v>1.21</v>
      </c>
      <c r="S167" s="544">
        <f>IF(VLOOKUP($E$167,[1]UG!$A$2:$FA$69, 18, FALSE)="",":",VLOOKUP($E$167,[1]UG!$A$2:$FA$69, 18, FALSE))</f>
        <v>1.82</v>
      </c>
      <c r="T167" s="544">
        <f>IF(VLOOKUP($E$167,[1]UG!$A$2:$FA$69, 19, FALSE)="",":",VLOOKUP($E$167,[1]UG!$A$2:$FA$69, 19, FALSE))</f>
        <v>1.76</v>
      </c>
      <c r="U167" s="544">
        <f>IF(VLOOKUP($E$167,[1]UG!$A$2:$FA$69, 20, FALSE)="",":",VLOOKUP($E$167,[1]UG!$A$2:$FA$69, 20, FALSE))</f>
        <v>1.78</v>
      </c>
      <c r="V167" s="544">
        <f>IF(VLOOKUP($E$167,[1]UG!$A$2:$FA$69, 21, FALSE)="",":",VLOOKUP($E$167,[1]UG!$A$2:$FA$69, 21, FALSE))</f>
        <v>1.1000000000000001</v>
      </c>
      <c r="W167" s="544">
        <f>IF(VLOOKUP($E$167,[1]UG!$A$2:$FA$69, 22, FALSE)="",":",VLOOKUP($E$167,[1]UG!$A$2:$FA$69, 22, FALSE))</f>
        <v>1</v>
      </c>
      <c r="X167" s="544">
        <f>IF(VLOOKUP($E$167,[1]UG!$A$2:$FA$69, 23, FALSE)="",":",VLOOKUP($E$167,[1]UG!$A$2:$FA$69, 23, FALSE))</f>
        <v>1.2</v>
      </c>
      <c r="Y167" s="544">
        <f>IF(VLOOKUP($E$167,[1]UG!$A$2:$FA$69, 24, FALSE)="",":",VLOOKUP($E$167,[1]UG!$A$2:$FA$69, 24, FALSE))</f>
        <v>1.28</v>
      </c>
      <c r="Z167" s="544">
        <f>IF(VLOOKUP($E$167,[1]UG!$A$2:$FA$69, 25, FALSE)="",":",VLOOKUP($E$167,[1]UG!$A$2:$FA$69, 25, FALSE))</f>
        <v>1.33</v>
      </c>
      <c r="AA167" s="544">
        <f>IF(VLOOKUP($E$167,[1]UG!$A$2:$FA$69, 26, FALSE)="",":",VLOOKUP($E$167,[1]UG!$A$2:$FA$69, 26, FALSE))</f>
        <v>1.4300000000000002</v>
      </c>
      <c r="AB167" s="544">
        <f>IF(VLOOKUP($E$167,[1]UG!$A$2:$FA$69, 27, FALSE)="",":",VLOOKUP($E$167,[1]UG!$A$2:$FA$69, 27, FALSE))</f>
        <v>1.47</v>
      </c>
      <c r="AC167" s="544" t="str">
        <f>IF(VLOOKUP($E$167,[1]UG!$A$2:$FA$69, 28, FALSE)="",":",VLOOKUP($E$167,[1]UG!$A$2:$FA$69, 28, FALSE))</f>
        <v>:</v>
      </c>
      <c r="AD167" s="544" t="str">
        <f>IF(VLOOKUP($E$167,[1]UG!$A$2:$FA$69, 29, FALSE)="",":",VLOOKUP($E$167,[1]UG!$A$2:$FA$69, 29, FALSE))</f>
        <v>:</v>
      </c>
      <c r="AE167" s="544" t="str">
        <f>IF(VLOOKUP($E$167,[1]UG!$A$2:$FA$69, 30, FALSE)="",":",VLOOKUP($E$167,[1]UG!$A$2:$FA$69, 30, FALSE))</f>
        <v>:</v>
      </c>
      <c r="AF167" s="544" t="str">
        <f>IF(VLOOKUP($E$167,[1]UG!$A$2:$FA$69, 31, FALSE)="",":",VLOOKUP($E$167,[1]UG!$A$2:$FA$69, 31, FALSE))</f>
        <v>:</v>
      </c>
    </row>
    <row r="168" spans="1:32">
      <c r="A168" s="533"/>
      <c r="B168" s="534" t="s">
        <v>1175</v>
      </c>
      <c r="C168" s="535" t="s">
        <v>1211</v>
      </c>
      <c r="D168" s="12" t="s">
        <v>1214</v>
      </c>
      <c r="E168" s="13">
        <v>42</v>
      </c>
      <c r="F168" s="14" t="str">
        <f>VLOOKUP($E$168,[1]UG!$A$2:$FA$69, 3, FALSE)</f>
        <v>42 Capital transfers, payable D.9p</v>
      </c>
      <c r="G168" s="544">
        <f>IF(VLOOKUP($E$168,[1]UG!$A$2:$FA$69, 6, FALSE)="",":",VLOOKUP($E$168,[1]UG!$A$2:$FA$69, 6, FALSE))</f>
        <v>96.12</v>
      </c>
      <c r="H168" s="544">
        <f>IF(VLOOKUP($E$168,[1]UG!$A$2:$FA$69, 7, FALSE)="",":",VLOOKUP($E$168,[1]UG!$A$2:$FA$69, 7, FALSE))</f>
        <v>246.03</v>
      </c>
      <c r="I168" s="544">
        <f>IF(VLOOKUP($E$168,[1]UG!$A$2:$FA$69, 8, FALSE)="",":",VLOOKUP($E$168,[1]UG!$A$2:$FA$69, 8, FALSE))</f>
        <v>1500.24</v>
      </c>
      <c r="J168" s="544">
        <f>IF(VLOOKUP($E$168,[1]UG!$A$2:$FA$69, 9, FALSE)="",":",VLOOKUP($E$168,[1]UG!$A$2:$FA$69, 9, FALSE))</f>
        <v>152.25</v>
      </c>
      <c r="K168" s="544">
        <f>IF(VLOOKUP($E$168,[1]UG!$A$2:$FA$69, 10, FALSE)="",":",VLOOKUP($E$168,[1]UG!$A$2:$FA$69, 10, FALSE))</f>
        <v>121.24</v>
      </c>
      <c r="L168" s="544">
        <f>IF(VLOOKUP($E$168,[1]UG!$A$2:$FA$69, 11, FALSE)="",":",VLOOKUP($E$168,[1]UG!$A$2:$FA$69, 11, FALSE))</f>
        <v>290.37</v>
      </c>
      <c r="M168" s="544">
        <f>IF(VLOOKUP($E$168,[1]UG!$A$2:$FA$69, 12, FALSE)="",":",VLOOKUP($E$168,[1]UG!$A$2:$FA$69, 12, FALSE))</f>
        <v>259.51</v>
      </c>
      <c r="N168" s="544">
        <f>IF(VLOOKUP($E$168,[1]UG!$A$2:$FA$69, 13, FALSE)="",":",VLOOKUP($E$168,[1]UG!$A$2:$FA$69, 13, FALSE))</f>
        <v>133.02000000000001</v>
      </c>
      <c r="O168" s="544">
        <f>IF(VLOOKUP($E$168,[1]UG!$A$2:$FA$69, 14, FALSE)="",":",VLOOKUP($E$168,[1]UG!$A$2:$FA$69, 14, FALSE))</f>
        <v>71.790000000000006</v>
      </c>
      <c r="P168" s="544">
        <f>IF(VLOOKUP($E$168,[1]UG!$A$2:$FA$69, 15, FALSE)="",":",VLOOKUP($E$168,[1]UG!$A$2:$FA$69, 15, FALSE))</f>
        <v>103.96</v>
      </c>
      <c r="Q168" s="544">
        <f>IF(VLOOKUP($E$168,[1]UG!$A$2:$FA$69, 16, FALSE)="",":",VLOOKUP($E$168,[1]UG!$A$2:$FA$69, 16, FALSE))</f>
        <v>83.02</v>
      </c>
      <c r="R168" s="544">
        <f>IF(VLOOKUP($E$168,[1]UG!$A$2:$FA$69, 17, FALSE)="",":",VLOOKUP($E$168,[1]UG!$A$2:$FA$69, 17, FALSE))</f>
        <v>95.53</v>
      </c>
      <c r="S168" s="544">
        <f>IF(VLOOKUP($E$168,[1]UG!$A$2:$FA$69, 18, FALSE)="",":",VLOOKUP($E$168,[1]UG!$A$2:$FA$69, 18, FALSE))</f>
        <v>257.20999999999998</v>
      </c>
      <c r="T168" s="544">
        <f>IF(VLOOKUP($E$168,[1]UG!$A$2:$FA$69, 19, FALSE)="",":",VLOOKUP($E$168,[1]UG!$A$2:$FA$69, 19, FALSE))</f>
        <v>129.53</v>
      </c>
      <c r="U168" s="544">
        <f>IF(VLOOKUP($E$168,[1]UG!$A$2:$FA$69, 20, FALSE)="",":",VLOOKUP($E$168,[1]UG!$A$2:$FA$69, 20, FALSE))</f>
        <v>110.79</v>
      </c>
      <c r="V168" s="544">
        <f>IF(VLOOKUP($E$168,[1]UG!$A$2:$FA$69, 21, FALSE)="",":",VLOOKUP($E$168,[1]UG!$A$2:$FA$69, 21, FALSE))</f>
        <v>121.55</v>
      </c>
      <c r="W168" s="544">
        <f>IF(VLOOKUP($E$168,[1]UG!$A$2:$FA$69, 22, FALSE)="",":",VLOOKUP($E$168,[1]UG!$A$2:$FA$69, 22, FALSE))</f>
        <v>1393.66</v>
      </c>
      <c r="X168" s="544">
        <f>IF(VLOOKUP($E$168,[1]UG!$A$2:$FA$69, 23, FALSE)="",":",VLOOKUP($E$168,[1]UG!$A$2:$FA$69, 23, FALSE))</f>
        <v>91.18</v>
      </c>
      <c r="Y168" s="544">
        <f>IF(VLOOKUP($E$168,[1]UG!$A$2:$FA$69, 24, FALSE)="",":",VLOOKUP($E$168,[1]UG!$A$2:$FA$69, 24, FALSE))</f>
        <v>450.8</v>
      </c>
      <c r="Z168" s="544">
        <f>IF(VLOOKUP($E$168,[1]UG!$A$2:$FA$69, 25, FALSE)="",":",VLOOKUP($E$168,[1]UG!$A$2:$FA$69, 25, FALSE))</f>
        <v>505.19</v>
      </c>
      <c r="AA168" s="544">
        <f>IF(VLOOKUP($E$168,[1]UG!$A$2:$FA$69, 26, FALSE)="",":",VLOOKUP($E$168,[1]UG!$A$2:$FA$69, 26, FALSE))</f>
        <v>267.16000000000003</v>
      </c>
      <c r="AB168" s="544">
        <f>IF(VLOOKUP($E$168,[1]UG!$A$2:$FA$69, 27, FALSE)="",":",VLOOKUP($E$168,[1]UG!$A$2:$FA$69, 27, FALSE))</f>
        <v>183.89</v>
      </c>
      <c r="AC168" s="544" t="str">
        <f>IF(VLOOKUP($E$168,[1]UG!$A$2:$FA$69, 28, FALSE)="",":",VLOOKUP($E$168,[1]UG!$A$2:$FA$69, 28, FALSE))</f>
        <v>:</v>
      </c>
      <c r="AD168" s="544" t="str">
        <f>IF(VLOOKUP($E$168,[1]UG!$A$2:$FA$69, 29, FALSE)="",":",VLOOKUP($E$168,[1]UG!$A$2:$FA$69, 29, FALSE))</f>
        <v>:</v>
      </c>
      <c r="AE168" s="544" t="str">
        <f>IF(VLOOKUP($E$168,[1]UG!$A$2:$FA$69, 30, FALSE)="",":",VLOOKUP($E$168,[1]UG!$A$2:$FA$69, 30, FALSE))</f>
        <v>:</v>
      </c>
      <c r="AF168" s="544" t="str">
        <f>IF(VLOOKUP($E$168,[1]UG!$A$2:$FA$69, 31, FALSE)="",":",VLOOKUP($E$168,[1]UG!$A$2:$FA$69, 31, FALSE))</f>
        <v>:</v>
      </c>
    </row>
    <row r="169" spans="1:32">
      <c r="A169" s="533"/>
      <c r="B169" s="534"/>
      <c r="C169" s="535" t="s">
        <v>1155</v>
      </c>
      <c r="D169" s="12" t="s">
        <v>1214</v>
      </c>
      <c r="E169" s="13">
        <v>84</v>
      </c>
      <c r="F169" s="14" t="str">
        <f>VLOOKUP($E$169,[1]UG!$A$2:$FA$69, 3, FALSE)</f>
        <v>84 Capital transfers to relevant sectors for taxes and social contributions assessed but unlikely to be collected D.995</v>
      </c>
      <c r="G169" s="544">
        <f>IF(VLOOKUP($E$169,[1]UG!$A$2:$FA$69, 6, FALSE)="",":",VLOOKUP($E$169,[1]UG!$A$2:$FA$69, 6, FALSE))</f>
        <v>0</v>
      </c>
      <c r="H169" s="544">
        <f>IF(VLOOKUP($E$169,[1]UG!$A$2:$FA$69, 7, FALSE)="",":",VLOOKUP($E$169,[1]UG!$A$2:$FA$69, 7, FALSE))</f>
        <v>0</v>
      </c>
      <c r="I169" s="544">
        <f>IF(VLOOKUP($E$169,[1]UG!$A$2:$FA$69, 8, FALSE)="",":",VLOOKUP($E$169,[1]UG!$A$2:$FA$69, 8, FALSE))</f>
        <v>0</v>
      </c>
      <c r="J169" s="544">
        <f>IF(VLOOKUP($E$169,[1]UG!$A$2:$FA$69, 9, FALSE)="",":",VLOOKUP($E$169,[1]UG!$A$2:$FA$69, 9, FALSE))</f>
        <v>0</v>
      </c>
      <c r="K169" s="544">
        <f>IF(VLOOKUP($E$169,[1]UG!$A$2:$FA$69, 10, FALSE)="",":",VLOOKUP($E$169,[1]UG!$A$2:$FA$69, 10, FALSE))</f>
        <v>0</v>
      </c>
      <c r="L169" s="544">
        <f>IF(VLOOKUP($E$169,[1]UG!$A$2:$FA$69, 11, FALSE)="",":",VLOOKUP($E$169,[1]UG!$A$2:$FA$69, 11, FALSE))</f>
        <v>38.51</v>
      </c>
      <c r="M169" s="544">
        <f>IF(VLOOKUP($E$169,[1]UG!$A$2:$FA$69, 12, FALSE)="",":",VLOOKUP($E$169,[1]UG!$A$2:$FA$69, 12, FALSE))</f>
        <v>45.68</v>
      </c>
      <c r="N169" s="544">
        <f>IF(VLOOKUP($E$169,[1]UG!$A$2:$FA$69, 13, FALSE)="",":",VLOOKUP($E$169,[1]UG!$A$2:$FA$69, 13, FALSE))</f>
        <v>26.74</v>
      </c>
      <c r="O169" s="544">
        <f>IF(VLOOKUP($E$169,[1]UG!$A$2:$FA$69, 14, FALSE)="",":",VLOOKUP($E$169,[1]UG!$A$2:$FA$69, 14, FALSE))</f>
        <v>14.32</v>
      </c>
      <c r="P169" s="544">
        <f>IF(VLOOKUP($E$169,[1]UG!$A$2:$FA$69, 15, FALSE)="",":",VLOOKUP($E$169,[1]UG!$A$2:$FA$69, 15, FALSE))</f>
        <v>11.99</v>
      </c>
      <c r="Q169" s="544">
        <f>IF(VLOOKUP($E$169,[1]UG!$A$2:$FA$69, 16, FALSE)="",":",VLOOKUP($E$169,[1]UG!$A$2:$FA$69, 16, FALSE))</f>
        <v>9.8000000000000007</v>
      </c>
      <c r="R169" s="544">
        <f>IF(VLOOKUP($E$169,[1]UG!$A$2:$FA$69, 17, FALSE)="",":",VLOOKUP($E$169,[1]UG!$A$2:$FA$69, 17, FALSE))</f>
        <v>14.98</v>
      </c>
      <c r="S169" s="544">
        <f>IF(VLOOKUP($E$169,[1]UG!$A$2:$FA$69, 18, FALSE)="",":",VLOOKUP($E$169,[1]UG!$A$2:$FA$69, 18, FALSE))</f>
        <v>8.9</v>
      </c>
      <c r="T169" s="544">
        <f>IF(VLOOKUP($E$169,[1]UG!$A$2:$FA$69, 19, FALSE)="",":",VLOOKUP($E$169,[1]UG!$A$2:$FA$69, 19, FALSE))</f>
        <v>18.670000000000002</v>
      </c>
      <c r="U169" s="544">
        <f>IF(VLOOKUP($E$169,[1]UG!$A$2:$FA$69, 20, FALSE)="",":",VLOOKUP($E$169,[1]UG!$A$2:$FA$69, 20, FALSE))</f>
        <v>47.25</v>
      </c>
      <c r="V169" s="544">
        <f>IF(VLOOKUP($E$169,[1]UG!$A$2:$FA$69, 21, FALSE)="",":",VLOOKUP($E$169,[1]UG!$A$2:$FA$69, 21, FALSE))</f>
        <v>31.95</v>
      </c>
      <c r="W169" s="544">
        <f>IF(VLOOKUP($E$169,[1]UG!$A$2:$FA$69, 22, FALSE)="",":",VLOOKUP($E$169,[1]UG!$A$2:$FA$69, 22, FALSE))</f>
        <v>15.94</v>
      </c>
      <c r="X169" s="544">
        <f>IF(VLOOKUP($E$169,[1]UG!$A$2:$FA$69, 23, FALSE)="",":",VLOOKUP($E$169,[1]UG!$A$2:$FA$69, 23, FALSE))</f>
        <v>14.12</v>
      </c>
      <c r="Y169" s="544">
        <f>IF(VLOOKUP($E$169,[1]UG!$A$2:$FA$69, 24, FALSE)="",":",VLOOKUP($E$169,[1]UG!$A$2:$FA$69, 24, FALSE))</f>
        <v>17.41</v>
      </c>
      <c r="Z169" s="544">
        <f>IF(VLOOKUP($E$169,[1]UG!$A$2:$FA$69, 25, FALSE)="",":",VLOOKUP($E$169,[1]UG!$A$2:$FA$69, 25, FALSE))</f>
        <v>15.14</v>
      </c>
      <c r="AA169" s="544">
        <f>IF(VLOOKUP($E$169,[1]UG!$A$2:$FA$69, 26, FALSE)="",":",VLOOKUP($E$169,[1]UG!$A$2:$FA$69, 26, FALSE))</f>
        <v>17.63</v>
      </c>
      <c r="AB169" s="544">
        <f>IF(VLOOKUP($E$169,[1]UG!$A$2:$FA$69, 27, FALSE)="",":",VLOOKUP($E$169,[1]UG!$A$2:$FA$69, 27, FALSE))</f>
        <v>14.21</v>
      </c>
      <c r="AC169" s="544" t="str">
        <f>IF(VLOOKUP($E$169,[1]UG!$A$2:$FA$69, 28, FALSE)="",":",VLOOKUP($E$169,[1]UG!$A$2:$FA$69, 28, FALSE))</f>
        <v>:</v>
      </c>
      <c r="AD169" s="544" t="str">
        <f>IF(VLOOKUP($E$169,[1]UG!$A$2:$FA$69, 29, FALSE)="",":",VLOOKUP($E$169,[1]UG!$A$2:$FA$69, 29, FALSE))</f>
        <v>:</v>
      </c>
      <c r="AE169" s="544" t="str">
        <f>IF(VLOOKUP($E$169,[1]UG!$A$2:$FA$69, 30, FALSE)="",":",VLOOKUP($E$169,[1]UG!$A$2:$FA$69, 30, FALSE))</f>
        <v>:</v>
      </c>
      <c r="AF169" s="544" t="str">
        <f>IF(VLOOKUP($E$169,[1]UG!$A$2:$FA$69, 31, FALSE)="",":",VLOOKUP($E$169,[1]UG!$A$2:$FA$69, 31, FALSE))</f>
        <v>:</v>
      </c>
    </row>
    <row r="170" spans="1:32">
      <c r="A170" s="533"/>
      <c r="B170" s="534"/>
      <c r="C170" s="3604"/>
      <c r="D170" s="12" t="s">
        <v>1214</v>
      </c>
      <c r="E170" s="13">
        <v>56</v>
      </c>
      <c r="F170" s="14" t="s">
        <v>2514</v>
      </c>
      <c r="G170" s="544" t="str">
        <f>IF(VLOOKUP($E$170,[1]UG!$A$2:$FA$69, 6, FALSE)="",":",VLOOKUP($E$170,[1]UG!$A$2:$FA$69, 6, FALSE))</f>
        <v>:</v>
      </c>
      <c r="H170" s="544" t="str">
        <f>IF(VLOOKUP($E$170,[1]UG!$A$2:$FA$69, 7, FALSE)="",":",VLOOKUP($E$170,[1]UG!$A$2:$FA$69, 7, FALSE))</f>
        <v>:</v>
      </c>
      <c r="I170" s="544" t="str">
        <f>IF(VLOOKUP($E$170,[1]UG!$A$2:$FA$69, 8, FALSE)="",":",VLOOKUP($E$170,[1]UG!$A$2:$FA$69, 8, FALSE))</f>
        <v>:</v>
      </c>
      <c r="J170" s="544" t="str">
        <f>IF(VLOOKUP($E$170,[1]UG!$A$2:$FA$69, 9, FALSE)="",":",VLOOKUP($E$170,[1]UG!$A$2:$FA$69, 9, FALSE))</f>
        <v>:</v>
      </c>
      <c r="K170" s="544" t="str">
        <f>IF(VLOOKUP($E$170,[1]UG!$A$2:$FA$69, 10, FALSE)="",":",VLOOKUP($E$170,[1]UG!$A$2:$FA$69, 10, FALSE))</f>
        <v>:</v>
      </c>
      <c r="L170" s="544" t="str">
        <f>IF(VLOOKUP($E$170,[1]UG!$A$2:$FA$69, 11, FALSE)="",":",VLOOKUP($E$170,[1]UG!$A$2:$FA$69, 11, FALSE))</f>
        <v>:</v>
      </c>
      <c r="M170" s="544" t="str">
        <f>IF(VLOOKUP($E$170,[1]UG!$A$2:$FA$69, 12, FALSE)="",":",VLOOKUP($E$170,[1]UG!$A$2:$FA$69, 12, FALSE))</f>
        <v>:</v>
      </c>
      <c r="N170" s="544" t="str">
        <f>IF(VLOOKUP($E$170,[1]UG!$A$2:$FA$69, 13, FALSE)="",":",VLOOKUP($E$170,[1]UG!$A$2:$FA$69, 13, FALSE))</f>
        <v>:</v>
      </c>
      <c r="O170" s="544" t="str">
        <f>IF(VLOOKUP($E$170,[1]UG!$A$2:$FA$69, 14, FALSE)="",":",VLOOKUP($E$170,[1]UG!$A$2:$FA$69, 14, FALSE))</f>
        <v>:</v>
      </c>
      <c r="P170" s="544">
        <f>IF(VLOOKUP($E$170,[1]UG!$A$2:$FA$69, 15, FALSE)="",":",VLOOKUP($E$170,[1]UG!$A$2:$FA$69, 15, FALSE))</f>
        <v>88.4</v>
      </c>
      <c r="Q170" s="544">
        <f>IF(VLOOKUP($E$170,[1]UG!$A$2:$FA$69, 16, FALSE)="",":",VLOOKUP($E$170,[1]UG!$A$2:$FA$69, 16, FALSE))</f>
        <v>58.94</v>
      </c>
      <c r="R170" s="544">
        <f>IF(VLOOKUP($E$170,[1]UG!$A$2:$FA$69, 17, FALSE)="",":",VLOOKUP($E$170,[1]UG!$A$2:$FA$69, 17, FALSE))</f>
        <v>78.02</v>
      </c>
      <c r="S170" s="544">
        <f>IF(VLOOKUP($E$170,[1]UG!$A$2:$FA$69, 18, FALSE)="",":",VLOOKUP($E$170,[1]UG!$A$2:$FA$69, 18, FALSE))</f>
        <v>96.56</v>
      </c>
      <c r="T170" s="544">
        <f>IF(VLOOKUP($E$170,[1]UG!$A$2:$FA$69, 19, FALSE)="",":",VLOOKUP($E$170,[1]UG!$A$2:$FA$69, 19, FALSE))</f>
        <v>118.72</v>
      </c>
      <c r="U170" s="544">
        <f>IF(VLOOKUP($E$170,[1]UG!$A$2:$FA$69, 20, FALSE)="",":",VLOOKUP($E$170,[1]UG!$A$2:$FA$69, 20, FALSE))</f>
        <v>121.81</v>
      </c>
      <c r="V170" s="544">
        <f>IF(VLOOKUP($E$170,[1]UG!$A$2:$FA$69, 21, FALSE)="",":",VLOOKUP($E$170,[1]UG!$A$2:$FA$69, 21, FALSE))</f>
        <v>222.34</v>
      </c>
      <c r="W170" s="544">
        <f>IF(VLOOKUP($E$170,[1]UG!$A$2:$FA$69, 22, FALSE)="",":",VLOOKUP($E$170,[1]UG!$A$2:$FA$69, 22, FALSE))</f>
        <v>273.55</v>
      </c>
      <c r="X170" s="544">
        <f>IF(VLOOKUP($E$170,[1]UG!$A$2:$FA$69, 23, FALSE)="",":",VLOOKUP($E$170,[1]UG!$A$2:$FA$69, 23, FALSE))</f>
        <v>268.83</v>
      </c>
      <c r="Y170" s="544">
        <f>IF(VLOOKUP($E$170,[1]UG!$A$2:$FA$69, 24, FALSE)="",":",VLOOKUP($E$170,[1]UG!$A$2:$FA$69, 24, FALSE))</f>
        <v>258.54000000000002</v>
      </c>
      <c r="Z170" s="544">
        <f>IF(VLOOKUP($E$170,[1]UG!$A$2:$FA$69, 25, FALSE)="",":",VLOOKUP($E$170,[1]UG!$A$2:$FA$69, 25, FALSE))</f>
        <v>257.91000000000003</v>
      </c>
      <c r="AA170" s="544">
        <f>IF(VLOOKUP($E$170,[1]UG!$A$2:$FA$69, 26, FALSE)="",":",VLOOKUP($E$170,[1]UG!$A$2:$FA$69, 26, FALSE))</f>
        <v>254.1</v>
      </c>
      <c r="AB170" s="544">
        <f>IF(VLOOKUP($E$170,[1]UG!$A$2:$FA$69, 27, FALSE)="",":",VLOOKUP($E$170,[1]UG!$A$2:$FA$69, 27, FALSE))</f>
        <v>194.4</v>
      </c>
      <c r="AC170" s="544" t="str">
        <f>IF(VLOOKUP($E$170,[1]UG!$A$2:$FA$69, 28, FALSE)="",":",VLOOKUP($E$170,[1]UG!$A$2:$FA$69, 28, FALSE))</f>
        <v>:</v>
      </c>
      <c r="AD170" s="544" t="str">
        <f>IF(VLOOKUP($E$170,[1]UG!$A$2:$FA$69, 29, FALSE)="",":",VLOOKUP($E$170,[1]UG!$A$2:$FA$69, 29, FALSE))</f>
        <v>:</v>
      </c>
      <c r="AE170" s="544" t="str">
        <f>IF(VLOOKUP($E$170,[1]UG!$A$2:$FA$69, 30, FALSE)="",":",VLOOKUP($E$170,[1]UG!$A$2:$FA$69, 30, FALSE))</f>
        <v>:</v>
      </c>
      <c r="AF170" s="544" t="str">
        <f>IF(VLOOKUP($E$170,[1]UG!$A$2:$FA$69, 31, FALSE)="",":",VLOOKUP($E$170,[1]UG!$A$2:$FA$69, 31, FALSE))</f>
        <v>:</v>
      </c>
    </row>
    <row r="171" spans="1:32" ht="12" customHeight="1">
      <c r="A171" s="533">
        <v>126</v>
      </c>
      <c r="B171" s="534" t="s">
        <v>1176</v>
      </c>
      <c r="C171" s="535" t="s">
        <v>1212</v>
      </c>
      <c r="D171" s="12" t="s">
        <v>1214</v>
      </c>
      <c r="E171" s="13">
        <v>44</v>
      </c>
      <c r="F171" s="14" t="str">
        <f>VLOOKUP($E$171,[1]UG!$A$2:$FA$69, 3, FALSE)</f>
        <v>44. Gross fixed capital formation P.51</v>
      </c>
      <c r="G171" s="544">
        <f>IF(VLOOKUP($E$171,[1]UG!$A$2:$FA$69, 6, FALSE)="",":",VLOOKUP($E$171,[1]UG!$A$2:$FA$69, 6, FALSE))</f>
        <v>250.99</v>
      </c>
      <c r="H171" s="544">
        <f>IF(VLOOKUP($E$171,[1]UG!$A$2:$FA$69, 7, FALSE)="",":",VLOOKUP($E$171,[1]UG!$A$2:$FA$69, 7, FALSE))</f>
        <v>231.19</v>
      </c>
      <c r="I171" s="544">
        <f>IF(VLOOKUP($E$171,[1]UG!$A$2:$FA$69, 8, FALSE)="",":",VLOOKUP($E$171,[1]UG!$A$2:$FA$69, 8, FALSE))</f>
        <v>265.47000000000003</v>
      </c>
      <c r="J171" s="544">
        <f>IF(VLOOKUP($E$171,[1]UG!$A$2:$FA$69, 9, FALSE)="",":",VLOOKUP($E$171,[1]UG!$A$2:$FA$69, 9, FALSE))</f>
        <v>329.52</v>
      </c>
      <c r="K171" s="544">
        <f>IF(VLOOKUP($E$171,[1]UG!$A$2:$FA$69, 10, FALSE)="",":",VLOOKUP($E$171,[1]UG!$A$2:$FA$69, 10, FALSE))</f>
        <v>326.14</v>
      </c>
      <c r="L171" s="544">
        <f>IF(VLOOKUP($E$171,[1]UG!$A$2:$FA$69, 11, FALSE)="",":",VLOOKUP($E$171,[1]UG!$A$2:$FA$69, 11, FALSE))</f>
        <v>323.95999999999998</v>
      </c>
      <c r="M171" s="544">
        <f>IF(VLOOKUP($E$171,[1]UG!$A$2:$FA$69, 12, FALSE)="",":",VLOOKUP($E$171,[1]UG!$A$2:$FA$69, 12, FALSE))</f>
        <v>323.43</v>
      </c>
      <c r="N171" s="544">
        <f>IF(VLOOKUP($E$171,[1]UG!$A$2:$FA$69, 13, FALSE)="",":",VLOOKUP($E$171,[1]UG!$A$2:$FA$69, 13, FALSE))</f>
        <v>451.68</v>
      </c>
      <c r="O171" s="544">
        <f>IF(VLOOKUP($E$171,[1]UG!$A$2:$FA$69, 14, FALSE)="",":",VLOOKUP($E$171,[1]UG!$A$2:$FA$69, 14, FALSE))</f>
        <v>512.99</v>
      </c>
      <c r="P171" s="544">
        <f>IF(VLOOKUP($E$171,[1]UG!$A$2:$FA$69, 15, FALSE)="",":",VLOOKUP($E$171,[1]UG!$A$2:$FA$69, 15, FALSE))</f>
        <v>657.77</v>
      </c>
      <c r="Q171" s="544">
        <f>IF(VLOOKUP($E$171,[1]UG!$A$2:$FA$69, 16, FALSE)="",":",VLOOKUP($E$171,[1]UG!$A$2:$FA$69, 16, FALSE))</f>
        <v>757.48</v>
      </c>
      <c r="R171" s="544">
        <f>IF(VLOOKUP($E$171,[1]UG!$A$2:$FA$69, 17, FALSE)="",":",VLOOKUP($E$171,[1]UG!$A$2:$FA$69, 17, FALSE))</f>
        <v>1029.33</v>
      </c>
      <c r="S171" s="544">
        <f>IF(VLOOKUP($E$171,[1]UG!$A$2:$FA$69, 18, FALSE)="",":",VLOOKUP($E$171,[1]UG!$A$2:$FA$69, 18, FALSE))</f>
        <v>1572.36</v>
      </c>
      <c r="T171" s="544">
        <f>IF(VLOOKUP($E$171,[1]UG!$A$2:$FA$69, 19, FALSE)="",":",VLOOKUP($E$171,[1]UG!$A$2:$FA$69, 19, FALSE))</f>
        <v>1759.15</v>
      </c>
      <c r="U171" s="544">
        <f>IF(VLOOKUP($E$171,[1]UG!$A$2:$FA$69, 20, FALSE)="",":",VLOOKUP($E$171,[1]UG!$A$2:$FA$69, 20, FALSE))</f>
        <v>1189.2</v>
      </c>
      <c r="V171" s="544">
        <f>IF(VLOOKUP($E$171,[1]UG!$A$2:$FA$69, 21, FALSE)="",":",VLOOKUP($E$171,[1]UG!$A$2:$FA$69, 21, FALSE))</f>
        <v>1390.93</v>
      </c>
      <c r="W171" s="544">
        <f>IF(VLOOKUP($E$171,[1]UG!$A$2:$FA$69, 22, FALSE)="",":",VLOOKUP($E$171,[1]UG!$A$2:$FA$69, 22, FALSE))</f>
        <v>1479.23</v>
      </c>
      <c r="X171" s="544">
        <f>IF(VLOOKUP($E$171,[1]UG!$A$2:$FA$69, 23, FALSE)="",":",VLOOKUP($E$171,[1]UG!$A$2:$FA$69, 23, FALSE))</f>
        <v>1326.33</v>
      </c>
      <c r="Y171" s="544">
        <f>IF(VLOOKUP($E$171,[1]UG!$A$2:$FA$69, 24, FALSE)="",":",VLOOKUP($E$171,[1]UG!$A$2:$FA$69, 24, FALSE))</f>
        <v>1309.48</v>
      </c>
      <c r="Z171" s="544">
        <f>IF(VLOOKUP($E$171,[1]UG!$A$2:$FA$69, 25, FALSE)="",":",VLOOKUP($E$171,[1]UG!$A$2:$FA$69, 25, FALSE))</f>
        <v>1282.98</v>
      </c>
      <c r="AA171" s="544">
        <f>IF(VLOOKUP($E$171,[1]UG!$A$2:$FA$69, 26, FALSE)="",":",VLOOKUP($E$171,[1]UG!$A$2:$FA$69, 26, FALSE))</f>
        <v>1374.51</v>
      </c>
      <c r="AB171" s="544">
        <f>IF(VLOOKUP($E$171,[1]UG!$A$2:$FA$69, 27, FALSE)="",":",VLOOKUP($E$171,[1]UG!$A$2:$FA$69, 27, FALSE))</f>
        <v>1153.5899999999999</v>
      </c>
      <c r="AC171" s="544" t="str">
        <f>IF(VLOOKUP($E$171,[1]UG!$A$2:$FA$69, 28, FALSE)="",":",VLOOKUP($E$171,[1]UG!$A$2:$FA$69, 28, FALSE))</f>
        <v>:</v>
      </c>
      <c r="AD171" s="544" t="str">
        <f>IF(VLOOKUP($E$171,[1]UG!$A$2:$FA$69, 29, FALSE)="",":",VLOOKUP($E$171,[1]UG!$A$2:$FA$69, 29, FALSE))</f>
        <v>:</v>
      </c>
      <c r="AE171" s="544" t="str">
        <f>IF(VLOOKUP($E$171,[1]UG!$A$2:$FA$69, 30, FALSE)="",":",VLOOKUP($E$171,[1]UG!$A$2:$FA$69, 30, FALSE))</f>
        <v>:</v>
      </c>
      <c r="AF171" s="544" t="str">
        <f>IF(VLOOKUP($E$171,[1]UG!$A$2:$FA$69, 31, FALSE)="",":",VLOOKUP($E$171,[1]UG!$A$2:$FA$69, 31, FALSE))</f>
        <v>:</v>
      </c>
    </row>
    <row r="172" spans="1:32">
      <c r="A172" s="533"/>
      <c r="B172" s="534" t="s">
        <v>1177</v>
      </c>
      <c r="C172" s="535" t="s">
        <v>1528</v>
      </c>
      <c r="D172" s="12" t="s">
        <v>1214</v>
      </c>
      <c r="E172" s="13">
        <v>45</v>
      </c>
      <c r="F172" s="14" t="str">
        <f>VLOOKUP($E$172,[1]UG!$A$2:$FA$69, 3, FALSE)</f>
        <v>45 Changes in inventories and Acquisitions less disposals of valuables and P.52 + P.53</v>
      </c>
      <c r="G172" s="544">
        <f>IF(VLOOKUP($E$172,[1]UG!$A$2:$FA$69, 6, FALSE)="",":",VLOOKUP($E$172,[1]UG!$A$2:$FA$69, 6, FALSE))</f>
        <v>9.69</v>
      </c>
      <c r="H172" s="544">
        <f>IF(VLOOKUP($E$172,[1]UG!$A$2:$FA$69, 7, FALSE)="",":",VLOOKUP($E$172,[1]UG!$A$2:$FA$69, 7, FALSE))</f>
        <v>3.26</v>
      </c>
      <c r="I172" s="544">
        <f>IF(VLOOKUP($E$172,[1]UG!$A$2:$FA$69, 8, FALSE)="",":",VLOOKUP($E$172,[1]UG!$A$2:$FA$69, 8, FALSE))</f>
        <v>2.6100000000000003</v>
      </c>
      <c r="J172" s="544">
        <f>IF(VLOOKUP($E$172,[1]UG!$A$2:$FA$69, 9, FALSE)="",":",VLOOKUP($E$172,[1]UG!$A$2:$FA$69, 9, FALSE))</f>
        <v>0.9</v>
      </c>
      <c r="K172" s="544">
        <f>IF(VLOOKUP($E$172,[1]UG!$A$2:$FA$69, 10, FALSE)="",":",VLOOKUP($E$172,[1]UG!$A$2:$FA$69, 10, FALSE))</f>
        <v>0.17</v>
      </c>
      <c r="L172" s="544">
        <f>IF(VLOOKUP($E$172,[1]UG!$A$2:$FA$69, 11, FALSE)="",":",VLOOKUP($E$172,[1]UG!$A$2:$FA$69, 11, FALSE))</f>
        <v>0.41000000000000003</v>
      </c>
      <c r="M172" s="544">
        <f>IF(VLOOKUP($E$172,[1]UG!$A$2:$FA$69, 12, FALSE)="",":",VLOOKUP($E$172,[1]UG!$A$2:$FA$69, 12, FALSE))</f>
        <v>2.38</v>
      </c>
      <c r="N172" s="544">
        <f>IF(VLOOKUP($E$172,[1]UG!$A$2:$FA$69, 13, FALSE)="",":",VLOOKUP($E$172,[1]UG!$A$2:$FA$69, 13, FALSE))</f>
        <v>12.8</v>
      </c>
      <c r="O172" s="544">
        <f>IF(VLOOKUP($E$172,[1]UG!$A$2:$FA$69, 14, FALSE)="",":",VLOOKUP($E$172,[1]UG!$A$2:$FA$69, 14, FALSE))</f>
        <v>2.73</v>
      </c>
      <c r="P172" s="544">
        <f>IF(VLOOKUP($E$172,[1]UG!$A$2:$FA$69, 15, FALSE)="",":",VLOOKUP($E$172,[1]UG!$A$2:$FA$69, 15, FALSE))</f>
        <v>7.63</v>
      </c>
      <c r="Q172" s="544">
        <f>IF(VLOOKUP($E$172,[1]UG!$A$2:$FA$69, 16, FALSE)="",":",VLOOKUP($E$172,[1]UG!$A$2:$FA$69, 16, FALSE))</f>
        <v>9.57</v>
      </c>
      <c r="R172" s="544">
        <f>IF(VLOOKUP($E$172,[1]UG!$A$2:$FA$69, 17, FALSE)="",":",VLOOKUP($E$172,[1]UG!$A$2:$FA$69, 17, FALSE))</f>
        <v>22.03</v>
      </c>
      <c r="S172" s="544">
        <f>IF(VLOOKUP($E$172,[1]UG!$A$2:$FA$69, 18, FALSE)="",":",VLOOKUP($E$172,[1]UG!$A$2:$FA$69, 18, FALSE))</f>
        <v>20.73</v>
      </c>
      <c r="T172" s="544">
        <f>IF(VLOOKUP($E$172,[1]UG!$A$2:$FA$69, 19, FALSE)="",":",VLOOKUP($E$172,[1]UG!$A$2:$FA$69, 19, FALSE))</f>
        <v>34.36</v>
      </c>
      <c r="U172" s="544">
        <f>IF(VLOOKUP($E$172,[1]UG!$A$2:$FA$69, 20, FALSE)="",":",VLOOKUP($E$172,[1]UG!$A$2:$FA$69, 20, FALSE))</f>
        <v>8.14</v>
      </c>
      <c r="V172" s="544">
        <f>IF(VLOOKUP($E$172,[1]UG!$A$2:$FA$69, 21, FALSE)="",":",VLOOKUP($E$172,[1]UG!$A$2:$FA$69, 21, FALSE))</f>
        <v>3.55</v>
      </c>
      <c r="W172" s="544">
        <f>IF(VLOOKUP($E$172,[1]UG!$A$2:$FA$69, 22, FALSE)="",":",VLOOKUP($E$172,[1]UG!$A$2:$FA$69, 22, FALSE))</f>
        <v>4.62</v>
      </c>
      <c r="X172" s="544">
        <f>IF(VLOOKUP($E$172,[1]UG!$A$2:$FA$69, 23, FALSE)="",":",VLOOKUP($E$172,[1]UG!$A$2:$FA$69, 23, FALSE))</f>
        <v>6.31</v>
      </c>
      <c r="Y172" s="544">
        <f>IF(VLOOKUP($E$172,[1]UG!$A$2:$FA$69, 24, FALSE)="",":",VLOOKUP($E$172,[1]UG!$A$2:$FA$69, 24, FALSE))</f>
        <v>9.6</v>
      </c>
      <c r="Z172" s="544">
        <f>IF(VLOOKUP($E$172,[1]UG!$A$2:$FA$69, 25, FALSE)="",":",VLOOKUP($E$172,[1]UG!$A$2:$FA$69, 25, FALSE))</f>
        <v>12.6</v>
      </c>
      <c r="AA172" s="544">
        <f>IF(VLOOKUP($E$172,[1]UG!$A$2:$FA$69, 26, FALSE)="",":",VLOOKUP($E$172,[1]UG!$A$2:$FA$69, 26, FALSE))</f>
        <v>48.11</v>
      </c>
      <c r="AB172" s="544">
        <f>IF(VLOOKUP($E$172,[1]UG!$A$2:$FA$69, 27, FALSE)="",":",VLOOKUP($E$172,[1]UG!$A$2:$FA$69, 27, FALSE))</f>
        <v>39.15</v>
      </c>
      <c r="AC172" s="544" t="str">
        <f>IF(VLOOKUP($E$172,[1]UG!$A$2:$FA$69, 28, FALSE)="",":",VLOOKUP($E$172,[1]UG!$A$2:$FA$69, 28, FALSE))</f>
        <v>:</v>
      </c>
      <c r="AD172" s="544" t="str">
        <f>IF(VLOOKUP($E$172,[1]UG!$A$2:$FA$69, 29, FALSE)="",":",VLOOKUP($E$172,[1]UG!$A$2:$FA$69, 29, FALSE))</f>
        <v>:</v>
      </c>
      <c r="AE172" s="544" t="str">
        <f>IF(VLOOKUP($E$172,[1]UG!$A$2:$FA$69, 30, FALSE)="",":",VLOOKUP($E$172,[1]UG!$A$2:$FA$69, 30, FALSE))</f>
        <v>:</v>
      </c>
      <c r="AF172" s="544" t="str">
        <f>IF(VLOOKUP($E$172,[1]UG!$A$2:$FA$69, 31, FALSE)="",":",VLOOKUP($E$172,[1]UG!$A$2:$FA$69, 31, FALSE))</f>
        <v>:</v>
      </c>
    </row>
    <row r="173" spans="1:32">
      <c r="A173" s="533"/>
      <c r="B173" s="534" t="s">
        <v>1026</v>
      </c>
      <c r="C173" s="535" t="s">
        <v>1527</v>
      </c>
      <c r="D173" s="12" t="s">
        <v>1214</v>
      </c>
      <c r="E173" s="13">
        <v>46</v>
      </c>
      <c r="F173" s="14" t="str">
        <f>VLOOKUP($E$173,[1]UG!$A$2:$FA$69, 3, FALSE)</f>
        <v>46 Acquisitions of non-produced non-financial assets K.2</v>
      </c>
      <c r="G173" s="544">
        <f>IF(VLOOKUP($E$173,[1]UG!$A$2:$FA$69, 6, FALSE)="",":",VLOOKUP($E$173,[1]UG!$A$2:$FA$69, 6, FALSE))</f>
        <v>0</v>
      </c>
      <c r="H173" s="544">
        <f>IF(VLOOKUP($E$173,[1]UG!$A$2:$FA$69, 7, FALSE)="",":",VLOOKUP($E$173,[1]UG!$A$2:$FA$69, 7, FALSE))</f>
        <v>0</v>
      </c>
      <c r="I173" s="544">
        <f>IF(VLOOKUP($E$173,[1]UG!$A$2:$FA$69, 8, FALSE)="",":",VLOOKUP($E$173,[1]UG!$A$2:$FA$69, 8, FALSE))</f>
        <v>0</v>
      </c>
      <c r="J173" s="544">
        <f>IF(VLOOKUP($E$173,[1]UG!$A$2:$FA$69, 9, FALSE)="",":",VLOOKUP($E$173,[1]UG!$A$2:$FA$69, 9, FALSE))</f>
        <v>-0.32</v>
      </c>
      <c r="K173" s="544">
        <f>IF(VLOOKUP($E$173,[1]UG!$A$2:$FA$69, 10, FALSE)="",":",VLOOKUP($E$173,[1]UG!$A$2:$FA$69, 10, FALSE))</f>
        <v>-1.26</v>
      </c>
      <c r="L173" s="544">
        <f>IF(VLOOKUP($E$173,[1]UG!$A$2:$FA$69, 11, FALSE)="",":",VLOOKUP($E$173,[1]UG!$A$2:$FA$69, 11, FALSE))</f>
        <v>-4.87</v>
      </c>
      <c r="M173" s="544">
        <f>IF(VLOOKUP($E$173,[1]UG!$A$2:$FA$69, 12, FALSE)="",":",VLOOKUP($E$173,[1]UG!$A$2:$FA$69, 12, FALSE))</f>
        <v>-2.76</v>
      </c>
      <c r="N173" s="544">
        <f>IF(VLOOKUP($E$173,[1]UG!$A$2:$FA$69, 13, FALSE)="",":",VLOOKUP($E$173,[1]UG!$A$2:$FA$69, 13, FALSE))</f>
        <v>-3.7</v>
      </c>
      <c r="O173" s="544">
        <f>IF(VLOOKUP($E$173,[1]UG!$A$2:$FA$69, 14, FALSE)="",":",VLOOKUP($E$173,[1]UG!$A$2:$FA$69, 14, FALSE))</f>
        <v>-6.77</v>
      </c>
      <c r="P173" s="544">
        <f>IF(VLOOKUP($E$173,[1]UG!$A$2:$FA$69, 15, FALSE)="",":",VLOOKUP($E$173,[1]UG!$A$2:$FA$69, 15, FALSE))</f>
        <v>-22.55</v>
      </c>
      <c r="Q173" s="544">
        <f>IF(VLOOKUP($E$173,[1]UG!$A$2:$FA$69, 16, FALSE)="",":",VLOOKUP($E$173,[1]UG!$A$2:$FA$69, 16, FALSE))</f>
        <v>-33.92</v>
      </c>
      <c r="R173" s="544">
        <f>IF(VLOOKUP($E$173,[1]UG!$A$2:$FA$69, 17, FALSE)="",":",VLOOKUP($E$173,[1]UG!$A$2:$FA$69, 17, FALSE))</f>
        <v>-36.07</v>
      </c>
      <c r="S173" s="544">
        <f>IF(VLOOKUP($E$173,[1]UG!$A$2:$FA$69, 18, FALSE)="",":",VLOOKUP($E$173,[1]UG!$A$2:$FA$69, 18, FALSE))</f>
        <v>-25.83</v>
      </c>
      <c r="T173" s="544">
        <f>IF(VLOOKUP($E$173,[1]UG!$A$2:$FA$69, 19, FALSE)="",":",VLOOKUP($E$173,[1]UG!$A$2:$FA$69, 19, FALSE))</f>
        <v>-4.25</v>
      </c>
      <c r="U173" s="544">
        <f>IF(VLOOKUP($E$173,[1]UG!$A$2:$FA$69, 20, FALSE)="",":",VLOOKUP($E$173,[1]UG!$A$2:$FA$69, 20, FALSE))</f>
        <v>2.85</v>
      </c>
      <c r="V173" s="544">
        <f>IF(VLOOKUP($E$173,[1]UG!$A$2:$FA$69, 21, FALSE)="",":",VLOOKUP($E$173,[1]UG!$A$2:$FA$69, 21, FALSE))</f>
        <v>-20.399999999999999</v>
      </c>
      <c r="W173" s="544">
        <f>IF(VLOOKUP($E$173,[1]UG!$A$2:$FA$69, 22, FALSE)="",":",VLOOKUP($E$173,[1]UG!$A$2:$FA$69, 22, FALSE))</f>
        <v>-99.45</v>
      </c>
      <c r="X173" s="544">
        <f>IF(VLOOKUP($E$173,[1]UG!$A$2:$FA$69, 23, FALSE)="",":",VLOOKUP($E$173,[1]UG!$A$2:$FA$69, 23, FALSE))</f>
        <v>-76.11</v>
      </c>
      <c r="Y173" s="544">
        <f>IF(VLOOKUP($E$173,[1]UG!$A$2:$FA$69, 24, FALSE)="",":",VLOOKUP($E$173,[1]UG!$A$2:$FA$69, 24, FALSE))</f>
        <v>-118.04</v>
      </c>
      <c r="Z173" s="544">
        <f>IF(VLOOKUP($E$173,[1]UG!$A$2:$FA$69, 25, FALSE)="",":",VLOOKUP($E$173,[1]UG!$A$2:$FA$69, 25, FALSE))</f>
        <v>-78.44</v>
      </c>
      <c r="AA173" s="544">
        <f>IF(VLOOKUP($E$173,[1]UG!$A$2:$FA$69, 26, FALSE)="",":",VLOOKUP($E$173,[1]UG!$A$2:$FA$69, 26, FALSE))</f>
        <v>-51.64</v>
      </c>
      <c r="AB173" s="544">
        <f>IF(VLOOKUP($E$173,[1]UG!$A$2:$FA$69, 27, FALSE)="",":",VLOOKUP($E$173,[1]UG!$A$2:$FA$69, 27, FALSE))</f>
        <v>-27.92</v>
      </c>
      <c r="AC173" s="544" t="str">
        <f>IF(VLOOKUP($E$173,[1]UG!$A$2:$FA$69, 28, FALSE)="",":",VLOOKUP($E$173,[1]UG!$A$2:$FA$69, 28, FALSE))</f>
        <v>:</v>
      </c>
      <c r="AD173" s="544" t="str">
        <f>IF(VLOOKUP($E$173,[1]UG!$A$2:$FA$69, 29, FALSE)="",":",VLOOKUP($E$173,[1]UG!$A$2:$FA$69, 29, FALSE))</f>
        <v>:</v>
      </c>
      <c r="AE173" s="544" t="str">
        <f>IF(VLOOKUP($E$173,[1]UG!$A$2:$FA$69, 30, FALSE)="",":",VLOOKUP($E$173,[1]UG!$A$2:$FA$69, 30, FALSE))</f>
        <v>:</v>
      </c>
      <c r="AF173" s="544" t="str">
        <f>IF(VLOOKUP($E$173,[1]UG!$A$2:$FA$69, 31, FALSE)="",":",VLOOKUP($E$173,[1]UG!$A$2:$FA$69, 31, FALSE))</f>
        <v>:</v>
      </c>
    </row>
    <row r="174" spans="1:32">
      <c r="A174" s="533"/>
      <c r="B174" s="534"/>
      <c r="C174" s="3604"/>
      <c r="D174" s="12" t="s">
        <v>1214</v>
      </c>
      <c r="E174" s="13">
        <v>57</v>
      </c>
      <c r="F174" s="14" t="s">
        <v>2515</v>
      </c>
      <c r="G174" s="544" t="str">
        <f>IF(VLOOKUP($E$174,[1]UG!$A$2:$FA$69, 6, FALSE)="",":",VLOOKUP($E$174,[1]UG!$A$2:$FA$69, 6, FALSE))</f>
        <v>:</v>
      </c>
      <c r="H174" s="544" t="str">
        <f>IF(VLOOKUP($E$174,[1]UG!$A$2:$FA$69, 7, FALSE)="",":",VLOOKUP($E$174,[1]UG!$A$2:$FA$69, 7, FALSE))</f>
        <v>:</v>
      </c>
      <c r="I174" s="544" t="str">
        <f>IF(VLOOKUP($E$174,[1]UG!$A$2:$FA$69, 8, FALSE)="",":",VLOOKUP($E$174,[1]UG!$A$2:$FA$69, 8, FALSE))</f>
        <v>:</v>
      </c>
      <c r="J174" s="544" t="str">
        <f>IF(VLOOKUP($E$174,[1]UG!$A$2:$FA$69, 9, FALSE)="",":",VLOOKUP($E$174,[1]UG!$A$2:$FA$69, 9, FALSE))</f>
        <v>:</v>
      </c>
      <c r="K174" s="544" t="str">
        <f>IF(VLOOKUP($E$174,[1]UG!$A$2:$FA$69, 10, FALSE)="",":",VLOOKUP($E$174,[1]UG!$A$2:$FA$69, 10, FALSE))</f>
        <v>:</v>
      </c>
      <c r="L174" s="544" t="str">
        <f>IF(VLOOKUP($E$174,[1]UG!$A$2:$FA$69, 11, FALSE)="",":",VLOOKUP($E$174,[1]UG!$A$2:$FA$69, 11, FALSE))</f>
        <v>:</v>
      </c>
      <c r="M174" s="544" t="str">
        <f>IF(VLOOKUP($E$174,[1]UG!$A$2:$FA$69, 12, FALSE)="",":",VLOOKUP($E$174,[1]UG!$A$2:$FA$69, 12, FALSE))</f>
        <v>:</v>
      </c>
      <c r="N174" s="544" t="str">
        <f>IF(VLOOKUP($E$174,[1]UG!$A$2:$FA$69, 13, FALSE)="",":",VLOOKUP($E$174,[1]UG!$A$2:$FA$69, 13, FALSE))</f>
        <v>:</v>
      </c>
      <c r="O174" s="544" t="str">
        <f>IF(VLOOKUP($E$174,[1]UG!$A$2:$FA$69, 14, FALSE)="",":",VLOOKUP($E$174,[1]UG!$A$2:$FA$69, 14, FALSE))</f>
        <v>:</v>
      </c>
      <c r="P174" s="544">
        <f>IF(VLOOKUP($E$174,[1]UG!$A$2:$FA$69, 15, FALSE)="",":",VLOOKUP($E$174,[1]UG!$A$2:$FA$69, 15, FALSE))</f>
        <v>76.08</v>
      </c>
      <c r="Q174" s="544">
        <f>IF(VLOOKUP($E$174,[1]UG!$A$2:$FA$69, 16, FALSE)="",":",VLOOKUP($E$174,[1]UG!$A$2:$FA$69, 16, FALSE))</f>
        <v>145.16</v>
      </c>
      <c r="R174" s="544">
        <f>IF(VLOOKUP($E$174,[1]UG!$A$2:$FA$69, 17, FALSE)="",":",VLOOKUP($E$174,[1]UG!$A$2:$FA$69, 17, FALSE))</f>
        <v>239.08</v>
      </c>
      <c r="S174" s="544">
        <f>IF(VLOOKUP($E$174,[1]UG!$A$2:$FA$69, 18, FALSE)="",":",VLOOKUP($E$174,[1]UG!$A$2:$FA$69, 18, FALSE))</f>
        <v>413.17</v>
      </c>
      <c r="T174" s="544">
        <f>IF(VLOOKUP($E$174,[1]UG!$A$2:$FA$69, 19, FALSE)="",":",VLOOKUP($E$174,[1]UG!$A$2:$FA$69, 19, FALSE))</f>
        <v>354.21</v>
      </c>
      <c r="U174" s="544">
        <f>IF(VLOOKUP($E$174,[1]UG!$A$2:$FA$69, 20, FALSE)="",":",VLOOKUP($E$174,[1]UG!$A$2:$FA$69, 20, FALSE))</f>
        <v>437.3</v>
      </c>
      <c r="V174" s="544">
        <f>IF(VLOOKUP($E$174,[1]UG!$A$2:$FA$69, 21, FALSE)="",":",VLOOKUP($E$174,[1]UG!$A$2:$FA$69, 21, FALSE))</f>
        <v>734.33</v>
      </c>
      <c r="W174" s="544">
        <f>IF(VLOOKUP($E$174,[1]UG!$A$2:$FA$69, 22, FALSE)="",":",VLOOKUP($E$174,[1]UG!$A$2:$FA$69, 22, FALSE))</f>
        <v>701.92</v>
      </c>
      <c r="X174" s="544">
        <f>IF(VLOOKUP($E$174,[1]UG!$A$2:$FA$69, 23, FALSE)="",":",VLOOKUP($E$174,[1]UG!$A$2:$FA$69, 23, FALSE))</f>
        <v>647.55999999999995</v>
      </c>
      <c r="Y174" s="544">
        <f>IF(VLOOKUP($E$174,[1]UG!$A$2:$FA$69, 24, FALSE)="",":",VLOOKUP($E$174,[1]UG!$A$2:$FA$69, 24, FALSE))</f>
        <v>616.77</v>
      </c>
      <c r="Z174" s="544">
        <f>IF(VLOOKUP($E$174,[1]UG!$A$2:$FA$69, 25, FALSE)="",":",VLOOKUP($E$174,[1]UG!$A$2:$FA$69, 25, FALSE))</f>
        <v>508.4</v>
      </c>
      <c r="AA174" s="544">
        <f>IF(VLOOKUP($E$174,[1]UG!$A$2:$FA$69, 26, FALSE)="",":",VLOOKUP($E$174,[1]UG!$A$2:$FA$69, 26, FALSE))</f>
        <v>457.01</v>
      </c>
      <c r="AB174" s="544">
        <f>IF(VLOOKUP($E$174,[1]UG!$A$2:$FA$69, 27, FALSE)="",":",VLOOKUP($E$174,[1]UG!$A$2:$FA$69, 27, FALSE))</f>
        <v>210.01</v>
      </c>
      <c r="AC174" s="544" t="str">
        <f>IF(VLOOKUP($E$174,[1]UG!$A$2:$FA$69, 28, FALSE)="",":",VLOOKUP($E$174,[1]UG!$A$2:$FA$69, 28, FALSE))</f>
        <v>:</v>
      </c>
      <c r="AD174" s="544" t="str">
        <f>IF(VLOOKUP($E$174,[1]UG!$A$2:$FA$69, 29, FALSE)="",":",VLOOKUP($E$174,[1]UG!$A$2:$FA$69, 29, FALSE))</f>
        <v>:</v>
      </c>
      <c r="AE174" s="544" t="str">
        <f>IF(VLOOKUP($E$174,[1]UG!$A$2:$FA$69, 30, FALSE)="",":",VLOOKUP($E$174,[1]UG!$A$2:$FA$69, 30, FALSE))</f>
        <v>:</v>
      </c>
      <c r="AF174" s="544" t="str">
        <f>IF(VLOOKUP($E$174,[1]UG!$A$2:$FA$69, 31, FALSE)="",":",VLOOKUP($E$174,[1]UG!$A$2:$FA$69, 31, FALSE))</f>
        <v>:</v>
      </c>
    </row>
    <row r="175" spans="1:32">
      <c r="A175" s="533">
        <v>128</v>
      </c>
      <c r="B175" s="534" t="s">
        <v>1174</v>
      </c>
      <c r="C175" s="535"/>
      <c r="D175" s="12" t="s">
        <v>1214</v>
      </c>
      <c r="E175" s="13">
        <v>900</v>
      </c>
      <c r="F175" s="14" t="str">
        <f>VLOOKUP($E$175,[1]UG!$A$2:$FA$300, 3, FALSE)</f>
        <v xml:space="preserve">900 Consolodated gross debt </v>
      </c>
      <c r="G175" s="544">
        <f>IF(VLOOKUP($E$175,[1]UG!$A$2:$FA$300, 6, FALSE)="",":",VLOOKUP($E$175,[1]UG!$A$2:$FA$300, 6, FALSE))</f>
        <v>894.5</v>
      </c>
      <c r="H175" s="544">
        <f>IF(VLOOKUP($E$175,[1]UG!$A$2:$FA$300, 7, FALSE)="",":",VLOOKUP($E$175,[1]UG!$A$2:$FA$300, 7, FALSE))</f>
        <v>1351.5</v>
      </c>
      <c r="I175" s="544">
        <f>IF(VLOOKUP($E$175,[1]UG!$A$2:$FA$300, 8, FALSE)="",":",VLOOKUP($E$175,[1]UG!$A$2:$FA$300, 8, FALSE))</f>
        <v>1802.2</v>
      </c>
      <c r="J175" s="544">
        <f>IF(VLOOKUP($E$175,[1]UG!$A$2:$FA$300, 9, FALSE)="",":",VLOOKUP($E$175,[1]UG!$A$2:$FA$300, 9, FALSE))</f>
        <v>2153.6999999999998</v>
      </c>
      <c r="K175" s="544">
        <f>IF(VLOOKUP($E$175,[1]UG!$A$2:$FA$300, 10, FALSE)="",":",VLOOKUP($E$175,[1]UG!$A$2:$FA$300, 10, FALSE))</f>
        <v>2885.6</v>
      </c>
      <c r="L175" s="544">
        <f>IF(VLOOKUP($E$175,[1]UG!$A$2:$FA$300, 11, FALSE)="",":",VLOOKUP($E$175,[1]UG!$A$2:$FA$300, 11, FALSE))</f>
        <v>3140</v>
      </c>
      <c r="M175" s="544">
        <f>IF(VLOOKUP($E$175,[1]UG!$A$2:$FA$300, 12, FALSE)="",":",VLOOKUP($E$175,[1]UG!$A$2:$FA$300, 12, FALSE))</f>
        <v>3249.8</v>
      </c>
      <c r="N175" s="544">
        <f>IF(VLOOKUP($E$175,[1]UG!$A$2:$FA$300, 13, FALSE)="",":",VLOOKUP($E$175,[1]UG!$A$2:$FA$300, 13, FALSE))</f>
        <v>3365.4</v>
      </c>
      <c r="O175" s="544">
        <f>IF(VLOOKUP($E$175,[1]UG!$A$2:$FA$300, 14, FALSE)="",":",VLOOKUP($E$175,[1]UG!$A$2:$FA$300, 14, FALSE))</f>
        <v>3394.7</v>
      </c>
      <c r="P175" s="544">
        <f>IF(VLOOKUP($E$175,[1]UG!$A$2:$FA$300, 15, FALSE)="",":",VLOOKUP($E$175,[1]UG!$A$2:$FA$300, 15, FALSE))</f>
        <v>3404.5</v>
      </c>
      <c r="Q175" s="544">
        <f>IF(VLOOKUP($E$175,[1]UG!$A$2:$FA$300, 16, FALSE)="",":",VLOOKUP($E$175,[1]UG!$A$2:$FA$300, 16, FALSE))</f>
        <v>3701.9</v>
      </c>
      <c r="R175" s="544">
        <f>IF(VLOOKUP($E$175,[1]UG!$A$2:$FA$300, 17, FALSE)="",":",VLOOKUP($E$175,[1]UG!$A$2:$FA$300, 17, FALSE))</f>
        <v>4151.8999999999996</v>
      </c>
      <c r="S175" s="544">
        <f>IF(VLOOKUP($E$175,[1]UG!$A$2:$FA$300, 18, FALSE)="",":",VLOOKUP($E$175,[1]UG!$A$2:$FA$300, 18, FALSE))</f>
        <v>4609.7</v>
      </c>
      <c r="T175" s="544">
        <f>IF(VLOOKUP($E$175,[1]UG!$A$2:$FA$300, 19, FALSE)="",":",VLOOKUP($E$175,[1]UG!$A$2:$FA$300, 19, FALSE))</f>
        <v>4762.1000000000004</v>
      </c>
      <c r="U175" s="544">
        <f>IF(VLOOKUP($E$175,[1]UG!$A$2:$FA$300, 20, FALSE)="",":",VLOOKUP($E$175,[1]UG!$A$2:$FA$300, 20, FALSE))</f>
        <v>7528.5</v>
      </c>
      <c r="V175" s="544">
        <f>IF(VLOOKUP($E$175,[1]UG!$A$2:$FA$300, 21, FALSE)="",":",VLOOKUP($E$175,[1]UG!$A$2:$FA$300, 21, FALSE))</f>
        <v>10150.799999999999</v>
      </c>
      <c r="W175" s="544">
        <f>IF(VLOOKUP($E$175,[1]UG!$A$2:$FA$300, 22, FALSE)="",":",VLOOKUP($E$175,[1]UG!$A$2:$FA$300, 22, FALSE))</f>
        <v>11629.2</v>
      </c>
      <c r="X175" s="544">
        <f>IF(VLOOKUP($E$175,[1]UG!$A$2:$FA$300, 23, FALSE)="",":",VLOOKUP($E$175,[1]UG!$A$2:$FA$300, 23, FALSE))</f>
        <v>13264.1</v>
      </c>
      <c r="Y175" s="544">
        <f>IF(VLOOKUP($E$175,[1]UG!$A$2:$FA$300, 24, FALSE)="",":",VLOOKUP($E$175,[1]UG!$A$2:$FA$300, 24, FALSE))</f>
        <v>13550</v>
      </c>
      <c r="Z175" s="544">
        <f>IF(VLOOKUP($E$175,[1]UG!$A$2:$FA$300, 25, FALSE)="",":",VLOOKUP($E$175,[1]UG!$A$2:$FA$300, 25, FALSE))</f>
        <v>14825</v>
      </c>
      <c r="AA175" s="544">
        <f>IF(VLOOKUP($E$175,[1]UG!$A$2:$FA$300, 26, FALSE)="",":",VLOOKUP($E$175,[1]UG!$A$2:$FA$300, 26, FALSE))</f>
        <v>15939.5</v>
      </c>
      <c r="AB175" s="544">
        <f>IF(VLOOKUP($E$175,[1]UG!$A$2:$FA$300, 27, FALSE)="",":",VLOOKUP($E$175,[1]UG!$A$2:$FA$300, 27, FALSE))</f>
        <v>15513.7</v>
      </c>
      <c r="AC175" s="544" t="str">
        <f>IF(VLOOKUP($E$175,[1]UG!$A$2:$FA$300, 28, FALSE)="",":",VLOOKUP($E$175,[1]UG!$A$2:$FA$300, 28, FALSE))</f>
        <v>:</v>
      </c>
      <c r="AD175" s="544" t="str">
        <f>IF(VLOOKUP($E$175,[1]UG!$A$2:$FA$300, 29, FALSE)="",":",VLOOKUP($E$175,[1]UG!$A$2:$FA$300, 29, FALSE))</f>
        <v>:</v>
      </c>
      <c r="AE175" s="544" t="str">
        <f>IF(VLOOKUP($E$175,[1]UG!$A$2:$FA$300, 30, FALSE)="",":",VLOOKUP($E$175,[1]UG!$A$2:$FA$300, 30, FALSE))</f>
        <v>:</v>
      </c>
      <c r="AF175" s="544" t="str">
        <f>IF(VLOOKUP($E$175,[1]UG!$A$2:$FA$300, 31, FALSE)="",":",VLOOKUP($E$175,[1]UG!$A$2:$FA$300, 31, FALSE))</f>
        <v>:</v>
      </c>
    </row>
    <row r="176" spans="1:32">
      <c r="A176" s="533">
        <v>129</v>
      </c>
      <c r="B176" s="534" t="s">
        <v>1142</v>
      </c>
      <c r="C176" s="535"/>
      <c r="D176" s="12" t="s">
        <v>1214</v>
      </c>
      <c r="E176" s="13">
        <v>49</v>
      </c>
      <c r="F176" s="14" t="str">
        <f>VLOOKUP($E$176,[1]UG!$A$2:$FA$69, 3, FALSE)</f>
        <v>49 Total General government expenditure  (harmonised) TE</v>
      </c>
      <c r="G176" s="544">
        <f>IF(VLOOKUP($E$176,[1]UG!$A$2:$FA$69, 6, FALSE)="",":",VLOOKUP($E$176,[1]UG!$A$2:$FA$69, 6, FALSE))</f>
        <v>2684.88</v>
      </c>
      <c r="H176" s="544">
        <f>IF(VLOOKUP($E$176,[1]UG!$A$2:$FA$69, 7, FALSE)="",":",VLOOKUP($E$176,[1]UG!$A$2:$FA$69, 7, FALSE))</f>
        <v>3551.23</v>
      </c>
      <c r="I176" s="544">
        <f>IF(VLOOKUP($E$176,[1]UG!$A$2:$FA$69, 8, FALSE)="",":",VLOOKUP($E$176,[1]UG!$A$2:$FA$69, 8, FALSE))</f>
        <v>5893.82</v>
      </c>
      <c r="J176" s="544">
        <f>IF(VLOOKUP($E$176,[1]UG!$A$2:$FA$69, 9, FALSE)="",":",VLOOKUP($E$176,[1]UG!$A$2:$FA$69, 9, FALSE))</f>
        <v>5362.4</v>
      </c>
      <c r="K176" s="544">
        <f>IF(VLOOKUP($E$176,[1]UG!$A$2:$FA$69, 10, FALSE)="",":",VLOOKUP($E$176,[1]UG!$A$2:$FA$69, 10, FALSE))</f>
        <v>5191.91</v>
      </c>
      <c r="L176" s="544">
        <f>IF(VLOOKUP($E$176,[1]UG!$A$2:$FA$69, 11, FALSE)="",":",VLOOKUP($E$176,[1]UG!$A$2:$FA$69, 11, FALSE))</f>
        <v>5266.35</v>
      </c>
      <c r="M176" s="544">
        <f>IF(VLOOKUP($E$176,[1]UG!$A$2:$FA$69, 12, FALSE)="",":",VLOOKUP($E$176,[1]UG!$A$2:$FA$69, 12, FALSE))</f>
        <v>5264.95</v>
      </c>
      <c r="N176" s="544">
        <f>IF(VLOOKUP($E$176,[1]UG!$A$2:$FA$69, 13, FALSE)="",":",VLOOKUP($E$176,[1]UG!$A$2:$FA$69, 13, FALSE))</f>
        <v>5343.11</v>
      </c>
      <c r="O176" s="544">
        <f>IF(VLOOKUP($E$176,[1]UG!$A$2:$FA$69, 14, FALSE)="",":",VLOOKUP($E$176,[1]UG!$A$2:$FA$69, 14, FALSE))</f>
        <v>5597.06</v>
      </c>
      <c r="P176" s="544">
        <f>IF(VLOOKUP($E$176,[1]UG!$A$2:$FA$69, 15, FALSE)="",":",VLOOKUP($E$176,[1]UG!$A$2:$FA$69, 15, FALSE))</f>
        <v>6207.38</v>
      </c>
      <c r="Q176" s="544">
        <f>IF(VLOOKUP($E$176,[1]UG!$A$2:$FA$69, 16, FALSE)="",":",VLOOKUP($E$176,[1]UG!$A$2:$FA$69, 16, FALSE))</f>
        <v>7157.39</v>
      </c>
      <c r="R176" s="544">
        <f>IF(VLOOKUP($E$176,[1]UG!$A$2:$FA$69, 17, FALSE)="",":",VLOOKUP($E$176,[1]UG!$A$2:$FA$69, 17, FALSE))</f>
        <v>8261.69</v>
      </c>
      <c r="S176" s="544">
        <f>IF(VLOOKUP($E$176,[1]UG!$A$2:$FA$69, 18, FALSE)="",":",VLOOKUP($E$176,[1]UG!$A$2:$FA$69, 18, FALSE))</f>
        <v>10238.51</v>
      </c>
      <c r="T176" s="544">
        <f>IF(VLOOKUP($E$176,[1]UG!$A$2:$FA$69, 19, FALSE)="",":",VLOOKUP($E$176,[1]UG!$A$2:$FA$69, 19, FALSE))</f>
        <v>12454.32</v>
      </c>
      <c r="U176" s="544">
        <f>IF(VLOOKUP($E$176,[1]UG!$A$2:$FA$69, 20, FALSE)="",":",VLOOKUP($E$176,[1]UG!$A$2:$FA$69, 20, FALSE))</f>
        <v>12090.59</v>
      </c>
      <c r="V176" s="544">
        <f>IF(VLOOKUP($E$176,[1]UG!$A$2:$FA$69, 21, FALSE)="",":",VLOOKUP($E$176,[1]UG!$A$2:$FA$69, 21, FALSE))</f>
        <v>11855.39</v>
      </c>
      <c r="W176" s="544">
        <f>IF(VLOOKUP($E$176,[1]UG!$A$2:$FA$69, 22, FALSE)="",":",VLOOKUP($E$176,[1]UG!$A$2:$FA$69, 22, FALSE))</f>
        <v>13283.53</v>
      </c>
      <c r="X176" s="544">
        <f>IF(VLOOKUP($E$176,[1]UG!$A$2:$FA$69, 23, FALSE)="",":",VLOOKUP($E$176,[1]UG!$A$2:$FA$69, 23, FALSE))</f>
        <v>12039.57</v>
      </c>
      <c r="Y176" s="544">
        <f>IF(VLOOKUP($E$176,[1]UG!$A$2:$FA$69, 24, FALSE)="",":",VLOOKUP($E$176,[1]UG!$A$2:$FA$69, 24, FALSE))</f>
        <v>12408.2</v>
      </c>
      <c r="Z176" s="544">
        <f>IF(VLOOKUP($E$176,[1]UG!$A$2:$FA$69, 25, FALSE)="",":",VLOOKUP($E$176,[1]UG!$A$2:$FA$69, 25, FALSE))</f>
        <v>12666.74</v>
      </c>
      <c r="AA176" s="544">
        <f>IF(VLOOKUP($E$176,[1]UG!$A$2:$FA$69, 26, FALSE)="",":",VLOOKUP($E$176,[1]UG!$A$2:$FA$69, 26, FALSE))</f>
        <v>13057.7</v>
      </c>
      <c r="AB176" s="544">
        <f>IF(VLOOKUP($E$176,[1]UG!$A$2:$FA$69, 27, FALSE)="",":",VLOOKUP($E$176,[1]UG!$A$2:$FA$69, 27, FALSE))</f>
        <v>13226.98</v>
      </c>
      <c r="AC176" s="544" t="str">
        <f>IF(VLOOKUP($E$176,[1]UG!$A$2:$FA$69, 28, FALSE)="",":",VLOOKUP($E$176,[1]UG!$A$2:$FA$69, 28, FALSE))</f>
        <v>:</v>
      </c>
      <c r="AD176" s="544" t="str">
        <f>IF(VLOOKUP($E$176,[1]UG!$A$2:$FA$69, 29, FALSE)="",":",VLOOKUP($E$176,[1]UG!$A$2:$FA$69, 29, FALSE))</f>
        <v>:</v>
      </c>
      <c r="AE176" s="544" t="str">
        <f>IF(VLOOKUP($E$176,[1]UG!$A$2:$FA$69, 30, FALSE)="",":",VLOOKUP($E$176,[1]UG!$A$2:$FA$69, 30, FALSE))</f>
        <v>:</v>
      </c>
      <c r="AF176" s="544" t="str">
        <f>IF(VLOOKUP($E$176,[1]UG!$A$2:$FA$69, 31, FALSE)="",":",VLOOKUP($E$176,[1]UG!$A$2:$FA$69, 31, FALSE))</f>
        <v>:</v>
      </c>
    </row>
    <row r="177" spans="1:32">
      <c r="A177" s="533"/>
      <c r="B177" s="534" t="s">
        <v>792</v>
      </c>
      <c r="C177" s="535"/>
      <c r="D177" s="12" t="s">
        <v>1214</v>
      </c>
      <c r="E177" s="13">
        <v>50</v>
      </c>
      <c r="F177" s="14" t="str">
        <f>VLOOKUP($E$177,[1]UG!$A$2:$FA$69, 3, FALSE)</f>
        <v>50 Total General government revenue  (harmonised) TR</v>
      </c>
      <c r="G177" s="544">
        <f>IF(VLOOKUP($E$177,[1]UG!$A$2:$FA$69, 6, FALSE)="",":",VLOOKUP($E$177,[1]UG!$A$2:$FA$69, 6, FALSE))</f>
        <v>2564.77</v>
      </c>
      <c r="H177" s="544">
        <f>IF(VLOOKUP($E$177,[1]UG!$A$2:$FA$69, 7, FALSE)="",":",VLOOKUP($E$177,[1]UG!$A$2:$FA$69, 7, FALSE))</f>
        <v>3235.58</v>
      </c>
      <c r="I177" s="544">
        <f>IF(VLOOKUP($E$177,[1]UG!$A$2:$FA$69, 8, FALSE)="",":",VLOOKUP($E$177,[1]UG!$A$2:$FA$69, 8, FALSE))</f>
        <v>4515.8100000000004</v>
      </c>
      <c r="J177" s="544">
        <f>IF(VLOOKUP($E$177,[1]UG!$A$2:$FA$69, 9, FALSE)="",":",VLOOKUP($E$177,[1]UG!$A$2:$FA$69, 9, FALSE))</f>
        <v>4967.5200000000004</v>
      </c>
      <c r="K177" s="544">
        <f>IF(VLOOKUP($E$177,[1]UG!$A$2:$FA$69, 10, FALSE)="",":",VLOOKUP($E$177,[1]UG!$A$2:$FA$69, 10, FALSE))</f>
        <v>4833.1899999999996</v>
      </c>
      <c r="L177" s="544">
        <f>IF(VLOOKUP($E$177,[1]UG!$A$2:$FA$69, 11, FALSE)="",":",VLOOKUP($E$177,[1]UG!$A$2:$FA$69, 11, FALSE))</f>
        <v>4840.6099999999997</v>
      </c>
      <c r="M177" s="544">
        <f>IF(VLOOKUP($E$177,[1]UG!$A$2:$FA$69, 12, FALSE)="",":",VLOOKUP($E$177,[1]UG!$A$2:$FA$69, 12, FALSE))</f>
        <v>4764.34</v>
      </c>
      <c r="N177" s="544">
        <f>IF(VLOOKUP($E$177,[1]UG!$A$2:$FA$69, 13, FALSE)="",":",VLOOKUP($E$177,[1]UG!$A$2:$FA$69, 13, FALSE))</f>
        <v>5061.1000000000004</v>
      </c>
      <c r="O177" s="544">
        <f>IF(VLOOKUP($E$177,[1]UG!$A$2:$FA$69, 14, FALSE)="",":",VLOOKUP($E$177,[1]UG!$A$2:$FA$69, 14, FALSE))</f>
        <v>5386.33</v>
      </c>
      <c r="P177" s="544">
        <f>IF(VLOOKUP($E$177,[1]UG!$A$2:$FA$69, 15, FALSE)="",":",VLOOKUP($E$177,[1]UG!$A$2:$FA$69, 15, FALSE))</f>
        <v>5953.47</v>
      </c>
      <c r="Q177" s="544">
        <f>IF(VLOOKUP($E$177,[1]UG!$A$2:$FA$69, 16, FALSE)="",":",VLOOKUP($E$177,[1]UG!$A$2:$FA$69, 16, FALSE))</f>
        <v>7085.33</v>
      </c>
      <c r="R177" s="544">
        <f>IF(VLOOKUP($E$177,[1]UG!$A$2:$FA$69, 17, FALSE)="",":",VLOOKUP($E$177,[1]UG!$A$2:$FA$69, 17, FALSE))</f>
        <v>8196.17</v>
      </c>
      <c r="S177" s="544">
        <f>IF(VLOOKUP($E$177,[1]UG!$A$2:$FA$69, 18, FALSE)="",":",VLOOKUP($E$177,[1]UG!$A$2:$FA$69, 18, FALSE))</f>
        <v>10001.74</v>
      </c>
      <c r="T177" s="544">
        <f>IF(VLOOKUP($E$177,[1]UG!$A$2:$FA$69, 19, FALSE)="",":",VLOOKUP($E$177,[1]UG!$A$2:$FA$69, 19, FALSE))</f>
        <v>11446.28</v>
      </c>
      <c r="U177" s="544">
        <f>IF(VLOOKUP($E$177,[1]UG!$A$2:$FA$69, 20, FALSE)="",":",VLOOKUP($E$177,[1]UG!$A$2:$FA$69, 20, FALSE))</f>
        <v>9638</v>
      </c>
      <c r="V177" s="544">
        <f>IF(VLOOKUP($E$177,[1]UG!$A$2:$FA$69, 21, FALSE)="",":",VLOOKUP($E$177,[1]UG!$A$2:$FA$69, 21, FALSE))</f>
        <v>9921.2800000000007</v>
      </c>
      <c r="W177" s="544">
        <f>IF(VLOOKUP($E$177,[1]UG!$A$2:$FA$69, 22, FALSE)="",":",VLOOKUP($E$177,[1]UG!$A$2:$FA$69, 22, FALSE))</f>
        <v>10487.59</v>
      </c>
      <c r="X177" s="544">
        <f>IF(VLOOKUP($E$177,[1]UG!$A$2:$FA$69, 23, FALSE)="",":",VLOOKUP($E$177,[1]UG!$A$2:$FA$69, 23, FALSE))</f>
        <v>10990.59</v>
      </c>
      <c r="Y177" s="544">
        <f>IF(VLOOKUP($E$177,[1]UG!$A$2:$FA$69, 24, FALSE)="",":",VLOOKUP($E$177,[1]UG!$A$2:$FA$69, 24, FALSE))</f>
        <v>11495.79</v>
      </c>
      <c r="Z177" s="544">
        <f>IF(VLOOKUP($E$177,[1]UG!$A$2:$FA$69, 25, FALSE)="",":",VLOOKUP($E$177,[1]UG!$A$2:$FA$69, 25, FALSE))</f>
        <v>12440.98</v>
      </c>
      <c r="AA177" s="544">
        <f>IF(VLOOKUP($E$177,[1]UG!$A$2:$FA$69, 26, FALSE)="",":",VLOOKUP($E$177,[1]UG!$A$2:$FA$69, 26, FALSE))</f>
        <v>12966.09</v>
      </c>
      <c r="AB177" s="544">
        <f>IF(VLOOKUP($E$177,[1]UG!$A$2:$FA$69, 27, FALSE)="",":",VLOOKUP($E$177,[1]UG!$A$2:$FA$69, 27, FALSE))</f>
        <v>13329.98</v>
      </c>
      <c r="AC177" s="544" t="str">
        <f>IF(VLOOKUP($E$177,[1]UG!$A$2:$FA$69, 28, FALSE)="",":",VLOOKUP($E$177,[1]UG!$A$2:$FA$69, 28, FALSE))</f>
        <v>:</v>
      </c>
      <c r="AD177" s="544" t="str">
        <f>IF(VLOOKUP($E$177,[1]UG!$A$2:$FA$69, 29, FALSE)="",":",VLOOKUP($E$177,[1]UG!$A$2:$FA$69, 29, FALSE))</f>
        <v>:</v>
      </c>
      <c r="AE177" s="544" t="str">
        <f>IF(VLOOKUP($E$177,[1]UG!$A$2:$FA$69, 30, FALSE)="",":",VLOOKUP($E$177,[1]UG!$A$2:$FA$69, 30, FALSE))</f>
        <v>:</v>
      </c>
      <c r="AF177" s="544" t="str">
        <f>IF(VLOOKUP($E$177,[1]UG!$A$2:$FA$69, 31, FALSE)="",":",VLOOKUP($E$177,[1]UG!$A$2:$FA$69, 31, FALSE))</f>
        <v>:</v>
      </c>
    </row>
    <row r="178" spans="1:32">
      <c r="A178" s="533">
        <v>132</v>
      </c>
      <c r="B178" s="534" t="s">
        <v>1028</v>
      </c>
      <c r="C178" s="535" t="s">
        <v>1213</v>
      </c>
      <c r="D178" s="12" t="s">
        <v>1214</v>
      </c>
      <c r="E178" s="13">
        <v>190</v>
      </c>
      <c r="F178" s="14" t="str">
        <f>VLOOKUP($E$178,[1]UG!$A$2:$FA$69, 3, FALSE)</f>
        <v>190 Interest D.41p (EDP)</v>
      </c>
      <c r="G178" s="544">
        <f>IF(VLOOKUP($E$178,[1]UG!$A$2:$FA$69, 6, FALSE)="",":",VLOOKUP($E$178,[1]UG!$A$2:$FA$69, 6, FALSE))</f>
        <v>26.94</v>
      </c>
      <c r="H178" s="544">
        <f>IF(VLOOKUP($E$178,[1]UG!$A$2:$FA$69, 7, FALSE)="",":",VLOOKUP($E$178,[1]UG!$A$2:$FA$69, 7, FALSE))</f>
        <v>80.97</v>
      </c>
      <c r="I178" s="544">
        <f>IF(VLOOKUP($E$178,[1]UG!$A$2:$FA$69, 8, FALSE)="",":",VLOOKUP($E$178,[1]UG!$A$2:$FA$69, 8, FALSE))</f>
        <v>85.84</v>
      </c>
      <c r="J178" s="544">
        <f>IF(VLOOKUP($E$178,[1]UG!$A$2:$FA$69, 9, FALSE)="",":",VLOOKUP($E$178,[1]UG!$A$2:$FA$69, 9, FALSE))</f>
        <v>147.53</v>
      </c>
      <c r="K178" s="544">
        <f>IF(VLOOKUP($E$178,[1]UG!$A$2:$FA$69, 10, FALSE)="",":",VLOOKUP($E$178,[1]UG!$A$2:$FA$69, 10, FALSE))</f>
        <v>186.94</v>
      </c>
      <c r="L178" s="544">
        <f>IF(VLOOKUP($E$178,[1]UG!$A$2:$FA$69, 11, FALSE)="",":",VLOOKUP($E$178,[1]UG!$A$2:$FA$69, 11, FALSE))</f>
        <v>231.7</v>
      </c>
      <c r="M178" s="544">
        <f>IF(VLOOKUP($E$178,[1]UG!$A$2:$FA$69, 12, FALSE)="",":",VLOOKUP($E$178,[1]UG!$A$2:$FA$69, 12, FALSE))</f>
        <v>213.52</v>
      </c>
      <c r="N178" s="544">
        <f>IF(VLOOKUP($E$178,[1]UG!$A$2:$FA$69, 13, FALSE)="",":",VLOOKUP($E$178,[1]UG!$A$2:$FA$69, 13, FALSE))</f>
        <v>198.41</v>
      </c>
      <c r="O178" s="544">
        <f>IF(VLOOKUP($E$178,[1]UG!$A$2:$FA$69, 14, FALSE)="",":",VLOOKUP($E$178,[1]UG!$A$2:$FA$69, 14, FALSE))</f>
        <v>205.81</v>
      </c>
      <c r="P178" s="544">
        <f>IF(VLOOKUP($E$178,[1]UG!$A$2:$FA$69, 15, FALSE)="",":",VLOOKUP($E$178,[1]UG!$A$2:$FA$69, 15, FALSE))</f>
        <v>163.71</v>
      </c>
      <c r="Q178" s="544">
        <f>IF(VLOOKUP($E$178,[1]UG!$A$2:$FA$69, 16, FALSE)="",":",VLOOKUP($E$178,[1]UG!$A$2:$FA$69, 16, FALSE))</f>
        <v>160.72</v>
      </c>
      <c r="R178" s="544">
        <f>IF(VLOOKUP($E$178,[1]UG!$A$2:$FA$69, 17, FALSE)="",":",VLOOKUP($E$178,[1]UG!$A$2:$FA$69, 17, FALSE))</f>
        <v>168.01</v>
      </c>
      <c r="S178" s="544">
        <f>IF(VLOOKUP($E$178,[1]UG!$A$2:$FA$69, 18, FALSE)="",":",VLOOKUP($E$178,[1]UG!$A$2:$FA$69, 18, FALSE))</f>
        <v>192.31</v>
      </c>
      <c r="T178" s="544">
        <f>IF(VLOOKUP($E$178,[1]UG!$A$2:$FA$69, 19, FALSE)="",":",VLOOKUP($E$178,[1]UG!$A$2:$FA$69, 19, FALSE))</f>
        <v>214.1</v>
      </c>
      <c r="U178" s="544">
        <f>IF(VLOOKUP($E$178,[1]UG!$A$2:$FA$69, 20, FALSE)="",":",VLOOKUP($E$178,[1]UG!$A$2:$FA$69, 20, FALSE))</f>
        <v>333.2</v>
      </c>
      <c r="V178" s="544">
        <f>IF(VLOOKUP($E$178,[1]UG!$A$2:$FA$69, 21, FALSE)="",":",VLOOKUP($E$178,[1]UG!$A$2:$FA$69, 21, FALSE))</f>
        <v>509.86</v>
      </c>
      <c r="W178" s="544">
        <f>IF(VLOOKUP($E$178,[1]UG!$A$2:$FA$69, 22, FALSE)="",":",VLOOKUP($E$178,[1]UG!$A$2:$FA$69, 22, FALSE))</f>
        <v>575.65</v>
      </c>
      <c r="X178" s="544">
        <f>IF(VLOOKUP($E$178,[1]UG!$A$2:$FA$69, 23, FALSE)="",":",VLOOKUP($E$178,[1]UG!$A$2:$FA$69, 23, FALSE))</f>
        <v>658.57</v>
      </c>
      <c r="Y178" s="544">
        <f>IF(VLOOKUP($E$178,[1]UG!$A$2:$FA$69, 24, FALSE)="",":",VLOOKUP($E$178,[1]UG!$A$2:$FA$69, 24, FALSE))</f>
        <v>614.80999999999995</v>
      </c>
      <c r="Z178" s="544">
        <f>IF(VLOOKUP($E$178,[1]UG!$A$2:$FA$69, 25, FALSE)="",":",VLOOKUP($E$178,[1]UG!$A$2:$FA$69, 25, FALSE))</f>
        <v>586.76</v>
      </c>
      <c r="AA178" s="544">
        <f>IF(VLOOKUP($E$178,[1]UG!$A$2:$FA$69, 26, FALSE)="",":",VLOOKUP($E$178,[1]UG!$A$2:$FA$69, 26, FALSE))</f>
        <v>568.67999999999995</v>
      </c>
      <c r="AB178" s="544">
        <f>IF(VLOOKUP($E$178,[1]UG!$A$2:$FA$69, 27, FALSE)="",":",VLOOKUP($E$178,[1]UG!$A$2:$FA$69, 27, FALSE))</f>
        <v>516.77</v>
      </c>
      <c r="AC178" s="544" t="str">
        <f>IF(VLOOKUP($E$178,[1]UG!$A$2:$FA$69, 28, FALSE)="",":",VLOOKUP($E$178,[1]UG!$A$2:$FA$69, 28, FALSE))</f>
        <v>:</v>
      </c>
      <c r="AD178" s="544" t="str">
        <f>IF(VLOOKUP($E$178,[1]UG!$A$2:$FA$69, 29, FALSE)="",":",VLOOKUP($E$178,[1]UG!$A$2:$FA$69, 29, FALSE))</f>
        <v>:</v>
      </c>
      <c r="AE178" s="544" t="str">
        <f>IF(VLOOKUP($E$178,[1]UG!$A$2:$FA$69, 30, FALSE)="",":",VLOOKUP($E$178,[1]UG!$A$2:$FA$69, 30, FALSE))</f>
        <v>:</v>
      </c>
      <c r="AF178" s="544" t="str">
        <f>IF(VLOOKUP($E$178,[1]UG!$A$2:$FA$69, 31, FALSE)="",":",VLOOKUP($E$178,[1]UG!$A$2:$FA$69, 31, FALSE))</f>
        <v>:</v>
      </c>
    </row>
    <row r="179" spans="1:32">
      <c r="A179" s="533"/>
      <c r="B179" s="534"/>
      <c r="C179" s="535"/>
      <c r="D179" s="12"/>
      <c r="E179" s="13"/>
      <c r="F179" s="14"/>
      <c r="G179" s="544"/>
      <c r="H179" s="544"/>
      <c r="I179" s="544"/>
      <c r="J179" s="544"/>
      <c r="K179" s="544"/>
      <c r="L179" s="544"/>
      <c r="M179" s="544"/>
      <c r="N179" s="544"/>
      <c r="O179" s="544"/>
      <c r="P179" s="544"/>
      <c r="Q179" s="544"/>
      <c r="R179" s="544"/>
      <c r="S179" s="544"/>
      <c r="T179" s="544"/>
      <c r="U179" s="544"/>
      <c r="V179" s="544"/>
      <c r="W179" s="544"/>
      <c r="X179" s="544"/>
      <c r="Y179" s="544"/>
      <c r="Z179" s="544"/>
      <c r="AA179" s="544"/>
      <c r="AB179" s="544"/>
      <c r="AC179" s="544"/>
      <c r="AD179" s="544"/>
      <c r="AE179" s="544"/>
      <c r="AF179" s="544"/>
    </row>
    <row r="180" spans="1:32">
      <c r="A180" s="533"/>
      <c r="B180" s="534" t="s">
        <v>1215</v>
      </c>
      <c r="C180" s="535" t="s">
        <v>20</v>
      </c>
      <c r="D180" s="12" t="s">
        <v>1216</v>
      </c>
      <c r="E180" s="13">
        <v>3</v>
      </c>
      <c r="F180" s="14" t="str">
        <f>VLOOKUP($E$180,[1]UH!$A$2:$FA$98, 3, FALSE)</f>
        <v xml:space="preserve">3   Gross value added at basic prices  B1g                                               </v>
      </c>
      <c r="G180" s="544">
        <f>IF(VLOOKUP($E$180,[1]UH!$A$2:$FA$98, 6, FALSE)="",":",VLOOKUP($E$180,[1]UH!$A$2:$FA$98, 6, FALSE))</f>
        <v>1843.65</v>
      </c>
      <c r="H180" s="544">
        <f>IF(VLOOKUP($E$180,[1]UH!$A$2:$FA$98, 7, FALSE)="",":",VLOOKUP($E$180,[1]UH!$A$2:$FA$98, 7, FALSE))</f>
        <v>2300.16</v>
      </c>
      <c r="I180" s="544">
        <f>IF(VLOOKUP($E$180,[1]UH!$A$2:$FA$98, 8, FALSE)="",":",VLOOKUP($E$180,[1]UH!$A$2:$FA$98, 8, FALSE))</f>
        <v>2600.98</v>
      </c>
      <c r="J180" s="544">
        <f>IF(VLOOKUP($E$180,[1]UH!$A$2:$FA$98, 9, FALSE)="",":",VLOOKUP($E$180,[1]UH!$A$2:$FA$98, 9, FALSE))</f>
        <v>2837.95</v>
      </c>
      <c r="K180" s="544">
        <f>IF(VLOOKUP($E$180,[1]UH!$A$2:$FA$98, 10, FALSE)="",":",VLOOKUP($E$180,[1]UH!$A$2:$FA$98, 10, FALSE))</f>
        <v>2695.94</v>
      </c>
      <c r="L180" s="544">
        <f>IF(VLOOKUP($E$180,[1]UH!$A$2:$FA$98, 11, FALSE)="",":",VLOOKUP($E$180,[1]UH!$A$2:$FA$98, 11, FALSE))</f>
        <v>2776.87</v>
      </c>
      <c r="M180" s="544">
        <f>IF(VLOOKUP($E$180,[1]UH!$A$2:$FA$98, 12, FALSE)="",":",VLOOKUP($E$180,[1]UH!$A$2:$FA$98, 12, FALSE))</f>
        <v>2692.49</v>
      </c>
      <c r="N180" s="544">
        <f>IF(VLOOKUP($E$180,[1]UH!$A$2:$FA$98, 13, FALSE)="",":",VLOOKUP($E$180,[1]UH!$A$2:$FA$98, 13, FALSE))</f>
        <v>2705.96</v>
      </c>
      <c r="O180" s="544">
        <f>IF(VLOOKUP($E$180,[1]UH!$A$2:$FA$98, 14, FALSE)="",":",VLOOKUP($E$180,[1]UH!$A$2:$FA$98, 14, FALSE))</f>
        <v>2803.39</v>
      </c>
      <c r="P180" s="544">
        <f>IF(VLOOKUP($E$180,[1]UH!$A$2:$FA$98, 15, FALSE)="",":",VLOOKUP($E$180,[1]UH!$A$2:$FA$98, 15, FALSE))</f>
        <v>2925.44</v>
      </c>
      <c r="Q180" s="544">
        <f>IF(VLOOKUP($E$180,[1]UH!$A$2:$FA$98, 16, FALSE)="",":",VLOOKUP($E$180,[1]UH!$A$2:$FA$98, 16, FALSE))</f>
        <v>3230.39</v>
      </c>
      <c r="R180" s="544">
        <f>IF(VLOOKUP($E$180,[1]UH!$A$2:$FA$98, 17, FALSE)="",":",VLOOKUP($E$180,[1]UH!$A$2:$FA$98, 17, FALSE))</f>
        <v>3465.68</v>
      </c>
      <c r="S180" s="544">
        <f>IF(VLOOKUP($E$180,[1]UH!$A$2:$FA$98, 18, FALSE)="",":",VLOOKUP($E$180,[1]UH!$A$2:$FA$98, 18, FALSE))</f>
        <v>3877.02</v>
      </c>
      <c r="T180" s="544">
        <f>IF(VLOOKUP($E$180,[1]UH!$A$2:$FA$98, 19, FALSE)="",":",VLOOKUP($E$180,[1]UH!$A$2:$FA$98, 19, FALSE))</f>
        <v>4163.1099999999997</v>
      </c>
      <c r="U180" s="544">
        <f>IF(VLOOKUP($E$180,[1]UH!$A$2:$FA$98, 20, FALSE)="",":",VLOOKUP($E$180,[1]UH!$A$2:$FA$98, 20, FALSE))</f>
        <v>3334.48</v>
      </c>
      <c r="V180" s="544">
        <f>IF(VLOOKUP($E$180,[1]UH!$A$2:$FA$98, 21, FALSE)="",":",VLOOKUP($E$180,[1]UH!$A$2:$FA$98, 21, FALSE))</f>
        <v>3098.95</v>
      </c>
      <c r="W180" s="544">
        <f>IF(VLOOKUP($E$180,[1]UH!$A$2:$FA$98, 22, FALSE)="",":",VLOOKUP($E$180,[1]UH!$A$2:$FA$98, 22, FALSE))</f>
        <v>3300.5</v>
      </c>
      <c r="X180" s="544">
        <f>IF(VLOOKUP($E$180,[1]UH!$A$2:$FA$98, 23, FALSE)="",":",VLOOKUP($E$180,[1]UH!$A$2:$FA$98, 23, FALSE))</f>
        <v>3717.55</v>
      </c>
      <c r="Y180" s="544">
        <f>IF(VLOOKUP($E$180,[1]UH!$A$2:$FA$98, 24, FALSE)="",":",VLOOKUP($E$180,[1]UH!$A$2:$FA$98, 24, FALSE))</f>
        <v>3877.94</v>
      </c>
      <c r="Z180" s="544">
        <f>IF(VLOOKUP($E$180,[1]UH!$A$2:$FA$98, 25, FALSE)="",":",VLOOKUP($E$180,[1]UH!$A$2:$FA$98, 25, FALSE))</f>
        <v>4021.29</v>
      </c>
      <c r="AA180" s="544">
        <f>IF(VLOOKUP($E$180,[1]UH!$A$2:$FA$98, 26, FALSE)="",":",VLOOKUP($E$180,[1]UH!$A$2:$FA$98, 26, FALSE))</f>
        <v>4269.6000000000004</v>
      </c>
      <c r="AB180" s="544">
        <f>IF(VLOOKUP($E$180,[1]UH!$A$2:$FA$98, 27, FALSE)="",":",VLOOKUP($E$180,[1]UH!$A$2:$FA$98, 27, FALSE))</f>
        <v>4273.95</v>
      </c>
      <c r="AC180" s="544" t="str">
        <f>IF(VLOOKUP($E$180,[1]UH!$A$2:$FA$98, 28, FALSE)="",":",VLOOKUP($E$180,[1]UH!$A$2:$FA$98, 28, FALSE))</f>
        <v>:</v>
      </c>
      <c r="AD180" s="544" t="str">
        <f>IF(VLOOKUP($E$180,[1]UH!$A$2:$FA$98, 29, FALSE)="",":",VLOOKUP($E$180,[1]UH!$A$2:$FA$98, 29, FALSE))</f>
        <v>:</v>
      </c>
      <c r="AE180" s="544" t="str">
        <f>IF(VLOOKUP($E$180,[1]UH!$A$2:$FA$98, 30, FALSE)="",":",VLOOKUP($E$180,[1]UH!$A$2:$FA$98, 30, FALSE))</f>
        <v>:</v>
      </c>
      <c r="AF180" s="544" t="str">
        <f>IF(VLOOKUP($E$180,[1]UH!$A$2:$FA$98, 31, FALSE)="",":",VLOOKUP($E$180,[1]UH!$A$2:$FA$98, 31, FALSE))</f>
        <v>:</v>
      </c>
    </row>
    <row r="181" spans="1:32">
      <c r="A181" s="533"/>
      <c r="B181" s="534" t="s">
        <v>1217</v>
      </c>
      <c r="C181" s="535" t="s">
        <v>21</v>
      </c>
      <c r="D181" s="12" t="s">
        <v>1216</v>
      </c>
      <c r="E181" s="13">
        <v>7</v>
      </c>
      <c r="F181" s="14" t="str">
        <f>VLOOKUP($E$181,[1]UH!$A$2:$FA$98, 3, FALSE)</f>
        <v>7 Other taxes on production, payable D.29p</v>
      </c>
      <c r="G181" s="544">
        <f>IF(VLOOKUP($E$181,[1]UH!$A$2:$FA$98, 6, FALSE)="",":",VLOOKUP($E$181,[1]UH!$A$2:$FA$98, 6, FALSE))</f>
        <v>8.31</v>
      </c>
      <c r="H181" s="544">
        <f>IF(VLOOKUP($E$181,[1]UH!$A$2:$FA$98, 7, FALSE)="",":",VLOOKUP($E$181,[1]UH!$A$2:$FA$98, 7, FALSE))</f>
        <v>30.58</v>
      </c>
      <c r="I181" s="544">
        <f>IF(VLOOKUP($E$181,[1]UH!$A$2:$FA$98, 8, FALSE)="",":",VLOOKUP($E$181,[1]UH!$A$2:$FA$98, 8, FALSE))</f>
        <v>12.67</v>
      </c>
      <c r="J181" s="544">
        <f>IF(VLOOKUP($E$181,[1]UH!$A$2:$FA$98, 9, FALSE)="",":",VLOOKUP($E$181,[1]UH!$A$2:$FA$98, 9, FALSE))</f>
        <v>11.91</v>
      </c>
      <c r="K181" s="544">
        <f>IF(VLOOKUP($E$181,[1]UH!$A$2:$FA$98, 10, FALSE)="",":",VLOOKUP($E$181,[1]UH!$A$2:$FA$98, 10, FALSE))</f>
        <v>11.63</v>
      </c>
      <c r="L181" s="544">
        <f>IF(VLOOKUP($E$181,[1]UH!$A$2:$FA$98, 11, FALSE)="",":",VLOOKUP($E$181,[1]UH!$A$2:$FA$98, 11, FALSE))</f>
        <v>15.85</v>
      </c>
      <c r="M181" s="544">
        <f>IF(VLOOKUP($E$181,[1]UH!$A$2:$FA$98, 12, FALSE)="",":",VLOOKUP($E$181,[1]UH!$A$2:$FA$98, 12, FALSE))</f>
        <v>20.83</v>
      </c>
      <c r="N181" s="544">
        <f>IF(VLOOKUP($E$181,[1]UH!$A$2:$FA$98, 13, FALSE)="",":",VLOOKUP($E$181,[1]UH!$A$2:$FA$98, 13, FALSE))</f>
        <v>35.81</v>
      </c>
      <c r="O181" s="544">
        <f>IF(VLOOKUP($E$181,[1]UH!$A$2:$FA$98, 14, FALSE)="",":",VLOOKUP($E$181,[1]UH!$A$2:$FA$98, 14, FALSE))</f>
        <v>15.62</v>
      </c>
      <c r="P181" s="544">
        <f>IF(VLOOKUP($E$181,[1]UH!$A$2:$FA$98, 15, FALSE)="",":",VLOOKUP($E$181,[1]UH!$A$2:$FA$98, 15, FALSE))</f>
        <v>19.920000000000002</v>
      </c>
      <c r="Q181" s="544">
        <f>IF(VLOOKUP($E$181,[1]UH!$A$2:$FA$98, 16, FALSE)="",":",VLOOKUP($E$181,[1]UH!$A$2:$FA$98, 16, FALSE))</f>
        <v>22.59</v>
      </c>
      <c r="R181" s="544">
        <f>IF(VLOOKUP($E$181,[1]UH!$A$2:$FA$98, 17, FALSE)="",":",VLOOKUP($E$181,[1]UH!$A$2:$FA$98, 17, FALSE))</f>
        <v>21.04</v>
      </c>
      <c r="S181" s="544">
        <f>IF(VLOOKUP($E$181,[1]UH!$A$2:$FA$98, 18, FALSE)="",":",VLOOKUP($E$181,[1]UH!$A$2:$FA$98, 18, FALSE))</f>
        <v>24.56</v>
      </c>
      <c r="T181" s="544">
        <f>IF(VLOOKUP($E$181,[1]UH!$A$2:$FA$98, 19, FALSE)="",":",VLOOKUP($E$181,[1]UH!$A$2:$FA$98, 19, FALSE))</f>
        <v>28.83</v>
      </c>
      <c r="U181" s="544">
        <f>IF(VLOOKUP($E$181,[1]UH!$A$2:$FA$98, 20, FALSE)="",":",VLOOKUP($E$181,[1]UH!$A$2:$FA$98, 20, FALSE))</f>
        <v>21.95</v>
      </c>
      <c r="V181" s="544">
        <f>IF(VLOOKUP($E$181,[1]UH!$A$2:$FA$98, 21, FALSE)="",":",VLOOKUP($E$181,[1]UH!$A$2:$FA$98, 21, FALSE))</f>
        <v>29.44</v>
      </c>
      <c r="W181" s="544">
        <f>IF(VLOOKUP($E$181,[1]UH!$A$2:$FA$98, 22, FALSE)="",":",VLOOKUP($E$181,[1]UH!$A$2:$FA$98, 22, FALSE))</f>
        <v>23.75</v>
      </c>
      <c r="X181" s="544">
        <f>IF(VLOOKUP($E$181,[1]UH!$A$2:$FA$98, 23, FALSE)="",":",VLOOKUP($E$181,[1]UH!$A$2:$FA$98, 23, FALSE))</f>
        <v>22.14</v>
      </c>
      <c r="Y181" s="544">
        <f>IF(VLOOKUP($E$181,[1]UH!$A$2:$FA$98, 24, FALSE)="",":",VLOOKUP($E$181,[1]UH!$A$2:$FA$98, 24, FALSE))</f>
        <v>22.12</v>
      </c>
      <c r="Z181" s="544">
        <f>IF(VLOOKUP($E$181,[1]UH!$A$2:$FA$98, 25, FALSE)="",":",VLOOKUP($E$181,[1]UH!$A$2:$FA$98, 25, FALSE))</f>
        <v>17.78</v>
      </c>
      <c r="AA181" s="544">
        <f>IF(VLOOKUP($E$181,[1]UH!$A$2:$FA$98, 26, FALSE)="",":",VLOOKUP($E$181,[1]UH!$A$2:$FA$98, 26, FALSE))</f>
        <v>24.34</v>
      </c>
      <c r="AB181" s="544">
        <f>IF(VLOOKUP($E$181,[1]UH!$A$2:$FA$98, 27, FALSE)="",":",VLOOKUP($E$181,[1]UH!$A$2:$FA$98, 27, FALSE))</f>
        <v>24.56</v>
      </c>
      <c r="AC181" s="544" t="str">
        <f>IF(VLOOKUP($E$181,[1]UH!$A$2:$FA$98, 28, FALSE)="",":",VLOOKUP($E$181,[1]UH!$A$2:$FA$98, 28, FALSE))</f>
        <v>:</v>
      </c>
      <c r="AD181" s="544" t="str">
        <f>IF(VLOOKUP($E$181,[1]UH!$A$2:$FA$98, 29, FALSE)="",":",VLOOKUP($E$181,[1]UH!$A$2:$FA$98, 29, FALSE))</f>
        <v>:</v>
      </c>
      <c r="AE181" s="544" t="str">
        <f>IF(VLOOKUP($E$181,[1]UH!$A$2:$FA$98, 30, FALSE)="",":",VLOOKUP($E$181,[1]UH!$A$2:$FA$98, 30, FALSE))</f>
        <v>:</v>
      </c>
      <c r="AF181" s="544" t="str">
        <f>IF(VLOOKUP($E$181,[1]UH!$A$2:$FA$98, 31, FALSE)="",":",VLOOKUP($E$181,[1]UH!$A$2:$FA$98, 31, FALSE))</f>
        <v>:</v>
      </c>
    </row>
    <row r="182" spans="1:32">
      <c r="A182" s="533"/>
      <c r="B182" s="534" t="s">
        <v>394</v>
      </c>
      <c r="C182" s="535" t="s">
        <v>22</v>
      </c>
      <c r="D182" s="12" t="s">
        <v>1216</v>
      </c>
      <c r="E182" s="13">
        <v>8</v>
      </c>
      <c r="F182" s="14" t="str">
        <f>VLOOKUP($E$182,[1]UH!$A$2:$FA$98, 3, FALSE)</f>
        <v>8 Other subsidies on production receivable D.39r</v>
      </c>
      <c r="G182" s="544">
        <f>IF(VLOOKUP($E$182,[1]UH!$A$2:$FA$98, 6, FALSE)="",":",VLOOKUP($E$182,[1]UH!$A$2:$FA$98, 6, FALSE))</f>
        <v>0</v>
      </c>
      <c r="H182" s="544">
        <f>IF(VLOOKUP($E$182,[1]UH!$A$2:$FA$98, 7, FALSE)="",":",VLOOKUP($E$182,[1]UH!$A$2:$FA$98, 7, FALSE))</f>
        <v>0</v>
      </c>
      <c r="I182" s="544">
        <f>IF(VLOOKUP($E$182,[1]UH!$A$2:$FA$98, 8, FALSE)="",":",VLOOKUP($E$182,[1]UH!$A$2:$FA$98, 8, FALSE))</f>
        <v>0</v>
      </c>
      <c r="J182" s="544">
        <f>IF(VLOOKUP($E$182,[1]UH!$A$2:$FA$98, 9, FALSE)="",":",VLOOKUP($E$182,[1]UH!$A$2:$FA$98, 9, FALSE))</f>
        <v>0</v>
      </c>
      <c r="K182" s="544">
        <f>IF(VLOOKUP($E$182,[1]UH!$A$2:$FA$98, 10, FALSE)="",":",VLOOKUP($E$182,[1]UH!$A$2:$FA$98, 10, FALSE))</f>
        <v>0</v>
      </c>
      <c r="L182" s="544">
        <f>IF(VLOOKUP($E$182,[1]UH!$A$2:$FA$98, 11, FALSE)="",":",VLOOKUP($E$182,[1]UH!$A$2:$FA$98, 11, FALSE))</f>
        <v>0</v>
      </c>
      <c r="M182" s="544">
        <f>IF(VLOOKUP($E$182,[1]UH!$A$2:$FA$98, 12, FALSE)="",":",VLOOKUP($E$182,[1]UH!$A$2:$FA$98, 12, FALSE))</f>
        <v>11.84</v>
      </c>
      <c r="N182" s="544">
        <f>IF(VLOOKUP($E$182,[1]UH!$A$2:$FA$98, 13, FALSE)="",":",VLOOKUP($E$182,[1]UH!$A$2:$FA$98, 13, FALSE))</f>
        <v>0</v>
      </c>
      <c r="O182" s="544">
        <f>IF(VLOOKUP($E$182,[1]UH!$A$2:$FA$98, 14, FALSE)="",":",VLOOKUP($E$182,[1]UH!$A$2:$FA$98, 14, FALSE))</f>
        <v>7.55</v>
      </c>
      <c r="P182" s="544">
        <f>IF(VLOOKUP($E$182,[1]UH!$A$2:$FA$98, 15, FALSE)="",":",VLOOKUP($E$182,[1]UH!$A$2:$FA$98, 15, FALSE))</f>
        <v>35.57</v>
      </c>
      <c r="Q182" s="544">
        <f>IF(VLOOKUP($E$182,[1]UH!$A$2:$FA$98, 16, FALSE)="",":",VLOOKUP($E$182,[1]UH!$A$2:$FA$98, 16, FALSE))</f>
        <v>92.98</v>
      </c>
      <c r="R182" s="544">
        <f>IF(VLOOKUP($E$182,[1]UH!$A$2:$FA$98, 17, FALSE)="",":",VLOOKUP($E$182,[1]UH!$A$2:$FA$98, 17, FALSE))</f>
        <v>63.27</v>
      </c>
      <c r="S182" s="544">
        <f>IF(VLOOKUP($E$182,[1]UH!$A$2:$FA$98, 18, FALSE)="",":",VLOOKUP($E$182,[1]UH!$A$2:$FA$98, 18, FALSE))</f>
        <v>71.400000000000006</v>
      </c>
      <c r="T182" s="544">
        <f>IF(VLOOKUP($E$182,[1]UH!$A$2:$FA$98, 19, FALSE)="",":",VLOOKUP($E$182,[1]UH!$A$2:$FA$98, 19, FALSE))</f>
        <v>37.04</v>
      </c>
      <c r="U182" s="544">
        <f>IF(VLOOKUP($E$182,[1]UH!$A$2:$FA$98, 20, FALSE)="",":",VLOOKUP($E$182,[1]UH!$A$2:$FA$98, 20, FALSE))</f>
        <v>63.25</v>
      </c>
      <c r="V182" s="544">
        <f>IF(VLOOKUP($E$182,[1]UH!$A$2:$FA$98, 21, FALSE)="",":",VLOOKUP($E$182,[1]UH!$A$2:$FA$98, 21, FALSE))</f>
        <v>22.34</v>
      </c>
      <c r="W182" s="544">
        <f>IF(VLOOKUP($E$182,[1]UH!$A$2:$FA$98, 22, FALSE)="",":",VLOOKUP($E$182,[1]UH!$A$2:$FA$98, 22, FALSE))</f>
        <v>31.73</v>
      </c>
      <c r="X182" s="544">
        <f>IF(VLOOKUP($E$182,[1]UH!$A$2:$FA$98, 23, FALSE)="",":",VLOOKUP($E$182,[1]UH!$A$2:$FA$98, 23, FALSE))</f>
        <v>35.049999999999997</v>
      </c>
      <c r="Y182" s="544">
        <f>IF(VLOOKUP($E$182,[1]UH!$A$2:$FA$98, 24, FALSE)="",":",VLOOKUP($E$182,[1]UH!$A$2:$FA$98, 24, FALSE))</f>
        <v>15.94</v>
      </c>
      <c r="Z182" s="544">
        <f>IF(VLOOKUP($E$182,[1]UH!$A$2:$FA$98, 25, FALSE)="",":",VLOOKUP($E$182,[1]UH!$A$2:$FA$98, 25, FALSE))</f>
        <v>17.649999999999999</v>
      </c>
      <c r="AA182" s="544">
        <f>IF(VLOOKUP($E$182,[1]UH!$A$2:$FA$98, 26, FALSE)="",":",VLOOKUP($E$182,[1]UH!$A$2:$FA$98, 26, FALSE))</f>
        <v>34.369999999999997</v>
      </c>
      <c r="AB182" s="544">
        <f>IF(VLOOKUP($E$182,[1]UH!$A$2:$FA$98, 27, FALSE)="",":",VLOOKUP($E$182,[1]UH!$A$2:$FA$98, 27, FALSE))</f>
        <v>18.62</v>
      </c>
      <c r="AC182" s="544" t="str">
        <f>IF(VLOOKUP($E$182,[1]UH!$A$2:$FA$98, 28, FALSE)="",":",VLOOKUP($E$182,[1]UH!$A$2:$FA$98, 28, FALSE))</f>
        <v>:</v>
      </c>
      <c r="AD182" s="544" t="str">
        <f>IF(VLOOKUP($E$182,[1]UH!$A$2:$FA$98, 29, FALSE)="",":",VLOOKUP($E$182,[1]UH!$A$2:$FA$98, 29, FALSE))</f>
        <v>:</v>
      </c>
      <c r="AE182" s="544" t="str">
        <f>IF(VLOOKUP($E$182,[1]UH!$A$2:$FA$98, 30, FALSE)="",":",VLOOKUP($E$182,[1]UH!$A$2:$FA$98, 30, FALSE))</f>
        <v>:</v>
      </c>
      <c r="AF182" s="544" t="str">
        <f>IF(VLOOKUP($E$182,[1]UH!$A$2:$FA$98, 31, FALSE)="",":",VLOOKUP($E$182,[1]UH!$A$2:$FA$98, 31, FALSE))</f>
        <v>:</v>
      </c>
    </row>
    <row r="183" spans="1:32">
      <c r="A183" s="533"/>
      <c r="B183" s="534"/>
      <c r="C183" s="535"/>
      <c r="D183" s="12"/>
      <c r="E183" s="13"/>
      <c r="F183" s="14"/>
      <c r="G183" s="544"/>
      <c r="H183" s="544"/>
      <c r="I183" s="544"/>
      <c r="J183" s="544"/>
      <c r="K183" s="544"/>
      <c r="L183" s="544"/>
      <c r="M183" s="544"/>
      <c r="N183" s="544"/>
      <c r="O183" s="544"/>
      <c r="P183" s="544"/>
      <c r="Q183" s="544"/>
      <c r="R183" s="544"/>
      <c r="S183" s="544"/>
      <c r="T183" s="544"/>
      <c r="U183" s="544"/>
      <c r="V183" s="544"/>
      <c r="W183" s="544"/>
      <c r="X183" s="544"/>
      <c r="Y183" s="544"/>
      <c r="Z183" s="544"/>
      <c r="AA183" s="544"/>
      <c r="AB183" s="544"/>
      <c r="AC183" s="544"/>
      <c r="AD183" s="544"/>
      <c r="AE183" s="544"/>
      <c r="AF183" s="544"/>
    </row>
    <row r="184" spans="1:32">
      <c r="A184" s="533">
        <v>87</v>
      </c>
      <c r="B184" s="534" t="s">
        <v>343</v>
      </c>
      <c r="C184" s="535" t="s">
        <v>23</v>
      </c>
      <c r="D184" s="12" t="s">
        <v>1216</v>
      </c>
      <c r="E184" s="13">
        <v>11</v>
      </c>
      <c r="F184" s="14" t="str">
        <f>VLOOKUP($E$184,[1]UH!$A$2:$FA$98, 3, FALSE)</f>
        <v xml:space="preserve">11 Compensation of employees, receivable D.1r                                </v>
      </c>
      <c r="G184" s="544">
        <f>IF(VLOOKUP($E$184,[1]UH!$A$2:$FA$98, 6, FALSE)="",":",VLOOKUP($E$184,[1]UH!$A$2:$FA$98, 6, FALSE))</f>
        <v>2901.5</v>
      </c>
      <c r="H184" s="544">
        <f>IF(VLOOKUP($E$184,[1]UH!$A$2:$FA$98, 7, FALSE)="",":",VLOOKUP($E$184,[1]UH!$A$2:$FA$98, 7, FALSE))</f>
        <v>3654.17</v>
      </c>
      <c r="I184" s="544">
        <f>IF(VLOOKUP($E$184,[1]UH!$A$2:$FA$98, 8, FALSE)="",":",VLOOKUP($E$184,[1]UH!$A$2:$FA$98, 8, FALSE))</f>
        <v>4471.6499999999996</v>
      </c>
      <c r="J184" s="544">
        <f>IF(VLOOKUP($E$184,[1]UH!$A$2:$FA$98, 9, FALSE)="",":",VLOOKUP($E$184,[1]UH!$A$2:$FA$98, 9, FALSE))</f>
        <v>5345.32</v>
      </c>
      <c r="K184" s="544">
        <f>IF(VLOOKUP($E$184,[1]UH!$A$2:$FA$98, 10, FALSE)="",":",VLOOKUP($E$184,[1]UH!$A$2:$FA$98, 10, FALSE))</f>
        <v>5403.22</v>
      </c>
      <c r="L184" s="544">
        <f>IF(VLOOKUP($E$184,[1]UH!$A$2:$FA$98, 11, FALSE)="",":",VLOOKUP($E$184,[1]UH!$A$2:$FA$98, 11, FALSE))</f>
        <v>5235.41</v>
      </c>
      <c r="M184" s="544">
        <f>IF(VLOOKUP($E$184,[1]UH!$A$2:$FA$98, 12, FALSE)="",":",VLOOKUP($E$184,[1]UH!$A$2:$FA$98, 12, FALSE))</f>
        <v>5420.83</v>
      </c>
      <c r="N184" s="544">
        <f>IF(VLOOKUP($E$184,[1]UH!$A$2:$FA$98, 13, FALSE)="",":",VLOOKUP($E$184,[1]UH!$A$2:$FA$98, 13, FALSE))</f>
        <v>5866.73</v>
      </c>
      <c r="O184" s="544">
        <f>IF(VLOOKUP($E$184,[1]UH!$A$2:$FA$98, 14, FALSE)="",":",VLOOKUP($E$184,[1]UH!$A$2:$FA$98, 14, FALSE))</f>
        <v>6483.43</v>
      </c>
      <c r="P184" s="544">
        <f>IF(VLOOKUP($E$184,[1]UH!$A$2:$FA$98, 15, FALSE)="",":",VLOOKUP($E$184,[1]UH!$A$2:$FA$98, 15, FALSE))</f>
        <v>7454.45</v>
      </c>
      <c r="Q184" s="544">
        <f>IF(VLOOKUP($E$184,[1]UH!$A$2:$FA$98, 16, FALSE)="",":",VLOOKUP($E$184,[1]UH!$A$2:$FA$98, 16, FALSE))</f>
        <v>8705.58</v>
      </c>
      <c r="R184" s="544">
        <f>IF(VLOOKUP($E$184,[1]UH!$A$2:$FA$98, 17, FALSE)="",":",VLOOKUP($E$184,[1]UH!$A$2:$FA$98, 17, FALSE))</f>
        <v>10479.700000000001</v>
      </c>
      <c r="S184" s="544">
        <f>IF(VLOOKUP($E$184,[1]UH!$A$2:$FA$98, 18, FALSE)="",":",VLOOKUP($E$184,[1]UH!$A$2:$FA$98, 18, FALSE))</f>
        <v>12485.07</v>
      </c>
      <c r="T184" s="544">
        <f>IF(VLOOKUP($E$184,[1]UH!$A$2:$FA$98, 19, FALSE)="",":",VLOOKUP($E$184,[1]UH!$A$2:$FA$98, 19, FALSE))</f>
        <v>14481.74</v>
      </c>
      <c r="U184" s="544">
        <f>IF(VLOOKUP($E$184,[1]UH!$A$2:$FA$98, 20, FALSE)="",":",VLOOKUP($E$184,[1]UH!$A$2:$FA$98, 20, FALSE))</f>
        <v>12023.28</v>
      </c>
      <c r="V184" s="544">
        <f>IF(VLOOKUP($E$184,[1]UH!$A$2:$FA$98, 21, FALSE)="",":",VLOOKUP($E$184,[1]UH!$A$2:$FA$98, 21, FALSE))</f>
        <v>11682.74</v>
      </c>
      <c r="W184" s="544">
        <f>IF(VLOOKUP($E$184,[1]UH!$A$2:$FA$98, 22, FALSE)="",":",VLOOKUP($E$184,[1]UH!$A$2:$FA$98, 22, FALSE))</f>
        <v>12470.51</v>
      </c>
      <c r="X184" s="544">
        <f>IF(VLOOKUP($E$184,[1]UH!$A$2:$FA$98, 23, FALSE)="",":",VLOOKUP($E$184,[1]UH!$A$2:$FA$98, 23, FALSE))</f>
        <v>13015.8</v>
      </c>
      <c r="Y184" s="544">
        <f>IF(VLOOKUP($E$184,[1]UH!$A$2:$FA$98, 24, FALSE)="",":",VLOOKUP($E$184,[1]UH!$A$2:$FA$98, 24, FALSE))</f>
        <v>13800.24</v>
      </c>
      <c r="Z184" s="544">
        <f>IF(VLOOKUP($E$184,[1]UH!$A$2:$FA$98, 25, FALSE)="",":",VLOOKUP($E$184,[1]UH!$A$2:$FA$98, 25, FALSE))</f>
        <v>14621.93</v>
      </c>
      <c r="AA184" s="544">
        <f>IF(VLOOKUP($E$184,[1]UH!$A$2:$FA$98, 26, FALSE)="",":",VLOOKUP($E$184,[1]UH!$A$2:$FA$98, 26, FALSE))</f>
        <v>15652.27</v>
      </c>
      <c r="AB184" s="544">
        <f>IF(VLOOKUP($E$184,[1]UH!$A$2:$FA$98, 27, FALSE)="",":",VLOOKUP($E$184,[1]UH!$A$2:$FA$98, 27, FALSE))</f>
        <v>16892.14</v>
      </c>
      <c r="AC184" s="544" t="str">
        <f>IF(VLOOKUP($E$184,[1]UH!$A$2:$FA$98, 28, FALSE)="",":",VLOOKUP($E$184,[1]UH!$A$2:$FA$98, 28, FALSE))</f>
        <v>:</v>
      </c>
      <c r="AD184" s="544" t="str">
        <f>IF(VLOOKUP($E$184,[1]UH!$A$2:$FA$98, 29, FALSE)="",":",VLOOKUP($E$184,[1]UH!$A$2:$FA$98, 29, FALSE))</f>
        <v>:</v>
      </c>
      <c r="AE184" s="544" t="str">
        <f>IF(VLOOKUP($E$184,[1]UH!$A$2:$FA$98, 30, FALSE)="",":",VLOOKUP($E$184,[1]UH!$A$2:$FA$98, 30, FALSE))</f>
        <v>:</v>
      </c>
      <c r="AF184" s="544" t="str">
        <f>IF(VLOOKUP($E$184,[1]UH!$A$2:$FA$98, 31, FALSE)="",":",VLOOKUP($E$184,[1]UH!$A$2:$FA$98, 31, FALSE))</f>
        <v>:</v>
      </c>
    </row>
    <row r="185" spans="1:32">
      <c r="A185" s="533">
        <v>88</v>
      </c>
      <c r="B185" s="534" t="s">
        <v>334</v>
      </c>
      <c r="C185" s="535" t="s">
        <v>34</v>
      </c>
      <c r="D185" s="12" t="s">
        <v>1216</v>
      </c>
      <c r="E185" s="13">
        <v>12</v>
      </c>
      <c r="F185" s="14" t="str">
        <f>VLOOKUP($E$185,[1]UH!$A$2:$FA$98, 3, FALSE)</f>
        <v xml:space="preserve">12 Gross wages and salaries D.11r                                            </v>
      </c>
      <c r="G185" s="544">
        <f>IF(VLOOKUP($E$185,[1]UH!$A$2:$FA$98, 6, FALSE)="",":",VLOOKUP($E$185,[1]UH!$A$2:$FA$98, 6, FALSE))</f>
        <v>2358.29</v>
      </c>
      <c r="H185" s="544">
        <f>IF(VLOOKUP($E$185,[1]UH!$A$2:$FA$98, 7, FALSE)="",":",VLOOKUP($E$185,[1]UH!$A$2:$FA$98, 7, FALSE))</f>
        <v>2931</v>
      </c>
      <c r="I185" s="544">
        <f>IF(VLOOKUP($E$185,[1]UH!$A$2:$FA$98, 8, FALSE)="",":",VLOOKUP($E$185,[1]UH!$A$2:$FA$98, 8, FALSE))</f>
        <v>3521.76</v>
      </c>
      <c r="J185" s="544">
        <f>IF(VLOOKUP($E$185,[1]UH!$A$2:$FA$98, 9, FALSE)="",":",VLOOKUP($E$185,[1]UH!$A$2:$FA$98, 9, FALSE))</f>
        <v>4211.1899999999996</v>
      </c>
      <c r="K185" s="544">
        <f>IF(VLOOKUP($E$185,[1]UH!$A$2:$FA$98, 10, FALSE)="",":",VLOOKUP($E$185,[1]UH!$A$2:$FA$98, 10, FALSE))</f>
        <v>4278.43</v>
      </c>
      <c r="L185" s="544">
        <f>IF(VLOOKUP($E$185,[1]UH!$A$2:$FA$98, 11, FALSE)="",":",VLOOKUP($E$185,[1]UH!$A$2:$FA$98, 11, FALSE))</f>
        <v>4107.33</v>
      </c>
      <c r="M185" s="544">
        <f>IF(VLOOKUP($E$185,[1]UH!$A$2:$FA$98, 12, FALSE)="",":",VLOOKUP($E$185,[1]UH!$A$2:$FA$98, 12, FALSE))</f>
        <v>4284.97</v>
      </c>
      <c r="N185" s="544">
        <f>IF(VLOOKUP($E$185,[1]UH!$A$2:$FA$98, 13, FALSE)="",":",VLOOKUP($E$185,[1]UH!$A$2:$FA$98, 13, FALSE))</f>
        <v>4689.66</v>
      </c>
      <c r="O185" s="544">
        <f>IF(VLOOKUP($E$185,[1]UH!$A$2:$FA$98, 14, FALSE)="",":",VLOOKUP($E$185,[1]UH!$A$2:$FA$98, 14, FALSE))</f>
        <v>5210.8100000000004</v>
      </c>
      <c r="P185" s="544">
        <f>IF(VLOOKUP($E$185,[1]UH!$A$2:$FA$98, 15, FALSE)="",":",VLOOKUP($E$185,[1]UH!$A$2:$FA$98, 15, FALSE))</f>
        <v>5978.06</v>
      </c>
      <c r="Q185" s="544">
        <f>IF(VLOOKUP($E$185,[1]UH!$A$2:$FA$98, 16, FALSE)="",":",VLOOKUP($E$185,[1]UH!$A$2:$FA$98, 16, FALSE))</f>
        <v>6943.23</v>
      </c>
      <c r="R185" s="544">
        <f>IF(VLOOKUP($E$185,[1]UH!$A$2:$FA$98, 17, FALSE)="",":",VLOOKUP($E$185,[1]UH!$A$2:$FA$98, 17, FALSE))</f>
        <v>8337.16</v>
      </c>
      <c r="S185" s="544">
        <f>IF(VLOOKUP($E$185,[1]UH!$A$2:$FA$98, 18, FALSE)="",":",VLOOKUP($E$185,[1]UH!$A$2:$FA$98, 18, FALSE))</f>
        <v>9823.7199999999993</v>
      </c>
      <c r="T185" s="544">
        <f>IF(VLOOKUP($E$185,[1]UH!$A$2:$FA$98, 19, FALSE)="",":",VLOOKUP($E$185,[1]UH!$A$2:$FA$98, 19, FALSE))</f>
        <v>11296.02</v>
      </c>
      <c r="U185" s="544">
        <f>IF(VLOOKUP($E$185,[1]UH!$A$2:$FA$98, 20, FALSE)="",":",VLOOKUP($E$185,[1]UH!$A$2:$FA$98, 20, FALSE))</f>
        <v>9357.83</v>
      </c>
      <c r="V185" s="544">
        <f>IF(VLOOKUP($E$185,[1]UH!$A$2:$FA$98, 21, FALSE)="",":",VLOOKUP($E$185,[1]UH!$A$2:$FA$98, 21, FALSE))</f>
        <v>9231.9500000000007</v>
      </c>
      <c r="W185" s="544">
        <f>IF(VLOOKUP($E$185,[1]UH!$A$2:$FA$98, 22, FALSE)="",":",VLOOKUP($E$185,[1]UH!$A$2:$FA$98, 22, FALSE))</f>
        <v>9839.7999999999993</v>
      </c>
      <c r="X185" s="544">
        <f>IF(VLOOKUP($E$185,[1]UH!$A$2:$FA$98, 23, FALSE)="",":",VLOOKUP($E$185,[1]UH!$A$2:$FA$98, 23, FALSE))</f>
        <v>10295.219999999999</v>
      </c>
      <c r="Y185" s="544">
        <f>IF(VLOOKUP($E$185,[1]UH!$A$2:$FA$98, 24, FALSE)="",":",VLOOKUP($E$185,[1]UH!$A$2:$FA$98, 24, FALSE))</f>
        <v>10887.61</v>
      </c>
      <c r="Z185" s="544">
        <f>IF(VLOOKUP($E$185,[1]UH!$A$2:$FA$98, 25, FALSE)="",":",VLOOKUP($E$185,[1]UH!$A$2:$FA$98, 25, FALSE))</f>
        <v>11518.12</v>
      </c>
      <c r="AA185" s="544">
        <f>IF(VLOOKUP($E$185,[1]UH!$A$2:$FA$98, 26, FALSE)="",":",VLOOKUP($E$185,[1]UH!$A$2:$FA$98, 26, FALSE))</f>
        <v>12323.56</v>
      </c>
      <c r="AB185" s="544">
        <f>IF(VLOOKUP($E$185,[1]UH!$A$2:$FA$98, 27, FALSE)="",":",VLOOKUP($E$185,[1]UH!$A$2:$FA$98, 27, FALSE))</f>
        <v>13257.75</v>
      </c>
      <c r="AC185" s="544" t="str">
        <f>IF(VLOOKUP($E$185,[1]UH!$A$2:$FA$98, 28, FALSE)="",":",VLOOKUP($E$185,[1]UH!$A$2:$FA$98, 28, FALSE))</f>
        <v>:</v>
      </c>
      <c r="AD185" s="544" t="str">
        <f>IF(VLOOKUP($E$185,[1]UH!$A$2:$FA$98, 29, FALSE)="",":",VLOOKUP($E$185,[1]UH!$A$2:$FA$98, 29, FALSE))</f>
        <v>:</v>
      </c>
      <c r="AE185" s="544" t="str">
        <f>IF(VLOOKUP($E$185,[1]UH!$A$2:$FA$98, 30, FALSE)="",":",VLOOKUP($E$185,[1]UH!$A$2:$FA$98, 30, FALSE))</f>
        <v>:</v>
      </c>
      <c r="AF185" s="544" t="str">
        <f>IF(VLOOKUP($E$185,[1]UH!$A$2:$FA$98, 31, FALSE)="",":",VLOOKUP($E$185,[1]UH!$A$2:$FA$98, 31, FALSE))</f>
        <v>:</v>
      </c>
    </row>
    <row r="186" spans="1:32">
      <c r="A186" s="533"/>
      <c r="B186" s="534" t="s">
        <v>10</v>
      </c>
      <c r="C186" s="535" t="s">
        <v>35</v>
      </c>
      <c r="D186" s="12" t="s">
        <v>1216</v>
      </c>
      <c r="E186" s="13">
        <v>6</v>
      </c>
      <c r="F186" s="14" t="str">
        <f>VLOOKUP($E$186,[1]UH!$A$2:$FA$98, 3, FALSE)</f>
        <v xml:space="preserve">6   Compensation of employees, payable  D.1p                                  </v>
      </c>
      <c r="G186" s="544">
        <f>IF(VLOOKUP($E$186,[1]UH!$A$2:$FA$98, 6, FALSE)="",":",VLOOKUP($E$186,[1]UH!$A$2:$FA$98, 6, FALSE))</f>
        <v>136.69</v>
      </c>
      <c r="H186" s="544">
        <f>IF(VLOOKUP($E$186,[1]UH!$A$2:$FA$98, 7, FALSE)="",":",VLOOKUP($E$186,[1]UH!$A$2:$FA$98, 7, FALSE))</f>
        <v>145.72999999999999</v>
      </c>
      <c r="I186" s="544">
        <f>IF(VLOOKUP($E$186,[1]UH!$A$2:$FA$98, 8, FALSE)="",":",VLOOKUP($E$186,[1]UH!$A$2:$FA$98, 8, FALSE))</f>
        <v>189.37</v>
      </c>
      <c r="J186" s="544">
        <f>IF(VLOOKUP($E$186,[1]UH!$A$2:$FA$98, 9, FALSE)="",":",VLOOKUP($E$186,[1]UH!$A$2:$FA$98, 9, FALSE))</f>
        <v>250.25</v>
      </c>
      <c r="K186" s="544">
        <f>IF(VLOOKUP($E$186,[1]UH!$A$2:$FA$98, 10, FALSE)="",":",VLOOKUP($E$186,[1]UH!$A$2:$FA$98, 10, FALSE))</f>
        <v>172.1</v>
      </c>
      <c r="L186" s="544">
        <f>IF(VLOOKUP($E$186,[1]UH!$A$2:$FA$98, 11, FALSE)="",":",VLOOKUP($E$186,[1]UH!$A$2:$FA$98, 11, FALSE))</f>
        <v>244.02</v>
      </c>
      <c r="M186" s="544">
        <f>IF(VLOOKUP($E$186,[1]UH!$A$2:$FA$98, 12, FALSE)="",":",VLOOKUP($E$186,[1]UH!$A$2:$FA$98, 12, FALSE))</f>
        <v>296.2</v>
      </c>
      <c r="N186" s="544">
        <f>IF(VLOOKUP($E$186,[1]UH!$A$2:$FA$98, 13, FALSE)="",":",VLOOKUP($E$186,[1]UH!$A$2:$FA$98, 13, FALSE))</f>
        <v>323.76</v>
      </c>
      <c r="O186" s="544">
        <f>IF(VLOOKUP($E$186,[1]UH!$A$2:$FA$98, 14, FALSE)="",":",VLOOKUP($E$186,[1]UH!$A$2:$FA$98, 14, FALSE))</f>
        <v>358.53</v>
      </c>
      <c r="P186" s="544">
        <f>IF(VLOOKUP($E$186,[1]UH!$A$2:$FA$98, 15, FALSE)="",":",VLOOKUP($E$186,[1]UH!$A$2:$FA$98, 15, FALSE))</f>
        <v>391.3</v>
      </c>
      <c r="Q186" s="544">
        <f>IF(VLOOKUP($E$186,[1]UH!$A$2:$FA$98, 16, FALSE)="",":",VLOOKUP($E$186,[1]UH!$A$2:$FA$98, 16, FALSE))</f>
        <v>449.27</v>
      </c>
      <c r="R186" s="544">
        <f>IF(VLOOKUP($E$186,[1]UH!$A$2:$FA$98, 17, FALSE)="",":",VLOOKUP($E$186,[1]UH!$A$2:$FA$98, 17, FALSE))</f>
        <v>540.09</v>
      </c>
      <c r="S186" s="544">
        <f>IF(VLOOKUP($E$186,[1]UH!$A$2:$FA$98, 18, FALSE)="",":",VLOOKUP($E$186,[1]UH!$A$2:$FA$98, 18, FALSE))</f>
        <v>730.77</v>
      </c>
      <c r="T186" s="544">
        <f>IF(VLOOKUP($E$186,[1]UH!$A$2:$FA$98, 19, FALSE)="",":",VLOOKUP($E$186,[1]UH!$A$2:$FA$98, 19, FALSE))</f>
        <v>760.9</v>
      </c>
      <c r="U186" s="544">
        <f>IF(VLOOKUP($E$186,[1]UH!$A$2:$FA$98, 20, FALSE)="",":",VLOOKUP($E$186,[1]UH!$A$2:$FA$98, 20, FALSE))</f>
        <v>553.55999999999995</v>
      </c>
      <c r="V186" s="544">
        <f>IF(VLOOKUP($E$186,[1]UH!$A$2:$FA$98, 21, FALSE)="",":",VLOOKUP($E$186,[1]UH!$A$2:$FA$98, 21, FALSE))</f>
        <v>460.87</v>
      </c>
      <c r="W186" s="544">
        <f>IF(VLOOKUP($E$186,[1]UH!$A$2:$FA$98, 22, FALSE)="",":",VLOOKUP($E$186,[1]UH!$A$2:$FA$98, 22, FALSE))</f>
        <v>471.8</v>
      </c>
      <c r="X186" s="544">
        <f>IF(VLOOKUP($E$186,[1]UH!$A$2:$FA$98, 23, FALSE)="",":",VLOOKUP($E$186,[1]UH!$A$2:$FA$98, 23, FALSE))</f>
        <v>459.9</v>
      </c>
      <c r="Y186" s="544">
        <f>IF(VLOOKUP($E$186,[1]UH!$A$2:$FA$98, 24, FALSE)="",":",VLOOKUP($E$186,[1]UH!$A$2:$FA$98, 24, FALSE))</f>
        <v>483.82</v>
      </c>
      <c r="Z186" s="544">
        <f>IF(VLOOKUP($E$186,[1]UH!$A$2:$FA$98, 25, FALSE)="",":",VLOOKUP($E$186,[1]UH!$A$2:$FA$98, 25, FALSE))</f>
        <v>493.45</v>
      </c>
      <c r="AA186" s="544">
        <f>IF(VLOOKUP($E$186,[1]UH!$A$2:$FA$98, 26, FALSE)="",":",VLOOKUP($E$186,[1]UH!$A$2:$FA$98, 26, FALSE))</f>
        <v>506.48</v>
      </c>
      <c r="AB186" s="544">
        <f>IF(VLOOKUP($E$186,[1]UH!$A$2:$FA$98, 27, FALSE)="",":",VLOOKUP($E$186,[1]UH!$A$2:$FA$98, 27, FALSE))</f>
        <v>489.33</v>
      </c>
      <c r="AC186" s="544" t="str">
        <f>IF(VLOOKUP($E$186,[1]UH!$A$2:$FA$98, 28, FALSE)="",":",VLOOKUP($E$186,[1]UH!$A$2:$FA$98, 28, FALSE))</f>
        <v>:</v>
      </c>
      <c r="AD186" s="544" t="str">
        <f>IF(VLOOKUP($E$186,[1]UH!$A$2:$FA$98, 29, FALSE)="",":",VLOOKUP($E$186,[1]UH!$A$2:$FA$98, 29, FALSE))</f>
        <v>:</v>
      </c>
      <c r="AE186" s="544" t="str">
        <f>IF(VLOOKUP($E$186,[1]UH!$A$2:$FA$98, 30, FALSE)="",":",VLOOKUP($E$186,[1]UH!$A$2:$FA$98, 30, FALSE))</f>
        <v>:</v>
      </c>
      <c r="AF186" s="544" t="str">
        <f>IF(VLOOKUP($E$186,[1]UH!$A$2:$FA$98, 31, FALSE)="",":",VLOOKUP($E$186,[1]UH!$A$2:$FA$98, 31, FALSE))</f>
        <v>:</v>
      </c>
    </row>
    <row r="187" spans="1:32">
      <c r="A187" s="533"/>
      <c r="B187" s="534" t="s">
        <v>1258</v>
      </c>
      <c r="C187" s="535" t="s">
        <v>36</v>
      </c>
      <c r="D187" s="12" t="s">
        <v>1216</v>
      </c>
      <c r="E187" s="13">
        <v>13</v>
      </c>
      <c r="F187" s="14" t="str">
        <f>VLOOKUP($E$187,[1]UH!$A$2:$FA$98, 3, FALSE)</f>
        <v>13 Property income, receivable D.4r</v>
      </c>
      <c r="G187" s="544">
        <f>IF(VLOOKUP($E$187,[1]UH!$A$2:$FA$98, 6, FALSE)="",":",VLOOKUP($E$187,[1]UH!$A$2:$FA$98, 6, FALSE))</f>
        <v>859.82</v>
      </c>
      <c r="H187" s="544">
        <f>IF(VLOOKUP($E$187,[1]UH!$A$2:$FA$98, 7, FALSE)="",":",VLOOKUP($E$187,[1]UH!$A$2:$FA$98, 7, FALSE))</f>
        <v>973.77</v>
      </c>
      <c r="I187" s="544">
        <f>IF(VLOOKUP($E$187,[1]UH!$A$2:$FA$98, 8, FALSE)="",":",VLOOKUP($E$187,[1]UH!$A$2:$FA$98, 8, FALSE))</f>
        <v>1263.6300000000001</v>
      </c>
      <c r="J187" s="544">
        <f>IF(VLOOKUP($E$187,[1]UH!$A$2:$FA$98, 9, FALSE)="",":",VLOOKUP($E$187,[1]UH!$A$2:$FA$98, 9, FALSE))</f>
        <v>1452.69</v>
      </c>
      <c r="K187" s="544">
        <f>IF(VLOOKUP($E$187,[1]UH!$A$2:$FA$98, 10, FALSE)="",":",VLOOKUP($E$187,[1]UH!$A$2:$FA$98, 10, FALSE))</f>
        <v>1387.06</v>
      </c>
      <c r="L187" s="544">
        <f>IF(VLOOKUP($E$187,[1]UH!$A$2:$FA$98, 11, FALSE)="",":",VLOOKUP($E$187,[1]UH!$A$2:$FA$98, 11, FALSE))</f>
        <v>2278.42</v>
      </c>
      <c r="M187" s="544">
        <f>IF(VLOOKUP($E$187,[1]UH!$A$2:$FA$98, 12, FALSE)="",":",VLOOKUP($E$187,[1]UH!$A$2:$FA$98, 12, FALSE))</f>
        <v>2511.3000000000002</v>
      </c>
      <c r="N187" s="544">
        <f>IF(VLOOKUP($E$187,[1]UH!$A$2:$FA$98, 13, FALSE)="",":",VLOOKUP($E$187,[1]UH!$A$2:$FA$98, 13, FALSE))</f>
        <v>2885.34</v>
      </c>
      <c r="O187" s="544">
        <f>IF(VLOOKUP($E$187,[1]UH!$A$2:$FA$98, 14, FALSE)="",":",VLOOKUP($E$187,[1]UH!$A$2:$FA$98, 14, FALSE))</f>
        <v>2891.94</v>
      </c>
      <c r="P187" s="544">
        <f>IF(VLOOKUP($E$187,[1]UH!$A$2:$FA$98, 15, FALSE)="",":",VLOOKUP($E$187,[1]UH!$A$2:$FA$98, 15, FALSE))</f>
        <v>3770.43</v>
      </c>
      <c r="Q187" s="544">
        <f>IF(VLOOKUP($E$187,[1]UH!$A$2:$FA$98, 16, FALSE)="",":",VLOOKUP($E$187,[1]UH!$A$2:$FA$98, 16, FALSE))</f>
        <v>3487.09</v>
      </c>
      <c r="R187" s="544">
        <f>IF(VLOOKUP($E$187,[1]UH!$A$2:$FA$98, 17, FALSE)="",":",VLOOKUP($E$187,[1]UH!$A$2:$FA$98, 17, FALSE))</f>
        <v>4175.0600000000004</v>
      </c>
      <c r="S187" s="544">
        <f>IF(VLOOKUP($E$187,[1]UH!$A$2:$FA$98, 18, FALSE)="",":",VLOOKUP($E$187,[1]UH!$A$2:$FA$98, 18, FALSE))</f>
        <v>3449.64</v>
      </c>
      <c r="T187" s="544">
        <f>IF(VLOOKUP($E$187,[1]UH!$A$2:$FA$98, 19, FALSE)="",":",VLOOKUP($E$187,[1]UH!$A$2:$FA$98, 19, FALSE))</f>
        <v>4251.9799999999996</v>
      </c>
      <c r="U187" s="544">
        <f>IF(VLOOKUP($E$187,[1]UH!$A$2:$FA$98, 20, FALSE)="",":",VLOOKUP($E$187,[1]UH!$A$2:$FA$98, 20, FALSE))</f>
        <v>4157.24</v>
      </c>
      <c r="V187" s="544">
        <f>IF(VLOOKUP($E$187,[1]UH!$A$2:$FA$98, 21, FALSE)="",":",VLOOKUP($E$187,[1]UH!$A$2:$FA$98, 21, FALSE))</f>
        <v>4628.7299999999996</v>
      </c>
      <c r="W187" s="544">
        <f>IF(VLOOKUP($E$187,[1]UH!$A$2:$FA$98, 22, FALSE)="",":",VLOOKUP($E$187,[1]UH!$A$2:$FA$98, 22, FALSE))</f>
        <v>5119.71</v>
      </c>
      <c r="X187" s="544">
        <f>IF(VLOOKUP($E$187,[1]UH!$A$2:$FA$98, 23, FALSE)="",":",VLOOKUP($E$187,[1]UH!$A$2:$FA$98, 23, FALSE))</f>
        <v>5280.22</v>
      </c>
      <c r="Y187" s="544">
        <f>IF(VLOOKUP($E$187,[1]UH!$A$2:$FA$98, 24, FALSE)="",":",VLOOKUP($E$187,[1]UH!$A$2:$FA$98, 24, FALSE))</f>
        <v>5189.3599999999997</v>
      </c>
      <c r="Z187" s="544">
        <f>IF(VLOOKUP($E$187,[1]UH!$A$2:$FA$98, 25, FALSE)="",":",VLOOKUP($E$187,[1]UH!$A$2:$FA$98, 25, FALSE))</f>
        <v>4890.3100000000004</v>
      </c>
      <c r="AA187" s="544">
        <f>IF(VLOOKUP($E$187,[1]UH!$A$2:$FA$98, 26, FALSE)="",":",VLOOKUP($E$187,[1]UH!$A$2:$FA$98, 26, FALSE))</f>
        <v>4813.7</v>
      </c>
      <c r="AB187" s="544">
        <f>IF(VLOOKUP($E$187,[1]UH!$A$2:$FA$98, 27, FALSE)="",":",VLOOKUP($E$187,[1]UH!$A$2:$FA$98, 27, FALSE))</f>
        <v>5014.3</v>
      </c>
      <c r="AC187" s="544" t="str">
        <f>IF(VLOOKUP($E$187,[1]UH!$A$2:$FA$98, 28, FALSE)="",":",VLOOKUP($E$187,[1]UH!$A$2:$FA$98, 28, FALSE))</f>
        <v>:</v>
      </c>
      <c r="AD187" s="544" t="str">
        <f>IF(VLOOKUP($E$187,[1]UH!$A$2:$FA$98, 29, FALSE)="",":",VLOOKUP($E$187,[1]UH!$A$2:$FA$98, 29, FALSE))</f>
        <v>:</v>
      </c>
      <c r="AE187" s="544" t="str">
        <f>IF(VLOOKUP($E$187,[1]UH!$A$2:$FA$98, 30, FALSE)="",":",VLOOKUP($E$187,[1]UH!$A$2:$FA$98, 30, FALSE))</f>
        <v>:</v>
      </c>
      <c r="AF187" s="544" t="str">
        <f>IF(VLOOKUP($E$187,[1]UH!$A$2:$FA$98, 31, FALSE)="",":",VLOOKUP($E$187,[1]UH!$A$2:$FA$98, 31, FALSE))</f>
        <v>:</v>
      </c>
    </row>
    <row r="188" spans="1:32">
      <c r="A188" s="533"/>
      <c r="B188" s="534" t="s">
        <v>683</v>
      </c>
      <c r="C188" s="535" t="s">
        <v>37</v>
      </c>
      <c r="D188" s="12" t="s">
        <v>1216</v>
      </c>
      <c r="E188" s="13">
        <v>14</v>
      </c>
      <c r="F188" s="14" t="str">
        <f>VLOOKUP($E$188,[1]UH!$A$2:$FA$98, 3, FALSE)</f>
        <v>14 Property income, payable D.4p</v>
      </c>
      <c r="G188" s="544">
        <f>IF(VLOOKUP($E$188,[1]UH!$A$2:$FA$98, 6, FALSE)="",":",VLOOKUP($E$188,[1]UH!$A$2:$FA$98, 6, FALSE))</f>
        <v>89.35</v>
      </c>
      <c r="H188" s="544">
        <f>IF(VLOOKUP($E$188,[1]UH!$A$2:$FA$98, 7, FALSE)="",":",VLOOKUP($E$188,[1]UH!$A$2:$FA$98, 7, FALSE))</f>
        <v>61.1</v>
      </c>
      <c r="I188" s="544">
        <f>IF(VLOOKUP($E$188,[1]UH!$A$2:$FA$98, 8, FALSE)="",":",VLOOKUP($E$188,[1]UH!$A$2:$FA$98, 8, FALSE))</f>
        <v>86.02</v>
      </c>
      <c r="J188" s="544">
        <f>IF(VLOOKUP($E$188,[1]UH!$A$2:$FA$98, 9, FALSE)="",":",VLOOKUP($E$188,[1]UH!$A$2:$FA$98, 9, FALSE))</f>
        <v>60.26</v>
      </c>
      <c r="K188" s="544">
        <f>IF(VLOOKUP($E$188,[1]UH!$A$2:$FA$98, 10, FALSE)="",":",VLOOKUP($E$188,[1]UH!$A$2:$FA$98, 10, FALSE))</f>
        <v>51.43</v>
      </c>
      <c r="L188" s="544">
        <f>IF(VLOOKUP($E$188,[1]UH!$A$2:$FA$98, 11, FALSE)="",":",VLOOKUP($E$188,[1]UH!$A$2:$FA$98, 11, FALSE))</f>
        <v>30.23</v>
      </c>
      <c r="M188" s="544">
        <f>IF(VLOOKUP($E$188,[1]UH!$A$2:$FA$98, 12, FALSE)="",":",VLOOKUP($E$188,[1]UH!$A$2:$FA$98, 12, FALSE))</f>
        <v>59.26</v>
      </c>
      <c r="N188" s="544">
        <f>IF(VLOOKUP($E$188,[1]UH!$A$2:$FA$98, 13, FALSE)="",":",VLOOKUP($E$188,[1]UH!$A$2:$FA$98, 13, FALSE))</f>
        <v>41.12</v>
      </c>
      <c r="O188" s="544">
        <f>IF(VLOOKUP($E$188,[1]UH!$A$2:$FA$98, 14, FALSE)="",":",VLOOKUP($E$188,[1]UH!$A$2:$FA$98, 14, FALSE))</f>
        <v>31.96</v>
      </c>
      <c r="P188" s="544">
        <f>IF(VLOOKUP($E$188,[1]UH!$A$2:$FA$98, 15, FALSE)="",":",VLOOKUP($E$188,[1]UH!$A$2:$FA$98, 15, FALSE))</f>
        <v>28.66</v>
      </c>
      <c r="Q188" s="544">
        <f>IF(VLOOKUP($E$188,[1]UH!$A$2:$FA$98, 16, FALSE)="",":",VLOOKUP($E$188,[1]UH!$A$2:$FA$98, 16, FALSE))</f>
        <v>60.92</v>
      </c>
      <c r="R188" s="544">
        <f>IF(VLOOKUP($E$188,[1]UH!$A$2:$FA$98, 17, FALSE)="",":",VLOOKUP($E$188,[1]UH!$A$2:$FA$98, 17, FALSE))</f>
        <v>113.97</v>
      </c>
      <c r="S188" s="544">
        <f>IF(VLOOKUP($E$188,[1]UH!$A$2:$FA$98, 18, FALSE)="",":",VLOOKUP($E$188,[1]UH!$A$2:$FA$98, 18, FALSE))</f>
        <v>275.62</v>
      </c>
      <c r="T188" s="544">
        <f>IF(VLOOKUP($E$188,[1]UH!$A$2:$FA$98, 19, FALSE)="",":",VLOOKUP($E$188,[1]UH!$A$2:$FA$98, 19, FALSE))</f>
        <v>502.95</v>
      </c>
      <c r="U188" s="544">
        <f>IF(VLOOKUP($E$188,[1]UH!$A$2:$FA$98, 20, FALSE)="",":",VLOOKUP($E$188,[1]UH!$A$2:$FA$98, 20, FALSE))</f>
        <v>400.46</v>
      </c>
      <c r="V188" s="544">
        <f>IF(VLOOKUP($E$188,[1]UH!$A$2:$FA$98, 21, FALSE)="",":",VLOOKUP($E$188,[1]UH!$A$2:$FA$98, 21, FALSE))</f>
        <v>219.77</v>
      </c>
      <c r="W188" s="544">
        <f>IF(VLOOKUP($E$188,[1]UH!$A$2:$FA$98, 22, FALSE)="",":",VLOOKUP($E$188,[1]UH!$A$2:$FA$98, 22, FALSE))</f>
        <v>184.91</v>
      </c>
      <c r="X188" s="544">
        <f>IF(VLOOKUP($E$188,[1]UH!$A$2:$FA$98, 23, FALSE)="",":",VLOOKUP($E$188,[1]UH!$A$2:$FA$98, 23, FALSE))</f>
        <v>190.59</v>
      </c>
      <c r="Y188" s="544">
        <f>IF(VLOOKUP($E$188,[1]UH!$A$2:$FA$98, 24, FALSE)="",":",VLOOKUP($E$188,[1]UH!$A$2:$FA$98, 24, FALSE))</f>
        <v>100.86</v>
      </c>
      <c r="Z188" s="544">
        <f>IF(VLOOKUP($E$188,[1]UH!$A$2:$FA$98, 25, FALSE)="",":",VLOOKUP($E$188,[1]UH!$A$2:$FA$98, 25, FALSE))</f>
        <v>170.12</v>
      </c>
      <c r="AA188" s="544">
        <f>IF(VLOOKUP($E$188,[1]UH!$A$2:$FA$98, 26, FALSE)="",":",VLOOKUP($E$188,[1]UH!$A$2:$FA$98, 26, FALSE))</f>
        <v>159.13999999999999</v>
      </c>
      <c r="AB188" s="544">
        <f>IF(VLOOKUP($E$188,[1]UH!$A$2:$FA$98, 27, FALSE)="",":",VLOOKUP($E$188,[1]UH!$A$2:$FA$98, 27, FALSE))</f>
        <v>104.41</v>
      </c>
      <c r="AC188" s="544" t="str">
        <f>IF(VLOOKUP($E$188,[1]UH!$A$2:$FA$98, 28, FALSE)="",":",VLOOKUP($E$188,[1]UH!$A$2:$FA$98, 28, FALSE))</f>
        <v>:</v>
      </c>
      <c r="AD188" s="544" t="str">
        <f>IF(VLOOKUP($E$188,[1]UH!$A$2:$FA$98, 29, FALSE)="",":",VLOOKUP($E$188,[1]UH!$A$2:$FA$98, 29, FALSE))</f>
        <v>:</v>
      </c>
      <c r="AE188" s="544" t="str">
        <f>IF(VLOOKUP($E$188,[1]UH!$A$2:$FA$98, 30, FALSE)="",":",VLOOKUP($E$188,[1]UH!$A$2:$FA$98, 30, FALSE))</f>
        <v>:</v>
      </c>
      <c r="AF188" s="544" t="str">
        <f>IF(VLOOKUP($E$188,[1]UH!$A$2:$FA$98, 31, FALSE)="",":",VLOOKUP($E$188,[1]UH!$A$2:$FA$98, 31, FALSE))</f>
        <v>:</v>
      </c>
    </row>
    <row r="189" spans="1:32" s="540" customFormat="1">
      <c r="A189" s="536"/>
      <c r="B189" s="537" t="s">
        <v>682</v>
      </c>
      <c r="C189" s="538" t="s">
        <v>681</v>
      </c>
      <c r="D189" s="528"/>
      <c r="E189" s="529"/>
      <c r="F189" s="539"/>
      <c r="G189" s="545">
        <f>+G187-G188</f>
        <v>770.47</v>
      </c>
      <c r="H189" s="545">
        <f t="shared" ref="H189:AF189" si="8">+H187-H188</f>
        <v>912.67</v>
      </c>
      <c r="I189" s="545">
        <f t="shared" si="8"/>
        <v>1177.6100000000001</v>
      </c>
      <c r="J189" s="545">
        <f t="shared" si="8"/>
        <v>1392.43</v>
      </c>
      <c r="K189" s="545">
        <f t="shared" si="8"/>
        <v>1335.6299999999999</v>
      </c>
      <c r="L189" s="545">
        <f t="shared" si="8"/>
        <v>2248.19</v>
      </c>
      <c r="M189" s="545">
        <f t="shared" si="8"/>
        <v>2452.04</v>
      </c>
      <c r="N189" s="545">
        <f t="shared" si="8"/>
        <v>2844.2200000000003</v>
      </c>
      <c r="O189" s="545">
        <f t="shared" si="8"/>
        <v>2859.98</v>
      </c>
      <c r="P189" s="545">
        <f t="shared" si="8"/>
        <v>3741.77</v>
      </c>
      <c r="Q189" s="545">
        <f t="shared" si="8"/>
        <v>3426.17</v>
      </c>
      <c r="R189" s="545">
        <f t="shared" si="8"/>
        <v>4061.0900000000006</v>
      </c>
      <c r="S189" s="545">
        <f t="shared" si="8"/>
        <v>3174.02</v>
      </c>
      <c r="T189" s="545">
        <f t="shared" si="8"/>
        <v>3749.0299999999997</v>
      </c>
      <c r="U189" s="545">
        <f t="shared" si="8"/>
        <v>3756.7799999999997</v>
      </c>
      <c r="V189" s="545">
        <f t="shared" si="8"/>
        <v>4408.9599999999991</v>
      </c>
      <c r="W189" s="545">
        <f t="shared" si="8"/>
        <v>4934.8</v>
      </c>
      <c r="X189" s="545">
        <f t="shared" si="8"/>
        <v>5089.63</v>
      </c>
      <c r="Y189" s="545">
        <f t="shared" si="8"/>
        <v>5088.5</v>
      </c>
      <c r="Z189" s="545">
        <f t="shared" si="8"/>
        <v>4720.1900000000005</v>
      </c>
      <c r="AA189" s="545">
        <f t="shared" si="8"/>
        <v>4654.5599999999995</v>
      </c>
      <c r="AB189" s="545">
        <f t="shared" si="8"/>
        <v>4909.8900000000003</v>
      </c>
      <c r="AC189" s="545" t="e">
        <f t="shared" si="8"/>
        <v>#VALUE!</v>
      </c>
      <c r="AD189" s="545" t="e">
        <f t="shared" si="8"/>
        <v>#VALUE!</v>
      </c>
      <c r="AE189" s="545" t="e">
        <f t="shared" si="8"/>
        <v>#VALUE!</v>
      </c>
      <c r="AF189" s="545" t="e">
        <f t="shared" si="8"/>
        <v>#VALUE!</v>
      </c>
    </row>
    <row r="190" spans="1:32">
      <c r="A190" s="533"/>
      <c r="B190" s="534"/>
      <c r="C190" s="535"/>
      <c r="D190" s="12"/>
      <c r="E190" s="13"/>
      <c r="F190" s="14"/>
      <c r="G190" s="544"/>
      <c r="H190" s="544"/>
      <c r="I190" s="544"/>
      <c r="J190" s="544"/>
      <c r="K190" s="544"/>
      <c r="L190" s="544"/>
      <c r="M190" s="544"/>
      <c r="N190" s="544"/>
      <c r="O190" s="544"/>
      <c r="P190" s="544"/>
      <c r="Q190" s="544"/>
      <c r="R190" s="544"/>
      <c r="S190" s="544"/>
      <c r="T190" s="544"/>
      <c r="U190" s="544"/>
      <c r="V190" s="544"/>
      <c r="W190" s="544"/>
      <c r="X190" s="544"/>
      <c r="Y190" s="544"/>
      <c r="Z190" s="544"/>
      <c r="AA190" s="544"/>
      <c r="AB190" s="544"/>
      <c r="AC190" s="544"/>
      <c r="AD190" s="544"/>
      <c r="AE190" s="544"/>
      <c r="AF190" s="544"/>
    </row>
    <row r="191" spans="1:32">
      <c r="A191" s="533">
        <v>92</v>
      </c>
      <c r="B191" s="534" t="s">
        <v>1438</v>
      </c>
      <c r="C191" s="535" t="s">
        <v>1631</v>
      </c>
      <c r="D191" s="12" t="s">
        <v>1216</v>
      </c>
      <c r="E191" s="13">
        <v>19</v>
      </c>
      <c r="F191" s="14" t="str">
        <f>VLOOKUP($E$191,[1]UH!$A$2:$FA$98, 3, FALSE)</f>
        <v>19 Current taxes on income and wealth, payable D.5p</v>
      </c>
      <c r="G191" s="544">
        <f>IF(VLOOKUP($E$191,[1]UH!$A$2:$FA$98, 6, FALSE)="",":",VLOOKUP($E$191,[1]UH!$A$2:$FA$98, 6, FALSE))</f>
        <v>493.29</v>
      </c>
      <c r="H191" s="544">
        <f>IF(VLOOKUP($E$191,[1]UH!$A$2:$FA$98, 7, FALSE)="",":",VLOOKUP($E$191,[1]UH!$A$2:$FA$98, 7, FALSE))</f>
        <v>665.66</v>
      </c>
      <c r="I191" s="544">
        <f>IF(VLOOKUP($E$191,[1]UH!$A$2:$FA$98, 8, FALSE)="",":",VLOOKUP($E$191,[1]UH!$A$2:$FA$98, 8, FALSE))</f>
        <v>845.38</v>
      </c>
      <c r="J191" s="544">
        <f>IF(VLOOKUP($E$191,[1]UH!$A$2:$FA$98, 9, FALSE)="",":",VLOOKUP($E$191,[1]UH!$A$2:$FA$98, 9, FALSE))</f>
        <v>1002.34</v>
      </c>
      <c r="K191" s="544">
        <f>IF(VLOOKUP($E$191,[1]UH!$A$2:$FA$98, 10, FALSE)="",":",VLOOKUP($E$191,[1]UH!$A$2:$FA$98, 10, FALSE))</f>
        <v>1055.0999999999999</v>
      </c>
      <c r="L191" s="544">
        <f>IF(VLOOKUP($E$191,[1]UH!$A$2:$FA$98, 11, FALSE)="",":",VLOOKUP($E$191,[1]UH!$A$2:$FA$98, 11, FALSE))</f>
        <v>1028.23</v>
      </c>
      <c r="M191" s="544">
        <f>IF(VLOOKUP($E$191,[1]UH!$A$2:$FA$98, 12, FALSE)="",":",VLOOKUP($E$191,[1]UH!$A$2:$FA$98, 12, FALSE))</f>
        <v>1026.4000000000001</v>
      </c>
      <c r="N191" s="544">
        <f>IF(VLOOKUP($E$191,[1]UH!$A$2:$FA$98, 13, FALSE)="",":",VLOOKUP($E$191,[1]UH!$A$2:$FA$98, 13, FALSE))</f>
        <v>1039.03</v>
      </c>
      <c r="O191" s="544">
        <f>IF(VLOOKUP($E$191,[1]UH!$A$2:$FA$98, 14, FALSE)="",":",VLOOKUP($E$191,[1]UH!$A$2:$FA$98, 14, FALSE))</f>
        <v>1086.44</v>
      </c>
      <c r="P191" s="544">
        <f>IF(VLOOKUP($E$191,[1]UH!$A$2:$FA$98, 15, FALSE)="",":",VLOOKUP($E$191,[1]UH!$A$2:$FA$98, 15, FALSE))</f>
        <v>1240.69</v>
      </c>
      <c r="Q191" s="544">
        <f>IF(VLOOKUP($E$191,[1]UH!$A$2:$FA$98, 16, FALSE)="",":",VLOOKUP($E$191,[1]UH!$A$2:$FA$98, 16, FALSE))</f>
        <v>1441.29</v>
      </c>
      <c r="R191" s="544">
        <f>IF(VLOOKUP($E$191,[1]UH!$A$2:$FA$98, 17, FALSE)="",":",VLOOKUP($E$191,[1]UH!$A$2:$FA$98, 17, FALSE))</f>
        <v>1635.71</v>
      </c>
      <c r="S191" s="544">
        <f>IF(VLOOKUP($E$191,[1]UH!$A$2:$FA$98, 18, FALSE)="",":",VLOOKUP($E$191,[1]UH!$A$2:$FA$98, 18, FALSE))</f>
        <v>1898.68</v>
      </c>
      <c r="T191" s="544">
        <f>IF(VLOOKUP($E$191,[1]UH!$A$2:$FA$98, 19, FALSE)="",":",VLOOKUP($E$191,[1]UH!$A$2:$FA$98, 19, FALSE))</f>
        <v>2137.71</v>
      </c>
      <c r="U191" s="544">
        <f>IF(VLOOKUP($E$191,[1]UH!$A$2:$FA$98, 20, FALSE)="",":",VLOOKUP($E$191,[1]UH!$A$2:$FA$98, 20, FALSE))</f>
        <v>1106.05</v>
      </c>
      <c r="V191" s="544">
        <f>IF(VLOOKUP($E$191,[1]UH!$A$2:$FA$98, 21, FALSE)="",":",VLOOKUP($E$191,[1]UH!$A$2:$FA$98, 21, FALSE))</f>
        <v>1039.77</v>
      </c>
      <c r="W191" s="544">
        <f>IF(VLOOKUP($E$191,[1]UH!$A$2:$FA$98, 22, FALSE)="",":",VLOOKUP($E$191,[1]UH!$A$2:$FA$98, 22, FALSE))</f>
        <v>1123.23</v>
      </c>
      <c r="X191" s="544">
        <f>IF(VLOOKUP($E$191,[1]UH!$A$2:$FA$98, 23, FALSE)="",":",VLOOKUP($E$191,[1]UH!$A$2:$FA$98, 23, FALSE))</f>
        <v>1178.3</v>
      </c>
      <c r="Y191" s="544">
        <f>IF(VLOOKUP($E$191,[1]UH!$A$2:$FA$98, 24, FALSE)="",":",VLOOKUP($E$191,[1]UH!$A$2:$FA$98, 24, FALSE))</f>
        <v>1265.8900000000001</v>
      </c>
      <c r="Z191" s="544">
        <f>IF(VLOOKUP($E$191,[1]UH!$A$2:$FA$98, 25, FALSE)="",":",VLOOKUP($E$191,[1]UH!$A$2:$FA$98, 25, FALSE))</f>
        <v>1333.84</v>
      </c>
      <c r="AA191" s="544">
        <f>IF(VLOOKUP($E$191,[1]UH!$A$2:$FA$98, 26, FALSE)="",":",VLOOKUP($E$191,[1]UH!$A$2:$FA$98, 26, FALSE))</f>
        <v>1456.97</v>
      </c>
      <c r="AB191" s="544">
        <f>IF(VLOOKUP($E$191,[1]UH!$A$2:$FA$98, 27, FALSE)="",":",VLOOKUP($E$191,[1]UH!$A$2:$FA$98, 27, FALSE))</f>
        <v>1557.36</v>
      </c>
      <c r="AC191" s="544" t="str">
        <f>IF(VLOOKUP($E$191,[1]UH!$A$2:$FA$98, 28, FALSE)="",":",VLOOKUP($E$191,[1]UH!$A$2:$FA$98, 28, FALSE))</f>
        <v>:</v>
      </c>
      <c r="AD191" s="544" t="str">
        <f>IF(VLOOKUP($E$191,[1]UH!$A$2:$FA$98, 29, FALSE)="",":",VLOOKUP($E$191,[1]UH!$A$2:$FA$98, 29, FALSE))</f>
        <v>:</v>
      </c>
      <c r="AE191" s="544" t="str">
        <f>IF(VLOOKUP($E$191,[1]UH!$A$2:$FA$98, 30, FALSE)="",":",VLOOKUP($E$191,[1]UH!$A$2:$FA$98, 30, FALSE))</f>
        <v>:</v>
      </c>
      <c r="AF191" s="544" t="str">
        <f>IF(VLOOKUP($E$191,[1]UH!$A$2:$FA$98, 31, FALSE)="",":",VLOOKUP($E$191,[1]UH!$A$2:$FA$98, 31, FALSE))</f>
        <v>:</v>
      </c>
    </row>
    <row r="192" spans="1:32">
      <c r="A192" s="533"/>
      <c r="B192" s="534" t="s">
        <v>11</v>
      </c>
      <c r="C192" s="535" t="s">
        <v>38</v>
      </c>
      <c r="D192" s="12" t="s">
        <v>1216</v>
      </c>
      <c r="E192" s="13">
        <v>16</v>
      </c>
      <c r="F192" s="14" t="str">
        <f>VLOOKUP($E$192,[1]UH!$A$2:$FA$98, 3, FALSE)</f>
        <v>16 Social contributions, receivable D.61r</v>
      </c>
      <c r="G192" s="544">
        <f>IF(VLOOKUP($E$192,[1]UH!$A$2:$FA$98, 6, FALSE)="",":",VLOOKUP($E$192,[1]UH!$A$2:$FA$98, 6, FALSE))</f>
        <v>0.28000000000000003</v>
      </c>
      <c r="H192" s="544">
        <f>IF(VLOOKUP($E$192,[1]UH!$A$2:$FA$98, 7, FALSE)="",":",VLOOKUP($E$192,[1]UH!$A$2:$FA$98, 7, FALSE))</f>
        <v>0.22000000000000003</v>
      </c>
      <c r="I192" s="544">
        <f>IF(VLOOKUP($E$192,[1]UH!$A$2:$FA$98, 8, FALSE)="",":",VLOOKUP($E$192,[1]UH!$A$2:$FA$98, 8, FALSE))</f>
        <v>0.33</v>
      </c>
      <c r="J192" s="544">
        <f>IF(VLOOKUP($E$192,[1]UH!$A$2:$FA$98, 9, FALSE)="",":",VLOOKUP($E$192,[1]UH!$A$2:$FA$98, 9, FALSE))</f>
        <v>0.49000000000000005</v>
      </c>
      <c r="K192" s="544">
        <f>IF(VLOOKUP($E$192,[1]UH!$A$2:$FA$98, 10, FALSE)="",":",VLOOKUP($E$192,[1]UH!$A$2:$FA$98, 10, FALSE))</f>
        <v>0.35000000000000003</v>
      </c>
      <c r="L192" s="544">
        <f>IF(VLOOKUP($E$192,[1]UH!$A$2:$FA$98, 11, FALSE)="",":",VLOOKUP($E$192,[1]UH!$A$2:$FA$98, 11, FALSE))</f>
        <v>0.46</v>
      </c>
      <c r="M192" s="544">
        <f>IF(VLOOKUP($E$192,[1]UH!$A$2:$FA$98, 12, FALSE)="",":",VLOOKUP($E$192,[1]UH!$A$2:$FA$98, 12, FALSE))</f>
        <v>0.4</v>
      </c>
      <c r="N192" s="544">
        <f>IF(VLOOKUP($E$192,[1]UH!$A$2:$FA$98, 13, FALSE)="",":",VLOOKUP($E$192,[1]UH!$A$2:$FA$98, 13, FALSE))</f>
        <v>0.37000000000000005</v>
      </c>
      <c r="O192" s="544">
        <f>IF(VLOOKUP($E$192,[1]UH!$A$2:$FA$98, 14, FALSE)="",":",VLOOKUP($E$192,[1]UH!$A$2:$FA$98, 14, FALSE))</f>
        <v>0.42000000000000004</v>
      </c>
      <c r="P192" s="544">
        <f>IF(VLOOKUP($E$192,[1]UH!$A$2:$FA$98, 15, FALSE)="",":",VLOOKUP($E$192,[1]UH!$A$2:$FA$98, 15, FALSE))</f>
        <v>0.44000000000000006</v>
      </c>
      <c r="Q192" s="544">
        <f>IF(VLOOKUP($E$192,[1]UH!$A$2:$FA$98, 16, FALSE)="",":",VLOOKUP($E$192,[1]UH!$A$2:$FA$98, 16, FALSE))</f>
        <v>0.56000000000000005</v>
      </c>
      <c r="R192" s="544">
        <f>IF(VLOOKUP($E$192,[1]UH!$A$2:$FA$98, 17, FALSE)="",":",VLOOKUP($E$192,[1]UH!$A$2:$FA$98, 17, FALSE))</f>
        <v>0.68</v>
      </c>
      <c r="S192" s="544">
        <f>IF(VLOOKUP($E$192,[1]UH!$A$2:$FA$98, 18, FALSE)="",":",VLOOKUP($E$192,[1]UH!$A$2:$FA$98, 18, FALSE))</f>
        <v>0.85000000000000009</v>
      </c>
      <c r="T192" s="544">
        <f>IF(VLOOKUP($E$192,[1]UH!$A$2:$FA$98, 19, FALSE)="",":",VLOOKUP($E$192,[1]UH!$A$2:$FA$98, 19, FALSE))</f>
        <v>0.87000000000000011</v>
      </c>
      <c r="U192" s="544">
        <f>IF(VLOOKUP($E$192,[1]UH!$A$2:$FA$98, 20, FALSE)="",":",VLOOKUP($E$192,[1]UH!$A$2:$FA$98, 20, FALSE))</f>
        <v>0.81</v>
      </c>
      <c r="V192" s="544">
        <f>IF(VLOOKUP($E$192,[1]UH!$A$2:$FA$98, 21, FALSE)="",":",VLOOKUP($E$192,[1]UH!$A$2:$FA$98, 21, FALSE))</f>
        <v>0.78</v>
      </c>
      <c r="W192" s="544">
        <f>IF(VLOOKUP($E$192,[1]UH!$A$2:$FA$98, 22, FALSE)="",":",VLOOKUP($E$192,[1]UH!$A$2:$FA$98, 22, FALSE))</f>
        <v>0.87000000000000011</v>
      </c>
      <c r="X192" s="544">
        <f>IF(VLOOKUP($E$192,[1]UH!$A$2:$FA$98, 23, FALSE)="",":",VLOOKUP($E$192,[1]UH!$A$2:$FA$98, 23, FALSE))</f>
        <v>0.85000000000000009</v>
      </c>
      <c r="Y192" s="544">
        <f>IF(VLOOKUP($E$192,[1]UH!$A$2:$FA$98, 24, FALSE)="",":",VLOOKUP($E$192,[1]UH!$A$2:$FA$98, 24, FALSE))</f>
        <v>0.88000000000000012</v>
      </c>
      <c r="Z192" s="544">
        <f>IF(VLOOKUP($E$192,[1]UH!$A$2:$FA$98, 25, FALSE)="",":",VLOOKUP($E$192,[1]UH!$A$2:$FA$98, 25, FALSE))</f>
        <v>1</v>
      </c>
      <c r="AA192" s="544">
        <f>IF(VLOOKUP($E$192,[1]UH!$A$2:$FA$98, 26, FALSE)="",":",VLOOKUP($E$192,[1]UH!$A$2:$FA$98, 26, FALSE))</f>
        <v>0.9</v>
      </c>
      <c r="AB192" s="544">
        <f>IF(VLOOKUP($E$192,[1]UH!$A$2:$FA$98, 27, FALSE)="",":",VLOOKUP($E$192,[1]UH!$A$2:$FA$98, 27, FALSE))</f>
        <v>0.94000000000000006</v>
      </c>
      <c r="AC192" s="544" t="str">
        <f>IF(VLOOKUP($E$192,[1]UH!$A$2:$FA$98, 28, FALSE)="",":",VLOOKUP($E$192,[1]UH!$A$2:$FA$98, 28, FALSE))</f>
        <v>:</v>
      </c>
      <c r="AD192" s="544" t="str">
        <f>IF(VLOOKUP($E$192,[1]UH!$A$2:$FA$98, 29, FALSE)="",":",VLOOKUP($E$192,[1]UH!$A$2:$FA$98, 29, FALSE))</f>
        <v>:</v>
      </c>
      <c r="AE192" s="544" t="str">
        <f>IF(VLOOKUP($E$192,[1]UH!$A$2:$FA$98, 30, FALSE)="",":",VLOOKUP($E$192,[1]UH!$A$2:$FA$98, 30, FALSE))</f>
        <v>:</v>
      </c>
      <c r="AF192" s="544" t="str">
        <f>IF(VLOOKUP($E$192,[1]UH!$A$2:$FA$98, 31, FALSE)="",":",VLOOKUP($E$192,[1]UH!$A$2:$FA$98, 31, FALSE))</f>
        <v>:</v>
      </c>
    </row>
    <row r="193" spans="1:32">
      <c r="A193" s="533"/>
      <c r="B193" s="534" t="s">
        <v>12</v>
      </c>
      <c r="C193" s="535" t="s">
        <v>39</v>
      </c>
      <c r="D193" s="12" t="s">
        <v>1216</v>
      </c>
      <c r="E193" s="13">
        <v>17</v>
      </c>
      <c r="F193" s="14" t="str">
        <f>VLOOKUP($E$193,[1]UH!$A$2:$FA$98, 3, FALSE)</f>
        <v xml:space="preserve">17  Social benefits other than social transfers in kind, receivable  D.62r     </v>
      </c>
      <c r="G193" s="544">
        <f>IF(VLOOKUP($E$193,[1]UH!$A$2:$FA$98, 6, FALSE)="",":",VLOOKUP($E$193,[1]UH!$A$2:$FA$98, 6, FALSE))</f>
        <v>639.29</v>
      </c>
      <c r="H193" s="544">
        <f>IF(VLOOKUP($E$193,[1]UH!$A$2:$FA$98, 7, FALSE)="",":",VLOOKUP($E$193,[1]UH!$A$2:$FA$98, 7, FALSE))</f>
        <v>837.91</v>
      </c>
      <c r="I193" s="544">
        <f>IF(VLOOKUP($E$193,[1]UH!$A$2:$FA$98, 8, FALSE)="",":",VLOOKUP($E$193,[1]UH!$A$2:$FA$98, 8, FALSE))</f>
        <v>1136.83</v>
      </c>
      <c r="J193" s="544">
        <f>IF(VLOOKUP($E$193,[1]UH!$A$2:$FA$98, 9, FALSE)="",":",VLOOKUP($E$193,[1]UH!$A$2:$FA$98, 9, FALSE))</f>
        <v>1419.08</v>
      </c>
      <c r="K193" s="544">
        <f>IF(VLOOKUP($E$193,[1]UH!$A$2:$FA$98, 10, FALSE)="",":",VLOOKUP($E$193,[1]UH!$A$2:$FA$98, 10, FALSE))</f>
        <v>1584.1</v>
      </c>
      <c r="L193" s="544">
        <f>IF(VLOOKUP($E$193,[1]UH!$A$2:$FA$98, 11, FALSE)="",":",VLOOKUP($E$193,[1]UH!$A$2:$FA$98, 11, FALSE))</f>
        <v>1567.66</v>
      </c>
      <c r="M193" s="544">
        <f>IF(VLOOKUP($E$193,[1]UH!$A$2:$FA$98, 12, FALSE)="",":",VLOOKUP($E$193,[1]UH!$A$2:$FA$98, 12, FALSE))</f>
        <v>1630.63</v>
      </c>
      <c r="N193" s="544">
        <f>IF(VLOOKUP($E$193,[1]UH!$A$2:$FA$98, 13, FALSE)="",":",VLOOKUP($E$193,[1]UH!$A$2:$FA$98, 13, FALSE))</f>
        <v>1548.47</v>
      </c>
      <c r="O193" s="544">
        <f>IF(VLOOKUP($E$193,[1]UH!$A$2:$FA$98, 14, FALSE)="",":",VLOOKUP($E$193,[1]UH!$A$2:$FA$98, 14, FALSE))</f>
        <v>1660.16</v>
      </c>
      <c r="P193" s="544">
        <f>IF(VLOOKUP($E$193,[1]UH!$A$2:$FA$98, 15, FALSE)="",":",VLOOKUP($E$193,[1]UH!$A$2:$FA$98, 15, FALSE))</f>
        <v>1810.19</v>
      </c>
      <c r="Q193" s="544">
        <f>IF(VLOOKUP($E$193,[1]UH!$A$2:$FA$98, 16, FALSE)="",":",VLOOKUP($E$193,[1]UH!$A$2:$FA$98, 16, FALSE))</f>
        <v>2078.4899999999998</v>
      </c>
      <c r="R193" s="544">
        <f>IF(VLOOKUP($E$193,[1]UH!$A$2:$FA$98, 17, FALSE)="",":",VLOOKUP($E$193,[1]UH!$A$2:$FA$98, 17, FALSE))</f>
        <v>2349.4</v>
      </c>
      <c r="S193" s="544">
        <f>IF(VLOOKUP($E$193,[1]UH!$A$2:$FA$98, 18, FALSE)="",":",VLOOKUP($E$193,[1]UH!$A$2:$FA$98, 18, FALSE))</f>
        <v>2975.11</v>
      </c>
      <c r="T193" s="544">
        <f>IF(VLOOKUP($E$193,[1]UH!$A$2:$FA$98, 19, FALSE)="",":",VLOOKUP($E$193,[1]UH!$A$2:$FA$98, 19, FALSE))</f>
        <v>3959.43</v>
      </c>
      <c r="U193" s="544">
        <f>IF(VLOOKUP($E$193,[1]UH!$A$2:$FA$98, 20, FALSE)="",":",VLOOKUP($E$193,[1]UH!$A$2:$FA$98, 20, FALSE))</f>
        <v>4507.6000000000004</v>
      </c>
      <c r="V193" s="544">
        <f>IF(VLOOKUP($E$193,[1]UH!$A$2:$FA$98, 21, FALSE)="",":",VLOOKUP($E$193,[1]UH!$A$2:$FA$98, 21, FALSE))</f>
        <v>4159.1899999999996</v>
      </c>
      <c r="W193" s="544">
        <f>IF(VLOOKUP($E$193,[1]UH!$A$2:$FA$98, 22, FALSE)="",":",VLOOKUP($E$193,[1]UH!$A$2:$FA$98, 22, FALSE))</f>
        <v>4082.15</v>
      </c>
      <c r="X193" s="544">
        <f>IF(VLOOKUP($E$193,[1]UH!$A$2:$FA$98, 23, FALSE)="",":",VLOOKUP($E$193,[1]UH!$A$2:$FA$98, 23, FALSE))</f>
        <v>4142.75</v>
      </c>
      <c r="Y193" s="544">
        <f>IF(VLOOKUP($E$193,[1]UH!$A$2:$FA$98, 24, FALSE)="",":",VLOOKUP($E$193,[1]UH!$A$2:$FA$98, 24, FALSE))</f>
        <v>4110.09</v>
      </c>
      <c r="Z193" s="544">
        <f>IF(VLOOKUP($E$193,[1]UH!$A$2:$FA$98, 25, FALSE)="",":",VLOOKUP($E$193,[1]UH!$A$2:$FA$98, 25, FALSE))</f>
        <v>4132.32</v>
      </c>
      <c r="AA193" s="544">
        <f>IF(VLOOKUP($E$193,[1]UH!$A$2:$FA$98, 26, FALSE)="",":",VLOOKUP($E$193,[1]UH!$A$2:$FA$98, 26, FALSE))</f>
        <v>4236.8500000000004</v>
      </c>
      <c r="AB193" s="544">
        <f>IF(VLOOKUP($E$193,[1]UH!$A$2:$FA$98, 27, FALSE)="",":",VLOOKUP($E$193,[1]UH!$A$2:$FA$98, 27, FALSE))</f>
        <v>4456.13</v>
      </c>
      <c r="AC193" s="544" t="str">
        <f>IF(VLOOKUP($E$193,[1]UH!$A$2:$FA$98, 28, FALSE)="",":",VLOOKUP($E$193,[1]UH!$A$2:$FA$98, 28, FALSE))</f>
        <v>:</v>
      </c>
      <c r="AD193" s="544" t="str">
        <f>IF(VLOOKUP($E$193,[1]UH!$A$2:$FA$98, 29, FALSE)="",":",VLOOKUP($E$193,[1]UH!$A$2:$FA$98, 29, FALSE))</f>
        <v>:</v>
      </c>
      <c r="AE193" s="544" t="str">
        <f>IF(VLOOKUP($E$193,[1]UH!$A$2:$FA$98, 30, FALSE)="",":",VLOOKUP($E$193,[1]UH!$A$2:$FA$98, 30, FALSE))</f>
        <v>:</v>
      </c>
      <c r="AF193" s="544" t="str">
        <f>IF(VLOOKUP($E$193,[1]UH!$A$2:$FA$98, 31, FALSE)="",":",VLOOKUP($E$193,[1]UH!$A$2:$FA$98, 31, FALSE))</f>
        <v>:</v>
      </c>
    </row>
    <row r="194" spans="1:32">
      <c r="A194" s="533"/>
      <c r="B194" s="534" t="s">
        <v>679</v>
      </c>
      <c r="C194" s="535" t="s">
        <v>1632</v>
      </c>
      <c r="D194" s="12" t="s">
        <v>1216</v>
      </c>
      <c r="E194" s="13">
        <v>20</v>
      </c>
      <c r="F194" s="14" t="str">
        <f>VLOOKUP($E$194,[1]UH!$A$2:$FA$98, 3, FALSE)</f>
        <v xml:space="preserve">20  Social contributions, payable  D.61p                                       </v>
      </c>
      <c r="G194" s="544">
        <f>IF(VLOOKUP($E$194,[1]UH!$A$2:$FA$98, 6, FALSE)="",":",VLOOKUP($E$194,[1]UH!$A$2:$FA$98, 6, FALSE))</f>
        <v>565.16999999999996</v>
      </c>
      <c r="H194" s="544">
        <f>IF(VLOOKUP($E$194,[1]UH!$A$2:$FA$98, 7, FALSE)="",":",VLOOKUP($E$194,[1]UH!$A$2:$FA$98, 7, FALSE))</f>
        <v>752.62</v>
      </c>
      <c r="I194" s="544">
        <f>IF(VLOOKUP($E$194,[1]UH!$A$2:$FA$98, 8, FALSE)="",":",VLOOKUP($E$194,[1]UH!$A$2:$FA$98, 8, FALSE))</f>
        <v>1060.51</v>
      </c>
      <c r="J194" s="544">
        <f>IF(VLOOKUP($E$194,[1]UH!$A$2:$FA$98, 9, FALSE)="",":",VLOOKUP($E$194,[1]UH!$A$2:$FA$98, 9, FALSE))</f>
        <v>1310.6500000000001</v>
      </c>
      <c r="K194" s="544">
        <f>IF(VLOOKUP($E$194,[1]UH!$A$2:$FA$98, 10, FALSE)="",":",VLOOKUP($E$194,[1]UH!$A$2:$FA$98, 10, FALSE))</f>
        <v>1294.95</v>
      </c>
      <c r="L194" s="544">
        <f>IF(VLOOKUP($E$194,[1]UH!$A$2:$FA$98, 11, FALSE)="",":",VLOOKUP($E$194,[1]UH!$A$2:$FA$98, 11, FALSE))</f>
        <v>1371.17</v>
      </c>
      <c r="M194" s="544">
        <f>IF(VLOOKUP($E$194,[1]UH!$A$2:$FA$98, 12, FALSE)="",":",VLOOKUP($E$194,[1]UH!$A$2:$FA$98, 12, FALSE))</f>
        <v>1383.69</v>
      </c>
      <c r="N194" s="544">
        <f>IF(VLOOKUP($E$194,[1]UH!$A$2:$FA$98, 13, FALSE)="",":",VLOOKUP($E$194,[1]UH!$A$2:$FA$98, 13, FALSE))</f>
        <v>1429.17</v>
      </c>
      <c r="O194" s="544">
        <f>IF(VLOOKUP($E$194,[1]UH!$A$2:$FA$98, 14, FALSE)="",":",VLOOKUP($E$194,[1]UH!$A$2:$FA$98, 14, FALSE))</f>
        <v>1540.38</v>
      </c>
      <c r="P194" s="544">
        <f>IF(VLOOKUP($E$194,[1]UH!$A$2:$FA$98, 15, FALSE)="",":",VLOOKUP($E$194,[1]UH!$A$2:$FA$98, 15, FALSE))</f>
        <v>1772.69</v>
      </c>
      <c r="Q194" s="544">
        <f>IF(VLOOKUP($E$194,[1]UH!$A$2:$FA$98, 16, FALSE)="",":",VLOOKUP($E$194,[1]UH!$A$2:$FA$98, 16, FALSE))</f>
        <v>2106.0300000000002</v>
      </c>
      <c r="R194" s="544">
        <f>IF(VLOOKUP($E$194,[1]UH!$A$2:$FA$98, 17, FALSE)="",":",VLOOKUP($E$194,[1]UH!$A$2:$FA$98, 17, FALSE))</f>
        <v>2536.02</v>
      </c>
      <c r="S194" s="544">
        <f>IF(VLOOKUP($E$194,[1]UH!$A$2:$FA$98, 18, FALSE)="",":",VLOOKUP($E$194,[1]UH!$A$2:$FA$98, 18, FALSE))</f>
        <v>3127.14</v>
      </c>
      <c r="T194" s="544">
        <f>IF(VLOOKUP($E$194,[1]UH!$A$2:$FA$98, 19, FALSE)="",":",VLOOKUP($E$194,[1]UH!$A$2:$FA$98, 19, FALSE))</f>
        <v>3721.75</v>
      </c>
      <c r="U194" s="544">
        <f>IF(VLOOKUP($E$194,[1]UH!$A$2:$FA$98, 20, FALSE)="",":",VLOOKUP($E$194,[1]UH!$A$2:$FA$98, 20, FALSE))</f>
        <v>3777.15</v>
      </c>
      <c r="V194" s="544">
        <f>IF(VLOOKUP($E$194,[1]UH!$A$2:$FA$98, 21, FALSE)="",":",VLOOKUP($E$194,[1]UH!$A$2:$FA$98, 21, FALSE))</f>
        <v>3644.91</v>
      </c>
      <c r="W194" s="544">
        <f>IF(VLOOKUP($E$194,[1]UH!$A$2:$FA$98, 22, FALSE)="",":",VLOOKUP($E$194,[1]UH!$A$2:$FA$98, 22, FALSE))</f>
        <v>3860.93</v>
      </c>
      <c r="X194" s="544">
        <f>IF(VLOOKUP($E$194,[1]UH!$A$2:$FA$98, 23, FALSE)="",":",VLOOKUP($E$194,[1]UH!$A$2:$FA$98, 23, FALSE))</f>
        <v>3939.26</v>
      </c>
      <c r="Y194" s="544">
        <f>IF(VLOOKUP($E$194,[1]UH!$A$2:$FA$98, 24, FALSE)="",":",VLOOKUP($E$194,[1]UH!$A$2:$FA$98, 24, FALSE))</f>
        <v>4187.54</v>
      </c>
      <c r="Z194" s="544">
        <f>IF(VLOOKUP($E$194,[1]UH!$A$2:$FA$98, 25, FALSE)="",":",VLOOKUP($E$194,[1]UH!$A$2:$FA$98, 25, FALSE))</f>
        <v>4450.2299999999996</v>
      </c>
      <c r="AA194" s="544">
        <f>IF(VLOOKUP($E$194,[1]UH!$A$2:$FA$98, 26, FALSE)="",":",VLOOKUP($E$194,[1]UH!$A$2:$FA$98, 26, FALSE))</f>
        <v>4760.08</v>
      </c>
      <c r="AB194" s="544">
        <f>IF(VLOOKUP($E$194,[1]UH!$A$2:$FA$98, 27, FALSE)="",":",VLOOKUP($E$194,[1]UH!$A$2:$FA$98, 27, FALSE))</f>
        <v>5158.3</v>
      </c>
      <c r="AC194" s="544" t="str">
        <f>IF(VLOOKUP($E$194,[1]UH!$A$2:$FA$98, 28, FALSE)="",":",VLOOKUP($E$194,[1]UH!$A$2:$FA$98, 28, FALSE))</f>
        <v>:</v>
      </c>
      <c r="AD194" s="544" t="str">
        <f>IF(VLOOKUP($E$194,[1]UH!$A$2:$FA$98, 29, FALSE)="",":",VLOOKUP($E$194,[1]UH!$A$2:$FA$98, 29, FALSE))</f>
        <v>:</v>
      </c>
      <c r="AE194" s="544" t="str">
        <f>IF(VLOOKUP($E$194,[1]UH!$A$2:$FA$98, 30, FALSE)="",":",VLOOKUP($E$194,[1]UH!$A$2:$FA$98, 30, FALSE))</f>
        <v>:</v>
      </c>
      <c r="AF194" s="544" t="str">
        <f>IF(VLOOKUP($E$194,[1]UH!$A$2:$FA$98, 31, FALSE)="",":",VLOOKUP($E$194,[1]UH!$A$2:$FA$98, 31, FALSE))</f>
        <v>:</v>
      </c>
    </row>
    <row r="195" spans="1:32">
      <c r="A195" s="533"/>
      <c r="B195" s="534" t="s">
        <v>680</v>
      </c>
      <c r="C195" s="535" t="s">
        <v>1633</v>
      </c>
      <c r="D195" s="12" t="s">
        <v>1216</v>
      </c>
      <c r="E195" s="13">
        <v>21</v>
      </c>
      <c r="F195" s="14" t="str">
        <f>VLOOKUP($E$195,[1]UH!$A$2:$FA$98, 3, FALSE)</f>
        <v>21 Social benefits other than social transfers in kind, payable D.62p</v>
      </c>
      <c r="G195" s="544">
        <f>IF(VLOOKUP($E$195,[1]UH!$A$2:$FA$98, 6, FALSE)="",":",VLOOKUP($E$195,[1]UH!$A$2:$FA$98, 6, FALSE))</f>
        <v>0.28000000000000003</v>
      </c>
      <c r="H195" s="544">
        <f>IF(VLOOKUP($E$195,[1]UH!$A$2:$FA$98, 7, FALSE)="",":",VLOOKUP($E$195,[1]UH!$A$2:$FA$98, 7, FALSE))</f>
        <v>0.22000000000000003</v>
      </c>
      <c r="I195" s="544">
        <f>IF(VLOOKUP($E$195,[1]UH!$A$2:$FA$98, 8, FALSE)="",":",VLOOKUP($E$195,[1]UH!$A$2:$FA$98, 8, FALSE))</f>
        <v>0.33</v>
      </c>
      <c r="J195" s="544">
        <f>IF(VLOOKUP($E$195,[1]UH!$A$2:$FA$98, 9, FALSE)="",":",VLOOKUP($E$195,[1]UH!$A$2:$FA$98, 9, FALSE))</f>
        <v>0.49000000000000005</v>
      </c>
      <c r="K195" s="544">
        <f>IF(VLOOKUP($E$195,[1]UH!$A$2:$FA$98, 10, FALSE)="",":",VLOOKUP($E$195,[1]UH!$A$2:$FA$98, 10, FALSE))</f>
        <v>0.35000000000000003</v>
      </c>
      <c r="L195" s="544">
        <f>IF(VLOOKUP($E$195,[1]UH!$A$2:$FA$98, 11, FALSE)="",":",VLOOKUP($E$195,[1]UH!$A$2:$FA$98, 11, FALSE))</f>
        <v>0.46</v>
      </c>
      <c r="M195" s="544">
        <f>IF(VLOOKUP($E$195,[1]UH!$A$2:$FA$98, 12, FALSE)="",":",VLOOKUP($E$195,[1]UH!$A$2:$FA$98, 12, FALSE))</f>
        <v>0.4</v>
      </c>
      <c r="N195" s="544">
        <f>IF(VLOOKUP($E$195,[1]UH!$A$2:$FA$98, 13, FALSE)="",":",VLOOKUP($E$195,[1]UH!$A$2:$FA$98, 13, FALSE))</f>
        <v>0.37000000000000005</v>
      </c>
      <c r="O195" s="544">
        <f>IF(VLOOKUP($E$195,[1]UH!$A$2:$FA$98, 14, FALSE)="",":",VLOOKUP($E$195,[1]UH!$A$2:$FA$98, 14, FALSE))</f>
        <v>0.42000000000000004</v>
      </c>
      <c r="P195" s="544">
        <f>IF(VLOOKUP($E$195,[1]UH!$A$2:$FA$98, 15, FALSE)="",":",VLOOKUP($E$195,[1]UH!$A$2:$FA$98, 15, FALSE))</f>
        <v>0.44000000000000006</v>
      </c>
      <c r="Q195" s="544">
        <f>IF(VLOOKUP($E$195,[1]UH!$A$2:$FA$98, 16, FALSE)="",":",VLOOKUP($E$195,[1]UH!$A$2:$FA$98, 16, FALSE))</f>
        <v>0.56000000000000005</v>
      </c>
      <c r="R195" s="544">
        <f>IF(VLOOKUP($E$195,[1]UH!$A$2:$FA$98, 17, FALSE)="",":",VLOOKUP($E$195,[1]UH!$A$2:$FA$98, 17, FALSE))</f>
        <v>0.68</v>
      </c>
      <c r="S195" s="544">
        <f>IF(VLOOKUP($E$195,[1]UH!$A$2:$FA$98, 18, FALSE)="",":",VLOOKUP($E$195,[1]UH!$A$2:$FA$98, 18, FALSE))</f>
        <v>0.85000000000000009</v>
      </c>
      <c r="T195" s="544">
        <f>IF(VLOOKUP($E$195,[1]UH!$A$2:$FA$98, 19, FALSE)="",":",VLOOKUP($E$195,[1]UH!$A$2:$FA$98, 19, FALSE))</f>
        <v>0.87000000000000011</v>
      </c>
      <c r="U195" s="544">
        <f>IF(VLOOKUP($E$195,[1]UH!$A$2:$FA$98, 20, FALSE)="",":",VLOOKUP($E$195,[1]UH!$A$2:$FA$98, 20, FALSE))</f>
        <v>0.81</v>
      </c>
      <c r="V195" s="544">
        <f>IF(VLOOKUP($E$195,[1]UH!$A$2:$FA$98, 21, FALSE)="",":",VLOOKUP($E$195,[1]UH!$A$2:$FA$98, 21, FALSE))</f>
        <v>0.78</v>
      </c>
      <c r="W195" s="544">
        <f>IF(VLOOKUP($E$195,[1]UH!$A$2:$FA$98, 22, FALSE)="",":",VLOOKUP($E$195,[1]UH!$A$2:$FA$98, 22, FALSE))</f>
        <v>0.87000000000000011</v>
      </c>
      <c r="X195" s="544">
        <f>IF(VLOOKUP($E$195,[1]UH!$A$2:$FA$98, 23, FALSE)="",":",VLOOKUP($E$195,[1]UH!$A$2:$FA$98, 23, FALSE))</f>
        <v>0.85000000000000009</v>
      </c>
      <c r="Y195" s="544">
        <f>IF(VLOOKUP($E$195,[1]UH!$A$2:$FA$98, 24, FALSE)="",":",VLOOKUP($E$195,[1]UH!$A$2:$FA$98, 24, FALSE))</f>
        <v>0.88000000000000012</v>
      </c>
      <c r="Z195" s="544">
        <f>IF(VLOOKUP($E$195,[1]UH!$A$2:$FA$98, 25, FALSE)="",":",VLOOKUP($E$195,[1]UH!$A$2:$FA$98, 25, FALSE))</f>
        <v>1</v>
      </c>
      <c r="AA195" s="544">
        <f>IF(VLOOKUP($E$195,[1]UH!$A$2:$FA$98, 26, FALSE)="",":",VLOOKUP($E$195,[1]UH!$A$2:$FA$98, 26, FALSE))</f>
        <v>0.9</v>
      </c>
      <c r="AB195" s="544">
        <f>IF(VLOOKUP($E$195,[1]UH!$A$2:$FA$98, 27, FALSE)="",":",VLOOKUP($E$195,[1]UH!$A$2:$FA$98, 27, FALSE))</f>
        <v>0.94000000000000006</v>
      </c>
      <c r="AC195" s="544" t="str">
        <f>IF(VLOOKUP($E$195,[1]UH!$A$2:$FA$98, 28, FALSE)="",":",VLOOKUP($E$195,[1]UH!$A$2:$FA$98, 28, FALSE))</f>
        <v>:</v>
      </c>
      <c r="AD195" s="544" t="str">
        <f>IF(VLOOKUP($E$195,[1]UH!$A$2:$FA$98, 29, FALSE)="",":",VLOOKUP($E$195,[1]UH!$A$2:$FA$98, 29, FALSE))</f>
        <v>:</v>
      </c>
      <c r="AE195" s="544" t="str">
        <f>IF(VLOOKUP($E$195,[1]UH!$A$2:$FA$98, 30, FALSE)="",":",VLOOKUP($E$195,[1]UH!$A$2:$FA$98, 30, FALSE))</f>
        <v>:</v>
      </c>
      <c r="AF195" s="544" t="str">
        <f>IF(VLOOKUP($E$195,[1]UH!$A$2:$FA$98, 31, FALSE)="",":",VLOOKUP($E$195,[1]UH!$A$2:$FA$98, 31, FALSE))</f>
        <v>:</v>
      </c>
    </row>
    <row r="196" spans="1:32">
      <c r="A196" s="533"/>
      <c r="B196" s="534"/>
      <c r="C196" s="535"/>
      <c r="D196" s="12"/>
      <c r="E196" s="13"/>
      <c r="F196" s="14"/>
      <c r="G196" s="544"/>
      <c r="H196" s="544"/>
      <c r="I196" s="544"/>
      <c r="J196" s="544"/>
      <c r="K196" s="544"/>
      <c r="L196" s="544"/>
      <c r="M196" s="544"/>
      <c r="N196" s="544"/>
      <c r="O196" s="544"/>
      <c r="P196" s="544"/>
      <c r="Q196" s="544"/>
      <c r="R196" s="544"/>
      <c r="S196" s="544"/>
      <c r="T196" s="544"/>
      <c r="U196" s="544"/>
      <c r="V196" s="544"/>
      <c r="W196" s="544"/>
      <c r="X196" s="544"/>
      <c r="Y196" s="544"/>
      <c r="Z196" s="544"/>
      <c r="AA196" s="544"/>
      <c r="AB196" s="544"/>
      <c r="AC196" s="544"/>
      <c r="AD196" s="544"/>
      <c r="AE196" s="544"/>
      <c r="AF196" s="544"/>
    </row>
    <row r="197" spans="1:32">
      <c r="A197" s="533"/>
      <c r="B197" s="534" t="s">
        <v>13</v>
      </c>
      <c r="C197" s="535" t="s">
        <v>511</v>
      </c>
      <c r="D197" s="12" t="s">
        <v>1216</v>
      </c>
      <c r="E197" s="13">
        <v>18</v>
      </c>
      <c r="F197" s="14" t="str">
        <f>VLOOKUP($E$197,[1]UH!$A$2:$FA$98, 3, FALSE)</f>
        <v>18 Other current transfers, receivable D.7r</v>
      </c>
      <c r="G197" s="544">
        <f>IF(VLOOKUP($E$197,[1]UH!$A$2:$FA$98, 6, FALSE)="",":",VLOOKUP($E$197,[1]UH!$A$2:$FA$98, 6, FALSE))</f>
        <v>114.65</v>
      </c>
      <c r="H197" s="544">
        <f>IF(VLOOKUP($E$197,[1]UH!$A$2:$FA$98, 7, FALSE)="",":",VLOOKUP($E$197,[1]UH!$A$2:$FA$98, 7, FALSE))</f>
        <v>90.45</v>
      </c>
      <c r="I197" s="544">
        <f>IF(VLOOKUP($E$197,[1]UH!$A$2:$FA$98, 8, FALSE)="",":",VLOOKUP($E$197,[1]UH!$A$2:$FA$98, 8, FALSE))</f>
        <v>149.49</v>
      </c>
      <c r="J197" s="544">
        <f>IF(VLOOKUP($E$197,[1]UH!$A$2:$FA$98, 9, FALSE)="",":",VLOOKUP($E$197,[1]UH!$A$2:$FA$98, 9, FALSE))</f>
        <v>183.98</v>
      </c>
      <c r="K197" s="544">
        <f>IF(VLOOKUP($E$197,[1]UH!$A$2:$FA$98, 10, FALSE)="",":",VLOOKUP($E$197,[1]UH!$A$2:$FA$98, 10, FALSE))</f>
        <v>176.71</v>
      </c>
      <c r="L197" s="544">
        <f>IF(VLOOKUP($E$197,[1]UH!$A$2:$FA$98, 11, FALSE)="",":",VLOOKUP($E$197,[1]UH!$A$2:$FA$98, 11, FALSE))</f>
        <v>127.58</v>
      </c>
      <c r="M197" s="544">
        <f>IF(VLOOKUP($E$197,[1]UH!$A$2:$FA$98, 12, FALSE)="",":",VLOOKUP($E$197,[1]UH!$A$2:$FA$98, 12, FALSE))</f>
        <v>253.1</v>
      </c>
      <c r="N197" s="544">
        <f>IF(VLOOKUP($E$197,[1]UH!$A$2:$FA$98, 13, FALSE)="",":",VLOOKUP($E$197,[1]UH!$A$2:$FA$98, 13, FALSE))</f>
        <v>199.36</v>
      </c>
      <c r="O197" s="544">
        <f>IF(VLOOKUP($E$197,[1]UH!$A$2:$FA$98, 14, FALSE)="",":",VLOOKUP($E$197,[1]UH!$A$2:$FA$98, 14, FALSE))</f>
        <v>211.55</v>
      </c>
      <c r="P197" s="544">
        <f>IF(VLOOKUP($E$197,[1]UH!$A$2:$FA$98, 15, FALSE)="",":",VLOOKUP($E$197,[1]UH!$A$2:$FA$98, 15, FALSE))</f>
        <v>355.42</v>
      </c>
      <c r="Q197" s="544">
        <f>IF(VLOOKUP($E$197,[1]UH!$A$2:$FA$98, 16, FALSE)="",":",VLOOKUP($E$197,[1]UH!$A$2:$FA$98, 16, FALSE))</f>
        <v>633.16</v>
      </c>
      <c r="R197" s="544">
        <f>IF(VLOOKUP($E$197,[1]UH!$A$2:$FA$98, 17, FALSE)="",":",VLOOKUP($E$197,[1]UH!$A$2:$FA$98, 17, FALSE))</f>
        <v>631.12</v>
      </c>
      <c r="S197" s="544">
        <f>IF(VLOOKUP($E$197,[1]UH!$A$2:$FA$98, 18, FALSE)="",":",VLOOKUP($E$197,[1]UH!$A$2:$FA$98, 18, FALSE))</f>
        <v>830.86</v>
      </c>
      <c r="T197" s="544">
        <f>IF(VLOOKUP($E$197,[1]UH!$A$2:$FA$98, 19, FALSE)="",":",VLOOKUP($E$197,[1]UH!$A$2:$FA$98, 19, FALSE))</f>
        <v>1222.7</v>
      </c>
      <c r="U197" s="544">
        <f>IF(VLOOKUP($E$197,[1]UH!$A$2:$FA$98, 20, FALSE)="",":",VLOOKUP($E$197,[1]UH!$A$2:$FA$98, 20, FALSE))</f>
        <v>1082.5999999999999</v>
      </c>
      <c r="V197" s="544">
        <f>IF(VLOOKUP($E$197,[1]UH!$A$2:$FA$98, 21, FALSE)="",":",VLOOKUP($E$197,[1]UH!$A$2:$FA$98, 21, FALSE))</f>
        <v>1282.3599999999999</v>
      </c>
      <c r="W197" s="544">
        <f>IF(VLOOKUP($E$197,[1]UH!$A$2:$FA$98, 22, FALSE)="",":",VLOOKUP($E$197,[1]UH!$A$2:$FA$98, 22, FALSE))</f>
        <v>1180.68</v>
      </c>
      <c r="X197" s="544">
        <f>IF(VLOOKUP($E$197,[1]UH!$A$2:$FA$98, 23, FALSE)="",":",VLOOKUP($E$197,[1]UH!$A$2:$FA$98, 23, FALSE))</f>
        <v>808.7</v>
      </c>
      <c r="Y197" s="544">
        <f>IF(VLOOKUP($E$197,[1]UH!$A$2:$FA$98, 24, FALSE)="",":",VLOOKUP($E$197,[1]UH!$A$2:$FA$98, 24, FALSE))</f>
        <v>1481.5</v>
      </c>
      <c r="Z197" s="544">
        <f>IF(VLOOKUP($E$197,[1]UH!$A$2:$FA$98, 25, FALSE)="",":",VLOOKUP($E$197,[1]UH!$A$2:$FA$98, 25, FALSE))</f>
        <v>1615.73</v>
      </c>
      <c r="AA197" s="544">
        <f>IF(VLOOKUP($E$197,[1]UH!$A$2:$FA$98, 26, FALSE)="",":",VLOOKUP($E$197,[1]UH!$A$2:$FA$98, 26, FALSE))</f>
        <v>1396.8</v>
      </c>
      <c r="AB197" s="544">
        <f>IF(VLOOKUP($E$197,[1]UH!$A$2:$FA$98, 27, FALSE)="",":",VLOOKUP($E$197,[1]UH!$A$2:$FA$98, 27, FALSE))</f>
        <v>1462.62</v>
      </c>
      <c r="AC197" s="544" t="str">
        <f>IF(VLOOKUP($E$197,[1]UH!$A$2:$FA$98, 28, FALSE)="",":",VLOOKUP($E$197,[1]UH!$A$2:$FA$98, 28, FALSE))</f>
        <v>:</v>
      </c>
      <c r="AD197" s="544" t="str">
        <f>IF(VLOOKUP($E$197,[1]UH!$A$2:$FA$98, 29, FALSE)="",":",VLOOKUP($E$197,[1]UH!$A$2:$FA$98, 29, FALSE))</f>
        <v>:</v>
      </c>
      <c r="AE197" s="544" t="str">
        <f>IF(VLOOKUP($E$197,[1]UH!$A$2:$FA$98, 30, FALSE)="",":",VLOOKUP($E$197,[1]UH!$A$2:$FA$98, 30, FALSE))</f>
        <v>:</v>
      </c>
      <c r="AF197" s="544" t="str">
        <f>IF(VLOOKUP($E$197,[1]UH!$A$2:$FA$98, 31, FALSE)="",":",VLOOKUP($E$197,[1]UH!$A$2:$FA$98, 31, FALSE))</f>
        <v>:</v>
      </c>
    </row>
    <row r="198" spans="1:32">
      <c r="A198" s="533"/>
      <c r="B198" s="534" t="s">
        <v>15</v>
      </c>
      <c r="C198" s="535" t="s">
        <v>1634</v>
      </c>
      <c r="D198" s="12" t="s">
        <v>1216</v>
      </c>
      <c r="E198" s="13">
        <v>22</v>
      </c>
      <c r="F198" s="14" t="str">
        <f>VLOOKUP($E$198,[1]UH!$A$2:$FA$98, 3, FALSE)</f>
        <v>22 Other current transfers, payable D.7p</v>
      </c>
      <c r="G198" s="544">
        <f>IF(VLOOKUP($E$198,[1]UH!$A$2:$FA$98, 6, FALSE)="",":",VLOOKUP($E$198,[1]UH!$A$2:$FA$98, 6, FALSE))</f>
        <v>35.85</v>
      </c>
      <c r="H198" s="544">
        <f>IF(VLOOKUP($E$198,[1]UH!$A$2:$FA$98, 7, FALSE)="",":",VLOOKUP($E$198,[1]UH!$A$2:$FA$98, 7, FALSE))</f>
        <v>46.53</v>
      </c>
      <c r="I198" s="544">
        <f>IF(VLOOKUP($E$198,[1]UH!$A$2:$FA$98, 8, FALSE)="",":",VLOOKUP($E$198,[1]UH!$A$2:$FA$98, 8, FALSE))</f>
        <v>19.690000000000001</v>
      </c>
      <c r="J198" s="544">
        <f>IF(VLOOKUP($E$198,[1]UH!$A$2:$FA$98, 9, FALSE)="",":",VLOOKUP($E$198,[1]UH!$A$2:$FA$98, 9, FALSE))</f>
        <v>25.56</v>
      </c>
      <c r="K198" s="544">
        <f>IF(VLOOKUP($E$198,[1]UH!$A$2:$FA$98, 10, FALSE)="",":",VLOOKUP($E$198,[1]UH!$A$2:$FA$98, 10, FALSE))</f>
        <v>39.26</v>
      </c>
      <c r="L198" s="544">
        <f>IF(VLOOKUP($E$198,[1]UH!$A$2:$FA$98, 11, FALSE)="",":",VLOOKUP($E$198,[1]UH!$A$2:$FA$98, 11, FALSE))</f>
        <v>36.82</v>
      </c>
      <c r="M198" s="544">
        <f>IF(VLOOKUP($E$198,[1]UH!$A$2:$FA$98, 12, FALSE)="",":",VLOOKUP($E$198,[1]UH!$A$2:$FA$98, 12, FALSE))</f>
        <v>41.79</v>
      </c>
      <c r="N198" s="544">
        <f>IF(VLOOKUP($E$198,[1]UH!$A$2:$FA$98, 13, FALSE)="",":",VLOOKUP($E$198,[1]UH!$A$2:$FA$98, 13, FALSE))</f>
        <v>90.47</v>
      </c>
      <c r="O198" s="544">
        <f>IF(VLOOKUP($E$198,[1]UH!$A$2:$FA$98, 14, FALSE)="",":",VLOOKUP($E$198,[1]UH!$A$2:$FA$98, 14, FALSE))</f>
        <v>75.569999999999993</v>
      </c>
      <c r="P198" s="544">
        <f>IF(VLOOKUP($E$198,[1]UH!$A$2:$FA$98, 15, FALSE)="",":",VLOOKUP($E$198,[1]UH!$A$2:$FA$98, 15, FALSE))</f>
        <v>56.06</v>
      </c>
      <c r="Q198" s="544">
        <f>IF(VLOOKUP($E$198,[1]UH!$A$2:$FA$98, 16, FALSE)="",":",VLOOKUP($E$198,[1]UH!$A$2:$FA$98, 16, FALSE))</f>
        <v>80.260000000000005</v>
      </c>
      <c r="R198" s="544">
        <f>IF(VLOOKUP($E$198,[1]UH!$A$2:$FA$98, 17, FALSE)="",":",VLOOKUP($E$198,[1]UH!$A$2:$FA$98, 17, FALSE))</f>
        <v>119.94</v>
      </c>
      <c r="S198" s="544">
        <f>IF(VLOOKUP($E$198,[1]UH!$A$2:$FA$98, 18, FALSE)="",":",VLOOKUP($E$198,[1]UH!$A$2:$FA$98, 18, FALSE))</f>
        <v>137.62</v>
      </c>
      <c r="T198" s="544">
        <f>IF(VLOOKUP($E$198,[1]UH!$A$2:$FA$98, 19, FALSE)="",":",VLOOKUP($E$198,[1]UH!$A$2:$FA$98, 19, FALSE))</f>
        <v>118.09</v>
      </c>
      <c r="U198" s="544">
        <f>IF(VLOOKUP($E$198,[1]UH!$A$2:$FA$98, 20, FALSE)="",":",VLOOKUP($E$198,[1]UH!$A$2:$FA$98, 20, FALSE))</f>
        <v>109.09</v>
      </c>
      <c r="V198" s="544">
        <f>IF(VLOOKUP($E$198,[1]UH!$A$2:$FA$98, 21, FALSE)="",":",VLOOKUP($E$198,[1]UH!$A$2:$FA$98, 21, FALSE))</f>
        <v>113.35</v>
      </c>
      <c r="W198" s="544">
        <f>IF(VLOOKUP($E$198,[1]UH!$A$2:$FA$98, 22, FALSE)="",":",VLOOKUP($E$198,[1]UH!$A$2:$FA$98, 22, FALSE))</f>
        <v>137.71</v>
      </c>
      <c r="X198" s="544">
        <f>IF(VLOOKUP($E$198,[1]UH!$A$2:$FA$98, 23, FALSE)="",":",VLOOKUP($E$198,[1]UH!$A$2:$FA$98, 23, FALSE))</f>
        <v>137.59</v>
      </c>
      <c r="Y198" s="544">
        <f>IF(VLOOKUP($E$198,[1]UH!$A$2:$FA$98, 24, FALSE)="",":",VLOOKUP($E$198,[1]UH!$A$2:$FA$98, 24, FALSE))</f>
        <v>137.61000000000001</v>
      </c>
      <c r="Z198" s="544">
        <f>IF(VLOOKUP($E$198,[1]UH!$A$2:$FA$98, 25, FALSE)="",":",VLOOKUP($E$198,[1]UH!$A$2:$FA$98, 25, FALSE))</f>
        <v>140.47999999999999</v>
      </c>
      <c r="AA198" s="544">
        <f>IF(VLOOKUP($E$198,[1]UH!$A$2:$FA$98, 26, FALSE)="",":",VLOOKUP($E$198,[1]UH!$A$2:$FA$98, 26, FALSE))</f>
        <v>151.72</v>
      </c>
      <c r="AB198" s="544">
        <f>IF(VLOOKUP($E$198,[1]UH!$A$2:$FA$98, 27, FALSE)="",":",VLOOKUP($E$198,[1]UH!$A$2:$FA$98, 27, FALSE))</f>
        <v>171.38</v>
      </c>
      <c r="AC198" s="544" t="str">
        <f>IF(VLOOKUP($E$198,[1]UH!$A$2:$FA$98, 28, FALSE)="",":",VLOOKUP($E$198,[1]UH!$A$2:$FA$98, 28, FALSE))</f>
        <v>:</v>
      </c>
      <c r="AD198" s="544" t="str">
        <f>IF(VLOOKUP($E$198,[1]UH!$A$2:$FA$98, 29, FALSE)="",":",VLOOKUP($E$198,[1]UH!$A$2:$FA$98, 29, FALSE))</f>
        <v>:</v>
      </c>
      <c r="AE198" s="544" t="str">
        <f>IF(VLOOKUP($E$198,[1]UH!$A$2:$FA$98, 30, FALSE)="",":",VLOOKUP($E$198,[1]UH!$A$2:$FA$98, 30, FALSE))</f>
        <v>:</v>
      </c>
      <c r="AF198" s="544" t="str">
        <f>IF(VLOOKUP($E$198,[1]UH!$A$2:$FA$98, 31, FALSE)="",":",VLOOKUP($E$198,[1]UH!$A$2:$FA$98, 31, FALSE))</f>
        <v>:</v>
      </c>
    </row>
    <row r="199" spans="1:32">
      <c r="A199" s="533"/>
      <c r="B199" s="534"/>
      <c r="C199" s="535"/>
      <c r="D199" s="12"/>
      <c r="E199" s="13"/>
      <c r="F199" s="14"/>
      <c r="G199" s="544"/>
      <c r="H199" s="544"/>
      <c r="I199" s="544"/>
      <c r="J199" s="544"/>
      <c r="K199" s="544"/>
      <c r="L199" s="544"/>
      <c r="M199" s="544"/>
      <c r="N199" s="544"/>
      <c r="O199" s="544"/>
      <c r="P199" s="544"/>
      <c r="Q199" s="544"/>
      <c r="R199" s="544"/>
      <c r="S199" s="544"/>
      <c r="T199" s="544"/>
      <c r="U199" s="544"/>
      <c r="V199" s="544"/>
      <c r="W199" s="544"/>
      <c r="X199" s="544"/>
      <c r="Y199" s="544"/>
      <c r="Z199" s="544"/>
      <c r="AA199" s="544"/>
      <c r="AB199" s="544"/>
      <c r="AC199" s="544"/>
      <c r="AD199" s="544"/>
      <c r="AE199" s="544"/>
      <c r="AF199" s="544"/>
    </row>
    <row r="200" spans="1:32">
      <c r="A200" s="533">
        <v>94</v>
      </c>
      <c r="B200" s="534" t="s">
        <v>16</v>
      </c>
      <c r="C200" s="535" t="s">
        <v>484</v>
      </c>
      <c r="D200" s="12" t="s">
        <v>1216</v>
      </c>
      <c r="E200" s="13">
        <v>24</v>
      </c>
      <c r="F200" s="14" t="str">
        <f>VLOOKUP($E$200,[1]UH!$A$2:$FA$98, 3, FALSE)</f>
        <v>24 Adjustment for the change in net equity of households on pension funds D.8</v>
      </c>
      <c r="G200" s="544">
        <f>IF(VLOOKUP($E$200,[1]UH!$A$2:$FA$98, 6, FALSE)="",":",VLOOKUP($E$200,[1]UH!$A$2:$FA$98, 6, FALSE))</f>
        <v>0</v>
      </c>
      <c r="H200" s="544">
        <f>IF(VLOOKUP($E$200,[1]UH!$A$2:$FA$98, 7, FALSE)="",":",VLOOKUP($E$200,[1]UH!$A$2:$FA$98, 7, FALSE))</f>
        <v>0</v>
      </c>
      <c r="I200" s="544">
        <f>IF(VLOOKUP($E$200,[1]UH!$A$2:$FA$98, 8, FALSE)="",":",VLOOKUP($E$200,[1]UH!$A$2:$FA$98, 8, FALSE))</f>
        <v>0</v>
      </c>
      <c r="J200" s="544">
        <f>IF(VLOOKUP($E$200,[1]UH!$A$2:$FA$98, 9, FALSE)="",":",VLOOKUP($E$200,[1]UH!$A$2:$FA$98, 9, FALSE))</f>
        <v>0</v>
      </c>
      <c r="K200" s="544">
        <f>IF(VLOOKUP($E$200,[1]UH!$A$2:$FA$98, 10, FALSE)="",":",VLOOKUP($E$200,[1]UH!$A$2:$FA$98, 10, FALSE))</f>
        <v>0</v>
      </c>
      <c r="L200" s="544">
        <f>IF(VLOOKUP($E$200,[1]UH!$A$2:$FA$98, 11, FALSE)="",":",VLOOKUP($E$200,[1]UH!$A$2:$FA$98, 11, FALSE))</f>
        <v>0</v>
      </c>
      <c r="M200" s="544">
        <f>IF(VLOOKUP($E$200,[1]UH!$A$2:$FA$98, 12, FALSE)="",":",VLOOKUP($E$200,[1]UH!$A$2:$FA$98, 12, FALSE))</f>
        <v>0</v>
      </c>
      <c r="N200" s="544">
        <f>IF(VLOOKUP($E$200,[1]UH!$A$2:$FA$98, 13, FALSE)="",":",VLOOKUP($E$200,[1]UH!$A$2:$FA$98, 13, FALSE))</f>
        <v>0</v>
      </c>
      <c r="O200" s="544">
        <f>IF(VLOOKUP($E$200,[1]UH!$A$2:$FA$98, 14, FALSE)="",":",VLOOKUP($E$200,[1]UH!$A$2:$FA$98, 14, FALSE))</f>
        <v>0</v>
      </c>
      <c r="P200" s="544">
        <f>IF(VLOOKUP($E$200,[1]UH!$A$2:$FA$98, 15, FALSE)="",":",VLOOKUP($E$200,[1]UH!$A$2:$FA$98, 15, FALSE))</f>
        <v>50.14</v>
      </c>
      <c r="Q200" s="544">
        <f>IF(VLOOKUP($E$200,[1]UH!$A$2:$FA$98, 16, FALSE)="",":",VLOOKUP($E$200,[1]UH!$A$2:$FA$98, 16, FALSE))</f>
        <v>89.27</v>
      </c>
      <c r="R200" s="544">
        <f>IF(VLOOKUP($E$200,[1]UH!$A$2:$FA$98, 17, FALSE)="",":",VLOOKUP($E$200,[1]UH!$A$2:$FA$98, 17, FALSE))</f>
        <v>153.66</v>
      </c>
      <c r="S200" s="544">
        <f>IF(VLOOKUP($E$200,[1]UH!$A$2:$FA$98, 18, FALSE)="",":",VLOOKUP($E$200,[1]UH!$A$2:$FA$98, 18, FALSE))</f>
        <v>246.07</v>
      </c>
      <c r="T200" s="544">
        <f>IF(VLOOKUP($E$200,[1]UH!$A$2:$FA$98, 19, FALSE)="",":",VLOOKUP($E$200,[1]UH!$A$2:$FA$98, 19, FALSE))</f>
        <v>306.76</v>
      </c>
      <c r="U200" s="544">
        <f>IF(VLOOKUP($E$200,[1]UH!$A$2:$FA$98, 20, FALSE)="",":",VLOOKUP($E$200,[1]UH!$A$2:$FA$98, 20, FALSE))</f>
        <v>122.14</v>
      </c>
      <c r="V200" s="544">
        <f>IF(VLOOKUP($E$200,[1]UH!$A$2:$FA$98, 21, FALSE)="",":",VLOOKUP($E$200,[1]UH!$A$2:$FA$98, 21, FALSE))</f>
        <v>95.51</v>
      </c>
      <c r="W200" s="544">
        <f>IF(VLOOKUP($E$200,[1]UH!$A$2:$FA$98, 22, FALSE)="",":",VLOOKUP($E$200,[1]UH!$A$2:$FA$98, 22, FALSE))</f>
        <v>92.94</v>
      </c>
      <c r="X200" s="544">
        <f>IF(VLOOKUP($E$200,[1]UH!$A$2:$FA$98, 23, FALSE)="",":",VLOOKUP($E$200,[1]UH!$A$2:$FA$98, 23, FALSE))</f>
        <v>74.510000000000005</v>
      </c>
      <c r="Y200" s="544">
        <f>IF(VLOOKUP($E$200,[1]UH!$A$2:$FA$98, 24, FALSE)="",":",VLOOKUP($E$200,[1]UH!$A$2:$FA$98, 24, FALSE))</f>
        <v>140.03</v>
      </c>
      <c r="Z200" s="544">
        <f>IF(VLOOKUP($E$200,[1]UH!$A$2:$FA$98, 25, FALSE)="",":",VLOOKUP($E$200,[1]UH!$A$2:$FA$98, 25, FALSE))</f>
        <v>119.8</v>
      </c>
      <c r="AA200" s="544">
        <f>IF(VLOOKUP($E$200,[1]UH!$A$2:$FA$98, 26, FALSE)="",":",VLOOKUP($E$200,[1]UH!$A$2:$FA$98, 26, FALSE))</f>
        <v>128.72</v>
      </c>
      <c r="AB200" s="544">
        <f>IF(VLOOKUP($E$200,[1]UH!$A$2:$FA$98, 27, FALSE)="",":",VLOOKUP($E$200,[1]UH!$A$2:$FA$98, 27, FALSE))</f>
        <v>131.06</v>
      </c>
      <c r="AC200" s="544" t="str">
        <f>IF(VLOOKUP($E$200,[1]UH!$A$2:$FA$98, 28, FALSE)="",":",VLOOKUP($E$200,[1]UH!$A$2:$FA$98, 28, FALSE))</f>
        <v>:</v>
      </c>
      <c r="AD200" s="544" t="str">
        <f>IF(VLOOKUP($E$200,[1]UH!$A$2:$FA$98, 29, FALSE)="",":",VLOOKUP($E$200,[1]UH!$A$2:$FA$98, 29, FALSE))</f>
        <v>:</v>
      </c>
      <c r="AE200" s="544" t="str">
        <f>IF(VLOOKUP($E$200,[1]UH!$A$2:$FA$98, 30, FALSE)="",":",VLOOKUP($E$200,[1]UH!$A$2:$FA$98, 30, FALSE))</f>
        <v>:</v>
      </c>
      <c r="AF200" s="544" t="str">
        <f>IF(VLOOKUP($E$200,[1]UH!$A$2:$FA$98, 31, FALSE)="",":",VLOOKUP($E$200,[1]UH!$A$2:$FA$98, 31, FALSE))</f>
        <v>:</v>
      </c>
    </row>
    <row r="201" spans="1:32">
      <c r="A201" s="533"/>
      <c r="B201" s="534" t="s">
        <v>17</v>
      </c>
      <c r="C201" s="535" t="s">
        <v>1635</v>
      </c>
      <c r="D201" s="12" t="s">
        <v>1216</v>
      </c>
      <c r="E201" s="13">
        <v>27</v>
      </c>
      <c r="F201" s="14" t="str">
        <f>VLOOKUP($E$201,[1]UH!$A$2:$FA$98, 3, FALSE)</f>
        <v>27 Capital transfers, receivable D.9r</v>
      </c>
      <c r="G201" s="544">
        <f>IF(VLOOKUP($E$201,[1]UH!$A$2:$FA$98, 6, FALSE)="",":",VLOOKUP($E$201,[1]UH!$A$2:$FA$98, 6, FALSE))</f>
        <v>17.899999999999999</v>
      </c>
      <c r="H201" s="544">
        <f>IF(VLOOKUP($E$201,[1]UH!$A$2:$FA$98, 7, FALSE)="",":",VLOOKUP($E$201,[1]UH!$A$2:$FA$98, 7, FALSE))</f>
        <v>30.32</v>
      </c>
      <c r="I201" s="544">
        <f>IF(VLOOKUP($E$201,[1]UH!$A$2:$FA$98, 8, FALSE)="",":",VLOOKUP($E$201,[1]UH!$A$2:$FA$98, 8, FALSE))</f>
        <v>1471.13</v>
      </c>
      <c r="J201" s="544">
        <f>IF(VLOOKUP($E$201,[1]UH!$A$2:$FA$98, 9, FALSE)="",":",VLOOKUP($E$201,[1]UH!$A$2:$FA$98, 9, FALSE))</f>
        <v>49.87</v>
      </c>
      <c r="K201" s="544">
        <f>IF(VLOOKUP($E$201,[1]UH!$A$2:$FA$98, 10, FALSE)="",":",VLOOKUP($E$201,[1]UH!$A$2:$FA$98, 10, FALSE))</f>
        <v>52.16</v>
      </c>
      <c r="L201" s="544">
        <f>IF(VLOOKUP($E$201,[1]UH!$A$2:$FA$98, 11, FALSE)="",":",VLOOKUP($E$201,[1]UH!$A$2:$FA$98, 11, FALSE))</f>
        <v>195.4</v>
      </c>
      <c r="M201" s="544">
        <f>IF(VLOOKUP($E$201,[1]UH!$A$2:$FA$98, 12, FALSE)="",":",VLOOKUP($E$201,[1]UH!$A$2:$FA$98, 12, FALSE))</f>
        <v>29.07</v>
      </c>
      <c r="N201" s="544">
        <f>IF(VLOOKUP($E$201,[1]UH!$A$2:$FA$98, 13, FALSE)="",":",VLOOKUP($E$201,[1]UH!$A$2:$FA$98, 13, FALSE))</f>
        <v>25.07</v>
      </c>
      <c r="O201" s="544">
        <f>IF(VLOOKUP($E$201,[1]UH!$A$2:$FA$98, 14, FALSE)="",":",VLOOKUP($E$201,[1]UH!$A$2:$FA$98, 14, FALSE))</f>
        <v>34.51</v>
      </c>
      <c r="P201" s="544">
        <f>IF(VLOOKUP($E$201,[1]UH!$A$2:$FA$98, 15, FALSE)="",":",VLOOKUP($E$201,[1]UH!$A$2:$FA$98, 15, FALSE))</f>
        <v>86.11</v>
      </c>
      <c r="Q201" s="544">
        <f>IF(VLOOKUP($E$201,[1]UH!$A$2:$FA$98, 16, FALSE)="",":",VLOOKUP($E$201,[1]UH!$A$2:$FA$98, 16, FALSE))</f>
        <v>72.849999999999994</v>
      </c>
      <c r="R201" s="544">
        <f>IF(VLOOKUP($E$201,[1]UH!$A$2:$FA$98, 17, FALSE)="",":",VLOOKUP($E$201,[1]UH!$A$2:$FA$98, 17, FALSE))</f>
        <v>79.62</v>
      </c>
      <c r="S201" s="544">
        <f>IF(VLOOKUP($E$201,[1]UH!$A$2:$FA$98, 18, FALSE)="",":",VLOOKUP($E$201,[1]UH!$A$2:$FA$98, 18, FALSE))</f>
        <v>185.66</v>
      </c>
      <c r="T201" s="544">
        <f>IF(VLOOKUP($E$201,[1]UH!$A$2:$FA$98, 19, FALSE)="",":",VLOOKUP($E$201,[1]UH!$A$2:$FA$98, 19, FALSE))</f>
        <v>46.22</v>
      </c>
      <c r="U201" s="544">
        <f>IF(VLOOKUP($E$201,[1]UH!$A$2:$FA$98, 20, FALSE)="",":",VLOOKUP($E$201,[1]UH!$A$2:$FA$98, 20, FALSE))</f>
        <v>32.49</v>
      </c>
      <c r="V201" s="544">
        <f>IF(VLOOKUP($E$201,[1]UH!$A$2:$FA$98, 21, FALSE)="",":",VLOOKUP($E$201,[1]UH!$A$2:$FA$98, 21, FALSE))</f>
        <v>40.43</v>
      </c>
      <c r="W201" s="544">
        <f>IF(VLOOKUP($E$201,[1]UH!$A$2:$FA$98, 22, FALSE)="",":",VLOOKUP($E$201,[1]UH!$A$2:$FA$98, 22, FALSE))</f>
        <v>1237.45</v>
      </c>
      <c r="X201" s="544">
        <f>IF(VLOOKUP($E$201,[1]UH!$A$2:$FA$98, 23, FALSE)="",":",VLOOKUP($E$201,[1]UH!$A$2:$FA$98, 23, FALSE))</f>
        <v>39.979999999999997</v>
      </c>
      <c r="Y201" s="544">
        <f>IF(VLOOKUP($E$201,[1]UH!$A$2:$FA$98, 24, FALSE)="",":",VLOOKUP($E$201,[1]UH!$A$2:$FA$98, 24, FALSE))</f>
        <v>74.349999999999994</v>
      </c>
      <c r="Z201" s="544">
        <f>IF(VLOOKUP($E$201,[1]UH!$A$2:$FA$98, 25, FALSE)="",":",VLOOKUP($E$201,[1]UH!$A$2:$FA$98, 25, FALSE))</f>
        <v>398.35</v>
      </c>
      <c r="AA201" s="544">
        <f>IF(VLOOKUP($E$201,[1]UH!$A$2:$FA$98, 26, FALSE)="",":",VLOOKUP($E$201,[1]UH!$A$2:$FA$98, 26, FALSE))</f>
        <v>143.96</v>
      </c>
      <c r="AB201" s="544">
        <f>IF(VLOOKUP($E$201,[1]UH!$A$2:$FA$98, 27, FALSE)="",":",VLOOKUP($E$201,[1]UH!$A$2:$FA$98, 27, FALSE))</f>
        <v>56.53</v>
      </c>
      <c r="AC201" s="544" t="str">
        <f>IF(VLOOKUP($E$201,[1]UH!$A$2:$FA$98, 28, FALSE)="",":",VLOOKUP($E$201,[1]UH!$A$2:$FA$98, 28, FALSE))</f>
        <v>:</v>
      </c>
      <c r="AD201" s="544" t="str">
        <f>IF(VLOOKUP($E$201,[1]UH!$A$2:$FA$98, 29, FALSE)="",":",VLOOKUP($E$201,[1]UH!$A$2:$FA$98, 29, FALSE))</f>
        <v>:</v>
      </c>
      <c r="AE201" s="544" t="str">
        <f>IF(VLOOKUP($E$201,[1]UH!$A$2:$FA$98, 30, FALSE)="",":",VLOOKUP($E$201,[1]UH!$A$2:$FA$98, 30, FALSE))</f>
        <v>:</v>
      </c>
      <c r="AF201" s="544" t="str">
        <f>IF(VLOOKUP($E$201,[1]UH!$A$2:$FA$98, 31, FALSE)="",":",VLOOKUP($E$201,[1]UH!$A$2:$FA$98, 31, FALSE))</f>
        <v>:</v>
      </c>
    </row>
    <row r="202" spans="1:32">
      <c r="A202" s="533"/>
      <c r="B202" s="534" t="s">
        <v>18</v>
      </c>
      <c r="C202" s="535" t="s">
        <v>1636</v>
      </c>
      <c r="D202" s="12" t="s">
        <v>1216</v>
      </c>
      <c r="E202" s="13">
        <v>28</v>
      </c>
      <c r="F202" s="14" t="str">
        <f>VLOOKUP($E$202,[1]UH!$A$2:$FA$98, 3, FALSE)</f>
        <v>28 Capital transfers, payable D.9p</v>
      </c>
      <c r="G202" s="544">
        <f>IF(VLOOKUP($E$202,[1]UH!$A$2:$FA$98, 6, FALSE)="",":",VLOOKUP($E$202,[1]UH!$A$2:$FA$98, 6, FALSE))</f>
        <v>0</v>
      </c>
      <c r="H202" s="544">
        <f>IF(VLOOKUP($E$202,[1]UH!$A$2:$FA$98, 7, FALSE)="",":",VLOOKUP($E$202,[1]UH!$A$2:$FA$98, 7, FALSE))</f>
        <v>0</v>
      </c>
      <c r="I202" s="544">
        <f>IF(VLOOKUP($E$202,[1]UH!$A$2:$FA$98, 8, FALSE)="",":",VLOOKUP($E$202,[1]UH!$A$2:$FA$98, 8, FALSE))</f>
        <v>3.0000000000000002E-2</v>
      </c>
      <c r="J202" s="544">
        <f>IF(VLOOKUP($E$202,[1]UH!$A$2:$FA$98, 9, FALSE)="",":",VLOOKUP($E$202,[1]UH!$A$2:$FA$98, 9, FALSE))</f>
        <v>0.2</v>
      </c>
      <c r="K202" s="544">
        <f>IF(VLOOKUP($E$202,[1]UH!$A$2:$FA$98, 10, FALSE)="",":",VLOOKUP($E$202,[1]UH!$A$2:$FA$98, 10, FALSE))</f>
        <v>0.62</v>
      </c>
      <c r="L202" s="544">
        <f>IF(VLOOKUP($E$202,[1]UH!$A$2:$FA$98, 11, FALSE)="",":",VLOOKUP($E$202,[1]UH!$A$2:$FA$98, 11, FALSE))</f>
        <v>0.53</v>
      </c>
      <c r="M202" s="544">
        <f>IF(VLOOKUP($E$202,[1]UH!$A$2:$FA$98, 12, FALSE)="",":",VLOOKUP($E$202,[1]UH!$A$2:$FA$98, 12, FALSE))</f>
        <v>0.65</v>
      </c>
      <c r="N202" s="544">
        <f>IF(VLOOKUP($E$202,[1]UH!$A$2:$FA$98, 13, FALSE)="",":",VLOOKUP($E$202,[1]UH!$A$2:$FA$98, 13, FALSE))</f>
        <v>0.66</v>
      </c>
      <c r="O202" s="544">
        <f>IF(VLOOKUP($E$202,[1]UH!$A$2:$FA$98, 14, FALSE)="",":",VLOOKUP($E$202,[1]UH!$A$2:$FA$98, 14, FALSE))</f>
        <v>0.32</v>
      </c>
      <c r="P202" s="544">
        <f>IF(VLOOKUP($E$202,[1]UH!$A$2:$FA$98, 15, FALSE)="",":",VLOOKUP($E$202,[1]UH!$A$2:$FA$98, 15, FALSE))</f>
        <v>0.5</v>
      </c>
      <c r="Q202" s="544">
        <f>IF(VLOOKUP($E$202,[1]UH!$A$2:$FA$98, 16, FALSE)="",":",VLOOKUP($E$202,[1]UH!$A$2:$FA$98, 16, FALSE))</f>
        <v>0.67</v>
      </c>
      <c r="R202" s="544">
        <f>IF(VLOOKUP($E$202,[1]UH!$A$2:$FA$98, 17, FALSE)="",":",VLOOKUP($E$202,[1]UH!$A$2:$FA$98, 17, FALSE))</f>
        <v>1.21</v>
      </c>
      <c r="S202" s="544">
        <f>IF(VLOOKUP($E$202,[1]UH!$A$2:$FA$98, 18, FALSE)="",":",VLOOKUP($E$202,[1]UH!$A$2:$FA$98, 18, FALSE))</f>
        <v>1.82</v>
      </c>
      <c r="T202" s="544">
        <f>IF(VLOOKUP($E$202,[1]UH!$A$2:$FA$98, 19, FALSE)="",":",VLOOKUP($E$202,[1]UH!$A$2:$FA$98, 19, FALSE))</f>
        <v>1.76</v>
      </c>
      <c r="U202" s="544">
        <f>IF(VLOOKUP($E$202,[1]UH!$A$2:$FA$98, 20, FALSE)="",":",VLOOKUP($E$202,[1]UH!$A$2:$FA$98, 20, FALSE))</f>
        <v>1.78</v>
      </c>
      <c r="V202" s="544">
        <f>IF(VLOOKUP($E$202,[1]UH!$A$2:$FA$98, 21, FALSE)="",":",VLOOKUP($E$202,[1]UH!$A$2:$FA$98, 21, FALSE))</f>
        <v>1.1000000000000001</v>
      </c>
      <c r="W202" s="544">
        <f>IF(VLOOKUP($E$202,[1]UH!$A$2:$FA$98, 22, FALSE)="",":",VLOOKUP($E$202,[1]UH!$A$2:$FA$98, 22, FALSE))</f>
        <v>1</v>
      </c>
      <c r="X202" s="544">
        <f>IF(VLOOKUP($E$202,[1]UH!$A$2:$FA$98, 23, FALSE)="",":",VLOOKUP($E$202,[1]UH!$A$2:$FA$98, 23, FALSE))</f>
        <v>1.2</v>
      </c>
      <c r="Y202" s="544">
        <f>IF(VLOOKUP($E$202,[1]UH!$A$2:$FA$98, 24, FALSE)="",":",VLOOKUP($E$202,[1]UH!$A$2:$FA$98, 24, FALSE))</f>
        <v>1.28</v>
      </c>
      <c r="Z202" s="544">
        <f>IF(VLOOKUP($E$202,[1]UH!$A$2:$FA$98, 25, FALSE)="",":",VLOOKUP($E$202,[1]UH!$A$2:$FA$98, 25, FALSE))</f>
        <v>1.33</v>
      </c>
      <c r="AA202" s="544">
        <f>IF(VLOOKUP($E$202,[1]UH!$A$2:$FA$98, 26, FALSE)="",":",VLOOKUP($E$202,[1]UH!$A$2:$FA$98, 26, FALSE))</f>
        <v>23.63</v>
      </c>
      <c r="AB202" s="544">
        <f>IF(VLOOKUP($E$202,[1]UH!$A$2:$FA$98, 27, FALSE)="",":",VLOOKUP($E$202,[1]UH!$A$2:$FA$98, 27, FALSE))</f>
        <v>1.47</v>
      </c>
      <c r="AC202" s="544" t="str">
        <f>IF(VLOOKUP($E$202,[1]UH!$A$2:$FA$98, 28, FALSE)="",":",VLOOKUP($E$202,[1]UH!$A$2:$FA$98, 28, FALSE))</f>
        <v>:</v>
      </c>
      <c r="AD202" s="544" t="str">
        <f>IF(VLOOKUP($E$202,[1]UH!$A$2:$FA$98, 29, FALSE)="",":",VLOOKUP($E$202,[1]UH!$A$2:$FA$98, 29, FALSE))</f>
        <v>:</v>
      </c>
      <c r="AE202" s="544" t="str">
        <f>IF(VLOOKUP($E$202,[1]UH!$A$2:$FA$98, 30, FALSE)="",":",VLOOKUP($E$202,[1]UH!$A$2:$FA$98, 30, FALSE))</f>
        <v>:</v>
      </c>
      <c r="AF202" s="544" t="str">
        <f>IF(VLOOKUP($E$202,[1]UH!$A$2:$FA$98, 31, FALSE)="",":",VLOOKUP($E$202,[1]UH!$A$2:$FA$98, 31, FALSE))</f>
        <v>:</v>
      </c>
    </row>
    <row r="203" spans="1:32" s="540" customFormat="1">
      <c r="A203" s="536"/>
      <c r="B203" s="537" t="s">
        <v>1064</v>
      </c>
      <c r="C203" s="538" t="s">
        <v>1063</v>
      </c>
      <c r="D203" s="528"/>
      <c r="E203" s="529"/>
      <c r="F203" s="539"/>
      <c r="G203" s="545">
        <f t="shared" ref="G203:AF203" si="9">+G201-G202</f>
        <v>17.899999999999999</v>
      </c>
      <c r="H203" s="545">
        <f t="shared" si="9"/>
        <v>30.32</v>
      </c>
      <c r="I203" s="545">
        <f t="shared" si="9"/>
        <v>1471.1000000000001</v>
      </c>
      <c r="J203" s="545">
        <f t="shared" si="9"/>
        <v>49.669999999999995</v>
      </c>
      <c r="K203" s="545">
        <f t="shared" si="9"/>
        <v>51.54</v>
      </c>
      <c r="L203" s="545">
        <f t="shared" si="9"/>
        <v>194.87</v>
      </c>
      <c r="M203" s="545">
        <f t="shared" si="9"/>
        <v>28.42</v>
      </c>
      <c r="N203" s="545">
        <f t="shared" si="9"/>
        <v>24.41</v>
      </c>
      <c r="O203" s="545">
        <f t="shared" si="9"/>
        <v>34.19</v>
      </c>
      <c r="P203" s="545">
        <f t="shared" si="9"/>
        <v>85.61</v>
      </c>
      <c r="Q203" s="545">
        <f t="shared" si="9"/>
        <v>72.179999999999993</v>
      </c>
      <c r="R203" s="545">
        <f t="shared" si="9"/>
        <v>78.410000000000011</v>
      </c>
      <c r="S203" s="545">
        <f t="shared" si="9"/>
        <v>183.84</v>
      </c>
      <c r="T203" s="545">
        <f t="shared" si="9"/>
        <v>44.46</v>
      </c>
      <c r="U203" s="545">
        <f t="shared" si="9"/>
        <v>30.71</v>
      </c>
      <c r="V203" s="545">
        <f t="shared" si="9"/>
        <v>39.33</v>
      </c>
      <c r="W203" s="545">
        <f t="shared" si="9"/>
        <v>1236.45</v>
      </c>
      <c r="X203" s="545">
        <f t="shared" si="9"/>
        <v>38.779999999999994</v>
      </c>
      <c r="Y203" s="545">
        <f t="shared" si="9"/>
        <v>73.069999999999993</v>
      </c>
      <c r="Z203" s="545">
        <f t="shared" si="9"/>
        <v>397.02000000000004</v>
      </c>
      <c r="AA203" s="545">
        <f t="shared" si="9"/>
        <v>120.33000000000001</v>
      </c>
      <c r="AB203" s="545">
        <f t="shared" si="9"/>
        <v>55.06</v>
      </c>
      <c r="AC203" s="545" t="e">
        <f t="shared" si="9"/>
        <v>#VALUE!</v>
      </c>
      <c r="AD203" s="545" t="e">
        <f t="shared" si="9"/>
        <v>#VALUE!</v>
      </c>
      <c r="AE203" s="545" t="e">
        <f t="shared" si="9"/>
        <v>#VALUE!</v>
      </c>
      <c r="AF203" s="545" t="e">
        <f t="shared" si="9"/>
        <v>#VALUE!</v>
      </c>
    </row>
    <row r="204" spans="1:32">
      <c r="A204" s="533"/>
      <c r="B204" s="534"/>
      <c r="C204" s="535"/>
      <c r="D204" s="12"/>
      <c r="E204" s="13"/>
      <c r="F204" s="14"/>
      <c r="G204" s="544"/>
      <c r="H204" s="544"/>
      <c r="I204" s="544"/>
      <c r="J204" s="544"/>
      <c r="K204" s="544"/>
      <c r="L204" s="544"/>
      <c r="M204" s="544"/>
      <c r="N204" s="544"/>
      <c r="O204" s="544"/>
      <c r="P204" s="544"/>
      <c r="Q204" s="544"/>
      <c r="R204" s="544"/>
      <c r="S204" s="544"/>
      <c r="T204" s="544"/>
      <c r="U204" s="544"/>
      <c r="V204" s="544"/>
      <c r="W204" s="544"/>
      <c r="X204" s="544"/>
      <c r="Y204" s="544"/>
      <c r="Z204" s="544"/>
      <c r="AA204" s="544"/>
      <c r="AB204" s="544"/>
      <c r="AC204" s="544"/>
      <c r="AD204" s="544"/>
      <c r="AE204" s="544"/>
      <c r="AF204" s="544"/>
    </row>
    <row r="205" spans="1:32">
      <c r="A205" s="533"/>
      <c r="B205" s="534" t="s">
        <v>19</v>
      </c>
      <c r="C205" s="535" t="s">
        <v>1629</v>
      </c>
      <c r="D205" s="12" t="s">
        <v>1216</v>
      </c>
      <c r="E205" s="13">
        <v>33</v>
      </c>
      <c r="F205" s="14" t="str">
        <f>VLOOKUP($E$205,[1]UH!$A$2:$FA$98, 3, FALSE)</f>
        <v>33 Net acquisitions of non-produced non-financial assets K.2</v>
      </c>
      <c r="G205" s="544">
        <f>IF(VLOOKUP($E$205,[1]UH!$A$2:$FA$98, 6, FALSE)="",":",VLOOKUP($E$205,[1]UH!$A$2:$FA$98, 6, FALSE))</f>
        <v>0</v>
      </c>
      <c r="H205" s="544">
        <f>IF(VLOOKUP($E$205,[1]UH!$A$2:$FA$98, 7, FALSE)="",":",VLOOKUP($E$205,[1]UH!$A$2:$FA$98, 7, FALSE))</f>
        <v>0</v>
      </c>
      <c r="I205" s="544">
        <f>IF(VLOOKUP($E$205,[1]UH!$A$2:$FA$98, 8, FALSE)="",":",VLOOKUP($E$205,[1]UH!$A$2:$FA$98, 8, FALSE))</f>
        <v>-6.42</v>
      </c>
      <c r="J205" s="544">
        <f>IF(VLOOKUP($E$205,[1]UH!$A$2:$FA$98, 9, FALSE)="",":",VLOOKUP($E$205,[1]UH!$A$2:$FA$98, 9, FALSE))</f>
        <v>-1.04</v>
      </c>
      <c r="K205" s="544">
        <f>IF(VLOOKUP($E$205,[1]UH!$A$2:$FA$98, 10, FALSE)="",":",VLOOKUP($E$205,[1]UH!$A$2:$FA$98, 10, FALSE))</f>
        <v>-3.01</v>
      </c>
      <c r="L205" s="544">
        <f>IF(VLOOKUP($E$205,[1]UH!$A$2:$FA$98, 11, FALSE)="",":",VLOOKUP($E$205,[1]UH!$A$2:$FA$98, 11, FALSE))</f>
        <v>-1.6600000000000001</v>
      </c>
      <c r="M205" s="544">
        <f>IF(VLOOKUP($E$205,[1]UH!$A$2:$FA$98, 12, FALSE)="",":",VLOOKUP($E$205,[1]UH!$A$2:$FA$98, 12, FALSE))</f>
        <v>-14.39</v>
      </c>
      <c r="N205" s="544">
        <f>IF(VLOOKUP($E$205,[1]UH!$A$2:$FA$98, 13, FALSE)="",":",VLOOKUP($E$205,[1]UH!$A$2:$FA$98, 13, FALSE))</f>
        <v>-16.190000000000001</v>
      </c>
      <c r="O205" s="544">
        <f>IF(VLOOKUP($E$205,[1]UH!$A$2:$FA$98, 14, FALSE)="",":",VLOOKUP($E$205,[1]UH!$A$2:$FA$98, 14, FALSE))</f>
        <v>-16.88</v>
      </c>
      <c r="P205" s="544">
        <f>IF(VLOOKUP($E$205,[1]UH!$A$2:$FA$98, 15, FALSE)="",":",VLOOKUP($E$205,[1]UH!$A$2:$FA$98, 15, FALSE))</f>
        <v>-45.68</v>
      </c>
      <c r="Q205" s="544">
        <f>IF(VLOOKUP($E$205,[1]UH!$A$2:$FA$98, 16, FALSE)="",":",VLOOKUP($E$205,[1]UH!$A$2:$FA$98, 16, FALSE))</f>
        <v>-148.76</v>
      </c>
      <c r="R205" s="544">
        <f>IF(VLOOKUP($E$205,[1]UH!$A$2:$FA$98, 17, FALSE)="",":",VLOOKUP($E$205,[1]UH!$A$2:$FA$98, 17, FALSE))</f>
        <v>-224.46</v>
      </c>
      <c r="S205" s="544">
        <f>IF(VLOOKUP($E$205,[1]UH!$A$2:$FA$98, 18, FALSE)="",":",VLOOKUP($E$205,[1]UH!$A$2:$FA$98, 18, FALSE))</f>
        <v>-382.24</v>
      </c>
      <c r="T205" s="544">
        <f>IF(VLOOKUP($E$205,[1]UH!$A$2:$FA$98, 19, FALSE)="",":",VLOOKUP($E$205,[1]UH!$A$2:$FA$98, 19, FALSE))</f>
        <v>-164.42</v>
      </c>
      <c r="U205" s="544">
        <f>IF(VLOOKUP($E$205,[1]UH!$A$2:$FA$98, 20, FALSE)="",":",VLOOKUP($E$205,[1]UH!$A$2:$FA$98, 20, FALSE))</f>
        <v>21.72</v>
      </c>
      <c r="V205" s="544">
        <f>IF(VLOOKUP($E$205,[1]UH!$A$2:$FA$98, 21, FALSE)="",":",VLOOKUP($E$205,[1]UH!$A$2:$FA$98, 21, FALSE))</f>
        <v>37.15</v>
      </c>
      <c r="W205" s="544">
        <f>IF(VLOOKUP($E$205,[1]UH!$A$2:$FA$98, 22, FALSE)="",":",VLOOKUP($E$205,[1]UH!$A$2:$FA$98, 22, FALSE))</f>
        <v>-22.91</v>
      </c>
      <c r="X205" s="544">
        <f>IF(VLOOKUP($E$205,[1]UH!$A$2:$FA$98, 23, FALSE)="",":",VLOOKUP($E$205,[1]UH!$A$2:$FA$98, 23, FALSE))</f>
        <v>-42.2</v>
      </c>
      <c r="Y205" s="544">
        <f>IF(VLOOKUP($E$205,[1]UH!$A$2:$FA$98, 24, FALSE)="",":",VLOOKUP($E$205,[1]UH!$A$2:$FA$98, 24, FALSE))</f>
        <v>23.19</v>
      </c>
      <c r="Z205" s="544">
        <f>IF(VLOOKUP($E$205,[1]UH!$A$2:$FA$98, 25, FALSE)="",":",VLOOKUP($E$205,[1]UH!$A$2:$FA$98, 25, FALSE))</f>
        <v>41.37</v>
      </c>
      <c r="AA205" s="544">
        <f>IF(VLOOKUP($E$205,[1]UH!$A$2:$FA$98, 26, FALSE)="",":",VLOOKUP($E$205,[1]UH!$A$2:$FA$98, 26, FALSE))</f>
        <v>-34.590000000000003</v>
      </c>
      <c r="AB205" s="544">
        <f>IF(VLOOKUP($E$205,[1]UH!$A$2:$FA$98, 27, FALSE)="",":",VLOOKUP($E$205,[1]UH!$A$2:$FA$98, 27, FALSE))</f>
        <v>-77.61</v>
      </c>
      <c r="AC205" s="544" t="str">
        <f>IF(VLOOKUP($E$205,[1]UH!$A$2:$FA$98, 28, FALSE)="",":",VLOOKUP($E$205,[1]UH!$A$2:$FA$98, 28, FALSE))</f>
        <v>:</v>
      </c>
      <c r="AD205" s="544" t="str">
        <f>IF(VLOOKUP($E$205,[1]UH!$A$2:$FA$98, 29, FALSE)="",":",VLOOKUP($E$205,[1]UH!$A$2:$FA$98, 29, FALSE))</f>
        <v>:</v>
      </c>
      <c r="AE205" s="544" t="str">
        <f>IF(VLOOKUP($E$205,[1]UH!$A$2:$FA$98, 30, FALSE)="",":",VLOOKUP($E$205,[1]UH!$A$2:$FA$98, 30, FALSE))</f>
        <v>:</v>
      </c>
      <c r="AF205" s="544" t="str">
        <f>IF(VLOOKUP($E$205,[1]UH!$A$2:$FA$98, 31, FALSE)="",":",VLOOKUP($E$205,[1]UH!$A$2:$FA$98, 31, FALSE))</f>
        <v>:</v>
      </c>
    </row>
    <row r="206" spans="1:32">
      <c r="A206" s="533"/>
      <c r="B206" s="534" t="s">
        <v>428</v>
      </c>
      <c r="C206" s="535" t="s">
        <v>1628</v>
      </c>
      <c r="D206" s="12" t="s">
        <v>1216</v>
      </c>
      <c r="E206" s="13">
        <v>30</v>
      </c>
      <c r="F206" s="14" t="str">
        <f>VLOOKUP($E$206,[1]UH!$A$2:$FA$98, 3, FALSE)</f>
        <v>30. Gross fixed capital formation P.51</v>
      </c>
      <c r="G206" s="544">
        <f>IF(VLOOKUP($E$206,[1]UH!$A$2:$FA$98, 6, FALSE)="",":",VLOOKUP($E$206,[1]UH!$A$2:$FA$98, 6, FALSE))</f>
        <v>298.72000000000003</v>
      </c>
      <c r="H206" s="544">
        <f>IF(VLOOKUP($E$206,[1]UH!$A$2:$FA$98, 7, FALSE)="",":",VLOOKUP($E$206,[1]UH!$A$2:$FA$98, 7, FALSE))</f>
        <v>314.49</v>
      </c>
      <c r="I206" s="544">
        <f>IF(VLOOKUP($E$206,[1]UH!$A$2:$FA$98, 8, FALSE)="",":",VLOOKUP($E$206,[1]UH!$A$2:$FA$98, 8, FALSE))</f>
        <v>426.37</v>
      </c>
      <c r="J206" s="544">
        <f>IF(VLOOKUP($E$206,[1]UH!$A$2:$FA$98, 9, FALSE)="",":",VLOOKUP($E$206,[1]UH!$A$2:$FA$98, 9, FALSE))</f>
        <v>584.22</v>
      </c>
      <c r="K206" s="544">
        <f>IF(VLOOKUP($E$206,[1]UH!$A$2:$FA$98, 10, FALSE)="",":",VLOOKUP($E$206,[1]UH!$A$2:$FA$98, 10, FALSE))</f>
        <v>434.16</v>
      </c>
      <c r="L206" s="544">
        <f>IF(VLOOKUP($E$206,[1]UH!$A$2:$FA$98, 11, FALSE)="",":",VLOOKUP($E$206,[1]UH!$A$2:$FA$98, 11, FALSE))</f>
        <v>483.19</v>
      </c>
      <c r="M206" s="544">
        <f>IF(VLOOKUP($E$206,[1]UH!$A$2:$FA$98, 12, FALSE)="",":",VLOOKUP($E$206,[1]UH!$A$2:$FA$98, 12, FALSE))</f>
        <v>535.37</v>
      </c>
      <c r="N206" s="544">
        <f>IF(VLOOKUP($E$206,[1]UH!$A$2:$FA$98, 13, FALSE)="",":",VLOOKUP($E$206,[1]UH!$A$2:$FA$98, 13, FALSE))</f>
        <v>537.12</v>
      </c>
      <c r="O206" s="544">
        <f>IF(VLOOKUP($E$206,[1]UH!$A$2:$FA$98, 14, FALSE)="",":",VLOOKUP($E$206,[1]UH!$A$2:$FA$98, 14, FALSE))</f>
        <v>689.88</v>
      </c>
      <c r="P206" s="544">
        <f>IF(VLOOKUP($E$206,[1]UH!$A$2:$FA$98, 15, FALSE)="",":",VLOOKUP($E$206,[1]UH!$A$2:$FA$98, 15, FALSE))</f>
        <v>793.24</v>
      </c>
      <c r="Q206" s="544">
        <f>IF(VLOOKUP($E$206,[1]UH!$A$2:$FA$98, 16, FALSE)="",":",VLOOKUP($E$206,[1]UH!$A$2:$FA$98, 16, FALSE))</f>
        <v>839.65</v>
      </c>
      <c r="R206" s="544">
        <f>IF(VLOOKUP($E$206,[1]UH!$A$2:$FA$98, 17, FALSE)="",":",VLOOKUP($E$206,[1]UH!$A$2:$FA$98, 17, FALSE))</f>
        <v>877.67</v>
      </c>
      <c r="S206" s="544">
        <f>IF(VLOOKUP($E$206,[1]UH!$A$2:$FA$98, 18, FALSE)="",":",VLOOKUP($E$206,[1]UH!$A$2:$FA$98, 18, FALSE))</f>
        <v>1082.52</v>
      </c>
      <c r="T206" s="544">
        <f>IF(VLOOKUP($E$206,[1]UH!$A$2:$FA$98, 19, FALSE)="",":",VLOOKUP($E$206,[1]UH!$A$2:$FA$98, 19, FALSE))</f>
        <v>1279.19</v>
      </c>
      <c r="U206" s="544">
        <f>IF(VLOOKUP($E$206,[1]UH!$A$2:$FA$98, 20, FALSE)="",":",VLOOKUP($E$206,[1]UH!$A$2:$FA$98, 20, FALSE))</f>
        <v>957.16</v>
      </c>
      <c r="V206" s="544">
        <f>IF(VLOOKUP($E$206,[1]UH!$A$2:$FA$98, 21, FALSE)="",":",VLOOKUP($E$206,[1]UH!$A$2:$FA$98, 21, FALSE))</f>
        <v>922.2</v>
      </c>
      <c r="W206" s="544">
        <f>IF(VLOOKUP($E$206,[1]UH!$A$2:$FA$98, 22, FALSE)="",":",VLOOKUP($E$206,[1]UH!$A$2:$FA$98, 22, FALSE))</f>
        <v>1043.75</v>
      </c>
      <c r="X206" s="544">
        <f>IF(VLOOKUP($E$206,[1]UH!$A$2:$FA$98, 23, FALSE)="",":",VLOOKUP($E$206,[1]UH!$A$2:$FA$98, 23, FALSE))</f>
        <v>1002.99</v>
      </c>
      <c r="Y206" s="544">
        <f>IF(VLOOKUP($E$206,[1]UH!$A$2:$FA$98, 24, FALSE)="",":",VLOOKUP($E$206,[1]UH!$A$2:$FA$98, 24, FALSE))</f>
        <v>1241.3599999999999</v>
      </c>
      <c r="Z206" s="544">
        <f>IF(VLOOKUP($E$206,[1]UH!$A$2:$FA$98, 25, FALSE)="",":",VLOOKUP($E$206,[1]UH!$A$2:$FA$98, 25, FALSE))</f>
        <v>1371.71</v>
      </c>
      <c r="AA206" s="544">
        <f>IF(VLOOKUP($E$206,[1]UH!$A$2:$FA$98, 26, FALSE)="",":",VLOOKUP($E$206,[1]UH!$A$2:$FA$98, 26, FALSE))</f>
        <v>1563.51</v>
      </c>
      <c r="AB206" s="544">
        <f>IF(VLOOKUP($E$206,[1]UH!$A$2:$FA$98, 27, FALSE)="",":",VLOOKUP($E$206,[1]UH!$A$2:$FA$98, 27, FALSE))</f>
        <v>1742.28</v>
      </c>
      <c r="AC206" s="544" t="str">
        <f>IF(VLOOKUP($E$206,[1]UH!$A$2:$FA$98, 28, FALSE)="",":",VLOOKUP($E$206,[1]UH!$A$2:$FA$98, 28, FALSE))</f>
        <v>:</v>
      </c>
      <c r="AD206" s="544" t="str">
        <f>IF(VLOOKUP($E$206,[1]UH!$A$2:$FA$98, 29, FALSE)="",":",VLOOKUP($E$206,[1]UH!$A$2:$FA$98, 29, FALSE))</f>
        <v>:</v>
      </c>
      <c r="AE206" s="544" t="str">
        <f>IF(VLOOKUP($E$206,[1]UH!$A$2:$FA$98, 30, FALSE)="",":",VLOOKUP($E$206,[1]UH!$A$2:$FA$98, 30, FALSE))</f>
        <v>:</v>
      </c>
      <c r="AF206" s="544" t="str">
        <f>IF(VLOOKUP($E$206,[1]UH!$A$2:$FA$98, 31, FALSE)="",":",VLOOKUP($E$206,[1]UH!$A$2:$FA$98, 31, FALSE))</f>
        <v>:</v>
      </c>
    </row>
    <row r="207" spans="1:32">
      <c r="A207" s="533"/>
      <c r="B207" s="534"/>
      <c r="C207" s="535" t="s">
        <v>1630</v>
      </c>
      <c r="D207" s="12" t="s">
        <v>1216</v>
      </c>
      <c r="E207" s="13">
        <v>31</v>
      </c>
      <c r="F207" s="14" t="str">
        <f>VLOOKUP($E$207,[1]UH!$A$2:$FA$98, 3, FALSE)</f>
        <v xml:space="preserve">31 Changes in inventories P.52 </v>
      </c>
      <c r="G207" s="544">
        <f>IF(VLOOKUP($E$207,[1]UH!$A$2:$FA$98, 6, FALSE)="",":",VLOOKUP($E$207,[1]UH!$A$2:$FA$98, 6, FALSE))</f>
        <v>13.18</v>
      </c>
      <c r="H207" s="544">
        <f>IF(VLOOKUP($E$207,[1]UH!$A$2:$FA$98, 7, FALSE)="",":",VLOOKUP($E$207,[1]UH!$A$2:$FA$98, 7, FALSE))</f>
        <v>1.4100000000000001</v>
      </c>
      <c r="I207" s="544">
        <f>IF(VLOOKUP($E$207,[1]UH!$A$2:$FA$98, 8, FALSE)="",":",VLOOKUP($E$207,[1]UH!$A$2:$FA$98, 8, FALSE))</f>
        <v>55.88</v>
      </c>
      <c r="J207" s="544">
        <f>IF(VLOOKUP($E$207,[1]UH!$A$2:$FA$98, 9, FALSE)="",":",VLOOKUP($E$207,[1]UH!$A$2:$FA$98, 9, FALSE))</f>
        <v>24.55</v>
      </c>
      <c r="K207" s="544">
        <f>IF(VLOOKUP($E$207,[1]UH!$A$2:$FA$98, 10, FALSE)="",":",VLOOKUP($E$207,[1]UH!$A$2:$FA$98, 10, FALSE))</f>
        <v>-39.06</v>
      </c>
      <c r="L207" s="544">
        <f>IF(VLOOKUP($E$207,[1]UH!$A$2:$FA$98, 11, FALSE)="",":",VLOOKUP($E$207,[1]UH!$A$2:$FA$98, 11, FALSE))</f>
        <v>-2.2000000000000002</v>
      </c>
      <c r="M207" s="544">
        <f>IF(VLOOKUP($E$207,[1]UH!$A$2:$FA$98, 12, FALSE)="",":",VLOOKUP($E$207,[1]UH!$A$2:$FA$98, 12, FALSE))</f>
        <v>-105.91</v>
      </c>
      <c r="N207" s="544">
        <f>IF(VLOOKUP($E$207,[1]UH!$A$2:$FA$98, 13, FALSE)="",":",VLOOKUP($E$207,[1]UH!$A$2:$FA$98, 13, FALSE))</f>
        <v>-0.85000000000000009</v>
      </c>
      <c r="O207" s="544">
        <f>IF(VLOOKUP($E$207,[1]UH!$A$2:$FA$98, 14, FALSE)="",":",VLOOKUP($E$207,[1]UH!$A$2:$FA$98, 14, FALSE))</f>
        <v>5.82</v>
      </c>
      <c r="P207" s="544">
        <f>IF(VLOOKUP($E$207,[1]UH!$A$2:$FA$98, 15, FALSE)="",":",VLOOKUP($E$207,[1]UH!$A$2:$FA$98, 15, FALSE))</f>
        <v>10.49</v>
      </c>
      <c r="Q207" s="544">
        <f>IF(VLOOKUP($E$207,[1]UH!$A$2:$FA$98, 16, FALSE)="",":",VLOOKUP($E$207,[1]UH!$A$2:$FA$98, 16, FALSE))</f>
        <v>-45.19</v>
      </c>
      <c r="R207" s="544">
        <f>IF(VLOOKUP($E$207,[1]UH!$A$2:$FA$98, 17, FALSE)="",":",VLOOKUP($E$207,[1]UH!$A$2:$FA$98, 17, FALSE))</f>
        <v>-4.4400000000000004</v>
      </c>
      <c r="S207" s="544">
        <f>IF(VLOOKUP($E$207,[1]UH!$A$2:$FA$98, 18, FALSE)="",":",VLOOKUP($E$207,[1]UH!$A$2:$FA$98, 18, FALSE))</f>
        <v>30.49</v>
      </c>
      <c r="T207" s="544">
        <f>IF(VLOOKUP($E$207,[1]UH!$A$2:$FA$98, 19, FALSE)="",":",VLOOKUP($E$207,[1]UH!$A$2:$FA$98, 19, FALSE))</f>
        <v>123.69</v>
      </c>
      <c r="U207" s="544">
        <f>IF(VLOOKUP($E$207,[1]UH!$A$2:$FA$98, 20, FALSE)="",":",VLOOKUP($E$207,[1]UH!$A$2:$FA$98, 20, FALSE))</f>
        <v>-57.79</v>
      </c>
      <c r="V207" s="544">
        <f>IF(VLOOKUP($E$207,[1]UH!$A$2:$FA$98, 21, FALSE)="",":",VLOOKUP($E$207,[1]UH!$A$2:$FA$98, 21, FALSE))</f>
        <v>-34.28</v>
      </c>
      <c r="W207" s="544">
        <f>IF(VLOOKUP($E$207,[1]UH!$A$2:$FA$98, 22, FALSE)="",":",VLOOKUP($E$207,[1]UH!$A$2:$FA$98, 22, FALSE))</f>
        <v>42.15</v>
      </c>
      <c r="X207" s="544">
        <f>IF(VLOOKUP($E$207,[1]UH!$A$2:$FA$98, 23, FALSE)="",":",VLOOKUP($E$207,[1]UH!$A$2:$FA$98, 23, FALSE))</f>
        <v>84.49</v>
      </c>
      <c r="Y207" s="544">
        <f>IF(VLOOKUP($E$207,[1]UH!$A$2:$FA$98, 24, FALSE)="",":",VLOOKUP($E$207,[1]UH!$A$2:$FA$98, 24, FALSE))</f>
        <v>90.8</v>
      </c>
      <c r="Z207" s="544">
        <f>IF(VLOOKUP($E$207,[1]UH!$A$2:$FA$98, 25, FALSE)="",":",VLOOKUP($E$207,[1]UH!$A$2:$FA$98, 25, FALSE))</f>
        <v>10.24</v>
      </c>
      <c r="AA207" s="544">
        <f>IF(VLOOKUP($E$207,[1]UH!$A$2:$FA$98, 26, FALSE)="",":",VLOOKUP($E$207,[1]UH!$A$2:$FA$98, 26, FALSE))</f>
        <v>18.649999999999999</v>
      </c>
      <c r="AB207" s="544">
        <f>IF(VLOOKUP($E$207,[1]UH!$A$2:$FA$98, 27, FALSE)="",":",VLOOKUP($E$207,[1]UH!$A$2:$FA$98, 27, FALSE))</f>
        <v>-13.99</v>
      </c>
      <c r="AC207" s="544" t="str">
        <f>IF(VLOOKUP($E$207,[1]UH!$A$2:$FA$98, 28, FALSE)="",":",VLOOKUP($E$207,[1]UH!$A$2:$FA$98, 28, FALSE))</f>
        <v>:</v>
      </c>
      <c r="AD207" s="544" t="str">
        <f>IF(VLOOKUP($E$207,[1]UH!$A$2:$FA$98, 29, FALSE)="",":",VLOOKUP($E$207,[1]UH!$A$2:$FA$98, 29, FALSE))</f>
        <v>:</v>
      </c>
      <c r="AE207" s="544" t="str">
        <f>IF(VLOOKUP($E$207,[1]UH!$A$2:$FA$98, 30, FALSE)="",":",VLOOKUP($E$207,[1]UH!$A$2:$FA$98, 30, FALSE))</f>
        <v>:</v>
      </c>
      <c r="AF207" s="544" t="str">
        <f>IF(VLOOKUP($E$207,[1]UH!$A$2:$FA$98, 31, FALSE)="",":",VLOOKUP($E$207,[1]UH!$A$2:$FA$98, 31, FALSE))</f>
        <v>:</v>
      </c>
    </row>
    <row r="208" spans="1:32">
      <c r="A208" s="533"/>
      <c r="B208" s="534"/>
      <c r="C208" s="535" t="s">
        <v>878</v>
      </c>
      <c r="D208" s="12" t="s">
        <v>1216</v>
      </c>
      <c r="E208" s="13">
        <v>32</v>
      </c>
      <c r="F208" s="14" t="str">
        <f>VLOOKUP($E$208,[1]UH!$A$2:$FA$98, 3, FALSE)</f>
        <v>32 Net acquisitions of valuables P.53</v>
      </c>
      <c r="G208" s="544">
        <f>IF(VLOOKUP($E$208,[1]UH!$A$2:$FA$98, 6, FALSE)="",":",VLOOKUP($E$208,[1]UH!$A$2:$FA$98, 6, FALSE))</f>
        <v>-0.17</v>
      </c>
      <c r="H208" s="544">
        <f>IF(VLOOKUP($E$208,[1]UH!$A$2:$FA$98, 7, FALSE)="",":",VLOOKUP($E$208,[1]UH!$A$2:$FA$98, 7, FALSE))</f>
        <v>0.67</v>
      </c>
      <c r="I208" s="544">
        <f>IF(VLOOKUP($E$208,[1]UH!$A$2:$FA$98, 8, FALSE)="",":",VLOOKUP($E$208,[1]UH!$A$2:$FA$98, 8, FALSE))</f>
        <v>1.02</v>
      </c>
      <c r="J208" s="544">
        <f>IF(VLOOKUP($E$208,[1]UH!$A$2:$FA$98, 9, FALSE)="",":",VLOOKUP($E$208,[1]UH!$A$2:$FA$98, 9, FALSE))</f>
        <v>2.2800000000000002</v>
      </c>
      <c r="K208" s="544">
        <f>IF(VLOOKUP($E$208,[1]UH!$A$2:$FA$98, 10, FALSE)="",":",VLOOKUP($E$208,[1]UH!$A$2:$FA$98, 10, FALSE))</f>
        <v>2.59</v>
      </c>
      <c r="L208" s="544">
        <f>IF(VLOOKUP($E$208,[1]UH!$A$2:$FA$98, 11, FALSE)="",":",VLOOKUP($E$208,[1]UH!$A$2:$FA$98, 11, FALSE))</f>
        <v>2.0299999999999998</v>
      </c>
      <c r="M208" s="544">
        <f>IF(VLOOKUP($E$208,[1]UH!$A$2:$FA$98, 12, FALSE)="",":",VLOOKUP($E$208,[1]UH!$A$2:$FA$98, 12, FALSE))</f>
        <v>1.61</v>
      </c>
      <c r="N208" s="544">
        <f>IF(VLOOKUP($E$208,[1]UH!$A$2:$FA$98, 13, FALSE)="",":",VLOOKUP($E$208,[1]UH!$A$2:$FA$98, 13, FALSE))</f>
        <v>-1</v>
      </c>
      <c r="O208" s="544">
        <f>IF(VLOOKUP($E$208,[1]UH!$A$2:$FA$98, 14, FALSE)="",":",VLOOKUP($E$208,[1]UH!$A$2:$FA$98, 14, FALSE))</f>
        <v>2.84</v>
      </c>
      <c r="P208" s="544">
        <f>IF(VLOOKUP($E$208,[1]UH!$A$2:$FA$98, 15, FALSE)="",":",VLOOKUP($E$208,[1]UH!$A$2:$FA$98, 15, FALSE))</f>
        <v>3.96</v>
      </c>
      <c r="Q208" s="544">
        <f>IF(VLOOKUP($E$208,[1]UH!$A$2:$FA$98, 16, FALSE)="",":",VLOOKUP($E$208,[1]UH!$A$2:$FA$98, 16, FALSE))</f>
        <v>5.51</v>
      </c>
      <c r="R208" s="544">
        <f>IF(VLOOKUP($E$208,[1]UH!$A$2:$FA$98, 17, FALSE)="",":",VLOOKUP($E$208,[1]UH!$A$2:$FA$98, 17, FALSE))</f>
        <v>9.2799999999999994</v>
      </c>
      <c r="S208" s="544">
        <f>IF(VLOOKUP($E$208,[1]UH!$A$2:$FA$98, 18, FALSE)="",":",VLOOKUP($E$208,[1]UH!$A$2:$FA$98, 18, FALSE))</f>
        <v>15.68</v>
      </c>
      <c r="T208" s="544">
        <f>IF(VLOOKUP($E$208,[1]UH!$A$2:$FA$98, 19, FALSE)="",":",VLOOKUP($E$208,[1]UH!$A$2:$FA$98, 19, FALSE))</f>
        <v>11.84</v>
      </c>
      <c r="U208" s="544">
        <f>IF(VLOOKUP($E$208,[1]UH!$A$2:$FA$98, 20, FALSE)="",":",VLOOKUP($E$208,[1]UH!$A$2:$FA$98, 20, FALSE))</f>
        <v>0.96000000000000008</v>
      </c>
      <c r="V208" s="544">
        <f>IF(VLOOKUP($E$208,[1]UH!$A$2:$FA$98, 21, FALSE)="",":",VLOOKUP($E$208,[1]UH!$A$2:$FA$98, 21, FALSE))</f>
        <v>7.14</v>
      </c>
      <c r="W208" s="544">
        <f>IF(VLOOKUP($E$208,[1]UH!$A$2:$FA$98, 22, FALSE)="",":",VLOOKUP($E$208,[1]UH!$A$2:$FA$98, 22, FALSE))</f>
        <v>22.67</v>
      </c>
      <c r="X208" s="544">
        <f>IF(VLOOKUP($E$208,[1]UH!$A$2:$FA$98, 23, FALSE)="",":",VLOOKUP($E$208,[1]UH!$A$2:$FA$98, 23, FALSE))</f>
        <v>3.87</v>
      </c>
      <c r="Y208" s="544">
        <f>IF(VLOOKUP($E$208,[1]UH!$A$2:$FA$98, 24, FALSE)="",":",VLOOKUP($E$208,[1]UH!$A$2:$FA$98, 24, FALSE))</f>
        <v>12.56</v>
      </c>
      <c r="Z208" s="544">
        <f>IF(VLOOKUP($E$208,[1]UH!$A$2:$FA$98, 25, FALSE)="",":",VLOOKUP($E$208,[1]UH!$A$2:$FA$98, 25, FALSE))</f>
        <v>2.73</v>
      </c>
      <c r="AA208" s="544">
        <f>IF(VLOOKUP($E$208,[1]UH!$A$2:$FA$98, 26, FALSE)="",":",VLOOKUP($E$208,[1]UH!$A$2:$FA$98, 26, FALSE))</f>
        <v>10.3</v>
      </c>
      <c r="AB208" s="544">
        <f>IF(VLOOKUP($E$208,[1]UH!$A$2:$FA$98, 27, FALSE)="",":",VLOOKUP($E$208,[1]UH!$A$2:$FA$98, 27, FALSE))</f>
        <v>9.68</v>
      </c>
      <c r="AC208" s="544" t="str">
        <f>IF(VLOOKUP($E$208,[1]UH!$A$2:$FA$98, 28, FALSE)="",":",VLOOKUP($E$208,[1]UH!$A$2:$FA$98, 28, FALSE))</f>
        <v>:</v>
      </c>
      <c r="AD208" s="544" t="str">
        <f>IF(VLOOKUP($E$208,[1]UH!$A$2:$FA$98, 29, FALSE)="",":",VLOOKUP($E$208,[1]UH!$A$2:$FA$98, 29, FALSE))</f>
        <v>:</v>
      </c>
      <c r="AE208" s="544" t="str">
        <f>IF(VLOOKUP($E$208,[1]UH!$A$2:$FA$98, 30, FALSE)="",":",VLOOKUP($E$208,[1]UH!$A$2:$FA$98, 30, FALSE))</f>
        <v>:</v>
      </c>
      <c r="AF208" s="544" t="str">
        <f>IF(VLOOKUP($E$208,[1]UH!$A$2:$FA$98, 31, FALSE)="",":",VLOOKUP($E$208,[1]UH!$A$2:$FA$98, 31, FALSE))</f>
        <v>:</v>
      </c>
    </row>
    <row r="209" spans="1:32" s="540" customFormat="1">
      <c r="A209" s="536"/>
      <c r="B209" s="537" t="s">
        <v>2076</v>
      </c>
      <c r="C209" s="538" t="s">
        <v>476</v>
      </c>
      <c r="D209" s="528"/>
      <c r="E209" s="529"/>
      <c r="F209" s="539"/>
      <c r="G209" s="545">
        <f t="shared" ref="G209:AF209" si="10">+G207+G208</f>
        <v>13.01</v>
      </c>
      <c r="H209" s="545">
        <f t="shared" si="10"/>
        <v>2.08</v>
      </c>
      <c r="I209" s="545">
        <f t="shared" si="10"/>
        <v>56.900000000000006</v>
      </c>
      <c r="J209" s="545">
        <f t="shared" si="10"/>
        <v>26.830000000000002</v>
      </c>
      <c r="K209" s="545">
        <f t="shared" si="10"/>
        <v>-36.47</v>
      </c>
      <c r="L209" s="545">
        <f t="shared" si="10"/>
        <v>-0.17000000000000037</v>
      </c>
      <c r="M209" s="545">
        <f t="shared" si="10"/>
        <v>-104.3</v>
      </c>
      <c r="N209" s="545">
        <f t="shared" si="10"/>
        <v>-1.85</v>
      </c>
      <c r="O209" s="545">
        <f t="shared" si="10"/>
        <v>8.66</v>
      </c>
      <c r="P209" s="545">
        <f t="shared" si="10"/>
        <v>14.45</v>
      </c>
      <c r="Q209" s="545">
        <f t="shared" si="10"/>
        <v>-39.68</v>
      </c>
      <c r="R209" s="545">
        <f t="shared" si="10"/>
        <v>4.839999999999999</v>
      </c>
      <c r="S209" s="545">
        <f t="shared" si="10"/>
        <v>46.17</v>
      </c>
      <c r="T209" s="545">
        <f t="shared" si="10"/>
        <v>135.53</v>
      </c>
      <c r="U209" s="545">
        <f t="shared" si="10"/>
        <v>-56.83</v>
      </c>
      <c r="V209" s="545">
        <f t="shared" si="10"/>
        <v>-27.14</v>
      </c>
      <c r="W209" s="545">
        <f t="shared" si="10"/>
        <v>64.819999999999993</v>
      </c>
      <c r="X209" s="545">
        <f t="shared" si="10"/>
        <v>88.36</v>
      </c>
      <c r="Y209" s="545">
        <f t="shared" si="10"/>
        <v>103.36</v>
      </c>
      <c r="Z209" s="545">
        <f t="shared" si="10"/>
        <v>12.97</v>
      </c>
      <c r="AA209" s="545">
        <f t="shared" si="10"/>
        <v>28.95</v>
      </c>
      <c r="AB209" s="545">
        <f t="shared" si="10"/>
        <v>-4.3100000000000005</v>
      </c>
      <c r="AC209" s="545" t="e">
        <f t="shared" si="10"/>
        <v>#VALUE!</v>
      </c>
      <c r="AD209" s="545" t="e">
        <f t="shared" si="10"/>
        <v>#VALUE!</v>
      </c>
      <c r="AE209" s="545" t="e">
        <f t="shared" si="10"/>
        <v>#VALUE!</v>
      </c>
      <c r="AF209" s="545" t="e">
        <f t="shared" si="10"/>
        <v>#VALUE!</v>
      </c>
    </row>
    <row r="210" spans="1:32">
      <c r="A210" s="533"/>
      <c r="B210" s="534"/>
      <c r="C210" s="535"/>
      <c r="D210" s="12"/>
      <c r="E210" s="13"/>
      <c r="F210" s="14"/>
      <c r="G210" s="544"/>
      <c r="H210" s="544"/>
      <c r="I210" s="544"/>
      <c r="J210" s="544"/>
      <c r="K210" s="544"/>
      <c r="L210" s="544"/>
      <c r="M210" s="544"/>
      <c r="N210" s="544"/>
      <c r="O210" s="544"/>
      <c r="P210" s="544"/>
      <c r="Q210" s="544"/>
      <c r="R210" s="544"/>
      <c r="S210" s="544"/>
      <c r="T210" s="544"/>
      <c r="U210" s="544"/>
      <c r="V210" s="544"/>
      <c r="W210" s="544"/>
      <c r="X210" s="544"/>
      <c r="Y210" s="544"/>
      <c r="Z210" s="544"/>
      <c r="AA210" s="544"/>
      <c r="AB210" s="544"/>
      <c r="AC210" s="544"/>
      <c r="AD210" s="544"/>
      <c r="AE210" s="544"/>
      <c r="AF210" s="544"/>
    </row>
    <row r="211" spans="1:32">
      <c r="A211" s="533"/>
      <c r="B211" s="534"/>
      <c r="C211" s="535"/>
      <c r="D211" s="12"/>
      <c r="E211" s="13"/>
      <c r="F211" s="14"/>
      <c r="G211" s="544"/>
      <c r="H211" s="544"/>
      <c r="I211" s="544"/>
      <c r="J211" s="544"/>
      <c r="K211" s="544"/>
      <c r="L211" s="544"/>
      <c r="M211" s="544"/>
      <c r="N211" s="544"/>
      <c r="O211" s="544"/>
      <c r="P211" s="544"/>
      <c r="Q211" s="544"/>
      <c r="R211" s="544"/>
      <c r="S211" s="544"/>
      <c r="T211" s="544"/>
      <c r="U211" s="544"/>
      <c r="V211" s="544"/>
      <c r="W211" s="544"/>
      <c r="X211" s="544"/>
      <c r="Y211" s="544"/>
      <c r="Z211" s="544"/>
      <c r="AA211" s="544"/>
      <c r="AB211" s="544"/>
      <c r="AC211" s="544"/>
      <c r="AD211" s="544"/>
      <c r="AE211" s="544"/>
      <c r="AF211" s="544"/>
    </row>
    <row r="212" spans="1:32">
      <c r="A212" s="533"/>
      <c r="B212" s="534"/>
      <c r="C212" s="535"/>
      <c r="D212" s="12"/>
      <c r="E212" s="13"/>
      <c r="F212" s="14"/>
      <c r="G212" s="544"/>
      <c r="H212" s="544"/>
      <c r="I212" s="544"/>
      <c r="J212" s="544"/>
      <c r="K212" s="544"/>
      <c r="L212" s="544"/>
      <c r="M212" s="544"/>
      <c r="N212" s="544"/>
      <c r="O212" s="544"/>
      <c r="P212" s="544"/>
      <c r="Q212" s="544"/>
      <c r="R212" s="544"/>
      <c r="S212" s="544"/>
      <c r="T212" s="544"/>
      <c r="U212" s="544"/>
      <c r="V212" s="544"/>
      <c r="W212" s="544"/>
      <c r="X212" s="544"/>
      <c r="Y212" s="544"/>
      <c r="Z212" s="544"/>
      <c r="AA212" s="544"/>
      <c r="AB212" s="544"/>
      <c r="AC212" s="544"/>
      <c r="AD212" s="544"/>
      <c r="AE212" s="544"/>
      <c r="AF212" s="544"/>
    </row>
    <row r="213" spans="1:32">
      <c r="A213" s="533"/>
      <c r="B213" s="534"/>
      <c r="C213" s="535"/>
      <c r="D213" s="12"/>
      <c r="E213" s="13"/>
      <c r="F213" s="14"/>
      <c r="G213" s="544"/>
      <c r="H213" s="544"/>
      <c r="I213" s="544"/>
      <c r="J213" s="544"/>
      <c r="K213" s="544"/>
      <c r="L213" s="544"/>
      <c r="M213" s="544"/>
      <c r="N213" s="544"/>
      <c r="O213" s="544"/>
      <c r="P213" s="544"/>
      <c r="Q213" s="544"/>
      <c r="R213" s="544"/>
      <c r="S213" s="544"/>
      <c r="T213" s="544"/>
      <c r="U213" s="544"/>
      <c r="V213" s="544"/>
      <c r="W213" s="544"/>
      <c r="X213" s="544"/>
      <c r="Y213" s="544"/>
      <c r="Z213" s="544"/>
      <c r="AA213" s="544"/>
      <c r="AB213" s="544"/>
      <c r="AC213" s="544"/>
      <c r="AD213" s="544"/>
      <c r="AE213" s="544"/>
      <c r="AF213" s="544"/>
    </row>
    <row r="214" spans="1:32">
      <c r="A214" s="533"/>
      <c r="B214" s="534"/>
      <c r="C214" s="535"/>
      <c r="D214" s="12"/>
      <c r="E214" s="13"/>
      <c r="F214" s="14"/>
      <c r="G214" s="544"/>
      <c r="H214" s="544"/>
      <c r="I214" s="544"/>
      <c r="J214" s="544"/>
      <c r="K214" s="544"/>
      <c r="L214" s="544"/>
      <c r="M214" s="544"/>
      <c r="N214" s="544"/>
      <c r="O214" s="544"/>
      <c r="P214" s="544"/>
      <c r="Q214" s="544"/>
      <c r="R214" s="544"/>
      <c r="S214" s="544"/>
      <c r="T214" s="544"/>
      <c r="U214" s="544"/>
      <c r="V214" s="544"/>
      <c r="W214" s="544"/>
      <c r="X214" s="544"/>
      <c r="Y214" s="544"/>
      <c r="Z214" s="544"/>
      <c r="AA214" s="544"/>
      <c r="AB214" s="544"/>
      <c r="AC214" s="544"/>
      <c r="AD214" s="544"/>
      <c r="AE214" s="544"/>
      <c r="AF214" s="544"/>
    </row>
    <row r="215" spans="1:32">
      <c r="A215" s="533"/>
      <c r="B215" s="534"/>
      <c r="C215" s="535"/>
      <c r="D215" s="12"/>
      <c r="E215" s="13"/>
      <c r="F215" s="14"/>
      <c r="G215" s="544"/>
      <c r="H215" s="544"/>
      <c r="I215" s="544"/>
      <c r="J215" s="544"/>
      <c r="K215" s="544"/>
      <c r="L215" s="544"/>
      <c r="M215" s="544"/>
      <c r="N215" s="544"/>
      <c r="O215" s="544"/>
      <c r="P215" s="544"/>
      <c r="Q215" s="544"/>
      <c r="R215" s="544"/>
      <c r="S215" s="544"/>
      <c r="T215" s="544"/>
      <c r="U215" s="544"/>
      <c r="V215" s="544"/>
      <c r="W215" s="544"/>
      <c r="X215" s="544"/>
      <c r="Y215" s="544"/>
      <c r="Z215" s="544"/>
      <c r="AA215" s="544"/>
      <c r="AB215" s="544"/>
      <c r="AC215" s="544"/>
      <c r="AD215" s="544"/>
      <c r="AE215" s="544"/>
      <c r="AF215" s="544"/>
    </row>
    <row r="216" spans="1:32">
      <c r="A216" s="533">
        <v>28</v>
      </c>
      <c r="B216" s="534" t="s">
        <v>1855</v>
      </c>
      <c r="C216" s="535"/>
      <c r="D216" s="12" t="s">
        <v>879</v>
      </c>
      <c r="E216" s="13">
        <v>2503</v>
      </c>
      <c r="F216" s="14" t="str">
        <f>VLOOKUP($E$216,[1]DATA_A11!$A$2:$FA$200, 3, FALSE)</f>
        <v>2503 Gross Fixed Capital Formation Public Administration</v>
      </c>
      <c r="G216" s="544">
        <f>IF(VLOOKUP($E$216,[1]DATA_A11!$A$2:$FA$200, 6, FALSE)="",":",VLOOKUP($E$216,[1]DATA_A11!$A$2:$FA$200, 6, FALSE))</f>
        <v>251.1005560704356</v>
      </c>
      <c r="H216" s="544">
        <f>IF(VLOOKUP($E$216,[1]DATA_A11!$A$2:$FA$200, 7, FALSE)="",":",VLOOKUP($E$216,[1]DATA_A11!$A$2:$FA$200, 7, FALSE))</f>
        <v>231.1167747914736</v>
      </c>
      <c r="I216" s="544">
        <f>IF(VLOOKUP($E$216,[1]DATA_A11!$A$2:$FA$200, 8, FALSE)="",":",VLOOKUP($E$216,[1]DATA_A11!$A$2:$FA$200, 8, FALSE))</f>
        <v>265.58155699721965</v>
      </c>
      <c r="J216" s="544">
        <f>IF(VLOOKUP($E$216,[1]DATA_A11!$A$2:$FA$200, 9, FALSE)="",":",VLOOKUP($E$216,[1]DATA_A11!$A$2:$FA$200, 9, FALSE))</f>
        <v>329.58758109360519</v>
      </c>
      <c r="K216" s="544">
        <f>IF(VLOOKUP($E$216,[1]DATA_A11!$A$2:$FA$197, 10, FALSE)="",":",VLOOKUP($E$216,[1]DATA_A11!$A$2:$FA$197, 10, FALSE))</f>
        <v>326.11214087117702</v>
      </c>
      <c r="L216" s="544">
        <f>IF(VLOOKUP($E$216,[1]DATA_A11!$A$2:$FA$197, 11, FALSE)="",":",VLOOKUP($E$216,[1]DATA_A11!$A$2:$FA$197, 11, FALSE))</f>
        <v>318.58202038924929</v>
      </c>
      <c r="M216" s="544">
        <f>IF(VLOOKUP($E$216,[1]DATA_A11!$A$2:$FA$197, 12, FALSE)="",":",VLOOKUP($E$216,[1]DATA_A11!$A$2:$FA$197, 12, FALSE))</f>
        <v>317.42354031510661</v>
      </c>
      <c r="N216" s="544">
        <f>IF(VLOOKUP($E$216,[1]DATA_A11!$A$2:$FA$197, 13, FALSE)="",":",VLOOKUP($E$216,[1]DATA_A11!$A$2:$FA$197, 13, FALSE))</f>
        <v>437.03660797034291</v>
      </c>
      <c r="O216" s="544">
        <f>IF(VLOOKUP($E$216,[1]DATA_A11!$A$2:$FA$197, 14, FALSE)="",":",VLOOKUP($E$216,[1]DATA_A11!$A$2:$FA$197, 14, FALSE))</f>
        <v>495.82947173308622</v>
      </c>
      <c r="P216" s="544">
        <f>IF(VLOOKUP($E$216,[1]DATA_A11!$A$2:$FA$197, 15, FALSE)="",":",VLOOKUP($E$216,[1]DATA_A11!$A$2:$FA$197, 15, FALSE))</f>
        <v>634.55746061167747</v>
      </c>
      <c r="Q216" s="544">
        <f>IF(VLOOKUP($E$216,[1]DATA_A11!$A$2:$FA$197, 16, FALSE)="",":",VLOOKUP($E$216,[1]DATA_A11!$A$2:$FA$197, 16, FALSE))</f>
        <v>836.53803651151475</v>
      </c>
      <c r="R216" s="544">
        <f>IF(VLOOKUP($E$216,[1]DATA_A11!$A$2:$FA$197, 17, FALSE)="",":",VLOOKUP($E$216,[1]DATA_A11!$A$2:$FA$197, 17, FALSE))</f>
        <v>1069.8689956331878</v>
      </c>
      <c r="S216" s="544">
        <f>IF(VLOOKUP($E$216,[1]DATA_A11!$A$2:$FA$197, 18, FALSE)="",":",VLOOKUP($E$216,[1]DATA_A11!$A$2:$FA$197, 18, FALSE))</f>
        <v>1504.1622811214236</v>
      </c>
      <c r="T216" s="544">
        <f>IF(VLOOKUP($E$216,[1]DATA_A11!$A$2:$FA$197, 19, FALSE)="",":",VLOOKUP($E$216,[1]DATA_A11!$A$2:$FA$197, 19, FALSE))</f>
        <v>1575.0922310971023</v>
      </c>
      <c r="U216" s="544">
        <f>IF(VLOOKUP($E$216,[1]DATA_A11!$A$2:$FA$197, 20, FALSE)="",":",VLOOKUP($E$216,[1]DATA_A11!$A$2:$FA$197, 20, FALSE))</f>
        <v>1151.1947639518221</v>
      </c>
      <c r="V216" s="544">
        <f>IF(VLOOKUP($E$216,[1]DATA_A11!$A$2:$FA$197, 21, FALSE)="",":",VLOOKUP($E$216,[1]DATA_A11!$A$2:$FA$197, 21, FALSE))</f>
        <v>1391</v>
      </c>
      <c r="W216" s="544">
        <f>IF(VLOOKUP($E$216,[1]DATA_A11!$A$2:$FA$197, 22, FALSE)="",":",VLOOKUP($E$216,[1]DATA_A11!$A$2:$FA$197, 22, FALSE))</f>
        <v>1452.7488286660052</v>
      </c>
      <c r="X216" s="544">
        <f>IF(VLOOKUP($E$216,[1]DATA_A11!$A$2:$FA$197, 23, FALSE)="",":",VLOOKUP($E$216,[1]DATA_A11!$A$2:$FA$197, 23, FALSE))</f>
        <v>1277.7767070749896</v>
      </c>
      <c r="Y216" s="544">
        <f>IF(VLOOKUP($E$216,[1]DATA_A11!$A$2:$FA$197, 24, FALSE)="",":",VLOOKUP($E$216,[1]DATA_A11!$A$2:$FA$197, 24, FALSE))</f>
        <v>1224.955783681605</v>
      </c>
      <c r="Z216" s="544">
        <f>IF(VLOOKUP($E$216,[1]DATA_A11!$A$2:$FA$197, 25, FALSE)="",":",VLOOKUP($E$216,[1]DATA_A11!$A$2:$FA$197, 25, FALSE))</f>
        <v>1186.8310777684246</v>
      </c>
      <c r="AA216" s="544">
        <f>IF(VLOOKUP($E$216,[1]DATA_A11!$A$2:$FA$197, 26, FALSE)="",":",VLOOKUP($E$216,[1]DATA_A11!$A$2:$FA$197, 26, FALSE))</f>
        <v>1256.9245113991626</v>
      </c>
      <c r="AB216" s="544">
        <f>IF(VLOOKUP($E$216,[1]DATA_A11!$A$2:$FA$197, 27, FALSE)="",":",VLOOKUP($E$216,[1]DATA_A11!$A$2:$FA$197, 27, FALSE))</f>
        <v>1051.5189619667233</v>
      </c>
      <c r="AC216" s="544" t="e">
        <f>IF(VLOOKUP($E$216,[1]DATA_A11!$A$2:$FA$197, 28, FALSE)="",":",VLOOKUP($E$216,[1]DATA_A11!$A$2:$FA$197, 28, FALSE))</f>
        <v>#VALUE!</v>
      </c>
      <c r="AD216" s="544" t="str">
        <f>IF(VLOOKUP($E$216,[1]DATA_A11!$A$2:$FA$197, 29, FALSE)="",":",VLOOKUP($E$216,[1]DATA_A11!$A$2:$FA$197, 29, FALSE))</f>
        <v>:</v>
      </c>
      <c r="AE216" s="544" t="str">
        <f>IF(VLOOKUP($E$216,[1]DATA_A11!$A$2:$FA$197, 30, FALSE)="",":",VLOOKUP($E$216,[1]DATA_A11!$A$2:$FA$197, 30, FALSE))</f>
        <v>:</v>
      </c>
      <c r="AF216" s="544" t="str">
        <f>IF(VLOOKUP($E$216,[1]DATA_A11!$A$2:$FA$197, 31, FALSE)="",":",VLOOKUP($E$216,[1]DATA_A11!$A$2:$FA$197, 31, FALSE))</f>
        <v>:</v>
      </c>
    </row>
    <row r="217" spans="1:32">
      <c r="A217" s="533"/>
      <c r="B217" s="534"/>
      <c r="C217" s="535"/>
      <c r="D217" s="12" t="s">
        <v>879</v>
      </c>
      <c r="E217" s="13">
        <v>2502</v>
      </c>
      <c r="F217" s="14" t="str">
        <f>VLOOKUP($E$217,[1]DATA_A11!$A$2:$FA$200, 3, FALSE)</f>
        <v>2502 Gross Fixed Capital Formation Households</v>
      </c>
      <c r="G217" s="544"/>
      <c r="H217" s="544"/>
      <c r="I217" s="544"/>
      <c r="J217" s="544"/>
      <c r="K217" s="544"/>
      <c r="L217" s="544"/>
      <c r="M217" s="544"/>
      <c r="N217" s="544"/>
      <c r="O217" s="544"/>
      <c r="P217" s="544"/>
      <c r="Q217" s="544"/>
      <c r="R217" s="544"/>
      <c r="S217" s="544"/>
      <c r="T217" s="544"/>
      <c r="U217" s="544"/>
      <c r="V217" s="544"/>
      <c r="W217" s="544"/>
      <c r="X217" s="544"/>
      <c r="Y217" s="544"/>
      <c r="Z217" s="544"/>
      <c r="AA217" s="544"/>
      <c r="AB217" s="544"/>
      <c r="AC217" s="544"/>
      <c r="AD217" s="544"/>
      <c r="AE217" s="544"/>
      <c r="AF217" s="544"/>
    </row>
    <row r="218" spans="1:32">
      <c r="A218" s="533"/>
      <c r="B218" s="534"/>
      <c r="C218" s="535"/>
      <c r="D218" s="12" t="s">
        <v>879</v>
      </c>
      <c r="E218" s="13">
        <v>2501</v>
      </c>
      <c r="F218" s="14" t="str">
        <f>VLOOKUP($E$218,[1]DATA_A11!$A$2:$FA$200, 3, FALSE)</f>
        <v>2501 Gross Fixed Capital Formation Corporations, Self-employed and NPISH</v>
      </c>
      <c r="G218" s="544"/>
      <c r="H218" s="544"/>
      <c r="I218" s="544"/>
      <c r="J218" s="544"/>
      <c r="K218" s="544"/>
      <c r="L218" s="544"/>
      <c r="M218" s="544"/>
      <c r="N218" s="544"/>
      <c r="O218" s="544"/>
      <c r="P218" s="544"/>
      <c r="Q218" s="544"/>
      <c r="R218" s="544"/>
      <c r="S218" s="544"/>
      <c r="T218" s="544"/>
      <c r="U218" s="544"/>
      <c r="V218" s="544"/>
      <c r="W218" s="544"/>
      <c r="X218" s="544"/>
      <c r="Y218" s="544"/>
      <c r="Z218" s="544"/>
      <c r="AA218" s="544"/>
      <c r="AB218" s="544"/>
      <c r="AC218" s="544"/>
      <c r="AD218" s="544"/>
      <c r="AE218" s="544"/>
      <c r="AF218" s="544"/>
    </row>
    <row r="219" spans="1:32">
      <c r="A219" s="533"/>
      <c r="B219" s="534"/>
      <c r="C219" s="535"/>
      <c r="D219" s="12"/>
      <c r="E219" s="13"/>
      <c r="F219" s="14"/>
      <c r="G219" s="544"/>
      <c r="H219" s="544"/>
      <c r="I219" s="544"/>
      <c r="J219" s="544"/>
      <c r="K219" s="544"/>
      <c r="L219" s="544"/>
      <c r="M219" s="544"/>
      <c r="N219" s="544"/>
      <c r="O219" s="544"/>
      <c r="P219" s="544"/>
      <c r="Q219" s="544"/>
      <c r="R219" s="544"/>
      <c r="S219" s="544"/>
      <c r="T219" s="544"/>
      <c r="U219" s="544"/>
      <c r="V219" s="544"/>
      <c r="W219" s="544"/>
      <c r="X219" s="544"/>
      <c r="Y219" s="544"/>
      <c r="Z219" s="544"/>
      <c r="AA219" s="544"/>
      <c r="AB219" s="544"/>
      <c r="AC219" s="544"/>
      <c r="AD219" s="544"/>
      <c r="AE219" s="544"/>
      <c r="AF219" s="544"/>
    </row>
    <row r="220" spans="1:32">
      <c r="A220" s="533"/>
      <c r="B220" s="534"/>
      <c r="C220" s="535"/>
      <c r="D220" s="12"/>
      <c r="E220" s="13"/>
      <c r="F220" s="14"/>
      <c r="G220" s="544"/>
      <c r="H220" s="544"/>
      <c r="I220" s="544"/>
      <c r="J220" s="544"/>
      <c r="K220" s="544"/>
      <c r="L220" s="544"/>
      <c r="M220" s="544"/>
      <c r="N220" s="544"/>
      <c r="O220" s="544"/>
      <c r="P220" s="544"/>
      <c r="Q220" s="544"/>
      <c r="R220" s="544"/>
      <c r="S220" s="544"/>
      <c r="T220" s="544"/>
      <c r="U220" s="544"/>
      <c r="V220" s="544"/>
      <c r="W220" s="544"/>
      <c r="X220" s="544"/>
      <c r="Y220" s="544"/>
      <c r="Z220" s="544"/>
      <c r="AA220" s="544"/>
      <c r="AB220" s="544"/>
      <c r="AC220" s="544"/>
      <c r="AD220" s="544"/>
      <c r="AE220" s="544"/>
      <c r="AF220" s="544"/>
    </row>
    <row r="221" spans="1:32">
      <c r="A221" s="533"/>
      <c r="B221" s="534"/>
      <c r="C221" s="535"/>
      <c r="D221" s="12"/>
      <c r="E221" s="13"/>
      <c r="F221" s="14"/>
      <c r="G221" s="544"/>
      <c r="H221" s="544"/>
      <c r="I221" s="544"/>
      <c r="J221" s="544"/>
      <c r="K221" s="544"/>
      <c r="L221" s="544"/>
      <c r="M221" s="544"/>
      <c r="N221" s="544"/>
      <c r="O221" s="544"/>
      <c r="P221" s="544"/>
      <c r="Q221" s="544"/>
      <c r="R221" s="544"/>
      <c r="S221" s="544"/>
      <c r="T221" s="544"/>
      <c r="U221" s="544"/>
      <c r="V221" s="544"/>
      <c r="W221" s="544"/>
      <c r="X221" s="544"/>
      <c r="Y221" s="544"/>
      <c r="Z221" s="544"/>
      <c r="AA221" s="544"/>
      <c r="AB221" s="544"/>
      <c r="AC221" s="544"/>
      <c r="AD221" s="544"/>
      <c r="AE221" s="544"/>
      <c r="AF221" s="544"/>
    </row>
    <row r="222" spans="1:32">
      <c r="A222" s="533">
        <v>79</v>
      </c>
      <c r="B222" s="534" t="s">
        <v>881</v>
      </c>
      <c r="C222" s="535"/>
      <c r="D222" s="12" t="s">
        <v>1076</v>
      </c>
      <c r="E222" s="13">
        <v>30</v>
      </c>
      <c r="F222" s="14" t="str">
        <f>VLOOKUP($E$222,[1]NN!$A$2:$FA$300, 3, FALSE)</f>
        <v>30  Employment - Total economy (National concept)</v>
      </c>
      <c r="G222" s="544" t="str">
        <f>IF(VLOOKUP($E$222,[1]NN!$A$2:$FA$300, 6, FALSE)="",":",VLOOKUP($E$222,[1]NN!$A$2:$FA$300, 6, FALSE))</f>
        <v>:</v>
      </c>
      <c r="H222" s="544" t="str">
        <f>IF(VLOOKUP($E$222,[1]NN!$A$2:$FA$300, 7, FALSE)="",":",VLOOKUP($E$222,[1]NN!$A$2:$FA$300, 7, FALSE))</f>
        <v>:</v>
      </c>
      <c r="I222" s="544" t="str">
        <f>IF(VLOOKUP($E$222,[1]NN!$A$2:$FA$300, 8, FALSE)="",":",VLOOKUP($E$222,[1]NN!$A$2:$FA$300, 8, FALSE))</f>
        <v>:</v>
      </c>
      <c r="J222" s="544" t="str">
        <f>IF(VLOOKUP($E$222,[1]NN!$A$2:$FA$300, 9, FALSE)="",":",VLOOKUP($E$222,[1]NN!$A$2:$FA$300, 9, FALSE))</f>
        <v>:</v>
      </c>
      <c r="K222" s="544" t="str">
        <f>IF(VLOOKUP($E$222,[1]NN!$A$2:$FA$300, 10, FALSE)="",":",VLOOKUP($E$222,[1]NN!$A$2:$FA$300, 10, FALSE))</f>
        <v>:</v>
      </c>
      <c r="L222" s="544">
        <f>IF(VLOOKUP($E$222,[1]NN!$A$2:$FA$300, 11, FALSE)="",":",VLOOKUP($E$222,[1]NN!$A$2:$FA$300, 11, FALSE))</f>
        <v>1402.75</v>
      </c>
      <c r="M222" s="544">
        <f>IF(VLOOKUP($E$222,[1]NN!$A$2:$FA$300, 12, FALSE)="",":",VLOOKUP($E$222,[1]NN!$A$2:$FA$300, 12, FALSE))</f>
        <v>1356.9</v>
      </c>
      <c r="N222" s="544">
        <f>IF(VLOOKUP($E$222,[1]NN!$A$2:$FA$300, 13, FALSE)="",":",VLOOKUP($E$222,[1]NN!$A$2:$FA$300, 13, FALSE))</f>
        <v>1410.93</v>
      </c>
      <c r="O222" s="544">
        <f>IF(VLOOKUP($E$222,[1]NN!$A$2:$FA$300, 14, FALSE)="",":",VLOOKUP($E$222,[1]NN!$A$2:$FA$300, 14, FALSE))</f>
        <v>1442.98</v>
      </c>
      <c r="P222" s="544">
        <f>IF(VLOOKUP($E$222,[1]NN!$A$2:$FA$300, 15, FALSE)="",":",VLOOKUP($E$222,[1]NN!$A$2:$FA$300, 15, FALSE))</f>
        <v>1425.33</v>
      </c>
      <c r="Q222" s="544">
        <f>IF(VLOOKUP($E$222,[1]NN!$A$2:$FA$300, 16, FALSE)="",":",VLOOKUP($E$222,[1]NN!$A$2:$FA$300, 16, FALSE))</f>
        <v>1437.75</v>
      </c>
      <c r="R222" s="544">
        <f>IF(VLOOKUP($E$222,[1]NN!$A$2:$FA$300, 17, FALSE)="",":",VLOOKUP($E$222,[1]NN!$A$2:$FA$300, 17, FALSE))</f>
        <v>1431.24</v>
      </c>
      <c r="S222" s="544">
        <f>IF(VLOOKUP($E$222,[1]NN!$A$2:$FA$300, 18, FALSE)="",":",VLOOKUP($E$222,[1]NN!$A$2:$FA$300, 18, FALSE))</f>
        <v>1454.24</v>
      </c>
      <c r="T222" s="544">
        <f>IF(VLOOKUP($E$222,[1]NN!$A$2:$FA$300, 19, FALSE)="",":",VLOOKUP($E$222,[1]NN!$A$2:$FA$300, 19, FALSE))</f>
        <v>1429.02</v>
      </c>
      <c r="U222" s="544">
        <f>IF(VLOOKUP($E$222,[1]NN!$A$2:$FA$300, 20, FALSE)="",":",VLOOKUP($E$222,[1]NN!$A$2:$FA$300, 20, FALSE))</f>
        <v>1318.32</v>
      </c>
      <c r="V222" s="544">
        <f>IF(VLOOKUP($E$222,[1]NN!$A$2:$FA$300, 21, FALSE)="",":",VLOOKUP($E$222,[1]NN!$A$2:$FA$300, 21, FALSE))</f>
        <v>1247.76</v>
      </c>
      <c r="W222" s="544">
        <f>IF(VLOOKUP($E$222,[1]NN!$A$2:$FA$300, 22, FALSE)="",":",VLOOKUP($E$222,[1]NN!$A$2:$FA$300, 22, FALSE))</f>
        <v>1253.5999999999999</v>
      </c>
      <c r="X222" s="544">
        <f>IF(VLOOKUP($E$222,[1]NN!$A$2:$FA$300, 23, FALSE)="",":",VLOOKUP($E$222,[1]NN!$A$2:$FA$300, 23, FALSE))</f>
        <v>1276</v>
      </c>
      <c r="Y222" s="544">
        <f>IF(VLOOKUP($E$222,[1]NN!$A$2:$FA$300, 24, FALSE)="",":",VLOOKUP($E$222,[1]NN!$A$2:$FA$300, 24, FALSE))</f>
        <v>1293.17</v>
      </c>
      <c r="Z222" s="544">
        <f>IF(VLOOKUP($E$222,[1]NN!$A$2:$FA$300, 25, FALSE)="",":",VLOOKUP($E$222,[1]NN!$A$2:$FA$300, 25, FALSE))</f>
        <v>1319.3</v>
      </c>
      <c r="AA222" s="544">
        <f>IF(VLOOKUP($E$222,[1]NN!$A$2:$FA$300, 26, FALSE)="",":",VLOOKUP($E$222,[1]NN!$A$2:$FA$300, 26, FALSE))</f>
        <v>1335.67</v>
      </c>
      <c r="AB222" s="544">
        <f>IF(VLOOKUP($E$222,[1]NN!$A$2:$FA$300, 27, FALSE)="",":",VLOOKUP($E$222,[1]NN!$A$2:$FA$300, 27, FALSE))</f>
        <v>1362.11</v>
      </c>
      <c r="AC222" s="544">
        <f>IF(VLOOKUP($E$222,[1]NN!$A$2:$FA$300, 28, FALSE)="",":",VLOOKUP($E$222,[1]NN!$A$2:$FA$300, 28, FALSE))</f>
        <v>1355.72</v>
      </c>
      <c r="AD222" s="544" t="str">
        <f>IF(VLOOKUP($E$222,[1]NN!$A$2:$FA$300, 29, FALSE)="",":",VLOOKUP($E$222,[1]NN!$A$2:$FA$300, 29, FALSE))</f>
        <v>:</v>
      </c>
      <c r="AE222" s="544" t="str">
        <f>IF(VLOOKUP($E$222,[1]NN!$A$2:$FA$300, 30, FALSE)="",":",VLOOKUP($E$222,[1]NN!$A$2:$FA$300, 30, FALSE))</f>
        <v>:</v>
      </c>
      <c r="AF222" s="544" t="str">
        <f>IF(VLOOKUP($E$222,[1]NN!$A$2:$FA$300, 31, FALSE)="",":",VLOOKUP($E$222,[1]NN!$A$2:$FA$300, 31, FALSE))</f>
        <v>:</v>
      </c>
    </row>
    <row r="223" spans="1:32">
      <c r="A223" s="533">
        <v>78</v>
      </c>
      <c r="B223" s="534" t="s">
        <v>620</v>
      </c>
      <c r="C223" s="535"/>
      <c r="D223" s="12" t="s">
        <v>879</v>
      </c>
      <c r="E223" s="13">
        <v>2402</v>
      </c>
      <c r="F223" s="14" t="str">
        <f>VLOOKUP($E$223,[1]DATA_A11!$A$2:$FA$200, 3, FALSE)</f>
        <v xml:space="preserve">2402 Unemployed persons   </v>
      </c>
      <c r="G223" s="544" t="str">
        <f>IF(VLOOKUP($E$223,[1]DATA_A11!$A$2:$FA$200, 6, FALSE)="",":",VLOOKUP($E$223,[1]DATA_A11!$A$2:$FA$200, 6, FALSE))</f>
        <v>:</v>
      </c>
      <c r="H223" s="544" t="str">
        <f>IF(VLOOKUP($E$223,[1]DATA_A11!$A$2:$FA$200, 7, FALSE)="",":",VLOOKUP($E$223,[1]DATA_A11!$A$2:$FA$200, 7, FALSE))</f>
        <v>:</v>
      </c>
      <c r="I223" s="544" t="str">
        <f>IF(VLOOKUP($E$223,[1]DATA_A11!$A$2:$FA$200, 8, FALSE)="",":",VLOOKUP($E$223,[1]DATA_A11!$A$2:$FA$200, 8, FALSE))</f>
        <v>:</v>
      </c>
      <c r="J223" s="544" t="str">
        <f>IF(VLOOKUP($E$223,[1]DATA_A11!$A$2:$FA$200, 9, FALSE)="",":",VLOOKUP($E$223,[1]DATA_A11!$A$2:$FA$200, 9, FALSE))</f>
        <v>:</v>
      </c>
      <c r="K223" s="544" t="str">
        <f>IF(VLOOKUP($E$223,[1]DATA_A11!$A$2:$FA$200, 10, FALSE)="",":",VLOOKUP($E$223,[1]DATA_A11!$A$2:$FA$200, 10, FALSE))</f>
        <v>:</v>
      </c>
      <c r="L223" s="544">
        <f>IF(VLOOKUP($E$223,[1]DATA_A11!$A$2:$FA$200, 11, FALSE)="",":",VLOOKUP($E$223,[1]DATA_A11!$A$2:$FA$200, 11, FALSE))</f>
        <v>274</v>
      </c>
      <c r="M223" s="544">
        <f>IF(VLOOKUP($E$223,[1]DATA_A11!$A$2:$FA$200, 12, FALSE)="",":",VLOOKUP($E$223,[1]DATA_A11!$A$2:$FA$200, 12, FALSE))</f>
        <v>284</v>
      </c>
      <c r="N223" s="544">
        <f>IF(VLOOKUP($E$223,[1]DATA_A11!$A$2:$FA$200, 13, FALSE)="",":",VLOOKUP($E$223,[1]DATA_A11!$A$2:$FA$200, 13, FALSE))</f>
        <v>224</v>
      </c>
      <c r="O223" s="544">
        <f>IF(VLOOKUP($E$223,[1]DATA_A11!$A$2:$FA$200, 14, FALSE)="",":",VLOOKUP($E$223,[1]DATA_A11!$A$2:$FA$200, 14, FALSE))</f>
        <v>204</v>
      </c>
      <c r="P223" s="544">
        <f>IF(VLOOKUP($E$223,[1]DATA_A11!$A$2:$FA$200, 15, FALSE)="",":",VLOOKUP($E$223,[1]DATA_A11!$A$2:$FA$200, 15, FALSE))</f>
        <v>173</v>
      </c>
      <c r="Q223" s="544">
        <f>IF(VLOOKUP($E$223,[1]DATA_A11!$A$2:$FA$200, 16, FALSE)="",":",VLOOKUP($E$223,[1]DATA_A11!$A$2:$FA$200, 16, FALSE))</f>
        <v>130</v>
      </c>
      <c r="R223" s="544">
        <f>IF(VLOOKUP($E$223,[1]DATA_A11!$A$2:$FA$200, 17, FALSE)="",":",VLOOKUP($E$223,[1]DATA_A11!$A$2:$FA$200, 17, FALSE))</f>
        <v>88</v>
      </c>
      <c r="S223" s="544">
        <f>IF(VLOOKUP($E$223,[1]DATA_A11!$A$2:$FA$200, 18, FALSE)="",":",VLOOKUP($E$223,[1]DATA_A11!$A$2:$FA$200, 18, FALSE))</f>
        <v>64</v>
      </c>
      <c r="T223" s="544">
        <f>IF(VLOOKUP($E$223,[1]DATA_A11!$A$2:$FA$200, 19, FALSE)="",":",VLOOKUP($E$223,[1]DATA_A11!$A$2:$FA$200, 19, FALSE))</f>
        <v>88</v>
      </c>
      <c r="U223" s="544">
        <f>IF(VLOOKUP($E$223,[1]DATA_A11!$A$2:$FA$200, 20, FALSE)="",":",VLOOKUP($E$223,[1]DATA_A11!$A$2:$FA$200, 20, FALSE))</f>
        <v>211</v>
      </c>
      <c r="V223" s="544">
        <f>IF(VLOOKUP($E$223,[1]DATA_A11!$A$2:$FA$200, 21, FALSE)="",":",VLOOKUP($E$223,[1]DATA_A11!$A$2:$FA$200, 21, FALSE))</f>
        <v>270</v>
      </c>
      <c r="W223" s="544">
        <f>IF(VLOOKUP($E$223,[1]DATA_A11!$A$2:$FA$200, 22, FALSE)="",":",VLOOKUP($E$223,[1]DATA_A11!$A$2:$FA$200, 22, FALSE))</f>
        <v>228</v>
      </c>
      <c r="X223" s="544">
        <f>IF(VLOOKUP($E$223,[1]DATA_A11!$A$2:$FA$200, 23, FALSE)="",":",VLOOKUP($E$223,[1]DATA_A11!$A$2:$FA$200, 23, FALSE))</f>
        <v>197</v>
      </c>
      <c r="Y223" s="544">
        <f>IF(VLOOKUP($E$223,[1]DATA_A11!$A$2:$FA$200, 24, FALSE)="",":",VLOOKUP($E$223,[1]DATA_A11!$A$2:$FA$200, 24, FALSE))</f>
        <v>172</v>
      </c>
      <c r="Z223" s="544">
        <f>IF(VLOOKUP($E$223,[1]DATA_A11!$A$2:$FA$200, 25, FALSE)="",":",VLOOKUP($E$223,[1]DATA_A11!$A$2:$FA$200, 25, FALSE))</f>
        <v>158</v>
      </c>
      <c r="AA223" s="544">
        <f>IF(VLOOKUP($E$223,[1]DATA_A11!$A$2:$FA$200, 26, FALSE)="",":",VLOOKUP($E$223,[1]DATA_A11!$A$2:$FA$200, 26, FALSE))</f>
        <v>134</v>
      </c>
      <c r="AB223" s="544">
        <f>IF(VLOOKUP($E$223,[1]DATA_A11!$A$2:$FA$200, 27, FALSE)="",":",VLOOKUP($E$223,[1]DATA_A11!$A$2:$FA$200, 27, FALSE))</f>
        <v>116</v>
      </c>
      <c r="AC223" s="544">
        <f>IF(VLOOKUP($E$223,[1]DATA_A11!$A$2:$FA$200, 28, FALSE)="",":",VLOOKUP($E$223,[1]DATA_A11!$A$2:$FA$200, 28, FALSE))</f>
        <v>103</v>
      </c>
      <c r="AD223" s="544" t="str">
        <f>IF(VLOOKUP($E$223,[1]DATA_A11!$A$2:$FA$200, 29, FALSE)="",":",VLOOKUP($E$223,[1]DATA_A11!$A$2:$FA$200, 29, FALSE))</f>
        <v>:</v>
      </c>
      <c r="AE223" s="544" t="str">
        <f>IF(VLOOKUP($E$223,[1]DATA_A11!$A$2:$FA$200, 30, FALSE)="",":",VLOOKUP($E$223,[1]DATA_A11!$A$2:$FA$200, 30, FALSE))</f>
        <v>:</v>
      </c>
      <c r="AF223" s="544" t="str">
        <f>IF(VLOOKUP($E$223,[1]DATA_A11!$A$2:$FA$200, 31, FALSE)="",":",VLOOKUP($E$223,[1]DATA_A11!$A$2:$FA$200, 31, FALSE))</f>
        <v>:</v>
      </c>
    </row>
    <row r="224" spans="1:32">
      <c r="A224" s="533">
        <v>85</v>
      </c>
      <c r="B224" s="534" t="s">
        <v>889</v>
      </c>
      <c r="C224" s="535"/>
      <c r="D224" s="12" t="s">
        <v>879</v>
      </c>
      <c r="E224" s="13">
        <v>2403</v>
      </c>
      <c r="F224" s="14" t="str">
        <f>VLOOKUP($E$224,[1]DATA_A11!$A$2:$FA$200, 3, FALSE)</f>
        <v>2403 Average annual hours worked per person employed</v>
      </c>
      <c r="G224" s="544">
        <f>IF(VLOOKUP($E$224,[1]DATA_A11!$A$2:$FA$200, 6, FALSE)="",":",VLOOKUP($E$224,[1]DATA_A11!$A$2:$FA$200, 6, FALSE))</f>
        <v>1729.3561604120878</v>
      </c>
      <c r="H224" s="544">
        <f>IF(VLOOKUP($E$224,[1]DATA_A11!$A$2:$FA$200, 7, FALSE)="",":",VLOOKUP($E$224,[1]DATA_A11!$A$2:$FA$200, 7, FALSE))</f>
        <v>1727.0403665925201</v>
      </c>
      <c r="I224" s="544">
        <f>IF(VLOOKUP($E$224,[1]DATA_A11!$A$2:$FA$200, 8, FALSE)="",":",VLOOKUP($E$224,[1]DATA_A11!$A$2:$FA$200, 8, FALSE))</f>
        <v>1732.6938883909304</v>
      </c>
      <c r="J224" s="544">
        <f>IF(VLOOKUP($E$224,[1]DATA_A11!$A$2:$FA$200, 9, FALSE)="",":",VLOOKUP($E$224,[1]DATA_A11!$A$2:$FA$200, 9, FALSE))</f>
        <v>1779.5935693254817</v>
      </c>
      <c r="K224" s="544">
        <f>IF(VLOOKUP($E$224,[1]DATA_A11!$A$2:$FA$200, 10, FALSE)="",":",VLOOKUP($E$224,[1]DATA_A11!$A$2:$FA$200, 10, FALSE))</f>
        <v>1726.0135615023025</v>
      </c>
      <c r="L224" s="544">
        <f>IF(VLOOKUP($E$224,[1]DATA_A11!$A$2:$FA$200, 11, FALSE)="",":",VLOOKUP($E$224,[1]DATA_A11!$A$2:$FA$200, 11, FALSE))</f>
        <v>1846.2277746410425</v>
      </c>
      <c r="M224" s="544">
        <f>IF(VLOOKUP($E$224,[1]DATA_A11!$A$2:$FA$200, 12, FALSE)="",":",VLOOKUP($E$224,[1]DATA_A11!$A$2:$FA$200, 12, FALSE))</f>
        <v>1831.2192363984873</v>
      </c>
      <c r="N224" s="544">
        <f>IF(VLOOKUP($E$224,[1]DATA_A11!$A$2:$FA$200, 13, FALSE)="",":",VLOOKUP($E$224,[1]DATA_A11!$A$2:$FA$200, 13, FALSE))</f>
        <v>1802.1709567786158</v>
      </c>
      <c r="O224" s="544">
        <f>IF(VLOOKUP($E$224,[1]DATA_A11!$A$2:$FA$200, 14, FALSE)="",":",VLOOKUP($E$224,[1]DATA_A11!$A$2:$FA$200, 14, FALSE))</f>
        <v>1785.8864635865639</v>
      </c>
      <c r="P224" s="544">
        <f>IF(VLOOKUP($E$224,[1]DATA_A11!$A$2:$FA$200, 15, FALSE)="",":",VLOOKUP($E$224,[1]DATA_A11!$A$2:$FA$200, 15, FALSE))</f>
        <v>1878.5560953123895</v>
      </c>
      <c r="Q224" s="544">
        <f>IF(VLOOKUP($E$224,[1]DATA_A11!$A$2:$FA$200, 16, FALSE)="",":",VLOOKUP($E$224,[1]DATA_A11!$A$2:$FA$200, 16, FALSE))</f>
        <v>1878.9719508418264</v>
      </c>
      <c r="R224" s="544">
        <f>IF(VLOOKUP($E$224,[1]DATA_A11!$A$2:$FA$200, 17, FALSE)="",":",VLOOKUP($E$224,[1]DATA_A11!$A$2:$FA$200, 17, FALSE))</f>
        <v>1874.210342733679</v>
      </c>
      <c r="S224" s="544">
        <f>IF(VLOOKUP($E$224,[1]DATA_A11!$A$2:$FA$200, 18, FALSE)="",":",VLOOKUP($E$224,[1]DATA_A11!$A$2:$FA$200, 18, FALSE))</f>
        <v>1903.756480341005</v>
      </c>
      <c r="T224" s="544">
        <f>IF(VLOOKUP($E$224,[1]DATA_A11!$A$2:$FA$200, 19, FALSE)="",":",VLOOKUP($E$224,[1]DATA_A11!$A$2:$FA$200, 19, FALSE))</f>
        <v>1933.5712472564849</v>
      </c>
      <c r="U224" s="544">
        <f>IF(VLOOKUP($E$224,[1]DATA_A11!$A$2:$FA$200, 20, FALSE)="",":",VLOOKUP($E$224,[1]DATA_A11!$A$2:$FA$200, 20, FALSE))</f>
        <v>1862.9436540550396</v>
      </c>
      <c r="V224" s="544">
        <f>IF(VLOOKUP($E$224,[1]DATA_A11!$A$2:$FA$200, 21, FALSE)="",":",VLOOKUP($E$224,[1]DATA_A11!$A$2:$FA$200, 21, FALSE))</f>
        <v>1884.2864281302889</v>
      </c>
      <c r="W224" s="544">
        <f>IF(VLOOKUP($E$224,[1]DATA_A11!$A$2:$FA$200, 22, FALSE)="",":",VLOOKUP($E$224,[1]DATA_A11!$A$2:$FA$200, 22, FALSE))</f>
        <v>1858.872722918496</v>
      </c>
      <c r="X224" s="544">
        <f>IF(VLOOKUP($E$224,[1]DATA_A11!$A$2:$FA$200, 23, FALSE)="",":",VLOOKUP($E$224,[1]DATA_A11!$A$2:$FA$200, 23, FALSE))</f>
        <v>1857.2941720919287</v>
      </c>
      <c r="Y224" s="544">
        <f>IF(VLOOKUP($E$224,[1]DATA_A11!$A$2:$FA$200, 24, FALSE)="",":",VLOOKUP($E$224,[1]DATA_A11!$A$2:$FA$200, 24, FALSE))</f>
        <v>1841.2473275588477</v>
      </c>
      <c r="Z224" s="544">
        <f>IF(VLOOKUP($E$224,[1]DATA_A11!$A$2:$FA$200, 25, FALSE)="",":",VLOOKUP($E$224,[1]DATA_A11!$A$2:$FA$200, 25, FALSE))</f>
        <v>1833.5296135254705</v>
      </c>
      <c r="AA224" s="544">
        <f>IF(VLOOKUP($E$224,[1]DATA_A11!$A$2:$FA$200, 26, FALSE)="",":",VLOOKUP($E$224,[1]DATA_A11!$A$2:$FA$200, 26, FALSE))</f>
        <v>1859.4973814928862</v>
      </c>
      <c r="AB224" s="544">
        <f>IF(VLOOKUP($E$224,[1]DATA_A11!$A$2:$FA$200, 27, FALSE)="",":",VLOOKUP($E$224,[1]DATA_A11!$A$2:$FA$200, 27, FALSE))</f>
        <v>1885.0091242350554</v>
      </c>
      <c r="AC224" s="544">
        <f>IF(VLOOKUP($E$224,[1]DATA_A11!$A$2:$FA$200, 28, FALSE)="",":",VLOOKUP($E$224,[1]DATA_A11!$A$2:$FA$200, 28, FALSE))</f>
        <v>1844.0169040919868</v>
      </c>
      <c r="AD224" s="544" t="str">
        <f>IF(VLOOKUP($E$224,[1]DATA_A11!$A$2:$FA$200, 29, FALSE)="",":",VLOOKUP($E$224,[1]DATA_A11!$A$2:$FA$200, 29, FALSE))</f>
        <v>:</v>
      </c>
      <c r="AE224" s="544" t="str">
        <f>IF(VLOOKUP($E$224,[1]DATA_A11!$A$2:$FA$200, 30, FALSE)="",":",VLOOKUP($E$224,[1]DATA_A11!$A$2:$FA$200, 30, FALSE))</f>
        <v>:</v>
      </c>
      <c r="AF224" s="544" t="str">
        <f>IF(VLOOKUP($E$224,[1]DATA_A11!$A$2:$FA$200, 31, FALSE)="",":",VLOOKUP($E$224,[1]DATA_A11!$A$2:$FA$200, 31, FALSE))</f>
        <v>:</v>
      </c>
    </row>
    <row r="225" spans="1:32">
      <c r="A225" s="533"/>
      <c r="B225" s="534"/>
      <c r="C225" s="535"/>
      <c r="D225" s="12"/>
      <c r="E225" s="13"/>
      <c r="F225" s="14"/>
      <c r="G225" s="544"/>
      <c r="H225" s="544"/>
      <c r="I225" s="544"/>
      <c r="J225" s="544"/>
      <c r="K225" s="544"/>
      <c r="L225" s="544"/>
      <c r="M225" s="544"/>
      <c r="N225" s="544"/>
      <c r="O225" s="544"/>
      <c r="P225" s="544"/>
      <c r="Q225" s="544"/>
      <c r="R225" s="544"/>
      <c r="S225" s="544"/>
      <c r="T225" s="544"/>
      <c r="U225" s="544"/>
      <c r="V225" s="544"/>
      <c r="W225" s="544"/>
      <c r="X225" s="544"/>
      <c r="Y225" s="544"/>
      <c r="Z225" s="544"/>
      <c r="AA225" s="544"/>
      <c r="AB225" s="544"/>
      <c r="AC225" s="544"/>
      <c r="AD225" s="544"/>
      <c r="AE225" s="544"/>
      <c r="AF225" s="544"/>
    </row>
    <row r="226" spans="1:32">
      <c r="A226" s="533"/>
      <c r="B226" s="534"/>
      <c r="C226" s="535"/>
      <c r="D226" s="12"/>
      <c r="E226" s="13"/>
      <c r="F226" s="14"/>
      <c r="G226" s="544"/>
      <c r="H226" s="544"/>
      <c r="I226" s="544"/>
      <c r="J226" s="544"/>
      <c r="K226" s="544"/>
      <c r="L226" s="544"/>
      <c r="M226" s="544"/>
      <c r="N226" s="544"/>
      <c r="O226" s="544"/>
      <c r="P226" s="544"/>
      <c r="Q226" s="544"/>
      <c r="R226" s="544"/>
      <c r="S226" s="544"/>
      <c r="T226" s="544"/>
      <c r="U226" s="544"/>
      <c r="V226" s="544"/>
      <c r="W226" s="544"/>
      <c r="X226" s="544"/>
      <c r="Y226" s="544"/>
      <c r="Z226" s="544"/>
      <c r="AA226" s="544"/>
      <c r="AB226" s="544"/>
      <c r="AC226" s="544"/>
      <c r="AD226" s="544"/>
      <c r="AE226" s="544"/>
      <c r="AF226" s="544"/>
    </row>
    <row r="227" spans="1:32">
      <c r="A227" s="533"/>
      <c r="B227" s="534"/>
      <c r="C227" s="535"/>
      <c r="D227" s="12"/>
      <c r="E227" s="13"/>
      <c r="F227" s="14"/>
      <c r="G227" s="544"/>
      <c r="H227" s="544"/>
      <c r="I227" s="544"/>
      <c r="J227" s="544"/>
      <c r="K227" s="544"/>
      <c r="L227" s="544"/>
      <c r="M227" s="544"/>
      <c r="N227" s="544"/>
      <c r="O227" s="544"/>
      <c r="P227" s="544"/>
      <c r="Q227" s="544"/>
      <c r="R227" s="544"/>
      <c r="S227" s="544"/>
      <c r="T227" s="544"/>
      <c r="U227" s="544"/>
      <c r="V227" s="544"/>
      <c r="W227" s="544"/>
      <c r="X227" s="544"/>
      <c r="Y227" s="544"/>
      <c r="Z227" s="544"/>
      <c r="AA227" s="544"/>
      <c r="AB227" s="544"/>
      <c r="AC227" s="544"/>
      <c r="AD227" s="544"/>
      <c r="AE227" s="544"/>
      <c r="AF227" s="544"/>
    </row>
    <row r="228" spans="1:32">
      <c r="A228" s="533">
        <v>62</v>
      </c>
      <c r="B228" s="534" t="s">
        <v>880</v>
      </c>
      <c r="C228" s="535"/>
      <c r="D228" s="12" t="s">
        <v>879</v>
      </c>
      <c r="E228" s="13">
        <v>2701</v>
      </c>
      <c r="F228" s="14" t="str">
        <f>VLOOKUP($E$228,[1]DATA_A11!$A$2:$FA$300, 3, FALSE)</f>
        <v>2701 Wages and salaries</v>
      </c>
      <c r="G228" s="544">
        <f>IF(VLOOKUP($E$228,[1]DATA_A11!$A$2:$FA$300, 6, FALSE)="",":",VLOOKUP($E$228,[1]DATA_A11!$A$2:$FA$300, 6, FALSE))</f>
        <v>2358.6654309545875</v>
      </c>
      <c r="H228" s="544">
        <f>IF(VLOOKUP($E$228,[1]DATA_A11!$A$2:$FA$300, 7, FALSE)="",":",VLOOKUP($E$228,[1]DATA_A11!$A$2:$FA$300, 7, FALSE))</f>
        <v>2967.4467099165895</v>
      </c>
      <c r="I228" s="544">
        <f>IF(VLOOKUP($E$228,[1]DATA_A11!$A$2:$FA$300, 8, FALSE)="",":",VLOOKUP($E$228,[1]DATA_A11!$A$2:$FA$300, 8, FALSE))</f>
        <v>3586.654309545876</v>
      </c>
      <c r="J228" s="544">
        <f>IF(VLOOKUP($E$228,[1]DATA_A11!$A$2:$FA$300, 9, FALSE)="",":",VLOOKUP($E$228,[1]DATA_A11!$A$2:$FA$300, 9, FALSE))</f>
        <v>4281.1631139944393</v>
      </c>
      <c r="K228" s="544">
        <f>IF(VLOOKUP($E$228,[1]DATA_A11!$A$2:$FA$300, 10, FALSE)="",":",VLOOKUP($E$228,[1]DATA_A11!$A$2:$FA$300, 10, FALSE))</f>
        <v>4328.6607970342911</v>
      </c>
      <c r="L228" s="544">
        <f>IF(VLOOKUP($E$228,[1]DATA_A11!$A$2:$FA$300, 11, FALSE)="",":",VLOOKUP($E$228,[1]DATA_A11!$A$2:$FA$300, 11, FALSE))</f>
        <v>4094.3582020389249</v>
      </c>
      <c r="M228" s="544">
        <f>IF(VLOOKUP($E$228,[1]DATA_A11!$A$2:$FA$300, 12, FALSE)="",":",VLOOKUP($E$228,[1]DATA_A11!$A$2:$FA$300, 12, FALSE))</f>
        <v>4229.0315106580165</v>
      </c>
      <c r="N228" s="544">
        <f>IF(VLOOKUP($E$228,[1]DATA_A11!$A$2:$FA$300, 13, FALSE)="",":",VLOOKUP($E$228,[1]DATA_A11!$A$2:$FA$300, 13, FALSE))</f>
        <v>4632.4721964782211</v>
      </c>
      <c r="O228" s="544">
        <f>IF(VLOOKUP($E$228,[1]DATA_A11!$A$2:$FA$300, 14, FALSE)="",":",VLOOKUP($E$228,[1]DATA_A11!$A$2:$FA$300, 14, FALSE))</f>
        <v>5169.4277108433735</v>
      </c>
      <c r="P228" s="544">
        <f>IF(VLOOKUP($E$228,[1]DATA_A11!$A$2:$FA$300, 15, FALSE)="",":",VLOOKUP($E$228,[1]DATA_A11!$A$2:$FA$300, 15, FALSE))</f>
        <v>5833.5264133456903</v>
      </c>
      <c r="Q228" s="544">
        <f>IF(VLOOKUP($E$228,[1]DATA_A11!$A$2:$FA$300, 16, FALSE)="",":",VLOOKUP($E$228,[1]DATA_A11!$A$2:$FA$300, 16, FALSE))</f>
        <v>6757</v>
      </c>
      <c r="R228" s="544">
        <f>IF(VLOOKUP($E$228,[1]DATA_A11!$A$2:$FA$300, 17, FALSE)="",":",VLOOKUP($E$228,[1]DATA_A11!$A$2:$FA$300, 17, FALSE))</f>
        <v>8134</v>
      </c>
      <c r="S228" s="544">
        <f>IF(VLOOKUP($E$228,[1]DATA_A11!$A$2:$FA$300, 18, FALSE)="",":",VLOOKUP($E$228,[1]DATA_A11!$A$2:$FA$300, 18, FALSE))</f>
        <v>9664</v>
      </c>
      <c r="T228" s="544">
        <f>IF(VLOOKUP($E$228,[1]DATA_A11!$A$2:$FA$300, 19, FALSE)="",":",VLOOKUP($E$228,[1]DATA_A11!$A$2:$FA$300, 19, FALSE))</f>
        <v>11188</v>
      </c>
      <c r="U228" s="544">
        <f>IF(VLOOKUP($E$228,[1]DATA_A11!$A$2:$FA$300, 20, FALSE)="",":",VLOOKUP($E$228,[1]DATA_A11!$A$2:$FA$300, 20, FALSE))</f>
        <v>9320</v>
      </c>
      <c r="V228" s="544">
        <f>IF(VLOOKUP($E$228,[1]DATA_A11!$A$2:$FA$300, 21, FALSE)="",":",VLOOKUP($E$228,[1]DATA_A11!$A$2:$FA$300, 21, FALSE))</f>
        <v>9051</v>
      </c>
      <c r="W228" s="544">
        <f>IF(VLOOKUP($E$228,[1]DATA_A11!$A$2:$FA$300, 22, FALSE)="",":",VLOOKUP($E$228,[1]DATA_A11!$A$2:$FA$300, 22, FALSE))</f>
        <v>9691</v>
      </c>
      <c r="X228" s="544">
        <f>IF(VLOOKUP($E$228,[1]DATA_A11!$A$2:$FA$300, 23, FALSE)="",":",VLOOKUP($E$228,[1]DATA_A11!$A$2:$FA$300, 23, FALSE))</f>
        <v>10258</v>
      </c>
      <c r="Y228" s="544">
        <f>IF(VLOOKUP($E$228,[1]DATA_A11!$A$2:$FA$300, 24, FALSE)="",":",VLOOKUP($E$228,[1]DATA_A11!$A$2:$FA$300, 24, FALSE))</f>
        <v>10834</v>
      </c>
      <c r="Z228" s="544">
        <f>IF(VLOOKUP($E$228,[1]DATA_A11!$A$2:$FA$300, 25, FALSE)="",":",VLOOKUP($E$228,[1]DATA_A11!$A$2:$FA$300, 25, FALSE))</f>
        <v>11517</v>
      </c>
      <c r="AA228" s="544">
        <f>IF(VLOOKUP($E$228,[1]DATA_A11!$A$2:$FA$300, 26, FALSE)="",":",VLOOKUP($E$228,[1]DATA_A11!$A$2:$FA$300, 26, FALSE))</f>
        <v>12309</v>
      </c>
      <c r="AB228" s="544">
        <f>IF(VLOOKUP($E$228,[1]DATA_A11!$A$2:$FA$300, 27, FALSE)="",":",VLOOKUP($E$228,[1]DATA_A11!$A$2:$FA$300, 27, FALSE))</f>
        <v>13289</v>
      </c>
      <c r="AC228" s="544" t="str">
        <f>IF(VLOOKUP($E$228,[1]DATA_A11!$A$2:$FA$300, 28, FALSE)="",":",VLOOKUP($E$228,[1]DATA_A11!$A$2:$FA$300, 28, FALSE))</f>
        <v>n.a.</v>
      </c>
      <c r="AD228" s="544" t="str">
        <f>IF(VLOOKUP($E$228,[1]DATA_A11!$A$2:$FA$300, 29, FALSE)="",":",VLOOKUP($E$228,[1]DATA_A11!$A$2:$FA$300, 29, FALSE))</f>
        <v>:</v>
      </c>
      <c r="AE228" s="544" t="str">
        <f>IF(VLOOKUP($E$228,[1]DATA_A11!$A$2:$FA$300, 30, FALSE)="",":",VLOOKUP($E$228,[1]DATA_A11!$A$2:$FA$300, 30, FALSE))</f>
        <v>:</v>
      </c>
      <c r="AF228" s="544" t="str">
        <f>IF(VLOOKUP($E$228,[1]DATA_A11!$A$2:$FA$300, 31, FALSE)="",":",VLOOKUP($E$228,[1]DATA_A11!$A$2:$FA$300, 31, FALSE))</f>
        <v>:</v>
      </c>
    </row>
    <row r="229" spans="1:32">
      <c r="A229" s="1954"/>
      <c r="B229" s="534" t="s">
        <v>882</v>
      </c>
      <c r="C229" s="535" t="s">
        <v>890</v>
      </c>
      <c r="D229" s="12" t="s">
        <v>879</v>
      </c>
      <c r="E229" s="13">
        <v>2702</v>
      </c>
      <c r="F229" s="14" t="str">
        <f>VLOOKUP($E$229,[1]DATA_A11!$A$2:$FA$200, 3, FALSE)</f>
        <v>2702 Compensation of employees (paid by ROW)</v>
      </c>
      <c r="G229" s="544">
        <f>IF(VLOOKUP($E$229,[1]DATA_A11!$A$2:$FA$200, 6, FALSE)="",":",VLOOKUP($E$229,[1]DATA_A11!$A$2:$FA$200, 6, FALSE))</f>
        <v>0</v>
      </c>
      <c r="H229" s="544">
        <f>IF(VLOOKUP($E$229,[1]DATA_A11!$A$2:$FA$200, 7, FALSE)="",":",VLOOKUP($E$229,[1]DATA_A11!$A$2:$FA$200, 7, FALSE))</f>
        <v>0.8688600556070436</v>
      </c>
      <c r="I229" s="544">
        <f>IF(VLOOKUP($E$229,[1]DATA_A11!$A$2:$FA$200, 8, FALSE)="",":",VLOOKUP($E$229,[1]DATA_A11!$A$2:$FA$200, 8, FALSE))</f>
        <v>1.1584800741427248</v>
      </c>
      <c r="J229" s="544">
        <f>IF(VLOOKUP($E$229,[1]DATA_A11!$A$2:$FA$200, 9, FALSE)="",":",VLOOKUP($E$229,[1]DATA_A11!$A$2:$FA$200, 9, FALSE))</f>
        <v>1.7377201112140872</v>
      </c>
      <c r="K229" s="544">
        <f>IF(VLOOKUP($E$229,[1]DATA_A11!$A$2:$FA$200, 10, FALSE)="",":",VLOOKUP($E$229,[1]DATA_A11!$A$2:$FA$200, 10, FALSE))</f>
        <v>1.7377201112140872</v>
      </c>
      <c r="L229" s="544">
        <f>IF(VLOOKUP($E$229,[1]DATA_A11!$A$2:$FA$200, 11, FALSE)="",":",VLOOKUP($E$229,[1]DATA_A11!$A$2:$FA$200, 11, FALSE))</f>
        <v>55.317423540315112</v>
      </c>
      <c r="M229" s="544">
        <f>IF(VLOOKUP($E$229,[1]DATA_A11!$A$2:$FA$200, 12, FALSE)="",":",VLOOKUP($E$229,[1]DATA_A11!$A$2:$FA$200, 12, FALSE))</f>
        <v>88.044485634847078</v>
      </c>
      <c r="N229" s="544">
        <f>IF(VLOOKUP($E$229,[1]DATA_A11!$A$2:$FA$200, 13, FALSE)="",":",VLOOKUP($E$229,[1]DATA_A11!$A$2:$FA$200, 13, FALSE))</f>
        <v>116.13762743280816</v>
      </c>
      <c r="O229" s="544">
        <f>IF(VLOOKUP($E$229,[1]DATA_A11!$A$2:$FA$200, 14, FALSE)="",":",VLOOKUP($E$229,[1]DATA_A11!$A$2:$FA$200, 14, FALSE))</f>
        <v>93.547265987025028</v>
      </c>
      <c r="P229" s="544">
        <f>IF(VLOOKUP($E$229,[1]DATA_A11!$A$2:$FA$200, 15, FALSE)="",":",VLOOKUP($E$229,[1]DATA_A11!$A$2:$FA$200, 15, FALSE))</f>
        <v>174.93049119555144</v>
      </c>
      <c r="Q229" s="544">
        <f>IF(VLOOKUP($E$229,[1]DATA_A11!$A$2:$FA$200, 16, FALSE)="",":",VLOOKUP($E$229,[1]DATA_A11!$A$2:$FA$200, 16, FALSE))</f>
        <v>238</v>
      </c>
      <c r="R229" s="544">
        <f>IF(VLOOKUP($E$229,[1]DATA_A11!$A$2:$FA$200, 17, FALSE)="",":",VLOOKUP($E$229,[1]DATA_A11!$A$2:$FA$200, 17, FALSE))</f>
        <v>263</v>
      </c>
      <c r="S229" s="544">
        <f>IF(VLOOKUP($E$229,[1]DATA_A11!$A$2:$FA$200, 18, FALSE)="",":",VLOOKUP($E$229,[1]DATA_A11!$A$2:$FA$200, 18, FALSE))</f>
        <v>251</v>
      </c>
      <c r="T229" s="544">
        <f>IF(VLOOKUP($E$229,[1]DATA_A11!$A$2:$FA$200, 19, FALSE)="",":",VLOOKUP($E$229,[1]DATA_A11!$A$2:$FA$200, 19, FALSE))</f>
        <v>173</v>
      </c>
      <c r="U229" s="544">
        <f>IF(VLOOKUP($E$229,[1]DATA_A11!$A$2:$FA$200, 20, FALSE)="",":",VLOOKUP($E$229,[1]DATA_A11!$A$2:$FA$200, 20, FALSE))</f>
        <v>152</v>
      </c>
      <c r="V229" s="544">
        <f>IF(VLOOKUP($E$229,[1]DATA_A11!$A$2:$FA$200, 21, FALSE)="",":",VLOOKUP($E$229,[1]DATA_A11!$A$2:$FA$200, 21, FALSE))</f>
        <v>243</v>
      </c>
      <c r="W229" s="544">
        <f>IF(VLOOKUP($E$229,[1]DATA_A11!$A$2:$FA$200, 22, FALSE)="",":",VLOOKUP($E$229,[1]DATA_A11!$A$2:$FA$200, 22, FALSE))</f>
        <v>216</v>
      </c>
      <c r="X229" s="544">
        <f>IF(VLOOKUP($E$229,[1]DATA_A11!$A$2:$FA$200, 23, FALSE)="",":",VLOOKUP($E$229,[1]DATA_A11!$A$2:$FA$200, 23, FALSE))</f>
        <v>127</v>
      </c>
      <c r="Y229" s="544">
        <f>IF(VLOOKUP($E$229,[1]DATA_A11!$A$2:$FA$200, 24, FALSE)="",":",VLOOKUP($E$229,[1]DATA_A11!$A$2:$FA$200, 24, FALSE))</f>
        <v>149</v>
      </c>
      <c r="Z229" s="544">
        <f>IF(VLOOKUP($E$229,[1]DATA_A11!$A$2:$FA$200, 25, FALSE)="",":",VLOOKUP($E$229,[1]DATA_A11!$A$2:$FA$200, 25, FALSE))</f>
        <v>102</v>
      </c>
      <c r="AA229" s="544">
        <f>IF(VLOOKUP($E$229,[1]DATA_A11!$A$2:$FA$200, 26, FALSE)="",":",VLOOKUP($E$229,[1]DATA_A11!$A$2:$FA$200, 26, FALSE))</f>
        <v>92</v>
      </c>
      <c r="AB229" s="544">
        <f>IF(VLOOKUP($E$229,[1]DATA_A11!$A$2:$FA$200, 27, FALSE)="",":",VLOOKUP($E$229,[1]DATA_A11!$A$2:$FA$200, 27, FALSE))</f>
        <v>55</v>
      </c>
      <c r="AC229" s="544" t="str">
        <f>IF(VLOOKUP($E$229,[1]DATA_A11!$A$2:$FA$200, 28, FALSE)="",":",VLOOKUP($E$229,[1]DATA_A11!$A$2:$FA$200, 28, FALSE))</f>
        <v>n.a.</v>
      </c>
      <c r="AD229" s="544" t="str">
        <f>IF(VLOOKUP($E$229,[1]DATA_A11!$A$2:$FA$200, 29, FALSE)="",":",VLOOKUP($E$229,[1]DATA_A11!$A$2:$FA$200, 29, FALSE))</f>
        <v>:</v>
      </c>
      <c r="AE229" s="544" t="str">
        <f>IF(VLOOKUP($E$229,[1]DATA_A11!$A$2:$FA$200, 30, FALSE)="",":",VLOOKUP($E$229,[1]DATA_A11!$A$2:$FA$200, 30, FALSE))</f>
        <v>:</v>
      </c>
      <c r="AF229" s="544" t="str">
        <f>IF(VLOOKUP($E$229,[1]DATA_A11!$A$2:$FA$200, 31, FALSE)="",":",VLOOKUP($E$229,[1]DATA_A11!$A$2:$FA$200, 31, FALSE))</f>
        <v>:</v>
      </c>
    </row>
    <row r="230" spans="1:32">
      <c r="A230" s="1954"/>
      <c r="B230" s="534" t="s">
        <v>883</v>
      </c>
      <c r="C230" s="535" t="s">
        <v>891</v>
      </c>
      <c r="D230" s="12" t="s">
        <v>879</v>
      </c>
      <c r="E230" s="13">
        <v>2703</v>
      </c>
      <c r="F230" s="14" t="str">
        <f>VLOOKUP($E$230,[1]DATA_A11!$A$2:$FA$200, 3, FALSE)</f>
        <v>2703 Compensation of employees (received by RoW)</v>
      </c>
      <c r="G230" s="544">
        <f>IF(VLOOKUP($E$230,[1]DATA_A11!$A$2:$FA$200, 6, FALSE)="",":",VLOOKUP($E$230,[1]DATA_A11!$A$2:$FA$200, 6, FALSE))</f>
        <v>0.5792400370713624</v>
      </c>
      <c r="H230" s="544">
        <f>IF(VLOOKUP($E$230,[1]DATA_A11!$A$2:$FA$200, 7, FALSE)="",":",VLOOKUP($E$230,[1]DATA_A11!$A$2:$FA$200, 7, FALSE))</f>
        <v>37.360982391102873</v>
      </c>
      <c r="I230" s="544">
        <f>IF(VLOOKUP($E$230,[1]DATA_A11!$A$2:$FA$200, 8, FALSE)="",":",VLOOKUP($E$230,[1]DATA_A11!$A$2:$FA$200, 8, FALSE))</f>
        <v>66.033364226135319</v>
      </c>
      <c r="J230" s="544">
        <f>IF(VLOOKUP($E$230,[1]DATA_A11!$A$2:$FA$200, 9, FALSE)="",":",VLOOKUP($E$230,[1]DATA_A11!$A$2:$FA$200, 9, FALSE))</f>
        <v>71.536144578313255</v>
      </c>
      <c r="K230" s="544">
        <f>IF(VLOOKUP($E$230,[1]DATA_A11!$A$2:$FA$200, 10, FALSE)="",":",VLOOKUP($E$230,[1]DATA_A11!$A$2:$FA$200, 10, FALSE))</f>
        <v>52.131603336422614</v>
      </c>
      <c r="L230" s="544">
        <f>IF(VLOOKUP($E$230,[1]DATA_A11!$A$2:$FA$200, 11, FALSE)="",":",VLOOKUP($E$230,[1]DATA_A11!$A$2:$FA$200, 11, FALSE))</f>
        <v>42.574142724745137</v>
      </c>
      <c r="M230" s="544">
        <f>IF(VLOOKUP($E$230,[1]DATA_A11!$A$2:$FA$200, 12, FALSE)="",":",VLOOKUP($E$230,[1]DATA_A11!$A$2:$FA$200, 12, FALSE))</f>
        <v>32.727062094531973</v>
      </c>
      <c r="N230" s="544">
        <f>IF(VLOOKUP($E$230,[1]DATA_A11!$A$2:$FA$200, 13, FALSE)="",":",VLOOKUP($E$230,[1]DATA_A11!$A$2:$FA$200, 13, FALSE))</f>
        <v>48.945783132530124</v>
      </c>
      <c r="O230" s="544">
        <f>IF(VLOOKUP($E$230,[1]DATA_A11!$A$2:$FA$200, 14, FALSE)="",":",VLOOKUP($E$230,[1]DATA_A11!$A$2:$FA$200, 14, FALSE))</f>
        <v>46.628822984244671</v>
      </c>
      <c r="P230" s="544">
        <f>IF(VLOOKUP($E$230,[1]DATA_A11!$A$2:$FA$200, 15, FALSE)="",":",VLOOKUP($E$230,[1]DATA_A11!$A$2:$FA$200, 15, FALSE))</f>
        <v>30.410101946246527</v>
      </c>
      <c r="Q230" s="544">
        <f>IF(VLOOKUP($E$230,[1]DATA_A11!$A$2:$FA$200, 16, FALSE)="",":",VLOOKUP($E$230,[1]DATA_A11!$A$2:$FA$200, 16, FALSE))</f>
        <v>53</v>
      </c>
      <c r="R230" s="544">
        <f>IF(VLOOKUP($E$230,[1]DATA_A11!$A$2:$FA$200, 17, FALSE)="",":",VLOOKUP($E$230,[1]DATA_A11!$A$2:$FA$200, 17, FALSE))</f>
        <v>61</v>
      </c>
      <c r="S230" s="544">
        <f>IF(VLOOKUP($E$230,[1]DATA_A11!$A$2:$FA$200, 18, FALSE)="",":",VLOOKUP($E$230,[1]DATA_A11!$A$2:$FA$200, 18, FALSE))</f>
        <v>92</v>
      </c>
      <c r="T230" s="544">
        <f>IF(VLOOKUP($E$230,[1]DATA_A11!$A$2:$FA$200, 19, FALSE)="",":",VLOOKUP($E$230,[1]DATA_A11!$A$2:$FA$200, 19, FALSE))</f>
        <v>78</v>
      </c>
      <c r="U230" s="544">
        <f>IF(VLOOKUP($E$230,[1]DATA_A11!$A$2:$FA$200, 20, FALSE)="",":",VLOOKUP($E$230,[1]DATA_A11!$A$2:$FA$200, 20, FALSE))</f>
        <v>135</v>
      </c>
      <c r="V230" s="544">
        <f>IF(VLOOKUP($E$230,[1]DATA_A11!$A$2:$FA$200, 21, FALSE)="",":",VLOOKUP($E$230,[1]DATA_A11!$A$2:$FA$200, 21, FALSE))</f>
        <v>72</v>
      </c>
      <c r="W230" s="544">
        <f>IF(VLOOKUP($E$230,[1]DATA_A11!$A$2:$FA$200, 22, FALSE)="",":",VLOOKUP($E$230,[1]DATA_A11!$A$2:$FA$200, 22, FALSE))</f>
        <v>79</v>
      </c>
      <c r="X230" s="544">
        <f>IF(VLOOKUP($E$230,[1]DATA_A11!$A$2:$FA$200, 23, FALSE)="",":",VLOOKUP($E$230,[1]DATA_A11!$A$2:$FA$200, 23, FALSE))</f>
        <v>106</v>
      </c>
      <c r="Y230" s="544">
        <f>IF(VLOOKUP($E$230,[1]DATA_A11!$A$2:$FA$200, 24, FALSE)="",":",VLOOKUP($E$230,[1]DATA_A11!$A$2:$FA$200, 24, FALSE))</f>
        <v>112</v>
      </c>
      <c r="Z230" s="544">
        <f>IF(VLOOKUP($E$230,[1]DATA_A11!$A$2:$FA$200, 25, FALSE)="",":",VLOOKUP($E$230,[1]DATA_A11!$A$2:$FA$200, 25, FALSE))</f>
        <v>120</v>
      </c>
      <c r="AA230" s="544">
        <f>IF(VLOOKUP($E$230,[1]DATA_A11!$A$2:$FA$200, 26, FALSE)="",":",VLOOKUP($E$230,[1]DATA_A11!$A$2:$FA$200, 26, FALSE))</f>
        <v>93</v>
      </c>
      <c r="AB230" s="544">
        <f>IF(VLOOKUP($E$230,[1]DATA_A11!$A$2:$FA$200, 27, FALSE)="",":",VLOOKUP($E$230,[1]DATA_A11!$A$2:$FA$200, 27, FALSE))</f>
        <v>102</v>
      </c>
      <c r="AC230" s="544" t="str">
        <f>IF(VLOOKUP($E$230,[1]DATA_A11!$A$2:$FA$200, 28, FALSE)="",":",VLOOKUP($E$230,[1]DATA_A11!$A$2:$FA$200, 28, FALSE))</f>
        <v>n.a.</v>
      </c>
      <c r="AD230" s="544" t="str">
        <f>IF(VLOOKUP($E$230,[1]DATA_A11!$A$2:$FA$200, 29, FALSE)="",":",VLOOKUP($E$230,[1]DATA_A11!$A$2:$FA$200, 29, FALSE))</f>
        <v>:</v>
      </c>
      <c r="AE230" s="544" t="str">
        <f>IF(VLOOKUP($E$230,[1]DATA_A11!$A$2:$FA$200, 30, FALSE)="",":",VLOOKUP($E$230,[1]DATA_A11!$A$2:$FA$200, 30, FALSE))</f>
        <v>:</v>
      </c>
      <c r="AF230" s="544" t="str">
        <f>IF(VLOOKUP($E$230,[1]DATA_A11!$A$2:$FA$200, 31, FALSE)="",":",VLOOKUP($E$230,[1]DATA_A11!$A$2:$FA$200, 31, FALSE))</f>
        <v>:</v>
      </c>
    </row>
    <row r="231" spans="1:32" s="540" customFormat="1">
      <c r="A231" s="1954"/>
      <c r="B231" s="537" t="s">
        <v>1051</v>
      </c>
      <c r="C231" s="538" t="s">
        <v>1052</v>
      </c>
      <c r="D231" s="528"/>
      <c r="E231" s="529"/>
      <c r="F231" s="539"/>
      <c r="G231" s="545">
        <f t="shared" ref="G231:AF231" si="11">+G229-G230</f>
        <v>-0.5792400370713624</v>
      </c>
      <c r="H231" s="545">
        <f t="shared" si="11"/>
        <v>-36.492122335495829</v>
      </c>
      <c r="I231" s="545">
        <f t="shared" si="11"/>
        <v>-64.874884151992589</v>
      </c>
      <c r="J231" s="545">
        <f t="shared" si="11"/>
        <v>-69.798424467099167</v>
      </c>
      <c r="K231" s="545">
        <f t="shared" si="11"/>
        <v>-50.393883225208526</v>
      </c>
      <c r="L231" s="545">
        <f t="shared" si="11"/>
        <v>12.743280815569975</v>
      </c>
      <c r="M231" s="545">
        <f t="shared" si="11"/>
        <v>55.317423540315104</v>
      </c>
      <c r="N231" s="545">
        <f t="shared" si="11"/>
        <v>67.191844300278035</v>
      </c>
      <c r="O231" s="545">
        <f t="shared" si="11"/>
        <v>46.918443002780357</v>
      </c>
      <c r="P231" s="545">
        <f t="shared" si="11"/>
        <v>144.52038924930491</v>
      </c>
      <c r="Q231" s="545">
        <f t="shared" si="11"/>
        <v>185</v>
      </c>
      <c r="R231" s="545">
        <f t="shared" si="11"/>
        <v>202</v>
      </c>
      <c r="S231" s="545">
        <f t="shared" si="11"/>
        <v>159</v>
      </c>
      <c r="T231" s="545">
        <f t="shared" si="11"/>
        <v>95</v>
      </c>
      <c r="U231" s="545">
        <f t="shared" si="11"/>
        <v>17</v>
      </c>
      <c r="V231" s="545">
        <f t="shared" si="11"/>
        <v>171</v>
      </c>
      <c r="W231" s="545">
        <f t="shared" si="11"/>
        <v>137</v>
      </c>
      <c r="X231" s="545">
        <f t="shared" si="11"/>
        <v>21</v>
      </c>
      <c r="Y231" s="545">
        <f t="shared" si="11"/>
        <v>37</v>
      </c>
      <c r="Z231" s="545">
        <f t="shared" si="11"/>
        <v>-18</v>
      </c>
      <c r="AA231" s="545">
        <f t="shared" si="11"/>
        <v>-1</v>
      </c>
      <c r="AB231" s="545">
        <f t="shared" si="11"/>
        <v>-47</v>
      </c>
      <c r="AC231" s="545" t="e">
        <f t="shared" si="11"/>
        <v>#VALUE!</v>
      </c>
      <c r="AD231" s="545" t="e">
        <f t="shared" si="11"/>
        <v>#VALUE!</v>
      </c>
      <c r="AE231" s="545" t="e">
        <f t="shared" si="11"/>
        <v>#VALUE!</v>
      </c>
      <c r="AF231" s="545" t="e">
        <f t="shared" si="11"/>
        <v>#VALUE!</v>
      </c>
    </row>
    <row r="232" spans="1:32">
      <c r="A232" s="533"/>
      <c r="B232" s="534"/>
      <c r="C232" s="535"/>
      <c r="D232" s="12"/>
      <c r="E232" s="13"/>
      <c r="F232" s="14"/>
      <c r="G232" s="544"/>
      <c r="H232" s="544"/>
      <c r="I232" s="544"/>
      <c r="J232" s="544"/>
      <c r="K232" s="544"/>
      <c r="L232" s="544"/>
      <c r="M232" s="544"/>
      <c r="N232" s="544"/>
      <c r="O232" s="544"/>
      <c r="P232" s="544"/>
      <c r="Q232" s="544"/>
      <c r="R232" s="544"/>
      <c r="S232" s="544"/>
      <c r="T232" s="544"/>
      <c r="U232" s="544"/>
      <c r="V232" s="544"/>
      <c r="W232" s="544"/>
      <c r="X232" s="544"/>
      <c r="Y232" s="544"/>
      <c r="Z232" s="544"/>
      <c r="AA232" s="544"/>
      <c r="AB232" s="544"/>
      <c r="AC232" s="544"/>
      <c r="AD232" s="544"/>
      <c r="AE232" s="544"/>
      <c r="AF232" s="544"/>
    </row>
    <row r="233" spans="1:32">
      <c r="A233" s="1954">
        <v>131</v>
      </c>
      <c r="B233" s="534" t="s">
        <v>2084</v>
      </c>
      <c r="C233" s="535" t="s">
        <v>1877</v>
      </c>
      <c r="D233" s="12" t="s">
        <v>879</v>
      </c>
      <c r="E233" s="13">
        <v>2602</v>
      </c>
      <c r="F233" s="14" t="str">
        <f>VLOOKUP($E$233,[1]DATA_A11!$A$2:$FA$200, 3, FALSE)</f>
        <v>2602 Taxes to RoW</v>
      </c>
      <c r="G233" s="544" t="str">
        <f>IF(VLOOKUP($E$233,[1]DATA_A11!$A$2:$FA$200, 6, FALSE)="",":",VLOOKUP($E$233,[1]DATA_A11!$A$2:$FA$200, 6, FALSE))</f>
        <v>:</v>
      </c>
      <c r="H233" s="544" t="str">
        <f>IF(VLOOKUP($E$233,[1]DATA_A11!$A$2:$FA$200, 7, FALSE)="",":",VLOOKUP($E$233,[1]DATA_A11!$A$2:$FA$200, 7, FALSE))</f>
        <v>:</v>
      </c>
      <c r="I233" s="544" t="str">
        <f>IF(VLOOKUP($E$233,[1]DATA_A11!$A$2:$FA$200, 8, FALSE)="",":",VLOOKUP($E$233,[1]DATA_A11!$A$2:$FA$200, 8, FALSE))</f>
        <v>:</v>
      </c>
      <c r="J233" s="544" t="str">
        <f>IF(VLOOKUP($E$233,[1]DATA_A11!$A$2:$FA$200, 9, FALSE)="",":",VLOOKUP($E$233,[1]DATA_A11!$A$2:$FA$200, 9, FALSE))</f>
        <v>:</v>
      </c>
      <c r="K233" s="544" t="str">
        <f>IF(VLOOKUP($E$233,[1]DATA_A11!$A$2:$FA$200, 10, FALSE)="",":",VLOOKUP($E$233,[1]DATA_A11!$A$2:$FA$200, 10, FALSE))</f>
        <v>:</v>
      </c>
      <c r="L233" s="544" t="str">
        <f>IF(VLOOKUP($E$233,[1]DATA_A11!$A$2:$FA$200, 11, FALSE)="",":",VLOOKUP($E$233,[1]DATA_A11!$A$2:$FA$200, 11, FALSE))</f>
        <v>:</v>
      </c>
      <c r="M233" s="544" t="str">
        <f>IF(VLOOKUP($E$233,[1]DATA_A11!$A$2:$FA$200, 12, FALSE)="",":",VLOOKUP($E$233,[1]DATA_A11!$A$2:$FA$200, 12, FALSE))</f>
        <v>:</v>
      </c>
      <c r="N233" s="544" t="str">
        <f>IF(VLOOKUP($E$233,[1]DATA_A11!$A$2:$FA$200, 13, FALSE)="",":",VLOOKUP($E$233,[1]DATA_A11!$A$2:$FA$200, 13, FALSE))</f>
        <v>:</v>
      </c>
      <c r="O233" s="544" t="str">
        <f>IF(VLOOKUP($E$233,[1]DATA_A11!$A$2:$FA$200, 14, FALSE)="",":",VLOOKUP($E$233,[1]DATA_A11!$A$2:$FA$200, 14, FALSE))</f>
        <v>:</v>
      </c>
      <c r="P233" s="544">
        <f>IF(VLOOKUP($E$233,[1]DATA_A11!$A$2:$FA$200, 15, FALSE)="",":",VLOOKUP($E$233,[1]DATA_A11!$A$2:$FA$200, 15, FALSE))</f>
        <v>34.464782205746062</v>
      </c>
      <c r="Q233" s="544" t="e">
        <f>IF(VLOOKUP($E$233,[1]DATA_A11!$A$2:$FA$200, 16, FALSE)="",":",VLOOKUP($E$233,[1]DATA_A11!$A$2:$FA$200, 16, FALSE))</f>
        <v>#VALUE!</v>
      </c>
      <c r="R233" s="544" t="e">
        <f>IF(VLOOKUP($E$233,[1]DATA_A11!$A$2:$FA$200, 17, FALSE)="",":",VLOOKUP($E$233,[1]DATA_A11!$A$2:$FA$200, 17, FALSE))</f>
        <v>#VALUE!</v>
      </c>
      <c r="S233" s="544" t="e">
        <f>IF(VLOOKUP($E$233,[1]DATA_A11!$A$2:$FA$200, 18, FALSE)="",":",VLOOKUP($E$233,[1]DATA_A11!$A$2:$FA$200, 18, FALSE))</f>
        <v>#VALUE!</v>
      </c>
      <c r="T233" s="544">
        <f>IF(VLOOKUP($E$233,[1]DATA_A11!$A$2:$FA$200, 19, FALSE)="",":",VLOOKUP($E$233,[1]DATA_A11!$A$2:$FA$200, 19, FALSE))</f>
        <v>118</v>
      </c>
      <c r="U233" s="544">
        <f>IF(VLOOKUP($E$233,[1]DATA_A11!$A$2:$FA$200, 20, FALSE)="",":",VLOOKUP($E$233,[1]DATA_A11!$A$2:$FA$200, 20, FALSE))</f>
        <v>79</v>
      </c>
      <c r="V233" s="544">
        <f>IF(VLOOKUP($E$233,[1]DATA_A11!$A$2:$FA$200, 21, FALSE)="",":",VLOOKUP($E$233,[1]DATA_A11!$A$2:$FA$200, 21, FALSE))</f>
        <v>88</v>
      </c>
      <c r="W233" s="544">
        <f>IF(VLOOKUP($E$233,[1]DATA_A11!$A$2:$FA$200, 22, FALSE)="",":",VLOOKUP($E$233,[1]DATA_A11!$A$2:$FA$200, 22, FALSE))</f>
        <v>92</v>
      </c>
      <c r="X233" s="544">
        <f>IF(VLOOKUP($E$233,[1]DATA_A11!$A$2:$FA$200, 23, FALSE)="",":",VLOOKUP($E$233,[1]DATA_A11!$A$2:$FA$200, 23, FALSE))</f>
        <v>87</v>
      </c>
      <c r="Y233" s="544">
        <f>IF(VLOOKUP($E$233,[1]DATA_A11!$A$2:$FA$200, 24, FALSE)="",":",VLOOKUP($E$233,[1]DATA_A11!$A$2:$FA$200, 24, FALSE))</f>
        <v>100</v>
      </c>
      <c r="Z233" s="544">
        <f>IF(VLOOKUP($E$233,[1]DATA_A11!$A$2:$FA$200, 25, FALSE)="",":",VLOOKUP($E$233,[1]DATA_A11!$A$2:$FA$200, 25, FALSE))</f>
        <v>103</v>
      </c>
      <c r="AA233" s="544">
        <f>IF(VLOOKUP($E$233,[1]DATA_A11!$A$2:$FA$200, 26, FALSE)="",":",VLOOKUP($E$233,[1]DATA_A11!$A$2:$FA$200, 26, FALSE))</f>
        <v>123</v>
      </c>
      <c r="AB233" s="544">
        <f>IF(VLOOKUP($E$233,[1]DATA_A11!$A$2:$FA$200, 27, FALSE)="",":",VLOOKUP($E$233,[1]DATA_A11!$A$2:$FA$200, 27, FALSE))</f>
        <v>112</v>
      </c>
      <c r="AC233" s="544" t="e">
        <f>IF(VLOOKUP($E$233,[1]DATA_A11!$A$2:$FA$200, 28, FALSE)="",":",VLOOKUP($E$233,[1]DATA_A11!$A$2:$FA$200, 28, FALSE))</f>
        <v>#VALUE!</v>
      </c>
      <c r="AD233" s="544" t="str">
        <f>IF(VLOOKUP($E$233,[1]DATA_A11!$A$2:$FA$200, 29, FALSE)="",":",VLOOKUP($E$233,[1]DATA_A11!$A$2:$FA$200, 29, FALSE))</f>
        <v>:</v>
      </c>
      <c r="AE233" s="544" t="str">
        <f>IF(VLOOKUP($E$233,[1]DATA_A11!$A$2:$FA$200, 30, FALSE)="",":",VLOOKUP($E$233,[1]DATA_A11!$A$2:$FA$200, 30, FALSE))</f>
        <v>:</v>
      </c>
      <c r="AF233" s="544" t="str">
        <f>IF(VLOOKUP($E$233,[1]DATA_A11!$A$2:$FA$200, 31, FALSE)="",":",VLOOKUP($E$233,[1]DATA_A11!$A$2:$FA$200, 31, FALSE))</f>
        <v>:</v>
      </c>
    </row>
    <row r="234" spans="1:32">
      <c r="A234" s="533"/>
      <c r="B234" s="534"/>
      <c r="C234" s="535"/>
      <c r="D234" s="12"/>
      <c r="E234" s="13"/>
      <c r="F234" s="14"/>
      <c r="G234" s="544"/>
      <c r="H234" s="544"/>
      <c r="I234" s="544"/>
      <c r="J234" s="544"/>
      <c r="K234" s="544"/>
      <c r="L234" s="544"/>
      <c r="M234" s="544"/>
      <c r="N234" s="544"/>
      <c r="O234" s="544"/>
      <c r="P234" s="544"/>
      <c r="Q234" s="544"/>
      <c r="R234" s="544"/>
      <c r="S234" s="544"/>
      <c r="T234" s="544"/>
      <c r="U234" s="544"/>
      <c r="V234" s="544"/>
      <c r="W234" s="544"/>
      <c r="X234" s="544"/>
      <c r="Y234" s="544"/>
      <c r="Z234" s="544"/>
      <c r="AA234" s="544"/>
      <c r="AB234" s="544"/>
      <c r="AC234" s="544"/>
      <c r="AD234" s="544"/>
      <c r="AE234" s="544"/>
      <c r="AF234" s="544"/>
    </row>
    <row r="235" spans="1:32">
      <c r="A235" s="1954">
        <v>133</v>
      </c>
      <c r="B235" s="534" t="s">
        <v>2087</v>
      </c>
      <c r="C235" s="535" t="s">
        <v>1878</v>
      </c>
      <c r="D235" s="12" t="s">
        <v>879</v>
      </c>
      <c r="E235" s="13">
        <v>2612</v>
      </c>
      <c r="F235" s="14" t="str">
        <f>VLOOKUP($E$235,[1]DATA_A11!$A$2:$FA$200, 3, FALSE)</f>
        <v>2612 Subsidies from RoW</v>
      </c>
      <c r="G235" s="544">
        <f>IF(VLOOKUP($E$235,[1]DATA_A11!$A$2:$FA$200, 6, FALSE)="",":",VLOOKUP($E$235,[1]DATA_A11!$A$2:$FA$200, 6, FALSE))</f>
        <v>0</v>
      </c>
      <c r="H235" s="544">
        <f>IF(VLOOKUP($E$235,[1]DATA_A11!$A$2:$FA$200, 7, FALSE)="",":",VLOOKUP($E$235,[1]DATA_A11!$A$2:$FA$200, 7, FALSE))</f>
        <v>0</v>
      </c>
      <c r="I235" s="544">
        <f>IF(VLOOKUP($E$235,[1]DATA_A11!$A$2:$FA$200, 8, FALSE)="",":",VLOOKUP($E$235,[1]DATA_A11!$A$2:$FA$200, 8, FALSE))</f>
        <v>0</v>
      </c>
      <c r="J235" s="544">
        <f>IF(VLOOKUP($E$235,[1]DATA_A11!$A$2:$FA$200, 9, FALSE)="",":",VLOOKUP($E$235,[1]DATA_A11!$A$2:$FA$200, 9, FALSE))</f>
        <v>0</v>
      </c>
      <c r="K235" s="544">
        <f>IF(VLOOKUP($E$235,[1]DATA_A11!$A$2:$FA$200, 10, FALSE)="",":",VLOOKUP($E$235,[1]DATA_A11!$A$2:$FA$200, 10, FALSE))</f>
        <v>0</v>
      </c>
      <c r="L235" s="544">
        <f>IF(VLOOKUP($E$235,[1]DATA_A11!$A$2:$FA$200, 11, FALSE)="",":",VLOOKUP($E$235,[1]DATA_A11!$A$2:$FA$200, 11, FALSE))</f>
        <v>0</v>
      </c>
      <c r="M235" s="544">
        <f>IF(VLOOKUP($E$235,[1]DATA_A11!$A$2:$FA$200, 12, FALSE)="",":",VLOOKUP($E$235,[1]DATA_A11!$A$2:$FA$200, 12, FALSE))</f>
        <v>0</v>
      </c>
      <c r="N235" s="544">
        <f>IF(VLOOKUP($E$235,[1]DATA_A11!$A$2:$FA$200, 13, FALSE)="",":",VLOOKUP($E$235,[1]DATA_A11!$A$2:$FA$200, 13, FALSE))</f>
        <v>0</v>
      </c>
      <c r="O235" s="544">
        <f>IF(VLOOKUP($E$235,[1]DATA_A11!$A$2:$FA$200, 14, FALSE)="",":",VLOOKUP($E$235,[1]DATA_A11!$A$2:$FA$200, 14, FALSE))</f>
        <v>0</v>
      </c>
      <c r="P235" s="544">
        <f>IF(VLOOKUP($E$235,[1]DATA_A11!$A$2:$FA$200, 15, FALSE)="",":",VLOOKUP($E$235,[1]DATA_A11!$A$2:$FA$200, 15, FALSE))</f>
        <v>121.93002780352178</v>
      </c>
      <c r="Q235" s="544">
        <f>IF(VLOOKUP($E$235,[1]DATA_A11!$A$2:$FA$200, 16, FALSE)="",":",VLOOKUP($E$235,[1]DATA_A11!$A$2:$FA$200, 16, FALSE))</f>
        <v>245</v>
      </c>
      <c r="R235" s="544">
        <f>IF(VLOOKUP($E$235,[1]DATA_A11!$A$2:$FA$200, 17, FALSE)="",":",VLOOKUP($E$235,[1]DATA_A11!$A$2:$FA$200, 17, FALSE))</f>
        <v>235</v>
      </c>
      <c r="S235" s="544">
        <f>IF(VLOOKUP($E$235,[1]DATA_A11!$A$2:$FA$200, 18, FALSE)="",":",VLOOKUP($E$235,[1]DATA_A11!$A$2:$FA$200, 18, FALSE))</f>
        <v>189</v>
      </c>
      <c r="T235" s="544">
        <f>IF(VLOOKUP($E$235,[1]DATA_A11!$A$2:$FA$200, 19, FALSE)="",":",VLOOKUP($E$235,[1]DATA_A11!$A$2:$FA$200, 19, FALSE))</f>
        <v>207</v>
      </c>
      <c r="U235" s="544">
        <f>IF(VLOOKUP($E$235,[1]DATA_A11!$A$2:$FA$200, 20, FALSE)="",":",VLOOKUP($E$235,[1]DATA_A11!$A$2:$FA$200, 20, FALSE))</f>
        <v>273</v>
      </c>
      <c r="V235" s="544">
        <f>IF(VLOOKUP($E$235,[1]DATA_A11!$A$2:$FA$200, 21, FALSE)="",":",VLOOKUP($E$235,[1]DATA_A11!$A$2:$FA$200, 21, FALSE))</f>
        <v>305</v>
      </c>
      <c r="W235" s="544">
        <f>IF(VLOOKUP($E$235,[1]DATA_A11!$A$2:$FA$200, 22, FALSE)="",":",VLOOKUP($E$235,[1]DATA_A11!$A$2:$FA$200, 22, FALSE))</f>
        <v>323</v>
      </c>
      <c r="X235" s="544">
        <f>IF(VLOOKUP($E$235,[1]DATA_A11!$A$2:$FA$200, 23, FALSE)="",":",VLOOKUP($E$235,[1]DATA_A11!$A$2:$FA$200, 23, FALSE))</f>
        <v>366</v>
      </c>
      <c r="Y235" s="544">
        <f>IF(VLOOKUP($E$235,[1]DATA_A11!$A$2:$FA$200, 24, FALSE)="",":",VLOOKUP($E$235,[1]DATA_A11!$A$2:$FA$200, 24, FALSE))</f>
        <v>389</v>
      </c>
      <c r="Z235" s="544">
        <f>IF(VLOOKUP($E$235,[1]DATA_A11!$A$2:$FA$200, 25, FALSE)="",":",VLOOKUP($E$235,[1]DATA_A11!$A$2:$FA$200, 25, FALSE))</f>
        <v>386</v>
      </c>
      <c r="AA235" s="544">
        <f>IF(VLOOKUP($E$235,[1]DATA_A11!$A$2:$FA$200, 26, FALSE)="",":",VLOOKUP($E$235,[1]DATA_A11!$A$2:$FA$200, 26, FALSE))</f>
        <v>441</v>
      </c>
      <c r="AB235" s="544">
        <f>IF(VLOOKUP($E$235,[1]DATA_A11!$A$2:$FA$200, 27, FALSE)="",":",VLOOKUP($E$235,[1]DATA_A11!$A$2:$FA$200, 27, FALSE))</f>
        <v>467</v>
      </c>
      <c r="AC235" s="544" t="str">
        <f>IF(VLOOKUP($E$235,[1]DATA_A11!$A$2:$FA$200, 28, FALSE)="",":",VLOOKUP($E$235,[1]DATA_A11!$A$2:$FA$200, 28, FALSE))</f>
        <v>n.a.</v>
      </c>
      <c r="AD235" s="544" t="str">
        <f>IF(VLOOKUP($E$235,[1]DATA_A11!$A$2:$FA$200, 29, FALSE)="",":",VLOOKUP($E$235,[1]DATA_A11!$A$2:$FA$200, 29, FALSE))</f>
        <v>:</v>
      </c>
      <c r="AE235" s="544" t="str">
        <f>IF(VLOOKUP($E$235,[1]DATA_A11!$A$2:$FA$200, 30, FALSE)="",":",VLOOKUP($E$235,[1]DATA_A11!$A$2:$FA$200, 30, FALSE))</f>
        <v>:</v>
      </c>
      <c r="AF235" s="544" t="str">
        <f>IF(VLOOKUP($E$235,[1]DATA_A11!$A$2:$FA$200, 31, FALSE)="",":",VLOOKUP($E$235,[1]DATA_A11!$A$2:$FA$200, 31, FALSE))</f>
        <v>:</v>
      </c>
    </row>
    <row r="236" spans="1:32">
      <c r="A236" s="533"/>
      <c r="B236" s="534"/>
      <c r="C236" s="535"/>
      <c r="D236" s="12"/>
      <c r="E236" s="13"/>
      <c r="F236" s="14"/>
      <c r="G236" s="544"/>
      <c r="H236" s="544"/>
      <c r="I236" s="544"/>
      <c r="J236" s="544"/>
      <c r="K236" s="544"/>
      <c r="L236" s="544"/>
      <c r="M236" s="544"/>
      <c r="N236" s="544"/>
      <c r="O236" s="544"/>
      <c r="P236" s="544"/>
      <c r="Q236" s="544"/>
      <c r="R236" s="544"/>
      <c r="S236" s="544"/>
      <c r="T236" s="544"/>
      <c r="U236" s="544"/>
      <c r="V236" s="544"/>
      <c r="W236" s="544"/>
      <c r="X236" s="544"/>
      <c r="Y236" s="544"/>
      <c r="Z236" s="544"/>
      <c r="AA236" s="544"/>
      <c r="AB236" s="544"/>
      <c r="AC236" s="544"/>
      <c r="AD236" s="544"/>
      <c r="AE236" s="544"/>
      <c r="AF236" s="544"/>
    </row>
    <row r="237" spans="1:32">
      <c r="A237" s="533"/>
      <c r="B237" s="534"/>
      <c r="C237" s="535"/>
      <c r="D237" s="12"/>
      <c r="E237" s="13"/>
      <c r="F237" s="14"/>
      <c r="G237" s="544"/>
      <c r="H237" s="544"/>
      <c r="I237" s="544"/>
      <c r="J237" s="544"/>
      <c r="K237" s="544"/>
      <c r="L237" s="544"/>
      <c r="M237" s="544"/>
      <c r="N237" s="544"/>
      <c r="O237" s="544"/>
      <c r="P237" s="544"/>
      <c r="Q237" s="544"/>
      <c r="R237" s="544"/>
      <c r="S237" s="544"/>
      <c r="T237" s="544"/>
      <c r="U237" s="544"/>
      <c r="V237" s="544"/>
      <c r="W237" s="544"/>
      <c r="X237" s="544"/>
      <c r="Y237" s="544"/>
      <c r="Z237" s="544"/>
      <c r="AA237" s="544"/>
      <c r="AB237" s="544"/>
      <c r="AC237" s="544"/>
      <c r="AD237" s="544"/>
      <c r="AE237" s="544"/>
      <c r="AF237" s="544"/>
    </row>
    <row r="238" spans="1:32">
      <c r="A238" s="1954"/>
      <c r="B238" s="534" t="s">
        <v>885</v>
      </c>
      <c r="C238" s="535" t="s">
        <v>645</v>
      </c>
      <c r="D238" s="12" t="s">
        <v>879</v>
      </c>
      <c r="E238" s="13">
        <v>2704</v>
      </c>
      <c r="F238" s="14" t="str">
        <f>VLOOKUP($E$238,[1]DATA_A11!$A$2:$FA$200, 3, FALSE)</f>
        <v xml:space="preserve">2704 Net property income                                      </v>
      </c>
      <c r="G238" s="544">
        <f>IF(VLOOKUP($E$238,[1]DATA_A11!$A$2:$FA$200, 6, FALSE)="",":",VLOOKUP($E$238,[1]DATA_A11!$A$2:$FA$200, 6, FALSE))</f>
        <v>-7.8197405004633893</v>
      </c>
      <c r="H238" s="544">
        <f>IF(VLOOKUP($E$238,[1]DATA_A11!$A$2:$FA$200, 7, FALSE)="",":",VLOOKUP($E$238,[1]DATA_A11!$A$2:$FA$200, 7, FALSE))</f>
        <v>-72.405004633920299</v>
      </c>
      <c r="I238" s="544">
        <f>IF(VLOOKUP($E$238,[1]DATA_A11!$A$2:$FA$200, 8, FALSE)="",":",VLOOKUP($E$238,[1]DATA_A11!$A$2:$FA$200, 8, FALSE))</f>
        <v>-151.18164967562558</v>
      </c>
      <c r="J238" s="544">
        <f>IF(VLOOKUP($E$238,[1]DATA_A11!$A$2:$FA$200, 9, FALSE)="",":",VLOOKUP($E$238,[1]DATA_A11!$A$2:$FA$200, 9, FALSE))</f>
        <v>-223.29703429101019</v>
      </c>
      <c r="K238" s="544">
        <f>IF(VLOOKUP($E$238,[1]DATA_A11!$A$2:$FA$200, 10, FALSE)="",":",VLOOKUP($E$238,[1]DATA_A11!$A$2:$FA$200, 10, FALSE))</f>
        <v>-243.57043558850788</v>
      </c>
      <c r="L238" s="544">
        <f>IF(VLOOKUP($E$238,[1]DATA_A11!$A$2:$FA$200, 11, FALSE)="",":",VLOOKUP($E$238,[1]DATA_A11!$A$2:$FA$200, 11, FALSE))</f>
        <v>-244.14967562557925</v>
      </c>
      <c r="M238" s="544">
        <f>IF(VLOOKUP($E$238,[1]DATA_A11!$A$2:$FA$200, 12, FALSE)="",":",VLOOKUP($E$238,[1]DATA_A11!$A$2:$FA$200, 12, FALSE))</f>
        <v>-241.25347544022247</v>
      </c>
      <c r="N238" s="544">
        <f>IF(VLOOKUP($E$238,[1]DATA_A11!$A$2:$FA$200, 13, FALSE)="",":",VLOOKUP($E$238,[1]DATA_A11!$A$2:$FA$200, 13, FALSE))</f>
        <v>-214.31881371640407</v>
      </c>
      <c r="O238" s="544">
        <f>IF(VLOOKUP($E$238,[1]DATA_A11!$A$2:$FA$200, 14, FALSE)="",":",VLOOKUP($E$238,[1]DATA_A11!$A$2:$FA$200, 14, FALSE))</f>
        <v>-452.96570898980536</v>
      </c>
      <c r="P238" s="544">
        <f>IF(VLOOKUP($E$238,[1]DATA_A11!$A$2:$FA$200, 15, FALSE)="",":",VLOOKUP($E$238,[1]DATA_A11!$A$2:$FA$200, 15, FALSE))</f>
        <v>-584.74281742354037</v>
      </c>
      <c r="Q238" s="544">
        <f>IF(VLOOKUP($E$238,[1]DATA_A11!$A$2:$FA$200, 16, FALSE)="",":",VLOOKUP($E$238,[1]DATA_A11!$A$2:$FA$200, 16, FALSE))</f>
        <v>-666</v>
      </c>
      <c r="R238" s="544">
        <f>IF(VLOOKUP($E$238,[1]DATA_A11!$A$2:$FA$200, 17, FALSE)="",":",VLOOKUP($E$238,[1]DATA_A11!$A$2:$FA$200, 17, FALSE))</f>
        <v>-845</v>
      </c>
      <c r="S238" s="544">
        <f>IF(VLOOKUP($E$238,[1]DATA_A11!$A$2:$FA$200, 18, FALSE)="",":",VLOOKUP($E$238,[1]DATA_A11!$A$2:$FA$200, 18, FALSE))</f>
        <v>-1367</v>
      </c>
      <c r="T238" s="544">
        <f>IF(VLOOKUP($E$238,[1]DATA_A11!$A$2:$FA$200, 19, FALSE)="",":",VLOOKUP($E$238,[1]DATA_A11!$A$2:$FA$200, 19, FALSE))</f>
        <v>-1353</v>
      </c>
      <c r="U238" s="544">
        <f>IF(VLOOKUP($E$238,[1]DATA_A11!$A$2:$FA$200, 20, FALSE)="",":",VLOOKUP($E$238,[1]DATA_A11!$A$2:$FA$200, 20, FALSE))</f>
        <v>243</v>
      </c>
      <c r="V238" s="544">
        <f>IF(VLOOKUP($E$238,[1]DATA_A11!$A$2:$FA$200, 21, FALSE)="",":",VLOOKUP($E$238,[1]DATA_A11!$A$2:$FA$200, 21, FALSE))</f>
        <v>-986</v>
      </c>
      <c r="W238" s="544">
        <f>IF(VLOOKUP($E$238,[1]DATA_A11!$A$2:$FA$200, 22, FALSE)="",":",VLOOKUP($E$238,[1]DATA_A11!$A$2:$FA$200, 22, FALSE))</f>
        <v>-1583</v>
      </c>
      <c r="X238" s="544">
        <f>IF(VLOOKUP($E$238,[1]DATA_A11!$A$2:$FA$200, 23, FALSE)="",":",VLOOKUP($E$238,[1]DATA_A11!$A$2:$FA$200, 23, FALSE))</f>
        <v>-1347</v>
      </c>
      <c r="Y238" s="544">
        <f>IF(VLOOKUP($E$238,[1]DATA_A11!$A$2:$FA$200, 24, FALSE)="",":",VLOOKUP($E$238,[1]DATA_A11!$A$2:$FA$200, 24, FALSE))</f>
        <v>-1281</v>
      </c>
      <c r="Z238" s="544">
        <f>IF(VLOOKUP($E$238,[1]DATA_A11!$A$2:$FA$200, 25, FALSE)="",":",VLOOKUP($E$238,[1]DATA_A11!$A$2:$FA$200, 25, FALSE))</f>
        <v>-772</v>
      </c>
      <c r="AA238" s="544">
        <f>IF(VLOOKUP($E$238,[1]DATA_A11!$A$2:$FA$200, 26, FALSE)="",":",VLOOKUP($E$238,[1]DATA_A11!$A$2:$FA$200, 26, FALSE))</f>
        <v>-1871</v>
      </c>
      <c r="AB238" s="544">
        <f>IF(VLOOKUP($E$238,[1]DATA_A11!$A$2:$FA$200, 27, FALSE)="",":",VLOOKUP($E$238,[1]DATA_A11!$A$2:$FA$200, 27, FALSE))</f>
        <v>-1851</v>
      </c>
      <c r="AC238" s="544" t="e">
        <f>IF(VLOOKUP($E$238,[1]DATA_A11!$A$2:$FA$200, 28, FALSE)="",":",VLOOKUP($E$238,[1]DATA_A11!$A$2:$FA$200, 28, FALSE))</f>
        <v>#VALUE!</v>
      </c>
      <c r="AD238" s="544" t="str">
        <f>IF(VLOOKUP($E$238,[1]DATA_A11!$A$2:$FA$200, 29, FALSE)="",":",VLOOKUP($E$238,[1]DATA_A11!$A$2:$FA$200, 29, FALSE))</f>
        <v>:</v>
      </c>
      <c r="AE238" s="544" t="str">
        <f>IF(VLOOKUP($E$238,[1]DATA_A11!$A$2:$FA$200, 30, FALSE)="",":",VLOOKUP($E$238,[1]DATA_A11!$A$2:$FA$200, 30, FALSE))</f>
        <v>:</v>
      </c>
      <c r="AF238" s="544" t="str">
        <f>IF(VLOOKUP($E$238,[1]DATA_A11!$A$2:$FA$200, 31, FALSE)="",":",VLOOKUP($E$238,[1]DATA_A11!$A$2:$FA$200, 31, FALSE))</f>
        <v>:</v>
      </c>
    </row>
    <row r="239" spans="1:32">
      <c r="A239" s="533"/>
      <c r="B239" s="534"/>
      <c r="C239" s="535"/>
      <c r="D239" s="12"/>
      <c r="E239" s="13"/>
      <c r="F239" s="14"/>
      <c r="G239" s="544"/>
      <c r="H239" s="544"/>
      <c r="I239" s="544"/>
      <c r="J239" s="544"/>
      <c r="K239" s="544"/>
      <c r="L239" s="544"/>
      <c r="M239" s="544"/>
      <c r="N239" s="544"/>
      <c r="O239" s="544"/>
      <c r="P239" s="544"/>
      <c r="Q239" s="544"/>
      <c r="R239" s="544"/>
      <c r="S239" s="544"/>
      <c r="T239" s="544"/>
      <c r="U239" s="544"/>
      <c r="V239" s="544"/>
      <c r="W239" s="544"/>
      <c r="X239" s="544"/>
      <c r="Y239" s="544"/>
      <c r="Z239" s="544"/>
      <c r="AA239" s="544"/>
      <c r="AB239" s="544"/>
      <c r="AC239" s="544"/>
      <c r="AD239" s="544"/>
      <c r="AE239" s="544"/>
      <c r="AF239" s="544"/>
    </row>
    <row r="240" spans="1:32">
      <c r="A240" s="1954"/>
      <c r="B240" s="534" t="s">
        <v>893</v>
      </c>
      <c r="C240" s="535" t="s">
        <v>646</v>
      </c>
      <c r="D240" s="12" t="s">
        <v>879</v>
      </c>
      <c r="E240" s="13">
        <v>2906</v>
      </c>
      <c r="F240" s="14" t="str">
        <f>VLOOKUP($E$240,[1]DATA_A11!$A$2:$FA$200, 3, FALSE)</f>
        <v>2906 Current taxes on income and wealth (paid by RoW)</v>
      </c>
      <c r="G240" s="544">
        <f>IF(VLOOKUP($E$240,[1]DATA_A11!$A$2:$FA$200, 6, FALSE)="",":",VLOOKUP($E$240,[1]DATA_A11!$A$2:$FA$200, 6, FALSE))</f>
        <v>0</v>
      </c>
      <c r="H240" s="544">
        <f>IF(VLOOKUP($E$240,[1]DATA_A11!$A$2:$FA$200, 7, FALSE)="",":",VLOOKUP($E$240,[1]DATA_A11!$A$2:$FA$200, 7, FALSE))</f>
        <v>0</v>
      </c>
      <c r="I240" s="544">
        <f>IF(VLOOKUP($E$240,[1]DATA_A11!$A$2:$FA$200, 8, FALSE)="",":",VLOOKUP($E$240,[1]DATA_A11!$A$2:$FA$200, 8, FALSE))</f>
        <v>0</v>
      </c>
      <c r="J240" s="544">
        <f>IF(VLOOKUP($E$240,[1]DATA_A11!$A$2:$FA$200, 9, FALSE)="",":",VLOOKUP($E$240,[1]DATA_A11!$A$2:$FA$200, 9, FALSE))</f>
        <v>0</v>
      </c>
      <c r="K240" s="544">
        <f>IF(VLOOKUP($E$240,[1]DATA_A11!$A$2:$FA$200, 10, FALSE)="",":",VLOOKUP($E$240,[1]DATA_A11!$A$2:$FA$200, 10, FALSE))</f>
        <v>0</v>
      </c>
      <c r="L240" s="544">
        <f>IF(VLOOKUP($E$240,[1]DATA_A11!$A$2:$FA$200, 11, FALSE)="",":",VLOOKUP($E$240,[1]DATA_A11!$A$2:$FA$200, 11, FALSE))</f>
        <v>0</v>
      </c>
      <c r="M240" s="544">
        <f>IF(VLOOKUP($E$240,[1]DATA_A11!$A$2:$FA$200, 12, FALSE)="",":",VLOOKUP($E$240,[1]DATA_A11!$A$2:$FA$200, 12, FALSE))</f>
        <v>0</v>
      </c>
      <c r="N240" s="544">
        <f>IF(VLOOKUP($E$240,[1]DATA_A11!$A$2:$FA$200, 13, FALSE)="",":",VLOOKUP($E$240,[1]DATA_A11!$A$2:$FA$200, 13, FALSE))</f>
        <v>0</v>
      </c>
      <c r="O240" s="544">
        <f>IF(VLOOKUP($E$240,[1]DATA_A11!$A$2:$FA$200, 14, FALSE)="",":",VLOOKUP($E$240,[1]DATA_A11!$A$2:$FA$200, 14, FALSE))</f>
        <v>0</v>
      </c>
      <c r="P240" s="544">
        <f>IF(VLOOKUP($E$240,[1]DATA_A11!$A$2:$FA$200, 15, FALSE)="",":",VLOOKUP($E$240,[1]DATA_A11!$A$2:$FA$200, 15, FALSE))</f>
        <v>0.5792400370713624</v>
      </c>
      <c r="Q240" s="544">
        <f>IF(VLOOKUP($E$240,[1]DATA_A11!$A$2:$FA$200, 16, FALSE)="",":",VLOOKUP($E$240,[1]DATA_A11!$A$2:$FA$200, 16, FALSE))</f>
        <v>1</v>
      </c>
      <c r="R240" s="544">
        <f>IF(VLOOKUP($E$240,[1]DATA_A11!$A$2:$FA$200, 17, FALSE)="",":",VLOOKUP($E$240,[1]DATA_A11!$A$2:$FA$200, 17, FALSE))</f>
        <v>1</v>
      </c>
      <c r="S240" s="544">
        <f>IF(VLOOKUP($E$240,[1]DATA_A11!$A$2:$FA$200, 18, FALSE)="",":",VLOOKUP($E$240,[1]DATA_A11!$A$2:$FA$200, 18, FALSE))</f>
        <v>1</v>
      </c>
      <c r="T240" s="544">
        <f>IF(VLOOKUP($E$240,[1]DATA_A11!$A$2:$FA$200, 19, FALSE)="",":",VLOOKUP($E$240,[1]DATA_A11!$A$2:$FA$200, 19, FALSE))</f>
        <v>14</v>
      </c>
      <c r="U240" s="544">
        <f>IF(VLOOKUP($E$240,[1]DATA_A11!$A$2:$FA$200, 20, FALSE)="",":",VLOOKUP($E$240,[1]DATA_A11!$A$2:$FA$200, 20, FALSE))</f>
        <v>23</v>
      </c>
      <c r="V240" s="544">
        <f>IF(VLOOKUP($E$240,[1]DATA_A11!$A$2:$FA$200, 21, FALSE)="",":",VLOOKUP($E$240,[1]DATA_A11!$A$2:$FA$200, 21, FALSE))</f>
        <v>12</v>
      </c>
      <c r="W240" s="544">
        <f>IF(VLOOKUP($E$240,[1]DATA_A11!$A$2:$FA$200, 22, FALSE)="",":",VLOOKUP($E$240,[1]DATA_A11!$A$2:$FA$200, 22, FALSE))</f>
        <v>13</v>
      </c>
      <c r="X240" s="544">
        <f>IF(VLOOKUP($E$240,[1]DATA_A11!$A$2:$FA$200, 23, FALSE)="",":",VLOOKUP($E$240,[1]DATA_A11!$A$2:$FA$200, 23, FALSE))</f>
        <v>18</v>
      </c>
      <c r="Y240" s="544">
        <f>IF(VLOOKUP($E$240,[1]DATA_A11!$A$2:$FA$200, 24, FALSE)="",":",VLOOKUP($E$240,[1]DATA_A11!$A$2:$FA$200, 24, FALSE))</f>
        <v>19</v>
      </c>
      <c r="Z240" s="544">
        <f>IF(VLOOKUP($E$240,[1]DATA_A11!$A$2:$FA$200, 25, FALSE)="",":",VLOOKUP($E$240,[1]DATA_A11!$A$2:$FA$200, 25, FALSE))</f>
        <v>19</v>
      </c>
      <c r="AA240" s="544">
        <f>IF(VLOOKUP($E$240,[1]DATA_A11!$A$2:$FA$200, 26, FALSE)="",":",VLOOKUP($E$240,[1]DATA_A11!$A$2:$FA$200, 26, FALSE))</f>
        <v>14</v>
      </c>
      <c r="AB240" s="544">
        <f>IF(VLOOKUP($E$240,[1]DATA_A11!$A$2:$FA$200, 27, FALSE)="",":",VLOOKUP($E$240,[1]DATA_A11!$A$2:$FA$200, 27, FALSE))</f>
        <v>17</v>
      </c>
      <c r="AC240" s="544" t="str">
        <f>IF(VLOOKUP($E$240,[1]DATA_A11!$A$2:$FA$200, 28, FALSE)="",":",VLOOKUP($E$240,[1]DATA_A11!$A$2:$FA$200, 28, FALSE))</f>
        <v>n.a.</v>
      </c>
      <c r="AD240" s="544" t="str">
        <f>IF(VLOOKUP($E$240,[1]DATA_A11!$A$2:$FA$200, 29, FALSE)="",":",VLOOKUP($E$240,[1]DATA_A11!$A$2:$FA$200, 29, FALSE))</f>
        <v>:</v>
      </c>
      <c r="AE240" s="544" t="str">
        <f>IF(VLOOKUP($E$240,[1]DATA_A11!$A$2:$FA$200, 30, FALSE)="",":",VLOOKUP($E$240,[1]DATA_A11!$A$2:$FA$200, 30, FALSE))</f>
        <v>:</v>
      </c>
      <c r="AF240" s="544" t="str">
        <f>IF(VLOOKUP($E$240,[1]DATA_A11!$A$2:$FA$200, 31, FALSE)="",":",VLOOKUP($E$240,[1]DATA_A11!$A$2:$FA$200, 31, FALSE))</f>
        <v>:</v>
      </c>
    </row>
    <row r="241" spans="1:32">
      <c r="A241" s="1954"/>
      <c r="B241" s="534" t="s">
        <v>893</v>
      </c>
      <c r="C241" s="535" t="s">
        <v>1431</v>
      </c>
      <c r="D241" s="12" t="s">
        <v>879</v>
      </c>
      <c r="E241" s="13">
        <v>2901</v>
      </c>
      <c r="F241" s="14" t="str">
        <f>VLOOKUP($E$241,[1]DATA_A11!$A$2:$FA$200, 3, FALSE)</f>
        <v>2901 Current taxes on income and wealth (received by RoW), wealth, etc.</v>
      </c>
      <c r="G241" s="544">
        <f>IF(VLOOKUP($E$241,[1]DATA_A11!$A$2:$FA$200, 6, FALSE)="",":",VLOOKUP($E$241,[1]DATA_A11!$A$2:$FA$200, 6, FALSE))</f>
        <v>0</v>
      </c>
      <c r="H241" s="544">
        <f>IF(VLOOKUP($E$241,[1]DATA_A11!$A$2:$FA$200, 7, FALSE)="",":",VLOOKUP($E$241,[1]DATA_A11!$A$2:$FA$200, 7, FALSE))</f>
        <v>0</v>
      </c>
      <c r="I241" s="544">
        <f>IF(VLOOKUP($E$241,[1]DATA_A11!$A$2:$FA$200, 8, FALSE)="",":",VLOOKUP($E$241,[1]DATA_A11!$A$2:$FA$200, 8, FALSE))</f>
        <v>0</v>
      </c>
      <c r="J241" s="544">
        <f>IF(VLOOKUP($E$241,[1]DATA_A11!$A$2:$FA$200, 9, FALSE)="",":",VLOOKUP($E$241,[1]DATA_A11!$A$2:$FA$200, 9, FALSE))</f>
        <v>0</v>
      </c>
      <c r="K241" s="544">
        <f>IF(VLOOKUP($E$241,[1]DATA_A11!$A$2:$FA$200, 10, FALSE)="",":",VLOOKUP($E$241,[1]DATA_A11!$A$2:$FA$200, 10, FALSE))</f>
        <v>0</v>
      </c>
      <c r="L241" s="544">
        <f>IF(VLOOKUP($E$241,[1]DATA_A11!$A$2:$FA$200, 11, FALSE)="",":",VLOOKUP($E$241,[1]DATA_A11!$A$2:$FA$200, 11, FALSE))</f>
        <v>0</v>
      </c>
      <c r="M241" s="544">
        <f>IF(VLOOKUP($E$241,[1]DATA_A11!$A$2:$FA$200, 12, FALSE)="",":",VLOOKUP($E$241,[1]DATA_A11!$A$2:$FA$200, 12, FALSE))</f>
        <v>0</v>
      </c>
      <c r="N241" s="544">
        <f>IF(VLOOKUP($E$241,[1]DATA_A11!$A$2:$FA$200, 13, FALSE)="",":",VLOOKUP($E$241,[1]DATA_A11!$A$2:$FA$200, 13, FALSE))</f>
        <v>0</v>
      </c>
      <c r="O241" s="544">
        <f>IF(VLOOKUP($E$241,[1]DATA_A11!$A$2:$FA$200, 14, FALSE)="",":",VLOOKUP($E$241,[1]DATA_A11!$A$2:$FA$200, 14, FALSE))</f>
        <v>0</v>
      </c>
      <c r="P241" s="544">
        <f>IF(VLOOKUP($E$241,[1]DATA_A11!$A$2:$FA$200, 15, FALSE)="",":",VLOOKUP($E$241,[1]DATA_A11!$A$2:$FA$200, 15, FALSE))</f>
        <v>0</v>
      </c>
      <c r="Q241" s="544" t="str">
        <f>IF(VLOOKUP($E$241,[1]DATA_A11!$A$2:$FA$200, 16, FALSE)="",":",VLOOKUP($E$241,[1]DATA_A11!$A$2:$FA$200, 16, FALSE))</f>
        <v>n.a.</v>
      </c>
      <c r="R241" s="544" t="str">
        <f>IF(VLOOKUP($E$241,[1]DATA_A11!$A$2:$FA$200, 17, FALSE)="",":",VLOOKUP($E$241,[1]DATA_A11!$A$2:$FA$200, 17, FALSE))</f>
        <v>n.a.</v>
      </c>
      <c r="S241" s="544" t="str">
        <f>IF(VLOOKUP($E$241,[1]DATA_A11!$A$2:$FA$200, 18, FALSE)="",":",VLOOKUP($E$241,[1]DATA_A11!$A$2:$FA$200, 18, FALSE))</f>
        <v>n.a.</v>
      </c>
      <c r="T241" s="544">
        <f>IF(VLOOKUP($E$241,[1]DATA_A11!$A$2:$FA$200, 19, FALSE)="",":",VLOOKUP($E$241,[1]DATA_A11!$A$2:$FA$200, 19, FALSE))</f>
        <v>23</v>
      </c>
      <c r="U241" s="544">
        <f>IF(VLOOKUP($E$241,[1]DATA_A11!$A$2:$FA$200, 20, FALSE)="",":",VLOOKUP($E$241,[1]DATA_A11!$A$2:$FA$200, 20, FALSE))</f>
        <v>20</v>
      </c>
      <c r="V241" s="544">
        <f>IF(VLOOKUP($E$241,[1]DATA_A11!$A$2:$FA$200, 21, FALSE)="",":",VLOOKUP($E$241,[1]DATA_A11!$A$2:$FA$200, 21, FALSE))</f>
        <v>34</v>
      </c>
      <c r="W241" s="544">
        <f>IF(VLOOKUP($E$241,[1]DATA_A11!$A$2:$FA$200, 22, FALSE)="",":",VLOOKUP($E$241,[1]DATA_A11!$A$2:$FA$200, 22, FALSE))</f>
        <v>30</v>
      </c>
      <c r="X241" s="544">
        <f>IF(VLOOKUP($E$241,[1]DATA_A11!$A$2:$FA$200, 23, FALSE)="",":",VLOOKUP($E$241,[1]DATA_A11!$A$2:$FA$200, 23, FALSE))</f>
        <v>22</v>
      </c>
      <c r="Y241" s="544">
        <f>IF(VLOOKUP($E$241,[1]DATA_A11!$A$2:$FA$200, 24, FALSE)="",":",VLOOKUP($E$241,[1]DATA_A11!$A$2:$FA$200, 24, FALSE))</f>
        <v>25</v>
      </c>
      <c r="Z241" s="544">
        <f>IF(VLOOKUP($E$241,[1]DATA_A11!$A$2:$FA$200, 25, FALSE)="",":",VLOOKUP($E$241,[1]DATA_A11!$A$2:$FA$200, 25, FALSE))</f>
        <v>16</v>
      </c>
      <c r="AA241" s="544">
        <f>IF(VLOOKUP($E$241,[1]DATA_A11!$A$2:$FA$200, 26, FALSE)="",":",VLOOKUP($E$241,[1]DATA_A11!$A$2:$FA$200, 26, FALSE))</f>
        <v>13</v>
      </c>
      <c r="AB241" s="544">
        <f>IF(VLOOKUP($E$241,[1]DATA_A11!$A$2:$FA$200, 27, FALSE)="",":",VLOOKUP($E$241,[1]DATA_A11!$A$2:$FA$200, 27, FALSE))</f>
        <v>8</v>
      </c>
      <c r="AC241" s="544" t="str">
        <f>IF(VLOOKUP($E$241,[1]DATA_A11!$A$2:$FA$200, 28, FALSE)="",":",VLOOKUP($E$241,[1]DATA_A11!$A$2:$FA$200, 28, FALSE))</f>
        <v>n.a.</v>
      </c>
      <c r="AD241" s="544" t="str">
        <f>IF(VLOOKUP($E$241,[1]DATA_A11!$A$2:$FA$200, 29, FALSE)="",":",VLOOKUP($E$241,[1]DATA_A11!$A$2:$FA$200, 29, FALSE))</f>
        <v>:</v>
      </c>
      <c r="AE241" s="544" t="str">
        <f>IF(VLOOKUP($E$241,[1]DATA_A11!$A$2:$FA$200, 30, FALSE)="",":",VLOOKUP($E$241,[1]DATA_A11!$A$2:$FA$200, 30, FALSE))</f>
        <v>:</v>
      </c>
      <c r="AF241" s="544" t="str">
        <f>IF(VLOOKUP($E$241,[1]DATA_A11!$A$2:$FA$200, 31, FALSE)="",":",VLOOKUP($E$241,[1]DATA_A11!$A$2:$FA$200, 31, FALSE))</f>
        <v>:</v>
      </c>
    </row>
    <row r="242" spans="1:32" s="540" customFormat="1">
      <c r="A242" s="1954"/>
      <c r="B242" s="537" t="s">
        <v>1046</v>
      </c>
      <c r="C242" s="538" t="s">
        <v>1047</v>
      </c>
      <c r="D242" s="528"/>
      <c r="E242" s="529"/>
      <c r="F242" s="539"/>
      <c r="G242" s="545">
        <f>+G240-G241</f>
        <v>0</v>
      </c>
      <c r="H242" s="545">
        <f t="shared" ref="H242:R242" si="12">+H240-H241</f>
        <v>0</v>
      </c>
      <c r="I242" s="545">
        <f t="shared" si="12"/>
        <v>0</v>
      </c>
      <c r="J242" s="545">
        <f t="shared" si="12"/>
        <v>0</v>
      </c>
      <c r="K242" s="545">
        <f t="shared" si="12"/>
        <v>0</v>
      </c>
      <c r="L242" s="545">
        <f t="shared" si="12"/>
        <v>0</v>
      </c>
      <c r="M242" s="545">
        <f t="shared" si="12"/>
        <v>0</v>
      </c>
      <c r="N242" s="545">
        <f t="shared" si="12"/>
        <v>0</v>
      </c>
      <c r="O242" s="545">
        <f t="shared" si="12"/>
        <v>0</v>
      </c>
      <c r="P242" s="545">
        <f t="shared" si="12"/>
        <v>0.5792400370713624</v>
      </c>
      <c r="Q242" s="545" t="e">
        <f t="shared" si="12"/>
        <v>#VALUE!</v>
      </c>
      <c r="R242" s="545" t="e">
        <f t="shared" si="12"/>
        <v>#VALUE!</v>
      </c>
      <c r="S242" s="545" t="e">
        <f t="shared" ref="S242:AF242" si="13">+S240-S241</f>
        <v>#VALUE!</v>
      </c>
      <c r="T242" s="545">
        <f t="shared" si="13"/>
        <v>-9</v>
      </c>
      <c r="U242" s="545">
        <f t="shared" si="13"/>
        <v>3</v>
      </c>
      <c r="V242" s="545">
        <f t="shared" si="13"/>
        <v>-22</v>
      </c>
      <c r="W242" s="545">
        <f t="shared" si="13"/>
        <v>-17</v>
      </c>
      <c r="X242" s="545">
        <f t="shared" si="13"/>
        <v>-4</v>
      </c>
      <c r="Y242" s="545">
        <f t="shared" si="13"/>
        <v>-6</v>
      </c>
      <c r="Z242" s="545">
        <f t="shared" si="13"/>
        <v>3</v>
      </c>
      <c r="AA242" s="545">
        <f t="shared" si="13"/>
        <v>1</v>
      </c>
      <c r="AB242" s="545">
        <f t="shared" si="13"/>
        <v>9</v>
      </c>
      <c r="AC242" s="545" t="e">
        <f t="shared" si="13"/>
        <v>#VALUE!</v>
      </c>
      <c r="AD242" s="545" t="e">
        <f t="shared" si="13"/>
        <v>#VALUE!</v>
      </c>
      <c r="AE242" s="545" t="e">
        <f t="shared" si="13"/>
        <v>#VALUE!</v>
      </c>
      <c r="AF242" s="545" t="e">
        <f t="shared" si="13"/>
        <v>#VALUE!</v>
      </c>
    </row>
    <row r="243" spans="1:32">
      <c r="A243" s="533"/>
      <c r="B243" s="534"/>
      <c r="C243" s="535"/>
      <c r="D243" s="12"/>
      <c r="E243" s="13"/>
      <c r="F243" s="14"/>
      <c r="G243" s="544"/>
      <c r="H243" s="544"/>
      <c r="I243" s="544"/>
      <c r="J243" s="544"/>
      <c r="K243" s="544"/>
      <c r="L243" s="544"/>
      <c r="M243" s="544"/>
      <c r="N243" s="544"/>
      <c r="O243" s="544"/>
      <c r="P243" s="544"/>
      <c r="Q243" s="544"/>
      <c r="R243" s="544"/>
      <c r="S243" s="544"/>
      <c r="T243" s="544"/>
      <c r="U243" s="544"/>
      <c r="V243" s="544"/>
      <c r="W243" s="544"/>
      <c r="X243" s="544"/>
      <c r="Y243" s="544"/>
      <c r="Z243" s="544"/>
      <c r="AA243" s="544"/>
      <c r="AB243" s="544"/>
      <c r="AC243" s="544"/>
      <c r="AD243" s="544"/>
      <c r="AE243" s="544"/>
      <c r="AF243" s="544"/>
    </row>
    <row r="244" spans="1:32">
      <c r="A244" s="1954"/>
      <c r="B244" s="534"/>
      <c r="C244" s="535" t="s">
        <v>1428</v>
      </c>
      <c r="D244" s="12" t="s">
        <v>879</v>
      </c>
      <c r="E244" s="13">
        <v>2902</v>
      </c>
      <c r="F244" s="14" t="str">
        <f>VLOOKUP($E$244,[1]DATA_A11!$A$2:$FA$200, 3, FALSE)</f>
        <v>2902 Social contributions (received by RoW)</v>
      </c>
      <c r="G244" s="544" t="str">
        <f>IF(VLOOKUP($E$244,[1]DATA_A11!$A$2:$FA$200, 6, FALSE)="",":",VLOOKUP($E$244,[1]DATA_A11!$A$2:$FA$200, 6, FALSE))</f>
        <v>n.a.</v>
      </c>
      <c r="H244" s="544" t="str">
        <f>IF(VLOOKUP($E$244,[1]DATA_A11!$A$2:$FA$200, 7, FALSE)="",":",VLOOKUP($E$244,[1]DATA_A11!$A$2:$FA$200, 7, FALSE))</f>
        <v>n.a.</v>
      </c>
      <c r="I244" s="544" t="str">
        <f>IF(VLOOKUP($E$244,[1]DATA_A11!$A$2:$FA$200, 8, FALSE)="",":",VLOOKUP($E$244,[1]DATA_A11!$A$2:$FA$200, 8, FALSE))</f>
        <v>n.a.</v>
      </c>
      <c r="J244" s="544" t="str">
        <f>IF(VLOOKUP($E$244,[1]DATA_A11!$A$2:$FA$200, 9, FALSE)="",":",VLOOKUP($E$244,[1]DATA_A11!$A$2:$FA$200, 9, FALSE))</f>
        <v>n.a.</v>
      </c>
      <c r="K244" s="544" t="str">
        <f>IF(VLOOKUP($E$244,[1]DATA_A11!$A$2:$FA$200, 10, FALSE)="",":",VLOOKUP($E$244,[1]DATA_A11!$A$2:$FA$200, 10, FALSE))</f>
        <v>n.a.</v>
      </c>
      <c r="L244" s="544" t="str">
        <f>IF(VLOOKUP($E$244,[1]DATA_A11!$A$2:$FA$200, 11, FALSE)="",":",VLOOKUP($E$244,[1]DATA_A11!$A$2:$FA$200, 11, FALSE))</f>
        <v>n.a.</v>
      </c>
      <c r="M244" s="544" t="str">
        <f>IF(VLOOKUP($E$244,[1]DATA_A11!$A$2:$FA$200, 12, FALSE)="",":",VLOOKUP($E$244,[1]DATA_A11!$A$2:$FA$200, 12, FALSE))</f>
        <v>n.a.</v>
      </c>
      <c r="N244" s="544" t="str">
        <f>IF(VLOOKUP($E$244,[1]DATA_A11!$A$2:$FA$200, 13, FALSE)="",":",VLOOKUP($E$244,[1]DATA_A11!$A$2:$FA$200, 13, FALSE))</f>
        <v>n.a.</v>
      </c>
      <c r="O244" s="544" t="str">
        <f>IF(VLOOKUP($E$244,[1]DATA_A11!$A$2:$FA$200, 14, FALSE)="",":",VLOOKUP($E$244,[1]DATA_A11!$A$2:$FA$200, 14, FALSE))</f>
        <v>n.a.</v>
      </c>
      <c r="P244" s="544" t="str">
        <f>IF(VLOOKUP($E$244,[1]DATA_A11!$A$2:$FA$200, 15, FALSE)="",":",VLOOKUP($E$244,[1]DATA_A11!$A$2:$FA$200, 15, FALSE))</f>
        <v>n.a.</v>
      </c>
      <c r="Q244" s="544" t="str">
        <f>IF(VLOOKUP($E$244,[1]DATA_A11!$A$2:$FA$200, 16, FALSE)="",":",VLOOKUP($E$244,[1]DATA_A11!$A$2:$FA$200, 16, FALSE))</f>
        <v>n.a.</v>
      </c>
      <c r="R244" s="544" t="str">
        <f>IF(VLOOKUP($E$244,[1]DATA_A11!$A$2:$FA$200, 17, FALSE)="",":",VLOOKUP($E$244,[1]DATA_A11!$A$2:$FA$200, 17, FALSE))</f>
        <v>n.a.</v>
      </c>
      <c r="S244" s="544" t="str">
        <f>IF(VLOOKUP($E$244,[1]DATA_A11!$A$2:$FA$200, 18, FALSE)="",":",VLOOKUP($E$244,[1]DATA_A11!$A$2:$FA$200, 18, FALSE))</f>
        <v>n.a.</v>
      </c>
      <c r="T244" s="544">
        <f>IF(VLOOKUP($E$244,[1]DATA_A11!$A$2:$FA$200, 19, FALSE)="",":",VLOOKUP($E$244,[1]DATA_A11!$A$2:$FA$200, 19, FALSE))</f>
        <v>31</v>
      </c>
      <c r="U244" s="544">
        <f>IF(VLOOKUP($E$244,[1]DATA_A11!$A$2:$FA$200, 19, FALSE)="",":",VLOOKUP($E$244,[1]DATA_A11!$A$2:$FA$200, 19, FALSE))</f>
        <v>31</v>
      </c>
      <c r="V244" s="544">
        <f>IF(VLOOKUP($E$244,[1]DATA_A11!$A$2:$FA$200, 21, FALSE)="",":",VLOOKUP($E$244,[1]DATA_A11!$A$2:$FA$200, 21, FALSE))</f>
        <v>43</v>
      </c>
      <c r="W244" s="544">
        <f>IF(VLOOKUP($E$244,[1]DATA_A11!$A$2:$FA$200, 22, FALSE)="",":",VLOOKUP($E$244,[1]DATA_A11!$A$2:$FA$200, 22, FALSE))</f>
        <v>38</v>
      </c>
      <c r="X244" s="544">
        <f>IF(VLOOKUP($E$244,[1]DATA_A11!$A$2:$FA$200, 23, FALSE)="",":",VLOOKUP($E$244,[1]DATA_A11!$A$2:$FA$200, 23, FALSE))</f>
        <v>17</v>
      </c>
      <c r="Y244" s="544">
        <f>IF(VLOOKUP($E$244,[1]DATA_A11!$A$2:$FA$200, 24, FALSE)="",":",VLOOKUP($E$244,[1]DATA_A11!$A$2:$FA$200, 24, FALSE))</f>
        <v>20</v>
      </c>
      <c r="Z244" s="544">
        <f>IF(VLOOKUP($E$244,[1]DATA_A11!$A$2:$FA$200, 25, FALSE)="",":",VLOOKUP($E$244,[1]DATA_A11!$A$2:$FA$200, 25, FALSE))</f>
        <v>16</v>
      </c>
      <c r="AA244" s="544">
        <f>IF(VLOOKUP($E$244,[1]DATA_A11!$A$2:$FA$200, 26, FALSE)="",":",VLOOKUP($E$244,[1]DATA_A11!$A$2:$FA$200, 26, FALSE))</f>
        <v>16</v>
      </c>
      <c r="AB244" s="544">
        <f>IF(VLOOKUP($E$244,[1]DATA_A11!$A$2:$FA$200, 27, FALSE)="",":",VLOOKUP($E$244,[1]DATA_A11!$A$2:$FA$200, 27, FALSE))</f>
        <v>10</v>
      </c>
      <c r="AC244" s="544" t="str">
        <f>IF(VLOOKUP($E$244,[1]DATA_A11!$A$2:$FA$200, 28, FALSE)="",":",VLOOKUP($E$244,[1]DATA_A11!$A$2:$FA$200, 28, FALSE))</f>
        <v>n.a.</v>
      </c>
      <c r="AD244" s="544" t="str">
        <f>IF(VLOOKUP($E$244,[1]DATA_A11!$A$2:$FA$200, 29, FALSE)="",":",VLOOKUP($E$244,[1]DATA_A11!$A$2:$FA$200, 29, FALSE))</f>
        <v>:</v>
      </c>
      <c r="AE244" s="544" t="str">
        <f>IF(VLOOKUP($E$244,[1]DATA_A11!$A$2:$FA$200, 30, FALSE)="",":",VLOOKUP($E$244,[1]DATA_A11!$A$2:$FA$200, 30, FALSE))</f>
        <v>:</v>
      </c>
      <c r="AF244" s="544" t="str">
        <f>IF(VLOOKUP($E$244,[1]DATA_A11!$A$2:$FA$200, 31, FALSE)="",":",VLOOKUP($E$244,[1]DATA_A11!$A$2:$FA$200, 31, FALSE))</f>
        <v>:</v>
      </c>
    </row>
    <row r="245" spans="1:32">
      <c r="A245" s="1954"/>
      <c r="B245" s="534"/>
      <c r="C245" s="535" t="s">
        <v>1432</v>
      </c>
      <c r="D245" s="12" t="s">
        <v>879</v>
      </c>
      <c r="E245" s="13">
        <v>2907</v>
      </c>
      <c r="F245" s="14" t="str">
        <f>VLOOKUP($E$245,[1]DATA_A11!$A$2:$FA$200, 3, FALSE)</f>
        <v>2907 Social contributions (paid by RoW)</v>
      </c>
      <c r="G245" s="544">
        <f>IF(VLOOKUP($E$245,[1]DATA_A11!$A$2:$FA$200, 6, FALSE)="",":",VLOOKUP($E$245,[1]DATA_A11!$A$2:$FA$200, 6, FALSE))</f>
        <v>0</v>
      </c>
      <c r="H245" s="544">
        <f>IF(VLOOKUP($E$245,[1]DATA_A11!$A$2:$FA$200, 7, FALSE)="",":",VLOOKUP($E$245,[1]DATA_A11!$A$2:$FA$200, 7, FALSE))</f>
        <v>0</v>
      </c>
      <c r="I245" s="544">
        <f>IF(VLOOKUP($E$245,[1]DATA_A11!$A$2:$FA$200, 8, FALSE)="",":",VLOOKUP($E$245,[1]DATA_A11!$A$2:$FA$200, 8, FALSE))</f>
        <v>0</v>
      </c>
      <c r="J245" s="544">
        <f>IF(VLOOKUP($E$245,[1]DATA_A11!$A$2:$FA$200, 9, FALSE)="",":",VLOOKUP($E$245,[1]DATA_A11!$A$2:$FA$200, 9, FALSE))</f>
        <v>0</v>
      </c>
      <c r="K245" s="544">
        <f>IF(VLOOKUP($E$245,[1]DATA_A11!$A$2:$FA$200, 10, FALSE)="",":",VLOOKUP($E$245,[1]DATA_A11!$A$2:$FA$200, 10, FALSE))</f>
        <v>0</v>
      </c>
      <c r="L245" s="544">
        <f>IF(VLOOKUP($E$245,[1]DATA_A11!$A$2:$FA$200, 11, FALSE)="",":",VLOOKUP($E$245,[1]DATA_A11!$A$2:$FA$200, 11, FALSE))</f>
        <v>0</v>
      </c>
      <c r="M245" s="544">
        <f>IF(VLOOKUP($E$245,[1]DATA_A11!$A$2:$FA$200, 12, FALSE)="",":",VLOOKUP($E$245,[1]DATA_A11!$A$2:$FA$200, 12, FALSE))</f>
        <v>0</v>
      </c>
      <c r="N245" s="544">
        <f>IF(VLOOKUP($E$245,[1]DATA_A11!$A$2:$FA$200, 13, FALSE)="",":",VLOOKUP($E$245,[1]DATA_A11!$A$2:$FA$200, 13, FALSE))</f>
        <v>0</v>
      </c>
      <c r="O245" s="544">
        <f>IF(VLOOKUP($E$245,[1]DATA_A11!$A$2:$FA$200, 14, FALSE)="",":",VLOOKUP($E$245,[1]DATA_A11!$A$2:$FA$200, 14, FALSE))</f>
        <v>0</v>
      </c>
      <c r="P245" s="544">
        <f>IF(VLOOKUP($E$245,[1]DATA_A11!$A$2:$FA$200, 15, FALSE)="",":",VLOOKUP($E$245,[1]DATA_A11!$A$2:$FA$200, 15, FALSE))</f>
        <v>0</v>
      </c>
      <c r="Q245" s="544">
        <f>IF(VLOOKUP($E$245,[1]DATA_A11!$A$2:$FA$200, 16, FALSE)="",":",VLOOKUP($E$245,[1]DATA_A11!$A$2:$FA$200, 16, FALSE))</f>
        <v>1</v>
      </c>
      <c r="R245" s="544">
        <f>IF(VLOOKUP($E$245,[1]DATA_A11!$A$2:$FA$200, 17, FALSE)="",":",VLOOKUP($E$245,[1]DATA_A11!$A$2:$FA$200, 17, FALSE))</f>
        <v>1</v>
      </c>
      <c r="S245" s="544">
        <f>IF(VLOOKUP($E$245,[1]DATA_A11!$A$2:$FA$200, 18, FALSE)="",":",VLOOKUP($E$245,[1]DATA_A11!$A$2:$FA$200, 18, FALSE))</f>
        <v>1</v>
      </c>
      <c r="T245" s="544">
        <f>IF(VLOOKUP($E$245,[1]DATA_A11!$A$2:$FA$200, 19, FALSE)="",":",VLOOKUP($E$245,[1]DATA_A11!$A$2:$FA$200, 19, FALSE))</f>
        <v>12</v>
      </c>
      <c r="U245" s="544">
        <f>IF(VLOOKUP($E$245,[1]DATA_A11!$A$2:$FA$200, 20, FALSE)="",":",VLOOKUP($E$245,[1]DATA_A11!$A$2:$FA$200, 20, FALSE))</f>
        <v>20</v>
      </c>
      <c r="V245" s="544">
        <f>IF(VLOOKUP($E$245,[1]DATA_A11!$A$2:$FA$200, 21, FALSE)="",":",VLOOKUP($E$245,[1]DATA_A11!$A$2:$FA$200, 21, FALSE))</f>
        <v>11</v>
      </c>
      <c r="W245" s="544">
        <f>IF(VLOOKUP($E$245,[1]DATA_A11!$A$2:$FA$200, 22, FALSE)="",":",VLOOKUP($E$245,[1]DATA_A11!$A$2:$FA$200, 22, FALSE))</f>
        <v>12</v>
      </c>
      <c r="X245" s="544">
        <f>IF(VLOOKUP($E$245,[1]DATA_A11!$A$2:$FA$200, 23, FALSE)="",":",VLOOKUP($E$245,[1]DATA_A11!$A$2:$FA$200, 23, FALSE))</f>
        <v>16</v>
      </c>
      <c r="Y245" s="544">
        <f>IF(VLOOKUP($E$245,[1]DATA_A11!$A$2:$FA$200, 24, FALSE)="",":",VLOOKUP($E$245,[1]DATA_A11!$A$2:$FA$200, 24, FALSE))</f>
        <v>17</v>
      </c>
      <c r="Z245" s="544">
        <f>IF(VLOOKUP($E$245,[1]DATA_A11!$A$2:$FA$200, 25, FALSE)="",":",VLOOKUP($E$245,[1]DATA_A11!$A$2:$FA$200, 25, FALSE))</f>
        <v>19</v>
      </c>
      <c r="AA245" s="544">
        <f>IF(VLOOKUP($E$245,[1]DATA_A11!$A$2:$FA$200, 26, FALSE)="",":",VLOOKUP($E$245,[1]DATA_A11!$A$2:$FA$200, 26, FALSE))</f>
        <v>15</v>
      </c>
      <c r="AB245" s="544">
        <f>IF(VLOOKUP($E$245,[1]DATA_A11!$A$2:$FA$200, 27, FALSE)="",":",VLOOKUP($E$245,[1]DATA_A11!$A$2:$FA$200, 27, FALSE))</f>
        <v>15</v>
      </c>
      <c r="AC245" s="544" t="str">
        <f>IF(VLOOKUP($E$245,[1]DATA_A11!$A$2:$FA$200, 28, FALSE)="",":",VLOOKUP($E$245,[1]DATA_A11!$A$2:$FA$200, 28, FALSE))</f>
        <v>n.a.</v>
      </c>
      <c r="AD245" s="544" t="str">
        <f>IF(VLOOKUP($E$245,[1]DATA_A11!$A$2:$FA$200, 29, FALSE)="",":",VLOOKUP($E$245,[1]DATA_A11!$A$2:$FA$200, 29, FALSE))</f>
        <v>:</v>
      </c>
      <c r="AE245" s="544" t="str">
        <f>IF(VLOOKUP($E$245,[1]DATA_A11!$A$2:$FA$200, 30, FALSE)="",":",VLOOKUP($E$245,[1]DATA_A11!$A$2:$FA$200, 30, FALSE))</f>
        <v>:</v>
      </c>
      <c r="AF245" s="544" t="str">
        <f>IF(VLOOKUP($E$245,[1]DATA_A11!$A$2:$FA$200, 31, FALSE)="",":",VLOOKUP($E$245,[1]DATA_A11!$A$2:$FA$200, 31, FALSE))</f>
        <v>:</v>
      </c>
    </row>
    <row r="246" spans="1:32" s="540" customFormat="1">
      <c r="A246" s="1954"/>
      <c r="B246" s="537"/>
      <c r="C246" s="538" t="s">
        <v>1048</v>
      </c>
      <c r="D246" s="528"/>
      <c r="E246" s="529"/>
      <c r="F246" s="539"/>
      <c r="G246" s="545" t="e">
        <f t="shared" ref="G246:AF246" si="14">+G244-G245</f>
        <v>#VALUE!</v>
      </c>
      <c r="H246" s="545" t="e">
        <f t="shared" si="14"/>
        <v>#VALUE!</v>
      </c>
      <c r="I246" s="545" t="e">
        <f t="shared" si="14"/>
        <v>#VALUE!</v>
      </c>
      <c r="J246" s="545" t="e">
        <f t="shared" si="14"/>
        <v>#VALUE!</v>
      </c>
      <c r="K246" s="545" t="e">
        <f t="shared" si="14"/>
        <v>#VALUE!</v>
      </c>
      <c r="L246" s="545" t="e">
        <f t="shared" si="14"/>
        <v>#VALUE!</v>
      </c>
      <c r="M246" s="545" t="e">
        <f t="shared" si="14"/>
        <v>#VALUE!</v>
      </c>
      <c r="N246" s="545" t="e">
        <f t="shared" si="14"/>
        <v>#VALUE!</v>
      </c>
      <c r="O246" s="545" t="e">
        <f t="shared" si="14"/>
        <v>#VALUE!</v>
      </c>
      <c r="P246" s="545" t="e">
        <f t="shared" si="14"/>
        <v>#VALUE!</v>
      </c>
      <c r="Q246" s="545" t="e">
        <f t="shared" si="14"/>
        <v>#VALUE!</v>
      </c>
      <c r="R246" s="545" t="e">
        <f t="shared" si="14"/>
        <v>#VALUE!</v>
      </c>
      <c r="S246" s="545" t="e">
        <f t="shared" si="14"/>
        <v>#VALUE!</v>
      </c>
      <c r="T246" s="545">
        <f t="shared" si="14"/>
        <v>19</v>
      </c>
      <c r="U246" s="545">
        <f t="shared" si="14"/>
        <v>11</v>
      </c>
      <c r="V246" s="545">
        <f t="shared" si="14"/>
        <v>32</v>
      </c>
      <c r="W246" s="545">
        <f t="shared" si="14"/>
        <v>26</v>
      </c>
      <c r="X246" s="545">
        <f t="shared" si="14"/>
        <v>1</v>
      </c>
      <c r="Y246" s="545">
        <f t="shared" si="14"/>
        <v>3</v>
      </c>
      <c r="Z246" s="545">
        <f t="shared" si="14"/>
        <v>-3</v>
      </c>
      <c r="AA246" s="545">
        <f t="shared" si="14"/>
        <v>1</v>
      </c>
      <c r="AB246" s="545">
        <f t="shared" si="14"/>
        <v>-5</v>
      </c>
      <c r="AC246" s="545" t="e">
        <f t="shared" si="14"/>
        <v>#VALUE!</v>
      </c>
      <c r="AD246" s="545" t="e">
        <f t="shared" si="14"/>
        <v>#VALUE!</v>
      </c>
      <c r="AE246" s="545" t="e">
        <f t="shared" si="14"/>
        <v>#VALUE!</v>
      </c>
      <c r="AF246" s="545" t="e">
        <f t="shared" si="14"/>
        <v>#VALUE!</v>
      </c>
    </row>
    <row r="247" spans="1:32">
      <c r="A247" s="533"/>
      <c r="B247" s="534"/>
      <c r="C247" s="535"/>
      <c r="D247" s="12"/>
      <c r="E247" s="13"/>
      <c r="F247" s="14"/>
      <c r="G247" s="544"/>
      <c r="H247" s="544"/>
      <c r="I247" s="544"/>
      <c r="J247" s="544"/>
      <c r="K247" s="544"/>
      <c r="L247" s="544"/>
      <c r="M247" s="544"/>
      <c r="N247" s="544"/>
      <c r="O247" s="544"/>
      <c r="P247" s="544"/>
      <c r="Q247" s="544"/>
      <c r="R247" s="544"/>
      <c r="S247" s="544"/>
      <c r="T247" s="544"/>
      <c r="U247" s="544"/>
      <c r="V247" s="544"/>
      <c r="W247" s="544"/>
      <c r="X247" s="544"/>
      <c r="Y247" s="544"/>
      <c r="Z247" s="544"/>
      <c r="AA247" s="544"/>
      <c r="AB247" s="544"/>
      <c r="AC247" s="544"/>
      <c r="AD247" s="544"/>
      <c r="AE247" s="544"/>
      <c r="AF247" s="544"/>
    </row>
    <row r="248" spans="1:32">
      <c r="A248" s="1954"/>
      <c r="B248" s="534"/>
      <c r="C248" s="535" t="s">
        <v>1429</v>
      </c>
      <c r="D248" s="12" t="s">
        <v>879</v>
      </c>
      <c r="E248" s="13">
        <v>2903</v>
      </c>
      <c r="F248" s="14" t="str">
        <f>VLOOKUP($E$248,[1]DATA_A11!$A$2:$FA$200, 3, FALSE)</f>
        <v>2903 Social benefits other than social transfers in kind (received by RoW)</v>
      </c>
      <c r="G248" s="544">
        <f>IF(VLOOKUP($E$248,[1]DATA_A11!$A$2:$FA$200, 6, FALSE)="",":",VLOOKUP($E$248,[1]DATA_A11!$A$2:$FA$200, 6, FALSE))</f>
        <v>0</v>
      </c>
      <c r="H248" s="544">
        <f>IF(VLOOKUP($E$248,[1]DATA_A11!$A$2:$FA$200, 7, FALSE)="",":",VLOOKUP($E$248,[1]DATA_A11!$A$2:$FA$200, 7, FALSE))</f>
        <v>0</v>
      </c>
      <c r="I248" s="544">
        <f>IF(VLOOKUP($E$248,[1]DATA_A11!$A$2:$FA$200, 8, FALSE)="",":",VLOOKUP($E$248,[1]DATA_A11!$A$2:$FA$200, 8, FALSE))</f>
        <v>0</v>
      </c>
      <c r="J248" s="544">
        <f>IF(VLOOKUP($E$248,[1]DATA_A11!$A$2:$FA$200, 9, FALSE)="",":",VLOOKUP($E$248,[1]DATA_A11!$A$2:$FA$200, 9, FALSE))</f>
        <v>0</v>
      </c>
      <c r="K248" s="544">
        <f>IF(VLOOKUP($E$248,[1]DATA_A11!$A$2:$FA$200, 10, FALSE)="",":",VLOOKUP($E$248,[1]DATA_A11!$A$2:$FA$200, 10, FALSE))</f>
        <v>0</v>
      </c>
      <c r="L248" s="544">
        <f>IF(VLOOKUP($E$248,[1]DATA_A11!$A$2:$FA$200, 11, FALSE)="",":",VLOOKUP($E$248,[1]DATA_A11!$A$2:$FA$200, 11, FALSE))</f>
        <v>0</v>
      </c>
      <c r="M248" s="544">
        <f>IF(VLOOKUP($E$248,[1]DATA_A11!$A$2:$FA$200, 12, FALSE)="",":",VLOOKUP($E$248,[1]DATA_A11!$A$2:$FA$200, 12, FALSE))</f>
        <v>0.2896200185356812</v>
      </c>
      <c r="N248" s="544">
        <f>IF(VLOOKUP($E$248,[1]DATA_A11!$A$2:$FA$200, 13, FALSE)="",":",VLOOKUP($E$248,[1]DATA_A11!$A$2:$FA$200, 13, FALSE))</f>
        <v>0.2896200185356812</v>
      </c>
      <c r="O248" s="544">
        <f>IF(VLOOKUP($E$248,[1]DATA_A11!$A$2:$FA$200, 14, FALSE)="",":",VLOOKUP($E$248,[1]DATA_A11!$A$2:$FA$200, 14, FALSE))</f>
        <v>0.2896200185356812</v>
      </c>
      <c r="P248" s="544">
        <f>IF(VLOOKUP($E$248,[1]DATA_A11!$A$2:$FA$200, 15, FALSE)="",":",VLOOKUP($E$248,[1]DATA_A11!$A$2:$FA$200, 15, FALSE))</f>
        <v>0.5792400370713624</v>
      </c>
      <c r="Q248" s="544">
        <f>IF(VLOOKUP($E$248,[1]DATA_A11!$A$2:$FA$200, 16, FALSE)="",":",VLOOKUP($E$248,[1]DATA_A11!$A$2:$FA$200, 16, FALSE))</f>
        <v>1</v>
      </c>
      <c r="R248" s="544">
        <f>IF(VLOOKUP($E$248,[1]DATA_A11!$A$2:$FA$200, 17, FALSE)="",":",VLOOKUP($E$248,[1]DATA_A11!$A$2:$FA$200, 17, FALSE))</f>
        <v>1</v>
      </c>
      <c r="S248" s="544">
        <f>IF(VLOOKUP($E$248,[1]DATA_A11!$A$2:$FA$200, 18, FALSE)="",":",VLOOKUP($E$248,[1]DATA_A11!$A$2:$FA$200, 18, FALSE))</f>
        <v>2</v>
      </c>
      <c r="T248" s="544">
        <f>IF(VLOOKUP($E$248,[1]DATA_A11!$A$2:$FA$200, 19, FALSE)="",":",VLOOKUP($E$248,[1]DATA_A11!$A$2:$FA$200, 19, FALSE))</f>
        <v>3</v>
      </c>
      <c r="U248" s="544">
        <f>IF(VLOOKUP($E$248,[1]DATA_A11!$A$2:$FA$200, 20, FALSE)="",":",VLOOKUP($E$248,[1]DATA_A11!$A$2:$FA$200, 20, FALSE))</f>
        <v>3</v>
      </c>
      <c r="V248" s="544">
        <f>IF(VLOOKUP($E$248,[1]DATA_A11!$A$2:$FA$200, 21, FALSE)="",":",VLOOKUP($E$248,[1]DATA_A11!$A$2:$FA$200, 21, FALSE))</f>
        <v>3</v>
      </c>
      <c r="W248" s="544">
        <f>IF(VLOOKUP($E$248,[1]DATA_A11!$A$2:$FA$200, 22, FALSE)="",":",VLOOKUP($E$248,[1]DATA_A11!$A$2:$FA$200, 22, FALSE))</f>
        <v>4</v>
      </c>
      <c r="X248" s="544">
        <f>IF(VLOOKUP($E$248,[1]DATA_A11!$A$2:$FA$200, 23, FALSE)="",":",VLOOKUP($E$248,[1]DATA_A11!$A$2:$FA$200, 23, FALSE))</f>
        <v>4</v>
      </c>
      <c r="Y248" s="544">
        <f>IF(VLOOKUP($E$248,[1]DATA_A11!$A$2:$FA$200, 24, FALSE)="",":",VLOOKUP($E$248,[1]DATA_A11!$A$2:$FA$200, 24, FALSE))</f>
        <v>6</v>
      </c>
      <c r="Z248" s="544">
        <f>IF(VLOOKUP($E$248,[1]DATA_A11!$A$2:$FA$200, 25, FALSE)="",":",VLOOKUP($E$248,[1]DATA_A11!$A$2:$FA$200, 25, FALSE))</f>
        <v>8</v>
      </c>
      <c r="AA248" s="544">
        <f>IF(VLOOKUP($E$248,[1]DATA_A11!$A$2:$FA$200, 26, FALSE)="",":",VLOOKUP($E$248,[1]DATA_A11!$A$2:$FA$200, 26, FALSE))</f>
        <v>8</v>
      </c>
      <c r="AB248" s="544">
        <f>IF(VLOOKUP($E$248,[1]DATA_A11!$A$2:$FA$200, 27, FALSE)="",":",VLOOKUP($E$248,[1]DATA_A11!$A$2:$FA$200, 27, FALSE))</f>
        <v>9</v>
      </c>
      <c r="AC248" s="544" t="str">
        <f>IF(VLOOKUP($E$248,[1]DATA_A11!$A$2:$FA$200, 28, FALSE)="",":",VLOOKUP($E$248,[1]DATA_A11!$A$2:$FA$200, 28, FALSE))</f>
        <v>n.a.</v>
      </c>
      <c r="AD248" s="544" t="str">
        <f>IF(VLOOKUP($E$248,[1]DATA_A11!$A$2:$FA$200, 29, FALSE)="",":",VLOOKUP($E$248,[1]DATA_A11!$A$2:$FA$200, 29, FALSE))</f>
        <v>:</v>
      </c>
      <c r="AE248" s="544" t="str">
        <f>IF(VLOOKUP($E$248,[1]DATA_A11!$A$2:$FA$200, 30, FALSE)="",":",VLOOKUP($E$248,[1]DATA_A11!$A$2:$FA$200, 30, FALSE))</f>
        <v>:</v>
      </c>
      <c r="AF248" s="544" t="str">
        <f>IF(VLOOKUP($E$248,[1]DATA_A11!$A$2:$FA$200, 31, FALSE)="",":",VLOOKUP($E$248,[1]DATA_A11!$A$2:$FA$200, 31, FALSE))</f>
        <v>:</v>
      </c>
    </row>
    <row r="249" spans="1:32">
      <c r="A249" s="1954"/>
      <c r="B249" s="534"/>
      <c r="C249" s="535" t="s">
        <v>1433</v>
      </c>
      <c r="D249" s="12" t="s">
        <v>879</v>
      </c>
      <c r="E249" s="13">
        <v>2908</v>
      </c>
      <c r="F249" s="14" t="str">
        <f>VLOOKUP($E$249,[1]DATA_A11!$A$2:$FA$200, 3, FALSE)</f>
        <v>2908 Social benefits other than social transfers in kind (paid by RoW)</v>
      </c>
      <c r="G249" s="544">
        <f>IF(VLOOKUP($E$249,[1]DATA_A11!$A$2:$FA$200, 6, FALSE)="",":",VLOOKUP($E$249,[1]DATA_A11!$A$2:$FA$200, 6, FALSE))</f>
        <v>0</v>
      </c>
      <c r="H249" s="544">
        <f>IF(VLOOKUP($E$249,[1]DATA_A11!$A$2:$FA$200, 7, FALSE)="",":",VLOOKUP($E$249,[1]DATA_A11!$A$2:$FA$200, 7, FALSE))</f>
        <v>0</v>
      </c>
      <c r="I249" s="544">
        <f>IF(VLOOKUP($E$249,[1]DATA_A11!$A$2:$FA$200, 8, FALSE)="",":",VLOOKUP($E$249,[1]DATA_A11!$A$2:$FA$200, 8, FALSE))</f>
        <v>0</v>
      </c>
      <c r="J249" s="544">
        <f>IF(VLOOKUP($E$249,[1]DATA_A11!$A$2:$FA$200, 9, FALSE)="",":",VLOOKUP($E$249,[1]DATA_A11!$A$2:$FA$200, 9, FALSE))</f>
        <v>0</v>
      </c>
      <c r="K249" s="544">
        <f>IF(VLOOKUP($E$249,[1]DATA_A11!$A$2:$FA$200, 10, FALSE)="",":",VLOOKUP($E$249,[1]DATA_A11!$A$2:$FA$200, 10, FALSE))</f>
        <v>0</v>
      </c>
      <c r="L249" s="544">
        <f>IF(VLOOKUP($E$249,[1]DATA_A11!$A$2:$FA$200, 11, FALSE)="",":",VLOOKUP($E$249,[1]DATA_A11!$A$2:$FA$200, 11, FALSE))</f>
        <v>26.35542168674699</v>
      </c>
      <c r="M249" s="544">
        <f>IF(VLOOKUP($E$249,[1]DATA_A11!$A$2:$FA$200, 12, FALSE)="",":",VLOOKUP($E$249,[1]DATA_A11!$A$2:$FA$200, 12, FALSE))</f>
        <v>23.748841519925858</v>
      </c>
      <c r="N249" s="544">
        <f>IF(VLOOKUP($E$249,[1]DATA_A11!$A$2:$FA$200, 13, FALSE)="",":",VLOOKUP($E$249,[1]DATA_A11!$A$2:$FA$200, 13, FALSE))</f>
        <v>27.513901760889713</v>
      </c>
      <c r="O249" s="544">
        <f>IF(VLOOKUP($E$249,[1]DATA_A11!$A$2:$FA$200, 14, FALSE)="",":",VLOOKUP($E$249,[1]DATA_A11!$A$2:$FA$200, 14, FALSE))</f>
        <v>25.776181649675628</v>
      </c>
      <c r="P249" s="544">
        <f>IF(VLOOKUP($E$249,[1]DATA_A11!$A$2:$FA$200, 15, FALSE)="",":",VLOOKUP($E$249,[1]DATA_A11!$A$2:$FA$200, 15, FALSE))</f>
        <v>26.065801668211307</v>
      </c>
      <c r="Q249" s="544">
        <f>IF(VLOOKUP($E$249,[1]DATA_A11!$A$2:$FA$200, 16, FALSE)="",":",VLOOKUP($E$249,[1]DATA_A11!$A$2:$FA$200, 16, FALSE))</f>
        <v>30</v>
      </c>
      <c r="R249" s="544">
        <f>IF(VLOOKUP($E$249,[1]DATA_A11!$A$2:$FA$200, 17, FALSE)="",":",VLOOKUP($E$249,[1]DATA_A11!$A$2:$FA$200, 17, FALSE))</f>
        <v>29</v>
      </c>
      <c r="S249" s="544">
        <f>IF(VLOOKUP($E$249,[1]DATA_A11!$A$2:$FA$200, 18, FALSE)="",":",VLOOKUP($E$249,[1]DATA_A11!$A$2:$FA$200, 18, FALSE))</f>
        <v>27</v>
      </c>
      <c r="T249" s="544">
        <f>IF(VLOOKUP($E$249,[1]DATA_A11!$A$2:$FA$200, 19, FALSE)="",":",VLOOKUP($E$249,[1]DATA_A11!$A$2:$FA$200, 19, FALSE))</f>
        <v>36</v>
      </c>
      <c r="U249" s="544">
        <f>IF(VLOOKUP($E$249,[1]DATA_A11!$A$2:$FA$200, 20, FALSE)="",":",VLOOKUP($E$249,[1]DATA_A11!$A$2:$FA$200, 20, FALSE))</f>
        <v>30</v>
      </c>
      <c r="V249" s="544">
        <f>IF(VLOOKUP($E$249,[1]DATA_A11!$A$2:$FA$200, 21, FALSE)="",":",VLOOKUP($E$249,[1]DATA_A11!$A$2:$FA$200, 21, FALSE))</f>
        <v>34</v>
      </c>
      <c r="W249" s="544">
        <f>IF(VLOOKUP($E$249,[1]DATA_A11!$A$2:$FA$200, 22, FALSE)="",":",VLOOKUP($E$249,[1]DATA_A11!$A$2:$FA$200, 22, FALSE))</f>
        <v>24</v>
      </c>
      <c r="X249" s="544">
        <f>IF(VLOOKUP($E$249,[1]DATA_A11!$A$2:$FA$200, 23, FALSE)="",":",VLOOKUP($E$249,[1]DATA_A11!$A$2:$FA$200, 23, FALSE))</f>
        <v>21</v>
      </c>
      <c r="Y249" s="544">
        <f>IF(VLOOKUP($E$249,[1]DATA_A11!$A$2:$FA$200, 24, FALSE)="",":",VLOOKUP($E$249,[1]DATA_A11!$A$2:$FA$200, 24, FALSE))</f>
        <v>11</v>
      </c>
      <c r="Z249" s="544">
        <f>IF(VLOOKUP($E$249,[1]DATA_A11!$A$2:$FA$200, 25, FALSE)="",":",VLOOKUP($E$249,[1]DATA_A11!$A$2:$FA$200, 25, FALSE))</f>
        <v>12</v>
      </c>
      <c r="AA249" s="544">
        <f>IF(VLOOKUP($E$249,[1]DATA_A11!$A$2:$FA$200, 26, FALSE)="",":",VLOOKUP($E$249,[1]DATA_A11!$A$2:$FA$200, 26, FALSE))</f>
        <v>17</v>
      </c>
      <c r="AB249" s="544">
        <f>IF(VLOOKUP($E$249,[1]DATA_A11!$A$2:$FA$200, 27, FALSE)="",":",VLOOKUP($E$249,[1]DATA_A11!$A$2:$FA$200, 27, FALSE))</f>
        <v>16</v>
      </c>
      <c r="AC249" s="544" t="str">
        <f>IF(VLOOKUP($E$249,[1]DATA_A11!$A$2:$FA$200, 28, FALSE)="",":",VLOOKUP($E$249,[1]DATA_A11!$A$2:$FA$200, 28, FALSE))</f>
        <v>n.a.</v>
      </c>
      <c r="AD249" s="544" t="str">
        <f>IF(VLOOKUP($E$249,[1]DATA_A11!$A$2:$FA$200, 29, FALSE)="",":",VLOOKUP($E$249,[1]DATA_A11!$A$2:$FA$200, 29, FALSE))</f>
        <v>:</v>
      </c>
      <c r="AE249" s="544" t="str">
        <f>IF(VLOOKUP($E$249,[1]DATA_A11!$A$2:$FA$200, 30, FALSE)="",":",VLOOKUP($E$249,[1]DATA_A11!$A$2:$FA$200, 30, FALSE))</f>
        <v>:</v>
      </c>
      <c r="AF249" s="544" t="str">
        <f>IF(VLOOKUP($E$249,[1]DATA_A11!$A$2:$FA$200, 31, FALSE)="",":",VLOOKUP($E$249,[1]DATA_A11!$A$2:$FA$200, 31, FALSE))</f>
        <v>:</v>
      </c>
    </row>
    <row r="250" spans="1:32" s="540" customFormat="1">
      <c r="A250" s="1954"/>
      <c r="B250" s="537"/>
      <c r="C250" s="538" t="s">
        <v>1049</v>
      </c>
      <c r="D250" s="528"/>
      <c r="E250" s="529"/>
      <c r="F250" s="539"/>
      <c r="G250" s="545">
        <f t="shared" ref="G250:AF250" si="15">+G248-G249</f>
        <v>0</v>
      </c>
      <c r="H250" s="545">
        <f t="shared" si="15"/>
        <v>0</v>
      </c>
      <c r="I250" s="545">
        <f t="shared" si="15"/>
        <v>0</v>
      </c>
      <c r="J250" s="545">
        <f t="shared" si="15"/>
        <v>0</v>
      </c>
      <c r="K250" s="545">
        <f t="shared" si="15"/>
        <v>0</v>
      </c>
      <c r="L250" s="545">
        <f t="shared" si="15"/>
        <v>-26.35542168674699</v>
      </c>
      <c r="M250" s="545">
        <f t="shared" si="15"/>
        <v>-23.459221501390175</v>
      </c>
      <c r="N250" s="545">
        <f t="shared" si="15"/>
        <v>-27.22428174235403</v>
      </c>
      <c r="O250" s="545">
        <f t="shared" si="15"/>
        <v>-25.486561631139946</v>
      </c>
      <c r="P250" s="545">
        <f t="shared" si="15"/>
        <v>-25.486561631139946</v>
      </c>
      <c r="Q250" s="545">
        <f t="shared" si="15"/>
        <v>-29</v>
      </c>
      <c r="R250" s="545">
        <f t="shared" si="15"/>
        <v>-28</v>
      </c>
      <c r="S250" s="545">
        <f t="shared" si="15"/>
        <v>-25</v>
      </c>
      <c r="T250" s="545">
        <f t="shared" si="15"/>
        <v>-33</v>
      </c>
      <c r="U250" s="545">
        <f t="shared" si="15"/>
        <v>-27</v>
      </c>
      <c r="V250" s="545">
        <f t="shared" si="15"/>
        <v>-31</v>
      </c>
      <c r="W250" s="545">
        <f t="shared" si="15"/>
        <v>-20</v>
      </c>
      <c r="X250" s="545">
        <f t="shared" si="15"/>
        <v>-17</v>
      </c>
      <c r="Y250" s="545">
        <f t="shared" si="15"/>
        <v>-5</v>
      </c>
      <c r="Z250" s="545">
        <f t="shared" si="15"/>
        <v>-4</v>
      </c>
      <c r="AA250" s="545">
        <f t="shared" si="15"/>
        <v>-9</v>
      </c>
      <c r="AB250" s="545">
        <f t="shared" si="15"/>
        <v>-7</v>
      </c>
      <c r="AC250" s="545" t="e">
        <f t="shared" si="15"/>
        <v>#VALUE!</v>
      </c>
      <c r="AD250" s="545" t="e">
        <f t="shared" si="15"/>
        <v>#VALUE!</v>
      </c>
      <c r="AE250" s="545" t="e">
        <f t="shared" si="15"/>
        <v>#VALUE!</v>
      </c>
      <c r="AF250" s="545" t="e">
        <f t="shared" si="15"/>
        <v>#VALUE!</v>
      </c>
    </row>
    <row r="251" spans="1:32">
      <c r="A251" s="533"/>
      <c r="B251" s="534"/>
      <c r="C251" s="535"/>
      <c r="D251" s="12"/>
      <c r="E251" s="13"/>
      <c r="F251" s="14"/>
      <c r="G251" s="544"/>
      <c r="H251" s="544"/>
      <c r="I251" s="544"/>
      <c r="J251" s="544"/>
      <c r="K251" s="544"/>
      <c r="L251" s="544"/>
      <c r="M251" s="544"/>
      <c r="N251" s="544"/>
      <c r="O251" s="544"/>
      <c r="P251" s="544"/>
      <c r="Q251" s="544"/>
      <c r="R251" s="544"/>
      <c r="S251" s="544"/>
      <c r="T251" s="544"/>
      <c r="U251" s="544"/>
      <c r="V251" s="544"/>
      <c r="W251" s="544"/>
      <c r="X251" s="544"/>
      <c r="Y251" s="544"/>
      <c r="Z251" s="544"/>
      <c r="AA251" s="544"/>
      <c r="AB251" s="544"/>
      <c r="AC251" s="544"/>
      <c r="AD251" s="544"/>
      <c r="AE251" s="544"/>
      <c r="AF251" s="544"/>
    </row>
    <row r="252" spans="1:32">
      <c r="A252" s="1954"/>
      <c r="B252" s="534" t="s">
        <v>895</v>
      </c>
      <c r="C252" s="535" t="s">
        <v>1430</v>
      </c>
      <c r="D252" s="12" t="s">
        <v>879</v>
      </c>
      <c r="E252" s="13">
        <v>2905</v>
      </c>
      <c r="F252" s="14" t="str">
        <f>VLOOKUP($E$252,[1]DATA_A11!$A$2:$FA$200, 3, FALSE)</f>
        <v>2905 Other current transfers (received by RoW)</v>
      </c>
      <c r="G252" s="544">
        <f>IF(VLOOKUP($E$252,[1]DATA_A11!$A$2:$FA$200, 6, FALSE)="",":",VLOOKUP($E$252,[1]DATA_A11!$A$2:$FA$200, 6, FALSE))</f>
        <v>3.4754402224281744</v>
      </c>
      <c r="H252" s="544">
        <f>IF(VLOOKUP($E$252,[1]DATA_A11!$A$2:$FA$200, 7, FALSE)="",":",VLOOKUP($E$252,[1]DATA_A11!$A$2:$FA$200, 7, FALSE))</f>
        <v>6.3716404077849864</v>
      </c>
      <c r="I252" s="544">
        <f>IF(VLOOKUP($E$252,[1]DATA_A11!$A$2:$FA$200, 8, FALSE)="",":",VLOOKUP($E$252,[1]DATA_A11!$A$2:$FA$200, 8, FALSE))</f>
        <v>8.1093605189990736</v>
      </c>
      <c r="J252" s="544">
        <f>IF(VLOOKUP($E$252,[1]DATA_A11!$A$2:$FA$200, 9, FALSE)="",":",VLOOKUP($E$252,[1]DATA_A11!$A$2:$FA$200, 9, FALSE))</f>
        <v>6.3716404077849864</v>
      </c>
      <c r="K252" s="544">
        <f>IF(VLOOKUP($E$252,[1]DATA_A11!$A$2:$FA$200, 10, FALSE)="",":",VLOOKUP($E$252,[1]DATA_A11!$A$2:$FA$200, 10, FALSE))</f>
        <v>5.2131603336422616</v>
      </c>
      <c r="L252" s="544">
        <f>IF(VLOOKUP($E$252,[1]DATA_A11!$A$2:$FA$200, 11, FALSE)="",":",VLOOKUP($E$252,[1]DATA_A11!$A$2:$FA$200, 11, FALSE))</f>
        <v>4.92354031510658</v>
      </c>
      <c r="M252" s="544">
        <f>IF(VLOOKUP($E$252,[1]DATA_A11!$A$2:$FA$200, 12, FALSE)="",":",VLOOKUP($E$252,[1]DATA_A11!$A$2:$FA$200, 12, FALSE))</f>
        <v>4.92354031510658</v>
      </c>
      <c r="N252" s="544">
        <f>IF(VLOOKUP($E$252,[1]DATA_A11!$A$2:$FA$200, 13, FALSE)="",":",VLOOKUP($E$252,[1]DATA_A11!$A$2:$FA$200, 13, FALSE))</f>
        <v>18.535681186283597</v>
      </c>
      <c r="O252" s="544">
        <f>IF(VLOOKUP($E$252,[1]DATA_A11!$A$2:$FA$200, 14, FALSE)="",":",VLOOKUP($E$252,[1]DATA_A11!$A$2:$FA$200, 14, FALSE))</f>
        <v>19.114921223354958</v>
      </c>
      <c r="P252" s="544">
        <f>IF(VLOOKUP($E$252,[1]DATA_A11!$A$2:$FA$200, 15, FALSE)="",":",VLOOKUP($E$252,[1]DATA_A11!$A$2:$FA$200, 15, FALSE))</f>
        <v>118.16496756255793</v>
      </c>
      <c r="Q252" s="544">
        <f>IF(VLOOKUP($E$252,[1]DATA_A11!$A$2:$FA$200, 16, FALSE)="",":",VLOOKUP($E$252,[1]DATA_A11!$A$2:$FA$200, 16, FALSE))</f>
        <v>370</v>
      </c>
      <c r="R252" s="544">
        <f>IF(VLOOKUP($E$252,[1]DATA_A11!$A$2:$FA$200, 17, FALSE)="",":",VLOOKUP($E$252,[1]DATA_A11!$A$2:$FA$200, 17, FALSE))</f>
        <v>523</v>
      </c>
      <c r="S252" s="544">
        <f>IF(VLOOKUP($E$252,[1]DATA_A11!$A$2:$FA$200, 18, FALSE)="",":",VLOOKUP($E$252,[1]DATA_A11!$A$2:$FA$200, 18, FALSE))</f>
        <v>594</v>
      </c>
      <c r="T252" s="544">
        <f>IF(VLOOKUP($E$252,[1]DATA_A11!$A$2:$FA$200, 19, FALSE)="",":",VLOOKUP($E$252,[1]DATA_A11!$A$2:$FA$200, 19, FALSE))</f>
        <v>658</v>
      </c>
      <c r="U252" s="544">
        <f>IF(VLOOKUP($E$252,[1]DATA_A11!$A$2:$FA$200, 20, FALSE)="",":",VLOOKUP($E$252,[1]DATA_A11!$A$2:$FA$200, 20, FALSE))</f>
        <v>671</v>
      </c>
      <c r="V252" s="544">
        <f>IF(VLOOKUP($E$252,[1]DATA_A11!$A$2:$FA$200, 21, FALSE)="",":",VLOOKUP($E$252,[1]DATA_A11!$A$2:$FA$200, 21, FALSE))</f>
        <v>667</v>
      </c>
      <c r="W252" s="544">
        <f>IF(VLOOKUP($E$252,[1]DATA_A11!$A$2:$FA$200, 22, FALSE)="",":",VLOOKUP($E$252,[1]DATA_A11!$A$2:$FA$200, 22, FALSE))</f>
        <v>993</v>
      </c>
      <c r="X252" s="544">
        <f>IF(VLOOKUP($E$252,[1]DATA_A11!$A$2:$FA$200, 23, FALSE)="",":",VLOOKUP($E$252,[1]DATA_A11!$A$2:$FA$200, 23, FALSE))</f>
        <v>1071</v>
      </c>
      <c r="Y252" s="544">
        <f>IF(VLOOKUP($E$252,[1]DATA_A11!$A$2:$FA$200, 24, FALSE)="",":",VLOOKUP($E$252,[1]DATA_A11!$A$2:$FA$200, 24, FALSE))</f>
        <v>899</v>
      </c>
      <c r="Z252" s="544">
        <f>IF(VLOOKUP($E$252,[1]DATA_A11!$A$2:$FA$200, 25, FALSE)="",":",VLOOKUP($E$252,[1]DATA_A11!$A$2:$FA$200, 25, FALSE))</f>
        <v>859</v>
      </c>
      <c r="AA252" s="544">
        <f>IF(VLOOKUP($E$252,[1]DATA_A11!$A$2:$FA$200, 26, FALSE)="",":",VLOOKUP($E$252,[1]DATA_A11!$A$2:$FA$200, 26, FALSE))</f>
        <v>800</v>
      </c>
      <c r="AB252" s="544">
        <f>IF(VLOOKUP($E$252,[1]DATA_A11!$A$2:$FA$200, 27, FALSE)="",":",VLOOKUP($E$252,[1]DATA_A11!$A$2:$FA$200, 27, FALSE))</f>
        <v>798</v>
      </c>
      <c r="AC252" s="544" t="str">
        <f>IF(VLOOKUP($E$252,[1]DATA_A11!$A$2:$FA$200, 28, FALSE)="",":",VLOOKUP($E$252,[1]DATA_A11!$A$2:$FA$200, 28, FALSE))</f>
        <v>n.a.</v>
      </c>
      <c r="AD252" s="544" t="str">
        <f>IF(VLOOKUP($E$252,[1]DATA_A11!$A$2:$FA$200, 29, FALSE)="",":",VLOOKUP($E$252,[1]DATA_A11!$A$2:$FA$200, 29, FALSE))</f>
        <v>:</v>
      </c>
      <c r="AE252" s="544" t="str">
        <f>IF(VLOOKUP($E$252,[1]DATA_A11!$A$2:$FA$200, 30, FALSE)="",":",VLOOKUP($E$252,[1]DATA_A11!$A$2:$FA$200, 30, FALSE))</f>
        <v>:</v>
      </c>
      <c r="AF252" s="544" t="str">
        <f>IF(VLOOKUP($E$252,[1]DATA_A11!$A$2:$FA$200, 31, FALSE)="",":",VLOOKUP($E$252,[1]DATA_A11!$A$2:$FA$200, 31, FALSE))</f>
        <v>:</v>
      </c>
    </row>
    <row r="253" spans="1:32">
      <c r="A253" s="1954"/>
      <c r="B253" s="534" t="s">
        <v>894</v>
      </c>
      <c r="C253" s="535" t="s">
        <v>1434</v>
      </c>
      <c r="D253" s="12" t="s">
        <v>879</v>
      </c>
      <c r="E253" s="13">
        <v>2910</v>
      </c>
      <c r="F253" s="14" t="str">
        <f>VLOOKUP($E$253,[1]DATA_A11!$A$2:$FA$200, 3, FALSE)</f>
        <v>2910 Other current transfers (paid by RoW)</v>
      </c>
      <c r="G253" s="544">
        <f>IF(VLOOKUP($E$253,[1]DATA_A11!$A$2:$FA$200, 6, FALSE)="",":",VLOOKUP($E$253,[1]DATA_A11!$A$2:$FA$200, 6, FALSE))</f>
        <v>130.03938832252086</v>
      </c>
      <c r="H253" s="544">
        <f>IF(VLOOKUP($E$253,[1]DATA_A11!$A$2:$FA$200, 7, FALSE)="",":",VLOOKUP($E$253,[1]DATA_A11!$A$2:$FA$200, 7, FALSE))</f>
        <v>172.90315106580167</v>
      </c>
      <c r="I253" s="544">
        <f>IF(VLOOKUP($E$253,[1]DATA_A11!$A$2:$FA$200, 8, FALSE)="",":",VLOOKUP($E$253,[1]DATA_A11!$A$2:$FA$200, 8, FALSE))</f>
        <v>274.55977757182575</v>
      </c>
      <c r="J253" s="544">
        <f>IF(VLOOKUP($E$253,[1]DATA_A11!$A$2:$FA$200, 9, FALSE)="",":",VLOOKUP($E$253,[1]DATA_A11!$A$2:$FA$200, 9, FALSE))</f>
        <v>278.6144578313253</v>
      </c>
      <c r="K253" s="544">
        <f>IF(VLOOKUP($E$253,[1]DATA_A11!$A$2:$FA$200, 10, FALSE)="",":",VLOOKUP($E$253,[1]DATA_A11!$A$2:$FA$200, 10, FALSE))</f>
        <v>194.04541241890641</v>
      </c>
      <c r="L253" s="544">
        <f>IF(VLOOKUP($E$253,[1]DATA_A11!$A$2:$FA$200, 11, FALSE)="",":",VLOOKUP($E$253,[1]DATA_A11!$A$2:$FA$200, 11, FALSE))</f>
        <v>259.49953660797036</v>
      </c>
      <c r="M253" s="544">
        <f>IF(VLOOKUP($E$253,[1]DATA_A11!$A$2:$FA$200, 12, FALSE)="",":",VLOOKUP($E$253,[1]DATA_A11!$A$2:$FA$200, 12, FALSE))</f>
        <v>279.19369786839667</v>
      </c>
      <c r="N253" s="544">
        <f>IF(VLOOKUP($E$253,[1]DATA_A11!$A$2:$FA$200, 13, FALSE)="",":",VLOOKUP($E$253,[1]DATA_A11!$A$2:$FA$200, 13, FALSE))</f>
        <v>227.93095458758111</v>
      </c>
      <c r="O253" s="544">
        <f>IF(VLOOKUP($E$253,[1]DATA_A11!$A$2:$FA$200, 14, FALSE)="",":",VLOOKUP($E$253,[1]DATA_A11!$A$2:$FA$200, 14, FALSE))</f>
        <v>243.86005560704356</v>
      </c>
      <c r="P253" s="544">
        <f>IF(VLOOKUP($E$253,[1]DATA_A11!$A$2:$FA$200, 15, FALSE)="",":",VLOOKUP($E$253,[1]DATA_A11!$A$2:$FA$200, 15, FALSE))</f>
        <v>379.69184430027804</v>
      </c>
      <c r="Q253" s="544">
        <f>IF(VLOOKUP($E$253,[1]DATA_A11!$A$2:$FA$200, 16, FALSE)="",":",VLOOKUP($E$253,[1]DATA_A11!$A$2:$FA$200, 16, FALSE))</f>
        <v>660</v>
      </c>
      <c r="R253" s="544">
        <f>IF(VLOOKUP($E$253,[1]DATA_A11!$A$2:$FA$200, 17, FALSE)="",":",VLOOKUP($E$253,[1]DATA_A11!$A$2:$FA$200, 17, FALSE))</f>
        <v>969</v>
      </c>
      <c r="S253" s="544">
        <f>IF(VLOOKUP($E$253,[1]DATA_A11!$A$2:$FA$200, 18, FALSE)="",":",VLOOKUP($E$253,[1]DATA_A11!$A$2:$FA$200, 18, FALSE))</f>
        <v>1139</v>
      </c>
      <c r="T253" s="544">
        <f>IF(VLOOKUP($E$253,[1]DATA_A11!$A$2:$FA$200, 19, FALSE)="",":",VLOOKUP($E$253,[1]DATA_A11!$A$2:$FA$200, 19, FALSE))</f>
        <v>1248</v>
      </c>
      <c r="U253" s="544">
        <f>IF(VLOOKUP($E$253,[1]DATA_A11!$A$2:$FA$200, 20, FALSE)="",":",VLOOKUP($E$253,[1]DATA_A11!$A$2:$FA$200, 20, FALSE))</f>
        <v>1173</v>
      </c>
      <c r="V253" s="544">
        <f>IF(VLOOKUP($E$253,[1]DATA_A11!$A$2:$FA$200, 21, FALSE)="",":",VLOOKUP($E$253,[1]DATA_A11!$A$2:$FA$200, 21, FALSE))</f>
        <v>1649</v>
      </c>
      <c r="W253" s="544">
        <f>IF(VLOOKUP($E$253,[1]DATA_A11!$A$2:$FA$200, 22, FALSE)="",":",VLOOKUP($E$253,[1]DATA_A11!$A$2:$FA$200, 22, FALSE))</f>
        <v>1764</v>
      </c>
      <c r="X253" s="544">
        <f>IF(VLOOKUP($E$253,[1]DATA_A11!$A$2:$FA$200, 23, FALSE)="",":",VLOOKUP($E$253,[1]DATA_A11!$A$2:$FA$200, 23, FALSE))</f>
        <v>1463</v>
      </c>
      <c r="Y253" s="544">
        <f>IF(VLOOKUP($E$253,[1]DATA_A11!$A$2:$FA$200, 24, FALSE)="",":",VLOOKUP($E$253,[1]DATA_A11!$A$2:$FA$200, 24, FALSE))</f>
        <v>1875</v>
      </c>
      <c r="Z253" s="544">
        <f>IF(VLOOKUP($E$253,[1]DATA_A11!$A$2:$FA$200, 25, FALSE)="",":",VLOOKUP($E$253,[1]DATA_A11!$A$2:$FA$200, 25, FALSE))</f>
        <v>2018</v>
      </c>
      <c r="AA253" s="544">
        <f>IF(VLOOKUP($E$253,[1]DATA_A11!$A$2:$FA$200, 26, FALSE)="",":",VLOOKUP($E$253,[1]DATA_A11!$A$2:$FA$200, 26, FALSE))</f>
        <v>1737</v>
      </c>
      <c r="AB253" s="544">
        <f>IF(VLOOKUP($E$253,[1]DATA_A11!$A$2:$FA$200, 27, FALSE)="",":",VLOOKUP($E$253,[1]DATA_A11!$A$2:$FA$200, 27, FALSE))</f>
        <v>1565</v>
      </c>
      <c r="AC253" s="544" t="str">
        <f>IF(VLOOKUP($E$253,[1]DATA_A11!$A$2:$FA$200, 28, FALSE)="",":",VLOOKUP($E$253,[1]DATA_A11!$A$2:$FA$200, 28, FALSE))</f>
        <v>n.a.</v>
      </c>
      <c r="AD253" s="544" t="str">
        <f>IF(VLOOKUP($E$253,[1]DATA_A11!$A$2:$FA$200, 29, FALSE)="",":",VLOOKUP($E$253,[1]DATA_A11!$A$2:$FA$200, 29, FALSE))</f>
        <v>:</v>
      </c>
      <c r="AE253" s="544" t="str">
        <f>IF(VLOOKUP($E$253,[1]DATA_A11!$A$2:$FA$200, 30, FALSE)="",":",VLOOKUP($E$253,[1]DATA_A11!$A$2:$FA$200, 30, FALSE))</f>
        <v>:</v>
      </c>
      <c r="AF253" s="544" t="str">
        <f>IF(VLOOKUP($E$253,[1]DATA_A11!$A$2:$FA$200, 31, FALSE)="",":",VLOOKUP($E$253,[1]DATA_A11!$A$2:$FA$200, 31, FALSE))</f>
        <v>:</v>
      </c>
    </row>
    <row r="254" spans="1:32" s="540" customFormat="1">
      <c r="A254" s="1954"/>
      <c r="B254" s="537"/>
      <c r="C254" s="538" t="s">
        <v>1050</v>
      </c>
      <c r="D254" s="528"/>
      <c r="E254" s="529"/>
      <c r="F254" s="539"/>
      <c r="G254" s="545">
        <f t="shared" ref="G254:AF254" si="16">+G252-G253</f>
        <v>-126.56394810009269</v>
      </c>
      <c r="H254" s="545">
        <f t="shared" si="16"/>
        <v>-166.53151065801669</v>
      </c>
      <c r="I254" s="545">
        <f t="shared" si="16"/>
        <v>-266.45041705282665</v>
      </c>
      <c r="J254" s="545">
        <f t="shared" si="16"/>
        <v>-272.24281742354032</v>
      </c>
      <c r="K254" s="545">
        <f t="shared" si="16"/>
        <v>-188.83225208526414</v>
      </c>
      <c r="L254" s="545">
        <f t="shared" si="16"/>
        <v>-254.57599629286378</v>
      </c>
      <c r="M254" s="545">
        <f t="shared" si="16"/>
        <v>-274.27015755329006</v>
      </c>
      <c r="N254" s="545">
        <f t="shared" si="16"/>
        <v>-209.39527340129752</v>
      </c>
      <c r="O254" s="545">
        <f t="shared" si="16"/>
        <v>-224.74513438368859</v>
      </c>
      <c r="P254" s="545">
        <f t="shared" si="16"/>
        <v>-261.5268767377201</v>
      </c>
      <c r="Q254" s="545">
        <f t="shared" si="16"/>
        <v>-290</v>
      </c>
      <c r="R254" s="545">
        <f t="shared" si="16"/>
        <v>-446</v>
      </c>
      <c r="S254" s="545">
        <f t="shared" si="16"/>
        <v>-545</v>
      </c>
      <c r="T254" s="545">
        <f t="shared" si="16"/>
        <v>-590</v>
      </c>
      <c r="U254" s="545">
        <f t="shared" si="16"/>
        <v>-502</v>
      </c>
      <c r="V254" s="545">
        <f t="shared" si="16"/>
        <v>-982</v>
      </c>
      <c r="W254" s="545">
        <f t="shared" si="16"/>
        <v>-771</v>
      </c>
      <c r="X254" s="545">
        <f t="shared" si="16"/>
        <v>-392</v>
      </c>
      <c r="Y254" s="545">
        <f t="shared" si="16"/>
        <v>-976</v>
      </c>
      <c r="Z254" s="545">
        <f t="shared" si="16"/>
        <v>-1159</v>
      </c>
      <c r="AA254" s="545">
        <f t="shared" si="16"/>
        <v>-937</v>
      </c>
      <c r="AB254" s="545">
        <f t="shared" si="16"/>
        <v>-767</v>
      </c>
      <c r="AC254" s="545" t="e">
        <f t="shared" si="16"/>
        <v>#VALUE!</v>
      </c>
      <c r="AD254" s="545" t="e">
        <f t="shared" si="16"/>
        <v>#VALUE!</v>
      </c>
      <c r="AE254" s="545" t="e">
        <f t="shared" si="16"/>
        <v>#VALUE!</v>
      </c>
      <c r="AF254" s="545" t="e">
        <f t="shared" si="16"/>
        <v>#VALUE!</v>
      </c>
    </row>
    <row r="255" spans="1:32">
      <c r="A255" s="533"/>
      <c r="B255" s="534"/>
      <c r="C255" s="535"/>
      <c r="D255" s="12"/>
      <c r="E255" s="13"/>
      <c r="F255" s="14"/>
      <c r="G255" s="544"/>
      <c r="H255" s="544"/>
      <c r="I255" s="544"/>
      <c r="J255" s="544"/>
      <c r="K255" s="544"/>
      <c r="L255" s="544"/>
      <c r="M255" s="544"/>
      <c r="N255" s="544"/>
      <c r="O255" s="544"/>
      <c r="P255" s="544"/>
      <c r="Q255" s="544"/>
      <c r="R255" s="544"/>
      <c r="S255" s="544"/>
      <c r="T255" s="544"/>
      <c r="U255" s="544"/>
      <c r="V255" s="544"/>
      <c r="W255" s="544"/>
      <c r="X255" s="544"/>
      <c r="Y255" s="544"/>
      <c r="Z255" s="544"/>
      <c r="AA255" s="544"/>
      <c r="AB255" s="544"/>
      <c r="AC255" s="544"/>
      <c r="AD255" s="544"/>
      <c r="AE255" s="544"/>
      <c r="AF255" s="544"/>
    </row>
    <row r="256" spans="1:32">
      <c r="A256" s="1954"/>
      <c r="B256" s="534" t="s">
        <v>886</v>
      </c>
      <c r="C256" s="535" t="s">
        <v>1529</v>
      </c>
      <c r="D256" s="12" t="s">
        <v>879</v>
      </c>
      <c r="E256" s="13">
        <v>2925</v>
      </c>
      <c r="F256" s="14" t="str">
        <f>VLOOKUP($E$256,[1]DATA_A11!$A$2:$FA$200, 3, FALSE)</f>
        <v xml:space="preserve">2925 Net capital transfers </v>
      </c>
      <c r="G256" s="544">
        <f>IF(VLOOKUP($E$256,[1]DATA_A11!$A$2:$FA$200, 6, FALSE)="",":",VLOOKUP($E$256,[1]DATA_A11!$A$2:$FA$200, 6, FALSE))</f>
        <v>-45.17</v>
      </c>
      <c r="H256" s="544">
        <f>IF(VLOOKUP($E$256,[1]DATA_A11!$A$2:$FA$200, 7, FALSE)="",":",VLOOKUP($E$256,[1]DATA_A11!$A$2:$FA$200, 7, FALSE))</f>
        <v>6.37</v>
      </c>
      <c r="I256" s="544">
        <f>IF(VLOOKUP($E$256,[1]DATA_A11!$A$2:$FA$200, 8, FALSE)="",":",VLOOKUP($E$256,[1]DATA_A11!$A$2:$FA$200, 8, FALSE))</f>
        <v>4.7699999999999996</v>
      </c>
      <c r="J256" s="544">
        <f>IF(VLOOKUP($E$256,[1]DATA_A11!$A$2:$FA$200, 9, FALSE)="",":",VLOOKUP($E$256,[1]DATA_A11!$A$2:$FA$200, 9, FALSE))</f>
        <v>-1.98</v>
      </c>
      <c r="K256" s="544">
        <f>IF(VLOOKUP($E$256,[1]DATA_A11!$A$2:$FA$200, 10, FALSE)="",":",VLOOKUP($E$256,[1]DATA_A11!$A$2:$FA$200, 10, FALSE))</f>
        <v>-3.81</v>
      </c>
      <c r="L256" s="544">
        <f>IF(VLOOKUP($E$256,[1]DATA_A11!$A$2:$FA$200, 11, FALSE)="",":",VLOOKUP($E$256,[1]DATA_A11!$A$2:$FA$200, 11, FALSE))</f>
        <v>2.4900000000000002</v>
      </c>
      <c r="M256" s="544">
        <f>IF(VLOOKUP($E$256,[1]DATA_A11!$A$2:$FA$200, 12, FALSE)="",":",VLOOKUP($E$256,[1]DATA_A11!$A$2:$FA$200, 12, FALSE))</f>
        <v>1.61</v>
      </c>
      <c r="N256" s="544">
        <f>IF(VLOOKUP($E$256,[1]DATA_A11!$A$2:$FA$200, 13, FALSE)="",":",VLOOKUP($E$256,[1]DATA_A11!$A$2:$FA$200, 13, FALSE))</f>
        <v>59.02</v>
      </c>
      <c r="O256" s="544">
        <f>IF(VLOOKUP($E$256,[1]DATA_A11!$A$2:$FA$200, 14, FALSE)="",":",VLOOKUP($E$256,[1]DATA_A11!$A$2:$FA$200, 14, FALSE))</f>
        <v>59.36</v>
      </c>
      <c r="P256" s="544">
        <f>IF(VLOOKUP($E$256,[1]DATA_A11!$A$2:$FA$200, 15, FALSE)="",":",VLOOKUP($E$256,[1]DATA_A11!$A$2:$FA$200, 15, FALSE))</f>
        <v>129.66999999999999</v>
      </c>
      <c r="Q256" s="544">
        <f>IF(VLOOKUP($E$256,[1]DATA_A11!$A$2:$FA$200, 16, FALSE)="",":",VLOOKUP($E$256,[1]DATA_A11!$A$2:$FA$200, 16, FALSE))</f>
        <v>203.97</v>
      </c>
      <c r="R256" s="544">
        <f>IF(VLOOKUP($E$256,[1]DATA_A11!$A$2:$FA$200, 17, FALSE)="",":",VLOOKUP($E$256,[1]DATA_A11!$A$2:$FA$200, 17, FALSE))</f>
        <v>358.57</v>
      </c>
      <c r="S256" s="544">
        <f>IF(VLOOKUP($E$256,[1]DATA_A11!$A$2:$FA$200, 18, FALSE)="",":",VLOOKUP($E$256,[1]DATA_A11!$A$2:$FA$200, 18, FALSE))</f>
        <v>611.41999999999996</v>
      </c>
      <c r="T256" s="544">
        <f>IF(VLOOKUP($E$256,[1]DATA_A11!$A$2:$FA$200, 19, FALSE)="",":",VLOOKUP($E$256,[1]DATA_A11!$A$2:$FA$200, 19, FALSE))</f>
        <v>619.07000000000005</v>
      </c>
      <c r="U256" s="544">
        <f>IF(VLOOKUP($E$256,[1]DATA_A11!$A$2:$FA$200, 20, FALSE)="",":",VLOOKUP($E$256,[1]DATA_A11!$A$2:$FA$200, 20, FALSE))</f>
        <v>1158.22</v>
      </c>
      <c r="V256" s="544">
        <f>IF(VLOOKUP($E$256,[1]DATA_A11!$A$2:$FA$200, 21, FALSE)="",":",VLOOKUP($E$256,[1]DATA_A11!$A$2:$FA$200, 21, FALSE))</f>
        <v>1057.8</v>
      </c>
      <c r="W256" s="544">
        <f>IF(VLOOKUP($E$256,[1]DATA_A11!$A$2:$FA$200, 22, FALSE)="",":",VLOOKUP($E$256,[1]DATA_A11!$A$2:$FA$200, 22, FALSE))</f>
        <v>1003.81</v>
      </c>
      <c r="X256" s="544">
        <f>IF(VLOOKUP($E$256,[1]DATA_A11!$A$2:$FA$200, 23, FALSE)="",":",VLOOKUP($E$256,[1]DATA_A11!$A$2:$FA$200, 23, FALSE))</f>
        <v>964.09</v>
      </c>
      <c r="Y256" s="544">
        <f>IF(VLOOKUP($E$256,[1]DATA_A11!$A$2:$FA$200, 24, FALSE)="",":",VLOOKUP($E$256,[1]DATA_A11!$A$2:$FA$200, 24, FALSE))</f>
        <v>1088.8699999999999</v>
      </c>
      <c r="Z256" s="544">
        <f>IF(VLOOKUP($E$256,[1]DATA_A11!$A$2:$FA$200, 25, FALSE)="",":",VLOOKUP($E$256,[1]DATA_A11!$A$2:$FA$200, 25, FALSE))</f>
        <v>975.72</v>
      </c>
      <c r="AA256" s="544">
        <f>IF(VLOOKUP($E$256,[1]DATA_A11!$A$2:$FA$200, 26, FALSE)="",":",VLOOKUP($E$256,[1]DATA_A11!$A$2:$FA$200, 26, FALSE))</f>
        <v>1117.27</v>
      </c>
      <c r="AB256" s="544">
        <f>IF(VLOOKUP($E$256,[1]DATA_A11!$A$2:$FA$200, 27, FALSE)="",":",VLOOKUP($E$256,[1]DATA_A11!$A$2:$FA$200, 27, FALSE))</f>
        <v>568.72</v>
      </c>
      <c r="AC256" s="544" t="str">
        <f>IF(VLOOKUP($E$256,[1]DATA_A11!$A$2:$FA$200, 28, FALSE)="",":",VLOOKUP($E$256,[1]DATA_A11!$A$2:$FA$200, 28, FALSE))</f>
        <v>:</v>
      </c>
      <c r="AD256" s="544" t="str">
        <f>IF(VLOOKUP($E$256,[1]DATA_A11!$A$2:$FA$200, 29, FALSE)="",":",VLOOKUP($E$256,[1]DATA_A11!$A$2:$FA$200, 29, FALSE))</f>
        <v>:</v>
      </c>
      <c r="AE256" s="544" t="str">
        <f>IF(VLOOKUP($E$256,[1]DATA_A11!$A$2:$FA$200, 30, FALSE)="",":",VLOOKUP($E$256,[1]DATA_A11!$A$2:$FA$200, 30, FALSE))</f>
        <v>:</v>
      </c>
      <c r="AF256" s="544" t="str">
        <f>IF(VLOOKUP($E$256,[1]DATA_A11!$A$2:$FA$200, 31, FALSE)="",":",VLOOKUP($E$256,[1]DATA_A11!$A$2:$FA$200, 31, FALSE))</f>
        <v>:</v>
      </c>
    </row>
    <row r="257" spans="1:32">
      <c r="A257" s="1954"/>
      <c r="B257" s="534" t="s">
        <v>887</v>
      </c>
      <c r="C257" s="535" t="s">
        <v>1435</v>
      </c>
      <c r="D257" s="12" t="s">
        <v>879</v>
      </c>
      <c r="E257" s="13">
        <v>2926</v>
      </c>
      <c r="F257" s="14" t="str">
        <f>VLOOKUP($E$257,[1]DATA_A11!$A$2:$FA$200, 3, FALSE)</f>
        <v>2926 Acq. less disp. of non-fin. non-prod. Assets</v>
      </c>
      <c r="G257" s="544" t="str">
        <f>IF(VLOOKUP($E$257,[1]DATA_A11!$A$2:$FA$200, 6, FALSE)="",":",VLOOKUP($E$257,[1]DATA_A11!$A$2:$FA$200, 6, FALSE))</f>
        <v>n.a.</v>
      </c>
      <c r="H257" s="544" t="str">
        <f>IF(VLOOKUP($E$257,[1]DATA_A11!$A$2:$FA$200, 7, FALSE)="",":",VLOOKUP($E$257,[1]DATA_A11!$A$2:$FA$200, 7, FALSE))</f>
        <v>n.a.</v>
      </c>
      <c r="I257" s="544" t="str">
        <f>IF(VLOOKUP($E$257,[1]DATA_A11!$A$2:$FA$200, 8, FALSE)="",":",VLOOKUP($E$257,[1]DATA_A11!$A$2:$FA$200, 8, FALSE))</f>
        <v>n.a.</v>
      </c>
      <c r="J257" s="544" t="str">
        <f>IF(VLOOKUP($E$257,[1]DATA_A11!$A$2:$FA$200, 9, FALSE)="",":",VLOOKUP($E$257,[1]DATA_A11!$A$2:$FA$200, 9, FALSE))</f>
        <v>n.a.</v>
      </c>
      <c r="K257" s="544" t="str">
        <f>IF(VLOOKUP($E$257,[1]DATA_A11!$A$2:$FA$200, 10, FALSE)="",":",VLOOKUP($E$257,[1]DATA_A11!$A$2:$FA$200, 10, FALSE))</f>
        <v>n.a.</v>
      </c>
      <c r="L257" s="544" t="str">
        <f>IF(VLOOKUP($E$257,[1]DATA_A11!$A$2:$FA$200, 11, FALSE)="",":",VLOOKUP($E$257,[1]DATA_A11!$A$2:$FA$200, 11, FALSE))</f>
        <v>n.a.</v>
      </c>
      <c r="M257" s="544" t="str">
        <f>IF(VLOOKUP($E$257,[1]DATA_A11!$A$2:$FA$200, 12, FALSE)="",":",VLOOKUP($E$257,[1]DATA_A11!$A$2:$FA$200, 12, FALSE))</f>
        <v>n.a.</v>
      </c>
      <c r="N257" s="544" t="str">
        <f>IF(VLOOKUP($E$257,[1]DATA_A11!$A$2:$FA$200, 13, FALSE)="",":",VLOOKUP($E$257,[1]DATA_A11!$A$2:$FA$200, 13, FALSE))</f>
        <v>n.a.</v>
      </c>
      <c r="O257" s="544" t="str">
        <f>IF(VLOOKUP($E$257,[1]DATA_A11!$A$2:$FA$200, 14, FALSE)="",":",VLOOKUP($E$257,[1]DATA_A11!$A$2:$FA$200, 14, FALSE))</f>
        <v>n.a.</v>
      </c>
      <c r="P257" s="544" t="str">
        <f>IF(VLOOKUP($E$257,[1]DATA_A11!$A$2:$FA$200, 15, FALSE)="",":",VLOOKUP($E$257,[1]DATA_A11!$A$2:$FA$200, 15, FALSE))</f>
        <v>n.a.</v>
      </c>
      <c r="Q257" s="544" t="str">
        <f>IF(VLOOKUP($E$257,[1]DATA_A11!$A$2:$FA$200, 16, FALSE)="",":",VLOOKUP($E$257,[1]DATA_A11!$A$2:$FA$200, 16, FALSE))</f>
        <v>n.a.</v>
      </c>
      <c r="R257" s="544" t="str">
        <f>IF(VLOOKUP($E$257,[1]DATA_A11!$A$2:$FA$200, 17, FALSE)="",":",VLOOKUP($E$257,[1]DATA_A11!$A$2:$FA$200, 17, FALSE))</f>
        <v>n.a.</v>
      </c>
      <c r="S257" s="544" t="str">
        <f>IF(VLOOKUP($E$257,[1]DATA_A11!$A$2:$FA$200, 18, FALSE)="",":",VLOOKUP($E$257,[1]DATA_A11!$A$2:$FA$200, 18, FALSE))</f>
        <v>n.a.</v>
      </c>
      <c r="T257" s="544" t="str">
        <f>IF(VLOOKUP($E$257,[1]DATA_A11!$A$2:$FA$200, 19, FALSE)="",":",VLOOKUP($E$257,[1]DATA_A11!$A$2:$FA$200, 19, FALSE))</f>
        <v>n.a.</v>
      </c>
      <c r="U257" s="544" t="str">
        <f>IF(VLOOKUP($E$257,[1]DATA_A11!$A$2:$FA$200, 20, FALSE)="",":",VLOOKUP($E$257,[1]DATA_A11!$A$2:$FA$200, 20, FALSE))</f>
        <v>n.a.</v>
      </c>
      <c r="V257" s="544" t="str">
        <f>IF(VLOOKUP($E$257,[1]DATA_A11!$A$2:$FA$200, 21, FALSE)="",":",VLOOKUP($E$257,[1]DATA_A11!$A$2:$FA$200, 21, FALSE))</f>
        <v>n.a.</v>
      </c>
      <c r="W257" s="544" t="str">
        <f>IF(VLOOKUP($E$257,[1]DATA_A11!$A$2:$FA$200, 22, FALSE)="",":",VLOOKUP($E$257,[1]DATA_A11!$A$2:$FA$200, 22, FALSE))</f>
        <v>n.a.</v>
      </c>
      <c r="X257" s="544" t="str">
        <f>IF(VLOOKUP($E$257,[1]DATA_A11!$A$2:$FA$200, 23, FALSE)="",":",VLOOKUP($E$257,[1]DATA_A11!$A$2:$FA$200, 23, FALSE))</f>
        <v>n.a.</v>
      </c>
      <c r="Y257" s="544" t="str">
        <f>IF(VLOOKUP($E$257,[1]DATA_A11!$A$2:$FA$200, 24, FALSE)="",":",VLOOKUP($E$257,[1]DATA_A11!$A$2:$FA$200, 24, FALSE))</f>
        <v>n.a.</v>
      </c>
      <c r="Z257" s="544" t="str">
        <f>IF(VLOOKUP($E$257,[1]DATA_A11!$A$2:$FA$200, 25, FALSE)="",":",VLOOKUP($E$257,[1]DATA_A11!$A$2:$FA$200, 25, FALSE))</f>
        <v>n.a.</v>
      </c>
      <c r="AA257" s="544" t="str">
        <f>IF(VLOOKUP($E$257,[1]DATA_A11!$A$2:$FA$200, 26, FALSE)="",":",VLOOKUP($E$257,[1]DATA_A11!$A$2:$FA$200, 26, FALSE))</f>
        <v>n.a.</v>
      </c>
      <c r="AB257" s="544" t="str">
        <f>IF(VLOOKUP($E$257,[1]DATA_A11!$A$2:$FA$200, 27, FALSE)="",":",VLOOKUP($E$257,[1]DATA_A11!$A$2:$FA$200, 27, FALSE))</f>
        <v>n.a.</v>
      </c>
      <c r="AC257" s="544" t="str">
        <f>IF(VLOOKUP($E$257,[1]DATA_A11!$A$2:$FA$200, 28, FALSE)="",":",VLOOKUP($E$257,[1]DATA_A11!$A$2:$FA$200, 28, FALSE))</f>
        <v>n.a.</v>
      </c>
      <c r="AD257" s="544" t="str">
        <f>IF(VLOOKUP($E$257,[1]DATA_A11!$A$2:$FA$200, 29, FALSE)="",":",VLOOKUP($E$257,[1]DATA_A11!$A$2:$FA$200, 29, FALSE))</f>
        <v>:</v>
      </c>
      <c r="AE257" s="544" t="str">
        <f>IF(VLOOKUP($E$257,[1]DATA_A11!$A$2:$FA$200, 30, FALSE)="",":",VLOOKUP($E$257,[1]DATA_A11!$A$2:$FA$200, 30, FALSE))</f>
        <v>:</v>
      </c>
      <c r="AF257" s="544" t="str">
        <f>IF(VLOOKUP($E$257,[1]DATA_A11!$A$2:$FA$200, 31, FALSE)="",":",VLOOKUP($E$257,[1]DATA_A11!$A$2:$FA$200, 31, FALSE))</f>
        <v>:</v>
      </c>
    </row>
    <row r="258" spans="1:32">
      <c r="A258" s="533"/>
      <c r="B258" s="534"/>
      <c r="C258" s="535"/>
      <c r="D258" s="12"/>
      <c r="E258" s="13"/>
      <c r="F258" s="14"/>
      <c r="G258" s="544"/>
      <c r="H258" s="544"/>
      <c r="I258" s="544"/>
      <c r="J258" s="544"/>
      <c r="K258" s="544"/>
      <c r="L258" s="544"/>
      <c r="M258" s="544"/>
      <c r="N258" s="544"/>
      <c r="O258" s="544"/>
      <c r="P258" s="544"/>
      <c r="Q258" s="544"/>
      <c r="R258" s="544"/>
      <c r="S258" s="544"/>
      <c r="T258" s="544"/>
      <c r="U258" s="544"/>
      <c r="V258" s="544"/>
      <c r="W258" s="544"/>
      <c r="X258" s="544"/>
      <c r="Y258" s="544"/>
      <c r="Z258" s="544"/>
      <c r="AA258" s="544"/>
      <c r="AB258" s="544"/>
      <c r="AC258" s="544"/>
      <c r="AD258" s="544"/>
      <c r="AE258" s="544"/>
      <c r="AF258" s="544"/>
    </row>
    <row r="259" spans="1:32">
      <c r="A259" s="533">
        <v>147</v>
      </c>
      <c r="B259" s="534" t="s">
        <v>79</v>
      </c>
      <c r="C259" s="535"/>
      <c r="D259" s="12" t="s">
        <v>879</v>
      </c>
      <c r="E259" s="13">
        <v>2221</v>
      </c>
      <c r="F259" s="14" t="str">
        <f>VLOOKUP($E$259,[1]DATA_A11!$A$2:$FA$200, 3, FALSE)</f>
        <v>2221 Nominal Expenditure Exports of Goods to EU</v>
      </c>
      <c r="G259" s="544" t="str">
        <f>IF(VLOOKUP($E$259,[1]DATA_A11!$A$2:$FA$200, 6, FALSE)="",":",VLOOKUP($E$259,[1]DATA_A11!$A$2:$FA$200, 6, FALSE))</f>
        <v>:</v>
      </c>
      <c r="H259" s="544" t="str">
        <f>IF(VLOOKUP($E$259,[1]DATA_A11!$A$2:$FA$200, 7, FALSE)="",":",VLOOKUP($E$259,[1]DATA_A11!$A$2:$FA$200, 7, FALSE))</f>
        <v>:</v>
      </c>
      <c r="I259" s="544" t="str">
        <f>IF(VLOOKUP($E$259,[1]DATA_A11!$A$2:$FA$200, 8, FALSE)="",":",VLOOKUP($E$259,[1]DATA_A11!$A$2:$FA$200, 8, FALSE))</f>
        <v>:</v>
      </c>
      <c r="J259" s="544" t="str">
        <f>IF(VLOOKUP($E$259,[1]DATA_A11!$A$2:$FA$200, 9, FALSE)="",":",VLOOKUP($E$259,[1]DATA_A11!$A$2:$FA$200, 9, FALSE))</f>
        <v>:</v>
      </c>
      <c r="K259" s="544">
        <f>IF(VLOOKUP($E$259,[1]DATA_A11!$A$2:$FA$200, 10, FALSE)="",":",VLOOKUP($E$259,[1]DATA_A11!$A$2:$FA$200, 10, FALSE))</f>
        <v>2354.9475673088223</v>
      </c>
      <c r="L259" s="544">
        <f>IF(VLOOKUP($E$259,[1]DATA_A11!$A$2:$FA$200, 11, FALSE)="",":",VLOOKUP($E$259,[1]DATA_A11!$A$2:$FA$200, 11, FALSE))</f>
        <v>3084.5246368679327</v>
      </c>
      <c r="M259" s="544">
        <f>IF(VLOOKUP($E$259,[1]DATA_A11!$A$2:$FA$200, 12, FALSE)="",":",VLOOKUP($E$259,[1]DATA_A11!$A$2:$FA$200, 12, FALSE))</f>
        <v>3637.4833151743514</v>
      </c>
      <c r="N259" s="544">
        <f>IF(VLOOKUP($E$259,[1]DATA_A11!$A$2:$FA$200, 13, FALSE)="",":",VLOOKUP($E$259,[1]DATA_A11!$A$2:$FA$200, 13, FALSE))</f>
        <v>3846.7760480538118</v>
      </c>
      <c r="O259" s="544">
        <f>IF(VLOOKUP($E$259,[1]DATA_A11!$A$2:$FA$200, 14, FALSE)="",":",VLOOKUP($E$259,[1]DATA_A11!$A$2:$FA$200, 14, FALSE))</f>
        <v>3869.3433082694628</v>
      </c>
      <c r="P259" s="544">
        <f>IF(VLOOKUP($E$259,[1]DATA_A11!$A$2:$FA$200, 15, FALSE)="",":",VLOOKUP($E$259,[1]DATA_A11!$A$2:$FA$200, 15, FALSE))</f>
        <v>5029.7894269239459</v>
      </c>
      <c r="Q259" s="544">
        <f>IF(VLOOKUP($E$259,[1]DATA_A11!$A$2:$FA$200, 16, FALSE)="",":",VLOOKUP($E$259,[1]DATA_A11!$A$2:$FA$200, 16, FALSE))</f>
        <v>6237.1992973034075</v>
      </c>
      <c r="R259" s="544">
        <f>IF(VLOOKUP($E$259,[1]DATA_A11!$A$2:$FA$200, 17, FALSE)="",":",VLOOKUP($E$259,[1]DATA_A11!$A$2:$FA$200, 17, FALSE))</f>
        <v>7174.4999999999991</v>
      </c>
      <c r="S259" s="544">
        <f>IF(VLOOKUP($E$259,[1]DATA_A11!$A$2:$FA$200, 18, FALSE)="",":",VLOOKUP($E$259,[1]DATA_A11!$A$2:$FA$200, 18, FALSE))</f>
        <v>8110.9000000000005</v>
      </c>
      <c r="T259" s="544">
        <f>IF(VLOOKUP($E$259,[1]DATA_A11!$A$2:$FA$200, 19, FALSE)="",":",VLOOKUP($E$259,[1]DATA_A11!$A$2:$FA$200, 19, FALSE))</f>
        <v>9702.7000000000007</v>
      </c>
      <c r="U259" s="544">
        <f>IF(VLOOKUP($E$259,[1]DATA_A11!$A$2:$FA$200, 20, FALSE)="",":",VLOOKUP($E$259,[1]DATA_A11!$A$2:$FA$200, 20, FALSE))</f>
        <v>7591.9</v>
      </c>
      <c r="V259" s="544">
        <f>IF(VLOOKUP($E$259,[1]DATA_A11!$A$2:$FA$200, 21, FALSE)="",":",VLOOKUP($E$259,[1]DATA_A11!$A$2:$FA$200, 21, FALSE))</f>
        <v>9553.7000000000007</v>
      </c>
      <c r="W259" s="544">
        <f>IF(VLOOKUP($E$259,[1]DATA_A11!$A$2:$FA$200, 22, FALSE)="",":",VLOOKUP($E$259,[1]DATA_A11!$A$2:$FA$200, 22, FALSE))</f>
        <v>12371.5</v>
      </c>
      <c r="X259" s="544">
        <f>IF(VLOOKUP($E$259,[1]DATA_A11!$A$2:$FA$200, 23, FALSE)="",":",VLOOKUP($E$259,[1]DATA_A11!$A$2:$FA$200, 23, FALSE))</f>
        <v>13925.5</v>
      </c>
      <c r="Y259" s="544">
        <f>IF(VLOOKUP($E$259,[1]DATA_A11!$A$2:$FA$200, 24, FALSE)="",":",VLOOKUP($E$259,[1]DATA_A11!$A$2:$FA$200, 24, FALSE))</f>
        <v>13612.3</v>
      </c>
      <c r="Z259" s="544">
        <f>IF(VLOOKUP($E$259,[1]DATA_A11!$A$2:$FA$200, 25, FALSE)="",":",VLOOKUP($E$259,[1]DATA_A11!$A$2:$FA$200, 25, FALSE))</f>
        <v>13358.299999999997</v>
      </c>
      <c r="AA259" s="544">
        <f>IF(VLOOKUP($E$259,[1]DATA_A11!$A$2:$FA$200, 26, FALSE)="",":",VLOOKUP($E$259,[1]DATA_A11!$A$2:$FA$200, 26, FALSE))</f>
        <v>14048.900000000001</v>
      </c>
      <c r="AB259" s="544">
        <f>IF(VLOOKUP($E$259,[1]DATA_A11!$A$2:$FA$200, 27, FALSE)="",":",VLOOKUP($E$259,[1]DATA_A11!$A$2:$FA$200, 27, FALSE))</f>
        <v>13721.000000000002</v>
      </c>
      <c r="AC259" s="544">
        <f>IF(VLOOKUP($E$259,[1]DATA_A11!$A$2:$FA$200, 28, FALSE)="",":",VLOOKUP($E$259,[1]DATA_A11!$A$2:$FA$200, 28, FALSE))</f>
        <v>15371</v>
      </c>
      <c r="AD259" s="544" t="str">
        <f>IF(VLOOKUP($E$259,[1]DATA_A11!$A$2:$FA$200, 29, FALSE)="",":",VLOOKUP($E$259,[1]DATA_A11!$A$2:$FA$200, 29, FALSE))</f>
        <v>:</v>
      </c>
      <c r="AE259" s="544" t="str">
        <f>IF(VLOOKUP($E$259,[1]DATA_A11!$A$2:$FA$200, 30, FALSE)="",":",VLOOKUP($E$259,[1]DATA_A11!$A$2:$FA$200, 30, FALSE))</f>
        <v>:</v>
      </c>
      <c r="AF259" s="544" t="str">
        <f>IF(VLOOKUP($E$259,[1]DATA_A11!$A$2:$FA$200, 31, FALSE)="",":",VLOOKUP($E$259,[1]DATA_A11!$A$2:$FA$200, 31, FALSE))</f>
        <v>:</v>
      </c>
    </row>
    <row r="260" spans="1:32">
      <c r="A260" s="533">
        <v>149</v>
      </c>
      <c r="B260" s="534" t="s">
        <v>81</v>
      </c>
      <c r="C260" s="535"/>
      <c r="D260" s="12" t="s">
        <v>879</v>
      </c>
      <c r="E260" s="13">
        <v>2222</v>
      </c>
      <c r="F260" s="14" t="str">
        <f>VLOOKUP($E$260,[1]DATA_A11!$A$2:$FA$200, 3, FALSE)</f>
        <v>2222 Nominal Expenditure Exports of Goods extra EU</v>
      </c>
      <c r="G260" s="544" t="str">
        <f>IF(VLOOKUP($E$260,[1]DATA_A11!$A$2:$FA$200, 6, FALSE)="",":",VLOOKUP($E$260,[1]DATA_A11!$A$2:$FA$200, 6, FALSE))</f>
        <v>:</v>
      </c>
      <c r="H260" s="544" t="str">
        <f>IF(VLOOKUP($E$260,[1]DATA_A11!$A$2:$FA$200, 7, FALSE)="",":",VLOOKUP($E$260,[1]DATA_A11!$A$2:$FA$200, 7, FALSE))</f>
        <v>:</v>
      </c>
      <c r="I260" s="544" t="str">
        <f>IF(VLOOKUP($E$260,[1]DATA_A11!$A$2:$FA$200, 8, FALSE)="",":",VLOOKUP($E$260,[1]DATA_A11!$A$2:$FA$200, 8, FALSE))</f>
        <v>:</v>
      </c>
      <c r="J260" s="544" t="str">
        <f>IF(VLOOKUP($E$260,[1]DATA_A11!$A$2:$FA$200, 9, FALSE)="",":",VLOOKUP($E$260,[1]DATA_A11!$A$2:$FA$200, 9, FALSE))</f>
        <v>:</v>
      </c>
      <c r="K260" s="544">
        <f>IF(VLOOKUP($E$260,[1]DATA_A11!$A$2:$FA$200, 10, FALSE)="",":",VLOOKUP($E$260,[1]DATA_A11!$A$2:$FA$200, 10, FALSE))</f>
        <v>836.56273642823214</v>
      </c>
      <c r="L260" s="544">
        <f>IF(VLOOKUP($E$260,[1]DATA_A11!$A$2:$FA$200, 11, FALSE)="",":",VLOOKUP($E$260,[1]DATA_A11!$A$2:$FA$200, 11, FALSE))</f>
        <v>1040.874561729843</v>
      </c>
      <c r="M260" s="544">
        <f>IF(VLOOKUP($E$260,[1]DATA_A11!$A$2:$FA$200, 12, FALSE)="",":",VLOOKUP($E$260,[1]DATA_A11!$A$2:$FA$200, 12, FALSE))</f>
        <v>1322.8155239153734</v>
      </c>
      <c r="N260" s="544">
        <f>IF(VLOOKUP($E$260,[1]DATA_A11!$A$2:$FA$200, 13, FALSE)="",":",VLOOKUP($E$260,[1]DATA_A11!$A$2:$FA$200, 13, FALSE))</f>
        <v>1700.4605690360302</v>
      </c>
      <c r="O260" s="544">
        <f>IF(VLOOKUP($E$260,[1]DATA_A11!$A$2:$FA$200, 14, FALSE)="",":",VLOOKUP($E$260,[1]DATA_A11!$A$2:$FA$200, 14, FALSE))</f>
        <v>2288.7664661102876</v>
      </c>
      <c r="P260" s="544">
        <f>IF(VLOOKUP($E$260,[1]DATA_A11!$A$2:$FA$200, 15, FALSE)="",":",VLOOKUP($E$260,[1]DATA_A11!$A$2:$FA$200, 15, FALSE))</f>
        <v>2448.2435284401058</v>
      </c>
      <c r="Q260" s="544">
        <f>IF(VLOOKUP($E$260,[1]DATA_A11!$A$2:$FA$200, 16, FALSE)="",":",VLOOKUP($E$260,[1]DATA_A11!$A$2:$FA$200, 16, FALSE))</f>
        <v>3252.6996335437047</v>
      </c>
      <c r="R260" s="544">
        <f>IF(VLOOKUP($E$260,[1]DATA_A11!$A$2:$FA$200, 17, FALSE)="",":",VLOOKUP($E$260,[1]DATA_A11!$A$2:$FA$200, 17, FALSE))</f>
        <v>4088.2000000000007</v>
      </c>
      <c r="S260" s="544">
        <f>IF(VLOOKUP($E$260,[1]DATA_A11!$A$2:$FA$200, 18, FALSE)="",":",VLOOKUP($E$260,[1]DATA_A11!$A$2:$FA$200, 18, FALSE))</f>
        <v>4398.7</v>
      </c>
      <c r="T260" s="544">
        <f>IF(VLOOKUP($E$260,[1]DATA_A11!$A$2:$FA$200, 19, FALSE)="",":",VLOOKUP($E$260,[1]DATA_A11!$A$2:$FA$200, 19, FALSE))</f>
        <v>6374.4000000000005</v>
      </c>
      <c r="U260" s="544">
        <f>IF(VLOOKUP($E$260,[1]DATA_A11!$A$2:$FA$200, 20, FALSE)="",":",VLOOKUP($E$260,[1]DATA_A11!$A$2:$FA$200, 20, FALSE))</f>
        <v>4205.1000000000013</v>
      </c>
      <c r="V260" s="544">
        <f>IF(VLOOKUP($E$260,[1]DATA_A11!$A$2:$FA$200, 21, FALSE)="",":",VLOOKUP($E$260,[1]DATA_A11!$A$2:$FA$200, 21, FALSE))</f>
        <v>6097.2999999999984</v>
      </c>
      <c r="W260" s="544">
        <f>IF(VLOOKUP($E$260,[1]DATA_A11!$A$2:$FA$200, 22, FALSE)="",":",VLOOKUP($E$260,[1]DATA_A11!$A$2:$FA$200, 22, FALSE))</f>
        <v>7779.6000000000013</v>
      </c>
      <c r="X260" s="544">
        <f>IF(VLOOKUP($E$260,[1]DATA_A11!$A$2:$FA$200, 23, FALSE)="",":",VLOOKUP($E$260,[1]DATA_A11!$A$2:$FA$200, 23, FALSE))</f>
        <v>9121.9000000000015</v>
      </c>
      <c r="Y260" s="544">
        <f>IF(VLOOKUP($E$260,[1]DATA_A11!$A$2:$FA$200, 24, FALSE)="",":",VLOOKUP($E$260,[1]DATA_A11!$A$2:$FA$200, 24, FALSE))</f>
        <v>10932.100000000004</v>
      </c>
      <c r="Z260" s="544">
        <f>IF(VLOOKUP($E$260,[1]DATA_A11!$A$2:$FA$200, 25, FALSE)="",":",VLOOKUP($E$260,[1]DATA_A11!$A$2:$FA$200, 25, FALSE))</f>
        <v>11002.800000000001</v>
      </c>
      <c r="AA260" s="544">
        <f>IF(VLOOKUP($E$260,[1]DATA_A11!$A$2:$FA$200, 26, FALSE)="",":",VLOOKUP($E$260,[1]DATA_A11!$A$2:$FA$200, 26, FALSE))</f>
        <v>8855.5000000000055</v>
      </c>
      <c r="AB260" s="544">
        <f>IF(VLOOKUP($E$260,[1]DATA_A11!$A$2:$FA$200, 27, FALSE)="",":",VLOOKUP($E$260,[1]DATA_A11!$A$2:$FA$200, 27, FALSE))</f>
        <v>8886.2000000000007</v>
      </c>
      <c r="AC260" s="544">
        <f>IF(VLOOKUP($E$260,[1]DATA_A11!$A$2:$FA$200, 28, FALSE)="",":",VLOOKUP($E$260,[1]DATA_A11!$A$2:$FA$200, 28, FALSE))</f>
        <v>11070.200000000003</v>
      </c>
      <c r="AD260" s="544" t="str">
        <f>IF(VLOOKUP($E$260,[1]DATA_A11!$A$2:$FA$200, 29, FALSE)="",":",VLOOKUP($E$260,[1]DATA_A11!$A$2:$FA$200, 29, FALSE))</f>
        <v>:</v>
      </c>
      <c r="AE260" s="544" t="str">
        <f>IF(VLOOKUP($E$260,[1]DATA_A11!$A$2:$FA$200, 30, FALSE)="",":",VLOOKUP($E$260,[1]DATA_A11!$A$2:$FA$200, 30, FALSE))</f>
        <v>:</v>
      </c>
      <c r="AF260" s="544" t="str">
        <f>IF(VLOOKUP($E$260,[1]DATA_A11!$A$2:$FA$200, 31, FALSE)="",":",VLOOKUP($E$260,[1]DATA_A11!$A$2:$FA$200, 31, FALSE))</f>
        <v>:</v>
      </c>
    </row>
    <row r="261" spans="1:32">
      <c r="A261" s="533">
        <v>150</v>
      </c>
      <c r="B261" s="534" t="s">
        <v>83</v>
      </c>
      <c r="C261" s="535"/>
      <c r="D261" s="12" t="s">
        <v>879</v>
      </c>
      <c r="E261" s="13">
        <v>2223</v>
      </c>
      <c r="F261" s="14" t="str">
        <f>VLOOKUP($E$261,[1]DATA_A11!$A$2:$FA$200, 3, FALSE)</f>
        <v xml:space="preserve">2223 Nominal Expenditure Imports of Goods from EU </v>
      </c>
      <c r="G261" s="544" t="str">
        <f>IF(VLOOKUP($E$261,[1]DATA_A11!$A$2:$FA$200, 6, FALSE)="",":",VLOOKUP($E$261,[1]DATA_A11!$A$2:$FA$200, 6, FALSE))</f>
        <v>:</v>
      </c>
      <c r="H261" s="544" t="str">
        <f>IF(VLOOKUP($E$261,[1]DATA_A11!$A$2:$FA$200, 7, FALSE)="",":",VLOOKUP($E$261,[1]DATA_A11!$A$2:$FA$200, 7, FALSE))</f>
        <v>:</v>
      </c>
      <c r="I261" s="544" t="str">
        <f>IF(VLOOKUP($E$261,[1]DATA_A11!$A$2:$FA$200, 8, FALSE)="",":",VLOOKUP($E$261,[1]DATA_A11!$A$2:$FA$200, 8, FALSE))</f>
        <v>:</v>
      </c>
      <c r="J261" s="544" t="str">
        <f>IF(VLOOKUP($E$261,[1]DATA_A11!$A$2:$FA$200, 9, FALSE)="",":",VLOOKUP($E$261,[1]DATA_A11!$A$2:$FA$200, 9, FALSE))</f>
        <v>:</v>
      </c>
      <c r="K261" s="544">
        <f>IF(VLOOKUP($E$261,[1]DATA_A11!$A$2:$FA$200, 10, FALSE)="",":",VLOOKUP($E$261,[1]DATA_A11!$A$2:$FA$200, 10, FALSE))</f>
        <v>3240.7852567684777</v>
      </c>
      <c r="L261" s="544">
        <f>IF(VLOOKUP($E$261,[1]DATA_A11!$A$2:$FA$200, 11, FALSE)="",":",VLOOKUP($E$261,[1]DATA_A11!$A$2:$FA$200, 11, FALSE))</f>
        <v>3335.1650053206672</v>
      </c>
      <c r="M261" s="544">
        <f>IF(VLOOKUP($E$261,[1]DATA_A11!$A$2:$FA$200, 12, FALSE)="",":",VLOOKUP($E$261,[1]DATA_A11!$A$2:$FA$200, 12, FALSE))</f>
        <v>3848.4075473406228</v>
      </c>
      <c r="N261" s="544">
        <f>IF(VLOOKUP($E$261,[1]DATA_A11!$A$2:$FA$200, 13, FALSE)="",":",VLOOKUP($E$261,[1]DATA_A11!$A$2:$FA$200, 13, FALSE))</f>
        <v>4536.6989492076</v>
      </c>
      <c r="O261" s="544">
        <f>IF(VLOOKUP($E$261,[1]DATA_A11!$A$2:$FA$200, 14, FALSE)="",":",VLOOKUP($E$261,[1]DATA_A11!$A$2:$FA$200, 14, FALSE))</f>
        <v>4786.3298730296565</v>
      </c>
      <c r="P261" s="544">
        <f>IF(VLOOKUP($E$261,[1]DATA_A11!$A$2:$FA$200, 15, FALSE)="",":",VLOOKUP($E$261,[1]DATA_A11!$A$2:$FA$200, 15, FALSE))</f>
        <v>6327.9125068471967</v>
      </c>
      <c r="Q261" s="544">
        <f>IF(VLOOKUP($E$261,[1]DATA_A11!$A$2:$FA$200, 16, FALSE)="",":",VLOOKUP($E$261,[1]DATA_A11!$A$2:$FA$200, 16, FALSE))</f>
        <v>7437.0991621200492</v>
      </c>
      <c r="R261" s="544">
        <f>IF(VLOOKUP($E$261,[1]DATA_A11!$A$2:$FA$200, 17, FALSE)="",":",VLOOKUP($E$261,[1]DATA_A11!$A$2:$FA$200, 17, FALSE))</f>
        <v>9687.2999999999993</v>
      </c>
      <c r="S261" s="544">
        <f>IF(VLOOKUP($E$261,[1]DATA_A11!$A$2:$FA$200, 18, FALSE)="",":",VLOOKUP($E$261,[1]DATA_A11!$A$2:$FA$200, 18, FALSE))</f>
        <v>12179.600000000002</v>
      </c>
      <c r="T261" s="544">
        <f>IF(VLOOKUP($E$261,[1]DATA_A11!$A$2:$FA$200, 19, FALSE)="",":",VLOOKUP($E$261,[1]DATA_A11!$A$2:$FA$200, 19, FALSE))</f>
        <v>12173.700000000003</v>
      </c>
      <c r="U261" s="544">
        <f>IF(VLOOKUP($E$261,[1]DATA_A11!$A$2:$FA$200, 20, FALSE)="",":",VLOOKUP($E$261,[1]DATA_A11!$A$2:$FA$200, 20, FALSE))</f>
        <v>7757.1</v>
      </c>
      <c r="V261" s="544">
        <f>IF(VLOOKUP($E$261,[1]DATA_A11!$A$2:$FA$200, 21, FALSE)="",":",VLOOKUP($E$261,[1]DATA_A11!$A$2:$FA$200, 21, FALSE))</f>
        <v>9993.4</v>
      </c>
      <c r="W261" s="544">
        <f>IF(VLOOKUP($E$261,[1]DATA_A11!$A$2:$FA$200, 22, FALSE)="",":",VLOOKUP($E$261,[1]DATA_A11!$A$2:$FA$200, 22, FALSE))</f>
        <v>12954.800000000001</v>
      </c>
      <c r="X261" s="544">
        <f>IF(VLOOKUP($E$261,[1]DATA_A11!$A$2:$FA$200, 23, FALSE)="",":",VLOOKUP($E$261,[1]DATA_A11!$A$2:$FA$200, 23, FALSE))</f>
        <v>14341.300000000001</v>
      </c>
      <c r="Y261" s="544">
        <f>IF(VLOOKUP($E$261,[1]DATA_A11!$A$2:$FA$200, 24, FALSE)="",":",VLOOKUP($E$261,[1]DATA_A11!$A$2:$FA$200, 24, FALSE))</f>
        <v>15808.8</v>
      </c>
      <c r="Z261" s="544">
        <f>IF(VLOOKUP($E$261,[1]DATA_A11!$A$2:$FA$200, 25, FALSE)="",":",VLOOKUP($E$261,[1]DATA_A11!$A$2:$FA$200, 25, FALSE))</f>
        <v>16982.3</v>
      </c>
      <c r="AA261" s="544">
        <f>IF(VLOOKUP($E$261,[1]DATA_A11!$A$2:$FA$200, 26, FALSE)="",":",VLOOKUP($E$261,[1]DATA_A11!$A$2:$FA$200, 26, FALSE))</f>
        <v>17198.7</v>
      </c>
      <c r="AB261" s="544">
        <f>IF(VLOOKUP($E$261,[1]DATA_A11!$A$2:$FA$200, 27, FALSE)="",":",VLOOKUP($E$261,[1]DATA_A11!$A$2:$FA$200, 27, FALSE))</f>
        <v>17539.599999999999</v>
      </c>
      <c r="AC261" s="544">
        <f>IF(VLOOKUP($E$261,[1]DATA_A11!$A$2:$FA$200, 28, FALSE)="",":",VLOOKUP($E$261,[1]DATA_A11!$A$2:$FA$200, 28, FALSE))</f>
        <v>20116.099999999995</v>
      </c>
      <c r="AD261" s="544" t="str">
        <f>IF(VLOOKUP($E$261,[1]DATA_A11!$A$2:$FA$200, 29, FALSE)="",":",VLOOKUP($E$261,[1]DATA_A11!$A$2:$FA$200, 29, FALSE))</f>
        <v>:</v>
      </c>
      <c r="AE261" s="544" t="str">
        <f>IF(VLOOKUP($E$261,[1]DATA_A11!$A$2:$FA$200, 30, FALSE)="",":",VLOOKUP($E$261,[1]DATA_A11!$A$2:$FA$200, 30, FALSE))</f>
        <v>:</v>
      </c>
      <c r="AF261" s="544" t="str">
        <f>IF(VLOOKUP($E$261,[1]DATA_A11!$A$2:$FA$200, 31, FALSE)="",":",VLOOKUP($E$261,[1]DATA_A11!$A$2:$FA$200, 31, FALSE))</f>
        <v>:</v>
      </c>
    </row>
    <row r="262" spans="1:32">
      <c r="A262" s="533">
        <v>152</v>
      </c>
      <c r="B262" s="534" t="s">
        <v>85</v>
      </c>
      <c r="C262" s="535"/>
      <c r="D262" s="12" t="s">
        <v>879</v>
      </c>
      <c r="E262" s="13">
        <v>2224</v>
      </c>
      <c r="F262" s="14" t="str">
        <f>VLOOKUP($E$262,[1]DATA_A11!$A$2:$FA$200, 3, FALSE)</f>
        <v xml:space="preserve">2224 Nominal Expenditure Imports of Goods extra EU </v>
      </c>
      <c r="G262" s="544" t="str">
        <f>IF(VLOOKUP($E$262,[1]DATA_A11!$A$2:$FA$200, 6, FALSE)="",":",VLOOKUP($E$262,[1]DATA_A11!$A$2:$FA$200, 6, FALSE))</f>
        <v>:</v>
      </c>
      <c r="H262" s="544" t="str">
        <f>IF(VLOOKUP($E$262,[1]DATA_A11!$A$2:$FA$200, 7, FALSE)="",":",VLOOKUP($E$262,[1]DATA_A11!$A$2:$FA$200, 7, FALSE))</f>
        <v>:</v>
      </c>
      <c r="I262" s="544" t="str">
        <f>IF(VLOOKUP($E$262,[1]DATA_A11!$A$2:$FA$200, 8, FALSE)="",":",VLOOKUP($E$262,[1]DATA_A11!$A$2:$FA$200, 8, FALSE))</f>
        <v>:</v>
      </c>
      <c r="J262" s="544" t="str">
        <f>IF(VLOOKUP($E$262,[1]DATA_A11!$A$2:$FA$200, 9, FALSE)="",":",VLOOKUP($E$262,[1]DATA_A11!$A$2:$FA$200, 9, FALSE))</f>
        <v>:</v>
      </c>
      <c r="K262" s="544">
        <f>IF(VLOOKUP($E$262,[1]DATA_A11!$A$2:$FA$200, 10, FALSE)="",":",VLOOKUP($E$262,[1]DATA_A11!$A$2:$FA$200, 10, FALSE))</f>
        <v>2130.5551120253717</v>
      </c>
      <c r="L262" s="544">
        <f>IF(VLOOKUP($E$262,[1]DATA_A11!$A$2:$FA$200, 11, FALSE)="",":",VLOOKUP($E$262,[1]DATA_A11!$A$2:$FA$200, 11, FALSE))</f>
        <v>2744.7367761346154</v>
      </c>
      <c r="M262" s="544">
        <f>IF(VLOOKUP($E$262,[1]DATA_A11!$A$2:$FA$200, 12, FALSE)="",":",VLOOKUP($E$262,[1]DATA_A11!$A$2:$FA$200, 12, FALSE))</f>
        <v>3176.2097607172723</v>
      </c>
      <c r="N262" s="544">
        <f>IF(VLOOKUP($E$262,[1]DATA_A11!$A$2:$FA$200, 13, FALSE)="",":",VLOOKUP($E$262,[1]DATA_A11!$A$2:$FA$200, 13, FALSE))</f>
        <v>3436.9902993290084</v>
      </c>
      <c r="O262" s="544">
        <f>IF(VLOOKUP($E$262,[1]DATA_A11!$A$2:$FA$200, 14, FALSE)="",":",VLOOKUP($E$262,[1]DATA_A11!$A$2:$FA$200, 14, FALSE))</f>
        <v>3739.345212938138</v>
      </c>
      <c r="P262" s="544">
        <f>IF(VLOOKUP($E$262,[1]DATA_A11!$A$2:$FA$200, 15, FALSE)="",":",VLOOKUP($E$262,[1]DATA_A11!$A$2:$FA$200, 15, FALSE))</f>
        <v>3630.5645494656515</v>
      </c>
      <c r="Q262" s="544">
        <f>IF(VLOOKUP($E$262,[1]DATA_A11!$A$2:$FA$200, 16, FALSE)="",":",VLOOKUP($E$262,[1]DATA_A11!$A$2:$FA$200, 16, FALSE))</f>
        <v>5060.599429861737</v>
      </c>
      <c r="R262" s="544">
        <f>IF(VLOOKUP($E$262,[1]DATA_A11!$A$2:$FA$200, 17, FALSE)="",":",VLOOKUP($E$262,[1]DATA_A11!$A$2:$FA$200, 17, FALSE))</f>
        <v>5742.2000000000007</v>
      </c>
      <c r="S262" s="544">
        <f>IF(VLOOKUP($E$262,[1]DATA_A11!$A$2:$FA$200, 18, FALSE)="",":",VLOOKUP($E$262,[1]DATA_A11!$A$2:$FA$200, 18, FALSE))</f>
        <v>5633.0999999999985</v>
      </c>
      <c r="T262" s="544">
        <f>IF(VLOOKUP($E$262,[1]DATA_A11!$A$2:$FA$200, 19, FALSE)="",":",VLOOKUP($E$262,[1]DATA_A11!$A$2:$FA$200, 19, FALSE))</f>
        <v>8970.2000000000007</v>
      </c>
      <c r="U262" s="544">
        <f>IF(VLOOKUP($E$262,[1]DATA_A11!$A$2:$FA$200, 20, FALSE)="",":",VLOOKUP($E$262,[1]DATA_A11!$A$2:$FA$200, 20, FALSE))</f>
        <v>5365.7999999999984</v>
      </c>
      <c r="V262" s="544">
        <f>IF(VLOOKUP($E$262,[1]DATA_A11!$A$2:$FA$200, 21, FALSE)="",":",VLOOKUP($E$262,[1]DATA_A11!$A$2:$FA$200, 21, FALSE))</f>
        <v>7659.8</v>
      </c>
      <c r="W262" s="544">
        <f>IF(VLOOKUP($E$262,[1]DATA_A11!$A$2:$FA$200, 22, FALSE)="",":",VLOOKUP($E$262,[1]DATA_A11!$A$2:$FA$200, 22, FALSE))</f>
        <v>9871.0000000000018</v>
      </c>
      <c r="X262" s="544">
        <f>IF(VLOOKUP($E$262,[1]DATA_A11!$A$2:$FA$200, 23, FALSE)="",":",VLOOKUP($E$262,[1]DATA_A11!$A$2:$FA$200, 23, FALSE))</f>
        <v>10537.599999999999</v>
      </c>
      <c r="Y262" s="544">
        <f>IF(VLOOKUP($E$262,[1]DATA_A11!$A$2:$FA$200, 24, FALSE)="",":",VLOOKUP($E$262,[1]DATA_A11!$A$2:$FA$200, 24, FALSE))</f>
        <v>10398.9</v>
      </c>
      <c r="Z262" s="544">
        <f>IF(VLOOKUP($E$262,[1]DATA_A11!$A$2:$FA$200, 25, FALSE)="",":",VLOOKUP($E$262,[1]DATA_A11!$A$2:$FA$200, 25, FALSE))</f>
        <v>8907.2000000000007</v>
      </c>
      <c r="AA262" s="544">
        <f>IF(VLOOKUP($E$262,[1]DATA_A11!$A$2:$FA$200, 26, FALSE)="",":",VLOOKUP($E$262,[1]DATA_A11!$A$2:$FA$200, 26, FALSE))</f>
        <v>8200.9000000000015</v>
      </c>
      <c r="AB262" s="544">
        <f>IF(VLOOKUP($E$262,[1]DATA_A11!$A$2:$FA$200, 27, FALSE)="",":",VLOOKUP($E$262,[1]DATA_A11!$A$2:$FA$200, 27, FALSE))</f>
        <v>7159.9000000000015</v>
      </c>
      <c r="AC262" s="544">
        <f>IF(VLOOKUP($E$262,[1]DATA_A11!$A$2:$FA$200, 28, FALSE)="",":",VLOOKUP($E$262,[1]DATA_A11!$A$2:$FA$200, 28, FALSE))</f>
        <v>8679.7000000000044</v>
      </c>
      <c r="AD262" s="544" t="str">
        <f>IF(VLOOKUP($E$262,[1]DATA_A11!$A$2:$FA$200, 29, FALSE)="",":",VLOOKUP($E$262,[1]DATA_A11!$A$2:$FA$200, 29, FALSE))</f>
        <v>:</v>
      </c>
      <c r="AE262" s="544" t="str">
        <f>IF(VLOOKUP($E$262,[1]DATA_A11!$A$2:$FA$200, 30, FALSE)="",":",VLOOKUP($E$262,[1]DATA_A11!$A$2:$FA$200, 30, FALSE))</f>
        <v>:</v>
      </c>
      <c r="AF262" s="544" t="str">
        <f>IF(VLOOKUP($E$262,[1]DATA_A11!$A$2:$FA$200, 31, FALSE)="",":",VLOOKUP($E$262,[1]DATA_A11!$A$2:$FA$200, 31, FALSE))</f>
        <v>:</v>
      </c>
    </row>
    <row r="263" spans="1:32">
      <c r="A263" s="533"/>
      <c r="B263" s="534"/>
      <c r="C263" s="535"/>
      <c r="D263" s="12"/>
      <c r="E263" s="13"/>
      <c r="F263" s="14"/>
      <c r="G263" s="544"/>
      <c r="H263" s="544"/>
      <c r="I263" s="544"/>
      <c r="J263" s="544"/>
      <c r="K263" s="544"/>
      <c r="L263" s="544"/>
      <c r="M263" s="544"/>
      <c r="N263" s="544"/>
      <c r="O263" s="544"/>
      <c r="P263" s="544"/>
      <c r="Q263" s="544"/>
      <c r="R263" s="544"/>
      <c r="S263" s="544"/>
      <c r="T263" s="544"/>
      <c r="U263" s="544"/>
      <c r="V263" s="544"/>
      <c r="W263" s="544"/>
      <c r="X263" s="544"/>
      <c r="Y263" s="544"/>
      <c r="Z263" s="544"/>
      <c r="AA263" s="544"/>
      <c r="AB263" s="544"/>
      <c r="AC263" s="544"/>
      <c r="AD263" s="544"/>
      <c r="AE263" s="544"/>
      <c r="AF263" s="544"/>
    </row>
    <row r="264" spans="1:32">
      <c r="A264" s="533"/>
      <c r="B264" s="534"/>
      <c r="C264" s="535"/>
      <c r="D264" s="12"/>
      <c r="E264" s="13"/>
      <c r="F264" s="14"/>
      <c r="G264" s="544"/>
      <c r="H264" s="544"/>
      <c r="I264" s="544"/>
      <c r="J264" s="544"/>
      <c r="K264" s="544"/>
      <c r="L264" s="544"/>
      <c r="M264" s="544"/>
      <c r="N264" s="544"/>
      <c r="O264" s="544"/>
      <c r="P264" s="544"/>
      <c r="Q264" s="544"/>
      <c r="R264" s="544"/>
      <c r="S264" s="544"/>
      <c r="T264" s="544"/>
      <c r="U264" s="544"/>
      <c r="V264" s="544"/>
      <c r="W264" s="544"/>
      <c r="X264" s="544"/>
      <c r="Y264" s="544"/>
      <c r="Z264" s="544"/>
      <c r="AA264" s="544"/>
      <c r="AB264" s="544"/>
      <c r="AC264" s="544"/>
      <c r="AD264" s="544"/>
      <c r="AE264" s="544"/>
      <c r="AF264" s="544"/>
    </row>
    <row r="265" spans="1:32">
      <c r="A265" s="533"/>
      <c r="B265" s="534"/>
      <c r="C265" s="535"/>
      <c r="D265" s="12"/>
      <c r="E265" s="13"/>
      <c r="F265" s="14"/>
      <c r="G265" s="544"/>
      <c r="H265" s="544"/>
      <c r="I265" s="544"/>
      <c r="J265" s="544"/>
      <c r="K265" s="544"/>
      <c r="L265" s="544"/>
      <c r="M265" s="544"/>
      <c r="N265" s="544"/>
      <c r="O265" s="544"/>
      <c r="P265" s="544"/>
      <c r="Q265" s="544"/>
      <c r="R265" s="544"/>
      <c r="S265" s="544"/>
      <c r="T265" s="544"/>
      <c r="U265" s="544"/>
      <c r="V265" s="544"/>
      <c r="W265" s="544"/>
      <c r="X265" s="544"/>
      <c r="Y265" s="544"/>
      <c r="Z265" s="544"/>
      <c r="AA265" s="544"/>
      <c r="AB265" s="544"/>
      <c r="AC265" s="544"/>
      <c r="AD265" s="544"/>
      <c r="AE265" s="544"/>
      <c r="AF265" s="544"/>
    </row>
    <row r="266" spans="1:32">
      <c r="A266" s="533">
        <v>55</v>
      </c>
      <c r="B266" s="534" t="s">
        <v>551</v>
      </c>
      <c r="C266" s="535"/>
      <c r="D266" s="12" t="s">
        <v>879</v>
      </c>
      <c r="E266" s="13">
        <v>2301</v>
      </c>
      <c r="F266" s="14" t="str">
        <f>VLOOKUP($E$266,[1]DATA_A11!$A$2:$FA$200, 3, FALSE)</f>
        <v>2301 Consumer price general index</v>
      </c>
      <c r="G266" s="544">
        <f>IF(VLOOKUP($E$266,[1]DATA_A11!$A$2:$FA$200, 6, FALSE)="",":",VLOOKUP($E$266,[1]DATA_A11!$A$2:$FA$200, 6, FALSE))</f>
        <v>66.068980652933803</v>
      </c>
      <c r="H266" s="544">
        <f>IF(VLOOKUP($E$266,[1]DATA_A11!$A$2:$FA$200, 7, FALSE)="",":",VLOOKUP($E$266,[1]DATA_A11!$A$2:$FA$200, 7, FALSE))</f>
        <v>82.33861128143279</v>
      </c>
      <c r="I266" s="544">
        <f>IF(VLOOKUP($E$266,[1]DATA_A11!$A$2:$FA$200, 8, FALSE)="",":",VLOOKUP($E$266,[1]DATA_A11!$A$2:$FA$200, 8, FALSE))</f>
        <v>89.651135061851093</v>
      </c>
      <c r="J266" s="544">
        <f>IF(VLOOKUP($E$266,[1]DATA_A11!$A$2:$FA$200, 9, FALSE)="",":",VLOOKUP($E$266,[1]DATA_A11!$A$2:$FA$200, 9, FALSE))</f>
        <v>94.194267636048167</v>
      </c>
      <c r="K266" s="544">
        <f>IF(VLOOKUP($E$266,[1]DATA_A11!$A$2:$FA$200, 10, FALSE)="",":",VLOOKUP($E$266,[1]DATA_A11!$A$2:$FA$200, 10, FALSE))</f>
        <v>94.879575853725868</v>
      </c>
      <c r="L266" s="544">
        <f>IF(VLOOKUP($E$266,[1]DATA_A11!$A$2:$FA$200, 11, FALSE)="",":",VLOOKUP($E$266,[1]DATA_A11!$A$2:$FA$200, 11, FALSE))</f>
        <v>95.810967364838703</v>
      </c>
      <c r="M266" s="544">
        <f>IF(VLOOKUP($E$266,[1]DATA_A11!$A$2:$FA$200, 12, FALSE)="",":",VLOOKUP($E$266,[1]DATA_A11!$A$2:$FA$200, 12, FALSE))</f>
        <v>97.120808813198579</v>
      </c>
      <c r="N266" s="544">
        <f>IF(VLOOKUP($E$266,[1]DATA_A11!$A$2:$FA$200, 13, FALSE)="",":",VLOOKUP($E$266,[1]DATA_A11!$A$2:$FA$200, 13, FALSE))</f>
        <v>97.394175434303676</v>
      </c>
      <c r="O266" s="544">
        <f>IF(VLOOKUP($E$266,[1]DATA_A11!$A$2:$FA$200, 14, FALSE)="",":",VLOOKUP($E$266,[1]DATA_A11!$A$2:$FA$200, 14, FALSE))</f>
        <v>96.289433951761211</v>
      </c>
      <c r="P266" s="544">
        <f>IF(VLOOKUP($E$266,[1]DATA_A11!$A$2:$FA$200, 15, FALSE)="",":",VLOOKUP($E$266,[1]DATA_A11!$A$2:$FA$200, 15, FALSE))</f>
        <v>97.410342098276729</v>
      </c>
      <c r="Q266" s="544">
        <f>IF(VLOOKUP($E$266,[1]DATA_A11!$A$2:$FA$200, 16, FALSE)="",":",VLOOKUP($E$266,[1]DATA_A11!$A$2:$FA$200, 16, FALSE))</f>
        <v>100</v>
      </c>
      <c r="R266" s="544">
        <f>IF(VLOOKUP($E$266,[1]DATA_A11!$A$2:$FA$200, 17, FALSE)="",":",VLOOKUP($E$266,[1]DATA_A11!$A$2:$FA$200, 17, FALSE))</f>
        <v>103.73908271015331</v>
      </c>
      <c r="S266" s="544">
        <f>IF(VLOOKUP($E$266,[1]DATA_A11!$A$2:$FA$200, 18, FALSE)="",":",VLOOKUP($E$266,[1]DATA_A11!$A$2:$FA$200, 18, FALSE))</f>
        <v>109.69079005153519</v>
      </c>
      <c r="T266" s="544">
        <f>IF(VLOOKUP($E$266,[1]DATA_A11!$A$2:$FA$200, 19, FALSE)="",":",VLOOKUP($E$266,[1]DATA_A11!$A$2:$FA$200, 19, FALSE))</f>
        <v>121.67546305408973</v>
      </c>
      <c r="U266" s="544">
        <f>IF(VLOOKUP($E$266,[1]DATA_A11!$A$2:$FA$200, 20, FALSE)="",":",VLOOKUP($E$266,[1]DATA_A11!$A$2:$FA$200, 20, FALSE))</f>
        <v>127.09376215103943</v>
      </c>
      <c r="V266" s="544">
        <f>IF(VLOOKUP($E$266,[1]DATA_A11!$A$2:$FA$200, 21, FALSE)="",":",VLOOKUP($E$266,[1]DATA_A11!$A$2:$FA$200, 21, FALSE))</f>
        <v>128.77039520493449</v>
      </c>
      <c r="W266" s="544">
        <f>IF(VLOOKUP($E$266,[1]DATA_A11!$A$2:$FA$200, 22, FALSE)="",":",VLOOKUP($E$266,[1]DATA_A11!$A$2:$FA$200, 22, FALSE))</f>
        <v>134.08896098517272</v>
      </c>
      <c r="X266" s="544">
        <f>IF(VLOOKUP($E$266,[1]DATA_A11!$A$2:$FA$200, 23, FALSE)="",":",VLOOKUP($E$266,[1]DATA_A11!$A$2:$FA$200, 23, FALSE))</f>
        <v>138.24571877571375</v>
      </c>
      <c r="Y266" s="544">
        <f>IF(VLOOKUP($E$266,[1]DATA_A11!$A$2:$FA$200, 24, FALSE)="",":",VLOOKUP($E$266,[1]DATA_A11!$A$2:$FA$200, 24, FALSE))</f>
        <v>139.6281759634702</v>
      </c>
      <c r="Z266" s="544">
        <f>IF(VLOOKUP($E$266,[1]DATA_A11!$A$2:$FA$200, 25, FALSE)="",":",VLOOKUP($E$266,[1]DATA_A11!$A$2:$FA$200, 25, FALSE))</f>
        <v>139.77309592786955</v>
      </c>
      <c r="AA266" s="544">
        <f>IF(VLOOKUP($E$266,[1]DATA_A11!$A$2:$FA$200, 26, FALSE)="",":",VLOOKUP($E$266,[1]DATA_A11!$A$2:$FA$200, 26, FALSE))</f>
        <v>138.53735019739733</v>
      </c>
      <c r="AB266" s="544">
        <f>IF(VLOOKUP($E$266,[1]DATA_A11!$A$2:$FA$200, 27, FALSE)="",":",VLOOKUP($E$266,[1]DATA_A11!$A$2:$FA$200, 27, FALSE))</f>
        <v>139.79183576338338</v>
      </c>
      <c r="AC266" s="544" t="e">
        <f>IF(VLOOKUP($E$266,[1]DATA_A11!$A$2:$FA$200, 28, FALSE)="",":",VLOOKUP($E$266,[1]DATA_A11!$A$2:$FA$200, 28, FALSE))</f>
        <v>#N/A</v>
      </c>
      <c r="AD266" s="544" t="str">
        <f>IF(VLOOKUP($E$266,[1]DATA_A11!$A$2:$FA$200, 29, FALSE)="",":",VLOOKUP($E$266,[1]DATA_A11!$A$2:$FA$200, 29, FALSE))</f>
        <v>:</v>
      </c>
      <c r="AE266" s="544" t="str">
        <f>IF(VLOOKUP($E$266,[1]DATA_A11!$A$2:$FA$200, 30, FALSE)="",":",VLOOKUP($E$266,[1]DATA_A11!$A$2:$FA$200, 30, FALSE))</f>
        <v>:</v>
      </c>
      <c r="AF266" s="544" t="str">
        <f>IF(VLOOKUP($E$266,[1]DATA_A11!$A$2:$FA$200, 31, FALSE)="",":",VLOOKUP($E$266,[1]DATA_A11!$A$2:$FA$200, 31, FALSE))</f>
        <v>:</v>
      </c>
    </row>
    <row r="267" spans="1:32">
      <c r="A267" s="533">
        <v>54</v>
      </c>
      <c r="B267" s="534" t="s">
        <v>599</v>
      </c>
      <c r="C267" s="535"/>
      <c r="D267" s="12" t="s">
        <v>879</v>
      </c>
      <c r="E267" s="13">
        <v>2300</v>
      </c>
      <c r="F267" s="14" t="str">
        <f>VLOOKUP($E$267,[1]DATA_A11!$A$2:$FA$200, 3, FALSE)</f>
        <v>2300 Consumer price harmonized index</v>
      </c>
      <c r="G267" s="544">
        <f>IF(VLOOKUP($E$267,[1]DATA_A11!$A$2:$FA$200, 6, FALSE)="",":",VLOOKUP($E$267,[1]DATA_A11!$A$2:$FA$200, 6, FALSE))</f>
        <v>46.202189580827167</v>
      </c>
      <c r="H267" s="544">
        <f>IF(VLOOKUP($E$267,[1]DATA_A11!$A$2:$FA$200, 7, FALSE)="",":",VLOOKUP($E$267,[1]DATA_A11!$A$2:$FA$200, 7, FALSE))</f>
        <v>57.612499999999997</v>
      </c>
      <c r="I267" s="544">
        <f>IF(VLOOKUP($E$267,[1]DATA_A11!$A$2:$FA$200, 8, FALSE)="",":",VLOOKUP($E$267,[1]DATA_A11!$A$2:$FA$200, 8, FALSE))</f>
        <v>63.555833333333297</v>
      </c>
      <c r="J267" s="544">
        <f>IF(VLOOKUP($E$267,[1]DATA_A11!$A$2:$FA$200, 9, FALSE)="",":",VLOOKUP($E$267,[1]DATA_A11!$A$2:$FA$200, 9, FALSE))</f>
        <v>66.968333333333305</v>
      </c>
      <c r="K267" s="544">
        <f>IF(VLOOKUP($E$267,[1]DATA_A11!$A$2:$FA$200, 10, FALSE)="",":",VLOOKUP($E$267,[1]DATA_A11!$A$2:$FA$200, 10, FALSE))</f>
        <v>67.935000000000002</v>
      </c>
      <c r="L267" s="544">
        <f>IF(VLOOKUP($E$267,[1]DATA_A11!$A$2:$FA$200, 11, FALSE)="",":",VLOOKUP($E$267,[1]DATA_A11!$A$2:$FA$200, 11, FALSE))</f>
        <v>68.678333333333299</v>
      </c>
      <c r="M267" s="544">
        <f>IF(VLOOKUP($E$267,[1]DATA_A11!$A$2:$FA$200, 12, FALSE)="",":",VLOOKUP($E$267,[1]DATA_A11!$A$2:$FA$200, 12, FALSE))</f>
        <v>69.742500000000007</v>
      </c>
      <c r="N267" s="544">
        <f>IF(VLOOKUP($E$267,[1]DATA_A11!$A$2:$FA$200, 13, FALSE)="",":",VLOOKUP($E$267,[1]DATA_A11!$A$2:$FA$200, 13, FALSE))</f>
        <v>69.976666666666702</v>
      </c>
      <c r="O267" s="544">
        <f>IF(VLOOKUP($E$267,[1]DATA_A11!$A$2:$FA$200, 14, FALSE)="",":",VLOOKUP($E$267,[1]DATA_A11!$A$2:$FA$200, 14, FALSE))</f>
        <v>69.223333333333301</v>
      </c>
      <c r="P267" s="544">
        <f>IF(VLOOKUP($E$267,[1]DATA_A11!$A$2:$FA$200, 15, FALSE)="",":",VLOOKUP($E$267,[1]DATA_A11!$A$2:$FA$200, 15, FALSE))</f>
        <v>70.022499999999994</v>
      </c>
      <c r="Q267" s="544">
        <f>IF(VLOOKUP($E$267,[1]DATA_A11!$A$2:$FA$200, 16, FALSE)="",":",VLOOKUP($E$267,[1]DATA_A11!$A$2:$FA$200, 16, FALSE))</f>
        <v>71.893333333333302</v>
      </c>
      <c r="R267" s="544">
        <f>IF(VLOOKUP($E$267,[1]DATA_A11!$A$2:$FA$200, 17, FALSE)="",":",VLOOKUP($E$267,[1]DATA_A11!$A$2:$FA$200, 17, FALSE))</f>
        <v>74.594166666666695</v>
      </c>
      <c r="S267" s="544">
        <f>IF(VLOOKUP($E$267,[1]DATA_A11!$A$2:$FA$200, 18, FALSE)="",":",VLOOKUP($E$267,[1]DATA_A11!$A$2:$FA$200, 18, FALSE))</f>
        <v>78.934166666666698</v>
      </c>
      <c r="T267" s="544">
        <f>IF(VLOOKUP($E$267,[1]DATA_A11!$A$2:$FA$200, 19, FALSE)="",":",VLOOKUP($E$267,[1]DATA_A11!$A$2:$FA$200, 19, FALSE))</f>
        <v>87.689166666666694</v>
      </c>
      <c r="U267" s="544">
        <f>IF(VLOOKUP($E$267,[1]DATA_A11!$A$2:$FA$200, 20, FALSE)="",":",VLOOKUP($E$267,[1]DATA_A11!$A$2:$FA$200, 20, FALSE))</f>
        <v>91.338333333333296</v>
      </c>
      <c r="V267" s="544">
        <f>IF(VLOOKUP($E$267,[1]DATA_A11!$A$2:$FA$200, 21, FALSE)="",":",VLOOKUP($E$267,[1]DATA_A11!$A$2:$FA$200, 21, FALSE))</f>
        <v>92.425833333333301</v>
      </c>
      <c r="W267" s="544">
        <f>IF(VLOOKUP($E$267,[1]DATA_A11!$A$2:$FA$200, 22, FALSE)="",":",VLOOKUP($E$267,[1]DATA_A11!$A$2:$FA$200, 22, FALSE))</f>
        <v>96.237499999999997</v>
      </c>
      <c r="X267" s="544">
        <f>IF(VLOOKUP($E$267,[1]DATA_A11!$A$2:$FA$200, 23, FALSE)="",":",VLOOKUP($E$267,[1]DATA_A11!$A$2:$FA$200, 23, FALSE))</f>
        <v>99.282499999999999</v>
      </c>
      <c r="Y267" s="544">
        <f>IF(VLOOKUP($E$267,[1]DATA_A11!$A$2:$FA$200, 24, FALSE)="",":",VLOOKUP($E$267,[1]DATA_A11!$A$2:$FA$200, 24, FALSE))</f>
        <v>100.43833333333301</v>
      </c>
      <c r="Z267" s="544">
        <f>IF(VLOOKUP($E$267,[1]DATA_A11!$A$2:$FA$200, 25, FALSE)="",":",VLOOKUP($E$267,[1]DATA_A11!$A$2:$FA$200, 25, FALSE))</f>
        <v>100.681666666667</v>
      </c>
      <c r="AA267" s="544">
        <f>IF(VLOOKUP($E$267,[1]DATA_A11!$A$2:$FA$200, 26, FALSE)="",":",VLOOKUP($E$267,[1]DATA_A11!$A$2:$FA$200, 26, FALSE))</f>
        <v>100</v>
      </c>
      <c r="AB267" s="544">
        <f>IF(VLOOKUP($E$267,[1]DATA_A11!$A$2:$FA$200, 27, FALSE)="",":",VLOOKUP($E$267,[1]DATA_A11!$A$2:$FA$200, 27, FALSE))</f>
        <v>100.678333333333</v>
      </c>
      <c r="AC267" s="544">
        <f>IF(VLOOKUP($E$267,[1]DATA_A11!$A$2:$FA$200, 28, FALSE)="",":",VLOOKUP($E$267,[1]DATA_A11!$A$2:$FA$200, 28, FALSE))</f>
        <v>104.42166666666699</v>
      </c>
      <c r="AD267" s="544" t="str">
        <f>IF(VLOOKUP($E$267,[1]DATA_A11!$A$2:$FA$200, 29, FALSE)="",":",VLOOKUP($E$267,[1]DATA_A11!$A$2:$FA$200, 29, FALSE))</f>
        <v>:</v>
      </c>
      <c r="AE267" s="544" t="str">
        <f>IF(VLOOKUP($E$267,[1]DATA_A11!$A$2:$FA$200, 30, FALSE)="",":",VLOOKUP($E$267,[1]DATA_A11!$A$2:$FA$200, 30, FALSE))</f>
        <v>:</v>
      </c>
      <c r="AF267" s="544" t="str">
        <f>IF(VLOOKUP($E$267,[1]DATA_A11!$A$2:$FA$200, 31, FALSE)="",":",VLOOKUP($E$267,[1]DATA_A11!$A$2:$FA$200, 31, FALSE))</f>
        <v>:</v>
      </c>
    </row>
    <row r="268" spans="1:32">
      <c r="A268" s="847">
        <v>136</v>
      </c>
      <c r="B268" s="534" t="s">
        <v>884</v>
      </c>
      <c r="C268" s="535" t="s">
        <v>892</v>
      </c>
      <c r="D268" s="12" t="s">
        <v>879</v>
      </c>
      <c r="E268" s="13">
        <v>2920</v>
      </c>
      <c r="F268" s="14" t="str">
        <f>VLOOKUP($E$268,[1]DATA_A11!$A$2:$FA$300, 3, FALSE)</f>
        <v>2920 GDP (EDP-notification)</v>
      </c>
      <c r="G268" s="544">
        <f>IF(VLOOKUP($E$268,[1]DATA_A11!$A$2:$FA$300, 6, FALSE)="",":",VLOOKUP($E$268,[1]DATA_A11!$A$2:$FA$300, 6, FALSE))</f>
        <v>7797.8741890639485</v>
      </c>
      <c r="H268" s="544">
        <f>IF(VLOOKUP($E$268,[1]DATA_A11!$A$2:$FA$300, 7, FALSE)="",":",VLOOKUP($E$268,[1]DATA_A11!$A$2:$FA$300, 7, FALSE))</f>
        <v>9762.0481927710844</v>
      </c>
      <c r="I268" s="544">
        <f>IF(VLOOKUP($E$268,[1]DATA_A11!$A$2:$FA$300, 8, FALSE)="",":",VLOOKUP($E$268,[1]DATA_A11!$A$2:$FA$300, 8, FALSE))</f>
        <v>11733.926088971271</v>
      </c>
      <c r="J268" s="544">
        <f>IF(VLOOKUP($E$268,[1]DATA_A11!$A$2:$FA$300, 9, FALSE)="",":",VLOOKUP($E$268,[1]DATA_A11!$A$2:$FA$300, 9, FALSE))</f>
        <v>13037.59267840593</v>
      </c>
      <c r="K268" s="544">
        <f>IF(VLOOKUP($E$268,[1]DATA_A11!$A$2:$FA$300, 10, FALSE)="",":",VLOOKUP($E$268,[1]DATA_A11!$A$2:$FA$300, 10, FALSE))</f>
        <v>12710.090361445784</v>
      </c>
      <c r="L268" s="544">
        <f>IF(VLOOKUP($E$268,[1]DATA_A11!$A$2:$FA$300, 11, FALSE)="",":",VLOOKUP($E$268,[1]DATA_A11!$A$2:$FA$300, 11, FALSE))</f>
        <v>13323.244902687675</v>
      </c>
      <c r="M268" s="544">
        <f>IF(VLOOKUP($E$268,[1]DATA_A11!$A$2:$FA$300, 12, FALSE)="",":",VLOOKUP($E$268,[1]DATA_A11!$A$2:$FA$300, 12, FALSE))</f>
        <v>14156.481696014829</v>
      </c>
      <c r="N268" s="544">
        <f>IF(VLOOKUP($E$268,[1]DATA_A11!$A$2:$FA$300, 13, FALSE)="",":",VLOOKUP($E$268,[1]DATA_A11!$A$2:$FA$300, 13, FALSE))</f>
        <v>15161.897590361446</v>
      </c>
      <c r="O268" s="544">
        <f>IF(VLOOKUP($E$268,[1]DATA_A11!$A$2:$FA$300, 14, FALSE)="",":",VLOOKUP($E$268,[1]DATA_A11!$A$2:$FA$300, 14, FALSE))</f>
        <v>16575.648748841522</v>
      </c>
      <c r="P268" s="544">
        <f>IF(VLOOKUP($E$268,[1]DATA_A11!$A$2:$FA$300, 15, FALSE)="",":",VLOOKUP($E$268,[1]DATA_A11!$A$2:$FA$300, 15, FALSE))</f>
        <v>18245.308155699724</v>
      </c>
      <c r="Q268" s="544">
        <f>IF(VLOOKUP($E$268,[1]DATA_A11!$A$2:$FA$300, 16, FALSE)="",":",VLOOKUP($E$268,[1]DATA_A11!$A$2:$FA$300, 16, FALSE))</f>
        <v>21002.400000000001</v>
      </c>
      <c r="R268" s="544">
        <f>IF(VLOOKUP($E$268,[1]DATA_A11!$A$2:$FA$300, 17, FALSE)="",":",VLOOKUP($E$268,[1]DATA_A11!$A$2:$FA$300, 17, FALSE))</f>
        <v>24079.200000000001</v>
      </c>
      <c r="S268" s="544">
        <f>IF(VLOOKUP($E$268,[1]DATA_A11!$A$2:$FA$300, 18, FALSE)="",":",VLOOKUP($E$268,[1]DATA_A11!$A$2:$FA$300, 18, FALSE))</f>
        <v>29040.7</v>
      </c>
      <c r="T268" s="544">
        <f>IF(VLOOKUP($E$268,[1]DATA_A11!$A$2:$FA$300, 19, FALSE)="",":",VLOOKUP($E$268,[1]DATA_A11!$A$2:$FA$300, 19, FALSE))</f>
        <v>32696.3</v>
      </c>
      <c r="U268" s="544">
        <f>IF(VLOOKUP($E$268,[1]DATA_A11!$A$2:$FA$300, 20, FALSE)="",":",VLOOKUP($E$268,[1]DATA_A11!$A$2:$FA$300, 20, FALSE))</f>
        <v>26934.799999999999</v>
      </c>
      <c r="V268" s="544">
        <f>IF(VLOOKUP($E$268,[1]DATA_A11!$A$2:$FA$300, 21, FALSE)="",":",VLOOKUP($E$268,[1]DATA_A11!$A$2:$FA$300, 21, FALSE))</f>
        <v>28027.7</v>
      </c>
      <c r="W268" s="544">
        <f>IF(VLOOKUP($E$268,[1]DATA_A11!$A$2:$FA$300, 22, FALSE)="",":",VLOOKUP($E$268,[1]DATA_A11!$A$2:$FA$300, 22, FALSE))</f>
        <v>31275.3</v>
      </c>
      <c r="X268" s="544">
        <f>IF(VLOOKUP($E$268,[1]DATA_A11!$A$2:$FA$300, 23, FALSE)="",":",VLOOKUP($E$268,[1]DATA_A11!$A$2:$FA$300, 23, FALSE))</f>
        <v>33348.5</v>
      </c>
      <c r="Y268" s="544">
        <f>IF(VLOOKUP($E$268,[1]DATA_A11!$A$2:$FA$300, 24, FALSE)="",":",VLOOKUP($E$268,[1]DATA_A11!$A$2:$FA$300, 24, FALSE))</f>
        <v>34959.599999999999</v>
      </c>
      <c r="Z268" s="544">
        <f>IF(VLOOKUP($E$268,[1]DATA_A11!$A$2:$FA$300, 25, FALSE)="",":",VLOOKUP($E$268,[1]DATA_A11!$A$2:$FA$300, 25, FALSE))</f>
        <v>36568.300000000003</v>
      </c>
      <c r="AA268" s="544">
        <f>IF(VLOOKUP($E$268,[1]DATA_A11!$A$2:$FA$300, 26, FALSE)="",":",VLOOKUP($E$268,[1]DATA_A11!$A$2:$FA$300, 26, FALSE))</f>
        <v>37426.6</v>
      </c>
      <c r="AB268" s="544">
        <f>IF(VLOOKUP($E$268,[1]DATA_A11!$A$2:$FA$300, 27, FALSE)="",":",VLOOKUP($E$268,[1]DATA_A11!$A$2:$FA$300, 27, FALSE))</f>
        <v>38668.300000000003</v>
      </c>
      <c r="AC268" s="544" t="str">
        <f>IF(VLOOKUP($E$268,[1]DATA_A11!$A$2:$FA$300, 28, FALSE)="",":",VLOOKUP($E$268,[1]DATA_A11!$A$2:$FA$300, 28, FALSE))</f>
        <v>n.a.</v>
      </c>
      <c r="AD268" s="544" t="str">
        <f>IF(VLOOKUP($E$268,[1]DATA_A11!$A$2:$FA$300, 29, FALSE)="",":",VLOOKUP($E$268,[1]DATA_A11!$A$2:$FA$300, 29, FALSE))</f>
        <v>:</v>
      </c>
      <c r="AE268" s="544" t="str">
        <f>IF(VLOOKUP($E$268,[1]DATA_A11!$A$2:$FA$300, 30, FALSE)="",":",VLOOKUP($E$268,[1]DATA_A11!$A$2:$FA$300, 30, FALSE))</f>
        <v>:</v>
      </c>
      <c r="AF268" s="544" t="str">
        <f>IF(VLOOKUP($E$268,[1]DATA_A11!$A$2:$FA$300, 31, FALSE)="",":",VLOOKUP($E$268,[1]DATA_A11!$A$2:$FA$300, 31, FALSE))</f>
        <v>:</v>
      </c>
    </row>
    <row r="269" spans="1:32">
      <c r="A269" s="533"/>
      <c r="B269" s="534"/>
      <c r="C269" s="535"/>
      <c r="D269" s="12"/>
      <c r="E269" s="13"/>
      <c r="F269" s="14"/>
      <c r="G269" s="544"/>
      <c r="H269" s="544"/>
      <c r="I269" s="544"/>
      <c r="J269" s="544"/>
      <c r="K269" s="544"/>
      <c r="L269" s="544"/>
      <c r="M269" s="544"/>
      <c r="N269" s="544"/>
      <c r="O269" s="544"/>
      <c r="P269" s="544"/>
      <c r="Q269" s="544"/>
      <c r="R269" s="544"/>
      <c r="S269" s="544"/>
      <c r="T269" s="544"/>
      <c r="U269" s="544"/>
      <c r="V269" s="544"/>
      <c r="W269" s="544"/>
      <c r="X269" s="544"/>
      <c r="Y269" s="544"/>
      <c r="Z269" s="544"/>
      <c r="AA269" s="544"/>
      <c r="AB269" s="544"/>
      <c r="AC269" s="544"/>
      <c r="AD269" s="544"/>
      <c r="AE269" s="544"/>
      <c r="AF269" s="544"/>
    </row>
    <row r="270" spans="1:32">
      <c r="A270" s="533"/>
      <c r="B270" s="534" t="s">
        <v>1422</v>
      </c>
      <c r="C270" s="535"/>
      <c r="D270" s="12" t="s">
        <v>879</v>
      </c>
      <c r="E270" s="13">
        <v>2351</v>
      </c>
      <c r="F270" s="14" t="str">
        <f>VLOOKUP($E$270,[1]DATA_A11!$A$2:$FA$195, 3, FALSE)</f>
        <v>2301 HICP Non-energy industrial goods - weight</v>
      </c>
      <c r="G270" s="544" t="str">
        <f>IF(VLOOKUP($E$270,[1]DATA_A11!$A$2:$FA$195, 6, FALSE)="",":",VLOOKUP($E$270,[1]DATA_A11!$A$2:$FA$195, 6, FALSE))</f>
        <v>:</v>
      </c>
      <c r="H270" s="544">
        <f>IF(VLOOKUP($E$270,[1]DATA_A11!$A$2:$FA$195, 7, FALSE)="",":",VLOOKUP($E$270,[1]DATA_A11!$A$2:$FA$195, 7, FALSE))</f>
        <v>201.94000000000003</v>
      </c>
      <c r="I270" s="544">
        <f>IF(VLOOKUP($E$270,[1]DATA_A11!$A$2:$FA$195, 8, FALSE)="",":",VLOOKUP($E$270,[1]DATA_A11!$A$2:$FA$195, 8, FALSE))</f>
        <v>206.91000000000003</v>
      </c>
      <c r="J270" s="544">
        <f>IF(VLOOKUP($E$270,[1]DATA_A11!$A$2:$FA$195, 9, FALSE)="",":",VLOOKUP($E$270,[1]DATA_A11!$A$2:$FA$195, 9, FALSE))</f>
        <v>202.31</v>
      </c>
      <c r="K270" s="544">
        <f>IF(VLOOKUP($E$270,[1]DATA_A11!$A$2:$FA$195, 10, FALSE)="",":",VLOOKUP($E$270,[1]DATA_A11!$A$2:$FA$195, 10, FALSE))</f>
        <v>253.32</v>
      </c>
      <c r="L270" s="544">
        <f>IF(VLOOKUP($E$270,[1]DATA_A11!$A$2:$FA$195, 11, FALSE)="",":",VLOOKUP($E$270,[1]DATA_A11!$A$2:$FA$195, 11, FALSE))</f>
        <v>256.58999999999997</v>
      </c>
      <c r="M270" s="544">
        <f>IF(VLOOKUP($E$270,[1]DATA_A11!$A$2:$FA$195, 12, FALSE)="",":",VLOOKUP($E$270,[1]DATA_A11!$A$2:$FA$195, 12, FALSE))</f>
        <v>233.14</v>
      </c>
      <c r="N270" s="544">
        <f>IF(VLOOKUP($E$270,[1]DATA_A11!$A$2:$FA$195, 13, FALSE)="",":",VLOOKUP($E$270,[1]DATA_A11!$A$2:$FA$195, 13, FALSE))</f>
        <v>246.14000000000001</v>
      </c>
      <c r="O270" s="544">
        <f>IF(VLOOKUP($E$270,[1]DATA_A11!$A$2:$FA$195, 14, FALSE)="",":",VLOOKUP($E$270,[1]DATA_A11!$A$2:$FA$195, 14, FALSE))</f>
        <v>244.02</v>
      </c>
      <c r="P270" s="544">
        <f>IF(VLOOKUP($E$270,[1]DATA_A11!$A$2:$FA$195, 15, FALSE)="",":",VLOOKUP($E$270,[1]DATA_A11!$A$2:$FA$195, 15, FALSE))</f>
        <v>257.04000000000002</v>
      </c>
      <c r="Q270" s="544">
        <f>IF(VLOOKUP($E$270,[1]DATA_A11!$A$2:$FA$195, 16, FALSE)="",":",VLOOKUP($E$270,[1]DATA_A11!$A$2:$FA$195, 16, FALSE))</f>
        <v>271.23</v>
      </c>
      <c r="R270" s="544">
        <f>IF(VLOOKUP($E$270,[1]DATA_A11!$A$2:$FA$195, 17, FALSE)="",":",VLOOKUP($E$270,[1]DATA_A11!$A$2:$FA$195, 17, FALSE))</f>
        <v>271.83999999999997</v>
      </c>
      <c r="S270" s="544">
        <f>IF(VLOOKUP($E$270,[1]DATA_A11!$A$2:$FA$195, 18, FALSE)="",":",VLOOKUP($E$270,[1]DATA_A11!$A$2:$FA$195, 18, FALSE))</f>
        <v>287.05</v>
      </c>
      <c r="T270" s="544">
        <f>IF(VLOOKUP($E$270,[1]DATA_A11!$A$2:$FA$195, 19, FALSE)="",":",VLOOKUP($E$270,[1]DATA_A11!$A$2:$FA$195, 19, FALSE))</f>
        <v>289.37</v>
      </c>
      <c r="U270" s="544">
        <f>IF(VLOOKUP($E$270,[1]DATA_A11!$A$2:$FA$195, 20, FALSE)="",":",VLOOKUP($E$270,[1]DATA_A11!$A$2:$FA$195, 20, FALSE))</f>
        <v>292.51</v>
      </c>
      <c r="V270" s="544">
        <f>IF(VLOOKUP($E$270,[1]DATA_A11!$A$2:$FA$195, 21, FALSE)="",":",VLOOKUP($E$270,[1]DATA_A11!$A$2:$FA$195, 21, FALSE))</f>
        <v>266.68</v>
      </c>
      <c r="W270" s="544">
        <f>IF(VLOOKUP($E$270,[1]DATA_A11!$A$2:$FA$195, 22, FALSE)="",":",VLOOKUP($E$270,[1]DATA_A11!$A$2:$FA$195, 22, FALSE))</f>
        <v>252.33000000000004</v>
      </c>
      <c r="X270" s="544">
        <f>IF(VLOOKUP($E$270,[1]DATA_A11!$A$2:$FA$195, 23, FALSE)="",":",VLOOKUP($E$270,[1]DATA_A11!$A$2:$FA$195, 23, FALSE))</f>
        <v>243.38</v>
      </c>
      <c r="Y270" s="544">
        <f>IF(VLOOKUP($E$270,[1]DATA_A11!$A$2:$FA$195, 24, FALSE)="",":",VLOOKUP($E$270,[1]DATA_A11!$A$2:$FA$195, 24, FALSE))</f>
        <v>238.83000000000004</v>
      </c>
      <c r="Z270" s="544">
        <f>IF(VLOOKUP($E$270,[1]DATA_A11!$A$2:$FA$195, 25, FALSE)="",":",VLOOKUP($E$270,[1]DATA_A11!$A$2:$FA$195, 25, FALSE))</f>
        <v>300.89999999999998</v>
      </c>
      <c r="AA270" s="544">
        <f>IF(VLOOKUP($E$270,[1]DATA_A11!$A$2:$FA$195, 26, FALSE)="",":",VLOOKUP($E$270,[1]DATA_A11!$A$2:$FA$195, 26, FALSE))</f>
        <v>321.58999999999997</v>
      </c>
      <c r="AB270" s="544">
        <f>IF(VLOOKUP($E$270,[1]DATA_A11!$A$2:$FA$195, 27, FALSE)="",":",VLOOKUP($E$270,[1]DATA_A11!$A$2:$FA$195, 27, FALSE))</f>
        <v>336.99000000000007</v>
      </c>
      <c r="AC270" s="544">
        <f>IF(VLOOKUP($E$270,[1]DATA_A11!$A$2:$FA$195, 28, FALSE)="",":",VLOOKUP($E$270,[1]DATA_A11!$A$2:$FA$195, 28, FALSE))</f>
        <v>324.63</v>
      </c>
      <c r="AD270" s="544" t="str">
        <f>IF(VLOOKUP($E$270,[1]DATA_A11!$A$2:$FA$195, 29, FALSE)="",":",VLOOKUP($E$270,[1]DATA_A11!$A$2:$FA$195, 29, FALSE))</f>
        <v>:</v>
      </c>
      <c r="AE270" s="544" t="str">
        <f>IF(VLOOKUP($E$270,[1]DATA_A11!$A$2:$FA$195, 30, FALSE)="",":",VLOOKUP($E$270,[1]DATA_A11!$A$2:$FA$195, 30, FALSE))</f>
        <v>:</v>
      </c>
      <c r="AF270" s="544" t="str">
        <f>IF(VLOOKUP($E$270,[1]DATA_A11!$A$2:$FA$195, 31, FALSE)="",":",VLOOKUP($E$270,[1]DATA_A11!$A$2:$FA$195, 31, FALSE))</f>
        <v>:</v>
      </c>
    </row>
    <row r="271" spans="1:32">
      <c r="A271" s="533"/>
      <c r="B271" s="534" t="s">
        <v>1423</v>
      </c>
      <c r="C271" s="535"/>
      <c r="D271" s="12" t="s">
        <v>879</v>
      </c>
      <c r="E271" s="13">
        <v>2352</v>
      </c>
      <c r="F271" s="14" t="str">
        <f>VLOOKUP($E$271,[1]DATA_A11!$A$2:$FA$195, 3, FALSE)</f>
        <v>2302 HICP Energy - weight</v>
      </c>
      <c r="G271" s="544" t="str">
        <f>IF(VLOOKUP($E$271,[1]DATA_A11!$A$2:$FA$195, 6, FALSE)="",":",VLOOKUP($E$271,[1]DATA_A11!$A$2:$FA$195, 6, FALSE))</f>
        <v>:</v>
      </c>
      <c r="H271" s="544">
        <f>IF(VLOOKUP($E$271,[1]DATA_A11!$A$2:$FA$195, 7, FALSE)="",":",VLOOKUP($E$271,[1]DATA_A11!$A$2:$FA$195, 7, FALSE))</f>
        <v>116.59</v>
      </c>
      <c r="I271" s="544">
        <f>IF(VLOOKUP($E$271,[1]DATA_A11!$A$2:$FA$195, 8, FALSE)="",":",VLOOKUP($E$271,[1]DATA_A11!$A$2:$FA$195, 8, FALSE))</f>
        <v>144.16999999999999</v>
      </c>
      <c r="J271" s="544">
        <f>IF(VLOOKUP($E$271,[1]DATA_A11!$A$2:$FA$195, 9, FALSE)="",":",VLOOKUP($E$271,[1]DATA_A11!$A$2:$FA$195, 9, FALSE))</f>
        <v>162.15</v>
      </c>
      <c r="K271" s="544">
        <f>IF(VLOOKUP($E$271,[1]DATA_A11!$A$2:$FA$195, 10, FALSE)="",":",VLOOKUP($E$271,[1]DATA_A11!$A$2:$FA$195, 10, FALSE))</f>
        <v>131.61000000000001</v>
      </c>
      <c r="L271" s="544">
        <f>IF(VLOOKUP($E$271,[1]DATA_A11!$A$2:$FA$195, 11, FALSE)="",":",VLOOKUP($E$271,[1]DATA_A11!$A$2:$FA$195, 11, FALSE))</f>
        <v>150.61000000000001</v>
      </c>
      <c r="M271" s="544">
        <f>IF(VLOOKUP($E$271,[1]DATA_A11!$A$2:$FA$195, 12, FALSE)="",":",VLOOKUP($E$271,[1]DATA_A11!$A$2:$FA$195, 12, FALSE))</f>
        <v>156.51</v>
      </c>
      <c r="N271" s="544">
        <f>IF(VLOOKUP($E$271,[1]DATA_A11!$A$2:$FA$195, 13, FALSE)="",":",VLOOKUP($E$271,[1]DATA_A11!$A$2:$FA$195, 13, FALSE))</f>
        <v>130.04</v>
      </c>
      <c r="O271" s="544">
        <f>IF(VLOOKUP($E$271,[1]DATA_A11!$A$2:$FA$195, 14, FALSE)="",":",VLOOKUP($E$271,[1]DATA_A11!$A$2:$FA$195, 14, FALSE))</f>
        <v>144.53</v>
      </c>
      <c r="P271" s="544">
        <f>IF(VLOOKUP($E$271,[1]DATA_A11!$A$2:$FA$195, 15, FALSE)="",":",VLOOKUP($E$271,[1]DATA_A11!$A$2:$FA$195, 15, FALSE))</f>
        <v>139.24</v>
      </c>
      <c r="Q271" s="544">
        <f>IF(VLOOKUP($E$271,[1]DATA_A11!$A$2:$FA$195, 16, FALSE)="",":",VLOOKUP($E$271,[1]DATA_A11!$A$2:$FA$195, 16, FALSE))</f>
        <v>130.71</v>
      </c>
      <c r="R271" s="544">
        <f>IF(VLOOKUP($E$271,[1]DATA_A11!$A$2:$FA$195, 17, FALSE)="",":",VLOOKUP($E$271,[1]DATA_A11!$A$2:$FA$195, 17, FALSE))</f>
        <v>131.59</v>
      </c>
      <c r="S271" s="544">
        <f>IF(VLOOKUP($E$271,[1]DATA_A11!$A$2:$FA$195, 18, FALSE)="",":",VLOOKUP($E$271,[1]DATA_A11!$A$2:$FA$195, 18, FALSE))</f>
        <v>133.38</v>
      </c>
      <c r="T271" s="544">
        <f>IF(VLOOKUP($E$271,[1]DATA_A11!$A$2:$FA$195, 19, FALSE)="",":",VLOOKUP($E$271,[1]DATA_A11!$A$2:$FA$195, 19, FALSE))</f>
        <v>133.54</v>
      </c>
      <c r="U271" s="544">
        <f>IF(VLOOKUP($E$271,[1]DATA_A11!$A$2:$FA$195, 20, FALSE)="",":",VLOOKUP($E$271,[1]DATA_A11!$A$2:$FA$195, 20, FALSE))</f>
        <v>125.36000000000001</v>
      </c>
      <c r="V271" s="544">
        <f>IF(VLOOKUP($E$271,[1]DATA_A11!$A$2:$FA$195, 21, FALSE)="",":",VLOOKUP($E$271,[1]DATA_A11!$A$2:$FA$195, 21, FALSE))</f>
        <v>136.25</v>
      </c>
      <c r="W271" s="544">
        <f>IF(VLOOKUP($E$271,[1]DATA_A11!$A$2:$FA$195, 22, FALSE)="",":",VLOOKUP($E$271,[1]DATA_A11!$A$2:$FA$195, 22, FALSE))</f>
        <v>153.46</v>
      </c>
      <c r="X271" s="544">
        <f>IF(VLOOKUP($E$271,[1]DATA_A11!$A$2:$FA$195, 23, FALSE)="",":",VLOOKUP($E$271,[1]DATA_A11!$A$2:$FA$195, 23, FALSE))</f>
        <v>163.93</v>
      </c>
      <c r="Y271" s="544">
        <f>IF(VLOOKUP($E$271,[1]DATA_A11!$A$2:$FA$195, 24, FALSE)="",":",VLOOKUP($E$271,[1]DATA_A11!$A$2:$FA$195, 24, FALSE))</f>
        <v>168.38</v>
      </c>
      <c r="Z271" s="544">
        <f>IF(VLOOKUP($E$271,[1]DATA_A11!$A$2:$FA$195, 25, FALSE)="",":",VLOOKUP($E$271,[1]DATA_A11!$A$2:$FA$195, 25, FALSE))</f>
        <v>142.51</v>
      </c>
      <c r="AA271" s="544">
        <f>IF(VLOOKUP($E$271,[1]DATA_A11!$A$2:$FA$195, 26, FALSE)="",":",VLOOKUP($E$271,[1]DATA_A11!$A$2:$FA$195, 26, FALSE))</f>
        <v>136.01</v>
      </c>
      <c r="AB271" s="544">
        <f>IF(VLOOKUP($E$271,[1]DATA_A11!$A$2:$FA$195, 27, FALSE)="",":",VLOOKUP($E$271,[1]DATA_A11!$A$2:$FA$195, 27, FALSE))</f>
        <v>117.86000000000001</v>
      </c>
      <c r="AC271" s="544">
        <f>IF(VLOOKUP($E$271,[1]DATA_A11!$A$2:$FA$195, 28, FALSE)="",":",VLOOKUP($E$271,[1]DATA_A11!$A$2:$FA$195, 28, FALSE))</f>
        <v>120.19</v>
      </c>
      <c r="AD271" s="544" t="str">
        <f>IF(VLOOKUP($E$271,[1]DATA_A11!$A$2:$FA$195, 29, FALSE)="",":",VLOOKUP($E$271,[1]DATA_A11!$A$2:$FA$195, 29, FALSE))</f>
        <v>:</v>
      </c>
      <c r="AE271" s="544" t="str">
        <f>IF(VLOOKUP($E$271,[1]DATA_A11!$A$2:$FA$195, 30, FALSE)="",":",VLOOKUP($E$271,[1]DATA_A11!$A$2:$FA$195, 30, FALSE))</f>
        <v>:</v>
      </c>
      <c r="AF271" s="544" t="str">
        <f>IF(VLOOKUP($E$271,[1]DATA_A11!$A$2:$FA$195, 31, FALSE)="",":",VLOOKUP($E$271,[1]DATA_A11!$A$2:$FA$195, 31, FALSE))</f>
        <v>:</v>
      </c>
    </row>
    <row r="272" spans="1:32">
      <c r="A272" s="533"/>
      <c r="B272" s="534" t="s">
        <v>1424</v>
      </c>
      <c r="C272" s="535"/>
      <c r="D272" s="12" t="s">
        <v>879</v>
      </c>
      <c r="E272" s="13">
        <v>2353</v>
      </c>
      <c r="F272" s="14" t="str">
        <f>VLOOKUP($E$272,[1]DATA_A11!$A$2:$FA$195, 3, FALSE)</f>
        <v>2303 HICP Unprocessed food - weight</v>
      </c>
      <c r="G272" s="544" t="str">
        <f>IF(VLOOKUP($E$272,[1]DATA_A11!$A$2:$FA$195, 6, FALSE)="",":",VLOOKUP($E$272,[1]DATA_A11!$A$2:$FA$195, 6, FALSE))</f>
        <v>:</v>
      </c>
      <c r="H272" s="544">
        <f>IF(VLOOKUP($E$272,[1]DATA_A11!$A$2:$FA$195, 7, FALSE)="",":",VLOOKUP($E$272,[1]DATA_A11!$A$2:$FA$195, 7, FALSE))</f>
        <v>248.77000000000004</v>
      </c>
      <c r="I272" s="544">
        <f>IF(VLOOKUP($E$272,[1]DATA_A11!$A$2:$FA$195, 8, FALSE)="",":",VLOOKUP($E$272,[1]DATA_A11!$A$2:$FA$195, 8, FALSE))</f>
        <v>192.56</v>
      </c>
      <c r="J272" s="544">
        <f>IF(VLOOKUP($E$272,[1]DATA_A11!$A$2:$FA$195, 9, FALSE)="",":",VLOOKUP($E$272,[1]DATA_A11!$A$2:$FA$195, 9, FALSE))</f>
        <v>180.19000000000003</v>
      </c>
      <c r="K272" s="544">
        <f>IF(VLOOKUP($E$272,[1]DATA_A11!$A$2:$FA$195, 10, FALSE)="",":",VLOOKUP($E$272,[1]DATA_A11!$A$2:$FA$195, 10, FALSE))</f>
        <v>174.74</v>
      </c>
      <c r="L272" s="544">
        <f>IF(VLOOKUP($E$272,[1]DATA_A11!$A$2:$FA$195, 11, FALSE)="",":",VLOOKUP($E$272,[1]DATA_A11!$A$2:$FA$195, 11, FALSE))</f>
        <v>165.14</v>
      </c>
      <c r="M272" s="544">
        <f>IF(VLOOKUP($E$272,[1]DATA_A11!$A$2:$FA$195, 12, FALSE)="",":",VLOOKUP($E$272,[1]DATA_A11!$A$2:$FA$195, 12, FALSE))</f>
        <v>163.66</v>
      </c>
      <c r="N272" s="544">
        <f>IF(VLOOKUP($E$272,[1]DATA_A11!$A$2:$FA$195, 13, FALSE)="",":",VLOOKUP($E$272,[1]DATA_A11!$A$2:$FA$195, 13, FALSE))</f>
        <v>152.71</v>
      </c>
      <c r="O272" s="544">
        <f>IF(VLOOKUP($E$272,[1]DATA_A11!$A$2:$FA$195, 14, FALSE)="",":",VLOOKUP($E$272,[1]DATA_A11!$A$2:$FA$195, 14, FALSE))</f>
        <v>130.96</v>
      </c>
      <c r="P272" s="544">
        <f>IF(VLOOKUP($E$272,[1]DATA_A11!$A$2:$FA$195, 15, FALSE)="",":",VLOOKUP($E$272,[1]DATA_A11!$A$2:$FA$195, 15, FALSE))</f>
        <v>121.5</v>
      </c>
      <c r="Q272" s="544">
        <f>IF(VLOOKUP($E$272,[1]DATA_A11!$A$2:$FA$195, 16, FALSE)="",":",VLOOKUP($E$272,[1]DATA_A11!$A$2:$FA$195, 16, FALSE))</f>
        <v>120.35</v>
      </c>
      <c r="R272" s="544">
        <f>IF(VLOOKUP($E$272,[1]DATA_A11!$A$2:$FA$195, 17, FALSE)="",":",VLOOKUP($E$272,[1]DATA_A11!$A$2:$FA$195, 17, FALSE))</f>
        <v>120.72000000000001</v>
      </c>
      <c r="S272" s="544">
        <f>IF(VLOOKUP($E$272,[1]DATA_A11!$A$2:$FA$195, 18, FALSE)="",":",VLOOKUP($E$272,[1]DATA_A11!$A$2:$FA$195, 18, FALSE))</f>
        <v>112.88</v>
      </c>
      <c r="T272" s="544">
        <f>IF(VLOOKUP($E$272,[1]DATA_A11!$A$2:$FA$195, 19, FALSE)="",":",VLOOKUP($E$272,[1]DATA_A11!$A$2:$FA$195, 19, FALSE))</f>
        <v>110.28</v>
      </c>
      <c r="U272" s="544">
        <f>IF(VLOOKUP($E$272,[1]DATA_A11!$A$2:$FA$195, 20, FALSE)="",":",VLOOKUP($E$272,[1]DATA_A11!$A$2:$FA$195, 20, FALSE))</f>
        <v>115.75000000000001</v>
      </c>
      <c r="V272" s="544">
        <f>IF(VLOOKUP($E$272,[1]DATA_A11!$A$2:$FA$195, 21, FALSE)="",":",VLOOKUP($E$272,[1]DATA_A11!$A$2:$FA$195, 21, FALSE))</f>
        <v>113.57</v>
      </c>
      <c r="W272" s="544">
        <f>IF(VLOOKUP($E$272,[1]DATA_A11!$A$2:$FA$195, 22, FALSE)="",":",VLOOKUP($E$272,[1]DATA_A11!$A$2:$FA$195, 22, FALSE))</f>
        <v>114.47000000000001</v>
      </c>
      <c r="X272" s="544">
        <f>IF(VLOOKUP($E$272,[1]DATA_A11!$A$2:$FA$195, 23, FALSE)="",":",VLOOKUP($E$272,[1]DATA_A11!$A$2:$FA$195, 23, FALSE))</f>
        <v>111.19</v>
      </c>
      <c r="Y272" s="544">
        <f>IF(VLOOKUP($E$272,[1]DATA_A11!$A$2:$FA$195, 24, FALSE)="",":",VLOOKUP($E$272,[1]DATA_A11!$A$2:$FA$195, 24, FALSE))</f>
        <v>111.46000000000001</v>
      </c>
      <c r="Z272" s="544">
        <f>IF(VLOOKUP($E$272,[1]DATA_A11!$A$2:$FA$195, 25, FALSE)="",":",VLOOKUP($E$272,[1]DATA_A11!$A$2:$FA$195, 25, FALSE))</f>
        <v>103.11</v>
      </c>
      <c r="AA272" s="544">
        <f>IF(VLOOKUP($E$272,[1]DATA_A11!$A$2:$FA$195, 26, FALSE)="",":",VLOOKUP($E$272,[1]DATA_A11!$A$2:$FA$195, 26, FALSE))</f>
        <v>95.65</v>
      </c>
      <c r="AB272" s="544">
        <f>IF(VLOOKUP($E$272,[1]DATA_A11!$A$2:$FA$195, 27, FALSE)="",":",VLOOKUP($E$272,[1]DATA_A11!$A$2:$FA$195, 27, FALSE))</f>
        <v>92.19</v>
      </c>
      <c r="AC272" s="544">
        <f>IF(VLOOKUP($E$272,[1]DATA_A11!$A$2:$FA$195, 28, FALSE)="",":",VLOOKUP($E$272,[1]DATA_A11!$A$2:$FA$195, 28, FALSE))</f>
        <v>80.97</v>
      </c>
      <c r="AD272" s="544" t="str">
        <f>IF(VLOOKUP($E$272,[1]DATA_A11!$A$2:$FA$195, 29, FALSE)="",":",VLOOKUP($E$272,[1]DATA_A11!$A$2:$FA$195, 29, FALSE))</f>
        <v>:</v>
      </c>
      <c r="AE272" s="544" t="str">
        <f>IF(VLOOKUP($E$272,[1]DATA_A11!$A$2:$FA$195, 30, FALSE)="",":",VLOOKUP($E$272,[1]DATA_A11!$A$2:$FA$195, 30, FALSE))</f>
        <v>:</v>
      </c>
      <c r="AF272" s="544" t="str">
        <f>IF(VLOOKUP($E$272,[1]DATA_A11!$A$2:$FA$195, 31, FALSE)="",":",VLOOKUP($E$272,[1]DATA_A11!$A$2:$FA$195, 31, FALSE))</f>
        <v>:</v>
      </c>
    </row>
    <row r="273" spans="1:32">
      <c r="A273" s="533"/>
      <c r="B273" s="534" t="s">
        <v>1425</v>
      </c>
      <c r="C273" s="535"/>
      <c r="D273" s="12" t="s">
        <v>879</v>
      </c>
      <c r="E273" s="13">
        <v>2354</v>
      </c>
      <c r="F273" s="14" t="str">
        <f>VLOOKUP($E$273,[1]DATA_A11!$A$2:$FA$195, 3, FALSE)</f>
        <v>2304 HICP Processed food incl. alcohol and tobacco - weight</v>
      </c>
      <c r="G273" s="544" t="str">
        <f>IF(VLOOKUP($E$273,[1]DATA_A11!$A$2:$FA$195, 6, FALSE)="",":",VLOOKUP($E$273,[1]DATA_A11!$A$2:$FA$195, 6, FALSE))</f>
        <v>:</v>
      </c>
      <c r="H273" s="544">
        <f>IF(VLOOKUP($E$273,[1]DATA_A11!$A$2:$FA$195, 7, FALSE)="",":",VLOOKUP($E$273,[1]DATA_A11!$A$2:$FA$195, 7, FALSE))</f>
        <v>329.58</v>
      </c>
      <c r="I273" s="544">
        <f>IF(VLOOKUP($E$273,[1]DATA_A11!$A$2:$FA$195, 8, FALSE)="",":",VLOOKUP($E$273,[1]DATA_A11!$A$2:$FA$195, 8, FALSE))</f>
        <v>328.30000000000007</v>
      </c>
      <c r="J273" s="544">
        <f>IF(VLOOKUP($E$273,[1]DATA_A11!$A$2:$FA$195, 9, FALSE)="",":",VLOOKUP($E$273,[1]DATA_A11!$A$2:$FA$195, 9, FALSE))</f>
        <v>321.64</v>
      </c>
      <c r="K273" s="544">
        <f>IF(VLOOKUP($E$273,[1]DATA_A11!$A$2:$FA$195, 10, FALSE)="",":",VLOOKUP($E$273,[1]DATA_A11!$A$2:$FA$195, 10, FALSE))</f>
        <v>294.95</v>
      </c>
      <c r="L273" s="544">
        <f>IF(VLOOKUP($E$273,[1]DATA_A11!$A$2:$FA$195, 11, FALSE)="",":",VLOOKUP($E$273,[1]DATA_A11!$A$2:$FA$195, 11, FALSE))</f>
        <v>274.73</v>
      </c>
      <c r="M273" s="544">
        <f>IF(VLOOKUP($E$273,[1]DATA_A11!$A$2:$FA$195, 12, FALSE)="",":",VLOOKUP($E$273,[1]DATA_A11!$A$2:$FA$195, 12, FALSE))</f>
        <v>276.14999999999998</v>
      </c>
      <c r="N273" s="544">
        <f>IF(VLOOKUP($E$273,[1]DATA_A11!$A$2:$FA$195, 13, FALSE)="",":",VLOOKUP($E$273,[1]DATA_A11!$A$2:$FA$195, 13, FALSE))</f>
        <v>261.55</v>
      </c>
      <c r="O273" s="544">
        <f>IF(VLOOKUP($E$273,[1]DATA_A11!$A$2:$FA$195, 14, FALSE)="",":",VLOOKUP($E$273,[1]DATA_A11!$A$2:$FA$195, 14, FALSE))</f>
        <v>258.43000000000006</v>
      </c>
      <c r="P273" s="544">
        <f>IF(VLOOKUP($E$273,[1]DATA_A11!$A$2:$FA$195, 15, FALSE)="",":",VLOOKUP($E$273,[1]DATA_A11!$A$2:$FA$195, 15, FALSE))</f>
        <v>251.84</v>
      </c>
      <c r="Q273" s="544">
        <f>IF(VLOOKUP($E$273,[1]DATA_A11!$A$2:$FA$195, 16, FALSE)="",":",VLOOKUP($E$273,[1]DATA_A11!$A$2:$FA$195, 16, FALSE))</f>
        <v>236.39</v>
      </c>
      <c r="R273" s="544">
        <f>IF(VLOOKUP($E$273,[1]DATA_A11!$A$2:$FA$195, 17, FALSE)="",":",VLOOKUP($E$273,[1]DATA_A11!$A$2:$FA$195, 17, FALSE))</f>
        <v>224.20000000000002</v>
      </c>
      <c r="S273" s="544">
        <f>IF(VLOOKUP($E$273,[1]DATA_A11!$A$2:$FA$195, 18, FALSE)="",":",VLOOKUP($E$273,[1]DATA_A11!$A$2:$FA$195, 18, FALSE))</f>
        <v>221.72</v>
      </c>
      <c r="T273" s="544">
        <f>IF(VLOOKUP($E$273,[1]DATA_A11!$A$2:$FA$195, 19, FALSE)="",":",VLOOKUP($E$273,[1]DATA_A11!$A$2:$FA$195, 19, FALSE))</f>
        <v>215.87000000000003</v>
      </c>
      <c r="U273" s="544">
        <f>IF(VLOOKUP($E$273,[1]DATA_A11!$A$2:$FA$195, 20, FALSE)="",":",VLOOKUP($E$273,[1]DATA_A11!$A$2:$FA$195, 20, FALSE))</f>
        <v>213.01000000000002</v>
      </c>
      <c r="V273" s="544">
        <f>IF(VLOOKUP($E$273,[1]DATA_A11!$A$2:$FA$195, 21, FALSE)="",":",VLOOKUP($E$273,[1]DATA_A11!$A$2:$FA$195, 21, FALSE))</f>
        <v>223.05000000000004</v>
      </c>
      <c r="W273" s="544">
        <f>IF(VLOOKUP($E$273,[1]DATA_A11!$A$2:$FA$195, 22, FALSE)="",":",VLOOKUP($E$273,[1]DATA_A11!$A$2:$FA$195, 22, FALSE))</f>
        <v>232.45000000000002</v>
      </c>
      <c r="X273" s="544">
        <f>IF(VLOOKUP($E$273,[1]DATA_A11!$A$2:$FA$195, 23, FALSE)="",":",VLOOKUP($E$273,[1]DATA_A11!$A$2:$FA$195, 23, FALSE))</f>
        <v>233.29000000000002</v>
      </c>
      <c r="Y273" s="544">
        <f>IF(VLOOKUP($E$273,[1]DATA_A11!$A$2:$FA$195, 24, FALSE)="",":",VLOOKUP($E$273,[1]DATA_A11!$A$2:$FA$195, 24, FALSE))</f>
        <v>230.58000000000004</v>
      </c>
      <c r="Z273" s="544">
        <f>IF(VLOOKUP($E$273,[1]DATA_A11!$A$2:$FA$195, 25, FALSE)="",":",VLOOKUP($E$273,[1]DATA_A11!$A$2:$FA$195, 25, FALSE))</f>
        <v>219.38000000000002</v>
      </c>
      <c r="AA273" s="544">
        <f>IF(VLOOKUP($E$273,[1]DATA_A11!$A$2:$FA$195, 26, FALSE)="",":",VLOOKUP($E$273,[1]DATA_A11!$A$2:$FA$195, 26, FALSE))</f>
        <v>206.25</v>
      </c>
      <c r="AB273" s="544">
        <f>IF(VLOOKUP($E$273,[1]DATA_A11!$A$2:$FA$195, 27, FALSE)="",":",VLOOKUP($E$273,[1]DATA_A11!$A$2:$FA$195, 27, FALSE))</f>
        <v>208.15</v>
      </c>
      <c r="AC273" s="544">
        <f>IF(VLOOKUP($E$273,[1]DATA_A11!$A$2:$FA$195, 28, FALSE)="",":",VLOOKUP($E$273,[1]DATA_A11!$A$2:$FA$195, 28, FALSE))</f>
        <v>209.09000000000003</v>
      </c>
      <c r="AD273" s="544" t="str">
        <f>IF(VLOOKUP($E$273,[1]DATA_A11!$A$2:$FA$195, 29, FALSE)="",":",VLOOKUP($E$273,[1]DATA_A11!$A$2:$FA$195, 29, FALSE))</f>
        <v>:</v>
      </c>
      <c r="AE273" s="544" t="str">
        <f>IF(VLOOKUP($E$273,[1]DATA_A11!$A$2:$FA$195, 30, FALSE)="",":",VLOOKUP($E$273,[1]DATA_A11!$A$2:$FA$195, 30, FALSE))</f>
        <v>:</v>
      </c>
      <c r="AF273" s="544" t="str">
        <f>IF(VLOOKUP($E$273,[1]DATA_A11!$A$2:$FA$195, 31, FALSE)="",":",VLOOKUP($E$273,[1]DATA_A11!$A$2:$FA$195, 31, FALSE))</f>
        <v>:</v>
      </c>
    </row>
    <row r="274" spans="1:32">
      <c r="A274" s="533"/>
      <c r="B274" s="534" t="s">
        <v>1426</v>
      </c>
      <c r="C274" s="535"/>
      <c r="D274" s="12" t="s">
        <v>879</v>
      </c>
      <c r="E274" s="13">
        <v>2355</v>
      </c>
      <c r="F274" s="14" t="str">
        <f>VLOOKUP($E$274,[1]DATA_A11!$A$2:$FA$195, 3, FALSE)</f>
        <v>2305 HICP Services - weight</v>
      </c>
      <c r="G274" s="544" t="str">
        <f>IF(VLOOKUP($E$274,[1]DATA_A11!$A$2:$FA$195, 6, FALSE)="",":",VLOOKUP($E$274,[1]DATA_A11!$A$2:$FA$195, 6, FALSE))</f>
        <v>:</v>
      </c>
      <c r="H274" s="544">
        <f>IF(VLOOKUP($E$274,[1]DATA_A11!$A$2:$FA$195, 7, FALSE)="",":",VLOOKUP($E$274,[1]DATA_A11!$A$2:$FA$195, 7, FALSE))</f>
        <v>103.13000000000001</v>
      </c>
      <c r="I274" s="544">
        <f>IF(VLOOKUP($E$274,[1]DATA_A11!$A$2:$FA$195, 8, FALSE)="",":",VLOOKUP($E$274,[1]DATA_A11!$A$2:$FA$195, 8, FALSE))</f>
        <v>128.07</v>
      </c>
      <c r="J274" s="544">
        <f>IF(VLOOKUP($E$274,[1]DATA_A11!$A$2:$FA$195, 9, FALSE)="",":",VLOOKUP($E$274,[1]DATA_A11!$A$2:$FA$195, 9, FALSE))</f>
        <v>133.72</v>
      </c>
      <c r="K274" s="544">
        <f>IF(VLOOKUP($E$274,[1]DATA_A11!$A$2:$FA$195, 10, FALSE)="",":",VLOOKUP($E$274,[1]DATA_A11!$A$2:$FA$195, 10, FALSE))</f>
        <v>145.38999999999999</v>
      </c>
      <c r="L274" s="544">
        <f>IF(VLOOKUP($E$274,[1]DATA_A11!$A$2:$FA$195, 11, FALSE)="",":",VLOOKUP($E$274,[1]DATA_A11!$A$2:$FA$195, 11, FALSE))</f>
        <v>152.91999999999999</v>
      </c>
      <c r="M274" s="544">
        <f>IF(VLOOKUP($E$274,[1]DATA_A11!$A$2:$FA$195, 12, FALSE)="",":",VLOOKUP($E$274,[1]DATA_A11!$A$2:$FA$195, 12, FALSE))</f>
        <v>170.54</v>
      </c>
      <c r="N274" s="544">
        <f>IF(VLOOKUP($E$274,[1]DATA_A11!$A$2:$FA$195, 13, FALSE)="",":",VLOOKUP($E$274,[1]DATA_A11!$A$2:$FA$195, 13, FALSE))</f>
        <v>209.57</v>
      </c>
      <c r="O274" s="544">
        <f>IF(VLOOKUP($E$274,[1]DATA_A11!$A$2:$FA$195, 14, FALSE)="",":",VLOOKUP($E$274,[1]DATA_A11!$A$2:$FA$195, 14, FALSE))</f>
        <v>222.06000000000003</v>
      </c>
      <c r="P274" s="544">
        <f>IF(VLOOKUP($E$274,[1]DATA_A11!$A$2:$FA$195, 15, FALSE)="",":",VLOOKUP($E$274,[1]DATA_A11!$A$2:$FA$195, 15, FALSE))</f>
        <v>230.37000000000003</v>
      </c>
      <c r="Q274" s="544">
        <f>IF(VLOOKUP($E$274,[1]DATA_A11!$A$2:$FA$195, 16, FALSE)="",":",VLOOKUP($E$274,[1]DATA_A11!$A$2:$FA$195, 16, FALSE))</f>
        <v>241.33000000000004</v>
      </c>
      <c r="R274" s="544">
        <f>IF(VLOOKUP($E$274,[1]DATA_A11!$A$2:$FA$195, 17, FALSE)="",":",VLOOKUP($E$274,[1]DATA_A11!$A$2:$FA$195, 17, FALSE))</f>
        <v>251.66</v>
      </c>
      <c r="S274" s="544">
        <f>IF(VLOOKUP($E$274,[1]DATA_A11!$A$2:$FA$195, 18, FALSE)="",":",VLOOKUP($E$274,[1]DATA_A11!$A$2:$FA$195, 18, FALSE))</f>
        <v>244.97</v>
      </c>
      <c r="T274" s="544">
        <f>IF(VLOOKUP($E$274,[1]DATA_A11!$A$2:$FA$195, 19, FALSE)="",":",VLOOKUP($E$274,[1]DATA_A11!$A$2:$FA$195, 19, FALSE))</f>
        <v>250.94</v>
      </c>
      <c r="U274" s="544">
        <f>IF(VLOOKUP($E$274,[1]DATA_A11!$A$2:$FA$195, 20, FALSE)="",":",VLOOKUP($E$274,[1]DATA_A11!$A$2:$FA$195, 20, FALSE))</f>
        <v>253.37000000000003</v>
      </c>
      <c r="V274" s="544">
        <f>IF(VLOOKUP($E$274,[1]DATA_A11!$A$2:$FA$195, 21, FALSE)="",":",VLOOKUP($E$274,[1]DATA_A11!$A$2:$FA$195, 21, FALSE))</f>
        <v>260.44</v>
      </c>
      <c r="W274" s="544">
        <f>IF(VLOOKUP($E$274,[1]DATA_A11!$A$2:$FA$195, 22, FALSE)="",":",VLOOKUP($E$274,[1]DATA_A11!$A$2:$FA$195, 22, FALSE))</f>
        <v>247.30000000000004</v>
      </c>
      <c r="X274" s="544">
        <f>IF(VLOOKUP($E$274,[1]DATA_A11!$A$2:$FA$195, 23, FALSE)="",":",VLOOKUP($E$274,[1]DATA_A11!$A$2:$FA$195, 23, FALSE))</f>
        <v>248.21</v>
      </c>
      <c r="Y274" s="544">
        <f>IF(VLOOKUP($E$274,[1]DATA_A11!$A$2:$FA$195, 24, FALSE)="",":",VLOOKUP($E$274,[1]DATA_A11!$A$2:$FA$195, 24, FALSE))</f>
        <v>250.74</v>
      </c>
      <c r="Z274" s="544">
        <f>IF(VLOOKUP($E$274,[1]DATA_A11!$A$2:$FA$195, 25, FALSE)="",":",VLOOKUP($E$274,[1]DATA_A11!$A$2:$FA$195, 25, FALSE))</f>
        <v>234.11</v>
      </c>
      <c r="AA274" s="544">
        <f>IF(VLOOKUP($E$274,[1]DATA_A11!$A$2:$FA$195, 26, FALSE)="",":",VLOOKUP($E$274,[1]DATA_A11!$A$2:$FA$195, 26, FALSE))</f>
        <v>240.5</v>
      </c>
      <c r="AB274" s="544">
        <f>IF(VLOOKUP($E$274,[1]DATA_A11!$A$2:$FA$195, 27, FALSE)="",":",VLOOKUP($E$274,[1]DATA_A11!$A$2:$FA$195, 27, FALSE))</f>
        <v>244.81</v>
      </c>
      <c r="AC274" s="544">
        <f>IF(VLOOKUP($E$274,[1]DATA_A11!$A$2:$FA$195, 28, FALSE)="",":",VLOOKUP($E$274,[1]DATA_A11!$A$2:$FA$195, 28, FALSE))</f>
        <v>265.12</v>
      </c>
      <c r="AD274" s="544" t="str">
        <f>IF(VLOOKUP($E$274,[1]DATA_A11!$A$2:$FA$195, 29, FALSE)="",":",VLOOKUP($E$274,[1]DATA_A11!$A$2:$FA$195, 29, FALSE))</f>
        <v>:</v>
      </c>
      <c r="AE274" s="544" t="str">
        <f>IF(VLOOKUP($E$274,[1]DATA_A11!$A$2:$FA$195, 30, FALSE)="",":",VLOOKUP($E$274,[1]DATA_A11!$A$2:$FA$195, 30, FALSE))</f>
        <v>:</v>
      </c>
      <c r="AF274" s="544" t="str">
        <f>IF(VLOOKUP($E$274,[1]DATA_A11!$A$2:$FA$195, 31, FALSE)="",":",VLOOKUP($E$274,[1]DATA_A11!$A$2:$FA$195, 31, FALSE))</f>
        <v>:</v>
      </c>
    </row>
    <row r="275" spans="1:32">
      <c r="A275" s="533"/>
      <c r="B275" s="534"/>
      <c r="C275" s="535"/>
      <c r="D275" s="12"/>
      <c r="E275" s="13"/>
      <c r="F275" s="14"/>
      <c r="G275" s="544"/>
      <c r="H275" s="544"/>
      <c r="I275" s="544"/>
      <c r="J275" s="544"/>
      <c r="K275" s="544"/>
      <c r="L275" s="544"/>
      <c r="M275" s="544"/>
      <c r="N275" s="544"/>
      <c r="O275" s="544"/>
      <c r="P275" s="544"/>
      <c r="Q275" s="544"/>
      <c r="R275" s="544"/>
      <c r="S275" s="544"/>
      <c r="T275" s="544"/>
      <c r="U275" s="544"/>
      <c r="V275" s="544"/>
      <c r="W275" s="544"/>
      <c r="X275" s="544"/>
      <c r="Y275" s="544"/>
      <c r="Z275" s="544"/>
      <c r="AA275" s="544"/>
      <c r="AB275" s="544"/>
      <c r="AC275" s="544"/>
      <c r="AD275" s="544"/>
      <c r="AE275" s="544"/>
      <c r="AF275" s="544"/>
    </row>
    <row r="276" spans="1:32">
      <c r="A276" s="533">
        <v>138</v>
      </c>
      <c r="B276" s="534" t="s">
        <v>801</v>
      </c>
      <c r="C276" s="535"/>
      <c r="D276" s="12" t="s">
        <v>879</v>
      </c>
      <c r="E276" s="13">
        <v>3001</v>
      </c>
      <c r="F276" s="14" t="str">
        <f>VLOOKUP($E$276,[1]DATA_A11!$A$2:$FA$200, 3, FALSE)</f>
        <v>3001 One-off measures (revenue side)</v>
      </c>
      <c r="G276" s="544" t="str">
        <f>IF(VLOOKUP($E$276,[1]DATA_A11!$A$2:$FA$200, 6, FALSE)="",":",VLOOKUP($E$276,[1]DATA_A11!$A$2:$FA$200, 6, FALSE))</f>
        <v>:</v>
      </c>
      <c r="H276" s="544" t="str">
        <f>IF(VLOOKUP($E$276,[1]DATA_A11!$A$2:$FA$200, 7, FALSE)="",":",VLOOKUP($E$276,[1]DATA_A11!$A$2:$FA$200, 7, FALSE))</f>
        <v>:</v>
      </c>
      <c r="I276" s="544" t="str">
        <f>IF(VLOOKUP($E$276,[1]DATA_A11!$A$2:$FA$200, 8, FALSE)="",":",VLOOKUP($E$276,[1]DATA_A11!$A$2:$FA$200, 8, FALSE))</f>
        <v>:</v>
      </c>
      <c r="J276" s="544" t="str">
        <f>IF(VLOOKUP($E$276,[1]DATA_A11!$A$2:$FA$200, 9, FALSE)="",":",VLOOKUP($E$276,[1]DATA_A11!$A$2:$FA$200, 9, FALSE))</f>
        <v>:</v>
      </c>
      <c r="K276" s="544" t="str">
        <f>IF(VLOOKUP($E$276,[1]DATA_A11!$A$2:$FA$200, 10, FALSE)="",":",VLOOKUP($E$276,[1]DATA_A11!$A$2:$FA$200, 10, FALSE))</f>
        <v>:</v>
      </c>
      <c r="L276" s="544" t="str">
        <f>IF(VLOOKUP($E$276,[1]DATA_A11!$A$2:$FA$200, 11, FALSE)="",":",VLOOKUP($E$276,[1]DATA_A11!$A$2:$FA$200, 11, FALSE))</f>
        <v>:</v>
      </c>
      <c r="M276" s="544" t="str">
        <f>IF(VLOOKUP($E$276,[1]DATA_A11!$A$2:$FA$200, 12, FALSE)="",":",VLOOKUP($E$276,[1]DATA_A11!$A$2:$FA$200, 12, FALSE))</f>
        <v>:</v>
      </c>
      <c r="N276" s="544" t="str">
        <f>IF(VLOOKUP($E$276,[1]DATA_A11!$A$2:$FA$200, 13, FALSE)="",":",VLOOKUP($E$276,[1]DATA_A11!$A$2:$FA$200, 13, FALSE))</f>
        <v>:</v>
      </c>
      <c r="O276" s="544" t="str">
        <f>IF(VLOOKUP($E$276,[1]DATA_A11!$A$2:$FA$200, 14, FALSE)="",":",VLOOKUP($E$276,[1]DATA_A11!$A$2:$FA$200, 14, FALSE))</f>
        <v>:</v>
      </c>
      <c r="P276" s="544" t="str">
        <f>IF(VLOOKUP($E$276,[1]DATA_A11!$A$2:$FA$200, 15, FALSE)="",":",VLOOKUP($E$276,[1]DATA_A11!$A$2:$FA$200, 15, FALSE))</f>
        <v>:</v>
      </c>
      <c r="Q276" s="544" t="str">
        <f>IF(VLOOKUP($E$276,[1]DATA_A11!$A$2:$FA$200, 16, FALSE)="",":",VLOOKUP($E$276,[1]DATA_A11!$A$2:$FA$200, 16, FALSE))</f>
        <v>:</v>
      </c>
      <c r="R276" s="544" t="str">
        <f>IF(VLOOKUP($E$276,[1]DATA_A11!$A$2:$FA$200, 17, FALSE)="",":",VLOOKUP($E$276,[1]DATA_A11!$A$2:$FA$200, 17, FALSE))</f>
        <v>:</v>
      </c>
      <c r="S276" s="544" t="str">
        <f>IF(VLOOKUP($E$276,[1]DATA_A11!$A$2:$FA$200, 18, FALSE)="",":",VLOOKUP($E$276,[1]DATA_A11!$A$2:$FA$200, 18, FALSE))</f>
        <v>:</v>
      </c>
      <c r="T276" s="544" t="str">
        <f>IF(VLOOKUP($E$276,[1]DATA_A11!$A$2:$FA$200, 19, FALSE)="",":",VLOOKUP($E$276,[1]DATA_A11!$A$2:$FA$200, 19, FALSE))</f>
        <v>:</v>
      </c>
      <c r="U276" s="544" t="str">
        <f>IF(VLOOKUP($E$276,[1]DATA_A11!$A$2:$FA$200, 20, FALSE)="",":",VLOOKUP($E$276,[1]DATA_A11!$A$2:$FA$200, 20, FALSE))</f>
        <v>:</v>
      </c>
      <c r="V276" s="544" t="str">
        <f>IF(VLOOKUP($E$276,[1]DATA_A11!$A$2:$FA$200, 21, FALSE)="",":",VLOOKUP($E$276,[1]DATA_A11!$A$2:$FA$200, 21, FALSE))</f>
        <v>:</v>
      </c>
      <c r="W276" s="544" t="str">
        <f>IF(VLOOKUP($E$276,[1]DATA_A11!$A$2:$FA$200, 22, FALSE)="",":",VLOOKUP($E$276,[1]DATA_A11!$A$2:$FA$200, 22, FALSE))</f>
        <v>:</v>
      </c>
      <c r="X276" s="544" t="str">
        <f>IF(VLOOKUP($E$276,[1]DATA_A11!$A$2:$FA$200, 23, FALSE)="",":",VLOOKUP($E$276,[1]DATA_A11!$A$2:$FA$200, 23, FALSE))</f>
        <v>:</v>
      </c>
      <c r="Y276" s="544" t="str">
        <f>IF(VLOOKUP($E$276,[1]DATA_A11!$A$2:$FA$200, 24, FALSE)="",":",VLOOKUP($E$276,[1]DATA_A11!$A$2:$FA$200, 24, FALSE))</f>
        <v>:</v>
      </c>
      <c r="Z276" s="544" t="str">
        <f>IF(VLOOKUP($E$276,[1]DATA_A11!$A$2:$FA$200, 25, FALSE)="",":",VLOOKUP($E$276,[1]DATA_A11!$A$2:$FA$200, 25, FALSE))</f>
        <v>:</v>
      </c>
      <c r="AA276" s="544" t="str">
        <f>IF(VLOOKUP($E$276,[1]DATA_A11!$A$2:$FA$200, 26, FALSE)="",":",VLOOKUP($E$276,[1]DATA_A11!$A$2:$FA$200, 26, FALSE))</f>
        <v>:</v>
      </c>
      <c r="AB276" s="544" t="str">
        <f>IF(VLOOKUP($E$276,[1]DATA_A11!$A$2:$FA$200, 27, FALSE)="",":",VLOOKUP($E$276,[1]DATA_A11!$A$2:$FA$200, 27, FALSE))</f>
        <v>:</v>
      </c>
      <c r="AC276" s="544" t="str">
        <f>IF(VLOOKUP($E$276,[1]DATA_A11!$A$2:$FA$200, 28, FALSE)="",":",VLOOKUP($E$276,[1]DATA_A11!$A$2:$FA$200, 28, FALSE))</f>
        <v>:</v>
      </c>
      <c r="AD276" s="544" t="str">
        <f>IF(VLOOKUP($E$276,[1]DATA_A11!$A$2:$FA$200, 29, FALSE)="",":",VLOOKUP($E$276,[1]DATA_A11!$A$2:$FA$200, 29, FALSE))</f>
        <v>:</v>
      </c>
      <c r="AE276" s="544" t="str">
        <f>IF(VLOOKUP($E$276,[1]DATA_A11!$A$2:$FA$200, 30, FALSE)="",":",VLOOKUP($E$276,[1]DATA_A11!$A$2:$FA$200, 30, FALSE))</f>
        <v>:</v>
      </c>
      <c r="AF276" s="544" t="str">
        <f>IF(VLOOKUP($E$276,[1]DATA_A11!$A$2:$FA$200, 31, FALSE)="",":",VLOOKUP($E$276,[1]DATA_A11!$A$2:$FA$200, 31, FALSE))</f>
        <v>:</v>
      </c>
    </row>
    <row r="277" spans="1:32">
      <c r="A277" s="533">
        <v>139</v>
      </c>
      <c r="B277" s="534" t="s">
        <v>802</v>
      </c>
      <c r="C277" s="535"/>
      <c r="D277" s="12" t="s">
        <v>879</v>
      </c>
      <c r="E277" s="13">
        <v>3002</v>
      </c>
      <c r="F277" s="14" t="str">
        <f>VLOOKUP($E$277,[1]DATA_A11!$A$2:$FA$250, 3, FALSE)</f>
        <v>3002 One-off measures (expenditure side)</v>
      </c>
      <c r="G277" s="544" t="str">
        <f>IF(VLOOKUP($E$277,[1]DATA_A11!$A$2:$FA$250, 6, FALSE)="",":",VLOOKUP($E$277,[1]DATA_A11!$A$2:$FA$250, 6, FALSE))</f>
        <v>:</v>
      </c>
      <c r="H277" s="544" t="str">
        <f>IF(VLOOKUP($E$277,[1]DATA_A11!$A$2:$FA$250, 7, FALSE)="",":",VLOOKUP($E$277,[1]DATA_A11!$A$2:$FA$250, 7, FALSE))</f>
        <v>:</v>
      </c>
      <c r="I277" s="544" t="str">
        <f>IF(VLOOKUP($E$277,[1]DATA_A11!$A$2:$FA$250, 8, FALSE)="",":",VLOOKUP($E$277,[1]DATA_A11!$A$2:$FA$250, 8, FALSE))</f>
        <v>:</v>
      </c>
      <c r="J277" s="544" t="str">
        <f>IF(VLOOKUP($E$277,[1]DATA_A11!$A$2:$FA$250, 9, FALSE)="",":",VLOOKUP($E$277,[1]DATA_A11!$A$2:$FA$250, 9, FALSE))</f>
        <v>:</v>
      </c>
      <c r="K277" s="544" t="str">
        <f>IF(VLOOKUP($E$277,[1]DATA_A11!$A$2:$FA$250, 10, FALSE)="",":",VLOOKUP($E$277,[1]DATA_A11!$A$2:$FA$250, 10, FALSE))</f>
        <v>:</v>
      </c>
      <c r="L277" s="544" t="str">
        <f>IF(VLOOKUP($E$277,[1]DATA_A11!$A$2:$FA$250, 11, FALSE)="",":",VLOOKUP($E$277,[1]DATA_A11!$A$2:$FA$250, 11, FALSE))</f>
        <v>:</v>
      </c>
      <c r="M277" s="544" t="str">
        <f>IF(VLOOKUP($E$277,[1]DATA_A11!$A$2:$FA$250, 12, FALSE)="",":",VLOOKUP($E$277,[1]DATA_A11!$A$2:$FA$250, 12, FALSE))</f>
        <v>:</v>
      </c>
      <c r="N277" s="544" t="str">
        <f>IF(VLOOKUP($E$277,[1]DATA_A11!$A$2:$FA$250, 13, FALSE)="",":",VLOOKUP($E$277,[1]DATA_A11!$A$2:$FA$250, 13, FALSE))</f>
        <v>:</v>
      </c>
      <c r="O277" s="544" t="str">
        <f>IF(VLOOKUP($E$277,[1]DATA_A11!$A$2:$FA$250, 14, FALSE)="",":",VLOOKUP($E$277,[1]DATA_A11!$A$2:$FA$250, 14, FALSE))</f>
        <v>:</v>
      </c>
      <c r="P277" s="544" t="str">
        <f>IF(VLOOKUP($E$277,[1]DATA_A11!$A$2:$FA$250, 15, FALSE)="",":",VLOOKUP($E$277,[1]DATA_A11!$A$2:$FA$250, 15, FALSE))</f>
        <v>:</v>
      </c>
      <c r="Q277" s="544" t="str">
        <f>IF(VLOOKUP($E$277,[1]DATA_A11!$A$2:$FA$250, 16, FALSE)="",":",VLOOKUP($E$277,[1]DATA_A11!$A$2:$FA$250, 16, FALSE))</f>
        <v>:</v>
      </c>
      <c r="R277" s="544" t="str">
        <f>IF(VLOOKUP($E$277,[1]DATA_A11!$A$2:$FA$250, 17, FALSE)="",":",VLOOKUP($E$277,[1]DATA_A11!$A$2:$FA$250, 17, FALSE))</f>
        <v>:</v>
      </c>
      <c r="S277" s="544">
        <f>IF(VLOOKUP($E$277,[1]DATA_A11!$A$2:$FA$250, 18, FALSE)="",":",VLOOKUP($E$277,[1]DATA_A11!$A$2:$FA$250, 18, FALSE))</f>
        <v>-0.55600000000000005</v>
      </c>
      <c r="T277" s="544">
        <f>IF(VLOOKUP($E$277,[1]DATA_A11!$A$2:$FA$250, 19, FALSE)="",":",VLOOKUP($E$277,[1]DATA_A11!$A$2:$FA$250, 19, FALSE))</f>
        <v>-5.6399999999999999E-2</v>
      </c>
      <c r="U277" s="544" t="str">
        <f>IF(VLOOKUP($E$277,[1]DATA_A11!$A$2:$FA$250, 20, FALSE)="",":",VLOOKUP($E$277,[1]DATA_A11!$A$2:$FA$250, 20, FALSE))</f>
        <v>:</v>
      </c>
      <c r="V277" s="544" t="str">
        <f>IF(VLOOKUP($E$277,[1]DATA_A11!$A$2:$FA$250, 21, FALSE)="",":",VLOOKUP($E$277,[1]DATA_A11!$A$2:$FA$250, 21, FALSE))</f>
        <v>:</v>
      </c>
      <c r="W277" s="544" t="str">
        <f>IF(VLOOKUP($E$277,[1]DATA_A11!$A$2:$FA$250, 22, FALSE)="",":",VLOOKUP($E$277,[1]DATA_A11!$A$2:$FA$250, 22, FALSE))</f>
        <v>:</v>
      </c>
      <c r="X277" s="544" t="str">
        <f>IF(VLOOKUP($E$277,[1]DATA_A11!$A$2:$FA$250, 23, FALSE)="",":",VLOOKUP($E$277,[1]DATA_A11!$A$2:$FA$250, 23, FALSE))</f>
        <v>:</v>
      </c>
      <c r="Y277" s="544" t="str">
        <f>IF(VLOOKUP($E$277,[1]DATA_A11!$A$2:$FA$250, 24, FALSE)="",":",VLOOKUP($E$277,[1]DATA_A11!$A$2:$FA$250, 24, FALSE))</f>
        <v>:</v>
      </c>
      <c r="Z277" s="544" t="str">
        <f>IF(VLOOKUP($E$277,[1]DATA_A11!$A$2:$FA$250, 25, FALSE)="",":",VLOOKUP($E$277,[1]DATA_A11!$A$2:$FA$250, 25, FALSE))</f>
        <v>:</v>
      </c>
      <c r="AA277" s="544" t="str">
        <f>IF(VLOOKUP($E$277,[1]DATA_A11!$A$2:$FA$250, 26, FALSE)="",":",VLOOKUP($E$277,[1]DATA_A11!$A$2:$FA$250, 26, FALSE))</f>
        <v>:</v>
      </c>
      <c r="AB277" s="544" t="str">
        <f>IF(VLOOKUP($E$277,[1]DATA_A11!$A$2:$FA$250, 27, FALSE)="",":",VLOOKUP($E$277,[1]DATA_A11!$A$2:$FA$250, 27, FALSE))</f>
        <v>:</v>
      </c>
      <c r="AC277" s="544" t="str">
        <f>IF(VLOOKUP($E$277,[1]DATA_A11!$A$2:$FA$250, 28, FALSE)="",":",VLOOKUP($E$277,[1]DATA_A11!$A$2:$FA$250, 28, FALSE))</f>
        <v>:</v>
      </c>
      <c r="AD277" s="544" t="str">
        <f>IF(VLOOKUP($E$277,[1]DATA_A11!$A$2:$FA$250, 29, FALSE)="",":",VLOOKUP($E$277,[1]DATA_A11!$A$2:$FA$250, 29, FALSE))</f>
        <v>:</v>
      </c>
      <c r="AE277" s="544" t="str">
        <f>IF(VLOOKUP($E$277,[1]DATA_A11!$A$2:$FA$250, 30, FALSE)="",":",VLOOKUP($E$277,[1]DATA_A11!$A$2:$FA$250, 30, FALSE))</f>
        <v>:</v>
      </c>
      <c r="AF277" s="544" t="str">
        <f>IF(VLOOKUP($E$277,[1]DATA_A11!$A$2:$FA$250, 31, FALSE)="",":",VLOOKUP($E$277,[1]DATA_A11!$A$2:$FA$250, 31, FALSE))</f>
        <v>:</v>
      </c>
    </row>
    <row r="278" spans="1:32">
      <c r="A278" s="533"/>
      <c r="B278" s="534" t="s">
        <v>1710</v>
      </c>
      <c r="C278" s="535"/>
      <c r="D278" s="12" t="s">
        <v>879</v>
      </c>
      <c r="E278" s="13">
        <v>3011</v>
      </c>
      <c r="F278" s="14" t="str">
        <f>VLOOKUP($E$278,[1]DATA_A11!$A$2:$FA$200, 3, FALSE)</f>
        <v>3011 Employment in public administration and education</v>
      </c>
      <c r="G278" s="544">
        <f>IF(VLOOKUP($E$278,[1]DATA_A11!$A$2:$FA$200, 6, FALSE)="",":",VLOOKUP($E$278,[1]DATA_A11!$A$2:$FA$200, 6, FALSE))</f>
        <v>209.6</v>
      </c>
      <c r="H278" s="544">
        <f>IF(VLOOKUP($E$278,[1]DATA_A11!$A$2:$FA$200, 7, FALSE)="",":",VLOOKUP($E$278,[1]DATA_A11!$A$2:$FA$200, 7, FALSE))</f>
        <v>213.6</v>
      </c>
      <c r="I278" s="544">
        <f>IF(VLOOKUP($E$278,[1]DATA_A11!$A$2:$FA$200, 8, FALSE)="",":",VLOOKUP($E$278,[1]DATA_A11!$A$2:$FA$200, 8, FALSE))</f>
        <v>218.6</v>
      </c>
      <c r="J278" s="544">
        <f>IF(VLOOKUP($E$278,[1]DATA_A11!$A$2:$FA$200, 9, FALSE)="",":",VLOOKUP($E$278,[1]DATA_A11!$A$2:$FA$200, 9, FALSE))</f>
        <v>219.3</v>
      </c>
      <c r="K278" s="544">
        <f>IF(VLOOKUP($E$278,[1]DATA_A11!$A$2:$FA$200, 10, FALSE)="",":",VLOOKUP($E$278,[1]DATA_A11!$A$2:$FA$200, 10, FALSE))</f>
        <v>233.1</v>
      </c>
      <c r="L278" s="544">
        <f>IF(VLOOKUP($E$278,[1]DATA_A11!$A$2:$FA$200, 11, FALSE)="",":",VLOOKUP($E$278,[1]DATA_A11!$A$2:$FA$200, 11, FALSE))</f>
        <v>239.1</v>
      </c>
      <c r="M278" s="544">
        <f>IF(VLOOKUP($E$278,[1]DATA_A11!$A$2:$FA$200, 12, FALSE)="",":",VLOOKUP($E$278,[1]DATA_A11!$A$2:$FA$200, 12, FALSE))</f>
        <v>234.5</v>
      </c>
      <c r="N278" s="544">
        <f>IF(VLOOKUP($E$278,[1]DATA_A11!$A$2:$FA$200, 13, FALSE)="",":",VLOOKUP($E$278,[1]DATA_A11!$A$2:$FA$200, 13, FALSE))</f>
        <v>226.8</v>
      </c>
      <c r="O278" s="544">
        <f>IF(VLOOKUP($E$278,[1]DATA_A11!$A$2:$FA$200, 14, FALSE)="",":",VLOOKUP($E$278,[1]DATA_A11!$A$2:$FA$200, 14, FALSE))</f>
        <v>216.3</v>
      </c>
      <c r="P278" s="544">
        <f>IF(VLOOKUP($E$278,[1]DATA_A11!$A$2:$FA$200, 15, FALSE)="",":",VLOOKUP($E$278,[1]DATA_A11!$A$2:$FA$200, 15, FALSE))</f>
        <v>226.7</v>
      </c>
      <c r="Q278" s="544">
        <f>IF(VLOOKUP($E$278,[1]DATA_A11!$A$2:$FA$200, 16, FALSE)="",":",VLOOKUP($E$278,[1]DATA_A11!$A$2:$FA$200, 16, FALSE))</f>
        <v>225.85000000000002</v>
      </c>
      <c r="R278" s="544">
        <f>IF(VLOOKUP($E$278,[1]DATA_A11!$A$2:$FA$200, 17, FALSE)="",":",VLOOKUP($E$278,[1]DATA_A11!$A$2:$FA$200, 17, FALSE))</f>
        <v>195.92000000000002</v>
      </c>
      <c r="S278" s="544">
        <f>IF(VLOOKUP($E$278,[1]DATA_A11!$A$2:$FA$200, 18, FALSE)="",":",VLOOKUP($E$278,[1]DATA_A11!$A$2:$FA$200, 18, FALSE))</f>
        <v>224.24</v>
      </c>
      <c r="T278" s="544">
        <f>IF(VLOOKUP($E$278,[1]DATA_A11!$A$2:$FA$200, 19, FALSE)="",":",VLOOKUP($E$278,[1]DATA_A11!$A$2:$FA$200, 19, FALSE))</f>
        <v>224.18</v>
      </c>
      <c r="U278" s="544">
        <f>IF(VLOOKUP($E$278,[1]DATA_A11!$A$2:$FA$200, 20, FALSE)="",":",VLOOKUP($E$278,[1]DATA_A11!$A$2:$FA$200, 20, FALSE))</f>
        <v>221.36</v>
      </c>
      <c r="V278" s="544">
        <f>IF(VLOOKUP($E$278,[1]DATA_A11!$A$2:$FA$200, 21, FALSE)="",":",VLOOKUP($E$278,[1]DATA_A11!$A$2:$FA$200, 21, FALSE))</f>
        <v>214.87</v>
      </c>
      <c r="W278" s="544">
        <f>IF(VLOOKUP($E$278,[1]DATA_A11!$A$2:$FA$200, 22, FALSE)="",":",VLOOKUP($E$278,[1]DATA_A11!$A$2:$FA$200, 22, FALSE))</f>
        <v>211.67</v>
      </c>
      <c r="X278" s="544">
        <f>IF(VLOOKUP($E$278,[1]DATA_A11!$A$2:$FA$200, 23, FALSE)="",":",VLOOKUP($E$278,[1]DATA_A11!$A$2:$FA$200, 23, FALSE))</f>
        <v>207.15</v>
      </c>
      <c r="Y278" s="544">
        <f>IF(VLOOKUP($E$278,[1]DATA_A11!$A$2:$FA$200, 24, FALSE)="",":",VLOOKUP($E$278,[1]DATA_A11!$A$2:$FA$200, 24, FALSE))</f>
        <v>205.06</v>
      </c>
      <c r="Z278" s="544">
        <f>IF(VLOOKUP($E$278,[1]DATA_A11!$A$2:$FA$200, 25, FALSE)="",":",VLOOKUP($E$278,[1]DATA_A11!$A$2:$FA$200, 25, FALSE))</f>
        <v>207.13</v>
      </c>
      <c r="AA278" s="544">
        <f>IF(VLOOKUP($E$278,[1]DATA_A11!$A$2:$FA$200, 26, FALSE)="",":",VLOOKUP($E$278,[1]DATA_A11!$A$2:$FA$200, 26, FALSE))</f>
        <v>213.57999999999998</v>
      </c>
      <c r="AB278" s="544">
        <f>IF(VLOOKUP($E$278,[1]DATA_A11!$A$2:$FA$200, 27, FALSE)="",":",VLOOKUP($E$278,[1]DATA_A11!$A$2:$FA$200, 27, FALSE))</f>
        <v>218.97</v>
      </c>
      <c r="AC278" s="544" t="e">
        <f>IF(VLOOKUP($E$278,[1]DATA_A11!$A$2:$FA$200, 28, FALSE)="",":",VLOOKUP($E$278,[1]DATA_A11!$A$2:$FA$200, 28, FALSE))</f>
        <v>#VALUE!</v>
      </c>
      <c r="AD278" s="544" t="str">
        <f>IF(VLOOKUP($E$278,[1]DATA_A11!$A$2:$FA$200, 29, FALSE)="",":",VLOOKUP($E$278,[1]DATA_A11!$A$2:$FA$200, 29, FALSE))</f>
        <v>:</v>
      </c>
      <c r="AE278" s="544" t="str">
        <f>IF(VLOOKUP($E$278,[1]DATA_A11!$A$2:$FA$200, 30, FALSE)="",":",VLOOKUP($E$278,[1]DATA_A11!$A$2:$FA$200, 30, FALSE))</f>
        <v>:</v>
      </c>
      <c r="AF278" s="544" t="str">
        <f>IF(VLOOKUP($E$278,[1]DATA_A11!$A$2:$FA$200, 31, FALSE)="",":",VLOOKUP($E$278,[1]DATA_A11!$A$2:$FA$200, 31, FALSE))</f>
        <v>:</v>
      </c>
    </row>
    <row r="279" spans="1:32">
      <c r="A279" s="533"/>
      <c r="B279" s="534"/>
      <c r="C279" s="535"/>
      <c r="D279" s="12" t="s">
        <v>879</v>
      </c>
      <c r="E279" s="13">
        <v>3012</v>
      </c>
      <c r="F279" s="14" t="str">
        <f>VLOOKUP($E$279,[1]DATA_A11!$A$2:$FA$200, 3, FALSE)</f>
        <v>3012 Wages and salaries in public administration</v>
      </c>
      <c r="G279" s="544">
        <f>IF(VLOOKUP($E$279,[1]DATA_A11!$A$2:$FA$200, 6, FALSE)="",":",VLOOKUP($E$279,[1]DATA_A11!$A$2:$FA$200, 6, FALSE))</f>
        <v>590.24559777571824</v>
      </c>
      <c r="H279" s="544">
        <f>IF(VLOOKUP($E$279,[1]DATA_A11!$A$2:$FA$200, 7, FALSE)="",":",VLOOKUP($E$279,[1]DATA_A11!$A$2:$FA$200, 7, FALSE))</f>
        <v>803.98517145505105</v>
      </c>
      <c r="I279" s="544">
        <f>IF(VLOOKUP($E$279,[1]DATA_A11!$A$2:$FA$200, 8, FALSE)="",":",VLOOKUP($E$279,[1]DATA_A11!$A$2:$FA$200, 8, FALSE))</f>
        <v>1012.5115848007415</v>
      </c>
      <c r="J279" s="544">
        <f>IF(VLOOKUP($E$279,[1]DATA_A11!$A$2:$FA$200, 9, FALSE)="",":",VLOOKUP($E$279,[1]DATA_A11!$A$2:$FA$200, 9, FALSE))</f>
        <v>1285.6232622798889</v>
      </c>
      <c r="K279" s="544">
        <f>IF(VLOOKUP($E$279,[1]DATA_A11!$A$2:$FA$200, 10, FALSE)="",":",VLOOKUP($E$279,[1]DATA_A11!$A$2:$FA$200, 10, FALSE))</f>
        <v>1331.0936051899907</v>
      </c>
      <c r="L279" s="544">
        <f>IF(VLOOKUP($E$279,[1]DATA_A11!$A$2:$FA$200, 11, FALSE)="",":",VLOOKUP($E$279,[1]DATA_A11!$A$2:$FA$200, 11, FALSE))</f>
        <v>1246.8141797961075</v>
      </c>
      <c r="M279" s="544">
        <f>IF(VLOOKUP($E$279,[1]DATA_A11!$A$2:$FA$200, 12, FALSE)="",":",VLOOKUP($E$279,[1]DATA_A11!$A$2:$FA$200, 12, FALSE))</f>
        <v>1277.2242817423542</v>
      </c>
      <c r="N279" s="544">
        <f>IF(VLOOKUP($E$279,[1]DATA_A11!$A$2:$FA$200, 13, FALSE)="",":",VLOOKUP($E$279,[1]DATA_A11!$A$2:$FA$200, 13, FALSE))</f>
        <v>1322.9842446709918</v>
      </c>
      <c r="O279" s="544">
        <f>IF(VLOOKUP($E$279,[1]DATA_A11!$A$2:$FA$200, 14, FALSE)="",":",VLOOKUP($E$279,[1]DATA_A11!$A$2:$FA$200, 14, FALSE))</f>
        <v>1377.1431881371641</v>
      </c>
      <c r="P279" s="544">
        <f>IF(VLOOKUP($E$279,[1]DATA_A11!$A$2:$FA$200, 15, FALSE)="",":",VLOOKUP($E$279,[1]DATA_A11!$A$2:$FA$200, 15, FALSE))</f>
        <v>1481.1167747914737</v>
      </c>
      <c r="Q279" s="544">
        <f>IF(VLOOKUP($E$279,[1]DATA_A11!$A$2:$FA$200, 16, FALSE)="",":",VLOOKUP($E$279,[1]DATA_A11!$A$2:$FA$200, 16, FALSE))</f>
        <v>1648</v>
      </c>
      <c r="R279" s="544">
        <f>IF(VLOOKUP($E$279,[1]DATA_A11!$A$2:$FA$200, 17, FALSE)="",":",VLOOKUP($E$279,[1]DATA_A11!$A$2:$FA$200, 17, FALSE))</f>
        <v>1877.8</v>
      </c>
      <c r="S279" s="544">
        <f>IF(VLOOKUP($E$279,[1]DATA_A11!$A$2:$FA$200, 18, FALSE)="",":",VLOOKUP($E$279,[1]DATA_A11!$A$2:$FA$200, 18, FALSE))</f>
        <v>2093.5</v>
      </c>
      <c r="T279" s="544">
        <f>IF(VLOOKUP($E$279,[1]DATA_A11!$A$2:$FA$200, 19, FALSE)="",":",VLOOKUP($E$279,[1]DATA_A11!$A$2:$FA$200, 19, FALSE))</f>
        <v>2543.6000000000004</v>
      </c>
      <c r="U279" s="544">
        <f>IF(VLOOKUP($E$279,[1]DATA_A11!$A$2:$FA$200, 20, FALSE)="",":",VLOOKUP($E$279,[1]DATA_A11!$A$2:$FA$200, 20, FALSE))</f>
        <v>2490.3000000000002</v>
      </c>
      <c r="V279" s="544">
        <f>IF(VLOOKUP($E$279,[1]DATA_A11!$A$2:$FA$200, 21, FALSE)="",":",VLOOKUP($E$279,[1]DATA_A11!$A$2:$FA$200, 21, FALSE))</f>
        <v>2237</v>
      </c>
      <c r="W279" s="544">
        <f>IF(VLOOKUP($E$279,[1]DATA_A11!$A$2:$FA$200, 22, FALSE)="",":",VLOOKUP($E$279,[1]DATA_A11!$A$2:$FA$200, 22, FALSE))</f>
        <v>2281.1</v>
      </c>
      <c r="X279" s="544">
        <f>IF(VLOOKUP($E$279,[1]DATA_A11!$A$2:$FA$200, 23, FALSE)="",":",VLOOKUP($E$279,[1]DATA_A11!$A$2:$FA$200, 23, FALSE))</f>
        <v>2293.4</v>
      </c>
      <c r="Y279" s="544">
        <f>IF(VLOOKUP($E$279,[1]DATA_A11!$A$2:$FA$200, 24, FALSE)="",":",VLOOKUP($E$279,[1]DATA_A11!$A$2:$FA$200, 24, FALSE))</f>
        <v>2360.1</v>
      </c>
      <c r="Z279" s="544">
        <f>IF(VLOOKUP($E$279,[1]DATA_A11!$A$2:$FA$200, 25, FALSE)="",":",VLOOKUP($E$279,[1]DATA_A11!$A$2:$FA$200, 25, FALSE))</f>
        <v>2428.8000000000002</v>
      </c>
      <c r="AA279" s="544">
        <f>IF(VLOOKUP($E$279,[1]DATA_A11!$A$2:$FA$200, 26, FALSE)="",":",VLOOKUP($E$279,[1]DATA_A11!$A$2:$FA$200, 26, FALSE))</f>
        <v>2514.9</v>
      </c>
      <c r="AB279" s="544">
        <f>IF(VLOOKUP($E$279,[1]DATA_A11!$A$2:$FA$200, 27, FALSE)="",":",VLOOKUP($E$279,[1]DATA_A11!$A$2:$FA$200, 27, FALSE))</f>
        <v>2643.6</v>
      </c>
      <c r="AC279" s="544" t="e">
        <f>IF(VLOOKUP($E$279,[1]DATA_A11!$A$2:$FA$200, 28, FALSE)="",":",VLOOKUP($E$279,[1]DATA_A11!$A$2:$FA$200, 28, FALSE))</f>
        <v>#VALUE!</v>
      </c>
      <c r="AD279" s="544" t="str">
        <f>IF(VLOOKUP($E$279,[1]DATA_A11!$A$2:$FA$200, 29, FALSE)="",":",VLOOKUP($E$279,[1]DATA_A11!$A$2:$FA$200, 29, FALSE))</f>
        <v>:</v>
      </c>
      <c r="AE279" s="544" t="str">
        <f>IF(VLOOKUP($E$279,[1]DATA_A11!$A$2:$FA$200, 30, FALSE)="",":",VLOOKUP($E$279,[1]DATA_A11!$A$2:$FA$200, 30, FALSE))</f>
        <v>:</v>
      </c>
      <c r="AF279" s="544" t="str">
        <f>IF(VLOOKUP($E$279,[1]DATA_A11!$A$2:$FA$200, 31, FALSE)="",":",VLOOKUP($E$279,[1]DATA_A11!$A$2:$FA$200, 31, FALSE))</f>
        <v>:</v>
      </c>
    </row>
    <row r="280" spans="1:32">
      <c r="A280" s="533"/>
      <c r="B280" s="534"/>
      <c r="C280" s="535"/>
      <c r="D280" s="12"/>
      <c r="E280" s="13"/>
      <c r="F280" s="14"/>
      <c r="G280" s="544"/>
      <c r="H280" s="544"/>
      <c r="I280" s="544"/>
      <c r="J280" s="544"/>
      <c r="K280" s="544"/>
      <c r="L280" s="544"/>
      <c r="M280" s="544"/>
      <c r="N280" s="544"/>
      <c r="O280" s="544"/>
      <c r="P280" s="544"/>
      <c r="Q280" s="544"/>
      <c r="R280" s="544"/>
      <c r="S280" s="544"/>
      <c r="T280" s="544"/>
      <c r="U280">
        <f t="shared" ref="U280:Z280" si="17">+(U279-T279)/T279*100</f>
        <v>-2.0954552602610543</v>
      </c>
      <c r="V280">
        <f t="shared" si="17"/>
        <v>-10.171465285306997</v>
      </c>
      <c r="W280">
        <f t="shared" si="17"/>
        <v>1.9713902548055391</v>
      </c>
      <c r="X280">
        <f t="shared" si="17"/>
        <v>0.53921353732848987</v>
      </c>
      <c r="Y280">
        <f t="shared" si="17"/>
        <v>2.9083456876253519</v>
      </c>
      <c r="Z280">
        <f t="shared" si="17"/>
        <v>2.9108936062031385</v>
      </c>
      <c r="AA280"/>
      <c r="AB280"/>
      <c r="AC280"/>
      <c r="AD280" s="544" t="s">
        <v>2446</v>
      </c>
      <c r="AE280" s="544"/>
      <c r="AF280" s="544"/>
    </row>
    <row r="281" spans="1:32">
      <c r="A281" s="533"/>
      <c r="B281" s="534"/>
      <c r="C281" s="535"/>
      <c r="D281" s="12"/>
      <c r="E281" s="13"/>
      <c r="F281" s="14"/>
      <c r="G281" s="544"/>
      <c r="H281" s="544"/>
      <c r="I281" s="544"/>
      <c r="J281" s="544"/>
      <c r="K281" s="544"/>
      <c r="L281" s="544"/>
      <c r="M281" s="544"/>
      <c r="N281" s="544"/>
      <c r="O281" s="544"/>
      <c r="P281" s="544"/>
      <c r="Q281" s="544"/>
      <c r="R281" s="544"/>
      <c r="S281" s="544"/>
      <c r="T281" s="544"/>
      <c r="U281"/>
      <c r="V281"/>
      <c r="W281">
        <v>3.426932700799612</v>
      </c>
      <c r="X281">
        <v>2.6886442417238809</v>
      </c>
      <c r="Y281">
        <v>3.4274787789461136</v>
      </c>
      <c r="Z281">
        <v>1.791340016319598</v>
      </c>
      <c r="AA281">
        <v>3.7</v>
      </c>
      <c r="AB281">
        <v>5</v>
      </c>
      <c r="AC281">
        <v>4.5</v>
      </c>
      <c r="AD281" s="544"/>
      <c r="AE281" s="544"/>
      <c r="AF281" s="544"/>
    </row>
    <row r="282" spans="1:32">
      <c r="A282" s="533"/>
      <c r="B282" s="534"/>
      <c r="C282" s="535"/>
      <c r="D282" s="12"/>
      <c r="E282" s="13"/>
      <c r="F282" s="14"/>
      <c r="G282" s="544"/>
      <c r="H282" s="544"/>
      <c r="I282" s="544"/>
      <c r="J282" s="544"/>
      <c r="K282" s="544"/>
      <c r="L282" s="544"/>
      <c r="M282" s="544"/>
      <c r="N282" s="544"/>
      <c r="O282" s="544"/>
      <c r="P282" s="544"/>
      <c r="Q282" s="544"/>
      <c r="R282" s="544"/>
      <c r="S282" s="544"/>
      <c r="T282" s="544"/>
      <c r="U282" s="544"/>
      <c r="V282" s="544"/>
      <c r="W282" s="544"/>
      <c r="X282" s="544"/>
      <c r="Y282" s="544"/>
      <c r="Z282" s="544"/>
      <c r="AA282" s="544"/>
      <c r="AB282" s="544"/>
      <c r="AC282" s="544"/>
      <c r="AD282" s="544"/>
      <c r="AE282" s="544"/>
      <c r="AF282" s="544"/>
    </row>
    <row r="283" spans="1:32">
      <c r="A283" s="533"/>
      <c r="B283" s="534"/>
      <c r="C283" s="535"/>
      <c r="D283" s="12"/>
      <c r="E283" s="13"/>
      <c r="F283" s="14"/>
      <c r="G283" s="544"/>
      <c r="H283" s="544"/>
      <c r="I283" s="544"/>
      <c r="J283" s="544"/>
      <c r="K283" s="544"/>
      <c r="L283" s="544"/>
      <c r="M283" s="544"/>
      <c r="N283" s="544"/>
      <c r="O283" s="544"/>
      <c r="P283" s="544"/>
      <c r="Q283" s="544"/>
      <c r="R283" s="544"/>
      <c r="S283" s="544"/>
      <c r="T283" s="544"/>
      <c r="U283" s="544"/>
      <c r="V283" s="544"/>
      <c r="W283" s="544"/>
      <c r="X283" s="544"/>
      <c r="Y283" s="544"/>
      <c r="Z283" s="544"/>
      <c r="AA283" s="544"/>
      <c r="AB283" s="544"/>
      <c r="AC283" s="544"/>
      <c r="AD283" s="544"/>
      <c r="AE283" s="544"/>
      <c r="AF283" s="544"/>
    </row>
    <row r="284" spans="1:32">
      <c r="A284" s="3079"/>
      <c r="B284" s="3080" t="s">
        <v>1572</v>
      </c>
      <c r="C284" s="3081"/>
      <c r="D284" s="3082"/>
      <c r="E284" s="3083"/>
      <c r="F284" s="3085"/>
      <c r="G284" s="3086"/>
      <c r="H284" s="3086"/>
      <c r="I284" s="3086"/>
      <c r="J284" s="3086"/>
      <c r="K284" s="3086"/>
      <c r="L284" s="3086"/>
      <c r="M284" s="3086"/>
      <c r="N284" s="3086"/>
      <c r="O284" s="3086"/>
      <c r="P284" s="3087"/>
      <c r="Q284" s="3087"/>
      <c r="R284" s="3086"/>
      <c r="S284" s="3086"/>
      <c r="T284" s="3086"/>
      <c r="U284" s="3086"/>
      <c r="V284" s="3086"/>
      <c r="W284" s="3086"/>
      <c r="X284" s="3086"/>
      <c r="Y284" s="3086"/>
      <c r="Z284" s="3086"/>
      <c r="AA284" s="3086"/>
      <c r="AB284" s="3086"/>
      <c r="AC284" s="3086"/>
      <c r="AD284" s="3086"/>
      <c r="AE284" s="3086"/>
      <c r="AF284" s="3086"/>
    </row>
    <row r="285" spans="1:32">
      <c r="A285" s="3079"/>
      <c r="B285" s="3084" t="s">
        <v>1573</v>
      </c>
      <c r="C285" s="3081" t="s">
        <v>645</v>
      </c>
      <c r="D285" s="3082" t="s">
        <v>879</v>
      </c>
      <c r="E285" s="3083">
        <v>4000</v>
      </c>
      <c r="F285" s="3085" t="str">
        <f>VLOOKUP($E$285,[1]DATA_A11!$A$2:$FA$303, 3, FALSE)</f>
        <v>4000 Property income from ROW (negative means paid)</v>
      </c>
      <c r="G285" s="3086">
        <f>IF(VLOOKUP($E$285,[1]DATA_A11!$A$2:$FA$303, 6, FALSE)="",":",VLOOKUP($E$285,[1]DATA_A11!$A$2:$FA$303, 6, FALSE))</f>
        <v>63.42678405931418</v>
      </c>
      <c r="H285" s="3086">
        <f>IF(VLOOKUP($E$285,[1]DATA_A11!$A$2:$FA$303, 7, FALSE)="",":",VLOOKUP($E$285,[1]DATA_A11!$A$2:$FA$303, 7, FALSE))</f>
        <v>55.89666357738647</v>
      </c>
      <c r="I285" s="3086">
        <f>IF(VLOOKUP($E$285,[1]DATA_A11!$A$2:$FA$303, 8, FALSE)="",":",VLOOKUP($E$285,[1]DATA_A11!$A$2:$FA$303, 8, FALSE))</f>
        <v>99.339666357738651</v>
      </c>
      <c r="J285" s="3086">
        <f>IF(VLOOKUP($E$285,[1]DATA_A11!$A$2:$FA$303, 9, FALSE)="",":",VLOOKUP($E$285,[1]DATA_A11!$A$2:$FA$303, 9, FALSE))</f>
        <v>146.258109360519</v>
      </c>
      <c r="K285" s="3086">
        <f>IF(VLOOKUP($E$285,[1]DATA_A11!$A$2:$FA$303, 10, FALSE)="",":",VLOOKUP($E$285,[1]DATA_A11!$A$2:$FA$303, 10, FALSE))</f>
        <v>136.99026876737722</v>
      </c>
      <c r="L285" s="3086">
        <f>IF(VLOOKUP($E$285,[1]DATA_A11!$A$2:$FA$303, 11, FALSE)="",":",VLOOKUP($E$285,[1]DATA_A11!$A$2:$FA$303, 11, FALSE))</f>
        <v>166.241890639481</v>
      </c>
      <c r="M285" s="3086">
        <f>IF(VLOOKUP($E$285,[1]DATA_A11!$A$2:$FA$303, 12, FALSE)="",":",VLOOKUP($E$285,[1]DATA_A11!$A$2:$FA$303, 12, FALSE))</f>
        <v>150.89202965708989</v>
      </c>
      <c r="N285" s="3086">
        <f>IF(VLOOKUP($E$285,[1]DATA_A11!$A$2:$FA$303, 13, FALSE)="",":",VLOOKUP($E$285,[1]DATA_A11!$A$2:$FA$303, 13, FALSE))</f>
        <v>128.59128822984246</v>
      </c>
      <c r="O285" s="3086">
        <f>IF(VLOOKUP($E$285,[1]DATA_A11!$A$2:$FA$303, 14, FALSE)="",":",VLOOKUP($E$285,[1]DATA_A11!$A$2:$FA$303, 14, FALSE))</f>
        <v>142.20342910101948</v>
      </c>
      <c r="P285" s="3086">
        <f>IF(VLOOKUP($E$285,[1]DATA_A11!$A$2:$FA$303, 15, FALSE)="",":",VLOOKUP($E$285,[1]DATA_A11!$A$2:$FA$303, 15, FALSE))</f>
        <v>159.00139017608899</v>
      </c>
      <c r="Q285" s="3086">
        <f>IF(VLOOKUP($E$285,[1]DATA_A11!$A$2:$FA$303, 16, FALSE)="",":",VLOOKUP($E$285,[1]DATA_A11!$A$2:$FA$303, 16, FALSE))</f>
        <v>123</v>
      </c>
      <c r="R285" s="3086">
        <f>IF(VLOOKUP($E$285,[1]DATA_A11!$A$2:$FA$303, 17, FALSE)="",":",VLOOKUP($E$285,[1]DATA_A11!$A$2:$FA$303, 17, FALSE))</f>
        <v>215</v>
      </c>
      <c r="S285" s="3086">
        <f>IF(VLOOKUP($E$285,[1]DATA_A11!$A$2:$FA$303, 18, FALSE)="",":",VLOOKUP($E$285,[1]DATA_A11!$A$2:$FA$303, 18, FALSE))</f>
        <v>324</v>
      </c>
      <c r="T285" s="3086">
        <f>IF(VLOOKUP($E$285,[1]DATA_A11!$A$2:$FA$303, 19, FALSE)="",":",VLOOKUP($E$285,[1]DATA_A11!$A$2:$FA$303, 19, FALSE))</f>
        <v>436</v>
      </c>
      <c r="U285" s="3086">
        <f>IF(VLOOKUP($E$285,[1]DATA_A11!$A$2:$FA$303, 20, FALSE)="",":",VLOOKUP($E$285,[1]DATA_A11!$A$2:$FA$303, 20, FALSE))</f>
        <v>205</v>
      </c>
      <c r="V285" s="3086">
        <f>IF(VLOOKUP($E$285,[1]DATA_A11!$A$2:$FA$303, 21, FALSE)="",":",VLOOKUP($E$285,[1]DATA_A11!$A$2:$FA$303, 21, FALSE))</f>
        <v>269</v>
      </c>
      <c r="W285" s="3086">
        <f>IF(VLOOKUP($E$285,[1]DATA_A11!$A$2:$FA$303, 22, FALSE)="",":",VLOOKUP($E$285,[1]DATA_A11!$A$2:$FA$303, 22, FALSE))</f>
        <v>416</v>
      </c>
      <c r="X285" s="3086">
        <f>IF(VLOOKUP($E$285,[1]DATA_A11!$A$2:$FA$303, 23, FALSE)="",":",VLOOKUP($E$285,[1]DATA_A11!$A$2:$FA$303, 23, FALSE))</f>
        <v>432</v>
      </c>
      <c r="Y285" s="3086">
        <f>IF(VLOOKUP($E$285,[1]DATA_A11!$A$2:$FA$303, 24, FALSE)="",":",VLOOKUP($E$285,[1]DATA_A11!$A$2:$FA$303, 24, FALSE))</f>
        <v>337</v>
      </c>
      <c r="Z285" s="3086">
        <f>IF(VLOOKUP($E$285,[1]DATA_A11!$A$2:$FA$303, 25, FALSE)="",":",VLOOKUP($E$285,[1]DATA_A11!$A$2:$FA$303, 25, FALSE))</f>
        <v>298</v>
      </c>
      <c r="AA285" s="3086">
        <f>IF(VLOOKUP($E$285,[1]DATA_A11!$A$2:$FA$303, 26, FALSE)="",":",VLOOKUP($E$285,[1]DATA_A11!$A$2:$FA$303, 26, FALSE))</f>
        <v>229</v>
      </c>
      <c r="AB285" s="3086">
        <f>IF(VLOOKUP($E$285,[1]DATA_A11!$A$2:$FA$303, 27, FALSE)="",":",VLOOKUP($E$285,[1]DATA_A11!$A$2:$FA$303, 27, FALSE))</f>
        <v>229</v>
      </c>
      <c r="AC285" s="3086" t="str">
        <f>IF(VLOOKUP($E$285,[1]DATA_A11!$A$2:$FA$303, 28, FALSE)="",":",VLOOKUP($E$285,[1]DATA_A11!$A$2:$FA$303, 28, FALSE))</f>
        <v>n.a.</v>
      </c>
      <c r="AD285" s="3086" t="str">
        <f>IF(VLOOKUP($E$285,[1]DATA_A11!$A$2:$FA$303, 29, FALSE)="",":",VLOOKUP($E$285,[1]DATA_A11!$A$2:$FA$303, 29, FALSE))</f>
        <v>:</v>
      </c>
      <c r="AE285" s="3086" t="str">
        <f>IF(VLOOKUP($E$285,[1]DATA_A11!$A$2:$FA$303, 30, FALSE)="",":",VLOOKUP($E$285,[1]DATA_A11!$A$2:$FA$303, 30, FALSE))</f>
        <v>:</v>
      </c>
      <c r="AF285" s="3086" t="str">
        <f>IF(VLOOKUP($E$285,[1]DATA_A11!$A$2:$FA$303, 31, FALSE)="",":",VLOOKUP($E$285,[1]DATA_A11!$A$2:$FA$303, 31, FALSE))</f>
        <v>:</v>
      </c>
    </row>
    <row r="286" spans="1:32">
      <c r="A286" s="3079"/>
      <c r="B286" s="3084" t="s">
        <v>1573</v>
      </c>
      <c r="C286" s="3081" t="s">
        <v>645</v>
      </c>
      <c r="D286" s="3082" t="s">
        <v>879</v>
      </c>
      <c r="E286" s="3083">
        <v>4001</v>
      </c>
      <c r="F286" s="3085" t="str">
        <f>VLOOKUP($E$286,[1]DATA_A11!$A$2:$FA$303, 3, FALSE)</f>
        <v>4001 Property income to ROW (D.4)</v>
      </c>
      <c r="G286" s="3086">
        <f>IF(VLOOKUP($E$286,[1]DATA_A11!$A$2:$FA$303, 6, FALSE)="",":",VLOOKUP($E$286,[1]DATA_A11!$A$2:$FA$303, 6, FALSE))</f>
        <v>71.246524559777569</v>
      </c>
      <c r="H286" s="3086">
        <f>IF(VLOOKUP($E$286,[1]DATA_A11!$A$2:$FA$303, 7, FALSE)="",":",VLOOKUP($E$286,[1]DATA_A11!$A$2:$FA$303, 7, FALSE))</f>
        <v>128.30166821130678</v>
      </c>
      <c r="I286" s="3086">
        <f>IF(VLOOKUP($E$286,[1]DATA_A11!$A$2:$FA$303, 8, FALSE)="",":",VLOOKUP($E$286,[1]DATA_A11!$A$2:$FA$303, 8, FALSE))</f>
        <v>250.52131603336423</v>
      </c>
      <c r="J286" s="3086">
        <f>IF(VLOOKUP($E$286,[1]DATA_A11!$A$2:$FA$303, 9, FALSE)="",":",VLOOKUP($E$286,[1]DATA_A11!$A$2:$FA$303, 9, FALSE))</f>
        <v>369.55514365152919</v>
      </c>
      <c r="K286" s="3086">
        <f>IF(VLOOKUP($E$286,[1]DATA_A11!$A$2:$FA$303, 10, FALSE)="",":",VLOOKUP($E$286,[1]DATA_A11!$A$2:$FA$303, 10, FALSE))</f>
        <v>380.56070435588509</v>
      </c>
      <c r="L286" s="3086">
        <f>IF(VLOOKUP($E$286,[1]DATA_A11!$A$2:$FA$303, 11, FALSE)="",":",VLOOKUP($E$286,[1]DATA_A11!$A$2:$FA$303, 11, FALSE))</f>
        <v>410.39156626506025</v>
      </c>
      <c r="M286" s="3086">
        <f>IF(VLOOKUP($E$286,[1]DATA_A11!$A$2:$FA$303, 12, FALSE)="",":",VLOOKUP($E$286,[1]DATA_A11!$A$2:$FA$303, 12, FALSE))</f>
        <v>392.14550509731237</v>
      </c>
      <c r="N286" s="3086">
        <f>IF(VLOOKUP($E$286,[1]DATA_A11!$A$2:$FA$303, 13, FALSE)="",":",VLOOKUP($E$286,[1]DATA_A11!$A$2:$FA$303, 13, FALSE))</f>
        <v>342.91010194624653</v>
      </c>
      <c r="O286" s="3086">
        <f>IF(VLOOKUP($E$286,[1]DATA_A11!$A$2:$FA$303, 14, FALSE)="",":",VLOOKUP($E$286,[1]DATA_A11!$A$2:$FA$303, 14, FALSE))</f>
        <v>595.16913809082484</v>
      </c>
      <c r="P286" s="3086">
        <f>IF(VLOOKUP($E$286,[1]DATA_A11!$A$2:$FA$303, 15, FALSE)="",":",VLOOKUP($E$286,[1]DATA_A11!$A$2:$FA$303, 15, FALSE))</f>
        <v>743.74420759962936</v>
      </c>
      <c r="Q286" s="3086">
        <f>IF(VLOOKUP($E$286,[1]DATA_A11!$A$2:$FA$303, 16, FALSE)="",":",VLOOKUP($E$286,[1]DATA_A11!$A$2:$FA$303, 16, FALSE))</f>
        <v>789</v>
      </c>
      <c r="R286" s="3086">
        <f>IF(VLOOKUP($E$286,[1]DATA_A11!$A$2:$FA$303, 17, FALSE)="",":",VLOOKUP($E$286,[1]DATA_A11!$A$2:$FA$303, 17, FALSE))</f>
        <v>1061</v>
      </c>
      <c r="S286" s="3086">
        <f>IF(VLOOKUP($E$286,[1]DATA_A11!$A$2:$FA$303, 18, FALSE)="",":",VLOOKUP($E$286,[1]DATA_A11!$A$2:$FA$303, 18, FALSE))</f>
        <v>1692</v>
      </c>
      <c r="T286" s="3086">
        <f>IF(VLOOKUP($E$286,[1]DATA_A11!$A$2:$FA$303, 19, FALSE)="",":",VLOOKUP($E$286,[1]DATA_A11!$A$2:$FA$303, 19, FALSE))</f>
        <v>1789</v>
      </c>
      <c r="U286" s="3086">
        <f>IF(VLOOKUP($E$286,[1]DATA_A11!$A$2:$FA$303, 20, FALSE)="",":",VLOOKUP($E$286,[1]DATA_A11!$A$2:$FA$303, 20, FALSE))</f>
        <v>-39</v>
      </c>
      <c r="V286" s="3086">
        <f>IF(VLOOKUP($E$286,[1]DATA_A11!$A$2:$FA$303, 21, FALSE)="",":",VLOOKUP($E$286,[1]DATA_A11!$A$2:$FA$303, 21, FALSE))</f>
        <v>1254</v>
      </c>
      <c r="W286" s="3086">
        <f>IF(VLOOKUP($E$286,[1]DATA_A11!$A$2:$FA$303, 22, FALSE)="",":",VLOOKUP($E$286,[1]DATA_A11!$A$2:$FA$303, 22, FALSE))</f>
        <v>2000</v>
      </c>
      <c r="X286" s="3086">
        <f>IF(VLOOKUP($E$286,[1]DATA_A11!$A$2:$FA$303, 23, FALSE)="",":",VLOOKUP($E$286,[1]DATA_A11!$A$2:$FA$303, 23, FALSE))</f>
        <v>1778</v>
      </c>
      <c r="Y286" s="3086">
        <f>IF(VLOOKUP($E$286,[1]DATA_A11!$A$2:$FA$303, 24, FALSE)="",":",VLOOKUP($E$286,[1]DATA_A11!$A$2:$FA$303, 24, FALSE))</f>
        <v>1618</v>
      </c>
      <c r="Z286" s="3086">
        <f>IF(VLOOKUP($E$286,[1]DATA_A11!$A$2:$FA$303, 25, FALSE)="",":",VLOOKUP($E$286,[1]DATA_A11!$A$2:$FA$303, 25, FALSE))</f>
        <v>1069</v>
      </c>
      <c r="AA286" s="3086">
        <f>IF(VLOOKUP($E$286,[1]DATA_A11!$A$2:$FA$303, 26, FALSE)="",":",VLOOKUP($E$286,[1]DATA_A11!$A$2:$FA$303, 26, FALSE))</f>
        <v>2099</v>
      </c>
      <c r="AB286" s="3086">
        <f>IF(VLOOKUP($E$286,[1]DATA_A11!$A$2:$FA$303, 27, FALSE)="",":",VLOOKUP($E$286,[1]DATA_A11!$A$2:$FA$303, 27, FALSE))</f>
        <v>2080</v>
      </c>
      <c r="AC286" s="3086" t="str">
        <f>IF(VLOOKUP($E$286,[1]DATA_A11!$A$2:$FA$303, 28, FALSE)="",":",VLOOKUP($E$286,[1]DATA_A11!$A$2:$FA$303, 28, FALSE))</f>
        <v>n.a.</v>
      </c>
      <c r="AD286" s="3086" t="str">
        <f>IF(VLOOKUP($E$286,[1]DATA_A11!$A$2:$FA$303, 29, FALSE)="",":",VLOOKUP($E$286,[1]DATA_A11!$A$2:$FA$303, 29, FALSE))</f>
        <v>:</v>
      </c>
      <c r="AE286" s="3086" t="str">
        <f>IF(VLOOKUP($E$286,[1]DATA_A11!$A$2:$FA$303, 30, FALSE)="",":",VLOOKUP($E$286,[1]DATA_A11!$A$2:$FA$303, 30, FALSE))</f>
        <v>:</v>
      </c>
      <c r="AF286" s="3086" t="str">
        <f>IF(VLOOKUP($E$286,[1]DATA_A11!$A$2:$FA$303, 31, FALSE)="",":",VLOOKUP($E$286,[1]DATA_A11!$A$2:$FA$303, 31, FALSE))</f>
        <v>:</v>
      </c>
    </row>
    <row r="287" spans="1:32">
      <c r="A287" s="3079"/>
      <c r="B287" s="3084"/>
      <c r="C287" s="3081"/>
      <c r="D287" s="3082"/>
      <c r="E287" s="3083"/>
      <c r="F287" s="3085"/>
      <c r="G287" s="3086"/>
      <c r="H287" s="3086"/>
      <c r="I287" s="3086"/>
      <c r="J287" s="3086"/>
      <c r="K287" s="3086"/>
      <c r="L287" s="3086"/>
      <c r="M287" s="3086"/>
      <c r="N287" s="3086"/>
      <c r="O287" s="3086"/>
      <c r="P287" s="3087"/>
      <c r="Q287" s="3087"/>
      <c r="R287" s="3086"/>
      <c r="S287" s="3086"/>
      <c r="T287" s="3086"/>
      <c r="U287" s="3086"/>
      <c r="V287" s="3086"/>
      <c r="W287" s="3086"/>
      <c r="X287" s="3086"/>
      <c r="Y287" s="3086"/>
      <c r="Z287" s="3086"/>
      <c r="AA287" s="3086"/>
      <c r="AB287" s="3086"/>
      <c r="AC287" s="3086"/>
      <c r="AD287" s="3086"/>
      <c r="AE287" s="3086"/>
      <c r="AF287" s="3086"/>
    </row>
    <row r="288" spans="1:32">
      <c r="A288" s="3079"/>
      <c r="B288" s="3084"/>
      <c r="C288" s="3081"/>
      <c r="D288" s="3082"/>
      <c r="E288" s="3083"/>
      <c r="F288" s="3085"/>
      <c r="G288" s="3086"/>
      <c r="H288" s="3086"/>
      <c r="I288" s="3086"/>
      <c r="J288" s="3086"/>
      <c r="K288" s="3086"/>
      <c r="L288" s="3086"/>
      <c r="M288" s="3086"/>
      <c r="N288" s="3086"/>
      <c r="O288" s="3086"/>
      <c r="P288" s="3086"/>
      <c r="Q288" s="3086"/>
      <c r="R288" s="3086"/>
      <c r="S288" s="3086"/>
      <c r="T288" s="3086"/>
      <c r="U288" s="3086"/>
      <c r="V288" s="3086"/>
      <c r="W288" s="3086"/>
      <c r="X288" s="3086"/>
      <c r="Y288" s="3086"/>
      <c r="Z288" s="3086"/>
      <c r="AA288" s="3086"/>
      <c r="AB288" s="3086"/>
      <c r="AC288" s="3086"/>
      <c r="AD288" s="3086"/>
      <c r="AE288" s="3086"/>
      <c r="AF288" s="3086"/>
    </row>
    <row r="289" spans="1:32">
      <c r="A289" s="3079"/>
      <c r="B289" s="3084"/>
      <c r="C289" s="3081"/>
      <c r="D289" s="3082"/>
      <c r="E289" s="3083"/>
      <c r="F289" s="3085"/>
      <c r="G289" s="3086"/>
      <c r="H289" s="3086"/>
      <c r="I289" s="3086"/>
      <c r="J289" s="3086"/>
      <c r="K289" s="3086"/>
      <c r="L289" s="3086"/>
      <c r="M289" s="3086"/>
      <c r="N289" s="3086"/>
      <c r="O289" s="3086"/>
      <c r="P289" s="3086"/>
      <c r="Q289" s="3086"/>
      <c r="R289" s="3086"/>
      <c r="S289" s="3086"/>
      <c r="T289" s="3086"/>
      <c r="U289" s="3086"/>
      <c r="V289" s="3086"/>
      <c r="W289" s="3086"/>
      <c r="X289" s="3086"/>
      <c r="Y289" s="3086"/>
      <c r="Z289" s="3086"/>
      <c r="AA289" s="3086"/>
      <c r="AB289" s="3086"/>
      <c r="AC289" s="3086"/>
      <c r="AD289" s="3086"/>
      <c r="AE289" s="3086"/>
      <c r="AF289" s="3086"/>
    </row>
    <row r="290" spans="1:32">
      <c r="A290" s="3079"/>
      <c r="B290" s="3084"/>
      <c r="C290" s="3081"/>
      <c r="D290" s="3082"/>
      <c r="E290" s="3083"/>
      <c r="F290" s="3085"/>
      <c r="G290" s="3086"/>
      <c r="H290" s="3086"/>
      <c r="I290" s="3086"/>
      <c r="J290" s="3086"/>
      <c r="K290" s="3086"/>
      <c r="L290" s="3086"/>
      <c r="M290" s="3086"/>
      <c r="N290" s="3086"/>
      <c r="O290" s="3086"/>
      <c r="P290" s="3086"/>
      <c r="Q290" s="3086"/>
      <c r="R290" s="3086"/>
      <c r="S290" s="3086"/>
      <c r="T290" s="3086"/>
      <c r="U290" s="3086"/>
      <c r="V290" s="3086"/>
      <c r="W290" s="3086"/>
      <c r="X290" s="3086"/>
      <c r="Y290" s="3086"/>
      <c r="Z290" s="3086"/>
      <c r="AA290" s="3086"/>
      <c r="AB290" s="3086"/>
      <c r="AC290" s="3086"/>
      <c r="AD290" s="3086"/>
      <c r="AE290" s="3086"/>
      <c r="AF290" s="3086"/>
    </row>
    <row r="291" spans="1:32" customFormat="1"/>
    <row r="292" spans="1:32" customFormat="1"/>
    <row r="293" spans="1:32" customFormat="1"/>
    <row r="294" spans="1:32" customFormat="1"/>
    <row r="295" spans="1:32" customFormat="1"/>
    <row r="296" spans="1:32" customFormat="1"/>
    <row r="297" spans="1:32" customFormat="1"/>
    <row r="298" spans="1:32" customFormat="1"/>
    <row r="299" spans="1:32" customFormat="1"/>
    <row r="300" spans="1:32" customFormat="1"/>
    <row r="301" spans="1:32" customFormat="1"/>
    <row r="302" spans="1:32" customFormat="1"/>
    <row r="303" spans="1:32" customFormat="1"/>
    <row r="304" spans="1:32"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sheetData>
  <autoFilter ref="D3:E503"/>
  <mergeCells count="1">
    <mergeCell ref="A1:F1"/>
  </mergeCells>
  <phoneticPr fontId="0" type="noConversion"/>
  <printOptions horizontalCentered="1" headings="1"/>
  <pageMargins left="0.23622047244094491" right="0.23622047244094491" top="0.98425196850393704" bottom="0.98425196850393704" header="0.51181102362204722" footer="0.51181102362204722"/>
  <pageSetup orientation="portrait" horizontalDpi="1200" verticalDpi="12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4" enableFormatConditionsCalculation="0">
    <tabColor indexed="44"/>
  </sheetPr>
  <dimension ref="A1:DF2015"/>
  <sheetViews>
    <sheetView showGridLines="0" topLeftCell="BX1" workbookViewId="0">
      <selection activeCell="CT8" sqref="CT8"/>
    </sheetView>
  </sheetViews>
  <sheetFormatPr defaultRowHeight="12.75"/>
  <cols>
    <col min="1" max="1" width="4.5703125" style="3" customWidth="1"/>
    <col min="2" max="2" width="14" style="2" customWidth="1"/>
    <col min="3" max="3" width="17" style="1" customWidth="1"/>
    <col min="4" max="4" width="10.7109375" style="1" customWidth="1"/>
    <col min="5" max="5" width="6.5703125" style="1" customWidth="1"/>
    <col min="6" max="6" width="49.5703125" style="1" customWidth="1"/>
    <col min="7" max="107" width="9" style="542" customWidth="1"/>
    <col min="108" max="16384" width="9.140625" style="1"/>
  </cols>
  <sheetData>
    <row r="1" spans="1:110" ht="42" customHeight="1" thickBot="1">
      <c r="A1" s="3751" t="s">
        <v>1688</v>
      </c>
      <c r="B1" s="3751"/>
      <c r="C1" s="3751"/>
      <c r="D1" s="3751"/>
      <c r="E1" s="3751"/>
      <c r="F1" s="3751"/>
      <c r="CC1" s="542">
        <v>80</v>
      </c>
      <c r="CD1" s="542">
        <v>81</v>
      </c>
      <c r="CE1" s="542">
        <v>82</v>
      </c>
      <c r="CF1" s="542">
        <v>83</v>
      </c>
      <c r="CG1" s="542">
        <v>84</v>
      </c>
      <c r="CH1" s="542">
        <v>85</v>
      </c>
      <c r="CI1" s="542">
        <v>86</v>
      </c>
      <c r="CJ1" s="542">
        <v>87</v>
      </c>
      <c r="CK1" s="542">
        <v>88</v>
      </c>
      <c r="CL1" s="542">
        <v>89</v>
      </c>
      <c r="CM1" s="542">
        <v>90</v>
      </c>
      <c r="CN1" s="542">
        <v>91</v>
      </c>
      <c r="CO1" s="542">
        <v>92</v>
      </c>
      <c r="CP1" s="542">
        <v>93</v>
      </c>
      <c r="CQ1" s="542">
        <v>94</v>
      </c>
      <c r="CR1" s="542">
        <v>95</v>
      </c>
      <c r="CS1" s="542">
        <v>96</v>
      </c>
      <c r="CT1" s="542">
        <v>97</v>
      </c>
      <c r="CU1" s="542">
        <v>98</v>
      </c>
      <c r="CV1" s="542">
        <v>99</v>
      </c>
      <c r="CW1" s="542">
        <v>100</v>
      </c>
      <c r="CX1" s="542">
        <v>101</v>
      </c>
      <c r="CY1" s="542">
        <v>102</v>
      </c>
      <c r="CZ1" s="542">
        <v>103</v>
      </c>
      <c r="DA1" s="542">
        <v>104</v>
      </c>
    </row>
    <row r="2" spans="1:110" s="1648" customFormat="1" ht="12" customHeight="1">
      <c r="A2" s="1643" t="s">
        <v>529</v>
      </c>
      <c r="B2" s="1644"/>
      <c r="C2" s="1644"/>
      <c r="D2" s="1645"/>
      <c r="E2" s="1646"/>
      <c r="F2" s="1647"/>
      <c r="G2" s="1642">
        <f>+InputY!G3</f>
        <v>1995</v>
      </c>
      <c r="H2" s="1642"/>
      <c r="I2" s="1642"/>
      <c r="J2" s="1642"/>
      <c r="K2" s="1642">
        <f>+G2+1</f>
        <v>1996</v>
      </c>
      <c r="L2" s="1642"/>
      <c r="M2" s="1642"/>
      <c r="N2" s="1642"/>
      <c r="O2" s="1642">
        <f>+K2+1</f>
        <v>1997</v>
      </c>
      <c r="P2" s="1642"/>
      <c r="Q2" s="1642"/>
      <c r="R2" s="1642"/>
      <c r="S2" s="1642">
        <f>+O2+1</f>
        <v>1998</v>
      </c>
      <c r="T2" s="1642"/>
      <c r="U2" s="1642"/>
      <c r="V2" s="1642"/>
      <c r="W2" s="1642">
        <f>+S2+1</f>
        <v>1999</v>
      </c>
      <c r="X2" s="1642"/>
      <c r="Y2" s="1642"/>
      <c r="Z2" s="1642"/>
      <c r="AA2" s="1642">
        <f>+W2+1</f>
        <v>2000</v>
      </c>
      <c r="AB2" s="1642"/>
      <c r="AC2" s="1642"/>
      <c r="AD2" s="1642"/>
      <c r="AE2" s="1642">
        <f>+AA2+1</f>
        <v>2001</v>
      </c>
      <c r="AF2" s="1642"/>
      <c r="AG2" s="1642"/>
      <c r="AH2" s="1642"/>
      <c r="AI2" s="1642">
        <f>+AE2+1</f>
        <v>2002</v>
      </c>
      <c r="AJ2" s="1642"/>
      <c r="AK2" s="1642"/>
      <c r="AL2" s="1642"/>
      <c r="AM2" s="1642">
        <f>+AI2+1</f>
        <v>2003</v>
      </c>
      <c r="AN2" s="1642"/>
      <c r="AO2" s="1642"/>
      <c r="AP2" s="1642"/>
      <c r="AQ2" s="1642">
        <f>+AM2+1</f>
        <v>2004</v>
      </c>
      <c r="AR2" s="1642"/>
      <c r="AS2" s="1642"/>
      <c r="AT2" s="1642"/>
      <c r="AU2" s="1642">
        <f>+AQ2+1</f>
        <v>2005</v>
      </c>
      <c r="AV2" s="1642"/>
      <c r="AW2" s="1642"/>
      <c r="AX2" s="1642"/>
      <c r="AY2" s="1642">
        <f>+AU2+1</f>
        <v>2006</v>
      </c>
      <c r="AZ2" s="1642"/>
      <c r="BA2" s="1642"/>
      <c r="BB2" s="1642"/>
      <c r="BC2" s="1642">
        <f>+AY2+1</f>
        <v>2007</v>
      </c>
      <c r="BD2" s="1642"/>
      <c r="BE2" s="1642"/>
      <c r="BF2" s="1642"/>
      <c r="BG2" s="1642">
        <f>+BC2+1</f>
        <v>2008</v>
      </c>
      <c r="BH2" s="1642"/>
      <c r="BI2" s="1642"/>
      <c r="BJ2" s="1642"/>
      <c r="BK2" s="1642">
        <f>+BG2+1</f>
        <v>2009</v>
      </c>
      <c r="BL2" s="1642"/>
      <c r="BM2" s="1642"/>
      <c r="BN2" s="1642"/>
      <c r="BO2" s="1642">
        <f>+BK2+1</f>
        <v>2010</v>
      </c>
      <c r="BP2" s="1642"/>
      <c r="BQ2" s="1642"/>
      <c r="BR2" s="1642"/>
      <c r="BS2" s="1642">
        <f>+BO2+1</f>
        <v>2011</v>
      </c>
      <c r="BT2" s="1642"/>
      <c r="BU2" s="1642"/>
      <c r="BV2" s="1642"/>
      <c r="BW2" s="1642">
        <f>+BS2+1</f>
        <v>2012</v>
      </c>
      <c r="BX2" s="1642"/>
      <c r="BY2" s="1642"/>
      <c r="BZ2" s="1642"/>
      <c r="CA2" s="1642">
        <f>+BW2+1</f>
        <v>2013</v>
      </c>
      <c r="CB2" s="1642"/>
      <c r="CC2" s="1642"/>
      <c r="CD2" s="1642"/>
      <c r="CE2" s="1642">
        <f>+CA2+1</f>
        <v>2014</v>
      </c>
      <c r="CF2" s="1642"/>
      <c r="CG2" s="1642"/>
      <c r="CH2" s="1642"/>
      <c r="CI2" s="1642">
        <f>+CE2+1</f>
        <v>2015</v>
      </c>
      <c r="CJ2" s="1642"/>
      <c r="CK2" s="1642"/>
      <c r="CL2" s="1642"/>
      <c r="CM2" s="1642">
        <f>+CI2+1</f>
        <v>2016</v>
      </c>
      <c r="CN2" s="1642"/>
      <c r="CO2" s="1642"/>
      <c r="CP2" s="1642"/>
      <c r="CQ2" s="1642">
        <f>+CM2+1</f>
        <v>2017</v>
      </c>
      <c r="CR2" s="1642"/>
      <c r="CS2" s="1642"/>
      <c r="CT2" s="1642"/>
      <c r="CU2" s="1642">
        <f>+CQ2+1</f>
        <v>2018</v>
      </c>
      <c r="CV2" s="1642"/>
      <c r="CW2" s="1642"/>
      <c r="CX2" s="1642"/>
      <c r="CY2" s="1642">
        <f>+CU2+1</f>
        <v>2019</v>
      </c>
      <c r="CZ2" s="1642"/>
      <c r="DA2" s="1642"/>
      <c r="DB2" s="1642"/>
      <c r="DC2" s="1642">
        <f>+CY2+1</f>
        <v>2020</v>
      </c>
      <c r="DD2" s="1"/>
      <c r="DE2" s="1"/>
      <c r="DF2" s="1"/>
    </row>
    <row r="3" spans="1:110" s="527" customFormat="1" ht="24.75" customHeight="1">
      <c r="A3" s="521" t="s">
        <v>530</v>
      </c>
      <c r="B3" s="522" t="s">
        <v>1072</v>
      </c>
      <c r="C3" s="522" t="s">
        <v>531</v>
      </c>
      <c r="D3" s="523" t="s">
        <v>1998</v>
      </c>
      <c r="E3" s="524" t="s">
        <v>1999</v>
      </c>
      <c r="F3" s="525" t="s">
        <v>2000</v>
      </c>
      <c r="G3" s="526" t="str">
        <f>G2&amp;"Q1"</f>
        <v>1995Q1</v>
      </c>
      <c r="H3" s="526" t="str">
        <f>G2&amp;"Q2"</f>
        <v>1995Q2</v>
      </c>
      <c r="I3" s="526" t="str">
        <f>G2&amp;"Q3"</f>
        <v>1995Q3</v>
      </c>
      <c r="J3" s="526" t="str">
        <f>G2&amp;"Q4"</f>
        <v>1995Q4</v>
      </c>
      <c r="K3" s="526" t="str">
        <f>K2&amp;"Q1"</f>
        <v>1996Q1</v>
      </c>
      <c r="L3" s="526" t="str">
        <f>K2&amp;"Q2"</f>
        <v>1996Q2</v>
      </c>
      <c r="M3" s="526" t="str">
        <f>K2&amp;"Q3"</f>
        <v>1996Q3</v>
      </c>
      <c r="N3" s="526" t="str">
        <f>K2&amp;"Q4"</f>
        <v>1996Q4</v>
      </c>
      <c r="O3" s="526" t="str">
        <f>O2&amp;"Q1"</f>
        <v>1997Q1</v>
      </c>
      <c r="P3" s="526" t="str">
        <f>O2&amp;"Q2"</f>
        <v>1997Q2</v>
      </c>
      <c r="Q3" s="526" t="str">
        <f>O2&amp;"Q3"</f>
        <v>1997Q3</v>
      </c>
      <c r="R3" s="526" t="str">
        <f>O2&amp;"Q4"</f>
        <v>1997Q4</v>
      </c>
      <c r="S3" s="526" t="str">
        <f>S2&amp;"Q1"</f>
        <v>1998Q1</v>
      </c>
      <c r="T3" s="526" t="str">
        <f>S2&amp;"Q2"</f>
        <v>1998Q2</v>
      </c>
      <c r="U3" s="526" t="str">
        <f>S2&amp;"Q3"</f>
        <v>1998Q3</v>
      </c>
      <c r="V3" s="526" t="str">
        <f>S2&amp;"Q4"</f>
        <v>1998Q4</v>
      </c>
      <c r="W3" s="526" t="str">
        <f>W2&amp;"Q1"</f>
        <v>1999Q1</v>
      </c>
      <c r="X3" s="526" t="str">
        <f>W2&amp;"Q2"</f>
        <v>1999Q2</v>
      </c>
      <c r="Y3" s="526" t="str">
        <f>W2&amp;"Q3"</f>
        <v>1999Q3</v>
      </c>
      <c r="Z3" s="526" t="str">
        <f>W2&amp;"Q4"</f>
        <v>1999Q4</v>
      </c>
      <c r="AA3" s="526" t="str">
        <f>AA2&amp;"Q1"</f>
        <v>2000Q1</v>
      </c>
      <c r="AB3" s="526" t="str">
        <f>AA2&amp;"Q2"</f>
        <v>2000Q2</v>
      </c>
      <c r="AC3" s="526" t="str">
        <f>AA2&amp;"Q3"</f>
        <v>2000Q3</v>
      </c>
      <c r="AD3" s="526" t="str">
        <f>AA2&amp;"Q4"</f>
        <v>2000Q4</v>
      </c>
      <c r="AE3" s="526" t="str">
        <f>AE2&amp;"Q1"</f>
        <v>2001Q1</v>
      </c>
      <c r="AF3" s="526" t="str">
        <f>AE2&amp;"Q2"</f>
        <v>2001Q2</v>
      </c>
      <c r="AG3" s="526" t="str">
        <f>AE2&amp;"Q3"</f>
        <v>2001Q3</v>
      </c>
      <c r="AH3" s="526" t="str">
        <f>AE2&amp;"Q4"</f>
        <v>2001Q4</v>
      </c>
      <c r="AI3" s="526" t="str">
        <f>AI2&amp;"Q1"</f>
        <v>2002Q1</v>
      </c>
      <c r="AJ3" s="526" t="str">
        <f>AI2&amp;"Q2"</f>
        <v>2002Q2</v>
      </c>
      <c r="AK3" s="526" t="str">
        <f>AI2&amp;"Q3"</f>
        <v>2002Q3</v>
      </c>
      <c r="AL3" s="526" t="str">
        <f>AI2&amp;"Q4"</f>
        <v>2002Q4</v>
      </c>
      <c r="AM3" s="526" t="str">
        <f>AM2&amp;"Q1"</f>
        <v>2003Q1</v>
      </c>
      <c r="AN3" s="526" t="str">
        <f>AM2&amp;"Q2"</f>
        <v>2003Q2</v>
      </c>
      <c r="AO3" s="526" t="str">
        <f>AM2&amp;"Q3"</f>
        <v>2003Q3</v>
      </c>
      <c r="AP3" s="526" t="str">
        <f>AM2&amp;"Q4"</f>
        <v>2003Q4</v>
      </c>
      <c r="AQ3" s="526" t="str">
        <f>AQ2&amp;"Q1"</f>
        <v>2004Q1</v>
      </c>
      <c r="AR3" s="526" t="str">
        <f>AQ2&amp;"Q2"</f>
        <v>2004Q2</v>
      </c>
      <c r="AS3" s="526" t="str">
        <f>AQ2&amp;"Q3"</f>
        <v>2004Q3</v>
      </c>
      <c r="AT3" s="526" t="str">
        <f>AQ2&amp;"Q4"</f>
        <v>2004Q4</v>
      </c>
      <c r="AU3" s="526" t="str">
        <f>AU2&amp;"Q1"</f>
        <v>2005Q1</v>
      </c>
      <c r="AV3" s="526" t="str">
        <f>AU2&amp;"Q2"</f>
        <v>2005Q2</v>
      </c>
      <c r="AW3" s="526" t="str">
        <f>AU2&amp;"Q3"</f>
        <v>2005Q3</v>
      </c>
      <c r="AX3" s="526" t="str">
        <f>AU2&amp;"Q4"</f>
        <v>2005Q4</v>
      </c>
      <c r="AY3" s="526" t="str">
        <f>AY2&amp;"Q1"</f>
        <v>2006Q1</v>
      </c>
      <c r="AZ3" s="526" t="str">
        <f>AY2&amp;"Q2"</f>
        <v>2006Q2</v>
      </c>
      <c r="BA3" s="526" t="str">
        <f>AY2&amp;"Q3"</f>
        <v>2006Q3</v>
      </c>
      <c r="BB3" s="526" t="str">
        <f>AY2&amp;"Q4"</f>
        <v>2006Q4</v>
      </c>
      <c r="BC3" s="526" t="str">
        <f>BC2&amp;"Q1"</f>
        <v>2007Q1</v>
      </c>
      <c r="BD3" s="526" t="str">
        <f>BC2&amp;"Q2"</f>
        <v>2007Q2</v>
      </c>
      <c r="BE3" s="526" t="str">
        <f>BC2&amp;"Q3"</f>
        <v>2007Q3</v>
      </c>
      <c r="BF3" s="526" t="str">
        <f>BC2&amp;"Q4"</f>
        <v>2007Q4</v>
      </c>
      <c r="BG3" s="526" t="str">
        <f>BG2&amp;"Q1"</f>
        <v>2008Q1</v>
      </c>
      <c r="BH3" s="526" t="str">
        <f>BG2&amp;"Q2"</f>
        <v>2008Q2</v>
      </c>
      <c r="BI3" s="526" t="str">
        <f>BG2&amp;"Q3"</f>
        <v>2008Q3</v>
      </c>
      <c r="BJ3" s="526" t="str">
        <f>BG2&amp;"Q4"</f>
        <v>2008Q4</v>
      </c>
      <c r="BK3" s="526" t="str">
        <f>BK2&amp;"Q1"</f>
        <v>2009Q1</v>
      </c>
      <c r="BL3" s="526" t="str">
        <f>BK2&amp;"Q2"</f>
        <v>2009Q2</v>
      </c>
      <c r="BM3" s="526" t="str">
        <f>BK2&amp;"Q3"</f>
        <v>2009Q3</v>
      </c>
      <c r="BN3" s="526" t="str">
        <f>BK2&amp;"Q4"</f>
        <v>2009Q4</v>
      </c>
      <c r="BO3" s="526" t="str">
        <f>BO2&amp;"Q1"</f>
        <v>2010Q1</v>
      </c>
      <c r="BP3" s="526" t="str">
        <f>BO2&amp;"Q2"</f>
        <v>2010Q2</v>
      </c>
      <c r="BQ3" s="526" t="str">
        <f>BO2&amp;"Q3"</f>
        <v>2010Q3</v>
      </c>
      <c r="BR3" s="526" t="str">
        <f>BO2&amp;"Q4"</f>
        <v>2010Q4</v>
      </c>
      <c r="BS3" s="526" t="str">
        <f>BS2&amp;"Q1"</f>
        <v>2011Q1</v>
      </c>
      <c r="BT3" s="526" t="str">
        <f>BS2&amp;"Q2"</f>
        <v>2011Q2</v>
      </c>
      <c r="BU3" s="526" t="str">
        <f>BS2&amp;"Q3"</f>
        <v>2011Q3</v>
      </c>
      <c r="BV3" s="526" t="str">
        <f>BS2&amp;"Q4"</f>
        <v>2011Q4</v>
      </c>
      <c r="BW3" s="526" t="str">
        <f>BW2&amp;"Q1"</f>
        <v>2012Q1</v>
      </c>
      <c r="BX3" s="526" t="str">
        <f>BW2&amp;"Q2"</f>
        <v>2012Q2</v>
      </c>
      <c r="BY3" s="526" t="str">
        <f>BW2&amp;"Q3"</f>
        <v>2012Q3</v>
      </c>
      <c r="BZ3" s="526" t="str">
        <f>BW2&amp;"Q4"</f>
        <v>2012Q4</v>
      </c>
      <c r="CA3" s="526" t="str">
        <f>CA2&amp;"Q1"</f>
        <v>2013Q1</v>
      </c>
      <c r="CB3" s="526" t="str">
        <f>CA2&amp;"Q2"</f>
        <v>2013Q2</v>
      </c>
      <c r="CC3" s="526" t="str">
        <f>CA2&amp;"Q3"</f>
        <v>2013Q3</v>
      </c>
      <c r="CD3" s="526" t="str">
        <f>CA2&amp;"Q4"</f>
        <v>2013Q4</v>
      </c>
      <c r="CE3" s="526" t="str">
        <f>CE2&amp;"Q1"</f>
        <v>2014Q1</v>
      </c>
      <c r="CF3" s="526" t="str">
        <f>CE2&amp;"Q2"</f>
        <v>2014Q2</v>
      </c>
      <c r="CG3" s="526" t="str">
        <f>CE2&amp;"Q3"</f>
        <v>2014Q3</v>
      </c>
      <c r="CH3" s="526" t="str">
        <f>CE2&amp;"Q4"</f>
        <v>2014Q4</v>
      </c>
      <c r="CI3" s="526" t="str">
        <f>CI2&amp;"Q1"</f>
        <v>2015Q1</v>
      </c>
      <c r="CJ3" s="526" t="str">
        <f>CI2&amp;"Q2"</f>
        <v>2015Q2</v>
      </c>
      <c r="CK3" s="526" t="str">
        <f>CI2&amp;"Q3"</f>
        <v>2015Q3</v>
      </c>
      <c r="CL3" s="526" t="str">
        <f>CI2&amp;"Q4"</f>
        <v>2015Q4</v>
      </c>
      <c r="CM3" s="526" t="str">
        <f>CM2&amp;"Q1"</f>
        <v>2016Q1</v>
      </c>
      <c r="CN3" s="526" t="str">
        <f>CM2&amp;"Q2"</f>
        <v>2016Q2</v>
      </c>
      <c r="CO3" s="526" t="str">
        <f>CM2&amp;"Q3"</f>
        <v>2016Q3</v>
      </c>
      <c r="CP3" s="526" t="str">
        <f>CM2&amp;"Q4"</f>
        <v>2016Q4</v>
      </c>
      <c r="CQ3" s="526" t="str">
        <f>CQ2&amp;"Q1"</f>
        <v>2017Q1</v>
      </c>
      <c r="CR3" s="526" t="str">
        <f>CQ2&amp;"Q2"</f>
        <v>2017Q2</v>
      </c>
      <c r="CS3" s="526" t="str">
        <f>CQ2&amp;"Q3"</f>
        <v>2017Q3</v>
      </c>
      <c r="CT3" s="526" t="str">
        <f>CQ2&amp;"Q4"</f>
        <v>2017Q4</v>
      </c>
      <c r="CU3" s="526" t="str">
        <f>CU2&amp;"Q1"</f>
        <v>2018Q1</v>
      </c>
      <c r="CV3" s="526" t="str">
        <f>CU2&amp;"Q2"</f>
        <v>2018Q2</v>
      </c>
      <c r="CW3" s="526" t="str">
        <f>CU2&amp;"Q3"</f>
        <v>2018Q3</v>
      </c>
      <c r="CX3" s="526" t="str">
        <f>CU2&amp;"Q4"</f>
        <v>2018Q4</v>
      </c>
      <c r="CY3" s="526" t="str">
        <f>CY2&amp;"Q1"</f>
        <v>2019Q1</v>
      </c>
      <c r="CZ3" s="526" t="str">
        <f>CY2&amp;"Q2"</f>
        <v>2019Q2</v>
      </c>
      <c r="DA3" s="526" t="str">
        <f>CY2&amp;"Q3"</f>
        <v>2019Q3</v>
      </c>
      <c r="DB3" s="526" t="str">
        <f>CY2&amp;"Q4"</f>
        <v>2019Q4</v>
      </c>
      <c r="DC3" s="526" t="str">
        <f>DC2&amp;"Q1"</f>
        <v>2020Q1</v>
      </c>
      <c r="DD3" s="1"/>
      <c r="DE3" s="1"/>
      <c r="DF3" s="1"/>
    </row>
    <row r="4" spans="1:110">
      <c r="A4" s="530"/>
      <c r="B4" s="531"/>
      <c r="C4" s="532"/>
      <c r="D4" s="9"/>
      <c r="E4" s="10"/>
      <c r="F4" s="11"/>
      <c r="G4" s="543"/>
      <c r="H4" s="543"/>
      <c r="I4" s="543"/>
      <c r="J4" s="543"/>
      <c r="K4" s="543"/>
      <c r="L4" s="543"/>
      <c r="M4" s="543"/>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3"/>
      <c r="AQ4" s="543"/>
      <c r="AR4" s="543"/>
      <c r="AS4" s="543"/>
      <c r="AT4" s="543"/>
      <c r="AU4" s="543"/>
      <c r="AV4" s="543"/>
      <c r="AW4" s="543"/>
      <c r="AX4" s="543"/>
      <c r="AY4" s="543"/>
      <c r="AZ4" s="543"/>
      <c r="BA4" s="543"/>
      <c r="BB4" s="543"/>
      <c r="BC4" s="543"/>
      <c r="BD4" s="543"/>
      <c r="BE4" s="543"/>
      <c r="BF4" s="543"/>
      <c r="BG4" s="543"/>
      <c r="BH4" s="543"/>
      <c r="BI4" s="543"/>
      <c r="BJ4" s="543"/>
      <c r="BK4" s="543"/>
      <c r="BL4" s="543"/>
      <c r="BM4" s="543"/>
      <c r="BN4" s="543"/>
      <c r="BO4" s="543"/>
      <c r="BP4" s="543"/>
      <c r="BQ4" s="543"/>
      <c r="BR4" s="543"/>
      <c r="BS4" s="543"/>
      <c r="BT4" s="543"/>
      <c r="BU4" s="543"/>
      <c r="BV4" s="543"/>
      <c r="BW4" s="543"/>
      <c r="BX4" s="543"/>
      <c r="BY4" s="543"/>
      <c r="BZ4" s="543"/>
      <c r="CA4" s="543"/>
      <c r="CB4" s="543"/>
      <c r="CC4" s="543"/>
      <c r="CD4" s="543"/>
      <c r="CE4" s="543"/>
      <c r="CF4" s="543"/>
      <c r="CG4" s="543"/>
      <c r="CH4" s="543"/>
      <c r="CI4" s="543"/>
      <c r="CJ4" s="543"/>
      <c r="CK4" s="543"/>
      <c r="CL4" s="543"/>
      <c r="CM4" s="543"/>
      <c r="CN4" s="543"/>
      <c r="CO4" s="543"/>
      <c r="CP4" s="543"/>
      <c r="CQ4" s="543"/>
      <c r="CR4" s="543"/>
      <c r="CS4" s="543"/>
      <c r="CT4" s="543"/>
      <c r="CU4" s="543"/>
      <c r="CV4" s="543"/>
      <c r="CW4" s="543"/>
      <c r="CX4" s="543"/>
      <c r="CY4" s="543"/>
      <c r="CZ4" s="543"/>
      <c r="DA4" s="543"/>
      <c r="DB4" s="543"/>
      <c r="DC4" s="543"/>
    </row>
    <row r="5" spans="1:110">
      <c r="A5" s="1546">
        <v>15</v>
      </c>
      <c r="B5" s="534" t="s">
        <v>1017</v>
      </c>
      <c r="C5" s="535" t="s">
        <v>2064</v>
      </c>
      <c r="D5" s="1547" t="s">
        <v>1841</v>
      </c>
      <c r="E5" s="1548">
        <v>65</v>
      </c>
      <c r="F5" s="1549" t="str">
        <f>VLOOKUP($E$5,[1]QUART!$A$2:$FA$324, 3, FALSE)</f>
        <v xml:space="preserve">65  Household final consumption expenditure (domestic)                              </v>
      </c>
      <c r="G5" s="1550">
        <f>IF(VLOOKUP($E$5,[1]QUART!$A$2:$FA$324, 6, FALSE)="",":",VLOOKUP($E$5,[1]QUART!$A$2:$FA$324, 6, FALSE))</f>
        <v>1626.21640407785</v>
      </c>
      <c r="H5" s="1550">
        <f>IF(VLOOKUP($E$5,[1]QUART!$A$2:$FA$324, 7, FALSE)="",":",VLOOKUP($E$5,[1]QUART!$A$2:$FA$324, 7, FALSE))</f>
        <v>1668.5588507877665</v>
      </c>
      <c r="I5" s="1550">
        <f>IF(VLOOKUP($E$5,[1]QUART!$A$2:$FA$324, 8, FALSE)="",":",VLOOKUP($E$5,[1]QUART!$A$2:$FA$324, 8, FALSE))</f>
        <v>1706.6438832252086</v>
      </c>
      <c r="J5" s="1550">
        <f>IF(VLOOKUP($E$5,[1]QUART!$A$2:$FA$324, 9, FALSE)="",":",VLOOKUP($E$5,[1]QUART!$A$2:$FA$324, 9, FALSE))</f>
        <v>1734.4184430027806</v>
      </c>
      <c r="K5" s="1550">
        <f>IF(VLOOKUP($E$5,[1]QUART!$A$2:$FA$324, 10, FALSE)="",":",VLOOKUP($E$5,[1]QUART!$A$2:$FA$324, 10, FALSE))</f>
        <v>1753.9098702502317</v>
      </c>
      <c r="L5" s="1550">
        <f>IF(VLOOKUP($E$5,[1]QUART!$A$2:$FA$324, 11, FALSE)="",":",VLOOKUP($E$5,[1]QUART!$A$2:$FA$324, 11, FALSE))</f>
        <v>1776.905699721965</v>
      </c>
      <c r="M5" s="1550">
        <f>IF(VLOOKUP($E$5,[1]QUART!$A$2:$FA$324, 12, FALSE)="",":",VLOOKUP($E$5,[1]QUART!$A$2:$FA$324, 12, FALSE))</f>
        <v>1780.2942539388323</v>
      </c>
      <c r="N5" s="1550">
        <f>IF(VLOOKUP($E$5,[1]QUART!$A$2:$FA$324, 13, FALSE)="",":",VLOOKUP($E$5,[1]QUART!$A$2:$FA$324, 13, FALSE))</f>
        <v>1837.8417516218722</v>
      </c>
      <c r="O5" s="1550">
        <f>IF(VLOOKUP($E$5,[1]QUART!$A$2:$FA$324, 14, FALSE)="",":",VLOOKUP($E$5,[1]QUART!$A$2:$FA$324, 14, FALSE))</f>
        <v>1868.2808155699722</v>
      </c>
      <c r="P5" s="1550">
        <f>IF(VLOOKUP($E$5,[1]QUART!$A$2:$FA$324, 15, FALSE)="",":",VLOOKUP($E$5,[1]QUART!$A$2:$FA$324, 15, FALSE))</f>
        <v>1865.0949953660797</v>
      </c>
      <c r="Q5" s="1550">
        <f>IF(VLOOKUP($E$5,[1]QUART!$A$2:$FA$324, 16, FALSE)="",":",VLOOKUP($E$5,[1]QUART!$A$2:$FA$324, 16, FALSE))</f>
        <v>1905.3521779425396</v>
      </c>
      <c r="R5" s="1550">
        <f>IF(VLOOKUP($E$5,[1]QUART!$A$2:$FA$324, 17, FALSE)="",":",VLOOKUP($E$5,[1]QUART!$A$2:$FA$324, 17, FALSE))</f>
        <v>1938.6584800741427</v>
      </c>
      <c r="S5" s="1550">
        <f>IF(VLOOKUP($E$5,[1]QUART!$A$2:$FA$324, 18, FALSE)="",":",VLOOKUP($E$5,[1]QUART!$A$2:$FA$324, 18, FALSE))</f>
        <v>1964.7822057460612</v>
      </c>
      <c r="T5" s="1550">
        <f>IF(VLOOKUP($E$5,[1]QUART!$A$2:$FA$324, 19, FALSE)="",":",VLOOKUP($E$5,[1]QUART!$A$2:$FA$324, 19, FALSE))</f>
        <v>1948.3897126969416</v>
      </c>
      <c r="U5" s="1550">
        <f>IF(VLOOKUP($E$5,[1]QUART!$A$2:$FA$324, 20, FALSE)="",":",VLOOKUP($E$5,[1]QUART!$A$2:$FA$324, 20, FALSE))</f>
        <v>2007.8197405004635</v>
      </c>
      <c r="V5" s="1550">
        <f>IF(VLOOKUP($E$5,[1]QUART!$A$2:$FA$324, 21, FALSE)="",":",VLOOKUP($E$5,[1]QUART!$A$2:$FA$324, 21, FALSE))</f>
        <v>2015.6394810009269</v>
      </c>
      <c r="W5" s="1550">
        <f>IF(VLOOKUP($E$5,[1]QUART!$A$2:$FA$324, 22, FALSE)="",":",VLOOKUP($E$5,[1]QUART!$A$2:$FA$324, 22, FALSE))</f>
        <v>2005.2421223354959</v>
      </c>
      <c r="X5" s="1550">
        <f>IF(VLOOKUP($E$5,[1]QUART!$A$2:$FA$324, 23, FALSE)="",":",VLOOKUP($E$5,[1]QUART!$A$2:$FA$324, 23, FALSE))</f>
        <v>2094.9374420759964</v>
      </c>
      <c r="Y5" s="1550">
        <f>IF(VLOOKUP($E$5,[1]QUART!$A$2:$FA$324, 24, FALSE)="",":",VLOOKUP($E$5,[1]QUART!$A$2:$FA$324, 24, FALSE))</f>
        <v>2118.0491195551435</v>
      </c>
      <c r="Z5" s="1550">
        <f>IF(VLOOKUP($E$5,[1]QUART!$A$2:$FA$324, 25, FALSE)="",":",VLOOKUP($E$5,[1]QUART!$A$2:$FA$324, 25, FALSE))</f>
        <v>2113.3862372567196</v>
      </c>
      <c r="AA5" s="1550">
        <f>IF(VLOOKUP($E$5,[1]QUART!$A$2:$FA$324, 26, FALSE)="",":",VLOOKUP($E$5,[1]QUART!$A$2:$FA$324, 26, FALSE))</f>
        <v>2153.6723818350324</v>
      </c>
      <c r="AB5" s="1550">
        <f>IF(VLOOKUP($E$5,[1]QUART!$A$2:$FA$324, 27, FALSE)="",":",VLOOKUP($E$5,[1]QUART!$A$2:$FA$324, 27, FALSE))</f>
        <v>2220.9511121408714</v>
      </c>
      <c r="AC5" s="1550">
        <f>IF(VLOOKUP($E$5,[1]QUART!$A$2:$FA$324, 28, FALSE)="",":",VLOOKUP($E$5,[1]QUART!$A$2:$FA$324, 28, FALSE))</f>
        <v>2241.0797034291013</v>
      </c>
      <c r="AD5" s="1550">
        <f>IF(VLOOKUP($E$5,[1]QUART!$A$2:$FA$324, 29, FALSE)="",":",VLOOKUP($E$5,[1]QUART!$A$2:$FA$324, 29, FALSE))</f>
        <v>2266.1318350324377</v>
      </c>
      <c r="AE5" s="1550">
        <f>IF(VLOOKUP($E$5,[1]QUART!$A$2:$FA$324, 30, FALSE)="",":",VLOOKUP($E$5,[1]QUART!$A$2:$FA$324, 30, FALSE))</f>
        <v>2315.3093141797963</v>
      </c>
      <c r="AF5" s="1550">
        <f>IF(VLOOKUP($E$5,[1]QUART!$A$2:$FA$324, 31, FALSE)="",":",VLOOKUP($E$5,[1]QUART!$A$2:$FA$324, 31, FALSE))</f>
        <v>2280.9024559777572</v>
      </c>
      <c r="AG5" s="1550">
        <f>IF(VLOOKUP($E$5,[1]QUART!$A$2:$FA$324, 32, FALSE)="",":",VLOOKUP($E$5,[1]QUART!$A$2:$FA$324, 32, FALSE))</f>
        <v>2322.3760426320669</v>
      </c>
      <c r="AH5" s="1550">
        <f>IF(VLOOKUP($E$5,[1]QUART!$A$2:$FA$324, 33, FALSE)="",":",VLOOKUP($E$5,[1]QUART!$A$2:$FA$324, 33, FALSE))</f>
        <v>2368.5993975903616</v>
      </c>
      <c r="AI5" s="1550">
        <f>IF(VLOOKUP($E$5,[1]QUART!$A$2:$FA$324, 34, FALSE)="",":",VLOOKUP($E$5,[1]QUART!$A$2:$FA$324, 34, FALSE))</f>
        <v>2416.7632066728456</v>
      </c>
      <c r="AJ5" s="1550">
        <f>IF(VLOOKUP($E$5,[1]QUART!$A$2:$FA$324, 35, FALSE)="",":",VLOOKUP($E$5,[1]QUART!$A$2:$FA$324, 35, FALSE))</f>
        <v>2444.8563484708066</v>
      </c>
      <c r="AK5" s="1550">
        <f>IF(VLOOKUP($E$5,[1]QUART!$A$2:$FA$324, 36, FALSE)="",":",VLOOKUP($E$5,[1]QUART!$A$2:$FA$324, 36, FALSE))</f>
        <v>2477.0620945319738</v>
      </c>
      <c r="AL5" s="1550">
        <f>IF(VLOOKUP($E$5,[1]QUART!$A$2:$FA$324, 37, FALSE)="",":",VLOOKUP($E$5,[1]QUART!$A$2:$FA$324, 37, FALSE))</f>
        <v>2521.113299351251</v>
      </c>
      <c r="AM5" s="1550">
        <f>IF(VLOOKUP($E$5,[1]QUART!$A$2:$FA$324, 38, FALSE)="",":",VLOOKUP($E$5,[1]QUART!$A$2:$FA$324, 38, FALSE))</f>
        <v>2656.6265060240962</v>
      </c>
      <c r="AN5" s="1550">
        <f>IF(VLOOKUP($E$5,[1]QUART!$A$2:$FA$324, 39, FALSE)="",":",VLOOKUP($E$5,[1]QUART!$A$2:$FA$324, 39, FALSE))</f>
        <v>2710.9881835032438</v>
      </c>
      <c r="AO5" s="1550">
        <f>IF(VLOOKUP($E$5,[1]QUART!$A$2:$FA$324, 40, FALSE)="",":",VLOOKUP($E$5,[1]QUART!$A$2:$FA$324, 40, FALSE))</f>
        <v>2739.1971733086193</v>
      </c>
      <c r="AP5" s="1550">
        <f>IF(VLOOKUP($E$5,[1]QUART!$A$2:$FA$324, 41, FALSE)="",":",VLOOKUP($E$5,[1]QUART!$A$2:$FA$324, 41, FALSE))</f>
        <v>2860.0266450417057</v>
      </c>
      <c r="AQ5" s="1550">
        <f>IF(VLOOKUP($E$5,[1]QUART!$A$2:$FA$324, 42, FALSE)="",":",VLOOKUP($E$5,[1]QUART!$A$2:$FA$324, 42, FALSE))</f>
        <v>2914.0987025023169</v>
      </c>
      <c r="AR5" s="1550">
        <f>IF(VLOOKUP($E$5,[1]QUART!$A$2:$FA$324, 43, FALSE)="",":",VLOOKUP($E$5,[1]QUART!$A$2:$FA$324, 43, FALSE))</f>
        <v>3018.2460611677479</v>
      </c>
      <c r="AS5" s="1550">
        <f>IF(VLOOKUP($E$5,[1]QUART!$A$2:$FA$324, 44, FALSE)="",":",VLOOKUP($E$5,[1]QUART!$A$2:$FA$324, 44, FALSE))</f>
        <v>3117.3250695088045</v>
      </c>
      <c r="AT5" s="1550">
        <f>IF(VLOOKUP($E$5,[1]QUART!$A$2:$FA$324, 45, FALSE)="",":",VLOOKUP($E$5,[1]QUART!$A$2:$FA$324, 45, FALSE))</f>
        <v>3159.4068582020386</v>
      </c>
      <c r="AU5" s="1550">
        <f>IF(VLOOKUP($E$5,[1]QUART!$A$2:$FA$324, 46, FALSE)="",":",VLOOKUP($E$5,[1]QUART!$A$2:$FA$324, 46, FALSE))</f>
        <v>4161.5</v>
      </c>
      <c r="AV5" s="1550">
        <f>IF(VLOOKUP($E$5,[1]QUART!$A$2:$FA$324, 47, FALSE)="",":",VLOOKUP($E$5,[1]QUART!$A$2:$FA$324, 47, FALSE))</f>
        <v>4387.1000000000004</v>
      </c>
      <c r="AW5" s="1550">
        <f>IF(VLOOKUP($E$5,[1]QUART!$A$2:$FA$324, 48, FALSE)="",":",VLOOKUP($E$5,[1]QUART!$A$2:$FA$324, 48, FALSE))</f>
        <v>4455.5</v>
      </c>
      <c r="AX5" s="1550">
        <f>IF(VLOOKUP($E$5,[1]QUART!$A$2:$FA$324, 49, FALSE)="",":",VLOOKUP($E$5,[1]QUART!$A$2:$FA$324, 49, FALSE))</f>
        <v>4641.1000000000004</v>
      </c>
      <c r="AY5" s="1550">
        <f>IF(VLOOKUP($E$5,[1]QUART!$A$2:$FA$324, 50, FALSE)="",":",VLOOKUP($E$5,[1]QUART!$A$2:$FA$324, 50, FALSE))</f>
        <v>4500.8</v>
      </c>
      <c r="AZ5" s="1550">
        <f>IF(VLOOKUP($E$5,[1]QUART!$A$2:$FA$324, 51, FALSE)="",":",VLOOKUP($E$5,[1]QUART!$A$2:$FA$324, 51, FALSE))</f>
        <v>4720.3999999999996</v>
      </c>
      <c r="BA5" s="1550">
        <f>IF(VLOOKUP($E$5,[1]QUART!$A$2:$FA$324, 52, FALSE)="",":",VLOOKUP($E$5,[1]QUART!$A$2:$FA$324, 52, FALSE))</f>
        <v>5004</v>
      </c>
      <c r="BB5" s="1550">
        <f>IF(VLOOKUP($E$5,[1]QUART!$A$2:$FA$324, 53, FALSE)="",":",VLOOKUP($E$5,[1]QUART!$A$2:$FA$324, 53, FALSE))</f>
        <v>5024.8</v>
      </c>
      <c r="BC5" s="1550">
        <f>IF(VLOOKUP($E$5,[1]QUART!$A$2:$FA$324, 54, FALSE)="",":",VLOOKUP($E$5,[1]QUART!$A$2:$FA$324, 54, FALSE))</f>
        <v>5202.3999999999996</v>
      </c>
      <c r="BD5" s="1550">
        <f>IF(VLOOKUP($E$5,[1]QUART!$A$2:$FA$324, 55, FALSE)="",":",VLOOKUP($E$5,[1]QUART!$A$2:$FA$324, 55, FALSE))</f>
        <v>5365</v>
      </c>
      <c r="BE5" s="1550">
        <f>IF(VLOOKUP($E$5,[1]QUART!$A$2:$FA$324, 56, FALSE)="",":",VLOOKUP($E$5,[1]QUART!$A$2:$FA$324, 56, FALSE))</f>
        <v>5387.7</v>
      </c>
      <c r="BF5" s="1550">
        <f>IF(VLOOKUP($E$5,[1]QUART!$A$2:$FA$324, 57, FALSE)="",":",VLOOKUP($E$5,[1]QUART!$A$2:$FA$324, 57, FALSE))</f>
        <v>5684.6</v>
      </c>
      <c r="BG5" s="1550">
        <f>IF(VLOOKUP($E$5,[1]QUART!$A$2:$FA$324, 58, FALSE)="",":",VLOOKUP($E$5,[1]QUART!$A$2:$FA$324, 58, FALSE))</f>
        <v>5712.7</v>
      </c>
      <c r="BH5" s="1550">
        <f>IF(VLOOKUP($E$5,[1]QUART!$A$2:$FA$324, 59, FALSE)="",":",VLOOKUP($E$5,[1]QUART!$A$2:$FA$324, 59, FALSE))</f>
        <v>5690.9</v>
      </c>
      <c r="BI5" s="1550">
        <f>IF(VLOOKUP($E$5,[1]QUART!$A$2:$FA$324, 60, FALSE)="",":",VLOOKUP($E$5,[1]QUART!$A$2:$FA$324, 60, FALSE))</f>
        <v>5577.5</v>
      </c>
      <c r="BJ5" s="1550">
        <f>IF(VLOOKUP($E$5,[1]QUART!$A$2:$FA$324, 61, FALSE)="",":",VLOOKUP($E$5,[1]QUART!$A$2:$FA$324, 61, FALSE))</f>
        <v>5452.4</v>
      </c>
      <c r="BK5" s="1550">
        <f>IF(VLOOKUP($E$5,[1]QUART!$A$2:$FA$324, 62, FALSE)="",":",VLOOKUP($E$5,[1]QUART!$A$2:$FA$324, 62, FALSE))</f>
        <v>4815</v>
      </c>
      <c r="BL5" s="1550">
        <f>IF(VLOOKUP($E$5,[1]QUART!$A$2:$FA$324, 63, FALSE)="",":",VLOOKUP($E$5,[1]QUART!$A$2:$FA$324, 63, FALSE))</f>
        <v>4729.8999999999996</v>
      </c>
      <c r="BM5" s="1550">
        <f>IF(VLOOKUP($E$5,[1]QUART!$A$2:$FA$324, 64, FALSE)="",":",VLOOKUP($E$5,[1]QUART!$A$2:$FA$324, 64, FALSE))</f>
        <v>4616.8</v>
      </c>
      <c r="BN5" s="1550">
        <f>IF(VLOOKUP($E$5,[1]QUART!$A$2:$FA$324, 65, FALSE)="",":",VLOOKUP($E$5,[1]QUART!$A$2:$FA$324, 65, FALSE))</f>
        <v>4417.6000000000004</v>
      </c>
      <c r="BO5" s="1550">
        <f>IF(VLOOKUP($E$5,[1]QUART!$A$2:$FA$324, 66, FALSE)="",":",VLOOKUP($E$5,[1]QUART!$A$2:$FA$324, 66, FALSE))</f>
        <v>4447.2</v>
      </c>
      <c r="BP5" s="1550">
        <f>IF(VLOOKUP($E$5,[1]QUART!$A$2:$FA$324, 67, FALSE)="",":",VLOOKUP($E$5,[1]QUART!$A$2:$FA$324, 67, FALSE))</f>
        <v>4417</v>
      </c>
      <c r="BQ5" s="1550">
        <f>IF(VLOOKUP($E$5,[1]QUART!$A$2:$FA$324, 68, FALSE)="",":",VLOOKUP($E$5,[1]QUART!$A$2:$FA$324, 68, FALSE))</f>
        <v>4533.8</v>
      </c>
      <c r="BR5" s="1550">
        <f>IF(VLOOKUP($E$5,[1]QUART!$A$2:$FA$324, 69, FALSE)="",":",VLOOKUP($E$5,[1]QUART!$A$2:$FA$324, 69, FALSE))</f>
        <v>4554.3999999999996</v>
      </c>
      <c r="BS5" s="1550">
        <f>IF(VLOOKUP($E$5,[1]QUART!$A$2:$FA$324, 70, FALSE)="",":",VLOOKUP($E$5,[1]QUART!$A$2:$FA$324, 70, FALSE))</f>
        <v>4610.8999999999996</v>
      </c>
      <c r="BT5" s="1550">
        <f>IF(VLOOKUP($E$5,[1]QUART!$A$2:$FA$324, 71, FALSE)="",":",VLOOKUP($E$5,[1]QUART!$A$2:$FA$324, 71, FALSE))</f>
        <v>4671.8</v>
      </c>
      <c r="BU5" s="1550">
        <f>IF(VLOOKUP($E$5,[1]QUART!$A$2:$FA$324, 72, FALSE)="",":",VLOOKUP($E$5,[1]QUART!$A$2:$FA$324, 72, FALSE))</f>
        <v>4729</v>
      </c>
      <c r="BV5" s="1550">
        <f>IF(VLOOKUP($E$5,[1]QUART!$A$2:$FA$324, 73, FALSE)="",":",VLOOKUP($E$5,[1]QUART!$A$2:$FA$324, 73, FALSE))</f>
        <v>4789.7</v>
      </c>
      <c r="BW5" s="1550">
        <f>IF(VLOOKUP($E$5,[1]QUART!$A$2:$FA$324, 74, FALSE)="",":",VLOOKUP($E$5,[1]QUART!$A$2:$FA$324, 74, FALSE))</f>
        <v>4777.8</v>
      </c>
      <c r="BX5" s="1550">
        <f>IF(VLOOKUP($E$5,[1]QUART!$A$2:$FA$324, 75, FALSE)="",":",VLOOKUP($E$5,[1]QUART!$A$2:$FA$324, 75, FALSE))</f>
        <v>4787.7</v>
      </c>
      <c r="BY5" s="1550">
        <f>IF(VLOOKUP($E$5,[1]QUART!$A$2:$FA$324, 76, FALSE)="",":",VLOOKUP($E$5,[1]QUART!$A$2:$FA$324, 76, FALSE))</f>
        <v>4816.3999999999996</v>
      </c>
      <c r="BZ5" s="1550">
        <f>IF(VLOOKUP($E$5,[1]QUART!$A$2:$FA$324, 77, FALSE)="",":",VLOOKUP($E$5,[1]QUART!$A$2:$FA$324, 77, FALSE))</f>
        <v>4894.1000000000004</v>
      </c>
      <c r="CA5" s="1550">
        <f>IF(VLOOKUP($E$5,[1]QUART!$A$2:$FA$324, 78, FALSE)="",":",VLOOKUP($E$5,[1]QUART!$A$2:$FA$324, 78, FALSE))</f>
        <v>4984</v>
      </c>
      <c r="CB5" s="1550">
        <f>IF(VLOOKUP($E$5,[1]QUART!$A$2:$FA$324, 79, FALSE)="",":",VLOOKUP($E$5,[1]QUART!$A$2:$FA$324, 79, FALSE))</f>
        <v>5013</v>
      </c>
      <c r="CC5" s="1550">
        <f>IF(VLOOKUP($E$5,[1]QUART!$A$2:$FA$324, 80, FALSE)="",":",VLOOKUP($E$5,[1]QUART!$A$2:$FA$324, 80, FALSE))</f>
        <v>5082.8999999999996</v>
      </c>
      <c r="CD5" s="1550">
        <f>IF(VLOOKUP($E$5,[1]QUART!$A$2:$FA$324, 81, FALSE)="",":",VLOOKUP($E$5,[1]QUART!$A$2:$FA$324, 81, FALSE))</f>
        <v>5137.2</v>
      </c>
      <c r="CE5" s="1550">
        <f>IF(VLOOKUP($E$5,[1]QUART!$A$2:$FA$324, 82, FALSE)="",":",VLOOKUP($E$5,[1]QUART!$A$2:$FA$324, 82, FALSE))</f>
        <v>5207.6000000000004</v>
      </c>
      <c r="CF5" s="1550">
        <f>IF(VLOOKUP($E$5,[1]QUART!$A$2:$FA$324, 83, FALSE)="",":",VLOOKUP($E$5,[1]QUART!$A$2:$FA$324, 83, FALSE))</f>
        <v>5226.2</v>
      </c>
      <c r="CG5" s="1550">
        <f>IF(VLOOKUP($E$5,[1]QUART!$A$2:$FA$324, 84, FALSE)="",":",VLOOKUP($E$5,[1]QUART!$A$2:$FA$324, 84, FALSE))</f>
        <v>5242.6000000000004</v>
      </c>
      <c r="CH5" s="1550">
        <f>IF(VLOOKUP($E$5,[1]QUART!$A$2:$FA$324, 85, FALSE)="",":",VLOOKUP($E$5,[1]QUART!$A$2:$FA$324, 85, FALSE))</f>
        <v>5322.1</v>
      </c>
      <c r="CI5" s="1550">
        <f>IF(VLOOKUP($E$5,[1]QUART!$A$2:$FA$324, 86, FALSE)="",":",VLOOKUP($E$5,[1]QUART!$A$2:$FA$324, 86, FALSE))</f>
        <v>5385.9</v>
      </c>
      <c r="CJ5" s="1550">
        <f>IF(VLOOKUP($E$5,[1]QUART!$A$2:$FA$324, 87, FALSE)="",":",VLOOKUP($E$5,[1]QUART!$A$2:$FA$324, 87, FALSE))</f>
        <v>5400.8</v>
      </c>
      <c r="CK5" s="1550">
        <f>IF(VLOOKUP($E$5,[1]QUART!$A$2:$FA$324, 88, FALSE)="",":",VLOOKUP($E$5,[1]QUART!$A$2:$FA$324, 88, FALSE))</f>
        <v>5513.6</v>
      </c>
      <c r="CL5" s="1550">
        <f>IF(VLOOKUP($E$5,[1]QUART!$A$2:$FA$324, 89, FALSE)="",":",VLOOKUP($E$5,[1]QUART!$A$2:$FA$324, 89, FALSE))</f>
        <v>5539</v>
      </c>
      <c r="CM5" s="1550">
        <f>IF(VLOOKUP($E$5,[1]QUART!$A$2:$FA$324, 90, FALSE)="",":",VLOOKUP($E$5,[1]QUART!$A$2:$FA$324, 90, FALSE))</f>
        <v>5552.5</v>
      </c>
      <c r="CN5" s="1550">
        <f>IF(VLOOKUP($E$5,[1]QUART!$A$2:$FA$324, 91, FALSE)="",":",VLOOKUP($E$5,[1]QUART!$A$2:$FA$324, 91, FALSE))</f>
        <v>5696.7</v>
      </c>
      <c r="CO5" s="1550">
        <f>IF(VLOOKUP($E$5,[1]QUART!$A$2:$FA$324, 92, FALSE)="",":",VLOOKUP($E$5,[1]QUART!$A$2:$FA$324, 92, FALSE))</f>
        <v>5776.7</v>
      </c>
      <c r="CP5" s="1550">
        <f>IF(VLOOKUP($E$5,[1]QUART!$A$2:$FA$324, 93, FALSE)="",":",VLOOKUP($E$5,[1]QUART!$A$2:$FA$324, 93, FALSE))</f>
        <v>5832.4</v>
      </c>
      <c r="CQ5" s="1550">
        <f>IF(VLOOKUP($E$5,[1]QUART!$A$2:$FA$324, 94, FALSE)="",":",VLOOKUP($E$5,[1]QUART!$A$2:$FA$324, 94, FALSE))</f>
        <v>5874.1</v>
      </c>
      <c r="CR5" s="1550">
        <f>IF(VLOOKUP($E$5,[1]QUART!$A$2:$FA$324, 95, FALSE)="",":",VLOOKUP($E$5,[1]QUART!$A$2:$FA$324, 95, FALSE))</f>
        <v>5941.7</v>
      </c>
      <c r="CS5" s="1550">
        <f>IF(VLOOKUP($E$5,[1]QUART!$A$2:$FA$324, 96, FALSE)="",":",VLOOKUP($E$5,[1]QUART!$A$2:$FA$324, 96, FALSE))</f>
        <v>5940.4</v>
      </c>
      <c r="CT5" s="1550">
        <f>IF(VLOOKUP($E$5,[1]QUART!$A$2:$FA$324, 97, FALSE)="",":",VLOOKUP($E$5,[1]QUART!$A$2:$FA$324, 97, FALSE))</f>
        <v>6044.8</v>
      </c>
      <c r="CU5" s="1550" t="str">
        <f>IF(VLOOKUP($E$5,[1]QUART!$A$2:$FA$324, 98, FALSE)="",":",VLOOKUP($E$5,[1]QUART!$A$2:$FA$324, 98, FALSE))</f>
        <v>:</v>
      </c>
      <c r="CV5" s="1550" t="str">
        <f>IF(VLOOKUP($E$5,[1]QUART!$A$2:$FA$324, 99, FALSE)="",":",VLOOKUP($E$5,[1]QUART!$A$2:$FA$324, 99, FALSE))</f>
        <v>:</v>
      </c>
      <c r="CW5" s="1550" t="str">
        <f>IF(VLOOKUP($E$5,[1]QUART!$A$2:$FA$324, 100, FALSE)="",":",VLOOKUP($E$5,[1]QUART!$A$2:$FA$324, 100, FALSE))</f>
        <v>:</v>
      </c>
      <c r="CX5" s="1550" t="str">
        <f>IF(VLOOKUP($E$5,[1]QUART!$A$2:$FA$324, 101, FALSE)="",":",VLOOKUP($E$5,[1]QUART!$A$2:$FA$324, 101, FALSE))</f>
        <v>:</v>
      </c>
      <c r="CY5" s="1550" t="str">
        <f>IF(VLOOKUP($E$5,[1]QUART!$A$2:$FA$324, 102, FALSE)="",":",VLOOKUP($E$5,[1]QUART!$A$2:$FA$324, 102, FALSE))</f>
        <v>:</v>
      </c>
      <c r="CZ5" s="1550" t="str">
        <f>IF(VLOOKUP($E$5,[1]QUART!$A$2:$FA$324, 103, FALSE)="",":",VLOOKUP($E$5,[1]QUART!$A$2:$FA$324, 103, FALSE))</f>
        <v>:</v>
      </c>
      <c r="DA5" s="1550" t="str">
        <f>IF(VLOOKUP($E$5,[1]QUART!$A$2:$FA$324, 104, FALSE)="",":",VLOOKUP($E$5,[1]QUART!$A$2:$FA$324, 104, FALSE))</f>
        <v>:</v>
      </c>
      <c r="DB5" s="1550" t="str">
        <f>IF(VLOOKUP($E$5,[1]QUART!$A$2:$FA$324, 105, FALSE)="",":",VLOOKUP($E$5,[1]QUART!$A$2:$FA$324, 105, FALSE))</f>
        <v>:</v>
      </c>
      <c r="DC5" s="1550" t="str">
        <f>IF(VLOOKUP($E$5,[1]QUART!$A$2:$FA$324, 106, FALSE)="",":",VLOOKUP($E$5,[1]QUART!$A$2:$FA$324, 106, FALSE))</f>
        <v>:</v>
      </c>
    </row>
    <row r="6" spans="1:110">
      <c r="A6" s="1546">
        <v>16</v>
      </c>
      <c r="B6" s="534" t="s">
        <v>533</v>
      </c>
      <c r="C6" s="535" t="s">
        <v>2067</v>
      </c>
      <c r="D6" s="1547" t="s">
        <v>1841</v>
      </c>
      <c r="E6" s="1548">
        <v>66</v>
      </c>
      <c r="F6" s="1549" t="str">
        <f>VLOOKUP($E$6,[1]QUART!$A$2:$FA$324, 3, FALSE)</f>
        <v xml:space="preserve">66  Government final consumption expenditure                                        </v>
      </c>
      <c r="G6" s="1550">
        <f>IF(VLOOKUP($E$6,[1]QUART!$A$2:$FA$324, 6, FALSE)="",":",VLOOKUP($E$6,[1]QUART!$A$2:$FA$324, 6, FALSE))</f>
        <v>818.43721037998148</v>
      </c>
      <c r="H6" s="1550">
        <f>IF(VLOOKUP($E$6,[1]QUART!$A$2:$FA$324, 7, FALSE)="",":",VLOOKUP($E$6,[1]QUART!$A$2:$FA$324, 7, FALSE))</f>
        <v>816.55468025949961</v>
      </c>
      <c r="I6" s="1550">
        <f>IF(VLOOKUP($E$6,[1]QUART!$A$2:$FA$324, 8, FALSE)="",":",VLOOKUP($E$6,[1]QUART!$A$2:$FA$324, 8, FALSE))</f>
        <v>818.06070435588504</v>
      </c>
      <c r="J6" s="1550">
        <f>IF(VLOOKUP($E$6,[1]QUART!$A$2:$FA$324, 9, FALSE)="",":",VLOOKUP($E$6,[1]QUART!$A$2:$FA$324, 9, FALSE))</f>
        <v>825.01158480074139</v>
      </c>
      <c r="K6" s="1550">
        <f>IF(VLOOKUP($E$6,[1]QUART!$A$2:$FA$324, 10, FALSE)="",":",VLOOKUP($E$6,[1]QUART!$A$2:$FA$324, 10, FALSE))</f>
        <v>814.38253012048199</v>
      </c>
      <c r="L6" s="1550">
        <f>IF(VLOOKUP($E$6,[1]QUART!$A$2:$FA$324, 11, FALSE)="",":",VLOOKUP($E$6,[1]QUART!$A$2:$FA$324, 11, FALSE))</f>
        <v>813.57159406858204</v>
      </c>
      <c r="M6" s="1550">
        <f>IF(VLOOKUP($E$6,[1]QUART!$A$2:$FA$324, 12, FALSE)="",":",VLOOKUP($E$6,[1]QUART!$A$2:$FA$324, 12, FALSE))</f>
        <v>824.89573679332716</v>
      </c>
      <c r="N6" s="1550">
        <f>IF(VLOOKUP($E$6,[1]QUART!$A$2:$FA$324, 13, FALSE)="",":",VLOOKUP($E$6,[1]QUART!$A$2:$FA$324, 13, FALSE))</f>
        <v>816.78637627432806</v>
      </c>
      <c r="O6" s="1550">
        <f>IF(VLOOKUP($E$6,[1]QUART!$A$2:$FA$324, 14, FALSE)="",":",VLOOKUP($E$6,[1]QUART!$A$2:$FA$324, 14, FALSE))</f>
        <v>824.37442075996296</v>
      </c>
      <c r="P6" s="1550">
        <f>IF(VLOOKUP($E$6,[1]QUART!$A$2:$FA$324, 15, FALSE)="",":",VLOOKUP($E$6,[1]QUART!$A$2:$FA$324, 15, FALSE))</f>
        <v>846.70412418906403</v>
      </c>
      <c r="Q6" s="1550">
        <f>IF(VLOOKUP($E$6,[1]QUART!$A$2:$FA$324, 16, FALSE)="",":",VLOOKUP($E$6,[1]QUART!$A$2:$FA$324, 16, FALSE))</f>
        <v>852.72822057460621</v>
      </c>
      <c r="R6" s="1550">
        <f>IF(VLOOKUP($E$6,[1]QUART!$A$2:$FA$324, 17, FALSE)="",":",VLOOKUP($E$6,[1]QUART!$A$2:$FA$324, 17, FALSE))</f>
        <v>848.38392029657098</v>
      </c>
      <c r="S6" s="1550">
        <f>IF(VLOOKUP($E$6,[1]QUART!$A$2:$FA$324, 18, FALSE)="",":",VLOOKUP($E$6,[1]QUART!$A$2:$FA$324, 18, FALSE))</f>
        <v>880.01042632066731</v>
      </c>
      <c r="T6" s="1550">
        <f>IF(VLOOKUP($E$6,[1]QUART!$A$2:$FA$324, 19, FALSE)="",":",VLOOKUP($E$6,[1]QUART!$A$2:$FA$324, 19, FALSE))</f>
        <v>880.96617238183512</v>
      </c>
      <c r="U6" s="1550">
        <f>IF(VLOOKUP($E$6,[1]QUART!$A$2:$FA$324, 20, FALSE)="",":",VLOOKUP($E$6,[1]QUART!$A$2:$FA$324, 20, FALSE))</f>
        <v>882.03776645041705</v>
      </c>
      <c r="V6" s="1550">
        <f>IF(VLOOKUP($E$6,[1]QUART!$A$2:$FA$324, 21, FALSE)="",":",VLOOKUP($E$6,[1]QUART!$A$2:$FA$324, 21, FALSE))</f>
        <v>892.55097312326234</v>
      </c>
      <c r="W6" s="1550">
        <f>IF(VLOOKUP($E$6,[1]QUART!$A$2:$FA$324, 22, FALSE)="",":",VLOOKUP($E$6,[1]QUART!$A$2:$FA$324, 22, FALSE))</f>
        <v>858.20203892493043</v>
      </c>
      <c r="X6" s="1550">
        <f>IF(VLOOKUP($E$6,[1]QUART!$A$2:$FA$324, 23, FALSE)="",":",VLOOKUP($E$6,[1]QUART!$A$2:$FA$324, 23, FALSE))</f>
        <v>853.04680259499537</v>
      </c>
      <c r="Y6" s="1550">
        <f>IF(VLOOKUP($E$6,[1]QUART!$A$2:$FA$324, 24, FALSE)="",":",VLOOKUP($E$6,[1]QUART!$A$2:$FA$324, 24, FALSE))</f>
        <v>837.11770157553292</v>
      </c>
      <c r="Z6" s="1550">
        <f>IF(VLOOKUP($E$6,[1]QUART!$A$2:$FA$324, 25, FALSE)="",":",VLOOKUP($E$6,[1]QUART!$A$2:$FA$324, 25, FALSE))</f>
        <v>836.42261353104732</v>
      </c>
      <c r="AA6" s="1550">
        <f>IF(VLOOKUP($E$6,[1]QUART!$A$2:$FA$324, 26, FALSE)="",":",VLOOKUP($E$6,[1]QUART!$A$2:$FA$324, 26, FALSE))</f>
        <v>854.06047265987036</v>
      </c>
      <c r="AB6" s="1550">
        <f>IF(VLOOKUP($E$6,[1]QUART!$A$2:$FA$324, 27, FALSE)="",":",VLOOKUP($E$6,[1]QUART!$A$2:$FA$324, 27, FALSE))</f>
        <v>845.83526413345692</v>
      </c>
      <c r="AC6" s="1550">
        <f>IF(VLOOKUP($E$6,[1]QUART!$A$2:$FA$324, 28, FALSE)="",":",VLOOKUP($E$6,[1]QUART!$A$2:$FA$324, 28, FALSE))</f>
        <v>848.73146431881378</v>
      </c>
      <c r="AD6" s="1550">
        <f>IF(VLOOKUP($E$6,[1]QUART!$A$2:$FA$324, 29, FALSE)="",":",VLOOKUP($E$6,[1]QUART!$A$2:$FA$324, 29, FALSE))</f>
        <v>852.58341056533834</v>
      </c>
      <c r="AE6" s="1550">
        <f>IF(VLOOKUP($E$6,[1]QUART!$A$2:$FA$324, 30, FALSE)="",":",VLOOKUP($E$6,[1]QUART!$A$2:$FA$324, 30, FALSE))</f>
        <v>856.5222428174236</v>
      </c>
      <c r="AF6" s="1550">
        <f>IF(VLOOKUP($E$6,[1]QUART!$A$2:$FA$324, 31, FALSE)="",":",VLOOKUP($E$6,[1]QUART!$A$2:$FA$324, 31, FALSE))</f>
        <v>859.07089898053755</v>
      </c>
      <c r="AG6" s="1550">
        <f>IF(VLOOKUP($E$6,[1]QUART!$A$2:$FA$324, 32, FALSE)="",":",VLOOKUP($E$6,[1]QUART!$A$2:$FA$324, 32, FALSE))</f>
        <v>857.68072289156635</v>
      </c>
      <c r="AH6" s="1550">
        <f>IF(VLOOKUP($E$6,[1]QUART!$A$2:$FA$324, 33, FALSE)="",":",VLOOKUP($E$6,[1]QUART!$A$2:$FA$324, 33, FALSE))</f>
        <v>859.50532900834105</v>
      </c>
      <c r="AI6" s="1550">
        <f>IF(VLOOKUP($E$6,[1]QUART!$A$2:$FA$324, 34, FALSE)="",":",VLOOKUP($E$6,[1]QUART!$A$2:$FA$324, 34, FALSE))</f>
        <v>872.68303985171451</v>
      </c>
      <c r="AJ6" s="1550">
        <f>IF(VLOOKUP($E$6,[1]QUART!$A$2:$FA$324, 35, FALSE)="",":",VLOOKUP($E$6,[1]QUART!$A$2:$FA$324, 35, FALSE))</f>
        <v>869.69995366079706</v>
      </c>
      <c r="AK6" s="1550">
        <f>IF(VLOOKUP($E$6,[1]QUART!$A$2:$FA$324, 36, FALSE)="",":",VLOOKUP($E$6,[1]QUART!$A$2:$FA$324, 36, FALSE))</f>
        <v>886.23725671918442</v>
      </c>
      <c r="AL6" s="1550">
        <f>IF(VLOOKUP($E$6,[1]QUART!$A$2:$FA$324, 37, FALSE)="",":",VLOOKUP($E$6,[1]QUART!$A$2:$FA$324, 37, FALSE))</f>
        <v>888.69902687673778</v>
      </c>
      <c r="AM6" s="1550">
        <f>IF(VLOOKUP($E$6,[1]QUART!$A$2:$FA$324, 38, FALSE)="",":",VLOOKUP($E$6,[1]QUART!$A$2:$FA$324, 38, FALSE))</f>
        <v>892.89851714550514</v>
      </c>
      <c r="AN6" s="1550">
        <f>IF(VLOOKUP($E$6,[1]QUART!$A$2:$FA$324, 39, FALSE)="",":",VLOOKUP($E$6,[1]QUART!$A$2:$FA$324, 39, FALSE))</f>
        <v>904.01992585727533</v>
      </c>
      <c r="AO6" s="1550">
        <f>IF(VLOOKUP($E$6,[1]QUART!$A$2:$FA$324, 40, FALSE)="",":",VLOOKUP($E$6,[1]QUART!$A$2:$FA$324, 40, FALSE))</f>
        <v>909.17516218721039</v>
      </c>
      <c r="AP6" s="1550">
        <f>IF(VLOOKUP($E$6,[1]QUART!$A$2:$FA$324, 41, FALSE)="",":",VLOOKUP($E$6,[1]QUART!$A$2:$FA$324, 41, FALSE))</f>
        <v>919.86214087117708</v>
      </c>
      <c r="AQ6" s="1550">
        <f>IF(VLOOKUP($E$6,[1]QUART!$A$2:$FA$324, 42, FALSE)="",":",VLOOKUP($E$6,[1]QUART!$A$2:$FA$324, 42, FALSE))</f>
        <v>930.40430954587589</v>
      </c>
      <c r="AR6" s="1550">
        <f>IF(VLOOKUP($E$6,[1]QUART!$A$2:$FA$324, 43, FALSE)="",":",VLOOKUP($E$6,[1]QUART!$A$2:$FA$324, 43, FALSE))</f>
        <v>948.85310472659864</v>
      </c>
      <c r="AS6" s="1550">
        <f>IF(VLOOKUP($E$6,[1]QUART!$A$2:$FA$324, 44, FALSE)="",":",VLOOKUP($E$6,[1]QUART!$A$2:$FA$324, 44, FALSE))</f>
        <v>954.58758109360519</v>
      </c>
      <c r="AT6" s="1550">
        <f>IF(VLOOKUP($E$6,[1]QUART!$A$2:$FA$324, 45, FALSE)="",":",VLOOKUP($E$6,[1]QUART!$A$2:$FA$324, 45, FALSE))</f>
        <v>960.58271547729373</v>
      </c>
      <c r="AU6" s="1550">
        <f>IF(VLOOKUP($E$6,[1]QUART!$A$2:$FA$324, 46, FALSE)="",":",VLOOKUP($E$6,[1]QUART!$A$2:$FA$324, 46, FALSE))</f>
        <v>1393.1</v>
      </c>
      <c r="AV6" s="1550">
        <f>IF(VLOOKUP($E$6,[1]QUART!$A$2:$FA$324, 47, FALSE)="",":",VLOOKUP($E$6,[1]QUART!$A$2:$FA$324, 47, FALSE))</f>
        <v>1395.6</v>
      </c>
      <c r="AW6" s="1550">
        <f>IF(VLOOKUP($E$6,[1]QUART!$A$2:$FA$324, 48, FALSE)="",":",VLOOKUP($E$6,[1]QUART!$A$2:$FA$324, 48, FALSE))</f>
        <v>1399.5</v>
      </c>
      <c r="AX6" s="1550">
        <f>IF(VLOOKUP($E$6,[1]QUART!$A$2:$FA$324, 49, FALSE)="",":",VLOOKUP($E$6,[1]QUART!$A$2:$FA$324, 49, FALSE))</f>
        <v>1395.8</v>
      </c>
      <c r="AY6" s="1550">
        <f>IF(VLOOKUP($E$6,[1]QUART!$A$2:$FA$324, 50, FALSE)="",":",VLOOKUP($E$6,[1]QUART!$A$2:$FA$324, 50, FALSE))</f>
        <v>1403.7</v>
      </c>
      <c r="AZ6" s="1550">
        <f>IF(VLOOKUP($E$6,[1]QUART!$A$2:$FA$324, 51, FALSE)="",":",VLOOKUP($E$6,[1]QUART!$A$2:$FA$324, 51, FALSE))</f>
        <v>1410.2</v>
      </c>
      <c r="BA6" s="1550">
        <f>IF(VLOOKUP($E$6,[1]QUART!$A$2:$FA$324, 52, FALSE)="",":",VLOOKUP($E$6,[1]QUART!$A$2:$FA$324, 52, FALSE))</f>
        <v>1440.6</v>
      </c>
      <c r="BB6" s="1550">
        <f>IF(VLOOKUP($E$6,[1]QUART!$A$2:$FA$324, 53, FALSE)="",":",VLOOKUP($E$6,[1]QUART!$A$2:$FA$324, 53, FALSE))</f>
        <v>1447</v>
      </c>
      <c r="BC6" s="1550">
        <f>IF(VLOOKUP($E$6,[1]QUART!$A$2:$FA$324, 54, FALSE)="",":",VLOOKUP($E$6,[1]QUART!$A$2:$FA$324, 54, FALSE))</f>
        <v>1453.5</v>
      </c>
      <c r="BD6" s="1550">
        <f>IF(VLOOKUP($E$6,[1]QUART!$A$2:$FA$324, 55, FALSE)="",":",VLOOKUP($E$6,[1]QUART!$A$2:$FA$324, 55, FALSE))</f>
        <v>1461.9</v>
      </c>
      <c r="BE6" s="1550">
        <f>IF(VLOOKUP($E$6,[1]QUART!$A$2:$FA$324, 56, FALSE)="",":",VLOOKUP($E$6,[1]QUART!$A$2:$FA$324, 56, FALSE))</f>
        <v>1436.2</v>
      </c>
      <c r="BF6" s="1550">
        <f>IF(VLOOKUP($E$6,[1]QUART!$A$2:$FA$324, 57, FALSE)="",":",VLOOKUP($E$6,[1]QUART!$A$2:$FA$324, 57, FALSE))</f>
        <v>1455.4</v>
      </c>
      <c r="BG6" s="1550">
        <f>IF(VLOOKUP($E$6,[1]QUART!$A$2:$FA$324, 58, FALSE)="",":",VLOOKUP($E$6,[1]QUART!$A$2:$FA$324, 58, FALSE))</f>
        <v>1449.1</v>
      </c>
      <c r="BH6" s="1550">
        <f>IF(VLOOKUP($E$6,[1]QUART!$A$2:$FA$324, 59, FALSE)="",":",VLOOKUP($E$6,[1]QUART!$A$2:$FA$324, 59, FALSE))</f>
        <v>1450.6</v>
      </c>
      <c r="BI6" s="1550">
        <f>IF(VLOOKUP($E$6,[1]QUART!$A$2:$FA$324, 60, FALSE)="",":",VLOOKUP($E$6,[1]QUART!$A$2:$FA$324, 60, FALSE))</f>
        <v>1465.8</v>
      </c>
      <c r="BJ6" s="1550">
        <f>IF(VLOOKUP($E$6,[1]QUART!$A$2:$FA$324, 61, FALSE)="",":",VLOOKUP($E$6,[1]QUART!$A$2:$FA$324, 61, FALSE))</f>
        <v>1459</v>
      </c>
      <c r="BK6" s="1550">
        <f>IF(VLOOKUP($E$6,[1]QUART!$A$2:$FA$324, 62, FALSE)="",":",VLOOKUP($E$6,[1]QUART!$A$2:$FA$324, 62, FALSE))</f>
        <v>1455.1</v>
      </c>
      <c r="BL6" s="1550">
        <f>IF(VLOOKUP($E$6,[1]QUART!$A$2:$FA$324, 63, FALSE)="",":",VLOOKUP($E$6,[1]QUART!$A$2:$FA$324, 63, FALSE))</f>
        <v>1448.5</v>
      </c>
      <c r="BM6" s="1550">
        <f>IF(VLOOKUP($E$6,[1]QUART!$A$2:$FA$324, 64, FALSE)="",":",VLOOKUP($E$6,[1]QUART!$A$2:$FA$324, 64, FALSE))</f>
        <v>1423.5</v>
      </c>
      <c r="BN6" s="1550">
        <f>IF(VLOOKUP($E$6,[1]QUART!$A$2:$FA$324, 65, FALSE)="",":",VLOOKUP($E$6,[1]QUART!$A$2:$FA$324, 65, FALSE))</f>
        <v>1417.1</v>
      </c>
      <c r="BO6" s="1550">
        <f>IF(VLOOKUP($E$6,[1]QUART!$A$2:$FA$324, 66, FALSE)="",":",VLOOKUP($E$6,[1]QUART!$A$2:$FA$324, 66, FALSE))</f>
        <v>1403.8</v>
      </c>
      <c r="BP6" s="1550">
        <f>IF(VLOOKUP($E$6,[1]QUART!$A$2:$FA$324, 67, FALSE)="",":",VLOOKUP($E$6,[1]QUART!$A$2:$FA$324, 67, FALSE))</f>
        <v>1390.1</v>
      </c>
      <c r="BQ6" s="1550">
        <f>IF(VLOOKUP($E$6,[1]QUART!$A$2:$FA$324, 68, FALSE)="",":",VLOOKUP($E$6,[1]QUART!$A$2:$FA$324, 68, FALSE))</f>
        <v>1390.4</v>
      </c>
      <c r="BR6" s="1550">
        <f>IF(VLOOKUP($E$6,[1]QUART!$A$2:$FA$324, 69, FALSE)="",":",VLOOKUP($E$6,[1]QUART!$A$2:$FA$324, 69, FALSE))</f>
        <v>1380.9</v>
      </c>
      <c r="BS6" s="1550">
        <f>IF(VLOOKUP($E$6,[1]QUART!$A$2:$FA$324, 70, FALSE)="",":",VLOOKUP($E$6,[1]QUART!$A$2:$FA$324, 70, FALSE))</f>
        <v>1380</v>
      </c>
      <c r="BT6" s="1550">
        <f>IF(VLOOKUP($E$6,[1]QUART!$A$2:$FA$324, 71, FALSE)="",":",VLOOKUP($E$6,[1]QUART!$A$2:$FA$324, 71, FALSE))</f>
        <v>1384.7</v>
      </c>
      <c r="BU6" s="1550">
        <f>IF(VLOOKUP($E$6,[1]QUART!$A$2:$FA$324, 72, FALSE)="",":",VLOOKUP($E$6,[1]QUART!$A$2:$FA$324, 72, FALSE))</f>
        <v>1386.5</v>
      </c>
      <c r="BV6" s="1550">
        <f>IF(VLOOKUP($E$6,[1]QUART!$A$2:$FA$324, 73, FALSE)="",":",VLOOKUP($E$6,[1]QUART!$A$2:$FA$324, 73, FALSE))</f>
        <v>1391.3</v>
      </c>
      <c r="BW6" s="1550">
        <f>IF(VLOOKUP($E$6,[1]QUART!$A$2:$FA$324, 74, FALSE)="",":",VLOOKUP($E$6,[1]QUART!$A$2:$FA$324, 74, FALSE))</f>
        <v>1400.5</v>
      </c>
      <c r="BX6" s="1550">
        <f>IF(VLOOKUP($E$6,[1]QUART!$A$2:$FA$324, 75, FALSE)="",":",VLOOKUP($E$6,[1]QUART!$A$2:$FA$324, 75, FALSE))</f>
        <v>1402</v>
      </c>
      <c r="BY6" s="1550">
        <f>IF(VLOOKUP($E$6,[1]QUART!$A$2:$FA$324, 76, FALSE)="",":",VLOOKUP($E$6,[1]QUART!$A$2:$FA$324, 76, FALSE))</f>
        <v>1405.3</v>
      </c>
      <c r="BZ6" s="1550">
        <f>IF(VLOOKUP($E$6,[1]QUART!$A$2:$FA$324, 77, FALSE)="",":",VLOOKUP($E$6,[1]QUART!$A$2:$FA$324, 77, FALSE))</f>
        <v>1408.1</v>
      </c>
      <c r="CA6" s="1550">
        <f>IF(VLOOKUP($E$6,[1]QUART!$A$2:$FA$324, 78, FALSE)="",":",VLOOKUP($E$6,[1]QUART!$A$2:$FA$324, 78, FALSE))</f>
        <v>1410.9</v>
      </c>
      <c r="CB6" s="1550">
        <f>IF(VLOOKUP($E$6,[1]QUART!$A$2:$FA$324, 79, FALSE)="",":",VLOOKUP($E$6,[1]QUART!$A$2:$FA$324, 79, FALSE))</f>
        <v>1413</v>
      </c>
      <c r="CC6" s="1550">
        <f>IF(VLOOKUP($E$6,[1]QUART!$A$2:$FA$324, 80, FALSE)="",":",VLOOKUP($E$6,[1]QUART!$A$2:$FA$324, 80, FALSE))</f>
        <v>1416.7</v>
      </c>
      <c r="CD6" s="1550">
        <f>IF(VLOOKUP($E$6,[1]QUART!$A$2:$FA$324, 81, FALSE)="",":",VLOOKUP($E$6,[1]QUART!$A$2:$FA$324, 81, FALSE))</f>
        <v>1413.7</v>
      </c>
      <c r="CE6" s="1550">
        <f>IF(VLOOKUP($E$6,[1]QUART!$A$2:$FA$324, 82, FALSE)="",":",VLOOKUP($E$6,[1]QUART!$A$2:$FA$324, 82, FALSE))</f>
        <v>1415.8</v>
      </c>
      <c r="CF6" s="1550">
        <f>IF(VLOOKUP($E$6,[1]QUART!$A$2:$FA$324, 83, FALSE)="",":",VLOOKUP($E$6,[1]QUART!$A$2:$FA$324, 83, FALSE))</f>
        <v>1417.3</v>
      </c>
      <c r="CG6" s="1550">
        <f>IF(VLOOKUP($E$6,[1]QUART!$A$2:$FA$324, 84, FALSE)="",":",VLOOKUP($E$6,[1]QUART!$A$2:$FA$324, 84, FALSE))</f>
        <v>1417.1</v>
      </c>
      <c r="CH6" s="1550">
        <f>IF(VLOOKUP($E$6,[1]QUART!$A$2:$FA$324, 85, FALSE)="",":",VLOOKUP($E$6,[1]QUART!$A$2:$FA$324, 85, FALSE))</f>
        <v>1422.1</v>
      </c>
      <c r="CI6" s="1550">
        <f>IF(VLOOKUP($E$6,[1]QUART!$A$2:$FA$324, 86, FALSE)="",":",VLOOKUP($E$6,[1]QUART!$A$2:$FA$324, 86, FALSE))</f>
        <v>1417.8</v>
      </c>
      <c r="CJ6" s="1550">
        <f>IF(VLOOKUP($E$6,[1]QUART!$A$2:$FA$324, 87, FALSE)="",":",VLOOKUP($E$6,[1]QUART!$A$2:$FA$324, 87, FALSE))</f>
        <v>1421.1</v>
      </c>
      <c r="CK6" s="1550">
        <f>IF(VLOOKUP($E$6,[1]QUART!$A$2:$FA$324, 88, FALSE)="",":",VLOOKUP($E$6,[1]QUART!$A$2:$FA$324, 88, FALSE))</f>
        <v>1421.2</v>
      </c>
      <c r="CL6" s="1550">
        <f>IF(VLOOKUP($E$6,[1]QUART!$A$2:$FA$324, 89, FALSE)="",":",VLOOKUP($E$6,[1]QUART!$A$2:$FA$324, 89, FALSE))</f>
        <v>1419.6</v>
      </c>
      <c r="CM6" s="1550">
        <f>IF(VLOOKUP($E$6,[1]QUART!$A$2:$FA$324, 90, FALSE)="",":",VLOOKUP($E$6,[1]QUART!$A$2:$FA$324, 90, FALSE))</f>
        <v>1429.4</v>
      </c>
      <c r="CN6" s="1550">
        <f>IF(VLOOKUP($E$6,[1]QUART!$A$2:$FA$324, 91, FALSE)="",":",VLOOKUP($E$6,[1]QUART!$A$2:$FA$324, 91, FALSE))</f>
        <v>1432.8</v>
      </c>
      <c r="CO6" s="1550">
        <f>IF(VLOOKUP($E$6,[1]QUART!$A$2:$FA$324, 92, FALSE)="",":",VLOOKUP($E$6,[1]QUART!$A$2:$FA$324, 92, FALSE))</f>
        <v>1441.9</v>
      </c>
      <c r="CP6" s="1550">
        <f>IF(VLOOKUP($E$6,[1]QUART!$A$2:$FA$324, 93, FALSE)="",":",VLOOKUP($E$6,[1]QUART!$A$2:$FA$324, 93, FALSE))</f>
        <v>1450.4</v>
      </c>
      <c r="CQ6" s="1550">
        <f>IF(VLOOKUP($E$6,[1]QUART!$A$2:$FA$324, 94, FALSE)="",":",VLOOKUP($E$6,[1]QUART!$A$2:$FA$324, 94, FALSE))</f>
        <v>1451.7</v>
      </c>
      <c r="CR6" s="1550">
        <f>IF(VLOOKUP($E$6,[1]QUART!$A$2:$FA$324, 95, FALSE)="",":",VLOOKUP($E$6,[1]QUART!$A$2:$FA$324, 95, FALSE))</f>
        <v>1455</v>
      </c>
      <c r="CS6" s="1550">
        <f>IF(VLOOKUP($E$6,[1]QUART!$A$2:$FA$324, 96, FALSE)="",":",VLOOKUP($E$6,[1]QUART!$A$2:$FA$324, 96, FALSE))</f>
        <v>1456.4</v>
      </c>
      <c r="CT6" s="1550">
        <f>IF(VLOOKUP($E$6,[1]QUART!$A$2:$FA$324, 97, FALSE)="",":",VLOOKUP($E$6,[1]QUART!$A$2:$FA$324, 97, FALSE))</f>
        <v>1458.6</v>
      </c>
      <c r="CU6" s="1550" t="str">
        <f>IF(VLOOKUP($E$6,[1]QUART!$A$2:$FA$324, 98, FALSE)="",":",VLOOKUP($E$6,[1]QUART!$A$2:$FA$324, 98, FALSE))</f>
        <v>:</v>
      </c>
      <c r="CV6" s="1550" t="str">
        <f>IF(VLOOKUP($E$6,[1]QUART!$A$2:$FA$324, 99, FALSE)="",":",VLOOKUP($E$6,[1]QUART!$A$2:$FA$324, 99, FALSE))</f>
        <v>:</v>
      </c>
      <c r="CW6" s="1550" t="str">
        <f>IF(VLOOKUP($E$6,[1]QUART!$A$2:$FA$324, 100, FALSE)="",":",VLOOKUP($E$6,[1]QUART!$A$2:$FA$324, 100, FALSE))</f>
        <v>:</v>
      </c>
      <c r="CX6" s="1550" t="str">
        <f>IF(VLOOKUP($E$6,[1]QUART!$A$2:$FA$324, 101, FALSE)="",":",VLOOKUP($E$6,[1]QUART!$A$2:$FA$324, 101, FALSE))</f>
        <v>:</v>
      </c>
      <c r="CY6" s="1550" t="str">
        <f>IF(VLOOKUP($E$6,[1]QUART!$A$2:$FA$324, 102, FALSE)="",":",VLOOKUP($E$6,[1]QUART!$A$2:$FA$324, 102, FALSE))</f>
        <v>:</v>
      </c>
      <c r="CZ6" s="1550" t="str">
        <f>IF(VLOOKUP($E$6,[1]QUART!$A$2:$FA$324, 103, FALSE)="",":",VLOOKUP($E$6,[1]QUART!$A$2:$FA$324, 103, FALSE))</f>
        <v>:</v>
      </c>
      <c r="DA6" s="1550" t="str">
        <f>IF(VLOOKUP($E$6,[1]QUART!$A$2:$FA$324, 104, FALSE)="",":",VLOOKUP($E$6,[1]QUART!$A$2:$FA$324, 104, FALSE))</f>
        <v>:</v>
      </c>
      <c r="DB6" s="1550" t="str">
        <f>IF(VLOOKUP($E$6,[1]QUART!$A$2:$FA$324, 105, FALSE)="",":",VLOOKUP($E$6,[1]QUART!$A$2:$FA$324, 105, FALSE))</f>
        <v>:</v>
      </c>
      <c r="DC6" s="1550" t="str">
        <f>IF(VLOOKUP($E$6,[1]QUART!$A$2:$FA$324, 106, FALSE)="",":",VLOOKUP($E$6,[1]QUART!$A$2:$FA$324, 106, FALSE))</f>
        <v>:</v>
      </c>
    </row>
    <row r="7" spans="1:110">
      <c r="A7" s="1546">
        <v>17</v>
      </c>
      <c r="B7" s="534" t="s">
        <v>850</v>
      </c>
      <c r="C7" s="1346" t="s">
        <v>417</v>
      </c>
      <c r="D7" s="1547" t="s">
        <v>1841</v>
      </c>
      <c r="E7" s="1548">
        <v>67</v>
      </c>
      <c r="F7" s="1549" t="str">
        <f>VLOOKUP($E$7,[1]QUART!$A$2:$FA$324, 3, FALSE)</f>
        <v xml:space="preserve">67  Gross fixed capital formation                                                   </v>
      </c>
      <c r="G7" s="1550">
        <f>IF(VLOOKUP($E$7,[1]QUART!$A$2:$FA$324, 6, FALSE)="",":",VLOOKUP($E$7,[1]QUART!$A$2:$FA$324, 6, FALSE))</f>
        <v>393.01436515291937</v>
      </c>
      <c r="H7" s="1550">
        <f>IF(VLOOKUP($E$7,[1]QUART!$A$2:$FA$324, 7, FALSE)="",":",VLOOKUP($E$7,[1]QUART!$A$2:$FA$324, 7, FALSE))</f>
        <v>412.67956441149215</v>
      </c>
      <c r="I7" s="1550">
        <f>IF(VLOOKUP($E$7,[1]QUART!$A$2:$FA$324, 8, FALSE)="",":",VLOOKUP($E$7,[1]QUART!$A$2:$FA$324, 8, FALSE))</f>
        <v>415.40199258572756</v>
      </c>
      <c r="J7" s="1550">
        <f>IF(VLOOKUP($E$7,[1]QUART!$A$2:$FA$324, 9, FALSE)="",":",VLOOKUP($E$7,[1]QUART!$A$2:$FA$324, 9, FALSE))</f>
        <v>449.2875347544022</v>
      </c>
      <c r="K7" s="1550">
        <f>IF(VLOOKUP($E$7,[1]QUART!$A$2:$FA$324, 10, FALSE)="",":",VLOOKUP($E$7,[1]QUART!$A$2:$FA$324, 10, FALSE))</f>
        <v>468.77896200185359</v>
      </c>
      <c r="L7" s="1550">
        <f>IF(VLOOKUP($E$7,[1]QUART!$A$2:$FA$324, 11, FALSE)="",":",VLOOKUP($E$7,[1]QUART!$A$2:$FA$324, 11, FALSE))</f>
        <v>484.73702502316962</v>
      </c>
      <c r="M7" s="1550">
        <f>IF(VLOOKUP($E$7,[1]QUART!$A$2:$FA$324, 12, FALSE)="",":",VLOOKUP($E$7,[1]QUART!$A$2:$FA$324, 12, FALSE))</f>
        <v>500.05792400370711</v>
      </c>
      <c r="N7" s="1550">
        <f>IF(VLOOKUP($E$7,[1]QUART!$A$2:$FA$324, 13, FALSE)="",":",VLOOKUP($E$7,[1]QUART!$A$2:$FA$324, 13, FALSE))</f>
        <v>546.86051899907329</v>
      </c>
      <c r="O7" s="1550">
        <f>IF(VLOOKUP($E$7,[1]QUART!$A$2:$FA$324, 14, FALSE)="",":",VLOOKUP($E$7,[1]QUART!$A$2:$FA$324, 14, FALSE))</f>
        <v>583.75810936051903</v>
      </c>
      <c r="P7" s="1550">
        <f>IF(VLOOKUP($E$7,[1]QUART!$A$2:$FA$324, 15, FALSE)="",":",VLOOKUP($E$7,[1]QUART!$A$2:$FA$324, 15, FALSE))</f>
        <v>598.29703429101028</v>
      </c>
      <c r="Q7" s="1550">
        <f>IF(VLOOKUP($E$7,[1]QUART!$A$2:$FA$324, 16, FALSE)="",":",VLOOKUP($E$7,[1]QUART!$A$2:$FA$324, 16, FALSE))</f>
        <v>646.2291473586655</v>
      </c>
      <c r="R7" s="1550">
        <f>IF(VLOOKUP($E$7,[1]QUART!$A$2:$FA$324, 17, FALSE)="",":",VLOOKUP($E$7,[1]QUART!$A$2:$FA$324, 17, FALSE))</f>
        <v>677.50810936051903</v>
      </c>
      <c r="S7" s="1550">
        <f>IF(VLOOKUP($E$7,[1]QUART!$A$2:$FA$324, 18, FALSE)="",":",VLOOKUP($E$7,[1]QUART!$A$2:$FA$324, 18, FALSE))</f>
        <v>731.92771084337346</v>
      </c>
      <c r="T7" s="1550">
        <f>IF(VLOOKUP($E$7,[1]QUART!$A$2:$FA$324, 19, FALSE)="",":",VLOOKUP($E$7,[1]QUART!$A$2:$FA$324, 19, FALSE))</f>
        <v>773.86468952734015</v>
      </c>
      <c r="U7" s="1550">
        <f>IF(VLOOKUP($E$7,[1]QUART!$A$2:$FA$324, 20, FALSE)="",":",VLOOKUP($E$7,[1]QUART!$A$2:$FA$324, 20, FALSE))</f>
        <v>792.92168674698803</v>
      </c>
      <c r="V7" s="1550">
        <f>IF(VLOOKUP($E$7,[1]QUART!$A$2:$FA$324, 21, FALSE)="",":",VLOOKUP($E$7,[1]QUART!$A$2:$FA$324, 21, FALSE))</f>
        <v>751.36121408711779</v>
      </c>
      <c r="W7" s="1550">
        <f>IF(VLOOKUP($E$7,[1]QUART!$A$2:$FA$324, 22, FALSE)="",":",VLOOKUP($E$7,[1]QUART!$A$2:$FA$324, 22, FALSE))</f>
        <v>738.09661723818351</v>
      </c>
      <c r="X7" s="1550">
        <f>IF(VLOOKUP($E$7,[1]QUART!$A$2:$FA$324, 23, FALSE)="",":",VLOOKUP($E$7,[1]QUART!$A$2:$FA$324, 23, FALSE))</f>
        <v>760.10773864689531</v>
      </c>
      <c r="Y7" s="1550">
        <f>IF(VLOOKUP($E$7,[1]QUART!$A$2:$FA$324, 24, FALSE)="",":",VLOOKUP($E$7,[1]QUART!$A$2:$FA$324, 24, FALSE))</f>
        <v>694.13229842446708</v>
      </c>
      <c r="Z7" s="1550">
        <f>IF(VLOOKUP($E$7,[1]QUART!$A$2:$FA$324, 25, FALSE)="",":",VLOOKUP($E$7,[1]QUART!$A$2:$FA$324, 25, FALSE))</f>
        <v>660.30468025949961</v>
      </c>
      <c r="AA7" s="1550">
        <f>IF(VLOOKUP($E$7,[1]QUART!$A$2:$FA$324, 26, FALSE)="",":",VLOOKUP($E$7,[1]QUART!$A$2:$FA$324, 26, FALSE))</f>
        <v>645.9684893419834</v>
      </c>
      <c r="AB7" s="1550">
        <f>IF(VLOOKUP($E$7,[1]QUART!$A$2:$FA$324, 27, FALSE)="",":",VLOOKUP($E$7,[1]QUART!$A$2:$FA$324, 27, FALSE))</f>
        <v>639.74165894346618</v>
      </c>
      <c r="AC7" s="1550">
        <f>IF(VLOOKUP($E$7,[1]QUART!$A$2:$FA$324, 28, FALSE)="",":",VLOOKUP($E$7,[1]QUART!$A$2:$FA$324, 28, FALSE))</f>
        <v>661.49212233549588</v>
      </c>
      <c r="AD7" s="1550">
        <f>IF(VLOOKUP($E$7,[1]QUART!$A$2:$FA$324, 29, FALSE)="",":",VLOOKUP($E$7,[1]QUART!$A$2:$FA$324, 29, FALSE))</f>
        <v>683.41635773864687</v>
      </c>
      <c r="AE7" s="1550">
        <f>IF(VLOOKUP($E$7,[1]QUART!$A$2:$FA$324, 30, FALSE)="",":",VLOOKUP($E$7,[1]QUART!$A$2:$FA$324, 30, FALSE))</f>
        <v>713.50787766450412</v>
      </c>
      <c r="AF7" s="1550">
        <f>IF(VLOOKUP($E$7,[1]QUART!$A$2:$FA$324, 31, FALSE)="",":",VLOOKUP($E$7,[1]QUART!$A$2:$FA$324, 31, FALSE))</f>
        <v>695.00115848007408</v>
      </c>
      <c r="AG7" s="1550">
        <f>IF(VLOOKUP($E$7,[1]QUART!$A$2:$FA$324, 32, FALSE)="",":",VLOOKUP($E$7,[1]QUART!$A$2:$FA$324, 32, FALSE))</f>
        <v>714.81116774791474</v>
      </c>
      <c r="AH7" s="1550">
        <f>IF(VLOOKUP($E$7,[1]QUART!$A$2:$FA$324, 33, FALSE)="",":",VLOOKUP($E$7,[1]QUART!$A$2:$FA$324, 33, FALSE))</f>
        <v>865.70319740500463</v>
      </c>
      <c r="AI7" s="1550">
        <f>IF(VLOOKUP($E$7,[1]QUART!$A$2:$FA$324, 34, FALSE)="",":",VLOOKUP($E$7,[1]QUART!$A$2:$FA$324, 34, FALSE))</f>
        <v>813.60055607043557</v>
      </c>
      <c r="AJ7" s="1550">
        <f>IF(VLOOKUP($E$7,[1]QUART!$A$2:$FA$324, 35, FALSE)="",":",VLOOKUP($E$7,[1]QUART!$A$2:$FA$324, 35, FALSE))</f>
        <v>801.23378127896206</v>
      </c>
      <c r="AK7" s="1550">
        <f>IF(VLOOKUP($E$7,[1]QUART!$A$2:$FA$324, 36, FALSE)="",":",VLOOKUP($E$7,[1]QUART!$A$2:$FA$324, 36, FALSE))</f>
        <v>813.71640407784992</v>
      </c>
      <c r="AL7" s="1550">
        <f>IF(VLOOKUP($E$7,[1]QUART!$A$2:$FA$324, 37, FALSE)="",":",VLOOKUP($E$7,[1]QUART!$A$2:$FA$324, 37, FALSE))</f>
        <v>871.98795180722902</v>
      </c>
      <c r="AM7" s="1550">
        <f>IF(VLOOKUP($E$7,[1]QUART!$A$2:$FA$324, 38, FALSE)="",":",VLOOKUP($E$7,[1]QUART!$A$2:$FA$324, 38, FALSE))</f>
        <v>868.16496756255788</v>
      </c>
      <c r="AN7" s="1550">
        <f>IF(VLOOKUP($E$7,[1]QUART!$A$2:$FA$324, 39, FALSE)="",":",VLOOKUP($E$7,[1]QUART!$A$2:$FA$324, 39, FALSE))</f>
        <v>924.17747914735867</v>
      </c>
      <c r="AO7" s="1550">
        <f>IF(VLOOKUP($E$7,[1]QUART!$A$2:$FA$324, 40, FALSE)="",":",VLOOKUP($E$7,[1]QUART!$A$2:$FA$324, 40, FALSE))</f>
        <v>950.6197868396664</v>
      </c>
      <c r="AP7" s="1550">
        <f>IF(VLOOKUP($E$7,[1]QUART!$A$2:$FA$324, 41, FALSE)="",":",VLOOKUP($E$7,[1]QUART!$A$2:$FA$324, 41, FALSE))</f>
        <v>976.10634847080644</v>
      </c>
      <c r="AQ7" s="1550">
        <f>IF(VLOOKUP($E$7,[1]QUART!$A$2:$FA$324, 42, FALSE)="",":",VLOOKUP($E$7,[1]QUART!$A$2:$FA$324, 42, FALSE))</f>
        <v>1017.8405931417981</v>
      </c>
      <c r="AR7" s="1550">
        <f>IF(VLOOKUP($E$7,[1]QUART!$A$2:$FA$324, 43, FALSE)="",":",VLOOKUP($E$7,[1]QUART!$A$2:$FA$324, 43, FALSE))</f>
        <v>1066.6126042632068</v>
      </c>
      <c r="AS7" s="1550">
        <f>IF(VLOOKUP($E$7,[1]QUART!$A$2:$FA$324, 44, FALSE)="",":",VLOOKUP($E$7,[1]QUART!$A$2:$FA$324, 44, FALSE))</f>
        <v>1085.2641334569046</v>
      </c>
      <c r="AT7" s="1550">
        <f>IF(VLOOKUP($E$7,[1]QUART!$A$2:$FA$324, 45, FALSE)="",":",VLOOKUP($E$7,[1]QUART!$A$2:$FA$324, 45, FALSE))</f>
        <v>1086.7991195551438</v>
      </c>
      <c r="AU7" s="1550">
        <f>IF(VLOOKUP($E$7,[1]QUART!$A$2:$FA$324, 46, FALSE)="",":",VLOOKUP($E$7,[1]QUART!$A$2:$FA$324, 46, FALSE))</f>
        <v>1280</v>
      </c>
      <c r="AV7" s="1550">
        <f>IF(VLOOKUP($E$7,[1]QUART!$A$2:$FA$324, 47, FALSE)="",":",VLOOKUP($E$7,[1]QUART!$A$2:$FA$324, 47, FALSE))</f>
        <v>1289.9000000000001</v>
      </c>
      <c r="AW7" s="1550">
        <f>IF(VLOOKUP($E$7,[1]QUART!$A$2:$FA$324, 48, FALSE)="",":",VLOOKUP($E$7,[1]QUART!$A$2:$FA$324, 48, FALSE))</f>
        <v>1408.5</v>
      </c>
      <c r="AX7" s="1550">
        <f>IF(VLOOKUP($E$7,[1]QUART!$A$2:$FA$324, 49, FALSE)="",":",VLOOKUP($E$7,[1]QUART!$A$2:$FA$324, 49, FALSE))</f>
        <v>1451.7</v>
      </c>
      <c r="AY7" s="1550">
        <f>IF(VLOOKUP($E$7,[1]QUART!$A$2:$FA$324, 50, FALSE)="",":",VLOOKUP($E$7,[1]QUART!$A$2:$FA$324, 50, FALSE))</f>
        <v>1478.1</v>
      </c>
      <c r="AZ7" s="1550">
        <f>IF(VLOOKUP($E$7,[1]QUART!$A$2:$FA$324, 51, FALSE)="",":",VLOOKUP($E$7,[1]QUART!$A$2:$FA$324, 51, FALSE))</f>
        <v>1563.7</v>
      </c>
      <c r="BA7" s="1550">
        <f>IF(VLOOKUP($E$7,[1]QUART!$A$2:$FA$324, 52, FALSE)="",":",VLOOKUP($E$7,[1]QUART!$A$2:$FA$324, 52, FALSE))</f>
        <v>1644.2</v>
      </c>
      <c r="BB7" s="1550">
        <f>IF(VLOOKUP($E$7,[1]QUART!$A$2:$FA$324, 53, FALSE)="",":",VLOOKUP($E$7,[1]QUART!$A$2:$FA$324, 53, FALSE))</f>
        <v>1807.4</v>
      </c>
      <c r="BC7" s="1550">
        <f>IF(VLOOKUP($E$7,[1]QUART!$A$2:$FA$324, 54, FALSE)="",":",VLOOKUP($E$7,[1]QUART!$A$2:$FA$324, 54, FALSE))</f>
        <v>1879.9</v>
      </c>
      <c r="BD7" s="1550">
        <f>IF(VLOOKUP($E$7,[1]QUART!$A$2:$FA$324, 55, FALSE)="",":",VLOOKUP($E$7,[1]QUART!$A$2:$FA$324, 55, FALSE))</f>
        <v>2007.1</v>
      </c>
      <c r="BE7" s="1550">
        <f>IF(VLOOKUP($E$7,[1]QUART!$A$2:$FA$324, 56, FALSE)="",":",VLOOKUP($E$7,[1]QUART!$A$2:$FA$324, 56, FALSE))</f>
        <v>2009</v>
      </c>
      <c r="BF7" s="1550">
        <f>IF(VLOOKUP($E$7,[1]QUART!$A$2:$FA$324, 57, FALSE)="",":",VLOOKUP($E$7,[1]QUART!$A$2:$FA$324, 57, FALSE))</f>
        <v>2047.2</v>
      </c>
      <c r="BG7" s="1550">
        <f>IF(VLOOKUP($E$7,[1]QUART!$A$2:$FA$324, 58, FALSE)="",":",VLOOKUP($E$7,[1]QUART!$A$2:$FA$324, 58, FALSE))</f>
        <v>2028.7</v>
      </c>
      <c r="BH7" s="1550">
        <f>IF(VLOOKUP($E$7,[1]QUART!$A$2:$FA$324, 59, FALSE)="",":",VLOOKUP($E$7,[1]QUART!$A$2:$FA$324, 59, FALSE))</f>
        <v>2012</v>
      </c>
      <c r="BI7" s="1550">
        <f>IF(VLOOKUP($E$7,[1]QUART!$A$2:$FA$324, 60, FALSE)="",":",VLOOKUP($E$7,[1]QUART!$A$2:$FA$324, 60, FALSE))</f>
        <v>1886.1</v>
      </c>
      <c r="BJ7" s="1550">
        <f>IF(VLOOKUP($E$7,[1]QUART!$A$2:$FA$324, 61, FALSE)="",":",VLOOKUP($E$7,[1]QUART!$A$2:$FA$324, 61, FALSE))</f>
        <v>1722.3</v>
      </c>
      <c r="BK7" s="1550">
        <f>IF(VLOOKUP($E$7,[1]QUART!$A$2:$FA$324, 62, FALSE)="",":",VLOOKUP($E$7,[1]QUART!$A$2:$FA$324, 62, FALSE))</f>
        <v>1342.5</v>
      </c>
      <c r="BL7" s="1550">
        <f>IF(VLOOKUP($E$7,[1]QUART!$A$2:$FA$324, 63, FALSE)="",":",VLOOKUP($E$7,[1]QUART!$A$2:$FA$324, 63, FALSE))</f>
        <v>1168.9000000000001</v>
      </c>
      <c r="BM7" s="1550">
        <f>IF(VLOOKUP($E$7,[1]QUART!$A$2:$FA$324, 64, FALSE)="",":",VLOOKUP($E$7,[1]QUART!$A$2:$FA$324, 64, FALSE))</f>
        <v>1063.4000000000001</v>
      </c>
      <c r="BN7" s="1550">
        <f>IF(VLOOKUP($E$7,[1]QUART!$A$2:$FA$324, 65, FALSE)="",":",VLOOKUP($E$7,[1]QUART!$A$2:$FA$324, 65, FALSE))</f>
        <v>1073.5</v>
      </c>
      <c r="BO7" s="1550">
        <f>IF(VLOOKUP($E$7,[1]QUART!$A$2:$FA$324, 66, FALSE)="",":",VLOOKUP($E$7,[1]QUART!$A$2:$FA$324, 66, FALSE))</f>
        <v>1043.3</v>
      </c>
      <c r="BP7" s="1550">
        <f>IF(VLOOKUP($E$7,[1]QUART!$A$2:$FA$324, 67, FALSE)="",":",VLOOKUP($E$7,[1]QUART!$A$2:$FA$324, 67, FALSE))</f>
        <v>1115.0999999999999</v>
      </c>
      <c r="BQ7" s="1550">
        <f>IF(VLOOKUP($E$7,[1]QUART!$A$2:$FA$324, 68, FALSE)="",":",VLOOKUP($E$7,[1]QUART!$A$2:$FA$324, 68, FALSE))</f>
        <v>1249.9000000000001</v>
      </c>
      <c r="BR7" s="1550">
        <f>IF(VLOOKUP($E$7,[1]QUART!$A$2:$FA$324, 69, FALSE)="",":",VLOOKUP($E$7,[1]QUART!$A$2:$FA$324, 69, FALSE))</f>
        <v>1295.5</v>
      </c>
      <c r="BS7" s="1550">
        <f>IF(VLOOKUP($E$7,[1]QUART!$A$2:$FA$324, 70, FALSE)="",":",VLOOKUP($E$7,[1]QUART!$A$2:$FA$324, 70, FALSE))</f>
        <v>1380.7</v>
      </c>
      <c r="BT7" s="1550">
        <f>IF(VLOOKUP($E$7,[1]QUART!$A$2:$FA$324, 71, FALSE)="",":",VLOOKUP($E$7,[1]QUART!$A$2:$FA$324, 71, FALSE))</f>
        <v>1403</v>
      </c>
      <c r="BU7" s="1550">
        <f>IF(VLOOKUP($E$7,[1]QUART!$A$2:$FA$324, 72, FALSE)="",":",VLOOKUP($E$7,[1]QUART!$A$2:$FA$324, 72, FALSE))</f>
        <v>1443.9</v>
      </c>
      <c r="BV7" s="1550">
        <f>IF(VLOOKUP($E$7,[1]QUART!$A$2:$FA$324, 73, FALSE)="",":",VLOOKUP($E$7,[1]QUART!$A$2:$FA$324, 73, FALSE))</f>
        <v>1451.7</v>
      </c>
      <c r="BW7" s="1550">
        <f>IF(VLOOKUP($E$7,[1]QUART!$A$2:$FA$324, 74, FALSE)="",":",VLOOKUP($E$7,[1]QUART!$A$2:$FA$324, 74, FALSE))</f>
        <v>1430.4</v>
      </c>
      <c r="BX7" s="1550">
        <f>IF(VLOOKUP($E$7,[1]QUART!$A$2:$FA$324, 75, FALSE)="",":",VLOOKUP($E$7,[1]QUART!$A$2:$FA$324, 75, FALSE))</f>
        <v>1380.4</v>
      </c>
      <c r="BY7" s="1550">
        <f>IF(VLOOKUP($E$7,[1]QUART!$A$2:$FA$324, 76, FALSE)="",":",VLOOKUP($E$7,[1]QUART!$A$2:$FA$324, 76, FALSE))</f>
        <v>1398.2</v>
      </c>
      <c r="BZ7" s="1550">
        <f>IF(VLOOKUP($E$7,[1]QUART!$A$2:$FA$324, 77, FALSE)="",":",VLOOKUP($E$7,[1]QUART!$A$2:$FA$324, 77, FALSE))</f>
        <v>1378.1</v>
      </c>
      <c r="CA7" s="1550">
        <f>IF(VLOOKUP($E$7,[1]QUART!$A$2:$FA$324, 78, FALSE)="",":",VLOOKUP($E$7,[1]QUART!$A$2:$FA$324, 78, FALSE))</f>
        <v>1434.1</v>
      </c>
      <c r="CB7" s="1550">
        <f>IF(VLOOKUP($E$7,[1]QUART!$A$2:$FA$324, 79, FALSE)="",":",VLOOKUP($E$7,[1]QUART!$A$2:$FA$324, 79, FALSE))</f>
        <v>1478.3</v>
      </c>
      <c r="CC7" s="1550">
        <f>IF(VLOOKUP($E$7,[1]QUART!$A$2:$FA$324, 80, FALSE)="",":",VLOOKUP($E$7,[1]QUART!$A$2:$FA$324, 80, FALSE))</f>
        <v>1564.1</v>
      </c>
      <c r="CD7" s="1550">
        <f>IF(VLOOKUP($E$7,[1]QUART!$A$2:$FA$324, 81, FALSE)="",":",VLOOKUP($E$7,[1]QUART!$A$2:$FA$324, 81, FALSE))</f>
        <v>1564.6</v>
      </c>
      <c r="CE7" s="1550">
        <f>IF(VLOOKUP($E$7,[1]QUART!$A$2:$FA$324, 82, FALSE)="",":",VLOOKUP($E$7,[1]QUART!$A$2:$FA$324, 82, FALSE))</f>
        <v>1584.7</v>
      </c>
      <c r="CF7" s="1550">
        <f>IF(VLOOKUP($E$7,[1]QUART!$A$2:$FA$324, 83, FALSE)="",":",VLOOKUP($E$7,[1]QUART!$A$2:$FA$324, 83, FALSE))</f>
        <v>1585.9</v>
      </c>
      <c r="CG7" s="1550">
        <f>IF(VLOOKUP($E$7,[1]QUART!$A$2:$FA$324, 84, FALSE)="",":",VLOOKUP($E$7,[1]QUART!$A$2:$FA$324, 84, FALSE))</f>
        <v>1595.3</v>
      </c>
      <c r="CH7" s="1550">
        <f>IF(VLOOKUP($E$7,[1]QUART!$A$2:$FA$324, 85, FALSE)="",":",VLOOKUP($E$7,[1]QUART!$A$2:$FA$324, 85, FALSE))</f>
        <v>1609.7</v>
      </c>
      <c r="CI7" s="1550">
        <f>IF(VLOOKUP($E$7,[1]QUART!$A$2:$FA$324, 86, FALSE)="",":",VLOOKUP($E$7,[1]QUART!$A$2:$FA$324, 86, FALSE))</f>
        <v>1692.5</v>
      </c>
      <c r="CJ7" s="1550">
        <f>IF(VLOOKUP($E$7,[1]QUART!$A$2:$FA$324, 87, FALSE)="",":",VLOOKUP($E$7,[1]QUART!$A$2:$FA$324, 87, FALSE))</f>
        <v>1726.1</v>
      </c>
      <c r="CK7" s="1550">
        <f>IF(VLOOKUP($E$7,[1]QUART!$A$2:$FA$324, 88, FALSE)="",":",VLOOKUP($E$7,[1]QUART!$A$2:$FA$324, 88, FALSE))</f>
        <v>1680.2</v>
      </c>
      <c r="CL7" s="1550">
        <f>IF(VLOOKUP($E$7,[1]QUART!$A$2:$FA$324, 89, FALSE)="",":",VLOOKUP($E$7,[1]QUART!$A$2:$FA$324, 89, FALSE))</f>
        <v>1597.7</v>
      </c>
      <c r="CM7" s="1550">
        <f>IF(VLOOKUP($E$7,[1]QUART!$A$2:$FA$324, 90, FALSE)="",":",VLOOKUP($E$7,[1]QUART!$A$2:$FA$324, 90, FALSE))</f>
        <v>1660.5</v>
      </c>
      <c r="CN7" s="1550">
        <f>IF(VLOOKUP($E$7,[1]QUART!$A$2:$FA$324, 91, FALSE)="",":",VLOOKUP($E$7,[1]QUART!$A$2:$FA$324, 91, FALSE))</f>
        <v>1685.3</v>
      </c>
      <c r="CO7" s="1550">
        <f>IF(VLOOKUP($E$7,[1]QUART!$A$2:$FA$324, 92, FALSE)="",":",VLOOKUP($E$7,[1]QUART!$A$2:$FA$324, 92, FALSE))</f>
        <v>1626</v>
      </c>
      <c r="CP7" s="1550">
        <f>IF(VLOOKUP($E$7,[1]QUART!$A$2:$FA$324, 93, FALSE)="",":",VLOOKUP($E$7,[1]QUART!$A$2:$FA$324, 93, FALSE))</f>
        <v>1717</v>
      </c>
      <c r="CQ7" s="1550">
        <f>IF(VLOOKUP($E$7,[1]QUART!$A$2:$FA$324, 94, FALSE)="",":",VLOOKUP($E$7,[1]QUART!$A$2:$FA$324, 94, FALSE))</f>
        <v>1705.3</v>
      </c>
      <c r="CR7" s="1550">
        <f>IF(VLOOKUP($E$7,[1]QUART!$A$2:$FA$324, 95, FALSE)="",":",VLOOKUP($E$7,[1]QUART!$A$2:$FA$324, 95, FALSE))</f>
        <v>1752</v>
      </c>
      <c r="CS7" s="1550">
        <f>IF(VLOOKUP($E$7,[1]QUART!$A$2:$FA$324, 96, FALSE)="",":",VLOOKUP($E$7,[1]QUART!$A$2:$FA$324, 96, FALSE))</f>
        <v>1774</v>
      </c>
      <c r="CT7" s="1550">
        <f>IF(VLOOKUP($E$7,[1]QUART!$A$2:$FA$324, 97, FALSE)="",":",VLOOKUP($E$7,[1]QUART!$A$2:$FA$324, 97, FALSE))</f>
        <v>1907.9</v>
      </c>
      <c r="CU7" s="1550" t="str">
        <f>IF(VLOOKUP($E$7,[1]QUART!$A$2:$FA$324, 98, FALSE)="",":",VLOOKUP($E$7,[1]QUART!$A$2:$FA$324, 98, FALSE))</f>
        <v>:</v>
      </c>
      <c r="CV7" s="1550" t="str">
        <f>IF(VLOOKUP($E$7,[1]QUART!$A$2:$FA$324, 99, FALSE)="",":",VLOOKUP($E$7,[1]QUART!$A$2:$FA$324, 99, FALSE))</f>
        <v>:</v>
      </c>
      <c r="CW7" s="1550" t="str">
        <f>IF(VLOOKUP($E$7,[1]QUART!$A$2:$FA$324, 100, FALSE)="",":",VLOOKUP($E$7,[1]QUART!$A$2:$FA$324, 100, FALSE))</f>
        <v>:</v>
      </c>
      <c r="CX7" s="1550" t="str">
        <f>IF(VLOOKUP($E$7,[1]QUART!$A$2:$FA$324, 101, FALSE)="",":",VLOOKUP($E$7,[1]QUART!$A$2:$FA$324, 101, FALSE))</f>
        <v>:</v>
      </c>
      <c r="CY7" s="1550" t="str">
        <f>IF(VLOOKUP($E$7,[1]QUART!$A$2:$FA$324, 102, FALSE)="",":",VLOOKUP($E$7,[1]QUART!$A$2:$FA$324, 102, FALSE))</f>
        <v>:</v>
      </c>
      <c r="CZ7" s="1550" t="str">
        <f>IF(VLOOKUP($E$7,[1]QUART!$A$2:$FA$324, 103, FALSE)="",":",VLOOKUP($E$7,[1]QUART!$A$2:$FA$324, 103, FALSE))</f>
        <v>:</v>
      </c>
      <c r="DA7" s="1550" t="str">
        <f>IF(VLOOKUP($E$7,[1]QUART!$A$2:$FA$324, 104, FALSE)="",":",VLOOKUP($E$7,[1]QUART!$A$2:$FA$324, 104, FALSE))</f>
        <v>:</v>
      </c>
      <c r="DB7" s="1550" t="str">
        <f>IF(VLOOKUP($E$7,[1]QUART!$A$2:$FA$324, 105, FALSE)="",":",VLOOKUP($E$7,[1]QUART!$A$2:$FA$324, 105, FALSE))</f>
        <v>:</v>
      </c>
      <c r="DC7" s="1550" t="str">
        <f>IF(VLOOKUP($E$7,[1]QUART!$A$2:$FA$324, 106, FALSE)="",":",VLOOKUP($E$7,[1]QUART!$A$2:$FA$324, 106, FALSE))</f>
        <v>:</v>
      </c>
    </row>
    <row r="8" spans="1:110">
      <c r="A8" s="1546">
        <v>18</v>
      </c>
      <c r="B8" s="534" t="s">
        <v>2060</v>
      </c>
      <c r="C8" s="535" t="s">
        <v>476</v>
      </c>
      <c r="D8" s="1547" t="s">
        <v>1841</v>
      </c>
      <c r="E8" s="1548">
        <v>68</v>
      </c>
      <c r="F8" s="1549" t="str">
        <f>VLOOKUP($E$8,[1]QUART!$A$2:$FA$324, 3, FALSE)</f>
        <v xml:space="preserve">68  Changes in inventories and net acquisition of valuables                         </v>
      </c>
      <c r="G8" s="1550">
        <f>IF(VLOOKUP($E$8,[1]QUART!$A$2:$FA$324, 6, FALSE)="",":",VLOOKUP($E$8,[1]QUART!$A$2:$FA$324, 6, FALSE))</f>
        <v>-21.055375347544043</v>
      </c>
      <c r="H8" s="1550">
        <f>IF(VLOOKUP($E$8,[1]QUART!$A$2:$FA$324, 7, FALSE)="",":",VLOOKUP($E$8,[1]QUART!$A$2:$FA$324, 7, FALSE))</f>
        <v>-84.511121408711801</v>
      </c>
      <c r="I8" s="1550">
        <f>IF(VLOOKUP($E$8,[1]QUART!$A$2:$FA$324, 8, FALSE)="",":",VLOOKUP($E$8,[1]QUART!$A$2:$FA$324, 8, FALSE))</f>
        <v>-69.335032437442067</v>
      </c>
      <c r="J8" s="1550">
        <f>IF(VLOOKUP($E$8,[1]QUART!$A$2:$FA$324, 9, FALSE)="",":",VLOOKUP($E$8,[1]QUART!$A$2:$FA$324, 9, FALSE))</f>
        <v>-110.40315106580164</v>
      </c>
      <c r="K8" s="1550">
        <f>IF(VLOOKUP($E$8,[1]QUART!$A$2:$FA$324, 10, FALSE)="",":",VLOOKUP($E$8,[1]QUART!$A$2:$FA$324, 10, FALSE))</f>
        <v>-111.73540315106584</v>
      </c>
      <c r="L8" s="1550">
        <f>IF(VLOOKUP($E$8,[1]QUART!$A$2:$FA$324, 11, FALSE)="",":",VLOOKUP($E$8,[1]QUART!$A$2:$FA$324, 11, FALSE))</f>
        <v>-91.143419833178882</v>
      </c>
      <c r="M8" s="1550">
        <f>IF(VLOOKUP($E$8,[1]QUART!$A$2:$FA$324, 12, FALSE)="",":",VLOOKUP($E$8,[1]QUART!$A$2:$FA$324, 12, FALSE))</f>
        <v>-38.635310472659796</v>
      </c>
      <c r="N8" s="1550">
        <f>IF(VLOOKUP($E$8,[1]QUART!$A$2:$FA$324, 13, FALSE)="",":",VLOOKUP($E$8,[1]QUART!$A$2:$FA$324, 13, FALSE))</f>
        <v>-51.610287303058442</v>
      </c>
      <c r="O8" s="1550">
        <f>IF(VLOOKUP($E$8,[1]QUART!$A$2:$FA$324, 14, FALSE)="",":",VLOOKUP($E$8,[1]QUART!$A$2:$FA$324, 14, FALSE))</f>
        <v>-11.324142724745116</v>
      </c>
      <c r="P8" s="1550">
        <f>IF(VLOOKUP($E$8,[1]QUART!$A$2:$FA$324, 15, FALSE)="",":",VLOOKUP($E$8,[1]QUART!$A$2:$FA$324, 15, FALSE))</f>
        <v>-0.34754402224291425</v>
      </c>
      <c r="Q8" s="1550">
        <f>IF(VLOOKUP($E$8,[1]QUART!$A$2:$FA$324, 16, FALSE)="",":",VLOOKUP($E$8,[1]QUART!$A$2:$FA$324, 16, FALSE))</f>
        <v>-64.382530120481988</v>
      </c>
      <c r="R8" s="1550">
        <f>IF(VLOOKUP($E$8,[1]QUART!$A$2:$FA$324, 17, FALSE)="",":",VLOOKUP($E$8,[1]QUART!$A$2:$FA$324, 17, FALSE))</f>
        <v>35.565338276181592</v>
      </c>
      <c r="S8" s="1550">
        <f>IF(VLOOKUP($E$8,[1]QUART!$A$2:$FA$324, 18, FALSE)="",":",VLOOKUP($E$8,[1]QUART!$A$2:$FA$324, 18, FALSE))</f>
        <v>-27.166357738646866</v>
      </c>
      <c r="T8" s="1550">
        <f>IF(VLOOKUP($E$8,[1]QUART!$A$2:$FA$324, 19, FALSE)="",":",VLOOKUP($E$8,[1]QUART!$A$2:$FA$324, 19, FALSE))</f>
        <v>-2.2879981464318462</v>
      </c>
      <c r="U8" s="1550">
        <f>IF(VLOOKUP($E$8,[1]QUART!$A$2:$FA$324, 20, FALSE)="",":",VLOOKUP($E$8,[1]QUART!$A$2:$FA$324, 20, FALSE))</f>
        <v>17.348239110287182</v>
      </c>
      <c r="V8" s="1550">
        <f>IF(VLOOKUP($E$8,[1]QUART!$A$2:$FA$324, 21, FALSE)="",":",VLOOKUP($E$8,[1]QUART!$A$2:$FA$324, 21, FALSE))</f>
        <v>-72.549814643188142</v>
      </c>
      <c r="W8" s="1550">
        <f>IF(VLOOKUP($E$8,[1]QUART!$A$2:$FA$324, 22, FALSE)="",":",VLOOKUP($E$8,[1]QUART!$A$2:$FA$324, 22, FALSE))</f>
        <v>-57.518535681186222</v>
      </c>
      <c r="X8" s="1550">
        <f>IF(VLOOKUP($E$8,[1]QUART!$A$2:$FA$324, 23, FALSE)="",":",VLOOKUP($E$8,[1]QUART!$A$2:$FA$324, 23, FALSE))</f>
        <v>-60.414735866543083</v>
      </c>
      <c r="Y8" s="1550">
        <f>IF(VLOOKUP($E$8,[1]QUART!$A$2:$FA$324, 24, FALSE)="",":",VLOOKUP($E$8,[1]QUART!$A$2:$FA$324, 24, FALSE))</f>
        <v>-59.893419833178768</v>
      </c>
      <c r="Z8" s="1550">
        <f>IF(VLOOKUP($E$8,[1]QUART!$A$2:$FA$324, 25, FALSE)="",":",VLOOKUP($E$8,[1]QUART!$A$2:$FA$324, 25, FALSE))</f>
        <v>-28.382761816496782</v>
      </c>
      <c r="AA8" s="1550">
        <f>IF(VLOOKUP($E$8,[1]QUART!$A$2:$FA$324, 26, FALSE)="",":",VLOOKUP($E$8,[1]QUART!$A$2:$FA$324, 26, FALSE))</f>
        <v>-42.661028730305929</v>
      </c>
      <c r="AB8" s="1550">
        <f>IF(VLOOKUP($E$8,[1]QUART!$A$2:$FA$324, 27, FALSE)="",":",VLOOKUP($E$8,[1]QUART!$A$2:$FA$324, 27, FALSE))</f>
        <v>-47.352873030583851</v>
      </c>
      <c r="AC8" s="1550">
        <f>IF(VLOOKUP($E$8,[1]QUART!$A$2:$FA$324, 28, FALSE)="",":",VLOOKUP($E$8,[1]QUART!$A$2:$FA$324, 28, FALSE))</f>
        <v>-74.837812789620102</v>
      </c>
      <c r="AD8" s="1550">
        <f>IF(VLOOKUP($E$8,[1]QUART!$A$2:$FA$324, 29, FALSE)="",":",VLOOKUP($E$8,[1]QUART!$A$2:$FA$324, 29, FALSE))</f>
        <v>-87.63901760889712</v>
      </c>
      <c r="AE8" s="1550">
        <f>IF(VLOOKUP($E$8,[1]QUART!$A$2:$FA$324, 30, FALSE)="",":",VLOOKUP($E$8,[1]QUART!$A$2:$FA$324, 30, FALSE))</f>
        <v>-75.677710843373347</v>
      </c>
      <c r="AF8" s="1550">
        <f>IF(VLOOKUP($E$8,[1]QUART!$A$2:$FA$324, 31, FALSE)="",":",VLOOKUP($E$8,[1]QUART!$A$2:$FA$324, 31, FALSE))</f>
        <v>-48.62720111214071</v>
      </c>
      <c r="AG8" s="1550">
        <f>IF(VLOOKUP($E$8,[1]QUART!$A$2:$FA$324, 32, FALSE)="",":",VLOOKUP($E$8,[1]QUART!$A$2:$FA$324, 32, FALSE))</f>
        <v>-34.725440222428233</v>
      </c>
      <c r="AH8" s="1550">
        <f>IF(VLOOKUP($E$8,[1]QUART!$A$2:$FA$324, 33, FALSE)="",":",VLOOKUP($E$8,[1]QUART!$A$2:$FA$324, 33, FALSE))</f>
        <v>-25.631371640407792</v>
      </c>
      <c r="AI8" s="1550">
        <f>IF(VLOOKUP($E$8,[1]QUART!$A$2:$FA$324, 34, FALSE)="",":",VLOOKUP($E$8,[1]QUART!$A$2:$FA$324, 34, FALSE))</f>
        <v>-29.309545875810841</v>
      </c>
      <c r="AJ8" s="1550">
        <f>IF(VLOOKUP($E$8,[1]QUART!$A$2:$FA$324, 35, FALSE)="",":",VLOOKUP($E$8,[1]QUART!$A$2:$FA$324, 35, FALSE))</f>
        <v>32.784986098239074</v>
      </c>
      <c r="AK8" s="1550">
        <f>IF(VLOOKUP($E$8,[1]QUART!$A$2:$FA$324, 36, FALSE)="",":",VLOOKUP($E$8,[1]QUART!$A$2:$FA$324, 36, FALSE))</f>
        <v>21.084337349397629</v>
      </c>
      <c r="AL8" s="1550">
        <f>IF(VLOOKUP($E$8,[1]QUART!$A$2:$FA$324, 37, FALSE)="",":",VLOOKUP($E$8,[1]QUART!$A$2:$FA$324, 37, FALSE))</f>
        <v>-45.962696941612762</v>
      </c>
      <c r="AM8" s="1550">
        <f>IF(VLOOKUP($E$8,[1]QUART!$A$2:$FA$324, 38, FALSE)="",":",VLOOKUP($E$8,[1]QUART!$A$2:$FA$324, 38, FALSE))</f>
        <v>-45.615152919369734</v>
      </c>
      <c r="AN8" s="1550">
        <f>IF(VLOOKUP($E$8,[1]QUART!$A$2:$FA$324, 39, FALSE)="",":",VLOOKUP($E$8,[1]QUART!$A$2:$FA$324, 39, FALSE))</f>
        <v>-18.130213160333597</v>
      </c>
      <c r="AO8" s="1550">
        <f>IF(VLOOKUP($E$8,[1]QUART!$A$2:$FA$324, 40, FALSE)="",":",VLOOKUP($E$8,[1]QUART!$A$2:$FA$324, 40, FALSE))</f>
        <v>47.584569045412422</v>
      </c>
      <c r="AP8" s="1550">
        <f>IF(VLOOKUP($E$8,[1]QUART!$A$2:$FA$324, 41, FALSE)="",":",VLOOKUP($E$8,[1]QUART!$A$2:$FA$324, 41, FALSE))</f>
        <v>59.053521779425296</v>
      </c>
      <c r="AQ8" s="1550">
        <f>IF(VLOOKUP($E$8,[1]QUART!$A$2:$FA$324, 42, FALSE)="",":",VLOOKUP($E$8,[1]QUART!$A$2:$FA$324, 42, FALSE))</f>
        <v>139.97335495829452</v>
      </c>
      <c r="AR8" s="1550">
        <f>IF(VLOOKUP($E$8,[1]QUART!$A$2:$FA$324, 43, FALSE)="",":",VLOOKUP($E$8,[1]QUART!$A$2:$FA$324, 43, FALSE))</f>
        <v>95.19810009267826</v>
      </c>
      <c r="AS8" s="1550">
        <f>IF(VLOOKUP($E$8,[1]QUART!$A$2:$FA$324, 44, FALSE)="",":",VLOOKUP($E$8,[1]QUART!$A$2:$FA$324, 44, FALSE))</f>
        <v>58.561167747914851</v>
      </c>
      <c r="AT8" s="1550">
        <f>IF(VLOOKUP($E$8,[1]QUART!$A$2:$FA$324, 45, FALSE)="",":",VLOOKUP($E$8,[1]QUART!$A$2:$FA$324, 45, FALSE))</f>
        <v>108.05722891566279</v>
      </c>
      <c r="AU8" s="1550">
        <f>IF(VLOOKUP($E$8,[1]QUART!$A$2:$FA$324, 46, FALSE)="",":",VLOOKUP($E$8,[1]QUART!$A$2:$FA$324, 46, FALSE))</f>
        <v>-80.400000000000091</v>
      </c>
      <c r="AV8" s="1550">
        <f>IF(VLOOKUP($E$8,[1]QUART!$A$2:$FA$324, 47, FALSE)="",":",VLOOKUP($E$8,[1]QUART!$A$2:$FA$324, 47, FALSE))</f>
        <v>45.099999999999909</v>
      </c>
      <c r="AW8" s="1550">
        <f>IF(VLOOKUP($E$8,[1]QUART!$A$2:$FA$324, 48, FALSE)="",":",VLOOKUP($E$8,[1]QUART!$A$2:$FA$324, 48, FALSE))</f>
        <v>-124.70000000000005</v>
      </c>
      <c r="AX8" s="1550">
        <f>IF(VLOOKUP($E$8,[1]QUART!$A$2:$FA$324, 49, FALSE)="",":",VLOOKUP($E$8,[1]QUART!$A$2:$FA$324, 49, FALSE))</f>
        <v>14.299999999999955</v>
      </c>
      <c r="AY8" s="1550">
        <f>IF(VLOOKUP($E$8,[1]QUART!$A$2:$FA$324, 50, FALSE)="",":",VLOOKUP($E$8,[1]QUART!$A$2:$FA$324, 50, FALSE))</f>
        <v>-5.3999999999998636</v>
      </c>
      <c r="AZ8" s="1550">
        <f>IF(VLOOKUP($E$8,[1]QUART!$A$2:$FA$324, 51, FALSE)="",":",VLOOKUP($E$8,[1]QUART!$A$2:$FA$324, 51, FALSE))</f>
        <v>-261.90000000000009</v>
      </c>
      <c r="BA8" s="1550">
        <f>IF(VLOOKUP($E$8,[1]QUART!$A$2:$FA$324, 52, FALSE)="",":",VLOOKUP($E$8,[1]QUART!$A$2:$FA$324, 52, FALSE))</f>
        <v>-190</v>
      </c>
      <c r="BB8" s="1550">
        <f>IF(VLOOKUP($E$8,[1]QUART!$A$2:$FA$324, 53, FALSE)="",":",VLOOKUP($E$8,[1]QUART!$A$2:$FA$324, 53, FALSE))</f>
        <v>-85.100000000000136</v>
      </c>
      <c r="BC8" s="1550">
        <f>IF(VLOOKUP($E$8,[1]QUART!$A$2:$FA$324, 54, FALSE)="",":",VLOOKUP($E$8,[1]QUART!$A$2:$FA$324, 54, FALSE))</f>
        <v>-149.80000000000018</v>
      </c>
      <c r="BD8" s="1550">
        <f>IF(VLOOKUP($E$8,[1]QUART!$A$2:$FA$324, 55, FALSE)="",":",VLOOKUP($E$8,[1]QUART!$A$2:$FA$324, 55, FALSE))</f>
        <v>-20.699999999999818</v>
      </c>
      <c r="BE8" s="1550">
        <f>IF(VLOOKUP($E$8,[1]QUART!$A$2:$FA$324, 56, FALSE)="",":",VLOOKUP($E$8,[1]QUART!$A$2:$FA$324, 56, FALSE))</f>
        <v>-33.099999999999909</v>
      </c>
      <c r="BF8" s="1550">
        <f>IF(VLOOKUP($E$8,[1]QUART!$A$2:$FA$324, 57, FALSE)="",":",VLOOKUP($E$8,[1]QUART!$A$2:$FA$324, 57, FALSE))</f>
        <v>13.499999999999773</v>
      </c>
      <c r="BG8" s="1550">
        <f>IF(VLOOKUP($E$8,[1]QUART!$A$2:$FA$324, 58, FALSE)="",":",VLOOKUP($E$8,[1]QUART!$A$2:$FA$324, 58, FALSE))</f>
        <v>78.899999999999864</v>
      </c>
      <c r="BH8" s="1550">
        <f>IF(VLOOKUP($E$8,[1]QUART!$A$2:$FA$324, 59, FALSE)="",":",VLOOKUP($E$8,[1]QUART!$A$2:$FA$324, 59, FALSE))</f>
        <v>59.300000000000182</v>
      </c>
      <c r="BI8" s="1550">
        <f>IF(VLOOKUP($E$8,[1]QUART!$A$2:$FA$324, 60, FALSE)="",":",VLOOKUP($E$8,[1]QUART!$A$2:$FA$324, 60, FALSE))</f>
        <v>167.30000000000018</v>
      </c>
      <c r="BJ8" s="1550">
        <f>IF(VLOOKUP($E$8,[1]QUART!$A$2:$FA$324, 61, FALSE)="",":",VLOOKUP($E$8,[1]QUART!$A$2:$FA$324, 61, FALSE))</f>
        <v>66.299999999999955</v>
      </c>
      <c r="BK8" s="1550">
        <f>IF(VLOOKUP($E$8,[1]QUART!$A$2:$FA$324, 62, FALSE)="",":",VLOOKUP($E$8,[1]QUART!$A$2:$FA$324, 62, FALSE))</f>
        <v>-529.5</v>
      </c>
      <c r="BL8" s="1550">
        <f>IF(VLOOKUP($E$8,[1]QUART!$A$2:$FA$324, 63, FALSE)="",":",VLOOKUP($E$8,[1]QUART!$A$2:$FA$324, 63, FALSE))</f>
        <v>-253.70000000000005</v>
      </c>
      <c r="BM8" s="1550">
        <f>IF(VLOOKUP($E$8,[1]QUART!$A$2:$FA$324, 64, FALSE)="",":",VLOOKUP($E$8,[1]QUART!$A$2:$FA$324, 64, FALSE))</f>
        <v>-54.000000000000114</v>
      </c>
      <c r="BN8" s="1550">
        <f>IF(VLOOKUP($E$8,[1]QUART!$A$2:$FA$324, 65, FALSE)="",":",VLOOKUP($E$8,[1]QUART!$A$2:$FA$324, 65, FALSE))</f>
        <v>-171.60000000000002</v>
      </c>
      <c r="BO8" s="1550">
        <f>IF(VLOOKUP($E$8,[1]QUART!$A$2:$FA$324, 66, FALSE)="",":",VLOOKUP($E$8,[1]QUART!$A$2:$FA$324, 66, FALSE))</f>
        <v>52.100000000000136</v>
      </c>
      <c r="BP8" s="1550">
        <f>IF(VLOOKUP($E$8,[1]QUART!$A$2:$FA$324, 67, FALSE)="",":",VLOOKUP($E$8,[1]QUART!$A$2:$FA$324, 67, FALSE))</f>
        <v>163.60000000000014</v>
      </c>
      <c r="BQ8" s="1550">
        <f>IF(VLOOKUP($E$8,[1]QUART!$A$2:$FA$324, 68, FALSE)="",":",VLOOKUP($E$8,[1]QUART!$A$2:$FA$324, 68, FALSE))</f>
        <v>-37.300000000000182</v>
      </c>
      <c r="BR8" s="1550">
        <f>IF(VLOOKUP($E$8,[1]QUART!$A$2:$FA$324, 69, FALSE)="",":",VLOOKUP($E$8,[1]QUART!$A$2:$FA$324, 69, FALSE))</f>
        <v>167.70000000000005</v>
      </c>
      <c r="BS8" s="1550">
        <f>IF(VLOOKUP($E$8,[1]QUART!$A$2:$FA$324, 70, FALSE)="",":",VLOOKUP($E$8,[1]QUART!$A$2:$FA$324, 70, FALSE))</f>
        <v>209.20000000000005</v>
      </c>
      <c r="BT8" s="1550">
        <f>IF(VLOOKUP($E$8,[1]QUART!$A$2:$FA$324, 71, FALSE)="",":",VLOOKUP($E$8,[1]QUART!$A$2:$FA$324, 71, FALSE))</f>
        <v>82</v>
      </c>
      <c r="BU8" s="1550">
        <f>IF(VLOOKUP($E$8,[1]QUART!$A$2:$FA$324, 72, FALSE)="",":",VLOOKUP($E$8,[1]QUART!$A$2:$FA$324, 72, FALSE))</f>
        <v>-27.5</v>
      </c>
      <c r="BV8" s="1550">
        <f>IF(VLOOKUP($E$8,[1]QUART!$A$2:$FA$324, 73, FALSE)="",":",VLOOKUP($E$8,[1]QUART!$A$2:$FA$324, 73, FALSE))</f>
        <v>2.8999999999998636</v>
      </c>
      <c r="BW8" s="1550">
        <f>IF(VLOOKUP($E$8,[1]QUART!$A$2:$FA$324, 74, FALSE)="",":",VLOOKUP($E$8,[1]QUART!$A$2:$FA$324, 74, FALSE))</f>
        <v>-34.900000000000091</v>
      </c>
      <c r="BX8" s="1550">
        <f>IF(VLOOKUP($E$8,[1]QUART!$A$2:$FA$324, 75, FALSE)="",":",VLOOKUP($E$8,[1]QUART!$A$2:$FA$324, 75, FALSE))</f>
        <v>-228.80000000000018</v>
      </c>
      <c r="BY8" s="1550">
        <f>IF(VLOOKUP($E$8,[1]QUART!$A$2:$FA$324, 76, FALSE)="",":",VLOOKUP($E$8,[1]QUART!$A$2:$FA$324, 76, FALSE))</f>
        <v>83.700000000000045</v>
      </c>
      <c r="BZ8" s="1550">
        <f>IF(VLOOKUP($E$8,[1]QUART!$A$2:$FA$324, 77, FALSE)="",":",VLOOKUP($E$8,[1]QUART!$A$2:$FA$324, 77, FALSE))</f>
        <v>-146.19999999999982</v>
      </c>
      <c r="CA8" s="1550">
        <f>IF(VLOOKUP($E$8,[1]QUART!$A$2:$FA$324, 78, FALSE)="",":",VLOOKUP($E$8,[1]QUART!$A$2:$FA$324, 78, FALSE))</f>
        <v>-250.59999999999991</v>
      </c>
      <c r="CB8" s="1550">
        <f>IF(VLOOKUP($E$8,[1]QUART!$A$2:$FA$324, 79, FALSE)="",":",VLOOKUP($E$8,[1]QUART!$A$2:$FA$324, 79, FALSE))</f>
        <v>-225.39999999999986</v>
      </c>
      <c r="CC8" s="1550">
        <f>IF(VLOOKUP($E$8,[1]QUART!$A$2:$FA$324, 80, FALSE)="",":",VLOOKUP($E$8,[1]QUART!$A$2:$FA$324, 80, FALSE))</f>
        <v>-160.69999999999982</v>
      </c>
      <c r="CD8" s="1550">
        <f>IF(VLOOKUP($E$8,[1]QUART!$A$2:$FA$324, 81, FALSE)="",":",VLOOKUP($E$8,[1]QUART!$A$2:$FA$324, 81, FALSE))</f>
        <v>-137.59999999999991</v>
      </c>
      <c r="CE8" s="1550">
        <f>IF(VLOOKUP($E$8,[1]QUART!$A$2:$FA$324, CE$1, FALSE)="",":",VLOOKUP($E$8,[1]QUART!$A$2:$FA$324, CE1, FALSE))</f>
        <v>-233.20000000000005</v>
      </c>
      <c r="CF8" s="1550">
        <f>IF(VLOOKUP($E$8,[1]QUART!$A$2:$FA$324, CF$1, FALSE)="",":",VLOOKUP($E$8,[1]QUART!$A$2:$FA$324, CF1, FALSE))</f>
        <v>-257.40000000000009</v>
      </c>
      <c r="CG8" s="1550">
        <f>IF(VLOOKUP($E$8,[1]QUART!$A$2:$FA$324, CG$1, FALSE)="",":",VLOOKUP($E$8,[1]QUART!$A$2:$FA$324, CG1, FALSE))</f>
        <v>-257.20000000000005</v>
      </c>
      <c r="CH8" s="1550">
        <f>IF(VLOOKUP($E$8,[1]QUART!$A$2:$FA$324, CH$1, FALSE)="",":",VLOOKUP($E$8,[1]QUART!$A$2:$FA$324, CH1, FALSE))</f>
        <v>-143.70000000000005</v>
      </c>
      <c r="CI8" s="1550">
        <f>IF(VLOOKUP($E$8,[1]QUART!$A$2:$FA$324, CI$1, FALSE)="",":",VLOOKUP($E$8,[1]QUART!$A$2:$FA$324, CI1, FALSE))</f>
        <v>16.099999999999909</v>
      </c>
      <c r="CJ8" s="1550">
        <f>IF(VLOOKUP($E$8,[1]QUART!$A$2:$FA$324, CJ$1, FALSE)="",":",VLOOKUP($E$8,[1]QUART!$A$2:$FA$324, CJ1, FALSE))</f>
        <v>128.90000000000009</v>
      </c>
      <c r="CK8" s="1550">
        <f>IF(VLOOKUP($E$8,[1]QUART!$A$2:$FA$324, CK$1, FALSE)="",":",VLOOKUP($E$8,[1]QUART!$A$2:$FA$324, CK1, FALSE))</f>
        <v>-24.799999999999955</v>
      </c>
      <c r="CL8" s="1550">
        <f>IF(VLOOKUP($E$8,[1]QUART!$A$2:$FA$324, CL$1, FALSE)="",":",VLOOKUP($E$8,[1]QUART!$A$2:$FA$324, CL1, FALSE))</f>
        <v>25.799999999999955</v>
      </c>
      <c r="CM8" s="1550">
        <f>IF(VLOOKUP($E$8,[1]QUART!$A$2:$FA$324, CM$1, FALSE)="",":",VLOOKUP($E$8,[1]QUART!$A$2:$FA$324, CM1, FALSE))</f>
        <v>-145.40000000000009</v>
      </c>
      <c r="CN8" s="1550">
        <f>IF(VLOOKUP($E$8,[1]QUART!$A$2:$FA$324, CN$1, FALSE)="",":",VLOOKUP($E$8,[1]QUART!$A$2:$FA$324, CN1, FALSE))</f>
        <v>13.400000000000091</v>
      </c>
      <c r="CO8" s="1550">
        <f>IF(VLOOKUP($E$8,[1]QUART!$A$2:$FA$324, CO$1, FALSE)="",":",VLOOKUP($E$8,[1]QUART!$A$2:$FA$324, CO1, FALSE))</f>
        <v>6.2000000000000455</v>
      </c>
      <c r="CP8" s="1550">
        <f>IF(VLOOKUP($E$8,[1]QUART!$A$2:$FA$324, CP$1, FALSE)="",":",VLOOKUP($E$8,[1]QUART!$A$2:$FA$324, CP1, FALSE))</f>
        <v>-19</v>
      </c>
      <c r="CQ8" s="1550">
        <f>IF(VLOOKUP($E$8,[1]QUART!$A$2:$FA$324, 94, FALSE)="",":",VLOOKUP($E$8,[1]QUART!$A$2:$FA$324, 94, FALSE))</f>
        <v>-3.0999999999999091</v>
      </c>
      <c r="CR8" s="1550">
        <f>IF(VLOOKUP($E$8,[1]QUART!$A$2:$FA$324, 95, FALSE)="",":",VLOOKUP($E$8,[1]QUART!$A$2:$FA$324, 95, FALSE))</f>
        <v>-164.20000000000005</v>
      </c>
      <c r="CS8" s="1550">
        <f>IF(VLOOKUP($E$8,[1]QUART!$A$2:$FA$324, 96, FALSE)="",":",VLOOKUP($E$8,[1]QUART!$A$2:$FA$324, 96, FALSE))</f>
        <v>-8.2000000000000455</v>
      </c>
      <c r="CT8" s="1550">
        <f>IF(VLOOKUP($E$8,[1]QUART!$A$2:$FA$324, 97, FALSE)="",":",VLOOKUP($E$8,[1]QUART!$A$2:$FA$324, 97, FALSE))</f>
        <v>-172.70000000000005</v>
      </c>
      <c r="CU8" s="1550"/>
      <c r="CV8" s="1550"/>
      <c r="CW8" s="1550"/>
      <c r="CX8" s="1550"/>
      <c r="CY8" s="1550"/>
      <c r="CZ8" s="1550"/>
      <c r="DA8" s="1550"/>
      <c r="DB8" s="1550"/>
      <c r="DC8" s="1550"/>
    </row>
    <row r="9" spans="1:110">
      <c r="A9" s="1546">
        <v>19</v>
      </c>
      <c r="B9" s="534" t="s">
        <v>2061</v>
      </c>
      <c r="C9" s="535" t="s">
        <v>494</v>
      </c>
      <c r="D9" s="1547" t="s">
        <v>1841</v>
      </c>
      <c r="E9" s="1548">
        <v>69</v>
      </c>
      <c r="F9" s="1549" t="str">
        <f>VLOOKUP($E$9,[1]QUART!$A$2:$FA$324, 3, FALSE)</f>
        <v xml:space="preserve">69  Exports of goods and services                                                   </v>
      </c>
      <c r="G9" s="1550">
        <f>IF(VLOOKUP($E$9,[1]QUART!$A$2:$FA$324, 6, FALSE)="",":",VLOOKUP($E$9,[1]QUART!$A$2:$FA$324, 6, FALSE))</f>
        <v>1108.7233549582947</v>
      </c>
      <c r="H9" s="1550">
        <f>IF(VLOOKUP($E$9,[1]QUART!$A$2:$FA$324, 7, FALSE)="",":",VLOOKUP($E$9,[1]QUART!$A$2:$FA$324, 7, FALSE))</f>
        <v>1145.2444392956443</v>
      </c>
      <c r="I9" s="1550">
        <f>IF(VLOOKUP($E$9,[1]QUART!$A$2:$FA$324, 8, FALSE)="",":",VLOOKUP($E$9,[1]QUART!$A$2:$FA$324, 8, FALSE))</f>
        <v>1194.4508804448562</v>
      </c>
      <c r="J9" s="1550">
        <f>IF(VLOOKUP($E$9,[1]QUART!$A$2:$FA$324, 9, FALSE)="",":",VLOOKUP($E$9,[1]QUART!$A$2:$FA$324, 9, FALSE))</f>
        <v>1240.008109360519</v>
      </c>
      <c r="K9" s="1550">
        <f>IF(VLOOKUP($E$9,[1]QUART!$A$2:$FA$324, 10, FALSE)="",":",VLOOKUP($E$9,[1]QUART!$A$2:$FA$324, 10, FALSE))</f>
        <v>1306.939295644115</v>
      </c>
      <c r="L9" s="1550">
        <f>IF(VLOOKUP($E$9,[1]QUART!$A$2:$FA$324, 11, FALSE)="",":",VLOOKUP($E$9,[1]QUART!$A$2:$FA$324, 11, FALSE))</f>
        <v>1349.5424003707137</v>
      </c>
      <c r="M9" s="1550">
        <f>IF(VLOOKUP($E$9,[1]QUART!$A$2:$FA$324, 12, FALSE)="",":",VLOOKUP($E$9,[1]QUART!$A$2:$FA$324, 12, FALSE))</f>
        <v>1424.9015291936978</v>
      </c>
      <c r="N9" s="1550">
        <f>IF(VLOOKUP($E$9,[1]QUART!$A$2:$FA$324, 13, FALSE)="",":",VLOOKUP($E$9,[1]QUART!$A$2:$FA$324, 13, FALSE))</f>
        <v>1496.321825764597</v>
      </c>
      <c r="O9" s="1550">
        <f>IF(VLOOKUP($E$9,[1]QUART!$A$2:$FA$324, 14, FALSE)="",":",VLOOKUP($E$9,[1]QUART!$A$2:$FA$324, 14, FALSE))</f>
        <v>1556.128359592215</v>
      </c>
      <c r="P9" s="1550">
        <f>IF(VLOOKUP($E$9,[1]QUART!$A$2:$FA$324, 15, FALSE)="",":",VLOOKUP($E$9,[1]QUART!$A$2:$FA$324, 15, FALSE))</f>
        <v>1602.5254865616312</v>
      </c>
      <c r="Q9" s="1550">
        <f>IF(VLOOKUP($E$9,[1]QUART!$A$2:$FA$324, 16, FALSE)="",":",VLOOKUP($E$9,[1]QUART!$A$2:$FA$324, 16, FALSE))</f>
        <v>1636.9902687673773</v>
      </c>
      <c r="R9" s="1550">
        <f>IF(VLOOKUP($E$9,[1]QUART!$A$2:$FA$324, 17, FALSE)="",":",VLOOKUP($E$9,[1]QUART!$A$2:$FA$324, 17, FALSE))</f>
        <v>1779.1647358665432</v>
      </c>
      <c r="S9" s="1550">
        <f>IF(VLOOKUP($E$9,[1]QUART!$A$2:$FA$324, 18, FALSE)="",":",VLOOKUP($E$9,[1]QUART!$A$2:$FA$324, 18, FALSE))</f>
        <v>1831.7307692307695</v>
      </c>
      <c r="T9" s="1550">
        <f>IF(VLOOKUP($E$9,[1]QUART!$A$2:$FA$324, 19, FALSE)="",":",VLOOKUP($E$9,[1]QUART!$A$2:$FA$324, 19, FALSE))</f>
        <v>1807.2578776645043</v>
      </c>
      <c r="U9" s="1550">
        <f>IF(VLOOKUP($E$9,[1]QUART!$A$2:$FA$324, 20, FALSE)="",":",VLOOKUP($E$9,[1]QUART!$A$2:$FA$324, 20, FALSE))</f>
        <v>1690.4251621872104</v>
      </c>
      <c r="V9" s="1550">
        <f>IF(VLOOKUP($E$9,[1]QUART!$A$2:$FA$324, 21, FALSE)="",":",VLOOKUP($E$9,[1]QUART!$A$2:$FA$324, 21, FALSE))</f>
        <v>1593.8658480074143</v>
      </c>
      <c r="W9" s="1550">
        <f>IF(VLOOKUP($E$9,[1]QUART!$A$2:$FA$324, 22, FALSE)="",":",VLOOKUP($E$9,[1]QUART!$A$2:$FA$324, 22, FALSE))</f>
        <v>1505.8503243744208</v>
      </c>
      <c r="X9" s="1550">
        <f>IF(VLOOKUP($E$9,[1]QUART!$A$2:$FA$324, 23, FALSE)="",":",VLOOKUP($E$9,[1]QUART!$A$2:$FA$324, 23, FALSE))</f>
        <v>1430.607043558851</v>
      </c>
      <c r="Y9" s="1550">
        <f>IF(VLOOKUP($E$9,[1]QUART!$A$2:$FA$324, 24, FALSE)="",":",VLOOKUP($E$9,[1]QUART!$A$2:$FA$324, 24, FALSE))</f>
        <v>1419.1380908248379</v>
      </c>
      <c r="Z9" s="1550">
        <f>IF(VLOOKUP($E$9,[1]QUART!$A$2:$FA$324, 25, FALSE)="",":",VLOOKUP($E$9,[1]QUART!$A$2:$FA$324, 25, FALSE))</f>
        <v>1404.8598239110288</v>
      </c>
      <c r="AA9" s="1550">
        <f>IF(VLOOKUP($E$9,[1]QUART!$A$2:$FA$324, 26, FALSE)="",":",VLOOKUP($E$9,[1]QUART!$A$2:$FA$324, 26, FALSE))</f>
        <v>1524.4439295644117</v>
      </c>
      <c r="AB9" s="1550">
        <f>IF(VLOOKUP($E$9,[1]QUART!$A$2:$FA$324, 27, FALSE)="",":",VLOOKUP($E$9,[1]QUART!$A$2:$FA$324, 27, FALSE))</f>
        <v>1534.8123262279889</v>
      </c>
      <c r="AC9" s="1550">
        <f>IF(VLOOKUP($E$9,[1]QUART!$A$2:$FA$324, 28, FALSE)="",":",VLOOKUP($E$9,[1]QUART!$A$2:$FA$324, 28, FALSE))</f>
        <v>1649.4439295644115</v>
      </c>
      <c r="AD9" s="1550">
        <f>IF(VLOOKUP($E$9,[1]QUART!$A$2:$FA$324, 29, FALSE)="",":",VLOOKUP($E$9,[1]QUART!$A$2:$FA$324, 29, FALSE))</f>
        <v>1656.9161260426322</v>
      </c>
      <c r="AE9" s="1550">
        <f>IF(VLOOKUP($E$9,[1]QUART!$A$2:$FA$324, 30, FALSE)="",":",VLOOKUP($E$9,[1]QUART!$A$2:$FA$324, 30, FALSE))</f>
        <v>1824.6061167747916</v>
      </c>
      <c r="AF9" s="1550">
        <f>IF(VLOOKUP($E$9,[1]QUART!$A$2:$FA$324, 31, FALSE)="",":",VLOOKUP($E$9,[1]QUART!$A$2:$FA$324, 31, FALSE))</f>
        <v>1896.4318813716404</v>
      </c>
      <c r="AG9" s="1550">
        <f>IF(VLOOKUP($E$9,[1]QUART!$A$2:$FA$324, 32, FALSE)="",":",VLOOKUP($E$9,[1]QUART!$A$2:$FA$324, 32, FALSE))</f>
        <v>1946.4782205746062</v>
      </c>
      <c r="AH9" s="1550">
        <f>IF(VLOOKUP($E$9,[1]QUART!$A$2:$FA$324, 33, FALSE)="",":",VLOOKUP($E$9,[1]QUART!$A$2:$FA$324, 33, FALSE))</f>
        <v>2026.7319277108434</v>
      </c>
      <c r="AI9" s="1550">
        <f>IF(VLOOKUP($E$9,[1]QUART!$A$2:$FA$324, 34, FALSE)="",":",VLOOKUP($E$9,[1]QUART!$A$2:$FA$324, 34, FALSE))</f>
        <v>2126.5929101019465</v>
      </c>
      <c r="AJ9" s="1550">
        <f>IF(VLOOKUP($E$9,[1]QUART!$A$2:$FA$324, 35, FALSE)="",":",VLOOKUP($E$9,[1]QUART!$A$2:$FA$324, 35, FALSE))</f>
        <v>2304.1299814643189</v>
      </c>
      <c r="AK9" s="1550">
        <f>IF(VLOOKUP($E$9,[1]QUART!$A$2:$FA$324, 36, FALSE)="",":",VLOOKUP($E$9,[1]QUART!$A$2:$FA$324, 36, FALSE))</f>
        <v>2273.86468952734</v>
      </c>
      <c r="AL9" s="1550">
        <f>IF(VLOOKUP($E$9,[1]QUART!$A$2:$FA$324, 37, FALSE)="",":",VLOOKUP($E$9,[1]QUART!$A$2:$FA$324, 37, FALSE))</f>
        <v>2404.4833178869326</v>
      </c>
      <c r="AM9" s="1550">
        <f>IF(VLOOKUP($E$9,[1]QUART!$A$2:$FA$324, 38, FALSE)="",":",VLOOKUP($E$9,[1]QUART!$A$2:$FA$324, 38, FALSE))</f>
        <v>2544.4566728452273</v>
      </c>
      <c r="AN9" s="1550">
        <f>IF(VLOOKUP($E$9,[1]QUART!$A$2:$FA$324, 39, FALSE)="",":",VLOOKUP($E$9,[1]QUART!$A$2:$FA$324, 39, FALSE))</f>
        <v>2345.6035681186281</v>
      </c>
      <c r="AO9" s="1550">
        <f>IF(VLOOKUP($E$9,[1]QUART!$A$2:$FA$324, 40, FALSE)="",":",VLOOKUP($E$9,[1]QUART!$A$2:$FA$324, 40, FALSE))</f>
        <v>2432.431649675626</v>
      </c>
      <c r="AP9" s="1550">
        <f>IF(VLOOKUP($E$9,[1]QUART!$A$2:$FA$324, 41, FALSE)="",":",VLOOKUP($E$9,[1]QUART!$A$2:$FA$324, 41, FALSE))</f>
        <v>2512.8591288229841</v>
      </c>
      <c r="AQ9" s="1550">
        <f>IF(VLOOKUP($E$9,[1]QUART!$A$2:$FA$324, 42, FALSE)="",":",VLOOKUP($E$9,[1]QUART!$A$2:$FA$324, 42, FALSE))</f>
        <v>2383.6306765523636</v>
      </c>
      <c r="AR9" s="1550">
        <f>IF(VLOOKUP($E$9,[1]QUART!$A$2:$FA$324, 43, FALSE)="",":",VLOOKUP($E$9,[1]QUART!$A$2:$FA$324, 43, FALSE))</f>
        <v>2488.5889712696944</v>
      </c>
      <c r="AS9" s="1550">
        <f>IF(VLOOKUP($E$9,[1]QUART!$A$2:$FA$324, 44, FALSE)="",":",VLOOKUP($E$9,[1]QUART!$A$2:$FA$324, 44, FALSE))</f>
        <v>2606.2615848007413</v>
      </c>
      <c r="AT9" s="1550">
        <f>IF(VLOOKUP($E$9,[1]QUART!$A$2:$FA$324, 45, FALSE)="",":",VLOOKUP($E$9,[1]QUART!$A$2:$FA$324, 45, FALSE))</f>
        <v>2745.8873957367932</v>
      </c>
      <c r="AU9" s="1550">
        <f>IF(VLOOKUP($E$9,[1]QUART!$A$2:$FA$324, 46, FALSE)="",":",VLOOKUP($E$9,[1]QUART!$A$2:$FA$324, 46, FALSE))</f>
        <v>3139.4</v>
      </c>
      <c r="AV9" s="1550">
        <f>IF(VLOOKUP($E$9,[1]QUART!$A$2:$FA$324, 47, FALSE)="",":",VLOOKUP($E$9,[1]QUART!$A$2:$FA$324, 47, FALSE))</f>
        <v>3257.8</v>
      </c>
      <c r="AW9" s="1550">
        <f>IF(VLOOKUP($E$9,[1]QUART!$A$2:$FA$324, 48, FALSE)="",":",VLOOKUP($E$9,[1]QUART!$A$2:$FA$324, 48, FALSE))</f>
        <v>3422.1</v>
      </c>
      <c r="AX9" s="1550">
        <f>IF(VLOOKUP($E$9,[1]QUART!$A$2:$FA$324, 49, FALSE)="",":",VLOOKUP($E$9,[1]QUART!$A$2:$FA$324, 49, FALSE))</f>
        <v>3558.5</v>
      </c>
      <c r="AY9" s="1550">
        <f>IF(VLOOKUP($E$9,[1]QUART!$A$2:$FA$324, 50, FALSE)="",":",VLOOKUP($E$9,[1]QUART!$A$2:$FA$324, 50, FALSE))</f>
        <v>3716.9</v>
      </c>
      <c r="AZ9" s="1550">
        <f>IF(VLOOKUP($E$9,[1]QUART!$A$2:$FA$324, 51, FALSE)="",":",VLOOKUP($E$9,[1]QUART!$A$2:$FA$324, 51, FALSE))</f>
        <v>3791.6</v>
      </c>
      <c r="BA9" s="1550">
        <f>IF(VLOOKUP($E$9,[1]QUART!$A$2:$FA$324, 52, FALSE)="",":",VLOOKUP($E$9,[1]QUART!$A$2:$FA$324, 52, FALSE))</f>
        <v>3729.2</v>
      </c>
      <c r="BB9" s="1550">
        <f>IF(VLOOKUP($E$9,[1]QUART!$A$2:$FA$324, 53, FALSE)="",":",VLOOKUP($E$9,[1]QUART!$A$2:$FA$324, 53, FALSE))</f>
        <v>3832.4</v>
      </c>
      <c r="BC9" s="1550">
        <f>IF(VLOOKUP($E$9,[1]QUART!$A$2:$FA$324, 54, FALSE)="",":",VLOOKUP($E$9,[1]QUART!$A$2:$FA$324, 54, FALSE))</f>
        <v>3754.5</v>
      </c>
      <c r="BD9" s="1550">
        <f>IF(VLOOKUP($E$9,[1]QUART!$A$2:$FA$324, 55, FALSE)="",":",VLOOKUP($E$9,[1]QUART!$A$2:$FA$324, 55, FALSE))</f>
        <v>3769.9</v>
      </c>
      <c r="BE9" s="1550">
        <f>IF(VLOOKUP($E$9,[1]QUART!$A$2:$FA$324, 56, FALSE)="",":",VLOOKUP($E$9,[1]QUART!$A$2:$FA$324, 56, FALSE))</f>
        <v>3995.4</v>
      </c>
      <c r="BF9" s="1550">
        <f>IF(VLOOKUP($E$9,[1]QUART!$A$2:$FA$324, 57, FALSE)="",":",VLOOKUP($E$9,[1]QUART!$A$2:$FA$324, 57, FALSE))</f>
        <v>4028.9</v>
      </c>
      <c r="BG9" s="1550">
        <f>IF(VLOOKUP($E$9,[1]QUART!$A$2:$FA$324, 58, FALSE)="",":",VLOOKUP($E$9,[1]QUART!$A$2:$FA$324, 58, FALSE))</f>
        <v>4383.8999999999996</v>
      </c>
      <c r="BH9" s="1550">
        <f>IF(VLOOKUP($E$9,[1]QUART!$A$2:$FA$324, 59, FALSE)="",":",VLOOKUP($E$9,[1]QUART!$A$2:$FA$324, 59, FALSE))</f>
        <v>4563.8</v>
      </c>
      <c r="BI9" s="1550">
        <f>IF(VLOOKUP($E$9,[1]QUART!$A$2:$FA$324, 60, FALSE)="",":",VLOOKUP($E$9,[1]QUART!$A$2:$FA$324, 60, FALSE))</f>
        <v>4429.2</v>
      </c>
      <c r="BJ9" s="1550">
        <f>IF(VLOOKUP($E$9,[1]QUART!$A$2:$FA$324, 61, FALSE)="",":",VLOOKUP($E$9,[1]QUART!$A$2:$FA$324, 61, FALSE))</f>
        <v>4297.5</v>
      </c>
      <c r="BK9" s="1550">
        <f>IF(VLOOKUP($E$9,[1]QUART!$A$2:$FA$324, 62, FALSE)="",":",VLOOKUP($E$9,[1]QUART!$A$2:$FA$324, 62, FALSE))</f>
        <v>3963.8</v>
      </c>
      <c r="BL9" s="1550">
        <f>IF(VLOOKUP($E$9,[1]QUART!$A$2:$FA$324, 63, FALSE)="",":",VLOOKUP($E$9,[1]QUART!$A$2:$FA$324, 63, FALSE))</f>
        <v>3711.1</v>
      </c>
      <c r="BM9" s="1550">
        <f>IF(VLOOKUP($E$9,[1]QUART!$A$2:$FA$324, 64, FALSE)="",":",VLOOKUP($E$9,[1]QUART!$A$2:$FA$324, 64, FALSE))</f>
        <v>3789.3</v>
      </c>
      <c r="BN9" s="1550">
        <f>IF(VLOOKUP($E$9,[1]QUART!$A$2:$FA$324, 65, FALSE)="",":",VLOOKUP($E$9,[1]QUART!$A$2:$FA$324, 65, FALSE))</f>
        <v>3927.6</v>
      </c>
      <c r="BO9" s="1550">
        <f>IF(VLOOKUP($E$9,[1]QUART!$A$2:$FA$324, 66, FALSE)="",":",VLOOKUP($E$9,[1]QUART!$A$2:$FA$324, 66, FALSE))</f>
        <v>4164.6000000000004</v>
      </c>
      <c r="BP9" s="1550">
        <f>IF(VLOOKUP($E$9,[1]QUART!$A$2:$FA$324, 67, FALSE)="",":",VLOOKUP($E$9,[1]QUART!$A$2:$FA$324, 67, FALSE))</f>
        <v>4493.8999999999996</v>
      </c>
      <c r="BQ9" s="1550">
        <f>IF(VLOOKUP($E$9,[1]QUART!$A$2:$FA$324, 68, FALSE)="",":",VLOOKUP($E$9,[1]QUART!$A$2:$FA$324, 68, FALSE))</f>
        <v>4713.3</v>
      </c>
      <c r="BR9" s="1550">
        <f>IF(VLOOKUP($E$9,[1]QUART!$A$2:$FA$324, 69, FALSE)="",":",VLOOKUP($E$9,[1]QUART!$A$2:$FA$324, 69, FALSE))</f>
        <v>4955.8</v>
      </c>
      <c r="BS9" s="1550">
        <f>IF(VLOOKUP($E$9,[1]QUART!$A$2:$FA$324, 70, FALSE)="",":",VLOOKUP($E$9,[1]QUART!$A$2:$FA$324, 70, FALSE))</f>
        <v>5107.1000000000004</v>
      </c>
      <c r="BT9" s="1550">
        <f>IF(VLOOKUP($E$9,[1]QUART!$A$2:$FA$324, 71, FALSE)="",":",VLOOKUP($E$9,[1]QUART!$A$2:$FA$324, 71, FALSE))</f>
        <v>5273.4</v>
      </c>
      <c r="BU9" s="1550">
        <f>IF(VLOOKUP($E$9,[1]QUART!$A$2:$FA$324, 72, FALSE)="",":",VLOOKUP($E$9,[1]QUART!$A$2:$FA$324, 72, FALSE))</f>
        <v>5345.1</v>
      </c>
      <c r="BV9" s="1550">
        <f>IF(VLOOKUP($E$9,[1]QUART!$A$2:$FA$324, 73, FALSE)="",":",VLOOKUP($E$9,[1]QUART!$A$2:$FA$324, 73, FALSE))</f>
        <v>5405.3</v>
      </c>
      <c r="BW9" s="1550">
        <f>IF(VLOOKUP($E$9,[1]QUART!$A$2:$FA$324, 74, FALSE)="",":",VLOOKUP($E$9,[1]QUART!$A$2:$FA$324, 74, FALSE))</f>
        <v>5636</v>
      </c>
      <c r="BX9" s="1550">
        <f>IF(VLOOKUP($E$9,[1]QUART!$A$2:$FA$324, 75, FALSE)="",":",VLOOKUP($E$9,[1]QUART!$A$2:$FA$324, 75, FALSE))</f>
        <v>5793.7</v>
      </c>
      <c r="BY9" s="1550">
        <f>IF(VLOOKUP($E$9,[1]QUART!$A$2:$FA$324, 76, FALSE)="",":",VLOOKUP($E$9,[1]QUART!$A$2:$FA$324, 76, FALSE))</f>
        <v>6039</v>
      </c>
      <c r="BZ9" s="1550">
        <f>IF(VLOOKUP($E$9,[1]QUART!$A$2:$FA$324, 77, FALSE)="",":",VLOOKUP($E$9,[1]QUART!$A$2:$FA$324, 77, FALSE))</f>
        <v>6284.6</v>
      </c>
      <c r="CA9" s="1550">
        <f>IF(VLOOKUP($E$9,[1]QUART!$A$2:$FA$324, 78, FALSE)="",":",VLOOKUP($E$9,[1]QUART!$A$2:$FA$324, 78, FALSE))</f>
        <v>6456.3</v>
      </c>
      <c r="CB9" s="1550">
        <f>IF(VLOOKUP($E$9,[1]QUART!$A$2:$FA$324, 79, FALSE)="",":",VLOOKUP($E$9,[1]QUART!$A$2:$FA$324, 79, FALSE))</f>
        <v>6462.4</v>
      </c>
      <c r="CC9" s="1550">
        <f>IF(VLOOKUP($E$9,[1]QUART!$A$2:$FA$324, 80, FALSE)="",":",VLOOKUP($E$9,[1]QUART!$A$2:$FA$324, 80, FALSE))</f>
        <v>6549.1</v>
      </c>
      <c r="CD9" s="1550">
        <f>IF(VLOOKUP($E$9,[1]QUART!$A$2:$FA$324, 81, FALSE)="",":",VLOOKUP($E$9,[1]QUART!$A$2:$FA$324, 81, FALSE))</f>
        <v>6623.3</v>
      </c>
      <c r="CE9" s="1550">
        <f>IF(VLOOKUP($E$9,[1]QUART!$A$2:$FA$324, 82, FALSE)="",":",VLOOKUP($E$9,[1]QUART!$A$2:$FA$324, 82, FALSE))</f>
        <v>6632.4</v>
      </c>
      <c r="CF9" s="1550">
        <f>IF(VLOOKUP($E$9,[1]QUART!$A$2:$FA$324, 83, FALSE)="",":",VLOOKUP($E$9,[1]QUART!$A$2:$FA$324, 83, FALSE))</f>
        <v>6768.5</v>
      </c>
      <c r="CG9" s="1550">
        <f>IF(VLOOKUP($E$9,[1]QUART!$A$2:$FA$324, 84, FALSE)="",":",VLOOKUP($E$9,[1]QUART!$A$2:$FA$324, 84, FALSE))</f>
        <v>6794.5</v>
      </c>
      <c r="CH9" s="1550">
        <f>IF(VLOOKUP($E$9,[1]QUART!$A$2:$FA$324, 85, FALSE)="",":",VLOOKUP($E$9,[1]QUART!$A$2:$FA$324, 85, FALSE))</f>
        <v>6763.1</v>
      </c>
      <c r="CI9" s="1550">
        <f>IF(VLOOKUP($E$9,[1]QUART!$A$2:$FA$324, 86, FALSE)="",":",VLOOKUP($E$9,[1]QUART!$A$2:$FA$324, 86, FALSE))</f>
        <v>6673.5</v>
      </c>
      <c r="CJ9" s="1550">
        <f>IF(VLOOKUP($E$9,[1]QUART!$A$2:$FA$324, 87, FALSE)="",":",VLOOKUP($E$9,[1]QUART!$A$2:$FA$324, 87, FALSE))</f>
        <v>6697.2</v>
      </c>
      <c r="CK9" s="1550">
        <f>IF(VLOOKUP($E$9,[1]QUART!$A$2:$FA$324, 88, FALSE)="",":",VLOOKUP($E$9,[1]QUART!$A$2:$FA$324, 88, FALSE))</f>
        <v>6710.4</v>
      </c>
      <c r="CL9" s="1550">
        <f>IF(VLOOKUP($E$9,[1]QUART!$A$2:$FA$324, 89, FALSE)="",":",VLOOKUP($E$9,[1]QUART!$A$2:$FA$324, 89, FALSE))</f>
        <v>6756.2</v>
      </c>
      <c r="CM9" s="1550">
        <f>IF(VLOOKUP($E$9,[1]QUART!$A$2:$FA$324, 90, FALSE)="",":",VLOOKUP($E$9,[1]QUART!$A$2:$FA$324, 90, FALSE))</f>
        <v>6799.1</v>
      </c>
      <c r="CN9" s="1550">
        <f>IF(VLOOKUP($E$9,[1]QUART!$A$2:$FA$324, 91, FALSE)="",":",VLOOKUP($E$9,[1]QUART!$A$2:$FA$324, 91, FALSE))</f>
        <v>6843.1</v>
      </c>
      <c r="CO9" s="1550">
        <f>IF(VLOOKUP($E$9,[1]QUART!$A$2:$FA$324, 92, FALSE)="",":",VLOOKUP($E$9,[1]QUART!$A$2:$FA$324, 92, FALSE))</f>
        <v>6979.1</v>
      </c>
      <c r="CP9" s="1550">
        <f>IF(VLOOKUP($E$9,[1]QUART!$A$2:$FA$324, 93, FALSE)="",":",VLOOKUP($E$9,[1]QUART!$A$2:$FA$324, 93, FALSE))</f>
        <v>7150.3</v>
      </c>
      <c r="CQ9" s="1550">
        <f>IF(VLOOKUP($E$9,[1]QUART!$A$2:$FA$324, 94, FALSE)="",":",VLOOKUP($E$9,[1]QUART!$A$2:$FA$324, 94, FALSE))</f>
        <v>7492.9</v>
      </c>
      <c r="CR9" s="1550">
        <f>IF(VLOOKUP($E$9,[1]QUART!$A$2:$FA$324, 95, FALSE)="",":",VLOOKUP($E$9,[1]QUART!$A$2:$FA$324, 95, FALSE))</f>
        <v>7776.9</v>
      </c>
      <c r="CS9" s="1550">
        <f>IF(VLOOKUP($E$9,[1]QUART!$A$2:$FA$324, 96, FALSE)="",":",VLOOKUP($E$9,[1]QUART!$A$2:$FA$324, 96, FALSE))</f>
        <v>7994.4</v>
      </c>
      <c r="CT9" s="1550">
        <f>IF(VLOOKUP($E$9,[1]QUART!$A$2:$FA$324, 97, FALSE)="",":",VLOOKUP($E$9,[1]QUART!$A$2:$FA$324, 97, FALSE))</f>
        <v>8201.7000000000007</v>
      </c>
      <c r="CU9" s="1550" t="str">
        <f>IF(VLOOKUP($E$9,[1]QUART!$A$2:$FA$324, 98, FALSE)="",":",VLOOKUP($E$9,[1]QUART!$A$2:$FA$324, 98, FALSE))</f>
        <v>:</v>
      </c>
      <c r="CV9" s="1550" t="str">
        <f>IF(VLOOKUP($E$9,[1]QUART!$A$2:$FA$324, 99, FALSE)="",":",VLOOKUP($E$9,[1]QUART!$A$2:$FA$324, 99, FALSE))</f>
        <v>:</v>
      </c>
      <c r="CW9" s="1550" t="str">
        <f>IF(VLOOKUP($E$9,[1]QUART!$A$2:$FA$324, 100, FALSE)="",":",VLOOKUP($E$9,[1]QUART!$A$2:$FA$324, 100, FALSE))</f>
        <v>:</v>
      </c>
      <c r="CX9" s="1550" t="str">
        <f>IF(VLOOKUP($E$9,[1]QUART!$A$2:$FA$324, 101, FALSE)="",":",VLOOKUP($E$9,[1]QUART!$A$2:$FA$324, 101, FALSE))</f>
        <v>:</v>
      </c>
      <c r="CY9" s="1550" t="str">
        <f>IF(VLOOKUP($E$9,[1]QUART!$A$2:$FA$324, 102, FALSE)="",":",VLOOKUP($E$9,[1]QUART!$A$2:$FA$324, 102, FALSE))</f>
        <v>:</v>
      </c>
      <c r="CZ9" s="1550" t="str">
        <f>IF(VLOOKUP($E$9,[1]QUART!$A$2:$FA$324, 103, FALSE)="",":",VLOOKUP($E$9,[1]QUART!$A$2:$FA$324, 103, FALSE))</f>
        <v>:</v>
      </c>
      <c r="DA9" s="1550" t="str">
        <f>IF(VLOOKUP($E$9,[1]QUART!$A$2:$FA$324, 104, FALSE)="",":",VLOOKUP($E$9,[1]QUART!$A$2:$FA$324, 104, FALSE))</f>
        <v>:</v>
      </c>
      <c r="DB9" s="1550" t="str">
        <f>IF(VLOOKUP($E$9,[1]QUART!$A$2:$FA$324, 105, FALSE)="",":",VLOOKUP($E$9,[1]QUART!$A$2:$FA$324, 105, FALSE))</f>
        <v>:</v>
      </c>
      <c r="DC9" s="1550" t="str">
        <f>IF(VLOOKUP($E$9,[1]QUART!$A$2:$FA$324, 106, FALSE)="",":",VLOOKUP($E$9,[1]QUART!$A$2:$FA$324, 106, FALSE))</f>
        <v>:</v>
      </c>
    </row>
    <row r="10" spans="1:110">
      <c r="A10" s="1546">
        <v>20</v>
      </c>
      <c r="B10" s="534" t="s">
        <v>2062</v>
      </c>
      <c r="C10" s="535" t="s">
        <v>497</v>
      </c>
      <c r="D10" s="1547" t="s">
        <v>1841</v>
      </c>
      <c r="E10" s="1548">
        <v>70</v>
      </c>
      <c r="F10" s="1549" t="str">
        <f>VLOOKUP($E$10,[1]QUART!$A$2:$FA$324, 3, FALSE)</f>
        <v xml:space="preserve">70  Imports of goods and services                                                   </v>
      </c>
      <c r="G10" s="1550">
        <f>IF(VLOOKUP($E$10,[1]QUART!$A$2:$FA$324, 6, FALSE)="",":",VLOOKUP($E$10,[1]QUART!$A$2:$FA$324, 6, FALSE))</f>
        <v>1077.9367469879519</v>
      </c>
      <c r="H10" s="1550">
        <f>IF(VLOOKUP($E$10,[1]QUART!$A$2:$FA$324, 7, FALSE)="",":",VLOOKUP($E$10,[1]QUART!$A$2:$FA$324, 7, FALSE))</f>
        <v>1067.1628822984244</v>
      </c>
      <c r="I10" s="1550">
        <f>IF(VLOOKUP($E$10,[1]QUART!$A$2:$FA$324, 8, FALSE)="",":",VLOOKUP($E$10,[1]QUART!$A$2:$FA$324, 8, FALSE))</f>
        <v>1119.3524096385543</v>
      </c>
      <c r="J10" s="1550">
        <f>IF(VLOOKUP($E$10,[1]QUART!$A$2:$FA$324, 9, FALSE)="",":",VLOOKUP($E$10,[1]QUART!$A$2:$FA$324, 9, FALSE))</f>
        <v>1161.0576923076924</v>
      </c>
      <c r="K10" s="1550">
        <f>IF(VLOOKUP($E$10,[1]QUART!$A$2:$FA$324, 10, FALSE)="",":",VLOOKUP($E$10,[1]QUART!$A$2:$FA$324, 10, FALSE))</f>
        <v>1234.0998609823912</v>
      </c>
      <c r="L10" s="1550">
        <f>IF(VLOOKUP($E$10,[1]QUART!$A$2:$FA$324, 11, FALSE)="",":",VLOOKUP($E$10,[1]QUART!$A$2:$FA$324, 11, FALSE))</f>
        <v>1290.3151065801669</v>
      </c>
      <c r="M10" s="1550">
        <f>IF(VLOOKUP($E$10,[1]QUART!$A$2:$FA$324, 12, FALSE)="",":",VLOOKUP($E$10,[1]QUART!$A$2:$FA$324, 12, FALSE))</f>
        <v>1385.339434661724</v>
      </c>
      <c r="N10" s="1550">
        <f>IF(VLOOKUP($E$10,[1]QUART!$A$2:$FA$324, 13, FALSE)="",":",VLOOKUP($E$10,[1]QUART!$A$2:$FA$324, 13, FALSE))</f>
        <v>1478.1916126042631</v>
      </c>
      <c r="O10" s="1550">
        <f>IF(VLOOKUP($E$10,[1]QUART!$A$2:$FA$324, 14, FALSE)="",":",VLOOKUP($E$10,[1]QUART!$A$2:$FA$324, 14, FALSE))</f>
        <v>1577.6181649675625</v>
      </c>
      <c r="P10" s="1550">
        <f>IF(VLOOKUP($E$10,[1]QUART!$A$2:$FA$324, 15, FALSE)="",":",VLOOKUP($E$10,[1]QUART!$A$2:$FA$324, 15, FALSE))</f>
        <v>1693.7847544022245</v>
      </c>
      <c r="Q10" s="1550">
        <f>IF(VLOOKUP($E$10,[1]QUART!$A$2:$FA$324, 16, FALSE)="",":",VLOOKUP($E$10,[1]QUART!$A$2:$FA$324, 16, FALSE))</f>
        <v>1704.8482391102873</v>
      </c>
      <c r="R10" s="1550">
        <f>IF(VLOOKUP($E$10,[1]QUART!$A$2:$FA$324, 17, FALSE)="",":",VLOOKUP($E$10,[1]QUART!$A$2:$FA$324, 17, FALSE))</f>
        <v>1793.5298887859128</v>
      </c>
      <c r="S10" s="1550">
        <f>IF(VLOOKUP($E$10,[1]QUART!$A$2:$FA$324, 18, FALSE)="",":",VLOOKUP($E$10,[1]QUART!$A$2:$FA$324, 18, FALSE))</f>
        <v>1847.4281742354033</v>
      </c>
      <c r="T10" s="1550">
        <f>IF(VLOOKUP($E$10,[1]QUART!$A$2:$FA$324, 19, FALSE)="",":",VLOOKUP($E$10,[1]QUART!$A$2:$FA$324, 19, FALSE))</f>
        <v>1849.7161723818351</v>
      </c>
      <c r="U10" s="1550">
        <f>IF(VLOOKUP($E$10,[1]QUART!$A$2:$FA$324, 20, FALSE)="",":",VLOOKUP($E$10,[1]QUART!$A$2:$FA$324, 20, FALSE))</f>
        <v>1874.3917979610751</v>
      </c>
      <c r="V10" s="1550">
        <f>IF(VLOOKUP($E$10,[1]QUART!$A$2:$FA$324, 21, FALSE)="",":",VLOOKUP($E$10,[1]QUART!$A$2:$FA$324, 21, FALSE))</f>
        <v>1643.2460611677479</v>
      </c>
      <c r="W10" s="1550">
        <f>IF(VLOOKUP($E$10,[1]QUART!$A$2:$FA$324, 22, FALSE)="",":",VLOOKUP($E$10,[1]QUART!$A$2:$FA$324, 22, FALSE))</f>
        <v>1558.3005097312328</v>
      </c>
      <c r="X10" s="1550">
        <f>IF(VLOOKUP($E$10,[1]QUART!$A$2:$FA$324, 23, FALSE)="",":",VLOOKUP($E$10,[1]QUART!$A$2:$FA$324, 23, FALSE))</f>
        <v>1613.7337812789619</v>
      </c>
      <c r="Y10" s="1550">
        <f>IF(VLOOKUP($E$10,[1]QUART!$A$2:$FA$324, 24, FALSE)="",":",VLOOKUP($E$10,[1]QUART!$A$2:$FA$324, 24, FALSE))</f>
        <v>1583.2657553290082</v>
      </c>
      <c r="Z10" s="1550">
        <f>IF(VLOOKUP($E$10,[1]QUART!$A$2:$FA$324, 25, FALSE)="",":",VLOOKUP($E$10,[1]QUART!$A$2:$FA$324, 25, FALSE))</f>
        <v>1541.4156626506024</v>
      </c>
      <c r="AA10" s="1550">
        <f>IF(VLOOKUP($E$10,[1]QUART!$A$2:$FA$324, 26, FALSE)="",":",VLOOKUP($E$10,[1]QUART!$A$2:$FA$324, 26, FALSE))</f>
        <v>1584.9745134383691</v>
      </c>
      <c r="AB10" s="1550">
        <f>IF(VLOOKUP($E$10,[1]QUART!$A$2:$FA$324, 27, FALSE)="",":",VLOOKUP($E$10,[1]QUART!$A$2:$FA$324, 27, FALSE))</f>
        <v>1592.9969879518073</v>
      </c>
      <c r="AC10" s="1550">
        <f>IF(VLOOKUP($E$10,[1]QUART!$A$2:$FA$324, 28, FALSE)="",":",VLOOKUP($E$10,[1]QUART!$A$2:$FA$324, 28, FALSE))</f>
        <v>1701.2859128822984</v>
      </c>
      <c r="AD10" s="1550">
        <f>IF(VLOOKUP($E$10,[1]QUART!$A$2:$FA$324, 29, FALSE)="",":",VLOOKUP($E$10,[1]QUART!$A$2:$FA$324, 29, FALSE))</f>
        <v>1702.9657089898055</v>
      </c>
      <c r="AE10" s="1550">
        <f>IF(VLOOKUP($E$10,[1]QUART!$A$2:$FA$324, 30, FALSE)="",":",VLOOKUP($E$10,[1]QUART!$A$2:$FA$324, 30, FALSE))</f>
        <v>1840.8537998146433</v>
      </c>
      <c r="AF10" s="1550">
        <f>IF(VLOOKUP($E$10,[1]QUART!$A$2:$FA$324, 31, FALSE)="",":",VLOOKUP($E$10,[1]QUART!$A$2:$FA$324, 31, FALSE))</f>
        <v>1890.4077849860982</v>
      </c>
      <c r="AG10" s="1550">
        <f>IF(VLOOKUP($E$10,[1]QUART!$A$2:$FA$324, 32, FALSE)="",":",VLOOKUP($E$10,[1]QUART!$A$2:$FA$324, 32, FALSE))</f>
        <v>1965.940685820204</v>
      </c>
      <c r="AH10" s="1550">
        <f>IF(VLOOKUP($E$10,[1]QUART!$A$2:$FA$324, 33, FALSE)="",":",VLOOKUP($E$10,[1]QUART!$A$2:$FA$324, 33, FALSE))</f>
        <v>2113.0386932344763</v>
      </c>
      <c r="AI10" s="1550">
        <f>IF(VLOOKUP($E$10,[1]QUART!$A$2:$FA$324, 34, FALSE)="",":",VLOOKUP($E$10,[1]QUART!$A$2:$FA$324, 34, FALSE))</f>
        <v>2177.3053753475442</v>
      </c>
      <c r="AJ10" s="1550">
        <f>IF(VLOOKUP($E$10,[1]QUART!$A$2:$FA$324, 35, FALSE)="",":",VLOOKUP($E$10,[1]QUART!$A$2:$FA$324, 35, FALSE))</f>
        <v>2340.8827618164969</v>
      </c>
      <c r="AK10" s="1550">
        <f>IF(VLOOKUP($E$10,[1]QUART!$A$2:$FA$324, 36, FALSE)="",":",VLOOKUP($E$10,[1]QUART!$A$2:$FA$324, 36, FALSE))</f>
        <v>2322.1153846153848</v>
      </c>
      <c r="AL10" s="1550">
        <f>IF(VLOOKUP($E$10,[1]QUART!$A$2:$FA$324, 37, FALSE)="",":",VLOOKUP($E$10,[1]QUART!$A$2:$FA$324, 37, FALSE))</f>
        <v>2417.8637627432809</v>
      </c>
      <c r="AM10" s="1550">
        <f>IF(VLOOKUP($E$10,[1]QUART!$A$2:$FA$324, 38, FALSE)="",":",VLOOKUP($E$10,[1]QUART!$A$2:$FA$324, 38, FALSE))</f>
        <v>2449.1427247451343</v>
      </c>
      <c r="AN10" s="1550">
        <f>IF(VLOOKUP($E$10,[1]QUART!$A$2:$FA$324, 39, FALSE)="",":",VLOOKUP($E$10,[1]QUART!$A$2:$FA$324, 39, FALSE))</f>
        <v>2424.1485171455051</v>
      </c>
      <c r="AO10" s="1550">
        <f>IF(VLOOKUP($E$10,[1]QUART!$A$2:$FA$324, 40, FALSE)="",":",VLOOKUP($E$10,[1]QUART!$A$2:$FA$324, 40, FALSE))</f>
        <v>2522.6772474513436</v>
      </c>
      <c r="AP10" s="1550">
        <f>IF(VLOOKUP($E$10,[1]QUART!$A$2:$FA$324, 41, FALSE)="",":",VLOOKUP($E$10,[1]QUART!$A$2:$FA$324, 41, FALSE))</f>
        <v>2636.2662187210381</v>
      </c>
      <c r="AQ10" s="1550">
        <f>IF(VLOOKUP($E$10,[1]QUART!$A$2:$FA$324, 42, FALSE)="",":",VLOOKUP($E$10,[1]QUART!$A$2:$FA$324, 42, FALSE))</f>
        <v>2664.8227525486564</v>
      </c>
      <c r="AR10" s="1550">
        <f>IF(VLOOKUP($E$10,[1]QUART!$A$2:$FA$324, 43, FALSE)="",":",VLOOKUP($E$10,[1]QUART!$A$2:$FA$324, 43, FALSE))</f>
        <v>2815.0486561631137</v>
      </c>
      <c r="AS10" s="1550">
        <f>IF(VLOOKUP($E$10,[1]QUART!$A$2:$FA$324, 44, FALSE)="",":",VLOOKUP($E$10,[1]QUART!$A$2:$FA$324, 44, FALSE))</f>
        <v>2928.4059314179799</v>
      </c>
      <c r="AT10" s="1550">
        <f>IF(VLOOKUP($E$10,[1]QUART!$A$2:$FA$324, 45, FALSE)="",":",VLOOKUP($E$10,[1]QUART!$A$2:$FA$324, 45, FALSE))</f>
        <v>2996.4376737720113</v>
      </c>
      <c r="AU10" s="1550">
        <f>IF(VLOOKUP($E$10,[1]QUART!$A$2:$FA$324, 46, FALSE)="",":",VLOOKUP($E$10,[1]QUART!$A$2:$FA$324, 46, FALSE))</f>
        <v>3552.4</v>
      </c>
      <c r="AV10" s="1550">
        <f>IF(VLOOKUP($E$10,[1]QUART!$A$2:$FA$324, 47, FALSE)="",":",VLOOKUP($E$10,[1]QUART!$A$2:$FA$324, 47, FALSE))</f>
        <v>3824.9</v>
      </c>
      <c r="AW10" s="1550">
        <f>IF(VLOOKUP($E$10,[1]QUART!$A$2:$FA$324, 48, FALSE)="",":",VLOOKUP($E$10,[1]QUART!$A$2:$FA$324, 48, FALSE))</f>
        <v>3914.9</v>
      </c>
      <c r="AX10" s="1550">
        <f>IF(VLOOKUP($E$10,[1]QUART!$A$2:$FA$324, 49, FALSE)="",":",VLOOKUP($E$10,[1]QUART!$A$2:$FA$324, 49, FALSE))</f>
        <v>4285.7</v>
      </c>
      <c r="AY10" s="1550">
        <f>IF(VLOOKUP($E$10,[1]QUART!$A$2:$FA$324, 50, FALSE)="",":",VLOOKUP($E$10,[1]QUART!$A$2:$FA$324, 50, FALSE))</f>
        <v>4298.8</v>
      </c>
      <c r="AZ10" s="1550">
        <f>IF(VLOOKUP($E$10,[1]QUART!$A$2:$FA$324, 51, FALSE)="",":",VLOOKUP($E$10,[1]QUART!$A$2:$FA$324, 51, FALSE))</f>
        <v>4254.1000000000004</v>
      </c>
      <c r="BA10" s="1550">
        <f>IF(VLOOKUP($E$10,[1]QUART!$A$2:$FA$324, 52, FALSE)="",":",VLOOKUP($E$10,[1]QUART!$A$2:$FA$324, 52, FALSE))</f>
        <v>4517.8999999999996</v>
      </c>
      <c r="BB10" s="1550">
        <f>IF(VLOOKUP($E$10,[1]QUART!$A$2:$FA$324, 53, FALSE)="",":",VLOOKUP($E$10,[1]QUART!$A$2:$FA$324, 53, FALSE))</f>
        <v>4720.5</v>
      </c>
      <c r="BC10" s="1550">
        <f>IF(VLOOKUP($E$10,[1]QUART!$A$2:$FA$324, 54, FALSE)="",":",VLOOKUP($E$10,[1]QUART!$A$2:$FA$324, 54, FALSE))</f>
        <v>4708.6000000000004</v>
      </c>
      <c r="BD10" s="1550">
        <f>IF(VLOOKUP($E$10,[1]QUART!$A$2:$FA$324, 55, FALSE)="",":",VLOOKUP($E$10,[1]QUART!$A$2:$FA$324, 55, FALSE))</f>
        <v>4944.5</v>
      </c>
      <c r="BE10" s="1550">
        <f>IF(VLOOKUP($E$10,[1]QUART!$A$2:$FA$324, 56, FALSE)="",":",VLOOKUP($E$10,[1]QUART!$A$2:$FA$324, 56, FALSE))</f>
        <v>4957.2</v>
      </c>
      <c r="BF10" s="1550">
        <f>IF(VLOOKUP($E$10,[1]QUART!$A$2:$FA$324, 57, FALSE)="",":",VLOOKUP($E$10,[1]QUART!$A$2:$FA$324, 57, FALSE))</f>
        <v>5098.1000000000004</v>
      </c>
      <c r="BG10" s="1550">
        <f>IF(VLOOKUP($E$10,[1]QUART!$A$2:$FA$324, 58, FALSE)="",":",VLOOKUP($E$10,[1]QUART!$A$2:$FA$324, 58, FALSE))</f>
        <v>5412.2</v>
      </c>
      <c r="BH10" s="1550">
        <f>IF(VLOOKUP($E$10,[1]QUART!$A$2:$FA$324, 59, FALSE)="",":",VLOOKUP($E$10,[1]QUART!$A$2:$FA$324, 59, FALSE))</f>
        <v>5659.9</v>
      </c>
      <c r="BI10" s="1550">
        <f>IF(VLOOKUP($E$10,[1]QUART!$A$2:$FA$324, 60, FALSE)="",":",VLOOKUP($E$10,[1]QUART!$A$2:$FA$324, 60, FALSE))</f>
        <v>5640.8</v>
      </c>
      <c r="BJ10" s="1550">
        <f>IF(VLOOKUP($E$10,[1]QUART!$A$2:$FA$324, 61, FALSE)="",":",VLOOKUP($E$10,[1]QUART!$A$2:$FA$324, 61, FALSE))</f>
        <v>5171.6000000000004</v>
      </c>
      <c r="BK10" s="1550">
        <f>IF(VLOOKUP($E$10,[1]QUART!$A$2:$FA$324, 62, FALSE)="",":",VLOOKUP($E$10,[1]QUART!$A$2:$FA$324, 62, FALSE))</f>
        <v>3896.2</v>
      </c>
      <c r="BL10" s="1550">
        <f>IF(VLOOKUP($E$10,[1]QUART!$A$2:$FA$324, 63, FALSE)="",":",VLOOKUP($E$10,[1]QUART!$A$2:$FA$324, 63, FALSE))</f>
        <v>3832.8</v>
      </c>
      <c r="BM10" s="1550">
        <f>IF(VLOOKUP($E$10,[1]QUART!$A$2:$FA$324, 64, FALSE)="",":",VLOOKUP($E$10,[1]QUART!$A$2:$FA$324, 64, FALSE))</f>
        <v>4028.3</v>
      </c>
      <c r="BN10" s="1550">
        <f>IF(VLOOKUP($E$10,[1]QUART!$A$2:$FA$324, 65, FALSE)="",":",VLOOKUP($E$10,[1]QUART!$A$2:$FA$324, 65, FALSE))</f>
        <v>4173.3999999999996</v>
      </c>
      <c r="BO10" s="1550">
        <f>IF(VLOOKUP($E$10,[1]QUART!$A$2:$FA$324, 66, FALSE)="",":",VLOOKUP($E$10,[1]QUART!$A$2:$FA$324, 66, FALSE))</f>
        <v>4202</v>
      </c>
      <c r="BP10" s="1550">
        <f>IF(VLOOKUP($E$10,[1]QUART!$A$2:$FA$324, 67, FALSE)="",":",VLOOKUP($E$10,[1]QUART!$A$2:$FA$324, 67, FALSE))</f>
        <v>4572.1000000000004</v>
      </c>
      <c r="BQ10" s="1550">
        <f>IF(VLOOKUP($E$10,[1]QUART!$A$2:$FA$324, 68, FALSE)="",":",VLOOKUP($E$10,[1]QUART!$A$2:$FA$324, 68, FALSE))</f>
        <v>4853.6000000000004</v>
      </c>
      <c r="BR10" s="1550">
        <f>IF(VLOOKUP($E$10,[1]QUART!$A$2:$FA$324, 69, FALSE)="",":",VLOOKUP($E$10,[1]QUART!$A$2:$FA$324, 69, FALSE))</f>
        <v>5269.5</v>
      </c>
      <c r="BS10" s="1550">
        <f>IF(VLOOKUP($E$10,[1]QUART!$A$2:$FA$324, 70, FALSE)="",":",VLOOKUP($E$10,[1]QUART!$A$2:$FA$324, 70, FALSE))</f>
        <v>5528.8</v>
      </c>
      <c r="BT10" s="1550">
        <f>IF(VLOOKUP($E$10,[1]QUART!$A$2:$FA$324, 71, FALSE)="",":",VLOOKUP($E$10,[1]QUART!$A$2:$FA$324, 71, FALSE))</f>
        <v>5387.4</v>
      </c>
      <c r="BU10" s="1550">
        <f>IF(VLOOKUP($E$10,[1]QUART!$A$2:$FA$324, 72, FALSE)="",":",VLOOKUP($E$10,[1]QUART!$A$2:$FA$324, 72, FALSE))</f>
        <v>5403.3</v>
      </c>
      <c r="BV10" s="1550">
        <f>IF(VLOOKUP($E$10,[1]QUART!$A$2:$FA$324, 73, FALSE)="",":",VLOOKUP($E$10,[1]QUART!$A$2:$FA$324, 73, FALSE))</f>
        <v>5469.6</v>
      </c>
      <c r="BW10" s="1550">
        <f>IF(VLOOKUP($E$10,[1]QUART!$A$2:$FA$324, 74, FALSE)="",":",VLOOKUP($E$10,[1]QUART!$A$2:$FA$324, 74, FALSE))</f>
        <v>5317.2</v>
      </c>
      <c r="BX10" s="1550">
        <f>IF(VLOOKUP($E$10,[1]QUART!$A$2:$FA$324, 75, FALSE)="",":",VLOOKUP($E$10,[1]QUART!$A$2:$FA$324, 75, FALSE))</f>
        <v>5262.5</v>
      </c>
      <c r="BY10" s="1550">
        <f>IF(VLOOKUP($E$10,[1]QUART!$A$2:$FA$324, 76, FALSE)="",":",VLOOKUP($E$10,[1]QUART!$A$2:$FA$324, 76, FALSE))</f>
        <v>6024.3</v>
      </c>
      <c r="BZ10" s="1550">
        <f>IF(VLOOKUP($E$10,[1]QUART!$A$2:$FA$324, 77, FALSE)="",":",VLOOKUP($E$10,[1]QUART!$A$2:$FA$324, 77, FALSE))</f>
        <v>6199.1</v>
      </c>
      <c r="CA10" s="1550">
        <f>IF(VLOOKUP($E$10,[1]QUART!$A$2:$FA$324, 78, FALSE)="",":",VLOOKUP($E$10,[1]QUART!$A$2:$FA$324, 78, FALSE))</f>
        <v>6351.7</v>
      </c>
      <c r="CB10" s="1550">
        <f>IF(VLOOKUP($E$10,[1]QUART!$A$2:$FA$324, 79, FALSE)="",":",VLOOKUP($E$10,[1]QUART!$A$2:$FA$324, 79, FALSE))</f>
        <v>6037.7</v>
      </c>
      <c r="CC10" s="1550">
        <f>IF(VLOOKUP($E$10,[1]QUART!$A$2:$FA$324, 80, FALSE)="",":",VLOOKUP($E$10,[1]QUART!$A$2:$FA$324, 80, FALSE))</f>
        <v>6366</v>
      </c>
      <c r="CD10" s="1550">
        <f>IF(VLOOKUP($E$10,[1]QUART!$A$2:$FA$324, 81, FALSE)="",":",VLOOKUP($E$10,[1]QUART!$A$2:$FA$324, 81, FALSE))</f>
        <v>6579.3</v>
      </c>
      <c r="CE10" s="1550">
        <f>IF(VLOOKUP($E$10,[1]QUART!$A$2:$FA$324, 82, FALSE)="",":",VLOOKUP($E$10,[1]QUART!$A$2:$FA$324, 82, FALSE))</f>
        <v>6253.8</v>
      </c>
      <c r="CF10" s="1550">
        <f>IF(VLOOKUP($E$10,[1]QUART!$A$2:$FA$324, 83, FALSE)="",":",VLOOKUP($E$10,[1]QUART!$A$2:$FA$324, 83, FALSE))</f>
        <v>6499</v>
      </c>
      <c r="CG10" s="1550">
        <f>IF(VLOOKUP($E$10,[1]QUART!$A$2:$FA$324, 84, FALSE)="",":",VLOOKUP($E$10,[1]QUART!$A$2:$FA$324, 84, FALSE))</f>
        <v>6582.4</v>
      </c>
      <c r="CH10" s="1550">
        <f>IF(VLOOKUP($E$10,[1]QUART!$A$2:$FA$324, 85, FALSE)="",":",VLOOKUP($E$10,[1]QUART!$A$2:$FA$324, 85, FALSE))</f>
        <v>6698.6</v>
      </c>
      <c r="CI10" s="1550">
        <f>IF(VLOOKUP($E$10,[1]QUART!$A$2:$FA$324, 86, FALSE)="",":",VLOOKUP($E$10,[1]QUART!$A$2:$FA$324, 86, FALSE))</f>
        <v>6802.3</v>
      </c>
      <c r="CJ10" s="1550">
        <f>IF(VLOOKUP($E$10,[1]QUART!$A$2:$FA$324, 87, FALSE)="",":",VLOOKUP($E$10,[1]QUART!$A$2:$FA$324, 87, FALSE))</f>
        <v>6977.3</v>
      </c>
      <c r="CK10" s="1550">
        <f>IF(VLOOKUP($E$10,[1]QUART!$A$2:$FA$324, 88, FALSE)="",":",VLOOKUP($E$10,[1]QUART!$A$2:$FA$324, 88, FALSE))</f>
        <v>6928.3</v>
      </c>
      <c r="CL10" s="1550">
        <f>IF(VLOOKUP($E$10,[1]QUART!$A$2:$FA$324, 89, FALSE)="",":",VLOOKUP($E$10,[1]QUART!$A$2:$FA$324, 89, FALSE))</f>
        <v>6974.6</v>
      </c>
      <c r="CM10" s="1550">
        <f>IF(VLOOKUP($E$10,[1]QUART!$A$2:$FA$324, 90, FALSE)="",":",VLOOKUP($E$10,[1]QUART!$A$2:$FA$324, 90, FALSE))</f>
        <v>6907.3</v>
      </c>
      <c r="CN10" s="1550">
        <f>IF(VLOOKUP($E$10,[1]QUART!$A$2:$FA$324, 91, FALSE)="",":",VLOOKUP($E$10,[1]QUART!$A$2:$FA$324, 91, FALSE))</f>
        <v>7065.7</v>
      </c>
      <c r="CO10" s="1550">
        <f>IF(VLOOKUP($E$10,[1]QUART!$A$2:$FA$324, 92, FALSE)="",":",VLOOKUP($E$10,[1]QUART!$A$2:$FA$324, 92, FALSE))</f>
        <v>7144.4</v>
      </c>
      <c r="CP10" s="1550">
        <f>IF(VLOOKUP($E$10,[1]QUART!$A$2:$FA$324, 93, FALSE)="",":",VLOOKUP($E$10,[1]QUART!$A$2:$FA$324, 93, FALSE))</f>
        <v>7304</v>
      </c>
      <c r="CQ10" s="1550">
        <f>IF(VLOOKUP($E$10,[1]QUART!$A$2:$FA$324, 94, FALSE)="",":",VLOOKUP($E$10,[1]QUART!$A$2:$FA$324, 94, FALSE))</f>
        <v>7754</v>
      </c>
      <c r="CR10" s="1550">
        <f>IF(VLOOKUP($E$10,[1]QUART!$A$2:$FA$324, 95, FALSE)="",":",VLOOKUP($E$10,[1]QUART!$A$2:$FA$324, 95, FALSE))</f>
        <v>7919.8</v>
      </c>
      <c r="CS10" s="1550">
        <f>IF(VLOOKUP($E$10,[1]QUART!$A$2:$FA$324, 96, FALSE)="",":",VLOOKUP($E$10,[1]QUART!$A$2:$FA$324, 96, FALSE))</f>
        <v>8181.5</v>
      </c>
      <c r="CT10" s="1550">
        <f>IF(VLOOKUP($E$10,[1]QUART!$A$2:$FA$324, 97, FALSE)="",":",VLOOKUP($E$10,[1]QUART!$A$2:$FA$324, 97, FALSE))</f>
        <v>8425.9</v>
      </c>
      <c r="CU10" s="1550" t="str">
        <f>IF(VLOOKUP($E$10,[1]QUART!$A$2:$FA$324, 98, FALSE)="",":",VLOOKUP($E$10,[1]QUART!$A$2:$FA$324, 98, FALSE))</f>
        <v>:</v>
      </c>
      <c r="CV10" s="1550" t="str">
        <f>IF(VLOOKUP($E$10,[1]QUART!$A$2:$FA$324, 99, FALSE)="",":",VLOOKUP($E$10,[1]QUART!$A$2:$FA$324, 99, FALSE))</f>
        <v>:</v>
      </c>
      <c r="CW10" s="1550" t="str">
        <f>IF(VLOOKUP($E$10,[1]QUART!$A$2:$FA$324, 100, FALSE)="",":",VLOOKUP($E$10,[1]QUART!$A$2:$FA$324, 100, FALSE))</f>
        <v>:</v>
      </c>
      <c r="CX10" s="1550" t="str">
        <f>IF(VLOOKUP($E$10,[1]QUART!$A$2:$FA$324, 101, FALSE)="",":",VLOOKUP($E$10,[1]QUART!$A$2:$FA$324, 101, FALSE))</f>
        <v>:</v>
      </c>
      <c r="CY10" s="1550" t="str">
        <f>IF(VLOOKUP($E$10,[1]QUART!$A$2:$FA$324, 102, FALSE)="",":",VLOOKUP($E$10,[1]QUART!$A$2:$FA$324, 102, FALSE))</f>
        <v>:</v>
      </c>
      <c r="CZ10" s="1550" t="str">
        <f>IF(VLOOKUP($E$10,[1]QUART!$A$2:$FA$324, 103, FALSE)="",":",VLOOKUP($E$10,[1]QUART!$A$2:$FA$324, 103, FALSE))</f>
        <v>:</v>
      </c>
      <c r="DA10" s="1550" t="str">
        <f>IF(VLOOKUP($E$10,[1]QUART!$A$2:$FA$324, 104, FALSE)="",":",VLOOKUP($E$10,[1]QUART!$A$2:$FA$324, 104, FALSE))</f>
        <v>:</v>
      </c>
      <c r="DB10" s="1550" t="str">
        <f>IF(VLOOKUP($E$10,[1]QUART!$A$2:$FA$324, 105, FALSE)="",":",VLOOKUP($E$10,[1]QUART!$A$2:$FA$324, 105, FALSE))</f>
        <v>:</v>
      </c>
      <c r="DC10" s="1550" t="str">
        <f>IF(VLOOKUP($E$10,[1]QUART!$A$2:$FA$324, 106, FALSE)="",":",VLOOKUP($E$10,[1]QUART!$A$2:$FA$324, 106, FALSE))</f>
        <v>:</v>
      </c>
    </row>
    <row r="11" spans="1:110">
      <c r="A11" s="1546">
        <v>21</v>
      </c>
      <c r="B11" s="1551"/>
      <c r="C11" s="1552"/>
      <c r="D11" s="1547" t="s">
        <v>1841</v>
      </c>
      <c r="E11" s="1548">
        <v>71</v>
      </c>
      <c r="F11" s="1549" t="str">
        <f>VLOOKUP($E$11,[1]QUART!$A$2:$FA$324, 3, FALSE)</f>
        <v>71  Domestic demand excluding change in inventories and net acquisition of valuables</v>
      </c>
      <c r="G11" s="1550">
        <f>IF(VLOOKUP($E$11,[1]QUART!$A$2:$FA$324, 6, FALSE)="",":",VLOOKUP($E$11,[1]QUART!$A$2:$FA$324, 6, FALSE))</f>
        <v>2837.6679796107505</v>
      </c>
      <c r="H11" s="1550">
        <f>IF(VLOOKUP($E$11,[1]QUART!$A$2:$FA$324, 7, FALSE)="",":",VLOOKUP($E$11,[1]QUART!$A$2:$FA$324, 7, FALSE))</f>
        <v>2897.7930954587582</v>
      </c>
      <c r="I11" s="1550">
        <f>IF(VLOOKUP($E$11,[1]QUART!$A$2:$FA$324, 8, FALSE)="",":",VLOOKUP($E$11,[1]QUART!$A$2:$FA$324, 8, FALSE))</f>
        <v>2940.106580166821</v>
      </c>
      <c r="J11" s="1550">
        <f>IF(VLOOKUP($E$11,[1]QUART!$A$2:$FA$324, 9, FALSE)="",":",VLOOKUP($E$11,[1]QUART!$A$2:$FA$324, 9, FALSE))</f>
        <v>3008.7175625579243</v>
      </c>
      <c r="K11" s="1550">
        <f>IF(VLOOKUP($E$11,[1]QUART!$A$2:$FA$324, 10, FALSE)="",":",VLOOKUP($E$11,[1]QUART!$A$2:$FA$324, 10, FALSE))</f>
        <v>3037.0713623725674</v>
      </c>
      <c r="L11" s="1550">
        <f>IF(VLOOKUP($E$11,[1]QUART!$A$2:$FA$324, 11, FALSE)="",":",VLOOKUP($E$11,[1]QUART!$A$2:$FA$324, 11, FALSE))</f>
        <v>3075.214318813717</v>
      </c>
      <c r="M11" s="1550">
        <f>IF(VLOOKUP($E$11,[1]QUART!$A$2:$FA$324, 12, FALSE)="",":",VLOOKUP($E$11,[1]QUART!$A$2:$FA$324, 12, FALSE))</f>
        <v>3105.2479147358667</v>
      </c>
      <c r="N11" s="1550">
        <f>IF(VLOOKUP($E$11,[1]QUART!$A$2:$FA$324, 13, FALSE)="",":",VLOOKUP($E$11,[1]QUART!$A$2:$FA$324, 13, FALSE))</f>
        <v>3201.4886468952736</v>
      </c>
      <c r="O11" s="1550">
        <f>IF(VLOOKUP($E$11,[1]QUART!$A$2:$FA$324, 14, FALSE)="",":",VLOOKUP($E$11,[1]QUART!$A$2:$FA$324, 14, FALSE))</f>
        <v>3276.4133456904542</v>
      </c>
      <c r="P11" s="1550">
        <f>IF(VLOOKUP($E$11,[1]QUART!$A$2:$FA$324, 15, FALSE)="",":",VLOOKUP($E$11,[1]QUART!$A$2:$FA$324, 15, FALSE))</f>
        <v>3310.0961538461543</v>
      </c>
      <c r="Q11" s="1550">
        <f>IF(VLOOKUP($E$11,[1]QUART!$A$2:$FA$324, 16, FALSE)="",":",VLOOKUP($E$11,[1]QUART!$A$2:$FA$324, 16, FALSE))</f>
        <v>3404.3095458758116</v>
      </c>
      <c r="R11" s="1550">
        <f>IF(VLOOKUP($E$11,[1]QUART!$A$2:$FA$324, 17, FALSE)="",":",VLOOKUP($E$11,[1]QUART!$A$2:$FA$324, 17, FALSE))</f>
        <v>3464.550509731233</v>
      </c>
      <c r="S11" s="1550">
        <f>IF(VLOOKUP($E$11,[1]QUART!$A$2:$FA$324, 18, FALSE)="",":",VLOOKUP($E$11,[1]QUART!$A$2:$FA$324, 18, FALSE))</f>
        <v>3576.7203429101019</v>
      </c>
      <c r="T11" s="1550">
        <f>IF(VLOOKUP($E$11,[1]QUART!$A$2:$FA$324, 19, FALSE)="",":",VLOOKUP($E$11,[1]QUART!$A$2:$FA$324, 19, FALSE))</f>
        <v>3603.2205746061168</v>
      </c>
      <c r="U11" s="1550">
        <f>IF(VLOOKUP($E$11,[1]QUART!$A$2:$FA$324, 20, FALSE)="",":",VLOOKUP($E$11,[1]QUART!$A$2:$FA$324, 20, FALSE))</f>
        <v>3682.7791936978688</v>
      </c>
      <c r="V11" s="1550">
        <f>IF(VLOOKUP($E$11,[1]QUART!$A$2:$FA$324, 21, FALSE)="",":",VLOOKUP($E$11,[1]QUART!$A$2:$FA$324, 21, FALSE))</f>
        <v>3659.5516682113071</v>
      </c>
      <c r="W11" s="1550">
        <f>IF(VLOOKUP($E$11,[1]QUART!$A$2:$FA$324, 22, FALSE)="",":",VLOOKUP($E$11,[1]QUART!$A$2:$FA$324, 22, FALSE))</f>
        <v>3601.5407784986101</v>
      </c>
      <c r="X11" s="1550">
        <f>IF(VLOOKUP($E$11,[1]QUART!$A$2:$FA$324, 23, FALSE)="",":",VLOOKUP($E$11,[1]QUART!$A$2:$FA$324, 23, FALSE))</f>
        <v>3708.0919833178868</v>
      </c>
      <c r="Y11" s="1550">
        <f>IF(VLOOKUP($E$11,[1]QUART!$A$2:$FA$324, 24, FALSE)="",":",VLOOKUP($E$11,[1]QUART!$A$2:$FA$324, 24, FALSE))</f>
        <v>3649.2991195551435</v>
      </c>
      <c r="Z11" s="1550">
        <f>IF(VLOOKUP($E$11,[1]QUART!$A$2:$FA$324, 25, FALSE)="",":",VLOOKUP($E$11,[1]QUART!$A$2:$FA$324, 25, FALSE))</f>
        <v>3610.1135310472664</v>
      </c>
      <c r="AA11" s="1550">
        <f>IF(VLOOKUP($E$11,[1]QUART!$A$2:$FA$324, 26, FALSE)="",":",VLOOKUP($E$11,[1]QUART!$A$2:$FA$324, 26, FALSE))</f>
        <v>3653.7013438368863</v>
      </c>
      <c r="AB11" s="1550">
        <f>IF(VLOOKUP($E$11,[1]QUART!$A$2:$FA$324, 27, FALSE)="",":",VLOOKUP($E$11,[1]QUART!$A$2:$FA$324, 27, FALSE))</f>
        <v>3706.5280352177942</v>
      </c>
      <c r="AC11" s="1550">
        <f>IF(VLOOKUP($E$11,[1]QUART!$A$2:$FA$324, 28, FALSE)="",":",VLOOKUP($E$11,[1]QUART!$A$2:$FA$324, 28, FALSE))</f>
        <v>3751.303290083411</v>
      </c>
      <c r="AD11" s="1550">
        <f>IF(VLOOKUP($E$11,[1]QUART!$A$2:$FA$324, 29, FALSE)="",":",VLOOKUP($E$11,[1]QUART!$A$2:$FA$324, 29, FALSE))</f>
        <v>3802.1316033364228</v>
      </c>
      <c r="AE11" s="1550">
        <f>IF(VLOOKUP($E$11,[1]QUART!$A$2:$FA$324, 30, FALSE)="",":",VLOOKUP($E$11,[1]QUART!$A$2:$FA$324, 30, FALSE))</f>
        <v>3885.3394346617242</v>
      </c>
      <c r="AF11" s="1550">
        <f>IF(VLOOKUP($E$11,[1]QUART!$A$2:$FA$324, 31, FALSE)="",":",VLOOKUP($E$11,[1]QUART!$A$2:$FA$324, 31, FALSE))</f>
        <v>3834.9745134383688</v>
      </c>
      <c r="AG11" s="1550">
        <f>IF(VLOOKUP($E$11,[1]QUART!$A$2:$FA$324, 32, FALSE)="",":",VLOOKUP($E$11,[1]QUART!$A$2:$FA$324, 32, FALSE))</f>
        <v>3894.8679332715478</v>
      </c>
      <c r="AH11" s="1550">
        <f>IF(VLOOKUP($E$11,[1]QUART!$A$2:$FA$324, 33, FALSE)="",":",VLOOKUP($E$11,[1]QUART!$A$2:$FA$324, 33, FALSE))</f>
        <v>4093.8079240037073</v>
      </c>
      <c r="AI11" s="1550">
        <f>IF(VLOOKUP($E$11,[1]QUART!$A$2:$FA$324, 34, FALSE)="",":",VLOOKUP($E$11,[1]QUART!$A$2:$FA$324, 34, FALSE))</f>
        <v>4103.0468025949958</v>
      </c>
      <c r="AJ11" s="1550">
        <f>IF(VLOOKUP($E$11,[1]QUART!$A$2:$FA$324, 35, FALSE)="",":",VLOOKUP($E$11,[1]QUART!$A$2:$FA$324, 35, FALSE))</f>
        <v>4115.7900834105658</v>
      </c>
      <c r="AK11" s="1550">
        <f>IF(VLOOKUP($E$11,[1]QUART!$A$2:$FA$324, 36, FALSE)="",":",VLOOKUP($E$11,[1]QUART!$A$2:$FA$324, 36, FALSE))</f>
        <v>4177.0157553290082</v>
      </c>
      <c r="AL11" s="1550">
        <f>IF(VLOOKUP($E$11,[1]QUART!$A$2:$FA$324, 37, FALSE)="",":",VLOOKUP($E$11,[1]QUART!$A$2:$FA$324, 37, FALSE))</f>
        <v>4281.8002780352181</v>
      </c>
      <c r="AM11" s="1550">
        <f>IF(VLOOKUP($E$11,[1]QUART!$A$2:$FA$324, 38, FALSE)="",":",VLOOKUP($E$11,[1]QUART!$A$2:$FA$324, 38, FALSE))</f>
        <v>4417.6899907321595</v>
      </c>
      <c r="AN11" s="1550">
        <f>IF(VLOOKUP($E$11,[1]QUART!$A$2:$FA$324, 39, FALSE)="",":",VLOOKUP($E$11,[1]QUART!$A$2:$FA$324, 39, FALSE))</f>
        <v>4539.1855885078776</v>
      </c>
      <c r="AO11" s="1550">
        <f>IF(VLOOKUP($E$11,[1]QUART!$A$2:$FA$324, 40, FALSE)="",":",VLOOKUP($E$11,[1]QUART!$A$2:$FA$324, 40, FALSE))</f>
        <v>4598.9921223354959</v>
      </c>
      <c r="AP11" s="1550">
        <f>IF(VLOOKUP($E$11,[1]QUART!$A$2:$FA$324, 41, FALSE)="",":",VLOOKUP($E$11,[1]QUART!$A$2:$FA$324, 41, FALSE))</f>
        <v>4755.9951343836892</v>
      </c>
      <c r="AQ11" s="1550">
        <f>IF(VLOOKUP($E$11,[1]QUART!$A$2:$FA$324, 42, FALSE)="",":",VLOOKUP($E$11,[1]QUART!$A$2:$FA$324, 42, FALSE))</f>
        <v>4862.3436051899907</v>
      </c>
      <c r="AR11" s="1550">
        <f>IF(VLOOKUP($E$11,[1]QUART!$A$2:$FA$324, 43, FALSE)="",":",VLOOKUP($E$11,[1]QUART!$A$2:$FA$324, 43, FALSE))</f>
        <v>5033.7117701575535</v>
      </c>
      <c r="AS11" s="1550">
        <f>IF(VLOOKUP($E$11,[1]QUART!$A$2:$FA$324, 44, FALSE)="",":",VLOOKUP($E$11,[1]QUART!$A$2:$FA$324, 44, FALSE))</f>
        <v>5157.1767840593138</v>
      </c>
      <c r="AT11" s="1550">
        <f>IF(VLOOKUP($E$11,[1]QUART!$A$2:$FA$324, 45, FALSE)="",":",VLOOKUP($E$11,[1]QUART!$A$2:$FA$324, 45, FALSE))</f>
        <v>5206.7886932344763</v>
      </c>
      <c r="AU11" s="1550">
        <f>IF(VLOOKUP($E$11,[1]QUART!$A$2:$FA$324, 46, FALSE)="",":",VLOOKUP($E$11,[1]QUART!$A$2:$FA$324, 46, FALSE))</f>
        <v>6834.6</v>
      </c>
      <c r="AV11" s="1550">
        <f>IF(VLOOKUP($E$11,[1]QUART!$A$2:$FA$324, 47, FALSE)="",":",VLOOKUP($E$11,[1]QUART!$A$2:$FA$324, 47, FALSE))</f>
        <v>7072.6</v>
      </c>
      <c r="AW11" s="1550">
        <f>IF(VLOOKUP($E$11,[1]QUART!$A$2:$FA$324, 48, FALSE)="",":",VLOOKUP($E$11,[1]QUART!$A$2:$FA$324, 48, FALSE))</f>
        <v>7263.5</v>
      </c>
      <c r="AX11" s="1550">
        <f>IF(VLOOKUP($E$11,[1]QUART!$A$2:$FA$324, 49, FALSE)="",":",VLOOKUP($E$11,[1]QUART!$A$2:$FA$324, 49, FALSE))</f>
        <v>7488.6</v>
      </c>
      <c r="AY11" s="1550">
        <f>IF(VLOOKUP($E$11,[1]QUART!$A$2:$FA$324, 50, FALSE)="",":",VLOOKUP($E$11,[1]QUART!$A$2:$FA$324, 50, FALSE))</f>
        <v>7382.6</v>
      </c>
      <c r="AZ11" s="1550">
        <f>IF(VLOOKUP($E$11,[1]QUART!$A$2:$FA$324, 51, FALSE)="",":",VLOOKUP($E$11,[1]QUART!$A$2:$FA$324, 51, FALSE))</f>
        <v>7694.2999999999993</v>
      </c>
      <c r="BA11" s="1550">
        <f>IF(VLOOKUP($E$11,[1]QUART!$A$2:$FA$324, 52, FALSE)="",":",VLOOKUP($E$11,[1]QUART!$A$2:$FA$324, 52, FALSE))</f>
        <v>8088.8</v>
      </c>
      <c r="BB11" s="1550">
        <f>IF(VLOOKUP($E$11,[1]QUART!$A$2:$FA$324, 53, FALSE)="",":",VLOOKUP($E$11,[1]QUART!$A$2:$FA$324, 53, FALSE))</f>
        <v>8279.2000000000007</v>
      </c>
      <c r="BC11" s="1550">
        <f>IF(VLOOKUP($E$11,[1]QUART!$A$2:$FA$324, 54, FALSE)="",":",VLOOKUP($E$11,[1]QUART!$A$2:$FA$324, 54, FALSE))</f>
        <v>8535.7999999999993</v>
      </c>
      <c r="BD11" s="1550">
        <f>IF(VLOOKUP($E$11,[1]QUART!$A$2:$FA$324, 55, FALSE)="",":",VLOOKUP($E$11,[1]QUART!$A$2:$FA$324, 55, FALSE))</f>
        <v>8834</v>
      </c>
      <c r="BE11" s="1550">
        <f>IF(VLOOKUP($E$11,[1]QUART!$A$2:$FA$324, 56, FALSE)="",":",VLOOKUP($E$11,[1]QUART!$A$2:$FA$324, 56, FALSE))</f>
        <v>8832.9</v>
      </c>
      <c r="BF11" s="1550">
        <f>IF(VLOOKUP($E$11,[1]QUART!$A$2:$FA$324, 57, FALSE)="",":",VLOOKUP($E$11,[1]QUART!$A$2:$FA$324, 57, FALSE))</f>
        <v>9187.2000000000007</v>
      </c>
      <c r="BG11" s="1550">
        <f>IF(VLOOKUP($E$11,[1]QUART!$A$2:$FA$324, 58, FALSE)="",":",VLOOKUP($E$11,[1]QUART!$A$2:$FA$324, 58, FALSE))</f>
        <v>9190.5</v>
      </c>
      <c r="BH11" s="1550">
        <f>IF(VLOOKUP($E$11,[1]QUART!$A$2:$FA$324, 59, FALSE)="",":",VLOOKUP($E$11,[1]QUART!$A$2:$FA$324, 59, FALSE))</f>
        <v>9153.5</v>
      </c>
      <c r="BI11" s="1550">
        <f>IF(VLOOKUP($E$11,[1]QUART!$A$2:$FA$324, 60, FALSE)="",":",VLOOKUP($E$11,[1]QUART!$A$2:$FA$324, 60, FALSE))</f>
        <v>8929.4</v>
      </c>
      <c r="BJ11" s="1550">
        <f>IF(VLOOKUP($E$11,[1]QUART!$A$2:$FA$324, 61, FALSE)="",":",VLOOKUP($E$11,[1]QUART!$A$2:$FA$324, 61, FALSE))</f>
        <v>8633.6999999999989</v>
      </c>
      <c r="BK11" s="1550">
        <f>IF(VLOOKUP($E$11,[1]QUART!$A$2:$FA$324, 62, FALSE)="",":",VLOOKUP($E$11,[1]QUART!$A$2:$FA$324, 62, FALSE))</f>
        <v>7612.6</v>
      </c>
      <c r="BL11" s="1550">
        <f>IF(VLOOKUP($E$11,[1]QUART!$A$2:$FA$324, 63, FALSE)="",":",VLOOKUP($E$11,[1]QUART!$A$2:$FA$324, 63, FALSE))</f>
        <v>7347.2999999999993</v>
      </c>
      <c r="BM11" s="1550">
        <f>IF(VLOOKUP($E$11,[1]QUART!$A$2:$FA$324, 64, FALSE)="",":",VLOOKUP($E$11,[1]QUART!$A$2:$FA$324, 64, FALSE))</f>
        <v>7103.7000000000007</v>
      </c>
      <c r="BN11" s="1550">
        <f>IF(VLOOKUP($E$11,[1]QUART!$A$2:$FA$324, 65, FALSE)="",":",VLOOKUP($E$11,[1]QUART!$A$2:$FA$324, 65, FALSE))</f>
        <v>6908.2000000000007</v>
      </c>
      <c r="BO11" s="1550">
        <f>IF(VLOOKUP($E$11,[1]QUART!$A$2:$FA$324, 66, FALSE)="",":",VLOOKUP($E$11,[1]QUART!$A$2:$FA$324, 66, FALSE))</f>
        <v>6894.3</v>
      </c>
      <c r="BP11" s="1550">
        <f>IF(VLOOKUP($E$11,[1]QUART!$A$2:$FA$324, 67, FALSE)="",":",VLOOKUP($E$11,[1]QUART!$A$2:$FA$324, 67, FALSE))</f>
        <v>6922.2000000000007</v>
      </c>
      <c r="BQ11" s="1550">
        <f>IF(VLOOKUP($E$11,[1]QUART!$A$2:$FA$324, 68, FALSE)="",":",VLOOKUP($E$11,[1]QUART!$A$2:$FA$324, 68, FALSE))</f>
        <v>7174.1</v>
      </c>
      <c r="BR11" s="1550">
        <f>IF(VLOOKUP($E$11,[1]QUART!$A$2:$FA$324, 69, FALSE)="",":",VLOOKUP($E$11,[1]QUART!$A$2:$FA$324, 69, FALSE))</f>
        <v>7230.7999999999993</v>
      </c>
      <c r="BS11" s="1550">
        <f>IF(VLOOKUP($E$11,[1]QUART!$A$2:$FA$324, 70, FALSE)="",":",VLOOKUP($E$11,[1]QUART!$A$2:$FA$324, 70, FALSE))</f>
        <v>7371.5999999999995</v>
      </c>
      <c r="BT11" s="1550">
        <f>IF(VLOOKUP($E$11,[1]QUART!$A$2:$FA$324, 71, FALSE)="",":",VLOOKUP($E$11,[1]QUART!$A$2:$FA$324, 71, FALSE))</f>
        <v>7459.5</v>
      </c>
      <c r="BU11" s="1550">
        <f>IF(VLOOKUP($E$11,[1]QUART!$A$2:$FA$324, 72, FALSE)="",":",VLOOKUP($E$11,[1]QUART!$A$2:$FA$324, 72, FALSE))</f>
        <v>7559.4</v>
      </c>
      <c r="BV11" s="1550">
        <f>IF(VLOOKUP($E$11,[1]QUART!$A$2:$FA$324, 73, FALSE)="",":",VLOOKUP($E$11,[1]QUART!$A$2:$FA$324, 73, FALSE))</f>
        <v>7632.7</v>
      </c>
      <c r="BW11" s="1550">
        <f>IF(VLOOKUP($E$11,[1]QUART!$A$2:$FA$324, 74, FALSE)="",":",VLOOKUP($E$11,[1]QUART!$A$2:$FA$324, 74, FALSE))</f>
        <v>7608.7000000000007</v>
      </c>
      <c r="BX11" s="1550">
        <f>IF(VLOOKUP($E$11,[1]QUART!$A$2:$FA$324, 75, FALSE)="",":",VLOOKUP($E$11,[1]QUART!$A$2:$FA$324, 75, FALSE))</f>
        <v>7570.1</v>
      </c>
      <c r="BY11" s="1550">
        <f>IF(VLOOKUP($E$11,[1]QUART!$A$2:$FA$324, 76, FALSE)="",":",VLOOKUP($E$11,[1]QUART!$A$2:$FA$324, 76, FALSE))</f>
        <v>7619.9</v>
      </c>
      <c r="BZ11" s="1550">
        <f>IF(VLOOKUP($E$11,[1]QUART!$A$2:$FA$324, 77, FALSE)="",":",VLOOKUP($E$11,[1]QUART!$A$2:$FA$324, 77, FALSE))</f>
        <v>7680.3000000000011</v>
      </c>
      <c r="CA11" s="1550">
        <f>IF(VLOOKUP($E$11,[1]QUART!$A$2:$FA$324, 78, FALSE)="",":",VLOOKUP($E$11,[1]QUART!$A$2:$FA$324, 78, FALSE))</f>
        <v>7829</v>
      </c>
      <c r="CB11" s="1550">
        <f>IF(VLOOKUP($E$11,[1]QUART!$A$2:$FA$324, 79, FALSE)="",":",VLOOKUP($E$11,[1]QUART!$A$2:$FA$324, 79, FALSE))</f>
        <v>7904.3</v>
      </c>
      <c r="CC11" s="1550">
        <f>IF(VLOOKUP($E$11,[1]QUART!$A$2:$FA$324, 80, FALSE)="",":",VLOOKUP($E$11,[1]QUART!$A$2:$FA$324, 80, FALSE))</f>
        <v>8063.6999999999989</v>
      </c>
      <c r="CD11" s="1550">
        <f>IF(VLOOKUP($E$11,[1]QUART!$A$2:$FA$324, 81, FALSE)="",":",VLOOKUP($E$11,[1]QUART!$A$2:$FA$324, 81, FALSE))</f>
        <v>8115.5</v>
      </c>
      <c r="CE11" s="1550">
        <f>IF(VLOOKUP($E$11,[1]QUART!$A$2:$FA$324, 82, FALSE)="",":",VLOOKUP($E$11,[1]QUART!$A$2:$FA$324, 82, FALSE))</f>
        <v>8208.1</v>
      </c>
      <c r="CF11" s="1550">
        <f>IF(VLOOKUP($E$11,[1]QUART!$A$2:$FA$324, 83, FALSE)="",":",VLOOKUP($E$11,[1]QUART!$A$2:$FA$324, 83, FALSE))</f>
        <v>8229.4</v>
      </c>
      <c r="CG11" s="1550">
        <f>IF(VLOOKUP($E$11,[1]QUART!$A$2:$FA$324, 84, FALSE)="",":",VLOOKUP($E$11,[1]QUART!$A$2:$FA$324, 84, FALSE))</f>
        <v>8255</v>
      </c>
      <c r="CH11" s="1550">
        <f>IF(VLOOKUP($E$11,[1]QUART!$A$2:$FA$324, 85, FALSE)="",":",VLOOKUP($E$11,[1]QUART!$A$2:$FA$324, 85, FALSE))</f>
        <v>8353.9000000000015</v>
      </c>
      <c r="CI11" s="1550">
        <f>IF(VLOOKUP($E$11,[1]QUART!$A$2:$FA$324, 86, FALSE)="",":",VLOOKUP($E$11,[1]QUART!$A$2:$FA$324, 86, FALSE))</f>
        <v>8496.2000000000007</v>
      </c>
      <c r="CJ11" s="1550">
        <f>IF(VLOOKUP($E$11,[1]QUART!$A$2:$FA$324, 87, FALSE)="",":",VLOOKUP($E$11,[1]QUART!$A$2:$FA$324, 87, FALSE))</f>
        <v>8548</v>
      </c>
      <c r="CK11" s="1550">
        <f>IF(VLOOKUP($E$11,[1]QUART!$A$2:$FA$324, 88, FALSE)="",":",VLOOKUP($E$11,[1]QUART!$A$2:$FA$324, 88, FALSE))</f>
        <v>8615</v>
      </c>
      <c r="CL11" s="1550">
        <f>IF(VLOOKUP($E$11,[1]QUART!$A$2:$FA$324, 89, FALSE)="",":",VLOOKUP($E$11,[1]QUART!$A$2:$FA$324, 89, FALSE))</f>
        <v>8556.3000000000011</v>
      </c>
      <c r="CM11" s="1550">
        <f>IF(VLOOKUP($E$11,[1]QUART!$A$2:$FA$324, 90, FALSE)="",":",VLOOKUP($E$11,[1]QUART!$A$2:$FA$324, 90, FALSE))</f>
        <v>8642.4</v>
      </c>
      <c r="CN11" s="1550">
        <f>IF(VLOOKUP($E$11,[1]QUART!$A$2:$FA$324, 91, FALSE)="",":",VLOOKUP($E$11,[1]QUART!$A$2:$FA$324, 91, FALSE))</f>
        <v>8814.7999999999993</v>
      </c>
      <c r="CO11" s="1550">
        <f>IF(VLOOKUP($E$11,[1]QUART!$A$2:$FA$324, 92, FALSE)="",":",VLOOKUP($E$11,[1]QUART!$A$2:$FA$324, 92, FALSE))</f>
        <v>8844.6</v>
      </c>
      <c r="CP11" s="1550">
        <f>IF(VLOOKUP($E$11,[1]QUART!$A$2:$FA$324, 93, FALSE)="",":",VLOOKUP($E$11,[1]QUART!$A$2:$FA$324, 93, FALSE))</f>
        <v>8999.7999999999993</v>
      </c>
      <c r="CQ11" s="1550">
        <f>IF(VLOOKUP($E$11,[1]QUART!$A$2:$FA$324, 94, FALSE)="",":",VLOOKUP($E$11,[1]QUART!$A$2:$FA$324, 94, FALSE))</f>
        <v>9031.1</v>
      </c>
      <c r="CR11" s="1550">
        <f>IF(VLOOKUP($E$11,[1]QUART!$A$2:$FA$324, 95, FALSE)="",":",VLOOKUP($E$11,[1]QUART!$A$2:$FA$324, 95, FALSE))</f>
        <v>9148.7000000000007</v>
      </c>
      <c r="CS11" s="1550">
        <f>IF(VLOOKUP($E$11,[1]QUART!$A$2:$FA$324, 96, FALSE)="",":",VLOOKUP($E$11,[1]QUART!$A$2:$FA$324, 96, FALSE))</f>
        <v>9170.7999999999993</v>
      </c>
      <c r="CT11" s="1550">
        <f>IF(VLOOKUP($E$11,[1]QUART!$A$2:$FA$324, 97, FALSE)="",":",VLOOKUP($E$11,[1]QUART!$A$2:$FA$324, 97, FALSE))</f>
        <v>9411.2999999999993</v>
      </c>
      <c r="CU11" s="1550" t="str">
        <f>IF(VLOOKUP($E$11,[1]QUART!$A$2:$FA$324, 98, FALSE)="",":",VLOOKUP($E$11,[1]QUART!$A$2:$FA$324, 98, FALSE))</f>
        <v>:</v>
      </c>
      <c r="CV11" s="1550" t="str">
        <f>IF(VLOOKUP($E$11,[1]QUART!$A$2:$FA$324, 99, FALSE)="",":",VLOOKUP($E$11,[1]QUART!$A$2:$FA$324, 99, FALSE))</f>
        <v>:</v>
      </c>
      <c r="CW11" s="1550" t="str">
        <f>IF(VLOOKUP($E$11,[1]QUART!$A$2:$FA$324, 100, FALSE)="",":",VLOOKUP($E$11,[1]QUART!$A$2:$FA$324, 100, FALSE))</f>
        <v>:</v>
      </c>
      <c r="CX11" s="1550" t="str">
        <f>IF(VLOOKUP($E$11,[1]QUART!$A$2:$FA$324, 101, FALSE)="",":",VLOOKUP($E$11,[1]QUART!$A$2:$FA$324, 101, FALSE))</f>
        <v>:</v>
      </c>
      <c r="CY11" s="1550" t="str">
        <f>IF(VLOOKUP($E$11,[1]QUART!$A$2:$FA$324, 102, FALSE)="",":",VLOOKUP($E$11,[1]QUART!$A$2:$FA$324, 102, FALSE))</f>
        <v>:</v>
      </c>
      <c r="CZ11" s="1550" t="str">
        <f>IF(VLOOKUP($E$11,[1]QUART!$A$2:$FA$324, 103, FALSE)="",":",VLOOKUP($E$11,[1]QUART!$A$2:$FA$324, 103, FALSE))</f>
        <v>:</v>
      </c>
      <c r="DA11" s="1550" t="str">
        <f>IF(VLOOKUP($E$11,[1]QUART!$A$2:$FA$324, 104, FALSE)="",":",VLOOKUP($E$11,[1]QUART!$A$2:$FA$324, 104, FALSE))</f>
        <v>:</v>
      </c>
      <c r="DB11" s="1550" t="str">
        <f>IF(VLOOKUP($E$11,[1]QUART!$A$2:$FA$324, 105, FALSE)="",":",VLOOKUP($E$11,[1]QUART!$A$2:$FA$324, 105, FALSE))</f>
        <v>:</v>
      </c>
      <c r="DC11" s="1550" t="str">
        <f>IF(VLOOKUP($E$11,[1]QUART!$A$2:$FA$324, 106, FALSE)="",":",VLOOKUP($E$11,[1]QUART!$A$2:$FA$324, 106, FALSE))</f>
        <v>:</v>
      </c>
    </row>
    <row r="12" spans="1:110">
      <c r="A12" s="1546">
        <v>22</v>
      </c>
      <c r="B12" s="1551"/>
      <c r="C12" s="1552"/>
      <c r="D12" s="1547" t="s">
        <v>1841</v>
      </c>
      <c r="E12" s="1548">
        <v>72</v>
      </c>
      <c r="F12" s="1549" t="str">
        <f>VLOOKUP($E$12,[1]QUART!$A$2:$FA$324, 3, FALSE)</f>
        <v>72  Domestic demand including change in inventories and net acquisition of valuables</v>
      </c>
      <c r="G12" s="1550">
        <f>IF(VLOOKUP($E$12,[1]QUART!$A$2:$FA$324, 6, FALSE)="",":",VLOOKUP($E$12,[1]QUART!$A$2:$FA$324, 6, FALSE))</f>
        <v>2793.9353568118627</v>
      </c>
      <c r="H12" s="1550">
        <f>IF(VLOOKUP($E$12,[1]QUART!$A$2:$FA$324, 7, FALSE)="",":",VLOOKUP($E$12,[1]QUART!$A$2:$FA$324, 7, FALSE))</f>
        <v>2777.4270157553292</v>
      </c>
      <c r="I12" s="1550">
        <f>IF(VLOOKUP($E$12,[1]QUART!$A$2:$FA$324, 8, FALSE)="",":",VLOOKUP($E$12,[1]QUART!$A$2:$FA$324, 8, FALSE))</f>
        <v>2837.3493975903611</v>
      </c>
      <c r="J12" s="1550">
        <f>IF(VLOOKUP($E$12,[1]QUART!$A$2:$FA$324, 9, FALSE)="",":",VLOOKUP($E$12,[1]QUART!$A$2:$FA$324, 9, FALSE))</f>
        <v>2885.0787766450421</v>
      </c>
      <c r="K12" s="1550">
        <f>IF(VLOOKUP($E$12,[1]QUART!$A$2:$FA$324, 10, FALSE)="",":",VLOOKUP($E$12,[1]QUART!$A$2:$FA$324, 10, FALSE))</f>
        <v>2894.3466172381836</v>
      </c>
      <c r="L12" s="1550">
        <f>IF(VLOOKUP($E$12,[1]QUART!$A$2:$FA$324, 11, FALSE)="",":",VLOOKUP($E$12,[1]QUART!$A$2:$FA$324, 11, FALSE))</f>
        <v>2954.1821130676553</v>
      </c>
      <c r="M12" s="1550">
        <f>IF(VLOOKUP($E$12,[1]QUART!$A$2:$FA$324, 12, FALSE)="",":",VLOOKUP($E$12,[1]QUART!$A$2:$FA$324, 12, FALSE))</f>
        <v>3061.9786839666358</v>
      </c>
      <c r="N12" s="1550">
        <f>IF(VLOOKUP($E$12,[1]QUART!$A$2:$FA$324, 13, FALSE)="",":",VLOOKUP($E$12,[1]QUART!$A$2:$FA$324, 13, FALSE))</f>
        <v>3119.5841056533827</v>
      </c>
      <c r="O12" s="1550">
        <f>IF(VLOOKUP($E$12,[1]QUART!$A$2:$FA$324, 14, FALSE)="",":",VLOOKUP($E$12,[1]QUART!$A$2:$FA$324, 14, FALSE))</f>
        <v>3242.0644114921229</v>
      </c>
      <c r="P12" s="1550">
        <f>IF(VLOOKUP($E$12,[1]QUART!$A$2:$FA$324, 15, FALSE)="",":",VLOOKUP($E$12,[1]QUART!$A$2:$FA$324, 15, FALSE))</f>
        <v>3319.3639944392958</v>
      </c>
      <c r="Q12" s="1550">
        <f>IF(VLOOKUP($E$12,[1]QUART!$A$2:$FA$324, 16, FALSE)="",":",VLOOKUP($E$12,[1]QUART!$A$2:$FA$324, 16, FALSE))</f>
        <v>3332.0783132530123</v>
      </c>
      <c r="R12" s="1550">
        <f>IF(VLOOKUP($E$12,[1]QUART!$A$2:$FA$324, 17, FALSE)="",":",VLOOKUP($E$12,[1]QUART!$A$2:$FA$324, 17, FALSE))</f>
        <v>3452.9657089898055</v>
      </c>
      <c r="S12" s="1550">
        <f>IF(VLOOKUP($E$12,[1]QUART!$A$2:$FA$324, 18, FALSE)="",":",VLOOKUP($E$12,[1]QUART!$A$2:$FA$324, 18, FALSE))</f>
        <v>3531.2789620018534</v>
      </c>
      <c r="T12" s="1550">
        <f>IF(VLOOKUP($E$12,[1]QUART!$A$2:$FA$324, 19, FALSE)="",":",VLOOKUP($E$12,[1]QUART!$A$2:$FA$324, 19, FALSE))</f>
        <v>3571.5361445783133</v>
      </c>
      <c r="U12" s="1550">
        <f>IF(VLOOKUP($E$12,[1]QUART!$A$2:$FA$324, 20, FALSE)="",":",VLOOKUP($E$12,[1]QUART!$A$2:$FA$324, 20, FALSE))</f>
        <v>3664.6779425393884</v>
      </c>
      <c r="V12" s="1550">
        <f>IF(VLOOKUP($E$12,[1]QUART!$A$2:$FA$324, 21, FALSE)="",":",VLOOKUP($E$12,[1]QUART!$A$2:$FA$324, 21, FALSE))</f>
        <v>3599.252780352178</v>
      </c>
      <c r="W12" s="1550">
        <f>IF(VLOOKUP($E$12,[1]QUART!$A$2:$FA$324, 22, FALSE)="",":",VLOOKUP($E$12,[1]QUART!$A$2:$FA$324, 22, FALSE))</f>
        <v>3531.5106580166826</v>
      </c>
      <c r="X12" s="1550">
        <f>IF(VLOOKUP($E$12,[1]QUART!$A$2:$FA$324, 23, FALSE)="",":",VLOOKUP($E$12,[1]QUART!$A$2:$FA$324, 23, FALSE))</f>
        <v>3641.768999073216</v>
      </c>
      <c r="Y12" s="1550">
        <f>IF(VLOOKUP($E$12,[1]QUART!$A$2:$FA$324, 24, FALSE)="",":",VLOOKUP($E$12,[1]QUART!$A$2:$FA$324, 24, FALSE))</f>
        <v>3567.133920296571</v>
      </c>
      <c r="Z12" s="1550">
        <f>IF(VLOOKUP($E$12,[1]QUART!$A$2:$FA$324, 25, FALSE)="",":",VLOOKUP($E$12,[1]QUART!$A$2:$FA$324, 25, FALSE))</f>
        <v>3559.893419833179</v>
      </c>
      <c r="AA12" s="1550">
        <f>IF(VLOOKUP($E$12,[1]QUART!$A$2:$FA$324, 26, FALSE)="",":",VLOOKUP($E$12,[1]QUART!$A$2:$FA$324, 26, FALSE))</f>
        <v>3608.5206209453199</v>
      </c>
      <c r="AB12" s="1550">
        <f>IF(VLOOKUP($E$12,[1]QUART!$A$2:$FA$324, 27, FALSE)="",":",VLOOKUP($E$12,[1]QUART!$A$2:$FA$324, 27, FALSE))</f>
        <v>3630.4448563484711</v>
      </c>
      <c r="AC12" s="1550">
        <f>IF(VLOOKUP($E$12,[1]QUART!$A$2:$FA$324, 28, FALSE)="",":",VLOOKUP($E$12,[1]QUART!$A$2:$FA$324, 28, FALSE))</f>
        <v>3651.6740037071363</v>
      </c>
      <c r="AD12" s="1550">
        <f>IF(VLOOKUP($E$12,[1]QUART!$A$2:$FA$324, 29, FALSE)="",":",VLOOKUP($E$12,[1]QUART!$A$2:$FA$324, 29, FALSE))</f>
        <v>3694.3060704355889</v>
      </c>
      <c r="AE12" s="1550">
        <f>IF(VLOOKUP($E$12,[1]QUART!$A$2:$FA$324, 30, FALSE)="",":",VLOOKUP($E$12,[1]QUART!$A$2:$FA$324, 30, FALSE))</f>
        <v>3801.3206672845231</v>
      </c>
      <c r="AF12" s="1550">
        <f>IF(VLOOKUP($E$12,[1]QUART!$A$2:$FA$324, 31, FALSE)="",":",VLOOKUP($E$12,[1]QUART!$A$2:$FA$324, 31, FALSE))</f>
        <v>3785.6232622798889</v>
      </c>
      <c r="AG12" s="1550">
        <f>IF(VLOOKUP($E$12,[1]QUART!$A$2:$FA$324, 32, FALSE)="",":",VLOOKUP($E$12,[1]QUART!$A$2:$FA$324, 32, FALSE))</f>
        <v>3847.2254402224285</v>
      </c>
      <c r="AH12" s="1550">
        <f>IF(VLOOKUP($E$12,[1]QUART!$A$2:$FA$324, 33, FALSE)="",":",VLOOKUP($E$12,[1]QUART!$A$2:$FA$324, 33, FALSE))</f>
        <v>4045.412418906395</v>
      </c>
      <c r="AI12" s="1550">
        <f>IF(VLOOKUP($E$12,[1]QUART!$A$2:$FA$324, 34, FALSE)="",":",VLOOKUP($E$12,[1]QUART!$A$2:$FA$324, 34, FALSE))</f>
        <v>4069.6536144578317</v>
      </c>
      <c r="AJ12" s="1550">
        <f>IF(VLOOKUP($E$12,[1]QUART!$A$2:$FA$324, 35, FALSE)="",":",VLOOKUP($E$12,[1]QUART!$A$2:$FA$324, 35, FALSE))</f>
        <v>4121.1480537534753</v>
      </c>
      <c r="AK12" s="1550">
        <f>IF(VLOOKUP($E$12,[1]QUART!$A$2:$FA$324, 36, FALSE)="",":",VLOOKUP($E$12,[1]QUART!$A$2:$FA$324, 36, FALSE))</f>
        <v>4196.1596385542171</v>
      </c>
      <c r="AL12" s="1550">
        <f>IF(VLOOKUP($E$12,[1]QUART!$A$2:$FA$324, 37, FALSE)="",":",VLOOKUP($E$12,[1]QUART!$A$2:$FA$324, 37, FALSE))</f>
        <v>4233.3468489341985</v>
      </c>
      <c r="AM12" s="1550">
        <f>IF(VLOOKUP($E$12,[1]QUART!$A$2:$FA$324, 38, FALSE)="",":",VLOOKUP($E$12,[1]QUART!$A$2:$FA$324, 38, FALSE))</f>
        <v>4364.1392493049125</v>
      </c>
      <c r="AN12" s="1550">
        <f>IF(VLOOKUP($E$12,[1]QUART!$A$2:$FA$324, 39, FALSE)="",":",VLOOKUP($E$12,[1]QUART!$A$2:$FA$324, 39, FALSE))</f>
        <v>4522.9379054680257</v>
      </c>
      <c r="AO12" s="1550">
        <f>IF(VLOOKUP($E$12,[1]QUART!$A$2:$FA$324, 40, FALSE)="",":",VLOOKUP($E$12,[1]QUART!$A$2:$FA$324, 40, FALSE))</f>
        <v>4645.5919833178868</v>
      </c>
      <c r="AP12" s="1550">
        <f>IF(VLOOKUP($E$12,[1]QUART!$A$2:$FA$324, 41, FALSE)="",":",VLOOKUP($E$12,[1]QUART!$A$2:$FA$324, 41, FALSE))</f>
        <v>4805.3174235403148</v>
      </c>
      <c r="AQ12" s="1550">
        <f>IF(VLOOKUP($E$12,[1]QUART!$A$2:$FA$324, 42, FALSE)="",":",VLOOKUP($E$12,[1]QUART!$A$2:$FA$324, 42, FALSE))</f>
        <v>4981.0298887859135</v>
      </c>
      <c r="AR12" s="1550">
        <f>IF(VLOOKUP($E$12,[1]QUART!$A$2:$FA$324, 43, FALSE)="",":",VLOOKUP($E$12,[1]QUART!$A$2:$FA$324, 43, FALSE))</f>
        <v>5130.1552363299361</v>
      </c>
      <c r="AS12" s="1550">
        <f>IF(VLOOKUP($E$12,[1]QUART!$A$2:$FA$324, 44, FALSE)="",":",VLOOKUP($E$12,[1]QUART!$A$2:$FA$324, 44, FALSE))</f>
        <v>5208.8449953660793</v>
      </c>
      <c r="AT12" s="1550">
        <f>IF(VLOOKUP($E$12,[1]QUART!$A$2:$FA$324, 45, FALSE)="",":",VLOOKUP($E$12,[1]QUART!$A$2:$FA$324, 45, FALSE))</f>
        <v>5313.1661260426317</v>
      </c>
      <c r="AU12" s="1550">
        <f>IF(VLOOKUP($E$12,[1]QUART!$A$2:$FA$324, 46, FALSE)="",":",VLOOKUP($E$12,[1]QUART!$A$2:$FA$324, 46, FALSE))</f>
        <v>5375.2027340129753</v>
      </c>
      <c r="AV12" s="1550">
        <f>IF(VLOOKUP($E$12,[1]QUART!$A$2:$FA$324, 47, FALSE)="",":",VLOOKUP($E$12,[1]QUART!$A$2:$FA$324, 47, FALSE))</f>
        <v>5576.0252548656172</v>
      </c>
      <c r="AW12" s="1550">
        <f>IF(VLOOKUP($E$12,[1]QUART!$A$2:$FA$324, 48, FALSE)="",":",VLOOKUP($E$12,[1]QUART!$A$2:$FA$324, 48, FALSE))</f>
        <v>5695.9279425393888</v>
      </c>
      <c r="AX12" s="1550">
        <f>IF(VLOOKUP($E$12,[1]QUART!$A$2:$FA$324, 49, FALSE)="",":",VLOOKUP($E$12,[1]QUART!$A$2:$FA$324, 49, FALSE))</f>
        <v>5825.3012048192768</v>
      </c>
      <c r="AY12" s="1550">
        <f>IF(VLOOKUP($E$12,[1]QUART!$A$2:$FA$324, 50, FALSE)="",":",VLOOKUP($E$12,[1]QUART!$A$2:$FA$324, 50, FALSE))</f>
        <v>7439.9</v>
      </c>
      <c r="AZ12" s="1550">
        <f>IF(VLOOKUP($E$12,[1]QUART!$A$2:$FA$324, 51, FALSE)="",":",VLOOKUP($E$12,[1]QUART!$A$2:$FA$324, 51, FALSE))</f>
        <v>7416.5</v>
      </c>
      <c r="BA12" s="1550">
        <f>IF(VLOOKUP($E$12,[1]QUART!$A$2:$FA$324, 52, FALSE)="",":",VLOOKUP($E$12,[1]QUART!$A$2:$FA$324, 52, FALSE))</f>
        <v>7885.3</v>
      </c>
      <c r="BB12" s="1550">
        <f>IF(VLOOKUP($E$12,[1]QUART!$A$2:$FA$324, 53, FALSE)="",":",VLOOKUP($E$12,[1]QUART!$A$2:$FA$324, 53, FALSE))</f>
        <v>8304.2000000000007</v>
      </c>
      <c r="BC12" s="1550">
        <f>IF(VLOOKUP($E$12,[1]QUART!$A$2:$FA$324, 54, FALSE)="",":",VLOOKUP($E$12,[1]QUART!$A$2:$FA$324, 54, FALSE))</f>
        <v>8528.2000000000007</v>
      </c>
      <c r="BD12" s="1550">
        <f>IF(VLOOKUP($E$12,[1]QUART!$A$2:$FA$324, 55, FALSE)="",":",VLOOKUP($E$12,[1]QUART!$A$2:$FA$324, 55, FALSE))</f>
        <v>8953.5</v>
      </c>
      <c r="BE12" s="1550">
        <f>IF(VLOOKUP($E$12,[1]QUART!$A$2:$FA$324, 56, FALSE)="",":",VLOOKUP($E$12,[1]QUART!$A$2:$FA$324, 56, FALSE))</f>
        <v>8933.7000000000007</v>
      </c>
      <c r="BF12" s="1550">
        <f>IF(VLOOKUP($E$12,[1]QUART!$A$2:$FA$324, 57, FALSE)="",":",VLOOKUP($E$12,[1]QUART!$A$2:$FA$324, 57, FALSE))</f>
        <v>9272.5</v>
      </c>
      <c r="BG12" s="1550">
        <f>IF(VLOOKUP($E$12,[1]QUART!$A$2:$FA$324, 58, FALSE)="",":",VLOOKUP($E$12,[1]QUART!$A$2:$FA$324, 58, FALSE))</f>
        <v>9445.7999999999993</v>
      </c>
      <c r="BH12" s="1550">
        <f>IF(VLOOKUP($E$12,[1]QUART!$A$2:$FA$324, 59, FALSE)="",":",VLOOKUP($E$12,[1]QUART!$A$2:$FA$324, 59, FALSE))</f>
        <v>9354.1</v>
      </c>
      <c r="BI12" s="1550">
        <f>IF(VLOOKUP($E$12,[1]QUART!$A$2:$FA$324, 60, FALSE)="",":",VLOOKUP($E$12,[1]QUART!$A$2:$FA$324, 60, FALSE))</f>
        <v>9210.2999999999993</v>
      </c>
      <c r="BJ12" s="1550">
        <f>IF(VLOOKUP($E$12,[1]QUART!$A$2:$FA$324, 61, FALSE)="",":",VLOOKUP($E$12,[1]QUART!$A$2:$FA$324, 61, FALSE))</f>
        <v>8657</v>
      </c>
      <c r="BK12" s="1550">
        <f>IF(VLOOKUP($E$12,[1]QUART!$A$2:$FA$324, 62, FALSE)="",":",VLOOKUP($E$12,[1]QUART!$A$2:$FA$324, 62, FALSE))</f>
        <v>7208.1</v>
      </c>
      <c r="BL12" s="1550">
        <f>IF(VLOOKUP($E$12,[1]QUART!$A$2:$FA$324, 63, FALSE)="",":",VLOOKUP($E$12,[1]QUART!$A$2:$FA$324, 63, FALSE))</f>
        <v>7118.1</v>
      </c>
      <c r="BM12" s="1550">
        <f>IF(VLOOKUP($E$12,[1]QUART!$A$2:$FA$324, 64, FALSE)="",":",VLOOKUP($E$12,[1]QUART!$A$2:$FA$324, 64, FALSE))</f>
        <v>7010.3</v>
      </c>
      <c r="BN12" s="1550">
        <f>IF(VLOOKUP($E$12,[1]QUART!$A$2:$FA$324, 65, FALSE)="",":",VLOOKUP($E$12,[1]QUART!$A$2:$FA$324, 65, FALSE))</f>
        <v>6736.3</v>
      </c>
      <c r="BO12" s="1550">
        <f>IF(VLOOKUP($E$12,[1]QUART!$A$2:$FA$324, 66, FALSE)="",":",VLOOKUP($E$12,[1]QUART!$A$2:$FA$324, 66, FALSE))</f>
        <v>6960.4</v>
      </c>
      <c r="BP12" s="1550">
        <f>IF(VLOOKUP($E$12,[1]QUART!$A$2:$FA$324, 67, FALSE)="",":",VLOOKUP($E$12,[1]QUART!$A$2:$FA$324, 67, FALSE))</f>
        <v>7135.6</v>
      </c>
      <c r="BQ12" s="1550">
        <f>IF(VLOOKUP($E$12,[1]QUART!$A$2:$FA$324, 68, FALSE)="",":",VLOOKUP($E$12,[1]QUART!$A$2:$FA$324, 68, FALSE))</f>
        <v>7120.5</v>
      </c>
      <c r="BR12" s="1550">
        <f>IF(VLOOKUP($E$12,[1]QUART!$A$2:$FA$324, 69, FALSE)="",":",VLOOKUP($E$12,[1]QUART!$A$2:$FA$324, 69, FALSE))</f>
        <v>7386.8</v>
      </c>
      <c r="BS12" s="1550">
        <f>IF(VLOOKUP($E$12,[1]QUART!$A$2:$FA$324, 70, FALSE)="",":",VLOOKUP($E$12,[1]QUART!$A$2:$FA$324, 70, FALSE))</f>
        <v>7595</v>
      </c>
      <c r="BT12" s="1550">
        <f>IF(VLOOKUP($E$12,[1]QUART!$A$2:$FA$324, 71, FALSE)="",":",VLOOKUP($E$12,[1]QUART!$A$2:$FA$324, 71, FALSE))</f>
        <v>7553.1</v>
      </c>
      <c r="BU12" s="1550">
        <f>IF(VLOOKUP($E$12,[1]QUART!$A$2:$FA$324, 72, FALSE)="",":",VLOOKUP($E$12,[1]QUART!$A$2:$FA$324, 72, FALSE))</f>
        <v>7537.5</v>
      </c>
      <c r="BV12" s="1550">
        <f>IF(VLOOKUP($E$12,[1]QUART!$A$2:$FA$324, 73, FALSE)="",":",VLOOKUP($E$12,[1]QUART!$A$2:$FA$324, 73, FALSE))</f>
        <v>7630.8</v>
      </c>
      <c r="BW12" s="1550">
        <f>IF(VLOOKUP($E$12,[1]QUART!$A$2:$FA$324, 74, FALSE)="",":",VLOOKUP($E$12,[1]QUART!$A$2:$FA$324, 74, FALSE))</f>
        <v>7572.1</v>
      </c>
      <c r="BX12" s="1550">
        <f>IF(VLOOKUP($E$12,[1]QUART!$A$2:$FA$324, 75, FALSE)="",":",VLOOKUP($E$12,[1]QUART!$A$2:$FA$324, 75, FALSE))</f>
        <v>7315</v>
      </c>
      <c r="BY12" s="1550">
        <f>IF(VLOOKUP($E$12,[1]QUART!$A$2:$FA$324, 76, FALSE)="",":",VLOOKUP($E$12,[1]QUART!$A$2:$FA$324, 76, FALSE))</f>
        <v>7694.3</v>
      </c>
      <c r="BZ12" s="1550">
        <f>IF(VLOOKUP($E$12,[1]QUART!$A$2:$FA$324, 77, FALSE)="",":",VLOOKUP($E$12,[1]QUART!$A$2:$FA$324, 77, FALSE))</f>
        <v>7507.5</v>
      </c>
      <c r="CA12" s="1550">
        <f>IF(VLOOKUP($E$12,[1]QUART!$A$2:$FA$324, 78, FALSE)="",":",VLOOKUP($E$12,[1]QUART!$A$2:$FA$324, 78, FALSE))</f>
        <v>7562.9</v>
      </c>
      <c r="CB12" s="1550">
        <f>IF(VLOOKUP($E$12,[1]QUART!$A$2:$FA$324, 79, FALSE)="",":",VLOOKUP($E$12,[1]QUART!$A$2:$FA$324, 79, FALSE))</f>
        <v>7659.1</v>
      </c>
      <c r="CC12" s="1550">
        <f>IF(VLOOKUP($E$12,[1]QUART!$A$2:$FA$324, 80, FALSE)="",":",VLOOKUP($E$12,[1]QUART!$A$2:$FA$324, 80, FALSE))</f>
        <v>7891.4</v>
      </c>
      <c r="CD12" s="1550">
        <f>IF(VLOOKUP($E$12,[1]QUART!$A$2:$FA$324, 81, FALSE)="",":",VLOOKUP($E$12,[1]QUART!$A$2:$FA$324, 81, FALSE))</f>
        <v>7968.6</v>
      </c>
      <c r="CE12" s="1550">
        <f>IF(VLOOKUP($E$12,[1]QUART!$A$2:$FA$324, 82, FALSE)="",":",VLOOKUP($E$12,[1]QUART!$A$2:$FA$324, 82, FALSE))</f>
        <v>7966.4</v>
      </c>
      <c r="CF12" s="1550">
        <f>IF(VLOOKUP($E$12,[1]QUART!$A$2:$FA$324, 83, FALSE)="",":",VLOOKUP($E$12,[1]QUART!$A$2:$FA$324, 83, FALSE))</f>
        <v>7964.9</v>
      </c>
      <c r="CG12" s="1550">
        <f>IF(VLOOKUP($E$12,[1]QUART!$A$2:$FA$324, 84, FALSE)="",":",VLOOKUP($E$12,[1]QUART!$A$2:$FA$324, 84, FALSE))</f>
        <v>7982.1</v>
      </c>
      <c r="CH12" s="1550">
        <f>IF(VLOOKUP($E$12,[1]QUART!$A$2:$FA$324, 85, FALSE)="",":",VLOOKUP($E$12,[1]QUART!$A$2:$FA$324, 85, FALSE))</f>
        <v>8208.1</v>
      </c>
      <c r="CI12" s="1550">
        <f>IF(VLOOKUP($E$12,[1]QUART!$A$2:$FA$324, 86, FALSE)="",":",VLOOKUP($E$12,[1]QUART!$A$2:$FA$324, 86, FALSE))</f>
        <v>8565.6</v>
      </c>
      <c r="CJ12" s="1550">
        <f>IF(VLOOKUP($E$12,[1]QUART!$A$2:$FA$324, 87, FALSE)="",":",VLOOKUP($E$12,[1]QUART!$A$2:$FA$324, 87, FALSE))</f>
        <v>8757.1</v>
      </c>
      <c r="CK12" s="1550">
        <f>IF(VLOOKUP($E$12,[1]QUART!$A$2:$FA$324, 88, FALSE)="",":",VLOOKUP($E$12,[1]QUART!$A$2:$FA$324, 88, FALSE))</f>
        <v>8600.2999999999993</v>
      </c>
      <c r="CL12" s="1550">
        <f>IF(VLOOKUP($E$12,[1]QUART!$A$2:$FA$324, 89, FALSE)="",":",VLOOKUP($E$12,[1]QUART!$A$2:$FA$324, 89, FALSE))</f>
        <v>8581.5</v>
      </c>
      <c r="CM12" s="1550">
        <f>IF(VLOOKUP($E$12,[1]QUART!$A$2:$FA$324, 90, FALSE)="",":",VLOOKUP($E$12,[1]QUART!$A$2:$FA$324, 90, FALSE))</f>
        <v>8500.7000000000007</v>
      </c>
      <c r="CN12" s="1550">
        <f>IF(VLOOKUP($E$12,[1]QUART!$A$2:$FA$324, 91, FALSE)="",":",VLOOKUP($E$12,[1]QUART!$A$2:$FA$324, 91, FALSE))</f>
        <v>8828.1</v>
      </c>
      <c r="CO12" s="1550">
        <f>IF(VLOOKUP($E$12,[1]QUART!$A$2:$FA$324, 92, FALSE)="",":",VLOOKUP($E$12,[1]QUART!$A$2:$FA$324, 92, FALSE))</f>
        <v>8864.2000000000007</v>
      </c>
      <c r="CP12" s="1550">
        <f>IF(VLOOKUP($E$12,[1]QUART!$A$2:$FA$324, 93, FALSE)="",":",VLOOKUP($E$12,[1]QUART!$A$2:$FA$324, 93, FALSE))</f>
        <v>8993.1</v>
      </c>
      <c r="CQ12" s="1550">
        <f>IF(VLOOKUP($E$12,[1]QUART!$A$2:$FA$324, 94, FALSE)="",":",VLOOKUP($E$12,[1]QUART!$A$2:$FA$324, 94, FALSE))</f>
        <v>9080.2999999999993</v>
      </c>
      <c r="CR12" s="1550">
        <f>IF(VLOOKUP($E$12,[1]QUART!$A$2:$FA$324, 95, FALSE)="",":",VLOOKUP($E$12,[1]QUART!$A$2:$FA$324, 95, FALSE))</f>
        <v>9009.1</v>
      </c>
      <c r="CS12" s="1550">
        <f>IF(VLOOKUP($E$12,[1]QUART!$A$2:$FA$324, 96, FALSE)="",":",VLOOKUP($E$12,[1]QUART!$A$2:$FA$324, 96, FALSE))</f>
        <v>9192</v>
      </c>
      <c r="CT12" s="1550">
        <f>IF(VLOOKUP($E$12,[1]QUART!$A$2:$FA$324, 97, FALSE)="",":",VLOOKUP($E$12,[1]QUART!$A$2:$FA$324, 97, FALSE))</f>
        <v>9240.2000000000007</v>
      </c>
      <c r="CU12" s="1550" t="str">
        <f>IF(VLOOKUP($E$12,[1]QUART!$A$2:$FA$324, 98, FALSE)="",":",VLOOKUP($E$12,[1]QUART!$A$2:$FA$324, 98, FALSE))</f>
        <v>:</v>
      </c>
      <c r="CV12" s="1550" t="str">
        <f>IF(VLOOKUP($E$12,[1]QUART!$A$2:$FA$324, 99, FALSE)="",":",VLOOKUP($E$12,[1]QUART!$A$2:$FA$324, 99, FALSE))</f>
        <v>:</v>
      </c>
      <c r="CW12" s="1550" t="str">
        <f>IF(VLOOKUP($E$12,[1]QUART!$A$2:$FA$324, 100, FALSE)="",":",VLOOKUP($E$12,[1]QUART!$A$2:$FA$324, 100, FALSE))</f>
        <v>:</v>
      </c>
      <c r="CX12" s="1550" t="str">
        <f>IF(VLOOKUP($E$12,[1]QUART!$A$2:$FA$324, 101, FALSE)="",":",VLOOKUP($E$12,[1]QUART!$A$2:$FA$324, 101, FALSE))</f>
        <v>:</v>
      </c>
      <c r="CY12" s="1550" t="str">
        <f>IF(VLOOKUP($E$12,[1]QUART!$A$2:$FA$324, 102, FALSE)="",":",VLOOKUP($E$12,[1]QUART!$A$2:$FA$324, 102, FALSE))</f>
        <v>:</v>
      </c>
      <c r="CZ12" s="1550" t="str">
        <f>IF(VLOOKUP($E$12,[1]QUART!$A$2:$FA$324, 103, FALSE)="",":",VLOOKUP($E$12,[1]QUART!$A$2:$FA$324, 103, FALSE))</f>
        <v>:</v>
      </c>
      <c r="DA12" s="1550" t="str">
        <f>IF(VLOOKUP($E$12,[1]QUART!$A$2:$FA$324, 104, FALSE)="",":",VLOOKUP($E$12,[1]QUART!$A$2:$FA$324, 104, FALSE))</f>
        <v>:</v>
      </c>
      <c r="DB12" s="1550" t="str">
        <f>IF(VLOOKUP($E$12,[1]QUART!$A$2:$FA$324, 105, FALSE)="",":",VLOOKUP($E$12,[1]QUART!$A$2:$FA$324, 105, FALSE))</f>
        <v>:</v>
      </c>
      <c r="DC12" s="1550" t="str">
        <f>IF(VLOOKUP($E$12,[1]QUART!$A$2:$FA$324, 106, FALSE)="",":",VLOOKUP($E$12,[1]QUART!$A$2:$FA$324, 106, FALSE))</f>
        <v>:</v>
      </c>
    </row>
    <row r="13" spans="1:110">
      <c r="A13" s="1546">
        <v>23</v>
      </c>
      <c r="B13" s="1551"/>
      <c r="C13" s="1552"/>
      <c r="D13" s="1547" t="s">
        <v>1841</v>
      </c>
      <c r="E13" s="1548">
        <v>73</v>
      </c>
      <c r="F13" s="1549" t="str">
        <f>VLOOKUP($E$13,[1]QUART!$A$2:$FA$324, 3, FALSE)</f>
        <v xml:space="preserve">73  Final demand                                                                    </v>
      </c>
      <c r="G13" s="1550">
        <f>IF(VLOOKUP($E$13,[1]QUART!$A$2:$FA$324, 6, FALSE)="",":",VLOOKUP($E$13,[1]QUART!$A$2:$FA$324, 6, FALSE))</f>
        <v>3902.6587117701574</v>
      </c>
      <c r="H13" s="1550">
        <f>IF(VLOOKUP($E$13,[1]QUART!$A$2:$FA$324, 7, FALSE)="",":",VLOOKUP($E$13,[1]QUART!$A$2:$FA$324, 7, FALSE))</f>
        <v>3922.6714550509732</v>
      </c>
      <c r="I13" s="1550">
        <f>IF(VLOOKUP($E$13,[1]QUART!$A$2:$FA$324, 8, FALSE)="",":",VLOOKUP($E$13,[1]QUART!$A$2:$FA$324, 8, FALSE))</f>
        <v>4031.8002780352172</v>
      </c>
      <c r="J13" s="1550">
        <f>IF(VLOOKUP($E$13,[1]QUART!$A$2:$FA$324, 9, FALSE)="",":",VLOOKUP($E$13,[1]QUART!$A$2:$FA$324, 9, FALSE))</f>
        <v>4125.0868860055616</v>
      </c>
      <c r="K13" s="1550">
        <f>IF(VLOOKUP($E$13,[1]QUART!$A$2:$FA$324, 10, FALSE)="",":",VLOOKUP($E$13,[1]QUART!$A$2:$FA$324, 10, FALSE))</f>
        <v>4201.2859128822984</v>
      </c>
      <c r="L13" s="1550">
        <f>IF(VLOOKUP($E$13,[1]QUART!$A$2:$FA$324, 11, FALSE)="",":",VLOOKUP($E$13,[1]QUART!$A$2:$FA$324, 11, FALSE))</f>
        <v>4303.7245134383693</v>
      </c>
      <c r="M13" s="1550">
        <f>IF(VLOOKUP($E$13,[1]QUART!$A$2:$FA$324, 12, FALSE)="",":",VLOOKUP($E$13,[1]QUART!$A$2:$FA$324, 12, FALSE))</f>
        <v>4486.8802131603334</v>
      </c>
      <c r="N13" s="1550">
        <f>IF(VLOOKUP($E$13,[1]QUART!$A$2:$FA$324, 13, FALSE)="",":",VLOOKUP($E$13,[1]QUART!$A$2:$FA$324, 13, FALSE))</f>
        <v>4615.9059314179794</v>
      </c>
      <c r="O13" s="1550">
        <f>IF(VLOOKUP($E$13,[1]QUART!$A$2:$FA$324, 14, FALSE)="",":",VLOOKUP($E$13,[1]QUART!$A$2:$FA$324, 14, FALSE))</f>
        <v>4798.1927710843374</v>
      </c>
      <c r="P13" s="1550">
        <f>IF(VLOOKUP($E$13,[1]QUART!$A$2:$FA$324, 15, FALSE)="",":",VLOOKUP($E$13,[1]QUART!$A$2:$FA$324, 15, FALSE))</f>
        <v>4921.8894810009269</v>
      </c>
      <c r="Q13" s="1550">
        <f>IF(VLOOKUP($E$13,[1]QUART!$A$2:$FA$324, 16, FALSE)="",":",VLOOKUP($E$13,[1]QUART!$A$2:$FA$324, 16, FALSE))</f>
        <v>4969.0685820203898</v>
      </c>
      <c r="R13" s="1550">
        <f>IF(VLOOKUP($E$13,[1]QUART!$A$2:$FA$324, 17, FALSE)="",":",VLOOKUP($E$13,[1]QUART!$A$2:$FA$324, 17, FALSE))</f>
        <v>5232.1304448563487</v>
      </c>
      <c r="S13" s="1550">
        <f>IF(VLOOKUP($E$13,[1]QUART!$A$2:$FA$324, 18, FALSE)="",":",VLOOKUP($E$13,[1]QUART!$A$2:$FA$324, 18, FALSE))</f>
        <v>5363.0097312326234</v>
      </c>
      <c r="T13" s="1550">
        <f>IF(VLOOKUP($E$13,[1]QUART!$A$2:$FA$324, 19, FALSE)="",":",VLOOKUP($E$13,[1]QUART!$A$2:$FA$324, 19, FALSE))</f>
        <v>5378.7940222428178</v>
      </c>
      <c r="U13" s="1550">
        <f>IF(VLOOKUP($E$13,[1]QUART!$A$2:$FA$324, 20, FALSE)="",":",VLOOKUP($E$13,[1]QUART!$A$2:$FA$324, 20, FALSE))</f>
        <v>5355.1031047265988</v>
      </c>
      <c r="V13" s="1550">
        <f>IF(VLOOKUP($E$13,[1]QUART!$A$2:$FA$324, 21, FALSE)="",":",VLOOKUP($E$13,[1]QUART!$A$2:$FA$324, 21, FALSE))</f>
        <v>5193.1186283595925</v>
      </c>
      <c r="W13" s="1550">
        <f>IF(VLOOKUP($E$13,[1]QUART!$A$2:$FA$324, 22, FALSE)="",":",VLOOKUP($E$13,[1]QUART!$A$2:$FA$324, 22, FALSE))</f>
        <v>5037.3609823911029</v>
      </c>
      <c r="X13" s="1550">
        <f>IF(VLOOKUP($E$13,[1]QUART!$A$2:$FA$324, 23, FALSE)="",":",VLOOKUP($E$13,[1]QUART!$A$2:$FA$324, 23, FALSE))</f>
        <v>5072.3760426320669</v>
      </c>
      <c r="Y13" s="1550">
        <f>IF(VLOOKUP($E$13,[1]QUART!$A$2:$FA$324, 24, FALSE)="",":",VLOOKUP($E$13,[1]QUART!$A$2:$FA$324, 24, FALSE))</f>
        <v>4986.2720111214094</v>
      </c>
      <c r="Z13" s="1550">
        <f>IF(VLOOKUP($E$13,[1]QUART!$A$2:$FA$324, 25, FALSE)="",":",VLOOKUP($E$13,[1]QUART!$A$2:$FA$324, 25, FALSE))</f>
        <v>4964.7532437442078</v>
      </c>
      <c r="AA13" s="1550">
        <f>IF(VLOOKUP($E$13,[1]QUART!$A$2:$FA$324, 26, FALSE)="",":",VLOOKUP($E$13,[1]QUART!$A$2:$FA$324, 26, FALSE))</f>
        <v>5132.9645505097315</v>
      </c>
      <c r="AB13" s="1550">
        <f>IF(VLOOKUP($E$13,[1]QUART!$A$2:$FA$324, 27, FALSE)="",":",VLOOKUP($E$13,[1]QUART!$A$2:$FA$324, 27, FALSE))</f>
        <v>5165.2571825764599</v>
      </c>
      <c r="AC13" s="1550">
        <f>IF(VLOOKUP($E$13,[1]QUART!$A$2:$FA$324, 28, FALSE)="",":",VLOOKUP($E$13,[1]QUART!$A$2:$FA$324, 28, FALSE))</f>
        <v>5301.1179332715474</v>
      </c>
      <c r="AD13" s="1550">
        <f>IF(VLOOKUP($E$13,[1]QUART!$A$2:$FA$324, 29, FALSE)="",":",VLOOKUP($E$13,[1]QUART!$A$2:$FA$324, 29, FALSE))</f>
        <v>5351.2221964782211</v>
      </c>
      <c r="AE13" s="1550">
        <f>IF(VLOOKUP($E$13,[1]QUART!$A$2:$FA$324, 30, FALSE)="",":",VLOOKUP($E$13,[1]QUART!$A$2:$FA$324, 30, FALSE))</f>
        <v>5625.9267840593147</v>
      </c>
      <c r="AF13" s="1550">
        <f>IF(VLOOKUP($E$13,[1]QUART!$A$2:$FA$324, 31, FALSE)="",":",VLOOKUP($E$13,[1]QUART!$A$2:$FA$324, 31, FALSE))</f>
        <v>5682.0551436515289</v>
      </c>
      <c r="AG13" s="1550">
        <f>IF(VLOOKUP($E$13,[1]QUART!$A$2:$FA$324, 32, FALSE)="",":",VLOOKUP($E$13,[1]QUART!$A$2:$FA$324, 32, FALSE))</f>
        <v>5793.7036607970349</v>
      </c>
      <c r="AH13" s="1550">
        <f>IF(VLOOKUP($E$13,[1]QUART!$A$2:$FA$324, 33, FALSE)="",":",VLOOKUP($E$13,[1]QUART!$A$2:$FA$324, 33, FALSE))</f>
        <v>6072.1443466172386</v>
      </c>
      <c r="AI13" s="1550">
        <f>IF(VLOOKUP($E$13,[1]QUART!$A$2:$FA$324, 34, FALSE)="",":",VLOOKUP($E$13,[1]QUART!$A$2:$FA$324, 34, FALSE))</f>
        <v>6196.2465245597778</v>
      </c>
      <c r="AJ13" s="1550">
        <f>IF(VLOOKUP($E$13,[1]QUART!$A$2:$FA$324, 35, FALSE)="",":",VLOOKUP($E$13,[1]QUART!$A$2:$FA$324, 35, FALSE))</f>
        <v>6425.2780352177942</v>
      </c>
      <c r="AK13" s="1550">
        <f>IF(VLOOKUP($E$13,[1]QUART!$A$2:$FA$324, 36, FALSE)="",":",VLOOKUP($E$13,[1]QUART!$A$2:$FA$324, 36, FALSE))</f>
        <v>6470.0243280815575</v>
      </c>
      <c r="AL13" s="1550">
        <f>IF(VLOOKUP($E$13,[1]QUART!$A$2:$FA$324, 37, FALSE)="",":",VLOOKUP($E$13,[1]QUART!$A$2:$FA$324, 37, FALSE))</f>
        <v>6637.8301668211316</v>
      </c>
      <c r="AM13" s="1550">
        <f>IF(VLOOKUP($E$13,[1]QUART!$A$2:$FA$324, 38, FALSE)="",":",VLOOKUP($E$13,[1]QUART!$A$2:$FA$324, 38, FALSE))</f>
        <v>6908.5959221501398</v>
      </c>
      <c r="AN13" s="1550">
        <f>IF(VLOOKUP($E$13,[1]QUART!$A$2:$FA$324, 39, FALSE)="",":",VLOOKUP($E$13,[1]QUART!$A$2:$FA$324, 39, FALSE))</f>
        <v>6868.5414735866543</v>
      </c>
      <c r="AO13" s="1550">
        <f>IF(VLOOKUP($E$13,[1]QUART!$A$2:$FA$324, 40, FALSE)="",":",VLOOKUP($E$13,[1]QUART!$A$2:$FA$324, 40, FALSE))</f>
        <v>7078.0236329935124</v>
      </c>
      <c r="AP13" s="1550">
        <f>IF(VLOOKUP($E$13,[1]QUART!$A$2:$FA$324, 41, FALSE)="",":",VLOOKUP($E$13,[1]QUART!$A$2:$FA$324, 41, FALSE))</f>
        <v>7318.1765523632985</v>
      </c>
      <c r="AQ13" s="1550">
        <f>IF(VLOOKUP($E$13,[1]QUART!$A$2:$FA$324, 42, FALSE)="",":",VLOOKUP($E$13,[1]QUART!$A$2:$FA$324, 42, FALSE))</f>
        <v>7364.6605653382776</v>
      </c>
      <c r="AR13" s="1550">
        <f>IF(VLOOKUP($E$13,[1]QUART!$A$2:$FA$324, 43, FALSE)="",":",VLOOKUP($E$13,[1]QUART!$A$2:$FA$324, 43, FALSE))</f>
        <v>7618.7442075996305</v>
      </c>
      <c r="AS13" s="1550">
        <f>IF(VLOOKUP($E$13,[1]QUART!$A$2:$FA$324, 44, FALSE)="",":",VLOOKUP($E$13,[1]QUART!$A$2:$FA$324, 44, FALSE))</f>
        <v>7815.106580166821</v>
      </c>
      <c r="AT13" s="1550">
        <f>IF(VLOOKUP($E$13,[1]QUART!$A$2:$FA$324, 45, FALSE)="",":",VLOOKUP($E$13,[1]QUART!$A$2:$FA$324, 45, FALSE))</f>
        <v>8059.053521779425</v>
      </c>
      <c r="AU13" s="1550">
        <f>IF(VLOOKUP($E$13,[1]QUART!$A$2:$FA$324, 46, FALSE)="",":",VLOOKUP($E$13,[1]QUART!$A$2:$FA$324, 46, FALSE))</f>
        <v>8514.6027340129749</v>
      </c>
      <c r="AV13" s="1550">
        <f>IF(VLOOKUP($E$13,[1]QUART!$A$2:$FA$324, 47, FALSE)="",":",VLOOKUP($E$13,[1]QUART!$A$2:$FA$324, 47, FALSE))</f>
        <v>8833.8252548656164</v>
      </c>
      <c r="AW13" s="1550">
        <f>IF(VLOOKUP($E$13,[1]QUART!$A$2:$FA$324, 48, FALSE)="",":",VLOOKUP($E$13,[1]QUART!$A$2:$FA$324, 48, FALSE))</f>
        <v>9118.0279425393892</v>
      </c>
      <c r="AX13" s="1550">
        <f>IF(VLOOKUP($E$13,[1]QUART!$A$2:$FA$324, 49, FALSE)="",":",VLOOKUP($E$13,[1]QUART!$A$2:$FA$324, 49, FALSE))</f>
        <v>9383.8012048192759</v>
      </c>
      <c r="AY13" s="1550">
        <f>IF(VLOOKUP($E$13,[1]QUART!$A$2:$FA$324, 50, FALSE)="",":",VLOOKUP($E$13,[1]QUART!$A$2:$FA$324, 50, FALSE))</f>
        <v>11156.8</v>
      </c>
      <c r="AZ13" s="1550">
        <f>IF(VLOOKUP($E$13,[1]QUART!$A$2:$FA$324, 51, FALSE)="",":",VLOOKUP($E$13,[1]QUART!$A$2:$FA$324, 51, FALSE))</f>
        <v>11208.1</v>
      </c>
      <c r="BA13" s="1550">
        <f>IF(VLOOKUP($E$13,[1]QUART!$A$2:$FA$324, 52, FALSE)="",":",VLOOKUP($E$13,[1]QUART!$A$2:$FA$324, 52, FALSE))</f>
        <v>11614.5</v>
      </c>
      <c r="BB13" s="1550">
        <f>IF(VLOOKUP($E$13,[1]QUART!$A$2:$FA$324, 53, FALSE)="",":",VLOOKUP($E$13,[1]QUART!$A$2:$FA$324, 53, FALSE))</f>
        <v>12136.6</v>
      </c>
      <c r="BC13" s="1550">
        <f>IF(VLOOKUP($E$13,[1]QUART!$A$2:$FA$324, 54, FALSE)="",":",VLOOKUP($E$13,[1]QUART!$A$2:$FA$324, 54, FALSE))</f>
        <v>12282.7</v>
      </c>
      <c r="BD13" s="1550">
        <f>IF(VLOOKUP($E$13,[1]QUART!$A$2:$FA$324, 55, FALSE)="",":",VLOOKUP($E$13,[1]QUART!$A$2:$FA$324, 55, FALSE))</f>
        <v>12723.4</v>
      </c>
      <c r="BE13" s="1550">
        <f>IF(VLOOKUP($E$13,[1]QUART!$A$2:$FA$324, 56, FALSE)="",":",VLOOKUP($E$13,[1]QUART!$A$2:$FA$324, 56, FALSE))</f>
        <v>12929.1</v>
      </c>
      <c r="BF13" s="1550">
        <f>IF(VLOOKUP($E$13,[1]QUART!$A$2:$FA$324, 57, FALSE)="",":",VLOOKUP($E$13,[1]QUART!$A$2:$FA$324, 57, FALSE))</f>
        <v>13301.4</v>
      </c>
      <c r="BG13" s="1550">
        <f>IF(VLOOKUP($E$13,[1]QUART!$A$2:$FA$324, 58, FALSE)="",":",VLOOKUP($E$13,[1]QUART!$A$2:$FA$324, 58, FALSE))</f>
        <v>13829.699999999999</v>
      </c>
      <c r="BH13" s="1550">
        <f>IF(VLOOKUP($E$13,[1]QUART!$A$2:$FA$324, 59, FALSE)="",":",VLOOKUP($E$13,[1]QUART!$A$2:$FA$324, 59, FALSE))</f>
        <v>13917.900000000001</v>
      </c>
      <c r="BI13" s="1550">
        <f>IF(VLOOKUP($E$13,[1]QUART!$A$2:$FA$324, 60, FALSE)="",":",VLOOKUP($E$13,[1]QUART!$A$2:$FA$324, 60, FALSE))</f>
        <v>13639.5</v>
      </c>
      <c r="BJ13" s="1550">
        <f>IF(VLOOKUP($E$13,[1]QUART!$A$2:$FA$324, 61, FALSE)="",":",VLOOKUP($E$13,[1]QUART!$A$2:$FA$324, 61, FALSE))</f>
        <v>12954.5</v>
      </c>
      <c r="BK13" s="1550">
        <f>IF(VLOOKUP($E$13,[1]QUART!$A$2:$FA$324, 62, FALSE)="",":",VLOOKUP($E$13,[1]QUART!$A$2:$FA$324, 62, FALSE))</f>
        <v>11171.900000000001</v>
      </c>
      <c r="BL13" s="1550">
        <f>IF(VLOOKUP($E$13,[1]QUART!$A$2:$FA$324, 63, FALSE)="",":",VLOOKUP($E$13,[1]QUART!$A$2:$FA$324, 63, FALSE))</f>
        <v>10829.2</v>
      </c>
      <c r="BM13" s="1550">
        <f>IF(VLOOKUP($E$13,[1]QUART!$A$2:$FA$324, 64, FALSE)="",":",VLOOKUP($E$13,[1]QUART!$A$2:$FA$324, 64, FALSE))</f>
        <v>10799.6</v>
      </c>
      <c r="BN13" s="1550">
        <f>IF(VLOOKUP($E$13,[1]QUART!$A$2:$FA$324, 65, FALSE)="",":",VLOOKUP($E$13,[1]QUART!$A$2:$FA$324, 65, FALSE))</f>
        <v>10663.9</v>
      </c>
      <c r="BO13" s="1550">
        <f>IF(VLOOKUP($E$13,[1]QUART!$A$2:$FA$324, 66, FALSE)="",":",VLOOKUP($E$13,[1]QUART!$A$2:$FA$324, 66, FALSE))</f>
        <v>11125</v>
      </c>
      <c r="BP13" s="1550">
        <f>IF(VLOOKUP($E$13,[1]QUART!$A$2:$FA$324, 67, FALSE)="",":",VLOOKUP($E$13,[1]QUART!$A$2:$FA$324, 67, FALSE))</f>
        <v>11629.5</v>
      </c>
      <c r="BQ13" s="1550">
        <f>IF(VLOOKUP($E$13,[1]QUART!$A$2:$FA$324, 68, FALSE)="",":",VLOOKUP($E$13,[1]QUART!$A$2:$FA$324, 68, FALSE))</f>
        <v>11833.8</v>
      </c>
      <c r="BR13" s="1550">
        <f>IF(VLOOKUP($E$13,[1]QUART!$A$2:$FA$324, 69, FALSE)="",":",VLOOKUP($E$13,[1]QUART!$A$2:$FA$324, 69, FALSE))</f>
        <v>12342.6</v>
      </c>
      <c r="BS13" s="1550">
        <f>IF(VLOOKUP($E$13,[1]QUART!$A$2:$FA$324, 70, FALSE)="",":",VLOOKUP($E$13,[1]QUART!$A$2:$FA$324, 70, FALSE))</f>
        <v>12702.1</v>
      </c>
      <c r="BT13" s="1550">
        <f>IF(VLOOKUP($E$13,[1]QUART!$A$2:$FA$324, 71, FALSE)="",":",VLOOKUP($E$13,[1]QUART!$A$2:$FA$324, 71, FALSE))</f>
        <v>12826.5</v>
      </c>
      <c r="BU13" s="1550">
        <f>IF(VLOOKUP($E$13,[1]QUART!$A$2:$FA$324, 72, FALSE)="",":",VLOOKUP($E$13,[1]QUART!$A$2:$FA$324, 72, FALSE))</f>
        <v>12882.6</v>
      </c>
      <c r="BV13" s="1550">
        <f>IF(VLOOKUP($E$13,[1]QUART!$A$2:$FA$324, 73, FALSE)="",":",VLOOKUP($E$13,[1]QUART!$A$2:$FA$324, 73, FALSE))</f>
        <v>13036.1</v>
      </c>
      <c r="BW13" s="1550">
        <f>IF(VLOOKUP($E$13,[1]QUART!$A$2:$FA$324, 74, FALSE)="",":",VLOOKUP($E$13,[1]QUART!$A$2:$FA$324, 74, FALSE))</f>
        <v>13208.1</v>
      </c>
      <c r="BX13" s="1550">
        <f>IF(VLOOKUP($E$13,[1]QUART!$A$2:$FA$324, 75, FALSE)="",":",VLOOKUP($E$13,[1]QUART!$A$2:$FA$324, 75, FALSE))</f>
        <v>13108.7</v>
      </c>
      <c r="BY13" s="1550">
        <f>IF(VLOOKUP($E$13,[1]QUART!$A$2:$FA$324, 76, FALSE)="",":",VLOOKUP($E$13,[1]QUART!$A$2:$FA$324, 76, FALSE))</f>
        <v>13733.3</v>
      </c>
      <c r="BZ13" s="1550">
        <f>IF(VLOOKUP($E$13,[1]QUART!$A$2:$FA$324, 77, FALSE)="",":",VLOOKUP($E$13,[1]QUART!$A$2:$FA$324, 77, FALSE))</f>
        <v>13792.1</v>
      </c>
      <c r="CA13" s="1550">
        <f>IF(VLOOKUP($E$13,[1]QUART!$A$2:$FA$324, 78, FALSE)="",":",VLOOKUP($E$13,[1]QUART!$A$2:$FA$324, 78, FALSE))</f>
        <v>14019.2</v>
      </c>
      <c r="CB13" s="1550">
        <f>IF(VLOOKUP($E$13,[1]QUART!$A$2:$FA$324, 79, FALSE)="",":",VLOOKUP($E$13,[1]QUART!$A$2:$FA$324, 79, FALSE))</f>
        <v>14121.5</v>
      </c>
      <c r="CC13" s="1550">
        <f>IF(VLOOKUP($E$13,[1]QUART!$A$2:$FA$324, 80, FALSE)="",":",VLOOKUP($E$13,[1]QUART!$A$2:$FA$324, 80, FALSE))</f>
        <v>14440.5</v>
      </c>
      <c r="CD13" s="1550">
        <f>IF(VLOOKUP($E$13,[1]QUART!$A$2:$FA$324, 81, FALSE)="",":",VLOOKUP($E$13,[1]QUART!$A$2:$FA$324, 81, FALSE))</f>
        <v>14591.900000000001</v>
      </c>
      <c r="CE13" s="1550">
        <f>IF(VLOOKUP($E$13,[1]QUART!$A$2:$FA$324, 82, FALSE)="",":",VLOOKUP($E$13,[1]QUART!$A$2:$FA$324, 82, FALSE))</f>
        <v>14598.8</v>
      </c>
      <c r="CF13" s="1550">
        <f>IF(VLOOKUP($E$13,[1]QUART!$A$2:$FA$324, 83, FALSE)="",":",VLOOKUP($E$13,[1]QUART!$A$2:$FA$324, 83, FALSE))</f>
        <v>14733.4</v>
      </c>
      <c r="CG13" s="1550">
        <f>IF(VLOOKUP($E$13,[1]QUART!$A$2:$FA$324, 84, FALSE)="",":",VLOOKUP($E$13,[1]QUART!$A$2:$FA$324, 84, FALSE))</f>
        <v>14776.6</v>
      </c>
      <c r="CH13" s="1550">
        <f>IF(VLOOKUP($E$13,[1]QUART!$A$2:$FA$324, 85, FALSE)="",":",VLOOKUP($E$13,[1]QUART!$A$2:$FA$324, 85, FALSE))</f>
        <v>14971.2</v>
      </c>
      <c r="CI13" s="1550">
        <f>IF(VLOOKUP($E$13,[1]QUART!$A$2:$FA$324, 86, FALSE)="",":",VLOOKUP($E$13,[1]QUART!$A$2:$FA$324, 86, FALSE))</f>
        <v>15239.1</v>
      </c>
      <c r="CJ13" s="1550">
        <f>IF(VLOOKUP($E$13,[1]QUART!$A$2:$FA$324, 87, FALSE)="",":",VLOOKUP($E$13,[1]QUART!$A$2:$FA$324, 87, FALSE))</f>
        <v>15454.3</v>
      </c>
      <c r="CK13" s="1550">
        <f>IF(VLOOKUP($E$13,[1]QUART!$A$2:$FA$324, 88, FALSE)="",":",VLOOKUP($E$13,[1]QUART!$A$2:$FA$324, 88, FALSE))</f>
        <v>15310.699999999999</v>
      </c>
      <c r="CL13" s="1550">
        <f>IF(VLOOKUP($E$13,[1]QUART!$A$2:$FA$324, 89, FALSE)="",":",VLOOKUP($E$13,[1]QUART!$A$2:$FA$324, 89, FALSE))</f>
        <v>15337.7</v>
      </c>
      <c r="CM13" s="1550">
        <f>IF(VLOOKUP($E$13,[1]QUART!$A$2:$FA$324, 90, FALSE)="",":",VLOOKUP($E$13,[1]QUART!$A$2:$FA$324, 90, FALSE))</f>
        <v>15299.800000000001</v>
      </c>
      <c r="CN13" s="1550">
        <f>IF(VLOOKUP($E$13,[1]QUART!$A$2:$FA$324, 91, FALSE)="",":",VLOOKUP($E$13,[1]QUART!$A$2:$FA$324, 91, FALSE))</f>
        <v>15671.2</v>
      </c>
      <c r="CO13" s="1550">
        <f>IF(VLOOKUP($E$13,[1]QUART!$A$2:$FA$324, 92, FALSE)="",":",VLOOKUP($E$13,[1]QUART!$A$2:$FA$324, 92, FALSE))</f>
        <v>15843.300000000001</v>
      </c>
      <c r="CP13" s="1550">
        <f>IF(VLOOKUP($E$13,[1]QUART!$A$2:$FA$324, 93, FALSE)="",":",VLOOKUP($E$13,[1]QUART!$A$2:$FA$324, 93, FALSE))</f>
        <v>16143.400000000001</v>
      </c>
      <c r="CQ13" s="1550">
        <f>IF(VLOOKUP($E$13,[1]QUART!$A$2:$FA$324, 94, FALSE)="",":",VLOOKUP($E$13,[1]QUART!$A$2:$FA$324, 94, FALSE))</f>
        <v>16573.199999999997</v>
      </c>
      <c r="CR13" s="1550">
        <f>IF(VLOOKUP($E$13,[1]QUART!$A$2:$FA$324, 95, FALSE)="",":",VLOOKUP($E$13,[1]QUART!$A$2:$FA$324, 95, FALSE))</f>
        <v>16786</v>
      </c>
      <c r="CS13" s="1550">
        <f>IF(VLOOKUP($E$13,[1]QUART!$A$2:$FA$324, 96, FALSE)="",":",VLOOKUP($E$13,[1]QUART!$A$2:$FA$324, 96, FALSE))</f>
        <v>17186.400000000001</v>
      </c>
      <c r="CT13" s="1550">
        <f>IF(VLOOKUP($E$13,[1]QUART!$A$2:$FA$324, 97, FALSE)="",":",VLOOKUP($E$13,[1]QUART!$A$2:$FA$324, 97, FALSE))</f>
        <v>17441.900000000001</v>
      </c>
      <c r="CU13" s="1550" t="str">
        <f>IF(VLOOKUP($E$13,[1]QUART!$A$2:$FA$324, 98, FALSE)="",":",VLOOKUP($E$13,[1]QUART!$A$2:$FA$324, 98, FALSE))</f>
        <v>:</v>
      </c>
      <c r="CV13" s="1550" t="str">
        <f>IF(VLOOKUP($E$13,[1]QUART!$A$2:$FA$324, 99, FALSE)="",":",VLOOKUP($E$13,[1]QUART!$A$2:$FA$324, 99, FALSE))</f>
        <v>:</v>
      </c>
      <c r="CW13" s="1550" t="str">
        <f>IF(VLOOKUP($E$13,[1]QUART!$A$2:$FA$324, 100, FALSE)="",":",VLOOKUP($E$13,[1]QUART!$A$2:$FA$324, 100, FALSE))</f>
        <v>:</v>
      </c>
      <c r="CX13" s="1550" t="str">
        <f>IF(VLOOKUP($E$13,[1]QUART!$A$2:$FA$324, 101, FALSE)="",":",VLOOKUP($E$13,[1]QUART!$A$2:$FA$324, 101, FALSE))</f>
        <v>:</v>
      </c>
      <c r="CY13" s="1550" t="str">
        <f>IF(VLOOKUP($E$13,[1]QUART!$A$2:$FA$324, 102, FALSE)="",":",VLOOKUP($E$13,[1]QUART!$A$2:$FA$324, 102, FALSE))</f>
        <v>:</v>
      </c>
      <c r="CZ13" s="1550" t="str">
        <f>IF(VLOOKUP($E$13,[1]QUART!$A$2:$FA$324, 103, FALSE)="",":",VLOOKUP($E$13,[1]QUART!$A$2:$FA$324, 103, FALSE))</f>
        <v>:</v>
      </c>
      <c r="DA13" s="1550" t="str">
        <f>IF(VLOOKUP($E$13,[1]QUART!$A$2:$FA$324, 104, FALSE)="",":",VLOOKUP($E$13,[1]QUART!$A$2:$FA$324, 104, FALSE))</f>
        <v>:</v>
      </c>
      <c r="DB13" s="1550" t="str">
        <f>IF(VLOOKUP($E$13,[1]QUART!$A$2:$FA$324, 105, FALSE)="",":",VLOOKUP($E$13,[1]QUART!$A$2:$FA$324, 105, FALSE))</f>
        <v>:</v>
      </c>
      <c r="DC13" s="1550" t="str">
        <f>IF(VLOOKUP($E$13,[1]QUART!$A$2:$FA$324, 106, FALSE)="",":",VLOOKUP($E$13,[1]QUART!$A$2:$FA$324, 106, FALSE))</f>
        <v>:</v>
      </c>
    </row>
    <row r="14" spans="1:110">
      <c r="A14" s="1551"/>
      <c r="B14" s="1551"/>
      <c r="C14" s="1552"/>
      <c r="D14" s="1547"/>
      <c r="E14" s="1548"/>
      <c r="F14" s="1549"/>
      <c r="G14" s="1550"/>
      <c r="H14" s="1550"/>
      <c r="I14" s="1550"/>
      <c r="J14" s="1550"/>
      <c r="K14" s="1550"/>
      <c r="L14" s="1550"/>
      <c r="M14" s="1550"/>
      <c r="N14" s="1550"/>
      <c r="O14" s="1550"/>
      <c r="P14" s="1550"/>
      <c r="Q14" s="1550"/>
      <c r="R14" s="1550"/>
      <c r="S14" s="1550"/>
      <c r="T14" s="1550"/>
      <c r="U14" s="1550"/>
      <c r="V14" s="1550"/>
      <c r="W14" s="1550"/>
      <c r="X14" s="1550"/>
      <c r="Y14" s="1550"/>
      <c r="Z14" s="1550"/>
      <c r="AA14" s="1550"/>
      <c r="AB14" s="1550"/>
      <c r="AC14" s="1550"/>
      <c r="AD14" s="1550"/>
      <c r="AE14" s="1550"/>
      <c r="AF14" s="1550"/>
      <c r="AG14" s="1550"/>
      <c r="AH14" s="1550"/>
      <c r="AI14" s="1550"/>
      <c r="AJ14" s="1550"/>
      <c r="AK14" s="1550"/>
      <c r="AL14" s="1550"/>
      <c r="AM14" s="1550"/>
      <c r="AN14" s="1550"/>
      <c r="AO14" s="1550"/>
      <c r="AP14" s="1550"/>
      <c r="AQ14" s="1550"/>
      <c r="AR14" s="1550"/>
      <c r="AS14" s="1550"/>
      <c r="AT14" s="1550"/>
      <c r="AU14" s="1550"/>
      <c r="AV14" s="1550"/>
      <c r="AW14" s="1550"/>
      <c r="AX14" s="1550"/>
      <c r="AY14" s="1550"/>
      <c r="AZ14" s="1550"/>
      <c r="BA14" s="1550"/>
      <c r="BB14" s="1550"/>
      <c r="BC14" s="1550"/>
      <c r="BD14" s="1550"/>
      <c r="BE14" s="1550"/>
      <c r="BF14" s="1550"/>
      <c r="BG14" s="1550"/>
      <c r="BH14" s="1550"/>
      <c r="BI14" s="1550"/>
      <c r="BJ14" s="1550"/>
      <c r="BK14" s="1550"/>
      <c r="BL14" s="1550"/>
      <c r="BM14" s="1550"/>
      <c r="BN14" s="1550"/>
      <c r="BO14" s="1550"/>
      <c r="BP14" s="1550"/>
      <c r="BQ14" s="1550"/>
      <c r="BR14" s="1550"/>
      <c r="BS14" s="1550"/>
      <c r="BT14" s="1550"/>
      <c r="BU14" s="1550"/>
      <c r="BV14" s="1550"/>
      <c r="BW14" s="1550"/>
      <c r="BX14" s="1550"/>
      <c r="BY14" s="1550"/>
      <c r="BZ14" s="1550"/>
      <c r="CA14" s="1550"/>
      <c r="CB14" s="1550"/>
      <c r="CC14" s="1550"/>
      <c r="CD14" s="1550"/>
      <c r="CE14" s="1550"/>
      <c r="CF14" s="1550"/>
      <c r="CG14" s="1550"/>
      <c r="CH14" s="1550"/>
      <c r="CI14" s="1550"/>
      <c r="CJ14" s="1550"/>
      <c r="CK14" s="1550"/>
      <c r="CL14" s="1550"/>
      <c r="CM14" s="1550"/>
      <c r="CN14" s="1550"/>
      <c r="CO14" s="1550"/>
      <c r="CP14" s="1550"/>
      <c r="CQ14" s="1550"/>
      <c r="CR14" s="1550"/>
      <c r="CS14" s="1550"/>
      <c r="CT14" s="1550"/>
      <c r="CU14" s="1550"/>
      <c r="CV14" s="1550"/>
      <c r="CW14" s="1550"/>
      <c r="CX14" s="1550"/>
      <c r="CY14" s="1550"/>
      <c r="CZ14" s="1550"/>
      <c r="DA14" s="1550"/>
      <c r="DB14" s="1550"/>
      <c r="DC14" s="1550"/>
    </row>
    <row r="15" spans="1:110">
      <c r="A15" s="1546">
        <v>24</v>
      </c>
      <c r="B15" s="534" t="s">
        <v>787</v>
      </c>
      <c r="C15" s="535" t="s">
        <v>312</v>
      </c>
      <c r="D15" s="1547" t="s">
        <v>1841</v>
      </c>
      <c r="E15" s="1548">
        <v>64</v>
      </c>
      <c r="F15" s="1549" t="str">
        <f>VLOOKUP($E$15,[1]QUART!$A$2:$FA$324, 3, FALSE)</f>
        <v xml:space="preserve">64  Gross domestic product at market prices                                         </v>
      </c>
      <c r="G15" s="1550">
        <f>IF(VLOOKUP($E$15,[1]QUART!$A$2:$FA$324, 6, FALSE)="",":",VLOOKUP($E$15,[1]QUART!$A$2:$FA$324, 6, FALSE))</f>
        <v>2811.486329935125</v>
      </c>
      <c r="H15" s="1550">
        <f>IF(VLOOKUP($E$15,[1]QUART!$A$2:$FA$324, 7, FALSE)="",":",VLOOKUP($E$15,[1]QUART!$A$2:$FA$324, 7, FALSE))</f>
        <v>2868.483549582947</v>
      </c>
      <c r="I15" s="1550">
        <f>IF(VLOOKUP($E$15,[1]QUART!$A$2:$FA$324, 8, FALSE)="",":",VLOOKUP($E$15,[1]QUART!$A$2:$FA$324, 8, FALSE))</f>
        <v>2869.2075996292861</v>
      </c>
      <c r="J15" s="1550">
        <f>IF(VLOOKUP($E$15,[1]QUART!$A$2:$FA$324, 9, FALSE)="",":",VLOOKUP($E$15,[1]QUART!$A$2:$FA$324, 9, FALSE))</f>
        <v>2937.934430027804</v>
      </c>
      <c r="K15" s="1550">
        <f>IF(VLOOKUP($E$15,[1]QUART!$A$2:$FA$324, 10, FALSE)="",":",VLOOKUP($E$15,[1]QUART!$A$2:$FA$324, 10, FALSE))</f>
        <v>2968.2866079703431</v>
      </c>
      <c r="L15" s="1550">
        <f>IF(VLOOKUP($E$15,[1]QUART!$A$2:$FA$324, 11, FALSE)="",":",VLOOKUP($E$15,[1]QUART!$A$2:$FA$324, 11, FALSE))</f>
        <v>2956.3832252085263</v>
      </c>
      <c r="M15" s="1550">
        <f>IF(VLOOKUP($E$15,[1]QUART!$A$2:$FA$324, 12, FALSE)="",":",VLOOKUP($E$15,[1]QUART!$A$2:$FA$324, 12, FALSE))</f>
        <v>3058.8797497683045</v>
      </c>
      <c r="N15" s="1550">
        <f>IF(VLOOKUP($E$15,[1]QUART!$A$2:$FA$324, 13, FALSE)="",":",VLOOKUP($E$15,[1]QUART!$A$2:$FA$324, 13, FALSE))</f>
        <v>3080.0509731232623</v>
      </c>
      <c r="O15" s="1550">
        <f>IF(VLOOKUP($E$15,[1]QUART!$A$2:$FA$324, 14, FALSE)="",":",VLOOKUP($E$15,[1]QUART!$A$2:$FA$324, 14, FALSE))</f>
        <v>3124.7103799814645</v>
      </c>
      <c r="P15" s="1550">
        <f>IF(VLOOKUP($E$15,[1]QUART!$A$2:$FA$324, 15, FALSE)="",":",VLOOKUP($E$15,[1]QUART!$A$2:$FA$324, 15, FALSE))</f>
        <v>3224.6292863762746</v>
      </c>
      <c r="Q15" s="1550">
        <f>IF(VLOOKUP($E$15,[1]QUART!$A$2:$FA$324, 16, FALSE)="",":",VLOOKUP($E$15,[1]QUART!$A$2:$FA$324, 16, FALSE))</f>
        <v>3320.1749304911955</v>
      </c>
      <c r="R15" s="1550">
        <f>IF(VLOOKUP($E$15,[1]QUART!$A$2:$FA$324, 17, FALSE)="",":",VLOOKUP($E$15,[1]QUART!$A$2:$FA$324, 17, FALSE))</f>
        <v>3383.7754865616312</v>
      </c>
      <c r="S15" s="1550">
        <f>IF(VLOOKUP($E$15,[1]QUART!$A$2:$FA$324, 18, FALSE)="",":",VLOOKUP($E$15,[1]QUART!$A$2:$FA$324, 18, FALSE))</f>
        <v>3453.863531047266</v>
      </c>
      <c r="T15" s="1550">
        <f>IF(VLOOKUP($E$15,[1]QUART!$A$2:$FA$324, 19, FALSE)="",":",VLOOKUP($E$15,[1]QUART!$A$2:$FA$324, 19, FALSE))</f>
        <v>3513.9307228915663</v>
      </c>
      <c r="U15" s="1550">
        <f>IF(VLOOKUP($E$15,[1]QUART!$A$2:$FA$324, 20, FALSE)="",":",VLOOKUP($E$15,[1]QUART!$A$2:$FA$324, 20, FALSE))</f>
        <v>3546.3102409638559</v>
      </c>
      <c r="V15" s="1550">
        <f>IF(VLOOKUP($E$15,[1]QUART!$A$2:$FA$324, 21, FALSE)="",":",VLOOKUP($E$15,[1]QUART!$A$2:$FA$324, 21, FALSE))</f>
        <v>3546.4550509731234</v>
      </c>
      <c r="W15" s="1550">
        <f>IF(VLOOKUP($E$15,[1]QUART!$A$2:$FA$324, 22, FALSE)="",":",VLOOKUP($E$15,[1]QUART!$A$2:$FA$324, 22, FALSE))</f>
        <v>3493.1360055607047</v>
      </c>
      <c r="X15" s="1550">
        <f>IF(VLOOKUP($E$15,[1]QUART!$A$2:$FA$324, 23, FALSE)="",":",VLOOKUP($E$15,[1]QUART!$A$2:$FA$324, 23, FALSE))</f>
        <v>3506.0240963855422</v>
      </c>
      <c r="Y15" s="1550">
        <f>IF(VLOOKUP($E$15,[1]QUART!$A$2:$FA$324, 24, FALSE)="",":",VLOOKUP($E$15,[1]QUART!$A$2:$FA$324, 24, FALSE))</f>
        <v>3450.7356348470807</v>
      </c>
      <c r="Z15" s="1550">
        <f>IF(VLOOKUP($E$15,[1]QUART!$A$2:$FA$324, 25, FALSE)="",":",VLOOKUP($E$15,[1]QUART!$A$2:$FA$324, 25, FALSE))</f>
        <v>3455.8039851714552</v>
      </c>
      <c r="AA15" s="1550">
        <f>IF(VLOOKUP($E$15,[1]QUART!$A$2:$FA$324, 26, FALSE)="",":",VLOOKUP($E$15,[1]QUART!$A$2:$FA$324, 26, FALSE))</f>
        <v>3530.7576459684897</v>
      </c>
      <c r="AB15" s="1550">
        <f>IF(VLOOKUP($E$15,[1]QUART!$A$2:$FA$324, 27, FALSE)="",":",VLOOKUP($E$15,[1]QUART!$A$2:$FA$324, 27, FALSE))</f>
        <v>3573.3028266913811</v>
      </c>
      <c r="AC15" s="1550">
        <f>IF(VLOOKUP($E$15,[1]QUART!$A$2:$FA$324, 28, FALSE)="",":",VLOOKUP($E$15,[1]QUART!$A$2:$FA$324, 28, FALSE))</f>
        <v>3620.655699721965</v>
      </c>
      <c r="AD15" s="1550">
        <f>IF(VLOOKUP($E$15,[1]QUART!$A$2:$FA$324, 29, FALSE)="",":",VLOOKUP($E$15,[1]QUART!$A$2:$FA$324, 29, FALSE))</f>
        <v>3680.3174235403153</v>
      </c>
      <c r="AE15" s="1550">
        <f>IF(VLOOKUP($E$15,[1]QUART!$A$2:$FA$324, 30, FALSE)="",":",VLOOKUP($E$15,[1]QUART!$A$2:$FA$324, 30, FALSE))</f>
        <v>3784.6095922150139</v>
      </c>
      <c r="AF15" s="1550">
        <f>IF(VLOOKUP($E$15,[1]QUART!$A$2:$FA$324, 31, FALSE)="",":",VLOOKUP($E$15,[1]QUART!$A$2:$FA$324, 31, FALSE))</f>
        <v>3782.4953660797037</v>
      </c>
      <c r="AG15" s="1550">
        <f>IF(VLOOKUP($E$15,[1]QUART!$A$2:$FA$324, 32, FALSE)="",":",VLOOKUP($E$15,[1]QUART!$A$2:$FA$324, 32, FALSE))</f>
        <v>3866.9775254865617</v>
      </c>
      <c r="AH15" s="1550">
        <f>IF(VLOOKUP($E$15,[1]QUART!$A$2:$FA$324, 33, FALSE)="",":",VLOOKUP($E$15,[1]QUART!$A$2:$FA$324, 33, FALSE))</f>
        <v>3959.482159406858</v>
      </c>
      <c r="AI15" s="1550">
        <f>IF(VLOOKUP($E$15,[1]QUART!$A$2:$FA$324, 34, FALSE)="",":",VLOOKUP($E$15,[1]QUART!$A$2:$FA$324, 34, FALSE))</f>
        <v>3974.1658943466173</v>
      </c>
      <c r="AJ15" s="1550">
        <f>IF(VLOOKUP($E$15,[1]QUART!$A$2:$FA$324, 35, FALSE)="",":",VLOOKUP($E$15,[1]QUART!$A$2:$FA$324, 35, FALSE))</f>
        <v>4092.1281278962001</v>
      </c>
      <c r="AK15" s="1550">
        <f>IF(VLOOKUP($E$15,[1]QUART!$A$2:$FA$324, 36, FALSE)="",":",VLOOKUP($E$15,[1]QUART!$A$2:$FA$324, 36, FALSE))</f>
        <v>4157.0030120481924</v>
      </c>
      <c r="AL15" s="1550">
        <f>IF(VLOOKUP($E$15,[1]QUART!$A$2:$FA$324, 37, FALSE)="",":",VLOOKUP($E$15,[1]QUART!$A$2:$FA$324, 37, FALSE))</f>
        <v>4218.9527340129753</v>
      </c>
      <c r="AM15" s="1550">
        <f>IF(VLOOKUP($E$15,[1]QUART!$A$2:$FA$324, 38, FALSE)="",":",VLOOKUP($E$15,[1]QUART!$A$2:$FA$324, 38, FALSE))</f>
        <v>4397.7930954587582</v>
      </c>
      <c r="AN15" s="1550">
        <f>IF(VLOOKUP($E$15,[1]QUART!$A$2:$FA$324, 39, FALSE)="",":",VLOOKUP($E$15,[1]QUART!$A$2:$FA$324, 39, FALSE))</f>
        <v>4465.564179796108</v>
      </c>
      <c r="AO15" s="1550">
        <f>IF(VLOOKUP($E$15,[1]QUART!$A$2:$FA$324, 40, FALSE)="",":",VLOOKUP($E$15,[1]QUART!$A$2:$FA$324, 40, FALSE))</f>
        <v>4586.7701575532901</v>
      </c>
      <c r="AP15" s="1550">
        <f>IF(VLOOKUP($E$15,[1]QUART!$A$2:$FA$324, 41, FALSE)="",":",VLOOKUP($E$15,[1]QUART!$A$2:$FA$324, 41, FALSE))</f>
        <v>4664.4462465245597</v>
      </c>
      <c r="AQ15" s="1550">
        <f>IF(VLOOKUP($E$15,[1]QUART!$A$2:$FA$324, 42, FALSE)="",":",VLOOKUP($E$15,[1]QUART!$A$2:$FA$324, 42, FALSE))</f>
        <v>4735.8665430954588</v>
      </c>
      <c r="AR15" s="1550">
        <f>IF(VLOOKUP($E$15,[1]QUART!$A$2:$FA$324, 43, FALSE)="",":",VLOOKUP($E$15,[1]QUART!$A$2:$FA$324, 43, FALSE))</f>
        <v>4819.6536144578313</v>
      </c>
      <c r="AS15" s="1550">
        <f>IF(VLOOKUP($E$15,[1]QUART!$A$2:$FA$324, 44, FALSE)="",":",VLOOKUP($E$15,[1]QUART!$A$2:$FA$324, 44, FALSE))</f>
        <v>4860.6927710843374</v>
      </c>
      <c r="AT15" s="1550">
        <f>IF(VLOOKUP($E$15,[1]QUART!$A$2:$FA$324, 45, FALSE)="",":",VLOOKUP($E$15,[1]QUART!$A$2:$FA$324, 45, FALSE))</f>
        <v>4984.679101019462</v>
      </c>
      <c r="AU15" s="1550">
        <f>IF(VLOOKUP($E$15,[1]QUART!$A$2:$FA$324, 46, FALSE)="",":",VLOOKUP($E$15,[1]QUART!$A$2:$FA$324, 46, FALSE))</f>
        <v>6412.4</v>
      </c>
      <c r="AV15" s="1550">
        <f>IF(VLOOKUP($E$15,[1]QUART!$A$2:$FA$324, 47, FALSE)="",":",VLOOKUP($E$15,[1]QUART!$A$2:$FA$324, 47, FALSE))</f>
        <v>6503.3</v>
      </c>
      <c r="AW15" s="1550">
        <f>IF(VLOOKUP($E$15,[1]QUART!$A$2:$FA$324, 48, FALSE)="",":",VLOOKUP($E$15,[1]QUART!$A$2:$FA$324, 48, FALSE))</f>
        <v>6690.6</v>
      </c>
      <c r="AX15" s="1550">
        <f>IF(VLOOKUP($E$15,[1]QUART!$A$2:$FA$324, 49, FALSE)="",":",VLOOKUP($E$15,[1]QUART!$A$2:$FA$324, 49, FALSE))</f>
        <v>6844.4</v>
      </c>
      <c r="AY15" s="1550">
        <f>IF(VLOOKUP($E$15,[1]QUART!$A$2:$FA$324, 50, FALSE)="",":",VLOOKUP($E$15,[1]QUART!$A$2:$FA$324, 50, FALSE))</f>
        <v>6867</v>
      </c>
      <c r="AZ15" s="1550">
        <f>IF(VLOOKUP($E$15,[1]QUART!$A$2:$FA$324, 51, FALSE)="",":",VLOOKUP($E$15,[1]QUART!$A$2:$FA$324, 51, FALSE))</f>
        <v>7031.6</v>
      </c>
      <c r="BA15" s="1550">
        <f>IF(VLOOKUP($E$15,[1]QUART!$A$2:$FA$324, 52, FALSE)="",":",VLOOKUP($E$15,[1]QUART!$A$2:$FA$324, 52, FALSE))</f>
        <v>7153.9</v>
      </c>
      <c r="BB15" s="1550">
        <f>IF(VLOOKUP($E$15,[1]QUART!$A$2:$FA$324, 53, FALSE)="",":",VLOOKUP($E$15,[1]QUART!$A$2:$FA$324, 53, FALSE))</f>
        <v>7366.6</v>
      </c>
      <c r="BC15" s="1550">
        <f>IF(VLOOKUP($E$15,[1]QUART!$A$2:$FA$324, 54, FALSE)="",":",VLOOKUP($E$15,[1]QUART!$A$2:$FA$324, 54, FALSE))</f>
        <v>7588.7</v>
      </c>
      <c r="BD15" s="1550">
        <f>IF(VLOOKUP($E$15,[1]QUART!$A$2:$FA$324, 55, FALSE)="",":",VLOOKUP($E$15,[1]QUART!$A$2:$FA$324, 55, FALSE))</f>
        <v>7805.1</v>
      </c>
      <c r="BE15" s="1550">
        <f>IF(VLOOKUP($E$15,[1]QUART!$A$2:$FA$324, 56, FALSE)="",":",VLOOKUP($E$15,[1]QUART!$A$2:$FA$324, 56, FALSE))</f>
        <v>8013.9</v>
      </c>
      <c r="BF15" s="1550">
        <f>IF(VLOOKUP($E$15,[1]QUART!$A$2:$FA$324, 57, FALSE)="",":",VLOOKUP($E$15,[1]QUART!$A$2:$FA$324, 57, FALSE))</f>
        <v>8158.3</v>
      </c>
      <c r="BG15" s="1550">
        <f>IF(VLOOKUP($E$15,[1]QUART!$A$2:$FA$324, 58, FALSE)="",":",VLOOKUP($E$15,[1]QUART!$A$2:$FA$324, 58, FALSE))</f>
        <v>8117.8</v>
      </c>
      <c r="BH15" s="1550">
        <f>IF(VLOOKUP($E$15,[1]QUART!$A$2:$FA$324, 59, FALSE)="",":",VLOOKUP($E$15,[1]QUART!$A$2:$FA$324, 59, FALSE))</f>
        <v>8187.7</v>
      </c>
      <c r="BI15" s="1550">
        <f>IF(VLOOKUP($E$15,[1]QUART!$A$2:$FA$324, 60, FALSE)="",":",VLOOKUP($E$15,[1]QUART!$A$2:$FA$324, 60, FALSE))</f>
        <v>8098.8</v>
      </c>
      <c r="BJ15" s="1550">
        <f>IF(VLOOKUP($E$15,[1]QUART!$A$2:$FA$324, 61, FALSE)="",":",VLOOKUP($E$15,[1]QUART!$A$2:$FA$324, 61, FALSE))</f>
        <v>8002.5</v>
      </c>
      <c r="BK15" s="1550">
        <f>IF(VLOOKUP($E$15,[1]QUART!$A$2:$FA$324, 62, FALSE)="",":",VLOOKUP($E$15,[1]QUART!$A$2:$FA$324, 62, FALSE))</f>
        <v>6953.5</v>
      </c>
      <c r="BL15" s="1550">
        <f>IF(VLOOKUP($E$15,[1]QUART!$A$2:$FA$324, 63, FALSE)="",":",VLOOKUP($E$15,[1]QUART!$A$2:$FA$324, 63, FALSE))</f>
        <v>6879.9</v>
      </c>
      <c r="BM15" s="1550">
        <f>IF(VLOOKUP($E$15,[1]QUART!$A$2:$FA$324, 64, FALSE)="",":",VLOOKUP($E$15,[1]QUART!$A$2:$FA$324, 64, FALSE))</f>
        <v>6920.4</v>
      </c>
      <c r="BN15" s="1550">
        <f>IF(VLOOKUP($E$15,[1]QUART!$A$2:$FA$324, 65, FALSE)="",":",VLOOKUP($E$15,[1]QUART!$A$2:$FA$324, 65, FALSE))</f>
        <v>6813.5</v>
      </c>
      <c r="BO15" s="1550">
        <f>IF(VLOOKUP($E$15,[1]QUART!$A$2:$FA$324, 66, FALSE)="",":",VLOOKUP($E$15,[1]QUART!$A$2:$FA$324, 66, FALSE))</f>
        <v>6880.5</v>
      </c>
      <c r="BP15" s="1550">
        <f>IF(VLOOKUP($E$15,[1]QUART!$A$2:$FA$324, 67, FALSE)="",":",VLOOKUP($E$15,[1]QUART!$A$2:$FA$324, 67, FALSE))</f>
        <v>6995.6</v>
      </c>
      <c r="BQ15" s="1550">
        <f>IF(VLOOKUP($E$15,[1]QUART!$A$2:$FA$324, 68, FALSE)="",":",VLOOKUP($E$15,[1]QUART!$A$2:$FA$324, 68, FALSE))</f>
        <v>6990.8</v>
      </c>
      <c r="BR15" s="1550">
        <f>IF(VLOOKUP($E$15,[1]QUART!$A$2:$FA$324, 69, FALSE)="",":",VLOOKUP($E$15,[1]QUART!$A$2:$FA$324, 69, FALSE))</f>
        <v>7164.5</v>
      </c>
      <c r="BS15" s="1550">
        <f>IF(VLOOKUP($E$15,[1]QUART!$A$2:$FA$324, 70, FALSE)="",":",VLOOKUP($E$15,[1]QUART!$A$2:$FA$324, 70, FALSE))</f>
        <v>7300.9</v>
      </c>
      <c r="BT15" s="1550">
        <f>IF(VLOOKUP($E$15,[1]QUART!$A$2:$FA$324, 71, FALSE)="",":",VLOOKUP($E$15,[1]QUART!$A$2:$FA$324, 71, FALSE))</f>
        <v>7417.1</v>
      </c>
      <c r="BU15" s="1550">
        <f>IF(VLOOKUP($E$15,[1]QUART!$A$2:$FA$324, 72, FALSE)="",":",VLOOKUP($E$15,[1]QUART!$A$2:$FA$324, 72, FALSE))</f>
        <v>7455.4</v>
      </c>
      <c r="BV15" s="1550">
        <f>IF(VLOOKUP($E$15,[1]QUART!$A$2:$FA$324, 73, FALSE)="",":",VLOOKUP($E$15,[1]QUART!$A$2:$FA$324, 73, FALSE))</f>
        <v>7547.2</v>
      </c>
      <c r="BW15" s="1550">
        <f>IF(VLOOKUP($E$15,[1]QUART!$A$2:$FA$324, 74, FALSE)="",":",VLOOKUP($E$15,[1]QUART!$A$2:$FA$324, 74, FALSE))</f>
        <v>7600.2</v>
      </c>
      <c r="BX15" s="1550">
        <f>IF(VLOOKUP($E$15,[1]QUART!$A$2:$FA$324, 75, FALSE)="",":",VLOOKUP($E$15,[1]QUART!$A$2:$FA$324, 75, FALSE))</f>
        <v>7611.1</v>
      </c>
      <c r="BY15" s="1550">
        <f>IF(VLOOKUP($E$15,[1]QUART!$A$2:$FA$324, 76, FALSE)="",":",VLOOKUP($E$15,[1]QUART!$A$2:$FA$324, 76, FALSE))</f>
        <v>7801.8</v>
      </c>
      <c r="BZ15" s="1550">
        <f>IF(VLOOKUP($E$15,[1]QUART!$A$2:$FA$324, 77, FALSE)="",":",VLOOKUP($E$15,[1]QUART!$A$2:$FA$324, 77, FALSE))</f>
        <v>7842.9</v>
      </c>
      <c r="CA15" s="1550">
        <f>IF(VLOOKUP($E$15,[1]QUART!$A$2:$FA$324, 78, FALSE)="",":",VLOOKUP($E$15,[1]QUART!$A$2:$FA$324, 78, FALSE))</f>
        <v>7859.4</v>
      </c>
      <c r="CB15" s="1550">
        <f>IF(VLOOKUP($E$15,[1]QUART!$A$2:$FA$324, 79, FALSE)="",":",VLOOKUP($E$15,[1]QUART!$A$2:$FA$324, 79, FALSE))</f>
        <v>7930.9</v>
      </c>
      <c r="CC15" s="1550">
        <f>IF(VLOOKUP($E$15,[1]QUART!$A$2:$FA$324, 80, FALSE)="",":",VLOOKUP($E$15,[1]QUART!$A$2:$FA$324, 80, FALSE))</f>
        <v>8038</v>
      </c>
      <c r="CD15" s="1550">
        <f>IF(VLOOKUP($E$15,[1]QUART!$A$2:$FA$324, 81, FALSE)="",":",VLOOKUP($E$15,[1]QUART!$A$2:$FA$324, 81, FALSE))</f>
        <v>8109.7</v>
      </c>
      <c r="CE15" s="1550">
        <f>IF(VLOOKUP($E$15,[1]QUART!$A$2:$FA$324, 82, FALSE)="",":",VLOOKUP($E$15,[1]QUART!$A$2:$FA$324, 82, FALSE))</f>
        <v>8209.7000000000007</v>
      </c>
      <c r="CF15" s="1550">
        <f>IF(VLOOKUP($E$15,[1]QUART!$A$2:$FA$324, 83, FALSE)="",":",VLOOKUP($E$15,[1]QUART!$A$2:$FA$324, 83, FALSE))</f>
        <v>8264.4</v>
      </c>
      <c r="CG15" s="1550">
        <f>IF(VLOOKUP($E$15,[1]QUART!$A$2:$FA$324, 84, FALSE)="",":",VLOOKUP($E$15,[1]QUART!$A$2:$FA$324, 84, FALSE))</f>
        <v>8288.4</v>
      </c>
      <c r="CH15" s="1550">
        <f>IF(VLOOKUP($E$15,[1]QUART!$A$2:$FA$324, 85, FALSE)="",":",VLOOKUP($E$15,[1]QUART!$A$2:$FA$324, 85, FALSE))</f>
        <v>8307.9</v>
      </c>
      <c r="CI15" s="1550">
        <f>IF(VLOOKUP($E$15,[1]QUART!$A$2:$FA$324, 86, FALSE)="",":",VLOOKUP($E$15,[1]QUART!$A$2:$FA$324, 86, FALSE))</f>
        <v>8347.2999999999993</v>
      </c>
      <c r="CJ15" s="1550">
        <f>IF(VLOOKUP($E$15,[1]QUART!$A$2:$FA$324, 87, FALSE)="",":",VLOOKUP($E$15,[1]QUART!$A$2:$FA$324, 87, FALSE))</f>
        <v>8418.9</v>
      </c>
      <c r="CK15" s="1550">
        <f>IF(VLOOKUP($E$15,[1]QUART!$A$2:$FA$324, 88, FALSE)="",":",VLOOKUP($E$15,[1]QUART!$A$2:$FA$324, 88, FALSE))</f>
        <v>8481.4</v>
      </c>
      <c r="CL15" s="1550">
        <f>IF(VLOOKUP($E$15,[1]QUART!$A$2:$FA$324, 89, FALSE)="",":",VLOOKUP($E$15,[1]QUART!$A$2:$FA$324, 89, FALSE))</f>
        <v>8493.2999999999993</v>
      </c>
      <c r="CM15" s="1550">
        <f>IF(VLOOKUP($E$15,[1]QUART!$A$2:$FA$324, 90, FALSE)="",":",VLOOKUP($E$15,[1]QUART!$A$2:$FA$324, 90, FALSE))</f>
        <v>8522.1</v>
      </c>
      <c r="CN15" s="1550">
        <f>IF(VLOOKUP($E$15,[1]QUART!$A$2:$FA$324, 91, FALSE)="",":",VLOOKUP($E$15,[1]QUART!$A$2:$FA$324, 91, FALSE))</f>
        <v>8576.2000000000007</v>
      </c>
      <c r="CO15" s="1550">
        <f>IF(VLOOKUP($E$15,[1]QUART!$A$2:$FA$324, 92, FALSE)="",":",VLOOKUP($E$15,[1]QUART!$A$2:$FA$324, 92, FALSE))</f>
        <v>8664.7999999999993</v>
      </c>
      <c r="CP15" s="1550">
        <f>IF(VLOOKUP($E$15,[1]QUART!$A$2:$FA$324, 93, FALSE)="",":",VLOOKUP($E$15,[1]QUART!$A$2:$FA$324, 93, FALSE))</f>
        <v>8766.2999999999993</v>
      </c>
      <c r="CQ15" s="1550">
        <f>IF(VLOOKUP($E$15,[1]QUART!$A$2:$FA$324, 94, FALSE)="",":",VLOOKUP($E$15,[1]QUART!$A$2:$FA$324, 94, FALSE))</f>
        <v>8861.5</v>
      </c>
      <c r="CR15" s="1550">
        <f>IF(VLOOKUP($E$15,[1]QUART!$A$2:$FA$324, 95, FALSE)="",":",VLOOKUP($E$15,[1]QUART!$A$2:$FA$324, 95, FALSE))</f>
        <v>8925.1</v>
      </c>
      <c r="CS15" s="1550">
        <f>IF(VLOOKUP($E$15,[1]QUART!$A$2:$FA$324, 96, FALSE)="",":",VLOOKUP($E$15,[1]QUART!$A$2:$FA$324, 96, FALSE))</f>
        <v>8974</v>
      </c>
      <c r="CT15" s="1550">
        <f>IF(VLOOKUP($E$15,[1]QUART!$A$2:$FA$324, 97, FALSE)="",":",VLOOKUP($E$15,[1]QUART!$A$2:$FA$324, 97, FALSE))</f>
        <v>9095.2000000000007</v>
      </c>
      <c r="CU15" s="1550" t="str">
        <f>IF(VLOOKUP($E$15,[1]QUART!$A$2:$FA$324, 98, FALSE)="",":",VLOOKUP($E$15,[1]QUART!$A$2:$FA$324, 98, FALSE))</f>
        <v>:</v>
      </c>
      <c r="CV15" s="1550" t="str">
        <f>IF(VLOOKUP($E$15,[1]QUART!$A$2:$FA$324, 99, FALSE)="",":",VLOOKUP($E$15,[1]QUART!$A$2:$FA$324, 99, FALSE))</f>
        <v>:</v>
      </c>
      <c r="CW15" s="1550" t="str">
        <f>IF(VLOOKUP($E$15,[1]QUART!$A$2:$FA$324, 100, FALSE)="",":",VLOOKUP($E$15,[1]QUART!$A$2:$FA$324, 100, FALSE))</f>
        <v>:</v>
      </c>
      <c r="CX15" s="1550" t="str">
        <f>IF(VLOOKUP($E$15,[1]QUART!$A$2:$FA$324, 101, FALSE)="",":",VLOOKUP($E$15,[1]QUART!$A$2:$FA$324, 101, FALSE))</f>
        <v>:</v>
      </c>
      <c r="CY15" s="1550" t="str">
        <f>IF(VLOOKUP($E$15,[1]QUART!$A$2:$FA$324, 102, FALSE)="",":",VLOOKUP($E$15,[1]QUART!$A$2:$FA$324, 102, FALSE))</f>
        <v>:</v>
      </c>
      <c r="CZ15" s="1550" t="str">
        <f>IF(VLOOKUP($E$15,[1]QUART!$A$2:$FA$324, 103, FALSE)="",":",VLOOKUP($E$15,[1]QUART!$A$2:$FA$324, 103, FALSE))</f>
        <v>:</v>
      </c>
      <c r="DA15" s="1550" t="str">
        <f>IF(VLOOKUP($E$15,[1]QUART!$A$2:$FA$324, 104, FALSE)="",":",VLOOKUP($E$15,[1]QUART!$A$2:$FA$324, 104, FALSE))</f>
        <v>:</v>
      </c>
      <c r="DB15" s="1550" t="str">
        <f>IF(VLOOKUP($E$15,[1]QUART!$A$2:$FA$324, 105, FALSE)="",":",VLOOKUP($E$15,[1]QUART!$A$2:$FA$324, 105, FALSE))</f>
        <v>:</v>
      </c>
      <c r="DC15" s="1550" t="str">
        <f>IF(VLOOKUP($E$15,[1]QUART!$A$2:$FA$324, 106, FALSE)="",":",VLOOKUP($E$15,[1]QUART!$A$2:$FA$324, 106, FALSE))</f>
        <v>:</v>
      </c>
    </row>
    <row r="16" spans="1:110">
      <c r="A16" s="1546"/>
      <c r="B16" s="1551"/>
      <c r="C16" s="1552"/>
      <c r="D16" s="1547"/>
      <c r="E16" s="1548"/>
      <c r="F16" s="1549"/>
      <c r="G16" s="1550"/>
      <c r="H16" s="1550"/>
      <c r="I16" s="1550"/>
      <c r="J16" s="1550"/>
      <c r="K16" s="1550"/>
      <c r="L16" s="1550"/>
      <c r="M16" s="1550"/>
      <c r="N16" s="1550"/>
      <c r="O16" s="1550"/>
      <c r="P16" s="1550"/>
      <c r="Q16" s="1550"/>
      <c r="R16" s="1550"/>
      <c r="S16" s="1550"/>
      <c r="T16" s="1550"/>
      <c r="U16" s="1550"/>
      <c r="V16" s="1550"/>
      <c r="W16" s="1550"/>
      <c r="X16" s="1550"/>
      <c r="Y16" s="1550"/>
      <c r="Z16" s="1550"/>
      <c r="AA16" s="1550"/>
      <c r="AB16" s="1550"/>
      <c r="AC16" s="1550"/>
      <c r="AD16" s="1550"/>
      <c r="AE16" s="1550"/>
      <c r="AF16" s="1550"/>
      <c r="AG16" s="1550"/>
      <c r="AH16" s="1550"/>
      <c r="AI16" s="1550"/>
      <c r="AJ16" s="1550"/>
      <c r="AK16" s="1550"/>
      <c r="AL16" s="1550"/>
      <c r="AM16" s="1550"/>
      <c r="AN16" s="1550"/>
      <c r="AO16" s="1550"/>
      <c r="AP16" s="1550"/>
      <c r="AQ16" s="1550"/>
      <c r="AR16" s="1550"/>
      <c r="AS16" s="1550"/>
      <c r="AT16" s="1550"/>
      <c r="AU16" s="1550"/>
      <c r="AV16" s="1550"/>
      <c r="AW16" s="1550"/>
      <c r="AX16" s="1550"/>
      <c r="AY16" s="1550"/>
      <c r="AZ16" s="1550"/>
      <c r="BA16" s="1550"/>
      <c r="BB16" s="1550"/>
      <c r="BC16" s="1550"/>
      <c r="BD16" s="1550"/>
      <c r="BE16" s="1550"/>
      <c r="BF16" s="1550"/>
      <c r="BG16" s="1550"/>
      <c r="BH16" s="1550"/>
      <c r="BI16" s="1550"/>
      <c r="BJ16" s="1550"/>
      <c r="BK16" s="1550"/>
      <c r="BL16" s="1550"/>
      <c r="BM16" s="1550"/>
      <c r="BN16" s="1550"/>
      <c r="BO16" s="1550"/>
      <c r="BP16" s="1550"/>
      <c r="BQ16" s="1550"/>
      <c r="BR16" s="1550"/>
      <c r="BS16" s="1550"/>
      <c r="BT16" s="1550"/>
      <c r="BU16" s="1550"/>
      <c r="BV16" s="1550"/>
      <c r="BW16" s="1550"/>
      <c r="BX16" s="1550"/>
      <c r="BY16" s="1550"/>
      <c r="BZ16" s="1550"/>
      <c r="CA16" s="1550"/>
      <c r="CB16" s="1550"/>
      <c r="CC16" s="1550"/>
      <c r="CD16" s="1550"/>
      <c r="CE16" s="1550"/>
      <c r="CF16" s="1550"/>
      <c r="CG16" s="1550"/>
      <c r="CH16" s="1550"/>
      <c r="CI16" s="1550"/>
      <c r="CJ16" s="1550"/>
      <c r="CK16" s="1550"/>
      <c r="CL16" s="1550"/>
      <c r="CM16" s="1550"/>
      <c r="CN16" s="1550"/>
      <c r="CO16" s="1550"/>
      <c r="CP16" s="1550"/>
      <c r="CQ16" s="1550"/>
      <c r="CR16" s="1550"/>
      <c r="CS16" s="1550"/>
      <c r="CT16" s="1550"/>
      <c r="CU16" s="1550"/>
      <c r="CV16" s="1550"/>
      <c r="CW16" s="1550"/>
      <c r="CX16" s="1550"/>
      <c r="CY16" s="1550"/>
      <c r="CZ16" s="1550"/>
      <c r="DA16" s="1550"/>
      <c r="DB16" s="1550"/>
      <c r="DC16" s="1550"/>
    </row>
    <row r="17" spans="1:107">
      <c r="A17" s="1546">
        <v>25</v>
      </c>
      <c r="B17" s="1551" t="s">
        <v>443</v>
      </c>
      <c r="C17" s="1552"/>
      <c r="D17" s="1547" t="s">
        <v>1841</v>
      </c>
      <c r="E17" s="1548">
        <v>90</v>
      </c>
      <c r="F17" s="1549" t="str">
        <f>VLOOKUP($E$17,[1]QUART!$A$2:$FA$310, 3, FALSE)</f>
        <v>90 Consumer price harmonized index</v>
      </c>
      <c r="G17" s="1550" t="str">
        <f>IF(VLOOKUP($E$17,[1]QUART!$A$2:$FA$310, 6, FALSE)="",":",VLOOKUP($E$17,[1]QUART!$A$2:$FA$310, 6, FALSE))</f>
        <v>:</v>
      </c>
      <c r="H17" s="1550" t="str">
        <f>IF(VLOOKUP($E$17,[1]QUART!$A$2:$FA$310, 7, FALSE)="",":",VLOOKUP($E$17,[1]QUART!$A$2:$FA$310, 7, FALSE))</f>
        <v>:</v>
      </c>
      <c r="I17" s="1550" t="str">
        <f>IF(VLOOKUP($E$17,[1]QUART!$A$2:$FA$310, 8, FALSE)="",":",VLOOKUP($E$17,[1]QUART!$A$2:$FA$310, 8, FALSE))</f>
        <v>:</v>
      </c>
      <c r="J17" s="1550" t="str">
        <f>IF(VLOOKUP($E$17,[1]QUART!$A$2:$FA$310, 9, FALSE)="",":",VLOOKUP($E$17,[1]QUART!$A$2:$FA$310, 9, FALSE))</f>
        <v>:</v>
      </c>
      <c r="K17" s="1550">
        <f>IF(VLOOKUP($E$17,[1]QUART!$A$2:$FA$310, 10, FALSE)="",":",VLOOKUP($E$17,[1]QUART!$A$2:$FA$310, 10, FALSE))</f>
        <v>55.1</v>
      </c>
      <c r="L17" s="1550">
        <f>IF(VLOOKUP($E$17,[1]QUART!$A$2:$FA$310, 11, FALSE)="",":",VLOOKUP($E$17,[1]QUART!$A$2:$FA$310, 11, FALSE))</f>
        <v>57.49666666666667</v>
      </c>
      <c r="M17" s="1550">
        <f>IF(VLOOKUP($E$17,[1]QUART!$A$2:$FA$310, 12, FALSE)="",":",VLOOKUP($E$17,[1]QUART!$A$2:$FA$310, 12, FALSE))</f>
        <v>58.16</v>
      </c>
      <c r="N17" s="1550">
        <f>IF(VLOOKUP($E$17,[1]QUART!$A$2:$FA$310, 13, FALSE)="",":",VLOOKUP($E$17,[1]QUART!$A$2:$FA$310, 13, FALSE))</f>
        <v>59.693333333333328</v>
      </c>
      <c r="O17" s="1550">
        <f>IF(VLOOKUP($E$17,[1]QUART!$A$2:$FA$310, 14, FALSE)="",":",VLOOKUP($E$17,[1]QUART!$A$2:$FA$310, 14, FALSE))</f>
        <v>62.336666666666666</v>
      </c>
      <c r="P17" s="1550">
        <f>IF(VLOOKUP($E$17,[1]QUART!$A$2:$FA$310, 15, FALSE)="",":",VLOOKUP($E$17,[1]QUART!$A$2:$FA$310, 15, FALSE))</f>
        <v>62.863333333333337</v>
      </c>
      <c r="Q17" s="1550">
        <f>IF(VLOOKUP($E$17,[1]QUART!$A$2:$FA$310, 16, FALSE)="",":",VLOOKUP($E$17,[1]QUART!$A$2:$FA$310, 16, FALSE))</f>
        <v>63.936666666666667</v>
      </c>
      <c r="R17" s="1550">
        <f>IF(VLOOKUP($E$17,[1]QUART!$A$2:$FA$310, 17, FALSE)="",":",VLOOKUP($E$17,[1]QUART!$A$2:$FA$310, 17, FALSE))</f>
        <v>65.086666666666659</v>
      </c>
      <c r="S17" s="1550">
        <f>IF(VLOOKUP($E$17,[1]QUART!$A$2:$FA$310, 18, FALSE)="",":",VLOOKUP($E$17,[1]QUART!$A$2:$FA$310, 18, FALSE))</f>
        <v>66.406666666666666</v>
      </c>
      <c r="T17" s="1550">
        <f>IF(VLOOKUP($E$17,[1]QUART!$A$2:$FA$310, 19, FALSE)="",":",VLOOKUP($E$17,[1]QUART!$A$2:$FA$310, 19, FALSE))</f>
        <v>67.016666666666666</v>
      </c>
      <c r="U17" s="1550">
        <f>IF(VLOOKUP($E$17,[1]QUART!$A$2:$FA$310, 20, FALSE)="",":",VLOOKUP($E$17,[1]QUART!$A$2:$FA$310, 20, FALSE))</f>
        <v>66.933333333333323</v>
      </c>
      <c r="V17" s="1550">
        <f>IF(VLOOKUP($E$17,[1]QUART!$A$2:$FA$310, 21, FALSE)="",":",VLOOKUP($E$17,[1]QUART!$A$2:$FA$310, 21, FALSE))</f>
        <v>67.516666666666666</v>
      </c>
      <c r="W17" s="1550">
        <f>IF(VLOOKUP($E$17,[1]QUART!$A$2:$FA$310, 22, FALSE)="",":",VLOOKUP($E$17,[1]QUART!$A$2:$FA$310, 22, FALSE))</f>
        <v>68.196666666666658</v>
      </c>
      <c r="X17" s="1550">
        <f>IF(VLOOKUP($E$17,[1]QUART!$A$2:$FA$310, 23, FALSE)="",":",VLOOKUP($E$17,[1]QUART!$A$2:$FA$310, 23, FALSE))</f>
        <v>68.06</v>
      </c>
      <c r="Y17" s="1550">
        <f>IF(VLOOKUP($E$17,[1]QUART!$A$2:$FA$310, 24, FALSE)="",":",VLOOKUP($E$17,[1]QUART!$A$2:$FA$310, 24, FALSE))</f>
        <v>67.766666666666666</v>
      </c>
      <c r="Z17" s="1550">
        <f>IF(VLOOKUP($E$17,[1]QUART!$A$2:$FA$310, 25, FALSE)="",":",VLOOKUP($E$17,[1]QUART!$A$2:$FA$310, 25, FALSE))</f>
        <v>67.716666666666669</v>
      </c>
      <c r="AA17" s="1550">
        <f>IF(VLOOKUP($E$17,[1]QUART!$A$2:$FA$310, 26, FALSE)="",":",VLOOKUP($E$17,[1]QUART!$A$2:$FA$310, 26, FALSE))</f>
        <v>68.833333333333329</v>
      </c>
      <c r="AB17" s="1550">
        <f>IF(VLOOKUP($E$17,[1]QUART!$A$2:$FA$310, 27, FALSE)="",":",VLOOKUP($E$17,[1]QUART!$A$2:$FA$310, 27, FALSE))</f>
        <v>68.683333333333337</v>
      </c>
      <c r="AC17" s="1550">
        <f>IF(VLOOKUP($E$17,[1]QUART!$A$2:$FA$310, 28, FALSE)="",":",VLOOKUP($E$17,[1]QUART!$A$2:$FA$310, 28, FALSE))</f>
        <v>68.433333333333337</v>
      </c>
      <c r="AD17" s="1550">
        <f>IF(VLOOKUP($E$17,[1]QUART!$A$2:$FA$310, 29, FALSE)="",":",VLOOKUP($E$17,[1]QUART!$A$2:$FA$310, 29, FALSE))</f>
        <v>68.763333333333335</v>
      </c>
      <c r="AE17" s="1550">
        <f>IF(VLOOKUP($E$17,[1]QUART!$A$2:$FA$310, 30, FALSE)="",":",VLOOKUP($E$17,[1]QUART!$A$2:$FA$310, 30, FALSE))</f>
        <v>69.010000000000005</v>
      </c>
      <c r="AF17" s="1550">
        <f>IF(VLOOKUP($E$17,[1]QUART!$A$2:$FA$310, 31, FALSE)="",":",VLOOKUP($E$17,[1]QUART!$A$2:$FA$310, 31, FALSE))</f>
        <v>69.826666666666668</v>
      </c>
      <c r="AG17" s="1550">
        <f>IF(VLOOKUP($E$17,[1]QUART!$A$2:$FA$310, 32, FALSE)="",":",VLOOKUP($E$17,[1]QUART!$A$2:$FA$310, 32, FALSE))</f>
        <v>69.903333333333322</v>
      </c>
      <c r="AH17" s="1550">
        <f>IF(VLOOKUP($E$17,[1]QUART!$A$2:$FA$310, 33, FALSE)="",":",VLOOKUP($E$17,[1]QUART!$A$2:$FA$310, 33, FALSE))</f>
        <v>70.23</v>
      </c>
      <c r="AI17" s="1550">
        <f>IF(VLOOKUP($E$17,[1]QUART!$A$2:$FA$310, 34, FALSE)="",":",VLOOKUP($E$17,[1]QUART!$A$2:$FA$310, 34, FALSE))</f>
        <v>70.773333333333326</v>
      </c>
      <c r="AJ17" s="1550">
        <f>IF(VLOOKUP($E$17,[1]QUART!$A$2:$FA$310, 35, FALSE)="",":",VLOOKUP($E$17,[1]QUART!$A$2:$FA$310, 35, FALSE))</f>
        <v>70.176666666666677</v>
      </c>
      <c r="AK17" s="1550">
        <f>IF(VLOOKUP($E$17,[1]QUART!$A$2:$FA$310, 36, FALSE)="",":",VLOOKUP($E$17,[1]QUART!$A$2:$FA$310, 36, FALSE))</f>
        <v>69.38</v>
      </c>
      <c r="AL17" s="1550">
        <f>IF(VLOOKUP($E$17,[1]QUART!$A$2:$FA$310, 37, FALSE)="",":",VLOOKUP($E$17,[1]QUART!$A$2:$FA$310, 37, FALSE))</f>
        <v>69.576666666666668</v>
      </c>
      <c r="AM17" s="1550">
        <f>IF(VLOOKUP($E$17,[1]QUART!$A$2:$FA$310, 38, FALSE)="",":",VLOOKUP($E$17,[1]QUART!$A$2:$FA$310, 38, FALSE))</f>
        <v>69.646666666666661</v>
      </c>
      <c r="AN17" s="1550">
        <f>IF(VLOOKUP($E$17,[1]QUART!$A$2:$FA$310, 39, FALSE)="",":",VLOOKUP($E$17,[1]QUART!$A$2:$FA$310, 39, FALSE))</f>
        <v>69.713333333333338</v>
      </c>
      <c r="AO17" s="1550">
        <f>IF(VLOOKUP($E$17,[1]QUART!$A$2:$FA$310, 40, FALSE)="",":",VLOOKUP($E$17,[1]QUART!$A$2:$FA$310, 40, FALSE))</f>
        <v>68.783333333333317</v>
      </c>
      <c r="AP17" s="1550">
        <f>IF(VLOOKUP($E$17,[1]QUART!$A$2:$FA$310, 41, FALSE)="",":",VLOOKUP($E$17,[1]QUART!$A$2:$FA$310, 41, FALSE))</f>
        <v>68.75</v>
      </c>
      <c r="AQ17" s="1550">
        <f>IF(VLOOKUP($E$17,[1]QUART!$A$2:$FA$310, 42, FALSE)="",":",VLOOKUP($E$17,[1]QUART!$A$2:$FA$310, 42, FALSE))</f>
        <v>68.873333333333335</v>
      </c>
      <c r="AR17" s="1550">
        <f>IF(VLOOKUP($E$17,[1]QUART!$A$2:$FA$310, 43, FALSE)="",":",VLOOKUP($E$17,[1]QUART!$A$2:$FA$310, 43, FALSE))</f>
        <v>70.046666666666667</v>
      </c>
      <c r="AS17" s="1550">
        <f>IF(VLOOKUP($E$17,[1]QUART!$A$2:$FA$310, 44, FALSE)="",":",VLOOKUP($E$17,[1]QUART!$A$2:$FA$310, 44, FALSE))</f>
        <v>70.396666666666661</v>
      </c>
      <c r="AT17" s="1550">
        <f>IF(VLOOKUP($E$17,[1]QUART!$A$2:$FA$310, 45, FALSE)="",":",VLOOKUP($E$17,[1]QUART!$A$2:$FA$310, 45, FALSE))</f>
        <v>70.773333333333326</v>
      </c>
      <c r="AU17" s="1550">
        <f>IF(VLOOKUP($E$17,[1]QUART!$A$2:$FA$310, 46, FALSE)="",":",VLOOKUP($E$17,[1]QUART!$A$2:$FA$310, 46, FALSE))</f>
        <v>71.013333333333335</v>
      </c>
      <c r="AV17" s="1550">
        <f>IF(VLOOKUP($E$17,[1]QUART!$A$2:$FA$310, 47, FALSE)="",":",VLOOKUP($E$17,[1]QUART!$A$2:$FA$310, 47, FALSE))</f>
        <v>71.713333333333338</v>
      </c>
      <c r="AW17" s="1550">
        <f>IF(VLOOKUP($E$17,[1]QUART!$A$2:$FA$310, 48, FALSE)="",":",VLOOKUP($E$17,[1]QUART!$A$2:$FA$310, 48, FALSE))</f>
        <v>71.97</v>
      </c>
      <c r="AX17" s="1550">
        <f>IF(VLOOKUP($E$17,[1]QUART!$A$2:$FA$310, 49, FALSE)="",":",VLOOKUP($E$17,[1]QUART!$A$2:$FA$310, 49, FALSE))</f>
        <v>72.876666666666665</v>
      </c>
      <c r="AY17" s="1550">
        <f>IF(VLOOKUP($E$17,[1]QUART!$A$2:$FA$310, 50, FALSE)="",":",VLOOKUP($E$17,[1]QUART!$A$2:$FA$310, 50, FALSE))</f>
        <v>73.366666666666674</v>
      </c>
      <c r="AZ17" s="1550">
        <f>IF(VLOOKUP($E$17,[1]QUART!$A$2:$FA$310, 51, FALSE)="",":",VLOOKUP($E$17,[1]QUART!$A$2:$FA$310, 51, FALSE))</f>
        <v>74.266666666666666</v>
      </c>
      <c r="BA17" s="1550">
        <f>IF(VLOOKUP($E$17,[1]QUART!$A$2:$FA$310, 52, FALSE)="",":",VLOOKUP($E$17,[1]QUART!$A$2:$FA$310, 52, FALSE))</f>
        <v>74.813333333333333</v>
      </c>
      <c r="BB17" s="1550">
        <f>IF(VLOOKUP($E$17,[1]QUART!$A$2:$FA$310, 53, FALSE)="",":",VLOOKUP($E$17,[1]QUART!$A$2:$FA$310, 53, FALSE))</f>
        <v>75.930000000000007</v>
      </c>
      <c r="BC17" s="1550">
        <f>IF(VLOOKUP($E$17,[1]QUART!$A$2:$FA$310, 54, FALSE)="",":",VLOOKUP($E$17,[1]QUART!$A$2:$FA$310, 54, FALSE))</f>
        <v>76.586666666666673</v>
      </c>
      <c r="BD17" s="1550">
        <f>IF(VLOOKUP($E$17,[1]QUART!$A$2:$FA$310, 55, FALSE)="",":",VLOOKUP($E$17,[1]QUART!$A$2:$FA$310, 55, FALSE))</f>
        <v>77.953333333333333</v>
      </c>
      <c r="BE17" s="1550">
        <f>IF(VLOOKUP($E$17,[1]QUART!$A$2:$FA$310, 56, FALSE)="",":",VLOOKUP($E$17,[1]QUART!$A$2:$FA$310, 56, FALSE))</f>
        <v>79.25333333333333</v>
      </c>
      <c r="BF17" s="1550">
        <f>IF(VLOOKUP($E$17,[1]QUART!$A$2:$FA$310, 57, FALSE)="",":",VLOOKUP($E$17,[1]QUART!$A$2:$FA$310, 57, FALSE))</f>
        <v>81.943333333333328</v>
      </c>
      <c r="BG17" s="1550">
        <f>IF(VLOOKUP($E$17,[1]QUART!$A$2:$FA$310, 58, FALSE)="",":",VLOOKUP($E$17,[1]QUART!$A$2:$FA$310, 58, FALSE))</f>
        <v>84.836666666666659</v>
      </c>
      <c r="BH17" s="1550">
        <f>IF(VLOOKUP($E$17,[1]QUART!$A$2:$FA$310, 59, FALSE)="",":",VLOOKUP($E$17,[1]QUART!$A$2:$FA$310, 59, FALSE))</f>
        <v>87.52</v>
      </c>
      <c r="BI17" s="1550">
        <f>IF(VLOOKUP($E$17,[1]QUART!$A$2:$FA$310, 60, FALSE)="",":",VLOOKUP($E$17,[1]QUART!$A$2:$FA$310, 60, FALSE))</f>
        <v>88.733333333333334</v>
      </c>
      <c r="BJ17" s="1550">
        <f>IF(VLOOKUP($E$17,[1]QUART!$A$2:$FA$310, 61, FALSE)="",":",VLOOKUP($E$17,[1]QUART!$A$2:$FA$310, 61, FALSE))</f>
        <v>89.666666666666671</v>
      </c>
      <c r="BK17" s="1550">
        <f>IF(VLOOKUP($E$17,[1]QUART!$A$2:$FA$310, 62, FALSE)="",":",VLOOKUP($E$17,[1]QUART!$A$2:$FA$310, 62, FALSE))</f>
        <v>91.99666666666667</v>
      </c>
      <c r="BL17" s="1550">
        <f>IF(VLOOKUP($E$17,[1]QUART!$A$2:$FA$310, 63, FALSE)="",":",VLOOKUP($E$17,[1]QUART!$A$2:$FA$310, 63, FALSE))</f>
        <v>91.800000000000011</v>
      </c>
      <c r="BM17" s="1550">
        <f>IF(VLOOKUP($E$17,[1]QUART!$A$2:$FA$310, 64, FALSE)="",":",VLOOKUP($E$17,[1]QUART!$A$2:$FA$310, 64, FALSE))</f>
        <v>90.86</v>
      </c>
      <c r="BN17" s="1550">
        <f>IF(VLOOKUP($E$17,[1]QUART!$A$2:$FA$310, 65, FALSE)="",":",VLOOKUP($E$17,[1]QUART!$A$2:$FA$310, 65, FALSE))</f>
        <v>90.696666666666658</v>
      </c>
      <c r="BO17" s="1550">
        <f>IF(VLOOKUP($E$17,[1]QUART!$A$2:$FA$310, 66, FALSE)="",":",VLOOKUP($E$17,[1]QUART!$A$2:$FA$310, 66, FALSE))</f>
        <v>91.61333333333333</v>
      </c>
      <c r="BP17" s="1550">
        <f>IF(VLOOKUP($E$17,[1]QUART!$A$2:$FA$310, 67, FALSE)="",":",VLOOKUP($E$17,[1]QUART!$A$2:$FA$310, 67, FALSE))</f>
        <v>92.293333333333337</v>
      </c>
      <c r="BQ17" s="1550">
        <f>IF(VLOOKUP($E$17,[1]QUART!$A$2:$FA$310, 68, FALSE)="",":",VLOOKUP($E$17,[1]QUART!$A$2:$FA$310, 68, FALSE))</f>
        <v>92.46</v>
      </c>
      <c r="BR17" s="1550">
        <f>IF(VLOOKUP($E$17,[1]QUART!$A$2:$FA$310, 69, FALSE)="",":",VLOOKUP($E$17,[1]QUART!$A$2:$FA$310, 69, FALSE))</f>
        <v>93.336666666666659</v>
      </c>
      <c r="BS17" s="1550">
        <f>IF(VLOOKUP($E$17,[1]QUART!$A$2:$FA$310, 70, FALSE)="",":",VLOOKUP($E$17,[1]QUART!$A$2:$FA$310, 70, FALSE))</f>
        <v>94.546666666666667</v>
      </c>
      <c r="BT17" s="1550">
        <f>IF(VLOOKUP($E$17,[1]QUART!$A$2:$FA$310, 71, FALSE)="",":",VLOOKUP($E$17,[1]QUART!$A$2:$FA$310, 71, FALSE))</f>
        <v>96.643333333333331</v>
      </c>
      <c r="BU17" s="1550">
        <f>IF(VLOOKUP($E$17,[1]QUART!$A$2:$FA$310, 72, FALSE)="",":",VLOOKUP($E$17,[1]QUART!$A$2:$FA$310, 72, FALSE))</f>
        <v>96.663333333333341</v>
      </c>
      <c r="BV17" s="1550">
        <f>IF(VLOOKUP($E$17,[1]QUART!$A$2:$FA$310, 73, FALSE)="",":",VLOOKUP($E$17,[1]QUART!$A$2:$FA$310, 73, FALSE))</f>
        <v>97.096666666666678</v>
      </c>
      <c r="BW17" s="1550">
        <f>IF(VLOOKUP($E$17,[1]QUART!$A$2:$FA$310, 74, FALSE)="",":",VLOOKUP($E$17,[1]QUART!$A$2:$FA$310, 74, FALSE))</f>
        <v>97.969999999999985</v>
      </c>
      <c r="BX17" s="1550">
        <f>IF(VLOOKUP($E$17,[1]QUART!$A$2:$FA$310, 75, FALSE)="",":",VLOOKUP($E$17,[1]QUART!$A$2:$FA$310, 75, FALSE))</f>
        <v>99.376666666666665</v>
      </c>
      <c r="BY17" s="1550">
        <f>IF(VLOOKUP($E$17,[1]QUART!$A$2:$FA$310, 76, FALSE)="",":",VLOOKUP($E$17,[1]QUART!$A$2:$FA$310, 76, FALSE))</f>
        <v>99.783333333333317</v>
      </c>
      <c r="BZ17" s="1550">
        <f>IF(VLOOKUP($E$17,[1]QUART!$A$2:$FA$310, 77, FALSE)="",":",VLOOKUP($E$17,[1]QUART!$A$2:$FA$310, 77, FALSE))</f>
        <v>100</v>
      </c>
      <c r="CA17" s="1550">
        <f>IF(VLOOKUP($E$17,[1]QUART!$A$2:$FA$310, 78, FALSE)="",":",VLOOKUP($E$17,[1]QUART!$A$2:$FA$310, 78, FALSE))</f>
        <v>100.14666666666666</v>
      </c>
      <c r="CB17" s="1550">
        <f>IF(VLOOKUP($E$17,[1]QUART!$A$2:$FA$310, 79, FALSE)="",":",VLOOKUP($E$17,[1]QUART!$A$2:$FA$310, 79, FALSE))</f>
        <v>100.76666666666667</v>
      </c>
      <c r="CC17" s="1550">
        <f>IF(VLOOKUP($E$17,[1]QUART!$A$2:$FA$310, 80, FALSE)="",":",VLOOKUP($E$17,[1]QUART!$A$2:$FA$310, 80, FALSE))</f>
        <v>100.33333333333333</v>
      </c>
      <c r="CD17" s="1550">
        <f>IF(VLOOKUP($E$17,[1]QUART!$A$2:$FA$310, 81, FALSE)="",":",VLOOKUP($E$17,[1]QUART!$A$2:$FA$310, 81, FALSE))</f>
        <v>100.50666666666666</v>
      </c>
      <c r="CE17" s="1550">
        <f>IF(VLOOKUP($E$17,[1]QUART!$A$2:$FA$310, 82, FALSE)="",":",VLOOKUP($E$17,[1]QUART!$A$2:$FA$310, 82, FALSE))</f>
        <v>100.46</v>
      </c>
      <c r="CF17" s="1550">
        <f>IF(VLOOKUP($E$17,[1]QUART!$A$2:$FA$310, 83, FALSE)="",":",VLOOKUP($E$17,[1]QUART!$A$2:$FA$310, 83, FALSE))</f>
        <v>100.99666666666667</v>
      </c>
      <c r="CG17" s="1550">
        <f>IF(VLOOKUP($E$17,[1]QUART!$A$2:$FA$310, 84, FALSE)="",":",VLOOKUP($E$17,[1]QUART!$A$2:$FA$310, 84, FALSE))</f>
        <v>100.58333333333333</v>
      </c>
      <c r="CH17" s="1550">
        <f>IF(VLOOKUP($E$17,[1]QUART!$A$2:$FA$310, 85, FALSE)="",":",VLOOKUP($E$17,[1]QUART!$A$2:$FA$310, 85, FALSE))</f>
        <v>100.68666666666667</v>
      </c>
      <c r="CI17" s="1550">
        <f>IF(VLOOKUP($E$17,[1]QUART!$A$2:$FA$310, 86, FALSE)="",":",VLOOKUP($E$17,[1]QUART!$A$2:$FA$310, 86, FALSE))</f>
        <v>99.136666666666656</v>
      </c>
      <c r="CJ17" s="1550">
        <f>IF(VLOOKUP($E$17,[1]QUART!$A$2:$FA$310, 87, FALSE)="",":",VLOOKUP($E$17,[1]QUART!$A$2:$FA$310, 87, FALSE))</f>
        <v>100.69333333333333</v>
      </c>
      <c r="CK17" s="1550">
        <f>IF(VLOOKUP($E$17,[1]QUART!$A$2:$FA$310, 88, FALSE)="",":",VLOOKUP($E$17,[1]QUART!$A$2:$FA$310, 88, FALSE))</f>
        <v>99.893333333333331</v>
      </c>
      <c r="CL17" s="1550">
        <f>IF(VLOOKUP($E$17,[1]QUART!$A$2:$FA$310, 89, FALSE)="",":",VLOOKUP($E$17,[1]QUART!$A$2:$FA$310, 89, FALSE))</f>
        <v>100.27666666666666</v>
      </c>
      <c r="CM17" s="1550">
        <f>IF(VLOOKUP($E$17,[1]QUART!$A$2:$FA$310, 90, FALSE)="",":",VLOOKUP($E$17,[1]QUART!$A$2:$FA$310, 90, FALSE))</f>
        <v>99.793333333333337</v>
      </c>
      <c r="CN17" s="1550">
        <f>IF(VLOOKUP($E$17,[1]QUART!$A$2:$FA$310, 91, FALSE)="",":",VLOOKUP($E$17,[1]QUART!$A$2:$FA$310, 91, FALSE))</f>
        <v>101.13333333333333</v>
      </c>
      <c r="CO17" s="1550">
        <f>IF(VLOOKUP($E$17,[1]QUART!$A$2:$FA$310, 92, FALSE)="",":",VLOOKUP($E$17,[1]QUART!$A$2:$FA$310, 92, FALSE))</f>
        <v>100.26666666666667</v>
      </c>
      <c r="CP17" s="1550">
        <f>IF(VLOOKUP($E$17,[1]QUART!$A$2:$FA$310, 93, FALSE)="",":",VLOOKUP($E$17,[1]QUART!$A$2:$FA$310, 93, FALSE))</f>
        <v>101.52</v>
      </c>
      <c r="CQ17" s="1550">
        <f>IF(VLOOKUP($E$17,[1]QUART!$A$2:$FA$310, 94, FALSE)="",":",VLOOKUP($E$17,[1]QUART!$A$2:$FA$310, 94, FALSE))</f>
        <v>102.74</v>
      </c>
      <c r="CR17" s="1550">
        <f>IF(VLOOKUP($E$17,[1]QUART!$A$2:$FA$310, 95, FALSE)="",":",VLOOKUP($E$17,[1]QUART!$A$2:$FA$310, 95, FALSE))</f>
        <v>104.57333333333334</v>
      </c>
      <c r="CS17" s="1550">
        <f>IF(VLOOKUP($E$17,[1]QUART!$A$2:$FA$310, 96, FALSE)="",":",VLOOKUP($E$17,[1]QUART!$A$2:$FA$310, 96, FALSE))</f>
        <v>104.73</v>
      </c>
      <c r="CT17" s="1550">
        <f>IF(VLOOKUP($E$17,[1]QUART!$A$2:$FA$310, 97, FALSE)="",":",VLOOKUP($E$17,[1]QUART!$A$2:$FA$310, 97, FALSE))</f>
        <v>105.64333333333333</v>
      </c>
      <c r="CU17" s="1550" t="str">
        <f>IF(VLOOKUP($E$17,[1]QUART!$A$2:$FA$310, 98, FALSE)="",":",VLOOKUP($E$17,[1]QUART!$A$2:$FA$310, 98, FALSE))</f>
        <v>:</v>
      </c>
      <c r="CV17" s="1550" t="str">
        <f>IF(VLOOKUP($E$17,[1]QUART!$A$2:$FA$310, 99, FALSE)="",":",VLOOKUP($E$17,[1]QUART!$A$2:$FA$310, 99, FALSE))</f>
        <v>:</v>
      </c>
      <c r="CW17" s="1550" t="str">
        <f>IF(VLOOKUP($E$17,[1]QUART!$A$2:$FA$310, 100, FALSE)="",":",VLOOKUP($E$17,[1]QUART!$A$2:$FA$310, 100, FALSE))</f>
        <v>:</v>
      </c>
      <c r="CX17" s="1550" t="str">
        <f>IF(VLOOKUP($E$17,[1]QUART!$A$2:$FA$310, 101, FALSE)="",":",VLOOKUP($E$17,[1]QUART!$A$2:$FA$310, 101, FALSE))</f>
        <v>:</v>
      </c>
      <c r="CY17" s="1550" t="str">
        <f>IF(VLOOKUP($E$17,[1]QUART!$A$2:$FA$310, 102, FALSE)="",":",VLOOKUP($E$17,[1]QUART!$A$2:$FA$310, 102, FALSE))</f>
        <v>:</v>
      </c>
      <c r="CZ17" s="1550" t="str">
        <f>IF(VLOOKUP($E$17,[1]QUART!$A$2:$FA$310, 103, FALSE)="",":",VLOOKUP($E$17,[1]QUART!$A$2:$FA$310, 103, FALSE))</f>
        <v>:</v>
      </c>
      <c r="DA17" s="1550" t="str">
        <f>IF(VLOOKUP($E$17,[1]QUART!$A$2:$FA$310, 104, FALSE)="",":",VLOOKUP($E$17,[1]QUART!$A$2:$FA$310, 104, FALSE))</f>
        <v>:</v>
      </c>
      <c r="DB17" s="1550" t="str">
        <f>IF(VLOOKUP($E$17,[1]QUART!$A$2:$FA$310, 105, FALSE)="",":",VLOOKUP($E$17,[1]QUART!$A$2:$FA$310, 105, FALSE))</f>
        <v>:</v>
      </c>
      <c r="DC17" s="1550" t="str">
        <f>IF(VLOOKUP($E$17,[1]QUART!$A$2:$FA$310, 106, FALSE)="",":",VLOOKUP($E$17,[1]QUART!$A$2:$FA$310, 106, FALSE))</f>
        <v>:</v>
      </c>
    </row>
    <row r="18" spans="1:107">
      <c r="A18" s="1546">
        <v>167</v>
      </c>
      <c r="B18" s="1551" t="s">
        <v>1417</v>
      </c>
      <c r="C18" s="1552"/>
      <c r="D18" s="1547" t="s">
        <v>1841</v>
      </c>
      <c r="E18" s="1548">
        <v>91</v>
      </c>
      <c r="F18" s="1549" t="str">
        <f>VLOOKUP($E$18,[1]QUART!$A$2:$FA$300, 3, FALSE)</f>
        <v>91 HICP Non-energy industrial goods</v>
      </c>
      <c r="G18" s="1550" t="str">
        <f>IF(VLOOKUP($E$18,[1]QUART!$A$2:$FA$300, 6, FALSE)="",":",VLOOKUP($E$18,[1]QUART!$A$2:$FA$300, 6, FALSE))</f>
        <v>:</v>
      </c>
      <c r="H18" s="1550" t="str">
        <f>IF(VLOOKUP($E$18,[1]QUART!$A$2:$FA$300, 7, FALSE)="",":",VLOOKUP($E$18,[1]QUART!$A$2:$FA$300, 7, FALSE))</f>
        <v>:</v>
      </c>
      <c r="I18" s="1550" t="str">
        <f>IF(VLOOKUP($E$18,[1]QUART!$A$2:$FA$300, 8, FALSE)="",":",VLOOKUP($E$18,[1]QUART!$A$2:$FA$300, 8, FALSE))</f>
        <v>:</v>
      </c>
      <c r="J18" s="1550" t="str">
        <f>IF(VLOOKUP($E$18,[1]QUART!$A$2:$FA$300, 9, FALSE)="",":",VLOOKUP($E$18,[1]QUART!$A$2:$FA$300, 9, FALSE))</f>
        <v>:</v>
      </c>
      <c r="K18" s="1550">
        <f>IF(VLOOKUP($E$18,[1]QUART!$A$2:$FA$300, 10, FALSE)="",":",VLOOKUP($E$18,[1]QUART!$A$2:$FA$300, 10, FALSE))</f>
        <v>88.633333333333326</v>
      </c>
      <c r="L18" s="1550">
        <f>IF(VLOOKUP($E$18,[1]QUART!$A$2:$FA$300, 11, FALSE)="",":",VLOOKUP($E$18,[1]QUART!$A$2:$FA$300, 11, FALSE))</f>
        <v>91.570000000000007</v>
      </c>
      <c r="M18" s="1550">
        <f>IF(VLOOKUP($E$18,[1]QUART!$A$2:$FA$300, 12, FALSE)="",":",VLOOKUP($E$18,[1]QUART!$A$2:$FA$300, 12, FALSE))</f>
        <v>93.876666666666665</v>
      </c>
      <c r="N18" s="1550">
        <f>IF(VLOOKUP($E$18,[1]QUART!$A$2:$FA$300, 13, FALSE)="",":",VLOOKUP($E$18,[1]QUART!$A$2:$FA$300, 13, FALSE))</f>
        <v>96.509999999999991</v>
      </c>
      <c r="O18" s="1550">
        <f>IF(VLOOKUP($E$18,[1]QUART!$A$2:$FA$300, 14, FALSE)="",":",VLOOKUP($E$18,[1]QUART!$A$2:$FA$300, 14, FALSE))</f>
        <v>98.236666666666679</v>
      </c>
      <c r="P18" s="1550">
        <f>IF(VLOOKUP($E$18,[1]QUART!$A$2:$FA$300, 15, FALSE)="",":",VLOOKUP($E$18,[1]QUART!$A$2:$FA$300, 15, FALSE))</f>
        <v>99.316666666666663</v>
      </c>
      <c r="Q18" s="1550">
        <f>IF(VLOOKUP($E$18,[1]QUART!$A$2:$FA$300, 16, FALSE)="",":",VLOOKUP($E$18,[1]QUART!$A$2:$FA$300, 16, FALSE))</f>
        <v>101.37666666666667</v>
      </c>
      <c r="R18" s="1550">
        <f>IF(VLOOKUP($E$18,[1]QUART!$A$2:$FA$300, 17, FALSE)="",":",VLOOKUP($E$18,[1]QUART!$A$2:$FA$300, 17, FALSE))</f>
        <v>103.03666666666668</v>
      </c>
      <c r="S18" s="1550">
        <f>IF(VLOOKUP($E$18,[1]QUART!$A$2:$FA$300, 18, FALSE)="",":",VLOOKUP($E$18,[1]QUART!$A$2:$FA$300, 18, FALSE))</f>
        <v>103.65666666666668</v>
      </c>
      <c r="T18" s="1550">
        <f>IF(VLOOKUP($E$18,[1]QUART!$A$2:$FA$300, 19, FALSE)="",":",VLOOKUP($E$18,[1]QUART!$A$2:$FA$300, 19, FALSE))</f>
        <v>104.37666666666667</v>
      </c>
      <c r="U18" s="1550">
        <f>IF(VLOOKUP($E$18,[1]QUART!$A$2:$FA$300, 20, FALSE)="",":",VLOOKUP($E$18,[1]QUART!$A$2:$FA$300, 20, FALSE))</f>
        <v>106.75333333333333</v>
      </c>
      <c r="V18" s="1550">
        <f>IF(VLOOKUP($E$18,[1]QUART!$A$2:$FA$300, 21, FALSE)="",":",VLOOKUP($E$18,[1]QUART!$A$2:$FA$300, 21, FALSE))</f>
        <v>108.07666666666667</v>
      </c>
      <c r="W18" s="1550">
        <f>IF(VLOOKUP($E$18,[1]QUART!$A$2:$FA$300, 22, FALSE)="",":",VLOOKUP($E$18,[1]QUART!$A$2:$FA$300, 22, FALSE))</f>
        <v>108.37333333333333</v>
      </c>
      <c r="X18" s="1550">
        <f>IF(VLOOKUP($E$18,[1]QUART!$A$2:$FA$300, 23, FALSE)="",":",VLOOKUP($E$18,[1]QUART!$A$2:$FA$300, 23, FALSE))</f>
        <v>108.11</v>
      </c>
      <c r="Y18" s="1550">
        <f>IF(VLOOKUP($E$18,[1]QUART!$A$2:$FA$300, 24, FALSE)="",":",VLOOKUP($E$18,[1]QUART!$A$2:$FA$300, 24, FALSE))</f>
        <v>107.61333333333334</v>
      </c>
      <c r="Z18" s="1550">
        <f>IF(VLOOKUP($E$18,[1]QUART!$A$2:$FA$300, 25, FALSE)="",":",VLOOKUP($E$18,[1]QUART!$A$2:$FA$300, 25, FALSE))</f>
        <v>107.62333333333333</v>
      </c>
      <c r="AA18" s="1550">
        <f>IF(VLOOKUP($E$18,[1]QUART!$A$2:$FA$300, 26, FALSE)="",":",VLOOKUP($E$18,[1]QUART!$A$2:$FA$300, 26, FALSE))</f>
        <v>107.10333333333334</v>
      </c>
      <c r="AB18" s="1550">
        <f>IF(VLOOKUP($E$18,[1]QUART!$A$2:$FA$300, 27, FALSE)="",":",VLOOKUP($E$18,[1]QUART!$A$2:$FA$300, 27, FALSE))</f>
        <v>106.43666666666665</v>
      </c>
      <c r="AC18" s="1550">
        <f>IF(VLOOKUP($E$18,[1]QUART!$A$2:$FA$300, 28, FALSE)="",":",VLOOKUP($E$18,[1]QUART!$A$2:$FA$300, 28, FALSE))</f>
        <v>105.37333333333333</v>
      </c>
      <c r="AD18" s="1550">
        <f>IF(VLOOKUP($E$18,[1]QUART!$A$2:$FA$300, 29, FALSE)="",":",VLOOKUP($E$18,[1]QUART!$A$2:$FA$300, 29, FALSE))</f>
        <v>104.96666666666665</v>
      </c>
      <c r="AE18" s="1550">
        <f>IF(VLOOKUP($E$18,[1]QUART!$A$2:$FA$300, 30, FALSE)="",":",VLOOKUP($E$18,[1]QUART!$A$2:$FA$300, 30, FALSE))</f>
        <v>103.84999999999998</v>
      </c>
      <c r="AF18" s="1550">
        <f>IF(VLOOKUP($E$18,[1]QUART!$A$2:$FA$300, 31, FALSE)="",":",VLOOKUP($E$18,[1]QUART!$A$2:$FA$300, 31, FALSE))</f>
        <v>103.34666666666668</v>
      </c>
      <c r="AG18" s="1550">
        <f>IF(VLOOKUP($E$18,[1]QUART!$A$2:$FA$300, 32, FALSE)="",":",VLOOKUP($E$18,[1]QUART!$A$2:$FA$300, 32, FALSE))</f>
        <v>102.47333333333331</v>
      </c>
      <c r="AH18" s="1550">
        <f>IF(VLOOKUP($E$18,[1]QUART!$A$2:$FA$300, 33, FALSE)="",":",VLOOKUP($E$18,[1]QUART!$A$2:$FA$300, 33, FALSE))</f>
        <v>103.02</v>
      </c>
      <c r="AI18" s="1550">
        <f>IF(VLOOKUP($E$18,[1]QUART!$A$2:$FA$300, 34, FALSE)="",":",VLOOKUP($E$18,[1]QUART!$A$2:$FA$300, 34, FALSE))</f>
        <v>101.77666666666669</v>
      </c>
      <c r="AJ18" s="1550">
        <f>IF(VLOOKUP($E$18,[1]QUART!$A$2:$FA$300, 35, FALSE)="",":",VLOOKUP($E$18,[1]QUART!$A$2:$FA$300, 35, FALSE))</f>
        <v>101.68666666666667</v>
      </c>
      <c r="AK18" s="1550">
        <f>IF(VLOOKUP($E$18,[1]QUART!$A$2:$FA$300, 36, FALSE)="",":",VLOOKUP($E$18,[1]QUART!$A$2:$FA$300, 36, FALSE))</f>
        <v>100.50333333333333</v>
      </c>
      <c r="AL18" s="1550">
        <f>IF(VLOOKUP($E$18,[1]QUART!$A$2:$FA$300, 37, FALSE)="",":",VLOOKUP($E$18,[1]QUART!$A$2:$FA$300, 37, FALSE))</f>
        <v>101.54666666666667</v>
      </c>
      <c r="AM18" s="1550">
        <f>IF(VLOOKUP($E$18,[1]QUART!$A$2:$FA$300, 38, FALSE)="",":",VLOOKUP($E$18,[1]QUART!$A$2:$FA$300, 38, FALSE))</f>
        <v>100.21333333333332</v>
      </c>
      <c r="AN18" s="1550">
        <f>IF(VLOOKUP($E$18,[1]QUART!$A$2:$FA$300, 39, FALSE)="",":",VLOOKUP($E$18,[1]QUART!$A$2:$FA$300, 39, FALSE))</f>
        <v>100.21666666666665</v>
      </c>
      <c r="AO18" s="1550">
        <f>IF(VLOOKUP($E$18,[1]QUART!$A$2:$FA$300, 40, FALSE)="",":",VLOOKUP($E$18,[1]QUART!$A$2:$FA$300, 40, FALSE))</f>
        <v>98.883333333333326</v>
      </c>
      <c r="AP18" s="1550">
        <f>IF(VLOOKUP($E$18,[1]QUART!$A$2:$FA$300, 41, FALSE)="",":",VLOOKUP($E$18,[1]QUART!$A$2:$FA$300, 41, FALSE))</f>
        <v>100.01333333333334</v>
      </c>
      <c r="AQ18" s="1550">
        <f>IF(VLOOKUP($E$18,[1]QUART!$A$2:$FA$300, 42, FALSE)="",":",VLOOKUP($E$18,[1]QUART!$A$2:$FA$300, 42, FALSE))</f>
        <v>98.626666666666665</v>
      </c>
      <c r="AR18" s="1550">
        <f>IF(VLOOKUP($E$18,[1]QUART!$A$2:$FA$300, 43, FALSE)="",":",VLOOKUP($E$18,[1]QUART!$A$2:$FA$300, 43, FALSE))</f>
        <v>99.923333333333332</v>
      </c>
      <c r="AS18" s="1550">
        <f>IF(VLOOKUP($E$18,[1]QUART!$A$2:$FA$300, 44, FALSE)="",":",VLOOKUP($E$18,[1]QUART!$A$2:$FA$300, 44, FALSE))</f>
        <v>99.15333333333335</v>
      </c>
      <c r="AT18" s="1550">
        <f>IF(VLOOKUP($E$18,[1]QUART!$A$2:$FA$300, 45, FALSE)="",":",VLOOKUP($E$18,[1]QUART!$A$2:$FA$300, 45, FALSE))</f>
        <v>100.82000000000001</v>
      </c>
      <c r="AU18" s="1550">
        <f>IF(VLOOKUP($E$18,[1]QUART!$A$2:$FA$300, 46, FALSE)="",":",VLOOKUP($E$18,[1]QUART!$A$2:$FA$300, 46, FALSE))</f>
        <v>98.266666666666666</v>
      </c>
      <c r="AV18" s="1550">
        <f>IF(VLOOKUP($E$18,[1]QUART!$A$2:$FA$300, 47, FALSE)="",":",VLOOKUP($E$18,[1]QUART!$A$2:$FA$300, 47, FALSE))</f>
        <v>98.976666666666674</v>
      </c>
      <c r="AW18" s="1550">
        <f>IF(VLOOKUP($E$18,[1]QUART!$A$2:$FA$300, 48, FALSE)="",":",VLOOKUP($E$18,[1]QUART!$A$2:$FA$300, 48, FALSE))</f>
        <v>98.40000000000002</v>
      </c>
      <c r="AX18" s="1550">
        <f>IF(VLOOKUP($E$18,[1]QUART!$A$2:$FA$300, 49, FALSE)="",":",VLOOKUP($E$18,[1]QUART!$A$2:$FA$300, 49, FALSE))</f>
        <v>100.28666666666668</v>
      </c>
      <c r="AY18" s="1550">
        <f>IF(VLOOKUP($E$18,[1]QUART!$A$2:$FA$300, 50, FALSE)="",":",VLOOKUP($E$18,[1]QUART!$A$2:$FA$300, 50, FALSE))</f>
        <v>98.49666666666667</v>
      </c>
      <c r="AZ18" s="1550">
        <f>IF(VLOOKUP($E$18,[1]QUART!$A$2:$FA$300, 51, FALSE)="",":",VLOOKUP($E$18,[1]QUART!$A$2:$FA$300, 51, FALSE))</f>
        <v>98.876666666666665</v>
      </c>
      <c r="BA18" s="1550">
        <f>IF(VLOOKUP($E$18,[1]QUART!$A$2:$FA$300, 52, FALSE)="",":",VLOOKUP($E$18,[1]QUART!$A$2:$FA$300, 52, FALSE))</f>
        <v>98.173333333333332</v>
      </c>
      <c r="BB18" s="1550">
        <f>IF(VLOOKUP($E$18,[1]QUART!$A$2:$FA$300, 53, FALSE)="",":",VLOOKUP($E$18,[1]QUART!$A$2:$FA$300, 53, FALSE))</f>
        <v>99.856666666666669</v>
      </c>
      <c r="BC18" s="1550">
        <f>IF(VLOOKUP($E$18,[1]QUART!$A$2:$FA$300, 54, FALSE)="",":",VLOOKUP($E$18,[1]QUART!$A$2:$FA$300, 54, FALSE))</f>
        <v>97.94</v>
      </c>
      <c r="BD18" s="1550">
        <f>IF(VLOOKUP($E$18,[1]QUART!$A$2:$FA$300, 55, FALSE)="",":",VLOOKUP($E$18,[1]QUART!$A$2:$FA$300, 55, FALSE))</f>
        <v>98.473333333333315</v>
      </c>
      <c r="BE18" s="1550">
        <f>IF(VLOOKUP($E$18,[1]QUART!$A$2:$FA$300, 56, FALSE)="",":",VLOOKUP($E$18,[1]QUART!$A$2:$FA$300, 56, FALSE))</f>
        <v>98.08</v>
      </c>
      <c r="BF18" s="1550">
        <f>IF(VLOOKUP($E$18,[1]QUART!$A$2:$FA$300, 57, FALSE)="",":",VLOOKUP($E$18,[1]QUART!$A$2:$FA$300, 57, FALSE))</f>
        <v>100.05666666666667</v>
      </c>
      <c r="BG18" s="1550">
        <f>IF(VLOOKUP($E$18,[1]QUART!$A$2:$FA$300, 58, FALSE)="",":",VLOOKUP($E$18,[1]QUART!$A$2:$FA$300, 58, FALSE))</f>
        <v>99.236666666666665</v>
      </c>
      <c r="BH18" s="1550">
        <f>IF(VLOOKUP($E$18,[1]QUART!$A$2:$FA$300, 59, FALSE)="",":",VLOOKUP($E$18,[1]QUART!$A$2:$FA$300, 59, FALSE))</f>
        <v>100.63666666666667</v>
      </c>
      <c r="BI18" s="1550">
        <f>IF(VLOOKUP($E$18,[1]QUART!$A$2:$FA$300, 60, FALSE)="",":",VLOOKUP($E$18,[1]QUART!$A$2:$FA$300, 60, FALSE))</f>
        <v>100.19</v>
      </c>
      <c r="BJ18" s="1550">
        <f>IF(VLOOKUP($E$18,[1]QUART!$A$2:$FA$300, 61, FALSE)="",":",VLOOKUP($E$18,[1]QUART!$A$2:$FA$300, 61, FALSE))</f>
        <v>101.65333333333332</v>
      </c>
      <c r="BK18" s="1550">
        <f>IF(VLOOKUP($E$18,[1]QUART!$A$2:$FA$300, 62, FALSE)="",":",VLOOKUP($E$18,[1]QUART!$A$2:$FA$300, 62, FALSE))</f>
        <v>102.10333333333334</v>
      </c>
      <c r="BL18" s="1550">
        <f>IF(VLOOKUP($E$18,[1]QUART!$A$2:$FA$300, 63, FALSE)="",":",VLOOKUP($E$18,[1]QUART!$A$2:$FA$300, 63, FALSE))</f>
        <v>100.68</v>
      </c>
      <c r="BM18" s="1550">
        <f>IF(VLOOKUP($E$18,[1]QUART!$A$2:$FA$300, 64, FALSE)="",":",VLOOKUP($E$18,[1]QUART!$A$2:$FA$300, 64, FALSE))</f>
        <v>99.426666666666662</v>
      </c>
      <c r="BN18" s="1550">
        <f>IF(VLOOKUP($E$18,[1]QUART!$A$2:$FA$300, 65, FALSE)="",":",VLOOKUP($E$18,[1]QUART!$A$2:$FA$300, 65, FALSE))</f>
        <v>100.46333333333332</v>
      </c>
      <c r="BO18" s="1550">
        <f>IF(VLOOKUP($E$18,[1]QUART!$A$2:$FA$300, 66, FALSE)="",":",VLOOKUP($E$18,[1]QUART!$A$2:$FA$300, 66, FALSE))</f>
        <v>98.410000000000011</v>
      </c>
      <c r="BP18" s="1550">
        <f>IF(VLOOKUP($E$18,[1]QUART!$A$2:$FA$300, 67, FALSE)="",":",VLOOKUP($E$18,[1]QUART!$A$2:$FA$300, 67, FALSE))</f>
        <v>98.076666666666668</v>
      </c>
      <c r="BQ18" s="1550">
        <f>IF(VLOOKUP($E$18,[1]QUART!$A$2:$FA$300, 68, FALSE)="",":",VLOOKUP($E$18,[1]QUART!$A$2:$FA$300, 68, FALSE))</f>
        <v>96.763333333333335</v>
      </c>
      <c r="BR18" s="1550">
        <f>IF(VLOOKUP($E$18,[1]QUART!$A$2:$FA$300, 69, FALSE)="",":",VLOOKUP($E$18,[1]QUART!$A$2:$FA$300, 69, FALSE))</f>
        <v>97.853333333333339</v>
      </c>
      <c r="BS18" s="1550">
        <f>IF(VLOOKUP($E$18,[1]QUART!$A$2:$FA$300, 70, FALSE)="",":",VLOOKUP($E$18,[1]QUART!$A$2:$FA$300, 70, FALSE))</f>
        <v>96.196666666666673</v>
      </c>
      <c r="BT18" s="1550">
        <f>IF(VLOOKUP($E$18,[1]QUART!$A$2:$FA$300, 71, FALSE)="",":",VLOOKUP($E$18,[1]QUART!$A$2:$FA$300, 71, FALSE))</f>
        <v>98.066666666666663</v>
      </c>
      <c r="BU18" s="1550">
        <f>IF(VLOOKUP($E$18,[1]QUART!$A$2:$FA$300, 72, FALSE)="",":",VLOOKUP($E$18,[1]QUART!$A$2:$FA$300, 72, FALSE))</f>
        <v>96.576666666666668</v>
      </c>
      <c r="BV18" s="1550">
        <f>IF(VLOOKUP($E$18,[1]QUART!$A$2:$FA$300, 73, FALSE)="",":",VLOOKUP($E$18,[1]QUART!$A$2:$FA$300, 73, FALSE))</f>
        <v>97.71</v>
      </c>
      <c r="BW18" s="1550">
        <f>IF(VLOOKUP($E$18,[1]QUART!$A$2:$FA$300, 74, FALSE)="",":",VLOOKUP($E$18,[1]QUART!$A$2:$FA$300, 74, FALSE))</f>
        <v>96.61</v>
      </c>
      <c r="BX18" s="1550">
        <f>IF(VLOOKUP($E$18,[1]QUART!$A$2:$FA$300, 75, FALSE)="",":",VLOOKUP($E$18,[1]QUART!$A$2:$FA$300, 75, FALSE))</f>
        <v>98.476666666666674</v>
      </c>
      <c r="BY18" s="1550">
        <f>IF(VLOOKUP($E$18,[1]QUART!$A$2:$FA$300, 76, FALSE)="",":",VLOOKUP($E$18,[1]QUART!$A$2:$FA$300, 76, FALSE))</f>
        <v>98.033333333333346</v>
      </c>
      <c r="BZ18" s="1550">
        <f>IF(VLOOKUP($E$18,[1]QUART!$A$2:$FA$300, 77, FALSE)="",":",VLOOKUP($E$18,[1]QUART!$A$2:$FA$300, 77, FALSE))</f>
        <v>99.780000000000015</v>
      </c>
      <c r="CA18" s="1550">
        <f>IF(VLOOKUP($E$18,[1]QUART!$A$2:$FA$300, 78, FALSE)="",":",VLOOKUP($E$18,[1]QUART!$A$2:$FA$300, 78, FALSE))</f>
        <v>98.219999999999985</v>
      </c>
      <c r="CB18" s="1550">
        <f>IF(VLOOKUP($E$18,[1]QUART!$A$2:$FA$300, 79, FALSE)="",":",VLOOKUP($E$18,[1]QUART!$A$2:$FA$300, 79, FALSE))</f>
        <v>99.713333333333324</v>
      </c>
      <c r="CC18" s="1550">
        <f>IF(VLOOKUP($E$18,[1]QUART!$A$2:$FA$300, 80, FALSE)="",":",VLOOKUP($E$18,[1]QUART!$A$2:$FA$300, 80, FALSE))</f>
        <v>98.45</v>
      </c>
      <c r="CD18" s="1550">
        <f>IF(VLOOKUP($E$18,[1]QUART!$A$2:$FA$300, 81, FALSE)="",":",VLOOKUP($E$18,[1]QUART!$A$2:$FA$300, 81, FALSE))</f>
        <v>100.27333333333333</v>
      </c>
      <c r="CE18" s="1550">
        <f>IF(VLOOKUP($E$18,[1]QUART!$A$2:$FA$300, 82, FALSE)="",":",VLOOKUP($E$18,[1]QUART!$A$2:$FA$300, 82, FALSE))</f>
        <v>98.603333333333339</v>
      </c>
      <c r="CF18" s="1550">
        <f>IF(VLOOKUP($E$18,[1]QUART!$A$2:$FA$300, 83, FALSE)="",":",VLOOKUP($E$18,[1]QUART!$A$2:$FA$300, 83, FALSE))</f>
        <v>99.793333333333337</v>
      </c>
      <c r="CG18" s="1550">
        <f>IF(VLOOKUP($E$18,[1]QUART!$A$2:$FA$300, 84, FALSE)="",":",VLOOKUP($E$18,[1]QUART!$A$2:$FA$300, 84, FALSE))</f>
        <v>98.493333333333339</v>
      </c>
      <c r="CH18" s="1550">
        <f>IF(VLOOKUP($E$18,[1]QUART!$A$2:$FA$300, 85, FALSE)="",":",VLOOKUP($E$18,[1]QUART!$A$2:$FA$300, 85, FALSE))</f>
        <v>100.07000000000001</v>
      </c>
      <c r="CI18" s="1550">
        <f>IF(VLOOKUP($E$18,[1]QUART!$A$2:$FA$300, 86, FALSE)="",":",VLOOKUP($E$18,[1]QUART!$A$2:$FA$300, 86, FALSE))</f>
        <v>98.639999999999986</v>
      </c>
      <c r="CJ18" s="1550">
        <f>IF(VLOOKUP($E$18,[1]QUART!$A$2:$FA$300, 87, FALSE)="",":",VLOOKUP($E$18,[1]QUART!$A$2:$FA$300, 87, FALSE))</f>
        <v>100.32333333333332</v>
      </c>
      <c r="CK18" s="1550">
        <f>IF(VLOOKUP($E$18,[1]QUART!$A$2:$FA$300, 88, FALSE)="",":",VLOOKUP($E$18,[1]QUART!$A$2:$FA$300, 88, FALSE))</f>
        <v>99.376666666666665</v>
      </c>
      <c r="CL18" s="1550">
        <f>IF(VLOOKUP($E$18,[1]QUART!$A$2:$FA$300, 89, FALSE)="",":",VLOOKUP($E$18,[1]QUART!$A$2:$FA$300, 89, FALSE))</f>
        <v>101.66000000000001</v>
      </c>
      <c r="CM18" s="1550">
        <f>IF(VLOOKUP($E$18,[1]QUART!$A$2:$FA$300, 90, FALSE)="",":",VLOOKUP($E$18,[1]QUART!$A$2:$FA$300, 90, FALSE))</f>
        <v>100.05</v>
      </c>
      <c r="CN18" s="1550">
        <f>IF(VLOOKUP($E$18,[1]QUART!$A$2:$FA$300, 91, FALSE)="",":",VLOOKUP($E$18,[1]QUART!$A$2:$FA$300, 91, FALSE))</f>
        <v>101.41333333333334</v>
      </c>
      <c r="CO18" s="1550">
        <f>IF(VLOOKUP($E$18,[1]QUART!$A$2:$FA$300, 92, FALSE)="",":",VLOOKUP($E$18,[1]QUART!$A$2:$FA$300, 92, FALSE))</f>
        <v>99.516666666666652</v>
      </c>
      <c r="CP18" s="1550">
        <f>IF(VLOOKUP($E$18,[1]QUART!$A$2:$FA$300, 93, FALSE)="",":",VLOOKUP($E$18,[1]QUART!$A$2:$FA$300, 93, FALSE))</f>
        <v>101.76666666666667</v>
      </c>
      <c r="CQ18" s="1550">
        <f>IF(VLOOKUP($E$18,[1]QUART!$A$2:$FA$300, 94, FALSE)="",":",VLOOKUP($E$18,[1]QUART!$A$2:$FA$300, 94, FALSE))</f>
        <v>100.35333333333334</v>
      </c>
      <c r="CR18" s="1550">
        <f>IF(VLOOKUP($E$18,[1]QUART!$A$2:$FA$300, 95, FALSE)="",":",VLOOKUP($E$18,[1]QUART!$A$2:$FA$300, 95, FALSE))</f>
        <v>102.18</v>
      </c>
      <c r="CS18" s="1550">
        <f>IF(VLOOKUP($E$18,[1]QUART!$A$2:$FA$300, 96, FALSE)="",":",VLOOKUP($E$18,[1]QUART!$A$2:$FA$300, 96, FALSE))</f>
        <v>100.46666666666665</v>
      </c>
      <c r="CT18" s="1550">
        <f>IF(VLOOKUP($E$18,[1]QUART!$A$2:$FA$300, 97, FALSE)="",":",VLOOKUP($E$18,[1]QUART!$A$2:$FA$300, 97, FALSE))</f>
        <v>102.64333333333333</v>
      </c>
      <c r="CU18" s="1550" t="str">
        <f>IF(VLOOKUP($E$18,[1]QUART!$A$2:$FA$300, 98, FALSE)="",":",VLOOKUP($E$18,[1]QUART!$A$2:$FA$300, 98, FALSE))</f>
        <v>:</v>
      </c>
      <c r="CV18" s="1550" t="str">
        <f>IF(VLOOKUP($E$18,[1]QUART!$A$2:$FA$300, 99, FALSE)="",":",VLOOKUP($E$18,[1]QUART!$A$2:$FA$300, 99, FALSE))</f>
        <v>:</v>
      </c>
      <c r="CW18" s="1550" t="str">
        <f>IF(VLOOKUP($E$18,[1]QUART!$A$2:$FA$300, 100, FALSE)="",":",VLOOKUP($E$18,[1]QUART!$A$2:$FA$300, 100, FALSE))</f>
        <v>:</v>
      </c>
      <c r="CX18" s="1550" t="str">
        <f>IF(VLOOKUP($E$18,[1]QUART!$A$2:$FA$300, 101, FALSE)="",":",VLOOKUP($E$18,[1]QUART!$A$2:$FA$300, 101, FALSE))</f>
        <v>:</v>
      </c>
      <c r="CY18" s="1550" t="str">
        <f>IF(VLOOKUP($E$18,[1]QUART!$A$2:$FA$300, 102, FALSE)="",":",VLOOKUP($E$18,[1]QUART!$A$2:$FA$300, 102, FALSE))</f>
        <v>:</v>
      </c>
      <c r="CZ18" s="1550" t="str">
        <f>IF(VLOOKUP($E$18,[1]QUART!$A$2:$FA$300, 103, FALSE)="",":",VLOOKUP($E$18,[1]QUART!$A$2:$FA$300, 103, FALSE))</f>
        <v>:</v>
      </c>
      <c r="DA18" s="1550" t="str">
        <f>IF(VLOOKUP($E$18,[1]QUART!$A$2:$FA$300, 104, FALSE)="",":",VLOOKUP($E$18,[1]QUART!$A$2:$FA$300, 104, FALSE))</f>
        <v>:</v>
      </c>
      <c r="DB18" s="1550" t="str">
        <f>IF(VLOOKUP($E$18,[1]QUART!$A$2:$FA$300, 105, FALSE)="",":",VLOOKUP($E$18,[1]QUART!$A$2:$FA$300, 105, FALSE))</f>
        <v>:</v>
      </c>
      <c r="DC18" s="1550" t="str">
        <f>IF(VLOOKUP($E$18,[1]QUART!$A$2:$FA$300, 106, FALSE)="",":",VLOOKUP($E$18,[1]QUART!$A$2:$FA$300, 106, FALSE))</f>
        <v>:</v>
      </c>
    </row>
    <row r="19" spans="1:107">
      <c r="A19" s="1546">
        <v>168</v>
      </c>
      <c r="B19" s="1551" t="s">
        <v>446</v>
      </c>
      <c r="C19" s="1552"/>
      <c r="D19" s="1547" t="s">
        <v>1841</v>
      </c>
      <c r="E19" s="1548">
        <v>92</v>
      </c>
      <c r="F19" s="1549" t="str">
        <f>VLOOKUP($E$19,[1]QUART!$A$2:$FA$300, 3, FALSE)</f>
        <v>92 HICP Energy</v>
      </c>
      <c r="G19" s="1550" t="str">
        <f>IF(VLOOKUP($E$19,[1]QUART!$A$2:$FA$300, 6, FALSE)="",":",VLOOKUP($E$19,[1]QUART!$A$2:$FA$300, 6, FALSE))</f>
        <v>:</v>
      </c>
      <c r="H19" s="1550" t="str">
        <f>IF(VLOOKUP($E$19,[1]QUART!$A$2:$FA$300, 7, FALSE)="",":",VLOOKUP($E$19,[1]QUART!$A$2:$FA$300, 7, FALSE))</f>
        <v>:</v>
      </c>
      <c r="I19" s="1550" t="str">
        <f>IF(VLOOKUP($E$19,[1]QUART!$A$2:$FA$300, 8, FALSE)="",":",VLOOKUP($E$19,[1]QUART!$A$2:$FA$300, 8, FALSE))</f>
        <v>:</v>
      </c>
      <c r="J19" s="1550" t="str">
        <f>IF(VLOOKUP($E$19,[1]QUART!$A$2:$FA$300, 9, FALSE)="",":",VLOOKUP($E$19,[1]QUART!$A$2:$FA$300, 9, FALSE))</f>
        <v>:</v>
      </c>
      <c r="K19" s="1550">
        <f>IF(VLOOKUP($E$19,[1]QUART!$A$2:$FA$300, 10, FALSE)="",":",VLOOKUP($E$19,[1]QUART!$A$2:$FA$300, 10, FALSE))</f>
        <v>29.959999999999997</v>
      </c>
      <c r="L19" s="1550">
        <f>IF(VLOOKUP($E$19,[1]QUART!$A$2:$FA$300, 11, FALSE)="",":",VLOOKUP($E$19,[1]QUART!$A$2:$FA$300, 11, FALSE))</f>
        <v>30.306666666666668</v>
      </c>
      <c r="M19" s="1550">
        <f>IF(VLOOKUP($E$19,[1]QUART!$A$2:$FA$300, 12, FALSE)="",":",VLOOKUP($E$19,[1]QUART!$A$2:$FA$300, 12, FALSE))</f>
        <v>31.173333333333332</v>
      </c>
      <c r="N19" s="1550">
        <f>IF(VLOOKUP($E$19,[1]QUART!$A$2:$FA$300, 13, FALSE)="",":",VLOOKUP($E$19,[1]QUART!$A$2:$FA$300, 13, FALSE))</f>
        <v>33.169999999999995</v>
      </c>
      <c r="O19" s="1550">
        <f>IF(VLOOKUP($E$19,[1]QUART!$A$2:$FA$300, 14, FALSE)="",":",VLOOKUP($E$19,[1]QUART!$A$2:$FA$300, 14, FALSE))</f>
        <v>34.360000000000007</v>
      </c>
      <c r="P19" s="1550">
        <f>IF(VLOOKUP($E$19,[1]QUART!$A$2:$FA$300, 15, FALSE)="",":",VLOOKUP($E$19,[1]QUART!$A$2:$FA$300, 15, FALSE))</f>
        <v>34.796666666666667</v>
      </c>
      <c r="Q19" s="1550">
        <f>IF(VLOOKUP($E$19,[1]QUART!$A$2:$FA$300, 16, FALSE)="",":",VLOOKUP($E$19,[1]QUART!$A$2:$FA$300, 16, FALSE))</f>
        <v>38.973333333333336</v>
      </c>
      <c r="R19" s="1550">
        <f>IF(VLOOKUP($E$19,[1]QUART!$A$2:$FA$300, 17, FALSE)="",":",VLOOKUP($E$19,[1]QUART!$A$2:$FA$300, 17, FALSE))</f>
        <v>40.809999999999995</v>
      </c>
      <c r="S19" s="1550">
        <f>IF(VLOOKUP($E$19,[1]QUART!$A$2:$FA$300, 18, FALSE)="",":",VLOOKUP($E$19,[1]QUART!$A$2:$FA$300, 18, FALSE))</f>
        <v>41.43333333333333</v>
      </c>
      <c r="T19" s="1550">
        <f>IF(VLOOKUP($E$19,[1]QUART!$A$2:$FA$300, 19, FALSE)="",":",VLOOKUP($E$19,[1]QUART!$A$2:$FA$300, 19, FALSE))</f>
        <v>41.706666666666671</v>
      </c>
      <c r="U19" s="1550">
        <f>IF(VLOOKUP($E$19,[1]QUART!$A$2:$FA$300, 20, FALSE)="",":",VLOOKUP($E$19,[1]QUART!$A$2:$FA$300, 20, FALSE))</f>
        <v>43.213333333333331</v>
      </c>
      <c r="V19" s="1550">
        <f>IF(VLOOKUP($E$19,[1]QUART!$A$2:$FA$300, 21, FALSE)="",":",VLOOKUP($E$19,[1]QUART!$A$2:$FA$300, 21, FALSE))</f>
        <v>44.686666666666667</v>
      </c>
      <c r="W19" s="1550">
        <f>IF(VLOOKUP($E$19,[1]QUART!$A$2:$FA$300, 22, FALSE)="",":",VLOOKUP($E$19,[1]QUART!$A$2:$FA$300, 22, FALSE))</f>
        <v>45.546666666666674</v>
      </c>
      <c r="X19" s="1550">
        <f>IF(VLOOKUP($E$19,[1]QUART!$A$2:$FA$300, 23, FALSE)="",":",VLOOKUP($E$19,[1]QUART!$A$2:$FA$300, 23, FALSE))</f>
        <v>45.916666666666664</v>
      </c>
      <c r="Y19" s="1550">
        <f>IF(VLOOKUP($E$19,[1]QUART!$A$2:$FA$300, 24, FALSE)="",":",VLOOKUP($E$19,[1]QUART!$A$2:$FA$300, 24, FALSE))</f>
        <v>46.81</v>
      </c>
      <c r="Z19" s="1550">
        <f>IF(VLOOKUP($E$19,[1]QUART!$A$2:$FA$300, 25, FALSE)="",":",VLOOKUP($E$19,[1]QUART!$A$2:$FA$300, 25, FALSE))</f>
        <v>48.06</v>
      </c>
      <c r="AA19" s="1550">
        <f>IF(VLOOKUP($E$19,[1]QUART!$A$2:$FA$300, 26, FALSE)="",":",VLOOKUP($E$19,[1]QUART!$A$2:$FA$300, 26, FALSE))</f>
        <v>53.370000000000005</v>
      </c>
      <c r="AB19" s="1550">
        <f>IF(VLOOKUP($E$19,[1]QUART!$A$2:$FA$300, 27, FALSE)="",":",VLOOKUP($E$19,[1]QUART!$A$2:$FA$300, 27, FALSE))</f>
        <v>54.576666666666675</v>
      </c>
      <c r="AC19" s="1550">
        <f>IF(VLOOKUP($E$19,[1]QUART!$A$2:$FA$300, 28, FALSE)="",":",VLOOKUP($E$19,[1]QUART!$A$2:$FA$300, 28, FALSE))</f>
        <v>54.603333333333332</v>
      </c>
      <c r="AD19" s="1550">
        <f>IF(VLOOKUP($E$19,[1]QUART!$A$2:$FA$300, 29, FALSE)="",":",VLOOKUP($E$19,[1]QUART!$A$2:$FA$300, 29, FALSE))</f>
        <v>55.956666666666671</v>
      </c>
      <c r="AE19" s="1550">
        <f>IF(VLOOKUP($E$19,[1]QUART!$A$2:$FA$300, 30, FALSE)="",":",VLOOKUP($E$19,[1]QUART!$A$2:$FA$300, 30, FALSE))</f>
        <v>54.066666666666663</v>
      </c>
      <c r="AF19" s="1550">
        <f>IF(VLOOKUP($E$19,[1]QUART!$A$2:$FA$300, 31, FALSE)="",":",VLOOKUP($E$19,[1]QUART!$A$2:$FA$300, 31, FALSE))</f>
        <v>55.156666666666666</v>
      </c>
      <c r="AG19" s="1550">
        <f>IF(VLOOKUP($E$19,[1]QUART!$A$2:$FA$300, 32, FALSE)="",":",VLOOKUP($E$19,[1]QUART!$A$2:$FA$300, 32, FALSE))</f>
        <v>55.24</v>
      </c>
      <c r="AH19" s="1550">
        <f>IF(VLOOKUP($E$19,[1]QUART!$A$2:$FA$300, 33, FALSE)="",":",VLOOKUP($E$19,[1]QUART!$A$2:$FA$300, 33, FALSE))</f>
        <v>53.98</v>
      </c>
      <c r="AI19" s="1550">
        <f>IF(VLOOKUP($E$19,[1]QUART!$A$2:$FA$300, 34, FALSE)="",":",VLOOKUP($E$19,[1]QUART!$A$2:$FA$300, 34, FALSE))</f>
        <v>54.823333333333331</v>
      </c>
      <c r="AJ19" s="1550">
        <f>IF(VLOOKUP($E$19,[1]QUART!$A$2:$FA$300, 35, FALSE)="",":",VLOOKUP($E$19,[1]QUART!$A$2:$FA$300, 35, FALSE))</f>
        <v>55.946666666666665</v>
      </c>
      <c r="AK19" s="1550">
        <f>IF(VLOOKUP($E$19,[1]QUART!$A$2:$FA$300, 36, FALSE)="",":",VLOOKUP($E$19,[1]QUART!$A$2:$FA$300, 36, FALSE))</f>
        <v>55.4</v>
      </c>
      <c r="AL19" s="1550">
        <f>IF(VLOOKUP($E$19,[1]QUART!$A$2:$FA$300, 37, FALSE)="",":",VLOOKUP($E$19,[1]QUART!$A$2:$FA$300, 37, FALSE))</f>
        <v>55.96</v>
      </c>
      <c r="AM19" s="1550">
        <f>IF(VLOOKUP($E$19,[1]QUART!$A$2:$FA$300, 38, FALSE)="",":",VLOOKUP($E$19,[1]QUART!$A$2:$FA$300, 38, FALSE))</f>
        <v>56.876666666666665</v>
      </c>
      <c r="AN19" s="1550">
        <f>IF(VLOOKUP($E$19,[1]QUART!$A$2:$FA$300, 39, FALSE)="",":",VLOOKUP($E$19,[1]QUART!$A$2:$FA$300, 39, FALSE))</f>
        <v>56.29666666666666</v>
      </c>
      <c r="AO19" s="1550">
        <f>IF(VLOOKUP($E$19,[1]QUART!$A$2:$FA$300, 40, FALSE)="",":",VLOOKUP($E$19,[1]QUART!$A$2:$FA$300, 40, FALSE))</f>
        <v>55.836666666666666</v>
      </c>
      <c r="AP19" s="1550">
        <f>IF(VLOOKUP($E$19,[1]QUART!$A$2:$FA$300, 41, FALSE)="",":",VLOOKUP($E$19,[1]QUART!$A$2:$FA$300, 41, FALSE))</f>
        <v>55.51</v>
      </c>
      <c r="AQ19" s="1550">
        <f>IF(VLOOKUP($E$19,[1]QUART!$A$2:$FA$300, 42, FALSE)="",":",VLOOKUP($E$19,[1]QUART!$A$2:$FA$300, 42, FALSE))</f>
        <v>56.266666666666673</v>
      </c>
      <c r="AR19" s="1550">
        <f>IF(VLOOKUP($E$19,[1]QUART!$A$2:$FA$300, 43, FALSE)="",":",VLOOKUP($E$19,[1]QUART!$A$2:$FA$300, 43, FALSE))</f>
        <v>57.926666666666669</v>
      </c>
      <c r="AS19" s="1550">
        <f>IF(VLOOKUP($E$19,[1]QUART!$A$2:$FA$300, 44, FALSE)="",":",VLOOKUP($E$19,[1]QUART!$A$2:$FA$300, 44, FALSE))</f>
        <v>58.02</v>
      </c>
      <c r="AT19" s="1550">
        <f>IF(VLOOKUP($E$19,[1]QUART!$A$2:$FA$300, 45, FALSE)="",":",VLOOKUP($E$19,[1]QUART!$A$2:$FA$300, 45, FALSE))</f>
        <v>58.436666666666667</v>
      </c>
      <c r="AU19" s="1550">
        <f>IF(VLOOKUP($E$19,[1]QUART!$A$2:$FA$300, 46, FALSE)="",":",VLOOKUP($E$19,[1]QUART!$A$2:$FA$300, 46, FALSE))</f>
        <v>59.51</v>
      </c>
      <c r="AV19" s="1550">
        <f>IF(VLOOKUP($E$19,[1]QUART!$A$2:$FA$300, 47, FALSE)="",":",VLOOKUP($E$19,[1]QUART!$A$2:$FA$300, 47, FALSE))</f>
        <v>60.793333333333329</v>
      </c>
      <c r="AW19" s="1550">
        <f>IF(VLOOKUP($E$19,[1]QUART!$A$2:$FA$300, 48, FALSE)="",":",VLOOKUP($E$19,[1]QUART!$A$2:$FA$300, 48, FALSE))</f>
        <v>63.123333333333335</v>
      </c>
      <c r="AX19" s="1550">
        <f>IF(VLOOKUP($E$19,[1]QUART!$A$2:$FA$300, 49, FALSE)="",":",VLOOKUP($E$19,[1]QUART!$A$2:$FA$300, 49, FALSE))</f>
        <v>63.896666666666668</v>
      </c>
      <c r="AY19" s="1550">
        <f>IF(VLOOKUP($E$19,[1]QUART!$A$2:$FA$300, 50, FALSE)="",":",VLOOKUP($E$19,[1]QUART!$A$2:$FA$300, 50, FALSE))</f>
        <v>65.27</v>
      </c>
      <c r="AZ19" s="1550">
        <f>IF(VLOOKUP($E$19,[1]QUART!$A$2:$FA$300, 51, FALSE)="",":",VLOOKUP($E$19,[1]QUART!$A$2:$FA$300, 51, FALSE))</f>
        <v>66.286666666666676</v>
      </c>
      <c r="BA19" s="1550">
        <f>IF(VLOOKUP($E$19,[1]QUART!$A$2:$FA$300, 52, FALSE)="",":",VLOOKUP($E$19,[1]QUART!$A$2:$FA$300, 52, FALSE))</f>
        <v>66.760000000000005</v>
      </c>
      <c r="BB19" s="1550">
        <f>IF(VLOOKUP($E$19,[1]QUART!$A$2:$FA$300, 53, FALSE)="",":",VLOOKUP($E$19,[1]QUART!$A$2:$FA$300, 53, FALSE))</f>
        <v>67.779999999999987</v>
      </c>
      <c r="BC19" s="1550">
        <f>IF(VLOOKUP($E$19,[1]QUART!$A$2:$FA$300, 54, FALSE)="",":",VLOOKUP($E$19,[1]QUART!$A$2:$FA$300, 54, FALSE))</f>
        <v>68.28</v>
      </c>
      <c r="BD19" s="1550">
        <f>IF(VLOOKUP($E$19,[1]QUART!$A$2:$FA$300, 55, FALSE)="",":",VLOOKUP($E$19,[1]QUART!$A$2:$FA$300, 55, FALSE))</f>
        <v>70.2</v>
      </c>
      <c r="BE19" s="1550">
        <f>IF(VLOOKUP($E$19,[1]QUART!$A$2:$FA$300, 56, FALSE)="",":",VLOOKUP($E$19,[1]QUART!$A$2:$FA$300, 56, FALSE))</f>
        <v>71.326666666666668</v>
      </c>
      <c r="BF19" s="1550">
        <f>IF(VLOOKUP($E$19,[1]QUART!$A$2:$FA$300, 57, FALSE)="",":",VLOOKUP($E$19,[1]QUART!$A$2:$FA$300, 57, FALSE))</f>
        <v>74.463333333333324</v>
      </c>
      <c r="BG19" s="1550">
        <f>IF(VLOOKUP($E$19,[1]QUART!$A$2:$FA$300, 58, FALSE)="",":",VLOOKUP($E$19,[1]QUART!$A$2:$FA$300, 58, FALSE))</f>
        <v>80.75</v>
      </c>
      <c r="BH19" s="1550">
        <f>IF(VLOOKUP($E$19,[1]QUART!$A$2:$FA$300, 59, FALSE)="",":",VLOOKUP($E$19,[1]QUART!$A$2:$FA$300, 59, FALSE))</f>
        <v>83.506666666666675</v>
      </c>
      <c r="BI19" s="1550">
        <f>IF(VLOOKUP($E$19,[1]QUART!$A$2:$FA$300, 60, FALSE)="",":",VLOOKUP($E$19,[1]QUART!$A$2:$FA$300, 60, FALSE))</f>
        <v>85.95</v>
      </c>
      <c r="BJ19" s="1550">
        <f>IF(VLOOKUP($E$19,[1]QUART!$A$2:$FA$300, 61, FALSE)="",":",VLOOKUP($E$19,[1]QUART!$A$2:$FA$300, 61, FALSE))</f>
        <v>85.013333333333321</v>
      </c>
      <c r="BK19" s="1550">
        <f>IF(VLOOKUP($E$19,[1]QUART!$A$2:$FA$300, 62, FALSE)="",":",VLOOKUP($E$19,[1]QUART!$A$2:$FA$300, 62, FALSE))</f>
        <v>91.366666666666674</v>
      </c>
      <c r="BL19" s="1550">
        <f>IF(VLOOKUP($E$19,[1]QUART!$A$2:$FA$300, 63, FALSE)="",":",VLOOKUP($E$19,[1]QUART!$A$2:$FA$300, 63, FALSE))</f>
        <v>92.323333333333338</v>
      </c>
      <c r="BM19" s="1550">
        <f>IF(VLOOKUP($E$19,[1]QUART!$A$2:$FA$300, 64, FALSE)="",":",VLOOKUP($E$19,[1]QUART!$A$2:$FA$300, 64, FALSE))</f>
        <v>91.25333333333333</v>
      </c>
      <c r="BN19" s="1550">
        <f>IF(VLOOKUP($E$19,[1]QUART!$A$2:$FA$300, 65, FALSE)="",":",VLOOKUP($E$19,[1]QUART!$A$2:$FA$300, 65, FALSE))</f>
        <v>87.649999999999991</v>
      </c>
      <c r="BO19" s="1550">
        <f>IF(VLOOKUP($E$19,[1]QUART!$A$2:$FA$300, 66, FALSE)="",":",VLOOKUP($E$19,[1]QUART!$A$2:$FA$300, 66, FALSE))</f>
        <v>96.31</v>
      </c>
      <c r="BP19" s="1550">
        <f>IF(VLOOKUP($E$19,[1]QUART!$A$2:$FA$300, 67, FALSE)="",":",VLOOKUP($E$19,[1]QUART!$A$2:$FA$300, 67, FALSE))</f>
        <v>99.523333333333326</v>
      </c>
      <c r="BQ19" s="1550">
        <f>IF(VLOOKUP($E$19,[1]QUART!$A$2:$FA$300, 68, FALSE)="",":",VLOOKUP($E$19,[1]QUART!$A$2:$FA$300, 68, FALSE))</f>
        <v>101.39999999999999</v>
      </c>
      <c r="BR19" s="1550">
        <f>IF(VLOOKUP($E$19,[1]QUART!$A$2:$FA$300, 69, FALSE)="",":",VLOOKUP($E$19,[1]QUART!$A$2:$FA$300, 69, FALSE))</f>
        <v>103.07333333333334</v>
      </c>
      <c r="BS19" s="1550">
        <f>IF(VLOOKUP($E$19,[1]QUART!$A$2:$FA$300, 70, FALSE)="",":",VLOOKUP($E$19,[1]QUART!$A$2:$FA$300, 70, FALSE))</f>
        <v>107.88333333333333</v>
      </c>
      <c r="BT19" s="1550">
        <f>IF(VLOOKUP($E$19,[1]QUART!$A$2:$FA$300, 71, FALSE)="",":",VLOOKUP($E$19,[1]QUART!$A$2:$FA$300, 71, FALSE))</f>
        <v>110.75</v>
      </c>
      <c r="BU19" s="1550">
        <f>IF(VLOOKUP($E$19,[1]QUART!$A$2:$FA$300, 72, FALSE)="",":",VLOOKUP($E$19,[1]QUART!$A$2:$FA$300, 72, FALSE))</f>
        <v>114.21</v>
      </c>
      <c r="BV19" s="1550">
        <f>IF(VLOOKUP($E$19,[1]QUART!$A$2:$FA$300, 73, FALSE)="",":",VLOOKUP($E$19,[1]QUART!$A$2:$FA$300, 73, FALSE))</f>
        <v>115.67</v>
      </c>
      <c r="BW19" s="1550">
        <f>IF(VLOOKUP($E$19,[1]QUART!$A$2:$FA$300, 74, FALSE)="",":",VLOOKUP($E$19,[1]QUART!$A$2:$FA$300, 74, FALSE))</f>
        <v>118.03666666666665</v>
      </c>
      <c r="BX19" s="1550">
        <f>IF(VLOOKUP($E$19,[1]QUART!$A$2:$FA$300, 75, FALSE)="",":",VLOOKUP($E$19,[1]QUART!$A$2:$FA$300, 75, FALSE))</f>
        <v>119.48333333333333</v>
      </c>
      <c r="BY19" s="1550">
        <f>IF(VLOOKUP($E$19,[1]QUART!$A$2:$FA$300, 76, FALSE)="",":",VLOOKUP($E$19,[1]QUART!$A$2:$FA$300, 76, FALSE))</f>
        <v>121.49333333333334</v>
      </c>
      <c r="BZ19" s="1550">
        <f>IF(VLOOKUP($E$19,[1]QUART!$A$2:$FA$300, 77, FALSE)="",":",VLOOKUP($E$19,[1]QUART!$A$2:$FA$300, 77, FALSE))</f>
        <v>119.35666666666667</v>
      </c>
      <c r="CA19" s="1550">
        <f>IF(VLOOKUP($E$19,[1]QUART!$A$2:$FA$300, 78, FALSE)="",":",VLOOKUP($E$19,[1]QUART!$A$2:$FA$300, 78, FALSE))</f>
        <v>119.98666666666666</v>
      </c>
      <c r="CB19" s="1550">
        <f>IF(VLOOKUP($E$19,[1]QUART!$A$2:$FA$300, 79, FALSE)="",":",VLOOKUP($E$19,[1]QUART!$A$2:$FA$300, 79, FALSE))</f>
        <v>118.14333333333333</v>
      </c>
      <c r="CC19" s="1550">
        <f>IF(VLOOKUP($E$19,[1]QUART!$A$2:$FA$300, 80, FALSE)="",":",VLOOKUP($E$19,[1]QUART!$A$2:$FA$300, 80, FALSE))</f>
        <v>117.43</v>
      </c>
      <c r="CD19" s="1550">
        <f>IF(VLOOKUP($E$19,[1]QUART!$A$2:$FA$300, 81, FALSE)="",":",VLOOKUP($E$19,[1]QUART!$A$2:$FA$300, 81, FALSE))</f>
        <v>116.85666666666667</v>
      </c>
      <c r="CE19" s="1550">
        <f>IF(VLOOKUP($E$19,[1]QUART!$A$2:$FA$300, 82, FALSE)="",":",VLOOKUP($E$19,[1]QUART!$A$2:$FA$300, 82, FALSE))</f>
        <v>116.97333333333331</v>
      </c>
      <c r="CF19" s="1550">
        <f>IF(VLOOKUP($E$19,[1]QUART!$A$2:$FA$300, 83, FALSE)="",":",VLOOKUP($E$19,[1]QUART!$A$2:$FA$300, 83, FALSE))</f>
        <v>114.57666666666667</v>
      </c>
      <c r="CG19" s="1550">
        <f>IF(VLOOKUP($E$19,[1]QUART!$A$2:$FA$300, 84, FALSE)="",":",VLOOKUP($E$19,[1]QUART!$A$2:$FA$300, 84, FALSE))</f>
        <v>112.04</v>
      </c>
      <c r="CH19" s="1550">
        <f>IF(VLOOKUP($E$19,[1]QUART!$A$2:$FA$300, 85, FALSE)="",":",VLOOKUP($E$19,[1]QUART!$A$2:$FA$300, 85, FALSE))</f>
        <v>110.11666666666666</v>
      </c>
      <c r="CI19" s="1550">
        <f>IF(VLOOKUP($E$19,[1]QUART!$A$2:$FA$300, 86, FALSE)="",":",VLOOKUP($E$19,[1]QUART!$A$2:$FA$300, 86, FALSE))</f>
        <v>100.37333333333333</v>
      </c>
      <c r="CJ19" s="1550">
        <f>IF(VLOOKUP($E$19,[1]QUART!$A$2:$FA$300, 87, FALSE)="",":",VLOOKUP($E$19,[1]QUART!$A$2:$FA$300, 87, FALSE))</f>
        <v>103.63</v>
      </c>
      <c r="CK19" s="1550">
        <f>IF(VLOOKUP($E$19,[1]QUART!$A$2:$FA$300, 88, FALSE)="",":",VLOOKUP($E$19,[1]QUART!$A$2:$FA$300, 88, FALSE))</f>
        <v>100.26333333333334</v>
      </c>
      <c r="CL19" s="1550">
        <f>IF(VLOOKUP($E$19,[1]QUART!$A$2:$FA$300, 89, FALSE)="",":",VLOOKUP($E$19,[1]QUART!$A$2:$FA$300, 89, FALSE))</f>
        <v>95.73</v>
      </c>
      <c r="CM19" s="1550">
        <f>IF(VLOOKUP($E$19,[1]QUART!$A$2:$FA$300, 90, FALSE)="",":",VLOOKUP($E$19,[1]QUART!$A$2:$FA$300, 90, FALSE))</f>
        <v>92.31</v>
      </c>
      <c r="CN19" s="1550">
        <f>IF(VLOOKUP($E$19,[1]QUART!$A$2:$FA$300, 91, FALSE)="",":",VLOOKUP($E$19,[1]QUART!$A$2:$FA$300, 91, FALSE))</f>
        <v>93.00333333333333</v>
      </c>
      <c r="CO19" s="1550">
        <f>IF(VLOOKUP($E$19,[1]QUART!$A$2:$FA$300, 92, FALSE)="",":",VLOOKUP($E$19,[1]QUART!$A$2:$FA$300, 92, FALSE))</f>
        <v>91.393333333333331</v>
      </c>
      <c r="CP19" s="1550">
        <f>IF(VLOOKUP($E$19,[1]QUART!$A$2:$FA$300, 93, FALSE)="",":",VLOOKUP($E$19,[1]QUART!$A$2:$FA$300, 93, FALSE))</f>
        <v>94.553333333333327</v>
      </c>
      <c r="CQ19" s="1550">
        <f>IF(VLOOKUP($E$19,[1]QUART!$A$2:$FA$300, 94, FALSE)="",":",VLOOKUP($E$19,[1]QUART!$A$2:$FA$300, 94, FALSE))</f>
        <v>97.820000000000007</v>
      </c>
      <c r="CR19" s="1550">
        <f>IF(VLOOKUP($E$19,[1]QUART!$A$2:$FA$300, 95, FALSE)="",":",VLOOKUP($E$19,[1]QUART!$A$2:$FA$300, 95, FALSE))</f>
        <v>96.713333333333352</v>
      </c>
      <c r="CS19" s="1550">
        <f>IF(VLOOKUP($E$19,[1]QUART!$A$2:$FA$300, 96, FALSE)="",":",VLOOKUP($E$19,[1]QUART!$A$2:$FA$300, 96, FALSE))</f>
        <v>95.93</v>
      </c>
      <c r="CT19" s="1550">
        <f>IF(VLOOKUP($E$19,[1]QUART!$A$2:$FA$300, 97, FALSE)="",":",VLOOKUP($E$19,[1]QUART!$A$2:$FA$300, 97, FALSE))</f>
        <v>98.183333333333337</v>
      </c>
      <c r="CU19" s="1550" t="str">
        <f>IF(VLOOKUP($E$19,[1]QUART!$A$2:$FA$300, 98, FALSE)="",":",VLOOKUP($E$19,[1]QUART!$A$2:$FA$300, 98, FALSE))</f>
        <v>:</v>
      </c>
      <c r="CV19" s="1550" t="str">
        <f>IF(VLOOKUP($E$19,[1]QUART!$A$2:$FA$300, 99, FALSE)="",":",VLOOKUP($E$19,[1]QUART!$A$2:$FA$300, 99, FALSE))</f>
        <v>:</v>
      </c>
      <c r="CW19" s="1550" t="str">
        <f>IF(VLOOKUP($E$19,[1]QUART!$A$2:$FA$300, 100, FALSE)="",":",VLOOKUP($E$19,[1]QUART!$A$2:$FA$300, 100, FALSE))</f>
        <v>:</v>
      </c>
      <c r="CX19" s="1550" t="str">
        <f>IF(VLOOKUP($E$19,[1]QUART!$A$2:$FA$300, 101, FALSE)="",":",VLOOKUP($E$19,[1]QUART!$A$2:$FA$300, 101, FALSE))</f>
        <v>:</v>
      </c>
      <c r="CY19" s="1550" t="str">
        <f>IF(VLOOKUP($E$19,[1]QUART!$A$2:$FA$300, 102, FALSE)="",":",VLOOKUP($E$19,[1]QUART!$A$2:$FA$300, 102, FALSE))</f>
        <v>:</v>
      </c>
      <c r="CZ19" s="1550" t="str">
        <f>IF(VLOOKUP($E$19,[1]QUART!$A$2:$FA$300, 103, FALSE)="",":",VLOOKUP($E$19,[1]QUART!$A$2:$FA$300, 103, FALSE))</f>
        <v>:</v>
      </c>
      <c r="DA19" s="1550" t="str">
        <f>IF(VLOOKUP($E$19,[1]QUART!$A$2:$FA$300, 104, FALSE)="",":",VLOOKUP($E$19,[1]QUART!$A$2:$FA$300, 104, FALSE))</f>
        <v>:</v>
      </c>
      <c r="DB19" s="1550" t="str">
        <f>IF(VLOOKUP($E$19,[1]QUART!$A$2:$FA$300, 105, FALSE)="",":",VLOOKUP($E$19,[1]QUART!$A$2:$FA$300, 105, FALSE))</f>
        <v>:</v>
      </c>
      <c r="DC19" s="1550" t="str">
        <f>IF(VLOOKUP($E$19,[1]QUART!$A$2:$FA$300, 106, FALSE)="",":",VLOOKUP($E$19,[1]QUART!$A$2:$FA$300, 106, FALSE))</f>
        <v>:</v>
      </c>
    </row>
    <row r="20" spans="1:107">
      <c r="A20" s="1546">
        <v>169</v>
      </c>
      <c r="B20" s="1551" t="s">
        <v>444</v>
      </c>
      <c r="C20" s="1552"/>
      <c r="D20" s="1547" t="s">
        <v>1841</v>
      </c>
      <c r="E20" s="1548">
        <v>93</v>
      </c>
      <c r="F20" s="1549" t="str">
        <f>VLOOKUP($E$20,[1]QUART!$A$2:$FA$300, 3, FALSE)</f>
        <v>93 HICP Unprocessed food</v>
      </c>
      <c r="G20" s="1550" t="str">
        <f>IF(VLOOKUP($E$20,[1]QUART!$A$2:$FA$300, 6, FALSE)="",":",VLOOKUP($E$20,[1]QUART!$A$2:$FA$300, 6, FALSE))</f>
        <v>:</v>
      </c>
      <c r="H20" s="1550" t="str">
        <f>IF(VLOOKUP($E$20,[1]QUART!$A$2:$FA$300, 7, FALSE)="",":",VLOOKUP($E$20,[1]QUART!$A$2:$FA$300, 7, FALSE))</f>
        <v>:</v>
      </c>
      <c r="I20" s="1550" t="str">
        <f>IF(VLOOKUP($E$20,[1]QUART!$A$2:$FA$300, 8, FALSE)="",":",VLOOKUP($E$20,[1]QUART!$A$2:$FA$300, 8, FALSE))</f>
        <v>:</v>
      </c>
      <c r="J20" s="1550" t="str">
        <f>IF(VLOOKUP($E$20,[1]QUART!$A$2:$FA$300, 9, FALSE)="",":",VLOOKUP($E$20,[1]QUART!$A$2:$FA$300, 9, FALSE))</f>
        <v>:</v>
      </c>
      <c r="K20" s="1550">
        <f>IF(VLOOKUP($E$20,[1]QUART!$A$2:$FA$300, 10, FALSE)="",":",VLOOKUP($E$20,[1]QUART!$A$2:$FA$300, 10, FALSE))</f>
        <v>61.646666666666668</v>
      </c>
      <c r="L20" s="1550">
        <f>IF(VLOOKUP($E$20,[1]QUART!$A$2:$FA$300, 11, FALSE)="",":",VLOOKUP($E$20,[1]QUART!$A$2:$FA$300, 11, FALSE))</f>
        <v>67.970000000000013</v>
      </c>
      <c r="M20" s="1550">
        <f>IF(VLOOKUP($E$20,[1]QUART!$A$2:$FA$300, 12, FALSE)="",":",VLOOKUP($E$20,[1]QUART!$A$2:$FA$300, 12, FALSE))</f>
        <v>66.236666666666665</v>
      </c>
      <c r="N20" s="1550">
        <f>IF(VLOOKUP($E$20,[1]QUART!$A$2:$FA$300, 13, FALSE)="",":",VLOOKUP($E$20,[1]QUART!$A$2:$FA$300, 13, FALSE))</f>
        <v>66.719999999999985</v>
      </c>
      <c r="O20" s="1550">
        <f>IF(VLOOKUP($E$20,[1]QUART!$A$2:$FA$300, 14, FALSE)="",":",VLOOKUP($E$20,[1]QUART!$A$2:$FA$300, 14, FALSE))</f>
        <v>70.8</v>
      </c>
      <c r="P20" s="1550">
        <f>IF(VLOOKUP($E$20,[1]QUART!$A$2:$FA$300, 15, FALSE)="",":",VLOOKUP($E$20,[1]QUART!$A$2:$FA$300, 15, FALSE))</f>
        <v>70.246666666666655</v>
      </c>
      <c r="Q20" s="1550">
        <f>IF(VLOOKUP($E$20,[1]QUART!$A$2:$FA$300, 16, FALSE)="",":",VLOOKUP($E$20,[1]QUART!$A$2:$FA$300, 16, FALSE))</f>
        <v>66.99666666666667</v>
      </c>
      <c r="R20" s="1550">
        <f>IF(VLOOKUP($E$20,[1]QUART!$A$2:$FA$300, 17, FALSE)="",":",VLOOKUP($E$20,[1]QUART!$A$2:$FA$300, 17, FALSE))</f>
        <v>67.543333333333337</v>
      </c>
      <c r="S20" s="1550">
        <f>IF(VLOOKUP($E$20,[1]QUART!$A$2:$FA$300, 18, FALSE)="",":",VLOOKUP($E$20,[1]QUART!$A$2:$FA$300, 18, FALSE))</f>
        <v>70.653333333333322</v>
      </c>
      <c r="T20" s="1550">
        <f>IF(VLOOKUP($E$20,[1]QUART!$A$2:$FA$300, 19, FALSE)="",":",VLOOKUP($E$20,[1]QUART!$A$2:$FA$300, 19, FALSE))</f>
        <v>71.856666666666669</v>
      </c>
      <c r="U20" s="1550">
        <f>IF(VLOOKUP($E$20,[1]QUART!$A$2:$FA$300, 20, FALSE)="",":",VLOOKUP($E$20,[1]QUART!$A$2:$FA$300, 20, FALSE))</f>
        <v>67.95</v>
      </c>
      <c r="V20" s="1550">
        <f>IF(VLOOKUP($E$20,[1]QUART!$A$2:$FA$300, 21, FALSE)="",":",VLOOKUP($E$20,[1]QUART!$A$2:$FA$300, 21, FALSE))</f>
        <v>67.643333333333331</v>
      </c>
      <c r="W20" s="1550">
        <f>IF(VLOOKUP($E$20,[1]QUART!$A$2:$FA$300, 22, FALSE)="",":",VLOOKUP($E$20,[1]QUART!$A$2:$FA$300, 22, FALSE))</f>
        <v>67.899999999999991</v>
      </c>
      <c r="X20" s="1550">
        <f>IF(VLOOKUP($E$20,[1]QUART!$A$2:$FA$300, 23, FALSE)="",":",VLOOKUP($E$20,[1]QUART!$A$2:$FA$300, 23, FALSE))</f>
        <v>66.163333333333341</v>
      </c>
      <c r="Y20" s="1550">
        <f>IF(VLOOKUP($E$20,[1]QUART!$A$2:$FA$300, 24, FALSE)="",":",VLOOKUP($E$20,[1]QUART!$A$2:$FA$300, 24, FALSE))</f>
        <v>63.54666666666666</v>
      </c>
      <c r="Z20" s="1550">
        <f>IF(VLOOKUP($E$20,[1]QUART!$A$2:$FA$300, 25, FALSE)="",":",VLOOKUP($E$20,[1]QUART!$A$2:$FA$300, 25, FALSE))</f>
        <v>64.876666666666665</v>
      </c>
      <c r="AA20" s="1550">
        <f>IF(VLOOKUP($E$20,[1]QUART!$A$2:$FA$300, 26, FALSE)="",":",VLOOKUP($E$20,[1]QUART!$A$2:$FA$300, 26, FALSE))</f>
        <v>64.423333333333332</v>
      </c>
      <c r="AB20" s="1550">
        <f>IF(VLOOKUP($E$20,[1]QUART!$A$2:$FA$300, 27, FALSE)="",":",VLOOKUP($E$20,[1]QUART!$A$2:$FA$300, 27, FALSE))</f>
        <v>63.436666666666667</v>
      </c>
      <c r="AC20" s="1550">
        <f>IF(VLOOKUP($E$20,[1]QUART!$A$2:$FA$300, 28, FALSE)="",":",VLOOKUP($E$20,[1]QUART!$A$2:$FA$300, 28, FALSE))</f>
        <v>62.463333333333338</v>
      </c>
      <c r="AD20" s="1550">
        <f>IF(VLOOKUP($E$20,[1]QUART!$A$2:$FA$300, 29, FALSE)="",":",VLOOKUP($E$20,[1]QUART!$A$2:$FA$300, 29, FALSE))</f>
        <v>63.15</v>
      </c>
      <c r="AE20" s="1550">
        <f>IF(VLOOKUP($E$20,[1]QUART!$A$2:$FA$300, 30, FALSE)="",":",VLOOKUP($E$20,[1]QUART!$A$2:$FA$300, 30, FALSE))</f>
        <v>66.036666666666676</v>
      </c>
      <c r="AF20" s="1550">
        <f>IF(VLOOKUP($E$20,[1]QUART!$A$2:$FA$300, 31, FALSE)="",":",VLOOKUP($E$20,[1]QUART!$A$2:$FA$300, 31, FALSE))</f>
        <v>70.48</v>
      </c>
      <c r="AG20" s="1550">
        <f>IF(VLOOKUP($E$20,[1]QUART!$A$2:$FA$300, 32, FALSE)="",":",VLOOKUP($E$20,[1]QUART!$A$2:$FA$300, 32, FALSE))</f>
        <v>69.633333333333326</v>
      </c>
      <c r="AH20" s="1550">
        <f>IF(VLOOKUP($E$20,[1]QUART!$A$2:$FA$300, 33, FALSE)="",":",VLOOKUP($E$20,[1]QUART!$A$2:$FA$300, 33, FALSE))</f>
        <v>70.06</v>
      </c>
      <c r="AI20" s="1550">
        <f>IF(VLOOKUP($E$20,[1]QUART!$A$2:$FA$300, 34, FALSE)="",":",VLOOKUP($E$20,[1]QUART!$A$2:$FA$300, 34, FALSE))</f>
        <v>72.643333333333331</v>
      </c>
      <c r="AJ20" s="1550">
        <f>IF(VLOOKUP($E$20,[1]QUART!$A$2:$FA$300, 35, FALSE)="",":",VLOOKUP($E$20,[1]QUART!$A$2:$FA$300, 35, FALSE))</f>
        <v>69.283333333333346</v>
      </c>
      <c r="AK20" s="1550">
        <f>IF(VLOOKUP($E$20,[1]QUART!$A$2:$FA$300, 36, FALSE)="",":",VLOOKUP($E$20,[1]QUART!$A$2:$FA$300, 36, FALSE))</f>
        <v>65.12</v>
      </c>
      <c r="AL20" s="1550">
        <f>IF(VLOOKUP($E$20,[1]QUART!$A$2:$FA$300, 37, FALSE)="",":",VLOOKUP($E$20,[1]QUART!$A$2:$FA$300, 37, FALSE))</f>
        <v>63.116666666666674</v>
      </c>
      <c r="AM20" s="1550">
        <f>IF(VLOOKUP($E$20,[1]QUART!$A$2:$FA$300, 38, FALSE)="",":",VLOOKUP($E$20,[1]QUART!$A$2:$FA$300, 38, FALSE))</f>
        <v>60.516666666666659</v>
      </c>
      <c r="AN20" s="1550">
        <f>IF(VLOOKUP($E$20,[1]QUART!$A$2:$FA$300, 39, FALSE)="",":",VLOOKUP($E$20,[1]QUART!$A$2:$FA$300, 39, FALSE))</f>
        <v>60.986666666666672</v>
      </c>
      <c r="AO20" s="1550">
        <f>IF(VLOOKUP($E$20,[1]QUART!$A$2:$FA$300, 40, FALSE)="",":",VLOOKUP($E$20,[1]QUART!$A$2:$FA$300, 40, FALSE))</f>
        <v>57.830000000000005</v>
      </c>
      <c r="AP20" s="1550">
        <f>IF(VLOOKUP($E$20,[1]QUART!$A$2:$FA$300, 41, FALSE)="",":",VLOOKUP($E$20,[1]QUART!$A$2:$FA$300, 41, FALSE))</f>
        <v>58.433333333333337</v>
      </c>
      <c r="AQ20" s="1550">
        <f>IF(VLOOKUP($E$20,[1]QUART!$A$2:$FA$300, 42, FALSE)="",":",VLOOKUP($E$20,[1]QUART!$A$2:$FA$300, 42, FALSE))</f>
        <v>58.48</v>
      </c>
      <c r="AR20" s="1550">
        <f>IF(VLOOKUP($E$20,[1]QUART!$A$2:$FA$300, 43, FALSE)="",":",VLOOKUP($E$20,[1]QUART!$A$2:$FA$300, 43, FALSE))</f>
        <v>60.339999999999996</v>
      </c>
      <c r="AS20" s="1550">
        <f>IF(VLOOKUP($E$20,[1]QUART!$A$2:$FA$300, 44, FALSE)="",":",VLOOKUP($E$20,[1]QUART!$A$2:$FA$300, 44, FALSE))</f>
        <v>62.423333333333339</v>
      </c>
      <c r="AT20" s="1550">
        <f>IF(VLOOKUP($E$20,[1]QUART!$A$2:$FA$300, 45, FALSE)="",":",VLOOKUP($E$20,[1]QUART!$A$2:$FA$300, 45, FALSE))</f>
        <v>62.44</v>
      </c>
      <c r="AU20" s="1550">
        <f>IF(VLOOKUP($E$20,[1]QUART!$A$2:$FA$300, 46, FALSE)="",":",VLOOKUP($E$20,[1]QUART!$A$2:$FA$300, 46, FALSE))</f>
        <v>64.156666666666666</v>
      </c>
      <c r="AV20" s="1550">
        <f>IF(VLOOKUP($E$20,[1]QUART!$A$2:$FA$300, 47, FALSE)="",":",VLOOKUP($E$20,[1]QUART!$A$2:$FA$300, 47, FALSE))</f>
        <v>65.546666666666667</v>
      </c>
      <c r="AW20" s="1550">
        <f>IF(VLOOKUP($E$20,[1]QUART!$A$2:$FA$300, 48, FALSE)="",":",VLOOKUP($E$20,[1]QUART!$A$2:$FA$300, 48, FALSE))</f>
        <v>63.98</v>
      </c>
      <c r="AX20" s="1550">
        <f>IF(VLOOKUP($E$20,[1]QUART!$A$2:$FA$300, 49, FALSE)="",":",VLOOKUP($E$20,[1]QUART!$A$2:$FA$300, 49, FALSE))</f>
        <v>65.563333333333333</v>
      </c>
      <c r="AY20" s="1550">
        <f>IF(VLOOKUP($E$20,[1]QUART!$A$2:$FA$300, 50, FALSE)="",":",VLOOKUP($E$20,[1]QUART!$A$2:$FA$300, 50, FALSE))</f>
        <v>68.473333333333329</v>
      </c>
      <c r="AZ20" s="1550">
        <f>IF(VLOOKUP($E$20,[1]QUART!$A$2:$FA$300, 51, FALSE)="",":",VLOOKUP($E$20,[1]QUART!$A$2:$FA$300, 51, FALSE))</f>
        <v>70.606666666666669</v>
      </c>
      <c r="BA20" s="1550">
        <f>IF(VLOOKUP($E$20,[1]QUART!$A$2:$FA$300, 52, FALSE)="",":",VLOOKUP($E$20,[1]QUART!$A$2:$FA$300, 52, FALSE))</f>
        <v>70.429999999999993</v>
      </c>
      <c r="BB20" s="1550">
        <f>IF(VLOOKUP($E$20,[1]QUART!$A$2:$FA$300, 53, FALSE)="",":",VLOOKUP($E$20,[1]QUART!$A$2:$FA$300, 53, FALSE))</f>
        <v>70.64</v>
      </c>
      <c r="BC20" s="1550">
        <f>IF(VLOOKUP($E$20,[1]QUART!$A$2:$FA$300, 54, FALSE)="",":",VLOOKUP($E$20,[1]QUART!$A$2:$FA$300, 54, FALSE))</f>
        <v>73.410000000000011</v>
      </c>
      <c r="BD20" s="1550">
        <f>IF(VLOOKUP($E$20,[1]QUART!$A$2:$FA$300, 55, FALSE)="",":",VLOOKUP($E$20,[1]QUART!$A$2:$FA$300, 55, FALSE))</f>
        <v>75.946666666666658</v>
      </c>
      <c r="BE20" s="1550">
        <f>IF(VLOOKUP($E$20,[1]QUART!$A$2:$FA$300, 56, FALSE)="",":",VLOOKUP($E$20,[1]QUART!$A$2:$FA$300, 56, FALSE))</f>
        <v>76.113333333333344</v>
      </c>
      <c r="BF20" s="1550">
        <f>IF(VLOOKUP($E$20,[1]QUART!$A$2:$FA$300, 57, FALSE)="",":",VLOOKUP($E$20,[1]QUART!$A$2:$FA$300, 57, FALSE))</f>
        <v>78.996666666666655</v>
      </c>
      <c r="BG20" s="1550">
        <f>IF(VLOOKUP($E$20,[1]QUART!$A$2:$FA$300, 58, FALSE)="",":",VLOOKUP($E$20,[1]QUART!$A$2:$FA$300, 58, FALSE))</f>
        <v>83.593333333333334</v>
      </c>
      <c r="BH20" s="1550">
        <f>IF(VLOOKUP($E$20,[1]QUART!$A$2:$FA$300, 59, FALSE)="",":",VLOOKUP($E$20,[1]QUART!$A$2:$FA$300, 59, FALSE))</f>
        <v>87.683333333333337</v>
      </c>
      <c r="BI20" s="1550">
        <f>IF(VLOOKUP($E$20,[1]QUART!$A$2:$FA$300, 60, FALSE)="",":",VLOOKUP($E$20,[1]QUART!$A$2:$FA$300, 60, FALSE))</f>
        <v>88.483333333333348</v>
      </c>
      <c r="BJ20" s="1550">
        <f>IF(VLOOKUP($E$20,[1]QUART!$A$2:$FA$300, 61, FALSE)="",":",VLOOKUP($E$20,[1]QUART!$A$2:$FA$300, 61, FALSE))</f>
        <v>90.776666666666657</v>
      </c>
      <c r="BK20" s="1550">
        <f>IF(VLOOKUP($E$20,[1]QUART!$A$2:$FA$300, 62, FALSE)="",":",VLOOKUP($E$20,[1]QUART!$A$2:$FA$300, 62, FALSE))</f>
        <v>94.139999999999986</v>
      </c>
      <c r="BL20" s="1550">
        <f>IF(VLOOKUP($E$20,[1]QUART!$A$2:$FA$300, 63, FALSE)="",":",VLOOKUP($E$20,[1]QUART!$A$2:$FA$300, 63, FALSE))</f>
        <v>92.473333333333315</v>
      </c>
      <c r="BM20" s="1550">
        <f>IF(VLOOKUP($E$20,[1]QUART!$A$2:$FA$300, 64, FALSE)="",":",VLOOKUP($E$20,[1]QUART!$A$2:$FA$300, 64, FALSE))</f>
        <v>88.336666666666659</v>
      </c>
      <c r="BN20" s="1550">
        <f>IF(VLOOKUP($E$20,[1]QUART!$A$2:$FA$300, 65, FALSE)="",":",VLOOKUP($E$20,[1]QUART!$A$2:$FA$300, 65, FALSE))</f>
        <v>86.476666666666674</v>
      </c>
      <c r="BO20" s="1550">
        <f>IF(VLOOKUP($E$20,[1]QUART!$A$2:$FA$300, 66, FALSE)="",":",VLOOKUP($E$20,[1]QUART!$A$2:$FA$300, 66, FALSE))</f>
        <v>87.149999999999991</v>
      </c>
      <c r="BP20" s="1550">
        <f>IF(VLOOKUP($E$20,[1]QUART!$A$2:$FA$300, 67, FALSE)="",":",VLOOKUP($E$20,[1]QUART!$A$2:$FA$300, 67, FALSE))</f>
        <v>88.796666666666667</v>
      </c>
      <c r="BQ20" s="1550">
        <f>IF(VLOOKUP($E$20,[1]QUART!$A$2:$FA$300, 68, FALSE)="",":",VLOOKUP($E$20,[1]QUART!$A$2:$FA$300, 68, FALSE))</f>
        <v>88.029999999999987</v>
      </c>
      <c r="BR20" s="1550">
        <f>IF(VLOOKUP($E$20,[1]QUART!$A$2:$FA$300, 69, FALSE)="",":",VLOOKUP($E$20,[1]QUART!$A$2:$FA$300, 69, FALSE))</f>
        <v>89.106666666666669</v>
      </c>
      <c r="BS20" s="1550">
        <f>IF(VLOOKUP($E$20,[1]QUART!$A$2:$FA$300, 70, FALSE)="",":",VLOOKUP($E$20,[1]QUART!$A$2:$FA$300, 70, FALSE))</f>
        <v>91.99666666666667</v>
      </c>
      <c r="BT20" s="1550">
        <f>IF(VLOOKUP($E$20,[1]QUART!$A$2:$FA$300, 71, FALSE)="",":",VLOOKUP($E$20,[1]QUART!$A$2:$FA$300, 71, FALSE))</f>
        <v>95.716666666666654</v>
      </c>
      <c r="BU20" s="1550">
        <f>IF(VLOOKUP($E$20,[1]QUART!$A$2:$FA$300, 72, FALSE)="",":",VLOOKUP($E$20,[1]QUART!$A$2:$FA$300, 72, FALSE))</f>
        <v>91.536666666666676</v>
      </c>
      <c r="BV20" s="1550">
        <f>IF(VLOOKUP($E$20,[1]QUART!$A$2:$FA$300, 73, FALSE)="",":",VLOOKUP($E$20,[1]QUART!$A$2:$FA$300, 73, FALSE))</f>
        <v>91.583333333333329</v>
      </c>
      <c r="BW20" s="1550">
        <f>IF(VLOOKUP($E$20,[1]QUART!$A$2:$FA$300, 74, FALSE)="",":",VLOOKUP($E$20,[1]QUART!$A$2:$FA$300, 74, FALSE))</f>
        <v>94.719999999999985</v>
      </c>
      <c r="BX20" s="1550">
        <f>IF(VLOOKUP($E$20,[1]QUART!$A$2:$FA$300, 75, FALSE)="",":",VLOOKUP($E$20,[1]QUART!$A$2:$FA$300, 75, FALSE))</f>
        <v>96.40333333333335</v>
      </c>
      <c r="BY20" s="1550">
        <f>IF(VLOOKUP($E$20,[1]QUART!$A$2:$FA$300, 76, FALSE)="",":",VLOOKUP($E$20,[1]QUART!$A$2:$FA$300, 76, FALSE))</f>
        <v>95.443333333333328</v>
      </c>
      <c r="BZ20" s="1550">
        <f>IF(VLOOKUP($E$20,[1]QUART!$A$2:$FA$300, 77, FALSE)="",":",VLOOKUP($E$20,[1]QUART!$A$2:$FA$300, 77, FALSE))</f>
        <v>96.666666666666671</v>
      </c>
      <c r="CA20" s="1550">
        <f>IF(VLOOKUP($E$20,[1]QUART!$A$2:$FA$300, 78, FALSE)="",":",VLOOKUP($E$20,[1]QUART!$A$2:$FA$300, 78, FALSE))</f>
        <v>99.36333333333333</v>
      </c>
      <c r="CB20" s="1550">
        <f>IF(VLOOKUP($E$20,[1]QUART!$A$2:$FA$300, 79, FALSE)="",":",VLOOKUP($E$20,[1]QUART!$A$2:$FA$300, 79, FALSE))</f>
        <v>101.20666666666666</v>
      </c>
      <c r="CC20" s="1550">
        <f>IF(VLOOKUP($E$20,[1]QUART!$A$2:$FA$300, 80, FALSE)="",":",VLOOKUP($E$20,[1]QUART!$A$2:$FA$300, 80, FALSE))</f>
        <v>97.883333333333326</v>
      </c>
      <c r="CD20" s="1550">
        <f>IF(VLOOKUP($E$20,[1]QUART!$A$2:$FA$300, 81, FALSE)="",":",VLOOKUP($E$20,[1]QUART!$A$2:$FA$300, 81, FALSE))</f>
        <v>97.186666666666667</v>
      </c>
      <c r="CE20" s="1550">
        <f>IF(VLOOKUP($E$20,[1]QUART!$A$2:$FA$300, 82, FALSE)="",":",VLOOKUP($E$20,[1]QUART!$A$2:$FA$300, 82, FALSE))</f>
        <v>100.02666666666666</v>
      </c>
      <c r="CF20" s="1550">
        <f>IF(VLOOKUP($E$20,[1]QUART!$A$2:$FA$300, 83, FALSE)="",":",VLOOKUP($E$20,[1]QUART!$A$2:$FA$300, 83, FALSE))</f>
        <v>101.25333333333333</v>
      </c>
      <c r="CG20" s="1550">
        <f>IF(VLOOKUP($E$20,[1]QUART!$A$2:$FA$300, 84, FALSE)="",":",VLOOKUP($E$20,[1]QUART!$A$2:$FA$300, 84, FALSE))</f>
        <v>98.226666666666674</v>
      </c>
      <c r="CH20" s="1550">
        <f>IF(VLOOKUP($E$20,[1]QUART!$A$2:$FA$300, 85, FALSE)="",":",VLOOKUP($E$20,[1]QUART!$A$2:$FA$300, 85, FALSE))</f>
        <v>97.466666666666654</v>
      </c>
      <c r="CI20" s="1550">
        <f>IF(VLOOKUP($E$20,[1]QUART!$A$2:$FA$300, 86, FALSE)="",":",VLOOKUP($E$20,[1]QUART!$A$2:$FA$300, 86, FALSE))</f>
        <v>98.636666666666656</v>
      </c>
      <c r="CJ20" s="1550">
        <f>IF(VLOOKUP($E$20,[1]QUART!$A$2:$FA$300, 87, FALSE)="",":",VLOOKUP($E$20,[1]QUART!$A$2:$FA$300, 87, FALSE))</f>
        <v>103.11</v>
      </c>
      <c r="CK20" s="1550">
        <f>IF(VLOOKUP($E$20,[1]QUART!$A$2:$FA$300, 88, FALSE)="",":",VLOOKUP($E$20,[1]QUART!$A$2:$FA$300, 88, FALSE))</f>
        <v>98.173333333333332</v>
      </c>
      <c r="CL20" s="1550">
        <f>IF(VLOOKUP($E$20,[1]QUART!$A$2:$FA$300, 89, FALSE)="",":",VLOOKUP($E$20,[1]QUART!$A$2:$FA$300, 89, FALSE))</f>
        <v>100.08333333333333</v>
      </c>
      <c r="CM20" s="1550">
        <f>IF(VLOOKUP($E$20,[1]QUART!$A$2:$FA$300, 90, FALSE)="",":",VLOOKUP($E$20,[1]QUART!$A$2:$FA$300, 90, FALSE))</f>
        <v>101.03333333333335</v>
      </c>
      <c r="CN20" s="1550">
        <f>IF(VLOOKUP($E$20,[1]QUART!$A$2:$FA$300, 91, FALSE)="",":",VLOOKUP($E$20,[1]QUART!$A$2:$FA$300, 91, FALSE))</f>
        <v>105.52666666666666</v>
      </c>
      <c r="CO20" s="1550">
        <f>IF(VLOOKUP($E$20,[1]QUART!$A$2:$FA$300, 92, FALSE)="",":",VLOOKUP($E$20,[1]QUART!$A$2:$FA$300, 92, FALSE))</f>
        <v>99.823333333333323</v>
      </c>
      <c r="CP20" s="1550">
        <f>IF(VLOOKUP($E$20,[1]QUART!$A$2:$FA$300, 93, FALSE)="",":",VLOOKUP($E$20,[1]QUART!$A$2:$FA$300, 93, FALSE))</f>
        <v>99.68</v>
      </c>
      <c r="CQ20" s="1550">
        <f>IF(VLOOKUP($E$20,[1]QUART!$A$2:$FA$300, 94, FALSE)="",":",VLOOKUP($E$20,[1]QUART!$A$2:$FA$300, 94, FALSE))</f>
        <v>103.72333333333331</v>
      </c>
      <c r="CR20" s="1550">
        <f>IF(VLOOKUP($E$20,[1]QUART!$A$2:$FA$300, 95, FALSE)="",":",VLOOKUP($E$20,[1]QUART!$A$2:$FA$300, 95, FALSE))</f>
        <v>104.08666666666666</v>
      </c>
      <c r="CS20" s="1550">
        <f>IF(VLOOKUP($E$20,[1]QUART!$A$2:$FA$300, 96, FALSE)="",":",VLOOKUP($E$20,[1]QUART!$A$2:$FA$300, 96, FALSE))</f>
        <v>101.69333333333333</v>
      </c>
      <c r="CT20" s="1550">
        <f>IF(VLOOKUP($E$20,[1]QUART!$A$2:$FA$300, 97, FALSE)="",":",VLOOKUP($E$20,[1]QUART!$A$2:$FA$300, 97, FALSE))</f>
        <v>103.21</v>
      </c>
      <c r="CU20" s="1550" t="str">
        <f>IF(VLOOKUP($E$20,[1]QUART!$A$2:$FA$300, 98, FALSE)="",":",VLOOKUP($E$20,[1]QUART!$A$2:$FA$300, 98, FALSE))</f>
        <v>:</v>
      </c>
      <c r="CV20" s="1550" t="str">
        <f>IF(VLOOKUP($E$20,[1]QUART!$A$2:$FA$300, 99, FALSE)="",":",VLOOKUP($E$20,[1]QUART!$A$2:$FA$300, 99, FALSE))</f>
        <v>:</v>
      </c>
      <c r="CW20" s="1550" t="str">
        <f>IF(VLOOKUP($E$20,[1]QUART!$A$2:$FA$300, 100, FALSE)="",":",VLOOKUP($E$20,[1]QUART!$A$2:$FA$300, 100, FALSE))</f>
        <v>:</v>
      </c>
      <c r="CX20" s="1550" t="str">
        <f>IF(VLOOKUP($E$20,[1]QUART!$A$2:$FA$300, 101, FALSE)="",":",VLOOKUP($E$20,[1]QUART!$A$2:$FA$300, 101, FALSE))</f>
        <v>:</v>
      </c>
      <c r="CY20" s="1550" t="str">
        <f>IF(VLOOKUP($E$20,[1]QUART!$A$2:$FA$300, 102, FALSE)="",":",VLOOKUP($E$20,[1]QUART!$A$2:$FA$300, 102, FALSE))</f>
        <v>:</v>
      </c>
      <c r="CZ20" s="1550" t="str">
        <f>IF(VLOOKUP($E$20,[1]QUART!$A$2:$FA$300, 103, FALSE)="",":",VLOOKUP($E$20,[1]QUART!$A$2:$FA$300, 103, FALSE))</f>
        <v>:</v>
      </c>
      <c r="DA20" s="1550" t="str">
        <f>IF(VLOOKUP($E$20,[1]QUART!$A$2:$FA$300, 104, FALSE)="",":",VLOOKUP($E$20,[1]QUART!$A$2:$FA$300, 104, FALSE))</f>
        <v>:</v>
      </c>
      <c r="DB20" s="1550" t="str">
        <f>IF(VLOOKUP($E$20,[1]QUART!$A$2:$FA$300, 105, FALSE)="",":",VLOOKUP($E$20,[1]QUART!$A$2:$FA$300, 105, FALSE))</f>
        <v>:</v>
      </c>
      <c r="DC20" s="1550" t="str">
        <f>IF(VLOOKUP($E$20,[1]QUART!$A$2:$FA$300, 106, FALSE)="",":",VLOOKUP($E$20,[1]QUART!$A$2:$FA$300, 106, FALSE))</f>
        <v>:</v>
      </c>
    </row>
    <row r="21" spans="1:107">
      <c r="A21" s="1546">
        <v>170</v>
      </c>
      <c r="B21" s="1551" t="s">
        <v>445</v>
      </c>
      <c r="C21" s="1552"/>
      <c r="D21" s="1547" t="s">
        <v>1841</v>
      </c>
      <c r="E21" s="1548">
        <v>94</v>
      </c>
      <c r="F21" s="1549" t="str">
        <f>VLOOKUP($E$21,[1]QUART!$A$2:$FA$300, 3, FALSE)</f>
        <v>94 HICP Processed food incl. alcohol and tobacco</v>
      </c>
      <c r="G21" s="1550" t="str">
        <f>IF(VLOOKUP($E$21,[1]QUART!$A$2:$FA$300, 6, FALSE)="",":",VLOOKUP($E$21,[1]QUART!$A$2:$FA$300, 6, FALSE))</f>
        <v>:</v>
      </c>
      <c r="H21" s="1550" t="str">
        <f>IF(VLOOKUP($E$21,[1]QUART!$A$2:$FA$300, 7, FALSE)="",":",VLOOKUP($E$21,[1]QUART!$A$2:$FA$300, 7, FALSE))</f>
        <v>:</v>
      </c>
      <c r="I21" s="1550" t="str">
        <f>IF(VLOOKUP($E$21,[1]QUART!$A$2:$FA$300, 8, FALSE)="",":",VLOOKUP($E$21,[1]QUART!$A$2:$FA$300, 8, FALSE))</f>
        <v>:</v>
      </c>
      <c r="J21" s="1550" t="str">
        <f>IF(VLOOKUP($E$21,[1]QUART!$A$2:$FA$300, 9, FALSE)="",":",VLOOKUP($E$21,[1]QUART!$A$2:$FA$300, 9, FALSE))</f>
        <v>:</v>
      </c>
      <c r="K21" s="1550">
        <f>IF(VLOOKUP($E$21,[1]QUART!$A$2:$FA$300, 10, FALSE)="",":",VLOOKUP($E$21,[1]QUART!$A$2:$FA$300, 10, FALSE))</f>
        <v>51.303333333333335</v>
      </c>
      <c r="L21" s="1550">
        <f>IF(VLOOKUP($E$21,[1]QUART!$A$2:$FA$300, 11, FALSE)="",":",VLOOKUP($E$21,[1]QUART!$A$2:$FA$300, 11, FALSE))</f>
        <v>52.196666666666665</v>
      </c>
      <c r="M21" s="1550">
        <f>IF(VLOOKUP($E$21,[1]QUART!$A$2:$FA$300, 12, FALSE)="",":",VLOOKUP($E$21,[1]QUART!$A$2:$FA$300, 12, FALSE))</f>
        <v>52.803333333333335</v>
      </c>
      <c r="N21" s="1550">
        <f>IF(VLOOKUP($E$21,[1]QUART!$A$2:$FA$300, 13, FALSE)="",":",VLOOKUP($E$21,[1]QUART!$A$2:$FA$300, 13, FALSE))</f>
        <v>54.393333333333338</v>
      </c>
      <c r="O21" s="1550">
        <f>IF(VLOOKUP($E$21,[1]QUART!$A$2:$FA$300, 14, FALSE)="",":",VLOOKUP($E$21,[1]QUART!$A$2:$FA$300, 14, FALSE))</f>
        <v>57.24666666666667</v>
      </c>
      <c r="P21" s="1550">
        <f>IF(VLOOKUP($E$21,[1]QUART!$A$2:$FA$300, 15, FALSE)="",":",VLOOKUP($E$21,[1]QUART!$A$2:$FA$300, 15, FALSE))</f>
        <v>57.493333333333332</v>
      </c>
      <c r="Q21" s="1550">
        <f>IF(VLOOKUP($E$21,[1]QUART!$A$2:$FA$300, 16, FALSE)="",":",VLOOKUP($E$21,[1]QUART!$A$2:$FA$300, 16, FALSE))</f>
        <v>57.646666666666668</v>
      </c>
      <c r="R21" s="1550">
        <f>IF(VLOOKUP($E$21,[1]QUART!$A$2:$FA$300, 17, FALSE)="",":",VLOOKUP($E$21,[1]QUART!$A$2:$FA$300, 17, FALSE))</f>
        <v>58.386666666666663</v>
      </c>
      <c r="S21" s="1550">
        <f>IF(VLOOKUP($E$21,[1]QUART!$A$2:$FA$300, 18, FALSE)="",":",VLOOKUP($E$21,[1]QUART!$A$2:$FA$300, 18, FALSE))</f>
        <v>58.986666666666657</v>
      </c>
      <c r="T21" s="1550">
        <f>IF(VLOOKUP($E$21,[1]QUART!$A$2:$FA$300, 19, FALSE)="",":",VLOOKUP($E$21,[1]QUART!$A$2:$FA$300, 19, FALSE))</f>
        <v>58.76</v>
      </c>
      <c r="U21" s="1550">
        <f>IF(VLOOKUP($E$21,[1]QUART!$A$2:$FA$300, 20, FALSE)="",":",VLOOKUP($E$21,[1]QUART!$A$2:$FA$300, 20, FALSE))</f>
        <v>57.956666666666671</v>
      </c>
      <c r="V21" s="1550">
        <f>IF(VLOOKUP($E$21,[1]QUART!$A$2:$FA$300, 21, FALSE)="",":",VLOOKUP($E$21,[1]QUART!$A$2:$FA$300, 21, FALSE))</f>
        <v>57.906666666666666</v>
      </c>
      <c r="W21" s="1550">
        <f>IF(VLOOKUP($E$21,[1]QUART!$A$2:$FA$300, 22, FALSE)="",":",VLOOKUP($E$21,[1]QUART!$A$2:$FA$300, 22, FALSE))</f>
        <v>58.803333333333335</v>
      </c>
      <c r="X21" s="1550">
        <f>IF(VLOOKUP($E$21,[1]QUART!$A$2:$FA$300, 23, FALSE)="",":",VLOOKUP($E$21,[1]QUART!$A$2:$FA$300, 23, FALSE))</f>
        <v>58.379999999999995</v>
      </c>
      <c r="Y21" s="1550">
        <f>IF(VLOOKUP($E$21,[1]QUART!$A$2:$FA$300, 24, FALSE)="",":",VLOOKUP($E$21,[1]QUART!$A$2:$FA$300, 24, FALSE))</f>
        <v>58.346666666666671</v>
      </c>
      <c r="Z21" s="1550">
        <f>IF(VLOOKUP($E$21,[1]QUART!$A$2:$FA$300, 25, FALSE)="",":",VLOOKUP($E$21,[1]QUART!$A$2:$FA$300, 25, FALSE))</f>
        <v>56.633333333333333</v>
      </c>
      <c r="AA21" s="1550">
        <f>IF(VLOOKUP($E$21,[1]QUART!$A$2:$FA$300, 26, FALSE)="",":",VLOOKUP($E$21,[1]QUART!$A$2:$FA$300, 26, FALSE))</f>
        <v>56.386666666666663</v>
      </c>
      <c r="AB21" s="1550">
        <f>IF(VLOOKUP($E$21,[1]QUART!$A$2:$FA$300, 27, FALSE)="",":",VLOOKUP($E$21,[1]QUART!$A$2:$FA$300, 27, FALSE))</f>
        <v>55.586666666666666</v>
      </c>
      <c r="AC21" s="1550">
        <f>IF(VLOOKUP($E$21,[1]QUART!$A$2:$FA$300, 28, FALSE)="",":",VLOOKUP($E$21,[1]QUART!$A$2:$FA$300, 28, FALSE))</f>
        <v>55.686666666666667</v>
      </c>
      <c r="AD21" s="1550">
        <f>IF(VLOOKUP($E$21,[1]QUART!$A$2:$FA$300, 29, FALSE)="",":",VLOOKUP($E$21,[1]QUART!$A$2:$FA$300, 29, FALSE))</f>
        <v>55.589999999999996</v>
      </c>
      <c r="AE21" s="1550">
        <f>IF(VLOOKUP($E$21,[1]QUART!$A$2:$FA$300, 30, FALSE)="",":",VLOOKUP($E$21,[1]QUART!$A$2:$FA$300, 30, FALSE))</f>
        <v>55.79999999999999</v>
      </c>
      <c r="AF21" s="1550">
        <f>IF(VLOOKUP($E$21,[1]QUART!$A$2:$FA$300, 31, FALSE)="",":",VLOOKUP($E$21,[1]QUART!$A$2:$FA$300, 31, FALSE))</f>
        <v>55.44</v>
      </c>
      <c r="AG21" s="1550">
        <f>IF(VLOOKUP($E$21,[1]QUART!$A$2:$FA$300, 32, FALSE)="",":",VLOOKUP($E$21,[1]QUART!$A$2:$FA$300, 32, FALSE))</f>
        <v>55.45333333333334</v>
      </c>
      <c r="AH21" s="1550">
        <f>IF(VLOOKUP($E$21,[1]QUART!$A$2:$FA$300, 33, FALSE)="",":",VLOOKUP($E$21,[1]QUART!$A$2:$FA$300, 33, FALSE))</f>
        <v>56.113333333333337</v>
      </c>
      <c r="AI21" s="1550">
        <f>IF(VLOOKUP($E$21,[1]QUART!$A$2:$FA$300, 34, FALSE)="",":",VLOOKUP($E$21,[1]QUART!$A$2:$FA$300, 34, FALSE))</f>
        <v>56.613333333333337</v>
      </c>
      <c r="AJ21" s="1550">
        <f>IF(VLOOKUP($E$21,[1]QUART!$A$2:$FA$300, 35, FALSE)="",":",VLOOKUP($E$21,[1]QUART!$A$2:$FA$300, 35, FALSE))</f>
        <v>55.886666666666663</v>
      </c>
      <c r="AK21" s="1550">
        <f>IF(VLOOKUP($E$21,[1]QUART!$A$2:$FA$300, 36, FALSE)="",":",VLOOKUP($E$21,[1]QUART!$A$2:$FA$300, 36, FALSE))</f>
        <v>55.646666666666668</v>
      </c>
      <c r="AL21" s="1550">
        <f>IF(VLOOKUP($E$21,[1]QUART!$A$2:$FA$300, 37, FALSE)="",":",VLOOKUP($E$21,[1]QUART!$A$2:$FA$300, 37, FALSE))</f>
        <v>56.393333333333338</v>
      </c>
      <c r="AM21" s="1550">
        <f>IF(VLOOKUP($E$21,[1]QUART!$A$2:$FA$300, 38, FALSE)="",":",VLOOKUP($E$21,[1]QUART!$A$2:$FA$300, 38, FALSE))</f>
        <v>57.726666666666667</v>
      </c>
      <c r="AN21" s="1550">
        <f>IF(VLOOKUP($E$21,[1]QUART!$A$2:$FA$300, 39, FALSE)="",":",VLOOKUP($E$21,[1]QUART!$A$2:$FA$300, 39, FALSE))</f>
        <v>57.963333333333331</v>
      </c>
      <c r="AO21" s="1550">
        <f>IF(VLOOKUP($E$21,[1]QUART!$A$2:$FA$300, 40, FALSE)="",":",VLOOKUP($E$21,[1]QUART!$A$2:$FA$300, 40, FALSE))</f>
        <v>57.81</v>
      </c>
      <c r="AP21" s="1550">
        <f>IF(VLOOKUP($E$21,[1]QUART!$A$2:$FA$300, 41, FALSE)="",":",VLOOKUP($E$21,[1]QUART!$A$2:$FA$300, 41, FALSE))</f>
        <v>58.016666666666673</v>
      </c>
      <c r="AQ21" s="1550">
        <f>IF(VLOOKUP($E$21,[1]QUART!$A$2:$FA$300, 42, FALSE)="",":",VLOOKUP($E$21,[1]QUART!$A$2:$FA$300, 42, FALSE))</f>
        <v>58.616666666666667</v>
      </c>
      <c r="AR21" s="1550">
        <f>IF(VLOOKUP($E$21,[1]QUART!$A$2:$FA$300, 43, FALSE)="",":",VLOOKUP($E$21,[1]QUART!$A$2:$FA$300, 43, FALSE))</f>
        <v>59.370000000000005</v>
      </c>
      <c r="AS21" s="1550">
        <f>IF(VLOOKUP($E$21,[1]QUART!$A$2:$FA$300, 44, FALSE)="",":",VLOOKUP($E$21,[1]QUART!$A$2:$FA$300, 44, FALSE))</f>
        <v>59.376666666666665</v>
      </c>
      <c r="AT21" s="1550">
        <f>IF(VLOOKUP($E$21,[1]QUART!$A$2:$FA$300, 45, FALSE)="",":",VLOOKUP($E$21,[1]QUART!$A$2:$FA$300, 45, FALSE))</f>
        <v>59.48</v>
      </c>
      <c r="AU21" s="1550">
        <f>IF(VLOOKUP($E$21,[1]QUART!$A$2:$FA$300, 46, FALSE)="",":",VLOOKUP($E$21,[1]QUART!$A$2:$FA$300, 46, FALSE))</f>
        <v>59.949999999999996</v>
      </c>
      <c r="AV21" s="1550">
        <f>IF(VLOOKUP($E$21,[1]QUART!$A$2:$FA$300, 47, FALSE)="",":",VLOOKUP($E$21,[1]QUART!$A$2:$FA$300, 47, FALSE))</f>
        <v>60.04999999999999</v>
      </c>
      <c r="AW21" s="1550">
        <f>IF(VLOOKUP($E$21,[1]QUART!$A$2:$FA$300, 48, FALSE)="",":",VLOOKUP($E$21,[1]QUART!$A$2:$FA$300, 48, FALSE))</f>
        <v>59.890000000000008</v>
      </c>
      <c r="AX21" s="1550">
        <f>IF(VLOOKUP($E$21,[1]QUART!$A$2:$FA$300, 49, FALSE)="",":",VLOOKUP($E$21,[1]QUART!$A$2:$FA$300, 49, FALSE))</f>
        <v>60.286666666666669</v>
      </c>
      <c r="AY21" s="1550">
        <f>IF(VLOOKUP($E$21,[1]QUART!$A$2:$FA$300, 50, FALSE)="",":",VLOOKUP($E$21,[1]QUART!$A$2:$FA$300, 50, FALSE))</f>
        <v>60.48</v>
      </c>
      <c r="AZ21" s="1550">
        <f>IF(VLOOKUP($E$21,[1]QUART!$A$2:$FA$300, 51, FALSE)="",":",VLOOKUP($E$21,[1]QUART!$A$2:$FA$300, 51, FALSE))</f>
        <v>60.84</v>
      </c>
      <c r="BA21" s="1550">
        <f>IF(VLOOKUP($E$21,[1]QUART!$A$2:$FA$300, 52, FALSE)="",":",VLOOKUP($E$21,[1]QUART!$A$2:$FA$300, 52, FALSE))</f>
        <v>61.823333333333331</v>
      </c>
      <c r="BB21" s="1550">
        <f>IF(VLOOKUP($E$21,[1]QUART!$A$2:$FA$300, 53, FALSE)="",":",VLOOKUP($E$21,[1]QUART!$A$2:$FA$300, 53, FALSE))</f>
        <v>63.593333333333334</v>
      </c>
      <c r="BC21" s="1550">
        <f>IF(VLOOKUP($E$21,[1]QUART!$A$2:$FA$300, 54, FALSE)="",":",VLOOKUP($E$21,[1]QUART!$A$2:$FA$300, 54, FALSE))</f>
        <v>65.076666666666668</v>
      </c>
      <c r="BD21" s="1550">
        <f>IF(VLOOKUP($E$21,[1]QUART!$A$2:$FA$300, 55, FALSE)="",":",VLOOKUP($E$21,[1]QUART!$A$2:$FA$300, 55, FALSE))</f>
        <v>66.266666666666666</v>
      </c>
      <c r="BE21" s="1550">
        <f>IF(VLOOKUP($E$21,[1]QUART!$A$2:$FA$300, 56, FALSE)="",":",VLOOKUP($E$21,[1]QUART!$A$2:$FA$300, 56, FALSE))</f>
        <v>68.59333333333332</v>
      </c>
      <c r="BF21" s="1550">
        <f>IF(VLOOKUP($E$21,[1]QUART!$A$2:$FA$300, 57, FALSE)="",":",VLOOKUP($E$21,[1]QUART!$A$2:$FA$300, 57, FALSE))</f>
        <v>72.576666666666668</v>
      </c>
      <c r="BG21" s="1550">
        <f>IF(VLOOKUP($E$21,[1]QUART!$A$2:$FA$300, 58, FALSE)="",":",VLOOKUP($E$21,[1]QUART!$A$2:$FA$300, 58, FALSE))</f>
        <v>76.00333333333333</v>
      </c>
      <c r="BH21" s="1550">
        <f>IF(VLOOKUP($E$21,[1]QUART!$A$2:$FA$300, 59, FALSE)="",":",VLOOKUP($E$21,[1]QUART!$A$2:$FA$300, 59, FALSE))</f>
        <v>79.02</v>
      </c>
      <c r="BI21" s="1550">
        <f>IF(VLOOKUP($E$21,[1]QUART!$A$2:$FA$300, 60, FALSE)="",":",VLOOKUP($E$21,[1]QUART!$A$2:$FA$300, 60, FALSE))</f>
        <v>80.173333333333332</v>
      </c>
      <c r="BJ21" s="1550">
        <f>IF(VLOOKUP($E$21,[1]QUART!$A$2:$FA$300, 61, FALSE)="",":",VLOOKUP($E$21,[1]QUART!$A$2:$FA$300, 61, FALSE))</f>
        <v>80.666666666666671</v>
      </c>
      <c r="BK21" s="1550">
        <f>IF(VLOOKUP($E$21,[1]QUART!$A$2:$FA$300, 62, FALSE)="",":",VLOOKUP($E$21,[1]QUART!$A$2:$FA$300, 62, FALSE))</f>
        <v>82.433333333333337</v>
      </c>
      <c r="BL21" s="1550">
        <f>IF(VLOOKUP($E$21,[1]QUART!$A$2:$FA$300, 63, FALSE)="",":",VLOOKUP($E$21,[1]QUART!$A$2:$FA$300, 63, FALSE))</f>
        <v>83.463333333333324</v>
      </c>
      <c r="BM21" s="1550">
        <f>IF(VLOOKUP($E$21,[1]QUART!$A$2:$FA$300, 64, FALSE)="",":",VLOOKUP($E$21,[1]QUART!$A$2:$FA$300, 64, FALSE))</f>
        <v>83.036666666666676</v>
      </c>
      <c r="BN21" s="1550">
        <f>IF(VLOOKUP($E$21,[1]QUART!$A$2:$FA$300, 65, FALSE)="",":",VLOOKUP($E$21,[1]QUART!$A$2:$FA$300, 65, FALSE))</f>
        <v>85.320000000000007</v>
      </c>
      <c r="BO21" s="1550">
        <f>IF(VLOOKUP($E$21,[1]QUART!$A$2:$FA$300, 66, FALSE)="",":",VLOOKUP($E$21,[1]QUART!$A$2:$FA$300, 66, FALSE))</f>
        <v>86.65000000000002</v>
      </c>
      <c r="BP21" s="1550">
        <f>IF(VLOOKUP($E$21,[1]QUART!$A$2:$FA$300, 67, FALSE)="",":",VLOOKUP($E$21,[1]QUART!$A$2:$FA$300, 67, FALSE))</f>
        <v>87.320000000000007</v>
      </c>
      <c r="BQ21" s="1550">
        <f>IF(VLOOKUP($E$21,[1]QUART!$A$2:$FA$300, 68, FALSE)="",":",VLOOKUP($E$21,[1]QUART!$A$2:$FA$300, 68, FALSE))</f>
        <v>88.00333333333333</v>
      </c>
      <c r="BR21" s="1550">
        <f>IF(VLOOKUP($E$21,[1]QUART!$A$2:$FA$300, 69, FALSE)="",":",VLOOKUP($E$21,[1]QUART!$A$2:$FA$300, 69, FALSE))</f>
        <v>89.713333333333324</v>
      </c>
      <c r="BS21" s="1550">
        <f>IF(VLOOKUP($E$21,[1]QUART!$A$2:$FA$300, 70, FALSE)="",":",VLOOKUP($E$21,[1]QUART!$A$2:$FA$300, 70, FALSE))</f>
        <v>91.903333333333322</v>
      </c>
      <c r="BT21" s="1550">
        <f>IF(VLOOKUP($E$21,[1]QUART!$A$2:$FA$300, 71, FALSE)="",":",VLOOKUP($E$21,[1]QUART!$A$2:$FA$300, 71, FALSE))</f>
        <v>94.480000000000018</v>
      </c>
      <c r="BU21" s="1550">
        <f>IF(VLOOKUP($E$21,[1]QUART!$A$2:$FA$300, 72, FALSE)="",":",VLOOKUP($E$21,[1]QUART!$A$2:$FA$300, 72, FALSE))</f>
        <v>94.893333333333317</v>
      </c>
      <c r="BV21" s="1550">
        <f>IF(VLOOKUP($E$21,[1]QUART!$A$2:$FA$300, 73, FALSE)="",":",VLOOKUP($E$21,[1]QUART!$A$2:$FA$300, 73, FALSE))</f>
        <v>95.089999999999989</v>
      </c>
      <c r="BW21" s="1550">
        <f>IF(VLOOKUP($E$21,[1]QUART!$A$2:$FA$300, 74, FALSE)="",":",VLOOKUP($E$21,[1]QUART!$A$2:$FA$300, 74, FALSE))</f>
        <v>96.106666666666669</v>
      </c>
      <c r="BX21" s="1550">
        <f>IF(VLOOKUP($E$21,[1]QUART!$A$2:$FA$300, 75, FALSE)="",":",VLOOKUP($E$21,[1]QUART!$A$2:$FA$300, 75, FALSE))</f>
        <v>97.220000000000013</v>
      </c>
      <c r="BY21" s="1550">
        <f>IF(VLOOKUP($E$21,[1]QUART!$A$2:$FA$300, 76, FALSE)="",":",VLOOKUP($E$21,[1]QUART!$A$2:$FA$300, 76, FALSE))</f>
        <v>97.446666666666673</v>
      </c>
      <c r="BZ21" s="1550">
        <f>IF(VLOOKUP($E$21,[1]QUART!$A$2:$FA$300, 77, FALSE)="",":",VLOOKUP($E$21,[1]QUART!$A$2:$FA$300, 77, FALSE))</f>
        <v>97.406666666666652</v>
      </c>
      <c r="CA21" s="1550">
        <f>IF(VLOOKUP($E$21,[1]QUART!$A$2:$FA$300, 78, FALSE)="",":",VLOOKUP($E$21,[1]QUART!$A$2:$FA$300, 78, FALSE))</f>
        <v>97.89</v>
      </c>
      <c r="CB21" s="1550">
        <f>IF(VLOOKUP($E$21,[1]QUART!$A$2:$FA$300, 79, FALSE)="",":",VLOOKUP($E$21,[1]QUART!$A$2:$FA$300, 79, FALSE))</f>
        <v>98.043333333333337</v>
      </c>
      <c r="CC21" s="1550">
        <f>IF(VLOOKUP($E$21,[1]QUART!$A$2:$FA$300, 80, FALSE)="",":",VLOOKUP($E$21,[1]QUART!$A$2:$FA$300, 80, FALSE))</f>
        <v>98.55</v>
      </c>
      <c r="CD21" s="1550">
        <f>IF(VLOOKUP($E$21,[1]QUART!$A$2:$FA$300, 81, FALSE)="",":",VLOOKUP($E$21,[1]QUART!$A$2:$FA$300, 81, FALSE))</f>
        <v>98.956666666666663</v>
      </c>
      <c r="CE21" s="1550">
        <f>IF(VLOOKUP($E$21,[1]QUART!$A$2:$FA$300, 82, FALSE)="",":",VLOOKUP($E$21,[1]QUART!$A$2:$FA$300, 82, FALSE))</f>
        <v>99.71</v>
      </c>
      <c r="CF21" s="1550">
        <f>IF(VLOOKUP($E$21,[1]QUART!$A$2:$FA$300, 83, FALSE)="",":",VLOOKUP($E$21,[1]QUART!$A$2:$FA$300, 83, FALSE))</f>
        <v>100.28333333333335</v>
      </c>
      <c r="CG21" s="1550">
        <f>IF(VLOOKUP($E$21,[1]QUART!$A$2:$FA$300, 84, FALSE)="",":",VLOOKUP($E$21,[1]QUART!$A$2:$FA$300, 84, FALSE))</f>
        <v>100.95333333333333</v>
      </c>
      <c r="CH21" s="1550">
        <f>IF(VLOOKUP($E$21,[1]QUART!$A$2:$FA$300, 85, FALSE)="",":",VLOOKUP($E$21,[1]QUART!$A$2:$FA$300, 85, FALSE))</f>
        <v>100.95</v>
      </c>
      <c r="CI21" s="1550">
        <f>IF(VLOOKUP($E$21,[1]QUART!$A$2:$FA$300, 86, FALSE)="",":",VLOOKUP($E$21,[1]QUART!$A$2:$FA$300, 86, FALSE))</f>
        <v>100.42666666666666</v>
      </c>
      <c r="CJ21" s="1550">
        <f>IF(VLOOKUP($E$21,[1]QUART!$A$2:$FA$300, 87, FALSE)="",":",VLOOKUP($E$21,[1]QUART!$A$2:$FA$300, 87, FALSE))</f>
        <v>99.936666666666667</v>
      </c>
      <c r="CK21" s="1550">
        <f>IF(VLOOKUP($E$21,[1]QUART!$A$2:$FA$300, 88, FALSE)="",":",VLOOKUP($E$21,[1]QUART!$A$2:$FA$300, 88, FALSE))</f>
        <v>99.75333333333333</v>
      </c>
      <c r="CL21" s="1550">
        <f>IF(VLOOKUP($E$21,[1]QUART!$A$2:$FA$300, 89, FALSE)="",":",VLOOKUP($E$21,[1]QUART!$A$2:$FA$300, 89, FALSE))</f>
        <v>99.883333333333326</v>
      </c>
      <c r="CM21" s="1550">
        <f>IF(VLOOKUP($E$21,[1]QUART!$A$2:$FA$300, 90, FALSE)="",":",VLOOKUP($E$21,[1]QUART!$A$2:$FA$300, 90, FALSE))</f>
        <v>100.97333333333334</v>
      </c>
      <c r="CN21" s="1550">
        <f>IF(VLOOKUP($E$21,[1]QUART!$A$2:$FA$300, 91, FALSE)="",":",VLOOKUP($E$21,[1]QUART!$A$2:$FA$300, 91, FALSE))</f>
        <v>102.05333333333334</v>
      </c>
      <c r="CO21" s="1550">
        <f>IF(VLOOKUP($E$21,[1]QUART!$A$2:$FA$300, 92, FALSE)="",":",VLOOKUP($E$21,[1]QUART!$A$2:$FA$300, 92, FALSE))</f>
        <v>102.53666666666668</v>
      </c>
      <c r="CP21" s="1550">
        <f>IF(VLOOKUP($E$21,[1]QUART!$A$2:$FA$300, 93, FALSE)="",":",VLOOKUP($E$21,[1]QUART!$A$2:$FA$300, 93, FALSE))</f>
        <v>103.35333333333334</v>
      </c>
      <c r="CQ21" s="1550">
        <f>IF(VLOOKUP($E$21,[1]QUART!$A$2:$FA$300, 94, FALSE)="",":",VLOOKUP($E$21,[1]QUART!$A$2:$FA$300, 94, FALSE))</f>
        <v>106.18333333333334</v>
      </c>
      <c r="CR21" s="1550">
        <f>IF(VLOOKUP($E$21,[1]QUART!$A$2:$FA$300, 95, FALSE)="",":",VLOOKUP($E$21,[1]QUART!$A$2:$FA$300, 95, FALSE))</f>
        <v>109.47333333333331</v>
      </c>
      <c r="CS21" s="1550">
        <f>IF(VLOOKUP($E$21,[1]QUART!$A$2:$FA$300, 96, FALSE)="",":",VLOOKUP($E$21,[1]QUART!$A$2:$FA$300, 96, FALSE))</f>
        <v>110.70666666666666</v>
      </c>
      <c r="CT21" s="1550">
        <f>IF(VLOOKUP($E$21,[1]QUART!$A$2:$FA$300, 97, FALSE)="",":",VLOOKUP($E$21,[1]QUART!$A$2:$FA$300, 97, FALSE))</f>
        <v>111.66666666666667</v>
      </c>
      <c r="CU21" s="1550" t="str">
        <f>IF(VLOOKUP($E$21,[1]QUART!$A$2:$FA$300, 98, FALSE)="",":",VLOOKUP($E$21,[1]QUART!$A$2:$FA$300, 98, FALSE))</f>
        <v>:</v>
      </c>
      <c r="CV21" s="1550" t="str">
        <f>IF(VLOOKUP($E$21,[1]QUART!$A$2:$FA$300, 99, FALSE)="",":",VLOOKUP($E$21,[1]QUART!$A$2:$FA$300, 99, FALSE))</f>
        <v>:</v>
      </c>
      <c r="CW21" s="1550" t="str">
        <f>IF(VLOOKUP($E$21,[1]QUART!$A$2:$FA$300, 100, FALSE)="",":",VLOOKUP($E$21,[1]QUART!$A$2:$FA$300, 100, FALSE))</f>
        <v>:</v>
      </c>
      <c r="CX21" s="1550" t="str">
        <f>IF(VLOOKUP($E$21,[1]QUART!$A$2:$FA$300, 101, FALSE)="",":",VLOOKUP($E$21,[1]QUART!$A$2:$FA$300, 101, FALSE))</f>
        <v>:</v>
      </c>
      <c r="CY21" s="1550" t="str">
        <f>IF(VLOOKUP($E$21,[1]QUART!$A$2:$FA$300, 102, FALSE)="",":",VLOOKUP($E$21,[1]QUART!$A$2:$FA$300, 102, FALSE))</f>
        <v>:</v>
      </c>
      <c r="CZ21" s="1550" t="str">
        <f>IF(VLOOKUP($E$21,[1]QUART!$A$2:$FA$300, 103, FALSE)="",":",VLOOKUP($E$21,[1]QUART!$A$2:$FA$300, 103, FALSE))</f>
        <v>:</v>
      </c>
      <c r="DA21" s="1550" t="str">
        <f>IF(VLOOKUP($E$21,[1]QUART!$A$2:$FA$300, 104, FALSE)="",":",VLOOKUP($E$21,[1]QUART!$A$2:$FA$300, 104, FALSE))</f>
        <v>:</v>
      </c>
      <c r="DB21" s="1550" t="str">
        <f>IF(VLOOKUP($E$21,[1]QUART!$A$2:$FA$300, 105, FALSE)="",":",VLOOKUP($E$21,[1]QUART!$A$2:$FA$300, 105, FALSE))</f>
        <v>:</v>
      </c>
      <c r="DC21" s="1550" t="str">
        <f>IF(VLOOKUP($E$21,[1]QUART!$A$2:$FA$300, 106, FALSE)="",":",VLOOKUP($E$21,[1]QUART!$A$2:$FA$300, 106, FALSE))</f>
        <v>:</v>
      </c>
    </row>
    <row r="22" spans="1:107">
      <c r="A22" s="1546">
        <v>171</v>
      </c>
      <c r="B22" s="1551" t="s">
        <v>1242</v>
      </c>
      <c r="C22" s="1552"/>
      <c r="D22" s="1547" t="s">
        <v>1841</v>
      </c>
      <c r="E22" s="1548">
        <v>95</v>
      </c>
      <c r="F22" s="1549" t="str">
        <f>VLOOKUP($E$22,[1]QUART!$A$2:$FA$300, 3, FALSE)</f>
        <v>95 HICP Services</v>
      </c>
      <c r="G22" s="1550" t="str">
        <f>IF(VLOOKUP($E$22,[1]QUART!$A$2:$FA$300, 6, FALSE)="",":",VLOOKUP($E$22,[1]QUART!$A$2:$FA$300, 6, FALSE))</f>
        <v>:</v>
      </c>
      <c r="H22" s="1550" t="str">
        <f>IF(VLOOKUP($E$22,[1]QUART!$A$2:$FA$300, 7, FALSE)="",":",VLOOKUP($E$22,[1]QUART!$A$2:$FA$300, 7, FALSE))</f>
        <v>:</v>
      </c>
      <c r="I22" s="1550" t="str">
        <f>IF(VLOOKUP($E$22,[1]QUART!$A$2:$FA$300, 8, FALSE)="",":",VLOOKUP($E$22,[1]QUART!$A$2:$FA$300, 8, FALSE))</f>
        <v>:</v>
      </c>
      <c r="J22" s="1550" t="str">
        <f>IF(VLOOKUP($E$22,[1]QUART!$A$2:$FA$300, 9, FALSE)="",":",VLOOKUP($E$22,[1]QUART!$A$2:$FA$300, 9, FALSE))</f>
        <v>:</v>
      </c>
      <c r="K22" s="1550">
        <f>IF(VLOOKUP($E$22,[1]QUART!$A$2:$FA$300, 10, FALSE)="",":",VLOOKUP($E$22,[1]QUART!$A$2:$FA$300, 10, FALSE))</f>
        <v>39.833333333333336</v>
      </c>
      <c r="L22" s="1550">
        <f>IF(VLOOKUP($E$22,[1]QUART!$A$2:$FA$300, 11, FALSE)="",":",VLOOKUP($E$22,[1]QUART!$A$2:$FA$300, 11, FALSE))</f>
        <v>41.616666666666667</v>
      </c>
      <c r="M22" s="1550">
        <f>IF(VLOOKUP($E$22,[1]QUART!$A$2:$FA$300, 12, FALSE)="",":",VLOOKUP($E$22,[1]QUART!$A$2:$FA$300, 12, FALSE))</f>
        <v>44.080000000000005</v>
      </c>
      <c r="N22" s="1550">
        <f>IF(VLOOKUP($E$22,[1]QUART!$A$2:$FA$300, 13, FALSE)="",":",VLOOKUP($E$22,[1]QUART!$A$2:$FA$300, 13, FALSE))</f>
        <v>44.79</v>
      </c>
      <c r="O22" s="1550">
        <f>IF(VLOOKUP($E$22,[1]QUART!$A$2:$FA$300, 14, FALSE)="",":",VLOOKUP($E$22,[1]QUART!$A$2:$FA$300, 14, FALSE))</f>
        <v>47.140000000000008</v>
      </c>
      <c r="P22" s="1550">
        <f>IF(VLOOKUP($E$22,[1]QUART!$A$2:$FA$300, 15, FALSE)="",":",VLOOKUP($E$22,[1]QUART!$A$2:$FA$300, 15, FALSE))</f>
        <v>48.793333333333329</v>
      </c>
      <c r="Q22" s="1550">
        <f>IF(VLOOKUP($E$22,[1]QUART!$A$2:$FA$300, 16, FALSE)="",":",VLOOKUP($E$22,[1]QUART!$A$2:$FA$300, 16, FALSE))</f>
        <v>50.199999999999996</v>
      </c>
      <c r="R22" s="1550">
        <f>IF(VLOOKUP($E$22,[1]QUART!$A$2:$FA$300, 17, FALSE)="",":",VLOOKUP($E$22,[1]QUART!$A$2:$FA$300, 17, FALSE))</f>
        <v>50.823333333333331</v>
      </c>
      <c r="S22" s="1550">
        <f>IF(VLOOKUP($E$22,[1]QUART!$A$2:$FA$300, 18, FALSE)="",":",VLOOKUP($E$22,[1]QUART!$A$2:$FA$300, 18, FALSE))</f>
        <v>52.723333333333336</v>
      </c>
      <c r="T22" s="1550">
        <f>IF(VLOOKUP($E$22,[1]QUART!$A$2:$FA$300, 19, FALSE)="",":",VLOOKUP($E$22,[1]QUART!$A$2:$FA$300, 19, FALSE))</f>
        <v>54.586666666666666</v>
      </c>
      <c r="U22" s="1550">
        <f>IF(VLOOKUP($E$22,[1]QUART!$A$2:$FA$300, 20, FALSE)="",":",VLOOKUP($E$22,[1]QUART!$A$2:$FA$300, 20, FALSE))</f>
        <v>55.706666666666671</v>
      </c>
      <c r="V22" s="1550">
        <f>IF(VLOOKUP($E$22,[1]QUART!$A$2:$FA$300, 21, FALSE)="",":",VLOOKUP($E$22,[1]QUART!$A$2:$FA$300, 21, FALSE))</f>
        <v>56.333333333333336</v>
      </c>
      <c r="W22" s="1550">
        <f>IF(VLOOKUP($E$22,[1]QUART!$A$2:$FA$300, 22, FALSE)="",":",VLOOKUP($E$22,[1]QUART!$A$2:$FA$300, 22, FALSE))</f>
        <v>56.943333333333335</v>
      </c>
      <c r="X22" s="1550">
        <f>IF(VLOOKUP($E$22,[1]QUART!$A$2:$FA$300, 23, FALSE)="",":",VLOOKUP($E$22,[1]QUART!$A$2:$FA$300, 23, FALSE))</f>
        <v>58.576666666666675</v>
      </c>
      <c r="Y22" s="1550">
        <f>IF(VLOOKUP($E$22,[1]QUART!$A$2:$FA$300, 24, FALSE)="",":",VLOOKUP($E$22,[1]QUART!$A$2:$FA$300, 24, FALSE))</f>
        <v>59.01</v>
      </c>
      <c r="Z22" s="1550">
        <f>IF(VLOOKUP($E$22,[1]QUART!$A$2:$FA$300, 25, FALSE)="",":",VLOOKUP($E$22,[1]QUART!$A$2:$FA$300, 25, FALSE))</f>
        <v>59.313333333333333</v>
      </c>
      <c r="AA22" s="1550">
        <f>IF(VLOOKUP($E$22,[1]QUART!$A$2:$FA$300, 26, FALSE)="",":",VLOOKUP($E$22,[1]QUART!$A$2:$FA$300, 26, FALSE))</f>
        <v>60.783333333333339</v>
      </c>
      <c r="AB22" s="1550">
        <f>IF(VLOOKUP($E$22,[1]QUART!$A$2:$FA$300, 27, FALSE)="",":",VLOOKUP($E$22,[1]QUART!$A$2:$FA$300, 27, FALSE))</f>
        <v>61.583333333333336</v>
      </c>
      <c r="AC22" s="1550">
        <f>IF(VLOOKUP($E$22,[1]QUART!$A$2:$FA$300, 28, FALSE)="",":",VLOOKUP($E$22,[1]QUART!$A$2:$FA$300, 28, FALSE))</f>
        <v>61.873333333333335</v>
      </c>
      <c r="AD22" s="1550">
        <f>IF(VLOOKUP($E$22,[1]QUART!$A$2:$FA$300, 29, FALSE)="",":",VLOOKUP($E$22,[1]QUART!$A$2:$FA$300, 29, FALSE))</f>
        <v>62.043333333333329</v>
      </c>
      <c r="AE22" s="1550">
        <f>IF(VLOOKUP($E$22,[1]QUART!$A$2:$FA$300, 30, FALSE)="",":",VLOOKUP($E$22,[1]QUART!$A$2:$FA$300, 30, FALSE))</f>
        <v>63.069999999999993</v>
      </c>
      <c r="AF22" s="1550">
        <f>IF(VLOOKUP($E$22,[1]QUART!$A$2:$FA$300, 31, FALSE)="",":",VLOOKUP($E$22,[1]QUART!$A$2:$FA$300, 31, FALSE))</f>
        <v>63.223333333333336</v>
      </c>
      <c r="AG22" s="1550">
        <f>IF(VLOOKUP($E$22,[1]QUART!$A$2:$FA$300, 32, FALSE)="",":",VLOOKUP($E$22,[1]QUART!$A$2:$FA$300, 32, FALSE))</f>
        <v>64.990000000000009</v>
      </c>
      <c r="AH22" s="1550">
        <f>IF(VLOOKUP($E$22,[1]QUART!$A$2:$FA$300, 33, FALSE)="",":",VLOOKUP($E$22,[1]QUART!$A$2:$FA$300, 33, FALSE))</f>
        <v>65.953333333333333</v>
      </c>
      <c r="AI22" s="1550">
        <f>IF(VLOOKUP($E$22,[1]QUART!$A$2:$FA$300, 34, FALSE)="",":",VLOOKUP($E$22,[1]QUART!$A$2:$FA$300, 34, FALSE))</f>
        <v>66.073333333333338</v>
      </c>
      <c r="AJ22" s="1550">
        <f>IF(VLOOKUP($E$22,[1]QUART!$A$2:$FA$300, 35, FALSE)="",":",VLOOKUP($E$22,[1]QUART!$A$2:$FA$300, 35, FALSE))</f>
        <v>65.930000000000007</v>
      </c>
      <c r="AK22" s="1550">
        <f>IF(VLOOKUP($E$22,[1]QUART!$A$2:$FA$300, 36, FALSE)="",":",VLOOKUP($E$22,[1]QUART!$A$2:$FA$300, 36, FALSE))</f>
        <v>66.83</v>
      </c>
      <c r="AL22" s="1550">
        <f>IF(VLOOKUP($E$22,[1]QUART!$A$2:$FA$300, 37, FALSE)="",":",VLOOKUP($E$22,[1]QUART!$A$2:$FA$300, 37, FALSE))</f>
        <v>66.726666666666674</v>
      </c>
      <c r="AM22" s="1550">
        <f>IF(VLOOKUP($E$22,[1]QUART!$A$2:$FA$300, 38, FALSE)="",":",VLOOKUP($E$22,[1]QUART!$A$2:$FA$300, 38, FALSE))</f>
        <v>67.100000000000009</v>
      </c>
      <c r="AN22" s="1550">
        <f>IF(VLOOKUP($E$22,[1]QUART!$A$2:$FA$300, 39, FALSE)="",":",VLOOKUP($E$22,[1]QUART!$A$2:$FA$300, 39, FALSE))</f>
        <v>67.209999999999994</v>
      </c>
      <c r="AO22" s="1550">
        <f>IF(VLOOKUP($E$22,[1]QUART!$A$2:$FA$300, 40, FALSE)="",":",VLOOKUP($E$22,[1]QUART!$A$2:$FA$300, 40, FALSE))</f>
        <v>66.7</v>
      </c>
      <c r="AP22" s="1550">
        <f>IF(VLOOKUP($E$22,[1]QUART!$A$2:$FA$300, 41, FALSE)="",":",VLOOKUP($E$22,[1]QUART!$A$2:$FA$300, 41, FALSE))</f>
        <v>65.356666666666669</v>
      </c>
      <c r="AQ22" s="1550">
        <f>IF(VLOOKUP($E$22,[1]QUART!$A$2:$FA$300, 42, FALSE)="",":",VLOOKUP($E$22,[1]QUART!$A$2:$FA$300, 42, FALSE))</f>
        <v>65.516666666666666</v>
      </c>
      <c r="AR22" s="1550">
        <f>IF(VLOOKUP($E$22,[1]QUART!$A$2:$FA$300, 43, FALSE)="",":",VLOOKUP($E$22,[1]QUART!$A$2:$FA$300, 43, FALSE))</f>
        <v>66.23</v>
      </c>
      <c r="AS22" s="1550">
        <f>IF(VLOOKUP($E$22,[1]QUART!$A$2:$FA$300, 44, FALSE)="",":",VLOOKUP($E$22,[1]QUART!$A$2:$FA$300, 44, FALSE))</f>
        <v>66.930000000000007</v>
      </c>
      <c r="AT22" s="1550">
        <f>IF(VLOOKUP($E$22,[1]QUART!$A$2:$FA$300, 45, FALSE)="",":",VLOOKUP($E$22,[1]QUART!$A$2:$FA$300, 45, FALSE))</f>
        <v>66.839999999999989</v>
      </c>
      <c r="AU22" s="1550">
        <f>IF(VLOOKUP($E$22,[1]QUART!$A$2:$FA$300, 46, FALSE)="",":",VLOOKUP($E$22,[1]QUART!$A$2:$FA$300, 46, FALSE))</f>
        <v>67.586666666666659</v>
      </c>
      <c r="AV22" s="1550">
        <f>IF(VLOOKUP($E$22,[1]QUART!$A$2:$FA$300, 47, FALSE)="",":",VLOOKUP($E$22,[1]QUART!$A$2:$FA$300, 47, FALSE))</f>
        <v>68.150000000000006</v>
      </c>
      <c r="AW22" s="1550">
        <f>IF(VLOOKUP($E$22,[1]QUART!$A$2:$FA$300, 48, FALSE)="",":",VLOOKUP($E$22,[1]QUART!$A$2:$FA$300, 48, FALSE))</f>
        <v>69.113333333333344</v>
      </c>
      <c r="AX22" s="1550">
        <f>IF(VLOOKUP($E$22,[1]QUART!$A$2:$FA$300, 49, FALSE)="",":",VLOOKUP($E$22,[1]QUART!$A$2:$FA$300, 49, FALSE))</f>
        <v>69.49666666666667</v>
      </c>
      <c r="AY22" s="1550">
        <f>IF(VLOOKUP($E$22,[1]QUART!$A$2:$FA$300, 50, FALSE)="",":",VLOOKUP($E$22,[1]QUART!$A$2:$FA$300, 50, FALSE))</f>
        <v>70.266666666666666</v>
      </c>
      <c r="AZ22" s="1550">
        <f>IF(VLOOKUP($E$22,[1]QUART!$A$2:$FA$300, 51, FALSE)="",":",VLOOKUP($E$22,[1]QUART!$A$2:$FA$300, 51, FALSE))</f>
        <v>71.356666666666669</v>
      </c>
      <c r="BA22" s="1550">
        <f>IF(VLOOKUP($E$22,[1]QUART!$A$2:$FA$300, 52, FALSE)="",":",VLOOKUP($E$22,[1]QUART!$A$2:$FA$300, 52, FALSE))</f>
        <v>72.77</v>
      </c>
      <c r="BB22" s="1550">
        <f>IF(VLOOKUP($E$22,[1]QUART!$A$2:$FA$300, 53, FALSE)="",":",VLOOKUP($E$22,[1]QUART!$A$2:$FA$300, 53, FALSE))</f>
        <v>73.216666666666669</v>
      </c>
      <c r="BC22" s="1550">
        <f>IF(VLOOKUP($E$22,[1]QUART!$A$2:$FA$300, 54, FALSE)="",":",VLOOKUP($E$22,[1]QUART!$A$2:$FA$300, 54, FALSE))</f>
        <v>74.256666666666675</v>
      </c>
      <c r="BD22" s="1550">
        <f>IF(VLOOKUP($E$22,[1]QUART!$A$2:$FA$300, 55, FALSE)="",":",VLOOKUP($E$22,[1]QUART!$A$2:$FA$300, 55, FALSE))</f>
        <v>75.606666666666669</v>
      </c>
      <c r="BE22" s="1550">
        <f>IF(VLOOKUP($E$22,[1]QUART!$A$2:$FA$300, 56, FALSE)="",":",VLOOKUP($E$22,[1]QUART!$A$2:$FA$300, 56, FALSE))</f>
        <v>77.899999999999991</v>
      </c>
      <c r="BF22" s="1550">
        <f>IF(VLOOKUP($E$22,[1]QUART!$A$2:$FA$300, 57, FALSE)="",":",VLOOKUP($E$22,[1]QUART!$A$2:$FA$300, 57, FALSE))</f>
        <v>79.430000000000007</v>
      </c>
      <c r="BG22" s="1550">
        <f>IF(VLOOKUP($E$22,[1]QUART!$A$2:$FA$300, 58, FALSE)="",":",VLOOKUP($E$22,[1]QUART!$A$2:$FA$300, 58, FALSE))</f>
        <v>82.506666666666675</v>
      </c>
      <c r="BH22" s="1550">
        <f>IF(VLOOKUP($E$22,[1]QUART!$A$2:$FA$300, 59, FALSE)="",":",VLOOKUP($E$22,[1]QUART!$A$2:$FA$300, 59, FALSE))</f>
        <v>85.389999999999986</v>
      </c>
      <c r="BI22" s="1550">
        <f>IF(VLOOKUP($E$22,[1]QUART!$A$2:$FA$300, 60, FALSE)="",":",VLOOKUP($E$22,[1]QUART!$A$2:$FA$300, 60, FALSE))</f>
        <v>87.683333333333337</v>
      </c>
      <c r="BJ22" s="1550">
        <f>IF(VLOOKUP($E$22,[1]QUART!$A$2:$FA$300, 61, FALSE)="",":",VLOOKUP($E$22,[1]QUART!$A$2:$FA$300, 61, FALSE))</f>
        <v>88.990000000000009</v>
      </c>
      <c r="BK22" s="1550">
        <f>IF(VLOOKUP($E$22,[1]QUART!$A$2:$FA$300, 62, FALSE)="",":",VLOOKUP($E$22,[1]QUART!$A$2:$FA$300, 62, FALSE))</f>
        <v>91.216666666666654</v>
      </c>
      <c r="BL22" s="1550">
        <f>IF(VLOOKUP($E$22,[1]QUART!$A$2:$FA$300, 63, FALSE)="",":",VLOOKUP($E$22,[1]QUART!$A$2:$FA$300, 63, FALSE))</f>
        <v>91.166666666666671</v>
      </c>
      <c r="BM22" s="1550">
        <f>IF(VLOOKUP($E$22,[1]QUART!$A$2:$FA$300, 64, FALSE)="",":",VLOOKUP($E$22,[1]QUART!$A$2:$FA$300, 64, FALSE))</f>
        <v>91.553333333333327</v>
      </c>
      <c r="BN22" s="1550">
        <f>IF(VLOOKUP($E$22,[1]QUART!$A$2:$FA$300, 65, FALSE)="",":",VLOOKUP($E$22,[1]QUART!$A$2:$FA$300, 65, FALSE))</f>
        <v>90.463333333333324</v>
      </c>
      <c r="BO22" s="1550">
        <f>IF(VLOOKUP($E$22,[1]QUART!$A$2:$FA$300, 66, FALSE)="",":",VLOOKUP($E$22,[1]QUART!$A$2:$FA$300, 66, FALSE))</f>
        <v>89.73</v>
      </c>
      <c r="BP22" s="1550">
        <f>IF(VLOOKUP($E$22,[1]QUART!$A$2:$FA$300, 67, FALSE)="",":",VLOOKUP($E$22,[1]QUART!$A$2:$FA$300, 67, FALSE))</f>
        <v>89.56</v>
      </c>
      <c r="BQ22" s="1550">
        <f>IF(VLOOKUP($E$22,[1]QUART!$A$2:$FA$300, 68, FALSE)="",":",VLOOKUP($E$22,[1]QUART!$A$2:$FA$300, 68, FALSE))</f>
        <v>90.123333333333335</v>
      </c>
      <c r="BR22" s="1550">
        <f>IF(VLOOKUP($E$22,[1]QUART!$A$2:$FA$300, 69, FALSE)="",":",VLOOKUP($E$22,[1]QUART!$A$2:$FA$300, 69, FALSE))</f>
        <v>89.54</v>
      </c>
      <c r="BS22" s="1550">
        <f>IF(VLOOKUP($E$22,[1]QUART!$A$2:$FA$300, 70, FALSE)="",":",VLOOKUP($E$22,[1]QUART!$A$2:$FA$300, 70, FALSE))</f>
        <v>89.826666666666668</v>
      </c>
      <c r="BT22" s="1550">
        <f>IF(VLOOKUP($E$22,[1]QUART!$A$2:$FA$300, 71, FALSE)="",":",VLOOKUP($E$22,[1]QUART!$A$2:$FA$300, 71, FALSE))</f>
        <v>90.54</v>
      </c>
      <c r="BU22" s="1550">
        <f>IF(VLOOKUP($E$22,[1]QUART!$A$2:$FA$300, 72, FALSE)="",":",VLOOKUP($E$22,[1]QUART!$A$2:$FA$300, 72, FALSE))</f>
        <v>91.73</v>
      </c>
      <c r="BV22" s="1550">
        <f>IF(VLOOKUP($E$22,[1]QUART!$A$2:$FA$300, 73, FALSE)="",":",VLOOKUP($E$22,[1]QUART!$A$2:$FA$300, 73, FALSE))</f>
        <v>91.36333333333333</v>
      </c>
      <c r="BW22" s="1550">
        <f>IF(VLOOKUP($E$22,[1]QUART!$A$2:$FA$300, 74, FALSE)="",":",VLOOKUP($E$22,[1]QUART!$A$2:$FA$300, 74, FALSE))</f>
        <v>92.14</v>
      </c>
      <c r="BX22" s="1550">
        <f>IF(VLOOKUP($E$22,[1]QUART!$A$2:$FA$300, 75, FALSE)="",":",VLOOKUP($E$22,[1]QUART!$A$2:$FA$300, 75, FALSE))</f>
        <v>93.256666666666661</v>
      </c>
      <c r="BY22" s="1550">
        <f>IF(VLOOKUP($E$22,[1]QUART!$A$2:$FA$300, 76, FALSE)="",":",VLOOKUP($E$22,[1]QUART!$A$2:$FA$300, 76, FALSE))</f>
        <v>94.37</v>
      </c>
      <c r="BZ22" s="1550">
        <f>IF(VLOOKUP($E$22,[1]QUART!$A$2:$FA$300, 77, FALSE)="",":",VLOOKUP($E$22,[1]QUART!$A$2:$FA$300, 77, FALSE))</f>
        <v>94.2</v>
      </c>
      <c r="CA22" s="1550">
        <f>IF(VLOOKUP($E$22,[1]QUART!$A$2:$FA$300, 78, FALSE)="",":",VLOOKUP($E$22,[1]QUART!$A$2:$FA$300, 78, FALSE))</f>
        <v>94.19</v>
      </c>
      <c r="CB22" s="1550">
        <f>IF(VLOOKUP($E$22,[1]QUART!$A$2:$FA$300, 79, FALSE)="",":",VLOOKUP($E$22,[1]QUART!$A$2:$FA$300, 79, FALSE))</f>
        <v>95.243333333333339</v>
      </c>
      <c r="CC22" s="1550">
        <f>IF(VLOOKUP($E$22,[1]QUART!$A$2:$FA$300, 80, FALSE)="",":",VLOOKUP($E$22,[1]QUART!$A$2:$FA$300, 80, FALSE))</f>
        <v>96.103333333333339</v>
      </c>
      <c r="CD22" s="1550">
        <f>IF(VLOOKUP($E$22,[1]QUART!$A$2:$FA$300, 81, FALSE)="",":",VLOOKUP($E$22,[1]QUART!$A$2:$FA$300, 81, FALSE))</f>
        <v>95.353333333333339</v>
      </c>
      <c r="CE22" s="1550">
        <f>IF(VLOOKUP($E$22,[1]QUART!$A$2:$FA$300, 82, FALSE)="",":",VLOOKUP($E$22,[1]QUART!$A$2:$FA$300, 82, FALSE))</f>
        <v>95.213333333333324</v>
      </c>
      <c r="CF22" s="1550">
        <f>IF(VLOOKUP($E$22,[1]QUART!$A$2:$FA$300, 83, FALSE)="",":",VLOOKUP($E$22,[1]QUART!$A$2:$FA$300, 83, FALSE))</f>
        <v>96.086666666666659</v>
      </c>
      <c r="CG22" s="1550">
        <f>IF(VLOOKUP($E$22,[1]QUART!$A$2:$FA$300, 84, FALSE)="",":",VLOOKUP($E$22,[1]QUART!$A$2:$FA$300, 84, FALSE))</f>
        <v>97.956666666666663</v>
      </c>
      <c r="CH22" s="1550">
        <f>IF(VLOOKUP($E$22,[1]QUART!$A$2:$FA$300, 85, FALSE)="",":",VLOOKUP($E$22,[1]QUART!$A$2:$FA$300, 85, FALSE))</f>
        <v>97.736666666666679</v>
      </c>
      <c r="CI22" s="1550">
        <f>IF(VLOOKUP($E$22,[1]QUART!$A$2:$FA$300, 86, FALSE)="",":",VLOOKUP($E$22,[1]QUART!$A$2:$FA$300, 86, FALSE))</f>
        <v>98.276666666666657</v>
      </c>
      <c r="CJ22" s="1550">
        <f>IF(VLOOKUP($E$22,[1]QUART!$A$2:$FA$300, 87, FALSE)="",":",VLOOKUP($E$22,[1]QUART!$A$2:$FA$300, 87, FALSE))</f>
        <v>99.32</v>
      </c>
      <c r="CK22" s="1550">
        <f>IF(VLOOKUP($E$22,[1]QUART!$A$2:$FA$300, 88, FALSE)="",":",VLOOKUP($E$22,[1]QUART!$A$2:$FA$300, 88, FALSE))</f>
        <v>101.18666666666667</v>
      </c>
      <c r="CL22" s="1550">
        <f>IF(VLOOKUP($E$22,[1]QUART!$A$2:$FA$300, 89, FALSE)="",":",VLOOKUP($E$22,[1]QUART!$A$2:$FA$300, 89, FALSE))</f>
        <v>101.22333333333331</v>
      </c>
      <c r="CM22" s="1550">
        <f>IF(VLOOKUP($E$22,[1]QUART!$A$2:$FA$300, 90, FALSE)="",":",VLOOKUP($E$22,[1]QUART!$A$2:$FA$300, 90, FALSE))</f>
        <v>101.89666666666666</v>
      </c>
      <c r="CN22" s="1550">
        <f>IF(VLOOKUP($E$22,[1]QUART!$A$2:$FA$300, 91, FALSE)="",":",VLOOKUP($E$22,[1]QUART!$A$2:$FA$300, 91, FALSE))</f>
        <v>102.54</v>
      </c>
      <c r="CO22" s="1550">
        <f>IF(VLOOKUP($E$22,[1]QUART!$A$2:$FA$300, 92, FALSE)="",":",VLOOKUP($E$22,[1]QUART!$A$2:$FA$300, 92, FALSE))</f>
        <v>104.19</v>
      </c>
      <c r="CP22" s="1550">
        <f>IF(VLOOKUP($E$22,[1]QUART!$A$2:$FA$300, 93, FALSE)="",":",VLOOKUP($E$22,[1]QUART!$A$2:$FA$300, 93, FALSE))</f>
        <v>103.99333333333334</v>
      </c>
      <c r="CQ22" s="1550">
        <f>IF(VLOOKUP($E$22,[1]QUART!$A$2:$FA$300, 94, FALSE)="",":",VLOOKUP($E$22,[1]QUART!$A$2:$FA$300, 94, FALSE))</f>
        <v>105.31666666666666</v>
      </c>
      <c r="CR22" s="1550">
        <f>IF(VLOOKUP($E$22,[1]QUART!$A$2:$FA$300, 95, FALSE)="",":",VLOOKUP($E$22,[1]QUART!$A$2:$FA$300, 95, FALSE))</f>
        <v>107.93333333333334</v>
      </c>
      <c r="CS22" s="1550">
        <f>IF(VLOOKUP($E$22,[1]QUART!$A$2:$FA$300, 96, FALSE)="",":",VLOOKUP($E$22,[1]QUART!$A$2:$FA$300, 96, FALSE))</f>
        <v>110.87333333333333</v>
      </c>
      <c r="CT22" s="1550">
        <f>IF(VLOOKUP($E$22,[1]QUART!$A$2:$FA$300, 97, FALSE)="",":",VLOOKUP($E$22,[1]QUART!$A$2:$FA$300, 97, FALSE))</f>
        <v>109.28666666666668</v>
      </c>
      <c r="CU22" s="1550" t="str">
        <f>IF(VLOOKUP($E$22,[1]QUART!$A$2:$FA$300, 98, FALSE)="",":",VLOOKUP($E$22,[1]QUART!$A$2:$FA$300, 98, FALSE))</f>
        <v>:</v>
      </c>
      <c r="CV22" s="1550" t="str">
        <f>IF(VLOOKUP($E$22,[1]QUART!$A$2:$FA$300, 99, FALSE)="",":",VLOOKUP($E$22,[1]QUART!$A$2:$FA$300, 99, FALSE))</f>
        <v>:</v>
      </c>
      <c r="CW22" s="1550" t="str">
        <f>IF(VLOOKUP($E$22,[1]QUART!$A$2:$FA$300, 100, FALSE)="",":",VLOOKUP($E$22,[1]QUART!$A$2:$FA$300, 100, FALSE))</f>
        <v>:</v>
      </c>
      <c r="CX22" s="1550" t="str">
        <f>IF(VLOOKUP($E$22,[1]QUART!$A$2:$FA$300, 101, FALSE)="",":",VLOOKUP($E$22,[1]QUART!$A$2:$FA$300, 101, FALSE))</f>
        <v>:</v>
      </c>
      <c r="CY22" s="1550" t="str">
        <f>IF(VLOOKUP($E$22,[1]QUART!$A$2:$FA$300, 102, FALSE)="",":",VLOOKUP($E$22,[1]QUART!$A$2:$FA$300, 102, FALSE))</f>
        <v>:</v>
      </c>
      <c r="CZ22" s="1550" t="str">
        <f>IF(VLOOKUP($E$22,[1]QUART!$A$2:$FA$300, 103, FALSE)="",":",VLOOKUP($E$22,[1]QUART!$A$2:$FA$300, 103, FALSE))</f>
        <v>:</v>
      </c>
      <c r="DA22" s="1550" t="str">
        <f>IF(VLOOKUP($E$22,[1]QUART!$A$2:$FA$300, 104, FALSE)="",":",VLOOKUP($E$22,[1]QUART!$A$2:$FA$300, 104, FALSE))</f>
        <v>:</v>
      </c>
      <c r="DB22" s="1550" t="str">
        <f>IF(VLOOKUP($E$22,[1]QUART!$A$2:$FA$300, 105, FALSE)="",":",VLOOKUP($E$22,[1]QUART!$A$2:$FA$300, 105, FALSE))</f>
        <v>:</v>
      </c>
      <c r="DC22" s="1550" t="str">
        <f>IF(VLOOKUP($E$22,[1]QUART!$A$2:$FA$300, 106, FALSE)="",":",VLOOKUP($E$22,[1]QUART!$A$2:$FA$300, 106, FALSE))</f>
        <v>:</v>
      </c>
    </row>
    <row r="23" spans="1:107">
      <c r="A23" s="1546"/>
      <c r="B23" s="1551" t="s">
        <v>926</v>
      </c>
      <c r="C23" s="1552"/>
      <c r="D23" s="1547" t="s">
        <v>1841</v>
      </c>
      <c r="E23" s="1548">
        <v>96</v>
      </c>
      <c r="F23" s="1549" t="str">
        <f>VLOOKUP($E$23,[1]QUART!$A$2:$FA$300, 3, FALSE)</f>
        <v>96 Core inflation</v>
      </c>
      <c r="G23" s="1550" t="str">
        <f>IF(VLOOKUP($E$23,[1]QUART!$A$2:$FA$300, 6, FALSE)="",":",VLOOKUP($E$23,[1]QUART!$A$2:$FA$300, 6, FALSE))</f>
        <v>:</v>
      </c>
      <c r="H23" s="1550" t="str">
        <f>IF(VLOOKUP($E$23,[1]QUART!$A$2:$FA$300, 7, FALSE)="",":",VLOOKUP($E$23,[1]QUART!$A$2:$FA$300, 7, FALSE))</f>
        <v>:</v>
      </c>
      <c r="I23" s="1550" t="str">
        <f>IF(VLOOKUP($E$23,[1]QUART!$A$2:$FA$300, 8, FALSE)="",":",VLOOKUP($E$23,[1]QUART!$A$2:$FA$300, 8, FALSE))</f>
        <v>:</v>
      </c>
      <c r="J23" s="1550" t="str">
        <f>IF(VLOOKUP($E$23,[1]QUART!$A$2:$FA$300, 9, FALSE)="",":",VLOOKUP($E$23,[1]QUART!$A$2:$FA$300, 9, FALSE))</f>
        <v>:</v>
      </c>
      <c r="K23" s="1550">
        <f>IF(VLOOKUP($E$23,[1]QUART!$A$2:$FA$300, 10, FALSE)="",":",VLOOKUP($E$23,[1]QUART!$A$2:$FA$300, 10, FALSE))</f>
        <v>60.53</v>
      </c>
      <c r="L23" s="1550">
        <f>IF(VLOOKUP($E$23,[1]QUART!$A$2:$FA$300, 11, FALSE)="",":",VLOOKUP($E$23,[1]QUART!$A$2:$FA$300, 11, FALSE))</f>
        <v>62.146666666666668</v>
      </c>
      <c r="M23" s="1550">
        <f>IF(VLOOKUP($E$23,[1]QUART!$A$2:$FA$300, 12, FALSE)="",":",VLOOKUP($E$23,[1]QUART!$A$2:$FA$300, 12, FALSE))</f>
        <v>63.609999999999992</v>
      </c>
      <c r="N23" s="1550">
        <f>IF(VLOOKUP($E$23,[1]QUART!$A$2:$FA$300, 13, FALSE)="",":",VLOOKUP($E$23,[1]QUART!$A$2:$FA$300, 13, FALSE))</f>
        <v>65.336666666666673</v>
      </c>
      <c r="O23" s="1550">
        <f>IF(VLOOKUP($E$23,[1]QUART!$A$2:$FA$300, 14, FALSE)="",":",VLOOKUP($E$23,[1]QUART!$A$2:$FA$300, 14, FALSE))</f>
        <v>68.069999999999993</v>
      </c>
      <c r="P23" s="1550">
        <f>IF(VLOOKUP($E$23,[1]QUART!$A$2:$FA$300, 15, FALSE)="",":",VLOOKUP($E$23,[1]QUART!$A$2:$FA$300, 15, FALSE))</f>
        <v>68.913333333333327</v>
      </c>
      <c r="Q23" s="1550">
        <f>IF(VLOOKUP($E$23,[1]QUART!$A$2:$FA$300, 16, FALSE)="",":",VLOOKUP($E$23,[1]QUART!$A$2:$FA$300, 16, FALSE))</f>
        <v>69.84</v>
      </c>
      <c r="R23" s="1550">
        <f>IF(VLOOKUP($E$23,[1]QUART!$A$2:$FA$300, 17, FALSE)="",":",VLOOKUP($E$23,[1]QUART!$A$2:$FA$300, 17, FALSE))</f>
        <v>70.81</v>
      </c>
      <c r="S23" s="1550">
        <f>IF(VLOOKUP($E$23,[1]QUART!$A$2:$FA$300, 18, FALSE)="",":",VLOOKUP($E$23,[1]QUART!$A$2:$FA$300, 18, FALSE))</f>
        <v>71.83</v>
      </c>
      <c r="T23" s="1550">
        <f>IF(VLOOKUP($E$23,[1]QUART!$A$2:$FA$300, 19, FALSE)="",":",VLOOKUP($E$23,[1]QUART!$A$2:$FA$300, 19, FALSE))</f>
        <v>72.38</v>
      </c>
      <c r="U23" s="1550">
        <f>IF(VLOOKUP($E$23,[1]QUART!$A$2:$FA$300, 20, FALSE)="",":",VLOOKUP($E$23,[1]QUART!$A$2:$FA$300, 20, FALSE))</f>
        <v>72.720000000000013</v>
      </c>
      <c r="V23" s="1550">
        <f>IF(VLOOKUP($E$23,[1]QUART!$A$2:$FA$300, 21, FALSE)="",":",VLOOKUP($E$23,[1]QUART!$A$2:$FA$300, 21, FALSE))</f>
        <v>73.149999999999991</v>
      </c>
      <c r="W23" s="1550">
        <f>IF(VLOOKUP($E$23,[1]QUART!$A$2:$FA$300, 22, FALSE)="",":",VLOOKUP($E$23,[1]QUART!$A$2:$FA$300, 22, FALSE))</f>
        <v>73.873333333333335</v>
      </c>
      <c r="X23" s="1550">
        <f>IF(VLOOKUP($E$23,[1]QUART!$A$2:$FA$300, 23, FALSE)="",":",VLOOKUP($E$23,[1]QUART!$A$2:$FA$300, 23, FALSE))</f>
        <v>74.029999999999987</v>
      </c>
      <c r="Y23" s="1550">
        <f>IF(VLOOKUP($E$23,[1]QUART!$A$2:$FA$300, 24, FALSE)="",":",VLOOKUP($E$23,[1]QUART!$A$2:$FA$300, 24, FALSE))</f>
        <v>74.006666666666661</v>
      </c>
      <c r="Z23" s="1550">
        <f>IF(VLOOKUP($E$23,[1]QUART!$A$2:$FA$300, 25, FALSE)="",":",VLOOKUP($E$23,[1]QUART!$A$2:$FA$300, 25, FALSE))</f>
        <v>73.17</v>
      </c>
      <c r="AA23" s="1550">
        <f>IF(VLOOKUP($E$23,[1]QUART!$A$2:$FA$300, 26, FALSE)="",":",VLOOKUP($E$23,[1]QUART!$A$2:$FA$300, 26, FALSE))</f>
        <v>73.313333333333333</v>
      </c>
      <c r="AB23" s="1550">
        <f>IF(VLOOKUP($E$23,[1]QUART!$A$2:$FA$300, 27, FALSE)="",":",VLOOKUP($E$23,[1]QUART!$A$2:$FA$300, 27, FALSE))</f>
        <v>72.95</v>
      </c>
      <c r="AC23" s="1550">
        <f>IF(VLOOKUP($E$23,[1]QUART!$A$2:$FA$300, 28, FALSE)="",":",VLOOKUP($E$23,[1]QUART!$A$2:$FA$300, 28, FALSE))</f>
        <v>72.81</v>
      </c>
      <c r="AD23" s="1550">
        <f>IF(VLOOKUP($E$23,[1]QUART!$A$2:$FA$300, 29, FALSE)="",":",VLOOKUP($E$23,[1]QUART!$A$2:$FA$300, 29, FALSE))</f>
        <v>72.7</v>
      </c>
      <c r="AE23" s="1550">
        <f>IF(VLOOKUP($E$23,[1]QUART!$A$2:$FA$300, 30, FALSE)="",":",VLOOKUP($E$23,[1]QUART!$A$2:$FA$300, 30, FALSE))</f>
        <v>72.836666666666659</v>
      </c>
      <c r="AF23" s="1550">
        <f>IF(VLOOKUP($E$23,[1]QUART!$A$2:$FA$300, 31, FALSE)="",":",VLOOKUP($E$23,[1]QUART!$A$2:$FA$300, 31, FALSE))</f>
        <v>72.570000000000007</v>
      </c>
      <c r="AG23" s="1550">
        <f>IF(VLOOKUP($E$23,[1]QUART!$A$2:$FA$300, 32, FALSE)="",":",VLOOKUP($E$23,[1]QUART!$A$2:$FA$300, 32, FALSE))</f>
        <v>72.89</v>
      </c>
      <c r="AH23" s="1550">
        <f>IF(VLOOKUP($E$23,[1]QUART!$A$2:$FA$300, 33, FALSE)="",":",VLOOKUP($E$23,[1]QUART!$A$2:$FA$300, 33, FALSE))</f>
        <v>73.653333333333322</v>
      </c>
      <c r="AI23" s="1550">
        <f>IF(VLOOKUP($E$23,[1]QUART!$A$2:$FA$300, 34, FALSE)="",":",VLOOKUP($E$23,[1]QUART!$A$2:$FA$300, 34, FALSE))</f>
        <v>73.643333333333331</v>
      </c>
      <c r="AJ23" s="1550">
        <f>IF(VLOOKUP($E$23,[1]QUART!$A$2:$FA$300, 35, FALSE)="",":",VLOOKUP($E$23,[1]QUART!$A$2:$FA$300, 35, FALSE))</f>
        <v>73.226666666666674</v>
      </c>
      <c r="AK23" s="1550">
        <f>IF(VLOOKUP($E$23,[1]QUART!$A$2:$FA$300, 36, FALSE)="",":",VLOOKUP($E$23,[1]QUART!$A$2:$FA$300, 36, FALSE))</f>
        <v>73.11</v>
      </c>
      <c r="AL23" s="1550">
        <f>IF(VLOOKUP($E$23,[1]QUART!$A$2:$FA$300, 37, FALSE)="",":",VLOOKUP($E$23,[1]QUART!$A$2:$FA$300, 37, FALSE))</f>
        <v>73.693333333333342</v>
      </c>
      <c r="AM23" s="1550">
        <f>IF(VLOOKUP($E$23,[1]QUART!$A$2:$FA$300, 38, FALSE)="",":",VLOOKUP($E$23,[1]QUART!$A$2:$FA$300, 38, FALSE))</f>
        <v>74.12</v>
      </c>
      <c r="AN23" s="1550">
        <f>IF(VLOOKUP($E$23,[1]QUART!$A$2:$FA$300, 39, FALSE)="",":",VLOOKUP($E$23,[1]QUART!$A$2:$FA$300, 39, FALSE))</f>
        <v>74.266666666666666</v>
      </c>
      <c r="AO23" s="1550">
        <f>IF(VLOOKUP($E$23,[1]QUART!$A$2:$FA$300, 40, FALSE)="",":",VLOOKUP($E$23,[1]QUART!$A$2:$FA$300, 40, FALSE))</f>
        <v>73.696666666666673</v>
      </c>
      <c r="AP23" s="1550">
        <f>IF(VLOOKUP($E$23,[1]QUART!$A$2:$FA$300, 41, FALSE)="",":",VLOOKUP($E$23,[1]QUART!$A$2:$FA$300, 41, FALSE))</f>
        <v>73.61</v>
      </c>
      <c r="AQ23" s="1550">
        <f>IF(VLOOKUP($E$23,[1]QUART!$A$2:$FA$300, 42, FALSE)="",":",VLOOKUP($E$23,[1]QUART!$A$2:$FA$300, 42, FALSE))</f>
        <v>73.58</v>
      </c>
      <c r="AR23" s="1550">
        <f>IF(VLOOKUP($E$23,[1]QUART!$A$2:$FA$300, 43, FALSE)="",":",VLOOKUP($E$23,[1]QUART!$A$2:$FA$300, 43, FALSE))</f>
        <v>74.486666666666665</v>
      </c>
      <c r="AS23" s="1550">
        <f>IF(VLOOKUP($E$23,[1]QUART!$A$2:$FA$300, 44, FALSE)="",":",VLOOKUP($E$23,[1]QUART!$A$2:$FA$300, 44, FALSE))</f>
        <v>74.543333333333337</v>
      </c>
      <c r="AT23" s="1550">
        <f>IF(VLOOKUP($E$23,[1]QUART!$A$2:$FA$300, 45, FALSE)="",":",VLOOKUP($E$23,[1]QUART!$A$2:$FA$300, 45, FALSE))</f>
        <v>74.98</v>
      </c>
      <c r="AU23" s="1550">
        <f>IF(VLOOKUP($E$23,[1]QUART!$A$2:$FA$300, 46, FALSE)="",":",VLOOKUP($E$23,[1]QUART!$A$2:$FA$300, 46, FALSE))</f>
        <v>74.75333333333333</v>
      </c>
      <c r="AV23" s="1550">
        <f>IF(VLOOKUP($E$23,[1]QUART!$A$2:$FA$300, 47, FALSE)="",":",VLOOKUP($E$23,[1]QUART!$A$2:$FA$300, 47, FALSE))</f>
        <v>75.19</v>
      </c>
      <c r="AW23" s="1550">
        <f>IF(VLOOKUP($E$23,[1]QUART!$A$2:$FA$300, 48, FALSE)="",":",VLOOKUP($E$23,[1]QUART!$A$2:$FA$300, 48, FALSE))</f>
        <v>75.320000000000007</v>
      </c>
      <c r="AX23" s="1550">
        <f>IF(VLOOKUP($E$23,[1]QUART!$A$2:$FA$300, 49, FALSE)="",":",VLOOKUP($E$23,[1]QUART!$A$2:$FA$300, 49, FALSE))</f>
        <v>76.12</v>
      </c>
      <c r="AY23" s="1550">
        <f>IF(VLOOKUP($E$23,[1]QUART!$A$2:$FA$300, 50, FALSE)="",":",VLOOKUP($E$23,[1]QUART!$A$2:$FA$300, 50, FALSE))</f>
        <v>75.986666666666665</v>
      </c>
      <c r="AZ23" s="1550">
        <f>IF(VLOOKUP($E$23,[1]QUART!$A$2:$FA$300, 51, FALSE)="",":",VLOOKUP($E$23,[1]QUART!$A$2:$FA$300, 51, FALSE))</f>
        <v>76.63333333333334</v>
      </c>
      <c r="BA23" s="1550">
        <f>IF(VLOOKUP($E$23,[1]QUART!$A$2:$FA$300, 52, FALSE)="",":",VLOOKUP($E$23,[1]QUART!$A$2:$FA$300, 52, FALSE))</f>
        <v>77.33</v>
      </c>
      <c r="BB23" s="1550">
        <f>IF(VLOOKUP($E$23,[1]QUART!$A$2:$FA$300, 53, FALSE)="",":",VLOOKUP($E$23,[1]QUART!$A$2:$FA$300, 53, FALSE))</f>
        <v>78.63</v>
      </c>
      <c r="BC23" s="1550">
        <f>IF(VLOOKUP($E$23,[1]QUART!$A$2:$FA$300, 54, FALSE)="",":",VLOOKUP($E$23,[1]QUART!$A$2:$FA$300, 54, FALSE))</f>
        <v>78.959999999999994</v>
      </c>
      <c r="BD23" s="1550">
        <f>IF(VLOOKUP($E$23,[1]QUART!$A$2:$FA$300, 55, FALSE)="",":",VLOOKUP($E$23,[1]QUART!$A$2:$FA$300, 55, FALSE))</f>
        <v>80.03</v>
      </c>
      <c r="BE23" s="1550">
        <f>IF(VLOOKUP($E$23,[1]QUART!$A$2:$FA$300, 56, FALSE)="",":",VLOOKUP($E$23,[1]QUART!$A$2:$FA$300, 56, FALSE))</f>
        <v>81.553333333333327</v>
      </c>
      <c r="BF23" s="1550">
        <f>IF(VLOOKUP($E$23,[1]QUART!$A$2:$FA$300, 57, FALSE)="",":",VLOOKUP($E$23,[1]QUART!$A$2:$FA$300, 57, FALSE))</f>
        <v>84.123333333333335</v>
      </c>
      <c r="BG23" s="1550">
        <f>IF(VLOOKUP($E$23,[1]QUART!$A$2:$FA$300, 58, FALSE)="",":",VLOOKUP($E$23,[1]QUART!$A$2:$FA$300, 58, FALSE))</f>
        <v>86.08</v>
      </c>
      <c r="BH23" s="1550">
        <f>IF(VLOOKUP($E$23,[1]QUART!$A$2:$FA$300, 59, FALSE)="",":",VLOOKUP($E$23,[1]QUART!$A$2:$FA$300, 59, FALSE))</f>
        <v>88.54</v>
      </c>
      <c r="BI23" s="1550">
        <f>IF(VLOOKUP($E$23,[1]QUART!$A$2:$FA$300, 60, FALSE)="",":",VLOOKUP($E$23,[1]QUART!$A$2:$FA$300, 60, FALSE))</f>
        <v>89.58</v>
      </c>
      <c r="BJ23" s="1550">
        <f>IF(VLOOKUP($E$23,[1]QUART!$A$2:$FA$300, 61, FALSE)="",":",VLOOKUP($E$23,[1]QUART!$A$2:$FA$300, 61, FALSE))</f>
        <v>90.676666666666662</v>
      </c>
      <c r="BK23" s="1550">
        <f>IF(VLOOKUP($E$23,[1]QUART!$A$2:$FA$300, 62, FALSE)="",":",VLOOKUP($E$23,[1]QUART!$A$2:$FA$300, 62, FALSE))</f>
        <v>92.160000000000011</v>
      </c>
      <c r="BL23" s="1550">
        <f>IF(VLOOKUP($E$23,[1]QUART!$A$2:$FA$300, 63, FALSE)="",":",VLOOKUP($E$23,[1]QUART!$A$2:$FA$300, 63, FALSE))</f>
        <v>91.973333333333315</v>
      </c>
      <c r="BM23" s="1550">
        <f>IF(VLOOKUP($E$23,[1]QUART!$A$2:$FA$300, 64, FALSE)="",":",VLOOKUP($E$23,[1]QUART!$A$2:$FA$300, 64, FALSE))</f>
        <v>91.536666666666676</v>
      </c>
      <c r="BN23" s="1550">
        <f>IF(VLOOKUP($E$23,[1]QUART!$A$2:$FA$300, 65, FALSE)="",":",VLOOKUP($E$23,[1]QUART!$A$2:$FA$300, 65, FALSE))</f>
        <v>92.24666666666667</v>
      </c>
      <c r="BO23" s="1550">
        <f>IF(VLOOKUP($E$23,[1]QUART!$A$2:$FA$300, 66, FALSE)="",":",VLOOKUP($E$23,[1]QUART!$A$2:$FA$300, 66, FALSE))</f>
        <v>91.726666666666674</v>
      </c>
      <c r="BP23" s="1550">
        <f>IF(VLOOKUP($E$23,[1]QUART!$A$2:$FA$300, 67, FALSE)="",":",VLOOKUP($E$23,[1]QUART!$A$2:$FA$300, 67, FALSE))</f>
        <v>91.773333333333326</v>
      </c>
      <c r="BQ23" s="1550">
        <f>IF(VLOOKUP($E$23,[1]QUART!$A$2:$FA$300, 68, FALSE)="",":",VLOOKUP($E$23,[1]QUART!$A$2:$FA$300, 68, FALSE))</f>
        <v>91.763333333333335</v>
      </c>
      <c r="BR23" s="1550">
        <f>IF(VLOOKUP($E$23,[1]QUART!$A$2:$FA$300, 69, FALSE)="",":",VLOOKUP($E$23,[1]QUART!$A$2:$FA$300, 69, FALSE))</f>
        <v>92.456666666666663</v>
      </c>
      <c r="BS23" s="1550">
        <f>IF(VLOOKUP($E$23,[1]QUART!$A$2:$FA$300, 70, FALSE)="",":",VLOOKUP($E$23,[1]QUART!$A$2:$FA$300, 70, FALSE))</f>
        <v>92.723333333333343</v>
      </c>
      <c r="BT23" s="1550">
        <f>IF(VLOOKUP($E$23,[1]QUART!$A$2:$FA$300, 71, FALSE)="",":",VLOOKUP($E$23,[1]QUART!$A$2:$FA$300, 71, FALSE))</f>
        <v>94.426666666666662</v>
      </c>
      <c r="BU23" s="1550">
        <f>IF(VLOOKUP($E$23,[1]QUART!$A$2:$FA$300, 72, FALSE)="",":",VLOOKUP($E$23,[1]QUART!$A$2:$FA$300, 72, FALSE))</f>
        <v>94.490000000000009</v>
      </c>
      <c r="BV23" s="1550">
        <f>IF(VLOOKUP($E$23,[1]QUART!$A$2:$FA$300, 73, FALSE)="",":",VLOOKUP($E$23,[1]QUART!$A$2:$FA$300, 73, FALSE))</f>
        <v>94.793333333333337</v>
      </c>
      <c r="BW23" s="1550">
        <f>IF(VLOOKUP($E$23,[1]QUART!$A$2:$FA$300, 74, FALSE)="",":",VLOOKUP($E$23,[1]QUART!$A$2:$FA$300, 74, FALSE))</f>
        <v>95.036666666666676</v>
      </c>
      <c r="BX23" s="1550">
        <f>IF(VLOOKUP($E$23,[1]QUART!$A$2:$FA$300, 75, FALSE)="",":",VLOOKUP($E$23,[1]QUART!$A$2:$FA$300, 75, FALSE))</f>
        <v>96.399999999999991</v>
      </c>
      <c r="BY23" s="1550">
        <f>IF(VLOOKUP($E$23,[1]QUART!$A$2:$FA$300, 76, FALSE)="",":",VLOOKUP($E$23,[1]QUART!$A$2:$FA$300, 76, FALSE))</f>
        <v>96.723333333333343</v>
      </c>
      <c r="BZ23" s="1550">
        <f>IF(VLOOKUP($E$23,[1]QUART!$A$2:$FA$300, 77, FALSE)="",":",VLOOKUP($E$23,[1]QUART!$A$2:$FA$300, 77, FALSE))</f>
        <v>97.216666666666654</v>
      </c>
      <c r="CA23" s="1550">
        <f>IF(VLOOKUP($E$23,[1]QUART!$A$2:$FA$300, 78, FALSE)="",":",VLOOKUP($E$23,[1]QUART!$A$2:$FA$300, 78, FALSE))</f>
        <v>96.863333333333344</v>
      </c>
      <c r="CB23" s="1550">
        <f>IF(VLOOKUP($E$23,[1]QUART!$A$2:$FA$300, 79, FALSE)="",":",VLOOKUP($E$23,[1]QUART!$A$2:$FA$300, 79, FALSE))</f>
        <v>97.773333333333326</v>
      </c>
      <c r="CC23" s="1550">
        <f>IF(VLOOKUP($E$23,[1]QUART!$A$2:$FA$300, 80, FALSE)="",":",VLOOKUP($E$23,[1]QUART!$A$2:$FA$300, 80, FALSE))</f>
        <v>97.836666666666659</v>
      </c>
      <c r="CD23" s="1550">
        <f>IF(VLOOKUP($E$23,[1]QUART!$A$2:$FA$300, 81, FALSE)="",":",VLOOKUP($E$23,[1]QUART!$A$2:$FA$300, 81, FALSE))</f>
        <v>98.286666666666676</v>
      </c>
      <c r="CE23" s="1550">
        <f>IF(VLOOKUP($E$23,[1]QUART!$A$2:$FA$300, 82, FALSE)="",":",VLOOKUP($E$23,[1]QUART!$A$2:$FA$300, 82, FALSE))</f>
        <v>97.823333333333338</v>
      </c>
      <c r="CF23" s="1550">
        <f>IF(VLOOKUP($E$23,[1]QUART!$A$2:$FA$300, 83, FALSE)="",":",VLOOKUP($E$23,[1]QUART!$A$2:$FA$300, 83, FALSE))</f>
        <v>98.733333333333334</v>
      </c>
      <c r="CG23" s="1550">
        <f>IF(VLOOKUP($E$23,[1]QUART!$A$2:$FA$300, 84, FALSE)="",":",VLOOKUP($E$23,[1]QUART!$A$2:$FA$300, 84, FALSE))</f>
        <v>99.013333333333335</v>
      </c>
      <c r="CH23" s="1550">
        <f>IF(VLOOKUP($E$23,[1]QUART!$A$2:$FA$300, 85, FALSE)="",":",VLOOKUP($E$23,[1]QUART!$A$2:$FA$300, 85, FALSE))</f>
        <v>99.56</v>
      </c>
      <c r="CI23" s="1550">
        <f>IF(VLOOKUP($E$23,[1]QUART!$A$2:$FA$300, 86, FALSE)="",":",VLOOKUP($E$23,[1]QUART!$A$2:$FA$300, 86, FALSE))</f>
        <v>98.99666666666667</v>
      </c>
      <c r="CJ23" s="1550">
        <f>IF(VLOOKUP($E$23,[1]QUART!$A$2:$FA$300, 87, FALSE)="",":",VLOOKUP($E$23,[1]QUART!$A$2:$FA$300, 87, FALSE))</f>
        <v>99.90000000000002</v>
      </c>
      <c r="CK23" s="1550">
        <f>IF(VLOOKUP($E$23,[1]QUART!$A$2:$FA$300, 88, FALSE)="",":",VLOOKUP($E$23,[1]QUART!$A$2:$FA$300, 88, FALSE))</f>
        <v>100.05</v>
      </c>
      <c r="CL23" s="1550">
        <f>IF(VLOOKUP($E$23,[1]QUART!$A$2:$FA$300, 89, FALSE)="",":",VLOOKUP($E$23,[1]QUART!$A$2:$FA$300, 89, FALSE))</f>
        <v>101.04666666666667</v>
      </c>
      <c r="CM23" s="1550">
        <f>IF(VLOOKUP($E$23,[1]QUART!$A$2:$FA$300, 90, FALSE)="",":",VLOOKUP($E$23,[1]QUART!$A$2:$FA$300, 90, FALSE))</f>
        <v>100.87</v>
      </c>
      <c r="CN23" s="1550">
        <f>IF(VLOOKUP($E$23,[1]QUART!$A$2:$FA$300, 91, FALSE)="",":",VLOOKUP($E$23,[1]QUART!$A$2:$FA$300, 91, FALSE))</f>
        <v>101.93666666666667</v>
      </c>
      <c r="CO23" s="1550">
        <f>IF(VLOOKUP($E$23,[1]QUART!$A$2:$FA$300, 92, FALSE)="",":",VLOOKUP($E$23,[1]QUART!$A$2:$FA$300, 92, FALSE))</f>
        <v>101.77</v>
      </c>
      <c r="CP23" s="1550">
        <f>IF(VLOOKUP($E$23,[1]QUART!$A$2:$FA$300, 93, FALSE)="",":",VLOOKUP($E$23,[1]QUART!$A$2:$FA$300, 93, FALSE))</f>
        <v>102.88333333333333</v>
      </c>
      <c r="CQ23" s="1550">
        <f>IF(VLOOKUP($E$23,[1]QUART!$A$2:$FA$300, 94, FALSE)="",":",VLOOKUP($E$23,[1]QUART!$A$2:$FA$300, 94, FALSE))</f>
        <v>103.45666666666666</v>
      </c>
      <c r="CR23" s="1550">
        <f>IF(VLOOKUP($E$23,[1]QUART!$A$2:$FA$300, 95, FALSE)="",":",VLOOKUP($E$23,[1]QUART!$A$2:$FA$300, 95, FALSE))</f>
        <v>105.92333333333335</v>
      </c>
      <c r="CS23" s="1550">
        <f>IF(VLOOKUP($E$23,[1]QUART!$A$2:$FA$300, 96, FALSE)="",":",VLOOKUP($E$23,[1]QUART!$A$2:$FA$300, 96, FALSE))</f>
        <v>106.49666666666667</v>
      </c>
      <c r="CT23" s="1550">
        <f>IF(VLOOKUP($E$23,[1]QUART!$A$2:$FA$300, 97, FALSE)="",":",VLOOKUP($E$23,[1]QUART!$A$2:$FA$300, 97, FALSE))</f>
        <v>107.12666666666667</v>
      </c>
      <c r="CU23" s="1550" t="str">
        <f>IF(VLOOKUP($E$23,[1]QUART!$A$2:$FA$300, 98, FALSE)="",":",VLOOKUP($E$23,[1]QUART!$A$2:$FA$300, 98, FALSE))</f>
        <v>:</v>
      </c>
      <c r="CV23" s="1550" t="str">
        <f>IF(VLOOKUP($E$23,[1]QUART!$A$2:$FA$300, 99, FALSE)="",":",VLOOKUP($E$23,[1]QUART!$A$2:$FA$300, 99, FALSE))</f>
        <v>:</v>
      </c>
      <c r="CW23" s="1550" t="str">
        <f>IF(VLOOKUP($E$23,[1]QUART!$A$2:$FA$300, 100, FALSE)="",":",VLOOKUP($E$23,[1]QUART!$A$2:$FA$300, 100, FALSE))</f>
        <v>:</v>
      </c>
      <c r="CX23" s="1550" t="str">
        <f>IF(VLOOKUP($E$23,[1]QUART!$A$2:$FA$300, 101, FALSE)="",":",VLOOKUP($E$23,[1]QUART!$A$2:$FA$300, 101, FALSE))</f>
        <v>:</v>
      </c>
      <c r="CY23" s="1550" t="str">
        <f>IF(VLOOKUP($E$23,[1]QUART!$A$2:$FA$300, 102, FALSE)="",":",VLOOKUP($E$23,[1]QUART!$A$2:$FA$300, 102, FALSE))</f>
        <v>:</v>
      </c>
      <c r="CZ23" s="1550" t="str">
        <f>IF(VLOOKUP($E$23,[1]QUART!$A$2:$FA$300, 103, FALSE)="",":",VLOOKUP($E$23,[1]QUART!$A$2:$FA$300, 103, FALSE))</f>
        <v>:</v>
      </c>
      <c r="DA23" s="1550" t="str">
        <f>IF(VLOOKUP($E$23,[1]QUART!$A$2:$FA$300, 104, FALSE)="",":",VLOOKUP($E$23,[1]QUART!$A$2:$FA$300, 104, FALSE))</f>
        <v>:</v>
      </c>
      <c r="DB23" s="1550" t="str">
        <f>IF(VLOOKUP($E$23,[1]QUART!$A$2:$FA$300, 105, FALSE)="",":",VLOOKUP($E$23,[1]QUART!$A$2:$FA$300, 105, FALSE))</f>
        <v>:</v>
      </c>
      <c r="DC23" s="1550" t="str">
        <f>IF(VLOOKUP($E$23,[1]QUART!$A$2:$FA$300, 106, FALSE)="",":",VLOOKUP($E$23,[1]QUART!$A$2:$FA$300, 106, FALSE))</f>
        <v>:</v>
      </c>
    </row>
    <row r="24" spans="1:107">
      <c r="A24" s="1546"/>
      <c r="B24" s="1551"/>
      <c r="C24" s="1552"/>
      <c r="D24" s="1547"/>
      <c r="E24" s="1548"/>
      <c r="F24" s="1549"/>
      <c r="G24" s="1550"/>
      <c r="H24" s="1550"/>
      <c r="I24" s="1550"/>
      <c r="J24" s="1550"/>
      <c r="K24" s="1550"/>
      <c r="L24" s="1550"/>
      <c r="M24" s="1550"/>
      <c r="N24" s="1550"/>
      <c r="O24" s="1550"/>
      <c r="P24" s="1550"/>
      <c r="Q24" s="1550"/>
      <c r="R24" s="1550"/>
      <c r="S24" s="1550"/>
      <c r="T24" s="1550"/>
      <c r="U24" s="1550"/>
      <c r="V24" s="1550"/>
      <c r="W24" s="1550"/>
      <c r="X24" s="1550"/>
      <c r="Y24" s="1550"/>
      <c r="Z24" s="1550"/>
      <c r="AA24" s="1550"/>
      <c r="AB24" s="1550"/>
      <c r="AC24" s="1550"/>
      <c r="AD24" s="1550"/>
      <c r="AE24" s="1550"/>
      <c r="AF24" s="1550"/>
      <c r="AG24" s="1550"/>
      <c r="AH24" s="1550"/>
      <c r="AI24" s="1550"/>
      <c r="AJ24" s="1550"/>
      <c r="AK24" s="1550"/>
      <c r="AL24" s="1550"/>
      <c r="AM24" s="1550"/>
      <c r="AN24" s="1550"/>
      <c r="AO24" s="1550"/>
      <c r="AP24" s="1550"/>
      <c r="AQ24" s="1550"/>
      <c r="AR24" s="1550"/>
      <c r="AS24" s="1550"/>
      <c r="AT24" s="1550"/>
      <c r="AU24" s="1550"/>
      <c r="AV24" s="1550"/>
      <c r="AW24" s="1550"/>
      <c r="AX24" s="1550"/>
      <c r="AY24" s="1550"/>
      <c r="AZ24" s="1550"/>
      <c r="BA24" s="1550"/>
      <c r="BB24" s="1550"/>
      <c r="BC24" s="1550"/>
      <c r="BD24" s="1550"/>
      <c r="BE24" s="1550"/>
      <c r="BF24" s="1550"/>
      <c r="BG24" s="1550"/>
      <c r="BH24" s="1550"/>
      <c r="BI24" s="1550"/>
      <c r="BJ24" s="1550"/>
      <c r="BK24" s="1550"/>
      <c r="BL24" s="1550"/>
      <c r="BM24" s="1550"/>
      <c r="BN24" s="1550"/>
      <c r="BO24" s="1550"/>
      <c r="BP24" s="1550"/>
      <c r="BQ24" s="1550"/>
      <c r="BR24" s="1550"/>
      <c r="BS24" s="1550"/>
      <c r="BT24" s="1550"/>
      <c r="BU24" s="1550"/>
      <c r="BV24" s="1550"/>
      <c r="BW24" s="1550"/>
      <c r="BX24" s="1550"/>
      <c r="BY24" s="1550"/>
      <c r="BZ24" s="1550"/>
      <c r="CA24" s="1550"/>
      <c r="CB24" s="1550"/>
      <c r="CC24" s="1550"/>
      <c r="CD24" s="1550"/>
      <c r="CE24" s="1550"/>
      <c r="CF24" s="1550"/>
      <c r="CG24" s="1550"/>
      <c r="CH24" s="1550"/>
      <c r="CI24" s="1550"/>
      <c r="CJ24" s="1550"/>
      <c r="CK24" s="1550"/>
      <c r="CL24" s="1550"/>
      <c r="CM24" s="1550"/>
      <c r="CN24" s="1550"/>
      <c r="CO24" s="1550"/>
      <c r="CP24" s="1550"/>
      <c r="CQ24" s="1550"/>
      <c r="CR24" s="1550"/>
      <c r="CS24" s="1550"/>
      <c r="CT24" s="1550"/>
      <c r="CU24" s="1550"/>
      <c r="CV24" s="1550"/>
      <c r="CW24" s="1550"/>
      <c r="CX24" s="1550"/>
      <c r="CY24" s="1550"/>
      <c r="CZ24" s="1550"/>
      <c r="DA24" s="1550"/>
      <c r="DB24" s="1550"/>
      <c r="DC24" s="1550"/>
    </row>
    <row r="25" spans="1:107">
      <c r="A25" s="1954"/>
      <c r="B25" s="534"/>
      <c r="C25" s="535"/>
      <c r="D25" s="12" t="s">
        <v>1841</v>
      </c>
      <c r="E25" s="13">
        <v>80</v>
      </c>
      <c r="F25" s="14"/>
      <c r="G25" s="544"/>
      <c r="H25" s="544"/>
      <c r="I25" s="544"/>
      <c r="J25" s="544"/>
      <c r="K25" s="544"/>
      <c r="L25" s="544"/>
      <c r="M25" s="544"/>
      <c r="N25" s="544"/>
      <c r="O25" s="544"/>
      <c r="P25" s="544"/>
      <c r="Q25" s="544"/>
      <c r="R25" s="544"/>
      <c r="S25" s="544"/>
      <c r="T25" s="544"/>
      <c r="U25" s="544"/>
      <c r="V25" s="544"/>
      <c r="W25" s="544"/>
      <c r="X25" s="544"/>
      <c r="Y25" s="544"/>
      <c r="Z25" s="544"/>
      <c r="AA25" s="544"/>
      <c r="AB25" s="544"/>
      <c r="AC25" s="544"/>
      <c r="AD25" s="544"/>
      <c r="AE25" s="544"/>
      <c r="AF25" s="544"/>
      <c r="AG25" s="544"/>
      <c r="AH25" s="544"/>
      <c r="AI25" s="544"/>
      <c r="AJ25" s="544"/>
      <c r="AK25" s="544"/>
      <c r="AL25" s="544"/>
      <c r="AM25" s="544"/>
      <c r="AN25" s="544"/>
      <c r="AO25" s="544"/>
      <c r="AP25" s="544"/>
      <c r="AQ25" s="544"/>
      <c r="AR25" s="544"/>
      <c r="AS25" s="544"/>
      <c r="AT25" s="544"/>
      <c r="AU25" s="544"/>
      <c r="AV25" s="544"/>
      <c r="AW25" s="544"/>
      <c r="AX25" s="544"/>
      <c r="AY25" s="544"/>
      <c r="AZ25" s="544"/>
      <c r="BA25" s="544"/>
      <c r="BB25" s="544"/>
      <c r="BC25" s="544"/>
      <c r="BD25" s="544"/>
      <c r="BE25" s="544"/>
      <c r="BF25" s="544"/>
      <c r="BG25" s="544"/>
      <c r="BH25" s="544"/>
      <c r="BI25" s="544"/>
      <c r="BJ25" s="544"/>
      <c r="BK25" s="544"/>
      <c r="BL25" s="3142"/>
      <c r="BM25" s="3142"/>
      <c r="BN25" s="3142"/>
      <c r="BO25" s="3142"/>
      <c r="BP25" s="3142"/>
      <c r="BQ25" s="544"/>
      <c r="BR25" s="544"/>
      <c r="BS25" s="544"/>
      <c r="BT25" s="544"/>
      <c r="BU25" s="544"/>
      <c r="BV25" s="544"/>
      <c r="BW25" s="544"/>
      <c r="BX25" s="544"/>
      <c r="BY25" s="544"/>
      <c r="BZ25" s="544"/>
      <c r="CA25" s="544"/>
      <c r="CB25" s="544"/>
      <c r="CC25" s="544"/>
      <c r="CD25" s="544"/>
      <c r="CE25" s="544"/>
      <c r="CF25" s="544"/>
      <c r="CG25" s="544"/>
      <c r="CH25" s="544"/>
      <c r="CI25" s="544"/>
      <c r="CJ25" s="544"/>
      <c r="CK25" s="544"/>
      <c r="CL25" s="544"/>
      <c r="CM25" s="544"/>
      <c r="CN25" s="544"/>
      <c r="CO25" s="544"/>
      <c r="CP25" s="544"/>
      <c r="CQ25" s="544"/>
      <c r="CR25" s="544"/>
      <c r="CS25" s="544"/>
      <c r="CT25" s="544"/>
      <c r="CU25" s="544"/>
      <c r="CV25" s="544"/>
      <c r="CW25" s="544"/>
      <c r="CX25" s="544"/>
      <c r="CY25" s="544"/>
      <c r="CZ25" s="544"/>
      <c r="DA25" s="544"/>
      <c r="DB25" s="544"/>
      <c r="DC25" s="544"/>
    </row>
    <row r="26" spans="1:107">
      <c r="A26" s="1954"/>
      <c r="B26" s="534"/>
      <c r="C26" s="535"/>
      <c r="D26" s="12" t="s">
        <v>1841</v>
      </c>
      <c r="E26" s="13">
        <v>81</v>
      </c>
      <c r="F26" s="14" t="str">
        <f>VLOOKUP($E$26,[1]QUART!$A$2:$FA$324, 3, FALSE)</f>
        <v>81 GFCF construction</v>
      </c>
      <c r="G26" s="544">
        <f>IF(VLOOKUP($E$26,[1]QUART!$A$2:$FA$324, 6, FALSE)="",":",VLOOKUP($E$26,[1]QUART!$A$2:$FA$324, 6, FALSE))</f>
        <v>287.8</v>
      </c>
      <c r="H26" s="544">
        <f>IF(VLOOKUP($E$26,[1]QUART!$A$2:$FA$324, 7, FALSE)="",":",VLOOKUP($E$26,[1]QUART!$A$2:$FA$324, 7, FALSE))</f>
        <v>342.5</v>
      </c>
      <c r="I26" s="544">
        <f>IF(VLOOKUP($E$26,[1]QUART!$A$2:$FA$324, 8, FALSE)="",":",VLOOKUP($E$26,[1]QUART!$A$2:$FA$324, 8, FALSE))</f>
        <v>333.79999999999995</v>
      </c>
      <c r="J26" s="544">
        <f>IF(VLOOKUP($E$26,[1]QUART!$A$2:$FA$324, 9, FALSE)="",":",VLOOKUP($E$26,[1]QUART!$A$2:$FA$324, 9, FALSE))</f>
        <v>348.8</v>
      </c>
      <c r="K26" s="544">
        <f>IF(VLOOKUP($E$26,[1]QUART!$A$2:$FA$324, 10, FALSE)="",":",VLOOKUP($E$26,[1]QUART!$A$2:$FA$324, 10, FALSE))</f>
        <v>328.9</v>
      </c>
      <c r="L26" s="544">
        <f>IF(VLOOKUP($E$26,[1]QUART!$A$2:$FA$324, 11, FALSE)="",":",VLOOKUP($E$26,[1]QUART!$A$2:$FA$324, 11, FALSE))</f>
        <v>357.5</v>
      </c>
      <c r="M26" s="544">
        <f>IF(VLOOKUP($E$26,[1]QUART!$A$2:$FA$324, 12, FALSE)="",":",VLOOKUP($E$26,[1]QUART!$A$2:$FA$324, 12, FALSE))</f>
        <v>356.9</v>
      </c>
      <c r="N26" s="544">
        <f>IF(VLOOKUP($E$26,[1]QUART!$A$2:$FA$324, 13, FALSE)="",":",VLOOKUP($E$26,[1]QUART!$A$2:$FA$324, 13, FALSE))</f>
        <v>353.9</v>
      </c>
      <c r="O26" s="544">
        <f>IF(VLOOKUP($E$26,[1]QUART!$A$2:$FA$324, 14, FALSE)="",":",VLOOKUP($E$26,[1]QUART!$A$2:$FA$324, 14, FALSE))</f>
        <v>465.6</v>
      </c>
      <c r="P26" s="544">
        <f>IF(VLOOKUP($E$26,[1]QUART!$A$2:$FA$324, 15, FALSE)="",":",VLOOKUP($E$26,[1]QUART!$A$2:$FA$324, 15, FALSE))</f>
        <v>286</v>
      </c>
      <c r="Q26" s="544">
        <f>IF(VLOOKUP($E$26,[1]QUART!$A$2:$FA$324, 16, FALSE)="",":",VLOOKUP($E$26,[1]QUART!$A$2:$FA$324, 16, FALSE))</f>
        <v>343.8</v>
      </c>
      <c r="R26" s="544">
        <f>IF(VLOOKUP($E$26,[1]QUART!$A$2:$FA$324, 17, FALSE)="",":",VLOOKUP($E$26,[1]QUART!$A$2:$FA$324, 17, FALSE))</f>
        <v>426.2</v>
      </c>
      <c r="S26" s="544">
        <f>IF(VLOOKUP($E$26,[1]QUART!$A$2:$FA$324, 18, FALSE)="",":",VLOOKUP($E$26,[1]QUART!$A$2:$FA$324, 18, FALSE))</f>
        <v>449.3</v>
      </c>
      <c r="T26" s="544">
        <f>IF(VLOOKUP($E$26,[1]QUART!$A$2:$FA$324, 19, FALSE)="",":",VLOOKUP($E$26,[1]QUART!$A$2:$FA$324, 19, FALSE))</f>
        <v>416</v>
      </c>
      <c r="U26" s="544">
        <f>IF(VLOOKUP($E$26,[1]QUART!$A$2:$FA$324, 20, FALSE)="",":",VLOOKUP($E$26,[1]QUART!$A$2:$FA$324, 20, FALSE))</f>
        <v>424.8</v>
      </c>
      <c r="V26" s="544">
        <f>IF(VLOOKUP($E$26,[1]QUART!$A$2:$FA$324, 21, FALSE)="",":",VLOOKUP($E$26,[1]QUART!$A$2:$FA$324, 21, FALSE))</f>
        <v>299.7</v>
      </c>
      <c r="W26" s="544">
        <f>IF(VLOOKUP($E$26,[1]QUART!$A$2:$FA$324, 22, FALSE)="",":",VLOOKUP($E$26,[1]QUART!$A$2:$FA$324, 22, FALSE))</f>
        <v>343.6</v>
      </c>
      <c r="X26" s="544">
        <f>IF(VLOOKUP($E$26,[1]QUART!$A$2:$FA$324, 23, FALSE)="",":",VLOOKUP($E$26,[1]QUART!$A$2:$FA$324, 23, FALSE))</f>
        <v>378.9</v>
      </c>
      <c r="Y26" s="544">
        <f>IF(VLOOKUP($E$26,[1]QUART!$A$2:$FA$324, 24, FALSE)="",":",VLOOKUP($E$26,[1]QUART!$A$2:$FA$324, 24, FALSE))</f>
        <v>339.9</v>
      </c>
      <c r="Z26" s="544">
        <f>IF(VLOOKUP($E$26,[1]QUART!$A$2:$FA$324, 25, FALSE)="",":",VLOOKUP($E$26,[1]QUART!$A$2:$FA$324, 25, FALSE))</f>
        <v>404.9</v>
      </c>
      <c r="AA26" s="544">
        <f>IF(VLOOKUP($E$26,[1]QUART!$A$2:$FA$324, 26, FALSE)="",":",VLOOKUP($E$26,[1]QUART!$A$2:$FA$324, 26, FALSE))</f>
        <v>428</v>
      </c>
      <c r="AB26" s="544">
        <f>IF(VLOOKUP($E$26,[1]QUART!$A$2:$FA$324, 27, FALSE)="",":",VLOOKUP($E$26,[1]QUART!$A$2:$FA$324, 27, FALSE))</f>
        <v>363.8</v>
      </c>
      <c r="AC26" s="544">
        <f>IF(VLOOKUP($E$26,[1]QUART!$A$2:$FA$324, 28, FALSE)="",":",VLOOKUP($E$26,[1]QUART!$A$2:$FA$324, 28, FALSE))</f>
        <v>444.7</v>
      </c>
      <c r="AD26" s="544">
        <f>IF(VLOOKUP($E$26,[1]QUART!$A$2:$FA$324, 29, FALSE)="",":",VLOOKUP($E$26,[1]QUART!$A$2:$FA$324, 29, FALSE))</f>
        <v>444.3</v>
      </c>
      <c r="AE26" s="544">
        <f>IF(VLOOKUP($E$26,[1]QUART!$A$2:$FA$324, 30, FALSE)="",":",VLOOKUP($E$26,[1]QUART!$A$2:$FA$324, 30, FALSE))</f>
        <v>393</v>
      </c>
      <c r="AF26" s="544">
        <f>IF(VLOOKUP($E$26,[1]QUART!$A$2:$FA$324, 31, FALSE)="",":",VLOOKUP($E$26,[1]QUART!$A$2:$FA$324, 31, FALSE))</f>
        <v>398.5</v>
      </c>
      <c r="AG26" s="544">
        <f>IF(VLOOKUP($E$26,[1]QUART!$A$2:$FA$324, 32, FALSE)="",":",VLOOKUP($E$26,[1]QUART!$A$2:$FA$324, 32, FALSE))</f>
        <v>446.4</v>
      </c>
      <c r="AH26" s="544">
        <f>IF(VLOOKUP($E$26,[1]QUART!$A$2:$FA$324, 33, FALSE)="",":",VLOOKUP($E$26,[1]QUART!$A$2:$FA$324, 33, FALSE))</f>
        <v>653.9</v>
      </c>
      <c r="AI26" s="544">
        <f>IF(VLOOKUP($E$26,[1]QUART!$A$2:$FA$324, 34, FALSE)="",":",VLOOKUP($E$26,[1]QUART!$A$2:$FA$324, 34, FALSE))</f>
        <v>419.7</v>
      </c>
      <c r="AJ26" s="544">
        <f>IF(VLOOKUP($E$26,[1]QUART!$A$2:$FA$324, 35, FALSE)="",":",VLOOKUP($E$26,[1]QUART!$A$2:$FA$324, 35, FALSE))</f>
        <v>421.6</v>
      </c>
      <c r="AK26" s="544">
        <f>IF(VLOOKUP($E$26,[1]QUART!$A$2:$FA$324, 36, FALSE)="",":",VLOOKUP($E$26,[1]QUART!$A$2:$FA$324, 36, FALSE))</f>
        <v>391</v>
      </c>
      <c r="AL26" s="544">
        <f>IF(VLOOKUP($E$26,[1]QUART!$A$2:$FA$324, 37, FALSE)="",":",VLOOKUP($E$26,[1]QUART!$A$2:$FA$324, 37, FALSE))</f>
        <v>504.8</v>
      </c>
      <c r="AM26" s="544">
        <f>IF(VLOOKUP($E$26,[1]QUART!$A$2:$FA$324, 38, FALSE)="",":",VLOOKUP($E$26,[1]QUART!$A$2:$FA$324, 38, FALSE))</f>
        <v>416.3</v>
      </c>
      <c r="AN26" s="544">
        <f>IF(VLOOKUP($E$26,[1]QUART!$A$2:$FA$324, 39, FALSE)="",":",VLOOKUP($E$26,[1]QUART!$A$2:$FA$324, 39, FALSE))</f>
        <v>507.7</v>
      </c>
      <c r="AO26" s="544">
        <f>IF(VLOOKUP($E$26,[1]QUART!$A$2:$FA$324, 40, FALSE)="",":",VLOOKUP($E$26,[1]QUART!$A$2:$FA$324, 40, FALSE))</f>
        <v>472.6</v>
      </c>
      <c r="AP26" s="544">
        <f>IF(VLOOKUP($E$26,[1]QUART!$A$2:$FA$324, 41, FALSE)="",":",VLOOKUP($E$26,[1]QUART!$A$2:$FA$324, 41, FALSE))</f>
        <v>506.70000000000005</v>
      </c>
      <c r="AQ26" s="544">
        <f>IF(VLOOKUP($E$26,[1]QUART!$A$2:$FA$324, 42, FALSE)="",":",VLOOKUP($E$26,[1]QUART!$A$2:$FA$324, 42, FALSE))</f>
        <v>586.5</v>
      </c>
      <c r="AR26" s="544">
        <f>IF(VLOOKUP($E$26,[1]QUART!$A$2:$FA$324, 43, FALSE)="",":",VLOOKUP($E$26,[1]QUART!$A$2:$FA$324, 43, FALSE))</f>
        <v>802.1</v>
      </c>
      <c r="AS26" s="544">
        <f>IF(VLOOKUP($E$26,[1]QUART!$A$2:$FA$324, 44, FALSE)="",":",VLOOKUP($E$26,[1]QUART!$A$2:$FA$324, 44, FALSE))</f>
        <v>841.9</v>
      </c>
      <c r="AT26" s="544">
        <f>IF(VLOOKUP($E$26,[1]QUART!$A$2:$FA$324, 45, FALSE)="",":",VLOOKUP($E$26,[1]QUART!$A$2:$FA$324, 45, FALSE))</f>
        <v>209.80074142724746</v>
      </c>
      <c r="AU26" s="544">
        <f>IF(VLOOKUP($E$26,[1]QUART!$A$2:$FA$324, 46, FALSE)="",":",VLOOKUP($E$26,[1]QUART!$A$2:$FA$324, 46, FALSE))</f>
        <v>779.9</v>
      </c>
      <c r="AV26" s="544">
        <f>IF(VLOOKUP($E$26,[1]QUART!$A$2:$FA$324, 47, FALSE)="",":",VLOOKUP($E$26,[1]QUART!$A$2:$FA$324, 47, FALSE))</f>
        <v>765.4</v>
      </c>
      <c r="AW26" s="544">
        <f>IF(VLOOKUP($E$26,[1]QUART!$A$2:$FA$324, 48, FALSE)="",":",VLOOKUP($E$26,[1]QUART!$A$2:$FA$324, 48, FALSE))</f>
        <v>819.5</v>
      </c>
      <c r="AX26" s="544">
        <f>IF(VLOOKUP($E$26,[1]QUART!$A$2:$FA$324, 49, FALSE)="",":",VLOOKUP($E$26,[1]QUART!$A$2:$FA$324, 49, FALSE))</f>
        <v>839.6</v>
      </c>
      <c r="AY26" s="544">
        <f>IF(VLOOKUP($E$26,[1]QUART!$A$2:$FA$324, 50, FALSE)="",":",VLOOKUP($E$26,[1]QUART!$A$2:$FA$324, 50, FALSE))</f>
        <v>921.8</v>
      </c>
      <c r="AZ26" s="544">
        <f>IF(VLOOKUP($E$26,[1]QUART!$A$2:$FA$324, 51, FALSE)="",":",VLOOKUP($E$26,[1]QUART!$A$2:$FA$324, 51, FALSE))</f>
        <v>937.9</v>
      </c>
      <c r="BA26" s="544">
        <f>IF(VLOOKUP($E$26,[1]QUART!$A$2:$FA$324, 52, FALSE)="",":",VLOOKUP($E$26,[1]QUART!$A$2:$FA$324, 52, FALSE))</f>
        <v>989.7</v>
      </c>
      <c r="BB26" s="544">
        <f>IF(VLOOKUP($E$26,[1]QUART!$A$2:$FA$324, 53, FALSE)="",":",VLOOKUP($E$26,[1]QUART!$A$2:$FA$324, 53, FALSE))</f>
        <v>1099.2</v>
      </c>
      <c r="BC26" s="544">
        <f>IF(VLOOKUP($E$26,[1]QUART!$A$2:$FA$324, 54, FALSE)="",":",VLOOKUP($E$26,[1]QUART!$A$2:$FA$324, 54, FALSE))</f>
        <v>1191.0999999999999</v>
      </c>
      <c r="BD26" s="544">
        <f>IF(VLOOKUP($E$26,[1]QUART!$A$2:$FA$324, 55, FALSE)="",":",VLOOKUP($E$26,[1]QUART!$A$2:$FA$324, 55, FALSE))</f>
        <v>1183.2</v>
      </c>
      <c r="BE26" s="544">
        <f>IF(VLOOKUP($E$26,[1]QUART!$A$2:$FA$324, 56, FALSE)="",":",VLOOKUP($E$26,[1]QUART!$A$2:$FA$324, 56, FALSE))</f>
        <v>1188.5999999999999</v>
      </c>
      <c r="BF26" s="544">
        <f>IF(VLOOKUP($E$26,[1]QUART!$A$2:$FA$324, 57, FALSE)="",":",VLOOKUP($E$26,[1]QUART!$A$2:$FA$324, 57, FALSE))</f>
        <v>1216.5999999999999</v>
      </c>
      <c r="BG26" s="544">
        <f>IF(VLOOKUP($E$26,[1]QUART!$A$2:$FA$324, 58, FALSE)="",":",VLOOKUP($E$26,[1]QUART!$A$2:$FA$324, 58, FALSE))</f>
        <v>1214.8</v>
      </c>
      <c r="BH26" s="544">
        <f>IF(VLOOKUP($E$26,[1]QUART!$A$2:$FA$324, 59, FALSE)="",":",VLOOKUP($E$26,[1]QUART!$A$2:$FA$324, 59, FALSE))</f>
        <v>1217.2</v>
      </c>
      <c r="BI26" s="544">
        <f>IF(VLOOKUP($E$26,[1]QUART!$A$2:$FA$324, 60, FALSE)="",":",VLOOKUP($E$26,[1]QUART!$A$2:$FA$324, 60, FALSE))</f>
        <v>1172.5999999999999</v>
      </c>
      <c r="BJ26" s="544">
        <f>IF(VLOOKUP($E$26,[1]QUART!$A$2:$FA$324, 61, FALSE)="",":",VLOOKUP($E$26,[1]QUART!$A$2:$FA$324, 61, FALSE))</f>
        <v>1102.4000000000001</v>
      </c>
      <c r="BK26" s="544">
        <f>IF(VLOOKUP($E$26,[1]QUART!$A$2:$FA$324, 62, FALSE)="",":",VLOOKUP($E$26,[1]QUART!$A$2:$FA$324, 62, FALSE))</f>
        <v>876.09999999999991</v>
      </c>
      <c r="BL26" s="3142">
        <f>IF(VLOOKUP($E$26,[1]QUART!$A$2:$FA$324, 61, FALSE)="",":",VLOOKUP($E$26,[1]QUART!$A$2:$FA$324, 61, FALSE))</f>
        <v>1102.4000000000001</v>
      </c>
      <c r="BM26" s="3142">
        <f>IF(VLOOKUP($E$26,[1]QUART!$A$2:$FA$324, 61, FALSE)="",":",VLOOKUP($E$26,[1]QUART!$A$2:$FA$324, 61, FALSE))</f>
        <v>1102.4000000000001</v>
      </c>
      <c r="BN26" s="3142">
        <f>IF(VLOOKUP($E$26,[1]QUART!$A$2:$FA$324, 61, FALSE)="",":",VLOOKUP($E$26,[1]QUART!$A$2:$FA$324, 61, FALSE))</f>
        <v>1102.4000000000001</v>
      </c>
      <c r="BO26" s="3142">
        <f>IF(VLOOKUP($E$26,[1]QUART!$A$2:$FA$324, 61, FALSE)="",":",VLOOKUP($E$26,[1]QUART!$A$2:$FA$324, 61, FALSE))</f>
        <v>1102.4000000000001</v>
      </c>
      <c r="BP26" s="3142">
        <f>IF(VLOOKUP($E$26,[1]QUART!$A$2:$FA$324, 61, FALSE)="",":",VLOOKUP($E$26,[1]QUART!$A$2:$FA$324, 61, FALSE))</f>
        <v>1102.4000000000001</v>
      </c>
      <c r="BQ26" s="544">
        <f>IF(VLOOKUP($E$26,[1]QUART!$A$2:$FA$324, 68, FALSE)="",":",VLOOKUP($E$26,[1]QUART!$A$2:$FA$324, 68, FALSE))</f>
        <v>726.3</v>
      </c>
      <c r="BR26" s="544">
        <f>IF(VLOOKUP($E$26,[1]QUART!$A$2:$FA$324, 69, FALSE)="",":",VLOOKUP($E$26,[1]QUART!$A$2:$FA$324, 69, FALSE))</f>
        <v>751.6</v>
      </c>
      <c r="BS26" s="544">
        <f>IF(VLOOKUP($E$26,[1]QUART!$A$2:$FA$324, 70, FALSE)="",":",VLOOKUP($E$26,[1]QUART!$A$2:$FA$324, 70, FALSE))</f>
        <v>767.6</v>
      </c>
      <c r="BT26" s="544">
        <f>IF(VLOOKUP($E$26,[1]QUART!$A$2:$FA$324, 71, FALSE)="",":",VLOOKUP($E$26,[1]QUART!$A$2:$FA$324, 71, FALSE))</f>
        <v>777.8</v>
      </c>
      <c r="BU26" s="544">
        <f>IF(VLOOKUP($E$26,[1]QUART!$A$2:$FA$324, 72, FALSE)="",":",VLOOKUP($E$26,[1]QUART!$A$2:$FA$324, 72, FALSE))</f>
        <v>810.1</v>
      </c>
      <c r="BV26" s="544">
        <f>IF(VLOOKUP($E$26,[1]QUART!$A$2:$FA$324, 73, FALSE)="",":",VLOOKUP($E$26,[1]QUART!$A$2:$FA$324, 73, FALSE))</f>
        <v>830.1</v>
      </c>
      <c r="BW26" s="544">
        <f>IF(VLOOKUP($E$26,[1]QUART!$A$2:$FA$324, 74, FALSE)="",":",VLOOKUP($E$26,[1]QUART!$A$2:$FA$324, 74, FALSE))</f>
        <v>775.9</v>
      </c>
      <c r="BX26" s="544">
        <f>IF(VLOOKUP($E$26,[1]QUART!$A$2:$FA$324, 75, FALSE)="",":",VLOOKUP($E$26,[1]QUART!$A$2:$FA$324, 75, FALSE))</f>
        <v>756.4</v>
      </c>
      <c r="BY26" s="544">
        <f>IF(VLOOKUP($E$26,[1]QUART!$A$2:$FA$324, 76, FALSE)="",":",VLOOKUP($E$26,[1]QUART!$A$2:$FA$324, 76, FALSE))</f>
        <v>740.2</v>
      </c>
      <c r="BZ26" s="544">
        <f>IF(VLOOKUP($E$26,[1]QUART!$A$2:$FA$324, 77, FALSE)="",":",VLOOKUP($E$26,[1]QUART!$A$2:$FA$324, 77, FALSE))</f>
        <v>742.30000000000007</v>
      </c>
      <c r="CA26" s="544">
        <f>IF(VLOOKUP($E$26,[1]QUART!$A$2:$FA$324, 78, FALSE)="",":",VLOOKUP($E$26,[1]QUART!$A$2:$FA$324, 78, FALSE))</f>
        <v>788.90000000000009</v>
      </c>
      <c r="CB26" s="544">
        <f>IF(VLOOKUP($E$26,[1]QUART!$A$2:$FA$324, 79, FALSE)="",":",VLOOKUP($E$26,[1]QUART!$A$2:$FA$324, 79, FALSE))</f>
        <v>803.8</v>
      </c>
      <c r="CC26" s="544">
        <f>IF(VLOOKUP($E$26,[1]QUART!$A$2:$FA$324, 80, FALSE)="",":",VLOOKUP($E$26,[1]QUART!$A$2:$FA$324, 80, FALSE))</f>
        <v>850</v>
      </c>
      <c r="CD26" s="544">
        <f>IF(VLOOKUP($E$26,[1]QUART!$A$2:$FA$324, 81, FALSE)="",":",VLOOKUP($E$26,[1]QUART!$A$2:$FA$324, 81, FALSE))</f>
        <v>844.7</v>
      </c>
      <c r="CE26" s="544">
        <f>IF(VLOOKUP($E$26,[1]QUART!$A$2:$FA$324, 82, FALSE)="",":",VLOOKUP($E$26,[1]QUART!$A$2:$FA$324, 82, FALSE))</f>
        <v>870.59999999999991</v>
      </c>
      <c r="CF26" s="544">
        <f>IF(VLOOKUP($E$26,[1]QUART!$A$2:$FA$324, 83, FALSE)="",":",VLOOKUP($E$26,[1]QUART!$A$2:$FA$324, 83, FALSE))</f>
        <v>881.4</v>
      </c>
      <c r="CG26" s="544">
        <f>IF(VLOOKUP($E$26,[1]QUART!$A$2:$FA$324, 84, FALSE)="",":",VLOOKUP($E$26,[1]QUART!$A$2:$FA$324, 84, FALSE))</f>
        <v>904.4</v>
      </c>
      <c r="CH26" s="544">
        <f>IF(VLOOKUP($E$26,[1]QUART!$A$2:$FA$324, 85, FALSE)="",":",VLOOKUP($E$26,[1]QUART!$A$2:$FA$324, 85, FALSE))</f>
        <v>902.5</v>
      </c>
      <c r="CI26" s="544">
        <f>IF(VLOOKUP($E$26,[1]QUART!$A$2:$FA$324, 86, FALSE)="",":",VLOOKUP($E$26,[1]QUART!$A$2:$FA$324, 86, FALSE))</f>
        <v>914.4</v>
      </c>
      <c r="CJ26" s="544">
        <f>IF(VLOOKUP($E$26,[1]QUART!$A$2:$FA$324, 87, FALSE)="",":",VLOOKUP($E$26,[1]QUART!$A$2:$FA$324, 87, FALSE))</f>
        <v>918.4</v>
      </c>
      <c r="CK26" s="544">
        <f>IF(VLOOKUP($E$26,[1]QUART!$A$2:$FA$324, 88, FALSE)="",":",VLOOKUP($E$26,[1]QUART!$A$2:$FA$324, 88, FALSE))</f>
        <v>881.7</v>
      </c>
      <c r="CL26" s="544">
        <f>IF(VLOOKUP($E$26,[1]QUART!$A$2:$FA$324, 89, FALSE)="",":",VLOOKUP($E$26,[1]QUART!$A$2:$FA$324, 89, FALSE))</f>
        <v>851.1</v>
      </c>
      <c r="CM26" s="544">
        <f>IF(VLOOKUP($E$26,[1]QUART!$A$2:$FA$324, 90, FALSE)="",":",VLOOKUP($E$26,[1]QUART!$A$2:$FA$324, 90, FALSE))</f>
        <v>782.09999999999991</v>
      </c>
      <c r="CN26" s="544">
        <f>IF(VLOOKUP($E$26,[1]QUART!$A$2:$FA$324, 91, FALSE)="",":",VLOOKUP($E$26,[1]QUART!$A$2:$FA$324, 91, FALSE))</f>
        <v>835.8</v>
      </c>
      <c r="CO26" s="544">
        <f>IF(VLOOKUP($E$26,[1]QUART!$A$2:$FA$324, 92, FALSE)="",":",VLOOKUP($E$26,[1]QUART!$A$2:$FA$324, 92, FALSE))</f>
        <v>817.3</v>
      </c>
      <c r="CP26" s="544">
        <f>IF(VLOOKUP($E$26,[1]QUART!$A$2:$FA$324, 93, FALSE)="",":",VLOOKUP($E$26,[1]QUART!$A$2:$FA$324, 93, FALSE))</f>
        <v>859.5</v>
      </c>
      <c r="CQ26" s="544">
        <f>IF(VLOOKUP($E$26,[1]QUART!$A$2:$FA$324, 94, FALSE)="",":",VLOOKUP($E$26,[1]QUART!$A$2:$FA$324, 94, FALSE))</f>
        <v>823</v>
      </c>
      <c r="CR26" s="544">
        <f>IF(VLOOKUP($E$26,[1]QUART!$A$2:$FA$324, 95, FALSE)="",":",VLOOKUP($E$26,[1]QUART!$A$2:$FA$324, 95, FALSE))</f>
        <v>867.5</v>
      </c>
      <c r="CS26" s="544">
        <f>IF(VLOOKUP($E$26,[1]QUART!$A$2:$FA$324, 96, FALSE)="",":",VLOOKUP($E$26,[1]QUART!$A$2:$FA$324, 96, FALSE))</f>
        <v>884.1</v>
      </c>
      <c r="CT26" s="544">
        <f>IF(VLOOKUP($E$26,[1]QUART!$A$2:$FA$324, 97, FALSE)="",":",VLOOKUP($E$26,[1]QUART!$A$2:$FA$324, 97, FALSE))</f>
        <v>918.2</v>
      </c>
      <c r="CU26" s="544" t="str">
        <f>IF(VLOOKUP($E$26,[1]QUART!$A$2:$FA$324, 98, FALSE)="",":",VLOOKUP($E$26,[1]QUART!$A$2:$FA$324, 98, FALSE))</f>
        <v>:</v>
      </c>
      <c r="CV26" s="544" t="str">
        <f>IF(VLOOKUP($E$26,[1]QUART!$A$2:$FA$324, 99, FALSE)="",":",VLOOKUP($E$26,[1]QUART!$A$2:$FA$324, 99, FALSE))</f>
        <v>:</v>
      </c>
      <c r="CW26" s="544" t="str">
        <f>IF(VLOOKUP($E$26,[1]QUART!$A$2:$FA$324, 100, FALSE)="",":",VLOOKUP($E$26,[1]QUART!$A$2:$FA$324, 100, FALSE))</f>
        <v>:</v>
      </c>
      <c r="CX26" s="544" t="str">
        <f>IF(VLOOKUP($E$26,[1]QUART!$A$2:$FA$324, 101, FALSE)="",":",VLOOKUP($E$26,[1]QUART!$A$2:$FA$324, 101, FALSE))</f>
        <v>:</v>
      </c>
      <c r="CY26" s="544" t="str">
        <f>IF(VLOOKUP($E$26,[1]QUART!$A$2:$FA$324, 102, FALSE)="",":",VLOOKUP($E$26,[1]QUART!$A$2:$FA$324, 102, FALSE))</f>
        <v>:</v>
      </c>
      <c r="CZ26" s="544" t="str">
        <f>IF(VLOOKUP($E$26,[1]QUART!$A$2:$FA$324, 103, FALSE)="",":",VLOOKUP($E$26,[1]QUART!$A$2:$FA$324, 103, FALSE))</f>
        <v>:</v>
      </c>
      <c r="DA26" s="544" t="str">
        <f>IF(VLOOKUP($E$26,[1]QUART!$A$2:$FA$324, 104, FALSE)="",":",VLOOKUP($E$26,[1]QUART!$A$2:$FA$324, 104, FALSE))</f>
        <v>:</v>
      </c>
      <c r="DB26" s="544" t="str">
        <f>IF(VLOOKUP($E$26,[1]QUART!$A$2:$FA$324, 105, FALSE)="",":",VLOOKUP($E$26,[1]QUART!$A$2:$FA$324, 105, FALSE))</f>
        <v>:</v>
      </c>
      <c r="DC26" s="544" t="str">
        <f>IF(VLOOKUP($E$26,[1]QUART!$A$2:$FA$324, 106, FALSE)="",":",VLOOKUP($E$26,[1]QUART!$A$2:$FA$324, 106, FALSE))</f>
        <v>:</v>
      </c>
    </row>
    <row r="27" spans="1:107">
      <c r="A27" s="1954"/>
      <c r="B27" s="534"/>
      <c r="C27" s="535"/>
      <c r="D27" s="12" t="s">
        <v>1841</v>
      </c>
      <c r="E27" s="13">
        <v>82</v>
      </c>
      <c r="F27" s="14" t="str">
        <f>VLOOKUP($E$27,[1]QUART!$A$2:$FA$324, 3, FALSE)</f>
        <v>82 GFCF other</v>
      </c>
      <c r="G27" s="544">
        <f>IF(VLOOKUP($E$27,[1]QUART!$A$2:$FA$324, 6, FALSE)="",":",VLOOKUP($E$27,[1]QUART!$A$2:$FA$324, 6, FALSE))</f>
        <v>304.85403151065805</v>
      </c>
      <c r="H27" s="544">
        <f>IF(VLOOKUP($E$27,[1]QUART!$A$2:$FA$324, 7, FALSE)="",":",VLOOKUP($E$27,[1]QUART!$A$2:$FA$324, 7, FALSE))</f>
        <v>299.78568118628363</v>
      </c>
      <c r="I27" s="544">
        <f>IF(VLOOKUP($E$27,[1]QUART!$A$2:$FA$324, 8, FALSE)="",":",VLOOKUP($E$27,[1]QUART!$A$2:$FA$324, 8, FALSE))</f>
        <v>290.66265060240966</v>
      </c>
      <c r="J27" s="544">
        <f>IF(VLOOKUP($E$27,[1]QUART!$A$2:$FA$324, 9, FALSE)="",":",VLOOKUP($E$27,[1]QUART!$A$2:$FA$324, 9, FALSE))</f>
        <v>301.78405931417984</v>
      </c>
      <c r="K27" s="544">
        <f>IF(VLOOKUP($E$27,[1]QUART!$A$2:$FA$324, 10, FALSE)="",":",VLOOKUP($E$27,[1]QUART!$A$2:$FA$324, 10, FALSE))</f>
        <v>294.48563484708063</v>
      </c>
      <c r="L27" s="544">
        <f>IF(VLOOKUP($E$27,[1]QUART!$A$2:$FA$324, 11, FALSE)="",":",VLOOKUP($E$27,[1]QUART!$A$2:$FA$324, 11, FALSE))</f>
        <v>301.34962928637628</v>
      </c>
      <c r="M27" s="544">
        <f>IF(VLOOKUP($E$27,[1]QUART!$A$2:$FA$324, 12, FALSE)="",":",VLOOKUP($E$27,[1]QUART!$A$2:$FA$324, 12, FALSE))</f>
        <v>295.96269694161265</v>
      </c>
      <c r="N27" s="544">
        <f>IF(VLOOKUP($E$27,[1]QUART!$A$2:$FA$324, 13, FALSE)="",":",VLOOKUP($E$27,[1]QUART!$A$2:$FA$324, 13, FALSE))</f>
        <v>311.66010194624653</v>
      </c>
      <c r="O27" s="544">
        <f>IF(VLOOKUP($E$27,[1]QUART!$A$2:$FA$324, 14, FALSE)="",":",VLOOKUP($E$27,[1]QUART!$A$2:$FA$324, 14, FALSE))</f>
        <v>331.61492122335494</v>
      </c>
      <c r="P27" s="544">
        <f>IF(VLOOKUP($E$27,[1]QUART!$A$2:$FA$324, 15, FALSE)="",":",VLOOKUP($E$27,[1]QUART!$A$2:$FA$324, 15, FALSE))</f>
        <v>369.87372567191846</v>
      </c>
      <c r="Q27" s="544">
        <f>IF(VLOOKUP($E$27,[1]QUART!$A$2:$FA$324, 16, FALSE)="",":",VLOOKUP($E$27,[1]QUART!$A$2:$FA$324, 16, FALSE))</f>
        <v>383.65963855421683</v>
      </c>
      <c r="R27" s="544">
        <f>IF(VLOOKUP($E$27,[1]QUART!$A$2:$FA$324, 17, FALSE)="",":",VLOOKUP($E$27,[1]QUART!$A$2:$FA$324, 17, FALSE))</f>
        <v>388.4673308619092</v>
      </c>
      <c r="S27" s="544">
        <f>IF(VLOOKUP($E$27,[1]QUART!$A$2:$FA$324, 18, FALSE)="",":",VLOOKUP($E$27,[1]QUART!$A$2:$FA$324, 18, FALSE))</f>
        <v>478.30746061167753</v>
      </c>
      <c r="T27" s="544">
        <f>IF(VLOOKUP($E$27,[1]QUART!$A$2:$FA$324, 19, FALSE)="",":",VLOOKUP($E$27,[1]QUART!$A$2:$FA$324, 19, FALSE))</f>
        <v>476.04842446709915</v>
      </c>
      <c r="U27" s="544">
        <f>IF(VLOOKUP($E$27,[1]QUART!$A$2:$FA$324, 20, FALSE)="",":",VLOOKUP($E$27,[1]QUART!$A$2:$FA$324, 20, FALSE))</f>
        <v>491.16658943466177</v>
      </c>
      <c r="V27" s="544">
        <f>IF(VLOOKUP($E$27,[1]QUART!$A$2:$FA$324, 21, FALSE)="",":",VLOOKUP($E$27,[1]QUART!$A$2:$FA$324, 21, FALSE))</f>
        <v>448.04216867469887</v>
      </c>
      <c r="W27" s="544">
        <f>IF(VLOOKUP($E$27,[1]QUART!$A$2:$FA$324, 22, FALSE)="",":",VLOOKUP($E$27,[1]QUART!$A$2:$FA$324, 22, FALSE))</f>
        <v>436.3704819277109</v>
      </c>
      <c r="X27" s="544">
        <f>IF(VLOOKUP($E$27,[1]QUART!$A$2:$FA$324, 23, FALSE)="",":",VLOOKUP($E$27,[1]QUART!$A$2:$FA$324, 23, FALSE))</f>
        <v>463.62372567191852</v>
      </c>
      <c r="Y27" s="544">
        <f>IF(VLOOKUP($E$27,[1]QUART!$A$2:$FA$324, 24, FALSE)="",":",VLOOKUP($E$27,[1]QUART!$A$2:$FA$324, 24, FALSE))</f>
        <v>419.97798887859136</v>
      </c>
      <c r="Z27" s="544">
        <f>IF(VLOOKUP($E$27,[1]QUART!$A$2:$FA$324, 25, FALSE)="",":",VLOOKUP($E$27,[1]QUART!$A$2:$FA$324, 25, FALSE))</f>
        <v>370.39504170528272</v>
      </c>
      <c r="AA27" s="544">
        <f>IF(VLOOKUP($E$27,[1]QUART!$A$2:$FA$324, 26, FALSE)="",":",VLOOKUP($E$27,[1]QUART!$A$2:$FA$324, 26, FALSE))</f>
        <v>350.78776645041705</v>
      </c>
      <c r="AB27" s="544">
        <f>IF(VLOOKUP($E$27,[1]QUART!$A$2:$FA$324, 27, FALSE)="",":",VLOOKUP($E$27,[1]QUART!$A$2:$FA$324, 27, FALSE))</f>
        <v>334.8586654309546</v>
      </c>
      <c r="AC27" s="544">
        <f>IF(VLOOKUP($E$27,[1]QUART!$A$2:$FA$324, 28, FALSE)="",":",VLOOKUP($E$27,[1]QUART!$A$2:$FA$324, 28, FALSE))</f>
        <v>358.23100092678408</v>
      </c>
      <c r="AD27" s="544">
        <f>IF(VLOOKUP($E$27,[1]QUART!$A$2:$FA$324, 29, FALSE)="",":",VLOOKUP($E$27,[1]QUART!$A$2:$FA$324, 29, FALSE))</f>
        <v>346.73308619091756</v>
      </c>
      <c r="AE27" s="544">
        <f>IF(VLOOKUP($E$27,[1]QUART!$A$2:$FA$324, 30, FALSE)="",":",VLOOKUP($E$27,[1]QUART!$A$2:$FA$324, 30, FALSE))</f>
        <v>375.23169601482857</v>
      </c>
      <c r="AF27" s="544">
        <f>IF(VLOOKUP($E$27,[1]QUART!$A$2:$FA$324, 31, FALSE)="",":",VLOOKUP($E$27,[1]QUART!$A$2:$FA$324, 31, FALSE))</f>
        <v>355.74026876737719</v>
      </c>
      <c r="AG27" s="544">
        <f>IF(VLOOKUP($E$27,[1]QUART!$A$2:$FA$324, 32, FALSE)="",":",VLOOKUP($E$27,[1]QUART!$A$2:$FA$324, 32, FALSE))</f>
        <v>382.61700648748842</v>
      </c>
      <c r="AH27" s="544">
        <f>IF(VLOOKUP($E$27,[1]QUART!$A$2:$FA$324, 33, FALSE)="",":",VLOOKUP($E$27,[1]QUART!$A$2:$FA$324, 33, FALSE))</f>
        <v>424.93049119555138</v>
      </c>
      <c r="AI27" s="544">
        <f>IF(VLOOKUP($E$27,[1]QUART!$A$2:$FA$324, 34, FALSE)="",":",VLOOKUP($E$27,[1]QUART!$A$2:$FA$324, 34, FALSE))</f>
        <v>408.8855421686747</v>
      </c>
      <c r="AJ27" s="544">
        <f>IF(VLOOKUP($E$27,[1]QUART!$A$2:$FA$324, 35, FALSE)="",":",VLOOKUP($E$27,[1]QUART!$A$2:$FA$324, 35, FALSE))</f>
        <v>430.89666357738651</v>
      </c>
      <c r="AK27" s="544">
        <f>IF(VLOOKUP($E$27,[1]QUART!$A$2:$FA$324, 36, FALSE)="",":",VLOOKUP($E$27,[1]QUART!$A$2:$FA$324, 36, FALSE))</f>
        <v>424.03266913809085</v>
      </c>
      <c r="AL27" s="544">
        <f>IF(VLOOKUP($E$27,[1]QUART!$A$2:$FA$324, 37, FALSE)="",":",VLOOKUP($E$27,[1]QUART!$A$2:$FA$324, 37, FALSE))</f>
        <v>484.12882298424466</v>
      </c>
      <c r="AM27" s="544">
        <f>IF(VLOOKUP($E$27,[1]QUART!$A$2:$FA$324, 38, FALSE)="",":",VLOOKUP($E$27,[1]QUART!$A$2:$FA$324, 38, FALSE))</f>
        <v>481.81186283595923</v>
      </c>
      <c r="AN27" s="544">
        <f>IF(VLOOKUP($E$27,[1]QUART!$A$2:$FA$324, 39, FALSE)="",":",VLOOKUP($E$27,[1]QUART!$A$2:$FA$324, 39, FALSE))</f>
        <v>522.67724745134387</v>
      </c>
      <c r="AO27" s="544">
        <f>IF(VLOOKUP($E$27,[1]QUART!$A$2:$FA$324, 40, FALSE)="",":",VLOOKUP($E$27,[1]QUART!$A$2:$FA$324, 40, FALSE))</f>
        <v>522.1848934198332</v>
      </c>
      <c r="AP27" s="544">
        <f>IF(VLOOKUP($E$27,[1]QUART!$A$2:$FA$324, 41, FALSE)="",":",VLOOKUP($E$27,[1]QUART!$A$2:$FA$324, 41, FALSE))</f>
        <v>536.40523632993518</v>
      </c>
      <c r="AQ27" s="544">
        <f>IF(VLOOKUP($E$27,[1]QUART!$A$2:$FA$324, 42, FALSE)="",":",VLOOKUP($E$27,[1]QUART!$A$2:$FA$324, 42, FALSE))</f>
        <v>511.96130676552366</v>
      </c>
      <c r="AR27" s="544">
        <f>IF(VLOOKUP($E$27,[1]QUART!$A$2:$FA$324, 43, FALSE)="",":",VLOOKUP($E$27,[1]QUART!$A$2:$FA$324, 43, FALSE))</f>
        <v>482.42006487488419</v>
      </c>
      <c r="AS27" s="544">
        <f>IF(VLOOKUP($E$27,[1]QUART!$A$2:$FA$324, 44, FALSE)="",":",VLOOKUP($E$27,[1]QUART!$A$2:$FA$324, 44, FALSE))</f>
        <v>496.9300278035218</v>
      </c>
      <c r="AT27" s="544">
        <f>IF(VLOOKUP($E$27,[1]QUART!$A$2:$FA$324, 45, FALSE)="",":",VLOOKUP($E$27,[1]QUART!$A$2:$FA$324, 45, FALSE))</f>
        <v>500.23169601482857</v>
      </c>
      <c r="AU27" s="544">
        <f>IF(VLOOKUP($E$27,[1]QUART!$A$2:$FA$324, 46, FALSE)="",":",VLOOKUP($E$27,[1]QUART!$A$2:$FA$324, 46, FALSE))</f>
        <v>90.4</v>
      </c>
      <c r="AV27" s="544">
        <f>IF(VLOOKUP($E$27,[1]QUART!$A$2:$FA$324, 47, FALSE)="",":",VLOOKUP($E$27,[1]QUART!$A$2:$FA$324, 47, FALSE))</f>
        <v>92</v>
      </c>
      <c r="AW27" s="544">
        <f>IF(VLOOKUP($E$27,[1]QUART!$A$2:$FA$324, 48, FALSE)="",":",VLOOKUP($E$27,[1]QUART!$A$2:$FA$324, 48, FALSE))</f>
        <v>100</v>
      </c>
      <c r="AX27" s="544">
        <f>IF(VLOOKUP($E$27,[1]QUART!$A$2:$FA$324, 49, FALSE)="",":",VLOOKUP($E$27,[1]QUART!$A$2:$FA$324, 49, FALSE))</f>
        <v>100.1</v>
      </c>
      <c r="AY27" s="544">
        <f>IF(VLOOKUP($E$27,[1]QUART!$A$2:$FA$324, 50, FALSE)="",":",VLOOKUP($E$27,[1]QUART!$A$2:$FA$324, 50, FALSE))</f>
        <v>99.2</v>
      </c>
      <c r="AZ27" s="544">
        <f>IF(VLOOKUP($E$27,[1]QUART!$A$2:$FA$324, 51, FALSE)="",":",VLOOKUP($E$27,[1]QUART!$A$2:$FA$324, 51, FALSE))</f>
        <v>103.1</v>
      </c>
      <c r="BA27" s="544">
        <f>IF(VLOOKUP($E$27,[1]QUART!$A$2:$FA$324, 52, FALSE)="",":",VLOOKUP($E$27,[1]QUART!$A$2:$FA$324, 52, FALSE))</f>
        <v>112.39999999999999</v>
      </c>
      <c r="BB27" s="544">
        <f>IF(VLOOKUP($E$27,[1]QUART!$A$2:$FA$324, 53, FALSE)="",":",VLOOKUP($E$27,[1]QUART!$A$2:$FA$324, 53, FALSE))</f>
        <v>113.4</v>
      </c>
      <c r="BC27" s="544">
        <f>IF(VLOOKUP($E$27,[1]QUART!$A$2:$FA$324, 54, FALSE)="",":",VLOOKUP($E$27,[1]QUART!$A$2:$FA$324, 54, FALSE))</f>
        <v>124.4</v>
      </c>
      <c r="BD27" s="544">
        <f>IF(VLOOKUP($E$27,[1]QUART!$A$2:$FA$324, 55, FALSE)="",":",VLOOKUP($E$27,[1]QUART!$A$2:$FA$324, 55, FALSE))</f>
        <v>120.9</v>
      </c>
      <c r="BE27" s="544">
        <f>IF(VLOOKUP($E$27,[1]QUART!$A$2:$FA$324, 56, FALSE)="",":",VLOOKUP($E$27,[1]QUART!$A$2:$FA$324, 56, FALSE))</f>
        <v>143.19999999999999</v>
      </c>
      <c r="BF27" s="544">
        <f>IF(VLOOKUP($E$27,[1]QUART!$A$2:$FA$324, 57, FALSE)="",":",VLOOKUP($E$27,[1]QUART!$A$2:$FA$324, 57, FALSE))</f>
        <v>141.69999999999999</v>
      </c>
      <c r="BG27" s="544">
        <f>IF(VLOOKUP($E$27,[1]QUART!$A$2:$FA$324, 58, FALSE)="",":",VLOOKUP($E$27,[1]QUART!$A$2:$FA$324, 58, FALSE))</f>
        <v>152.30000000000001</v>
      </c>
      <c r="BH27" s="544">
        <f>IF(VLOOKUP($E$27,[1]QUART!$A$2:$FA$324, 59, FALSE)="",":",VLOOKUP($E$27,[1]QUART!$A$2:$FA$324, 59, FALSE))</f>
        <v>158.1</v>
      </c>
      <c r="BI27" s="544">
        <f>IF(VLOOKUP($E$27,[1]QUART!$A$2:$FA$324, 60, FALSE)="",":",VLOOKUP($E$27,[1]QUART!$A$2:$FA$324, 60, FALSE))</f>
        <v>160.5</v>
      </c>
      <c r="BJ27" s="544">
        <f>IF(VLOOKUP($E$27,[1]QUART!$A$2:$FA$324, 61, FALSE)="",":",VLOOKUP($E$27,[1]QUART!$A$2:$FA$324, 61, FALSE))</f>
        <v>162.6</v>
      </c>
      <c r="BK27" s="544">
        <f>IF(VLOOKUP($E$27,[1]QUART!$A$2:$FA$324, 62, FALSE)="",":",VLOOKUP($E$27,[1]QUART!$A$2:$FA$324, 62, FALSE))</f>
        <v>136.69999999999999</v>
      </c>
      <c r="BL27" s="3142">
        <f>IF(VLOOKUP($E$27,[1]QUART!$A$2:$FA$324, 61, FALSE)="",":",VLOOKUP($E$27,[1]QUART!$A$2:$FA$324, 61, FALSE))</f>
        <v>162.6</v>
      </c>
      <c r="BM27" s="3142">
        <f>IF(VLOOKUP($E$27,[1]QUART!$A$2:$FA$324, 61, FALSE)="",":",VLOOKUP($E$27,[1]QUART!$A$2:$FA$324, 61, FALSE))</f>
        <v>162.6</v>
      </c>
      <c r="BN27" s="3142">
        <f>IF(VLOOKUP($E$27,[1]QUART!$A$2:$FA$324, 61, FALSE)="",":",VLOOKUP($E$27,[1]QUART!$A$2:$FA$324, 61, FALSE))</f>
        <v>162.6</v>
      </c>
      <c r="BO27" s="3142">
        <f>IF(VLOOKUP($E$27,[1]QUART!$A$2:$FA$324, 61, FALSE)="",":",VLOOKUP($E$27,[1]QUART!$A$2:$FA$324, 61, FALSE))</f>
        <v>162.6</v>
      </c>
      <c r="BP27" s="3142">
        <f>IF(VLOOKUP($E$27,[1]QUART!$A$2:$FA$324, 61, FALSE)="",":",VLOOKUP($E$27,[1]QUART!$A$2:$FA$324, 61, FALSE))</f>
        <v>162.6</v>
      </c>
      <c r="BQ27" s="544">
        <f>IF(VLOOKUP($E$27,[1]QUART!$A$2:$FA$324, 68, FALSE)="",":",VLOOKUP($E$27,[1]QUART!$A$2:$FA$324, 68, FALSE))</f>
        <v>149</v>
      </c>
      <c r="BR27" s="544">
        <f>IF(VLOOKUP($E$27,[1]QUART!$A$2:$FA$324, 69, FALSE)="",":",VLOOKUP($E$27,[1]QUART!$A$2:$FA$324, 69, FALSE))</f>
        <v>145.29999999999998</v>
      </c>
      <c r="BS27" s="544">
        <f>IF(VLOOKUP($E$27,[1]QUART!$A$2:$FA$324, 70, FALSE)="",":",VLOOKUP($E$27,[1]QUART!$A$2:$FA$324, 70, FALSE))</f>
        <v>160.19999999999999</v>
      </c>
      <c r="BT27" s="544">
        <f>IF(VLOOKUP($E$27,[1]QUART!$A$2:$FA$324, 71, FALSE)="",":",VLOOKUP($E$27,[1]QUART!$A$2:$FA$324, 71, FALSE))</f>
        <v>159.29999999999998</v>
      </c>
      <c r="BU27" s="544">
        <f>IF(VLOOKUP($E$27,[1]QUART!$A$2:$FA$324, 72, FALSE)="",":",VLOOKUP($E$27,[1]QUART!$A$2:$FA$324, 72, FALSE))</f>
        <v>157.1</v>
      </c>
      <c r="BV27" s="544">
        <f>IF(VLOOKUP($E$27,[1]QUART!$A$2:$FA$324, 73, FALSE)="",":",VLOOKUP($E$27,[1]QUART!$A$2:$FA$324, 73, FALSE))</f>
        <v>159.29999999999998</v>
      </c>
      <c r="BW27" s="544">
        <f>IF(VLOOKUP($E$27,[1]QUART!$A$2:$FA$324, 74, FALSE)="",":",VLOOKUP($E$27,[1]QUART!$A$2:$FA$324, 74, FALSE))</f>
        <v>156.9</v>
      </c>
      <c r="BX27" s="544">
        <f>IF(VLOOKUP($E$27,[1]QUART!$A$2:$FA$324, 75, FALSE)="",":",VLOOKUP($E$27,[1]QUART!$A$2:$FA$324, 75, FALSE))</f>
        <v>156.70000000000002</v>
      </c>
      <c r="BY27" s="544">
        <f>IF(VLOOKUP($E$27,[1]QUART!$A$2:$FA$324, 76, FALSE)="",":",VLOOKUP($E$27,[1]QUART!$A$2:$FA$324, 76, FALSE))</f>
        <v>164.1</v>
      </c>
      <c r="BZ27" s="544">
        <f>IF(VLOOKUP($E$27,[1]QUART!$A$2:$FA$324, 77, FALSE)="",":",VLOOKUP($E$27,[1]QUART!$A$2:$FA$324, 77, FALSE))</f>
        <v>161.1</v>
      </c>
      <c r="CA27" s="544">
        <f>IF(VLOOKUP($E$27,[1]QUART!$A$2:$FA$324, 78, FALSE)="",":",VLOOKUP($E$27,[1]QUART!$A$2:$FA$324, 78, FALSE))</f>
        <v>148.19999999999999</v>
      </c>
      <c r="CB27" s="544">
        <f>IF(VLOOKUP($E$27,[1]QUART!$A$2:$FA$324, 79, FALSE)="",":",VLOOKUP($E$27,[1]QUART!$A$2:$FA$324, 79, FALSE))</f>
        <v>151.29999999999998</v>
      </c>
      <c r="CC27" s="544">
        <f>IF(VLOOKUP($E$27,[1]QUART!$A$2:$FA$324, 80, FALSE)="",":",VLOOKUP($E$27,[1]QUART!$A$2:$FA$324, 80, FALSE))</f>
        <v>149.6</v>
      </c>
      <c r="CD27" s="544">
        <f>IF(VLOOKUP($E$27,[1]QUART!$A$2:$FA$324, 81, FALSE)="",":",VLOOKUP($E$27,[1]QUART!$A$2:$FA$324, 81, FALSE))</f>
        <v>163.20000000000002</v>
      </c>
      <c r="CE27" s="544">
        <f>IF(VLOOKUP($E$27,[1]QUART!$A$2:$FA$324, 82, FALSE)="",":",VLOOKUP($E$27,[1]QUART!$A$2:$FA$324, 82, FALSE))</f>
        <v>166.9</v>
      </c>
      <c r="CF27" s="544">
        <f>IF(VLOOKUP($E$27,[1]QUART!$A$2:$FA$324, 83, FALSE)="",":",VLOOKUP($E$27,[1]QUART!$A$2:$FA$324, 83, FALSE))</f>
        <v>165.2</v>
      </c>
      <c r="CG27" s="544">
        <f>IF(VLOOKUP($E$27,[1]QUART!$A$2:$FA$324, 84, FALSE)="",":",VLOOKUP($E$27,[1]QUART!$A$2:$FA$324, 84, FALSE))</f>
        <v>170</v>
      </c>
      <c r="CH27" s="544">
        <f>IF(VLOOKUP($E$27,[1]QUART!$A$2:$FA$324, 85, FALSE)="",":",VLOOKUP($E$27,[1]QUART!$A$2:$FA$324, 85, FALSE))</f>
        <v>180</v>
      </c>
      <c r="CI27" s="544">
        <f>IF(VLOOKUP($E$27,[1]QUART!$A$2:$FA$324, 86, FALSE)="",":",VLOOKUP($E$27,[1]QUART!$A$2:$FA$324, 86, FALSE))</f>
        <v>178.7</v>
      </c>
      <c r="CJ27" s="544">
        <f>IF(VLOOKUP($E$27,[1]QUART!$A$2:$FA$324, 87, FALSE)="",":",VLOOKUP($E$27,[1]QUART!$A$2:$FA$324, 87, FALSE))</f>
        <v>190.8</v>
      </c>
      <c r="CK27" s="544">
        <f>IF(VLOOKUP($E$27,[1]QUART!$A$2:$FA$324, 88, FALSE)="",":",VLOOKUP($E$27,[1]QUART!$A$2:$FA$324, 88, FALSE))</f>
        <v>178.8</v>
      </c>
      <c r="CL27" s="544">
        <f>IF(VLOOKUP($E$27,[1]QUART!$A$2:$FA$324, 89, FALSE)="",":",VLOOKUP($E$27,[1]QUART!$A$2:$FA$324, 89, FALSE))</f>
        <v>175.4</v>
      </c>
      <c r="CM27" s="544">
        <f>IF(VLOOKUP($E$27,[1]QUART!$A$2:$FA$324, 90, FALSE)="",":",VLOOKUP($E$27,[1]QUART!$A$2:$FA$324, 90, FALSE))</f>
        <v>174.5</v>
      </c>
      <c r="CN27" s="544">
        <f>IF(VLOOKUP($E$27,[1]QUART!$A$2:$FA$324, 91, FALSE)="",":",VLOOKUP($E$27,[1]QUART!$A$2:$FA$324, 91, FALSE))</f>
        <v>184.7</v>
      </c>
      <c r="CO27" s="544">
        <f>IF(VLOOKUP($E$27,[1]QUART!$A$2:$FA$324, 92, FALSE)="",":",VLOOKUP($E$27,[1]QUART!$A$2:$FA$324, 92, FALSE))</f>
        <v>189.6</v>
      </c>
      <c r="CP27" s="544">
        <f>IF(VLOOKUP($E$27,[1]QUART!$A$2:$FA$324, 93, FALSE)="",":",VLOOKUP($E$27,[1]QUART!$A$2:$FA$324, 93, FALSE))</f>
        <v>189.6</v>
      </c>
      <c r="CQ27" s="544">
        <f>IF(VLOOKUP($E$27,[1]QUART!$A$2:$FA$324, 94, FALSE)="",":",VLOOKUP($E$27,[1]QUART!$A$2:$FA$324, 94, FALSE))</f>
        <v>200.5</v>
      </c>
      <c r="CR27" s="544">
        <f>IF(VLOOKUP($E$27,[1]QUART!$A$2:$FA$324, 95, FALSE)="",":",VLOOKUP($E$27,[1]QUART!$A$2:$FA$324, 95, FALSE))</f>
        <v>207.5</v>
      </c>
      <c r="CS27" s="544">
        <f>IF(VLOOKUP($E$27,[1]QUART!$A$2:$FA$324, 96, FALSE)="",":",VLOOKUP($E$27,[1]QUART!$A$2:$FA$324, 96, FALSE))</f>
        <v>217.29999999999998</v>
      </c>
      <c r="CT27" s="544">
        <f>IF(VLOOKUP($E$27,[1]QUART!$A$2:$FA$324, 97, FALSE)="",":",VLOOKUP($E$27,[1]QUART!$A$2:$FA$324, 97, FALSE))</f>
        <v>226.4</v>
      </c>
      <c r="CU27" s="544" t="str">
        <f>IF(VLOOKUP($E$27,[1]QUART!$A$2:$FA$324, 98, FALSE)="",":",VLOOKUP($E$27,[1]QUART!$A$2:$FA$324, 98, FALSE))</f>
        <v>:</v>
      </c>
      <c r="CV27" s="544" t="str">
        <f>IF(VLOOKUP($E$27,[1]QUART!$A$2:$FA$324, 99, FALSE)="",":",VLOOKUP($E$27,[1]QUART!$A$2:$FA$324, 99, FALSE))</f>
        <v>:</v>
      </c>
      <c r="CW27" s="544" t="str">
        <f>IF(VLOOKUP($E$27,[1]QUART!$A$2:$FA$324, 100, FALSE)="",":",VLOOKUP($E$27,[1]QUART!$A$2:$FA$324, 100, FALSE))</f>
        <v>:</v>
      </c>
      <c r="CX27" s="544" t="str">
        <f>IF(VLOOKUP($E$27,[1]QUART!$A$2:$FA$324, 101, FALSE)="",":",VLOOKUP($E$27,[1]QUART!$A$2:$FA$324, 101, FALSE))</f>
        <v>:</v>
      </c>
      <c r="CY27" s="544" t="str">
        <f>IF(VLOOKUP($E$27,[1]QUART!$A$2:$FA$324, 102, FALSE)="",":",VLOOKUP($E$27,[1]QUART!$A$2:$FA$324, 102, FALSE))</f>
        <v>:</v>
      </c>
      <c r="CZ27" s="544" t="str">
        <f>IF(VLOOKUP($E$27,[1]QUART!$A$2:$FA$324, 103, FALSE)="",":",VLOOKUP($E$27,[1]QUART!$A$2:$FA$324, 103, FALSE))</f>
        <v>:</v>
      </c>
      <c r="DA27" s="544" t="str">
        <f>IF(VLOOKUP($E$27,[1]QUART!$A$2:$FA$324, 104, FALSE)="",":",VLOOKUP($E$27,[1]QUART!$A$2:$FA$324, 104, FALSE))</f>
        <v>:</v>
      </c>
      <c r="DB27" s="544" t="str">
        <f>IF(VLOOKUP($E$27,[1]QUART!$A$2:$FA$324, 105, FALSE)="",":",VLOOKUP($E$27,[1]QUART!$A$2:$FA$324, 105, FALSE))</f>
        <v>:</v>
      </c>
      <c r="DC27" s="544" t="str">
        <f>IF(VLOOKUP($E$27,[1]QUART!$A$2:$FA$324, 106, FALSE)="",":",VLOOKUP($E$27,[1]QUART!$A$2:$FA$324, 106, FALSE))</f>
        <v>:</v>
      </c>
    </row>
    <row r="28" spans="1:107">
      <c r="A28" s="1954"/>
      <c r="B28" s="534"/>
      <c r="C28" s="535"/>
      <c r="D28" s="12" t="s">
        <v>1841</v>
      </c>
      <c r="E28" s="13">
        <v>83</v>
      </c>
      <c r="F28" s="14" t="str">
        <f>VLOOKUP($E$28,[1]QUART!$A$2:$FA$315, 3, FALSE)</f>
        <v>83 Gross capital formation (incl. Inventories)</v>
      </c>
      <c r="G28" s="544">
        <f>IF(VLOOKUP($E$28,[1]QUART!$A$2:$FA$315, 6, FALSE)="",":",VLOOKUP($E$28,[1]QUART!$A$2:$FA$315, 6, FALSE))</f>
        <v>371.95898980537532</v>
      </c>
      <c r="H28" s="544">
        <f>IF(VLOOKUP($E$28,[1]QUART!$A$2:$FA$315, 7, FALSE)="",":",VLOOKUP($E$28,[1]QUART!$A$2:$FA$315, 7, FALSE))</f>
        <v>328.16844300278035</v>
      </c>
      <c r="I28" s="544">
        <f>IF(VLOOKUP($E$28,[1]QUART!$A$2:$FA$315, 8, FALSE)="",":",VLOOKUP($E$28,[1]QUART!$A$2:$FA$315, 8, FALSE))</f>
        <v>346.06696014828549</v>
      </c>
      <c r="J28" s="544">
        <f>IF(VLOOKUP($E$28,[1]QUART!$A$2:$FA$315, 9, FALSE)="",":",VLOOKUP($E$28,[1]QUART!$A$2:$FA$315, 9, FALSE))</f>
        <v>338.88438368860056</v>
      </c>
      <c r="K28" s="544">
        <f>IF(VLOOKUP($E$28,[1]QUART!$A$2:$FA$315, 10, FALSE)="",":",VLOOKUP($E$28,[1]QUART!$A$2:$FA$315, 10, FALSE))</f>
        <v>357.04355885078775</v>
      </c>
      <c r="L28" s="544">
        <f>IF(VLOOKUP($E$28,[1]QUART!$A$2:$FA$315, 11, FALSE)="",":",VLOOKUP($E$28,[1]QUART!$A$2:$FA$315, 11, FALSE))</f>
        <v>393.59360518999074</v>
      </c>
      <c r="M28" s="544">
        <f>IF(VLOOKUP($E$28,[1]QUART!$A$2:$FA$315, 12, FALSE)="",":",VLOOKUP($E$28,[1]QUART!$A$2:$FA$315, 12, FALSE))</f>
        <v>461.42261353104732</v>
      </c>
      <c r="N28" s="544">
        <f>IF(VLOOKUP($E$28,[1]QUART!$A$2:$FA$315, 13, FALSE)="",":",VLOOKUP($E$28,[1]QUART!$A$2:$FA$315, 13, FALSE))</f>
        <v>495.25023169601485</v>
      </c>
      <c r="O28" s="544">
        <f>IF(VLOOKUP($E$28,[1]QUART!$A$2:$FA$315, 14, FALSE)="",":",VLOOKUP($E$28,[1]QUART!$A$2:$FA$315, 14, FALSE))</f>
        <v>572.43396663577391</v>
      </c>
      <c r="P28" s="544">
        <f>IF(VLOOKUP($E$28,[1]QUART!$A$2:$FA$315, 15, FALSE)="",":",VLOOKUP($E$28,[1]QUART!$A$2:$FA$315, 15, FALSE))</f>
        <v>597.94949026876736</v>
      </c>
      <c r="Q28" s="544">
        <f>IF(VLOOKUP($E$28,[1]QUART!$A$2:$FA$315, 16, FALSE)="",":",VLOOKUP($E$28,[1]QUART!$A$2:$FA$315, 16, FALSE))</f>
        <v>581.84661723818351</v>
      </c>
      <c r="R28" s="544">
        <f>IF(VLOOKUP($E$28,[1]QUART!$A$2:$FA$315, 17, FALSE)="",":",VLOOKUP($E$28,[1]QUART!$A$2:$FA$315, 17, FALSE))</f>
        <v>713.07344763670062</v>
      </c>
      <c r="S28" s="544">
        <f>IF(VLOOKUP($E$28,[1]QUART!$A$2:$FA$315, 18, FALSE)="",":",VLOOKUP($E$28,[1]QUART!$A$2:$FA$315, 18, FALSE))</f>
        <v>704.7613531047266</v>
      </c>
      <c r="T28" s="544">
        <f>IF(VLOOKUP($E$28,[1]QUART!$A$2:$FA$315, 19, FALSE)="",":",VLOOKUP($E$28,[1]QUART!$A$2:$FA$315, 19, FALSE))</f>
        <v>771.5766913809083</v>
      </c>
      <c r="U28" s="544">
        <f>IF(VLOOKUP($E$28,[1]QUART!$A$2:$FA$315, 20, FALSE)="",":",VLOOKUP($E$28,[1]QUART!$A$2:$FA$315, 20, FALSE))</f>
        <v>810.26992585727521</v>
      </c>
      <c r="V28" s="544">
        <f>IF(VLOOKUP($E$28,[1]QUART!$A$2:$FA$315, 21, FALSE)="",":",VLOOKUP($E$28,[1]QUART!$A$2:$FA$315, 21, FALSE))</f>
        <v>678.81139944392964</v>
      </c>
      <c r="W28" s="544">
        <f>IF(VLOOKUP($E$28,[1]QUART!$A$2:$FA$315, 22, FALSE)="",":",VLOOKUP($E$28,[1]QUART!$A$2:$FA$315, 22, FALSE))</f>
        <v>680.57808155699729</v>
      </c>
      <c r="X28" s="544">
        <f>IF(VLOOKUP($E$28,[1]QUART!$A$2:$FA$315, 23, FALSE)="",":",VLOOKUP($E$28,[1]QUART!$A$2:$FA$315, 23, FALSE))</f>
        <v>699.69300278035223</v>
      </c>
      <c r="Y28" s="544">
        <f>IF(VLOOKUP($E$28,[1]QUART!$A$2:$FA$315, 24, FALSE)="",":",VLOOKUP($E$28,[1]QUART!$A$2:$FA$315, 24, FALSE))</f>
        <v>634.23887859128831</v>
      </c>
      <c r="Z28" s="544">
        <f>IF(VLOOKUP($E$28,[1]QUART!$A$2:$FA$315, 25, FALSE)="",":",VLOOKUP($E$28,[1]QUART!$A$2:$FA$315, 25, FALSE))</f>
        <v>631.92191844300282</v>
      </c>
      <c r="AA28" s="544">
        <f>IF(VLOOKUP($E$28,[1]QUART!$A$2:$FA$315, 26, FALSE)="",":",VLOOKUP($E$28,[1]QUART!$A$2:$FA$315, 26, FALSE))</f>
        <v>603.30746061167747</v>
      </c>
      <c r="AB28" s="544">
        <f>IF(VLOOKUP($E$28,[1]QUART!$A$2:$FA$315, 27, FALSE)="",":",VLOOKUP($E$28,[1]QUART!$A$2:$FA$315, 27, FALSE))</f>
        <v>592.38878591288233</v>
      </c>
      <c r="AC28" s="544">
        <f>IF(VLOOKUP($E$28,[1]QUART!$A$2:$FA$315, 28, FALSE)="",":",VLOOKUP($E$28,[1]QUART!$A$2:$FA$315, 28, FALSE))</f>
        <v>586.65430954587578</v>
      </c>
      <c r="AD28" s="544">
        <f>IF(VLOOKUP($E$28,[1]QUART!$A$2:$FA$315, 29, FALSE)="",":",VLOOKUP($E$28,[1]QUART!$A$2:$FA$315, 29, FALSE))</f>
        <v>595.77734012974975</v>
      </c>
      <c r="AE28" s="544">
        <f>IF(VLOOKUP($E$28,[1]QUART!$A$2:$FA$315, 30, FALSE)="",":",VLOOKUP($E$28,[1]QUART!$A$2:$FA$315, 30, FALSE))</f>
        <v>637.83016682113077</v>
      </c>
      <c r="AF28" s="544">
        <f>IF(VLOOKUP($E$28,[1]QUART!$A$2:$FA$315, 31, FALSE)="",":",VLOOKUP($E$28,[1]QUART!$A$2:$FA$315, 31, FALSE))</f>
        <v>646.37395736793337</v>
      </c>
      <c r="AG28" s="544">
        <f>IF(VLOOKUP($E$28,[1]QUART!$A$2:$FA$315, 32, FALSE)="",":",VLOOKUP($E$28,[1]QUART!$A$2:$FA$315, 32, FALSE))</f>
        <v>680.0857275254865</v>
      </c>
      <c r="AH28" s="544">
        <f>IF(VLOOKUP($E$28,[1]QUART!$A$2:$FA$315, 33, FALSE)="",":",VLOOKUP($E$28,[1]QUART!$A$2:$FA$315, 33, FALSE))</f>
        <v>840.07182576459684</v>
      </c>
      <c r="AI28" s="544">
        <f>IF(VLOOKUP($E$28,[1]QUART!$A$2:$FA$315, 34, FALSE)="",":",VLOOKUP($E$28,[1]QUART!$A$2:$FA$315, 34, FALSE))</f>
        <v>784.29101019462473</v>
      </c>
      <c r="AJ28" s="544">
        <f>IF(VLOOKUP($E$28,[1]QUART!$A$2:$FA$315, 35, FALSE)="",":",VLOOKUP($E$28,[1]QUART!$A$2:$FA$315, 35, FALSE))</f>
        <v>834.01876737720113</v>
      </c>
      <c r="AK28" s="544">
        <f>IF(VLOOKUP($E$28,[1]QUART!$A$2:$FA$315, 36, FALSE)="",":",VLOOKUP($E$28,[1]QUART!$A$2:$FA$315, 36, FALSE))</f>
        <v>834.80074142724754</v>
      </c>
      <c r="AL28" s="544">
        <f>IF(VLOOKUP($E$28,[1]QUART!$A$2:$FA$315, 37, FALSE)="",":",VLOOKUP($E$28,[1]QUART!$A$2:$FA$315, 37, FALSE))</f>
        <v>826.02525486561626</v>
      </c>
      <c r="AM28" s="544">
        <f>IF(VLOOKUP($E$28,[1]QUART!$A$2:$FA$315, 38, FALSE)="",":",VLOOKUP($E$28,[1]QUART!$A$2:$FA$315, 38, FALSE))</f>
        <v>822.54981464318814</v>
      </c>
      <c r="AN28" s="544">
        <f>IF(VLOOKUP($E$28,[1]QUART!$A$2:$FA$315, 39, FALSE)="",":",VLOOKUP($E$28,[1]QUART!$A$2:$FA$315, 39, FALSE))</f>
        <v>906.04726598702507</v>
      </c>
      <c r="AO28" s="544">
        <f>IF(VLOOKUP($E$28,[1]QUART!$A$2:$FA$315, 40, FALSE)="",":",VLOOKUP($E$28,[1]QUART!$A$2:$FA$315, 40, FALSE))</f>
        <v>998.20435588507883</v>
      </c>
      <c r="AP28" s="544">
        <f>IF(VLOOKUP($E$28,[1]QUART!$A$2:$FA$315, 41, FALSE)="",":",VLOOKUP($E$28,[1]QUART!$A$2:$FA$315, 41, FALSE))</f>
        <v>1035.1598702502317</v>
      </c>
      <c r="AQ28" s="544">
        <f>IF(VLOOKUP($E$28,[1]QUART!$A$2:$FA$315, 42, FALSE)="",":",VLOOKUP($E$28,[1]QUART!$A$2:$FA$315, 42, FALSE))</f>
        <v>1157.8139481000926</v>
      </c>
      <c r="AR28" s="544">
        <f>IF(VLOOKUP($E$28,[1]QUART!$A$2:$FA$315, 43, FALSE)="",":",VLOOKUP($E$28,[1]QUART!$A$2:$FA$315, 43, FALSE))</f>
        <v>1161.810704355885</v>
      </c>
      <c r="AS28" s="544">
        <f>IF(VLOOKUP($E$28,[1]QUART!$A$2:$FA$315, 44, FALSE)="",":",VLOOKUP($E$28,[1]QUART!$A$2:$FA$315, 44, FALSE))</f>
        <v>1143.8253012048194</v>
      </c>
      <c r="AT28" s="544">
        <f>IF(VLOOKUP($E$28,[1]QUART!$A$2:$FA$315, 45, FALSE)="",":",VLOOKUP($E$28,[1]QUART!$A$2:$FA$315, 45, FALSE))</f>
        <v>1194.8563484708066</v>
      </c>
      <c r="AU28" s="544">
        <f>IF(VLOOKUP($E$28,[1]QUART!$A$2:$FA$315, 46, FALSE)="",":",VLOOKUP($E$28,[1]QUART!$A$2:$FA$315, 46, FALSE))</f>
        <v>1199.5999999999999</v>
      </c>
      <c r="AV28" s="544">
        <f>IF(VLOOKUP($E$28,[1]QUART!$A$2:$FA$315, 47, FALSE)="",":",VLOOKUP($E$28,[1]QUART!$A$2:$FA$315, 47, FALSE))</f>
        <v>1335</v>
      </c>
      <c r="AW28" s="544">
        <f>IF(VLOOKUP($E$28,[1]QUART!$A$2:$FA$315, 48, FALSE)="",":",VLOOKUP($E$28,[1]QUART!$A$2:$FA$315, 48, FALSE))</f>
        <v>1283.8</v>
      </c>
      <c r="AX28" s="544">
        <f>IF(VLOOKUP($E$28,[1]QUART!$A$2:$FA$315, 49, FALSE)="",":",VLOOKUP($E$28,[1]QUART!$A$2:$FA$315, 49, FALSE))</f>
        <v>1466</v>
      </c>
      <c r="AY28" s="544">
        <f>IF(VLOOKUP($E$28,[1]QUART!$A$2:$FA$315, 50, FALSE)="",":",VLOOKUP($E$28,[1]QUART!$A$2:$FA$315, 50, FALSE))</f>
        <v>1472.7</v>
      </c>
      <c r="AZ28" s="544">
        <f>IF(VLOOKUP($E$28,[1]QUART!$A$2:$FA$315, 51, FALSE)="",":",VLOOKUP($E$28,[1]QUART!$A$2:$FA$315, 51, FALSE))</f>
        <v>1301.8</v>
      </c>
      <c r="BA28" s="544">
        <f>IF(VLOOKUP($E$28,[1]QUART!$A$2:$FA$315, 52, FALSE)="",":",VLOOKUP($E$28,[1]QUART!$A$2:$FA$315, 52, FALSE))</f>
        <v>1454.2</v>
      </c>
      <c r="BB28" s="544">
        <f>IF(VLOOKUP($E$28,[1]QUART!$A$2:$FA$315, 53, FALSE)="",":",VLOOKUP($E$28,[1]QUART!$A$2:$FA$315, 53, FALSE))</f>
        <v>1722.3</v>
      </c>
      <c r="BC28" s="544">
        <f>IF(VLOOKUP($E$28,[1]QUART!$A$2:$FA$315, 54, FALSE)="",":",VLOOKUP($E$28,[1]QUART!$A$2:$FA$315, 54, FALSE))</f>
        <v>1730.1</v>
      </c>
      <c r="BD28" s="544">
        <f>IF(VLOOKUP($E$28,[1]QUART!$A$2:$FA$315, 55, FALSE)="",":",VLOOKUP($E$28,[1]QUART!$A$2:$FA$315, 55, FALSE))</f>
        <v>1986.4</v>
      </c>
      <c r="BE28" s="544">
        <f>IF(VLOOKUP($E$28,[1]QUART!$A$2:$FA$315, 56, FALSE)="",":",VLOOKUP($E$28,[1]QUART!$A$2:$FA$315, 56, FALSE))</f>
        <v>1975.9</v>
      </c>
      <c r="BF28" s="544">
        <f>IF(VLOOKUP($E$28,[1]QUART!$A$2:$FA$315, 57, FALSE)="",":",VLOOKUP($E$28,[1]QUART!$A$2:$FA$315, 57, FALSE))</f>
        <v>2060.6999999999998</v>
      </c>
      <c r="BG28" s="544">
        <f>IF(VLOOKUP($E$28,[1]QUART!$A$2:$FA$315, 58, FALSE)="",":",VLOOKUP($E$28,[1]QUART!$A$2:$FA$315, 58, FALSE))</f>
        <v>2107.6</v>
      </c>
      <c r="BH28" s="544">
        <f>IF(VLOOKUP($E$28,[1]QUART!$A$2:$FA$315, 59, FALSE)="",":",VLOOKUP($E$28,[1]QUART!$A$2:$FA$315, 59, FALSE))</f>
        <v>2071.3000000000002</v>
      </c>
      <c r="BI28" s="544">
        <f>IF(VLOOKUP($E$28,[1]QUART!$A$2:$FA$315, 60, FALSE)="",":",VLOOKUP($E$28,[1]QUART!$A$2:$FA$315, 60, FALSE))</f>
        <v>2053.4</v>
      </c>
      <c r="BJ28" s="544">
        <f>IF(VLOOKUP($E$28,[1]QUART!$A$2:$FA$315, 61, FALSE)="",":",VLOOKUP($E$28,[1]QUART!$A$2:$FA$315, 61, FALSE))</f>
        <v>1788.6</v>
      </c>
      <c r="BK28" s="544">
        <f>IF(VLOOKUP($E$28,[1]QUART!$A$2:$FA$315, 62, FALSE)="",":",VLOOKUP($E$28,[1]QUART!$A$2:$FA$315, 62, FALSE))</f>
        <v>813</v>
      </c>
      <c r="BL28" s="3142">
        <f>IF(VLOOKUP($E$28,[1]QUART!$A$2:$FA$315, 61, FALSE)="",":",VLOOKUP($E$28,[1]QUART!$A$2:$FA$315, 61, FALSE))</f>
        <v>1788.6</v>
      </c>
      <c r="BM28" s="3142">
        <f>IF(VLOOKUP($E$28,[1]QUART!$A$2:$FA$315, 61, FALSE)="",":",VLOOKUP($E$28,[1]QUART!$A$2:$FA$315, 61, FALSE))</f>
        <v>1788.6</v>
      </c>
      <c r="BN28" s="3142">
        <f>IF(VLOOKUP($E$28,[1]QUART!$A$2:$FA$315, 61, FALSE)="",":",VLOOKUP($E$28,[1]QUART!$A$2:$FA$315, 61, FALSE))</f>
        <v>1788.6</v>
      </c>
      <c r="BO28" s="3142">
        <f>IF(VLOOKUP($E$28,[1]QUART!$A$2:$FA$315, 61, FALSE)="",":",VLOOKUP($E$28,[1]QUART!$A$2:$FA$315, 61, FALSE))</f>
        <v>1788.6</v>
      </c>
      <c r="BP28" s="3142">
        <f>IF(VLOOKUP($E$28,[1]QUART!$A$2:$FA$315, 61, FALSE)="",":",VLOOKUP($E$28,[1]QUART!$A$2:$FA$315, 61, FALSE))</f>
        <v>1788.6</v>
      </c>
      <c r="BQ28" s="544">
        <f>IF(VLOOKUP($E$28,[1]QUART!$A$2:$FA$315, 68, FALSE)="",":",VLOOKUP($E$28,[1]QUART!$A$2:$FA$315, 68, FALSE))</f>
        <v>1212.5999999999999</v>
      </c>
      <c r="BR28" s="544">
        <f>IF(VLOOKUP($E$28,[1]QUART!$A$2:$FA$315, 69, FALSE)="",":",VLOOKUP($E$28,[1]QUART!$A$2:$FA$315, 69, FALSE))</f>
        <v>1463.2</v>
      </c>
      <c r="BS28" s="544">
        <f>IF(VLOOKUP($E$28,[1]QUART!$A$2:$FA$315, 70, FALSE)="",":",VLOOKUP($E$28,[1]QUART!$A$2:$FA$315, 70, FALSE))</f>
        <v>1589.9</v>
      </c>
      <c r="BT28" s="544">
        <f>IF(VLOOKUP($E$28,[1]QUART!$A$2:$FA$315, 71, FALSE)="",":",VLOOKUP($E$28,[1]QUART!$A$2:$FA$315, 71, FALSE))</f>
        <v>1485</v>
      </c>
      <c r="BU28" s="544">
        <f>IF(VLOOKUP($E$28,[1]QUART!$A$2:$FA$315, 72, FALSE)="",":",VLOOKUP($E$28,[1]QUART!$A$2:$FA$315, 72, FALSE))</f>
        <v>1416.4</v>
      </c>
      <c r="BV28" s="544">
        <f>IF(VLOOKUP($E$28,[1]QUART!$A$2:$FA$315, 73, FALSE)="",":",VLOOKUP($E$28,[1]QUART!$A$2:$FA$315, 73, FALSE))</f>
        <v>1454.6</v>
      </c>
      <c r="BW28" s="544">
        <f>IF(VLOOKUP($E$28,[1]QUART!$A$2:$FA$315, 74, FALSE)="",":",VLOOKUP($E$28,[1]QUART!$A$2:$FA$315, 74, FALSE))</f>
        <v>1395.5</v>
      </c>
      <c r="BX28" s="544">
        <f>IF(VLOOKUP($E$28,[1]QUART!$A$2:$FA$315, 75, FALSE)="",":",VLOOKUP($E$28,[1]QUART!$A$2:$FA$315, 75, FALSE))</f>
        <v>1151.5999999999999</v>
      </c>
      <c r="BY28" s="544">
        <f>IF(VLOOKUP($E$28,[1]QUART!$A$2:$FA$315, 76, FALSE)="",":",VLOOKUP($E$28,[1]QUART!$A$2:$FA$315, 76, FALSE))</f>
        <v>1481.9</v>
      </c>
      <c r="BZ28" s="544">
        <f>IF(VLOOKUP($E$28,[1]QUART!$A$2:$FA$315, 77, FALSE)="",":",VLOOKUP($E$28,[1]QUART!$A$2:$FA$315, 77, FALSE))</f>
        <v>1231.9000000000001</v>
      </c>
      <c r="CA28" s="544">
        <f>IF(VLOOKUP($E$28,[1]QUART!$A$2:$FA$315, 78, FALSE)="",":",VLOOKUP($E$28,[1]QUART!$A$2:$FA$315, 78, FALSE))</f>
        <v>1183.5</v>
      </c>
      <c r="CB28" s="544">
        <f>IF(VLOOKUP($E$28,[1]QUART!$A$2:$FA$315, 79, FALSE)="",":",VLOOKUP($E$28,[1]QUART!$A$2:$FA$315, 79, FALSE))</f>
        <v>1252.9000000000001</v>
      </c>
      <c r="CC28" s="544">
        <f>IF(VLOOKUP($E$28,[1]QUART!$A$2:$FA$315, 80, FALSE)="",":",VLOOKUP($E$28,[1]QUART!$A$2:$FA$315, 80, FALSE))</f>
        <v>1403.4</v>
      </c>
      <c r="CD28" s="544">
        <f>IF(VLOOKUP($E$28,[1]QUART!$A$2:$FA$315, 81, FALSE)="",":",VLOOKUP($E$28,[1]QUART!$A$2:$FA$315, 81, FALSE))</f>
        <v>1427</v>
      </c>
      <c r="CE28" s="544">
        <f>IF(VLOOKUP($E$28,[1]QUART!$A$2:$FA$315, 82, FALSE)="",":",VLOOKUP($E$28,[1]QUART!$A$2:$FA$315, 82, FALSE))</f>
        <v>1351.5</v>
      </c>
      <c r="CF28" s="544">
        <f>IF(VLOOKUP($E$28,[1]QUART!$A$2:$FA$315, 83, FALSE)="",":",VLOOKUP($E$28,[1]QUART!$A$2:$FA$315, 83, FALSE))</f>
        <v>1328.5</v>
      </c>
      <c r="CG28" s="544">
        <f>IF(VLOOKUP($E$28,[1]QUART!$A$2:$FA$315, 84, FALSE)="",":",VLOOKUP($E$28,[1]QUART!$A$2:$FA$315, 84, FALSE))</f>
        <v>1338.1</v>
      </c>
      <c r="CH28" s="544">
        <f>IF(VLOOKUP($E$28,[1]QUART!$A$2:$FA$315, 85, FALSE)="",":",VLOOKUP($E$28,[1]QUART!$A$2:$FA$315, 85, FALSE))</f>
        <v>1466</v>
      </c>
      <c r="CI28" s="544">
        <f>IF(VLOOKUP($E$28,[1]QUART!$A$2:$FA$315, 86, FALSE)="",":",VLOOKUP($E$28,[1]QUART!$A$2:$FA$315, 86, FALSE))</f>
        <v>1708.6</v>
      </c>
      <c r="CJ28" s="544">
        <f>IF(VLOOKUP($E$28,[1]QUART!$A$2:$FA$315, 87, FALSE)="",":",VLOOKUP($E$28,[1]QUART!$A$2:$FA$315, 87, FALSE))</f>
        <v>1855</v>
      </c>
      <c r="CK28" s="544">
        <f>IF(VLOOKUP($E$28,[1]QUART!$A$2:$FA$315, 88, FALSE)="",":",VLOOKUP($E$28,[1]QUART!$A$2:$FA$315, 88, FALSE))</f>
        <v>1655.4</v>
      </c>
      <c r="CL28" s="544">
        <f>IF(VLOOKUP($E$28,[1]QUART!$A$2:$FA$315, 89, FALSE)="",":",VLOOKUP($E$28,[1]QUART!$A$2:$FA$315, 89, FALSE))</f>
        <v>1623.5</v>
      </c>
      <c r="CM28" s="544">
        <f>IF(VLOOKUP($E$28,[1]QUART!$A$2:$FA$315, 90, FALSE)="",":",VLOOKUP($E$28,[1]QUART!$A$2:$FA$315, 90, FALSE))</f>
        <v>1515.1</v>
      </c>
      <c r="CN28" s="544">
        <f>IF(VLOOKUP($E$28,[1]QUART!$A$2:$FA$315, 91, FALSE)="",":",VLOOKUP($E$28,[1]QUART!$A$2:$FA$315, 91, FALSE))</f>
        <v>1698.7</v>
      </c>
      <c r="CO28" s="544">
        <f>IF(VLOOKUP($E$28,[1]QUART!$A$2:$FA$315, 92, FALSE)="",":",VLOOKUP($E$28,[1]QUART!$A$2:$FA$315, 92, FALSE))</f>
        <v>1632.2</v>
      </c>
      <c r="CP28" s="544">
        <f>IF(VLOOKUP($E$28,[1]QUART!$A$2:$FA$315, 93, FALSE)="",":",VLOOKUP($E$28,[1]QUART!$A$2:$FA$315, 93, FALSE))</f>
        <v>1698</v>
      </c>
      <c r="CQ28" s="544">
        <f>IF(VLOOKUP($E$28,[1]QUART!$A$2:$FA$315, 94, FALSE)="",":",VLOOKUP($E$28,[1]QUART!$A$2:$FA$315, 94, FALSE))</f>
        <v>1702.2</v>
      </c>
      <c r="CR28" s="544">
        <f>IF(VLOOKUP($E$28,[1]QUART!$A$2:$FA$315, 95, FALSE)="",":",VLOOKUP($E$28,[1]QUART!$A$2:$FA$315, 95, FALSE))</f>
        <v>1587.8</v>
      </c>
      <c r="CS28" s="544">
        <f>IF(VLOOKUP($E$28,[1]QUART!$A$2:$FA$315, 96, FALSE)="",":",VLOOKUP($E$28,[1]QUART!$A$2:$FA$315, 96, FALSE))</f>
        <v>1765.8</v>
      </c>
      <c r="CT28" s="544">
        <f>IF(VLOOKUP($E$28,[1]QUART!$A$2:$FA$315, 97, FALSE)="",":",VLOOKUP($E$28,[1]QUART!$A$2:$FA$315, 97, FALSE))</f>
        <v>1735.2</v>
      </c>
      <c r="CU28" s="544" t="str">
        <f>IF(VLOOKUP($E$28,[1]QUART!$A$2:$FA$315, 98, FALSE)="",":",VLOOKUP($E$28,[1]QUART!$A$2:$FA$315, 98, FALSE))</f>
        <v>:</v>
      </c>
      <c r="CV28" s="544" t="str">
        <f>IF(VLOOKUP($E$28,[1]QUART!$A$2:$FA$315, 99, FALSE)="",":",VLOOKUP($E$28,[1]QUART!$A$2:$FA$315, 99, FALSE))</f>
        <v>:</v>
      </c>
      <c r="CW28" s="544" t="str">
        <f>IF(VLOOKUP($E$28,[1]QUART!$A$2:$FA$315, 100, FALSE)="",":",VLOOKUP($E$28,[1]QUART!$A$2:$FA$315, 100, FALSE))</f>
        <v>:</v>
      </c>
      <c r="CX28" s="544" t="str">
        <f>IF(VLOOKUP($E$28,[1]QUART!$A$2:$FA$315, 101, FALSE)="",":",VLOOKUP($E$28,[1]QUART!$A$2:$FA$315, 101, FALSE))</f>
        <v>:</v>
      </c>
      <c r="CY28" s="544" t="str">
        <f>IF(VLOOKUP($E$28,[1]QUART!$A$2:$FA$315, 102, FALSE)="",":",VLOOKUP($E$28,[1]QUART!$A$2:$FA$315, 102, FALSE))</f>
        <v>:</v>
      </c>
      <c r="CZ28" s="544" t="str">
        <f>IF(VLOOKUP($E$28,[1]QUART!$A$2:$FA$315, 103, FALSE)="",":",VLOOKUP($E$28,[1]QUART!$A$2:$FA$315, 103, FALSE))</f>
        <v>:</v>
      </c>
      <c r="DA28" s="544" t="str">
        <f>IF(VLOOKUP($E$28,[1]QUART!$A$2:$FA$315, 104, FALSE)="",":",VLOOKUP($E$28,[1]QUART!$A$2:$FA$315, 104, FALSE))</f>
        <v>:</v>
      </c>
      <c r="DB28" s="544" t="str">
        <f>IF(VLOOKUP($E$28,[1]QUART!$A$2:$FA$315, 105, FALSE)="",":",VLOOKUP($E$28,[1]QUART!$A$2:$FA$315, 105, FALSE))</f>
        <v>:</v>
      </c>
      <c r="DC28" s="544" t="str">
        <f>IF(VLOOKUP($E$28,[1]QUART!$A$2:$FA$315, 106, FALSE)="",":",VLOOKUP($E$28,[1]QUART!$A$2:$FA$315, 106, FALSE))</f>
        <v>:</v>
      </c>
    </row>
    <row r="29" spans="1:107">
      <c r="A29" s="1954"/>
      <c r="B29" s="534"/>
      <c r="C29" s="535"/>
      <c r="D29" s="12" t="s">
        <v>1841</v>
      </c>
      <c r="E29" s="13">
        <v>84</v>
      </c>
      <c r="F29" s="14" t="str">
        <f>VLOOKUP($E$29,[1]QUART!$A$2:$FA$315, 3, FALSE)</f>
        <v xml:space="preserve">84  Exports of goods                              </v>
      </c>
      <c r="G29" s="544">
        <f>IF(VLOOKUP($E$29,[1]QUART!$A$2:$FA$315, 6, FALSE)="",":",VLOOKUP($E$29,[1]QUART!$A$2:$FA$315, 6, FALSE))</f>
        <v>902.31116774791474</v>
      </c>
      <c r="H29" s="544">
        <f>IF(VLOOKUP($E$29,[1]QUART!$A$2:$FA$315, 7, FALSE)="",":",VLOOKUP($E$29,[1]QUART!$A$2:$FA$315, 7, FALSE))</f>
        <v>945.7831325301205</v>
      </c>
      <c r="I29" s="544">
        <f>IF(VLOOKUP($E$29,[1]QUART!$A$2:$FA$315, 8, FALSE)="",":",VLOOKUP($E$29,[1]QUART!$A$2:$FA$315, 8, FALSE))</f>
        <v>996.61144578313258</v>
      </c>
      <c r="J29" s="544">
        <f>IF(VLOOKUP($E$29,[1]QUART!$A$2:$FA$315, 9, FALSE)="",":",VLOOKUP($E$29,[1]QUART!$A$2:$FA$315, 9, FALSE))</f>
        <v>1042.9506487488416</v>
      </c>
      <c r="K29" s="544">
        <f>IF(VLOOKUP($E$29,[1]QUART!$A$2:$FA$315, 10, FALSE)="",":",VLOOKUP($E$29,[1]QUART!$A$2:$FA$315, 10, FALSE))</f>
        <v>1065.0486561631142</v>
      </c>
      <c r="L29" s="544">
        <f>IF(VLOOKUP($E$29,[1]QUART!$A$2:$FA$315, 11, FALSE)="",":",VLOOKUP($E$29,[1]QUART!$A$2:$FA$315, 11, FALSE))</f>
        <v>1102.2358665430957</v>
      </c>
      <c r="M29" s="544">
        <f>IF(VLOOKUP($E$29,[1]QUART!$A$2:$FA$315, 12, FALSE)="",":",VLOOKUP($E$29,[1]QUART!$A$2:$FA$315, 12, FALSE))</f>
        <v>1157.0898980537534</v>
      </c>
      <c r="N29" s="544">
        <f>IF(VLOOKUP($E$29,[1]QUART!$A$2:$FA$315, 13, FALSE)="",":",VLOOKUP($E$29,[1]QUART!$A$2:$FA$315, 13, FALSE))</f>
        <v>1222.515060240964</v>
      </c>
      <c r="O29" s="544">
        <f>IF(VLOOKUP($E$29,[1]QUART!$A$2:$FA$315, 14, FALSE)="",":",VLOOKUP($E$29,[1]QUART!$A$2:$FA$315, 14, FALSE))</f>
        <v>1287.100324374421</v>
      </c>
      <c r="P29" s="544">
        <f>IF(VLOOKUP($E$29,[1]QUART!$A$2:$FA$315, 15, FALSE)="",":",VLOOKUP($E$29,[1]QUART!$A$2:$FA$315, 15, FALSE))</f>
        <v>1296.6288229842446</v>
      </c>
      <c r="Q29" s="544">
        <f>IF(VLOOKUP($E$29,[1]QUART!$A$2:$FA$315, 16, FALSE)="",":",VLOOKUP($E$29,[1]QUART!$A$2:$FA$315, 16, FALSE))</f>
        <v>1314.9328081556998</v>
      </c>
      <c r="R29" s="544">
        <f>IF(VLOOKUP($E$29,[1]QUART!$A$2:$FA$315, 17, FALSE)="",":",VLOOKUP($E$29,[1]QUART!$A$2:$FA$315, 17, FALSE))</f>
        <v>1441.0333642261355</v>
      </c>
      <c r="S29" s="544">
        <f>IF(VLOOKUP($E$29,[1]QUART!$A$2:$FA$315, 18, FALSE)="",":",VLOOKUP($E$29,[1]QUART!$A$2:$FA$315, 18, FALSE))</f>
        <v>1477.4675625579239</v>
      </c>
      <c r="T29" s="544">
        <f>IF(VLOOKUP($E$29,[1]QUART!$A$2:$FA$315, 19, FALSE)="",":",VLOOKUP($E$29,[1]QUART!$A$2:$FA$315, 19, FALSE))</f>
        <v>1466.4909638554218</v>
      </c>
      <c r="U29" s="544">
        <f>IF(VLOOKUP($E$29,[1]QUART!$A$2:$FA$315, 20, FALSE)="",":",VLOOKUP($E$29,[1]QUART!$A$2:$FA$315, 20, FALSE))</f>
        <v>1331.3832252085265</v>
      </c>
      <c r="V29" s="544">
        <f>IF(VLOOKUP($E$29,[1]QUART!$A$2:$FA$315, 21, FALSE)="",":",VLOOKUP($E$29,[1]QUART!$A$2:$FA$315, 21, FALSE))</f>
        <v>1253.4754402224282</v>
      </c>
      <c r="W29" s="544">
        <f>IF(VLOOKUP($E$29,[1]QUART!$A$2:$FA$315, 22, FALSE)="",":",VLOOKUP($E$29,[1]QUART!$A$2:$FA$315, 22, FALSE))</f>
        <v>1162.0134383688601</v>
      </c>
      <c r="X29" s="544">
        <f>IF(VLOOKUP($E$29,[1]QUART!$A$2:$FA$315, 23, FALSE)="",":",VLOOKUP($E$29,[1]QUART!$A$2:$FA$315, 23, FALSE))</f>
        <v>1067.7131603336422</v>
      </c>
      <c r="Y29" s="544">
        <f>IF(VLOOKUP($E$29,[1]QUART!$A$2:$FA$315, 24, FALSE)="",":",VLOOKUP($E$29,[1]QUART!$A$2:$FA$315, 24, FALSE))</f>
        <v>1050.4228452270622</v>
      </c>
      <c r="Z29" s="544">
        <f>IF(VLOOKUP($E$29,[1]QUART!$A$2:$FA$315, 25, FALSE)="",":",VLOOKUP($E$29,[1]QUART!$A$2:$FA$315, 25, FALSE))</f>
        <v>1060.2409638554218</v>
      </c>
      <c r="AA29" s="544">
        <f>IF(VLOOKUP($E$29,[1]QUART!$A$2:$FA$315, 26, FALSE)="",":",VLOOKUP($E$29,[1]QUART!$A$2:$FA$315, 26, FALSE))</f>
        <v>1191.9022242817423</v>
      </c>
      <c r="AB29" s="544">
        <f>IF(VLOOKUP($E$29,[1]QUART!$A$2:$FA$315, 27, FALSE)="",":",VLOOKUP($E$29,[1]QUART!$A$2:$FA$315, 27, FALSE))</f>
        <v>1202.0099629286378</v>
      </c>
      <c r="AC29" s="544">
        <f>IF(VLOOKUP($E$29,[1]QUART!$A$2:$FA$315, 28, FALSE)="",":",VLOOKUP($E$29,[1]QUART!$A$2:$FA$315, 28, FALSE))</f>
        <v>1306.6786376274329</v>
      </c>
      <c r="AD29" s="544">
        <f>IF(VLOOKUP($E$29,[1]QUART!$A$2:$FA$315, 29, FALSE)="",":",VLOOKUP($E$29,[1]QUART!$A$2:$FA$315, 29, FALSE))</f>
        <v>1331.9914272474516</v>
      </c>
      <c r="AE29" s="544">
        <f>IF(VLOOKUP($E$29,[1]QUART!$A$2:$FA$315, 30, FALSE)="",":",VLOOKUP($E$29,[1]QUART!$A$2:$FA$315, 30, FALSE))</f>
        <v>1465.5641797961075</v>
      </c>
      <c r="AF29" s="544">
        <f>IF(VLOOKUP($E$29,[1]QUART!$A$2:$FA$315, 31, FALSE)="",":",VLOOKUP($E$29,[1]QUART!$A$2:$FA$315, 31, FALSE))</f>
        <v>1559.6327618164969</v>
      </c>
      <c r="AG29" s="544">
        <f>IF(VLOOKUP($E$29,[1]QUART!$A$2:$FA$315, 32, FALSE)="",":",VLOOKUP($E$29,[1]QUART!$A$2:$FA$315, 32, FALSE))</f>
        <v>1577.6760889712696</v>
      </c>
      <c r="AH29" s="544">
        <f>IF(VLOOKUP($E$29,[1]QUART!$A$2:$FA$315, 33, FALSE)="",":",VLOOKUP($E$29,[1]QUART!$A$2:$FA$315, 33, FALSE))</f>
        <v>1648.1116774791476</v>
      </c>
      <c r="AI29" s="544">
        <f>IF(VLOOKUP($E$29,[1]QUART!$A$2:$FA$315, 34, FALSE)="",":",VLOOKUP($E$29,[1]QUART!$A$2:$FA$315, 34, FALSE))</f>
        <v>1737.7490732159408</v>
      </c>
      <c r="AJ29" s="544">
        <f>IF(VLOOKUP($E$29,[1]QUART!$A$2:$FA$315, 35, FALSE)="",":",VLOOKUP($E$29,[1]QUART!$A$2:$FA$315, 35, FALSE))</f>
        <v>1863.4151992585728</v>
      </c>
      <c r="AK29" s="544">
        <f>IF(VLOOKUP($E$29,[1]QUART!$A$2:$FA$315, 36, FALSE)="",":",VLOOKUP($E$29,[1]QUART!$A$2:$FA$315, 36, FALSE))</f>
        <v>1852.2937905468027</v>
      </c>
      <c r="AL29" s="544">
        <f>IF(VLOOKUP($E$29,[1]QUART!$A$2:$FA$315, 37, FALSE)="",":",VLOOKUP($E$29,[1]QUART!$A$2:$FA$315, 37, FALSE))</f>
        <v>1978.5391566265062</v>
      </c>
      <c r="AM29" s="544">
        <f>IF(VLOOKUP($E$29,[1]QUART!$A$2:$FA$315, 38, FALSE)="",":",VLOOKUP($E$29,[1]QUART!$A$2:$FA$315, 38, FALSE))</f>
        <v>2075.0695088044486</v>
      </c>
      <c r="AN29" s="544">
        <f>IF(VLOOKUP($E$29,[1]QUART!$A$2:$FA$315, 39, FALSE)="",":",VLOOKUP($E$29,[1]QUART!$A$2:$FA$315, 39, FALSE))</f>
        <v>1927.3053753475442</v>
      </c>
      <c r="AO29" s="544">
        <f>IF(VLOOKUP($E$29,[1]QUART!$A$2:$FA$315, 40, FALSE)="",":",VLOOKUP($E$29,[1]QUART!$A$2:$FA$315, 40, FALSE))</f>
        <v>1996.6983317886932</v>
      </c>
      <c r="AP29" s="544">
        <f>IF(VLOOKUP($E$29,[1]QUART!$A$2:$FA$315, 41, FALSE)="",":",VLOOKUP($E$29,[1]QUART!$A$2:$FA$315, 41, FALSE))</f>
        <v>2068.9295644114923</v>
      </c>
      <c r="AQ29" s="544">
        <f>IF(VLOOKUP($E$29,[1]QUART!$A$2:$FA$315, 42, FALSE)="",":",VLOOKUP($E$29,[1]QUART!$A$2:$FA$315, 42, FALSE))</f>
        <v>1915.720574606117</v>
      </c>
      <c r="AR29" s="544">
        <f>IF(VLOOKUP($E$29,[1]QUART!$A$2:$FA$315, 43, FALSE)="",":",VLOOKUP($E$29,[1]QUART!$A$2:$FA$315, 43, FALSE))</f>
        <v>2016.6531510658019</v>
      </c>
      <c r="AS29" s="544">
        <f>IF(VLOOKUP($E$29,[1]QUART!$A$2:$FA$315, 44, FALSE)="",":",VLOOKUP($E$29,[1]QUART!$A$2:$FA$315, 44, FALSE))</f>
        <v>2078.863531047266</v>
      </c>
      <c r="AT29" s="544">
        <f>IF(VLOOKUP($E$29,[1]QUART!$A$2:$FA$315, 45, FALSE)="",":",VLOOKUP($E$29,[1]QUART!$A$2:$FA$315, 45, FALSE))</f>
        <v>2213.6526876737721</v>
      </c>
      <c r="AU29" s="544" t="str">
        <f>IF(VLOOKUP($E$29,[1]QUART!$A$2:$FA$315, 46, FALSE)="",":",VLOOKUP($E$29,[1]QUART!$A$2:$FA$315, 46, FALSE))</f>
        <v>n.a.</v>
      </c>
      <c r="AV29" s="544" t="str">
        <f>IF(VLOOKUP($E$29,[1]QUART!$A$2:$FA$315, 47, FALSE)="",":",VLOOKUP($E$29,[1]QUART!$A$2:$FA$315, 47, FALSE))</f>
        <v>n.a.</v>
      </c>
      <c r="AW29" s="544" t="str">
        <f>IF(VLOOKUP($E$29,[1]QUART!$A$2:$FA$315, 48, FALSE)="",":",VLOOKUP($E$29,[1]QUART!$A$2:$FA$315, 48, FALSE))</f>
        <v>n.a.</v>
      </c>
      <c r="AX29" s="544" t="str">
        <f>IF(VLOOKUP($E$29,[1]QUART!$A$2:$FA$315, 49, FALSE)="",":",VLOOKUP($E$29,[1]QUART!$A$2:$FA$315, 49, FALSE))</f>
        <v>n.a.</v>
      </c>
      <c r="AY29" s="544" t="str">
        <f>IF(VLOOKUP($E$29,[1]QUART!$A$2:$FA$315, 50, FALSE)="",":",VLOOKUP($E$29,[1]QUART!$A$2:$FA$315, 50, FALSE))</f>
        <v>n.a.</v>
      </c>
      <c r="AZ29" s="544" t="str">
        <f>IF(VLOOKUP($E$29,[1]QUART!$A$2:$FA$315, 51, FALSE)="",":",VLOOKUP($E$29,[1]QUART!$A$2:$FA$315, 51, FALSE))</f>
        <v>n.a.</v>
      </c>
      <c r="BA29" s="544" t="str">
        <f>IF(VLOOKUP($E$29,[1]QUART!$A$2:$FA$315, 52, FALSE)="",":",VLOOKUP($E$29,[1]QUART!$A$2:$FA$315, 52, FALSE))</f>
        <v>n.a.</v>
      </c>
      <c r="BB29" s="544" t="str">
        <f>IF(VLOOKUP($E$29,[1]QUART!$A$2:$FA$315, 53, FALSE)="",":",VLOOKUP($E$29,[1]QUART!$A$2:$FA$315, 53, FALSE))</f>
        <v>n.a.</v>
      </c>
      <c r="BC29" s="544" t="str">
        <f>IF(VLOOKUP($E$29,[1]QUART!$A$2:$FA$315, 54, FALSE)="",":",VLOOKUP($E$29,[1]QUART!$A$2:$FA$315, 54, FALSE))</f>
        <v>n.a.</v>
      </c>
      <c r="BD29" s="544" t="str">
        <f>IF(VLOOKUP($E$29,[1]QUART!$A$2:$FA$315, 55, FALSE)="",":",VLOOKUP($E$29,[1]QUART!$A$2:$FA$315, 55, FALSE))</f>
        <v>n.a.</v>
      </c>
      <c r="BE29" s="544" t="str">
        <f>IF(VLOOKUP($E$29,[1]QUART!$A$2:$FA$315, 56, FALSE)="",":",VLOOKUP($E$29,[1]QUART!$A$2:$FA$315, 56, FALSE))</f>
        <v>n.a.</v>
      </c>
      <c r="BF29" s="544" t="str">
        <f>IF(VLOOKUP($E$29,[1]QUART!$A$2:$FA$315, 57, FALSE)="",":",VLOOKUP($E$29,[1]QUART!$A$2:$FA$315, 57, FALSE))</f>
        <v>n.a.</v>
      </c>
      <c r="BG29" s="544" t="str">
        <f>IF(VLOOKUP($E$29,[1]QUART!$A$2:$FA$315, 58, FALSE)="",":",VLOOKUP($E$29,[1]QUART!$A$2:$FA$315, 58, FALSE))</f>
        <v>n.a.</v>
      </c>
      <c r="BH29" s="544" t="str">
        <f>IF(VLOOKUP($E$29,[1]QUART!$A$2:$FA$315, 59, FALSE)="",":",VLOOKUP($E$29,[1]QUART!$A$2:$FA$315, 59, FALSE))</f>
        <v>n.a.</v>
      </c>
      <c r="BI29" s="544" t="str">
        <f>IF(VLOOKUP($E$29,[1]QUART!$A$2:$FA$315, 60, FALSE)="",":",VLOOKUP($E$29,[1]QUART!$A$2:$FA$315, 60, FALSE))</f>
        <v>n.a.</v>
      </c>
      <c r="BJ29" s="544" t="str">
        <f>IF(VLOOKUP($E$29,[1]QUART!$A$2:$FA$315, 61, FALSE)="",":",VLOOKUP($E$29,[1]QUART!$A$2:$FA$315, 61, FALSE))</f>
        <v>n.a.</v>
      </c>
      <c r="BK29" s="544" t="str">
        <f>IF(VLOOKUP($E$29,[1]QUART!$A$2:$FA$315, 62, FALSE)="",":",VLOOKUP($E$29,[1]QUART!$A$2:$FA$315, 62, FALSE))</f>
        <v>n.a.</v>
      </c>
      <c r="BL29" s="3142" t="str">
        <f>IF(VLOOKUP($E$29,[1]QUART!$A$2:$FA$315, 61, FALSE)="",":",VLOOKUP($E$29,[1]QUART!$A$2:$FA$315, 61, FALSE))</f>
        <v>n.a.</v>
      </c>
      <c r="BM29" s="3142" t="str">
        <f>IF(VLOOKUP($E$29,[1]QUART!$A$2:$FA$315, 61, FALSE)="",":",VLOOKUP($E$29,[1]QUART!$A$2:$FA$315, 61, FALSE))</f>
        <v>n.a.</v>
      </c>
      <c r="BN29" s="3142" t="str">
        <f>IF(VLOOKUP($E$29,[1]QUART!$A$2:$FA$315, 61, FALSE)="",":",VLOOKUP($E$29,[1]QUART!$A$2:$FA$315, 61, FALSE))</f>
        <v>n.a.</v>
      </c>
      <c r="BO29" s="3142" t="str">
        <f>IF(VLOOKUP($E$29,[1]QUART!$A$2:$FA$315, 61, FALSE)="",":",VLOOKUP($E$29,[1]QUART!$A$2:$FA$315, 61, FALSE))</f>
        <v>n.a.</v>
      </c>
      <c r="BP29" s="3142" t="str">
        <f>IF(VLOOKUP($E$29,[1]QUART!$A$2:$FA$315, 61, FALSE)="",":",VLOOKUP($E$29,[1]QUART!$A$2:$FA$315, 61, FALSE))</f>
        <v>n.a.</v>
      </c>
      <c r="BQ29" s="544" t="str">
        <f>IF(VLOOKUP($E$29,[1]QUART!$A$2:$FA$315, 68, FALSE)="",":",VLOOKUP($E$29,[1]QUART!$A$2:$FA$315, 68, FALSE))</f>
        <v>n.a.</v>
      </c>
      <c r="BR29" s="544" t="str">
        <f>IF(VLOOKUP($E$29,[1]QUART!$A$2:$FA$315, 69, FALSE)="",":",VLOOKUP($E$29,[1]QUART!$A$2:$FA$315, 69, FALSE))</f>
        <v>n.a.</v>
      </c>
      <c r="BS29" s="544" t="str">
        <f>IF(VLOOKUP($E$29,[1]QUART!$A$2:$FA$315, 70, FALSE)="",":",VLOOKUP($E$29,[1]QUART!$A$2:$FA$315, 70, FALSE))</f>
        <v>n.a.</v>
      </c>
      <c r="BT29" s="544" t="str">
        <f>IF(VLOOKUP($E$29,[1]QUART!$A$2:$FA$315, 71, FALSE)="",":",VLOOKUP($E$29,[1]QUART!$A$2:$FA$315, 71, FALSE))</f>
        <v>n.a.</v>
      </c>
      <c r="BU29" s="544" t="str">
        <f>IF(VLOOKUP($E$29,[1]QUART!$A$2:$FA$315, 72, FALSE)="",":",VLOOKUP($E$29,[1]QUART!$A$2:$FA$315, 72, FALSE))</f>
        <v>n.a.</v>
      </c>
      <c r="BV29" s="544" t="str">
        <f>IF(VLOOKUP($E$29,[1]QUART!$A$2:$FA$315, 73, FALSE)="",":",VLOOKUP($E$29,[1]QUART!$A$2:$FA$315, 73, FALSE))</f>
        <v>n.a.</v>
      </c>
      <c r="BW29" s="544" t="str">
        <f>IF(VLOOKUP($E$29,[1]QUART!$A$2:$FA$315, 74, FALSE)="",":",VLOOKUP($E$29,[1]QUART!$A$2:$FA$315, 74, FALSE))</f>
        <v>n.a.</v>
      </c>
      <c r="BX29" s="544" t="str">
        <f>IF(VLOOKUP($E$29,[1]QUART!$A$2:$FA$315, 75, FALSE)="",":",VLOOKUP($E$29,[1]QUART!$A$2:$FA$315, 75, FALSE))</f>
        <v>n.a.</v>
      </c>
      <c r="BY29" s="544" t="str">
        <f>IF(VLOOKUP($E$29,[1]QUART!$A$2:$FA$315, 76, FALSE)="",":",VLOOKUP($E$29,[1]QUART!$A$2:$FA$315, 76, FALSE))</f>
        <v>n.a.</v>
      </c>
      <c r="BZ29" s="544" t="str">
        <f>IF(VLOOKUP($E$29,[1]QUART!$A$2:$FA$315, 77, FALSE)="",":",VLOOKUP($E$29,[1]QUART!$A$2:$FA$315, 77, FALSE))</f>
        <v>n.a.</v>
      </c>
      <c r="CA29" s="544" t="str">
        <f>IF(VLOOKUP($E$29,[1]QUART!$A$2:$FA$315, 78, FALSE)="",":",VLOOKUP($E$29,[1]QUART!$A$2:$FA$315, 78, FALSE))</f>
        <v>n.a.</v>
      </c>
      <c r="CB29" s="544" t="str">
        <f>IF(VLOOKUP($E$29,[1]QUART!$A$2:$FA$315, 79, FALSE)="",":",VLOOKUP($E$29,[1]QUART!$A$2:$FA$315, 79, FALSE))</f>
        <v>n.a.</v>
      </c>
      <c r="CC29" s="544" t="str">
        <f>IF(VLOOKUP($E$29,[1]QUART!$A$2:$FA$315, 80, FALSE)="",":",VLOOKUP($E$29,[1]QUART!$A$2:$FA$315, 80, FALSE))</f>
        <v>n.a.</v>
      </c>
      <c r="CD29" s="544" t="str">
        <f>IF(VLOOKUP($E$29,[1]QUART!$A$2:$FA$315, 81, FALSE)="",":",VLOOKUP($E$29,[1]QUART!$A$2:$FA$315, 81, FALSE))</f>
        <v>n.a.</v>
      </c>
      <c r="CE29" s="544" t="str">
        <f>IF(VLOOKUP($E$29,[1]QUART!$A$2:$FA$315, 82, FALSE)="",":",VLOOKUP($E$29,[1]QUART!$A$2:$FA$315, 82, FALSE))</f>
        <v>n.a.</v>
      </c>
      <c r="CF29" s="544" t="str">
        <f>IF(VLOOKUP($E$29,[1]QUART!$A$2:$FA$315, 83, FALSE)="",":",VLOOKUP($E$29,[1]QUART!$A$2:$FA$315, 83, FALSE))</f>
        <v>n.a.</v>
      </c>
      <c r="CG29" s="544" t="str">
        <f>IF(VLOOKUP($E$29,[1]QUART!$A$2:$FA$315, 84, FALSE)="",":",VLOOKUP($E$29,[1]QUART!$A$2:$FA$315, 84, FALSE))</f>
        <v>n.a.</v>
      </c>
      <c r="CH29" s="544" t="str">
        <f>IF(VLOOKUP($E$29,[1]QUART!$A$2:$FA$315, 85, FALSE)="",":",VLOOKUP($E$29,[1]QUART!$A$2:$FA$315, 85, FALSE))</f>
        <v>n.a.</v>
      </c>
      <c r="CI29" s="544" t="str">
        <f>IF(VLOOKUP($E$29,[1]QUART!$A$2:$FA$315, 86, FALSE)="",":",VLOOKUP($E$29,[1]QUART!$A$2:$FA$315, 86, FALSE))</f>
        <v>n.a.</v>
      </c>
      <c r="CJ29" s="544" t="str">
        <f>IF(VLOOKUP($E$29,[1]QUART!$A$2:$FA$315, 87, FALSE)="",":",VLOOKUP($E$29,[1]QUART!$A$2:$FA$315, 87, FALSE))</f>
        <v>n.a.</v>
      </c>
      <c r="CK29" s="544" t="str">
        <f>IF(VLOOKUP($E$29,[1]QUART!$A$2:$FA$315, 88, FALSE)="",":",VLOOKUP($E$29,[1]QUART!$A$2:$FA$315, 88, FALSE))</f>
        <v>n.a.</v>
      </c>
      <c r="CL29" s="544" t="str">
        <f>IF(VLOOKUP($E$29,[1]QUART!$A$2:$FA$315, 89, FALSE)="",":",VLOOKUP($E$29,[1]QUART!$A$2:$FA$315, 89, FALSE))</f>
        <v>n.a.</v>
      </c>
      <c r="CM29" s="544" t="str">
        <f>IF(VLOOKUP($E$29,[1]QUART!$A$2:$FA$315, 90, FALSE)="",":",VLOOKUP($E$29,[1]QUART!$A$2:$FA$315, 90, FALSE))</f>
        <v>n.a.</v>
      </c>
      <c r="CN29" s="544" t="str">
        <f>IF(VLOOKUP($E$29,[1]QUART!$A$2:$FA$315, 91, FALSE)="",":",VLOOKUP($E$29,[1]QUART!$A$2:$FA$315, 91, FALSE))</f>
        <v>n.a.</v>
      </c>
      <c r="CO29" s="544" t="str">
        <f>IF(VLOOKUP($E$29,[1]QUART!$A$2:$FA$315, 92, FALSE)="",":",VLOOKUP($E$29,[1]QUART!$A$2:$FA$315, 92, FALSE))</f>
        <v>n.a.</v>
      </c>
      <c r="CP29" s="544" t="str">
        <f>IF(VLOOKUP($E$29,[1]QUART!$A$2:$FA$315, 93, FALSE)="",":",VLOOKUP($E$29,[1]QUART!$A$2:$FA$315, 93, FALSE))</f>
        <v>n.a.</v>
      </c>
      <c r="CQ29" s="544" t="str">
        <f>IF(VLOOKUP($E$29,[1]QUART!$A$2:$FA$315, 94, FALSE)="",":",VLOOKUP($E$29,[1]QUART!$A$2:$FA$315, 94, FALSE))</f>
        <v>n.a.</v>
      </c>
      <c r="CR29" s="544" t="str">
        <f>IF(VLOOKUP($E$29,[1]QUART!$A$2:$FA$315, 95, FALSE)="",":",VLOOKUP($E$29,[1]QUART!$A$2:$FA$315, 95, FALSE))</f>
        <v>n.a.</v>
      </c>
      <c r="CS29" s="544" t="str">
        <f>IF(VLOOKUP($E$29,[1]QUART!$A$2:$FA$315, 96, FALSE)="",":",VLOOKUP($E$29,[1]QUART!$A$2:$FA$315, 96, FALSE))</f>
        <v>n.a.</v>
      </c>
      <c r="CT29" s="544" t="str">
        <f>IF(VLOOKUP($E$29,[1]QUART!$A$2:$FA$315, 97, FALSE)="",":",VLOOKUP($E$29,[1]QUART!$A$2:$FA$315, 97, FALSE))</f>
        <v>n.a.</v>
      </c>
      <c r="CU29" s="544" t="str">
        <f>IF(VLOOKUP($E$29,[1]QUART!$A$2:$FA$315, 98, FALSE)="",":",VLOOKUP($E$29,[1]QUART!$A$2:$FA$315, 98, FALSE))</f>
        <v>:</v>
      </c>
      <c r="CV29" s="544" t="str">
        <f>IF(VLOOKUP($E$29,[1]QUART!$A$2:$FA$315, 99, FALSE)="",":",VLOOKUP($E$29,[1]QUART!$A$2:$FA$315, 99, FALSE))</f>
        <v>:</v>
      </c>
      <c r="CW29" s="544" t="str">
        <f>IF(VLOOKUP($E$29,[1]QUART!$A$2:$FA$315, 100, FALSE)="",":",VLOOKUP($E$29,[1]QUART!$A$2:$FA$315, 100, FALSE))</f>
        <v>:</v>
      </c>
      <c r="CX29" s="544" t="str">
        <f>IF(VLOOKUP($E$29,[1]QUART!$A$2:$FA$315, 101, FALSE)="",":",VLOOKUP($E$29,[1]QUART!$A$2:$FA$315, 101, FALSE))</f>
        <v>:</v>
      </c>
      <c r="CY29" s="544" t="str">
        <f>IF(VLOOKUP($E$29,[1]QUART!$A$2:$FA$315, 102, FALSE)="",":",VLOOKUP($E$29,[1]QUART!$A$2:$FA$315, 102, FALSE))</f>
        <v>:</v>
      </c>
      <c r="CZ29" s="544" t="str">
        <f>IF(VLOOKUP($E$29,[1]QUART!$A$2:$FA$315, 103, FALSE)="",":",VLOOKUP($E$29,[1]QUART!$A$2:$FA$315, 103, FALSE))</f>
        <v>:</v>
      </c>
      <c r="DA29" s="544" t="str">
        <f>IF(VLOOKUP($E$29,[1]QUART!$A$2:$FA$315, 104, FALSE)="",":",VLOOKUP($E$29,[1]QUART!$A$2:$FA$315, 104, FALSE))</f>
        <v>:</v>
      </c>
      <c r="DB29" s="544" t="str">
        <f>IF(VLOOKUP($E$29,[1]QUART!$A$2:$FA$315, 105, FALSE)="",":",VLOOKUP($E$29,[1]QUART!$A$2:$FA$315, 105, FALSE))</f>
        <v>:</v>
      </c>
      <c r="DC29" s="544" t="str">
        <f>IF(VLOOKUP($E$29,[1]QUART!$A$2:$FA$315, 106, FALSE)="",":",VLOOKUP($E$29,[1]QUART!$A$2:$FA$315, 106, FALSE))</f>
        <v>:</v>
      </c>
    </row>
    <row r="30" spans="1:107">
      <c r="A30" s="1954"/>
      <c r="B30" s="534"/>
      <c r="C30" s="535"/>
      <c r="D30" s="12" t="s">
        <v>1841</v>
      </c>
      <c r="E30" s="13">
        <v>85</v>
      </c>
      <c r="F30" s="14" t="str">
        <f>VLOOKUP($E$30,[1]QUART!$A$2:$FA$315, 3, FALSE)</f>
        <v xml:space="preserve">85  Exports of services                                                   </v>
      </c>
      <c r="G30" s="544">
        <f>IF(VLOOKUP($E$30,[1]QUART!$A$2:$FA$315, 6, FALSE)="",":",VLOOKUP($E$30,[1]QUART!$A$2:$FA$315, 6, FALSE))</f>
        <v>203.95041705282671</v>
      </c>
      <c r="H30" s="544">
        <f>IF(VLOOKUP($E$30,[1]QUART!$A$2:$FA$315, 7, FALSE)="",":",VLOOKUP($E$30,[1]QUART!$A$2:$FA$315, 7, FALSE))</f>
        <v>207.483781278962</v>
      </c>
      <c r="I30" s="544">
        <f>IF(VLOOKUP($E$30,[1]QUART!$A$2:$FA$315, 8, FALSE)="",":",VLOOKUP($E$30,[1]QUART!$A$2:$FA$315, 8, FALSE))</f>
        <v>201.69138090824839</v>
      </c>
      <c r="J30" s="544">
        <f>IF(VLOOKUP($E$30,[1]QUART!$A$2:$FA$315, 9, FALSE)="",":",VLOOKUP($E$30,[1]QUART!$A$2:$FA$315, 9, FALSE))</f>
        <v>199.51923076923077</v>
      </c>
      <c r="K30" s="544">
        <f>IF(VLOOKUP($E$30,[1]QUART!$A$2:$FA$315, 10, FALSE)="",":",VLOOKUP($E$30,[1]QUART!$A$2:$FA$315, 10, FALSE))</f>
        <v>249.71037998146434</v>
      </c>
      <c r="L30" s="544">
        <f>IF(VLOOKUP($E$30,[1]QUART!$A$2:$FA$315, 11, FALSE)="",":",VLOOKUP($E$30,[1]QUART!$A$2:$FA$315, 11, FALSE))</f>
        <v>256.13994439295647</v>
      </c>
      <c r="M30" s="544">
        <f>IF(VLOOKUP($E$30,[1]QUART!$A$2:$FA$315, 12, FALSE)="",":",VLOOKUP($E$30,[1]QUART!$A$2:$FA$315, 12, FALSE))</f>
        <v>267.31927710843377</v>
      </c>
      <c r="N30" s="544">
        <f>IF(VLOOKUP($E$30,[1]QUART!$A$2:$FA$315, 13, FALSE)="",":",VLOOKUP($E$30,[1]QUART!$A$2:$FA$315, 13, FALSE))</f>
        <v>280.87349397590361</v>
      </c>
      <c r="O30" s="544">
        <f>IF(VLOOKUP($E$30,[1]QUART!$A$2:$FA$315, 14, FALSE)="",":",VLOOKUP($E$30,[1]QUART!$A$2:$FA$315, 14, FALSE))</f>
        <v>294.86214087117702</v>
      </c>
      <c r="P30" s="544">
        <f>IF(VLOOKUP($E$30,[1]QUART!$A$2:$FA$315, 15, FALSE)="",":",VLOOKUP($E$30,[1]QUART!$A$2:$FA$315, 15, FALSE))</f>
        <v>299.26436515291937</v>
      </c>
      <c r="Q30" s="544">
        <f>IF(VLOOKUP($E$30,[1]QUART!$A$2:$FA$315, 16, FALSE)="",":",VLOOKUP($E$30,[1]QUART!$A$2:$FA$315, 16, FALSE))</f>
        <v>326.77826691380909</v>
      </c>
      <c r="R30" s="544">
        <f>IF(VLOOKUP($E$30,[1]QUART!$A$2:$FA$315, 17, FALSE)="",":",VLOOKUP($E$30,[1]QUART!$A$2:$FA$315, 17, FALSE))</f>
        <v>352.26482854494901</v>
      </c>
      <c r="S30" s="544">
        <f>IF(VLOOKUP($E$30,[1]QUART!$A$2:$FA$315, 18, FALSE)="",":",VLOOKUP($E$30,[1]QUART!$A$2:$FA$315, 18, FALSE))</f>
        <v>354.20528266913811</v>
      </c>
      <c r="T30" s="544">
        <f>IF(VLOOKUP($E$30,[1]QUART!$A$2:$FA$315, 19, FALSE)="",":",VLOOKUP($E$30,[1]QUART!$A$2:$FA$315, 19, FALSE))</f>
        <v>359.67910101946251</v>
      </c>
      <c r="U30" s="544">
        <f>IF(VLOOKUP($E$30,[1]QUART!$A$2:$FA$315, 20, FALSE)="",":",VLOOKUP($E$30,[1]QUART!$A$2:$FA$315, 20, FALSE))</f>
        <v>358.95505097312332</v>
      </c>
      <c r="V30" s="544">
        <f>IF(VLOOKUP($E$30,[1]QUART!$A$2:$FA$315, 21, FALSE)="",":",VLOOKUP($E$30,[1]QUART!$A$2:$FA$315, 21, FALSE))</f>
        <v>353.13368860055607</v>
      </c>
      <c r="W30" s="544">
        <f>IF(VLOOKUP($E$30,[1]QUART!$A$2:$FA$315, 22, FALSE)="",":",VLOOKUP($E$30,[1]QUART!$A$2:$FA$315, 22, FALSE))</f>
        <v>353.79981464318814</v>
      </c>
      <c r="X30" s="544">
        <f>IF(VLOOKUP($E$30,[1]QUART!$A$2:$FA$315, 23, FALSE)="",":",VLOOKUP($E$30,[1]QUART!$A$2:$FA$315, 23, FALSE))</f>
        <v>361.99606116774794</v>
      </c>
      <c r="Y30" s="544">
        <f>IF(VLOOKUP($E$30,[1]QUART!$A$2:$FA$315, 24, FALSE)="",":",VLOOKUP($E$30,[1]QUART!$A$2:$FA$315, 24, FALSE))</f>
        <v>361.21408711770158</v>
      </c>
      <c r="Z30" s="544">
        <f>IF(VLOOKUP($E$30,[1]QUART!$A$2:$FA$315, 25, FALSE)="",":",VLOOKUP($E$30,[1]QUART!$A$2:$FA$315, 25, FALSE))</f>
        <v>353.45227062094534</v>
      </c>
      <c r="AA30" s="544">
        <f>IF(VLOOKUP($E$30,[1]QUART!$A$2:$FA$315, 26, FALSE)="",":",VLOOKUP($E$30,[1]QUART!$A$2:$FA$315, 26, FALSE))</f>
        <v>340.10078776645042</v>
      </c>
      <c r="AB30" s="544">
        <f>IF(VLOOKUP($E$30,[1]QUART!$A$2:$FA$315, 27, FALSE)="",":",VLOOKUP($E$30,[1]QUART!$A$2:$FA$315, 27, FALSE))</f>
        <v>337.89967562557928</v>
      </c>
      <c r="AC30" s="544">
        <f>IF(VLOOKUP($E$30,[1]QUART!$A$2:$FA$315, 28, FALSE)="",":",VLOOKUP($E$30,[1]QUART!$A$2:$FA$315, 28, FALSE))</f>
        <v>334.19253938832259</v>
      </c>
      <c r="AD30" s="544">
        <f>IF(VLOOKUP($E$30,[1]QUART!$A$2:$FA$315, 29, FALSE)="",":",VLOOKUP($E$30,[1]QUART!$A$2:$FA$315, 29, FALSE))</f>
        <v>328.71872103799814</v>
      </c>
      <c r="AE30" s="544">
        <f>IF(VLOOKUP($E$30,[1]QUART!$A$2:$FA$315, 30, FALSE)="",":",VLOOKUP($E$30,[1]QUART!$A$2:$FA$315, 30, FALSE))</f>
        <v>345.19810009267843</v>
      </c>
      <c r="AF30" s="544">
        <f>IF(VLOOKUP($E$30,[1]QUART!$A$2:$FA$315, 31, FALSE)="",":",VLOOKUP($E$30,[1]QUART!$A$2:$FA$315, 31, FALSE))</f>
        <v>353.22057460611677</v>
      </c>
      <c r="AG30" s="544">
        <f>IF(VLOOKUP($E$30,[1]QUART!$A$2:$FA$315, 32, FALSE)="",":",VLOOKUP($E$30,[1]QUART!$A$2:$FA$315, 32, FALSE))</f>
        <v>370.71362372567194</v>
      </c>
      <c r="AH30" s="544">
        <f>IF(VLOOKUP($E$30,[1]QUART!$A$2:$FA$315, 33, FALSE)="",":",VLOOKUP($E$30,[1]QUART!$A$2:$FA$315, 33, FALSE))</f>
        <v>390.52363299351254</v>
      </c>
      <c r="AI30" s="544">
        <f>IF(VLOOKUP($E$30,[1]QUART!$A$2:$FA$315, 34, FALSE)="",":",VLOOKUP($E$30,[1]QUART!$A$2:$FA$315, 34, FALSE))</f>
        <v>409.03035217794252</v>
      </c>
      <c r="AJ30" s="544">
        <f>IF(VLOOKUP($E$30,[1]QUART!$A$2:$FA$315, 35, FALSE)="",":",VLOOKUP($E$30,[1]QUART!$A$2:$FA$315, 35, FALSE))</f>
        <v>423.48239110287307</v>
      </c>
      <c r="AK30" s="544">
        <f>IF(VLOOKUP($E$30,[1]QUART!$A$2:$FA$315, 36, FALSE)="",":",VLOOKUP($E$30,[1]QUART!$A$2:$FA$315, 36, FALSE))</f>
        <v>427.10264133456906</v>
      </c>
      <c r="AL30" s="544">
        <f>IF(VLOOKUP($E$30,[1]QUART!$A$2:$FA$315, 37, FALSE)="",":",VLOOKUP($E$30,[1]QUART!$A$2:$FA$315, 37, FALSE))</f>
        <v>440.54101019462462</v>
      </c>
      <c r="AM30" s="544">
        <f>IF(VLOOKUP($E$30,[1]QUART!$A$2:$FA$315, 38, FALSE)="",":",VLOOKUP($E$30,[1]QUART!$A$2:$FA$315, 38, FALSE))</f>
        <v>454.935125115848</v>
      </c>
      <c r="AN30" s="544">
        <f>IF(VLOOKUP($E$30,[1]QUART!$A$2:$FA$315, 39, FALSE)="",":",VLOOKUP($E$30,[1]QUART!$A$2:$FA$315, 39, FALSE))</f>
        <v>441.72845227062095</v>
      </c>
      <c r="AO30" s="544">
        <f>IF(VLOOKUP($E$30,[1]QUART!$A$2:$FA$315, 40, FALSE)="",":",VLOOKUP($E$30,[1]QUART!$A$2:$FA$315, 40, FALSE))</f>
        <v>445.31974050046341</v>
      </c>
      <c r="AP30" s="544">
        <f>IF(VLOOKUP($E$30,[1]QUART!$A$2:$FA$315, 41, FALSE)="",":",VLOOKUP($E$30,[1]QUART!$A$2:$FA$315, 41, FALSE))</f>
        <v>457.483781278962</v>
      </c>
      <c r="AQ30" s="544">
        <f>IF(VLOOKUP($E$30,[1]QUART!$A$2:$FA$315, 42, FALSE)="",":",VLOOKUP($E$30,[1]QUART!$A$2:$FA$315, 42, FALSE))</f>
        <v>474.42655236329932</v>
      </c>
      <c r="AR30" s="544">
        <f>IF(VLOOKUP($E$30,[1]QUART!$A$2:$FA$315, 43, FALSE)="",":",VLOOKUP($E$30,[1]QUART!$A$2:$FA$315, 43, FALSE))</f>
        <v>481.98563484708069</v>
      </c>
      <c r="AS30" s="544">
        <f>IF(VLOOKUP($E$30,[1]QUART!$A$2:$FA$315, 44, FALSE)="",":",VLOOKUP($E$30,[1]QUART!$A$2:$FA$315, 44, FALSE))</f>
        <v>519.86793327154771</v>
      </c>
      <c r="AT30" s="544">
        <f>IF(VLOOKUP($E$30,[1]QUART!$A$2:$FA$315, 45, FALSE)="",":",VLOOKUP($E$30,[1]QUART!$A$2:$FA$315, 45, FALSE))</f>
        <v>538.37465245597775</v>
      </c>
      <c r="AU30" s="544" t="str">
        <f>IF(VLOOKUP($E$30,[1]QUART!$A$2:$FA$315, 46, FALSE)="",":",VLOOKUP($E$30,[1]QUART!$A$2:$FA$315, 46, FALSE))</f>
        <v>n.a.</v>
      </c>
      <c r="AV30" s="544" t="str">
        <f>IF(VLOOKUP($E$30,[1]QUART!$A$2:$FA$315, 47, FALSE)="",":",VLOOKUP($E$30,[1]QUART!$A$2:$FA$315, 47, FALSE))</f>
        <v>n.a.</v>
      </c>
      <c r="AW30" s="544" t="str">
        <f>IF(VLOOKUP($E$30,[1]QUART!$A$2:$FA$315, 48, FALSE)="",":",VLOOKUP($E$30,[1]QUART!$A$2:$FA$315, 48, FALSE))</f>
        <v>n.a.</v>
      </c>
      <c r="AX30" s="544" t="str">
        <f>IF(VLOOKUP($E$30,[1]QUART!$A$2:$FA$315, 49, FALSE)="",":",VLOOKUP($E$30,[1]QUART!$A$2:$FA$315, 49, FALSE))</f>
        <v>n.a.</v>
      </c>
      <c r="AY30" s="544" t="str">
        <f>IF(VLOOKUP($E$30,[1]QUART!$A$2:$FA$315, 50, FALSE)="",":",VLOOKUP($E$30,[1]QUART!$A$2:$FA$315, 50, FALSE))</f>
        <v>n.a.</v>
      </c>
      <c r="AZ30" s="544" t="str">
        <f>IF(VLOOKUP($E$30,[1]QUART!$A$2:$FA$315, 51, FALSE)="",":",VLOOKUP($E$30,[1]QUART!$A$2:$FA$315, 51, FALSE))</f>
        <v>n.a.</v>
      </c>
      <c r="BA30" s="544" t="str">
        <f>IF(VLOOKUP($E$30,[1]QUART!$A$2:$FA$315, 52, FALSE)="",":",VLOOKUP($E$30,[1]QUART!$A$2:$FA$315, 52, FALSE))</f>
        <v>n.a.</v>
      </c>
      <c r="BB30" s="544" t="str">
        <f>IF(VLOOKUP($E$30,[1]QUART!$A$2:$FA$315, 53, FALSE)="",":",VLOOKUP($E$30,[1]QUART!$A$2:$FA$315, 53, FALSE))</f>
        <v>n.a.</v>
      </c>
      <c r="BC30" s="544" t="str">
        <f>IF(VLOOKUP($E$30,[1]QUART!$A$2:$FA$315, 54, FALSE)="",":",VLOOKUP($E$30,[1]QUART!$A$2:$FA$315, 54, FALSE))</f>
        <v>n.a.</v>
      </c>
      <c r="BD30" s="544" t="str">
        <f>IF(VLOOKUP($E$30,[1]QUART!$A$2:$FA$315, 55, FALSE)="",":",VLOOKUP($E$30,[1]QUART!$A$2:$FA$315, 55, FALSE))</f>
        <v>n.a.</v>
      </c>
      <c r="BE30" s="544" t="str">
        <f>IF(VLOOKUP($E$30,[1]QUART!$A$2:$FA$315, 56, FALSE)="",":",VLOOKUP($E$30,[1]QUART!$A$2:$FA$315, 56, FALSE))</f>
        <v>n.a.</v>
      </c>
      <c r="BF30" s="544" t="str">
        <f>IF(VLOOKUP($E$30,[1]QUART!$A$2:$FA$315, 57, FALSE)="",":",VLOOKUP($E$30,[1]QUART!$A$2:$FA$315, 57, FALSE))</f>
        <v>n.a.</v>
      </c>
      <c r="BG30" s="544" t="str">
        <f>IF(VLOOKUP($E$30,[1]QUART!$A$2:$FA$315, 58, FALSE)="",":",VLOOKUP($E$30,[1]QUART!$A$2:$FA$315, 58, FALSE))</f>
        <v>n.a.</v>
      </c>
      <c r="BH30" s="544" t="str">
        <f>IF(VLOOKUP($E$30,[1]QUART!$A$2:$FA$315, 59, FALSE)="",":",VLOOKUP($E$30,[1]QUART!$A$2:$FA$315, 59, FALSE))</f>
        <v>n.a.</v>
      </c>
      <c r="BI30" s="544" t="str">
        <f>IF(VLOOKUP($E$30,[1]QUART!$A$2:$FA$315, 60, FALSE)="",":",VLOOKUP($E$30,[1]QUART!$A$2:$FA$315, 60, FALSE))</f>
        <v>n.a.</v>
      </c>
      <c r="BJ30" s="544" t="str">
        <f>IF(VLOOKUP($E$30,[1]QUART!$A$2:$FA$315, 61, FALSE)="",":",VLOOKUP($E$30,[1]QUART!$A$2:$FA$315, 61, FALSE))</f>
        <v>n.a.</v>
      </c>
      <c r="BK30" s="544" t="str">
        <f>IF(VLOOKUP($E$30,[1]QUART!$A$2:$FA$315, 62, FALSE)="",":",VLOOKUP($E$30,[1]QUART!$A$2:$FA$315, 62, FALSE))</f>
        <v>n.a.</v>
      </c>
      <c r="BL30" s="3142" t="str">
        <f>IF(VLOOKUP($E$30,[1]QUART!$A$2:$FA$315, 61, FALSE)="",":",VLOOKUP($E$30,[1]QUART!$A$2:$FA$315, 61, FALSE))</f>
        <v>n.a.</v>
      </c>
      <c r="BM30" s="3142" t="str">
        <f>IF(VLOOKUP($E$30,[1]QUART!$A$2:$FA$315, 61, FALSE)="",":",VLOOKUP($E$30,[1]QUART!$A$2:$FA$315, 61, FALSE))</f>
        <v>n.a.</v>
      </c>
      <c r="BN30" s="3142" t="str">
        <f>IF(VLOOKUP($E$30,[1]QUART!$A$2:$FA$315, 61, FALSE)="",":",VLOOKUP($E$30,[1]QUART!$A$2:$FA$315, 61, FALSE))</f>
        <v>n.a.</v>
      </c>
      <c r="BO30" s="3142" t="str">
        <f>IF(VLOOKUP($E$30,[1]QUART!$A$2:$FA$315, 61, FALSE)="",":",VLOOKUP($E$30,[1]QUART!$A$2:$FA$315, 61, FALSE))</f>
        <v>n.a.</v>
      </c>
      <c r="BP30" s="3142" t="str">
        <f>IF(VLOOKUP($E$30,[1]QUART!$A$2:$FA$315, 61, FALSE)="",":",VLOOKUP($E$30,[1]QUART!$A$2:$FA$315, 61, FALSE))</f>
        <v>n.a.</v>
      </c>
      <c r="BQ30" s="544" t="str">
        <f>IF(VLOOKUP($E$30,[1]QUART!$A$2:$FA$315, 68, FALSE)="",":",VLOOKUP($E$30,[1]QUART!$A$2:$FA$315, 68, FALSE))</f>
        <v>n.a.</v>
      </c>
      <c r="BR30" s="544" t="str">
        <f>IF(VLOOKUP($E$30,[1]QUART!$A$2:$FA$315, 69, FALSE)="",":",VLOOKUP($E$30,[1]QUART!$A$2:$FA$315, 69, FALSE))</f>
        <v>n.a.</v>
      </c>
      <c r="BS30" s="544" t="str">
        <f>IF(VLOOKUP($E$30,[1]QUART!$A$2:$FA$315, 70, FALSE)="",":",VLOOKUP($E$30,[1]QUART!$A$2:$FA$315, 70, FALSE))</f>
        <v>n.a.</v>
      </c>
      <c r="BT30" s="544" t="str">
        <f>IF(VLOOKUP($E$30,[1]QUART!$A$2:$FA$315, 71, FALSE)="",":",VLOOKUP($E$30,[1]QUART!$A$2:$FA$315, 71, FALSE))</f>
        <v>n.a.</v>
      </c>
      <c r="BU30" s="544" t="str">
        <f>IF(VLOOKUP($E$30,[1]QUART!$A$2:$FA$315, 72, FALSE)="",":",VLOOKUP($E$30,[1]QUART!$A$2:$FA$315, 72, FALSE))</f>
        <v>n.a.</v>
      </c>
      <c r="BV30" s="544" t="str">
        <f>IF(VLOOKUP($E$30,[1]QUART!$A$2:$FA$315, 73, FALSE)="",":",VLOOKUP($E$30,[1]QUART!$A$2:$FA$315, 73, FALSE))</f>
        <v>n.a.</v>
      </c>
      <c r="BW30" s="544" t="str">
        <f>IF(VLOOKUP($E$30,[1]QUART!$A$2:$FA$315, 74, FALSE)="",":",VLOOKUP($E$30,[1]QUART!$A$2:$FA$315, 74, FALSE))</f>
        <v>n.a.</v>
      </c>
      <c r="BX30" s="544" t="str">
        <f>IF(VLOOKUP($E$30,[1]QUART!$A$2:$FA$315, 75, FALSE)="",":",VLOOKUP($E$30,[1]QUART!$A$2:$FA$315, 75, FALSE))</f>
        <v>n.a.</v>
      </c>
      <c r="BY30" s="544" t="str">
        <f>IF(VLOOKUP($E$30,[1]QUART!$A$2:$FA$315, 76, FALSE)="",":",VLOOKUP($E$30,[1]QUART!$A$2:$FA$315, 76, FALSE))</f>
        <v>n.a.</v>
      </c>
      <c r="BZ30" s="544" t="str">
        <f>IF(VLOOKUP($E$30,[1]QUART!$A$2:$FA$315, 77, FALSE)="",":",VLOOKUP($E$30,[1]QUART!$A$2:$FA$315, 77, FALSE))</f>
        <v>n.a.</v>
      </c>
      <c r="CA30" s="544" t="str">
        <f>IF(VLOOKUP($E$30,[1]QUART!$A$2:$FA$315, 78, FALSE)="",":",VLOOKUP($E$30,[1]QUART!$A$2:$FA$315, 78, FALSE))</f>
        <v>n.a.</v>
      </c>
      <c r="CB30" s="544" t="str">
        <f>IF(VLOOKUP($E$30,[1]QUART!$A$2:$FA$315, 79, FALSE)="",":",VLOOKUP($E$30,[1]QUART!$A$2:$FA$315, 79, FALSE))</f>
        <v>n.a.</v>
      </c>
      <c r="CC30" s="544" t="str">
        <f>IF(VLOOKUP($E$30,[1]QUART!$A$2:$FA$315, 80, FALSE)="",":",VLOOKUP($E$30,[1]QUART!$A$2:$FA$315, 80, FALSE))</f>
        <v>n.a.</v>
      </c>
      <c r="CD30" s="544" t="str">
        <f>IF(VLOOKUP($E$30,[1]QUART!$A$2:$FA$315, 81, FALSE)="",":",VLOOKUP($E$30,[1]QUART!$A$2:$FA$315, 81, FALSE))</f>
        <v>n.a.</v>
      </c>
      <c r="CE30" s="544" t="str">
        <f>IF(VLOOKUP($E$30,[1]QUART!$A$2:$FA$315, 82, FALSE)="",":",VLOOKUP($E$30,[1]QUART!$A$2:$FA$315, 82, FALSE))</f>
        <v>n.a.</v>
      </c>
      <c r="CF30" s="544" t="str">
        <f>IF(VLOOKUP($E$30,[1]QUART!$A$2:$FA$315, 83, FALSE)="",":",VLOOKUP($E$30,[1]QUART!$A$2:$FA$315, 83, FALSE))</f>
        <v>n.a.</v>
      </c>
      <c r="CG30" s="544" t="str">
        <f>IF(VLOOKUP($E$30,[1]QUART!$A$2:$FA$315, 84, FALSE)="",":",VLOOKUP($E$30,[1]QUART!$A$2:$FA$315, 84, FALSE))</f>
        <v>n.a.</v>
      </c>
      <c r="CH30" s="544" t="str">
        <f>IF(VLOOKUP($E$30,[1]QUART!$A$2:$FA$315, 85, FALSE)="",":",VLOOKUP($E$30,[1]QUART!$A$2:$FA$315, 85, FALSE))</f>
        <v>n.a.</v>
      </c>
      <c r="CI30" s="544" t="str">
        <f>IF(VLOOKUP($E$30,[1]QUART!$A$2:$FA$315, 86, FALSE)="",":",VLOOKUP($E$30,[1]QUART!$A$2:$FA$315, 86, FALSE))</f>
        <v>n.a.</v>
      </c>
      <c r="CJ30" s="544" t="str">
        <f>IF(VLOOKUP($E$30,[1]QUART!$A$2:$FA$315, 87, FALSE)="",":",VLOOKUP($E$30,[1]QUART!$A$2:$FA$315, 87, FALSE))</f>
        <v>n.a.</v>
      </c>
      <c r="CK30" s="544" t="str">
        <f>IF(VLOOKUP($E$30,[1]QUART!$A$2:$FA$315, 88, FALSE)="",":",VLOOKUP($E$30,[1]QUART!$A$2:$FA$315, 88, FALSE))</f>
        <v>n.a.</v>
      </c>
      <c r="CL30" s="544" t="str">
        <f>IF(VLOOKUP($E$30,[1]QUART!$A$2:$FA$315, 89, FALSE)="",":",VLOOKUP($E$30,[1]QUART!$A$2:$FA$315, 89, FALSE))</f>
        <v>n.a.</v>
      </c>
      <c r="CM30" s="544" t="str">
        <f>IF(VLOOKUP($E$30,[1]QUART!$A$2:$FA$315, 90, FALSE)="",":",VLOOKUP($E$30,[1]QUART!$A$2:$FA$315, 90, FALSE))</f>
        <v>n.a.</v>
      </c>
      <c r="CN30" s="544" t="str">
        <f>IF(VLOOKUP($E$30,[1]QUART!$A$2:$FA$315, 91, FALSE)="",":",VLOOKUP($E$30,[1]QUART!$A$2:$FA$315, 91, FALSE))</f>
        <v>n.a.</v>
      </c>
      <c r="CO30" s="544" t="str">
        <f>IF(VLOOKUP($E$30,[1]QUART!$A$2:$FA$315, 92, FALSE)="",":",VLOOKUP($E$30,[1]QUART!$A$2:$FA$315, 92, FALSE))</f>
        <v>n.a.</v>
      </c>
      <c r="CP30" s="544" t="str">
        <f>IF(VLOOKUP($E$30,[1]QUART!$A$2:$FA$315, 93, FALSE)="",":",VLOOKUP($E$30,[1]QUART!$A$2:$FA$315, 93, FALSE))</f>
        <v>n.a.</v>
      </c>
      <c r="CQ30" s="544" t="str">
        <f>IF(VLOOKUP($E$30,[1]QUART!$A$2:$FA$315, 94, FALSE)="",":",VLOOKUP($E$30,[1]QUART!$A$2:$FA$315, 94, FALSE))</f>
        <v>n.a.</v>
      </c>
      <c r="CR30" s="544" t="str">
        <f>IF(VLOOKUP($E$30,[1]QUART!$A$2:$FA$315, 95, FALSE)="",":",VLOOKUP($E$30,[1]QUART!$A$2:$FA$315, 95, FALSE))</f>
        <v>n.a.</v>
      </c>
      <c r="CS30" s="544" t="str">
        <f>IF(VLOOKUP($E$30,[1]QUART!$A$2:$FA$315, 96, FALSE)="",":",VLOOKUP($E$30,[1]QUART!$A$2:$FA$315, 96, FALSE))</f>
        <v>n.a.</v>
      </c>
      <c r="CT30" s="544" t="str">
        <f>IF(VLOOKUP($E$30,[1]QUART!$A$2:$FA$315, 97, FALSE)="",":",VLOOKUP($E$30,[1]QUART!$A$2:$FA$315, 97, FALSE))</f>
        <v>n.a.</v>
      </c>
      <c r="CU30" s="544" t="str">
        <f>IF(VLOOKUP($E$30,[1]QUART!$A$2:$FA$315, 98, FALSE)="",":",VLOOKUP($E$30,[1]QUART!$A$2:$FA$315, 98, FALSE))</f>
        <v>:</v>
      </c>
      <c r="CV30" s="544" t="str">
        <f>IF(VLOOKUP($E$30,[1]QUART!$A$2:$FA$315, 99, FALSE)="",":",VLOOKUP($E$30,[1]QUART!$A$2:$FA$315, 99, FALSE))</f>
        <v>:</v>
      </c>
      <c r="CW30" s="544" t="str">
        <f>IF(VLOOKUP($E$30,[1]QUART!$A$2:$FA$315, 100, FALSE)="",":",VLOOKUP($E$30,[1]QUART!$A$2:$FA$315, 100, FALSE))</f>
        <v>:</v>
      </c>
      <c r="CX30" s="544" t="str">
        <f>IF(VLOOKUP($E$30,[1]QUART!$A$2:$FA$315, 101, FALSE)="",":",VLOOKUP($E$30,[1]QUART!$A$2:$FA$315, 101, FALSE))</f>
        <v>:</v>
      </c>
      <c r="CY30" s="544" t="str">
        <f>IF(VLOOKUP($E$30,[1]QUART!$A$2:$FA$315, 102, FALSE)="",":",VLOOKUP($E$30,[1]QUART!$A$2:$FA$315, 102, FALSE))</f>
        <v>:</v>
      </c>
      <c r="CZ30" s="544" t="str">
        <f>IF(VLOOKUP($E$30,[1]QUART!$A$2:$FA$315, 103, FALSE)="",":",VLOOKUP($E$30,[1]QUART!$A$2:$FA$315, 103, FALSE))</f>
        <v>:</v>
      </c>
      <c r="DA30" s="544" t="str">
        <f>IF(VLOOKUP($E$30,[1]QUART!$A$2:$FA$315, 104, FALSE)="",":",VLOOKUP($E$30,[1]QUART!$A$2:$FA$315, 104, FALSE))</f>
        <v>:</v>
      </c>
      <c r="DB30" s="544" t="str">
        <f>IF(VLOOKUP($E$30,[1]QUART!$A$2:$FA$315, 105, FALSE)="",":",VLOOKUP($E$30,[1]QUART!$A$2:$FA$315, 105, FALSE))</f>
        <v>:</v>
      </c>
      <c r="DC30" s="544" t="str">
        <f>IF(VLOOKUP($E$30,[1]QUART!$A$2:$FA$315, 106, FALSE)="",":",VLOOKUP($E$30,[1]QUART!$A$2:$FA$315, 106, FALSE))</f>
        <v>:</v>
      </c>
    </row>
    <row r="31" spans="1:107">
      <c r="A31" s="1954"/>
      <c r="B31" s="534"/>
      <c r="C31" s="535"/>
      <c r="D31" s="12" t="s">
        <v>1841</v>
      </c>
      <c r="E31" s="13">
        <v>86</v>
      </c>
      <c r="F31" s="14" t="str">
        <f>VLOOKUP($E$31,[1]QUART!$A$2:$FA$315, 3, FALSE)</f>
        <v xml:space="preserve">86  Imports of goods          </v>
      </c>
      <c r="G31" s="544">
        <f>IF(VLOOKUP($E$31,[1]QUART!$A$2:$FA$315, 6, FALSE)="",":",VLOOKUP($E$31,[1]QUART!$A$2:$FA$315, 6, FALSE))</f>
        <v>928.02942539388334</v>
      </c>
      <c r="H31" s="544">
        <f>IF(VLOOKUP($E$31,[1]QUART!$A$2:$FA$315, 7, FALSE)="",":",VLOOKUP($E$31,[1]QUART!$A$2:$FA$315, 7, FALSE))</f>
        <v>908.42215013901762</v>
      </c>
      <c r="I31" s="544">
        <f>IF(VLOOKUP($E$31,[1]QUART!$A$2:$FA$315, 8, FALSE)="",":",VLOOKUP($E$31,[1]QUART!$A$2:$FA$315, 8, FALSE))</f>
        <v>956.78869323447634</v>
      </c>
      <c r="J31" s="544">
        <f>IF(VLOOKUP($E$31,[1]QUART!$A$2:$FA$315, 9, FALSE)="",":",VLOOKUP($E$31,[1]QUART!$A$2:$FA$315, 9, FALSE))</f>
        <v>1001.4481000926785</v>
      </c>
      <c r="K31" s="544">
        <f>IF(VLOOKUP($E$31,[1]QUART!$A$2:$FA$315, 10, FALSE)="",":",VLOOKUP($E$31,[1]QUART!$A$2:$FA$315, 10, FALSE))</f>
        <v>1055.4622335495831</v>
      </c>
      <c r="L31" s="544">
        <f>IF(VLOOKUP($E$31,[1]QUART!$A$2:$FA$315, 11, FALSE)="",":",VLOOKUP($E$31,[1]QUART!$A$2:$FA$315, 11, FALSE))</f>
        <v>1106.1746987951808</v>
      </c>
      <c r="M31" s="544">
        <f>IF(VLOOKUP($E$31,[1]QUART!$A$2:$FA$315, 12, FALSE)="",":",VLOOKUP($E$31,[1]QUART!$A$2:$FA$315, 12, FALSE))</f>
        <v>1186.0229379054681</v>
      </c>
      <c r="N31" s="544">
        <f>IF(VLOOKUP($E$31,[1]QUART!$A$2:$FA$315, 13, FALSE)="",":",VLOOKUP($E$31,[1]QUART!$A$2:$FA$315, 13, FALSE))</f>
        <v>1282.0898980537536</v>
      </c>
      <c r="O31" s="544">
        <f>IF(VLOOKUP($E$31,[1]QUART!$A$2:$FA$315, 14, FALSE)="",":",VLOOKUP($E$31,[1]QUART!$A$2:$FA$315, 14, FALSE))</f>
        <v>1352.2069045412418</v>
      </c>
      <c r="P31" s="544">
        <f>IF(VLOOKUP($E$31,[1]QUART!$A$2:$FA$315, 15, FALSE)="",":",VLOOKUP($E$31,[1]QUART!$A$2:$FA$315, 15, FALSE))</f>
        <v>1435.0092678405933</v>
      </c>
      <c r="Q31" s="544">
        <f>IF(VLOOKUP($E$31,[1]QUART!$A$2:$FA$315, 16, FALSE)="",":",VLOOKUP($E$31,[1]QUART!$A$2:$FA$315, 16, FALSE))</f>
        <v>1432.0261816496757</v>
      </c>
      <c r="R31" s="544">
        <f>IF(VLOOKUP($E$31,[1]QUART!$A$2:$FA$315, 17, FALSE)="",":",VLOOKUP($E$31,[1]QUART!$A$2:$FA$315, 17, FALSE))</f>
        <v>1527.8324837812791</v>
      </c>
      <c r="S31" s="544">
        <f>IF(VLOOKUP($E$31,[1]QUART!$A$2:$FA$315, 18, FALSE)="",":",VLOOKUP($E$31,[1]QUART!$A$2:$FA$315, 18, FALSE))</f>
        <v>1596.1828081556998</v>
      </c>
      <c r="T31" s="544">
        <f>IF(VLOOKUP($E$31,[1]QUART!$A$2:$FA$315, 19, FALSE)="",":",VLOOKUP($E$31,[1]QUART!$A$2:$FA$315, 19, FALSE))</f>
        <v>1587.7548656163115</v>
      </c>
      <c r="U31" s="544">
        <f>IF(VLOOKUP($E$31,[1]QUART!$A$2:$FA$315, 20, FALSE)="",":",VLOOKUP($E$31,[1]QUART!$A$2:$FA$315, 20, FALSE))</f>
        <v>1559.2852177942539</v>
      </c>
      <c r="V31" s="544">
        <f>IF(VLOOKUP($E$31,[1]QUART!$A$2:$FA$315, 21, FALSE)="",":",VLOOKUP($E$31,[1]QUART!$A$2:$FA$315, 21, FALSE))</f>
        <v>1427.9425393883225</v>
      </c>
      <c r="W31" s="544">
        <f>IF(VLOOKUP($E$31,[1]QUART!$A$2:$FA$315, 22, FALSE)="",":",VLOOKUP($E$31,[1]QUART!$A$2:$FA$315, 22, FALSE))</f>
        <v>1317.5683503243745</v>
      </c>
      <c r="X31" s="544">
        <f>IF(VLOOKUP($E$31,[1]QUART!$A$2:$FA$315, 23, FALSE)="",":",VLOOKUP($E$31,[1]QUART!$A$2:$FA$315, 23, FALSE))</f>
        <v>1348.5576923076924</v>
      </c>
      <c r="Y31" s="544">
        <f>IF(VLOOKUP($E$31,[1]QUART!$A$2:$FA$315, 24, FALSE)="",":",VLOOKUP($E$31,[1]QUART!$A$2:$FA$315, 24, FALSE))</f>
        <v>1312.6158480074143</v>
      </c>
      <c r="Z31" s="544">
        <f>IF(VLOOKUP($E$31,[1]QUART!$A$2:$FA$315, 25, FALSE)="",":",VLOOKUP($E$31,[1]QUART!$A$2:$FA$315, 25, FALSE))</f>
        <v>1322.6656626506024</v>
      </c>
      <c r="AA31" s="544">
        <f>IF(VLOOKUP($E$31,[1]QUART!$A$2:$FA$315, 26, FALSE)="",":",VLOOKUP($E$31,[1]QUART!$A$2:$FA$315, 26, FALSE))</f>
        <v>1370.4529657089897</v>
      </c>
      <c r="AB31" s="544">
        <f>IF(VLOOKUP($E$31,[1]QUART!$A$2:$FA$315, 27, FALSE)="",":",VLOOKUP($E$31,[1]QUART!$A$2:$FA$315, 27, FALSE))</f>
        <v>1398.6619555143652</v>
      </c>
      <c r="AC31" s="544">
        <f>IF(VLOOKUP($E$31,[1]QUART!$A$2:$FA$315, 28, FALSE)="",":",VLOOKUP($E$31,[1]QUART!$A$2:$FA$315, 28, FALSE))</f>
        <v>1504.0257182576461</v>
      </c>
      <c r="AD31" s="544">
        <f>IF(VLOOKUP($E$31,[1]QUART!$A$2:$FA$315, 29, FALSE)="",":",VLOOKUP($E$31,[1]QUART!$A$2:$FA$315, 29, FALSE))</f>
        <v>1530.2942539388323</v>
      </c>
      <c r="AE31" s="544">
        <f>IF(VLOOKUP($E$31,[1]QUART!$A$2:$FA$315, 30, FALSE)="",":",VLOOKUP($E$31,[1]QUART!$A$2:$FA$315, 30, FALSE))</f>
        <v>1655.2652919369789</v>
      </c>
      <c r="AF31" s="544">
        <f>IF(VLOOKUP($E$31,[1]QUART!$A$2:$FA$315, 31, FALSE)="",":",VLOOKUP($E$31,[1]QUART!$A$2:$FA$315, 31, FALSE))</f>
        <v>1668.0664967562559</v>
      </c>
      <c r="AG31" s="544">
        <f>IF(VLOOKUP($E$31,[1]QUART!$A$2:$FA$315, 32, FALSE)="",":",VLOOKUP($E$31,[1]QUART!$A$2:$FA$315, 32, FALSE))</f>
        <v>1743.4545875810936</v>
      </c>
      <c r="AH31" s="544">
        <f>IF(VLOOKUP($E$31,[1]QUART!$A$2:$FA$315, 33, FALSE)="",":",VLOOKUP($E$31,[1]QUART!$A$2:$FA$315, 33, FALSE))</f>
        <v>1878.0699721964784</v>
      </c>
      <c r="AI31" s="544">
        <f>IF(VLOOKUP($E$31,[1]QUART!$A$2:$FA$315, 34, FALSE)="",":",VLOOKUP($E$31,[1]QUART!$A$2:$FA$315, 34, FALSE))</f>
        <v>1935.3278498609825</v>
      </c>
      <c r="AJ31" s="544">
        <f>IF(VLOOKUP($E$31,[1]QUART!$A$2:$FA$315, 35, FALSE)="",":",VLOOKUP($E$31,[1]QUART!$A$2:$FA$315, 35, FALSE))</f>
        <v>2088.247219647822</v>
      </c>
      <c r="AK31" s="544">
        <f>IF(VLOOKUP($E$31,[1]QUART!$A$2:$FA$315, 36, FALSE)="",":",VLOOKUP($E$31,[1]QUART!$A$2:$FA$315, 36, FALSE))</f>
        <v>2058.3873957367932</v>
      </c>
      <c r="AL31" s="544">
        <f>IF(VLOOKUP($E$31,[1]QUART!$A$2:$FA$315, 37, FALSE)="",":",VLOOKUP($E$31,[1]QUART!$A$2:$FA$315, 37, FALSE))</f>
        <v>2155.1784059314177</v>
      </c>
      <c r="AM31" s="544">
        <f>IF(VLOOKUP($E$31,[1]QUART!$A$2:$FA$315, 38, FALSE)="",":",VLOOKUP($E$31,[1]QUART!$A$2:$FA$315, 38, FALSE))</f>
        <v>2169.9200648748842</v>
      </c>
      <c r="AN31" s="544">
        <f>IF(VLOOKUP($E$31,[1]QUART!$A$2:$FA$315, 39, FALSE)="",":",VLOOKUP($E$31,[1]QUART!$A$2:$FA$315, 39, FALSE))</f>
        <v>2143.970111214087</v>
      </c>
      <c r="AO31" s="544">
        <f>IF(VLOOKUP($E$31,[1]QUART!$A$2:$FA$315, 40, FALSE)="",":",VLOOKUP($E$31,[1]QUART!$A$2:$FA$315, 40, FALSE))</f>
        <v>2226.5118164967562</v>
      </c>
      <c r="AP31" s="544">
        <f>IF(VLOOKUP($E$31,[1]QUART!$A$2:$FA$315, 41, FALSE)="",":",VLOOKUP($E$31,[1]QUART!$A$2:$FA$315, 41, FALSE))</f>
        <v>2336.1619555143652</v>
      </c>
      <c r="AQ31" s="544">
        <f>IF(VLOOKUP($E$31,[1]QUART!$A$2:$FA$315, 42, FALSE)="",":",VLOOKUP($E$31,[1]QUART!$A$2:$FA$315, 42, FALSE))</f>
        <v>2367.4119555143652</v>
      </c>
      <c r="AR31" s="544">
        <f>IF(VLOOKUP($E$31,[1]QUART!$A$2:$FA$315, 43, FALSE)="",":",VLOOKUP($E$31,[1]QUART!$A$2:$FA$315, 43, FALSE))</f>
        <v>2513.1777108433735</v>
      </c>
      <c r="AS31" s="544">
        <f>IF(VLOOKUP($E$31,[1]QUART!$A$2:$FA$315, 44, FALSE)="",":",VLOOKUP($E$31,[1]QUART!$A$2:$FA$315, 44, FALSE))</f>
        <v>2621.9589898053755</v>
      </c>
      <c r="AT31" s="544">
        <f>IF(VLOOKUP($E$31,[1]QUART!$A$2:$FA$315, 45, FALSE)="",":",VLOOKUP($E$31,[1]QUART!$A$2:$FA$315, 45, FALSE))</f>
        <v>2667.2845227062098</v>
      </c>
      <c r="AU31" s="544" t="str">
        <f>IF(VLOOKUP($E$31,[1]QUART!$A$2:$FA$315, 46, FALSE)="",":",VLOOKUP($E$31,[1]QUART!$A$2:$FA$315, 46, FALSE))</f>
        <v>n.a.</v>
      </c>
      <c r="AV31" s="544" t="str">
        <f>IF(VLOOKUP($E$31,[1]QUART!$A$2:$FA$315, 47, FALSE)="",":",VLOOKUP($E$31,[1]QUART!$A$2:$FA$315, 47, FALSE))</f>
        <v>n.a.</v>
      </c>
      <c r="AW31" s="544" t="str">
        <f>IF(VLOOKUP($E$31,[1]QUART!$A$2:$FA$315, 48, FALSE)="",":",VLOOKUP($E$31,[1]QUART!$A$2:$FA$315, 48, FALSE))</f>
        <v>n.a.</v>
      </c>
      <c r="AX31" s="544" t="str">
        <f>IF(VLOOKUP($E$31,[1]QUART!$A$2:$FA$315, 49, FALSE)="",":",VLOOKUP($E$31,[1]QUART!$A$2:$FA$315, 49, FALSE))</f>
        <v>n.a.</v>
      </c>
      <c r="AY31" s="544" t="str">
        <f>IF(VLOOKUP($E$31,[1]QUART!$A$2:$FA$315, 50, FALSE)="",":",VLOOKUP($E$31,[1]QUART!$A$2:$FA$315, 50, FALSE))</f>
        <v>n.a.</v>
      </c>
      <c r="AZ31" s="544" t="str">
        <f>IF(VLOOKUP($E$31,[1]QUART!$A$2:$FA$315, 51, FALSE)="",":",VLOOKUP($E$31,[1]QUART!$A$2:$FA$315, 51, FALSE))</f>
        <v>n.a.</v>
      </c>
      <c r="BA31" s="544" t="str">
        <f>IF(VLOOKUP($E$31,[1]QUART!$A$2:$FA$315, 52, FALSE)="",":",VLOOKUP($E$31,[1]QUART!$A$2:$FA$315, 52, FALSE))</f>
        <v>n.a.</v>
      </c>
      <c r="BB31" s="544" t="str">
        <f>IF(VLOOKUP($E$31,[1]QUART!$A$2:$FA$315, 53, FALSE)="",":",VLOOKUP($E$31,[1]QUART!$A$2:$FA$315, 53, FALSE))</f>
        <v>n.a.</v>
      </c>
      <c r="BC31" s="544" t="str">
        <f>IF(VLOOKUP($E$31,[1]QUART!$A$2:$FA$315, 54, FALSE)="",":",VLOOKUP($E$31,[1]QUART!$A$2:$FA$315, 54, FALSE))</f>
        <v>n.a.</v>
      </c>
      <c r="BD31" s="544" t="str">
        <f>IF(VLOOKUP($E$31,[1]QUART!$A$2:$FA$315, 55, FALSE)="",":",VLOOKUP($E$31,[1]QUART!$A$2:$FA$315, 55, FALSE))</f>
        <v>n.a.</v>
      </c>
      <c r="BE31" s="544" t="str">
        <f>IF(VLOOKUP($E$31,[1]QUART!$A$2:$FA$315, 56, FALSE)="",":",VLOOKUP($E$31,[1]QUART!$A$2:$FA$315, 56, FALSE))</f>
        <v>n.a.</v>
      </c>
      <c r="BF31" s="544" t="str">
        <f>IF(VLOOKUP($E$31,[1]QUART!$A$2:$FA$315, 57, FALSE)="",":",VLOOKUP($E$31,[1]QUART!$A$2:$FA$315, 57, FALSE))</f>
        <v>n.a.</v>
      </c>
      <c r="BG31" s="544" t="str">
        <f>IF(VLOOKUP($E$31,[1]QUART!$A$2:$FA$315, 58, FALSE)="",":",VLOOKUP($E$31,[1]QUART!$A$2:$FA$315, 58, FALSE))</f>
        <v>n.a.</v>
      </c>
      <c r="BH31" s="544" t="str">
        <f>IF(VLOOKUP($E$31,[1]QUART!$A$2:$FA$315, 59, FALSE)="",":",VLOOKUP($E$31,[1]QUART!$A$2:$FA$315, 59, FALSE))</f>
        <v>n.a.</v>
      </c>
      <c r="BI31" s="544" t="str">
        <f>IF(VLOOKUP($E$31,[1]QUART!$A$2:$FA$315, 60, FALSE)="",":",VLOOKUP($E$31,[1]QUART!$A$2:$FA$315, 60, FALSE))</f>
        <v>n.a.</v>
      </c>
      <c r="BJ31" s="544" t="str">
        <f>IF(VLOOKUP($E$31,[1]QUART!$A$2:$FA$315, 61, FALSE)="",":",VLOOKUP($E$31,[1]QUART!$A$2:$FA$315, 61, FALSE))</f>
        <v>n.a.</v>
      </c>
      <c r="BK31" s="544" t="str">
        <f>IF(VLOOKUP($E$31,[1]QUART!$A$2:$FA$315, 62, FALSE)="",":",VLOOKUP($E$31,[1]QUART!$A$2:$FA$315, 62, FALSE))</f>
        <v>n.a.</v>
      </c>
      <c r="BL31" s="3142" t="str">
        <f>IF(VLOOKUP($E$31,[1]QUART!$A$2:$FA$315, 61, FALSE)="",":",VLOOKUP($E$31,[1]QUART!$A$2:$FA$315, 61, FALSE))</f>
        <v>n.a.</v>
      </c>
      <c r="BM31" s="3142" t="str">
        <f>IF(VLOOKUP($E$31,[1]QUART!$A$2:$FA$315, 61, FALSE)="",":",VLOOKUP($E$31,[1]QUART!$A$2:$FA$315, 61, FALSE))</f>
        <v>n.a.</v>
      </c>
      <c r="BN31" s="3142" t="str">
        <f>IF(VLOOKUP($E$31,[1]QUART!$A$2:$FA$315, 61, FALSE)="",":",VLOOKUP($E$31,[1]QUART!$A$2:$FA$315, 61, FALSE))</f>
        <v>n.a.</v>
      </c>
      <c r="BO31" s="3142" t="str">
        <f>IF(VLOOKUP($E$31,[1]QUART!$A$2:$FA$315, 61, FALSE)="",":",VLOOKUP($E$31,[1]QUART!$A$2:$FA$315, 61, FALSE))</f>
        <v>n.a.</v>
      </c>
      <c r="BP31" s="3142" t="str">
        <f>IF(VLOOKUP($E$31,[1]QUART!$A$2:$FA$315, 61, FALSE)="",":",VLOOKUP($E$31,[1]QUART!$A$2:$FA$315, 61, FALSE))</f>
        <v>n.a.</v>
      </c>
      <c r="BQ31" s="544" t="str">
        <f>IF(VLOOKUP($E$31,[1]QUART!$A$2:$FA$315, 68, FALSE)="",":",VLOOKUP($E$31,[1]QUART!$A$2:$FA$315, 68, FALSE))</f>
        <v>n.a.</v>
      </c>
      <c r="BR31" s="544" t="str">
        <f>IF(VLOOKUP($E$31,[1]QUART!$A$2:$FA$315, 69, FALSE)="",":",VLOOKUP($E$31,[1]QUART!$A$2:$FA$315, 69, FALSE))</f>
        <v>n.a.</v>
      </c>
      <c r="BS31" s="544" t="str">
        <f>IF(VLOOKUP($E$31,[1]QUART!$A$2:$FA$315, 70, FALSE)="",":",VLOOKUP($E$31,[1]QUART!$A$2:$FA$315, 70, FALSE))</f>
        <v>n.a.</v>
      </c>
      <c r="BT31" s="544" t="str">
        <f>IF(VLOOKUP($E$31,[1]QUART!$A$2:$FA$315, 71, FALSE)="",":",VLOOKUP($E$31,[1]QUART!$A$2:$FA$315, 71, FALSE))</f>
        <v>n.a.</v>
      </c>
      <c r="BU31" s="544" t="str">
        <f>IF(VLOOKUP($E$31,[1]QUART!$A$2:$FA$315, 72, FALSE)="",":",VLOOKUP($E$31,[1]QUART!$A$2:$FA$315, 72, FALSE))</f>
        <v>n.a.</v>
      </c>
      <c r="BV31" s="544" t="str">
        <f>IF(VLOOKUP($E$31,[1]QUART!$A$2:$FA$315, 73, FALSE)="",":",VLOOKUP($E$31,[1]QUART!$A$2:$FA$315, 73, FALSE))</f>
        <v>n.a.</v>
      </c>
      <c r="BW31" s="544" t="str">
        <f>IF(VLOOKUP($E$31,[1]QUART!$A$2:$FA$315, 74, FALSE)="",":",VLOOKUP($E$31,[1]QUART!$A$2:$FA$315, 74, FALSE))</f>
        <v>n.a.</v>
      </c>
      <c r="BX31" s="544" t="str">
        <f>IF(VLOOKUP($E$31,[1]QUART!$A$2:$FA$315, 75, FALSE)="",":",VLOOKUP($E$31,[1]QUART!$A$2:$FA$315, 75, FALSE))</f>
        <v>n.a.</v>
      </c>
      <c r="BY31" s="544" t="str">
        <f>IF(VLOOKUP($E$31,[1]QUART!$A$2:$FA$315, 76, FALSE)="",":",VLOOKUP($E$31,[1]QUART!$A$2:$FA$315, 76, FALSE))</f>
        <v>n.a.</v>
      </c>
      <c r="BZ31" s="544" t="str">
        <f>IF(VLOOKUP($E$31,[1]QUART!$A$2:$FA$315, 77, FALSE)="",":",VLOOKUP($E$31,[1]QUART!$A$2:$FA$315, 77, FALSE))</f>
        <v>n.a.</v>
      </c>
      <c r="CA31" s="544" t="str">
        <f>IF(VLOOKUP($E$31,[1]QUART!$A$2:$FA$315, 78, FALSE)="",":",VLOOKUP($E$31,[1]QUART!$A$2:$FA$315, 78, FALSE))</f>
        <v>n.a.</v>
      </c>
      <c r="CB31" s="544" t="str">
        <f>IF(VLOOKUP($E$31,[1]QUART!$A$2:$FA$315, 79, FALSE)="",":",VLOOKUP($E$31,[1]QUART!$A$2:$FA$315, 79, FALSE))</f>
        <v>n.a.</v>
      </c>
      <c r="CC31" s="544" t="str">
        <f>IF(VLOOKUP($E$31,[1]QUART!$A$2:$FA$315, 80, FALSE)="",":",VLOOKUP($E$31,[1]QUART!$A$2:$FA$315, 80, FALSE))</f>
        <v>n.a.</v>
      </c>
      <c r="CD31" s="544" t="str">
        <f>IF(VLOOKUP($E$31,[1]QUART!$A$2:$FA$315, 81, FALSE)="",":",VLOOKUP($E$31,[1]QUART!$A$2:$FA$315, 81, FALSE))</f>
        <v>n.a.</v>
      </c>
      <c r="CE31" s="544" t="str">
        <f>IF(VLOOKUP($E$31,[1]QUART!$A$2:$FA$315, 82, FALSE)="",":",VLOOKUP($E$31,[1]QUART!$A$2:$FA$315, 82, FALSE))</f>
        <v>n.a.</v>
      </c>
      <c r="CF31" s="544" t="str">
        <f>IF(VLOOKUP($E$31,[1]QUART!$A$2:$FA$315, 83, FALSE)="",":",VLOOKUP($E$31,[1]QUART!$A$2:$FA$315, 83, FALSE))</f>
        <v>n.a.</v>
      </c>
      <c r="CG31" s="544" t="str">
        <f>IF(VLOOKUP($E$31,[1]QUART!$A$2:$FA$315, 84, FALSE)="",":",VLOOKUP($E$31,[1]QUART!$A$2:$FA$315, 84, FALSE))</f>
        <v>n.a.</v>
      </c>
      <c r="CH31" s="544" t="str">
        <f>IF(VLOOKUP($E$31,[1]QUART!$A$2:$FA$315, 85, FALSE)="",":",VLOOKUP($E$31,[1]QUART!$A$2:$FA$315, 85, FALSE))</f>
        <v>n.a.</v>
      </c>
      <c r="CI31" s="544" t="str">
        <f>IF(VLOOKUP($E$31,[1]QUART!$A$2:$FA$315, 86, FALSE)="",":",VLOOKUP($E$31,[1]QUART!$A$2:$FA$315, 86, FALSE))</f>
        <v>n.a.</v>
      </c>
      <c r="CJ31" s="544" t="str">
        <f>IF(VLOOKUP($E$31,[1]QUART!$A$2:$FA$315, 87, FALSE)="",":",VLOOKUP($E$31,[1]QUART!$A$2:$FA$315, 87, FALSE))</f>
        <v>n.a.</v>
      </c>
      <c r="CK31" s="544" t="str">
        <f>IF(VLOOKUP($E$31,[1]QUART!$A$2:$FA$315, 88, FALSE)="",":",VLOOKUP($E$31,[1]QUART!$A$2:$FA$315, 88, FALSE))</f>
        <v>n.a.</v>
      </c>
      <c r="CL31" s="544" t="str">
        <f>IF(VLOOKUP($E$31,[1]QUART!$A$2:$FA$315, 89, FALSE)="",":",VLOOKUP($E$31,[1]QUART!$A$2:$FA$315, 89, FALSE))</f>
        <v>n.a.</v>
      </c>
      <c r="CM31" s="544" t="str">
        <f>IF(VLOOKUP($E$31,[1]QUART!$A$2:$FA$315, 90, FALSE)="",":",VLOOKUP($E$31,[1]QUART!$A$2:$FA$315, 90, FALSE))</f>
        <v>n.a.</v>
      </c>
      <c r="CN31" s="544" t="str">
        <f>IF(VLOOKUP($E$31,[1]QUART!$A$2:$FA$315, 91, FALSE)="",":",VLOOKUP($E$31,[1]QUART!$A$2:$FA$315, 91, FALSE))</f>
        <v>n.a.</v>
      </c>
      <c r="CO31" s="544" t="str">
        <f>IF(VLOOKUP($E$31,[1]QUART!$A$2:$FA$315, 92, FALSE)="",":",VLOOKUP($E$31,[1]QUART!$A$2:$FA$315, 92, FALSE))</f>
        <v>n.a.</v>
      </c>
      <c r="CP31" s="544" t="str">
        <f>IF(VLOOKUP($E$31,[1]QUART!$A$2:$FA$315, 93, FALSE)="",":",VLOOKUP($E$31,[1]QUART!$A$2:$FA$315, 93, FALSE))</f>
        <v>n.a.</v>
      </c>
      <c r="CQ31" s="544" t="str">
        <f>IF(VLOOKUP($E$31,[1]QUART!$A$2:$FA$315, 94, FALSE)="",":",VLOOKUP($E$31,[1]QUART!$A$2:$FA$315, 94, FALSE))</f>
        <v>n.a.</v>
      </c>
      <c r="CR31" s="544" t="str">
        <f>IF(VLOOKUP($E$31,[1]QUART!$A$2:$FA$315, 95, FALSE)="",":",VLOOKUP($E$31,[1]QUART!$A$2:$FA$315, 95, FALSE))</f>
        <v>n.a.</v>
      </c>
      <c r="CS31" s="544" t="str">
        <f>IF(VLOOKUP($E$31,[1]QUART!$A$2:$FA$315, 96, FALSE)="",":",VLOOKUP($E$31,[1]QUART!$A$2:$FA$315, 96, FALSE))</f>
        <v>n.a.</v>
      </c>
      <c r="CT31" s="544" t="str">
        <f>IF(VLOOKUP($E$31,[1]QUART!$A$2:$FA$315, 97, FALSE)="",":",VLOOKUP($E$31,[1]QUART!$A$2:$FA$315, 97, FALSE))</f>
        <v>n.a.</v>
      </c>
      <c r="CU31" s="544" t="str">
        <f>IF(VLOOKUP($E$31,[1]QUART!$A$2:$FA$315, 98, FALSE)="",":",VLOOKUP($E$31,[1]QUART!$A$2:$FA$315, 98, FALSE))</f>
        <v>:</v>
      </c>
      <c r="CV31" s="544" t="str">
        <f>IF(VLOOKUP($E$31,[1]QUART!$A$2:$FA$315, 99, FALSE)="",":",VLOOKUP($E$31,[1]QUART!$A$2:$FA$315, 99, FALSE))</f>
        <v>:</v>
      </c>
      <c r="CW31" s="544" t="str">
        <f>IF(VLOOKUP($E$31,[1]QUART!$A$2:$FA$315, 100, FALSE)="",":",VLOOKUP($E$31,[1]QUART!$A$2:$FA$315, 100, FALSE))</f>
        <v>:</v>
      </c>
      <c r="CX31" s="544" t="str">
        <f>IF(VLOOKUP($E$31,[1]QUART!$A$2:$FA$315, 101, FALSE)="",":",VLOOKUP($E$31,[1]QUART!$A$2:$FA$315, 101, FALSE))</f>
        <v>:</v>
      </c>
      <c r="CY31" s="544" t="str">
        <f>IF(VLOOKUP($E$31,[1]QUART!$A$2:$FA$315, 102, FALSE)="",":",VLOOKUP($E$31,[1]QUART!$A$2:$FA$315, 102, FALSE))</f>
        <v>:</v>
      </c>
      <c r="CZ31" s="544" t="str">
        <f>IF(VLOOKUP($E$31,[1]QUART!$A$2:$FA$315, 103, FALSE)="",":",VLOOKUP($E$31,[1]QUART!$A$2:$FA$315, 103, FALSE))</f>
        <v>:</v>
      </c>
      <c r="DA31" s="544" t="str">
        <f>IF(VLOOKUP($E$31,[1]QUART!$A$2:$FA$315, 104, FALSE)="",":",VLOOKUP($E$31,[1]QUART!$A$2:$FA$315, 104, FALSE))</f>
        <v>:</v>
      </c>
      <c r="DB31" s="544" t="str">
        <f>IF(VLOOKUP($E$31,[1]QUART!$A$2:$FA$315, 105, FALSE)="",":",VLOOKUP($E$31,[1]QUART!$A$2:$FA$315, 105, FALSE))</f>
        <v>:</v>
      </c>
      <c r="DC31" s="544" t="str">
        <f>IF(VLOOKUP($E$31,[1]QUART!$A$2:$FA$315, 106, FALSE)="",":",VLOOKUP($E$31,[1]QUART!$A$2:$FA$315, 106, FALSE))</f>
        <v>:</v>
      </c>
    </row>
    <row r="32" spans="1:107">
      <c r="A32" s="1954"/>
      <c r="B32" s="534"/>
      <c r="C32" s="535"/>
      <c r="D32" s="12" t="s">
        <v>1841</v>
      </c>
      <c r="E32" s="13">
        <v>87</v>
      </c>
      <c r="F32" s="14" t="str">
        <f>VLOOKUP($E$32,[1]QUART!$A$2:$FA$315, 3, FALSE)</f>
        <v xml:space="preserve">87  Imports of services                                                   </v>
      </c>
      <c r="G32" s="544">
        <f>IF(VLOOKUP($E$32,[1]QUART!$A$2:$FA$315, 6, FALSE)="",":",VLOOKUP($E$32,[1]QUART!$A$2:$FA$315, 6, FALSE))</f>
        <v>147.532437442076</v>
      </c>
      <c r="H32" s="544">
        <f>IF(VLOOKUP($E$32,[1]QUART!$A$2:$FA$315, 7, FALSE)="",":",VLOOKUP($E$32,[1]QUART!$A$2:$FA$315, 7, FALSE))</f>
        <v>152.62974976830398</v>
      </c>
      <c r="I32" s="544">
        <f>IF(VLOOKUP($E$32,[1]QUART!$A$2:$FA$315, 8, FALSE)="",":",VLOOKUP($E$32,[1]QUART!$A$2:$FA$315, 8, FALSE))</f>
        <v>163.28776645041705</v>
      </c>
      <c r="J32" s="544">
        <f>IF(VLOOKUP($E$32,[1]QUART!$A$2:$FA$315, 9, FALSE)="",":",VLOOKUP($E$32,[1]QUART!$A$2:$FA$315, 9, FALSE))</f>
        <v>173.25069508804449</v>
      </c>
      <c r="K32" s="544">
        <f>IF(VLOOKUP($E$32,[1]QUART!$A$2:$FA$315, 10, FALSE)="",":",VLOOKUP($E$32,[1]QUART!$A$2:$FA$315, 10, FALSE))</f>
        <v>195.72520852641335</v>
      </c>
      <c r="L32" s="544">
        <f>IF(VLOOKUP($E$32,[1]QUART!$A$2:$FA$315, 11, FALSE)="",":",VLOOKUP($E$32,[1]QUART!$A$2:$FA$315, 11, FALSE))</f>
        <v>200.09847080630215</v>
      </c>
      <c r="M32" s="544">
        <f>IF(VLOOKUP($E$32,[1]QUART!$A$2:$FA$315, 12, FALSE)="",":",VLOOKUP($E$32,[1]QUART!$A$2:$FA$315, 12, FALSE))</f>
        <v>210.78544949026877</v>
      </c>
      <c r="N32" s="544">
        <f>IF(VLOOKUP($E$32,[1]QUART!$A$2:$FA$315, 13, FALSE)="",":",VLOOKUP($E$32,[1]QUART!$A$2:$FA$315, 13, FALSE))</f>
        <v>223.64457831325302</v>
      </c>
      <c r="O32" s="544">
        <f>IF(VLOOKUP($E$32,[1]QUART!$A$2:$FA$315, 14, FALSE)="",":",VLOOKUP($E$32,[1]QUART!$A$2:$FA$315, 14, FALSE))</f>
        <v>237.37256719184433</v>
      </c>
      <c r="P32" s="544">
        <f>IF(VLOOKUP($E$32,[1]QUART!$A$2:$FA$315, 15, FALSE)="",":",VLOOKUP($E$32,[1]QUART!$A$2:$FA$315, 15, FALSE))</f>
        <v>249.6524559777572</v>
      </c>
      <c r="Q32" s="544">
        <f>IF(VLOOKUP($E$32,[1]QUART!$A$2:$FA$315, 16, FALSE)="",":",VLOOKUP($E$32,[1]QUART!$A$2:$FA$315, 16, FALSE))</f>
        <v>251.96941612604263</v>
      </c>
      <c r="R32" s="544">
        <f>IF(VLOOKUP($E$32,[1]QUART!$A$2:$FA$315, 17, FALSE)="",":",VLOOKUP($E$32,[1]QUART!$A$2:$FA$315, 17, FALSE))</f>
        <v>305.02780352177945</v>
      </c>
      <c r="S32" s="544">
        <f>IF(VLOOKUP($E$32,[1]QUART!$A$2:$FA$315, 18, FALSE)="",":",VLOOKUP($E$32,[1]QUART!$A$2:$FA$315, 18, FALSE))</f>
        <v>263.61214087117702</v>
      </c>
      <c r="T32" s="544">
        <f>IF(VLOOKUP($E$32,[1]QUART!$A$2:$FA$315, 19, FALSE)="",":",VLOOKUP($E$32,[1]QUART!$A$2:$FA$315, 19, FALSE))</f>
        <v>246.52455977757185</v>
      </c>
      <c r="U32" s="544">
        <f>IF(VLOOKUP($E$32,[1]QUART!$A$2:$FA$315, 20, FALSE)="",":",VLOOKUP($E$32,[1]QUART!$A$2:$FA$315, 20, FALSE))</f>
        <v>295.84684893419836</v>
      </c>
      <c r="V32" s="544">
        <f>IF(VLOOKUP($E$32,[1]QUART!$A$2:$FA$315, 21, FALSE)="",":",VLOOKUP($E$32,[1]QUART!$A$2:$FA$315, 21, FALSE))</f>
        <v>252.37488415199257</v>
      </c>
      <c r="W32" s="544">
        <f>IF(VLOOKUP($E$32,[1]QUART!$A$2:$FA$315, 22, FALSE)="",":",VLOOKUP($E$32,[1]QUART!$A$2:$FA$315, 22, FALSE))</f>
        <v>251.47706209453196</v>
      </c>
      <c r="X32" s="544">
        <f>IF(VLOOKUP($E$32,[1]QUART!$A$2:$FA$315, 23, FALSE)="",":",VLOOKUP($E$32,[1]QUART!$A$2:$FA$315, 23, FALSE))</f>
        <v>259.03614457831327</v>
      </c>
      <c r="Y32" s="544">
        <f>IF(VLOOKUP($E$32,[1]QUART!$A$2:$FA$315, 24, FALSE)="",":",VLOOKUP($E$32,[1]QUART!$A$2:$FA$315, 24, FALSE))</f>
        <v>260.28151065801671</v>
      </c>
      <c r="Z32" s="544">
        <f>IF(VLOOKUP($E$32,[1]QUART!$A$2:$FA$315, 25, FALSE)="",":",VLOOKUP($E$32,[1]QUART!$A$2:$FA$315, 25, FALSE))</f>
        <v>247.24860982391104</v>
      </c>
      <c r="AA32" s="544">
        <f>IF(VLOOKUP($E$32,[1]QUART!$A$2:$FA$315, 26, FALSE)="",":",VLOOKUP($E$32,[1]QUART!$A$2:$FA$315, 26, FALSE))</f>
        <v>229.95829471733086</v>
      </c>
      <c r="AB32" s="544">
        <f>IF(VLOOKUP($E$32,[1]QUART!$A$2:$FA$315, 27, FALSE)="",":",VLOOKUP($E$32,[1]QUART!$A$2:$FA$315, 27, FALSE))</f>
        <v>210.35101946246525</v>
      </c>
      <c r="AC32" s="544">
        <f>IF(VLOOKUP($E$32,[1]QUART!$A$2:$FA$315, 28, FALSE)="",":",VLOOKUP($E$32,[1]QUART!$A$2:$FA$315, 28, FALSE))</f>
        <v>217.76529193697868</v>
      </c>
      <c r="AD32" s="544">
        <f>IF(VLOOKUP($E$32,[1]QUART!$A$2:$FA$315, 29, FALSE)="",":",VLOOKUP($E$32,[1]QUART!$A$2:$FA$315, 29, FALSE))</f>
        <v>192.51042632066731</v>
      </c>
      <c r="AE32" s="544">
        <f>IF(VLOOKUP($E$32,[1]QUART!$A$2:$FA$315, 30, FALSE)="",":",VLOOKUP($E$32,[1]QUART!$A$2:$FA$315, 30, FALSE))</f>
        <v>190.19346617238185</v>
      </c>
      <c r="AF32" s="544">
        <f>IF(VLOOKUP($E$32,[1]QUART!$A$2:$FA$315, 31, FALSE)="",":",VLOOKUP($E$32,[1]QUART!$A$2:$FA$315, 31, FALSE))</f>
        <v>214.40569972196477</v>
      </c>
      <c r="AG32" s="544">
        <f>IF(VLOOKUP($E$32,[1]QUART!$A$2:$FA$315, 32, FALSE)="",":",VLOOKUP($E$32,[1]QUART!$A$2:$FA$315, 32, FALSE))</f>
        <v>209.82970342910102</v>
      </c>
      <c r="AH32" s="544">
        <f>IF(VLOOKUP($E$32,[1]QUART!$A$2:$FA$315, 33, FALSE)="",":",VLOOKUP($E$32,[1]QUART!$A$2:$FA$315, 33, FALSE))</f>
        <v>235.72173308619091</v>
      </c>
      <c r="AI32" s="544">
        <f>IF(VLOOKUP($E$32,[1]QUART!$A$2:$FA$315, 34, FALSE)="",":",VLOOKUP($E$32,[1]QUART!$A$2:$FA$315, 34, FALSE))</f>
        <v>238.733781278962</v>
      </c>
      <c r="AJ32" s="544">
        <f>IF(VLOOKUP($E$32,[1]QUART!$A$2:$FA$315, 35, FALSE)="",":",VLOOKUP($E$32,[1]QUART!$A$2:$FA$315, 35, FALSE))</f>
        <v>251.0136700648749</v>
      </c>
      <c r="AK32" s="544">
        <f>IF(VLOOKUP($E$32,[1]QUART!$A$2:$FA$315, 36, FALSE)="",":",VLOOKUP($E$32,[1]QUART!$A$2:$FA$315, 36, FALSE))</f>
        <v>252.05630213160333</v>
      </c>
      <c r="AL32" s="544">
        <f>IF(VLOOKUP($E$32,[1]QUART!$A$2:$FA$315, 37, FALSE)="",":",VLOOKUP($E$32,[1]QUART!$A$2:$FA$315, 37, FALSE))</f>
        <v>261.43999073215946</v>
      </c>
      <c r="AM32" s="544">
        <f>IF(VLOOKUP($E$32,[1]QUART!$A$2:$FA$315, 38, FALSE)="",":",VLOOKUP($E$32,[1]QUART!$A$2:$FA$315, 38, FALSE))</f>
        <v>273.63299351251158</v>
      </c>
      <c r="AN32" s="544">
        <f>IF(VLOOKUP($E$32,[1]QUART!$A$2:$FA$315, 39, FALSE)="",":",VLOOKUP($E$32,[1]QUART!$A$2:$FA$315, 39, FALSE))</f>
        <v>262.80120481927713</v>
      </c>
      <c r="AO32" s="544">
        <f>IF(VLOOKUP($E$32,[1]QUART!$A$2:$FA$315, 40, FALSE)="",":",VLOOKUP($E$32,[1]QUART!$A$2:$FA$315, 40, FALSE))</f>
        <v>286.72381835032439</v>
      </c>
      <c r="AP32" s="544">
        <f>IF(VLOOKUP($E$32,[1]QUART!$A$2:$FA$315, 41, FALSE)="",":",VLOOKUP($E$32,[1]QUART!$A$2:$FA$315, 41, FALSE))</f>
        <v>314.90384615384613</v>
      </c>
      <c r="AQ32" s="544">
        <f>IF(VLOOKUP($E$32,[1]QUART!$A$2:$FA$315, 42, FALSE)="",":",VLOOKUP($E$32,[1]QUART!$A$2:$FA$315, 42, FALSE))</f>
        <v>308.73493975903614</v>
      </c>
      <c r="AR32" s="544">
        <f>IF(VLOOKUP($E$32,[1]QUART!$A$2:$FA$315, 43, FALSE)="",":",VLOOKUP($E$32,[1]QUART!$A$2:$FA$315, 43, FALSE))</f>
        <v>334.82970342910102</v>
      </c>
      <c r="AS32" s="544">
        <f>IF(VLOOKUP($E$32,[1]QUART!$A$2:$FA$315, 44, FALSE)="",":",VLOOKUP($E$32,[1]QUART!$A$2:$FA$315, 44, FALSE))</f>
        <v>338.39202965708995</v>
      </c>
      <c r="AT32" s="544">
        <f>IF(VLOOKUP($E$32,[1]QUART!$A$2:$FA$315, 45, FALSE)="",":",VLOOKUP($E$32,[1]QUART!$A$2:$FA$315, 45, FALSE))</f>
        <v>359.65013901760892</v>
      </c>
      <c r="AU32" s="544" t="str">
        <f>IF(VLOOKUP($E$32,[1]QUART!$A$2:$FA$315, 46, FALSE)="",":",VLOOKUP($E$32,[1]QUART!$A$2:$FA$315, 46, FALSE))</f>
        <v>n.a.</v>
      </c>
      <c r="AV32" s="544" t="str">
        <f>IF(VLOOKUP($E$32,[1]QUART!$A$2:$FA$315, 47, FALSE)="",":",VLOOKUP($E$32,[1]QUART!$A$2:$FA$315, 47, FALSE))</f>
        <v>n.a.</v>
      </c>
      <c r="AW32" s="544" t="str">
        <f>IF(VLOOKUP($E$32,[1]QUART!$A$2:$FA$315, 48, FALSE)="",":",VLOOKUP($E$32,[1]QUART!$A$2:$FA$315, 48, FALSE))</f>
        <v>n.a.</v>
      </c>
      <c r="AX32" s="544" t="str">
        <f>IF(VLOOKUP($E$32,[1]QUART!$A$2:$FA$315, 49, FALSE)="",":",VLOOKUP($E$32,[1]QUART!$A$2:$FA$315, 49, FALSE))</f>
        <v>n.a.</v>
      </c>
      <c r="AY32" s="544" t="str">
        <f>IF(VLOOKUP($E$32,[1]QUART!$A$2:$FA$315, 50, FALSE)="",":",VLOOKUP($E$32,[1]QUART!$A$2:$FA$315, 50, FALSE))</f>
        <v>n.a.</v>
      </c>
      <c r="AZ32" s="544" t="str">
        <f>IF(VLOOKUP($E$32,[1]QUART!$A$2:$FA$315, 51, FALSE)="",":",VLOOKUP($E$32,[1]QUART!$A$2:$FA$315, 51, FALSE))</f>
        <v>n.a.</v>
      </c>
      <c r="BA32" s="544" t="str">
        <f>IF(VLOOKUP($E$32,[1]QUART!$A$2:$FA$315, 52, FALSE)="",":",VLOOKUP($E$32,[1]QUART!$A$2:$FA$315, 52, FALSE))</f>
        <v>n.a.</v>
      </c>
      <c r="BB32" s="544" t="str">
        <f>IF(VLOOKUP($E$32,[1]QUART!$A$2:$FA$315, 53, FALSE)="",":",VLOOKUP($E$32,[1]QUART!$A$2:$FA$315, 53, FALSE))</f>
        <v>n.a.</v>
      </c>
      <c r="BC32" s="544" t="str">
        <f>IF(VLOOKUP($E$32,[1]QUART!$A$2:$FA$315, 54, FALSE)="",":",VLOOKUP($E$32,[1]QUART!$A$2:$FA$315, 54, FALSE))</f>
        <v>n.a.</v>
      </c>
      <c r="BD32" s="544" t="str">
        <f>IF(VLOOKUP($E$32,[1]QUART!$A$2:$FA$315, 55, FALSE)="",":",VLOOKUP($E$32,[1]QUART!$A$2:$FA$315, 55, FALSE))</f>
        <v>n.a.</v>
      </c>
      <c r="BE32" s="544" t="str">
        <f>IF(VLOOKUP($E$32,[1]QUART!$A$2:$FA$315, 56, FALSE)="",":",VLOOKUP($E$32,[1]QUART!$A$2:$FA$315, 56, FALSE))</f>
        <v>n.a.</v>
      </c>
      <c r="BF32" s="544" t="str">
        <f>IF(VLOOKUP($E$32,[1]QUART!$A$2:$FA$315, 57, FALSE)="",":",VLOOKUP($E$32,[1]QUART!$A$2:$FA$315, 57, FALSE))</f>
        <v>n.a.</v>
      </c>
      <c r="BG32" s="544" t="str">
        <f>IF(VLOOKUP($E$32,[1]QUART!$A$2:$FA$315, 58, FALSE)="",":",VLOOKUP($E$32,[1]QUART!$A$2:$FA$315, 58, FALSE))</f>
        <v>n.a.</v>
      </c>
      <c r="BH32" s="544" t="str">
        <f>IF(VLOOKUP($E$32,[1]QUART!$A$2:$FA$315, 59, FALSE)="",":",VLOOKUP($E$32,[1]QUART!$A$2:$FA$315, 59, FALSE))</f>
        <v>n.a.</v>
      </c>
      <c r="BI32" s="544" t="str">
        <f>IF(VLOOKUP($E$32,[1]QUART!$A$2:$FA$315, 60, FALSE)="",":",VLOOKUP($E$32,[1]QUART!$A$2:$FA$315, 60, FALSE))</f>
        <v>n.a.</v>
      </c>
      <c r="BJ32" s="544" t="str">
        <f>IF(VLOOKUP($E$32,[1]QUART!$A$2:$FA$315, 61, FALSE)="",":",VLOOKUP($E$32,[1]QUART!$A$2:$FA$315, 61, FALSE))</f>
        <v>n.a.</v>
      </c>
      <c r="BK32" s="544" t="str">
        <f>IF(VLOOKUP($E$32,[1]QUART!$A$2:$FA$315, 62, FALSE)="",":",VLOOKUP($E$32,[1]QUART!$A$2:$FA$315, 62, FALSE))</f>
        <v>n.a.</v>
      </c>
      <c r="BL32" s="3142" t="str">
        <f>IF(VLOOKUP($E$32,[1]QUART!$A$2:$FA$315, 61, FALSE)="",":",VLOOKUP($E$32,[1]QUART!$A$2:$FA$315, 61, FALSE))</f>
        <v>n.a.</v>
      </c>
      <c r="BM32" s="3142" t="str">
        <f>IF(VLOOKUP($E$32,[1]QUART!$A$2:$FA$315, 61, FALSE)="",":",VLOOKUP($E$32,[1]QUART!$A$2:$FA$315, 61, FALSE))</f>
        <v>n.a.</v>
      </c>
      <c r="BN32" s="3142" t="str">
        <f>IF(VLOOKUP($E$32,[1]QUART!$A$2:$FA$315, 61, FALSE)="",":",VLOOKUP($E$32,[1]QUART!$A$2:$FA$315, 61, FALSE))</f>
        <v>n.a.</v>
      </c>
      <c r="BO32" s="3142" t="str">
        <f>IF(VLOOKUP($E$32,[1]QUART!$A$2:$FA$315, 61, FALSE)="",":",VLOOKUP($E$32,[1]QUART!$A$2:$FA$315, 61, FALSE))</f>
        <v>n.a.</v>
      </c>
      <c r="BP32" s="3142" t="str">
        <f>IF(VLOOKUP($E$32,[1]QUART!$A$2:$FA$315, 61, FALSE)="",":",VLOOKUP($E$32,[1]QUART!$A$2:$FA$315, 61, FALSE))</f>
        <v>n.a.</v>
      </c>
      <c r="BQ32" s="544" t="str">
        <f>IF(VLOOKUP($E$32,[1]QUART!$A$2:$FA$315, 68, FALSE)="",":",VLOOKUP($E$32,[1]QUART!$A$2:$FA$315, 68, FALSE))</f>
        <v>n.a.</v>
      </c>
      <c r="BR32" s="544" t="str">
        <f>IF(VLOOKUP($E$32,[1]QUART!$A$2:$FA$315, 69, FALSE)="",":",VLOOKUP($E$32,[1]QUART!$A$2:$FA$315, 69, FALSE))</f>
        <v>n.a.</v>
      </c>
      <c r="BS32" s="544" t="str">
        <f>IF(VLOOKUP($E$32,[1]QUART!$A$2:$FA$315, 70, FALSE)="",":",VLOOKUP($E$32,[1]QUART!$A$2:$FA$315, 70, FALSE))</f>
        <v>n.a.</v>
      </c>
      <c r="BT32" s="544" t="str">
        <f>IF(VLOOKUP($E$32,[1]QUART!$A$2:$FA$315, 71, FALSE)="",":",VLOOKUP($E$32,[1]QUART!$A$2:$FA$315, 71, FALSE))</f>
        <v>n.a.</v>
      </c>
      <c r="BU32" s="544" t="str">
        <f>IF(VLOOKUP($E$32,[1]QUART!$A$2:$FA$315, 72, FALSE)="",":",VLOOKUP($E$32,[1]QUART!$A$2:$FA$315, 72, FALSE))</f>
        <v>n.a.</v>
      </c>
      <c r="BV32" s="544" t="str">
        <f>IF(VLOOKUP($E$32,[1]QUART!$A$2:$FA$315, 73, FALSE)="",":",VLOOKUP($E$32,[1]QUART!$A$2:$FA$315, 73, FALSE))</f>
        <v>n.a.</v>
      </c>
      <c r="BW32" s="544" t="str">
        <f>IF(VLOOKUP($E$32,[1]QUART!$A$2:$FA$315, 74, FALSE)="",":",VLOOKUP($E$32,[1]QUART!$A$2:$FA$315, 74, FALSE))</f>
        <v>n.a.</v>
      </c>
      <c r="BX32" s="544" t="str">
        <f>IF(VLOOKUP($E$32,[1]QUART!$A$2:$FA$315, 75, FALSE)="",":",VLOOKUP($E$32,[1]QUART!$A$2:$FA$315, 75, FALSE))</f>
        <v>n.a.</v>
      </c>
      <c r="BY32" s="544" t="str">
        <f>IF(VLOOKUP($E$32,[1]QUART!$A$2:$FA$315, 76, FALSE)="",":",VLOOKUP($E$32,[1]QUART!$A$2:$FA$315, 76, FALSE))</f>
        <v>n.a.</v>
      </c>
      <c r="BZ32" s="544" t="str">
        <f>IF(VLOOKUP($E$32,[1]QUART!$A$2:$FA$315, 77, FALSE)="",":",VLOOKUP($E$32,[1]QUART!$A$2:$FA$315, 77, FALSE))</f>
        <v>n.a.</v>
      </c>
      <c r="CA32" s="544" t="str">
        <f>IF(VLOOKUP($E$32,[1]QUART!$A$2:$FA$315, 78, FALSE)="",":",VLOOKUP($E$32,[1]QUART!$A$2:$FA$315, 78, FALSE))</f>
        <v>n.a.</v>
      </c>
      <c r="CB32" s="544" t="str">
        <f>IF(VLOOKUP($E$32,[1]QUART!$A$2:$FA$315, 79, FALSE)="",":",VLOOKUP($E$32,[1]QUART!$A$2:$FA$315, 79, FALSE))</f>
        <v>n.a.</v>
      </c>
      <c r="CC32" s="544" t="str">
        <f>IF(VLOOKUP($E$32,[1]QUART!$A$2:$FA$315, 80, FALSE)="",":",VLOOKUP($E$32,[1]QUART!$A$2:$FA$315, 80, FALSE))</f>
        <v>n.a.</v>
      </c>
      <c r="CD32" s="544" t="str">
        <f>IF(VLOOKUP($E$32,[1]QUART!$A$2:$FA$315, 81, FALSE)="",":",VLOOKUP($E$32,[1]QUART!$A$2:$FA$315, 81, FALSE))</f>
        <v>n.a.</v>
      </c>
      <c r="CE32" s="544" t="str">
        <f>IF(VLOOKUP($E$32,[1]QUART!$A$2:$FA$315, 82, FALSE)="",":",VLOOKUP($E$32,[1]QUART!$A$2:$FA$315, 82, FALSE))</f>
        <v>n.a.</v>
      </c>
      <c r="CF32" s="544" t="str">
        <f>IF(VLOOKUP($E$32,[1]QUART!$A$2:$FA$315, 83, FALSE)="",":",VLOOKUP($E$32,[1]QUART!$A$2:$FA$315, 83, FALSE))</f>
        <v>n.a.</v>
      </c>
      <c r="CG32" s="544" t="str">
        <f>IF(VLOOKUP($E$32,[1]QUART!$A$2:$FA$315, 84, FALSE)="",":",VLOOKUP($E$32,[1]QUART!$A$2:$FA$315, 84, FALSE))</f>
        <v>n.a.</v>
      </c>
      <c r="CH32" s="544" t="str">
        <f>IF(VLOOKUP($E$32,[1]QUART!$A$2:$FA$315, 85, FALSE)="",":",VLOOKUP($E$32,[1]QUART!$A$2:$FA$315, 85, FALSE))</f>
        <v>n.a.</v>
      </c>
      <c r="CI32" s="544" t="str">
        <f>IF(VLOOKUP($E$32,[1]QUART!$A$2:$FA$315, 86, FALSE)="",":",VLOOKUP($E$32,[1]QUART!$A$2:$FA$315, 86, FALSE))</f>
        <v>n.a.</v>
      </c>
      <c r="CJ32" s="544" t="str">
        <f>IF(VLOOKUP($E$32,[1]QUART!$A$2:$FA$315, 87, FALSE)="",":",VLOOKUP($E$32,[1]QUART!$A$2:$FA$315, 87, FALSE))</f>
        <v>n.a.</v>
      </c>
      <c r="CK32" s="544" t="str">
        <f>IF(VLOOKUP($E$32,[1]QUART!$A$2:$FA$315, 88, FALSE)="",":",VLOOKUP($E$32,[1]QUART!$A$2:$FA$315, 88, FALSE))</f>
        <v>n.a.</v>
      </c>
      <c r="CL32" s="544" t="str">
        <f>IF(VLOOKUP($E$32,[1]QUART!$A$2:$FA$315, 89, FALSE)="",":",VLOOKUP($E$32,[1]QUART!$A$2:$FA$315, 89, FALSE))</f>
        <v>n.a.</v>
      </c>
      <c r="CM32" s="544" t="str">
        <f>IF(VLOOKUP($E$32,[1]QUART!$A$2:$FA$315, 90, FALSE)="",":",VLOOKUP($E$32,[1]QUART!$A$2:$FA$315, 90, FALSE))</f>
        <v>n.a.</v>
      </c>
      <c r="CN32" s="544" t="str">
        <f>IF(VLOOKUP($E$32,[1]QUART!$A$2:$FA$315, 91, FALSE)="",":",VLOOKUP($E$32,[1]QUART!$A$2:$FA$315, 91, FALSE))</f>
        <v>n.a.</v>
      </c>
      <c r="CO32" s="544" t="str">
        <f>IF(VLOOKUP($E$32,[1]QUART!$A$2:$FA$315, 92, FALSE)="",":",VLOOKUP($E$32,[1]QUART!$A$2:$FA$315, 92, FALSE))</f>
        <v>n.a.</v>
      </c>
      <c r="CP32" s="544" t="str">
        <f>IF(VLOOKUP($E$32,[1]QUART!$A$2:$FA$315, 93, FALSE)="",":",VLOOKUP($E$32,[1]QUART!$A$2:$FA$315, 93, FALSE))</f>
        <v>n.a.</v>
      </c>
      <c r="CQ32" s="544" t="str">
        <f>IF(VLOOKUP($E$32,[1]QUART!$A$2:$FA$315, 94, FALSE)="",":",VLOOKUP($E$32,[1]QUART!$A$2:$FA$315, 94, FALSE))</f>
        <v>n.a.</v>
      </c>
      <c r="CR32" s="544" t="str">
        <f>IF(VLOOKUP($E$32,[1]QUART!$A$2:$FA$315, 95, FALSE)="",":",VLOOKUP($E$32,[1]QUART!$A$2:$FA$315, 95, FALSE))</f>
        <v>n.a.</v>
      </c>
      <c r="CS32" s="544" t="str">
        <f>IF(VLOOKUP($E$32,[1]QUART!$A$2:$FA$315, 96, FALSE)="",":",VLOOKUP($E$32,[1]QUART!$A$2:$FA$315, 96, FALSE))</f>
        <v>n.a.</v>
      </c>
      <c r="CT32" s="544" t="str">
        <f>IF(VLOOKUP($E$32,[1]QUART!$A$2:$FA$315, 97, FALSE)="",":",VLOOKUP($E$32,[1]QUART!$A$2:$FA$315, 97, FALSE))</f>
        <v>n.a.</v>
      </c>
      <c r="CU32" s="544" t="str">
        <f>IF(VLOOKUP($E$32,[1]QUART!$A$2:$FA$315, 98, FALSE)="",":",VLOOKUP($E$32,[1]QUART!$A$2:$FA$315, 98, FALSE))</f>
        <v>:</v>
      </c>
      <c r="CV32" s="544" t="str">
        <f>IF(VLOOKUP($E$32,[1]QUART!$A$2:$FA$315, 99, FALSE)="",":",VLOOKUP($E$32,[1]QUART!$A$2:$FA$315, 99, FALSE))</f>
        <v>:</v>
      </c>
      <c r="CW32" s="544" t="str">
        <f>IF(VLOOKUP($E$32,[1]QUART!$A$2:$FA$315, 100, FALSE)="",":",VLOOKUP($E$32,[1]QUART!$A$2:$FA$315, 100, FALSE))</f>
        <v>:</v>
      </c>
      <c r="CX32" s="544" t="str">
        <f>IF(VLOOKUP($E$32,[1]QUART!$A$2:$FA$315, 101, FALSE)="",":",VLOOKUP($E$32,[1]QUART!$A$2:$FA$315, 101, FALSE))</f>
        <v>:</v>
      </c>
      <c r="CY32" s="544" t="str">
        <f>IF(VLOOKUP($E$32,[1]QUART!$A$2:$FA$315, 102, FALSE)="",":",VLOOKUP($E$32,[1]QUART!$A$2:$FA$315, 102, FALSE))</f>
        <v>:</v>
      </c>
      <c r="CZ32" s="544" t="str">
        <f>IF(VLOOKUP($E$32,[1]QUART!$A$2:$FA$315, 103, FALSE)="",":",VLOOKUP($E$32,[1]QUART!$A$2:$FA$315, 103, FALSE))</f>
        <v>:</v>
      </c>
      <c r="DA32" s="544" t="str">
        <f>IF(VLOOKUP($E$32,[1]QUART!$A$2:$FA$315, 104, FALSE)="",":",VLOOKUP($E$32,[1]QUART!$A$2:$FA$315, 104, FALSE))</f>
        <v>:</v>
      </c>
      <c r="DB32" s="544" t="str">
        <f>IF(VLOOKUP($E$32,[1]QUART!$A$2:$FA$315, 105, FALSE)="",":",VLOOKUP($E$32,[1]QUART!$A$2:$FA$315, 105, FALSE))</f>
        <v>:</v>
      </c>
      <c r="DC32" s="544" t="str">
        <f>IF(VLOOKUP($E$32,[1]QUART!$A$2:$FA$315, 106, FALSE)="",":",VLOOKUP($E$32,[1]QUART!$A$2:$FA$315, 106, FALSE))</f>
        <v>:</v>
      </c>
    </row>
    <row r="33" spans="1:107">
      <c r="A33" s="533"/>
      <c r="B33" s="534"/>
      <c r="C33" s="535"/>
      <c r="D33" s="12"/>
      <c r="E33" s="13"/>
      <c r="F33" s="14"/>
      <c r="G33" s="544"/>
      <c r="H33" s="544"/>
      <c r="I33" s="544"/>
      <c r="J33" s="544"/>
      <c r="K33" s="544"/>
      <c r="L33" s="544"/>
      <c r="M33" s="544"/>
      <c r="N33" s="544"/>
      <c r="O33" s="544"/>
      <c r="P33" s="544"/>
      <c r="Q33" s="544"/>
      <c r="R33" s="544"/>
      <c r="S33" s="544"/>
      <c r="T33" s="544"/>
      <c r="U33" s="544"/>
      <c r="V33" s="544"/>
      <c r="W33" s="544"/>
      <c r="X33" s="544"/>
      <c r="Y33" s="544"/>
      <c r="Z33" s="544"/>
      <c r="AA33" s="544"/>
      <c r="AB33" s="544"/>
      <c r="AC33" s="544"/>
      <c r="AD33" s="544"/>
      <c r="AE33" s="544"/>
      <c r="AF33" s="544"/>
      <c r="AG33" s="544"/>
      <c r="AH33" s="544"/>
      <c r="AI33" s="544"/>
      <c r="AJ33" s="544"/>
      <c r="AK33" s="544"/>
      <c r="AL33" s="544"/>
      <c r="AM33" s="544"/>
      <c r="AN33" s="544"/>
      <c r="AO33" s="544"/>
      <c r="AP33" s="544"/>
      <c r="AQ33" s="544"/>
      <c r="AR33" s="544"/>
      <c r="AS33" s="544"/>
      <c r="AT33" s="544"/>
      <c r="AU33" s="544"/>
      <c r="AV33" s="544"/>
      <c r="AW33" s="544"/>
      <c r="AX33" s="544"/>
      <c r="AY33" s="544"/>
      <c r="AZ33" s="544"/>
      <c r="BA33" s="544"/>
      <c r="BB33" s="544"/>
      <c r="BC33" s="544"/>
      <c r="BD33" s="544"/>
      <c r="BE33" s="544"/>
      <c r="BF33" s="544"/>
      <c r="BG33" s="544"/>
      <c r="BH33" s="544"/>
      <c r="BI33" s="544"/>
      <c r="BJ33" s="544"/>
      <c r="BK33" s="544"/>
      <c r="BL33" s="3143" t="s">
        <v>1622</v>
      </c>
      <c r="BM33" s="544"/>
      <c r="BN33" s="544"/>
      <c r="BO33" s="544"/>
      <c r="BP33" s="544"/>
      <c r="BQ33" s="544"/>
      <c r="BR33" s="544"/>
      <c r="BS33" s="544"/>
      <c r="BT33" s="544"/>
      <c r="BU33" s="544"/>
      <c r="BV33" s="544"/>
      <c r="BW33" s="544"/>
      <c r="BX33" s="544"/>
      <c r="BY33" s="544"/>
      <c r="BZ33" s="544"/>
      <c r="CA33" s="544"/>
      <c r="CB33" s="544"/>
      <c r="CC33" s="544"/>
      <c r="CD33" s="544"/>
      <c r="CE33" s="544"/>
      <c r="CF33" s="544"/>
      <c r="CG33" s="544"/>
      <c r="CH33" s="544"/>
      <c r="CI33" s="544"/>
      <c r="CJ33" s="544"/>
      <c r="CK33" s="544"/>
      <c r="CL33" s="544"/>
      <c r="CM33" s="544"/>
      <c r="CN33" s="544"/>
      <c r="CO33" s="544"/>
      <c r="CP33" s="544"/>
      <c r="CQ33" s="544"/>
      <c r="CR33" s="544"/>
      <c r="CS33" s="544"/>
      <c r="CT33" s="544"/>
      <c r="CU33" s="544"/>
      <c r="CV33" s="544"/>
      <c r="CW33" s="544"/>
      <c r="CX33" s="544"/>
      <c r="CY33" s="544"/>
      <c r="CZ33" s="544"/>
      <c r="DA33" s="544"/>
      <c r="DB33" s="544"/>
      <c r="DC33" s="544"/>
    </row>
    <row r="34" spans="1:107">
      <c r="A34" s="1954"/>
      <c r="B34" s="534"/>
      <c r="C34" s="535"/>
      <c r="D34" s="12" t="s">
        <v>1841</v>
      </c>
      <c r="E34" s="13">
        <v>100</v>
      </c>
      <c r="F34" s="14" t="str">
        <f>VLOOKUP($E$34,[1]QUART!$A$2:$FA$315, 3, FALSE)</f>
        <v xml:space="preserve">100  Household final consumption expenditure (domestic)                              </v>
      </c>
      <c r="G34" s="544" t="str">
        <f>IF(VLOOKUP($E$34,[1]QUART!$A$2:$FA$315, 6, FALSE)="",":",VLOOKUP($E$34,[1]QUART!$A$2:$FA$315, 6, FALSE))</f>
        <v>:</v>
      </c>
      <c r="H34" s="544" t="str">
        <f>IF(VLOOKUP($E$34,[1]QUART!$A$2:$FA$315, 7, FALSE)="",":",VLOOKUP($E$34,[1]QUART!$A$2:$FA$315, 7, FALSE))</f>
        <v>:</v>
      </c>
      <c r="I34" s="544" t="str">
        <f>IF(VLOOKUP($E$34,[1]QUART!$A$2:$FA$315, 8, FALSE)="",":",VLOOKUP($E$34,[1]QUART!$A$2:$FA$315, 8, FALSE))</f>
        <v>:</v>
      </c>
      <c r="J34" s="544" t="str">
        <f>IF(VLOOKUP($E$34,[1]QUART!$A$2:$FA$315, 9, FALSE)="",":",VLOOKUP($E$34,[1]QUART!$A$2:$FA$315, 9, FALSE))</f>
        <v>:</v>
      </c>
      <c r="K34" s="544" t="str">
        <f>IF(VLOOKUP($E$34,[1]QUART!$A$2:$FA$315, 10, FALSE)="",":",VLOOKUP($E$34,[1]QUART!$A$2:$FA$315, 10, FALSE))</f>
        <v>:</v>
      </c>
      <c r="L34" s="544" t="str">
        <f>IF(VLOOKUP($E$34,[1]QUART!$A$2:$FA$315, 11, FALSE)="",":",VLOOKUP($E$34,[1]QUART!$A$2:$FA$315, 11, FALSE))</f>
        <v>:</v>
      </c>
      <c r="M34" s="544" t="str">
        <f>IF(VLOOKUP($E$34,[1]QUART!$A$2:$FA$315, 12, FALSE)="",":",VLOOKUP($E$34,[1]QUART!$A$2:$FA$315, 12, FALSE))</f>
        <v>:</v>
      </c>
      <c r="N34" s="544" t="str">
        <f>IF(VLOOKUP($E$34,[1]QUART!$A$2:$FA$315, 13, FALSE)="",":",VLOOKUP($E$34,[1]QUART!$A$2:$FA$315, 13, FALSE))</f>
        <v>:</v>
      </c>
      <c r="O34" s="544" t="str">
        <f>IF(VLOOKUP($E$34,[1]QUART!$A$2:$FA$315, 14, FALSE)="",":",VLOOKUP($E$34,[1]QUART!$A$2:$FA$315, 14, FALSE))</f>
        <v>:</v>
      </c>
      <c r="P34" s="544" t="str">
        <f>IF(VLOOKUP($E$34,[1]QUART!$A$2:$FA$315, 15, FALSE)="",":",VLOOKUP($E$34,[1]QUART!$A$2:$FA$315, 15, FALSE))</f>
        <v>:</v>
      </c>
      <c r="Q34" s="544" t="str">
        <f>IF(VLOOKUP($E$34,[1]QUART!$A$2:$FA$315, 16, FALSE)="",":",VLOOKUP($E$34,[1]QUART!$A$2:$FA$315, 16, FALSE))</f>
        <v>:</v>
      </c>
      <c r="R34" s="544" t="str">
        <f>IF(VLOOKUP($E$34,[1]QUART!$A$2:$FA$315, 17, FALSE)="",":",VLOOKUP($E$34,[1]QUART!$A$2:$FA$315, 17, FALSE))</f>
        <v>:</v>
      </c>
      <c r="S34" s="544" t="str">
        <f>IF(VLOOKUP($E$34,[1]QUART!$A$2:$FA$315, 18, FALSE)="",":",VLOOKUP($E$34,[1]QUART!$A$2:$FA$315, 18, FALSE))</f>
        <v>:</v>
      </c>
      <c r="T34" s="544" t="str">
        <f>IF(VLOOKUP($E$34,[1]QUART!$A$2:$FA$315, 19, FALSE)="",":",VLOOKUP($E$34,[1]QUART!$A$2:$FA$315, 19, FALSE))</f>
        <v>:</v>
      </c>
      <c r="U34" s="544" t="str">
        <f>IF(VLOOKUP($E$34,[1]QUART!$A$2:$FA$315, 20, FALSE)="",":",VLOOKUP($E$34,[1]QUART!$A$2:$FA$315, 20, FALSE))</f>
        <v>:</v>
      </c>
      <c r="V34" s="544" t="str">
        <f>IF(VLOOKUP($E$34,[1]QUART!$A$2:$FA$315, 21, FALSE)="",":",VLOOKUP($E$34,[1]QUART!$A$2:$FA$315, 21, FALSE))</f>
        <v>:</v>
      </c>
      <c r="W34" s="544" t="str">
        <f>IF(VLOOKUP($E$34,[1]QUART!$A$2:$FA$315, 22, FALSE)="",":",VLOOKUP($E$34,[1]QUART!$A$2:$FA$315, 22, FALSE))</f>
        <v>:</v>
      </c>
      <c r="X34" s="544" t="str">
        <f>IF(VLOOKUP($E$34,[1]QUART!$A$2:$FA$315, 23, FALSE)="",":",VLOOKUP($E$34,[1]QUART!$A$2:$FA$315, 23, FALSE))</f>
        <v>:</v>
      </c>
      <c r="Y34" s="544" t="str">
        <f>IF(VLOOKUP($E$34,[1]QUART!$A$2:$FA$315, 24, FALSE)="",":",VLOOKUP($E$34,[1]QUART!$A$2:$FA$315, 24, FALSE))</f>
        <v>:</v>
      </c>
      <c r="Z34" s="544" t="str">
        <f>IF(VLOOKUP($E$34,[1]QUART!$A$2:$FA$315, 25, FALSE)="",":",VLOOKUP($E$34,[1]QUART!$A$2:$FA$315, 25, FALSE))</f>
        <v>:</v>
      </c>
      <c r="AA34" s="544" t="str">
        <f>IF(VLOOKUP($E$34,[1]QUART!$A$2:$FA$315, 26, FALSE)="",":",VLOOKUP($E$34,[1]QUART!$A$2:$FA$315, 26, FALSE))</f>
        <v>:</v>
      </c>
      <c r="AB34" s="544" t="str">
        <f>IF(VLOOKUP($E$34,[1]QUART!$A$2:$FA$315, 27, FALSE)="",":",VLOOKUP($E$34,[1]QUART!$A$2:$FA$315, 27, FALSE))</f>
        <v>:</v>
      </c>
      <c r="AC34" s="544" t="str">
        <f>IF(VLOOKUP($E$34,[1]QUART!$A$2:$FA$315, 28, FALSE)="",":",VLOOKUP($E$34,[1]QUART!$A$2:$FA$315, 28, FALSE))</f>
        <v>:</v>
      </c>
      <c r="AD34" s="544" t="str">
        <f>IF(VLOOKUP($E$34,[1]QUART!$A$2:$FA$315, 29, FALSE)="",":",VLOOKUP($E$34,[1]QUART!$A$2:$FA$315, 29, FALSE))</f>
        <v>:</v>
      </c>
      <c r="AE34" s="544" t="str">
        <f>IF(VLOOKUP($E$34,[1]QUART!$A$2:$FA$315, 30, FALSE)="",":",VLOOKUP($E$34,[1]QUART!$A$2:$FA$315, 30, FALSE))</f>
        <v>:</v>
      </c>
      <c r="AF34" s="544" t="str">
        <f>IF(VLOOKUP($E$34,[1]QUART!$A$2:$FA$315, 31, FALSE)="",":",VLOOKUP($E$34,[1]QUART!$A$2:$FA$315, 31, FALSE))</f>
        <v>:</v>
      </c>
      <c r="AG34" s="544" t="str">
        <f>IF(VLOOKUP($E$34,[1]QUART!$A$2:$FA$315, 32, FALSE)="",":",VLOOKUP($E$34,[1]QUART!$A$2:$FA$315, 32, FALSE))</f>
        <v>:</v>
      </c>
      <c r="AH34" s="544" t="str">
        <f>IF(VLOOKUP($E$34,[1]QUART!$A$2:$FA$315, 33, FALSE)="",":",VLOOKUP($E$34,[1]QUART!$A$2:$FA$315, 33, FALSE))</f>
        <v>:</v>
      </c>
      <c r="AI34" s="544" t="str">
        <f>IF(VLOOKUP($E$34,[1]QUART!$A$2:$FA$315, 34, FALSE)="",":",VLOOKUP($E$34,[1]QUART!$A$2:$FA$315, 34, FALSE))</f>
        <v>:</v>
      </c>
      <c r="AJ34" s="544" t="str">
        <f>IF(VLOOKUP($E$34,[1]QUART!$A$2:$FA$315, 35, FALSE)="",":",VLOOKUP($E$34,[1]QUART!$A$2:$FA$315, 35, FALSE))</f>
        <v>:</v>
      </c>
      <c r="AK34" s="544" t="str">
        <f>IF(VLOOKUP($E$34,[1]QUART!$A$2:$FA$315, 36, FALSE)="",":",VLOOKUP($E$34,[1]QUART!$A$2:$FA$315, 36, FALSE))</f>
        <v>:</v>
      </c>
      <c r="AL34" s="544" t="str">
        <f>IF(VLOOKUP($E$34,[1]QUART!$A$2:$FA$315, 37, FALSE)="",":",VLOOKUP($E$34,[1]QUART!$A$2:$FA$315, 37, FALSE))</f>
        <v>:</v>
      </c>
      <c r="AM34" s="544" t="str">
        <f>IF(VLOOKUP($E$34,[1]QUART!$A$2:$FA$315, 38, FALSE)="",":",VLOOKUP($E$34,[1]QUART!$A$2:$FA$315, 38, FALSE))</f>
        <v>:</v>
      </c>
      <c r="AN34" s="544" t="str">
        <f>IF(VLOOKUP($E$34,[1]QUART!$A$2:$FA$315, 39, FALSE)="",":",VLOOKUP($E$34,[1]QUART!$A$2:$FA$315, 39, FALSE))</f>
        <v>:</v>
      </c>
      <c r="AO34" s="544" t="str">
        <f>IF(VLOOKUP($E$34,[1]QUART!$A$2:$FA$315, 40, FALSE)="",":",VLOOKUP($E$34,[1]QUART!$A$2:$FA$315, 40, FALSE))</f>
        <v>:</v>
      </c>
      <c r="AP34" s="544" t="str">
        <f>IF(VLOOKUP($E$34,[1]QUART!$A$2:$FA$315, 41, FALSE)="",":",VLOOKUP($E$34,[1]QUART!$A$2:$FA$315, 41, FALSE))</f>
        <v>:</v>
      </c>
      <c r="AQ34" s="544" t="str">
        <f>IF(VLOOKUP($E$34,[1]QUART!$A$2:$FA$315, 42, FALSE)="",":",VLOOKUP($E$34,[1]QUART!$A$2:$FA$315, 42, FALSE))</f>
        <v>:</v>
      </c>
      <c r="AR34" s="544" t="str">
        <f>IF(VLOOKUP($E$34,[1]QUART!$A$2:$FA$315, 43, FALSE)="",":",VLOOKUP($E$34,[1]QUART!$A$2:$FA$315, 43, FALSE))</f>
        <v>:</v>
      </c>
      <c r="AS34" s="544" t="str">
        <f>IF(VLOOKUP($E$34,[1]QUART!$A$2:$FA$315, 44, FALSE)="",":",VLOOKUP($E$34,[1]QUART!$A$2:$FA$315, 44, FALSE))</f>
        <v>:</v>
      </c>
      <c r="AT34" s="544" t="str">
        <f>IF(VLOOKUP($E$34,[1]QUART!$A$2:$FA$315, 45, FALSE)="",":",VLOOKUP($E$34,[1]QUART!$A$2:$FA$315, 45, FALSE))</f>
        <v>:</v>
      </c>
      <c r="AU34" s="544" t="str">
        <f>IF(VLOOKUP($E$34,[1]QUART!$A$2:$FA$315, 46, FALSE)="",":",VLOOKUP($E$34,[1]QUART!$A$2:$FA$315, 46, FALSE))</f>
        <v>:</v>
      </c>
      <c r="AV34" s="544" t="str">
        <f>IF(VLOOKUP($E$34,[1]QUART!$A$2:$FA$315, 47, FALSE)="",":",VLOOKUP($E$34,[1]QUART!$A$2:$FA$315, 47, FALSE))</f>
        <v>:</v>
      </c>
      <c r="AW34" s="544" t="str">
        <f>IF(VLOOKUP($E$34,[1]QUART!$A$2:$FA$315, 48, FALSE)="",":",VLOOKUP($E$34,[1]QUART!$A$2:$FA$315, 48, FALSE))</f>
        <v>:</v>
      </c>
      <c r="AX34" s="544" t="str">
        <f>IF(VLOOKUP($E$34,[1]QUART!$A$2:$FA$315, 49, FALSE)="",":",VLOOKUP($E$34,[1]QUART!$A$2:$FA$315, 49, FALSE))</f>
        <v>:</v>
      </c>
      <c r="AY34" s="544" t="str">
        <f>IF(VLOOKUP($E$34,[1]QUART!$A$2:$FA$315, 50, FALSE)="",":",VLOOKUP($E$34,[1]QUART!$A$2:$FA$315, 50, FALSE))</f>
        <v>:</v>
      </c>
      <c r="AZ34" s="544" t="str">
        <f>IF(VLOOKUP($E$34,[1]QUART!$A$2:$FA$315, 51, FALSE)="",":",VLOOKUP($E$34,[1]QUART!$A$2:$FA$315, 51, FALSE))</f>
        <v>:</v>
      </c>
      <c r="BA34" s="544" t="str">
        <f>IF(VLOOKUP($E$34,[1]QUART!$A$2:$FA$315, 52, FALSE)="",":",VLOOKUP($E$34,[1]QUART!$A$2:$FA$315, 52, FALSE))</f>
        <v>:</v>
      </c>
      <c r="BB34" s="544" t="str">
        <f>IF(VLOOKUP($E$34,[1]QUART!$A$2:$FA$315, 53, FALSE)="",":",VLOOKUP($E$34,[1]QUART!$A$2:$FA$315, 53, FALSE))</f>
        <v>:</v>
      </c>
      <c r="BC34" s="544" t="str">
        <f>IF(VLOOKUP($E$34,[1]QUART!$A$2:$FA$315, 54, FALSE)="",":",VLOOKUP($E$34,[1]QUART!$A$2:$FA$315, 54, FALSE))</f>
        <v>:</v>
      </c>
      <c r="BD34" s="544" t="str">
        <f>IF(VLOOKUP($E$34,[1]QUART!$A$2:$FA$315, 55, FALSE)="",":",VLOOKUP($E$34,[1]QUART!$A$2:$FA$315, 55, FALSE))</f>
        <v>:</v>
      </c>
      <c r="BE34" s="544" t="str">
        <f>IF(VLOOKUP($E$34,[1]QUART!$A$2:$FA$315, 56, FALSE)="",":",VLOOKUP($E$34,[1]QUART!$A$2:$FA$315, 56, FALSE))</f>
        <v>:</v>
      </c>
      <c r="BF34" s="544" t="str">
        <f>IF(VLOOKUP($E$34,[1]QUART!$A$2:$FA$315, 57, FALSE)="",":",VLOOKUP($E$34,[1]QUART!$A$2:$FA$315, 57, FALSE))</f>
        <v>:</v>
      </c>
      <c r="BG34" s="544" t="str">
        <f>IF(VLOOKUP($E$34,[1]QUART!$A$2:$FA$315, 58, FALSE)="",":",VLOOKUP($E$34,[1]QUART!$A$2:$FA$315, 58, FALSE))</f>
        <v>:</v>
      </c>
      <c r="BH34" s="544" t="str">
        <f>IF(VLOOKUP($E$34,[1]QUART!$A$2:$FA$315, 59, FALSE)="",":",VLOOKUP($E$34,[1]QUART!$A$2:$FA$315, 59, FALSE))</f>
        <v>:</v>
      </c>
      <c r="BI34" s="544" t="str">
        <f>IF(VLOOKUP($E$34,[1]QUART!$A$2:$FA$315, 60, FALSE)="",":",VLOOKUP($E$34,[1]QUART!$A$2:$FA$315, 60, FALSE))</f>
        <v>:</v>
      </c>
      <c r="BJ34" s="544" t="str">
        <f>IF(VLOOKUP($E$34,[1]QUART!$A$2:$FA$315, 61, FALSE)="",":",VLOOKUP($E$34,[1]QUART!$A$2:$FA$315, 61, FALSE))</f>
        <v>:</v>
      </c>
      <c r="BK34" s="544" t="str">
        <f>IF(VLOOKUP($E$34,[1]QUART!$A$2:$FA$315, 62, FALSE)="",":",VLOOKUP($E$34,[1]QUART!$A$2:$FA$315, 62, FALSE))</f>
        <v>:</v>
      </c>
      <c r="BL34" s="544" t="str">
        <f>IF(VLOOKUP($E$34,[1]QUART!$A$2:$FA$315, 63, FALSE)="",":",VLOOKUP($E$34,[1]QUART!$A$2:$FA$315, 63, FALSE))</f>
        <v>:</v>
      </c>
      <c r="BM34" s="544" t="str">
        <f>IF(VLOOKUP($E$34,[1]QUART!$A$2:$FA$315, 64, FALSE)="",":",VLOOKUP($E$34,[1]QUART!$A$2:$FA$315, 64, FALSE))</f>
        <v>:</v>
      </c>
      <c r="BN34" s="544" t="str">
        <f>IF(VLOOKUP($E$34,[1]QUART!$A$2:$FA$315, 65, FALSE)="",":",VLOOKUP($E$34,[1]QUART!$A$2:$FA$315, 65, FALSE))</f>
        <v>:</v>
      </c>
      <c r="BO34" s="544" t="str">
        <f>IF(VLOOKUP($E$34,[1]QUART!$A$2:$FA$315, 66, FALSE)="",":",VLOOKUP($E$34,[1]QUART!$A$2:$FA$315, 66, FALSE))</f>
        <v>:</v>
      </c>
      <c r="BP34" s="544" t="str">
        <f>IF(VLOOKUP($E$34,[1]QUART!$A$2:$FA$315, 67, FALSE)="",":",VLOOKUP($E$34,[1]QUART!$A$2:$FA$315, 67, FALSE))</f>
        <v>:</v>
      </c>
      <c r="BQ34" s="544" t="str">
        <f>IF(VLOOKUP($E$34,[1]QUART!$A$2:$FA$315, 68, FALSE)="",":",VLOOKUP($E$34,[1]QUART!$A$2:$FA$315, 68, FALSE))</f>
        <v>:</v>
      </c>
      <c r="BR34" s="544" t="str">
        <f>IF(VLOOKUP($E$34,[1]QUART!$A$2:$FA$315, 69, FALSE)="",":",VLOOKUP($E$34,[1]QUART!$A$2:$FA$315, 69, FALSE))</f>
        <v>:</v>
      </c>
      <c r="BS34" s="544" t="str">
        <f>IF(VLOOKUP($E$34,[1]QUART!$A$2:$FA$315, 70, FALSE)="",":",VLOOKUP($E$34,[1]QUART!$A$2:$FA$315, 70, FALSE))</f>
        <v>:</v>
      </c>
      <c r="BT34" s="544" t="str">
        <f>IF(VLOOKUP($E$34,[1]QUART!$A$2:$FA$315, 71, FALSE)="",":",VLOOKUP($E$34,[1]QUART!$A$2:$FA$315, 71, FALSE))</f>
        <v>:</v>
      </c>
      <c r="BU34" s="544" t="str">
        <f>IF(VLOOKUP($E$34,[1]QUART!$A$2:$FA$315, 72, FALSE)="",":",VLOOKUP($E$34,[1]QUART!$A$2:$FA$315, 72, FALSE))</f>
        <v>:</v>
      </c>
      <c r="BV34" s="544" t="str">
        <f>IF(VLOOKUP($E$34,[1]QUART!$A$2:$FA$315, 73, FALSE)="",":",VLOOKUP($E$34,[1]QUART!$A$2:$FA$315, 73, FALSE))</f>
        <v>:</v>
      </c>
      <c r="BW34" s="544" t="str">
        <f>IF(VLOOKUP($E$34,[1]QUART!$A$2:$FA$315, 74, FALSE)="",":",VLOOKUP($E$34,[1]QUART!$A$2:$FA$315, 74, FALSE))</f>
        <v>:</v>
      </c>
      <c r="BX34" s="544" t="str">
        <f>IF(VLOOKUP($E$34,[1]QUART!$A$2:$FA$315, 75, FALSE)="",":",VLOOKUP($E$34,[1]QUART!$A$2:$FA$315, 75, FALSE))</f>
        <v>:</v>
      </c>
      <c r="BY34" s="544" t="str">
        <f>IF(VLOOKUP($E$34,[1]QUART!$A$2:$FA$315, 76, FALSE)="",":",VLOOKUP($E$34,[1]QUART!$A$2:$FA$315, 76, FALSE))</f>
        <v>:</v>
      </c>
      <c r="BZ34" s="544" t="str">
        <f>IF(VLOOKUP($E$34,[1]QUART!$A$2:$FA$315, 77, FALSE)="",":",VLOOKUP($E$34,[1]QUART!$A$2:$FA$315, 77, FALSE))</f>
        <v>:</v>
      </c>
      <c r="CA34" s="544" t="str">
        <f>IF(VLOOKUP($E$34,[1]QUART!$A$2:$FA$315, 78, FALSE)="",":",VLOOKUP($E$34,[1]QUART!$A$2:$FA$315, 78, FALSE))</f>
        <v>:</v>
      </c>
      <c r="CB34" s="544" t="str">
        <f>IF(VLOOKUP($E$34,[1]QUART!$A$2:$FA$315, 79, FALSE)="",":",VLOOKUP($E$34,[1]QUART!$A$2:$FA$315, 79, FALSE))</f>
        <v>:</v>
      </c>
      <c r="CC34" s="544" t="str">
        <f>IF(VLOOKUP($E$34,[1]QUART!$A$2:$FA$315, 80, FALSE)="",":",VLOOKUP($E$34,[1]QUART!$A$2:$FA$315, 80, FALSE))</f>
        <v>:</v>
      </c>
      <c r="CD34" s="544" t="str">
        <f>IF(VLOOKUP($E$34,[1]QUART!$A$2:$FA$315, 81, FALSE)="",":",VLOOKUP($E$34,[1]QUART!$A$2:$FA$315, 81, FALSE))</f>
        <v>:</v>
      </c>
      <c r="CE34" s="544" t="str">
        <f>IF(VLOOKUP($E$34,[1]QUART!$A$2:$FA$315, 82, FALSE)="",":",VLOOKUP($E$34,[1]QUART!$A$2:$FA$315, 82, FALSE))</f>
        <v>:</v>
      </c>
      <c r="CF34" s="544" t="str">
        <f>IF(VLOOKUP($E$34,[1]QUART!$A$2:$FA$315, 83, FALSE)="",":",VLOOKUP($E$34,[1]QUART!$A$2:$FA$315, 83, FALSE))</f>
        <v>:</v>
      </c>
      <c r="CG34" s="544" t="str">
        <f>IF(VLOOKUP($E$34,[1]QUART!$A$2:$FA$315, 84, FALSE)="",":",VLOOKUP($E$34,[1]QUART!$A$2:$FA$315, 84, FALSE))</f>
        <v>:</v>
      </c>
      <c r="CH34" s="544" t="str">
        <f>IF(VLOOKUP($E$34,[1]QUART!$A$2:$FA$315, 85, FALSE)="",":",VLOOKUP($E$34,[1]QUART!$A$2:$FA$315, 85, FALSE))</f>
        <v>:</v>
      </c>
      <c r="CI34" s="544" t="str">
        <f>IF(VLOOKUP($E$34,[1]QUART!$A$2:$FA$315, 86, FALSE)="",":",VLOOKUP($E$34,[1]QUART!$A$2:$FA$315, 86, FALSE))</f>
        <v>:</v>
      </c>
      <c r="CJ34" s="544" t="str">
        <f>IF(VLOOKUP($E$34,[1]QUART!$A$2:$FA$315, 87, FALSE)="",":",VLOOKUP($E$34,[1]QUART!$A$2:$FA$315, 87, FALSE))</f>
        <v>:</v>
      </c>
      <c r="CK34" s="544" t="str">
        <f>IF(VLOOKUP($E$34,[1]QUART!$A$2:$FA$315, 88, FALSE)="",":",VLOOKUP($E$34,[1]QUART!$A$2:$FA$315, 88, FALSE))</f>
        <v>:</v>
      </c>
      <c r="CL34" s="544" t="str">
        <f>IF(VLOOKUP($E$34,[1]QUART!$A$2:$FA$315, 89, FALSE)="",":",VLOOKUP($E$34,[1]QUART!$A$2:$FA$315, 89, FALSE))</f>
        <v>:</v>
      </c>
      <c r="CM34" s="544" t="str">
        <f>IF(VLOOKUP($E$34,[1]QUART!$A$2:$FA$315, 90, FALSE)="",":",VLOOKUP($E$34,[1]QUART!$A$2:$FA$315, 90, FALSE))</f>
        <v>:</v>
      </c>
      <c r="CN34" s="544" t="str">
        <f>IF(VLOOKUP($E$34,[1]QUART!$A$2:$FA$315, 91, FALSE)="",":",VLOOKUP($E$34,[1]QUART!$A$2:$FA$315, 91, FALSE))</f>
        <v>:</v>
      </c>
      <c r="CO34" s="544" t="str">
        <f>IF(VLOOKUP($E$34,[1]QUART!$A$2:$FA$315, 92, FALSE)="",":",VLOOKUP($E$34,[1]QUART!$A$2:$FA$315, 92, FALSE))</f>
        <v>:</v>
      </c>
      <c r="CP34" s="544" t="str">
        <f>IF(VLOOKUP($E$34,[1]QUART!$A$2:$FA$315, 93, FALSE)="",":",VLOOKUP($E$34,[1]QUART!$A$2:$FA$315, 93, FALSE))</f>
        <v>:</v>
      </c>
      <c r="CQ34" s="544" t="str">
        <f>IF(VLOOKUP($E$34,[1]QUART!$A$2:$FA$315, 94, FALSE)="",":",VLOOKUP($E$34,[1]QUART!$A$2:$FA$315, 94, FALSE))</f>
        <v>:</v>
      </c>
      <c r="CR34" s="544" t="str">
        <f>IF(VLOOKUP($E$34,[1]QUART!$A$2:$FA$315, 95, FALSE)="",":",VLOOKUP($E$34,[1]QUART!$A$2:$FA$315, 95, FALSE))</f>
        <v>:</v>
      </c>
      <c r="CS34" s="544" t="str">
        <f>IF(VLOOKUP($E$34,[1]QUART!$A$2:$FA$315, 96, FALSE)="",":",VLOOKUP($E$34,[1]QUART!$A$2:$FA$315, 96, FALSE))</f>
        <v>:</v>
      </c>
      <c r="CT34" s="544" t="str">
        <f>IF(VLOOKUP($E$34,[1]QUART!$A$2:$FA$315, 97, FALSE)="",":",VLOOKUP($E$34,[1]QUART!$A$2:$FA$315, 97, FALSE))</f>
        <v>:</v>
      </c>
      <c r="CU34" s="544" t="str">
        <f>IF(VLOOKUP($E$34,[1]QUART!$A$2:$FA$315, 98, FALSE)="",":",VLOOKUP($E$34,[1]QUART!$A$2:$FA$315, 98, FALSE))</f>
        <v>:</v>
      </c>
      <c r="CV34" s="544" t="str">
        <f>IF(VLOOKUP($E$34,[1]QUART!$A$2:$FA$315, 99, FALSE)="",":",VLOOKUP($E$34,[1]QUART!$A$2:$FA$315, 99, FALSE))</f>
        <v>:</v>
      </c>
      <c r="CW34" s="544" t="str">
        <f>IF(VLOOKUP($E$34,[1]QUART!$A$2:$FA$315, 100, FALSE)="",":",VLOOKUP($E$34,[1]QUART!$A$2:$FA$315, 100, FALSE))</f>
        <v>:</v>
      </c>
      <c r="CX34" s="544" t="str">
        <f>IF(VLOOKUP($E$34,[1]QUART!$A$2:$FA$315, 101, FALSE)="",":",VLOOKUP($E$34,[1]QUART!$A$2:$FA$315, 101, FALSE))</f>
        <v>:</v>
      </c>
      <c r="CY34" s="544" t="str">
        <f>IF(VLOOKUP($E$34,[1]QUART!$A$2:$FA$315, 102, FALSE)="",":",VLOOKUP($E$34,[1]QUART!$A$2:$FA$315, 102, FALSE))</f>
        <v>:</v>
      </c>
      <c r="CZ34" s="544" t="str">
        <f>IF(VLOOKUP($E$34,[1]QUART!$A$2:$FA$315, 103, FALSE)="",":",VLOOKUP($E$34,[1]QUART!$A$2:$FA$315, 103, FALSE))</f>
        <v>:</v>
      </c>
      <c r="DA34" s="544" t="str">
        <f>IF(VLOOKUP($E$34,[1]QUART!$A$2:$FA$315, 104, FALSE)="",":",VLOOKUP($E$34,[1]QUART!$A$2:$FA$315, 104, FALSE))</f>
        <v>:</v>
      </c>
      <c r="DB34" s="544" t="str">
        <f>IF(VLOOKUP($E$34,[1]QUART!$A$2:$FA$315, 105, FALSE)="",":",VLOOKUP($E$34,[1]QUART!$A$2:$FA$315, 105, FALSE))</f>
        <v>:</v>
      </c>
      <c r="DC34" s="544" t="str">
        <f>IF(VLOOKUP($E$34,[1]QUART!$A$2:$FA$315, 106, FALSE)="",":",VLOOKUP($E$34,[1]QUART!$A$2:$FA$315, 106, FALSE))</f>
        <v>:</v>
      </c>
    </row>
    <row r="35" spans="1:107">
      <c r="A35" s="1954"/>
      <c r="B35" s="534"/>
      <c r="C35" s="535"/>
      <c r="D35" s="12" t="s">
        <v>1841</v>
      </c>
      <c r="E35" s="13">
        <v>101</v>
      </c>
      <c r="F35" s="14" t="str">
        <f>VLOOKUP($E$35,[1]QUART!$A$2:$FA$315, 3, FALSE)</f>
        <v xml:space="preserve">101  Government final consumption expenditure                                        </v>
      </c>
      <c r="G35" s="544" t="str">
        <f>IF(VLOOKUP($E$35,[1]QUART!$A$2:$FA$315, 6, FALSE)="",":",VLOOKUP($E$35,[1]QUART!$A$2:$FA$315, 6, FALSE))</f>
        <v>:</v>
      </c>
      <c r="H35" s="544" t="str">
        <f>IF(VLOOKUP($E$35,[1]QUART!$A$2:$FA$315, 7, FALSE)="",":",VLOOKUP($E$35,[1]QUART!$A$2:$FA$315, 7, FALSE))</f>
        <v>:</v>
      </c>
      <c r="I35" s="544" t="str">
        <f>IF(VLOOKUP($E$35,[1]QUART!$A$2:$FA$315, 8, FALSE)="",":",VLOOKUP($E$35,[1]QUART!$A$2:$FA$315, 8, FALSE))</f>
        <v>:</v>
      </c>
      <c r="J35" s="544" t="str">
        <f>IF(VLOOKUP($E$35,[1]QUART!$A$2:$FA$315, 9, FALSE)="",":",VLOOKUP($E$35,[1]QUART!$A$2:$FA$315, 9, FALSE))</f>
        <v>:</v>
      </c>
      <c r="K35" s="544" t="str">
        <f>IF(VLOOKUP($E$35,[1]QUART!$A$2:$FA$315, 10, FALSE)="",":",VLOOKUP($E$35,[1]QUART!$A$2:$FA$315, 10, FALSE))</f>
        <v>:</v>
      </c>
      <c r="L35" s="544" t="str">
        <f>IF(VLOOKUP($E$35,[1]QUART!$A$2:$FA$315, 11, FALSE)="",":",VLOOKUP($E$35,[1]QUART!$A$2:$FA$315, 11, FALSE))</f>
        <v>:</v>
      </c>
      <c r="M35" s="544" t="str">
        <f>IF(VLOOKUP($E$35,[1]QUART!$A$2:$FA$315, 12, FALSE)="",":",VLOOKUP($E$35,[1]QUART!$A$2:$FA$315, 12, FALSE))</f>
        <v>:</v>
      </c>
      <c r="N35" s="544" t="str">
        <f>IF(VLOOKUP($E$35,[1]QUART!$A$2:$FA$315, 13, FALSE)="",":",VLOOKUP($E$35,[1]QUART!$A$2:$FA$315, 13, FALSE))</f>
        <v>:</v>
      </c>
      <c r="O35" s="544" t="str">
        <f>IF(VLOOKUP($E$35,[1]QUART!$A$2:$FA$315, 14, FALSE)="",":",VLOOKUP($E$35,[1]QUART!$A$2:$FA$315, 14, FALSE))</f>
        <v>:</v>
      </c>
      <c r="P35" s="544" t="str">
        <f>IF(VLOOKUP($E$35,[1]QUART!$A$2:$FA$315, 15, FALSE)="",":",VLOOKUP($E$35,[1]QUART!$A$2:$FA$315, 15, FALSE))</f>
        <v>:</v>
      </c>
      <c r="Q35" s="544" t="str">
        <f>IF(VLOOKUP($E$35,[1]QUART!$A$2:$FA$315, 16, FALSE)="",":",VLOOKUP($E$35,[1]QUART!$A$2:$FA$315, 16, FALSE))</f>
        <v>:</v>
      </c>
      <c r="R35" s="544" t="str">
        <f>IF(VLOOKUP($E$35,[1]QUART!$A$2:$FA$315, 17, FALSE)="",":",VLOOKUP($E$35,[1]QUART!$A$2:$FA$315, 17, FALSE))</f>
        <v>:</v>
      </c>
      <c r="S35" s="544" t="str">
        <f>IF(VLOOKUP($E$35,[1]QUART!$A$2:$FA$315, 18, FALSE)="",":",VLOOKUP($E$35,[1]QUART!$A$2:$FA$315, 18, FALSE))</f>
        <v>:</v>
      </c>
      <c r="T35" s="544" t="str">
        <f>IF(VLOOKUP($E$35,[1]QUART!$A$2:$FA$315, 19, FALSE)="",":",VLOOKUP($E$35,[1]QUART!$A$2:$FA$315, 19, FALSE))</f>
        <v>:</v>
      </c>
      <c r="U35" s="544" t="str">
        <f>IF(VLOOKUP($E$35,[1]QUART!$A$2:$FA$315, 20, FALSE)="",":",VLOOKUP($E$35,[1]QUART!$A$2:$FA$315, 20, FALSE))</f>
        <v>:</v>
      </c>
      <c r="V35" s="544" t="str">
        <f>IF(VLOOKUP($E$35,[1]QUART!$A$2:$FA$315, 21, FALSE)="",":",VLOOKUP($E$35,[1]QUART!$A$2:$FA$315, 21, FALSE))</f>
        <v>:</v>
      </c>
      <c r="W35" s="544" t="str">
        <f>IF(VLOOKUP($E$35,[1]QUART!$A$2:$FA$315, 22, FALSE)="",":",VLOOKUP($E$35,[1]QUART!$A$2:$FA$315, 22, FALSE))</f>
        <v>:</v>
      </c>
      <c r="X35" s="544" t="str">
        <f>IF(VLOOKUP($E$35,[1]QUART!$A$2:$FA$315, 23, FALSE)="",":",VLOOKUP($E$35,[1]QUART!$A$2:$FA$315, 23, FALSE))</f>
        <v>:</v>
      </c>
      <c r="Y35" s="544" t="str">
        <f>IF(VLOOKUP($E$35,[1]QUART!$A$2:$FA$315, 24, FALSE)="",":",VLOOKUP($E$35,[1]QUART!$A$2:$FA$315, 24, FALSE))</f>
        <v>:</v>
      </c>
      <c r="Z35" s="544" t="str">
        <f>IF(VLOOKUP($E$35,[1]QUART!$A$2:$FA$315, 25, FALSE)="",":",VLOOKUP($E$35,[1]QUART!$A$2:$FA$315, 25, FALSE))</f>
        <v>:</v>
      </c>
      <c r="AA35" s="544" t="str">
        <f>IF(VLOOKUP($E$35,[1]QUART!$A$2:$FA$315, 26, FALSE)="",":",VLOOKUP($E$35,[1]QUART!$A$2:$FA$315, 26, FALSE))</f>
        <v>:</v>
      </c>
      <c r="AB35" s="544" t="str">
        <f>IF(VLOOKUP($E$35,[1]QUART!$A$2:$FA$315, 27, FALSE)="",":",VLOOKUP($E$35,[1]QUART!$A$2:$FA$315, 27, FALSE))</f>
        <v>:</v>
      </c>
      <c r="AC35" s="544" t="str">
        <f>IF(VLOOKUP($E$35,[1]QUART!$A$2:$FA$315, 28, FALSE)="",":",VLOOKUP($E$35,[1]QUART!$A$2:$FA$315, 28, FALSE))</f>
        <v>:</v>
      </c>
      <c r="AD35" s="544" t="str">
        <f>IF(VLOOKUP($E$35,[1]QUART!$A$2:$FA$315, 29, FALSE)="",":",VLOOKUP($E$35,[1]QUART!$A$2:$FA$315, 29, FALSE))</f>
        <v>:</v>
      </c>
      <c r="AE35" s="544" t="str">
        <f>IF(VLOOKUP($E$35,[1]QUART!$A$2:$FA$315, 30, FALSE)="",":",VLOOKUP($E$35,[1]QUART!$A$2:$FA$315, 30, FALSE))</f>
        <v>:</v>
      </c>
      <c r="AF35" s="544" t="str">
        <f>IF(VLOOKUP($E$35,[1]QUART!$A$2:$FA$315, 31, FALSE)="",":",VLOOKUP($E$35,[1]QUART!$A$2:$FA$315, 31, FALSE))</f>
        <v>:</v>
      </c>
      <c r="AG35" s="544" t="str">
        <f>IF(VLOOKUP($E$35,[1]QUART!$A$2:$FA$315, 32, FALSE)="",":",VLOOKUP($E$35,[1]QUART!$A$2:$FA$315, 32, FALSE))</f>
        <v>:</v>
      </c>
      <c r="AH35" s="544" t="str">
        <f>IF(VLOOKUP($E$35,[1]QUART!$A$2:$FA$315, 33, FALSE)="",":",VLOOKUP($E$35,[1]QUART!$A$2:$FA$315, 33, FALSE))</f>
        <v>:</v>
      </c>
      <c r="AI35" s="544" t="str">
        <f>IF(VLOOKUP($E$35,[1]QUART!$A$2:$FA$315, 34, FALSE)="",":",VLOOKUP($E$35,[1]QUART!$A$2:$FA$315, 34, FALSE))</f>
        <v>:</v>
      </c>
      <c r="AJ35" s="544" t="str">
        <f>IF(VLOOKUP($E$35,[1]QUART!$A$2:$FA$315, 35, FALSE)="",":",VLOOKUP($E$35,[1]QUART!$A$2:$FA$315, 35, FALSE))</f>
        <v>:</v>
      </c>
      <c r="AK35" s="544" t="str">
        <f>IF(VLOOKUP($E$35,[1]QUART!$A$2:$FA$315, 36, FALSE)="",":",VLOOKUP($E$35,[1]QUART!$A$2:$FA$315, 36, FALSE))</f>
        <v>:</v>
      </c>
      <c r="AL35" s="544" t="str">
        <f>IF(VLOOKUP($E$35,[1]QUART!$A$2:$FA$315, 37, FALSE)="",":",VLOOKUP($E$35,[1]QUART!$A$2:$FA$315, 37, FALSE))</f>
        <v>:</v>
      </c>
      <c r="AM35" s="544" t="str">
        <f>IF(VLOOKUP($E$35,[1]QUART!$A$2:$FA$315, 38, FALSE)="",":",VLOOKUP($E$35,[1]QUART!$A$2:$FA$315, 38, FALSE))</f>
        <v>:</v>
      </c>
      <c r="AN35" s="544" t="str">
        <f>IF(VLOOKUP($E$35,[1]QUART!$A$2:$FA$315, 39, FALSE)="",":",VLOOKUP($E$35,[1]QUART!$A$2:$FA$315, 39, FALSE))</f>
        <v>:</v>
      </c>
      <c r="AO35" s="544" t="str">
        <f>IF(VLOOKUP($E$35,[1]QUART!$A$2:$FA$315, 40, FALSE)="",":",VLOOKUP($E$35,[1]QUART!$A$2:$FA$315, 40, FALSE))</f>
        <v>:</v>
      </c>
      <c r="AP35" s="544" t="str">
        <f>IF(VLOOKUP($E$35,[1]QUART!$A$2:$FA$315, 41, FALSE)="",":",VLOOKUP($E$35,[1]QUART!$A$2:$FA$315, 41, FALSE))</f>
        <v>:</v>
      </c>
      <c r="AQ35" s="544" t="str">
        <f>IF(VLOOKUP($E$35,[1]QUART!$A$2:$FA$315, 42, FALSE)="",":",VLOOKUP($E$35,[1]QUART!$A$2:$FA$315, 42, FALSE))</f>
        <v>:</v>
      </c>
      <c r="AR35" s="544" t="str">
        <f>IF(VLOOKUP($E$35,[1]QUART!$A$2:$FA$315, 43, FALSE)="",":",VLOOKUP($E$35,[1]QUART!$A$2:$FA$315, 43, FALSE))</f>
        <v>:</v>
      </c>
      <c r="AS35" s="544" t="str">
        <f>IF(VLOOKUP($E$35,[1]QUART!$A$2:$FA$315, 44, FALSE)="",":",VLOOKUP($E$35,[1]QUART!$A$2:$FA$315, 44, FALSE))</f>
        <v>:</v>
      </c>
      <c r="AT35" s="544" t="str">
        <f>IF(VLOOKUP($E$35,[1]QUART!$A$2:$FA$315, 45, FALSE)="",":",VLOOKUP($E$35,[1]QUART!$A$2:$FA$315, 45, FALSE))</f>
        <v>:</v>
      </c>
      <c r="AU35" s="544" t="str">
        <f>IF(VLOOKUP($E$35,[1]QUART!$A$2:$FA$315, 46, FALSE)="",":",VLOOKUP($E$35,[1]QUART!$A$2:$FA$315, 46, FALSE))</f>
        <v>:</v>
      </c>
      <c r="AV35" s="544" t="str">
        <f>IF(VLOOKUP($E$35,[1]QUART!$A$2:$FA$315, 47, FALSE)="",":",VLOOKUP($E$35,[1]QUART!$A$2:$FA$315, 47, FALSE))</f>
        <v>:</v>
      </c>
      <c r="AW35" s="544" t="str">
        <f>IF(VLOOKUP($E$35,[1]QUART!$A$2:$FA$315, 48, FALSE)="",":",VLOOKUP($E$35,[1]QUART!$A$2:$FA$315, 48, FALSE))</f>
        <v>:</v>
      </c>
      <c r="AX35" s="544" t="str">
        <f>IF(VLOOKUP($E$35,[1]QUART!$A$2:$FA$315, 49, FALSE)="",":",VLOOKUP($E$35,[1]QUART!$A$2:$FA$315, 49, FALSE))</f>
        <v>:</v>
      </c>
      <c r="AY35" s="544" t="str">
        <f>IF(VLOOKUP($E$35,[1]QUART!$A$2:$FA$315, 50, FALSE)="",":",VLOOKUP($E$35,[1]QUART!$A$2:$FA$315, 50, FALSE))</f>
        <v>:</v>
      </c>
      <c r="AZ35" s="544" t="str">
        <f>IF(VLOOKUP($E$35,[1]QUART!$A$2:$FA$315, 51, FALSE)="",":",VLOOKUP($E$35,[1]QUART!$A$2:$FA$315, 51, FALSE))</f>
        <v>:</v>
      </c>
      <c r="BA35" s="544" t="str">
        <f>IF(VLOOKUP($E$35,[1]QUART!$A$2:$FA$315, 52, FALSE)="",":",VLOOKUP($E$35,[1]QUART!$A$2:$FA$315, 52, FALSE))</f>
        <v>:</v>
      </c>
      <c r="BB35" s="544" t="str">
        <f>IF(VLOOKUP($E$35,[1]QUART!$A$2:$FA$315, 53, FALSE)="",":",VLOOKUP($E$35,[1]QUART!$A$2:$FA$315, 53, FALSE))</f>
        <v>:</v>
      </c>
      <c r="BC35" s="544" t="str">
        <f>IF(VLOOKUP($E$35,[1]QUART!$A$2:$FA$315, 54, FALSE)="",":",VLOOKUP($E$35,[1]QUART!$A$2:$FA$315, 54, FALSE))</f>
        <v>:</v>
      </c>
      <c r="BD35" s="544" t="str">
        <f>IF(VLOOKUP($E$35,[1]QUART!$A$2:$FA$315, 55, FALSE)="",":",VLOOKUP($E$35,[1]QUART!$A$2:$FA$315, 55, FALSE))</f>
        <v>:</v>
      </c>
      <c r="BE35" s="544" t="str">
        <f>IF(VLOOKUP($E$35,[1]QUART!$A$2:$FA$315, 56, FALSE)="",":",VLOOKUP($E$35,[1]QUART!$A$2:$FA$315, 56, FALSE))</f>
        <v>:</v>
      </c>
      <c r="BF35" s="544" t="str">
        <f>IF(VLOOKUP($E$35,[1]QUART!$A$2:$FA$315, 57, FALSE)="",":",VLOOKUP($E$35,[1]QUART!$A$2:$FA$315, 57, FALSE))</f>
        <v>:</v>
      </c>
      <c r="BG35" s="544" t="str">
        <f>IF(VLOOKUP($E$35,[1]QUART!$A$2:$FA$315, 58, FALSE)="",":",VLOOKUP($E$35,[1]QUART!$A$2:$FA$315, 58, FALSE))</f>
        <v>:</v>
      </c>
      <c r="BH35" s="544" t="str">
        <f>IF(VLOOKUP($E$35,[1]QUART!$A$2:$FA$315, 59, FALSE)="",":",VLOOKUP($E$35,[1]QUART!$A$2:$FA$315, 59, FALSE))</f>
        <v>:</v>
      </c>
      <c r="BI35" s="544" t="str">
        <f>IF(VLOOKUP($E$35,[1]QUART!$A$2:$FA$315, 60, FALSE)="",":",VLOOKUP($E$35,[1]QUART!$A$2:$FA$315, 60, FALSE))</f>
        <v>:</v>
      </c>
      <c r="BJ35" s="544" t="str">
        <f>IF(VLOOKUP($E$35,[1]QUART!$A$2:$FA$315, 61, FALSE)="",":",VLOOKUP($E$35,[1]QUART!$A$2:$FA$315, 61, FALSE))</f>
        <v>:</v>
      </c>
      <c r="BK35" s="544" t="str">
        <f>IF(VLOOKUP($E$35,[1]QUART!$A$2:$FA$315, 62, FALSE)="",":",VLOOKUP($E$35,[1]QUART!$A$2:$FA$315, 62, FALSE))</f>
        <v>:</v>
      </c>
      <c r="BL35" s="544" t="str">
        <f>IF(VLOOKUP($E$35,[1]QUART!$A$2:$FA$315, 63, FALSE)="",":",VLOOKUP($E$35,[1]QUART!$A$2:$FA$315, 63, FALSE))</f>
        <v>:</v>
      </c>
      <c r="BM35" s="544" t="str">
        <f>IF(VLOOKUP($E$35,[1]QUART!$A$2:$FA$315, 64, FALSE)="",":",VLOOKUP($E$35,[1]QUART!$A$2:$FA$315, 64, FALSE))</f>
        <v>:</v>
      </c>
      <c r="BN35" s="544" t="str">
        <f>IF(VLOOKUP($E$35,[1]QUART!$A$2:$FA$315, 65, FALSE)="",":",VLOOKUP($E$35,[1]QUART!$A$2:$FA$315, 65, FALSE))</f>
        <v>:</v>
      </c>
      <c r="BO35" s="544" t="str">
        <f>IF(VLOOKUP($E$35,[1]QUART!$A$2:$FA$315, 66, FALSE)="",":",VLOOKUP($E$35,[1]QUART!$A$2:$FA$315, 66, FALSE))</f>
        <v>:</v>
      </c>
      <c r="BP35" s="544" t="str">
        <f>IF(VLOOKUP($E$35,[1]QUART!$A$2:$FA$315, 67, FALSE)="",":",VLOOKUP($E$35,[1]QUART!$A$2:$FA$315, 67, FALSE))</f>
        <v>:</v>
      </c>
      <c r="BQ35" s="544" t="str">
        <f>IF(VLOOKUP($E$35,[1]QUART!$A$2:$FA$315, 68, FALSE)="",":",VLOOKUP($E$35,[1]QUART!$A$2:$FA$315, 68, FALSE))</f>
        <v>:</v>
      </c>
      <c r="BR35" s="544" t="str">
        <f>IF(VLOOKUP($E$35,[1]QUART!$A$2:$FA$315, 69, FALSE)="",":",VLOOKUP($E$35,[1]QUART!$A$2:$FA$315, 69, FALSE))</f>
        <v>:</v>
      </c>
      <c r="BS35" s="544" t="str">
        <f>IF(VLOOKUP($E$35,[1]QUART!$A$2:$FA$315, 70, FALSE)="",":",VLOOKUP($E$35,[1]QUART!$A$2:$FA$315, 70, FALSE))</f>
        <v>:</v>
      </c>
      <c r="BT35" s="544" t="str">
        <f>IF(VLOOKUP($E$35,[1]QUART!$A$2:$FA$315, 71, FALSE)="",":",VLOOKUP($E$35,[1]QUART!$A$2:$FA$315, 71, FALSE))</f>
        <v>:</v>
      </c>
      <c r="BU35" s="544" t="str">
        <f>IF(VLOOKUP($E$35,[1]QUART!$A$2:$FA$315, 72, FALSE)="",":",VLOOKUP($E$35,[1]QUART!$A$2:$FA$315, 72, FALSE))</f>
        <v>:</v>
      </c>
      <c r="BV35" s="544" t="str">
        <f>IF(VLOOKUP($E$35,[1]QUART!$A$2:$FA$315, 73, FALSE)="",":",VLOOKUP($E$35,[1]QUART!$A$2:$FA$315, 73, FALSE))</f>
        <v>:</v>
      </c>
      <c r="BW35" s="544" t="str">
        <f>IF(VLOOKUP($E$35,[1]QUART!$A$2:$FA$315, 74, FALSE)="",":",VLOOKUP($E$35,[1]QUART!$A$2:$FA$315, 74, FALSE))</f>
        <v>:</v>
      </c>
      <c r="BX35" s="544" t="str">
        <f>IF(VLOOKUP($E$35,[1]QUART!$A$2:$FA$315, 75, FALSE)="",":",VLOOKUP($E$35,[1]QUART!$A$2:$FA$315, 75, FALSE))</f>
        <v>:</v>
      </c>
      <c r="BY35" s="544" t="str">
        <f>IF(VLOOKUP($E$35,[1]QUART!$A$2:$FA$315, 76, FALSE)="",":",VLOOKUP($E$35,[1]QUART!$A$2:$FA$315, 76, FALSE))</f>
        <v>:</v>
      </c>
      <c r="BZ35" s="544" t="str">
        <f>IF(VLOOKUP($E$35,[1]QUART!$A$2:$FA$315, 77, FALSE)="",":",VLOOKUP($E$35,[1]QUART!$A$2:$FA$315, 77, FALSE))</f>
        <v>:</v>
      </c>
      <c r="CA35" s="544" t="str">
        <f>IF(VLOOKUP($E$35,[1]QUART!$A$2:$FA$315, 78, FALSE)="",":",VLOOKUP($E$35,[1]QUART!$A$2:$FA$315, 78, FALSE))</f>
        <v>:</v>
      </c>
      <c r="CB35" s="544" t="str">
        <f>IF(VLOOKUP($E$35,[1]QUART!$A$2:$FA$315, 79, FALSE)="",":",VLOOKUP($E$35,[1]QUART!$A$2:$FA$315, 79, FALSE))</f>
        <v>:</v>
      </c>
      <c r="CC35" s="544" t="str">
        <f>IF(VLOOKUP($E$35,[1]QUART!$A$2:$FA$315, 80, FALSE)="",":",VLOOKUP($E$35,[1]QUART!$A$2:$FA$315, 80, FALSE))</f>
        <v>:</v>
      </c>
      <c r="CD35" s="544" t="str">
        <f>IF(VLOOKUP($E$35,[1]QUART!$A$2:$FA$315, 81, FALSE)="",":",VLOOKUP($E$35,[1]QUART!$A$2:$FA$315, 81, FALSE))</f>
        <v>:</v>
      </c>
      <c r="CE35" s="544" t="str">
        <f>IF(VLOOKUP($E$35,[1]QUART!$A$2:$FA$315, 82, FALSE)="",":",VLOOKUP($E$35,[1]QUART!$A$2:$FA$315, 82, FALSE))</f>
        <v>:</v>
      </c>
      <c r="CF35" s="544" t="str">
        <f>IF(VLOOKUP($E$35,[1]QUART!$A$2:$FA$315, 83, FALSE)="",":",VLOOKUP($E$35,[1]QUART!$A$2:$FA$315, 83, FALSE))</f>
        <v>:</v>
      </c>
      <c r="CG35" s="544" t="str">
        <f>IF(VLOOKUP($E$35,[1]QUART!$A$2:$FA$315, 84, FALSE)="",":",VLOOKUP($E$35,[1]QUART!$A$2:$FA$315, 84, FALSE))</f>
        <v>:</v>
      </c>
      <c r="CH35" s="544" t="str">
        <f>IF(VLOOKUP($E$35,[1]QUART!$A$2:$FA$315, 85, FALSE)="",":",VLOOKUP($E$35,[1]QUART!$A$2:$FA$315, 85, FALSE))</f>
        <v>:</v>
      </c>
      <c r="CI35" s="544" t="str">
        <f>IF(VLOOKUP($E$35,[1]QUART!$A$2:$FA$315, 86, FALSE)="",":",VLOOKUP($E$35,[1]QUART!$A$2:$FA$315, 86, FALSE))</f>
        <v>:</v>
      </c>
      <c r="CJ35" s="544" t="str">
        <f>IF(VLOOKUP($E$35,[1]QUART!$A$2:$FA$315, 87, FALSE)="",":",VLOOKUP($E$35,[1]QUART!$A$2:$FA$315, 87, FALSE))</f>
        <v>:</v>
      </c>
      <c r="CK35" s="544" t="str">
        <f>IF(VLOOKUP($E$35,[1]QUART!$A$2:$FA$315, 88, FALSE)="",":",VLOOKUP($E$35,[1]QUART!$A$2:$FA$315, 88, FALSE))</f>
        <v>:</v>
      </c>
      <c r="CL35" s="544" t="str">
        <f>IF(VLOOKUP($E$35,[1]QUART!$A$2:$FA$315, 89, FALSE)="",":",VLOOKUP($E$35,[1]QUART!$A$2:$FA$315, 89, FALSE))</f>
        <v>:</v>
      </c>
      <c r="CM35" s="544" t="str">
        <f>IF(VLOOKUP($E$35,[1]QUART!$A$2:$FA$315, 90, FALSE)="",":",VLOOKUP($E$35,[1]QUART!$A$2:$FA$315, 90, FALSE))</f>
        <v>:</v>
      </c>
      <c r="CN35" s="544" t="str">
        <f>IF(VLOOKUP($E$35,[1]QUART!$A$2:$FA$315, 91, FALSE)="",":",VLOOKUP($E$35,[1]QUART!$A$2:$FA$315, 91, FALSE))</f>
        <v>:</v>
      </c>
      <c r="CO35" s="544" t="str">
        <f>IF(VLOOKUP($E$35,[1]QUART!$A$2:$FA$315, 92, FALSE)="",":",VLOOKUP($E$35,[1]QUART!$A$2:$FA$315, 92, FALSE))</f>
        <v>:</v>
      </c>
      <c r="CP35" s="544" t="str">
        <f>IF(VLOOKUP($E$35,[1]QUART!$A$2:$FA$315, 93, FALSE)="",":",VLOOKUP($E$35,[1]QUART!$A$2:$FA$315, 93, FALSE))</f>
        <v>:</v>
      </c>
      <c r="CQ35" s="544" t="str">
        <f>IF(VLOOKUP($E$35,[1]QUART!$A$2:$FA$315, 94, FALSE)="",":",VLOOKUP($E$35,[1]QUART!$A$2:$FA$315, 94, FALSE))</f>
        <v>:</v>
      </c>
      <c r="CR35" s="544" t="str">
        <f>IF(VLOOKUP($E$35,[1]QUART!$A$2:$FA$315, 95, FALSE)="",":",VLOOKUP($E$35,[1]QUART!$A$2:$FA$315, 95, FALSE))</f>
        <v>:</v>
      </c>
      <c r="CS35" s="544" t="str">
        <f>IF(VLOOKUP($E$35,[1]QUART!$A$2:$FA$315, 96, FALSE)="",":",VLOOKUP($E$35,[1]QUART!$A$2:$FA$315, 96, FALSE))</f>
        <v>:</v>
      </c>
      <c r="CT35" s="544" t="str">
        <f>IF(VLOOKUP($E$35,[1]QUART!$A$2:$FA$315, 97, FALSE)="",":",VLOOKUP($E$35,[1]QUART!$A$2:$FA$315, 97, FALSE))</f>
        <v>:</v>
      </c>
      <c r="CU35" s="544" t="str">
        <f>IF(VLOOKUP($E$35,[1]QUART!$A$2:$FA$315, 98, FALSE)="",":",VLOOKUP($E$35,[1]QUART!$A$2:$FA$315, 98, FALSE))</f>
        <v>:</v>
      </c>
      <c r="CV35" s="544" t="str">
        <f>IF(VLOOKUP($E$35,[1]QUART!$A$2:$FA$315, 99, FALSE)="",":",VLOOKUP($E$35,[1]QUART!$A$2:$FA$315, 99, FALSE))</f>
        <v>:</v>
      </c>
      <c r="CW35" s="544" t="str">
        <f>IF(VLOOKUP($E$35,[1]QUART!$A$2:$FA$315, 100, FALSE)="",":",VLOOKUP($E$35,[1]QUART!$A$2:$FA$315, 100, FALSE))</f>
        <v>:</v>
      </c>
      <c r="CX35" s="544" t="str">
        <f>IF(VLOOKUP($E$35,[1]QUART!$A$2:$FA$315, 101, FALSE)="",":",VLOOKUP($E$35,[1]QUART!$A$2:$FA$315, 101, FALSE))</f>
        <v>:</v>
      </c>
      <c r="CY35" s="544" t="str">
        <f>IF(VLOOKUP($E$35,[1]QUART!$A$2:$FA$315, 102, FALSE)="",":",VLOOKUP($E$35,[1]QUART!$A$2:$FA$315, 102, FALSE))</f>
        <v>:</v>
      </c>
      <c r="CZ35" s="544" t="str">
        <f>IF(VLOOKUP($E$35,[1]QUART!$A$2:$FA$315, 103, FALSE)="",":",VLOOKUP($E$35,[1]QUART!$A$2:$FA$315, 103, FALSE))</f>
        <v>:</v>
      </c>
      <c r="DA35" s="544" t="str">
        <f>IF(VLOOKUP($E$35,[1]QUART!$A$2:$FA$315, 104, FALSE)="",":",VLOOKUP($E$35,[1]QUART!$A$2:$FA$315, 104, FALSE))</f>
        <v>:</v>
      </c>
      <c r="DB35" s="544" t="str">
        <f>IF(VLOOKUP($E$35,[1]QUART!$A$2:$FA$315, 105, FALSE)="",":",VLOOKUP($E$35,[1]QUART!$A$2:$FA$315, 105, FALSE))</f>
        <v>:</v>
      </c>
      <c r="DC35" s="544" t="str">
        <f>IF(VLOOKUP($E$35,[1]QUART!$A$2:$FA$315, 106, FALSE)="",":",VLOOKUP($E$35,[1]QUART!$A$2:$FA$315, 106, FALSE))</f>
        <v>:</v>
      </c>
    </row>
    <row r="36" spans="1:107">
      <c r="A36" s="1954"/>
      <c r="B36" s="534"/>
      <c r="C36" s="535"/>
      <c r="D36" s="12" t="s">
        <v>1841</v>
      </c>
      <c r="E36" s="13">
        <v>102</v>
      </c>
      <c r="F36" s="14" t="str">
        <f>VLOOKUP($E$36,[1]QUART!$A$2:$FA$315, 3, FALSE)</f>
        <v xml:space="preserve">102  Gross fixed capital formation                                                   </v>
      </c>
      <c r="G36" s="544" t="str">
        <f>IF(VLOOKUP($E$36,[1]QUART!$A$2:$FA$315, 6, FALSE)="",":",VLOOKUP($E$36,[1]QUART!$A$2:$FA$315, 6, FALSE))</f>
        <v>:</v>
      </c>
      <c r="H36" s="544" t="str">
        <f>IF(VLOOKUP($E$36,[1]QUART!$A$2:$FA$315, 7, FALSE)="",":",VLOOKUP($E$36,[1]QUART!$A$2:$FA$315, 7, FALSE))</f>
        <v>:</v>
      </c>
      <c r="I36" s="544" t="str">
        <f>IF(VLOOKUP($E$36,[1]QUART!$A$2:$FA$315, 8, FALSE)="",":",VLOOKUP($E$36,[1]QUART!$A$2:$FA$315, 8, FALSE))</f>
        <v>:</v>
      </c>
      <c r="J36" s="544" t="str">
        <f>IF(VLOOKUP($E$36,[1]QUART!$A$2:$FA$315, 9, FALSE)="",":",VLOOKUP($E$36,[1]QUART!$A$2:$FA$315, 9, FALSE))</f>
        <v>:</v>
      </c>
      <c r="K36" s="544" t="str">
        <f>IF(VLOOKUP($E$36,[1]QUART!$A$2:$FA$315, 10, FALSE)="",":",VLOOKUP($E$36,[1]QUART!$A$2:$FA$315, 10, FALSE))</f>
        <v>:</v>
      </c>
      <c r="L36" s="544" t="str">
        <f>IF(VLOOKUP($E$36,[1]QUART!$A$2:$FA$315, 11, FALSE)="",":",VLOOKUP($E$36,[1]QUART!$A$2:$FA$315, 11, FALSE))</f>
        <v>:</v>
      </c>
      <c r="M36" s="544" t="str">
        <f>IF(VLOOKUP($E$36,[1]QUART!$A$2:$FA$315, 12, FALSE)="",":",VLOOKUP($E$36,[1]QUART!$A$2:$FA$315, 12, FALSE))</f>
        <v>:</v>
      </c>
      <c r="N36" s="544" t="str">
        <f>IF(VLOOKUP($E$36,[1]QUART!$A$2:$FA$315, 13, FALSE)="",":",VLOOKUP($E$36,[1]QUART!$A$2:$FA$315, 13, FALSE))</f>
        <v>:</v>
      </c>
      <c r="O36" s="544" t="str">
        <f>IF(VLOOKUP($E$36,[1]QUART!$A$2:$FA$315, 14, FALSE)="",":",VLOOKUP($E$36,[1]QUART!$A$2:$FA$315, 14, FALSE))</f>
        <v>:</v>
      </c>
      <c r="P36" s="544" t="str">
        <f>IF(VLOOKUP($E$36,[1]QUART!$A$2:$FA$315, 15, FALSE)="",":",VLOOKUP($E$36,[1]QUART!$A$2:$FA$315, 15, FALSE))</f>
        <v>:</v>
      </c>
      <c r="Q36" s="544" t="str">
        <f>IF(VLOOKUP($E$36,[1]QUART!$A$2:$FA$315, 16, FALSE)="",":",VLOOKUP($E$36,[1]QUART!$A$2:$FA$315, 16, FALSE))</f>
        <v>:</v>
      </c>
      <c r="R36" s="544" t="str">
        <f>IF(VLOOKUP($E$36,[1]QUART!$A$2:$FA$315, 17, FALSE)="",":",VLOOKUP($E$36,[1]QUART!$A$2:$FA$315, 17, FALSE))</f>
        <v>:</v>
      </c>
      <c r="S36" s="544" t="str">
        <f>IF(VLOOKUP($E$36,[1]QUART!$A$2:$FA$315, 18, FALSE)="",":",VLOOKUP($E$36,[1]QUART!$A$2:$FA$315, 18, FALSE))</f>
        <v>:</v>
      </c>
      <c r="T36" s="544" t="str">
        <f>IF(VLOOKUP($E$36,[1]QUART!$A$2:$FA$315, 19, FALSE)="",":",VLOOKUP($E$36,[1]QUART!$A$2:$FA$315, 19, FALSE))</f>
        <v>:</v>
      </c>
      <c r="U36" s="544" t="str">
        <f>IF(VLOOKUP($E$36,[1]QUART!$A$2:$FA$315, 20, FALSE)="",":",VLOOKUP($E$36,[1]QUART!$A$2:$FA$315, 20, FALSE))</f>
        <v>:</v>
      </c>
      <c r="V36" s="544" t="str">
        <f>IF(VLOOKUP($E$36,[1]QUART!$A$2:$FA$315, 21, FALSE)="",":",VLOOKUP($E$36,[1]QUART!$A$2:$FA$315, 21, FALSE))</f>
        <v>:</v>
      </c>
      <c r="W36" s="544" t="str">
        <f>IF(VLOOKUP($E$36,[1]QUART!$A$2:$FA$315, 22, FALSE)="",":",VLOOKUP($E$36,[1]QUART!$A$2:$FA$315, 22, FALSE))</f>
        <v>:</v>
      </c>
      <c r="X36" s="544" t="str">
        <f>IF(VLOOKUP($E$36,[1]QUART!$A$2:$FA$315, 23, FALSE)="",":",VLOOKUP($E$36,[1]QUART!$A$2:$FA$315, 23, FALSE))</f>
        <v>:</v>
      </c>
      <c r="Y36" s="544" t="str">
        <f>IF(VLOOKUP($E$36,[1]QUART!$A$2:$FA$315, 24, FALSE)="",":",VLOOKUP($E$36,[1]QUART!$A$2:$FA$315, 24, FALSE))</f>
        <v>:</v>
      </c>
      <c r="Z36" s="544" t="str">
        <f>IF(VLOOKUP($E$36,[1]QUART!$A$2:$FA$315, 25, FALSE)="",":",VLOOKUP($E$36,[1]QUART!$A$2:$FA$315, 25, FALSE))</f>
        <v>:</v>
      </c>
      <c r="AA36" s="544" t="str">
        <f>IF(VLOOKUP($E$36,[1]QUART!$A$2:$FA$315, 26, FALSE)="",":",VLOOKUP($E$36,[1]QUART!$A$2:$FA$315, 26, FALSE))</f>
        <v>:</v>
      </c>
      <c r="AB36" s="544" t="str">
        <f>IF(VLOOKUP($E$36,[1]QUART!$A$2:$FA$315, 27, FALSE)="",":",VLOOKUP($E$36,[1]QUART!$A$2:$FA$315, 27, FALSE))</f>
        <v>:</v>
      </c>
      <c r="AC36" s="544" t="str">
        <f>IF(VLOOKUP($E$36,[1]QUART!$A$2:$FA$315, 28, FALSE)="",":",VLOOKUP($E$36,[1]QUART!$A$2:$FA$315, 28, FALSE))</f>
        <v>:</v>
      </c>
      <c r="AD36" s="544" t="str">
        <f>IF(VLOOKUP($E$36,[1]QUART!$A$2:$FA$315, 29, FALSE)="",":",VLOOKUP($E$36,[1]QUART!$A$2:$FA$315, 29, FALSE))</f>
        <v>:</v>
      </c>
      <c r="AE36" s="544" t="str">
        <f>IF(VLOOKUP($E$36,[1]QUART!$A$2:$FA$315, 30, FALSE)="",":",VLOOKUP($E$36,[1]QUART!$A$2:$FA$315, 30, FALSE))</f>
        <v>:</v>
      </c>
      <c r="AF36" s="544" t="str">
        <f>IF(VLOOKUP($E$36,[1]QUART!$A$2:$FA$315, 31, FALSE)="",":",VLOOKUP($E$36,[1]QUART!$A$2:$FA$315, 31, FALSE))</f>
        <v>:</v>
      </c>
      <c r="AG36" s="544" t="str">
        <f>IF(VLOOKUP($E$36,[1]QUART!$A$2:$FA$315, 32, FALSE)="",":",VLOOKUP($E$36,[1]QUART!$A$2:$FA$315, 32, FALSE))</f>
        <v>:</v>
      </c>
      <c r="AH36" s="544" t="str">
        <f>IF(VLOOKUP($E$36,[1]QUART!$A$2:$FA$315, 33, FALSE)="",":",VLOOKUP($E$36,[1]QUART!$A$2:$FA$315, 33, FALSE))</f>
        <v>:</v>
      </c>
      <c r="AI36" s="544" t="str">
        <f>IF(VLOOKUP($E$36,[1]QUART!$A$2:$FA$315, 34, FALSE)="",":",VLOOKUP($E$36,[1]QUART!$A$2:$FA$315, 34, FALSE))</f>
        <v>:</v>
      </c>
      <c r="AJ36" s="544" t="str">
        <f>IF(VLOOKUP($E$36,[1]QUART!$A$2:$FA$315, 35, FALSE)="",":",VLOOKUP($E$36,[1]QUART!$A$2:$FA$315, 35, FALSE))</f>
        <v>:</v>
      </c>
      <c r="AK36" s="544" t="str">
        <f>IF(VLOOKUP($E$36,[1]QUART!$A$2:$FA$315, 36, FALSE)="",":",VLOOKUP($E$36,[1]QUART!$A$2:$FA$315, 36, FALSE))</f>
        <v>:</v>
      </c>
      <c r="AL36" s="544" t="str">
        <f>IF(VLOOKUP($E$36,[1]QUART!$A$2:$FA$315, 37, FALSE)="",":",VLOOKUP($E$36,[1]QUART!$A$2:$FA$315, 37, FALSE))</f>
        <v>:</v>
      </c>
      <c r="AM36" s="544" t="str">
        <f>IF(VLOOKUP($E$36,[1]QUART!$A$2:$FA$315, 38, FALSE)="",":",VLOOKUP($E$36,[1]QUART!$A$2:$FA$315, 38, FALSE))</f>
        <v>:</v>
      </c>
      <c r="AN36" s="544" t="str">
        <f>IF(VLOOKUP($E$36,[1]QUART!$A$2:$FA$315, 39, FALSE)="",":",VLOOKUP($E$36,[1]QUART!$A$2:$FA$315, 39, FALSE))</f>
        <v>:</v>
      </c>
      <c r="AO36" s="544" t="str">
        <f>IF(VLOOKUP($E$36,[1]QUART!$A$2:$FA$315, 40, FALSE)="",":",VLOOKUP($E$36,[1]QUART!$A$2:$FA$315, 40, FALSE))</f>
        <v>:</v>
      </c>
      <c r="AP36" s="544" t="str">
        <f>IF(VLOOKUP($E$36,[1]QUART!$A$2:$FA$315, 41, FALSE)="",":",VLOOKUP($E$36,[1]QUART!$A$2:$FA$315, 41, FALSE))</f>
        <v>:</v>
      </c>
      <c r="AQ36" s="544" t="str">
        <f>IF(VLOOKUP($E$36,[1]QUART!$A$2:$FA$315, 42, FALSE)="",":",VLOOKUP($E$36,[1]QUART!$A$2:$FA$315, 42, FALSE))</f>
        <v>:</v>
      </c>
      <c r="AR36" s="544" t="str">
        <f>IF(VLOOKUP($E$36,[1]QUART!$A$2:$FA$315, 43, FALSE)="",":",VLOOKUP($E$36,[1]QUART!$A$2:$FA$315, 43, FALSE))</f>
        <v>:</v>
      </c>
      <c r="AS36" s="544" t="str">
        <f>IF(VLOOKUP($E$36,[1]QUART!$A$2:$FA$315, 44, FALSE)="",":",VLOOKUP($E$36,[1]QUART!$A$2:$FA$315, 44, FALSE))</f>
        <v>:</v>
      </c>
      <c r="AT36" s="544" t="str">
        <f>IF(VLOOKUP($E$36,[1]QUART!$A$2:$FA$315, 45, FALSE)="",":",VLOOKUP($E$36,[1]QUART!$A$2:$FA$315, 45, FALSE))</f>
        <v>:</v>
      </c>
      <c r="AU36" s="544" t="str">
        <f>IF(VLOOKUP($E$36,[1]QUART!$A$2:$FA$315, 46, FALSE)="",":",VLOOKUP($E$36,[1]QUART!$A$2:$FA$315, 46, FALSE))</f>
        <v>:</v>
      </c>
      <c r="AV36" s="544" t="str">
        <f>IF(VLOOKUP($E$36,[1]QUART!$A$2:$FA$315, 47, FALSE)="",":",VLOOKUP($E$36,[1]QUART!$A$2:$FA$315, 47, FALSE))</f>
        <v>:</v>
      </c>
      <c r="AW36" s="544" t="str">
        <f>IF(VLOOKUP($E$36,[1]QUART!$A$2:$FA$315, 48, FALSE)="",":",VLOOKUP($E$36,[1]QUART!$A$2:$FA$315, 48, FALSE))</f>
        <v>:</v>
      </c>
      <c r="AX36" s="544" t="str">
        <f>IF(VLOOKUP($E$36,[1]QUART!$A$2:$FA$315, 49, FALSE)="",":",VLOOKUP($E$36,[1]QUART!$A$2:$FA$315, 49, FALSE))</f>
        <v>:</v>
      </c>
      <c r="AY36" s="544" t="str">
        <f>IF(VLOOKUP($E$36,[1]QUART!$A$2:$FA$315, 50, FALSE)="",":",VLOOKUP($E$36,[1]QUART!$A$2:$FA$315, 50, FALSE))</f>
        <v>:</v>
      </c>
      <c r="AZ36" s="544" t="str">
        <f>IF(VLOOKUP($E$36,[1]QUART!$A$2:$FA$315, 51, FALSE)="",":",VLOOKUP($E$36,[1]QUART!$A$2:$FA$315, 51, FALSE))</f>
        <v>:</v>
      </c>
      <c r="BA36" s="544" t="str">
        <f>IF(VLOOKUP($E$36,[1]QUART!$A$2:$FA$315, 52, FALSE)="",":",VLOOKUP($E$36,[1]QUART!$A$2:$FA$315, 52, FALSE))</f>
        <v>:</v>
      </c>
      <c r="BB36" s="544" t="str">
        <f>IF(VLOOKUP($E$36,[1]QUART!$A$2:$FA$315, 53, FALSE)="",":",VLOOKUP($E$36,[1]QUART!$A$2:$FA$315, 53, FALSE))</f>
        <v>:</v>
      </c>
      <c r="BC36" s="544" t="str">
        <f>IF(VLOOKUP($E$36,[1]QUART!$A$2:$FA$315, 54, FALSE)="",":",VLOOKUP($E$36,[1]QUART!$A$2:$FA$315, 54, FALSE))</f>
        <v>:</v>
      </c>
      <c r="BD36" s="544" t="str">
        <f>IF(VLOOKUP($E$36,[1]QUART!$A$2:$FA$315, 55, FALSE)="",":",VLOOKUP($E$36,[1]QUART!$A$2:$FA$315, 55, FALSE))</f>
        <v>:</v>
      </c>
      <c r="BE36" s="544" t="str">
        <f>IF(VLOOKUP($E$36,[1]QUART!$A$2:$FA$315, 56, FALSE)="",":",VLOOKUP($E$36,[1]QUART!$A$2:$FA$315, 56, FALSE))</f>
        <v>:</v>
      </c>
      <c r="BF36" s="544" t="str">
        <f>IF(VLOOKUP($E$36,[1]QUART!$A$2:$FA$315, 57, FALSE)="",":",VLOOKUP($E$36,[1]QUART!$A$2:$FA$315, 57, FALSE))</f>
        <v>:</v>
      </c>
      <c r="BG36" s="544" t="str">
        <f>IF(VLOOKUP($E$36,[1]QUART!$A$2:$FA$315, 58, FALSE)="",":",VLOOKUP($E$36,[1]QUART!$A$2:$FA$315, 58, FALSE))</f>
        <v>:</v>
      </c>
      <c r="BH36" s="544" t="str">
        <f>IF(VLOOKUP($E$36,[1]QUART!$A$2:$FA$315, 59, FALSE)="",":",VLOOKUP($E$36,[1]QUART!$A$2:$FA$315, 59, FALSE))</f>
        <v>:</v>
      </c>
      <c r="BI36" s="544" t="str">
        <f>IF(VLOOKUP($E$36,[1]QUART!$A$2:$FA$315, 60, FALSE)="",":",VLOOKUP($E$36,[1]QUART!$A$2:$FA$315, 60, FALSE))</f>
        <v>:</v>
      </c>
      <c r="BJ36" s="544" t="str">
        <f>IF(VLOOKUP($E$36,[1]QUART!$A$2:$FA$315, 61, FALSE)="",":",VLOOKUP($E$36,[1]QUART!$A$2:$FA$315, 61, FALSE))</f>
        <v>:</v>
      </c>
      <c r="BK36" s="544" t="str">
        <f>IF(VLOOKUP($E$36,[1]QUART!$A$2:$FA$315, 62, FALSE)="",":",VLOOKUP($E$36,[1]QUART!$A$2:$FA$315, 62, FALSE))</f>
        <v>:</v>
      </c>
      <c r="BL36" s="544" t="str">
        <f>IF(VLOOKUP($E$36,[1]QUART!$A$2:$FA$315, 63, FALSE)="",":",VLOOKUP($E$36,[1]QUART!$A$2:$FA$315, 63, FALSE))</f>
        <v>:</v>
      </c>
      <c r="BM36" s="544" t="str">
        <f>IF(VLOOKUP($E$36,[1]QUART!$A$2:$FA$315, 64, FALSE)="",":",VLOOKUP($E$36,[1]QUART!$A$2:$FA$315, 64, FALSE))</f>
        <v>:</v>
      </c>
      <c r="BN36" s="544" t="str">
        <f>IF(VLOOKUP($E$36,[1]QUART!$A$2:$FA$315, 65, FALSE)="",":",VLOOKUP($E$36,[1]QUART!$A$2:$FA$315, 65, FALSE))</f>
        <v>:</v>
      </c>
      <c r="BO36" s="544" t="str">
        <f>IF(VLOOKUP($E$36,[1]QUART!$A$2:$FA$315, 66, FALSE)="",":",VLOOKUP($E$36,[1]QUART!$A$2:$FA$315, 66, FALSE))</f>
        <v>:</v>
      </c>
      <c r="BP36" s="544" t="str">
        <f>IF(VLOOKUP($E$36,[1]QUART!$A$2:$FA$315, 67, FALSE)="",":",VLOOKUP($E$36,[1]QUART!$A$2:$FA$315, 67, FALSE))</f>
        <v>:</v>
      </c>
      <c r="BQ36" s="544" t="str">
        <f>IF(VLOOKUP($E$36,[1]QUART!$A$2:$FA$315, 68, FALSE)="",":",VLOOKUP($E$36,[1]QUART!$A$2:$FA$315, 68, FALSE))</f>
        <v>:</v>
      </c>
      <c r="BR36" s="544" t="str">
        <f>IF(VLOOKUP($E$36,[1]QUART!$A$2:$FA$315, 69, FALSE)="",":",VLOOKUP($E$36,[1]QUART!$A$2:$FA$315, 69, FALSE))</f>
        <v>:</v>
      </c>
      <c r="BS36" s="544" t="str">
        <f>IF(VLOOKUP($E$36,[1]QUART!$A$2:$FA$315, 70, FALSE)="",":",VLOOKUP($E$36,[1]QUART!$A$2:$FA$315, 70, FALSE))</f>
        <v>:</v>
      </c>
      <c r="BT36" s="544" t="str">
        <f>IF(VLOOKUP($E$36,[1]QUART!$A$2:$FA$315, 71, FALSE)="",":",VLOOKUP($E$36,[1]QUART!$A$2:$FA$315, 71, FALSE))</f>
        <v>:</v>
      </c>
      <c r="BU36" s="544" t="str">
        <f>IF(VLOOKUP($E$36,[1]QUART!$A$2:$FA$315, 72, FALSE)="",":",VLOOKUP($E$36,[1]QUART!$A$2:$FA$315, 72, FALSE))</f>
        <v>:</v>
      </c>
      <c r="BV36" s="544" t="str">
        <f>IF(VLOOKUP($E$36,[1]QUART!$A$2:$FA$315, 73, FALSE)="",":",VLOOKUP($E$36,[1]QUART!$A$2:$FA$315, 73, FALSE))</f>
        <v>:</v>
      </c>
      <c r="BW36" s="544" t="str">
        <f>IF(VLOOKUP($E$36,[1]QUART!$A$2:$FA$315, 74, FALSE)="",":",VLOOKUP($E$36,[1]QUART!$A$2:$FA$315, 74, FALSE))</f>
        <v>:</v>
      </c>
      <c r="BX36" s="544" t="str">
        <f>IF(VLOOKUP($E$36,[1]QUART!$A$2:$FA$315, 75, FALSE)="",":",VLOOKUP($E$36,[1]QUART!$A$2:$FA$315, 75, FALSE))</f>
        <v>:</v>
      </c>
      <c r="BY36" s="544" t="str">
        <f>IF(VLOOKUP($E$36,[1]QUART!$A$2:$FA$315, 76, FALSE)="",":",VLOOKUP($E$36,[1]QUART!$A$2:$FA$315, 76, FALSE))</f>
        <v>:</v>
      </c>
      <c r="BZ36" s="544" t="str">
        <f>IF(VLOOKUP($E$36,[1]QUART!$A$2:$FA$315, 77, FALSE)="",":",VLOOKUP($E$36,[1]QUART!$A$2:$FA$315, 77, FALSE))</f>
        <v>:</v>
      </c>
      <c r="CA36" s="544" t="str">
        <f>IF(VLOOKUP($E$36,[1]QUART!$A$2:$FA$315, 78, FALSE)="",":",VLOOKUP($E$36,[1]QUART!$A$2:$FA$315, 78, FALSE))</f>
        <v>:</v>
      </c>
      <c r="CB36" s="544" t="str">
        <f>IF(VLOOKUP($E$36,[1]QUART!$A$2:$FA$315, 79, FALSE)="",":",VLOOKUP($E$36,[1]QUART!$A$2:$FA$315, 79, FALSE))</f>
        <v>:</v>
      </c>
      <c r="CC36" s="544" t="str">
        <f>IF(VLOOKUP($E$36,[1]QUART!$A$2:$FA$315, 80, FALSE)="",":",VLOOKUP($E$36,[1]QUART!$A$2:$FA$315, 80, FALSE))</f>
        <v>:</v>
      </c>
      <c r="CD36" s="544" t="str">
        <f>IF(VLOOKUP($E$36,[1]QUART!$A$2:$FA$315, 81, FALSE)="",":",VLOOKUP($E$36,[1]QUART!$A$2:$FA$315, 81, FALSE))</f>
        <v>:</v>
      </c>
      <c r="CE36" s="544" t="str">
        <f>IF(VLOOKUP($E$36,[1]QUART!$A$2:$FA$315, 82, FALSE)="",":",VLOOKUP($E$36,[1]QUART!$A$2:$FA$315, 82, FALSE))</f>
        <v>:</v>
      </c>
      <c r="CF36" s="544" t="str">
        <f>IF(VLOOKUP($E$36,[1]QUART!$A$2:$FA$315, 83, FALSE)="",":",VLOOKUP($E$36,[1]QUART!$A$2:$FA$315, 83, FALSE))</f>
        <v>:</v>
      </c>
      <c r="CG36" s="544" t="str">
        <f>IF(VLOOKUP($E$36,[1]QUART!$A$2:$FA$315, 84, FALSE)="",":",VLOOKUP($E$36,[1]QUART!$A$2:$FA$315, 84, FALSE))</f>
        <v>:</v>
      </c>
      <c r="CH36" s="544" t="str">
        <f>IF(VLOOKUP($E$36,[1]QUART!$A$2:$FA$315, 85, FALSE)="",":",VLOOKUP($E$36,[1]QUART!$A$2:$FA$315, 85, FALSE))</f>
        <v>:</v>
      </c>
      <c r="CI36" s="544" t="str">
        <f>IF(VLOOKUP($E$36,[1]QUART!$A$2:$FA$315, 86, FALSE)="",":",VLOOKUP($E$36,[1]QUART!$A$2:$FA$315, 86, FALSE))</f>
        <v>:</v>
      </c>
      <c r="CJ36" s="544" t="str">
        <f>IF(VLOOKUP($E$36,[1]QUART!$A$2:$FA$315, 87, FALSE)="",":",VLOOKUP($E$36,[1]QUART!$A$2:$FA$315, 87, FALSE))</f>
        <v>:</v>
      </c>
      <c r="CK36" s="544" t="str">
        <f>IF(VLOOKUP($E$36,[1]QUART!$A$2:$FA$315, 88, FALSE)="",":",VLOOKUP($E$36,[1]QUART!$A$2:$FA$315, 88, FALSE))</f>
        <v>:</v>
      </c>
      <c r="CL36" s="544" t="str">
        <f>IF(VLOOKUP($E$36,[1]QUART!$A$2:$FA$315, 89, FALSE)="",":",VLOOKUP($E$36,[1]QUART!$A$2:$FA$315, 89, FALSE))</f>
        <v>:</v>
      </c>
      <c r="CM36" s="544" t="str">
        <f>IF(VLOOKUP($E$36,[1]QUART!$A$2:$FA$315, 90, FALSE)="",":",VLOOKUP($E$36,[1]QUART!$A$2:$FA$315, 90, FALSE))</f>
        <v>:</v>
      </c>
      <c r="CN36" s="544" t="str">
        <f>IF(VLOOKUP($E$36,[1]QUART!$A$2:$FA$315, 91, FALSE)="",":",VLOOKUP($E$36,[1]QUART!$A$2:$FA$315, 91, FALSE))</f>
        <v>:</v>
      </c>
      <c r="CO36" s="544" t="str">
        <f>IF(VLOOKUP($E$36,[1]QUART!$A$2:$FA$315, 92, FALSE)="",":",VLOOKUP($E$36,[1]QUART!$A$2:$FA$315, 92, FALSE))</f>
        <v>:</v>
      </c>
      <c r="CP36" s="544" t="str">
        <f>IF(VLOOKUP($E$36,[1]QUART!$A$2:$FA$315, 93, FALSE)="",":",VLOOKUP($E$36,[1]QUART!$A$2:$FA$315, 93, FALSE))</f>
        <v>:</v>
      </c>
      <c r="CQ36" s="544" t="str">
        <f>IF(VLOOKUP($E$36,[1]QUART!$A$2:$FA$315, 94, FALSE)="",":",VLOOKUP($E$36,[1]QUART!$A$2:$FA$315, 94, FALSE))</f>
        <v>:</v>
      </c>
      <c r="CR36" s="544" t="str">
        <f>IF(VLOOKUP($E$36,[1]QUART!$A$2:$FA$315, 95, FALSE)="",":",VLOOKUP($E$36,[1]QUART!$A$2:$FA$315, 95, FALSE))</f>
        <v>:</v>
      </c>
      <c r="CS36" s="544" t="str">
        <f>IF(VLOOKUP($E$36,[1]QUART!$A$2:$FA$315, 96, FALSE)="",":",VLOOKUP($E$36,[1]QUART!$A$2:$FA$315, 96, FALSE))</f>
        <v>:</v>
      </c>
      <c r="CT36" s="544" t="str">
        <f>IF(VLOOKUP($E$36,[1]QUART!$A$2:$FA$315, 97, FALSE)="",":",VLOOKUP($E$36,[1]QUART!$A$2:$FA$315, 97, FALSE))</f>
        <v>:</v>
      </c>
      <c r="CU36" s="544" t="str">
        <f>IF(VLOOKUP($E$36,[1]QUART!$A$2:$FA$315, 98, FALSE)="",":",VLOOKUP($E$36,[1]QUART!$A$2:$FA$315, 98, FALSE))</f>
        <v>:</v>
      </c>
      <c r="CV36" s="544" t="str">
        <f>IF(VLOOKUP($E$36,[1]QUART!$A$2:$FA$315, 99, FALSE)="",":",VLOOKUP($E$36,[1]QUART!$A$2:$FA$315, 99, FALSE))</f>
        <v>:</v>
      </c>
      <c r="CW36" s="544" t="str">
        <f>IF(VLOOKUP($E$36,[1]QUART!$A$2:$FA$315, 100, FALSE)="",":",VLOOKUP($E$36,[1]QUART!$A$2:$FA$315, 100, FALSE))</f>
        <v>:</v>
      </c>
      <c r="CX36" s="544" t="str">
        <f>IF(VLOOKUP($E$36,[1]QUART!$A$2:$FA$315, 101, FALSE)="",":",VLOOKUP($E$36,[1]QUART!$A$2:$FA$315, 101, FALSE))</f>
        <v>:</v>
      </c>
      <c r="CY36" s="544" t="str">
        <f>IF(VLOOKUP($E$36,[1]QUART!$A$2:$FA$315, 102, FALSE)="",":",VLOOKUP($E$36,[1]QUART!$A$2:$FA$315, 102, FALSE))</f>
        <v>:</v>
      </c>
      <c r="CZ36" s="544" t="str">
        <f>IF(VLOOKUP($E$36,[1]QUART!$A$2:$FA$315, 103, FALSE)="",":",VLOOKUP($E$36,[1]QUART!$A$2:$FA$315, 103, FALSE))</f>
        <v>:</v>
      </c>
      <c r="DA36" s="544" t="str">
        <f>IF(VLOOKUP($E$36,[1]QUART!$A$2:$FA$315, 104, FALSE)="",":",VLOOKUP($E$36,[1]QUART!$A$2:$FA$315, 104, FALSE))</f>
        <v>:</v>
      </c>
      <c r="DB36" s="544" t="str">
        <f>IF(VLOOKUP($E$36,[1]QUART!$A$2:$FA$315, 105, FALSE)="",":",VLOOKUP($E$36,[1]QUART!$A$2:$FA$315, 105, FALSE))</f>
        <v>:</v>
      </c>
      <c r="DC36" s="544" t="str">
        <f>IF(VLOOKUP($E$36,[1]QUART!$A$2:$FA$315, 106, FALSE)="",":",VLOOKUP($E$36,[1]QUART!$A$2:$FA$315, 106, FALSE))</f>
        <v>:</v>
      </c>
    </row>
    <row r="37" spans="1:107">
      <c r="A37" s="1954"/>
      <c r="B37" s="534"/>
      <c r="C37" s="535"/>
      <c r="D37" s="12" t="s">
        <v>1841</v>
      </c>
      <c r="E37" s="13">
        <v>103</v>
      </c>
      <c r="F37" s="14" t="str">
        <f>VLOOKUP($E$37,[1]QUART!$A$2:$FA$315, 3, FALSE)</f>
        <v xml:space="preserve">103  Changes in inventories and net acquisition of valuables                         </v>
      </c>
      <c r="G37" s="544" t="str">
        <f>IF(VLOOKUP($E$37,[1]QUART!$A$2:$FA$315, 6, FALSE)="",":",VLOOKUP($E$37,[1]QUART!$A$2:$FA$315, 6, FALSE))</f>
        <v>:</v>
      </c>
      <c r="H37" s="544" t="str">
        <f>IF(VLOOKUP($E$37,[1]QUART!$A$2:$FA$315, 7, FALSE)="",":",VLOOKUP($E$37,[1]QUART!$A$2:$FA$315, 7, FALSE))</f>
        <v>:</v>
      </c>
      <c r="I37" s="544" t="str">
        <f>IF(VLOOKUP($E$37,[1]QUART!$A$2:$FA$315, 8, FALSE)="",":",VLOOKUP($E$37,[1]QUART!$A$2:$FA$315, 8, FALSE))</f>
        <v>:</v>
      </c>
      <c r="J37" s="544" t="str">
        <f>IF(VLOOKUP($E$37,[1]QUART!$A$2:$FA$315, 9, FALSE)="",":",VLOOKUP($E$37,[1]QUART!$A$2:$FA$315, 9, FALSE))</f>
        <v>:</v>
      </c>
      <c r="K37" s="544" t="str">
        <f>IF(VLOOKUP($E$37,[1]QUART!$A$2:$FA$315, 10, FALSE)="",":",VLOOKUP($E$37,[1]QUART!$A$2:$FA$315, 10, FALSE))</f>
        <v>:</v>
      </c>
      <c r="L37" s="544" t="str">
        <f>IF(VLOOKUP($E$37,[1]QUART!$A$2:$FA$315, 11, FALSE)="",":",VLOOKUP($E$37,[1]QUART!$A$2:$FA$315, 11, FALSE))</f>
        <v>:</v>
      </c>
      <c r="M37" s="544" t="str">
        <f>IF(VLOOKUP($E$37,[1]QUART!$A$2:$FA$315, 12, FALSE)="",":",VLOOKUP($E$37,[1]QUART!$A$2:$FA$315, 12, FALSE))</f>
        <v>:</v>
      </c>
      <c r="N37" s="544" t="str">
        <f>IF(VLOOKUP($E$37,[1]QUART!$A$2:$FA$315, 13, FALSE)="",":",VLOOKUP($E$37,[1]QUART!$A$2:$FA$315, 13, FALSE))</f>
        <v>:</v>
      </c>
      <c r="O37" s="544" t="str">
        <f>IF(VLOOKUP($E$37,[1]QUART!$A$2:$FA$315, 14, FALSE)="",":",VLOOKUP($E$37,[1]QUART!$A$2:$FA$315, 14, FALSE))</f>
        <v>:</v>
      </c>
      <c r="P37" s="544" t="str">
        <f>IF(VLOOKUP($E$37,[1]QUART!$A$2:$FA$315, 15, FALSE)="",":",VLOOKUP($E$37,[1]QUART!$A$2:$FA$315, 15, FALSE))</f>
        <v>:</v>
      </c>
      <c r="Q37" s="544" t="str">
        <f>IF(VLOOKUP($E$37,[1]QUART!$A$2:$FA$315, 16, FALSE)="",":",VLOOKUP($E$37,[1]QUART!$A$2:$FA$315, 16, FALSE))</f>
        <v>:</v>
      </c>
      <c r="R37" s="544" t="str">
        <f>IF(VLOOKUP($E$37,[1]QUART!$A$2:$FA$315, 17, FALSE)="",":",VLOOKUP($E$37,[1]QUART!$A$2:$FA$315, 17, FALSE))</f>
        <v>:</v>
      </c>
      <c r="S37" s="544" t="str">
        <f>IF(VLOOKUP($E$37,[1]QUART!$A$2:$FA$315, 18, FALSE)="",":",VLOOKUP($E$37,[1]QUART!$A$2:$FA$315, 18, FALSE))</f>
        <v>:</v>
      </c>
      <c r="T37" s="544" t="str">
        <f>IF(VLOOKUP($E$37,[1]QUART!$A$2:$FA$315, 19, FALSE)="",":",VLOOKUP($E$37,[1]QUART!$A$2:$FA$315, 19, FALSE))</f>
        <v>:</v>
      </c>
      <c r="U37" s="544" t="str">
        <f>IF(VLOOKUP($E$37,[1]QUART!$A$2:$FA$315, 20, FALSE)="",":",VLOOKUP($E$37,[1]QUART!$A$2:$FA$315, 20, FALSE))</f>
        <v>:</v>
      </c>
      <c r="V37" s="544" t="str">
        <f>IF(VLOOKUP($E$37,[1]QUART!$A$2:$FA$315, 21, FALSE)="",":",VLOOKUP($E$37,[1]QUART!$A$2:$FA$315, 21, FALSE))</f>
        <v>:</v>
      </c>
      <c r="W37" s="544" t="str">
        <f>IF(VLOOKUP($E$37,[1]QUART!$A$2:$FA$315, 22, FALSE)="",":",VLOOKUP($E$37,[1]QUART!$A$2:$FA$315, 22, FALSE))</f>
        <v>:</v>
      </c>
      <c r="X37" s="544" t="str">
        <f>IF(VLOOKUP($E$37,[1]QUART!$A$2:$FA$315, 23, FALSE)="",":",VLOOKUP($E$37,[1]QUART!$A$2:$FA$315, 23, FALSE))</f>
        <v>:</v>
      </c>
      <c r="Y37" s="544" t="str">
        <f>IF(VLOOKUP($E$37,[1]QUART!$A$2:$FA$315, 24, FALSE)="",":",VLOOKUP($E$37,[1]QUART!$A$2:$FA$315, 24, FALSE))</f>
        <v>:</v>
      </c>
      <c r="Z37" s="544" t="str">
        <f>IF(VLOOKUP($E$37,[1]QUART!$A$2:$FA$315, 25, FALSE)="",":",VLOOKUP($E$37,[1]QUART!$A$2:$FA$315, 25, FALSE))</f>
        <v>:</v>
      </c>
      <c r="AA37" s="544" t="str">
        <f>IF(VLOOKUP($E$37,[1]QUART!$A$2:$FA$315, 26, FALSE)="",":",VLOOKUP($E$37,[1]QUART!$A$2:$FA$315, 26, FALSE))</f>
        <v>:</v>
      </c>
      <c r="AB37" s="544" t="str">
        <f>IF(VLOOKUP($E$37,[1]QUART!$A$2:$FA$315, 27, FALSE)="",":",VLOOKUP($E$37,[1]QUART!$A$2:$FA$315, 27, FALSE))</f>
        <v>:</v>
      </c>
      <c r="AC37" s="544" t="str">
        <f>IF(VLOOKUP($E$37,[1]QUART!$A$2:$FA$315, 28, FALSE)="",":",VLOOKUP($E$37,[1]QUART!$A$2:$FA$315, 28, FALSE))</f>
        <v>:</v>
      </c>
      <c r="AD37" s="544" t="str">
        <f>IF(VLOOKUP($E$37,[1]QUART!$A$2:$FA$315, 29, FALSE)="",":",VLOOKUP($E$37,[1]QUART!$A$2:$FA$315, 29, FALSE))</f>
        <v>:</v>
      </c>
      <c r="AE37" s="544" t="str">
        <f>IF(VLOOKUP($E$37,[1]QUART!$A$2:$FA$315, 30, FALSE)="",":",VLOOKUP($E$37,[1]QUART!$A$2:$FA$315, 30, FALSE))</f>
        <v>:</v>
      </c>
      <c r="AF37" s="544" t="str">
        <f>IF(VLOOKUP($E$37,[1]QUART!$A$2:$FA$315, 31, FALSE)="",":",VLOOKUP($E$37,[1]QUART!$A$2:$FA$315, 31, FALSE))</f>
        <v>:</v>
      </c>
      <c r="AG37" s="544" t="str">
        <f>IF(VLOOKUP($E$37,[1]QUART!$A$2:$FA$315, 32, FALSE)="",":",VLOOKUP($E$37,[1]QUART!$A$2:$FA$315, 32, FALSE))</f>
        <v>:</v>
      </c>
      <c r="AH37" s="544" t="str">
        <f>IF(VLOOKUP($E$37,[1]QUART!$A$2:$FA$315, 33, FALSE)="",":",VLOOKUP($E$37,[1]QUART!$A$2:$FA$315, 33, FALSE))</f>
        <v>:</v>
      </c>
      <c r="AI37" s="544" t="str">
        <f>IF(VLOOKUP($E$37,[1]QUART!$A$2:$FA$315, 34, FALSE)="",":",VLOOKUP($E$37,[1]QUART!$A$2:$FA$315, 34, FALSE))</f>
        <v>:</v>
      </c>
      <c r="AJ37" s="544" t="str">
        <f>IF(VLOOKUP($E$37,[1]QUART!$A$2:$FA$315, 35, FALSE)="",":",VLOOKUP($E$37,[1]QUART!$A$2:$FA$315, 35, FALSE))</f>
        <v>:</v>
      </c>
      <c r="AK37" s="544" t="str">
        <f>IF(VLOOKUP($E$37,[1]QUART!$A$2:$FA$315, 36, FALSE)="",":",VLOOKUP($E$37,[1]QUART!$A$2:$FA$315, 36, FALSE))</f>
        <v>:</v>
      </c>
      <c r="AL37" s="544" t="str">
        <f>IF(VLOOKUP($E$37,[1]QUART!$A$2:$FA$315, 37, FALSE)="",":",VLOOKUP($E$37,[1]QUART!$A$2:$FA$315, 37, FALSE))</f>
        <v>:</v>
      </c>
      <c r="AM37" s="544" t="str">
        <f>IF(VLOOKUP($E$37,[1]QUART!$A$2:$FA$315, 38, FALSE)="",":",VLOOKUP($E$37,[1]QUART!$A$2:$FA$315, 38, FALSE))</f>
        <v>:</v>
      </c>
      <c r="AN37" s="544" t="str">
        <f>IF(VLOOKUP($E$37,[1]QUART!$A$2:$FA$315, 39, FALSE)="",":",VLOOKUP($E$37,[1]QUART!$A$2:$FA$315, 39, FALSE))</f>
        <v>:</v>
      </c>
      <c r="AO37" s="544" t="str">
        <f>IF(VLOOKUP($E$37,[1]QUART!$A$2:$FA$315, 40, FALSE)="",":",VLOOKUP($E$37,[1]QUART!$A$2:$FA$315, 40, FALSE))</f>
        <v>:</v>
      </c>
      <c r="AP37" s="544" t="str">
        <f>IF(VLOOKUP($E$37,[1]QUART!$A$2:$FA$315, 41, FALSE)="",":",VLOOKUP($E$37,[1]QUART!$A$2:$FA$315, 41, FALSE))</f>
        <v>:</v>
      </c>
      <c r="AQ37" s="544" t="str">
        <f>IF(VLOOKUP($E$37,[1]QUART!$A$2:$FA$315, 42, FALSE)="",":",VLOOKUP($E$37,[1]QUART!$A$2:$FA$315, 42, FALSE))</f>
        <v>:</v>
      </c>
      <c r="AR37" s="544" t="str">
        <f>IF(VLOOKUP($E$37,[1]QUART!$A$2:$FA$315, 43, FALSE)="",":",VLOOKUP($E$37,[1]QUART!$A$2:$FA$315, 43, FALSE))</f>
        <v>:</v>
      </c>
      <c r="AS37" s="544" t="str">
        <f>IF(VLOOKUP($E$37,[1]QUART!$A$2:$FA$315, 44, FALSE)="",":",VLOOKUP($E$37,[1]QUART!$A$2:$FA$315, 44, FALSE))</f>
        <v>:</v>
      </c>
      <c r="AT37" s="544" t="str">
        <f>IF(VLOOKUP($E$37,[1]QUART!$A$2:$FA$315, 45, FALSE)="",":",VLOOKUP($E$37,[1]QUART!$A$2:$FA$315, 45, FALSE))</f>
        <v>:</v>
      </c>
      <c r="AU37" s="544" t="str">
        <f>IF(VLOOKUP($E$37,[1]QUART!$A$2:$FA$315, 46, FALSE)="",":",VLOOKUP($E$37,[1]QUART!$A$2:$FA$315, 46, FALSE))</f>
        <v>:</v>
      </c>
      <c r="AV37" s="544" t="str">
        <f>IF(VLOOKUP($E$37,[1]QUART!$A$2:$FA$315, 47, FALSE)="",":",VLOOKUP($E$37,[1]QUART!$A$2:$FA$315, 47, FALSE))</f>
        <v>:</v>
      </c>
      <c r="AW37" s="544" t="str">
        <f>IF(VLOOKUP($E$37,[1]QUART!$A$2:$FA$315, 48, FALSE)="",":",VLOOKUP($E$37,[1]QUART!$A$2:$FA$315, 48, FALSE))</f>
        <v>:</v>
      </c>
      <c r="AX37" s="544" t="str">
        <f>IF(VLOOKUP($E$37,[1]QUART!$A$2:$FA$315, 49, FALSE)="",":",VLOOKUP($E$37,[1]QUART!$A$2:$FA$315, 49, FALSE))</f>
        <v>:</v>
      </c>
      <c r="AY37" s="544" t="str">
        <f>IF(VLOOKUP($E$37,[1]QUART!$A$2:$FA$315, 50, FALSE)="",":",VLOOKUP($E$37,[1]QUART!$A$2:$FA$315, 50, FALSE))</f>
        <v>:</v>
      </c>
      <c r="AZ37" s="544" t="str">
        <f>IF(VLOOKUP($E$37,[1]QUART!$A$2:$FA$315, 51, FALSE)="",":",VLOOKUP($E$37,[1]QUART!$A$2:$FA$315, 51, FALSE))</f>
        <v>:</v>
      </c>
      <c r="BA37" s="544" t="str">
        <f>IF(VLOOKUP($E$37,[1]QUART!$A$2:$FA$315, 52, FALSE)="",":",VLOOKUP($E$37,[1]QUART!$A$2:$FA$315, 52, FALSE))</f>
        <v>:</v>
      </c>
      <c r="BB37" s="544" t="str">
        <f>IF(VLOOKUP($E$37,[1]QUART!$A$2:$FA$315, 53, FALSE)="",":",VLOOKUP($E$37,[1]QUART!$A$2:$FA$315, 53, FALSE))</f>
        <v>:</v>
      </c>
      <c r="BC37" s="544" t="str">
        <f>IF(VLOOKUP($E$37,[1]QUART!$A$2:$FA$315, 54, FALSE)="",":",VLOOKUP($E$37,[1]QUART!$A$2:$FA$315, 54, FALSE))</f>
        <v>:</v>
      </c>
      <c r="BD37" s="544" t="str">
        <f>IF(VLOOKUP($E$37,[1]QUART!$A$2:$FA$315, 55, FALSE)="",":",VLOOKUP($E$37,[1]QUART!$A$2:$FA$315, 55, FALSE))</f>
        <v>:</v>
      </c>
      <c r="BE37" s="544" t="str">
        <f>IF(VLOOKUP($E$37,[1]QUART!$A$2:$FA$315, 56, FALSE)="",":",VLOOKUP($E$37,[1]QUART!$A$2:$FA$315, 56, FALSE))</f>
        <v>:</v>
      </c>
      <c r="BF37" s="544" t="str">
        <f>IF(VLOOKUP($E$37,[1]QUART!$A$2:$FA$315, 57, FALSE)="",":",VLOOKUP($E$37,[1]QUART!$A$2:$FA$315, 57, FALSE))</f>
        <v>:</v>
      </c>
      <c r="BG37" s="544" t="str">
        <f>IF(VLOOKUP($E$37,[1]QUART!$A$2:$FA$315, 58, FALSE)="",":",VLOOKUP($E$37,[1]QUART!$A$2:$FA$315, 58, FALSE))</f>
        <v>:</v>
      </c>
      <c r="BH37" s="544" t="str">
        <f>IF(VLOOKUP($E$37,[1]QUART!$A$2:$FA$315, 59, FALSE)="",":",VLOOKUP($E$37,[1]QUART!$A$2:$FA$315, 59, FALSE))</f>
        <v>:</v>
      </c>
      <c r="BI37" s="544" t="str">
        <f>IF(VLOOKUP($E$37,[1]QUART!$A$2:$FA$315, 60, FALSE)="",":",VLOOKUP($E$37,[1]QUART!$A$2:$FA$315, 60, FALSE))</f>
        <v>:</v>
      </c>
      <c r="BJ37" s="544" t="str">
        <f>IF(VLOOKUP($E$37,[1]QUART!$A$2:$FA$315, 61, FALSE)="",":",VLOOKUP($E$37,[1]QUART!$A$2:$FA$315, 61, FALSE))</f>
        <v>:</v>
      </c>
      <c r="BK37" s="544" t="str">
        <f>IF(VLOOKUP($E$37,[1]QUART!$A$2:$FA$315, 62, FALSE)="",":",VLOOKUP($E$37,[1]QUART!$A$2:$FA$315, 62, FALSE))</f>
        <v>:</v>
      </c>
      <c r="BL37" s="544" t="str">
        <f>IF(VLOOKUP($E$37,[1]QUART!$A$2:$FA$315, 63, FALSE)="",":",VLOOKUP($E$37,[1]QUART!$A$2:$FA$315, 63, FALSE))</f>
        <v>:</v>
      </c>
      <c r="BM37" s="544" t="str">
        <f>IF(VLOOKUP($E$37,[1]QUART!$A$2:$FA$315, 64, FALSE)="",":",VLOOKUP($E$37,[1]QUART!$A$2:$FA$315, 64, FALSE))</f>
        <v>:</v>
      </c>
      <c r="BN37" s="544" t="str">
        <f>IF(VLOOKUP($E$37,[1]QUART!$A$2:$FA$315, 65, FALSE)="",":",VLOOKUP($E$37,[1]QUART!$A$2:$FA$315, 65, FALSE))</f>
        <v>:</v>
      </c>
      <c r="BO37" s="544" t="str">
        <f>IF(VLOOKUP($E$37,[1]QUART!$A$2:$FA$315, 66, FALSE)="",":",VLOOKUP($E$37,[1]QUART!$A$2:$FA$315, 66, FALSE))</f>
        <v>:</v>
      </c>
      <c r="BP37" s="544" t="str">
        <f>IF(VLOOKUP($E$37,[1]QUART!$A$2:$FA$315, 67, FALSE)="",":",VLOOKUP($E$37,[1]QUART!$A$2:$FA$315, 67, FALSE))</f>
        <v>:</v>
      </c>
      <c r="BQ37" s="544" t="str">
        <f>IF(VLOOKUP($E$37,[1]QUART!$A$2:$FA$315, 68, FALSE)="",":",VLOOKUP($E$37,[1]QUART!$A$2:$FA$315, 68, FALSE))</f>
        <v>:</v>
      </c>
      <c r="BR37" s="544" t="str">
        <f>IF(VLOOKUP($E$37,[1]QUART!$A$2:$FA$315, 69, FALSE)="",":",VLOOKUP($E$37,[1]QUART!$A$2:$FA$315, 69, FALSE))</f>
        <v>:</v>
      </c>
      <c r="BS37" s="544" t="str">
        <f>IF(VLOOKUP($E$37,[1]QUART!$A$2:$FA$315, 70, FALSE)="",":",VLOOKUP($E$37,[1]QUART!$A$2:$FA$315, 70, FALSE))</f>
        <v>:</v>
      </c>
      <c r="BT37" s="544" t="str">
        <f>IF(VLOOKUP($E$37,[1]QUART!$A$2:$FA$315, 71, FALSE)="",":",VLOOKUP($E$37,[1]QUART!$A$2:$FA$315, 71, FALSE))</f>
        <v>:</v>
      </c>
      <c r="BU37" s="544" t="str">
        <f>IF(VLOOKUP($E$37,[1]QUART!$A$2:$FA$315, 72, FALSE)="",":",VLOOKUP($E$37,[1]QUART!$A$2:$FA$315, 72, FALSE))</f>
        <v>:</v>
      </c>
      <c r="BV37" s="544" t="str">
        <f>IF(VLOOKUP($E$37,[1]QUART!$A$2:$FA$315, 73, FALSE)="",":",VLOOKUP($E$37,[1]QUART!$A$2:$FA$315, 73, FALSE))</f>
        <v>:</v>
      </c>
      <c r="BW37" s="544" t="str">
        <f>IF(VLOOKUP($E$37,[1]QUART!$A$2:$FA$315, 74, FALSE)="",":",VLOOKUP($E$37,[1]QUART!$A$2:$FA$315, 74, FALSE))</f>
        <v>:</v>
      </c>
      <c r="BX37" s="544" t="str">
        <f>IF(VLOOKUP($E$37,[1]QUART!$A$2:$FA$315, 75, FALSE)="",":",VLOOKUP($E$37,[1]QUART!$A$2:$FA$315, 75, FALSE))</f>
        <v>:</v>
      </c>
      <c r="BY37" s="544" t="str">
        <f>IF(VLOOKUP($E$37,[1]QUART!$A$2:$FA$315, 76, FALSE)="",":",VLOOKUP($E$37,[1]QUART!$A$2:$FA$315, 76, FALSE))</f>
        <v>:</v>
      </c>
      <c r="BZ37" s="544" t="str">
        <f>IF(VLOOKUP($E$37,[1]QUART!$A$2:$FA$315, 77, FALSE)="",":",VLOOKUP($E$37,[1]QUART!$A$2:$FA$315, 77, FALSE))</f>
        <v>:</v>
      </c>
      <c r="CA37" s="544" t="str">
        <f>IF(VLOOKUP($E$37,[1]QUART!$A$2:$FA$315, 78, FALSE)="",":",VLOOKUP($E$37,[1]QUART!$A$2:$FA$315, 78, FALSE))</f>
        <v>:</v>
      </c>
      <c r="CB37" s="544" t="str">
        <f>IF(VLOOKUP($E$37,[1]QUART!$A$2:$FA$315, 79, FALSE)="",":",VLOOKUP($E$37,[1]QUART!$A$2:$FA$315, 79, FALSE))</f>
        <v>:</v>
      </c>
      <c r="CC37" s="544" t="str">
        <f>IF(VLOOKUP($E$37,[1]QUART!$A$2:$FA$315, 80, FALSE)="",":",VLOOKUP($E$37,[1]QUART!$A$2:$FA$315, 80, FALSE))</f>
        <v>:</v>
      </c>
      <c r="CD37" s="544" t="str">
        <f>IF(VLOOKUP($E$37,[1]QUART!$A$2:$FA$315, 81, FALSE)="",":",VLOOKUP($E$37,[1]QUART!$A$2:$FA$315, 81, FALSE))</f>
        <v>:</v>
      </c>
      <c r="CE37" s="544" t="str">
        <f>IF(VLOOKUP($E$37,[1]QUART!$A$2:$FA$315, 82, FALSE)="",":",VLOOKUP($E$37,[1]QUART!$A$2:$FA$315, 82, FALSE))</f>
        <v>:</v>
      </c>
      <c r="CF37" s="544" t="str">
        <f>IF(VLOOKUP($E$37,[1]QUART!$A$2:$FA$315, 83, FALSE)="",":",VLOOKUP($E$37,[1]QUART!$A$2:$FA$315, 83, FALSE))</f>
        <v>:</v>
      </c>
      <c r="CG37" s="544" t="str">
        <f>IF(VLOOKUP($E$37,[1]QUART!$A$2:$FA$315, 84, FALSE)="",":",VLOOKUP($E$37,[1]QUART!$A$2:$FA$315, 84, FALSE))</f>
        <v>:</v>
      </c>
      <c r="CH37" s="544" t="str">
        <f>IF(VLOOKUP($E$37,[1]QUART!$A$2:$FA$315, 85, FALSE)="",":",VLOOKUP($E$37,[1]QUART!$A$2:$FA$315, 85, FALSE))</f>
        <v>:</v>
      </c>
      <c r="CI37" s="544" t="str">
        <f>IF(VLOOKUP($E$37,[1]QUART!$A$2:$FA$315, 86, FALSE)="",":",VLOOKUP($E$37,[1]QUART!$A$2:$FA$315, 86, FALSE))</f>
        <v>:</v>
      </c>
      <c r="CJ37" s="544" t="str">
        <f>IF(VLOOKUP($E$37,[1]QUART!$A$2:$FA$315, 87, FALSE)="",":",VLOOKUP($E$37,[1]QUART!$A$2:$FA$315, 87, FALSE))</f>
        <v>:</v>
      </c>
      <c r="CK37" s="544" t="str">
        <f>IF(VLOOKUP($E$37,[1]QUART!$A$2:$FA$315, 88, FALSE)="",":",VLOOKUP($E$37,[1]QUART!$A$2:$FA$315, 88, FALSE))</f>
        <v>:</v>
      </c>
      <c r="CL37" s="544" t="str">
        <f>IF(VLOOKUP($E$37,[1]QUART!$A$2:$FA$315, 89, FALSE)="",":",VLOOKUP($E$37,[1]QUART!$A$2:$FA$315, 89, FALSE))</f>
        <v>:</v>
      </c>
      <c r="CM37" s="544" t="str">
        <f>IF(VLOOKUP($E$37,[1]QUART!$A$2:$FA$315, 90, FALSE)="",":",VLOOKUP($E$37,[1]QUART!$A$2:$FA$315, 90, FALSE))</f>
        <v>:</v>
      </c>
      <c r="CN37" s="544" t="str">
        <f>IF(VLOOKUP($E$37,[1]QUART!$A$2:$FA$315, 91, FALSE)="",":",VLOOKUP($E$37,[1]QUART!$A$2:$FA$315, 91, FALSE))</f>
        <v>:</v>
      </c>
      <c r="CO37" s="544" t="str">
        <f>IF(VLOOKUP($E$37,[1]QUART!$A$2:$FA$315, 92, FALSE)="",":",VLOOKUP($E$37,[1]QUART!$A$2:$FA$315, 92, FALSE))</f>
        <v>:</v>
      </c>
      <c r="CP37" s="544" t="str">
        <f>IF(VLOOKUP($E$37,[1]QUART!$A$2:$FA$315, 93, FALSE)="",":",VLOOKUP($E$37,[1]QUART!$A$2:$FA$315, 93, FALSE))</f>
        <v>:</v>
      </c>
      <c r="CQ37" s="544" t="str">
        <f>IF(VLOOKUP($E$37,[1]QUART!$A$2:$FA$315, 94, FALSE)="",":",VLOOKUP($E$37,[1]QUART!$A$2:$FA$315, 94, FALSE))</f>
        <v>:</v>
      </c>
      <c r="CR37" s="544" t="str">
        <f>IF(VLOOKUP($E$37,[1]QUART!$A$2:$FA$315, 95, FALSE)="",":",VLOOKUP($E$37,[1]QUART!$A$2:$FA$315, 95, FALSE))</f>
        <v>:</v>
      </c>
      <c r="CS37" s="544" t="str">
        <f>IF(VLOOKUP($E$37,[1]QUART!$A$2:$FA$315, 96, FALSE)="",":",VLOOKUP($E$37,[1]QUART!$A$2:$FA$315, 96, FALSE))</f>
        <v>:</v>
      </c>
      <c r="CT37" s="544" t="str">
        <f>IF(VLOOKUP($E$37,[1]QUART!$A$2:$FA$315, 97, FALSE)="",":",VLOOKUP($E$37,[1]QUART!$A$2:$FA$315, 97, FALSE))</f>
        <v>:</v>
      </c>
      <c r="CU37" s="544" t="str">
        <f>IF(VLOOKUP($E$37,[1]QUART!$A$2:$FA$315, 98, FALSE)="",":",VLOOKUP($E$37,[1]QUART!$A$2:$FA$315, 98, FALSE))</f>
        <v>:</v>
      </c>
      <c r="CV37" s="544" t="str">
        <f>IF(VLOOKUP($E$37,[1]QUART!$A$2:$FA$315, 99, FALSE)="",":",VLOOKUP($E$37,[1]QUART!$A$2:$FA$315, 99, FALSE))</f>
        <v>:</v>
      </c>
      <c r="CW37" s="544" t="str">
        <f>IF(VLOOKUP($E$37,[1]QUART!$A$2:$FA$315, 100, FALSE)="",":",VLOOKUP($E$37,[1]QUART!$A$2:$FA$315, 100, FALSE))</f>
        <v>:</v>
      </c>
      <c r="CX37" s="544" t="str">
        <f>IF(VLOOKUP($E$37,[1]QUART!$A$2:$FA$315, 101, FALSE)="",":",VLOOKUP($E$37,[1]QUART!$A$2:$FA$315, 101, FALSE))</f>
        <v>:</v>
      </c>
      <c r="CY37" s="544" t="str">
        <f>IF(VLOOKUP($E$37,[1]QUART!$A$2:$FA$315, 102, FALSE)="",":",VLOOKUP($E$37,[1]QUART!$A$2:$FA$315, 102, FALSE))</f>
        <v>:</v>
      </c>
      <c r="CZ37" s="544" t="str">
        <f>IF(VLOOKUP($E$37,[1]QUART!$A$2:$FA$315, 103, FALSE)="",":",VLOOKUP($E$37,[1]QUART!$A$2:$FA$315, 103, FALSE))</f>
        <v>:</v>
      </c>
      <c r="DA37" s="544" t="str">
        <f>IF(VLOOKUP($E$37,[1]QUART!$A$2:$FA$315, 104, FALSE)="",":",VLOOKUP($E$37,[1]QUART!$A$2:$FA$315, 104, FALSE))</f>
        <v>:</v>
      </c>
      <c r="DB37" s="544" t="str">
        <f>IF(VLOOKUP($E$37,[1]QUART!$A$2:$FA$315, 105, FALSE)="",":",VLOOKUP($E$37,[1]QUART!$A$2:$FA$315, 105, FALSE))</f>
        <v>:</v>
      </c>
      <c r="DC37" s="544" t="str">
        <f>IF(VLOOKUP($E$37,[1]QUART!$A$2:$FA$315, 106, FALSE)="",":",VLOOKUP($E$37,[1]QUART!$A$2:$FA$315, 106, FALSE))</f>
        <v>:</v>
      </c>
    </row>
    <row r="38" spans="1:107">
      <c r="A38" s="1954"/>
      <c r="B38" s="534"/>
      <c r="C38" s="535"/>
      <c r="D38" s="12" t="s">
        <v>1841</v>
      </c>
      <c r="E38" s="13">
        <v>104</v>
      </c>
      <c r="F38" s="14" t="str">
        <f>VLOOKUP($E$38,[1]QUART!$A$2:$FA$315, 3, FALSE)</f>
        <v xml:space="preserve">104  Exports of goods and services                                                   </v>
      </c>
      <c r="G38" s="544" t="str">
        <f>IF(VLOOKUP($E$38,[1]QUART!$A$2:$FA$315, 6, FALSE)="",":",VLOOKUP($E$38,[1]QUART!$A$2:$FA$315, 6, FALSE))</f>
        <v>:</v>
      </c>
      <c r="H38" s="544" t="str">
        <f>IF(VLOOKUP($E$38,[1]QUART!$A$2:$FA$315, 7, FALSE)="",":",VLOOKUP($E$38,[1]QUART!$A$2:$FA$315, 7, FALSE))</f>
        <v>:</v>
      </c>
      <c r="I38" s="544" t="str">
        <f>IF(VLOOKUP($E$38,[1]QUART!$A$2:$FA$315, 8, FALSE)="",":",VLOOKUP($E$38,[1]QUART!$A$2:$FA$315, 8, FALSE))</f>
        <v>:</v>
      </c>
      <c r="J38" s="544" t="str">
        <f>IF(VLOOKUP($E$38,[1]QUART!$A$2:$FA$315, 9, FALSE)="",":",VLOOKUP($E$38,[1]QUART!$A$2:$FA$315, 9, FALSE))</f>
        <v>:</v>
      </c>
      <c r="K38" s="544" t="str">
        <f>IF(VLOOKUP($E$38,[1]QUART!$A$2:$FA$315, 10, FALSE)="",":",VLOOKUP($E$38,[1]QUART!$A$2:$FA$315, 10, FALSE))</f>
        <v>:</v>
      </c>
      <c r="L38" s="544" t="str">
        <f>IF(VLOOKUP($E$38,[1]QUART!$A$2:$FA$315, 11, FALSE)="",":",VLOOKUP($E$38,[1]QUART!$A$2:$FA$315, 11, FALSE))</f>
        <v>:</v>
      </c>
      <c r="M38" s="544" t="str">
        <f>IF(VLOOKUP($E$38,[1]QUART!$A$2:$FA$315, 12, FALSE)="",":",VLOOKUP($E$38,[1]QUART!$A$2:$FA$315, 12, FALSE))</f>
        <v>:</v>
      </c>
      <c r="N38" s="544" t="str">
        <f>IF(VLOOKUP($E$38,[1]QUART!$A$2:$FA$315, 13, FALSE)="",":",VLOOKUP($E$38,[1]QUART!$A$2:$FA$315, 13, FALSE))</f>
        <v>:</v>
      </c>
      <c r="O38" s="544" t="str">
        <f>IF(VLOOKUP($E$38,[1]QUART!$A$2:$FA$315, 14, FALSE)="",":",VLOOKUP($E$38,[1]QUART!$A$2:$FA$315, 14, FALSE))</f>
        <v>:</v>
      </c>
      <c r="P38" s="544" t="str">
        <f>IF(VLOOKUP($E$38,[1]QUART!$A$2:$FA$315, 15, FALSE)="",":",VLOOKUP($E$38,[1]QUART!$A$2:$FA$315, 15, FALSE))</f>
        <v>:</v>
      </c>
      <c r="Q38" s="544" t="str">
        <f>IF(VLOOKUP($E$38,[1]QUART!$A$2:$FA$315, 16, FALSE)="",":",VLOOKUP($E$38,[1]QUART!$A$2:$FA$315, 16, FALSE))</f>
        <v>:</v>
      </c>
      <c r="R38" s="544" t="str">
        <f>IF(VLOOKUP($E$38,[1]QUART!$A$2:$FA$315, 17, FALSE)="",":",VLOOKUP($E$38,[1]QUART!$A$2:$FA$315, 17, FALSE))</f>
        <v>:</v>
      </c>
      <c r="S38" s="544" t="str">
        <f>IF(VLOOKUP($E$38,[1]QUART!$A$2:$FA$315, 18, FALSE)="",":",VLOOKUP($E$38,[1]QUART!$A$2:$FA$315, 18, FALSE))</f>
        <v>:</v>
      </c>
      <c r="T38" s="544" t="str">
        <f>IF(VLOOKUP($E$38,[1]QUART!$A$2:$FA$315, 19, FALSE)="",":",VLOOKUP($E$38,[1]QUART!$A$2:$FA$315, 19, FALSE))</f>
        <v>:</v>
      </c>
      <c r="U38" s="544" t="str">
        <f>IF(VLOOKUP($E$38,[1]QUART!$A$2:$FA$315, 20, FALSE)="",":",VLOOKUP($E$38,[1]QUART!$A$2:$FA$315, 20, FALSE))</f>
        <v>:</v>
      </c>
      <c r="V38" s="544" t="str">
        <f>IF(VLOOKUP($E$38,[1]QUART!$A$2:$FA$315, 21, FALSE)="",":",VLOOKUP($E$38,[1]QUART!$A$2:$FA$315, 21, FALSE))</f>
        <v>:</v>
      </c>
      <c r="W38" s="544" t="str">
        <f>IF(VLOOKUP($E$38,[1]QUART!$A$2:$FA$315, 22, FALSE)="",":",VLOOKUP($E$38,[1]QUART!$A$2:$FA$315, 22, FALSE))</f>
        <v>:</v>
      </c>
      <c r="X38" s="544" t="str">
        <f>IF(VLOOKUP($E$38,[1]QUART!$A$2:$FA$315, 23, FALSE)="",":",VLOOKUP($E$38,[1]QUART!$A$2:$FA$315, 23, FALSE))</f>
        <v>:</v>
      </c>
      <c r="Y38" s="544" t="str">
        <f>IF(VLOOKUP($E$38,[1]QUART!$A$2:$FA$315, 24, FALSE)="",":",VLOOKUP($E$38,[1]QUART!$A$2:$FA$315, 24, FALSE))</f>
        <v>:</v>
      </c>
      <c r="Z38" s="544" t="str">
        <f>IF(VLOOKUP($E$38,[1]QUART!$A$2:$FA$315, 25, FALSE)="",":",VLOOKUP($E$38,[1]QUART!$A$2:$FA$315, 25, FALSE))</f>
        <v>:</v>
      </c>
      <c r="AA38" s="544" t="str">
        <f>IF(VLOOKUP($E$38,[1]QUART!$A$2:$FA$315, 26, FALSE)="",":",VLOOKUP($E$38,[1]QUART!$A$2:$FA$315, 26, FALSE))</f>
        <v>:</v>
      </c>
      <c r="AB38" s="544" t="str">
        <f>IF(VLOOKUP($E$38,[1]QUART!$A$2:$FA$315, 27, FALSE)="",":",VLOOKUP($E$38,[1]QUART!$A$2:$FA$315, 27, FALSE))</f>
        <v>:</v>
      </c>
      <c r="AC38" s="544" t="str">
        <f>IF(VLOOKUP($E$38,[1]QUART!$A$2:$FA$315, 28, FALSE)="",":",VLOOKUP($E$38,[1]QUART!$A$2:$FA$315, 28, FALSE))</f>
        <v>:</v>
      </c>
      <c r="AD38" s="544" t="str">
        <f>IF(VLOOKUP($E$38,[1]QUART!$A$2:$FA$315, 29, FALSE)="",":",VLOOKUP($E$38,[1]QUART!$A$2:$FA$315, 29, FALSE))</f>
        <v>:</v>
      </c>
      <c r="AE38" s="544" t="str">
        <f>IF(VLOOKUP($E$38,[1]QUART!$A$2:$FA$315, 30, FALSE)="",":",VLOOKUP($E$38,[1]QUART!$A$2:$FA$315, 30, FALSE))</f>
        <v>:</v>
      </c>
      <c r="AF38" s="544" t="str">
        <f>IF(VLOOKUP($E$38,[1]QUART!$A$2:$FA$315, 31, FALSE)="",":",VLOOKUP($E$38,[1]QUART!$A$2:$FA$315, 31, FALSE))</f>
        <v>:</v>
      </c>
      <c r="AG38" s="544" t="str">
        <f>IF(VLOOKUP($E$38,[1]QUART!$A$2:$FA$315, 32, FALSE)="",":",VLOOKUP($E$38,[1]QUART!$A$2:$FA$315, 32, FALSE))</f>
        <v>:</v>
      </c>
      <c r="AH38" s="544" t="str">
        <f>IF(VLOOKUP($E$38,[1]QUART!$A$2:$FA$315, 33, FALSE)="",":",VLOOKUP($E$38,[1]QUART!$A$2:$FA$315, 33, FALSE))</f>
        <v>:</v>
      </c>
      <c r="AI38" s="544" t="str">
        <f>IF(VLOOKUP($E$38,[1]QUART!$A$2:$FA$315, 34, FALSE)="",":",VLOOKUP($E$38,[1]QUART!$A$2:$FA$315, 34, FALSE))</f>
        <v>:</v>
      </c>
      <c r="AJ38" s="544" t="str">
        <f>IF(VLOOKUP($E$38,[1]QUART!$A$2:$FA$315, 35, FALSE)="",":",VLOOKUP($E$38,[1]QUART!$A$2:$FA$315, 35, FALSE))</f>
        <v>:</v>
      </c>
      <c r="AK38" s="544" t="str">
        <f>IF(VLOOKUP($E$38,[1]QUART!$A$2:$FA$315, 36, FALSE)="",":",VLOOKUP($E$38,[1]QUART!$A$2:$FA$315, 36, FALSE))</f>
        <v>:</v>
      </c>
      <c r="AL38" s="544" t="str">
        <f>IF(VLOOKUP($E$38,[1]QUART!$A$2:$FA$315, 37, FALSE)="",":",VLOOKUP($E$38,[1]QUART!$A$2:$FA$315, 37, FALSE))</f>
        <v>:</v>
      </c>
      <c r="AM38" s="544" t="str">
        <f>IF(VLOOKUP($E$38,[1]QUART!$A$2:$FA$315, 38, FALSE)="",":",VLOOKUP($E$38,[1]QUART!$A$2:$FA$315, 38, FALSE))</f>
        <v>:</v>
      </c>
      <c r="AN38" s="544" t="str">
        <f>IF(VLOOKUP($E$38,[1]QUART!$A$2:$FA$315, 39, FALSE)="",":",VLOOKUP($E$38,[1]QUART!$A$2:$FA$315, 39, FALSE))</f>
        <v>:</v>
      </c>
      <c r="AO38" s="544" t="str">
        <f>IF(VLOOKUP($E$38,[1]QUART!$A$2:$FA$315, 40, FALSE)="",":",VLOOKUP($E$38,[1]QUART!$A$2:$FA$315, 40, FALSE))</f>
        <v>:</v>
      </c>
      <c r="AP38" s="544" t="str">
        <f>IF(VLOOKUP($E$38,[1]QUART!$A$2:$FA$315, 41, FALSE)="",":",VLOOKUP($E$38,[1]QUART!$A$2:$FA$315, 41, FALSE))</f>
        <v>:</v>
      </c>
      <c r="AQ38" s="544" t="str">
        <f>IF(VLOOKUP($E$38,[1]QUART!$A$2:$FA$315, 42, FALSE)="",":",VLOOKUP($E$38,[1]QUART!$A$2:$FA$315, 42, FALSE))</f>
        <v>:</v>
      </c>
      <c r="AR38" s="544" t="str">
        <f>IF(VLOOKUP($E$38,[1]QUART!$A$2:$FA$315, 43, FALSE)="",":",VLOOKUP($E$38,[1]QUART!$A$2:$FA$315, 43, FALSE))</f>
        <v>:</v>
      </c>
      <c r="AS38" s="544" t="str">
        <f>IF(VLOOKUP($E$38,[1]QUART!$A$2:$FA$315, 44, FALSE)="",":",VLOOKUP($E$38,[1]QUART!$A$2:$FA$315, 44, FALSE))</f>
        <v>:</v>
      </c>
      <c r="AT38" s="544" t="str">
        <f>IF(VLOOKUP($E$38,[1]QUART!$A$2:$FA$315, 45, FALSE)="",":",VLOOKUP($E$38,[1]QUART!$A$2:$FA$315, 45, FALSE))</f>
        <v>:</v>
      </c>
      <c r="AU38" s="544" t="str">
        <f>IF(VLOOKUP($E$38,[1]QUART!$A$2:$FA$315, 46, FALSE)="",":",VLOOKUP($E$38,[1]QUART!$A$2:$FA$315, 46, FALSE))</f>
        <v>:</v>
      </c>
      <c r="AV38" s="544" t="str">
        <f>IF(VLOOKUP($E$38,[1]QUART!$A$2:$FA$315, 47, FALSE)="",":",VLOOKUP($E$38,[1]QUART!$A$2:$FA$315, 47, FALSE))</f>
        <v>:</v>
      </c>
      <c r="AW38" s="544" t="str">
        <f>IF(VLOOKUP($E$38,[1]QUART!$A$2:$FA$315, 48, FALSE)="",":",VLOOKUP($E$38,[1]QUART!$A$2:$FA$315, 48, FALSE))</f>
        <v>:</v>
      </c>
      <c r="AX38" s="544" t="str">
        <f>IF(VLOOKUP($E$38,[1]QUART!$A$2:$FA$315, 49, FALSE)="",":",VLOOKUP($E$38,[1]QUART!$A$2:$FA$315, 49, FALSE))</f>
        <v>:</v>
      </c>
      <c r="AY38" s="544" t="str">
        <f>IF(VLOOKUP($E$38,[1]QUART!$A$2:$FA$315, 50, FALSE)="",":",VLOOKUP($E$38,[1]QUART!$A$2:$FA$315, 50, FALSE))</f>
        <v>:</v>
      </c>
      <c r="AZ38" s="544" t="str">
        <f>IF(VLOOKUP($E$38,[1]QUART!$A$2:$FA$315, 51, FALSE)="",":",VLOOKUP($E$38,[1]QUART!$A$2:$FA$315, 51, FALSE))</f>
        <v>:</v>
      </c>
      <c r="BA38" s="544" t="str">
        <f>IF(VLOOKUP($E$38,[1]QUART!$A$2:$FA$315, 52, FALSE)="",":",VLOOKUP($E$38,[1]QUART!$A$2:$FA$315, 52, FALSE))</f>
        <v>:</v>
      </c>
      <c r="BB38" s="544" t="str">
        <f>IF(VLOOKUP($E$38,[1]QUART!$A$2:$FA$315, 53, FALSE)="",":",VLOOKUP($E$38,[1]QUART!$A$2:$FA$315, 53, FALSE))</f>
        <v>:</v>
      </c>
      <c r="BC38" s="544" t="str">
        <f>IF(VLOOKUP($E$38,[1]QUART!$A$2:$FA$315, 54, FALSE)="",":",VLOOKUP($E$38,[1]QUART!$A$2:$FA$315, 54, FALSE))</f>
        <v>:</v>
      </c>
      <c r="BD38" s="544" t="str">
        <f>IF(VLOOKUP($E$38,[1]QUART!$A$2:$FA$315, 55, FALSE)="",":",VLOOKUP($E$38,[1]QUART!$A$2:$FA$315, 55, FALSE))</f>
        <v>:</v>
      </c>
      <c r="BE38" s="544" t="str">
        <f>IF(VLOOKUP($E$38,[1]QUART!$A$2:$FA$315, 56, FALSE)="",":",VLOOKUP($E$38,[1]QUART!$A$2:$FA$315, 56, FALSE))</f>
        <v>:</v>
      </c>
      <c r="BF38" s="544" t="str">
        <f>IF(VLOOKUP($E$38,[1]QUART!$A$2:$FA$315, 57, FALSE)="",":",VLOOKUP($E$38,[1]QUART!$A$2:$FA$315, 57, FALSE))</f>
        <v>:</v>
      </c>
      <c r="BG38" s="544" t="str">
        <f>IF(VLOOKUP($E$38,[1]QUART!$A$2:$FA$315, 58, FALSE)="",":",VLOOKUP($E$38,[1]QUART!$A$2:$FA$315, 58, FALSE))</f>
        <v>:</v>
      </c>
      <c r="BH38" s="544" t="str">
        <f>IF(VLOOKUP($E$38,[1]QUART!$A$2:$FA$315, 59, FALSE)="",":",VLOOKUP($E$38,[1]QUART!$A$2:$FA$315, 59, FALSE))</f>
        <v>:</v>
      </c>
      <c r="BI38" s="544" t="str">
        <f>IF(VLOOKUP($E$38,[1]QUART!$A$2:$FA$315, 60, FALSE)="",":",VLOOKUP($E$38,[1]QUART!$A$2:$FA$315, 60, FALSE))</f>
        <v>:</v>
      </c>
      <c r="BJ38" s="544" t="str">
        <f>IF(VLOOKUP($E$38,[1]QUART!$A$2:$FA$315, 61, FALSE)="",":",VLOOKUP($E$38,[1]QUART!$A$2:$FA$315, 61, FALSE))</f>
        <v>:</v>
      </c>
      <c r="BK38" s="544" t="str">
        <f>IF(VLOOKUP($E$38,[1]QUART!$A$2:$FA$315, 62, FALSE)="",":",VLOOKUP($E$38,[1]QUART!$A$2:$FA$315, 62, FALSE))</f>
        <v>:</v>
      </c>
      <c r="BL38" s="544" t="str">
        <f>IF(VLOOKUP($E$38,[1]QUART!$A$2:$FA$315, 63, FALSE)="",":",VLOOKUP($E$38,[1]QUART!$A$2:$FA$315, 63, FALSE))</f>
        <v>:</v>
      </c>
      <c r="BM38" s="544" t="str">
        <f>IF(VLOOKUP($E$38,[1]QUART!$A$2:$FA$315, 64, FALSE)="",":",VLOOKUP($E$38,[1]QUART!$A$2:$FA$315, 64, FALSE))</f>
        <v>:</v>
      </c>
      <c r="BN38" s="544" t="str">
        <f>IF(VLOOKUP($E$38,[1]QUART!$A$2:$FA$315, 65, FALSE)="",":",VLOOKUP($E$38,[1]QUART!$A$2:$FA$315, 65, FALSE))</f>
        <v>:</v>
      </c>
      <c r="BO38" s="544" t="str">
        <f>IF(VLOOKUP($E$38,[1]QUART!$A$2:$FA$315, 66, FALSE)="",":",VLOOKUP($E$38,[1]QUART!$A$2:$FA$315, 66, FALSE))</f>
        <v>:</v>
      </c>
      <c r="BP38" s="544" t="str">
        <f>IF(VLOOKUP($E$38,[1]QUART!$A$2:$FA$315, 67, FALSE)="",":",VLOOKUP($E$38,[1]QUART!$A$2:$FA$315, 67, FALSE))</f>
        <v>:</v>
      </c>
      <c r="BQ38" s="544" t="str">
        <f>IF(VLOOKUP($E$38,[1]QUART!$A$2:$FA$315, 68, FALSE)="",":",VLOOKUP($E$38,[1]QUART!$A$2:$FA$315, 68, FALSE))</f>
        <v>:</v>
      </c>
      <c r="BR38" s="544" t="str">
        <f>IF(VLOOKUP($E$38,[1]QUART!$A$2:$FA$315, 69, FALSE)="",":",VLOOKUP($E$38,[1]QUART!$A$2:$FA$315, 69, FALSE))</f>
        <v>:</v>
      </c>
      <c r="BS38" s="544" t="str">
        <f>IF(VLOOKUP($E$38,[1]QUART!$A$2:$FA$315, 70, FALSE)="",":",VLOOKUP($E$38,[1]QUART!$A$2:$FA$315, 70, FALSE))</f>
        <v>:</v>
      </c>
      <c r="BT38" s="544" t="str">
        <f>IF(VLOOKUP($E$38,[1]QUART!$A$2:$FA$315, 71, FALSE)="",":",VLOOKUP($E$38,[1]QUART!$A$2:$FA$315, 71, FALSE))</f>
        <v>:</v>
      </c>
      <c r="BU38" s="544" t="str">
        <f>IF(VLOOKUP($E$38,[1]QUART!$A$2:$FA$315, 72, FALSE)="",":",VLOOKUP($E$38,[1]QUART!$A$2:$FA$315, 72, FALSE))</f>
        <v>:</v>
      </c>
      <c r="BV38" s="544" t="str">
        <f>IF(VLOOKUP($E$38,[1]QUART!$A$2:$FA$315, 73, FALSE)="",":",VLOOKUP($E$38,[1]QUART!$A$2:$FA$315, 73, FALSE))</f>
        <v>:</v>
      </c>
      <c r="BW38" s="544" t="str">
        <f>IF(VLOOKUP($E$38,[1]QUART!$A$2:$FA$315, 74, FALSE)="",":",VLOOKUP($E$38,[1]QUART!$A$2:$FA$315, 74, FALSE))</f>
        <v>:</v>
      </c>
      <c r="BX38" s="544" t="str">
        <f>IF(VLOOKUP($E$38,[1]QUART!$A$2:$FA$315, 75, FALSE)="",":",VLOOKUP($E$38,[1]QUART!$A$2:$FA$315, 75, FALSE))</f>
        <v>:</v>
      </c>
      <c r="BY38" s="544" t="str">
        <f>IF(VLOOKUP($E$38,[1]QUART!$A$2:$FA$315, 76, FALSE)="",":",VLOOKUP($E$38,[1]QUART!$A$2:$FA$315, 76, FALSE))</f>
        <v>:</v>
      </c>
      <c r="BZ38" s="544" t="str">
        <f>IF(VLOOKUP($E$38,[1]QUART!$A$2:$FA$315, 77, FALSE)="",":",VLOOKUP($E$38,[1]QUART!$A$2:$FA$315, 77, FALSE))</f>
        <v>:</v>
      </c>
      <c r="CA38" s="544" t="str">
        <f>IF(VLOOKUP($E$38,[1]QUART!$A$2:$FA$315, 78, FALSE)="",":",VLOOKUP($E$38,[1]QUART!$A$2:$FA$315, 78, FALSE))</f>
        <v>:</v>
      </c>
      <c r="CB38" s="544" t="str">
        <f>IF(VLOOKUP($E$38,[1]QUART!$A$2:$FA$315, 79, FALSE)="",":",VLOOKUP($E$38,[1]QUART!$A$2:$FA$315, 79, FALSE))</f>
        <v>:</v>
      </c>
      <c r="CC38" s="544" t="str">
        <f>IF(VLOOKUP($E$38,[1]QUART!$A$2:$FA$315, 80, FALSE)="",":",VLOOKUP($E$38,[1]QUART!$A$2:$FA$315, 80, FALSE))</f>
        <v>:</v>
      </c>
      <c r="CD38" s="544" t="str">
        <f>IF(VLOOKUP($E$38,[1]QUART!$A$2:$FA$315, 81, FALSE)="",":",VLOOKUP($E$38,[1]QUART!$A$2:$FA$315, 81, FALSE))</f>
        <v>:</v>
      </c>
      <c r="CE38" s="544" t="str">
        <f>IF(VLOOKUP($E$38,[1]QUART!$A$2:$FA$315, 82, FALSE)="",":",VLOOKUP($E$38,[1]QUART!$A$2:$FA$315, 82, FALSE))</f>
        <v>:</v>
      </c>
      <c r="CF38" s="544" t="str">
        <f>IF(VLOOKUP($E$38,[1]QUART!$A$2:$FA$315, 83, FALSE)="",":",VLOOKUP($E$38,[1]QUART!$A$2:$FA$315, 83, FALSE))</f>
        <v>:</v>
      </c>
      <c r="CG38" s="544" t="str">
        <f>IF(VLOOKUP($E$38,[1]QUART!$A$2:$FA$315, 84, FALSE)="",":",VLOOKUP($E$38,[1]QUART!$A$2:$FA$315, 84, FALSE))</f>
        <v>:</v>
      </c>
      <c r="CH38" s="544" t="str">
        <f>IF(VLOOKUP($E$38,[1]QUART!$A$2:$FA$315, 85, FALSE)="",":",VLOOKUP($E$38,[1]QUART!$A$2:$FA$315, 85, FALSE))</f>
        <v>:</v>
      </c>
      <c r="CI38" s="544" t="str">
        <f>IF(VLOOKUP($E$38,[1]QUART!$A$2:$FA$315, 86, FALSE)="",":",VLOOKUP($E$38,[1]QUART!$A$2:$FA$315, 86, FALSE))</f>
        <v>:</v>
      </c>
      <c r="CJ38" s="544" t="str">
        <f>IF(VLOOKUP($E$38,[1]QUART!$A$2:$FA$315, 87, FALSE)="",":",VLOOKUP($E$38,[1]QUART!$A$2:$FA$315, 87, FALSE))</f>
        <v>:</v>
      </c>
      <c r="CK38" s="544" t="str">
        <f>IF(VLOOKUP($E$38,[1]QUART!$A$2:$FA$315, 88, FALSE)="",":",VLOOKUP($E$38,[1]QUART!$A$2:$FA$315, 88, FALSE))</f>
        <v>:</v>
      </c>
      <c r="CL38" s="544" t="str">
        <f>IF(VLOOKUP($E$38,[1]QUART!$A$2:$FA$315, 89, FALSE)="",":",VLOOKUP($E$38,[1]QUART!$A$2:$FA$315, 89, FALSE))</f>
        <v>:</v>
      </c>
      <c r="CM38" s="544" t="str">
        <f>IF(VLOOKUP($E$38,[1]QUART!$A$2:$FA$315, 90, FALSE)="",":",VLOOKUP($E$38,[1]QUART!$A$2:$FA$315, 90, FALSE))</f>
        <v>:</v>
      </c>
      <c r="CN38" s="544" t="str">
        <f>IF(VLOOKUP($E$38,[1]QUART!$A$2:$FA$315, 91, FALSE)="",":",VLOOKUP($E$38,[1]QUART!$A$2:$FA$315, 91, FALSE))</f>
        <v>:</v>
      </c>
      <c r="CO38" s="544" t="str">
        <f>IF(VLOOKUP($E$38,[1]QUART!$A$2:$FA$315, 92, FALSE)="",":",VLOOKUP($E$38,[1]QUART!$A$2:$FA$315, 92, FALSE))</f>
        <v>:</v>
      </c>
      <c r="CP38" s="544" t="str">
        <f>IF(VLOOKUP($E$38,[1]QUART!$A$2:$FA$315, 93, FALSE)="",":",VLOOKUP($E$38,[1]QUART!$A$2:$FA$315, 93, FALSE))</f>
        <v>:</v>
      </c>
      <c r="CQ38" s="544" t="str">
        <f>IF(VLOOKUP($E$38,[1]QUART!$A$2:$FA$315, 94, FALSE)="",":",VLOOKUP($E$38,[1]QUART!$A$2:$FA$315, 94, FALSE))</f>
        <v>:</v>
      </c>
      <c r="CR38" s="544" t="str">
        <f>IF(VLOOKUP($E$38,[1]QUART!$A$2:$FA$315, 95, FALSE)="",":",VLOOKUP($E$38,[1]QUART!$A$2:$FA$315, 95, FALSE))</f>
        <v>:</v>
      </c>
      <c r="CS38" s="544" t="str">
        <f>IF(VLOOKUP($E$38,[1]QUART!$A$2:$FA$315, 96, FALSE)="",":",VLOOKUP($E$38,[1]QUART!$A$2:$FA$315, 96, FALSE))</f>
        <v>:</v>
      </c>
      <c r="CT38" s="544" t="str">
        <f>IF(VLOOKUP($E$38,[1]QUART!$A$2:$FA$315, 97, FALSE)="",":",VLOOKUP($E$38,[1]QUART!$A$2:$FA$315, 97, FALSE))</f>
        <v>:</v>
      </c>
      <c r="CU38" s="544" t="str">
        <f>IF(VLOOKUP($E$38,[1]QUART!$A$2:$FA$315, 98, FALSE)="",":",VLOOKUP($E$38,[1]QUART!$A$2:$FA$315, 98, FALSE))</f>
        <v>:</v>
      </c>
      <c r="CV38" s="544" t="str">
        <f>IF(VLOOKUP($E$38,[1]QUART!$A$2:$FA$315, 99, FALSE)="",":",VLOOKUP($E$38,[1]QUART!$A$2:$FA$315, 99, FALSE))</f>
        <v>:</v>
      </c>
      <c r="CW38" s="544" t="str">
        <f>IF(VLOOKUP($E$38,[1]QUART!$A$2:$FA$315, 100, FALSE)="",":",VLOOKUP($E$38,[1]QUART!$A$2:$FA$315, 100, FALSE))</f>
        <v>:</v>
      </c>
      <c r="CX38" s="544" t="str">
        <f>IF(VLOOKUP($E$38,[1]QUART!$A$2:$FA$315, 101, FALSE)="",":",VLOOKUP($E$38,[1]QUART!$A$2:$FA$315, 101, FALSE))</f>
        <v>:</v>
      </c>
      <c r="CY38" s="544" t="str">
        <f>IF(VLOOKUP($E$38,[1]QUART!$A$2:$FA$315, 102, FALSE)="",":",VLOOKUP($E$38,[1]QUART!$A$2:$FA$315, 102, FALSE))</f>
        <v>:</v>
      </c>
      <c r="CZ38" s="544" t="str">
        <f>IF(VLOOKUP($E$38,[1]QUART!$A$2:$FA$315, 103, FALSE)="",":",VLOOKUP($E$38,[1]QUART!$A$2:$FA$315, 103, FALSE))</f>
        <v>:</v>
      </c>
      <c r="DA38" s="544" t="str">
        <f>IF(VLOOKUP($E$38,[1]QUART!$A$2:$FA$315, 104, FALSE)="",":",VLOOKUP($E$38,[1]QUART!$A$2:$FA$315, 104, FALSE))</f>
        <v>:</v>
      </c>
      <c r="DB38" s="544" t="str">
        <f>IF(VLOOKUP($E$38,[1]QUART!$A$2:$FA$315, 105, FALSE)="",":",VLOOKUP($E$38,[1]QUART!$A$2:$FA$315, 105, FALSE))</f>
        <v>:</v>
      </c>
      <c r="DC38" s="544" t="str">
        <f>IF(VLOOKUP($E$38,[1]QUART!$A$2:$FA$315, 106, FALSE)="",":",VLOOKUP($E$38,[1]QUART!$A$2:$FA$315, 106, FALSE))</f>
        <v>:</v>
      </c>
    </row>
    <row r="39" spans="1:107">
      <c r="A39" s="1954"/>
      <c r="B39" s="534"/>
      <c r="C39" s="535"/>
      <c r="D39" s="12" t="s">
        <v>1841</v>
      </c>
      <c r="E39" s="13">
        <v>105</v>
      </c>
      <c r="F39" s="14" t="str">
        <f>VLOOKUP($E$39,[1]QUART!$A$2:$FA$315, 3, FALSE)</f>
        <v xml:space="preserve">105  Imports of goods and services                                                   </v>
      </c>
      <c r="G39" s="544" t="str">
        <f>IF(VLOOKUP($E$39,[1]QUART!$A$2:$FA$315, 6, FALSE)="",":",VLOOKUP($E$39,[1]QUART!$A$2:$FA$315, 6, FALSE))</f>
        <v>:</v>
      </c>
      <c r="H39" s="544" t="str">
        <f>IF(VLOOKUP($E$39,[1]QUART!$A$2:$FA$315, 7, FALSE)="",":",VLOOKUP($E$39,[1]QUART!$A$2:$FA$315, 7, FALSE))</f>
        <v>:</v>
      </c>
      <c r="I39" s="544" t="str">
        <f>IF(VLOOKUP($E$39,[1]QUART!$A$2:$FA$315, 8, FALSE)="",":",VLOOKUP($E$39,[1]QUART!$A$2:$FA$315, 8, FALSE))</f>
        <v>:</v>
      </c>
      <c r="J39" s="544" t="str">
        <f>IF(VLOOKUP($E$39,[1]QUART!$A$2:$FA$315, 9, FALSE)="",":",VLOOKUP($E$39,[1]QUART!$A$2:$FA$315, 9, FALSE))</f>
        <v>:</v>
      </c>
      <c r="K39" s="544" t="str">
        <f>IF(VLOOKUP($E$39,[1]QUART!$A$2:$FA$315, 10, FALSE)="",":",VLOOKUP($E$39,[1]QUART!$A$2:$FA$315, 10, FALSE))</f>
        <v>:</v>
      </c>
      <c r="L39" s="544" t="str">
        <f>IF(VLOOKUP($E$39,[1]QUART!$A$2:$FA$315, 11, FALSE)="",":",VLOOKUP($E$39,[1]QUART!$A$2:$FA$315, 11, FALSE))</f>
        <v>:</v>
      </c>
      <c r="M39" s="544" t="str">
        <f>IF(VLOOKUP($E$39,[1]QUART!$A$2:$FA$315, 12, FALSE)="",":",VLOOKUP($E$39,[1]QUART!$A$2:$FA$315, 12, FALSE))</f>
        <v>:</v>
      </c>
      <c r="N39" s="544" t="str">
        <f>IF(VLOOKUP($E$39,[1]QUART!$A$2:$FA$315, 13, FALSE)="",":",VLOOKUP($E$39,[1]QUART!$A$2:$FA$315, 13, FALSE))</f>
        <v>:</v>
      </c>
      <c r="O39" s="544" t="str">
        <f>IF(VLOOKUP($E$39,[1]QUART!$A$2:$FA$315, 14, FALSE)="",":",VLOOKUP($E$39,[1]QUART!$A$2:$FA$315, 14, FALSE))</f>
        <v>:</v>
      </c>
      <c r="P39" s="544" t="str">
        <f>IF(VLOOKUP($E$39,[1]QUART!$A$2:$FA$315, 15, FALSE)="",":",VLOOKUP($E$39,[1]QUART!$A$2:$FA$315, 15, FALSE))</f>
        <v>:</v>
      </c>
      <c r="Q39" s="544" t="str">
        <f>IF(VLOOKUP($E$39,[1]QUART!$A$2:$FA$315, 16, FALSE)="",":",VLOOKUP($E$39,[1]QUART!$A$2:$FA$315, 16, FALSE))</f>
        <v>:</v>
      </c>
      <c r="R39" s="544" t="str">
        <f>IF(VLOOKUP($E$39,[1]QUART!$A$2:$FA$315, 17, FALSE)="",":",VLOOKUP($E$39,[1]QUART!$A$2:$FA$315, 17, FALSE))</f>
        <v>:</v>
      </c>
      <c r="S39" s="544" t="str">
        <f>IF(VLOOKUP($E$39,[1]QUART!$A$2:$FA$315, 18, FALSE)="",":",VLOOKUP($E$39,[1]QUART!$A$2:$FA$315, 18, FALSE))</f>
        <v>:</v>
      </c>
      <c r="T39" s="544" t="str">
        <f>IF(VLOOKUP($E$39,[1]QUART!$A$2:$FA$315, 19, FALSE)="",":",VLOOKUP($E$39,[1]QUART!$A$2:$FA$315, 19, FALSE))</f>
        <v>:</v>
      </c>
      <c r="U39" s="544" t="str">
        <f>IF(VLOOKUP($E$39,[1]QUART!$A$2:$FA$315, 20, FALSE)="",":",VLOOKUP($E$39,[1]QUART!$A$2:$FA$315, 20, FALSE))</f>
        <v>:</v>
      </c>
      <c r="V39" s="544" t="str">
        <f>IF(VLOOKUP($E$39,[1]QUART!$A$2:$FA$315, 21, FALSE)="",":",VLOOKUP($E$39,[1]QUART!$A$2:$FA$315, 21, FALSE))</f>
        <v>:</v>
      </c>
      <c r="W39" s="544" t="str">
        <f>IF(VLOOKUP($E$39,[1]QUART!$A$2:$FA$315, 22, FALSE)="",":",VLOOKUP($E$39,[1]QUART!$A$2:$FA$315, 22, FALSE))</f>
        <v>:</v>
      </c>
      <c r="X39" s="544" t="str">
        <f>IF(VLOOKUP($E$39,[1]QUART!$A$2:$FA$315, 23, FALSE)="",":",VLOOKUP($E$39,[1]QUART!$A$2:$FA$315, 23, FALSE))</f>
        <v>:</v>
      </c>
      <c r="Y39" s="544" t="str">
        <f>IF(VLOOKUP($E$39,[1]QUART!$A$2:$FA$315, 24, FALSE)="",":",VLOOKUP($E$39,[1]QUART!$A$2:$FA$315, 24, FALSE))</f>
        <v>:</v>
      </c>
      <c r="Z39" s="544" t="str">
        <f>IF(VLOOKUP($E$39,[1]QUART!$A$2:$FA$315, 25, FALSE)="",":",VLOOKUP($E$39,[1]QUART!$A$2:$FA$315, 25, FALSE))</f>
        <v>:</v>
      </c>
      <c r="AA39" s="544" t="str">
        <f>IF(VLOOKUP($E$39,[1]QUART!$A$2:$FA$315, 26, FALSE)="",":",VLOOKUP($E$39,[1]QUART!$A$2:$FA$315, 26, FALSE))</f>
        <v>:</v>
      </c>
      <c r="AB39" s="544" t="str">
        <f>IF(VLOOKUP($E$39,[1]QUART!$A$2:$FA$315, 27, FALSE)="",":",VLOOKUP($E$39,[1]QUART!$A$2:$FA$315, 27, FALSE))</f>
        <v>:</v>
      </c>
      <c r="AC39" s="544" t="str">
        <f>IF(VLOOKUP($E$39,[1]QUART!$A$2:$FA$315, 28, FALSE)="",":",VLOOKUP($E$39,[1]QUART!$A$2:$FA$315, 28, FALSE))</f>
        <v>:</v>
      </c>
      <c r="AD39" s="544" t="str">
        <f>IF(VLOOKUP($E$39,[1]QUART!$A$2:$FA$315, 29, FALSE)="",":",VLOOKUP($E$39,[1]QUART!$A$2:$FA$315, 29, FALSE))</f>
        <v>:</v>
      </c>
      <c r="AE39" s="544" t="str">
        <f>IF(VLOOKUP($E$39,[1]QUART!$A$2:$FA$315, 30, FALSE)="",":",VLOOKUP($E$39,[1]QUART!$A$2:$FA$315, 30, FALSE))</f>
        <v>:</v>
      </c>
      <c r="AF39" s="544" t="str">
        <f>IF(VLOOKUP($E$39,[1]QUART!$A$2:$FA$315, 31, FALSE)="",":",VLOOKUP($E$39,[1]QUART!$A$2:$FA$315, 31, FALSE))</f>
        <v>:</v>
      </c>
      <c r="AG39" s="544" t="str">
        <f>IF(VLOOKUP($E$39,[1]QUART!$A$2:$FA$315, 32, FALSE)="",":",VLOOKUP($E$39,[1]QUART!$A$2:$FA$315, 32, FALSE))</f>
        <v>:</v>
      </c>
      <c r="AH39" s="544" t="str">
        <f>IF(VLOOKUP($E$39,[1]QUART!$A$2:$FA$315, 33, FALSE)="",":",VLOOKUP($E$39,[1]QUART!$A$2:$FA$315, 33, FALSE))</f>
        <v>:</v>
      </c>
      <c r="AI39" s="544" t="str">
        <f>IF(VLOOKUP($E$39,[1]QUART!$A$2:$FA$315, 34, FALSE)="",":",VLOOKUP($E$39,[1]QUART!$A$2:$FA$315, 34, FALSE))</f>
        <v>:</v>
      </c>
      <c r="AJ39" s="544" t="str">
        <f>IF(VLOOKUP($E$39,[1]QUART!$A$2:$FA$315, 35, FALSE)="",":",VLOOKUP($E$39,[1]QUART!$A$2:$FA$315, 35, FALSE))</f>
        <v>:</v>
      </c>
      <c r="AK39" s="544" t="str">
        <f>IF(VLOOKUP($E$39,[1]QUART!$A$2:$FA$315, 36, FALSE)="",":",VLOOKUP($E$39,[1]QUART!$A$2:$FA$315, 36, FALSE))</f>
        <v>:</v>
      </c>
      <c r="AL39" s="544" t="str">
        <f>IF(VLOOKUP($E$39,[1]QUART!$A$2:$FA$315, 37, FALSE)="",":",VLOOKUP($E$39,[1]QUART!$A$2:$FA$315, 37, FALSE))</f>
        <v>:</v>
      </c>
      <c r="AM39" s="544" t="str">
        <f>IF(VLOOKUP($E$39,[1]QUART!$A$2:$FA$315, 38, FALSE)="",":",VLOOKUP($E$39,[1]QUART!$A$2:$FA$315, 38, FALSE))</f>
        <v>:</v>
      </c>
      <c r="AN39" s="544" t="str">
        <f>IF(VLOOKUP($E$39,[1]QUART!$A$2:$FA$315, 39, FALSE)="",":",VLOOKUP($E$39,[1]QUART!$A$2:$FA$315, 39, FALSE))</f>
        <v>:</v>
      </c>
      <c r="AO39" s="544" t="str">
        <f>IF(VLOOKUP($E$39,[1]QUART!$A$2:$FA$315, 40, FALSE)="",":",VLOOKUP($E$39,[1]QUART!$A$2:$FA$315, 40, FALSE))</f>
        <v>:</v>
      </c>
      <c r="AP39" s="544" t="str">
        <f>IF(VLOOKUP($E$39,[1]QUART!$A$2:$FA$315, 41, FALSE)="",":",VLOOKUP($E$39,[1]QUART!$A$2:$FA$315, 41, FALSE))</f>
        <v>:</v>
      </c>
      <c r="AQ39" s="544" t="str">
        <f>IF(VLOOKUP($E$39,[1]QUART!$A$2:$FA$315, 42, FALSE)="",":",VLOOKUP($E$39,[1]QUART!$A$2:$FA$315, 42, FALSE))</f>
        <v>:</v>
      </c>
      <c r="AR39" s="544" t="str">
        <f>IF(VLOOKUP($E$39,[1]QUART!$A$2:$FA$315, 43, FALSE)="",":",VLOOKUP($E$39,[1]QUART!$A$2:$FA$315, 43, FALSE))</f>
        <v>:</v>
      </c>
      <c r="AS39" s="544" t="str">
        <f>IF(VLOOKUP($E$39,[1]QUART!$A$2:$FA$315, 44, FALSE)="",":",VLOOKUP($E$39,[1]QUART!$A$2:$FA$315, 44, FALSE))</f>
        <v>:</v>
      </c>
      <c r="AT39" s="544" t="str">
        <f>IF(VLOOKUP($E$39,[1]QUART!$A$2:$FA$315, 45, FALSE)="",":",VLOOKUP($E$39,[1]QUART!$A$2:$FA$315, 45, FALSE))</f>
        <v>:</v>
      </c>
      <c r="AU39" s="544" t="str">
        <f>IF(VLOOKUP($E$39,[1]QUART!$A$2:$FA$315, 46, FALSE)="",":",VLOOKUP($E$39,[1]QUART!$A$2:$FA$315, 46, FALSE))</f>
        <v>:</v>
      </c>
      <c r="AV39" s="544" t="str">
        <f>IF(VLOOKUP($E$39,[1]QUART!$A$2:$FA$315, 47, FALSE)="",":",VLOOKUP($E$39,[1]QUART!$A$2:$FA$315, 47, FALSE))</f>
        <v>:</v>
      </c>
      <c r="AW39" s="544" t="str">
        <f>IF(VLOOKUP($E$39,[1]QUART!$A$2:$FA$315, 48, FALSE)="",":",VLOOKUP($E$39,[1]QUART!$A$2:$FA$315, 48, FALSE))</f>
        <v>:</v>
      </c>
      <c r="AX39" s="544" t="str">
        <f>IF(VLOOKUP($E$39,[1]QUART!$A$2:$FA$315, 49, FALSE)="",":",VLOOKUP($E$39,[1]QUART!$A$2:$FA$315, 49, FALSE))</f>
        <v>:</v>
      </c>
      <c r="AY39" s="544" t="str">
        <f>IF(VLOOKUP($E$39,[1]QUART!$A$2:$FA$315, 50, FALSE)="",":",VLOOKUP($E$39,[1]QUART!$A$2:$FA$315, 50, FALSE))</f>
        <v>:</v>
      </c>
      <c r="AZ39" s="544" t="str">
        <f>IF(VLOOKUP($E$39,[1]QUART!$A$2:$FA$315, 51, FALSE)="",":",VLOOKUP($E$39,[1]QUART!$A$2:$FA$315, 51, FALSE))</f>
        <v>:</v>
      </c>
      <c r="BA39" s="544" t="str">
        <f>IF(VLOOKUP($E$39,[1]QUART!$A$2:$FA$315, 52, FALSE)="",":",VLOOKUP($E$39,[1]QUART!$A$2:$FA$315, 52, FALSE))</f>
        <v>:</v>
      </c>
      <c r="BB39" s="544" t="str">
        <f>IF(VLOOKUP($E$39,[1]QUART!$A$2:$FA$315, 53, FALSE)="",":",VLOOKUP($E$39,[1]QUART!$A$2:$FA$315, 53, FALSE))</f>
        <v>:</v>
      </c>
      <c r="BC39" s="544" t="str">
        <f>IF(VLOOKUP($E$39,[1]QUART!$A$2:$FA$315, 54, FALSE)="",":",VLOOKUP($E$39,[1]QUART!$A$2:$FA$315, 54, FALSE))</f>
        <v>:</v>
      </c>
      <c r="BD39" s="544" t="str">
        <f>IF(VLOOKUP($E$39,[1]QUART!$A$2:$FA$315, 55, FALSE)="",":",VLOOKUP($E$39,[1]QUART!$A$2:$FA$315, 55, FALSE))</f>
        <v>:</v>
      </c>
      <c r="BE39" s="544" t="str">
        <f>IF(VLOOKUP($E$39,[1]QUART!$A$2:$FA$315, 56, FALSE)="",":",VLOOKUP($E$39,[1]QUART!$A$2:$FA$315, 56, FALSE))</f>
        <v>:</v>
      </c>
      <c r="BF39" s="544" t="str">
        <f>IF(VLOOKUP($E$39,[1]QUART!$A$2:$FA$315, 57, FALSE)="",":",VLOOKUP($E$39,[1]QUART!$A$2:$FA$315, 57, FALSE))</f>
        <v>:</v>
      </c>
      <c r="BG39" s="544" t="str">
        <f>IF(VLOOKUP($E$39,[1]QUART!$A$2:$FA$315, 58, FALSE)="",":",VLOOKUP($E$39,[1]QUART!$A$2:$FA$315, 58, FALSE))</f>
        <v>:</v>
      </c>
      <c r="BH39" s="544" t="str">
        <f>IF(VLOOKUP($E$39,[1]QUART!$A$2:$FA$315, 59, FALSE)="",":",VLOOKUP($E$39,[1]QUART!$A$2:$FA$315, 59, FALSE))</f>
        <v>:</v>
      </c>
      <c r="BI39" s="544" t="str">
        <f>IF(VLOOKUP($E$39,[1]QUART!$A$2:$FA$315, 60, FALSE)="",":",VLOOKUP($E$39,[1]QUART!$A$2:$FA$315, 60, FALSE))</f>
        <v>:</v>
      </c>
      <c r="BJ39" s="544" t="str">
        <f>IF(VLOOKUP($E$39,[1]QUART!$A$2:$FA$315, 61, FALSE)="",":",VLOOKUP($E$39,[1]QUART!$A$2:$FA$315, 61, FALSE))</f>
        <v>:</v>
      </c>
      <c r="BK39" s="544" t="str">
        <f>IF(VLOOKUP($E$39,[1]QUART!$A$2:$FA$315, 62, FALSE)="",":",VLOOKUP($E$39,[1]QUART!$A$2:$FA$315, 62, FALSE))</f>
        <v>:</v>
      </c>
      <c r="BL39" s="544" t="str">
        <f>IF(VLOOKUP($E$39,[1]QUART!$A$2:$FA$315, 63, FALSE)="",":",VLOOKUP($E$39,[1]QUART!$A$2:$FA$315, 63, FALSE))</f>
        <v>:</v>
      </c>
      <c r="BM39" s="544" t="str">
        <f>IF(VLOOKUP($E$39,[1]QUART!$A$2:$FA$315, 64, FALSE)="",":",VLOOKUP($E$39,[1]QUART!$A$2:$FA$315, 64, FALSE))</f>
        <v>:</v>
      </c>
      <c r="BN39" s="544" t="str">
        <f>IF(VLOOKUP($E$39,[1]QUART!$A$2:$FA$315, 65, FALSE)="",":",VLOOKUP($E$39,[1]QUART!$A$2:$FA$315, 65, FALSE))</f>
        <v>:</v>
      </c>
      <c r="BO39" s="544" t="str">
        <f>IF(VLOOKUP($E$39,[1]QUART!$A$2:$FA$315, 66, FALSE)="",":",VLOOKUP($E$39,[1]QUART!$A$2:$FA$315, 66, FALSE))</f>
        <v>:</v>
      </c>
      <c r="BP39" s="544" t="str">
        <f>IF(VLOOKUP($E$39,[1]QUART!$A$2:$FA$315, 67, FALSE)="",":",VLOOKUP($E$39,[1]QUART!$A$2:$FA$315, 67, FALSE))</f>
        <v>:</v>
      </c>
      <c r="BQ39" s="544" t="str">
        <f>IF(VLOOKUP($E$39,[1]QUART!$A$2:$FA$315, 68, FALSE)="",":",VLOOKUP($E$39,[1]QUART!$A$2:$FA$315, 68, FALSE))</f>
        <v>:</v>
      </c>
      <c r="BR39" s="544" t="str">
        <f>IF(VLOOKUP($E$39,[1]QUART!$A$2:$FA$315, 69, FALSE)="",":",VLOOKUP($E$39,[1]QUART!$A$2:$FA$315, 69, FALSE))</f>
        <v>:</v>
      </c>
      <c r="BS39" s="544" t="str">
        <f>IF(VLOOKUP($E$39,[1]QUART!$A$2:$FA$315, 70, FALSE)="",":",VLOOKUP($E$39,[1]QUART!$A$2:$FA$315, 70, FALSE))</f>
        <v>:</v>
      </c>
      <c r="BT39" s="544" t="str">
        <f>IF(VLOOKUP($E$39,[1]QUART!$A$2:$FA$315, 71, FALSE)="",":",VLOOKUP($E$39,[1]QUART!$A$2:$FA$315, 71, FALSE))</f>
        <v>:</v>
      </c>
      <c r="BU39" s="544" t="str">
        <f>IF(VLOOKUP($E$39,[1]QUART!$A$2:$FA$315, 72, FALSE)="",":",VLOOKUP($E$39,[1]QUART!$A$2:$FA$315, 72, FALSE))</f>
        <v>:</v>
      </c>
      <c r="BV39" s="544" t="str">
        <f>IF(VLOOKUP($E$39,[1]QUART!$A$2:$FA$315, 73, FALSE)="",":",VLOOKUP($E$39,[1]QUART!$A$2:$FA$315, 73, FALSE))</f>
        <v>:</v>
      </c>
      <c r="BW39" s="544" t="str">
        <f>IF(VLOOKUP($E$39,[1]QUART!$A$2:$FA$315, 74, FALSE)="",":",VLOOKUP($E$39,[1]QUART!$A$2:$FA$315, 74, FALSE))</f>
        <v>:</v>
      </c>
      <c r="BX39" s="544" t="str">
        <f>IF(VLOOKUP($E$39,[1]QUART!$A$2:$FA$315, 75, FALSE)="",":",VLOOKUP($E$39,[1]QUART!$A$2:$FA$315, 75, FALSE))</f>
        <v>:</v>
      </c>
      <c r="BY39" s="544" t="str">
        <f>IF(VLOOKUP($E$39,[1]QUART!$A$2:$FA$315, 76, FALSE)="",":",VLOOKUP($E$39,[1]QUART!$A$2:$FA$315, 76, FALSE))</f>
        <v>:</v>
      </c>
      <c r="BZ39" s="544" t="str">
        <f>IF(VLOOKUP($E$39,[1]QUART!$A$2:$FA$315, 77, FALSE)="",":",VLOOKUP($E$39,[1]QUART!$A$2:$FA$315, 77, FALSE))</f>
        <v>:</v>
      </c>
      <c r="CA39" s="544" t="str">
        <f>IF(VLOOKUP($E$39,[1]QUART!$A$2:$FA$315, 78, FALSE)="",":",VLOOKUP($E$39,[1]QUART!$A$2:$FA$315, 78, FALSE))</f>
        <v>:</v>
      </c>
      <c r="CB39" s="544" t="str">
        <f>IF(VLOOKUP($E$39,[1]QUART!$A$2:$FA$315, 79, FALSE)="",":",VLOOKUP($E$39,[1]QUART!$A$2:$FA$315, 79, FALSE))</f>
        <v>:</v>
      </c>
      <c r="CC39" s="544" t="str">
        <f>IF(VLOOKUP($E$39,[1]QUART!$A$2:$FA$315, 80, FALSE)="",":",VLOOKUP($E$39,[1]QUART!$A$2:$FA$315, 80, FALSE))</f>
        <v>:</v>
      </c>
      <c r="CD39" s="544" t="str">
        <f>IF(VLOOKUP($E$39,[1]QUART!$A$2:$FA$315, 81, FALSE)="",":",VLOOKUP($E$39,[1]QUART!$A$2:$FA$315, 81, FALSE))</f>
        <v>:</v>
      </c>
      <c r="CE39" s="544" t="str">
        <f>IF(VLOOKUP($E$39,[1]QUART!$A$2:$FA$315, 82, FALSE)="",":",VLOOKUP($E$39,[1]QUART!$A$2:$FA$315, 82, FALSE))</f>
        <v>:</v>
      </c>
      <c r="CF39" s="544" t="str">
        <f>IF(VLOOKUP($E$39,[1]QUART!$A$2:$FA$315, 83, FALSE)="",":",VLOOKUP($E$39,[1]QUART!$A$2:$FA$315, 83, FALSE))</f>
        <v>:</v>
      </c>
      <c r="CG39" s="544" t="str">
        <f>IF(VLOOKUP($E$39,[1]QUART!$A$2:$FA$315, 84, FALSE)="",":",VLOOKUP($E$39,[1]QUART!$A$2:$FA$315, 84, FALSE))</f>
        <v>:</v>
      </c>
      <c r="CH39" s="544" t="str">
        <f>IF(VLOOKUP($E$39,[1]QUART!$A$2:$FA$315, 85, FALSE)="",":",VLOOKUP($E$39,[1]QUART!$A$2:$FA$315, 85, FALSE))</f>
        <v>:</v>
      </c>
      <c r="CI39" s="544" t="str">
        <f>IF(VLOOKUP($E$39,[1]QUART!$A$2:$FA$315, 86, FALSE)="",":",VLOOKUP($E$39,[1]QUART!$A$2:$FA$315, 86, FALSE))</f>
        <v>:</v>
      </c>
      <c r="CJ39" s="544" t="str">
        <f>IF(VLOOKUP($E$39,[1]QUART!$A$2:$FA$315, 87, FALSE)="",":",VLOOKUP($E$39,[1]QUART!$A$2:$FA$315, 87, FALSE))</f>
        <v>:</v>
      </c>
      <c r="CK39" s="544" t="str">
        <f>IF(VLOOKUP($E$39,[1]QUART!$A$2:$FA$315, 88, FALSE)="",":",VLOOKUP($E$39,[1]QUART!$A$2:$FA$315, 88, FALSE))</f>
        <v>:</v>
      </c>
      <c r="CL39" s="544" t="str">
        <f>IF(VLOOKUP($E$39,[1]QUART!$A$2:$FA$315, 89, FALSE)="",":",VLOOKUP($E$39,[1]QUART!$A$2:$FA$315, 89, FALSE))</f>
        <v>:</v>
      </c>
      <c r="CM39" s="544" t="str">
        <f>IF(VLOOKUP($E$39,[1]QUART!$A$2:$FA$315, 90, FALSE)="",":",VLOOKUP($E$39,[1]QUART!$A$2:$FA$315, 90, FALSE))</f>
        <v>:</v>
      </c>
      <c r="CN39" s="544" t="str">
        <f>IF(VLOOKUP($E$39,[1]QUART!$A$2:$FA$315, 91, FALSE)="",":",VLOOKUP($E$39,[1]QUART!$A$2:$FA$315, 91, FALSE))</f>
        <v>:</v>
      </c>
      <c r="CO39" s="544" t="str">
        <f>IF(VLOOKUP($E$39,[1]QUART!$A$2:$FA$315, 92, FALSE)="",":",VLOOKUP($E$39,[1]QUART!$A$2:$FA$315, 92, FALSE))</f>
        <v>:</v>
      </c>
      <c r="CP39" s="544" t="str">
        <f>IF(VLOOKUP($E$39,[1]QUART!$A$2:$FA$315, 93, FALSE)="",":",VLOOKUP($E$39,[1]QUART!$A$2:$FA$315, 93, FALSE))</f>
        <v>:</v>
      </c>
      <c r="CQ39" s="544" t="str">
        <f>IF(VLOOKUP($E$39,[1]QUART!$A$2:$FA$315, 94, FALSE)="",":",VLOOKUP($E$39,[1]QUART!$A$2:$FA$315, 94, FALSE))</f>
        <v>:</v>
      </c>
      <c r="CR39" s="544" t="str">
        <f>IF(VLOOKUP($E$39,[1]QUART!$A$2:$FA$315, 95, FALSE)="",":",VLOOKUP($E$39,[1]QUART!$A$2:$FA$315, 95, FALSE))</f>
        <v>:</v>
      </c>
      <c r="CS39" s="544" t="str">
        <f>IF(VLOOKUP($E$39,[1]QUART!$A$2:$FA$315, 96, FALSE)="",":",VLOOKUP($E$39,[1]QUART!$A$2:$FA$315, 96, FALSE))</f>
        <v>:</v>
      </c>
      <c r="CT39" s="544" t="str">
        <f>IF(VLOOKUP($E$39,[1]QUART!$A$2:$FA$315, 97, FALSE)="",":",VLOOKUP($E$39,[1]QUART!$A$2:$FA$315, 97, FALSE))</f>
        <v>:</v>
      </c>
      <c r="CU39" s="544" t="str">
        <f>IF(VLOOKUP($E$39,[1]QUART!$A$2:$FA$315, 98, FALSE)="",":",VLOOKUP($E$39,[1]QUART!$A$2:$FA$315, 98, FALSE))</f>
        <v>:</v>
      </c>
      <c r="CV39" s="544" t="str">
        <f>IF(VLOOKUP($E$39,[1]QUART!$A$2:$FA$315, 99, FALSE)="",":",VLOOKUP($E$39,[1]QUART!$A$2:$FA$315, 99, FALSE))</f>
        <v>:</v>
      </c>
      <c r="CW39" s="544" t="str">
        <f>IF(VLOOKUP($E$39,[1]QUART!$A$2:$FA$315, 100, FALSE)="",":",VLOOKUP($E$39,[1]QUART!$A$2:$FA$315, 100, FALSE))</f>
        <v>:</v>
      </c>
      <c r="CX39" s="544" t="str">
        <f>IF(VLOOKUP($E$39,[1]QUART!$A$2:$FA$315, 101, FALSE)="",":",VLOOKUP($E$39,[1]QUART!$A$2:$FA$315, 101, FALSE))</f>
        <v>:</v>
      </c>
      <c r="CY39" s="544" t="str">
        <f>IF(VLOOKUP($E$39,[1]QUART!$A$2:$FA$315, 102, FALSE)="",":",VLOOKUP($E$39,[1]QUART!$A$2:$FA$315, 102, FALSE))</f>
        <v>:</v>
      </c>
      <c r="CZ39" s="544" t="str">
        <f>IF(VLOOKUP($E$39,[1]QUART!$A$2:$FA$315, 103, FALSE)="",":",VLOOKUP($E$39,[1]QUART!$A$2:$FA$315, 103, FALSE))</f>
        <v>:</v>
      </c>
      <c r="DA39" s="544" t="str">
        <f>IF(VLOOKUP($E$39,[1]QUART!$A$2:$FA$315, 104, FALSE)="",":",VLOOKUP($E$39,[1]QUART!$A$2:$FA$315, 104, FALSE))</f>
        <v>:</v>
      </c>
      <c r="DB39" s="544" t="str">
        <f>IF(VLOOKUP($E$39,[1]QUART!$A$2:$FA$315, 105, FALSE)="",":",VLOOKUP($E$39,[1]QUART!$A$2:$FA$315, 105, FALSE))</f>
        <v>:</v>
      </c>
      <c r="DC39" s="544" t="str">
        <f>IF(VLOOKUP($E$39,[1]QUART!$A$2:$FA$315, 106, FALSE)="",":",VLOOKUP($E$39,[1]QUART!$A$2:$FA$315, 106, FALSE))</f>
        <v>:</v>
      </c>
    </row>
    <row r="40" spans="1:107">
      <c r="A40" s="1954"/>
      <c r="B40" s="534"/>
      <c r="C40" s="535"/>
      <c r="D40" s="12" t="s">
        <v>1841</v>
      </c>
      <c r="E40" s="13">
        <v>106</v>
      </c>
      <c r="F40" s="14" t="str">
        <f>VLOOKUP($E$40,[1]QUART!$A$2:$FA$315, 3, FALSE)</f>
        <v>106  Domestic demand excluding change in inventories and net acquisition of valuables</v>
      </c>
      <c r="G40" s="544" t="str">
        <f>IF(VLOOKUP($E$40,[1]QUART!$A$2:$FA$315, 6, FALSE)="",":",VLOOKUP($E$40,[1]QUART!$A$2:$FA$315, 6, FALSE))</f>
        <v>:</v>
      </c>
      <c r="H40" s="544" t="str">
        <f>IF(VLOOKUP($E$40,[1]QUART!$A$2:$FA$315, 7, FALSE)="",":",VLOOKUP($E$40,[1]QUART!$A$2:$FA$315, 7, FALSE))</f>
        <v>:</v>
      </c>
      <c r="I40" s="544" t="str">
        <f>IF(VLOOKUP($E$40,[1]QUART!$A$2:$FA$315, 8, FALSE)="",":",VLOOKUP($E$40,[1]QUART!$A$2:$FA$315, 8, FALSE))</f>
        <v>:</v>
      </c>
      <c r="J40" s="544" t="str">
        <f>IF(VLOOKUP($E$40,[1]QUART!$A$2:$FA$315, 9, FALSE)="",":",VLOOKUP($E$40,[1]QUART!$A$2:$FA$315, 9, FALSE))</f>
        <v>:</v>
      </c>
      <c r="K40" s="544" t="str">
        <f>IF(VLOOKUP($E$40,[1]QUART!$A$2:$FA$315, 10, FALSE)="",":",VLOOKUP($E$40,[1]QUART!$A$2:$FA$315, 10, FALSE))</f>
        <v>:</v>
      </c>
      <c r="L40" s="544" t="str">
        <f>IF(VLOOKUP($E$40,[1]QUART!$A$2:$FA$315, 11, FALSE)="",":",VLOOKUP($E$40,[1]QUART!$A$2:$FA$315, 11, FALSE))</f>
        <v>:</v>
      </c>
      <c r="M40" s="544" t="str">
        <f>IF(VLOOKUP($E$40,[1]QUART!$A$2:$FA$315, 12, FALSE)="",":",VLOOKUP($E$40,[1]QUART!$A$2:$FA$315, 12, FALSE))</f>
        <v>:</v>
      </c>
      <c r="N40" s="544" t="str">
        <f>IF(VLOOKUP($E$40,[1]QUART!$A$2:$FA$315, 13, FALSE)="",":",VLOOKUP($E$40,[1]QUART!$A$2:$FA$315, 13, FALSE))</f>
        <v>:</v>
      </c>
      <c r="O40" s="544" t="str">
        <f>IF(VLOOKUP($E$40,[1]QUART!$A$2:$FA$315, 14, FALSE)="",":",VLOOKUP($E$40,[1]QUART!$A$2:$FA$315, 14, FALSE))</f>
        <v>:</v>
      </c>
      <c r="P40" s="544" t="str">
        <f>IF(VLOOKUP($E$40,[1]QUART!$A$2:$FA$315, 15, FALSE)="",":",VLOOKUP($E$40,[1]QUART!$A$2:$FA$315, 15, FALSE))</f>
        <v>:</v>
      </c>
      <c r="Q40" s="544" t="str">
        <f>IF(VLOOKUP($E$40,[1]QUART!$A$2:$FA$315, 16, FALSE)="",":",VLOOKUP($E$40,[1]QUART!$A$2:$FA$315, 16, FALSE))</f>
        <v>:</v>
      </c>
      <c r="R40" s="544" t="str">
        <f>IF(VLOOKUP($E$40,[1]QUART!$A$2:$FA$315, 17, FALSE)="",":",VLOOKUP($E$40,[1]QUART!$A$2:$FA$315, 17, FALSE))</f>
        <v>:</v>
      </c>
      <c r="S40" s="544" t="str">
        <f>IF(VLOOKUP($E$40,[1]QUART!$A$2:$FA$315, 18, FALSE)="",":",VLOOKUP($E$40,[1]QUART!$A$2:$FA$315, 18, FALSE))</f>
        <v>:</v>
      </c>
      <c r="T40" s="544" t="str">
        <f>IF(VLOOKUP($E$40,[1]QUART!$A$2:$FA$315, 19, FALSE)="",":",VLOOKUP($E$40,[1]QUART!$A$2:$FA$315, 19, FALSE))</f>
        <v>:</v>
      </c>
      <c r="U40" s="544" t="str">
        <f>IF(VLOOKUP($E$40,[1]QUART!$A$2:$FA$315, 20, FALSE)="",":",VLOOKUP($E$40,[1]QUART!$A$2:$FA$315, 20, FALSE))</f>
        <v>:</v>
      </c>
      <c r="V40" s="544" t="str">
        <f>IF(VLOOKUP($E$40,[1]QUART!$A$2:$FA$315, 21, FALSE)="",":",VLOOKUP($E$40,[1]QUART!$A$2:$FA$315, 21, FALSE))</f>
        <v>:</v>
      </c>
      <c r="W40" s="544" t="str">
        <f>IF(VLOOKUP($E$40,[1]QUART!$A$2:$FA$315, 22, FALSE)="",":",VLOOKUP($E$40,[1]QUART!$A$2:$FA$315, 22, FALSE))</f>
        <v>:</v>
      </c>
      <c r="X40" s="544" t="str">
        <f>IF(VLOOKUP($E$40,[1]QUART!$A$2:$FA$315, 23, FALSE)="",":",VLOOKUP($E$40,[1]QUART!$A$2:$FA$315, 23, FALSE))</f>
        <v>:</v>
      </c>
      <c r="Y40" s="544" t="str">
        <f>IF(VLOOKUP($E$40,[1]QUART!$A$2:$FA$315, 24, FALSE)="",":",VLOOKUP($E$40,[1]QUART!$A$2:$FA$315, 24, FALSE))</f>
        <v>:</v>
      </c>
      <c r="Z40" s="544" t="str">
        <f>IF(VLOOKUP($E$40,[1]QUART!$A$2:$FA$315, 25, FALSE)="",":",VLOOKUP($E$40,[1]QUART!$A$2:$FA$315, 25, FALSE))</f>
        <v>:</v>
      </c>
      <c r="AA40" s="544" t="str">
        <f>IF(VLOOKUP($E$40,[1]QUART!$A$2:$FA$315, 26, FALSE)="",":",VLOOKUP($E$40,[1]QUART!$A$2:$FA$315, 26, FALSE))</f>
        <v>:</v>
      </c>
      <c r="AB40" s="544" t="str">
        <f>IF(VLOOKUP($E$40,[1]QUART!$A$2:$FA$315, 27, FALSE)="",":",VLOOKUP($E$40,[1]QUART!$A$2:$FA$315, 27, FALSE))</f>
        <v>:</v>
      </c>
      <c r="AC40" s="544" t="str">
        <f>IF(VLOOKUP($E$40,[1]QUART!$A$2:$FA$315, 28, FALSE)="",":",VLOOKUP($E$40,[1]QUART!$A$2:$FA$315, 28, FALSE))</f>
        <v>:</v>
      </c>
      <c r="AD40" s="544" t="str">
        <f>IF(VLOOKUP($E$40,[1]QUART!$A$2:$FA$315, 29, FALSE)="",":",VLOOKUP($E$40,[1]QUART!$A$2:$FA$315, 29, FALSE))</f>
        <v>:</v>
      </c>
      <c r="AE40" s="544" t="str">
        <f>IF(VLOOKUP($E$40,[1]QUART!$A$2:$FA$315, 30, FALSE)="",":",VLOOKUP($E$40,[1]QUART!$A$2:$FA$315, 30, FALSE))</f>
        <v>:</v>
      </c>
      <c r="AF40" s="544" t="str">
        <f>IF(VLOOKUP($E$40,[1]QUART!$A$2:$FA$315, 31, FALSE)="",":",VLOOKUP($E$40,[1]QUART!$A$2:$FA$315, 31, FALSE))</f>
        <v>:</v>
      </c>
      <c r="AG40" s="544" t="str">
        <f>IF(VLOOKUP($E$40,[1]QUART!$A$2:$FA$315, 32, FALSE)="",":",VLOOKUP($E$40,[1]QUART!$A$2:$FA$315, 32, FALSE))</f>
        <v>:</v>
      </c>
      <c r="AH40" s="544" t="str">
        <f>IF(VLOOKUP($E$40,[1]QUART!$A$2:$FA$315, 33, FALSE)="",":",VLOOKUP($E$40,[1]QUART!$A$2:$FA$315, 33, FALSE))</f>
        <v>:</v>
      </c>
      <c r="AI40" s="544" t="str">
        <f>IF(VLOOKUP($E$40,[1]QUART!$A$2:$FA$315, 34, FALSE)="",":",VLOOKUP($E$40,[1]QUART!$A$2:$FA$315, 34, FALSE))</f>
        <v>:</v>
      </c>
      <c r="AJ40" s="544" t="str">
        <f>IF(VLOOKUP($E$40,[1]QUART!$A$2:$FA$315, 35, FALSE)="",":",VLOOKUP($E$40,[1]QUART!$A$2:$FA$315, 35, FALSE))</f>
        <v>:</v>
      </c>
      <c r="AK40" s="544" t="str">
        <f>IF(VLOOKUP($E$40,[1]QUART!$A$2:$FA$315, 36, FALSE)="",":",VLOOKUP($E$40,[1]QUART!$A$2:$FA$315, 36, FALSE))</f>
        <v>:</v>
      </c>
      <c r="AL40" s="544" t="str">
        <f>IF(VLOOKUP($E$40,[1]QUART!$A$2:$FA$315, 37, FALSE)="",":",VLOOKUP($E$40,[1]QUART!$A$2:$FA$315, 37, FALSE))</f>
        <v>:</v>
      </c>
      <c r="AM40" s="544" t="str">
        <f>IF(VLOOKUP($E$40,[1]QUART!$A$2:$FA$315, 38, FALSE)="",":",VLOOKUP($E$40,[1]QUART!$A$2:$FA$315, 38, FALSE))</f>
        <v>:</v>
      </c>
      <c r="AN40" s="544" t="str">
        <f>IF(VLOOKUP($E$40,[1]QUART!$A$2:$FA$315, 39, FALSE)="",":",VLOOKUP($E$40,[1]QUART!$A$2:$FA$315, 39, FALSE))</f>
        <v>:</v>
      </c>
      <c r="AO40" s="544" t="str">
        <f>IF(VLOOKUP($E$40,[1]QUART!$A$2:$FA$315, 40, FALSE)="",":",VLOOKUP($E$40,[1]QUART!$A$2:$FA$315, 40, FALSE))</f>
        <v>:</v>
      </c>
      <c r="AP40" s="544" t="str">
        <f>IF(VLOOKUP($E$40,[1]QUART!$A$2:$FA$315, 41, FALSE)="",":",VLOOKUP($E$40,[1]QUART!$A$2:$FA$315, 41, FALSE))</f>
        <v>:</v>
      </c>
      <c r="AQ40" s="544" t="str">
        <f>IF(VLOOKUP($E$40,[1]QUART!$A$2:$FA$315, 42, FALSE)="",":",VLOOKUP($E$40,[1]QUART!$A$2:$FA$315, 42, FALSE))</f>
        <v>:</v>
      </c>
      <c r="AR40" s="544" t="str">
        <f>IF(VLOOKUP($E$40,[1]QUART!$A$2:$FA$315, 43, FALSE)="",":",VLOOKUP($E$40,[1]QUART!$A$2:$FA$315, 43, FALSE))</f>
        <v>:</v>
      </c>
      <c r="AS40" s="544" t="str">
        <f>IF(VLOOKUP($E$40,[1]QUART!$A$2:$FA$315, 44, FALSE)="",":",VLOOKUP($E$40,[1]QUART!$A$2:$FA$315, 44, FALSE))</f>
        <v>:</v>
      </c>
      <c r="AT40" s="544" t="str">
        <f>IF(VLOOKUP($E$40,[1]QUART!$A$2:$FA$315, 45, FALSE)="",":",VLOOKUP($E$40,[1]QUART!$A$2:$FA$315, 45, FALSE))</f>
        <v>:</v>
      </c>
      <c r="AU40" s="544" t="str">
        <f>IF(VLOOKUP($E$40,[1]QUART!$A$2:$FA$315, 46, FALSE)="",":",VLOOKUP($E$40,[1]QUART!$A$2:$FA$315, 46, FALSE))</f>
        <v>:</v>
      </c>
      <c r="AV40" s="544" t="str">
        <f>IF(VLOOKUP($E$40,[1]QUART!$A$2:$FA$315, 47, FALSE)="",":",VLOOKUP($E$40,[1]QUART!$A$2:$FA$315, 47, FALSE))</f>
        <v>:</v>
      </c>
      <c r="AW40" s="544" t="str">
        <f>IF(VLOOKUP($E$40,[1]QUART!$A$2:$FA$315, 48, FALSE)="",":",VLOOKUP($E$40,[1]QUART!$A$2:$FA$315, 48, FALSE))</f>
        <v>:</v>
      </c>
      <c r="AX40" s="544" t="str">
        <f>IF(VLOOKUP($E$40,[1]QUART!$A$2:$FA$315, 49, FALSE)="",":",VLOOKUP($E$40,[1]QUART!$A$2:$FA$315, 49, FALSE))</f>
        <v>:</v>
      </c>
      <c r="AY40" s="544" t="str">
        <f>IF(VLOOKUP($E$40,[1]QUART!$A$2:$FA$315, 50, FALSE)="",":",VLOOKUP($E$40,[1]QUART!$A$2:$FA$315, 50, FALSE))</f>
        <v>:</v>
      </c>
      <c r="AZ40" s="544" t="str">
        <f>IF(VLOOKUP($E$40,[1]QUART!$A$2:$FA$315, 51, FALSE)="",":",VLOOKUP($E$40,[1]QUART!$A$2:$FA$315, 51, FALSE))</f>
        <v>:</v>
      </c>
      <c r="BA40" s="544" t="str">
        <f>IF(VLOOKUP($E$40,[1]QUART!$A$2:$FA$315, 52, FALSE)="",":",VLOOKUP($E$40,[1]QUART!$A$2:$FA$315, 52, FALSE))</f>
        <v>:</v>
      </c>
      <c r="BB40" s="544" t="str">
        <f>IF(VLOOKUP($E$40,[1]QUART!$A$2:$FA$315, 53, FALSE)="",":",VLOOKUP($E$40,[1]QUART!$A$2:$FA$315, 53, FALSE))</f>
        <v>:</v>
      </c>
      <c r="BC40" s="544" t="str">
        <f>IF(VLOOKUP($E$40,[1]QUART!$A$2:$FA$315, 54, FALSE)="",":",VLOOKUP($E$40,[1]QUART!$A$2:$FA$315, 54, FALSE))</f>
        <v>:</v>
      </c>
      <c r="BD40" s="544" t="str">
        <f>IF(VLOOKUP($E$40,[1]QUART!$A$2:$FA$315, 55, FALSE)="",":",VLOOKUP($E$40,[1]QUART!$A$2:$FA$315, 55, FALSE))</f>
        <v>:</v>
      </c>
      <c r="BE40" s="544" t="str">
        <f>IF(VLOOKUP($E$40,[1]QUART!$A$2:$FA$315, 56, FALSE)="",":",VLOOKUP($E$40,[1]QUART!$A$2:$FA$315, 56, FALSE))</f>
        <v>:</v>
      </c>
      <c r="BF40" s="544" t="str">
        <f>IF(VLOOKUP($E$40,[1]QUART!$A$2:$FA$315, 57, FALSE)="",":",VLOOKUP($E$40,[1]QUART!$A$2:$FA$315, 57, FALSE))</f>
        <v>:</v>
      </c>
      <c r="BG40" s="544" t="str">
        <f>IF(VLOOKUP($E$40,[1]QUART!$A$2:$FA$315, 58, FALSE)="",":",VLOOKUP($E$40,[1]QUART!$A$2:$FA$315, 58, FALSE))</f>
        <v>:</v>
      </c>
      <c r="BH40" s="544" t="str">
        <f>IF(VLOOKUP($E$40,[1]QUART!$A$2:$FA$315, 59, FALSE)="",":",VLOOKUP($E$40,[1]QUART!$A$2:$FA$315, 59, FALSE))</f>
        <v>:</v>
      </c>
      <c r="BI40" s="544" t="str">
        <f>IF(VLOOKUP($E$40,[1]QUART!$A$2:$FA$315, 60, FALSE)="",":",VLOOKUP($E$40,[1]QUART!$A$2:$FA$315, 60, FALSE))</f>
        <v>:</v>
      </c>
      <c r="BJ40" s="544" t="str">
        <f>IF(VLOOKUP($E$40,[1]QUART!$A$2:$FA$315, 61, FALSE)="",":",VLOOKUP($E$40,[1]QUART!$A$2:$FA$315, 61, FALSE))</f>
        <v>:</v>
      </c>
      <c r="BK40" s="544" t="str">
        <f>IF(VLOOKUP($E$40,[1]QUART!$A$2:$FA$315, 62, FALSE)="",":",VLOOKUP($E$40,[1]QUART!$A$2:$FA$315, 62, FALSE))</f>
        <v>:</v>
      </c>
      <c r="BL40" s="544" t="str">
        <f>IF(VLOOKUP($E$40,[1]QUART!$A$2:$FA$315, 63, FALSE)="",":",VLOOKUP($E$40,[1]QUART!$A$2:$FA$315, 63, FALSE))</f>
        <v>:</v>
      </c>
      <c r="BM40" s="544" t="str">
        <f>IF(VLOOKUP($E$40,[1]QUART!$A$2:$FA$315, 64, FALSE)="",":",VLOOKUP($E$40,[1]QUART!$A$2:$FA$315, 64, FALSE))</f>
        <v>:</v>
      </c>
      <c r="BN40" s="544" t="str">
        <f>IF(VLOOKUP($E$40,[1]QUART!$A$2:$FA$315, 65, FALSE)="",":",VLOOKUP($E$40,[1]QUART!$A$2:$FA$315, 65, FALSE))</f>
        <v>:</v>
      </c>
      <c r="BO40" s="544" t="str">
        <f>IF(VLOOKUP($E$40,[1]QUART!$A$2:$FA$315, 66, FALSE)="",":",VLOOKUP($E$40,[1]QUART!$A$2:$FA$315, 66, FALSE))</f>
        <v>:</v>
      </c>
      <c r="BP40" s="544" t="str">
        <f>IF(VLOOKUP($E$40,[1]QUART!$A$2:$FA$315, 67, FALSE)="",":",VLOOKUP($E$40,[1]QUART!$A$2:$FA$315, 67, FALSE))</f>
        <v>:</v>
      </c>
      <c r="BQ40" s="544" t="str">
        <f>IF(VLOOKUP($E$40,[1]QUART!$A$2:$FA$315, 68, FALSE)="",":",VLOOKUP($E$40,[1]QUART!$A$2:$FA$315, 68, FALSE))</f>
        <v>:</v>
      </c>
      <c r="BR40" s="544" t="str">
        <f>IF(VLOOKUP($E$40,[1]QUART!$A$2:$FA$315, 69, FALSE)="",":",VLOOKUP($E$40,[1]QUART!$A$2:$FA$315, 69, FALSE))</f>
        <v>:</v>
      </c>
      <c r="BS40" s="544" t="str">
        <f>IF(VLOOKUP($E$40,[1]QUART!$A$2:$FA$315, 70, FALSE)="",":",VLOOKUP($E$40,[1]QUART!$A$2:$FA$315, 70, FALSE))</f>
        <v>:</v>
      </c>
      <c r="BT40" s="544" t="str">
        <f>IF(VLOOKUP($E$40,[1]QUART!$A$2:$FA$315, 71, FALSE)="",":",VLOOKUP($E$40,[1]QUART!$A$2:$FA$315, 71, FALSE))</f>
        <v>:</v>
      </c>
      <c r="BU40" s="544" t="str">
        <f>IF(VLOOKUP($E$40,[1]QUART!$A$2:$FA$315, 72, FALSE)="",":",VLOOKUP($E$40,[1]QUART!$A$2:$FA$315, 72, FALSE))</f>
        <v>:</v>
      </c>
      <c r="BV40" s="544" t="str">
        <f>IF(VLOOKUP($E$40,[1]QUART!$A$2:$FA$315, 73, FALSE)="",":",VLOOKUP($E$40,[1]QUART!$A$2:$FA$315, 73, FALSE))</f>
        <v>:</v>
      </c>
      <c r="BW40" s="544" t="str">
        <f>IF(VLOOKUP($E$40,[1]QUART!$A$2:$FA$315, 74, FALSE)="",":",VLOOKUP($E$40,[1]QUART!$A$2:$FA$315, 74, FALSE))</f>
        <v>:</v>
      </c>
      <c r="BX40" s="544" t="str">
        <f>IF(VLOOKUP($E$40,[1]QUART!$A$2:$FA$315, 75, FALSE)="",":",VLOOKUP($E$40,[1]QUART!$A$2:$FA$315, 75, FALSE))</f>
        <v>:</v>
      </c>
      <c r="BY40" s="544" t="str">
        <f>IF(VLOOKUP($E$40,[1]QUART!$A$2:$FA$315, 76, FALSE)="",":",VLOOKUP($E$40,[1]QUART!$A$2:$FA$315, 76, FALSE))</f>
        <v>:</v>
      </c>
      <c r="BZ40" s="544" t="str">
        <f>IF(VLOOKUP($E$40,[1]QUART!$A$2:$FA$315, 77, FALSE)="",":",VLOOKUP($E$40,[1]QUART!$A$2:$FA$315, 77, FALSE))</f>
        <v>:</v>
      </c>
      <c r="CA40" s="544" t="str">
        <f>IF(VLOOKUP($E$40,[1]QUART!$A$2:$FA$315, 78, FALSE)="",":",VLOOKUP($E$40,[1]QUART!$A$2:$FA$315, 78, FALSE))</f>
        <v>:</v>
      </c>
      <c r="CB40" s="544" t="str">
        <f>IF(VLOOKUP($E$40,[1]QUART!$A$2:$FA$315, 79, FALSE)="",":",VLOOKUP($E$40,[1]QUART!$A$2:$FA$315, 79, FALSE))</f>
        <v>:</v>
      </c>
      <c r="CC40" s="544" t="str">
        <f>IF(VLOOKUP($E$40,[1]QUART!$A$2:$FA$315, 80, FALSE)="",":",VLOOKUP($E$40,[1]QUART!$A$2:$FA$315, 80, FALSE))</f>
        <v>:</v>
      </c>
      <c r="CD40" s="544" t="str">
        <f>IF(VLOOKUP($E$40,[1]QUART!$A$2:$FA$315, 81, FALSE)="",":",VLOOKUP($E$40,[1]QUART!$A$2:$FA$315, 81, FALSE))</f>
        <v>:</v>
      </c>
      <c r="CE40" s="544" t="str">
        <f>IF(VLOOKUP($E$40,[1]QUART!$A$2:$FA$315, 82, FALSE)="",":",VLOOKUP($E$40,[1]QUART!$A$2:$FA$315, 82, FALSE))</f>
        <v>:</v>
      </c>
      <c r="CF40" s="544" t="str">
        <f>IF(VLOOKUP($E$40,[1]QUART!$A$2:$FA$315, 83, FALSE)="",":",VLOOKUP($E$40,[1]QUART!$A$2:$FA$315, 83, FALSE))</f>
        <v>:</v>
      </c>
      <c r="CG40" s="544" t="str">
        <f>IF(VLOOKUP($E$40,[1]QUART!$A$2:$FA$315, 84, FALSE)="",":",VLOOKUP($E$40,[1]QUART!$A$2:$FA$315, 84, FALSE))</f>
        <v>:</v>
      </c>
      <c r="CH40" s="544" t="str">
        <f>IF(VLOOKUP($E$40,[1]QUART!$A$2:$FA$315, 85, FALSE)="",":",VLOOKUP($E$40,[1]QUART!$A$2:$FA$315, 85, FALSE))</f>
        <v>:</v>
      </c>
      <c r="CI40" s="544" t="str">
        <f>IF(VLOOKUP($E$40,[1]QUART!$A$2:$FA$315, 86, FALSE)="",":",VLOOKUP($E$40,[1]QUART!$A$2:$FA$315, 86, FALSE))</f>
        <v>:</v>
      </c>
      <c r="CJ40" s="544" t="str">
        <f>IF(VLOOKUP($E$40,[1]QUART!$A$2:$FA$315, 87, FALSE)="",":",VLOOKUP($E$40,[1]QUART!$A$2:$FA$315, 87, FALSE))</f>
        <v>:</v>
      </c>
      <c r="CK40" s="544" t="str">
        <f>IF(VLOOKUP($E$40,[1]QUART!$A$2:$FA$315, 88, FALSE)="",":",VLOOKUP($E$40,[1]QUART!$A$2:$FA$315, 88, FALSE))</f>
        <v>:</v>
      </c>
      <c r="CL40" s="544" t="str">
        <f>IF(VLOOKUP($E$40,[1]QUART!$A$2:$FA$315, 89, FALSE)="",":",VLOOKUP($E$40,[1]QUART!$A$2:$FA$315, 89, FALSE))</f>
        <v>:</v>
      </c>
      <c r="CM40" s="544" t="str">
        <f>IF(VLOOKUP($E$40,[1]QUART!$A$2:$FA$315, 90, FALSE)="",":",VLOOKUP($E$40,[1]QUART!$A$2:$FA$315, 90, FALSE))</f>
        <v>:</v>
      </c>
      <c r="CN40" s="544" t="str">
        <f>IF(VLOOKUP($E$40,[1]QUART!$A$2:$FA$315, 91, FALSE)="",":",VLOOKUP($E$40,[1]QUART!$A$2:$FA$315, 91, FALSE))</f>
        <v>:</v>
      </c>
      <c r="CO40" s="544" t="str">
        <f>IF(VLOOKUP($E$40,[1]QUART!$A$2:$FA$315, 92, FALSE)="",":",VLOOKUP($E$40,[1]QUART!$A$2:$FA$315, 92, FALSE))</f>
        <v>:</v>
      </c>
      <c r="CP40" s="544" t="str">
        <f>IF(VLOOKUP($E$40,[1]QUART!$A$2:$FA$315, 93, FALSE)="",":",VLOOKUP($E$40,[1]QUART!$A$2:$FA$315, 93, FALSE))</f>
        <v>:</v>
      </c>
      <c r="CQ40" s="544" t="str">
        <f>IF(VLOOKUP($E$40,[1]QUART!$A$2:$FA$315, 94, FALSE)="",":",VLOOKUP($E$40,[1]QUART!$A$2:$FA$315, 94, FALSE))</f>
        <v>:</v>
      </c>
      <c r="CR40" s="544" t="str">
        <f>IF(VLOOKUP($E$40,[1]QUART!$A$2:$FA$315, 95, FALSE)="",":",VLOOKUP($E$40,[1]QUART!$A$2:$FA$315, 95, FALSE))</f>
        <v>:</v>
      </c>
      <c r="CS40" s="544" t="str">
        <f>IF(VLOOKUP($E$40,[1]QUART!$A$2:$FA$315, 96, FALSE)="",":",VLOOKUP($E$40,[1]QUART!$A$2:$FA$315, 96, FALSE))</f>
        <v>:</v>
      </c>
      <c r="CT40" s="544" t="str">
        <f>IF(VLOOKUP($E$40,[1]QUART!$A$2:$FA$315, 97, FALSE)="",":",VLOOKUP($E$40,[1]QUART!$A$2:$FA$315, 97, FALSE))</f>
        <v>:</v>
      </c>
      <c r="CU40" s="544" t="str">
        <f>IF(VLOOKUP($E$40,[1]QUART!$A$2:$FA$315, 98, FALSE)="",":",VLOOKUP($E$40,[1]QUART!$A$2:$FA$315, 98, FALSE))</f>
        <v>:</v>
      </c>
      <c r="CV40" s="544" t="str">
        <f>IF(VLOOKUP($E$40,[1]QUART!$A$2:$FA$315, 99, FALSE)="",":",VLOOKUP($E$40,[1]QUART!$A$2:$FA$315, 99, FALSE))</f>
        <v>:</v>
      </c>
      <c r="CW40" s="544" t="str">
        <f>IF(VLOOKUP($E$40,[1]QUART!$A$2:$FA$315, 100, FALSE)="",":",VLOOKUP($E$40,[1]QUART!$A$2:$FA$315, 100, FALSE))</f>
        <v>:</v>
      </c>
      <c r="CX40" s="544" t="str">
        <f>IF(VLOOKUP($E$40,[1]QUART!$A$2:$FA$315, 101, FALSE)="",":",VLOOKUP($E$40,[1]QUART!$A$2:$FA$315, 101, FALSE))</f>
        <v>:</v>
      </c>
      <c r="CY40" s="544" t="str">
        <f>IF(VLOOKUP($E$40,[1]QUART!$A$2:$FA$315, 102, FALSE)="",":",VLOOKUP($E$40,[1]QUART!$A$2:$FA$315, 102, FALSE))</f>
        <v>:</v>
      </c>
      <c r="CZ40" s="544" t="str">
        <f>IF(VLOOKUP($E$40,[1]QUART!$A$2:$FA$315, 103, FALSE)="",":",VLOOKUP($E$40,[1]QUART!$A$2:$FA$315, 103, FALSE))</f>
        <v>:</v>
      </c>
      <c r="DA40" s="544" t="str">
        <f>IF(VLOOKUP($E$40,[1]QUART!$A$2:$FA$315, 104, FALSE)="",":",VLOOKUP($E$40,[1]QUART!$A$2:$FA$315, 104, FALSE))</f>
        <v>:</v>
      </c>
      <c r="DB40" s="544" t="str">
        <f>IF(VLOOKUP($E$40,[1]QUART!$A$2:$FA$315, 105, FALSE)="",":",VLOOKUP($E$40,[1]QUART!$A$2:$FA$315, 105, FALSE))</f>
        <v>:</v>
      </c>
      <c r="DC40" s="544" t="str">
        <f>IF(VLOOKUP($E$40,[1]QUART!$A$2:$FA$315, 106, FALSE)="",":",VLOOKUP($E$40,[1]QUART!$A$2:$FA$315, 106, FALSE))</f>
        <v>:</v>
      </c>
    </row>
    <row r="41" spans="1:107">
      <c r="A41" s="1954"/>
      <c r="B41" s="534"/>
      <c r="C41" s="535"/>
      <c r="D41" s="12" t="s">
        <v>1841</v>
      </c>
      <c r="E41" s="13">
        <v>107</v>
      </c>
      <c r="F41" s="14" t="str">
        <f>VLOOKUP($E$41,[1]QUART!$A$2:$FA$315, 3, FALSE)</f>
        <v>107  Domestic demand including change in inventories and net acquisition of valuables</v>
      </c>
      <c r="G41" s="544" t="str">
        <f>IF(VLOOKUP($E$41,[1]QUART!$A$2:$FA$315, 6, FALSE)="",":",VLOOKUP($E$41,[1]QUART!$A$2:$FA$315, 6, FALSE))</f>
        <v>:</v>
      </c>
      <c r="H41" s="544" t="str">
        <f>IF(VLOOKUP($E$41,[1]QUART!$A$2:$FA$315, 7, FALSE)="",":",VLOOKUP($E$41,[1]QUART!$A$2:$FA$315, 7, FALSE))</f>
        <v>:</v>
      </c>
      <c r="I41" s="544" t="str">
        <f>IF(VLOOKUP($E$41,[1]QUART!$A$2:$FA$315, 8, FALSE)="",":",VLOOKUP($E$41,[1]QUART!$A$2:$FA$315, 8, FALSE))</f>
        <v>:</v>
      </c>
      <c r="J41" s="544" t="str">
        <f>IF(VLOOKUP($E$41,[1]QUART!$A$2:$FA$315, 9, FALSE)="",":",VLOOKUP($E$41,[1]QUART!$A$2:$FA$315, 9, FALSE))</f>
        <v>:</v>
      </c>
      <c r="K41" s="544" t="str">
        <f>IF(VLOOKUP($E$41,[1]QUART!$A$2:$FA$315, 10, FALSE)="",":",VLOOKUP($E$41,[1]QUART!$A$2:$FA$315, 10, FALSE))</f>
        <v>:</v>
      </c>
      <c r="L41" s="544" t="str">
        <f>IF(VLOOKUP($E$41,[1]QUART!$A$2:$FA$315, 11, FALSE)="",":",VLOOKUP($E$41,[1]QUART!$A$2:$FA$315, 11, FALSE))</f>
        <v>:</v>
      </c>
      <c r="M41" s="544" t="str">
        <f>IF(VLOOKUP($E$41,[1]QUART!$A$2:$FA$315, 12, FALSE)="",":",VLOOKUP($E$41,[1]QUART!$A$2:$FA$315, 12, FALSE))</f>
        <v>:</v>
      </c>
      <c r="N41" s="544" t="str">
        <f>IF(VLOOKUP($E$41,[1]QUART!$A$2:$FA$315, 13, FALSE)="",":",VLOOKUP($E$41,[1]QUART!$A$2:$FA$315, 13, FALSE))</f>
        <v>:</v>
      </c>
      <c r="O41" s="544" t="str">
        <f>IF(VLOOKUP($E$41,[1]QUART!$A$2:$FA$315, 14, FALSE)="",":",VLOOKUP($E$41,[1]QUART!$A$2:$FA$315, 14, FALSE))</f>
        <v>:</v>
      </c>
      <c r="P41" s="544" t="str">
        <f>IF(VLOOKUP($E$41,[1]QUART!$A$2:$FA$315, 15, FALSE)="",":",VLOOKUP($E$41,[1]QUART!$A$2:$FA$315, 15, FALSE))</f>
        <v>:</v>
      </c>
      <c r="Q41" s="544" t="str">
        <f>IF(VLOOKUP($E$41,[1]QUART!$A$2:$FA$315, 16, FALSE)="",":",VLOOKUP($E$41,[1]QUART!$A$2:$FA$315, 16, FALSE))</f>
        <v>:</v>
      </c>
      <c r="R41" s="544" t="str">
        <f>IF(VLOOKUP($E$41,[1]QUART!$A$2:$FA$315, 17, FALSE)="",":",VLOOKUP($E$41,[1]QUART!$A$2:$FA$315, 17, FALSE))</f>
        <v>:</v>
      </c>
      <c r="S41" s="544" t="str">
        <f>IF(VLOOKUP($E$41,[1]QUART!$A$2:$FA$315, 18, FALSE)="",":",VLOOKUP($E$41,[1]QUART!$A$2:$FA$315, 18, FALSE))</f>
        <v>:</v>
      </c>
      <c r="T41" s="544" t="str">
        <f>IF(VLOOKUP($E$41,[1]QUART!$A$2:$FA$315, 19, FALSE)="",":",VLOOKUP($E$41,[1]QUART!$A$2:$FA$315, 19, FALSE))</f>
        <v>:</v>
      </c>
      <c r="U41" s="544" t="str">
        <f>IF(VLOOKUP($E$41,[1]QUART!$A$2:$FA$315, 20, FALSE)="",":",VLOOKUP($E$41,[1]QUART!$A$2:$FA$315, 20, FALSE))</f>
        <v>:</v>
      </c>
      <c r="V41" s="544" t="str">
        <f>IF(VLOOKUP($E$41,[1]QUART!$A$2:$FA$315, 21, FALSE)="",":",VLOOKUP($E$41,[1]QUART!$A$2:$FA$315, 21, FALSE))</f>
        <v>:</v>
      </c>
      <c r="W41" s="544" t="str">
        <f>IF(VLOOKUP($E$41,[1]QUART!$A$2:$FA$315, 22, FALSE)="",":",VLOOKUP($E$41,[1]QUART!$A$2:$FA$315, 22, FALSE))</f>
        <v>:</v>
      </c>
      <c r="X41" s="544" t="str">
        <f>IF(VLOOKUP($E$41,[1]QUART!$A$2:$FA$315, 23, FALSE)="",":",VLOOKUP($E$41,[1]QUART!$A$2:$FA$315, 23, FALSE))</f>
        <v>:</v>
      </c>
      <c r="Y41" s="544" t="str">
        <f>IF(VLOOKUP($E$41,[1]QUART!$A$2:$FA$315, 24, FALSE)="",":",VLOOKUP($E$41,[1]QUART!$A$2:$FA$315, 24, FALSE))</f>
        <v>:</v>
      </c>
      <c r="Z41" s="544" t="str">
        <f>IF(VLOOKUP($E$41,[1]QUART!$A$2:$FA$315, 25, FALSE)="",":",VLOOKUP($E$41,[1]QUART!$A$2:$FA$315, 25, FALSE))</f>
        <v>:</v>
      </c>
      <c r="AA41" s="544" t="str">
        <f>IF(VLOOKUP($E$41,[1]QUART!$A$2:$FA$315, 26, FALSE)="",":",VLOOKUP($E$41,[1]QUART!$A$2:$FA$315, 26, FALSE))</f>
        <v>:</v>
      </c>
      <c r="AB41" s="544" t="str">
        <f>IF(VLOOKUP($E$41,[1]QUART!$A$2:$FA$315, 27, FALSE)="",":",VLOOKUP($E$41,[1]QUART!$A$2:$FA$315, 27, FALSE))</f>
        <v>:</v>
      </c>
      <c r="AC41" s="544" t="str">
        <f>IF(VLOOKUP($E$41,[1]QUART!$A$2:$FA$315, 28, FALSE)="",":",VLOOKUP($E$41,[1]QUART!$A$2:$FA$315, 28, FALSE))</f>
        <v>:</v>
      </c>
      <c r="AD41" s="544" t="str">
        <f>IF(VLOOKUP($E$41,[1]QUART!$A$2:$FA$315, 29, FALSE)="",":",VLOOKUP($E$41,[1]QUART!$A$2:$FA$315, 29, FALSE))</f>
        <v>:</v>
      </c>
      <c r="AE41" s="544" t="str">
        <f>IF(VLOOKUP($E$41,[1]QUART!$A$2:$FA$315, 30, FALSE)="",":",VLOOKUP($E$41,[1]QUART!$A$2:$FA$315, 30, FALSE))</f>
        <v>:</v>
      </c>
      <c r="AF41" s="544" t="str">
        <f>IF(VLOOKUP($E$41,[1]QUART!$A$2:$FA$315, 31, FALSE)="",":",VLOOKUP($E$41,[1]QUART!$A$2:$FA$315, 31, FALSE))</f>
        <v>:</v>
      </c>
      <c r="AG41" s="544" t="str">
        <f>IF(VLOOKUP($E$41,[1]QUART!$A$2:$FA$315, 32, FALSE)="",":",VLOOKUP($E$41,[1]QUART!$A$2:$FA$315, 32, FALSE))</f>
        <v>:</v>
      </c>
      <c r="AH41" s="544" t="str">
        <f>IF(VLOOKUP($E$41,[1]QUART!$A$2:$FA$315, 33, FALSE)="",":",VLOOKUP($E$41,[1]QUART!$A$2:$FA$315, 33, FALSE))</f>
        <v>:</v>
      </c>
      <c r="AI41" s="544" t="str">
        <f>IF(VLOOKUP($E$41,[1]QUART!$A$2:$FA$315, 34, FALSE)="",":",VLOOKUP($E$41,[1]QUART!$A$2:$FA$315, 34, FALSE))</f>
        <v>:</v>
      </c>
      <c r="AJ41" s="544" t="str">
        <f>IF(VLOOKUP($E$41,[1]QUART!$A$2:$FA$315, 35, FALSE)="",":",VLOOKUP($E$41,[1]QUART!$A$2:$FA$315, 35, FALSE))</f>
        <v>:</v>
      </c>
      <c r="AK41" s="544" t="str">
        <f>IF(VLOOKUP($E$41,[1]QUART!$A$2:$FA$315, 36, FALSE)="",":",VLOOKUP($E$41,[1]QUART!$A$2:$FA$315, 36, FALSE))</f>
        <v>:</v>
      </c>
      <c r="AL41" s="544" t="str">
        <f>IF(VLOOKUP($E$41,[1]QUART!$A$2:$FA$315, 37, FALSE)="",":",VLOOKUP($E$41,[1]QUART!$A$2:$FA$315, 37, FALSE))</f>
        <v>:</v>
      </c>
      <c r="AM41" s="544" t="str">
        <f>IF(VLOOKUP($E$41,[1]QUART!$A$2:$FA$315, 38, FALSE)="",":",VLOOKUP($E$41,[1]QUART!$A$2:$FA$315, 38, FALSE))</f>
        <v>:</v>
      </c>
      <c r="AN41" s="544" t="str">
        <f>IF(VLOOKUP($E$41,[1]QUART!$A$2:$FA$315, 39, FALSE)="",":",VLOOKUP($E$41,[1]QUART!$A$2:$FA$315, 39, FALSE))</f>
        <v>:</v>
      </c>
      <c r="AO41" s="544" t="str">
        <f>IF(VLOOKUP($E$41,[1]QUART!$A$2:$FA$315, 40, FALSE)="",":",VLOOKUP($E$41,[1]QUART!$A$2:$FA$315, 40, FALSE))</f>
        <v>:</v>
      </c>
      <c r="AP41" s="544" t="str">
        <f>IF(VLOOKUP($E$41,[1]QUART!$A$2:$FA$315, 41, FALSE)="",":",VLOOKUP($E$41,[1]QUART!$A$2:$FA$315, 41, FALSE))</f>
        <v>:</v>
      </c>
      <c r="AQ41" s="544" t="str">
        <f>IF(VLOOKUP($E$41,[1]QUART!$A$2:$FA$315, 42, FALSE)="",":",VLOOKUP($E$41,[1]QUART!$A$2:$FA$315, 42, FALSE))</f>
        <v>:</v>
      </c>
      <c r="AR41" s="544" t="str">
        <f>IF(VLOOKUP($E$41,[1]QUART!$A$2:$FA$315, 43, FALSE)="",":",VLOOKUP($E$41,[1]QUART!$A$2:$FA$315, 43, FALSE))</f>
        <v>:</v>
      </c>
      <c r="AS41" s="544" t="str">
        <f>IF(VLOOKUP($E$41,[1]QUART!$A$2:$FA$315, 44, FALSE)="",":",VLOOKUP($E$41,[1]QUART!$A$2:$FA$315, 44, FALSE))</f>
        <v>:</v>
      </c>
      <c r="AT41" s="544" t="str">
        <f>IF(VLOOKUP($E$41,[1]QUART!$A$2:$FA$315, 45, FALSE)="",":",VLOOKUP($E$41,[1]QUART!$A$2:$FA$315, 45, FALSE))</f>
        <v>:</v>
      </c>
      <c r="AU41" s="544" t="str">
        <f>IF(VLOOKUP($E$41,[1]QUART!$A$2:$FA$315, 46, FALSE)="",":",VLOOKUP($E$41,[1]QUART!$A$2:$FA$315, 46, FALSE))</f>
        <v>:</v>
      </c>
      <c r="AV41" s="544" t="str">
        <f>IF(VLOOKUP($E$41,[1]QUART!$A$2:$FA$315, 47, FALSE)="",":",VLOOKUP($E$41,[1]QUART!$A$2:$FA$315, 47, FALSE))</f>
        <v>:</v>
      </c>
      <c r="AW41" s="544" t="str">
        <f>IF(VLOOKUP($E$41,[1]QUART!$A$2:$FA$315, 48, FALSE)="",":",VLOOKUP($E$41,[1]QUART!$A$2:$FA$315, 48, FALSE))</f>
        <v>:</v>
      </c>
      <c r="AX41" s="544" t="str">
        <f>IF(VLOOKUP($E$41,[1]QUART!$A$2:$FA$315, 49, FALSE)="",":",VLOOKUP($E$41,[1]QUART!$A$2:$FA$315, 49, FALSE))</f>
        <v>:</v>
      </c>
      <c r="AY41" s="544" t="str">
        <f>IF(VLOOKUP($E$41,[1]QUART!$A$2:$FA$315, 50, FALSE)="",":",VLOOKUP($E$41,[1]QUART!$A$2:$FA$315, 50, FALSE))</f>
        <v>:</v>
      </c>
      <c r="AZ41" s="544" t="str">
        <f>IF(VLOOKUP($E$41,[1]QUART!$A$2:$FA$315, 51, FALSE)="",":",VLOOKUP($E$41,[1]QUART!$A$2:$FA$315, 51, FALSE))</f>
        <v>:</v>
      </c>
      <c r="BA41" s="544" t="str">
        <f>IF(VLOOKUP($E$41,[1]QUART!$A$2:$FA$315, 52, FALSE)="",":",VLOOKUP($E$41,[1]QUART!$A$2:$FA$315, 52, FALSE))</f>
        <v>:</v>
      </c>
      <c r="BB41" s="544" t="str">
        <f>IF(VLOOKUP($E$41,[1]QUART!$A$2:$FA$315, 53, FALSE)="",":",VLOOKUP($E$41,[1]QUART!$A$2:$FA$315, 53, FALSE))</f>
        <v>:</v>
      </c>
      <c r="BC41" s="544" t="str">
        <f>IF(VLOOKUP($E$41,[1]QUART!$A$2:$FA$315, 54, FALSE)="",":",VLOOKUP($E$41,[1]QUART!$A$2:$FA$315, 54, FALSE))</f>
        <v>:</v>
      </c>
      <c r="BD41" s="544" t="str">
        <f>IF(VLOOKUP($E$41,[1]QUART!$A$2:$FA$315, 55, FALSE)="",":",VLOOKUP($E$41,[1]QUART!$A$2:$FA$315, 55, FALSE))</f>
        <v>:</v>
      </c>
      <c r="BE41" s="544" t="str">
        <f>IF(VLOOKUP($E$41,[1]QUART!$A$2:$FA$315, 56, FALSE)="",":",VLOOKUP($E$41,[1]QUART!$A$2:$FA$315, 56, FALSE))</f>
        <v>:</v>
      </c>
      <c r="BF41" s="544" t="str">
        <f>IF(VLOOKUP($E$41,[1]QUART!$A$2:$FA$315, 57, FALSE)="",":",VLOOKUP($E$41,[1]QUART!$A$2:$FA$315, 57, FALSE))</f>
        <v>:</v>
      </c>
      <c r="BG41" s="544" t="str">
        <f>IF(VLOOKUP($E$41,[1]QUART!$A$2:$FA$315, 58, FALSE)="",":",VLOOKUP($E$41,[1]QUART!$A$2:$FA$315, 58, FALSE))</f>
        <v>:</v>
      </c>
      <c r="BH41" s="544" t="str">
        <f>IF(VLOOKUP($E$41,[1]QUART!$A$2:$FA$315, 59, FALSE)="",":",VLOOKUP($E$41,[1]QUART!$A$2:$FA$315, 59, FALSE))</f>
        <v>:</v>
      </c>
      <c r="BI41" s="544" t="str">
        <f>IF(VLOOKUP($E$41,[1]QUART!$A$2:$FA$315, 60, FALSE)="",":",VLOOKUP($E$41,[1]QUART!$A$2:$FA$315, 60, FALSE))</f>
        <v>:</v>
      </c>
      <c r="BJ41" s="544" t="str">
        <f>IF(VLOOKUP($E$41,[1]QUART!$A$2:$FA$315, 61, FALSE)="",":",VLOOKUP($E$41,[1]QUART!$A$2:$FA$315, 61, FALSE))</f>
        <v>:</v>
      </c>
      <c r="BK41" s="544" t="str">
        <f>IF(VLOOKUP($E$41,[1]QUART!$A$2:$FA$315, 62, FALSE)="",":",VLOOKUP($E$41,[1]QUART!$A$2:$FA$315, 62, FALSE))</f>
        <v>:</v>
      </c>
      <c r="BL41" s="544" t="str">
        <f>IF(VLOOKUP($E$41,[1]QUART!$A$2:$FA$315, 63, FALSE)="",":",VLOOKUP($E$41,[1]QUART!$A$2:$FA$315, 63, FALSE))</f>
        <v>:</v>
      </c>
      <c r="BM41" s="544" t="str">
        <f>IF(VLOOKUP($E$41,[1]QUART!$A$2:$FA$315, 64, FALSE)="",":",VLOOKUP($E$41,[1]QUART!$A$2:$FA$315, 64, FALSE))</f>
        <v>:</v>
      </c>
      <c r="BN41" s="544" t="str">
        <f>IF(VLOOKUP($E$41,[1]QUART!$A$2:$FA$315, 65, FALSE)="",":",VLOOKUP($E$41,[1]QUART!$A$2:$FA$315, 65, FALSE))</f>
        <v>:</v>
      </c>
      <c r="BO41" s="544" t="str">
        <f>IF(VLOOKUP($E$41,[1]QUART!$A$2:$FA$315, 66, FALSE)="",":",VLOOKUP($E$41,[1]QUART!$A$2:$FA$315, 66, FALSE))</f>
        <v>:</v>
      </c>
      <c r="BP41" s="544" t="str">
        <f>IF(VLOOKUP($E$41,[1]QUART!$A$2:$FA$315, 67, FALSE)="",":",VLOOKUP($E$41,[1]QUART!$A$2:$FA$315, 67, FALSE))</f>
        <v>:</v>
      </c>
      <c r="BQ41" s="544" t="str">
        <f>IF(VLOOKUP($E$41,[1]QUART!$A$2:$FA$315, 68, FALSE)="",":",VLOOKUP($E$41,[1]QUART!$A$2:$FA$315, 68, FALSE))</f>
        <v>:</v>
      </c>
      <c r="BR41" s="544" t="str">
        <f>IF(VLOOKUP($E$41,[1]QUART!$A$2:$FA$315, 69, FALSE)="",":",VLOOKUP($E$41,[1]QUART!$A$2:$FA$315, 69, FALSE))</f>
        <v>:</v>
      </c>
      <c r="BS41" s="544" t="str">
        <f>IF(VLOOKUP($E$41,[1]QUART!$A$2:$FA$315, 70, FALSE)="",":",VLOOKUP($E$41,[1]QUART!$A$2:$FA$315, 70, FALSE))</f>
        <v>:</v>
      </c>
      <c r="BT41" s="544" t="str">
        <f>IF(VLOOKUP($E$41,[1]QUART!$A$2:$FA$315, 71, FALSE)="",":",VLOOKUP($E$41,[1]QUART!$A$2:$FA$315, 71, FALSE))</f>
        <v>:</v>
      </c>
      <c r="BU41" s="544" t="str">
        <f>IF(VLOOKUP($E$41,[1]QUART!$A$2:$FA$315, 72, FALSE)="",":",VLOOKUP($E$41,[1]QUART!$A$2:$FA$315, 72, FALSE))</f>
        <v>:</v>
      </c>
      <c r="BV41" s="544" t="str">
        <f>IF(VLOOKUP($E$41,[1]QUART!$A$2:$FA$315, 73, FALSE)="",":",VLOOKUP($E$41,[1]QUART!$A$2:$FA$315, 73, FALSE))</f>
        <v>:</v>
      </c>
      <c r="BW41" s="544" t="str">
        <f>IF(VLOOKUP($E$41,[1]QUART!$A$2:$FA$315, 74, FALSE)="",":",VLOOKUP($E$41,[1]QUART!$A$2:$FA$315, 74, FALSE))</f>
        <v>:</v>
      </c>
      <c r="BX41" s="544" t="str">
        <f>IF(VLOOKUP($E$41,[1]QUART!$A$2:$FA$315, 75, FALSE)="",":",VLOOKUP($E$41,[1]QUART!$A$2:$FA$315, 75, FALSE))</f>
        <v>:</v>
      </c>
      <c r="BY41" s="544" t="str">
        <f>IF(VLOOKUP($E$41,[1]QUART!$A$2:$FA$315, 76, FALSE)="",":",VLOOKUP($E$41,[1]QUART!$A$2:$FA$315, 76, FALSE))</f>
        <v>:</v>
      </c>
      <c r="BZ41" s="544" t="str">
        <f>IF(VLOOKUP($E$41,[1]QUART!$A$2:$FA$315, 77, FALSE)="",":",VLOOKUP($E$41,[1]QUART!$A$2:$FA$315, 77, FALSE))</f>
        <v>:</v>
      </c>
      <c r="CA41" s="544" t="str">
        <f>IF(VLOOKUP($E$41,[1]QUART!$A$2:$FA$315, 78, FALSE)="",":",VLOOKUP($E$41,[1]QUART!$A$2:$FA$315, 78, FALSE))</f>
        <v>:</v>
      </c>
      <c r="CB41" s="544" t="str">
        <f>IF(VLOOKUP($E$41,[1]QUART!$A$2:$FA$315, 79, FALSE)="",":",VLOOKUP($E$41,[1]QUART!$A$2:$FA$315, 79, FALSE))</f>
        <v>:</v>
      </c>
      <c r="CC41" s="544" t="str">
        <f>IF(VLOOKUP($E$41,[1]QUART!$A$2:$FA$315, 80, FALSE)="",":",VLOOKUP($E$41,[1]QUART!$A$2:$FA$315, 80, FALSE))</f>
        <v>:</v>
      </c>
      <c r="CD41" s="544" t="str">
        <f>IF(VLOOKUP($E$41,[1]QUART!$A$2:$FA$315, 81, FALSE)="",":",VLOOKUP($E$41,[1]QUART!$A$2:$FA$315, 81, FALSE))</f>
        <v>:</v>
      </c>
      <c r="CE41" s="544" t="str">
        <f>IF(VLOOKUP($E$41,[1]QUART!$A$2:$FA$315, 82, FALSE)="",":",VLOOKUP($E$41,[1]QUART!$A$2:$FA$315, 82, FALSE))</f>
        <v>:</v>
      </c>
      <c r="CF41" s="544" t="str">
        <f>IF(VLOOKUP($E$41,[1]QUART!$A$2:$FA$315, 83, FALSE)="",":",VLOOKUP($E$41,[1]QUART!$A$2:$FA$315, 83, FALSE))</f>
        <v>:</v>
      </c>
      <c r="CG41" s="544" t="str">
        <f>IF(VLOOKUP($E$41,[1]QUART!$A$2:$FA$315, 84, FALSE)="",":",VLOOKUP($E$41,[1]QUART!$A$2:$FA$315, 84, FALSE))</f>
        <v>:</v>
      </c>
      <c r="CH41" s="544" t="str">
        <f>IF(VLOOKUP($E$41,[1]QUART!$A$2:$FA$315, 85, FALSE)="",":",VLOOKUP($E$41,[1]QUART!$A$2:$FA$315, 85, FALSE))</f>
        <v>:</v>
      </c>
      <c r="CI41" s="544" t="str">
        <f>IF(VLOOKUP($E$41,[1]QUART!$A$2:$FA$315, 86, FALSE)="",":",VLOOKUP($E$41,[1]QUART!$A$2:$FA$315, 86, FALSE))</f>
        <v>:</v>
      </c>
      <c r="CJ41" s="544" t="str">
        <f>IF(VLOOKUP($E$41,[1]QUART!$A$2:$FA$315, 87, FALSE)="",":",VLOOKUP($E$41,[1]QUART!$A$2:$FA$315, 87, FALSE))</f>
        <v>:</v>
      </c>
      <c r="CK41" s="544" t="str">
        <f>IF(VLOOKUP($E$41,[1]QUART!$A$2:$FA$315, 88, FALSE)="",":",VLOOKUP($E$41,[1]QUART!$A$2:$FA$315, 88, FALSE))</f>
        <v>:</v>
      </c>
      <c r="CL41" s="544" t="str">
        <f>IF(VLOOKUP($E$41,[1]QUART!$A$2:$FA$315, 89, FALSE)="",":",VLOOKUP($E$41,[1]QUART!$A$2:$FA$315, 89, FALSE))</f>
        <v>:</v>
      </c>
      <c r="CM41" s="544" t="str">
        <f>IF(VLOOKUP($E$41,[1]QUART!$A$2:$FA$315, 90, FALSE)="",":",VLOOKUP($E$41,[1]QUART!$A$2:$FA$315, 90, FALSE))</f>
        <v>:</v>
      </c>
      <c r="CN41" s="544" t="str">
        <f>IF(VLOOKUP($E$41,[1]QUART!$A$2:$FA$315, 91, FALSE)="",":",VLOOKUP($E$41,[1]QUART!$A$2:$FA$315, 91, FALSE))</f>
        <v>:</v>
      </c>
      <c r="CO41" s="544" t="str">
        <f>IF(VLOOKUP($E$41,[1]QUART!$A$2:$FA$315, 92, FALSE)="",":",VLOOKUP($E$41,[1]QUART!$A$2:$FA$315, 92, FALSE))</f>
        <v>:</v>
      </c>
      <c r="CP41" s="544" t="str">
        <f>IF(VLOOKUP($E$41,[1]QUART!$A$2:$FA$315, 93, FALSE)="",":",VLOOKUP($E$41,[1]QUART!$A$2:$FA$315, 93, FALSE))</f>
        <v>:</v>
      </c>
      <c r="CQ41" s="544" t="str">
        <f>IF(VLOOKUP($E$41,[1]QUART!$A$2:$FA$315, 94, FALSE)="",":",VLOOKUP($E$41,[1]QUART!$A$2:$FA$315, 94, FALSE))</f>
        <v>:</v>
      </c>
      <c r="CR41" s="544" t="str">
        <f>IF(VLOOKUP($E$41,[1]QUART!$A$2:$FA$315, 95, FALSE)="",":",VLOOKUP($E$41,[1]QUART!$A$2:$FA$315, 95, FALSE))</f>
        <v>:</v>
      </c>
      <c r="CS41" s="544" t="str">
        <f>IF(VLOOKUP($E$41,[1]QUART!$A$2:$FA$315, 96, FALSE)="",":",VLOOKUP($E$41,[1]QUART!$A$2:$FA$315, 96, FALSE))</f>
        <v>:</v>
      </c>
      <c r="CT41" s="544" t="str">
        <f>IF(VLOOKUP($E$41,[1]QUART!$A$2:$FA$315, 97, FALSE)="",":",VLOOKUP($E$41,[1]QUART!$A$2:$FA$315, 97, FALSE))</f>
        <v>:</v>
      </c>
      <c r="CU41" s="544" t="str">
        <f>IF(VLOOKUP($E$41,[1]QUART!$A$2:$FA$315, 98, FALSE)="",":",VLOOKUP($E$41,[1]QUART!$A$2:$FA$315, 98, FALSE))</f>
        <v>:</v>
      </c>
      <c r="CV41" s="544" t="str">
        <f>IF(VLOOKUP($E$41,[1]QUART!$A$2:$FA$315, 99, FALSE)="",":",VLOOKUP($E$41,[1]QUART!$A$2:$FA$315, 99, FALSE))</f>
        <v>:</v>
      </c>
      <c r="CW41" s="544" t="str">
        <f>IF(VLOOKUP($E$41,[1]QUART!$A$2:$FA$315, 100, FALSE)="",":",VLOOKUP($E$41,[1]QUART!$A$2:$FA$315, 100, FALSE))</f>
        <v>:</v>
      </c>
      <c r="CX41" s="544" t="str">
        <f>IF(VLOOKUP($E$41,[1]QUART!$A$2:$FA$315, 101, FALSE)="",":",VLOOKUP($E$41,[1]QUART!$A$2:$FA$315, 101, FALSE))</f>
        <v>:</v>
      </c>
      <c r="CY41" s="544" t="str">
        <f>IF(VLOOKUP($E$41,[1]QUART!$A$2:$FA$315, 102, FALSE)="",":",VLOOKUP($E$41,[1]QUART!$A$2:$FA$315, 102, FALSE))</f>
        <v>:</v>
      </c>
      <c r="CZ41" s="544" t="str">
        <f>IF(VLOOKUP($E$41,[1]QUART!$A$2:$FA$315, 103, FALSE)="",":",VLOOKUP($E$41,[1]QUART!$A$2:$FA$315, 103, FALSE))</f>
        <v>:</v>
      </c>
      <c r="DA41" s="544" t="str">
        <f>IF(VLOOKUP($E$41,[1]QUART!$A$2:$FA$315, 104, FALSE)="",":",VLOOKUP($E$41,[1]QUART!$A$2:$FA$315, 104, FALSE))</f>
        <v>:</v>
      </c>
      <c r="DB41" s="544" t="str">
        <f>IF(VLOOKUP($E$41,[1]QUART!$A$2:$FA$315, 105, FALSE)="",":",VLOOKUP($E$41,[1]QUART!$A$2:$FA$315, 105, FALSE))</f>
        <v>:</v>
      </c>
      <c r="DC41" s="544" t="str">
        <f>IF(VLOOKUP($E$41,[1]QUART!$A$2:$FA$315, 106, FALSE)="",":",VLOOKUP($E$41,[1]QUART!$A$2:$FA$315, 106, FALSE))</f>
        <v>:</v>
      </c>
    </row>
    <row r="42" spans="1:107">
      <c r="A42" s="1954"/>
      <c r="B42" s="534"/>
      <c r="C42" s="535"/>
      <c r="D42" s="12" t="s">
        <v>1841</v>
      </c>
      <c r="E42" s="13">
        <v>108</v>
      </c>
      <c r="F42" s="14" t="str">
        <f>VLOOKUP($E$42,[1]QUART!$A$2:$FA$315, 3, FALSE)</f>
        <v xml:space="preserve">108  Final demand                                                                    </v>
      </c>
      <c r="G42" s="544" t="str">
        <f>IF(VLOOKUP($E$42,[1]QUART!$A$2:$FA$315, 6, FALSE)="",":",VLOOKUP($E$42,[1]QUART!$A$2:$FA$315, 6, FALSE))</f>
        <v>:</v>
      </c>
      <c r="H42" s="544" t="str">
        <f>IF(VLOOKUP($E$42,[1]QUART!$A$2:$FA$315, 7, FALSE)="",":",VLOOKUP($E$42,[1]QUART!$A$2:$FA$315, 7, FALSE))</f>
        <v>:</v>
      </c>
      <c r="I42" s="544" t="str">
        <f>IF(VLOOKUP($E$42,[1]QUART!$A$2:$FA$315, 8, FALSE)="",":",VLOOKUP($E$42,[1]QUART!$A$2:$FA$315, 8, FALSE))</f>
        <v>:</v>
      </c>
      <c r="J42" s="544" t="str">
        <f>IF(VLOOKUP($E$42,[1]QUART!$A$2:$FA$315, 9, FALSE)="",":",VLOOKUP($E$42,[1]QUART!$A$2:$FA$315, 9, FALSE))</f>
        <v>:</v>
      </c>
      <c r="K42" s="544" t="str">
        <f>IF(VLOOKUP($E$42,[1]QUART!$A$2:$FA$315, 10, FALSE)="",":",VLOOKUP($E$42,[1]QUART!$A$2:$FA$315, 10, FALSE))</f>
        <v>:</v>
      </c>
      <c r="L42" s="544" t="str">
        <f>IF(VLOOKUP($E$42,[1]QUART!$A$2:$FA$315, 11, FALSE)="",":",VLOOKUP($E$42,[1]QUART!$A$2:$FA$315, 11, FALSE))</f>
        <v>:</v>
      </c>
      <c r="M42" s="544" t="str">
        <f>IF(VLOOKUP($E$42,[1]QUART!$A$2:$FA$315, 12, FALSE)="",":",VLOOKUP($E$42,[1]QUART!$A$2:$FA$315, 12, FALSE))</f>
        <v>:</v>
      </c>
      <c r="N42" s="544" t="str">
        <f>IF(VLOOKUP($E$42,[1]QUART!$A$2:$FA$315, 13, FALSE)="",":",VLOOKUP($E$42,[1]QUART!$A$2:$FA$315, 13, FALSE))</f>
        <v>:</v>
      </c>
      <c r="O42" s="544" t="str">
        <f>IF(VLOOKUP($E$42,[1]QUART!$A$2:$FA$315, 14, FALSE)="",":",VLOOKUP($E$42,[1]QUART!$A$2:$FA$315, 14, FALSE))</f>
        <v>:</v>
      </c>
      <c r="P42" s="544" t="str">
        <f>IF(VLOOKUP($E$42,[1]QUART!$A$2:$FA$315, 15, FALSE)="",":",VLOOKUP($E$42,[1]QUART!$A$2:$FA$315, 15, FALSE))</f>
        <v>:</v>
      </c>
      <c r="Q42" s="544" t="str">
        <f>IF(VLOOKUP($E$42,[1]QUART!$A$2:$FA$315, 16, FALSE)="",":",VLOOKUP($E$42,[1]QUART!$A$2:$FA$315, 16, FALSE))</f>
        <v>:</v>
      </c>
      <c r="R42" s="544" t="str">
        <f>IF(VLOOKUP($E$42,[1]QUART!$A$2:$FA$315, 17, FALSE)="",":",VLOOKUP($E$42,[1]QUART!$A$2:$FA$315, 17, FALSE))</f>
        <v>:</v>
      </c>
      <c r="S42" s="544" t="str">
        <f>IF(VLOOKUP($E$42,[1]QUART!$A$2:$FA$315, 18, FALSE)="",":",VLOOKUP($E$42,[1]QUART!$A$2:$FA$315, 18, FALSE))</f>
        <v>:</v>
      </c>
      <c r="T42" s="544" t="str">
        <f>IF(VLOOKUP($E$42,[1]QUART!$A$2:$FA$315, 19, FALSE)="",":",VLOOKUP($E$42,[1]QUART!$A$2:$FA$315, 19, FALSE))</f>
        <v>:</v>
      </c>
      <c r="U42" s="544" t="str">
        <f>IF(VLOOKUP($E$42,[1]QUART!$A$2:$FA$315, 20, FALSE)="",":",VLOOKUP($E$42,[1]QUART!$A$2:$FA$315, 20, FALSE))</f>
        <v>:</v>
      </c>
      <c r="V42" s="544" t="str">
        <f>IF(VLOOKUP($E$42,[1]QUART!$A$2:$FA$315, 21, FALSE)="",":",VLOOKUP($E$42,[1]QUART!$A$2:$FA$315, 21, FALSE))</f>
        <v>:</v>
      </c>
      <c r="W42" s="544" t="str">
        <f>IF(VLOOKUP($E$42,[1]QUART!$A$2:$FA$315, 22, FALSE)="",":",VLOOKUP($E$42,[1]QUART!$A$2:$FA$315, 22, FALSE))</f>
        <v>:</v>
      </c>
      <c r="X42" s="544" t="str">
        <f>IF(VLOOKUP($E$42,[1]QUART!$A$2:$FA$315, 23, FALSE)="",":",VLOOKUP($E$42,[1]QUART!$A$2:$FA$315, 23, FALSE))</f>
        <v>:</v>
      </c>
      <c r="Y42" s="544" t="str">
        <f>IF(VLOOKUP($E$42,[1]QUART!$A$2:$FA$315, 24, FALSE)="",":",VLOOKUP($E$42,[1]QUART!$A$2:$FA$315, 24, FALSE))</f>
        <v>:</v>
      </c>
      <c r="Z42" s="544" t="str">
        <f>IF(VLOOKUP($E$42,[1]QUART!$A$2:$FA$315, 25, FALSE)="",":",VLOOKUP($E$42,[1]QUART!$A$2:$FA$315, 25, FALSE))</f>
        <v>:</v>
      </c>
      <c r="AA42" s="544" t="str">
        <f>IF(VLOOKUP($E$42,[1]QUART!$A$2:$FA$315, 26, FALSE)="",":",VLOOKUP($E$42,[1]QUART!$A$2:$FA$315, 26, FALSE))</f>
        <v>:</v>
      </c>
      <c r="AB42" s="544" t="str">
        <f>IF(VLOOKUP($E$42,[1]QUART!$A$2:$FA$315, 27, FALSE)="",":",VLOOKUP($E$42,[1]QUART!$A$2:$FA$315, 27, FALSE))</f>
        <v>:</v>
      </c>
      <c r="AC42" s="544" t="str">
        <f>IF(VLOOKUP($E$42,[1]QUART!$A$2:$FA$315, 28, FALSE)="",":",VLOOKUP($E$42,[1]QUART!$A$2:$FA$315, 28, FALSE))</f>
        <v>:</v>
      </c>
      <c r="AD42" s="544" t="str">
        <f>IF(VLOOKUP($E$42,[1]QUART!$A$2:$FA$315, 29, FALSE)="",":",VLOOKUP($E$42,[1]QUART!$A$2:$FA$315, 29, FALSE))</f>
        <v>:</v>
      </c>
      <c r="AE42" s="544" t="str">
        <f>IF(VLOOKUP($E$42,[1]QUART!$A$2:$FA$315, 30, FALSE)="",":",VLOOKUP($E$42,[1]QUART!$A$2:$FA$315, 30, FALSE))</f>
        <v>:</v>
      </c>
      <c r="AF42" s="544" t="str">
        <f>IF(VLOOKUP($E$42,[1]QUART!$A$2:$FA$315, 31, FALSE)="",":",VLOOKUP($E$42,[1]QUART!$A$2:$FA$315, 31, FALSE))</f>
        <v>:</v>
      </c>
      <c r="AG42" s="544" t="str">
        <f>IF(VLOOKUP($E$42,[1]QUART!$A$2:$FA$315, 32, FALSE)="",":",VLOOKUP($E$42,[1]QUART!$A$2:$FA$315, 32, FALSE))</f>
        <v>:</v>
      </c>
      <c r="AH42" s="544" t="str">
        <f>IF(VLOOKUP($E$42,[1]QUART!$A$2:$FA$315, 33, FALSE)="",":",VLOOKUP($E$42,[1]QUART!$A$2:$FA$315, 33, FALSE))</f>
        <v>:</v>
      </c>
      <c r="AI42" s="544" t="str">
        <f>IF(VLOOKUP($E$42,[1]QUART!$A$2:$FA$315, 34, FALSE)="",":",VLOOKUP($E$42,[1]QUART!$A$2:$FA$315, 34, FALSE))</f>
        <v>:</v>
      </c>
      <c r="AJ42" s="544" t="str">
        <f>IF(VLOOKUP($E$42,[1]QUART!$A$2:$FA$315, 35, FALSE)="",":",VLOOKUP($E$42,[1]QUART!$A$2:$FA$315, 35, FALSE))</f>
        <v>:</v>
      </c>
      <c r="AK42" s="544" t="str">
        <f>IF(VLOOKUP($E$42,[1]QUART!$A$2:$FA$315, 36, FALSE)="",":",VLOOKUP($E$42,[1]QUART!$A$2:$FA$315, 36, FALSE))</f>
        <v>:</v>
      </c>
      <c r="AL42" s="544" t="str">
        <f>IF(VLOOKUP($E$42,[1]QUART!$A$2:$FA$315, 37, FALSE)="",":",VLOOKUP($E$42,[1]QUART!$A$2:$FA$315, 37, FALSE))</f>
        <v>:</v>
      </c>
      <c r="AM42" s="544" t="str">
        <f>IF(VLOOKUP($E$42,[1]QUART!$A$2:$FA$315, 38, FALSE)="",":",VLOOKUP($E$42,[1]QUART!$A$2:$FA$315, 38, FALSE))</f>
        <v>:</v>
      </c>
      <c r="AN42" s="544" t="str">
        <f>IF(VLOOKUP($E$42,[1]QUART!$A$2:$FA$315, 39, FALSE)="",":",VLOOKUP($E$42,[1]QUART!$A$2:$FA$315, 39, FALSE))</f>
        <v>:</v>
      </c>
      <c r="AO42" s="544" t="str">
        <f>IF(VLOOKUP($E$42,[1]QUART!$A$2:$FA$315, 40, FALSE)="",":",VLOOKUP($E$42,[1]QUART!$A$2:$FA$315, 40, FALSE))</f>
        <v>:</v>
      </c>
      <c r="AP42" s="544" t="str">
        <f>IF(VLOOKUP($E$42,[1]QUART!$A$2:$FA$315, 41, FALSE)="",":",VLOOKUP($E$42,[1]QUART!$A$2:$FA$315, 41, FALSE))</f>
        <v>:</v>
      </c>
      <c r="AQ42" s="544" t="str">
        <f>IF(VLOOKUP($E$42,[1]QUART!$A$2:$FA$315, 42, FALSE)="",":",VLOOKUP($E$42,[1]QUART!$A$2:$FA$315, 42, FALSE))</f>
        <v>:</v>
      </c>
      <c r="AR42" s="544" t="str">
        <f>IF(VLOOKUP($E$42,[1]QUART!$A$2:$FA$315, 43, FALSE)="",":",VLOOKUP($E$42,[1]QUART!$A$2:$FA$315, 43, FALSE))</f>
        <v>:</v>
      </c>
      <c r="AS42" s="544" t="str">
        <f>IF(VLOOKUP($E$42,[1]QUART!$A$2:$FA$315, 44, FALSE)="",":",VLOOKUP($E$42,[1]QUART!$A$2:$FA$315, 44, FALSE))</f>
        <v>:</v>
      </c>
      <c r="AT42" s="544" t="str">
        <f>IF(VLOOKUP($E$42,[1]QUART!$A$2:$FA$315, 45, FALSE)="",":",VLOOKUP($E$42,[1]QUART!$A$2:$FA$315, 45, FALSE))</f>
        <v>:</v>
      </c>
      <c r="AU42" s="544" t="str">
        <f>IF(VLOOKUP($E$42,[1]QUART!$A$2:$FA$315, 46, FALSE)="",":",VLOOKUP($E$42,[1]QUART!$A$2:$FA$315, 46, FALSE))</f>
        <v>:</v>
      </c>
      <c r="AV42" s="544" t="str">
        <f>IF(VLOOKUP($E$42,[1]QUART!$A$2:$FA$315, 47, FALSE)="",":",VLOOKUP($E$42,[1]QUART!$A$2:$FA$315, 47, FALSE))</f>
        <v>:</v>
      </c>
      <c r="AW42" s="544" t="str">
        <f>IF(VLOOKUP($E$42,[1]QUART!$A$2:$FA$315, 48, FALSE)="",":",VLOOKUP($E$42,[1]QUART!$A$2:$FA$315, 48, FALSE))</f>
        <v>:</v>
      </c>
      <c r="AX42" s="544" t="str">
        <f>IF(VLOOKUP($E$42,[1]QUART!$A$2:$FA$315, 49, FALSE)="",":",VLOOKUP($E$42,[1]QUART!$A$2:$FA$315, 49, FALSE))</f>
        <v>:</v>
      </c>
      <c r="AY42" s="544" t="str">
        <f>IF(VLOOKUP($E$42,[1]QUART!$A$2:$FA$315, 50, FALSE)="",":",VLOOKUP($E$42,[1]QUART!$A$2:$FA$315, 50, FALSE))</f>
        <v>:</v>
      </c>
      <c r="AZ42" s="544" t="str">
        <f>IF(VLOOKUP($E$42,[1]QUART!$A$2:$FA$315, 51, FALSE)="",":",VLOOKUP($E$42,[1]QUART!$A$2:$FA$315, 51, FALSE))</f>
        <v>:</v>
      </c>
      <c r="BA42" s="544" t="str">
        <f>IF(VLOOKUP($E$42,[1]QUART!$A$2:$FA$315, 52, FALSE)="",":",VLOOKUP($E$42,[1]QUART!$A$2:$FA$315, 52, FALSE))</f>
        <v>:</v>
      </c>
      <c r="BB42" s="544" t="str">
        <f>IF(VLOOKUP($E$42,[1]QUART!$A$2:$FA$315, 53, FALSE)="",":",VLOOKUP($E$42,[1]QUART!$A$2:$FA$315, 53, FALSE))</f>
        <v>:</v>
      </c>
      <c r="BC42" s="544" t="str">
        <f>IF(VLOOKUP($E$42,[1]QUART!$A$2:$FA$315, 54, FALSE)="",":",VLOOKUP($E$42,[1]QUART!$A$2:$FA$315, 54, FALSE))</f>
        <v>:</v>
      </c>
      <c r="BD42" s="544" t="str">
        <f>IF(VLOOKUP($E$42,[1]QUART!$A$2:$FA$315, 55, FALSE)="",":",VLOOKUP($E$42,[1]QUART!$A$2:$FA$315, 55, FALSE))</f>
        <v>:</v>
      </c>
      <c r="BE42" s="544" t="str">
        <f>IF(VLOOKUP($E$42,[1]QUART!$A$2:$FA$315, 56, FALSE)="",":",VLOOKUP($E$42,[1]QUART!$A$2:$FA$315, 56, FALSE))</f>
        <v>:</v>
      </c>
      <c r="BF42" s="544" t="str">
        <f>IF(VLOOKUP($E$42,[1]QUART!$A$2:$FA$315, 57, FALSE)="",":",VLOOKUP($E$42,[1]QUART!$A$2:$FA$315, 57, FALSE))</f>
        <v>:</v>
      </c>
      <c r="BG42" s="544" t="str">
        <f>IF(VLOOKUP($E$42,[1]QUART!$A$2:$FA$315, 58, FALSE)="",":",VLOOKUP($E$42,[1]QUART!$A$2:$FA$315, 58, FALSE))</f>
        <v>:</v>
      </c>
      <c r="BH42" s="544" t="str">
        <f>IF(VLOOKUP($E$42,[1]QUART!$A$2:$FA$315, 59, FALSE)="",":",VLOOKUP($E$42,[1]QUART!$A$2:$FA$315, 59, FALSE))</f>
        <v>:</v>
      </c>
      <c r="BI42" s="544" t="str">
        <f>IF(VLOOKUP($E$42,[1]QUART!$A$2:$FA$315, 60, FALSE)="",":",VLOOKUP($E$42,[1]QUART!$A$2:$FA$315, 60, FALSE))</f>
        <v>:</v>
      </c>
      <c r="BJ42" s="544" t="str">
        <f>IF(VLOOKUP($E$42,[1]QUART!$A$2:$FA$315, 61, FALSE)="",":",VLOOKUP($E$42,[1]QUART!$A$2:$FA$315, 61, FALSE))</f>
        <v>:</v>
      </c>
      <c r="BK42" s="544" t="str">
        <f>IF(VLOOKUP($E$42,[1]QUART!$A$2:$FA$315, 62, FALSE)="",":",VLOOKUP($E$42,[1]QUART!$A$2:$FA$315, 62, FALSE))</f>
        <v>:</v>
      </c>
      <c r="BL42" s="544" t="str">
        <f>IF(VLOOKUP($E$42,[1]QUART!$A$2:$FA$315, 63, FALSE)="",":",VLOOKUP($E$42,[1]QUART!$A$2:$FA$315, 63, FALSE))</f>
        <v>:</v>
      </c>
      <c r="BM42" s="544" t="str">
        <f>IF(VLOOKUP($E$42,[1]QUART!$A$2:$FA$315, 64, FALSE)="",":",VLOOKUP($E$42,[1]QUART!$A$2:$FA$315, 64, FALSE))</f>
        <v>:</v>
      </c>
      <c r="BN42" s="544" t="str">
        <f>IF(VLOOKUP($E$42,[1]QUART!$A$2:$FA$315, 65, FALSE)="",":",VLOOKUP($E$42,[1]QUART!$A$2:$FA$315, 65, FALSE))</f>
        <v>:</v>
      </c>
      <c r="BO42" s="544" t="str">
        <f>IF(VLOOKUP($E$42,[1]QUART!$A$2:$FA$315, 66, FALSE)="",":",VLOOKUP($E$42,[1]QUART!$A$2:$FA$315, 66, FALSE))</f>
        <v>:</v>
      </c>
      <c r="BP42" s="544" t="str">
        <f>IF(VLOOKUP($E$42,[1]QUART!$A$2:$FA$315, 67, FALSE)="",":",VLOOKUP($E$42,[1]QUART!$A$2:$FA$315, 67, FALSE))</f>
        <v>:</v>
      </c>
      <c r="BQ42" s="544" t="str">
        <f>IF(VLOOKUP($E$42,[1]QUART!$A$2:$FA$315, 68, FALSE)="",":",VLOOKUP($E$42,[1]QUART!$A$2:$FA$315, 68, FALSE))</f>
        <v>:</v>
      </c>
      <c r="BR42" s="544" t="str">
        <f>IF(VLOOKUP($E$42,[1]QUART!$A$2:$FA$315, 69, FALSE)="",":",VLOOKUP($E$42,[1]QUART!$A$2:$FA$315, 69, FALSE))</f>
        <v>:</v>
      </c>
      <c r="BS42" s="544" t="str">
        <f>IF(VLOOKUP($E$42,[1]QUART!$A$2:$FA$315, 70, FALSE)="",":",VLOOKUP($E$42,[1]QUART!$A$2:$FA$315, 70, FALSE))</f>
        <v>:</v>
      </c>
      <c r="BT42" s="544" t="str">
        <f>IF(VLOOKUP($E$42,[1]QUART!$A$2:$FA$315, 71, FALSE)="",":",VLOOKUP($E$42,[1]QUART!$A$2:$FA$315, 71, FALSE))</f>
        <v>:</v>
      </c>
      <c r="BU42" s="544" t="str">
        <f>IF(VLOOKUP($E$42,[1]QUART!$A$2:$FA$315, 72, FALSE)="",":",VLOOKUP($E$42,[1]QUART!$A$2:$FA$315, 72, FALSE))</f>
        <v>:</v>
      </c>
      <c r="BV42" s="544" t="str">
        <f>IF(VLOOKUP($E$42,[1]QUART!$A$2:$FA$315, 73, FALSE)="",":",VLOOKUP($E$42,[1]QUART!$A$2:$FA$315, 73, FALSE))</f>
        <v>:</v>
      </c>
      <c r="BW42" s="544" t="str">
        <f>IF(VLOOKUP($E$42,[1]QUART!$A$2:$FA$315, 74, FALSE)="",":",VLOOKUP($E$42,[1]QUART!$A$2:$FA$315, 74, FALSE))</f>
        <v>:</v>
      </c>
      <c r="BX42" s="544" t="str">
        <f>IF(VLOOKUP($E$42,[1]QUART!$A$2:$FA$315, 75, FALSE)="",":",VLOOKUP($E$42,[1]QUART!$A$2:$FA$315, 75, FALSE))</f>
        <v>:</v>
      </c>
      <c r="BY42" s="544" t="str">
        <f>IF(VLOOKUP($E$42,[1]QUART!$A$2:$FA$315, 76, FALSE)="",":",VLOOKUP($E$42,[1]QUART!$A$2:$FA$315, 76, FALSE))</f>
        <v>:</v>
      </c>
      <c r="BZ42" s="544" t="str">
        <f>IF(VLOOKUP($E$42,[1]QUART!$A$2:$FA$315, 77, FALSE)="",":",VLOOKUP($E$42,[1]QUART!$A$2:$FA$315, 77, FALSE))</f>
        <v>:</v>
      </c>
      <c r="CA42" s="544" t="str">
        <f>IF(VLOOKUP($E$42,[1]QUART!$A$2:$FA$315, 78, FALSE)="",":",VLOOKUP($E$42,[1]QUART!$A$2:$FA$315, 78, FALSE))</f>
        <v>:</v>
      </c>
      <c r="CB42" s="544" t="str">
        <f>IF(VLOOKUP($E$42,[1]QUART!$A$2:$FA$315, 79, FALSE)="",":",VLOOKUP($E$42,[1]QUART!$A$2:$FA$315, 79, FALSE))</f>
        <v>:</v>
      </c>
      <c r="CC42" s="544" t="str">
        <f>IF(VLOOKUP($E$42,[1]QUART!$A$2:$FA$315, 80, FALSE)="",":",VLOOKUP($E$42,[1]QUART!$A$2:$FA$315, 80, FALSE))</f>
        <v>:</v>
      </c>
      <c r="CD42" s="544" t="str">
        <f>IF(VLOOKUP($E$42,[1]QUART!$A$2:$FA$315, 81, FALSE)="",":",VLOOKUP($E$42,[1]QUART!$A$2:$FA$315, 81, FALSE))</f>
        <v>:</v>
      </c>
      <c r="CE42" s="544" t="str">
        <f>IF(VLOOKUP($E$42,[1]QUART!$A$2:$FA$315, 82, FALSE)="",":",VLOOKUP($E$42,[1]QUART!$A$2:$FA$315, 82, FALSE))</f>
        <v>:</v>
      </c>
      <c r="CF42" s="544" t="str">
        <f>IF(VLOOKUP($E$42,[1]QUART!$A$2:$FA$315, 83, FALSE)="",":",VLOOKUP($E$42,[1]QUART!$A$2:$FA$315, 83, FALSE))</f>
        <v>:</v>
      </c>
      <c r="CG42" s="544" t="str">
        <f>IF(VLOOKUP($E$42,[1]QUART!$A$2:$FA$315, 84, FALSE)="",":",VLOOKUP($E$42,[1]QUART!$A$2:$FA$315, 84, FALSE))</f>
        <v>:</v>
      </c>
      <c r="CH42" s="544" t="str">
        <f>IF(VLOOKUP($E$42,[1]QUART!$A$2:$FA$315, 85, FALSE)="",":",VLOOKUP($E$42,[1]QUART!$A$2:$FA$315, 85, FALSE))</f>
        <v>:</v>
      </c>
      <c r="CI42" s="544" t="str">
        <f>IF(VLOOKUP($E$42,[1]QUART!$A$2:$FA$315, 86, FALSE)="",":",VLOOKUP($E$42,[1]QUART!$A$2:$FA$315, 86, FALSE))</f>
        <v>:</v>
      </c>
      <c r="CJ42" s="544" t="str">
        <f>IF(VLOOKUP($E$42,[1]QUART!$A$2:$FA$315, 87, FALSE)="",":",VLOOKUP($E$42,[1]QUART!$A$2:$FA$315, 87, FALSE))</f>
        <v>:</v>
      </c>
      <c r="CK42" s="544" t="str">
        <f>IF(VLOOKUP($E$42,[1]QUART!$A$2:$FA$315, 88, FALSE)="",":",VLOOKUP($E$42,[1]QUART!$A$2:$FA$315, 88, FALSE))</f>
        <v>:</v>
      </c>
      <c r="CL42" s="544" t="str">
        <f>IF(VLOOKUP($E$42,[1]QUART!$A$2:$FA$315, 89, FALSE)="",":",VLOOKUP($E$42,[1]QUART!$A$2:$FA$315, 89, FALSE))</f>
        <v>:</v>
      </c>
      <c r="CM42" s="544" t="str">
        <f>IF(VLOOKUP($E$42,[1]QUART!$A$2:$FA$315, 90, FALSE)="",":",VLOOKUP($E$42,[1]QUART!$A$2:$FA$315, 90, FALSE))</f>
        <v>:</v>
      </c>
      <c r="CN42" s="544" t="str">
        <f>IF(VLOOKUP($E$42,[1]QUART!$A$2:$FA$315, 91, FALSE)="",":",VLOOKUP($E$42,[1]QUART!$A$2:$FA$315, 91, FALSE))</f>
        <v>:</v>
      </c>
      <c r="CO42" s="544" t="str">
        <f>IF(VLOOKUP($E$42,[1]QUART!$A$2:$FA$315, 92, FALSE)="",":",VLOOKUP($E$42,[1]QUART!$A$2:$FA$315, 92, FALSE))</f>
        <v>:</v>
      </c>
      <c r="CP42" s="544" t="str">
        <f>IF(VLOOKUP($E$42,[1]QUART!$A$2:$FA$315, 93, FALSE)="",":",VLOOKUP($E$42,[1]QUART!$A$2:$FA$315, 93, FALSE))</f>
        <v>:</v>
      </c>
      <c r="CQ42" s="544" t="str">
        <f>IF(VLOOKUP($E$42,[1]QUART!$A$2:$FA$315, 94, FALSE)="",":",VLOOKUP($E$42,[1]QUART!$A$2:$FA$315, 94, FALSE))</f>
        <v>:</v>
      </c>
      <c r="CR42" s="544" t="str">
        <f>IF(VLOOKUP($E$42,[1]QUART!$A$2:$FA$315, 95, FALSE)="",":",VLOOKUP($E$42,[1]QUART!$A$2:$FA$315, 95, FALSE))</f>
        <v>:</v>
      </c>
      <c r="CS42" s="544" t="str">
        <f>IF(VLOOKUP($E$42,[1]QUART!$A$2:$FA$315, 96, FALSE)="",":",VLOOKUP($E$42,[1]QUART!$A$2:$FA$315, 96, FALSE))</f>
        <v>:</v>
      </c>
      <c r="CT42" s="544" t="str">
        <f>IF(VLOOKUP($E$42,[1]QUART!$A$2:$FA$315, 97, FALSE)="",":",VLOOKUP($E$42,[1]QUART!$A$2:$FA$315, 97, FALSE))</f>
        <v>:</v>
      </c>
      <c r="CU42" s="544" t="str">
        <f>IF(VLOOKUP($E$42,[1]QUART!$A$2:$FA$315, 98, FALSE)="",":",VLOOKUP($E$42,[1]QUART!$A$2:$FA$315, 98, FALSE))</f>
        <v>:</v>
      </c>
      <c r="CV42" s="544" t="str">
        <f>IF(VLOOKUP($E$42,[1]QUART!$A$2:$FA$315, 99, FALSE)="",":",VLOOKUP($E$42,[1]QUART!$A$2:$FA$315, 99, FALSE))</f>
        <v>:</v>
      </c>
      <c r="CW42" s="544" t="str">
        <f>IF(VLOOKUP($E$42,[1]QUART!$A$2:$FA$315, 100, FALSE)="",":",VLOOKUP($E$42,[1]QUART!$A$2:$FA$315, 100, FALSE))</f>
        <v>:</v>
      </c>
      <c r="CX42" s="544" t="str">
        <f>IF(VLOOKUP($E$42,[1]QUART!$A$2:$FA$315, 101, FALSE)="",":",VLOOKUP($E$42,[1]QUART!$A$2:$FA$315, 101, FALSE))</f>
        <v>:</v>
      </c>
      <c r="CY42" s="544" t="str">
        <f>IF(VLOOKUP($E$42,[1]QUART!$A$2:$FA$315, 102, FALSE)="",":",VLOOKUP($E$42,[1]QUART!$A$2:$FA$315, 102, FALSE))</f>
        <v>:</v>
      </c>
      <c r="CZ42" s="544" t="str">
        <f>IF(VLOOKUP($E$42,[1]QUART!$A$2:$FA$315, 103, FALSE)="",":",VLOOKUP($E$42,[1]QUART!$A$2:$FA$315, 103, FALSE))</f>
        <v>:</v>
      </c>
      <c r="DA42" s="544" t="str">
        <f>IF(VLOOKUP($E$42,[1]QUART!$A$2:$FA$315, 104, FALSE)="",":",VLOOKUP($E$42,[1]QUART!$A$2:$FA$315, 104, FALSE))</f>
        <v>:</v>
      </c>
      <c r="DB42" s="544" t="str">
        <f>IF(VLOOKUP($E$42,[1]QUART!$A$2:$FA$315, 105, FALSE)="",":",VLOOKUP($E$42,[1]QUART!$A$2:$FA$315, 105, FALSE))</f>
        <v>:</v>
      </c>
      <c r="DC42" s="544" t="str">
        <f>IF(VLOOKUP($E$42,[1]QUART!$A$2:$FA$315, 106, FALSE)="",":",VLOOKUP($E$42,[1]QUART!$A$2:$FA$315, 106, FALSE))</f>
        <v>:</v>
      </c>
    </row>
    <row r="43" spans="1:107">
      <c r="A43" s="1954"/>
      <c r="B43" s="534"/>
      <c r="C43" s="535"/>
      <c r="D43" s="12" t="s">
        <v>1841</v>
      </c>
      <c r="E43" s="13">
        <v>109</v>
      </c>
      <c r="F43" s="14" t="str">
        <f>VLOOKUP($E$43,[1]QUART!$A$2:$FA$315, 3, FALSE)</f>
        <v>109 GFCF equipment</v>
      </c>
      <c r="G43" s="544" t="str">
        <f>IF(VLOOKUP($E$43,[1]QUART!$A$2:$FA$315, 6, FALSE)="",":",VLOOKUP($E$43,[1]QUART!$A$2:$FA$315, 6, FALSE))</f>
        <v>:</v>
      </c>
      <c r="H43" s="544" t="str">
        <f>IF(VLOOKUP($E$43,[1]QUART!$A$2:$FA$315, 7, FALSE)="",":",VLOOKUP($E$43,[1]QUART!$A$2:$FA$315, 7, FALSE))</f>
        <v>:</v>
      </c>
      <c r="I43" s="544" t="str">
        <f>IF(VLOOKUP($E$43,[1]QUART!$A$2:$FA$315, 8, FALSE)="",":",VLOOKUP($E$43,[1]QUART!$A$2:$FA$315, 8, FALSE))</f>
        <v>:</v>
      </c>
      <c r="J43" s="544" t="str">
        <f>IF(VLOOKUP($E$43,[1]QUART!$A$2:$FA$315, 9, FALSE)="",":",VLOOKUP($E$43,[1]QUART!$A$2:$FA$315, 9, FALSE))</f>
        <v>:</v>
      </c>
      <c r="K43" s="544" t="str">
        <f>IF(VLOOKUP($E$43,[1]QUART!$A$2:$FA$315, 10, FALSE)="",":",VLOOKUP($E$43,[1]QUART!$A$2:$FA$315, 10, FALSE))</f>
        <v>:</v>
      </c>
      <c r="L43" s="544" t="str">
        <f>IF(VLOOKUP($E$43,[1]QUART!$A$2:$FA$315, 11, FALSE)="",":",VLOOKUP($E$43,[1]QUART!$A$2:$FA$315, 11, FALSE))</f>
        <v>:</v>
      </c>
      <c r="M43" s="544" t="str">
        <f>IF(VLOOKUP($E$43,[1]QUART!$A$2:$FA$315, 12, FALSE)="",":",VLOOKUP($E$43,[1]QUART!$A$2:$FA$315, 12, FALSE))</f>
        <v>:</v>
      </c>
      <c r="N43" s="544" t="str">
        <f>IF(VLOOKUP($E$43,[1]QUART!$A$2:$FA$315, 13, FALSE)="",":",VLOOKUP($E$43,[1]QUART!$A$2:$FA$315, 13, FALSE))</f>
        <v>:</v>
      </c>
      <c r="O43" s="544" t="str">
        <f>IF(VLOOKUP($E$43,[1]QUART!$A$2:$FA$315, 14, FALSE)="",":",VLOOKUP($E$43,[1]QUART!$A$2:$FA$315, 14, FALSE))</f>
        <v>:</v>
      </c>
      <c r="P43" s="544" t="str">
        <f>IF(VLOOKUP($E$43,[1]QUART!$A$2:$FA$315, 15, FALSE)="",":",VLOOKUP($E$43,[1]QUART!$A$2:$FA$315, 15, FALSE))</f>
        <v>:</v>
      </c>
      <c r="Q43" s="544" t="str">
        <f>IF(VLOOKUP($E$43,[1]QUART!$A$2:$FA$315, 16, FALSE)="",":",VLOOKUP($E$43,[1]QUART!$A$2:$FA$315, 16, FALSE))</f>
        <v>:</v>
      </c>
      <c r="R43" s="544" t="str">
        <f>IF(VLOOKUP($E$43,[1]QUART!$A$2:$FA$315, 17, FALSE)="",":",VLOOKUP($E$43,[1]QUART!$A$2:$FA$315, 17, FALSE))</f>
        <v>:</v>
      </c>
      <c r="S43" s="544" t="str">
        <f>IF(VLOOKUP($E$43,[1]QUART!$A$2:$FA$315, 18, FALSE)="",":",VLOOKUP($E$43,[1]QUART!$A$2:$FA$315, 18, FALSE))</f>
        <v>:</v>
      </c>
      <c r="T43" s="544" t="str">
        <f>IF(VLOOKUP($E$43,[1]QUART!$A$2:$FA$315, 19, FALSE)="",":",VLOOKUP($E$43,[1]QUART!$A$2:$FA$315, 19, FALSE))</f>
        <v>:</v>
      </c>
      <c r="U43" s="544" t="str">
        <f>IF(VLOOKUP($E$43,[1]QUART!$A$2:$FA$315, 20, FALSE)="",":",VLOOKUP($E$43,[1]QUART!$A$2:$FA$315, 20, FALSE))</f>
        <v>:</v>
      </c>
      <c r="V43" s="544" t="str">
        <f>IF(VLOOKUP($E$43,[1]QUART!$A$2:$FA$315, 21, FALSE)="",":",VLOOKUP($E$43,[1]QUART!$A$2:$FA$315, 21, FALSE))</f>
        <v>:</v>
      </c>
      <c r="W43" s="544" t="str">
        <f>IF(VLOOKUP($E$43,[1]QUART!$A$2:$FA$315, 22, FALSE)="",":",VLOOKUP($E$43,[1]QUART!$A$2:$FA$315, 22, FALSE))</f>
        <v>:</v>
      </c>
      <c r="X43" s="544" t="str">
        <f>IF(VLOOKUP($E$43,[1]QUART!$A$2:$FA$315, 23, FALSE)="",":",VLOOKUP($E$43,[1]QUART!$A$2:$FA$315, 23, FALSE))</f>
        <v>:</v>
      </c>
      <c r="Y43" s="544" t="str">
        <f>IF(VLOOKUP($E$43,[1]QUART!$A$2:$FA$315, 24, FALSE)="",":",VLOOKUP($E$43,[1]QUART!$A$2:$FA$315, 24, FALSE))</f>
        <v>:</v>
      </c>
      <c r="Z43" s="544" t="str">
        <f>IF(VLOOKUP($E$43,[1]QUART!$A$2:$FA$315, 25, FALSE)="",":",VLOOKUP($E$43,[1]QUART!$A$2:$FA$315, 25, FALSE))</f>
        <v>:</v>
      </c>
      <c r="AA43" s="544" t="str">
        <f>IF(VLOOKUP($E$43,[1]QUART!$A$2:$FA$315, 26, FALSE)="",":",VLOOKUP($E$43,[1]QUART!$A$2:$FA$315, 26, FALSE))</f>
        <v>:</v>
      </c>
      <c r="AB43" s="544" t="str">
        <f>IF(VLOOKUP($E$43,[1]QUART!$A$2:$FA$315, 27, FALSE)="",":",VLOOKUP($E$43,[1]QUART!$A$2:$FA$315, 27, FALSE))</f>
        <v>:</v>
      </c>
      <c r="AC43" s="544" t="str">
        <f>IF(VLOOKUP($E$43,[1]QUART!$A$2:$FA$315, 28, FALSE)="",":",VLOOKUP($E$43,[1]QUART!$A$2:$FA$315, 28, FALSE))</f>
        <v>:</v>
      </c>
      <c r="AD43" s="544" t="str">
        <f>IF(VLOOKUP($E$43,[1]QUART!$A$2:$FA$315, 29, FALSE)="",":",VLOOKUP($E$43,[1]QUART!$A$2:$FA$315, 29, FALSE))</f>
        <v>:</v>
      </c>
      <c r="AE43" s="544" t="str">
        <f>IF(VLOOKUP($E$43,[1]QUART!$A$2:$FA$315, 30, FALSE)="",":",VLOOKUP($E$43,[1]QUART!$A$2:$FA$315, 30, FALSE))</f>
        <v>:</v>
      </c>
      <c r="AF43" s="544" t="str">
        <f>IF(VLOOKUP($E$43,[1]QUART!$A$2:$FA$315, 31, FALSE)="",":",VLOOKUP($E$43,[1]QUART!$A$2:$FA$315, 31, FALSE))</f>
        <v>:</v>
      </c>
      <c r="AG43" s="544" t="str">
        <f>IF(VLOOKUP($E$43,[1]QUART!$A$2:$FA$315, 32, FALSE)="",":",VLOOKUP($E$43,[1]QUART!$A$2:$FA$315, 32, FALSE))</f>
        <v>:</v>
      </c>
      <c r="AH43" s="544" t="str">
        <f>IF(VLOOKUP($E$43,[1]QUART!$A$2:$FA$315, 33, FALSE)="",":",VLOOKUP($E$43,[1]QUART!$A$2:$FA$315, 33, FALSE))</f>
        <v>:</v>
      </c>
      <c r="AI43" s="544" t="str">
        <f>IF(VLOOKUP($E$43,[1]QUART!$A$2:$FA$315, 34, FALSE)="",":",VLOOKUP($E$43,[1]QUART!$A$2:$FA$315, 34, FALSE))</f>
        <v>:</v>
      </c>
      <c r="AJ43" s="544" t="str">
        <f>IF(VLOOKUP($E$43,[1]QUART!$A$2:$FA$315, 35, FALSE)="",":",VLOOKUP($E$43,[1]QUART!$A$2:$FA$315, 35, FALSE))</f>
        <v>:</v>
      </c>
      <c r="AK43" s="544" t="str">
        <f>IF(VLOOKUP($E$43,[1]QUART!$A$2:$FA$315, 36, FALSE)="",":",VLOOKUP($E$43,[1]QUART!$A$2:$FA$315, 36, FALSE))</f>
        <v>:</v>
      </c>
      <c r="AL43" s="544" t="str">
        <f>IF(VLOOKUP($E$43,[1]QUART!$A$2:$FA$315, 37, FALSE)="",":",VLOOKUP($E$43,[1]QUART!$A$2:$FA$315, 37, FALSE))</f>
        <v>:</v>
      </c>
      <c r="AM43" s="544" t="str">
        <f>IF(VLOOKUP($E$43,[1]QUART!$A$2:$FA$315, 38, FALSE)="",":",VLOOKUP($E$43,[1]QUART!$A$2:$FA$315, 38, FALSE))</f>
        <v>:</v>
      </c>
      <c r="AN43" s="544" t="str">
        <f>IF(VLOOKUP($E$43,[1]QUART!$A$2:$FA$315, 39, FALSE)="",":",VLOOKUP($E$43,[1]QUART!$A$2:$FA$315, 39, FALSE))</f>
        <v>:</v>
      </c>
      <c r="AO43" s="544" t="str">
        <f>IF(VLOOKUP($E$43,[1]QUART!$A$2:$FA$315, 40, FALSE)="",":",VLOOKUP($E$43,[1]QUART!$A$2:$FA$315, 40, FALSE))</f>
        <v>:</v>
      </c>
      <c r="AP43" s="544" t="str">
        <f>IF(VLOOKUP($E$43,[1]QUART!$A$2:$FA$315, 41, FALSE)="",":",VLOOKUP($E$43,[1]QUART!$A$2:$FA$315, 41, FALSE))</f>
        <v>:</v>
      </c>
      <c r="AQ43" s="544" t="str">
        <f>IF(VLOOKUP($E$43,[1]QUART!$A$2:$FA$315, 42, FALSE)="",":",VLOOKUP($E$43,[1]QUART!$A$2:$FA$315, 42, FALSE))</f>
        <v>:</v>
      </c>
      <c r="AR43" s="544" t="str">
        <f>IF(VLOOKUP($E$43,[1]QUART!$A$2:$FA$315, 43, FALSE)="",":",VLOOKUP($E$43,[1]QUART!$A$2:$FA$315, 43, FALSE))</f>
        <v>:</v>
      </c>
      <c r="AS43" s="544" t="str">
        <f>IF(VLOOKUP($E$43,[1]QUART!$A$2:$FA$315, 44, FALSE)="",":",VLOOKUP($E$43,[1]QUART!$A$2:$FA$315, 44, FALSE))</f>
        <v>:</v>
      </c>
      <c r="AT43" s="544" t="str">
        <f>IF(VLOOKUP($E$43,[1]QUART!$A$2:$FA$315, 45, FALSE)="",":",VLOOKUP($E$43,[1]QUART!$A$2:$FA$315, 45, FALSE))</f>
        <v>:</v>
      </c>
      <c r="AU43" s="544" t="str">
        <f>IF(VLOOKUP($E$43,[1]QUART!$A$2:$FA$315, 46, FALSE)="",":",VLOOKUP($E$43,[1]QUART!$A$2:$FA$315, 46, FALSE))</f>
        <v>:</v>
      </c>
      <c r="AV43" s="544" t="str">
        <f>IF(VLOOKUP($E$43,[1]QUART!$A$2:$FA$315, 47, FALSE)="",":",VLOOKUP($E$43,[1]QUART!$A$2:$FA$315, 47, FALSE))</f>
        <v>:</v>
      </c>
      <c r="AW43" s="544" t="str">
        <f>IF(VLOOKUP($E$43,[1]QUART!$A$2:$FA$315, 48, FALSE)="",":",VLOOKUP($E$43,[1]QUART!$A$2:$FA$315, 48, FALSE))</f>
        <v>:</v>
      </c>
      <c r="AX43" s="544" t="str">
        <f>IF(VLOOKUP($E$43,[1]QUART!$A$2:$FA$315, 49, FALSE)="",":",VLOOKUP($E$43,[1]QUART!$A$2:$FA$315, 49, FALSE))</f>
        <v>:</v>
      </c>
      <c r="AY43" s="544" t="str">
        <f>IF(VLOOKUP($E$43,[1]QUART!$A$2:$FA$315, 50, FALSE)="",":",VLOOKUP($E$43,[1]QUART!$A$2:$FA$315, 50, FALSE))</f>
        <v>:</v>
      </c>
      <c r="AZ43" s="544" t="str">
        <f>IF(VLOOKUP($E$43,[1]QUART!$A$2:$FA$315, 51, FALSE)="",":",VLOOKUP($E$43,[1]QUART!$A$2:$FA$315, 51, FALSE))</f>
        <v>:</v>
      </c>
      <c r="BA43" s="544" t="str">
        <f>IF(VLOOKUP($E$43,[1]QUART!$A$2:$FA$315, 52, FALSE)="",":",VLOOKUP($E$43,[1]QUART!$A$2:$FA$315, 52, FALSE))</f>
        <v>:</v>
      </c>
      <c r="BB43" s="544" t="str">
        <f>IF(VLOOKUP($E$43,[1]QUART!$A$2:$FA$315, 53, FALSE)="",":",VLOOKUP($E$43,[1]QUART!$A$2:$FA$315, 53, FALSE))</f>
        <v>:</v>
      </c>
      <c r="BC43" s="544" t="str">
        <f>IF(VLOOKUP($E$43,[1]QUART!$A$2:$FA$315, 54, FALSE)="",":",VLOOKUP($E$43,[1]QUART!$A$2:$FA$315, 54, FALSE))</f>
        <v>:</v>
      </c>
      <c r="BD43" s="544" t="str">
        <f>IF(VLOOKUP($E$43,[1]QUART!$A$2:$FA$315, 55, FALSE)="",":",VLOOKUP($E$43,[1]QUART!$A$2:$FA$315, 55, FALSE))</f>
        <v>:</v>
      </c>
      <c r="BE43" s="544" t="str">
        <f>IF(VLOOKUP($E$43,[1]QUART!$A$2:$FA$315, 56, FALSE)="",":",VLOOKUP($E$43,[1]QUART!$A$2:$FA$315, 56, FALSE))</f>
        <v>:</v>
      </c>
      <c r="BF43" s="544" t="str">
        <f>IF(VLOOKUP($E$43,[1]QUART!$A$2:$FA$315, 57, FALSE)="",":",VLOOKUP($E$43,[1]QUART!$A$2:$FA$315, 57, FALSE))</f>
        <v>:</v>
      </c>
      <c r="BG43" s="544" t="str">
        <f>IF(VLOOKUP($E$43,[1]QUART!$A$2:$FA$315, 58, FALSE)="",":",VLOOKUP($E$43,[1]QUART!$A$2:$FA$315, 58, FALSE))</f>
        <v>:</v>
      </c>
      <c r="BH43" s="544" t="str">
        <f>IF(VLOOKUP($E$43,[1]QUART!$A$2:$FA$315, 59, FALSE)="",":",VLOOKUP($E$43,[1]QUART!$A$2:$FA$315, 59, FALSE))</f>
        <v>:</v>
      </c>
      <c r="BI43" s="544" t="str">
        <f>IF(VLOOKUP($E$43,[1]QUART!$A$2:$FA$315, 60, FALSE)="",":",VLOOKUP($E$43,[1]QUART!$A$2:$FA$315, 60, FALSE))</f>
        <v>:</v>
      </c>
      <c r="BJ43" s="544" t="str">
        <f>IF(VLOOKUP($E$43,[1]QUART!$A$2:$FA$315, 61, FALSE)="",":",VLOOKUP($E$43,[1]QUART!$A$2:$FA$315, 61, FALSE))</f>
        <v>:</v>
      </c>
      <c r="BK43" s="544" t="str">
        <f>IF(VLOOKUP($E$43,[1]QUART!$A$2:$FA$315, 62, FALSE)="",":",VLOOKUP($E$43,[1]QUART!$A$2:$FA$315, 62, FALSE))</f>
        <v>:</v>
      </c>
      <c r="BL43" s="544" t="str">
        <f>IF(VLOOKUP($E$43,[1]QUART!$A$2:$FA$315, 63, FALSE)="",":",VLOOKUP($E$43,[1]QUART!$A$2:$FA$315, 63, FALSE))</f>
        <v>:</v>
      </c>
      <c r="BM43" s="544" t="str">
        <f>IF(VLOOKUP($E$43,[1]QUART!$A$2:$FA$315, 64, FALSE)="",":",VLOOKUP($E$43,[1]QUART!$A$2:$FA$315, 64, FALSE))</f>
        <v>:</v>
      </c>
      <c r="BN43" s="544" t="str">
        <f>IF(VLOOKUP($E$43,[1]QUART!$A$2:$FA$315, 65, FALSE)="",":",VLOOKUP($E$43,[1]QUART!$A$2:$FA$315, 65, FALSE))</f>
        <v>:</v>
      </c>
      <c r="BO43" s="544" t="str">
        <f>IF(VLOOKUP($E$43,[1]QUART!$A$2:$FA$315, 66, FALSE)="",":",VLOOKUP($E$43,[1]QUART!$A$2:$FA$315, 66, FALSE))</f>
        <v>:</v>
      </c>
      <c r="BP43" s="544" t="str">
        <f>IF(VLOOKUP($E$43,[1]QUART!$A$2:$FA$315, 67, FALSE)="",":",VLOOKUP($E$43,[1]QUART!$A$2:$FA$315, 67, FALSE))</f>
        <v>:</v>
      </c>
      <c r="BQ43" s="544" t="str">
        <f>IF(VLOOKUP($E$43,[1]QUART!$A$2:$FA$315, 68, FALSE)="",":",VLOOKUP($E$43,[1]QUART!$A$2:$FA$315, 68, FALSE))</f>
        <v>:</v>
      </c>
      <c r="BR43" s="544" t="str">
        <f>IF(VLOOKUP($E$43,[1]QUART!$A$2:$FA$315, 69, FALSE)="",":",VLOOKUP($E$43,[1]QUART!$A$2:$FA$315, 69, FALSE))</f>
        <v>:</v>
      </c>
      <c r="BS43" s="544" t="str">
        <f>IF(VLOOKUP($E$43,[1]QUART!$A$2:$FA$315, 70, FALSE)="",":",VLOOKUP($E$43,[1]QUART!$A$2:$FA$315, 70, FALSE))</f>
        <v>:</v>
      </c>
      <c r="BT43" s="544" t="str">
        <f>IF(VLOOKUP($E$43,[1]QUART!$A$2:$FA$315, 71, FALSE)="",":",VLOOKUP($E$43,[1]QUART!$A$2:$FA$315, 71, FALSE))</f>
        <v>:</v>
      </c>
      <c r="BU43" s="544" t="str">
        <f>IF(VLOOKUP($E$43,[1]QUART!$A$2:$FA$315, 72, FALSE)="",":",VLOOKUP($E$43,[1]QUART!$A$2:$FA$315, 72, FALSE))</f>
        <v>:</v>
      </c>
      <c r="BV43" s="544" t="str">
        <f>IF(VLOOKUP($E$43,[1]QUART!$A$2:$FA$315, 73, FALSE)="",":",VLOOKUP($E$43,[1]QUART!$A$2:$FA$315, 73, FALSE))</f>
        <v>:</v>
      </c>
      <c r="BW43" s="544" t="str">
        <f>IF(VLOOKUP($E$43,[1]QUART!$A$2:$FA$315, 74, FALSE)="",":",VLOOKUP($E$43,[1]QUART!$A$2:$FA$315, 74, FALSE))</f>
        <v>:</v>
      </c>
      <c r="BX43" s="544" t="str">
        <f>IF(VLOOKUP($E$43,[1]QUART!$A$2:$FA$315, 75, FALSE)="",":",VLOOKUP($E$43,[1]QUART!$A$2:$FA$315, 75, FALSE))</f>
        <v>:</v>
      </c>
      <c r="BY43" s="544" t="str">
        <f>IF(VLOOKUP($E$43,[1]QUART!$A$2:$FA$315, 76, FALSE)="",":",VLOOKUP($E$43,[1]QUART!$A$2:$FA$315, 76, FALSE))</f>
        <v>:</v>
      </c>
      <c r="BZ43" s="544" t="str">
        <f>IF(VLOOKUP($E$43,[1]QUART!$A$2:$FA$315, 77, FALSE)="",":",VLOOKUP($E$43,[1]QUART!$A$2:$FA$315, 77, FALSE))</f>
        <v>:</v>
      </c>
      <c r="CA43" s="544" t="str">
        <f>IF(VLOOKUP($E$43,[1]QUART!$A$2:$FA$315, 78, FALSE)="",":",VLOOKUP($E$43,[1]QUART!$A$2:$FA$315, 78, FALSE))</f>
        <v>:</v>
      </c>
      <c r="CB43" s="544" t="str">
        <f>IF(VLOOKUP($E$43,[1]QUART!$A$2:$FA$315, 79, FALSE)="",":",VLOOKUP($E$43,[1]QUART!$A$2:$FA$315, 79, FALSE))</f>
        <v>:</v>
      </c>
      <c r="CC43" s="544" t="str">
        <f>IF(VLOOKUP($E$43,[1]QUART!$A$2:$FA$315, 80, FALSE)="",":",VLOOKUP($E$43,[1]QUART!$A$2:$FA$315, 80, FALSE))</f>
        <v>:</v>
      </c>
      <c r="CD43" s="544" t="str">
        <f>IF(VLOOKUP($E$43,[1]QUART!$A$2:$FA$315, 81, FALSE)="",":",VLOOKUP($E$43,[1]QUART!$A$2:$FA$315, 81, FALSE))</f>
        <v>:</v>
      </c>
      <c r="CE43" s="544" t="str">
        <f>IF(VLOOKUP($E$43,[1]QUART!$A$2:$FA$315, 82, FALSE)="",":",VLOOKUP($E$43,[1]QUART!$A$2:$FA$315, 82, FALSE))</f>
        <v>:</v>
      </c>
      <c r="CF43" s="544" t="str">
        <f>IF(VLOOKUP($E$43,[1]QUART!$A$2:$FA$315, 83, FALSE)="",":",VLOOKUP($E$43,[1]QUART!$A$2:$FA$315, 83, FALSE))</f>
        <v>:</v>
      </c>
      <c r="CG43" s="544" t="str">
        <f>IF(VLOOKUP($E$43,[1]QUART!$A$2:$FA$315, 84, FALSE)="",":",VLOOKUP($E$43,[1]QUART!$A$2:$FA$315, 84, FALSE))</f>
        <v>:</v>
      </c>
      <c r="CH43" s="544" t="str">
        <f>IF(VLOOKUP($E$43,[1]QUART!$A$2:$FA$315, 85, FALSE)="",":",VLOOKUP($E$43,[1]QUART!$A$2:$FA$315, 85, FALSE))</f>
        <v>:</v>
      </c>
      <c r="CI43" s="544" t="str">
        <f>IF(VLOOKUP($E$43,[1]QUART!$A$2:$FA$315, 86, FALSE)="",":",VLOOKUP($E$43,[1]QUART!$A$2:$FA$315, 86, FALSE))</f>
        <v>:</v>
      </c>
      <c r="CJ43" s="544" t="str">
        <f>IF(VLOOKUP($E$43,[1]QUART!$A$2:$FA$315, 87, FALSE)="",":",VLOOKUP($E$43,[1]QUART!$A$2:$FA$315, 87, FALSE))</f>
        <v>:</v>
      </c>
      <c r="CK43" s="544" t="str">
        <f>IF(VLOOKUP($E$43,[1]QUART!$A$2:$FA$315, 88, FALSE)="",":",VLOOKUP($E$43,[1]QUART!$A$2:$FA$315, 88, FALSE))</f>
        <v>:</v>
      </c>
      <c r="CL43" s="544" t="str">
        <f>IF(VLOOKUP($E$43,[1]QUART!$A$2:$FA$315, 89, FALSE)="",":",VLOOKUP($E$43,[1]QUART!$A$2:$FA$315, 89, FALSE))</f>
        <v>:</v>
      </c>
      <c r="CM43" s="544" t="str">
        <f>IF(VLOOKUP($E$43,[1]QUART!$A$2:$FA$315, 90, FALSE)="",":",VLOOKUP($E$43,[1]QUART!$A$2:$FA$315, 90, FALSE))</f>
        <v>:</v>
      </c>
      <c r="CN43" s="544" t="str">
        <f>IF(VLOOKUP($E$43,[1]QUART!$A$2:$FA$315, 91, FALSE)="",":",VLOOKUP($E$43,[1]QUART!$A$2:$FA$315, 91, FALSE))</f>
        <v>:</v>
      </c>
      <c r="CO43" s="544" t="str">
        <f>IF(VLOOKUP($E$43,[1]QUART!$A$2:$FA$315, 92, FALSE)="",":",VLOOKUP($E$43,[1]QUART!$A$2:$FA$315, 92, FALSE))</f>
        <v>:</v>
      </c>
      <c r="CP43" s="544" t="str">
        <f>IF(VLOOKUP($E$43,[1]QUART!$A$2:$FA$315, 93, FALSE)="",":",VLOOKUP($E$43,[1]QUART!$A$2:$FA$315, 93, FALSE))</f>
        <v>:</v>
      </c>
      <c r="CQ43" s="544" t="str">
        <f>IF(VLOOKUP($E$43,[1]QUART!$A$2:$FA$315, 94, FALSE)="",":",VLOOKUP($E$43,[1]QUART!$A$2:$FA$315, 94, FALSE))</f>
        <v>:</v>
      </c>
      <c r="CR43" s="544" t="str">
        <f>IF(VLOOKUP($E$43,[1]QUART!$A$2:$FA$315, 95, FALSE)="",":",VLOOKUP($E$43,[1]QUART!$A$2:$FA$315, 95, FALSE))</f>
        <v>:</v>
      </c>
      <c r="CS43" s="544" t="str">
        <f>IF(VLOOKUP($E$43,[1]QUART!$A$2:$FA$315, 96, FALSE)="",":",VLOOKUP($E$43,[1]QUART!$A$2:$FA$315, 96, FALSE))</f>
        <v>:</v>
      </c>
      <c r="CT43" s="544" t="str">
        <f>IF(VLOOKUP($E$43,[1]QUART!$A$2:$FA$315, 97, FALSE)="",":",VLOOKUP($E$43,[1]QUART!$A$2:$FA$315, 97, FALSE))</f>
        <v>:</v>
      </c>
      <c r="CU43" s="544" t="str">
        <f>IF(VLOOKUP($E$43,[1]QUART!$A$2:$FA$315, 98, FALSE)="",":",VLOOKUP($E$43,[1]QUART!$A$2:$FA$315, 98, FALSE))</f>
        <v>:</v>
      </c>
      <c r="CV43" s="544" t="str">
        <f>IF(VLOOKUP($E$43,[1]QUART!$A$2:$FA$315, 99, FALSE)="",":",VLOOKUP($E$43,[1]QUART!$A$2:$FA$315, 99, FALSE))</f>
        <v>:</v>
      </c>
      <c r="CW43" s="544" t="str">
        <f>IF(VLOOKUP($E$43,[1]QUART!$A$2:$FA$315, 100, FALSE)="",":",VLOOKUP($E$43,[1]QUART!$A$2:$FA$315, 100, FALSE))</f>
        <v>:</v>
      </c>
      <c r="CX43" s="544" t="str">
        <f>IF(VLOOKUP($E$43,[1]QUART!$A$2:$FA$315, 101, FALSE)="",":",VLOOKUP($E$43,[1]QUART!$A$2:$FA$315, 101, FALSE))</f>
        <v>:</v>
      </c>
      <c r="CY43" s="544" t="str">
        <f>IF(VLOOKUP($E$43,[1]QUART!$A$2:$FA$315, 102, FALSE)="",":",VLOOKUP($E$43,[1]QUART!$A$2:$FA$315, 102, FALSE))</f>
        <v>:</v>
      </c>
      <c r="CZ43" s="544" t="str">
        <f>IF(VLOOKUP($E$43,[1]QUART!$A$2:$FA$315, 103, FALSE)="",":",VLOOKUP($E$43,[1]QUART!$A$2:$FA$315, 103, FALSE))</f>
        <v>:</v>
      </c>
      <c r="DA43" s="544" t="str">
        <f>IF(VLOOKUP($E$43,[1]QUART!$A$2:$FA$315, 104, FALSE)="",":",VLOOKUP($E$43,[1]QUART!$A$2:$FA$315, 104, FALSE))</f>
        <v>:</v>
      </c>
      <c r="DB43" s="544" t="str">
        <f>IF(VLOOKUP($E$43,[1]QUART!$A$2:$FA$315, 105, FALSE)="",":",VLOOKUP($E$43,[1]QUART!$A$2:$FA$315, 105, FALSE))</f>
        <v>:</v>
      </c>
      <c r="DC43" s="544" t="str">
        <f>IF(VLOOKUP($E$43,[1]QUART!$A$2:$FA$315, 106, FALSE)="",":",VLOOKUP($E$43,[1]QUART!$A$2:$FA$315, 106, FALSE))</f>
        <v>:</v>
      </c>
    </row>
    <row r="44" spans="1:107">
      <c r="A44" s="1954"/>
      <c r="B44" s="534"/>
      <c r="C44" s="535"/>
      <c r="D44" s="12" t="s">
        <v>1841</v>
      </c>
      <c r="E44" s="13">
        <v>110</v>
      </c>
      <c r="F44" s="14" t="str">
        <f>VLOOKUP($E$44,[1]QUART!$A$2:$FA$315, 3, FALSE)</f>
        <v>110 GFCF construction</v>
      </c>
      <c r="G44" s="544" t="str">
        <f>IF(VLOOKUP($E$44,[1]QUART!$A$2:$FA$315, 6, FALSE)="",":",VLOOKUP($E$44,[1]QUART!$A$2:$FA$315, 6, FALSE))</f>
        <v>:</v>
      </c>
      <c r="H44" s="544" t="str">
        <f>IF(VLOOKUP($E$44,[1]QUART!$A$2:$FA$315, 7, FALSE)="",":",VLOOKUP($E$44,[1]QUART!$A$2:$FA$315, 7, FALSE))</f>
        <v>:</v>
      </c>
      <c r="I44" s="544" t="str">
        <f>IF(VLOOKUP($E$44,[1]QUART!$A$2:$FA$315, 8, FALSE)="",":",VLOOKUP($E$44,[1]QUART!$A$2:$FA$315, 8, FALSE))</f>
        <v>:</v>
      </c>
      <c r="J44" s="544" t="str">
        <f>IF(VLOOKUP($E$44,[1]QUART!$A$2:$FA$315, 9, FALSE)="",":",VLOOKUP($E$44,[1]QUART!$A$2:$FA$315, 9, FALSE))</f>
        <v>:</v>
      </c>
      <c r="K44" s="544" t="str">
        <f>IF(VLOOKUP($E$44,[1]QUART!$A$2:$FA$315, 10, FALSE)="",":",VLOOKUP($E$44,[1]QUART!$A$2:$FA$315, 10, FALSE))</f>
        <v>:</v>
      </c>
      <c r="L44" s="544" t="str">
        <f>IF(VLOOKUP($E$44,[1]QUART!$A$2:$FA$315, 11, FALSE)="",":",VLOOKUP($E$44,[1]QUART!$A$2:$FA$315, 11, FALSE))</f>
        <v>:</v>
      </c>
      <c r="M44" s="544" t="str">
        <f>IF(VLOOKUP($E$44,[1]QUART!$A$2:$FA$315, 12, FALSE)="",":",VLOOKUP($E$44,[1]QUART!$A$2:$FA$315, 12, FALSE))</f>
        <v>:</v>
      </c>
      <c r="N44" s="544" t="str">
        <f>IF(VLOOKUP($E$44,[1]QUART!$A$2:$FA$315, 13, FALSE)="",":",VLOOKUP($E$44,[1]QUART!$A$2:$FA$315, 13, FALSE))</f>
        <v>:</v>
      </c>
      <c r="O44" s="544" t="str">
        <f>IF(VLOOKUP($E$44,[1]QUART!$A$2:$FA$315, 14, FALSE)="",":",VLOOKUP($E$44,[1]QUART!$A$2:$FA$315, 14, FALSE))</f>
        <v>:</v>
      </c>
      <c r="P44" s="544" t="str">
        <f>IF(VLOOKUP($E$44,[1]QUART!$A$2:$FA$315, 15, FALSE)="",":",VLOOKUP($E$44,[1]QUART!$A$2:$FA$315, 15, FALSE))</f>
        <v>:</v>
      </c>
      <c r="Q44" s="544" t="str">
        <f>IF(VLOOKUP($E$44,[1]QUART!$A$2:$FA$315, 16, FALSE)="",":",VLOOKUP($E$44,[1]QUART!$A$2:$FA$315, 16, FALSE))</f>
        <v>:</v>
      </c>
      <c r="R44" s="544" t="str">
        <f>IF(VLOOKUP($E$44,[1]QUART!$A$2:$FA$315, 17, FALSE)="",":",VLOOKUP($E$44,[1]QUART!$A$2:$FA$315, 17, FALSE))</f>
        <v>:</v>
      </c>
      <c r="S44" s="544" t="str">
        <f>IF(VLOOKUP($E$44,[1]QUART!$A$2:$FA$315, 18, FALSE)="",":",VLOOKUP($E$44,[1]QUART!$A$2:$FA$315, 18, FALSE))</f>
        <v>:</v>
      </c>
      <c r="T44" s="544" t="str">
        <f>IF(VLOOKUP($E$44,[1]QUART!$A$2:$FA$315, 19, FALSE)="",":",VLOOKUP($E$44,[1]QUART!$A$2:$FA$315, 19, FALSE))</f>
        <v>:</v>
      </c>
      <c r="U44" s="544" t="str">
        <f>IF(VLOOKUP($E$44,[1]QUART!$A$2:$FA$315, 20, FALSE)="",":",VLOOKUP($E$44,[1]QUART!$A$2:$FA$315, 20, FALSE))</f>
        <v>:</v>
      </c>
      <c r="V44" s="544" t="str">
        <f>IF(VLOOKUP($E$44,[1]QUART!$A$2:$FA$315, 21, FALSE)="",":",VLOOKUP($E$44,[1]QUART!$A$2:$FA$315, 21, FALSE))</f>
        <v>:</v>
      </c>
      <c r="W44" s="544" t="str">
        <f>IF(VLOOKUP($E$44,[1]QUART!$A$2:$FA$315, 22, FALSE)="",":",VLOOKUP($E$44,[1]QUART!$A$2:$FA$315, 22, FALSE))</f>
        <v>:</v>
      </c>
      <c r="X44" s="544" t="str">
        <f>IF(VLOOKUP($E$44,[1]QUART!$A$2:$FA$315, 23, FALSE)="",":",VLOOKUP($E$44,[1]QUART!$A$2:$FA$315, 23, FALSE))</f>
        <v>:</v>
      </c>
      <c r="Y44" s="544" t="str">
        <f>IF(VLOOKUP($E$44,[1]QUART!$A$2:$FA$315, 24, FALSE)="",":",VLOOKUP($E$44,[1]QUART!$A$2:$FA$315, 24, FALSE))</f>
        <v>:</v>
      </c>
      <c r="Z44" s="544" t="str">
        <f>IF(VLOOKUP($E$44,[1]QUART!$A$2:$FA$315, 25, FALSE)="",":",VLOOKUP($E$44,[1]QUART!$A$2:$FA$315, 25, FALSE))</f>
        <v>:</v>
      </c>
      <c r="AA44" s="544" t="str">
        <f>IF(VLOOKUP($E$44,[1]QUART!$A$2:$FA$315, 26, FALSE)="",":",VLOOKUP($E$44,[1]QUART!$A$2:$FA$315, 26, FALSE))</f>
        <v>:</v>
      </c>
      <c r="AB44" s="544" t="str">
        <f>IF(VLOOKUP($E$44,[1]QUART!$A$2:$FA$315, 27, FALSE)="",":",VLOOKUP($E$44,[1]QUART!$A$2:$FA$315, 27, FALSE))</f>
        <v>:</v>
      </c>
      <c r="AC44" s="544" t="str">
        <f>IF(VLOOKUP($E$44,[1]QUART!$A$2:$FA$315, 28, FALSE)="",":",VLOOKUP($E$44,[1]QUART!$A$2:$FA$315, 28, FALSE))</f>
        <v>:</v>
      </c>
      <c r="AD44" s="544" t="str">
        <f>IF(VLOOKUP($E$44,[1]QUART!$A$2:$FA$315, 29, FALSE)="",":",VLOOKUP($E$44,[1]QUART!$A$2:$FA$315, 29, FALSE))</f>
        <v>:</v>
      </c>
      <c r="AE44" s="544" t="str">
        <f>IF(VLOOKUP($E$44,[1]QUART!$A$2:$FA$315, 30, FALSE)="",":",VLOOKUP($E$44,[1]QUART!$A$2:$FA$315, 30, FALSE))</f>
        <v>:</v>
      </c>
      <c r="AF44" s="544" t="str">
        <f>IF(VLOOKUP($E$44,[1]QUART!$A$2:$FA$315, 31, FALSE)="",":",VLOOKUP($E$44,[1]QUART!$A$2:$FA$315, 31, FALSE))</f>
        <v>:</v>
      </c>
      <c r="AG44" s="544" t="str">
        <f>IF(VLOOKUP($E$44,[1]QUART!$A$2:$FA$315, 32, FALSE)="",":",VLOOKUP($E$44,[1]QUART!$A$2:$FA$315, 32, FALSE))</f>
        <v>:</v>
      </c>
      <c r="AH44" s="544" t="str">
        <f>IF(VLOOKUP($E$44,[1]QUART!$A$2:$FA$315, 33, FALSE)="",":",VLOOKUP($E$44,[1]QUART!$A$2:$FA$315, 33, FALSE))</f>
        <v>:</v>
      </c>
      <c r="AI44" s="544" t="str">
        <f>IF(VLOOKUP($E$44,[1]QUART!$A$2:$FA$315, 34, FALSE)="",":",VLOOKUP($E$44,[1]QUART!$A$2:$FA$315, 34, FALSE))</f>
        <v>:</v>
      </c>
      <c r="AJ44" s="544" t="str">
        <f>IF(VLOOKUP($E$44,[1]QUART!$A$2:$FA$315, 35, FALSE)="",":",VLOOKUP($E$44,[1]QUART!$A$2:$FA$315, 35, FALSE))</f>
        <v>:</v>
      </c>
      <c r="AK44" s="544" t="str">
        <f>IF(VLOOKUP($E$44,[1]QUART!$A$2:$FA$315, 36, FALSE)="",":",VLOOKUP($E$44,[1]QUART!$A$2:$FA$315, 36, FALSE))</f>
        <v>:</v>
      </c>
      <c r="AL44" s="544" t="str">
        <f>IF(VLOOKUP($E$44,[1]QUART!$A$2:$FA$315, 37, FALSE)="",":",VLOOKUP($E$44,[1]QUART!$A$2:$FA$315, 37, FALSE))</f>
        <v>:</v>
      </c>
      <c r="AM44" s="544" t="str">
        <f>IF(VLOOKUP($E$44,[1]QUART!$A$2:$FA$315, 38, FALSE)="",":",VLOOKUP($E$44,[1]QUART!$A$2:$FA$315, 38, FALSE))</f>
        <v>:</v>
      </c>
      <c r="AN44" s="544" t="str">
        <f>IF(VLOOKUP($E$44,[1]QUART!$A$2:$FA$315, 39, FALSE)="",":",VLOOKUP($E$44,[1]QUART!$A$2:$FA$315, 39, FALSE))</f>
        <v>:</v>
      </c>
      <c r="AO44" s="544" t="str">
        <f>IF(VLOOKUP($E$44,[1]QUART!$A$2:$FA$315, 40, FALSE)="",":",VLOOKUP($E$44,[1]QUART!$A$2:$FA$315, 40, FALSE))</f>
        <v>:</v>
      </c>
      <c r="AP44" s="544" t="str">
        <f>IF(VLOOKUP($E$44,[1]QUART!$A$2:$FA$315, 41, FALSE)="",":",VLOOKUP($E$44,[1]QUART!$A$2:$FA$315, 41, FALSE))</f>
        <v>:</v>
      </c>
      <c r="AQ44" s="544" t="str">
        <f>IF(VLOOKUP($E$44,[1]QUART!$A$2:$FA$315, 42, FALSE)="",":",VLOOKUP($E$44,[1]QUART!$A$2:$FA$315, 42, FALSE))</f>
        <v>:</v>
      </c>
      <c r="AR44" s="544" t="str">
        <f>IF(VLOOKUP($E$44,[1]QUART!$A$2:$FA$315, 43, FALSE)="",":",VLOOKUP($E$44,[1]QUART!$A$2:$FA$315, 43, FALSE))</f>
        <v>:</v>
      </c>
      <c r="AS44" s="544" t="str">
        <f>IF(VLOOKUP($E$44,[1]QUART!$A$2:$FA$315, 44, FALSE)="",":",VLOOKUP($E$44,[1]QUART!$A$2:$FA$315, 44, FALSE))</f>
        <v>:</v>
      </c>
      <c r="AT44" s="544" t="str">
        <f>IF(VLOOKUP($E$44,[1]QUART!$A$2:$FA$315, 45, FALSE)="",":",VLOOKUP($E$44,[1]QUART!$A$2:$FA$315, 45, FALSE))</f>
        <v>:</v>
      </c>
      <c r="AU44" s="544" t="str">
        <f>IF(VLOOKUP($E$44,[1]QUART!$A$2:$FA$315, 46, FALSE)="",":",VLOOKUP($E$44,[1]QUART!$A$2:$FA$315, 46, FALSE))</f>
        <v>:</v>
      </c>
      <c r="AV44" s="544" t="str">
        <f>IF(VLOOKUP($E$44,[1]QUART!$A$2:$FA$315, 47, FALSE)="",":",VLOOKUP($E$44,[1]QUART!$A$2:$FA$315, 47, FALSE))</f>
        <v>:</v>
      </c>
      <c r="AW44" s="544" t="str">
        <f>IF(VLOOKUP($E$44,[1]QUART!$A$2:$FA$315, 48, FALSE)="",":",VLOOKUP($E$44,[1]QUART!$A$2:$FA$315, 48, FALSE))</f>
        <v>:</v>
      </c>
      <c r="AX44" s="544" t="str">
        <f>IF(VLOOKUP($E$44,[1]QUART!$A$2:$FA$315, 49, FALSE)="",":",VLOOKUP($E$44,[1]QUART!$A$2:$FA$315, 49, FALSE))</f>
        <v>:</v>
      </c>
      <c r="AY44" s="544" t="str">
        <f>IF(VLOOKUP($E$44,[1]QUART!$A$2:$FA$315, 50, FALSE)="",":",VLOOKUP($E$44,[1]QUART!$A$2:$FA$315, 50, FALSE))</f>
        <v>:</v>
      </c>
      <c r="AZ44" s="544" t="str">
        <f>IF(VLOOKUP($E$44,[1]QUART!$A$2:$FA$315, 51, FALSE)="",":",VLOOKUP($E$44,[1]QUART!$A$2:$FA$315, 51, FALSE))</f>
        <v>:</v>
      </c>
      <c r="BA44" s="544" t="str">
        <f>IF(VLOOKUP($E$44,[1]QUART!$A$2:$FA$315, 52, FALSE)="",":",VLOOKUP($E$44,[1]QUART!$A$2:$FA$315, 52, FALSE))</f>
        <v>:</v>
      </c>
      <c r="BB44" s="544" t="str">
        <f>IF(VLOOKUP($E$44,[1]QUART!$A$2:$FA$315, 53, FALSE)="",":",VLOOKUP($E$44,[1]QUART!$A$2:$FA$315, 53, FALSE))</f>
        <v>:</v>
      </c>
      <c r="BC44" s="544" t="str">
        <f>IF(VLOOKUP($E$44,[1]QUART!$A$2:$FA$315, 54, FALSE)="",":",VLOOKUP($E$44,[1]QUART!$A$2:$FA$315, 54, FALSE))</f>
        <v>:</v>
      </c>
      <c r="BD44" s="544" t="str">
        <f>IF(VLOOKUP($E$44,[1]QUART!$A$2:$FA$315, 55, FALSE)="",":",VLOOKUP($E$44,[1]QUART!$A$2:$FA$315, 55, FALSE))</f>
        <v>:</v>
      </c>
      <c r="BE44" s="544" t="str">
        <f>IF(VLOOKUP($E$44,[1]QUART!$A$2:$FA$315, 56, FALSE)="",":",VLOOKUP($E$44,[1]QUART!$A$2:$FA$315, 56, FALSE))</f>
        <v>:</v>
      </c>
      <c r="BF44" s="544" t="str">
        <f>IF(VLOOKUP($E$44,[1]QUART!$A$2:$FA$315, 57, FALSE)="",":",VLOOKUP($E$44,[1]QUART!$A$2:$FA$315, 57, FALSE))</f>
        <v>:</v>
      </c>
      <c r="BG44" s="544" t="str">
        <f>IF(VLOOKUP($E$44,[1]QUART!$A$2:$FA$315, 58, FALSE)="",":",VLOOKUP($E$44,[1]QUART!$A$2:$FA$315, 58, FALSE))</f>
        <v>:</v>
      </c>
      <c r="BH44" s="544" t="str">
        <f>IF(VLOOKUP($E$44,[1]QUART!$A$2:$FA$315, 59, FALSE)="",":",VLOOKUP($E$44,[1]QUART!$A$2:$FA$315, 59, FALSE))</f>
        <v>:</v>
      </c>
      <c r="BI44" s="544" t="str">
        <f>IF(VLOOKUP($E$44,[1]QUART!$A$2:$FA$315, 60, FALSE)="",":",VLOOKUP($E$44,[1]QUART!$A$2:$FA$315, 60, FALSE))</f>
        <v>:</v>
      </c>
      <c r="BJ44" s="544" t="str">
        <f>IF(VLOOKUP($E$44,[1]QUART!$A$2:$FA$315, 61, FALSE)="",":",VLOOKUP($E$44,[1]QUART!$A$2:$FA$315, 61, FALSE))</f>
        <v>:</v>
      </c>
      <c r="BK44" s="544" t="str">
        <f>IF(VLOOKUP($E$44,[1]QUART!$A$2:$FA$315, 62, FALSE)="",":",VLOOKUP($E$44,[1]QUART!$A$2:$FA$315, 62, FALSE))</f>
        <v>:</v>
      </c>
      <c r="BL44" s="544" t="str">
        <f>IF(VLOOKUP($E$44,[1]QUART!$A$2:$FA$315, 63, FALSE)="",":",VLOOKUP($E$44,[1]QUART!$A$2:$FA$315, 63, FALSE))</f>
        <v>:</v>
      </c>
      <c r="BM44" s="544" t="str">
        <f>IF(VLOOKUP($E$44,[1]QUART!$A$2:$FA$315, 64, FALSE)="",":",VLOOKUP($E$44,[1]QUART!$A$2:$FA$315, 64, FALSE))</f>
        <v>:</v>
      </c>
      <c r="BN44" s="544" t="str">
        <f>IF(VLOOKUP($E$44,[1]QUART!$A$2:$FA$315, 65, FALSE)="",":",VLOOKUP($E$44,[1]QUART!$A$2:$FA$315, 65, FALSE))</f>
        <v>:</v>
      </c>
      <c r="BO44" s="544" t="str">
        <f>IF(VLOOKUP($E$44,[1]QUART!$A$2:$FA$315, 66, FALSE)="",":",VLOOKUP($E$44,[1]QUART!$A$2:$FA$315, 66, FALSE))</f>
        <v>:</v>
      </c>
      <c r="BP44" s="544" t="str">
        <f>IF(VLOOKUP($E$44,[1]QUART!$A$2:$FA$315, 67, FALSE)="",":",VLOOKUP($E$44,[1]QUART!$A$2:$FA$315, 67, FALSE))</f>
        <v>:</v>
      </c>
      <c r="BQ44" s="544" t="str">
        <f>IF(VLOOKUP($E$44,[1]QUART!$A$2:$FA$315, 68, FALSE)="",":",VLOOKUP($E$44,[1]QUART!$A$2:$FA$315, 68, FALSE))</f>
        <v>:</v>
      </c>
      <c r="BR44" s="544" t="str">
        <f>IF(VLOOKUP($E$44,[1]QUART!$A$2:$FA$315, 69, FALSE)="",":",VLOOKUP($E$44,[1]QUART!$A$2:$FA$315, 69, FALSE))</f>
        <v>:</v>
      </c>
      <c r="BS44" s="544" t="str">
        <f>IF(VLOOKUP($E$44,[1]QUART!$A$2:$FA$315, 70, FALSE)="",":",VLOOKUP($E$44,[1]QUART!$A$2:$FA$315, 70, FALSE))</f>
        <v>:</v>
      </c>
      <c r="BT44" s="544" t="str">
        <f>IF(VLOOKUP($E$44,[1]QUART!$A$2:$FA$315, 71, FALSE)="",":",VLOOKUP($E$44,[1]QUART!$A$2:$FA$315, 71, FALSE))</f>
        <v>:</v>
      </c>
      <c r="BU44" s="544" t="str">
        <f>IF(VLOOKUP($E$44,[1]QUART!$A$2:$FA$315, 72, FALSE)="",":",VLOOKUP($E$44,[1]QUART!$A$2:$FA$315, 72, FALSE))</f>
        <v>:</v>
      </c>
      <c r="BV44" s="544" t="str">
        <f>IF(VLOOKUP($E$44,[1]QUART!$A$2:$FA$315, 73, FALSE)="",":",VLOOKUP($E$44,[1]QUART!$A$2:$FA$315, 73, FALSE))</f>
        <v>:</v>
      </c>
      <c r="BW44" s="544" t="str">
        <f>IF(VLOOKUP($E$44,[1]QUART!$A$2:$FA$315, 74, FALSE)="",":",VLOOKUP($E$44,[1]QUART!$A$2:$FA$315, 74, FALSE))</f>
        <v>:</v>
      </c>
      <c r="BX44" s="544" t="str">
        <f>IF(VLOOKUP($E$44,[1]QUART!$A$2:$FA$315, 75, FALSE)="",":",VLOOKUP($E$44,[1]QUART!$A$2:$FA$315, 75, FALSE))</f>
        <v>:</v>
      </c>
      <c r="BY44" s="544" t="str">
        <f>IF(VLOOKUP($E$44,[1]QUART!$A$2:$FA$315, 76, FALSE)="",":",VLOOKUP($E$44,[1]QUART!$A$2:$FA$315, 76, FALSE))</f>
        <v>:</v>
      </c>
      <c r="BZ44" s="544" t="str">
        <f>IF(VLOOKUP($E$44,[1]QUART!$A$2:$FA$315, 77, FALSE)="",":",VLOOKUP($E$44,[1]QUART!$A$2:$FA$315, 77, FALSE))</f>
        <v>:</v>
      </c>
      <c r="CA44" s="544" t="str">
        <f>IF(VLOOKUP($E$44,[1]QUART!$A$2:$FA$315, 78, FALSE)="",":",VLOOKUP($E$44,[1]QUART!$A$2:$FA$315, 78, FALSE))</f>
        <v>:</v>
      </c>
      <c r="CB44" s="544" t="str">
        <f>IF(VLOOKUP($E$44,[1]QUART!$A$2:$FA$315, 79, FALSE)="",":",VLOOKUP($E$44,[1]QUART!$A$2:$FA$315, 79, FALSE))</f>
        <v>:</v>
      </c>
      <c r="CC44" s="544" t="str">
        <f>IF(VLOOKUP($E$44,[1]QUART!$A$2:$FA$315, 80, FALSE)="",":",VLOOKUP($E$44,[1]QUART!$A$2:$FA$315, 80, FALSE))</f>
        <v>:</v>
      </c>
      <c r="CD44" s="544" t="str">
        <f>IF(VLOOKUP($E$44,[1]QUART!$A$2:$FA$315, 81, FALSE)="",":",VLOOKUP($E$44,[1]QUART!$A$2:$FA$315, 81, FALSE))</f>
        <v>:</v>
      </c>
      <c r="CE44" s="544" t="str">
        <f>IF(VLOOKUP($E$44,[1]QUART!$A$2:$FA$315, 82, FALSE)="",":",VLOOKUP($E$44,[1]QUART!$A$2:$FA$315, 82, FALSE))</f>
        <v>:</v>
      </c>
      <c r="CF44" s="544" t="str">
        <f>IF(VLOOKUP($E$44,[1]QUART!$A$2:$FA$315, 83, FALSE)="",":",VLOOKUP($E$44,[1]QUART!$A$2:$FA$315, 83, FALSE))</f>
        <v>:</v>
      </c>
      <c r="CG44" s="544" t="str">
        <f>IF(VLOOKUP($E$44,[1]QUART!$A$2:$FA$315, 84, FALSE)="",":",VLOOKUP($E$44,[1]QUART!$A$2:$FA$315, 84, FALSE))</f>
        <v>:</v>
      </c>
      <c r="CH44" s="544" t="str">
        <f>IF(VLOOKUP($E$44,[1]QUART!$A$2:$FA$315, 85, FALSE)="",":",VLOOKUP($E$44,[1]QUART!$A$2:$FA$315, 85, FALSE))</f>
        <v>:</v>
      </c>
      <c r="CI44" s="544" t="str">
        <f>IF(VLOOKUP($E$44,[1]QUART!$A$2:$FA$315, 86, FALSE)="",":",VLOOKUP($E$44,[1]QUART!$A$2:$FA$315, 86, FALSE))</f>
        <v>:</v>
      </c>
      <c r="CJ44" s="544" t="str">
        <f>IF(VLOOKUP($E$44,[1]QUART!$A$2:$FA$315, 87, FALSE)="",":",VLOOKUP($E$44,[1]QUART!$A$2:$FA$315, 87, FALSE))</f>
        <v>:</v>
      </c>
      <c r="CK44" s="544" t="str">
        <f>IF(VLOOKUP($E$44,[1]QUART!$A$2:$FA$315, 88, FALSE)="",":",VLOOKUP($E$44,[1]QUART!$A$2:$FA$315, 88, FALSE))</f>
        <v>:</v>
      </c>
      <c r="CL44" s="544" t="str">
        <f>IF(VLOOKUP($E$44,[1]QUART!$A$2:$FA$315, 89, FALSE)="",":",VLOOKUP($E$44,[1]QUART!$A$2:$FA$315, 89, FALSE))</f>
        <v>:</v>
      </c>
      <c r="CM44" s="544" t="str">
        <f>IF(VLOOKUP($E$44,[1]QUART!$A$2:$FA$315, 90, FALSE)="",":",VLOOKUP($E$44,[1]QUART!$A$2:$FA$315, 90, FALSE))</f>
        <v>:</v>
      </c>
      <c r="CN44" s="544" t="str">
        <f>IF(VLOOKUP($E$44,[1]QUART!$A$2:$FA$315, 91, FALSE)="",":",VLOOKUP($E$44,[1]QUART!$A$2:$FA$315, 91, FALSE))</f>
        <v>:</v>
      </c>
      <c r="CO44" s="544" t="str">
        <f>IF(VLOOKUP($E$44,[1]QUART!$A$2:$FA$315, 92, FALSE)="",":",VLOOKUP($E$44,[1]QUART!$A$2:$FA$315, 92, FALSE))</f>
        <v>:</v>
      </c>
      <c r="CP44" s="544" t="str">
        <f>IF(VLOOKUP($E$44,[1]QUART!$A$2:$FA$315, 93, FALSE)="",":",VLOOKUP($E$44,[1]QUART!$A$2:$FA$315, 93, FALSE))</f>
        <v>:</v>
      </c>
      <c r="CQ44" s="544" t="str">
        <f>IF(VLOOKUP($E$44,[1]QUART!$A$2:$FA$315, 94, FALSE)="",":",VLOOKUP($E$44,[1]QUART!$A$2:$FA$315, 94, FALSE))</f>
        <v>:</v>
      </c>
      <c r="CR44" s="544" t="str">
        <f>IF(VLOOKUP($E$44,[1]QUART!$A$2:$FA$315, 95, FALSE)="",":",VLOOKUP($E$44,[1]QUART!$A$2:$FA$315, 95, FALSE))</f>
        <v>:</v>
      </c>
      <c r="CS44" s="544" t="str">
        <f>IF(VLOOKUP($E$44,[1]QUART!$A$2:$FA$315, 96, FALSE)="",":",VLOOKUP($E$44,[1]QUART!$A$2:$FA$315, 96, FALSE))</f>
        <v>:</v>
      </c>
      <c r="CT44" s="544" t="str">
        <f>IF(VLOOKUP($E$44,[1]QUART!$A$2:$FA$315, 97, FALSE)="",":",VLOOKUP($E$44,[1]QUART!$A$2:$FA$315, 97, FALSE))</f>
        <v>:</v>
      </c>
      <c r="CU44" s="544" t="str">
        <f>IF(VLOOKUP($E$44,[1]QUART!$A$2:$FA$315, 98, FALSE)="",":",VLOOKUP($E$44,[1]QUART!$A$2:$FA$315, 98, FALSE))</f>
        <v>:</v>
      </c>
      <c r="CV44" s="544" t="str">
        <f>IF(VLOOKUP($E$44,[1]QUART!$A$2:$FA$315, 99, FALSE)="",":",VLOOKUP($E$44,[1]QUART!$A$2:$FA$315, 99, FALSE))</f>
        <v>:</v>
      </c>
      <c r="CW44" s="544" t="str">
        <f>IF(VLOOKUP($E$44,[1]QUART!$A$2:$FA$315, 100, FALSE)="",":",VLOOKUP($E$44,[1]QUART!$A$2:$FA$315, 100, FALSE))</f>
        <v>:</v>
      </c>
      <c r="CX44" s="544" t="str">
        <f>IF(VLOOKUP($E$44,[1]QUART!$A$2:$FA$315, 101, FALSE)="",":",VLOOKUP($E$44,[1]QUART!$A$2:$FA$315, 101, FALSE))</f>
        <v>:</v>
      </c>
      <c r="CY44" s="544" t="str">
        <f>IF(VLOOKUP($E$44,[1]QUART!$A$2:$FA$315, 102, FALSE)="",":",VLOOKUP($E$44,[1]QUART!$A$2:$FA$315, 102, FALSE))</f>
        <v>:</v>
      </c>
      <c r="CZ44" s="544" t="str">
        <f>IF(VLOOKUP($E$44,[1]QUART!$A$2:$FA$315, 103, FALSE)="",":",VLOOKUP($E$44,[1]QUART!$A$2:$FA$315, 103, FALSE))</f>
        <v>:</v>
      </c>
      <c r="DA44" s="544" t="str">
        <f>IF(VLOOKUP($E$44,[1]QUART!$A$2:$FA$315, 104, FALSE)="",":",VLOOKUP($E$44,[1]QUART!$A$2:$FA$315, 104, FALSE))</f>
        <v>:</v>
      </c>
      <c r="DB44" s="544" t="str">
        <f>IF(VLOOKUP($E$44,[1]QUART!$A$2:$FA$315, 105, FALSE)="",":",VLOOKUP($E$44,[1]QUART!$A$2:$FA$315, 105, FALSE))</f>
        <v>:</v>
      </c>
      <c r="DC44" s="544" t="str">
        <f>IF(VLOOKUP($E$44,[1]QUART!$A$2:$FA$315, 106, FALSE)="",":",VLOOKUP($E$44,[1]QUART!$A$2:$FA$315, 106, FALSE))</f>
        <v>:</v>
      </c>
    </row>
    <row r="45" spans="1:107">
      <c r="A45" s="1954"/>
      <c r="B45" s="534"/>
      <c r="C45" s="535"/>
      <c r="D45" s="12" t="s">
        <v>1841</v>
      </c>
      <c r="E45" s="13">
        <v>111</v>
      </c>
      <c r="F45" s="14" t="str">
        <f>VLOOKUP($E$45,[1]QUART!$A$2:$FA$315, 3, FALSE)</f>
        <v>111 GFCF other</v>
      </c>
      <c r="G45" s="544" t="str">
        <f>IF(VLOOKUP($E$45,[1]QUART!$A$2:$FA$315, 6, FALSE)="",":",VLOOKUP($E$45,[1]QUART!$A$2:$FA$315, 6, FALSE))</f>
        <v>:</v>
      </c>
      <c r="H45" s="544" t="str">
        <f>IF(VLOOKUP($E$45,[1]QUART!$A$2:$FA$315, 7, FALSE)="",":",VLOOKUP($E$45,[1]QUART!$A$2:$FA$315, 7, FALSE))</f>
        <v>:</v>
      </c>
      <c r="I45" s="544" t="str">
        <f>IF(VLOOKUP($E$45,[1]QUART!$A$2:$FA$315, 8, FALSE)="",":",VLOOKUP($E$45,[1]QUART!$A$2:$FA$315, 8, FALSE))</f>
        <v>:</v>
      </c>
      <c r="J45" s="544" t="str">
        <f>IF(VLOOKUP($E$45,[1]QUART!$A$2:$FA$315, 9, FALSE)="",":",VLOOKUP($E$45,[1]QUART!$A$2:$FA$315, 9, FALSE))</f>
        <v>:</v>
      </c>
      <c r="K45" s="544" t="str">
        <f>IF(VLOOKUP($E$45,[1]QUART!$A$2:$FA$315, 10, FALSE)="",":",VLOOKUP($E$45,[1]QUART!$A$2:$FA$315, 10, FALSE))</f>
        <v>:</v>
      </c>
      <c r="L45" s="544" t="str">
        <f>IF(VLOOKUP($E$45,[1]QUART!$A$2:$FA$315, 11, FALSE)="",":",VLOOKUP($E$45,[1]QUART!$A$2:$FA$315, 11, FALSE))</f>
        <v>:</v>
      </c>
      <c r="M45" s="544" t="str">
        <f>IF(VLOOKUP($E$45,[1]QUART!$A$2:$FA$315, 12, FALSE)="",":",VLOOKUP($E$45,[1]QUART!$A$2:$FA$315, 12, FALSE))</f>
        <v>:</v>
      </c>
      <c r="N45" s="544" t="str">
        <f>IF(VLOOKUP($E$45,[1]QUART!$A$2:$FA$315, 13, FALSE)="",":",VLOOKUP($E$45,[1]QUART!$A$2:$FA$315, 13, FALSE))</f>
        <v>:</v>
      </c>
      <c r="O45" s="544" t="str">
        <f>IF(VLOOKUP($E$45,[1]QUART!$A$2:$FA$315, 14, FALSE)="",":",VLOOKUP($E$45,[1]QUART!$A$2:$FA$315, 14, FALSE))</f>
        <v>:</v>
      </c>
      <c r="P45" s="544" t="str">
        <f>IF(VLOOKUP($E$45,[1]QUART!$A$2:$FA$315, 15, FALSE)="",":",VLOOKUP($E$45,[1]QUART!$A$2:$FA$315, 15, FALSE))</f>
        <v>:</v>
      </c>
      <c r="Q45" s="544" t="str">
        <f>IF(VLOOKUP($E$45,[1]QUART!$A$2:$FA$315, 16, FALSE)="",":",VLOOKUP($E$45,[1]QUART!$A$2:$FA$315, 16, FALSE))</f>
        <v>:</v>
      </c>
      <c r="R45" s="544" t="str">
        <f>IF(VLOOKUP($E$45,[1]QUART!$A$2:$FA$315, 17, FALSE)="",":",VLOOKUP($E$45,[1]QUART!$A$2:$FA$315, 17, FALSE))</f>
        <v>:</v>
      </c>
      <c r="S45" s="544" t="str">
        <f>IF(VLOOKUP($E$45,[1]QUART!$A$2:$FA$315, 18, FALSE)="",":",VLOOKUP($E$45,[1]QUART!$A$2:$FA$315, 18, FALSE))</f>
        <v>:</v>
      </c>
      <c r="T45" s="544" t="str">
        <f>IF(VLOOKUP($E$45,[1]QUART!$A$2:$FA$315, 19, FALSE)="",":",VLOOKUP($E$45,[1]QUART!$A$2:$FA$315, 19, FALSE))</f>
        <v>:</v>
      </c>
      <c r="U45" s="544" t="str">
        <f>IF(VLOOKUP($E$45,[1]QUART!$A$2:$FA$315, 20, FALSE)="",":",VLOOKUP($E$45,[1]QUART!$A$2:$FA$315, 20, FALSE))</f>
        <v>:</v>
      </c>
      <c r="V45" s="544" t="str">
        <f>IF(VLOOKUP($E$45,[1]QUART!$A$2:$FA$315, 21, FALSE)="",":",VLOOKUP($E$45,[1]QUART!$A$2:$FA$315, 21, FALSE))</f>
        <v>:</v>
      </c>
      <c r="W45" s="544" t="str">
        <f>IF(VLOOKUP($E$45,[1]QUART!$A$2:$FA$315, 22, FALSE)="",":",VLOOKUP($E$45,[1]QUART!$A$2:$FA$315, 22, FALSE))</f>
        <v>:</v>
      </c>
      <c r="X45" s="544" t="str">
        <f>IF(VLOOKUP($E$45,[1]QUART!$A$2:$FA$315, 23, FALSE)="",":",VLOOKUP($E$45,[1]QUART!$A$2:$FA$315, 23, FALSE))</f>
        <v>:</v>
      </c>
      <c r="Y45" s="544" t="str">
        <f>IF(VLOOKUP($E$45,[1]QUART!$A$2:$FA$315, 24, FALSE)="",":",VLOOKUP($E$45,[1]QUART!$A$2:$FA$315, 24, FALSE))</f>
        <v>:</v>
      </c>
      <c r="Z45" s="544" t="str">
        <f>IF(VLOOKUP($E$45,[1]QUART!$A$2:$FA$315, 25, FALSE)="",":",VLOOKUP($E$45,[1]QUART!$A$2:$FA$315, 25, FALSE))</f>
        <v>:</v>
      </c>
      <c r="AA45" s="544" t="str">
        <f>IF(VLOOKUP($E$45,[1]QUART!$A$2:$FA$315, 26, FALSE)="",":",VLOOKUP($E$45,[1]QUART!$A$2:$FA$315, 26, FALSE))</f>
        <v>:</v>
      </c>
      <c r="AB45" s="544" t="str">
        <f>IF(VLOOKUP($E$45,[1]QUART!$A$2:$FA$315, 27, FALSE)="",":",VLOOKUP($E$45,[1]QUART!$A$2:$FA$315, 27, FALSE))</f>
        <v>:</v>
      </c>
      <c r="AC45" s="544" t="str">
        <f>IF(VLOOKUP($E$45,[1]QUART!$A$2:$FA$315, 28, FALSE)="",":",VLOOKUP($E$45,[1]QUART!$A$2:$FA$315, 28, FALSE))</f>
        <v>:</v>
      </c>
      <c r="AD45" s="544" t="str">
        <f>IF(VLOOKUP($E$45,[1]QUART!$A$2:$FA$315, 29, FALSE)="",":",VLOOKUP($E$45,[1]QUART!$A$2:$FA$315, 29, FALSE))</f>
        <v>:</v>
      </c>
      <c r="AE45" s="544" t="str">
        <f>IF(VLOOKUP($E$45,[1]QUART!$A$2:$FA$315, 30, FALSE)="",":",VLOOKUP($E$45,[1]QUART!$A$2:$FA$315, 30, FALSE))</f>
        <v>:</v>
      </c>
      <c r="AF45" s="544" t="str">
        <f>IF(VLOOKUP($E$45,[1]QUART!$A$2:$FA$315, 31, FALSE)="",":",VLOOKUP($E$45,[1]QUART!$A$2:$FA$315, 31, FALSE))</f>
        <v>:</v>
      </c>
      <c r="AG45" s="544" t="str">
        <f>IF(VLOOKUP($E$45,[1]QUART!$A$2:$FA$315, 32, FALSE)="",":",VLOOKUP($E$45,[1]QUART!$A$2:$FA$315, 32, FALSE))</f>
        <v>:</v>
      </c>
      <c r="AH45" s="544" t="str">
        <f>IF(VLOOKUP($E$45,[1]QUART!$A$2:$FA$315, 33, FALSE)="",":",VLOOKUP($E$45,[1]QUART!$A$2:$FA$315, 33, FALSE))</f>
        <v>:</v>
      </c>
      <c r="AI45" s="544" t="str">
        <f>IF(VLOOKUP($E$45,[1]QUART!$A$2:$FA$315, 34, FALSE)="",":",VLOOKUP($E$45,[1]QUART!$A$2:$FA$315, 34, FALSE))</f>
        <v>:</v>
      </c>
      <c r="AJ45" s="544" t="str">
        <f>IF(VLOOKUP($E$45,[1]QUART!$A$2:$FA$315, 35, FALSE)="",":",VLOOKUP($E$45,[1]QUART!$A$2:$FA$315, 35, FALSE))</f>
        <v>:</v>
      </c>
      <c r="AK45" s="544" t="str">
        <f>IF(VLOOKUP($E$45,[1]QUART!$A$2:$FA$315, 36, FALSE)="",":",VLOOKUP($E$45,[1]QUART!$A$2:$FA$315, 36, FALSE))</f>
        <v>:</v>
      </c>
      <c r="AL45" s="544" t="str">
        <f>IF(VLOOKUP($E$45,[1]QUART!$A$2:$FA$315, 37, FALSE)="",":",VLOOKUP($E$45,[1]QUART!$A$2:$FA$315, 37, FALSE))</f>
        <v>:</v>
      </c>
      <c r="AM45" s="544" t="str">
        <f>IF(VLOOKUP($E$45,[1]QUART!$A$2:$FA$315, 38, FALSE)="",":",VLOOKUP($E$45,[1]QUART!$A$2:$FA$315, 38, FALSE))</f>
        <v>:</v>
      </c>
      <c r="AN45" s="544" t="str">
        <f>IF(VLOOKUP($E$45,[1]QUART!$A$2:$FA$315, 39, FALSE)="",":",VLOOKUP($E$45,[1]QUART!$A$2:$FA$315, 39, FALSE))</f>
        <v>:</v>
      </c>
      <c r="AO45" s="544" t="str">
        <f>IF(VLOOKUP($E$45,[1]QUART!$A$2:$FA$315, 40, FALSE)="",":",VLOOKUP($E$45,[1]QUART!$A$2:$FA$315, 40, FALSE))</f>
        <v>:</v>
      </c>
      <c r="AP45" s="544" t="str">
        <f>IF(VLOOKUP($E$45,[1]QUART!$A$2:$FA$315, 41, FALSE)="",":",VLOOKUP($E$45,[1]QUART!$A$2:$FA$315, 41, FALSE))</f>
        <v>:</v>
      </c>
      <c r="AQ45" s="544" t="str">
        <f>IF(VLOOKUP($E$45,[1]QUART!$A$2:$FA$315, 42, FALSE)="",":",VLOOKUP($E$45,[1]QUART!$A$2:$FA$315, 42, FALSE))</f>
        <v>:</v>
      </c>
      <c r="AR45" s="544" t="str">
        <f>IF(VLOOKUP($E$45,[1]QUART!$A$2:$FA$315, 43, FALSE)="",":",VLOOKUP($E$45,[1]QUART!$A$2:$FA$315, 43, FALSE))</f>
        <v>:</v>
      </c>
      <c r="AS45" s="544" t="str">
        <f>IF(VLOOKUP($E$45,[1]QUART!$A$2:$FA$315, 44, FALSE)="",":",VLOOKUP($E$45,[1]QUART!$A$2:$FA$315, 44, FALSE))</f>
        <v>:</v>
      </c>
      <c r="AT45" s="544" t="str">
        <f>IF(VLOOKUP($E$45,[1]QUART!$A$2:$FA$315, 45, FALSE)="",":",VLOOKUP($E$45,[1]QUART!$A$2:$FA$315, 45, FALSE))</f>
        <v>:</v>
      </c>
      <c r="AU45" s="544" t="str">
        <f>IF(VLOOKUP($E$45,[1]QUART!$A$2:$FA$315, 46, FALSE)="",":",VLOOKUP($E$45,[1]QUART!$A$2:$FA$315, 46, FALSE))</f>
        <v>:</v>
      </c>
      <c r="AV45" s="544" t="str">
        <f>IF(VLOOKUP($E$45,[1]QUART!$A$2:$FA$315, 47, FALSE)="",":",VLOOKUP($E$45,[1]QUART!$A$2:$FA$315, 47, FALSE))</f>
        <v>:</v>
      </c>
      <c r="AW45" s="544" t="str">
        <f>IF(VLOOKUP($E$45,[1]QUART!$A$2:$FA$315, 48, FALSE)="",":",VLOOKUP($E$45,[1]QUART!$A$2:$FA$315, 48, FALSE))</f>
        <v>:</v>
      </c>
      <c r="AX45" s="544" t="str">
        <f>IF(VLOOKUP($E$45,[1]QUART!$A$2:$FA$315, 49, FALSE)="",":",VLOOKUP($E$45,[1]QUART!$A$2:$FA$315, 49, FALSE))</f>
        <v>:</v>
      </c>
      <c r="AY45" s="544" t="str">
        <f>IF(VLOOKUP($E$45,[1]QUART!$A$2:$FA$315, 50, FALSE)="",":",VLOOKUP($E$45,[1]QUART!$A$2:$FA$315, 50, FALSE))</f>
        <v>:</v>
      </c>
      <c r="AZ45" s="544" t="str">
        <f>IF(VLOOKUP($E$45,[1]QUART!$A$2:$FA$315, 51, FALSE)="",":",VLOOKUP($E$45,[1]QUART!$A$2:$FA$315, 51, FALSE))</f>
        <v>:</v>
      </c>
      <c r="BA45" s="544" t="str">
        <f>IF(VLOOKUP($E$45,[1]QUART!$A$2:$FA$315, 52, FALSE)="",":",VLOOKUP($E$45,[1]QUART!$A$2:$FA$315, 52, FALSE))</f>
        <v>:</v>
      </c>
      <c r="BB45" s="544" t="str">
        <f>IF(VLOOKUP($E$45,[1]QUART!$A$2:$FA$315, 53, FALSE)="",":",VLOOKUP($E$45,[1]QUART!$A$2:$FA$315, 53, FALSE))</f>
        <v>:</v>
      </c>
      <c r="BC45" s="544" t="str">
        <f>IF(VLOOKUP($E$45,[1]QUART!$A$2:$FA$315, 54, FALSE)="",":",VLOOKUP($E$45,[1]QUART!$A$2:$FA$315, 54, FALSE))</f>
        <v>:</v>
      </c>
      <c r="BD45" s="544" t="str">
        <f>IF(VLOOKUP($E$45,[1]QUART!$A$2:$FA$315, 55, FALSE)="",":",VLOOKUP($E$45,[1]QUART!$A$2:$FA$315, 55, FALSE))</f>
        <v>:</v>
      </c>
      <c r="BE45" s="544" t="str">
        <f>IF(VLOOKUP($E$45,[1]QUART!$A$2:$FA$315, 56, FALSE)="",":",VLOOKUP($E$45,[1]QUART!$A$2:$FA$315, 56, FALSE))</f>
        <v>:</v>
      </c>
      <c r="BF45" s="544" t="str">
        <f>IF(VLOOKUP($E$45,[1]QUART!$A$2:$FA$315, 57, FALSE)="",":",VLOOKUP($E$45,[1]QUART!$A$2:$FA$315, 57, FALSE))</f>
        <v>:</v>
      </c>
      <c r="BG45" s="544" t="str">
        <f>IF(VLOOKUP($E$45,[1]QUART!$A$2:$FA$315, 58, FALSE)="",":",VLOOKUP($E$45,[1]QUART!$A$2:$FA$315, 58, FALSE))</f>
        <v>:</v>
      </c>
      <c r="BH45" s="544" t="str">
        <f>IF(VLOOKUP($E$45,[1]QUART!$A$2:$FA$315, 59, FALSE)="",":",VLOOKUP($E$45,[1]QUART!$A$2:$FA$315, 59, FALSE))</f>
        <v>:</v>
      </c>
      <c r="BI45" s="544" t="str">
        <f>IF(VLOOKUP($E$45,[1]QUART!$A$2:$FA$315, 60, FALSE)="",":",VLOOKUP($E$45,[1]QUART!$A$2:$FA$315, 60, FALSE))</f>
        <v>:</v>
      </c>
      <c r="BJ45" s="544" t="str">
        <f>IF(VLOOKUP($E$45,[1]QUART!$A$2:$FA$315, 61, FALSE)="",":",VLOOKUP($E$45,[1]QUART!$A$2:$FA$315, 61, FALSE))</f>
        <v>:</v>
      </c>
      <c r="BK45" s="544" t="str">
        <f>IF(VLOOKUP($E$45,[1]QUART!$A$2:$FA$315, 62, FALSE)="",":",VLOOKUP($E$45,[1]QUART!$A$2:$FA$315, 62, FALSE))</f>
        <v>:</v>
      </c>
      <c r="BL45" s="544" t="str">
        <f>IF(VLOOKUP($E$45,[1]QUART!$A$2:$FA$315, 63, FALSE)="",":",VLOOKUP($E$45,[1]QUART!$A$2:$FA$315, 63, FALSE))</f>
        <v>:</v>
      </c>
      <c r="BM45" s="544" t="str">
        <f>IF(VLOOKUP($E$45,[1]QUART!$A$2:$FA$315, 64, FALSE)="",":",VLOOKUP($E$45,[1]QUART!$A$2:$FA$315, 64, FALSE))</f>
        <v>:</v>
      </c>
      <c r="BN45" s="544" t="str">
        <f>IF(VLOOKUP($E$45,[1]QUART!$A$2:$FA$315, 65, FALSE)="",":",VLOOKUP($E$45,[1]QUART!$A$2:$FA$315, 65, FALSE))</f>
        <v>:</v>
      </c>
      <c r="BO45" s="544" t="str">
        <f>IF(VLOOKUP($E$45,[1]QUART!$A$2:$FA$315, 66, FALSE)="",":",VLOOKUP($E$45,[1]QUART!$A$2:$FA$315, 66, FALSE))</f>
        <v>:</v>
      </c>
      <c r="BP45" s="544" t="str">
        <f>IF(VLOOKUP($E$45,[1]QUART!$A$2:$FA$315, 67, FALSE)="",":",VLOOKUP($E$45,[1]QUART!$A$2:$FA$315, 67, FALSE))</f>
        <v>:</v>
      </c>
      <c r="BQ45" s="544" t="str">
        <f>IF(VLOOKUP($E$45,[1]QUART!$A$2:$FA$315, 68, FALSE)="",":",VLOOKUP($E$45,[1]QUART!$A$2:$FA$315, 68, FALSE))</f>
        <v>:</v>
      </c>
      <c r="BR45" s="544" t="str">
        <f>IF(VLOOKUP($E$45,[1]QUART!$A$2:$FA$315, 69, FALSE)="",":",VLOOKUP($E$45,[1]QUART!$A$2:$FA$315, 69, FALSE))</f>
        <v>:</v>
      </c>
      <c r="BS45" s="544" t="str">
        <f>IF(VLOOKUP($E$45,[1]QUART!$A$2:$FA$315, 70, FALSE)="",":",VLOOKUP($E$45,[1]QUART!$A$2:$FA$315, 70, FALSE))</f>
        <v>:</v>
      </c>
      <c r="BT45" s="544" t="str">
        <f>IF(VLOOKUP($E$45,[1]QUART!$A$2:$FA$315, 71, FALSE)="",":",VLOOKUP($E$45,[1]QUART!$A$2:$FA$315, 71, FALSE))</f>
        <v>:</v>
      </c>
      <c r="BU45" s="544" t="str">
        <f>IF(VLOOKUP($E$45,[1]QUART!$A$2:$FA$315, 72, FALSE)="",":",VLOOKUP($E$45,[1]QUART!$A$2:$FA$315, 72, FALSE))</f>
        <v>:</v>
      </c>
      <c r="BV45" s="544" t="str">
        <f>IF(VLOOKUP($E$45,[1]QUART!$A$2:$FA$315, 73, FALSE)="",":",VLOOKUP($E$45,[1]QUART!$A$2:$FA$315, 73, FALSE))</f>
        <v>:</v>
      </c>
      <c r="BW45" s="544" t="str">
        <f>IF(VLOOKUP($E$45,[1]QUART!$A$2:$FA$315, 74, FALSE)="",":",VLOOKUP($E$45,[1]QUART!$A$2:$FA$315, 74, FALSE))</f>
        <v>:</v>
      </c>
      <c r="BX45" s="544" t="str">
        <f>IF(VLOOKUP($E$45,[1]QUART!$A$2:$FA$315, 75, FALSE)="",":",VLOOKUP($E$45,[1]QUART!$A$2:$FA$315, 75, FALSE))</f>
        <v>:</v>
      </c>
      <c r="BY45" s="544" t="str">
        <f>IF(VLOOKUP($E$45,[1]QUART!$A$2:$FA$315, 76, FALSE)="",":",VLOOKUP($E$45,[1]QUART!$A$2:$FA$315, 76, FALSE))</f>
        <v>:</v>
      </c>
      <c r="BZ45" s="544" t="str">
        <f>IF(VLOOKUP($E$45,[1]QUART!$A$2:$FA$315, 77, FALSE)="",":",VLOOKUP($E$45,[1]QUART!$A$2:$FA$315, 77, FALSE))</f>
        <v>:</v>
      </c>
      <c r="CA45" s="544" t="str">
        <f>IF(VLOOKUP($E$45,[1]QUART!$A$2:$FA$315, 78, FALSE)="",":",VLOOKUP($E$45,[1]QUART!$A$2:$FA$315, 78, FALSE))</f>
        <v>:</v>
      </c>
      <c r="CB45" s="544" t="str">
        <f>IF(VLOOKUP($E$45,[1]QUART!$A$2:$FA$315, 79, FALSE)="",":",VLOOKUP($E$45,[1]QUART!$A$2:$FA$315, 79, FALSE))</f>
        <v>:</v>
      </c>
      <c r="CC45" s="544" t="str">
        <f>IF(VLOOKUP($E$45,[1]QUART!$A$2:$FA$315, 80, FALSE)="",":",VLOOKUP($E$45,[1]QUART!$A$2:$FA$315, 80, FALSE))</f>
        <v>:</v>
      </c>
      <c r="CD45" s="544" t="str">
        <f>IF(VLOOKUP($E$45,[1]QUART!$A$2:$FA$315, 81, FALSE)="",":",VLOOKUP($E$45,[1]QUART!$A$2:$FA$315, 81, FALSE))</f>
        <v>:</v>
      </c>
      <c r="CE45" s="544" t="str">
        <f>IF(VLOOKUP($E$45,[1]QUART!$A$2:$FA$315, 82, FALSE)="",":",VLOOKUP($E$45,[1]QUART!$A$2:$FA$315, 82, FALSE))</f>
        <v>:</v>
      </c>
      <c r="CF45" s="544" t="str">
        <f>IF(VLOOKUP($E$45,[1]QUART!$A$2:$FA$315, 83, FALSE)="",":",VLOOKUP($E$45,[1]QUART!$A$2:$FA$315, 83, FALSE))</f>
        <v>:</v>
      </c>
      <c r="CG45" s="544" t="str">
        <f>IF(VLOOKUP($E$45,[1]QUART!$A$2:$FA$315, 84, FALSE)="",":",VLOOKUP($E$45,[1]QUART!$A$2:$FA$315, 84, FALSE))</f>
        <v>:</v>
      </c>
      <c r="CH45" s="544" t="str">
        <f>IF(VLOOKUP($E$45,[1]QUART!$A$2:$FA$315, 85, FALSE)="",":",VLOOKUP($E$45,[1]QUART!$A$2:$FA$315, 85, FALSE))</f>
        <v>:</v>
      </c>
      <c r="CI45" s="544" t="str">
        <f>IF(VLOOKUP($E$45,[1]QUART!$A$2:$FA$315, 86, FALSE)="",":",VLOOKUP($E$45,[1]QUART!$A$2:$FA$315, 86, FALSE))</f>
        <v>:</v>
      </c>
      <c r="CJ45" s="544" t="str">
        <f>IF(VLOOKUP($E$45,[1]QUART!$A$2:$FA$315, 87, FALSE)="",":",VLOOKUP($E$45,[1]QUART!$A$2:$FA$315, 87, FALSE))</f>
        <v>:</v>
      </c>
      <c r="CK45" s="544" t="str">
        <f>IF(VLOOKUP($E$45,[1]QUART!$A$2:$FA$315, 88, FALSE)="",":",VLOOKUP($E$45,[1]QUART!$A$2:$FA$315, 88, FALSE))</f>
        <v>:</v>
      </c>
      <c r="CL45" s="544" t="str">
        <f>IF(VLOOKUP($E$45,[1]QUART!$A$2:$FA$315, 89, FALSE)="",":",VLOOKUP($E$45,[1]QUART!$A$2:$FA$315, 89, FALSE))</f>
        <v>:</v>
      </c>
      <c r="CM45" s="544" t="str">
        <f>IF(VLOOKUP($E$45,[1]QUART!$A$2:$FA$315, 90, FALSE)="",":",VLOOKUP($E$45,[1]QUART!$A$2:$FA$315, 90, FALSE))</f>
        <v>:</v>
      </c>
      <c r="CN45" s="544" t="str">
        <f>IF(VLOOKUP($E$45,[1]QUART!$A$2:$FA$315, 91, FALSE)="",":",VLOOKUP($E$45,[1]QUART!$A$2:$FA$315, 91, FALSE))</f>
        <v>:</v>
      </c>
      <c r="CO45" s="544" t="str">
        <f>IF(VLOOKUP($E$45,[1]QUART!$A$2:$FA$315, 92, FALSE)="",":",VLOOKUP($E$45,[1]QUART!$A$2:$FA$315, 92, FALSE))</f>
        <v>:</v>
      </c>
      <c r="CP45" s="544" t="str">
        <f>IF(VLOOKUP($E$45,[1]QUART!$A$2:$FA$315, 93, FALSE)="",":",VLOOKUP($E$45,[1]QUART!$A$2:$FA$315, 93, FALSE))</f>
        <v>:</v>
      </c>
      <c r="CQ45" s="544" t="str">
        <f>IF(VLOOKUP($E$45,[1]QUART!$A$2:$FA$315, 94, FALSE)="",":",VLOOKUP($E$45,[1]QUART!$A$2:$FA$315, 94, FALSE))</f>
        <v>:</v>
      </c>
      <c r="CR45" s="544" t="str">
        <f>IF(VLOOKUP($E$45,[1]QUART!$A$2:$FA$315, 95, FALSE)="",":",VLOOKUP($E$45,[1]QUART!$A$2:$FA$315, 95, FALSE))</f>
        <v>:</v>
      </c>
      <c r="CS45" s="544" t="str">
        <f>IF(VLOOKUP($E$45,[1]QUART!$A$2:$FA$315, 96, FALSE)="",":",VLOOKUP($E$45,[1]QUART!$A$2:$FA$315, 96, FALSE))</f>
        <v>:</v>
      </c>
      <c r="CT45" s="544" t="str">
        <f>IF(VLOOKUP($E$45,[1]QUART!$A$2:$FA$315, 97, FALSE)="",":",VLOOKUP($E$45,[1]QUART!$A$2:$FA$315, 97, FALSE))</f>
        <v>:</v>
      </c>
      <c r="CU45" s="544" t="str">
        <f>IF(VLOOKUP($E$45,[1]QUART!$A$2:$FA$315, 98, FALSE)="",":",VLOOKUP($E$45,[1]QUART!$A$2:$FA$315, 98, FALSE))</f>
        <v>:</v>
      </c>
      <c r="CV45" s="544" t="str">
        <f>IF(VLOOKUP($E$45,[1]QUART!$A$2:$FA$315, 99, FALSE)="",":",VLOOKUP($E$45,[1]QUART!$A$2:$FA$315, 99, FALSE))</f>
        <v>:</v>
      </c>
      <c r="CW45" s="544" t="str">
        <f>IF(VLOOKUP($E$45,[1]QUART!$A$2:$FA$315, 100, FALSE)="",":",VLOOKUP($E$45,[1]QUART!$A$2:$FA$315, 100, FALSE))</f>
        <v>:</v>
      </c>
      <c r="CX45" s="544" t="str">
        <f>IF(VLOOKUP($E$45,[1]QUART!$A$2:$FA$315, 101, FALSE)="",":",VLOOKUP($E$45,[1]QUART!$A$2:$FA$315, 101, FALSE))</f>
        <v>:</v>
      </c>
      <c r="CY45" s="544" t="str">
        <f>IF(VLOOKUP($E$45,[1]QUART!$A$2:$FA$315, 102, FALSE)="",":",VLOOKUP($E$45,[1]QUART!$A$2:$FA$315, 102, FALSE))</f>
        <v>:</v>
      </c>
      <c r="CZ45" s="544" t="str">
        <f>IF(VLOOKUP($E$45,[1]QUART!$A$2:$FA$315, 103, FALSE)="",":",VLOOKUP($E$45,[1]QUART!$A$2:$FA$315, 103, FALSE))</f>
        <v>:</v>
      </c>
      <c r="DA45" s="544" t="str">
        <f>IF(VLOOKUP($E$45,[1]QUART!$A$2:$FA$315, 104, FALSE)="",":",VLOOKUP($E$45,[1]QUART!$A$2:$FA$315, 104, FALSE))</f>
        <v>:</v>
      </c>
      <c r="DB45" s="544" t="str">
        <f>IF(VLOOKUP($E$45,[1]QUART!$A$2:$FA$315, 105, FALSE)="",":",VLOOKUP($E$45,[1]QUART!$A$2:$FA$315, 105, FALSE))</f>
        <v>:</v>
      </c>
      <c r="DC45" s="544" t="str">
        <f>IF(VLOOKUP($E$45,[1]QUART!$A$2:$FA$315, 106, FALSE)="",":",VLOOKUP($E$45,[1]QUART!$A$2:$FA$315, 106, FALSE))</f>
        <v>:</v>
      </c>
    </row>
    <row r="46" spans="1:107">
      <c r="A46" s="1954"/>
      <c r="B46" s="534"/>
      <c r="C46" s="535"/>
      <c r="D46" s="12" t="s">
        <v>1841</v>
      </c>
      <c r="E46" s="13">
        <v>112</v>
      </c>
      <c r="F46" s="14" t="str">
        <f>VLOOKUP($E$46,[1]QUART!$A$2:$FA$315, 3, FALSE)</f>
        <v>112 Gross capital formation (incl. Inventories)</v>
      </c>
      <c r="G46" s="544" t="str">
        <f>IF(VLOOKUP($E$46,[1]QUART!$A$2:$FA$315, 6, FALSE)="",":",VLOOKUP($E$46,[1]QUART!$A$2:$FA$315, 6, FALSE))</f>
        <v>:</v>
      </c>
      <c r="H46" s="544" t="str">
        <f>IF(VLOOKUP($E$46,[1]QUART!$A$2:$FA$315, 7, FALSE)="",":",VLOOKUP($E$46,[1]QUART!$A$2:$FA$315, 7, FALSE))</f>
        <v>:</v>
      </c>
      <c r="I46" s="544" t="str">
        <f>IF(VLOOKUP($E$46,[1]QUART!$A$2:$FA$315, 8, FALSE)="",":",VLOOKUP($E$46,[1]QUART!$A$2:$FA$315, 8, FALSE))</f>
        <v>:</v>
      </c>
      <c r="J46" s="544" t="str">
        <f>IF(VLOOKUP($E$46,[1]QUART!$A$2:$FA$315, 9, FALSE)="",":",VLOOKUP($E$46,[1]QUART!$A$2:$FA$315, 9, FALSE))</f>
        <v>:</v>
      </c>
      <c r="K46" s="544" t="str">
        <f>IF(VLOOKUP($E$46,[1]QUART!$A$2:$FA$315, 10, FALSE)="",":",VLOOKUP($E$46,[1]QUART!$A$2:$FA$315, 10, FALSE))</f>
        <v>:</v>
      </c>
      <c r="L46" s="544" t="str">
        <f>IF(VLOOKUP($E$46,[1]QUART!$A$2:$FA$315, 11, FALSE)="",":",VLOOKUP($E$46,[1]QUART!$A$2:$FA$315, 11, FALSE))</f>
        <v>:</v>
      </c>
      <c r="M46" s="544" t="str">
        <f>IF(VLOOKUP($E$46,[1]QUART!$A$2:$FA$315, 12, FALSE)="",":",VLOOKUP($E$46,[1]QUART!$A$2:$FA$315, 12, FALSE))</f>
        <v>:</v>
      </c>
      <c r="N46" s="544" t="str">
        <f>IF(VLOOKUP($E$46,[1]QUART!$A$2:$FA$315, 13, FALSE)="",":",VLOOKUP($E$46,[1]QUART!$A$2:$FA$315, 13, FALSE))</f>
        <v>:</v>
      </c>
      <c r="O46" s="544" t="str">
        <f>IF(VLOOKUP($E$46,[1]QUART!$A$2:$FA$315, 14, FALSE)="",":",VLOOKUP($E$46,[1]QUART!$A$2:$FA$315, 14, FALSE))</f>
        <v>:</v>
      </c>
      <c r="P46" s="544" t="str">
        <f>IF(VLOOKUP($E$46,[1]QUART!$A$2:$FA$315, 15, FALSE)="",":",VLOOKUP($E$46,[1]QUART!$A$2:$FA$315, 15, FALSE))</f>
        <v>:</v>
      </c>
      <c r="Q46" s="544" t="str">
        <f>IF(VLOOKUP($E$46,[1]QUART!$A$2:$FA$315, 16, FALSE)="",":",VLOOKUP($E$46,[1]QUART!$A$2:$FA$315, 16, FALSE))</f>
        <v>:</v>
      </c>
      <c r="R46" s="544" t="str">
        <f>IF(VLOOKUP($E$46,[1]QUART!$A$2:$FA$315, 17, FALSE)="",":",VLOOKUP($E$46,[1]QUART!$A$2:$FA$315, 17, FALSE))</f>
        <v>:</v>
      </c>
      <c r="S46" s="544" t="str">
        <f>IF(VLOOKUP($E$46,[1]QUART!$A$2:$FA$315, 18, FALSE)="",":",VLOOKUP($E$46,[1]QUART!$A$2:$FA$315, 18, FALSE))</f>
        <v>:</v>
      </c>
      <c r="T46" s="544" t="str">
        <f>IF(VLOOKUP($E$46,[1]QUART!$A$2:$FA$315, 19, FALSE)="",":",VLOOKUP($E$46,[1]QUART!$A$2:$FA$315, 19, FALSE))</f>
        <v>:</v>
      </c>
      <c r="U46" s="544" t="str">
        <f>IF(VLOOKUP($E$46,[1]QUART!$A$2:$FA$315, 20, FALSE)="",":",VLOOKUP($E$46,[1]QUART!$A$2:$FA$315, 20, FALSE))</f>
        <v>:</v>
      </c>
      <c r="V46" s="544" t="str">
        <f>IF(VLOOKUP($E$46,[1]QUART!$A$2:$FA$315, 21, FALSE)="",":",VLOOKUP($E$46,[1]QUART!$A$2:$FA$315, 21, FALSE))</f>
        <v>:</v>
      </c>
      <c r="W46" s="544" t="str">
        <f>IF(VLOOKUP($E$46,[1]QUART!$A$2:$FA$315, 22, FALSE)="",":",VLOOKUP($E$46,[1]QUART!$A$2:$FA$315, 22, FALSE))</f>
        <v>:</v>
      </c>
      <c r="X46" s="544" t="str">
        <f>IF(VLOOKUP($E$46,[1]QUART!$A$2:$FA$315, 23, FALSE)="",":",VLOOKUP($E$46,[1]QUART!$A$2:$FA$315, 23, FALSE))</f>
        <v>:</v>
      </c>
      <c r="Y46" s="544" t="str">
        <f>IF(VLOOKUP($E$46,[1]QUART!$A$2:$FA$315, 24, FALSE)="",":",VLOOKUP($E$46,[1]QUART!$A$2:$FA$315, 24, FALSE))</f>
        <v>:</v>
      </c>
      <c r="Z46" s="544" t="str">
        <f>IF(VLOOKUP($E$46,[1]QUART!$A$2:$FA$315, 25, FALSE)="",":",VLOOKUP($E$46,[1]QUART!$A$2:$FA$315, 25, FALSE))</f>
        <v>:</v>
      </c>
      <c r="AA46" s="544" t="str">
        <f>IF(VLOOKUP($E$46,[1]QUART!$A$2:$FA$315, 26, FALSE)="",":",VLOOKUP($E$46,[1]QUART!$A$2:$FA$315, 26, FALSE))</f>
        <v>:</v>
      </c>
      <c r="AB46" s="544" t="str">
        <f>IF(VLOOKUP($E$46,[1]QUART!$A$2:$FA$315, 27, FALSE)="",":",VLOOKUP($E$46,[1]QUART!$A$2:$FA$315, 27, FALSE))</f>
        <v>:</v>
      </c>
      <c r="AC46" s="544" t="str">
        <f>IF(VLOOKUP($E$46,[1]QUART!$A$2:$FA$315, 28, FALSE)="",":",VLOOKUP($E$46,[1]QUART!$A$2:$FA$315, 28, FALSE))</f>
        <v>:</v>
      </c>
      <c r="AD46" s="544" t="str">
        <f>IF(VLOOKUP($E$46,[1]QUART!$A$2:$FA$315, 29, FALSE)="",":",VLOOKUP($E$46,[1]QUART!$A$2:$FA$315, 29, FALSE))</f>
        <v>:</v>
      </c>
      <c r="AE46" s="544" t="str">
        <f>IF(VLOOKUP($E$46,[1]QUART!$A$2:$FA$315, 30, FALSE)="",":",VLOOKUP($E$46,[1]QUART!$A$2:$FA$315, 30, FALSE))</f>
        <v>:</v>
      </c>
      <c r="AF46" s="544" t="str">
        <f>IF(VLOOKUP($E$46,[1]QUART!$A$2:$FA$315, 31, FALSE)="",":",VLOOKUP($E$46,[1]QUART!$A$2:$FA$315, 31, FALSE))</f>
        <v>:</v>
      </c>
      <c r="AG46" s="544" t="str">
        <f>IF(VLOOKUP($E$46,[1]QUART!$A$2:$FA$315, 32, FALSE)="",":",VLOOKUP($E$46,[1]QUART!$A$2:$FA$315, 32, FALSE))</f>
        <v>:</v>
      </c>
      <c r="AH46" s="544" t="str">
        <f>IF(VLOOKUP($E$46,[1]QUART!$A$2:$FA$315, 33, FALSE)="",":",VLOOKUP($E$46,[1]QUART!$A$2:$FA$315, 33, FALSE))</f>
        <v>:</v>
      </c>
      <c r="AI46" s="544" t="str">
        <f>IF(VLOOKUP($E$46,[1]QUART!$A$2:$FA$315, 34, FALSE)="",":",VLOOKUP($E$46,[1]QUART!$A$2:$FA$315, 34, FALSE))</f>
        <v>:</v>
      </c>
      <c r="AJ46" s="544" t="str">
        <f>IF(VLOOKUP($E$46,[1]QUART!$A$2:$FA$315, 35, FALSE)="",":",VLOOKUP($E$46,[1]QUART!$A$2:$FA$315, 35, FALSE))</f>
        <v>:</v>
      </c>
      <c r="AK46" s="544" t="str">
        <f>IF(VLOOKUP($E$46,[1]QUART!$A$2:$FA$315, 36, FALSE)="",":",VLOOKUP($E$46,[1]QUART!$A$2:$FA$315, 36, FALSE))</f>
        <v>:</v>
      </c>
      <c r="AL46" s="544" t="str">
        <f>IF(VLOOKUP($E$46,[1]QUART!$A$2:$FA$315, 37, FALSE)="",":",VLOOKUP($E$46,[1]QUART!$A$2:$FA$315, 37, FALSE))</f>
        <v>:</v>
      </c>
      <c r="AM46" s="544" t="str">
        <f>IF(VLOOKUP($E$46,[1]QUART!$A$2:$FA$315, 38, FALSE)="",":",VLOOKUP($E$46,[1]QUART!$A$2:$FA$315, 38, FALSE))</f>
        <v>:</v>
      </c>
      <c r="AN46" s="544" t="str">
        <f>IF(VLOOKUP($E$46,[1]QUART!$A$2:$FA$315, 39, FALSE)="",":",VLOOKUP($E$46,[1]QUART!$A$2:$FA$315, 39, FALSE))</f>
        <v>:</v>
      </c>
      <c r="AO46" s="544" t="str">
        <f>IF(VLOOKUP($E$46,[1]QUART!$A$2:$FA$315, 40, FALSE)="",":",VLOOKUP($E$46,[1]QUART!$A$2:$FA$315, 40, FALSE))</f>
        <v>:</v>
      </c>
      <c r="AP46" s="544" t="str">
        <f>IF(VLOOKUP($E$46,[1]QUART!$A$2:$FA$315, 41, FALSE)="",":",VLOOKUP($E$46,[1]QUART!$A$2:$FA$315, 41, FALSE))</f>
        <v>:</v>
      </c>
      <c r="AQ46" s="544" t="str">
        <f>IF(VLOOKUP($E$46,[1]QUART!$A$2:$FA$315, 42, FALSE)="",":",VLOOKUP($E$46,[1]QUART!$A$2:$FA$315, 42, FALSE))</f>
        <v>:</v>
      </c>
      <c r="AR46" s="544" t="str">
        <f>IF(VLOOKUP($E$46,[1]QUART!$A$2:$FA$315, 43, FALSE)="",":",VLOOKUP($E$46,[1]QUART!$A$2:$FA$315, 43, FALSE))</f>
        <v>:</v>
      </c>
      <c r="AS46" s="544" t="str">
        <f>IF(VLOOKUP($E$46,[1]QUART!$A$2:$FA$315, 44, FALSE)="",":",VLOOKUP($E$46,[1]QUART!$A$2:$FA$315, 44, FALSE))</f>
        <v>:</v>
      </c>
      <c r="AT46" s="544" t="str">
        <f>IF(VLOOKUP($E$46,[1]QUART!$A$2:$FA$315, 45, FALSE)="",":",VLOOKUP($E$46,[1]QUART!$A$2:$FA$315, 45, FALSE))</f>
        <v>:</v>
      </c>
      <c r="AU46" s="544" t="str">
        <f>IF(VLOOKUP($E$46,[1]QUART!$A$2:$FA$315, 46, FALSE)="",":",VLOOKUP($E$46,[1]QUART!$A$2:$FA$315, 46, FALSE))</f>
        <v>:</v>
      </c>
      <c r="AV46" s="544" t="str">
        <f>IF(VLOOKUP($E$46,[1]QUART!$A$2:$FA$315, 47, FALSE)="",":",VLOOKUP($E$46,[1]QUART!$A$2:$FA$315, 47, FALSE))</f>
        <v>:</v>
      </c>
      <c r="AW46" s="544" t="str">
        <f>IF(VLOOKUP($E$46,[1]QUART!$A$2:$FA$315, 48, FALSE)="",":",VLOOKUP($E$46,[1]QUART!$A$2:$FA$315, 48, FALSE))</f>
        <v>:</v>
      </c>
      <c r="AX46" s="544" t="str">
        <f>IF(VLOOKUP($E$46,[1]QUART!$A$2:$FA$315, 49, FALSE)="",":",VLOOKUP($E$46,[1]QUART!$A$2:$FA$315, 49, FALSE))</f>
        <v>:</v>
      </c>
      <c r="AY46" s="544" t="str">
        <f>IF(VLOOKUP($E$46,[1]QUART!$A$2:$FA$315, 50, FALSE)="",":",VLOOKUP($E$46,[1]QUART!$A$2:$FA$315, 50, FALSE))</f>
        <v>:</v>
      </c>
      <c r="AZ46" s="544" t="str">
        <f>IF(VLOOKUP($E$46,[1]QUART!$A$2:$FA$315, 51, FALSE)="",":",VLOOKUP($E$46,[1]QUART!$A$2:$FA$315, 51, FALSE))</f>
        <v>:</v>
      </c>
      <c r="BA46" s="544" t="str">
        <f>IF(VLOOKUP($E$46,[1]QUART!$A$2:$FA$315, 52, FALSE)="",":",VLOOKUP($E$46,[1]QUART!$A$2:$FA$315, 52, FALSE))</f>
        <v>:</v>
      </c>
      <c r="BB46" s="544" t="str">
        <f>IF(VLOOKUP($E$46,[1]QUART!$A$2:$FA$315, 53, FALSE)="",":",VLOOKUP($E$46,[1]QUART!$A$2:$FA$315, 53, FALSE))</f>
        <v>:</v>
      </c>
      <c r="BC46" s="544" t="str">
        <f>IF(VLOOKUP($E$46,[1]QUART!$A$2:$FA$315, 54, FALSE)="",":",VLOOKUP($E$46,[1]QUART!$A$2:$FA$315, 54, FALSE))</f>
        <v>:</v>
      </c>
      <c r="BD46" s="544" t="str">
        <f>IF(VLOOKUP($E$46,[1]QUART!$A$2:$FA$315, 55, FALSE)="",":",VLOOKUP($E$46,[1]QUART!$A$2:$FA$315, 55, FALSE))</f>
        <v>:</v>
      </c>
      <c r="BE46" s="544" t="str">
        <f>IF(VLOOKUP($E$46,[1]QUART!$A$2:$FA$315, 56, FALSE)="",":",VLOOKUP($E$46,[1]QUART!$A$2:$FA$315, 56, FALSE))</f>
        <v>:</v>
      </c>
      <c r="BF46" s="544" t="str">
        <f>IF(VLOOKUP($E$46,[1]QUART!$A$2:$FA$315, 57, FALSE)="",":",VLOOKUP($E$46,[1]QUART!$A$2:$FA$315, 57, FALSE))</f>
        <v>:</v>
      </c>
      <c r="BG46" s="544" t="str">
        <f>IF(VLOOKUP($E$46,[1]QUART!$A$2:$FA$315, 58, FALSE)="",":",VLOOKUP($E$46,[1]QUART!$A$2:$FA$315, 58, FALSE))</f>
        <v>:</v>
      </c>
      <c r="BH46" s="544" t="str">
        <f>IF(VLOOKUP($E$46,[1]QUART!$A$2:$FA$315, 59, FALSE)="",":",VLOOKUP($E$46,[1]QUART!$A$2:$FA$315, 59, FALSE))</f>
        <v>:</v>
      </c>
      <c r="BI46" s="544" t="str">
        <f>IF(VLOOKUP($E$46,[1]QUART!$A$2:$FA$315, 60, FALSE)="",":",VLOOKUP($E$46,[1]QUART!$A$2:$FA$315, 60, FALSE))</f>
        <v>:</v>
      </c>
      <c r="BJ46" s="544" t="str">
        <f>IF(VLOOKUP($E$46,[1]QUART!$A$2:$FA$315, 61, FALSE)="",":",VLOOKUP($E$46,[1]QUART!$A$2:$FA$315, 61, FALSE))</f>
        <v>:</v>
      </c>
      <c r="BK46" s="544" t="str">
        <f>IF(VLOOKUP($E$46,[1]QUART!$A$2:$FA$315, 62, FALSE)="",":",VLOOKUP($E$46,[1]QUART!$A$2:$FA$315, 62, FALSE))</f>
        <v>:</v>
      </c>
      <c r="BL46" s="544" t="str">
        <f>IF(VLOOKUP($E$46,[1]QUART!$A$2:$FA$315, 63, FALSE)="",":",VLOOKUP($E$46,[1]QUART!$A$2:$FA$315, 63, FALSE))</f>
        <v>:</v>
      </c>
      <c r="BM46" s="544" t="str">
        <f>IF(VLOOKUP($E$46,[1]QUART!$A$2:$FA$315, 64, FALSE)="",":",VLOOKUP($E$46,[1]QUART!$A$2:$FA$315, 64, FALSE))</f>
        <v>:</v>
      </c>
      <c r="BN46" s="544" t="str">
        <f>IF(VLOOKUP($E$46,[1]QUART!$A$2:$FA$315, 65, FALSE)="",":",VLOOKUP($E$46,[1]QUART!$A$2:$FA$315, 65, FALSE))</f>
        <v>:</v>
      </c>
      <c r="BO46" s="544" t="str">
        <f>IF(VLOOKUP($E$46,[1]QUART!$A$2:$FA$315, 66, FALSE)="",":",VLOOKUP($E$46,[1]QUART!$A$2:$FA$315, 66, FALSE))</f>
        <v>:</v>
      </c>
      <c r="BP46" s="544" t="str">
        <f>IF(VLOOKUP($E$46,[1]QUART!$A$2:$FA$315, 67, FALSE)="",":",VLOOKUP($E$46,[1]QUART!$A$2:$FA$315, 67, FALSE))</f>
        <v>:</v>
      </c>
      <c r="BQ46" s="544" t="str">
        <f>IF(VLOOKUP($E$46,[1]QUART!$A$2:$FA$315, 68, FALSE)="",":",VLOOKUP($E$46,[1]QUART!$A$2:$FA$315, 68, FALSE))</f>
        <v>:</v>
      </c>
      <c r="BR46" s="544" t="str">
        <f>IF(VLOOKUP($E$46,[1]QUART!$A$2:$FA$315, 69, FALSE)="",":",VLOOKUP($E$46,[1]QUART!$A$2:$FA$315, 69, FALSE))</f>
        <v>:</v>
      </c>
      <c r="BS46" s="544" t="str">
        <f>IF(VLOOKUP($E$46,[1]QUART!$A$2:$FA$315, 70, FALSE)="",":",VLOOKUP($E$46,[1]QUART!$A$2:$FA$315, 70, FALSE))</f>
        <v>:</v>
      </c>
      <c r="BT46" s="544" t="str">
        <f>IF(VLOOKUP($E$46,[1]QUART!$A$2:$FA$315, 71, FALSE)="",":",VLOOKUP($E$46,[1]QUART!$A$2:$FA$315, 71, FALSE))</f>
        <v>:</v>
      </c>
      <c r="BU46" s="544" t="str">
        <f>IF(VLOOKUP($E$46,[1]QUART!$A$2:$FA$315, 72, FALSE)="",":",VLOOKUP($E$46,[1]QUART!$A$2:$FA$315, 72, FALSE))</f>
        <v>:</v>
      </c>
      <c r="BV46" s="544" t="str">
        <f>IF(VLOOKUP($E$46,[1]QUART!$A$2:$FA$315, 73, FALSE)="",":",VLOOKUP($E$46,[1]QUART!$A$2:$FA$315, 73, FALSE))</f>
        <v>:</v>
      </c>
      <c r="BW46" s="544" t="str">
        <f>IF(VLOOKUP($E$46,[1]QUART!$A$2:$FA$315, 74, FALSE)="",":",VLOOKUP($E$46,[1]QUART!$A$2:$FA$315, 74, FALSE))</f>
        <v>:</v>
      </c>
      <c r="BX46" s="544" t="str">
        <f>IF(VLOOKUP($E$46,[1]QUART!$A$2:$FA$315, 75, FALSE)="",":",VLOOKUP($E$46,[1]QUART!$A$2:$FA$315, 75, FALSE))</f>
        <v>:</v>
      </c>
      <c r="BY46" s="544" t="str">
        <f>IF(VLOOKUP($E$46,[1]QUART!$A$2:$FA$315, 76, FALSE)="",":",VLOOKUP($E$46,[1]QUART!$A$2:$FA$315, 76, FALSE))</f>
        <v>:</v>
      </c>
      <c r="BZ46" s="544" t="str">
        <f>IF(VLOOKUP($E$46,[1]QUART!$A$2:$FA$315, 77, FALSE)="",":",VLOOKUP($E$46,[1]QUART!$A$2:$FA$315, 77, FALSE))</f>
        <v>:</v>
      </c>
      <c r="CA46" s="544" t="str">
        <f>IF(VLOOKUP($E$46,[1]QUART!$A$2:$FA$315, 78, FALSE)="",":",VLOOKUP($E$46,[1]QUART!$A$2:$FA$315, 78, FALSE))</f>
        <v>:</v>
      </c>
      <c r="CB46" s="544" t="str">
        <f>IF(VLOOKUP($E$46,[1]QUART!$A$2:$FA$315, 79, FALSE)="",":",VLOOKUP($E$46,[1]QUART!$A$2:$FA$315, 79, FALSE))</f>
        <v>:</v>
      </c>
      <c r="CC46" s="544" t="str">
        <f>IF(VLOOKUP($E$46,[1]QUART!$A$2:$FA$315, 80, FALSE)="",":",VLOOKUP($E$46,[1]QUART!$A$2:$FA$315, 80, FALSE))</f>
        <v>:</v>
      </c>
      <c r="CD46" s="544" t="str">
        <f>IF(VLOOKUP($E$46,[1]QUART!$A$2:$FA$315, 81, FALSE)="",":",VLOOKUP($E$46,[1]QUART!$A$2:$FA$315, 81, FALSE))</f>
        <v>:</v>
      </c>
      <c r="CE46" s="544" t="str">
        <f>IF(VLOOKUP($E$46,[1]QUART!$A$2:$FA$315, 82, FALSE)="",":",VLOOKUP($E$46,[1]QUART!$A$2:$FA$315, 82, FALSE))</f>
        <v>:</v>
      </c>
      <c r="CF46" s="544" t="str">
        <f>IF(VLOOKUP($E$46,[1]QUART!$A$2:$FA$315, 83, FALSE)="",":",VLOOKUP($E$46,[1]QUART!$A$2:$FA$315, 83, FALSE))</f>
        <v>:</v>
      </c>
      <c r="CG46" s="544" t="str">
        <f>IF(VLOOKUP($E$46,[1]QUART!$A$2:$FA$315, 84, FALSE)="",":",VLOOKUP($E$46,[1]QUART!$A$2:$FA$315, 84, FALSE))</f>
        <v>:</v>
      </c>
      <c r="CH46" s="544" t="str">
        <f>IF(VLOOKUP($E$46,[1]QUART!$A$2:$FA$315, 85, FALSE)="",":",VLOOKUP($E$46,[1]QUART!$A$2:$FA$315, 85, FALSE))</f>
        <v>:</v>
      </c>
      <c r="CI46" s="544" t="str">
        <f>IF(VLOOKUP($E$46,[1]QUART!$A$2:$FA$315, 86, FALSE)="",":",VLOOKUP($E$46,[1]QUART!$A$2:$FA$315, 86, FALSE))</f>
        <v>:</v>
      </c>
      <c r="CJ46" s="544" t="str">
        <f>IF(VLOOKUP($E$46,[1]QUART!$A$2:$FA$315, 87, FALSE)="",":",VLOOKUP($E$46,[1]QUART!$A$2:$FA$315, 87, FALSE))</f>
        <v>:</v>
      </c>
      <c r="CK46" s="544" t="str">
        <f>IF(VLOOKUP($E$46,[1]QUART!$A$2:$FA$315, 88, FALSE)="",":",VLOOKUP($E$46,[1]QUART!$A$2:$FA$315, 88, FALSE))</f>
        <v>:</v>
      </c>
      <c r="CL46" s="544" t="str">
        <f>IF(VLOOKUP($E$46,[1]QUART!$A$2:$FA$315, 89, FALSE)="",":",VLOOKUP($E$46,[1]QUART!$A$2:$FA$315, 89, FALSE))</f>
        <v>:</v>
      </c>
      <c r="CM46" s="544" t="str">
        <f>IF(VLOOKUP($E$46,[1]QUART!$A$2:$FA$315, 90, FALSE)="",":",VLOOKUP($E$46,[1]QUART!$A$2:$FA$315, 90, FALSE))</f>
        <v>:</v>
      </c>
      <c r="CN46" s="544" t="str">
        <f>IF(VLOOKUP($E$46,[1]QUART!$A$2:$FA$315, 91, FALSE)="",":",VLOOKUP($E$46,[1]QUART!$A$2:$FA$315, 91, FALSE))</f>
        <v>:</v>
      </c>
      <c r="CO46" s="544" t="str">
        <f>IF(VLOOKUP($E$46,[1]QUART!$A$2:$FA$315, 92, FALSE)="",":",VLOOKUP($E$46,[1]QUART!$A$2:$FA$315, 92, FALSE))</f>
        <v>:</v>
      </c>
      <c r="CP46" s="544" t="str">
        <f>IF(VLOOKUP($E$46,[1]QUART!$A$2:$FA$315, 93, FALSE)="",":",VLOOKUP($E$46,[1]QUART!$A$2:$FA$315, 93, FALSE))</f>
        <v>:</v>
      </c>
      <c r="CQ46" s="544" t="str">
        <f>IF(VLOOKUP($E$46,[1]QUART!$A$2:$FA$315, 94, FALSE)="",":",VLOOKUP($E$46,[1]QUART!$A$2:$FA$315, 94, FALSE))</f>
        <v>:</v>
      </c>
      <c r="CR46" s="544" t="str">
        <f>IF(VLOOKUP($E$46,[1]QUART!$A$2:$FA$315, 95, FALSE)="",":",VLOOKUP($E$46,[1]QUART!$A$2:$FA$315, 95, FALSE))</f>
        <v>:</v>
      </c>
      <c r="CS46" s="544" t="str">
        <f>IF(VLOOKUP($E$46,[1]QUART!$A$2:$FA$315, 96, FALSE)="",":",VLOOKUP($E$46,[1]QUART!$A$2:$FA$315, 96, FALSE))</f>
        <v>:</v>
      </c>
      <c r="CT46" s="544" t="str">
        <f>IF(VLOOKUP($E$46,[1]QUART!$A$2:$FA$315, 97, FALSE)="",":",VLOOKUP($E$46,[1]QUART!$A$2:$FA$315, 97, FALSE))</f>
        <v>:</v>
      </c>
      <c r="CU46" s="544" t="str">
        <f>IF(VLOOKUP($E$46,[1]QUART!$A$2:$FA$315, 98, FALSE)="",":",VLOOKUP($E$46,[1]QUART!$A$2:$FA$315, 98, FALSE))</f>
        <v>:</v>
      </c>
      <c r="CV46" s="544" t="str">
        <f>IF(VLOOKUP($E$46,[1]QUART!$A$2:$FA$315, 99, FALSE)="",":",VLOOKUP($E$46,[1]QUART!$A$2:$FA$315, 99, FALSE))</f>
        <v>:</v>
      </c>
      <c r="CW46" s="544" t="str">
        <f>IF(VLOOKUP($E$46,[1]QUART!$A$2:$FA$315, 100, FALSE)="",":",VLOOKUP($E$46,[1]QUART!$A$2:$FA$315, 100, FALSE))</f>
        <v>:</v>
      </c>
      <c r="CX46" s="544" t="str">
        <f>IF(VLOOKUP($E$46,[1]QUART!$A$2:$FA$315, 101, FALSE)="",":",VLOOKUP($E$46,[1]QUART!$A$2:$FA$315, 101, FALSE))</f>
        <v>:</v>
      </c>
      <c r="CY46" s="544" t="str">
        <f>IF(VLOOKUP($E$46,[1]QUART!$A$2:$FA$315, 102, FALSE)="",":",VLOOKUP($E$46,[1]QUART!$A$2:$FA$315, 102, FALSE))</f>
        <v>:</v>
      </c>
      <c r="CZ46" s="544" t="str">
        <f>IF(VLOOKUP($E$46,[1]QUART!$A$2:$FA$315, 103, FALSE)="",":",VLOOKUP($E$46,[1]QUART!$A$2:$FA$315, 103, FALSE))</f>
        <v>:</v>
      </c>
      <c r="DA46" s="544" t="str">
        <f>IF(VLOOKUP($E$46,[1]QUART!$A$2:$FA$315, 104, FALSE)="",":",VLOOKUP($E$46,[1]QUART!$A$2:$FA$315, 104, FALSE))</f>
        <v>:</v>
      </c>
      <c r="DB46" s="544" t="str">
        <f>IF(VLOOKUP($E$46,[1]QUART!$A$2:$FA$315, 105, FALSE)="",":",VLOOKUP($E$46,[1]QUART!$A$2:$FA$315, 105, FALSE))</f>
        <v>:</v>
      </c>
      <c r="DC46" s="544" t="str">
        <f>IF(VLOOKUP($E$46,[1]QUART!$A$2:$FA$315, 106, FALSE)="",":",VLOOKUP($E$46,[1]QUART!$A$2:$FA$315, 106, FALSE))</f>
        <v>:</v>
      </c>
    </row>
    <row r="47" spans="1:107">
      <c r="A47" s="1954"/>
      <c r="B47" s="534"/>
      <c r="C47" s="535"/>
      <c r="D47" s="12" t="s">
        <v>1841</v>
      </c>
      <c r="E47" s="13">
        <v>113</v>
      </c>
      <c r="F47" s="14" t="str">
        <f>VLOOKUP($E$47,[1]QUART!$A$2:$FA$315, 3, FALSE)</f>
        <v xml:space="preserve">113  Exports of goods                              </v>
      </c>
      <c r="G47" s="544" t="str">
        <f>IF(VLOOKUP($E$47,[1]QUART!$A$2:$FA$315, 6, FALSE)="",":",VLOOKUP($E$47,[1]QUART!$A$2:$FA$315, 6, FALSE))</f>
        <v>:</v>
      </c>
      <c r="H47" s="544" t="str">
        <f>IF(VLOOKUP($E$47,[1]QUART!$A$2:$FA$315, 7, FALSE)="",":",VLOOKUP($E$47,[1]QUART!$A$2:$FA$315, 7, FALSE))</f>
        <v>:</v>
      </c>
      <c r="I47" s="544" t="str">
        <f>IF(VLOOKUP($E$47,[1]QUART!$A$2:$FA$315, 8, FALSE)="",":",VLOOKUP($E$47,[1]QUART!$A$2:$FA$315, 8, FALSE))</f>
        <v>:</v>
      </c>
      <c r="J47" s="544" t="str">
        <f>IF(VLOOKUP($E$47,[1]QUART!$A$2:$FA$315, 9, FALSE)="",":",VLOOKUP($E$47,[1]QUART!$A$2:$FA$315, 9, FALSE))</f>
        <v>:</v>
      </c>
      <c r="K47" s="544" t="str">
        <f>IF(VLOOKUP($E$47,[1]QUART!$A$2:$FA$315, 10, FALSE)="",":",VLOOKUP($E$47,[1]QUART!$A$2:$FA$315, 10, FALSE))</f>
        <v>:</v>
      </c>
      <c r="L47" s="544" t="str">
        <f>IF(VLOOKUP($E$47,[1]QUART!$A$2:$FA$315, 11, FALSE)="",":",VLOOKUP($E$47,[1]QUART!$A$2:$FA$315, 11, FALSE))</f>
        <v>:</v>
      </c>
      <c r="M47" s="544" t="str">
        <f>IF(VLOOKUP($E$47,[1]QUART!$A$2:$FA$315, 12, FALSE)="",":",VLOOKUP($E$47,[1]QUART!$A$2:$FA$315, 12, FALSE))</f>
        <v>:</v>
      </c>
      <c r="N47" s="544" t="str">
        <f>IF(VLOOKUP($E$47,[1]QUART!$A$2:$FA$315, 13, FALSE)="",":",VLOOKUP($E$47,[1]QUART!$A$2:$FA$315, 13, FALSE))</f>
        <v>:</v>
      </c>
      <c r="O47" s="544" t="str">
        <f>IF(VLOOKUP($E$47,[1]QUART!$A$2:$FA$315, 14, FALSE)="",":",VLOOKUP($E$47,[1]QUART!$A$2:$FA$315, 14, FALSE))</f>
        <v>:</v>
      </c>
      <c r="P47" s="544" t="str">
        <f>IF(VLOOKUP($E$47,[1]QUART!$A$2:$FA$315, 15, FALSE)="",":",VLOOKUP($E$47,[1]QUART!$A$2:$FA$315, 15, FALSE))</f>
        <v>:</v>
      </c>
      <c r="Q47" s="544" t="str">
        <f>IF(VLOOKUP($E$47,[1]QUART!$A$2:$FA$315, 16, FALSE)="",":",VLOOKUP($E$47,[1]QUART!$A$2:$FA$315, 16, FALSE))</f>
        <v>:</v>
      </c>
      <c r="R47" s="544" t="str">
        <f>IF(VLOOKUP($E$47,[1]QUART!$A$2:$FA$315, 17, FALSE)="",":",VLOOKUP($E$47,[1]QUART!$A$2:$FA$315, 17, FALSE))</f>
        <v>:</v>
      </c>
      <c r="S47" s="544" t="str">
        <f>IF(VLOOKUP($E$47,[1]QUART!$A$2:$FA$315, 18, FALSE)="",":",VLOOKUP($E$47,[1]QUART!$A$2:$FA$315, 18, FALSE))</f>
        <v>:</v>
      </c>
      <c r="T47" s="544" t="str">
        <f>IF(VLOOKUP($E$47,[1]QUART!$A$2:$FA$315, 19, FALSE)="",":",VLOOKUP($E$47,[1]QUART!$A$2:$FA$315, 19, FALSE))</f>
        <v>:</v>
      </c>
      <c r="U47" s="544" t="str">
        <f>IF(VLOOKUP($E$47,[1]QUART!$A$2:$FA$315, 20, FALSE)="",":",VLOOKUP($E$47,[1]QUART!$A$2:$FA$315, 20, FALSE))</f>
        <v>:</v>
      </c>
      <c r="V47" s="544" t="str">
        <f>IF(VLOOKUP($E$47,[1]QUART!$A$2:$FA$315, 21, FALSE)="",":",VLOOKUP($E$47,[1]QUART!$A$2:$FA$315, 21, FALSE))</f>
        <v>:</v>
      </c>
      <c r="W47" s="544" t="str">
        <f>IF(VLOOKUP($E$47,[1]QUART!$A$2:$FA$315, 22, FALSE)="",":",VLOOKUP($E$47,[1]QUART!$A$2:$FA$315, 22, FALSE))</f>
        <v>:</v>
      </c>
      <c r="X47" s="544" t="str">
        <f>IF(VLOOKUP($E$47,[1]QUART!$A$2:$FA$315, 23, FALSE)="",":",VLOOKUP($E$47,[1]QUART!$A$2:$FA$315, 23, FALSE))</f>
        <v>:</v>
      </c>
      <c r="Y47" s="544" t="str">
        <f>IF(VLOOKUP($E$47,[1]QUART!$A$2:$FA$315, 24, FALSE)="",":",VLOOKUP($E$47,[1]QUART!$A$2:$FA$315, 24, FALSE))</f>
        <v>:</v>
      </c>
      <c r="Z47" s="544" t="str">
        <f>IF(VLOOKUP($E$47,[1]QUART!$A$2:$FA$315, 25, FALSE)="",":",VLOOKUP($E$47,[1]QUART!$A$2:$FA$315, 25, FALSE))</f>
        <v>:</v>
      </c>
      <c r="AA47" s="544" t="str">
        <f>IF(VLOOKUP($E$47,[1]QUART!$A$2:$FA$315, 26, FALSE)="",":",VLOOKUP($E$47,[1]QUART!$A$2:$FA$315, 26, FALSE))</f>
        <v>:</v>
      </c>
      <c r="AB47" s="544" t="str">
        <f>IF(VLOOKUP($E$47,[1]QUART!$A$2:$FA$315, 27, FALSE)="",":",VLOOKUP($E$47,[1]QUART!$A$2:$FA$315, 27, FALSE))</f>
        <v>:</v>
      </c>
      <c r="AC47" s="544" t="str">
        <f>IF(VLOOKUP($E$47,[1]QUART!$A$2:$FA$315, 28, FALSE)="",":",VLOOKUP($E$47,[1]QUART!$A$2:$FA$315, 28, FALSE))</f>
        <v>:</v>
      </c>
      <c r="AD47" s="544" t="str">
        <f>IF(VLOOKUP($E$47,[1]QUART!$A$2:$FA$315, 29, FALSE)="",":",VLOOKUP($E$47,[1]QUART!$A$2:$FA$315, 29, FALSE))</f>
        <v>:</v>
      </c>
      <c r="AE47" s="544" t="str">
        <f>IF(VLOOKUP($E$47,[1]QUART!$A$2:$FA$315, 30, FALSE)="",":",VLOOKUP($E$47,[1]QUART!$A$2:$FA$315, 30, FALSE))</f>
        <v>:</v>
      </c>
      <c r="AF47" s="544" t="str">
        <f>IF(VLOOKUP($E$47,[1]QUART!$A$2:$FA$315, 31, FALSE)="",":",VLOOKUP($E$47,[1]QUART!$A$2:$FA$315, 31, FALSE))</f>
        <v>:</v>
      </c>
      <c r="AG47" s="544" t="str">
        <f>IF(VLOOKUP($E$47,[1]QUART!$A$2:$FA$315, 32, FALSE)="",":",VLOOKUP($E$47,[1]QUART!$A$2:$FA$315, 32, FALSE))</f>
        <v>:</v>
      </c>
      <c r="AH47" s="544" t="str">
        <f>IF(VLOOKUP($E$47,[1]QUART!$A$2:$FA$315, 33, FALSE)="",":",VLOOKUP($E$47,[1]QUART!$A$2:$FA$315, 33, FALSE))</f>
        <v>:</v>
      </c>
      <c r="AI47" s="544" t="str">
        <f>IF(VLOOKUP($E$47,[1]QUART!$A$2:$FA$315, 34, FALSE)="",":",VLOOKUP($E$47,[1]QUART!$A$2:$FA$315, 34, FALSE))</f>
        <v>:</v>
      </c>
      <c r="AJ47" s="544" t="str">
        <f>IF(VLOOKUP($E$47,[1]QUART!$A$2:$FA$315, 35, FALSE)="",":",VLOOKUP($E$47,[1]QUART!$A$2:$FA$315, 35, FALSE))</f>
        <v>:</v>
      </c>
      <c r="AK47" s="544" t="str">
        <f>IF(VLOOKUP($E$47,[1]QUART!$A$2:$FA$315, 36, FALSE)="",":",VLOOKUP($E$47,[1]QUART!$A$2:$FA$315, 36, FALSE))</f>
        <v>:</v>
      </c>
      <c r="AL47" s="544" t="str">
        <f>IF(VLOOKUP($E$47,[1]QUART!$A$2:$FA$315, 37, FALSE)="",":",VLOOKUP($E$47,[1]QUART!$A$2:$FA$315, 37, FALSE))</f>
        <v>:</v>
      </c>
      <c r="AM47" s="544" t="str">
        <f>IF(VLOOKUP($E$47,[1]QUART!$A$2:$FA$315, 38, FALSE)="",":",VLOOKUP($E$47,[1]QUART!$A$2:$FA$315, 38, FALSE))</f>
        <v>:</v>
      </c>
      <c r="AN47" s="544" t="str">
        <f>IF(VLOOKUP($E$47,[1]QUART!$A$2:$FA$315, 39, FALSE)="",":",VLOOKUP($E$47,[1]QUART!$A$2:$FA$315, 39, FALSE))</f>
        <v>:</v>
      </c>
      <c r="AO47" s="544" t="str">
        <f>IF(VLOOKUP($E$47,[1]QUART!$A$2:$FA$315, 40, FALSE)="",":",VLOOKUP($E$47,[1]QUART!$A$2:$FA$315, 40, FALSE))</f>
        <v>:</v>
      </c>
      <c r="AP47" s="544" t="str">
        <f>IF(VLOOKUP($E$47,[1]QUART!$A$2:$FA$315, 41, FALSE)="",":",VLOOKUP($E$47,[1]QUART!$A$2:$FA$315, 41, FALSE))</f>
        <v>:</v>
      </c>
      <c r="AQ47" s="544" t="str">
        <f>IF(VLOOKUP($E$47,[1]QUART!$A$2:$FA$315, 42, FALSE)="",":",VLOOKUP($E$47,[1]QUART!$A$2:$FA$315, 42, FALSE))</f>
        <v>:</v>
      </c>
      <c r="AR47" s="544" t="str">
        <f>IF(VLOOKUP($E$47,[1]QUART!$A$2:$FA$315, 43, FALSE)="",":",VLOOKUP($E$47,[1]QUART!$A$2:$FA$315, 43, FALSE))</f>
        <v>:</v>
      </c>
      <c r="AS47" s="544" t="str">
        <f>IF(VLOOKUP($E$47,[1]QUART!$A$2:$FA$315, 44, FALSE)="",":",VLOOKUP($E$47,[1]QUART!$A$2:$FA$315, 44, FALSE))</f>
        <v>:</v>
      </c>
      <c r="AT47" s="544" t="str">
        <f>IF(VLOOKUP($E$47,[1]QUART!$A$2:$FA$315, 45, FALSE)="",":",VLOOKUP($E$47,[1]QUART!$A$2:$FA$315, 45, FALSE))</f>
        <v>:</v>
      </c>
      <c r="AU47" s="544" t="str">
        <f>IF(VLOOKUP($E$47,[1]QUART!$A$2:$FA$315, 46, FALSE)="",":",VLOOKUP($E$47,[1]QUART!$A$2:$FA$315, 46, FALSE))</f>
        <v>:</v>
      </c>
      <c r="AV47" s="544" t="str">
        <f>IF(VLOOKUP($E$47,[1]QUART!$A$2:$FA$315, 47, FALSE)="",":",VLOOKUP($E$47,[1]QUART!$A$2:$FA$315, 47, FALSE))</f>
        <v>:</v>
      </c>
      <c r="AW47" s="544" t="str">
        <f>IF(VLOOKUP($E$47,[1]QUART!$A$2:$FA$315, 48, FALSE)="",":",VLOOKUP($E$47,[1]QUART!$A$2:$FA$315, 48, FALSE))</f>
        <v>:</v>
      </c>
      <c r="AX47" s="544" t="str">
        <f>IF(VLOOKUP($E$47,[1]QUART!$A$2:$FA$315, 49, FALSE)="",":",VLOOKUP($E$47,[1]QUART!$A$2:$FA$315, 49, FALSE))</f>
        <v>:</v>
      </c>
      <c r="AY47" s="544" t="str">
        <f>IF(VLOOKUP($E$47,[1]QUART!$A$2:$FA$315, 50, FALSE)="",":",VLOOKUP($E$47,[1]QUART!$A$2:$FA$315, 50, FALSE))</f>
        <v>:</v>
      </c>
      <c r="AZ47" s="544" t="str">
        <f>IF(VLOOKUP($E$47,[1]QUART!$A$2:$FA$315, 51, FALSE)="",":",VLOOKUP($E$47,[1]QUART!$A$2:$FA$315, 51, FALSE))</f>
        <v>:</v>
      </c>
      <c r="BA47" s="544" t="str">
        <f>IF(VLOOKUP($E$47,[1]QUART!$A$2:$FA$315, 52, FALSE)="",":",VLOOKUP($E$47,[1]QUART!$A$2:$FA$315, 52, FALSE))</f>
        <v>:</v>
      </c>
      <c r="BB47" s="544" t="str">
        <f>IF(VLOOKUP($E$47,[1]QUART!$A$2:$FA$315, 53, FALSE)="",":",VLOOKUP($E$47,[1]QUART!$A$2:$FA$315, 53, FALSE))</f>
        <v>:</v>
      </c>
      <c r="BC47" s="544" t="str">
        <f>IF(VLOOKUP($E$47,[1]QUART!$A$2:$FA$315, 54, FALSE)="",":",VLOOKUP($E$47,[1]QUART!$A$2:$FA$315, 54, FALSE))</f>
        <v>:</v>
      </c>
      <c r="BD47" s="544" t="str">
        <f>IF(VLOOKUP($E$47,[1]QUART!$A$2:$FA$315, 55, FALSE)="",":",VLOOKUP($E$47,[1]QUART!$A$2:$FA$315, 55, FALSE))</f>
        <v>:</v>
      </c>
      <c r="BE47" s="544" t="str">
        <f>IF(VLOOKUP($E$47,[1]QUART!$A$2:$FA$315, 56, FALSE)="",":",VLOOKUP($E$47,[1]QUART!$A$2:$FA$315, 56, FALSE))</f>
        <v>:</v>
      </c>
      <c r="BF47" s="544" t="str">
        <f>IF(VLOOKUP($E$47,[1]QUART!$A$2:$FA$315, 57, FALSE)="",":",VLOOKUP($E$47,[1]QUART!$A$2:$FA$315, 57, FALSE))</f>
        <v>:</v>
      </c>
      <c r="BG47" s="544" t="str">
        <f>IF(VLOOKUP($E$47,[1]QUART!$A$2:$FA$315, 58, FALSE)="",":",VLOOKUP($E$47,[1]QUART!$A$2:$FA$315, 58, FALSE))</f>
        <v>:</v>
      </c>
      <c r="BH47" s="544" t="str">
        <f>IF(VLOOKUP($E$47,[1]QUART!$A$2:$FA$315, 59, FALSE)="",":",VLOOKUP($E$47,[1]QUART!$A$2:$FA$315, 59, FALSE))</f>
        <v>:</v>
      </c>
      <c r="BI47" s="544" t="str">
        <f>IF(VLOOKUP($E$47,[1]QUART!$A$2:$FA$315, 60, FALSE)="",":",VLOOKUP($E$47,[1]QUART!$A$2:$FA$315, 60, FALSE))</f>
        <v>:</v>
      </c>
      <c r="BJ47" s="544" t="str">
        <f>IF(VLOOKUP($E$47,[1]QUART!$A$2:$FA$315, 61, FALSE)="",":",VLOOKUP($E$47,[1]QUART!$A$2:$FA$315, 61, FALSE))</f>
        <v>:</v>
      </c>
      <c r="BK47" s="544" t="str">
        <f>IF(VLOOKUP($E$47,[1]QUART!$A$2:$FA$315, 62, FALSE)="",":",VLOOKUP($E$47,[1]QUART!$A$2:$FA$315, 62, FALSE))</f>
        <v>:</v>
      </c>
      <c r="BL47" s="544" t="str">
        <f>IF(VLOOKUP($E$47,[1]QUART!$A$2:$FA$315, 63, FALSE)="",":",VLOOKUP($E$47,[1]QUART!$A$2:$FA$315, 63, FALSE))</f>
        <v>:</v>
      </c>
      <c r="BM47" s="544" t="str">
        <f>IF(VLOOKUP($E$47,[1]QUART!$A$2:$FA$315, 64, FALSE)="",":",VLOOKUP($E$47,[1]QUART!$A$2:$FA$315, 64, FALSE))</f>
        <v>:</v>
      </c>
      <c r="BN47" s="544" t="str">
        <f>IF(VLOOKUP($E$47,[1]QUART!$A$2:$FA$315, 65, FALSE)="",":",VLOOKUP($E$47,[1]QUART!$A$2:$FA$315, 65, FALSE))</f>
        <v>:</v>
      </c>
      <c r="BO47" s="544" t="str">
        <f>IF(VLOOKUP($E$47,[1]QUART!$A$2:$FA$315, 66, FALSE)="",":",VLOOKUP($E$47,[1]QUART!$A$2:$FA$315, 66, FALSE))</f>
        <v>:</v>
      </c>
      <c r="BP47" s="544" t="str">
        <f>IF(VLOOKUP($E$47,[1]QUART!$A$2:$FA$315, 67, FALSE)="",":",VLOOKUP($E$47,[1]QUART!$A$2:$FA$315, 67, FALSE))</f>
        <v>:</v>
      </c>
      <c r="BQ47" s="544" t="str">
        <f>IF(VLOOKUP($E$47,[1]QUART!$A$2:$FA$315, 68, FALSE)="",":",VLOOKUP($E$47,[1]QUART!$A$2:$FA$315, 68, FALSE))</f>
        <v>:</v>
      </c>
      <c r="BR47" s="544" t="str">
        <f>IF(VLOOKUP($E$47,[1]QUART!$A$2:$FA$315, 69, FALSE)="",":",VLOOKUP($E$47,[1]QUART!$A$2:$FA$315, 69, FALSE))</f>
        <v>:</v>
      </c>
      <c r="BS47" s="544" t="str">
        <f>IF(VLOOKUP($E$47,[1]QUART!$A$2:$FA$315, 70, FALSE)="",":",VLOOKUP($E$47,[1]QUART!$A$2:$FA$315, 70, FALSE))</f>
        <v>:</v>
      </c>
      <c r="BT47" s="544" t="str">
        <f>IF(VLOOKUP($E$47,[1]QUART!$A$2:$FA$315, 71, FALSE)="",":",VLOOKUP($E$47,[1]QUART!$A$2:$FA$315, 71, FALSE))</f>
        <v>:</v>
      </c>
      <c r="BU47" s="544" t="str">
        <f>IF(VLOOKUP($E$47,[1]QUART!$A$2:$FA$315, 72, FALSE)="",":",VLOOKUP($E$47,[1]QUART!$A$2:$FA$315, 72, FALSE))</f>
        <v>:</v>
      </c>
      <c r="BV47" s="544" t="str">
        <f>IF(VLOOKUP($E$47,[1]QUART!$A$2:$FA$315, 73, FALSE)="",":",VLOOKUP($E$47,[1]QUART!$A$2:$FA$315, 73, FALSE))</f>
        <v>:</v>
      </c>
      <c r="BW47" s="544" t="str">
        <f>IF(VLOOKUP($E$47,[1]QUART!$A$2:$FA$315, 74, FALSE)="",":",VLOOKUP($E$47,[1]QUART!$A$2:$FA$315, 74, FALSE))</f>
        <v>:</v>
      </c>
      <c r="BX47" s="544" t="str">
        <f>IF(VLOOKUP($E$47,[1]QUART!$A$2:$FA$315, 75, FALSE)="",":",VLOOKUP($E$47,[1]QUART!$A$2:$FA$315, 75, FALSE))</f>
        <v>:</v>
      </c>
      <c r="BY47" s="544" t="str">
        <f>IF(VLOOKUP($E$47,[1]QUART!$A$2:$FA$315, 76, FALSE)="",":",VLOOKUP($E$47,[1]QUART!$A$2:$FA$315, 76, FALSE))</f>
        <v>:</v>
      </c>
      <c r="BZ47" s="544" t="str">
        <f>IF(VLOOKUP($E$47,[1]QUART!$A$2:$FA$315, 77, FALSE)="",":",VLOOKUP($E$47,[1]QUART!$A$2:$FA$315, 77, FALSE))</f>
        <v>:</v>
      </c>
      <c r="CA47" s="544" t="str">
        <f>IF(VLOOKUP($E$47,[1]QUART!$A$2:$FA$315, 78, FALSE)="",":",VLOOKUP($E$47,[1]QUART!$A$2:$FA$315, 78, FALSE))</f>
        <v>:</v>
      </c>
      <c r="CB47" s="544" t="str">
        <f>IF(VLOOKUP($E$47,[1]QUART!$A$2:$FA$315, 79, FALSE)="",":",VLOOKUP($E$47,[1]QUART!$A$2:$FA$315, 79, FALSE))</f>
        <v>:</v>
      </c>
      <c r="CC47" s="544" t="str">
        <f>IF(VLOOKUP($E$47,[1]QUART!$A$2:$FA$315, 80, FALSE)="",":",VLOOKUP($E$47,[1]QUART!$A$2:$FA$315, 80, FALSE))</f>
        <v>:</v>
      </c>
      <c r="CD47" s="544" t="str">
        <f>IF(VLOOKUP($E$47,[1]QUART!$A$2:$FA$315, 81, FALSE)="",":",VLOOKUP($E$47,[1]QUART!$A$2:$FA$315, 81, FALSE))</f>
        <v>:</v>
      </c>
      <c r="CE47" s="544" t="str">
        <f>IF(VLOOKUP($E$47,[1]QUART!$A$2:$FA$315, 82, FALSE)="",":",VLOOKUP($E$47,[1]QUART!$A$2:$FA$315, 82, FALSE))</f>
        <v>:</v>
      </c>
      <c r="CF47" s="544" t="str">
        <f>IF(VLOOKUP($E$47,[1]QUART!$A$2:$FA$315, 83, FALSE)="",":",VLOOKUP($E$47,[1]QUART!$A$2:$FA$315, 83, FALSE))</f>
        <v>:</v>
      </c>
      <c r="CG47" s="544" t="str">
        <f>IF(VLOOKUP($E$47,[1]QUART!$A$2:$FA$315, 84, FALSE)="",":",VLOOKUP($E$47,[1]QUART!$A$2:$FA$315, 84, FALSE))</f>
        <v>:</v>
      </c>
      <c r="CH47" s="544" t="str">
        <f>IF(VLOOKUP($E$47,[1]QUART!$A$2:$FA$315, 85, FALSE)="",":",VLOOKUP($E$47,[1]QUART!$A$2:$FA$315, 85, FALSE))</f>
        <v>:</v>
      </c>
      <c r="CI47" s="544" t="str">
        <f>IF(VLOOKUP($E$47,[1]QUART!$A$2:$FA$315, 86, FALSE)="",":",VLOOKUP($E$47,[1]QUART!$A$2:$FA$315, 86, FALSE))</f>
        <v>:</v>
      </c>
      <c r="CJ47" s="544" t="str">
        <f>IF(VLOOKUP($E$47,[1]QUART!$A$2:$FA$315, 87, FALSE)="",":",VLOOKUP($E$47,[1]QUART!$A$2:$FA$315, 87, FALSE))</f>
        <v>:</v>
      </c>
      <c r="CK47" s="544" t="str">
        <f>IF(VLOOKUP($E$47,[1]QUART!$A$2:$FA$315, 88, FALSE)="",":",VLOOKUP($E$47,[1]QUART!$A$2:$FA$315, 88, FALSE))</f>
        <v>:</v>
      </c>
      <c r="CL47" s="544" t="str">
        <f>IF(VLOOKUP($E$47,[1]QUART!$A$2:$FA$315, 89, FALSE)="",":",VLOOKUP($E$47,[1]QUART!$A$2:$FA$315, 89, FALSE))</f>
        <v>:</v>
      </c>
      <c r="CM47" s="544" t="str">
        <f>IF(VLOOKUP($E$47,[1]QUART!$A$2:$FA$315, 90, FALSE)="",":",VLOOKUP($E$47,[1]QUART!$A$2:$FA$315, 90, FALSE))</f>
        <v>:</v>
      </c>
      <c r="CN47" s="544" t="str">
        <f>IF(VLOOKUP($E$47,[1]QUART!$A$2:$FA$315, 91, FALSE)="",":",VLOOKUP($E$47,[1]QUART!$A$2:$FA$315, 91, FALSE))</f>
        <v>:</v>
      </c>
      <c r="CO47" s="544" t="str">
        <f>IF(VLOOKUP($E$47,[1]QUART!$A$2:$FA$315, 92, FALSE)="",":",VLOOKUP($E$47,[1]QUART!$A$2:$FA$315, 92, FALSE))</f>
        <v>:</v>
      </c>
      <c r="CP47" s="544" t="str">
        <f>IF(VLOOKUP($E$47,[1]QUART!$A$2:$FA$315, 93, FALSE)="",":",VLOOKUP($E$47,[1]QUART!$A$2:$FA$315, 93, FALSE))</f>
        <v>:</v>
      </c>
      <c r="CQ47" s="544" t="str">
        <f>IF(VLOOKUP($E$47,[1]QUART!$A$2:$FA$315, 94, FALSE)="",":",VLOOKUP($E$47,[1]QUART!$A$2:$FA$315, 94, FALSE))</f>
        <v>:</v>
      </c>
      <c r="CR47" s="544" t="str">
        <f>IF(VLOOKUP($E$47,[1]QUART!$A$2:$FA$315, 95, FALSE)="",":",VLOOKUP($E$47,[1]QUART!$A$2:$FA$315, 95, FALSE))</f>
        <v>:</v>
      </c>
      <c r="CS47" s="544" t="str">
        <f>IF(VLOOKUP($E$47,[1]QUART!$A$2:$FA$315, 96, FALSE)="",":",VLOOKUP($E$47,[1]QUART!$A$2:$FA$315, 96, FALSE))</f>
        <v>:</v>
      </c>
      <c r="CT47" s="544" t="str">
        <f>IF(VLOOKUP($E$47,[1]QUART!$A$2:$FA$315, 97, FALSE)="",":",VLOOKUP($E$47,[1]QUART!$A$2:$FA$315, 97, FALSE))</f>
        <v>:</v>
      </c>
      <c r="CU47" s="544" t="str">
        <f>IF(VLOOKUP($E$47,[1]QUART!$A$2:$FA$315, 98, FALSE)="",":",VLOOKUP($E$47,[1]QUART!$A$2:$FA$315, 98, FALSE))</f>
        <v>:</v>
      </c>
      <c r="CV47" s="544" t="str">
        <f>IF(VLOOKUP($E$47,[1]QUART!$A$2:$FA$315, 99, FALSE)="",":",VLOOKUP($E$47,[1]QUART!$A$2:$FA$315, 99, FALSE))</f>
        <v>:</v>
      </c>
      <c r="CW47" s="544" t="str">
        <f>IF(VLOOKUP($E$47,[1]QUART!$A$2:$FA$315, 100, FALSE)="",":",VLOOKUP($E$47,[1]QUART!$A$2:$FA$315, 100, FALSE))</f>
        <v>:</v>
      </c>
      <c r="CX47" s="544" t="str">
        <f>IF(VLOOKUP($E$47,[1]QUART!$A$2:$FA$315, 101, FALSE)="",":",VLOOKUP($E$47,[1]QUART!$A$2:$FA$315, 101, FALSE))</f>
        <v>:</v>
      </c>
      <c r="CY47" s="544" t="str">
        <f>IF(VLOOKUP($E$47,[1]QUART!$A$2:$FA$315, 102, FALSE)="",":",VLOOKUP($E$47,[1]QUART!$A$2:$FA$315, 102, FALSE))</f>
        <v>:</v>
      </c>
      <c r="CZ47" s="544" t="str">
        <f>IF(VLOOKUP($E$47,[1]QUART!$A$2:$FA$315, 103, FALSE)="",":",VLOOKUP($E$47,[1]QUART!$A$2:$FA$315, 103, FALSE))</f>
        <v>:</v>
      </c>
      <c r="DA47" s="544" t="str">
        <f>IF(VLOOKUP($E$47,[1]QUART!$A$2:$FA$315, 104, FALSE)="",":",VLOOKUP($E$47,[1]QUART!$A$2:$FA$315, 104, FALSE))</f>
        <v>:</v>
      </c>
      <c r="DB47" s="544" t="str">
        <f>IF(VLOOKUP($E$47,[1]QUART!$A$2:$FA$315, 105, FALSE)="",":",VLOOKUP($E$47,[1]QUART!$A$2:$FA$315, 105, FALSE))</f>
        <v>:</v>
      </c>
      <c r="DC47" s="544" t="str">
        <f>IF(VLOOKUP($E$47,[1]QUART!$A$2:$FA$315, 106, FALSE)="",":",VLOOKUP($E$47,[1]QUART!$A$2:$FA$315, 106, FALSE))</f>
        <v>:</v>
      </c>
    </row>
    <row r="48" spans="1:107">
      <c r="A48" s="1954"/>
      <c r="B48" s="534"/>
      <c r="C48" s="535"/>
      <c r="D48" s="12" t="s">
        <v>1841</v>
      </c>
      <c r="E48" s="13">
        <v>114</v>
      </c>
      <c r="F48" s="14" t="str">
        <f>VLOOKUP($E$48,[1]QUART!$A$2:$FA$315, 3, FALSE)</f>
        <v xml:space="preserve">114  Exports of services                                                   </v>
      </c>
      <c r="G48" s="544" t="str">
        <f>IF(VLOOKUP($E$48,[1]QUART!$A$2:$FA$315, 6, FALSE)="",":",VLOOKUP($E$48,[1]QUART!$A$2:$FA$315, 6, FALSE))</f>
        <v>:</v>
      </c>
      <c r="H48" s="544" t="str">
        <f>IF(VLOOKUP($E$48,[1]QUART!$A$2:$FA$315, 7, FALSE)="",":",VLOOKUP($E$48,[1]QUART!$A$2:$FA$315, 7, FALSE))</f>
        <v>:</v>
      </c>
      <c r="I48" s="544" t="str">
        <f>IF(VLOOKUP($E$48,[1]QUART!$A$2:$FA$315, 8, FALSE)="",":",VLOOKUP($E$48,[1]QUART!$A$2:$FA$315, 8, FALSE))</f>
        <v>:</v>
      </c>
      <c r="J48" s="544" t="str">
        <f>IF(VLOOKUP($E$48,[1]QUART!$A$2:$FA$315, 9, FALSE)="",":",VLOOKUP($E$48,[1]QUART!$A$2:$FA$315, 9, FALSE))</f>
        <v>:</v>
      </c>
      <c r="K48" s="544" t="str">
        <f>IF(VLOOKUP($E$48,[1]QUART!$A$2:$FA$315, 10, FALSE)="",":",VLOOKUP($E$48,[1]QUART!$A$2:$FA$315, 10, FALSE))</f>
        <v>:</v>
      </c>
      <c r="L48" s="544" t="str">
        <f>IF(VLOOKUP($E$48,[1]QUART!$A$2:$FA$315, 11, FALSE)="",":",VLOOKUP($E$48,[1]QUART!$A$2:$FA$315, 11, FALSE))</f>
        <v>:</v>
      </c>
      <c r="M48" s="544" t="str">
        <f>IF(VLOOKUP($E$48,[1]QUART!$A$2:$FA$315, 12, FALSE)="",":",VLOOKUP($E$48,[1]QUART!$A$2:$FA$315, 12, FALSE))</f>
        <v>:</v>
      </c>
      <c r="N48" s="544" t="str">
        <f>IF(VLOOKUP($E$48,[1]QUART!$A$2:$FA$315, 13, FALSE)="",":",VLOOKUP($E$48,[1]QUART!$A$2:$FA$315, 13, FALSE))</f>
        <v>:</v>
      </c>
      <c r="O48" s="544" t="str">
        <f>IF(VLOOKUP($E$48,[1]QUART!$A$2:$FA$315, 14, FALSE)="",":",VLOOKUP($E$48,[1]QUART!$A$2:$FA$315, 14, FALSE))</f>
        <v>:</v>
      </c>
      <c r="P48" s="544" t="str">
        <f>IF(VLOOKUP($E$48,[1]QUART!$A$2:$FA$315, 15, FALSE)="",":",VLOOKUP($E$48,[1]QUART!$A$2:$FA$315, 15, FALSE))</f>
        <v>:</v>
      </c>
      <c r="Q48" s="544" t="str">
        <f>IF(VLOOKUP($E$48,[1]QUART!$A$2:$FA$315, 16, FALSE)="",":",VLOOKUP($E$48,[1]QUART!$A$2:$FA$315, 16, FALSE))</f>
        <v>:</v>
      </c>
      <c r="R48" s="544" t="str">
        <f>IF(VLOOKUP($E$48,[1]QUART!$A$2:$FA$315, 17, FALSE)="",":",VLOOKUP($E$48,[1]QUART!$A$2:$FA$315, 17, FALSE))</f>
        <v>:</v>
      </c>
      <c r="S48" s="544" t="str">
        <f>IF(VLOOKUP($E$48,[1]QUART!$A$2:$FA$315, 18, FALSE)="",":",VLOOKUP($E$48,[1]QUART!$A$2:$FA$315, 18, FALSE))</f>
        <v>:</v>
      </c>
      <c r="T48" s="544" t="str">
        <f>IF(VLOOKUP($E$48,[1]QUART!$A$2:$FA$315, 19, FALSE)="",":",VLOOKUP($E$48,[1]QUART!$A$2:$FA$315, 19, FALSE))</f>
        <v>:</v>
      </c>
      <c r="U48" s="544" t="str">
        <f>IF(VLOOKUP($E$48,[1]QUART!$A$2:$FA$315, 20, FALSE)="",":",VLOOKUP($E$48,[1]QUART!$A$2:$FA$315, 20, FALSE))</f>
        <v>:</v>
      </c>
      <c r="V48" s="544" t="str">
        <f>IF(VLOOKUP($E$48,[1]QUART!$A$2:$FA$315, 21, FALSE)="",":",VLOOKUP($E$48,[1]QUART!$A$2:$FA$315, 21, FALSE))</f>
        <v>:</v>
      </c>
      <c r="W48" s="544" t="str">
        <f>IF(VLOOKUP($E$48,[1]QUART!$A$2:$FA$315, 22, FALSE)="",":",VLOOKUP($E$48,[1]QUART!$A$2:$FA$315, 22, FALSE))</f>
        <v>:</v>
      </c>
      <c r="X48" s="544" t="str">
        <f>IF(VLOOKUP($E$48,[1]QUART!$A$2:$FA$315, 23, FALSE)="",":",VLOOKUP($E$48,[1]QUART!$A$2:$FA$315, 23, FALSE))</f>
        <v>:</v>
      </c>
      <c r="Y48" s="544" t="str">
        <f>IF(VLOOKUP($E$48,[1]QUART!$A$2:$FA$315, 24, FALSE)="",":",VLOOKUP($E$48,[1]QUART!$A$2:$FA$315, 24, FALSE))</f>
        <v>:</v>
      </c>
      <c r="Z48" s="544" t="str">
        <f>IF(VLOOKUP($E$48,[1]QUART!$A$2:$FA$315, 25, FALSE)="",":",VLOOKUP($E$48,[1]QUART!$A$2:$FA$315, 25, FALSE))</f>
        <v>:</v>
      </c>
      <c r="AA48" s="544" t="str">
        <f>IF(VLOOKUP($E$48,[1]QUART!$A$2:$FA$315, 26, FALSE)="",":",VLOOKUP($E$48,[1]QUART!$A$2:$FA$315, 26, FALSE))</f>
        <v>:</v>
      </c>
      <c r="AB48" s="544" t="str">
        <f>IF(VLOOKUP($E$48,[1]QUART!$A$2:$FA$315, 27, FALSE)="",":",VLOOKUP($E$48,[1]QUART!$A$2:$FA$315, 27, FALSE))</f>
        <v>:</v>
      </c>
      <c r="AC48" s="544" t="str">
        <f>IF(VLOOKUP($E$48,[1]QUART!$A$2:$FA$315, 28, FALSE)="",":",VLOOKUP($E$48,[1]QUART!$A$2:$FA$315, 28, FALSE))</f>
        <v>:</v>
      </c>
      <c r="AD48" s="544" t="str">
        <f>IF(VLOOKUP($E$48,[1]QUART!$A$2:$FA$315, 29, FALSE)="",":",VLOOKUP($E$48,[1]QUART!$A$2:$FA$315, 29, FALSE))</f>
        <v>:</v>
      </c>
      <c r="AE48" s="544" t="str">
        <f>IF(VLOOKUP($E$48,[1]QUART!$A$2:$FA$315, 30, FALSE)="",":",VLOOKUP($E$48,[1]QUART!$A$2:$FA$315, 30, FALSE))</f>
        <v>:</v>
      </c>
      <c r="AF48" s="544" t="str">
        <f>IF(VLOOKUP($E$48,[1]QUART!$A$2:$FA$315, 31, FALSE)="",":",VLOOKUP($E$48,[1]QUART!$A$2:$FA$315, 31, FALSE))</f>
        <v>:</v>
      </c>
      <c r="AG48" s="544" t="str">
        <f>IF(VLOOKUP($E$48,[1]QUART!$A$2:$FA$315, 32, FALSE)="",":",VLOOKUP($E$48,[1]QUART!$A$2:$FA$315, 32, FALSE))</f>
        <v>:</v>
      </c>
      <c r="AH48" s="544" t="str">
        <f>IF(VLOOKUP($E$48,[1]QUART!$A$2:$FA$315, 33, FALSE)="",":",VLOOKUP($E$48,[1]QUART!$A$2:$FA$315, 33, FALSE))</f>
        <v>:</v>
      </c>
      <c r="AI48" s="544" t="str">
        <f>IF(VLOOKUP($E$48,[1]QUART!$A$2:$FA$315, 34, FALSE)="",":",VLOOKUP($E$48,[1]QUART!$A$2:$FA$315, 34, FALSE))</f>
        <v>:</v>
      </c>
      <c r="AJ48" s="544" t="str">
        <f>IF(VLOOKUP($E$48,[1]QUART!$A$2:$FA$315, 35, FALSE)="",":",VLOOKUP($E$48,[1]QUART!$A$2:$FA$315, 35, FALSE))</f>
        <v>:</v>
      </c>
      <c r="AK48" s="544" t="str">
        <f>IF(VLOOKUP($E$48,[1]QUART!$A$2:$FA$315, 36, FALSE)="",":",VLOOKUP($E$48,[1]QUART!$A$2:$FA$315, 36, FALSE))</f>
        <v>:</v>
      </c>
      <c r="AL48" s="544" t="str">
        <f>IF(VLOOKUP($E$48,[1]QUART!$A$2:$FA$315, 37, FALSE)="",":",VLOOKUP($E$48,[1]QUART!$A$2:$FA$315, 37, FALSE))</f>
        <v>:</v>
      </c>
      <c r="AM48" s="544" t="str">
        <f>IF(VLOOKUP($E$48,[1]QUART!$A$2:$FA$315, 38, FALSE)="",":",VLOOKUP($E$48,[1]QUART!$A$2:$FA$315, 38, FALSE))</f>
        <v>:</v>
      </c>
      <c r="AN48" s="544" t="str">
        <f>IF(VLOOKUP($E$48,[1]QUART!$A$2:$FA$315, 39, FALSE)="",":",VLOOKUP($E$48,[1]QUART!$A$2:$FA$315, 39, FALSE))</f>
        <v>:</v>
      </c>
      <c r="AO48" s="544" t="str">
        <f>IF(VLOOKUP($E$48,[1]QUART!$A$2:$FA$315, 40, FALSE)="",":",VLOOKUP($E$48,[1]QUART!$A$2:$FA$315, 40, FALSE))</f>
        <v>:</v>
      </c>
      <c r="AP48" s="544" t="str">
        <f>IF(VLOOKUP($E$48,[1]QUART!$A$2:$FA$315, 41, FALSE)="",":",VLOOKUP($E$48,[1]QUART!$A$2:$FA$315, 41, FALSE))</f>
        <v>:</v>
      </c>
      <c r="AQ48" s="544" t="str">
        <f>IF(VLOOKUP($E$48,[1]QUART!$A$2:$FA$315, 42, FALSE)="",":",VLOOKUP($E$48,[1]QUART!$A$2:$FA$315, 42, FALSE))</f>
        <v>:</v>
      </c>
      <c r="AR48" s="544" t="str">
        <f>IF(VLOOKUP($E$48,[1]QUART!$A$2:$FA$315, 43, FALSE)="",":",VLOOKUP($E$48,[1]QUART!$A$2:$FA$315, 43, FALSE))</f>
        <v>:</v>
      </c>
      <c r="AS48" s="544" t="str">
        <f>IF(VLOOKUP($E$48,[1]QUART!$A$2:$FA$315, 44, FALSE)="",":",VLOOKUP($E$48,[1]QUART!$A$2:$FA$315, 44, FALSE))</f>
        <v>:</v>
      </c>
      <c r="AT48" s="544" t="str">
        <f>IF(VLOOKUP($E$48,[1]QUART!$A$2:$FA$315, 45, FALSE)="",":",VLOOKUP($E$48,[1]QUART!$A$2:$FA$315, 45, FALSE))</f>
        <v>:</v>
      </c>
      <c r="AU48" s="544" t="str">
        <f>IF(VLOOKUP($E$48,[1]QUART!$A$2:$FA$315, 46, FALSE)="",":",VLOOKUP($E$48,[1]QUART!$A$2:$FA$315, 46, FALSE))</f>
        <v>:</v>
      </c>
      <c r="AV48" s="544" t="str">
        <f>IF(VLOOKUP($E$48,[1]QUART!$A$2:$FA$315, 47, FALSE)="",":",VLOOKUP($E$48,[1]QUART!$A$2:$FA$315, 47, FALSE))</f>
        <v>:</v>
      </c>
      <c r="AW48" s="544" t="str">
        <f>IF(VLOOKUP($E$48,[1]QUART!$A$2:$FA$315, 48, FALSE)="",":",VLOOKUP($E$48,[1]QUART!$A$2:$FA$315, 48, FALSE))</f>
        <v>:</v>
      </c>
      <c r="AX48" s="544" t="str">
        <f>IF(VLOOKUP($E$48,[1]QUART!$A$2:$FA$315, 49, FALSE)="",":",VLOOKUP($E$48,[1]QUART!$A$2:$FA$315, 49, FALSE))</f>
        <v>:</v>
      </c>
      <c r="AY48" s="544" t="str">
        <f>IF(VLOOKUP($E$48,[1]QUART!$A$2:$FA$315, 50, FALSE)="",":",VLOOKUP($E$48,[1]QUART!$A$2:$FA$315, 50, FALSE))</f>
        <v>:</v>
      </c>
      <c r="AZ48" s="544" t="str">
        <f>IF(VLOOKUP($E$48,[1]QUART!$A$2:$FA$315, 51, FALSE)="",":",VLOOKUP($E$48,[1]QUART!$A$2:$FA$315, 51, FALSE))</f>
        <v>:</v>
      </c>
      <c r="BA48" s="544" t="str">
        <f>IF(VLOOKUP($E$48,[1]QUART!$A$2:$FA$315, 52, FALSE)="",":",VLOOKUP($E$48,[1]QUART!$A$2:$FA$315, 52, FALSE))</f>
        <v>:</v>
      </c>
      <c r="BB48" s="544" t="str">
        <f>IF(VLOOKUP($E$48,[1]QUART!$A$2:$FA$315, 53, FALSE)="",":",VLOOKUP($E$48,[1]QUART!$A$2:$FA$315, 53, FALSE))</f>
        <v>:</v>
      </c>
      <c r="BC48" s="544" t="str">
        <f>IF(VLOOKUP($E$48,[1]QUART!$A$2:$FA$315, 54, FALSE)="",":",VLOOKUP($E$48,[1]QUART!$A$2:$FA$315, 54, FALSE))</f>
        <v>:</v>
      </c>
      <c r="BD48" s="544" t="str">
        <f>IF(VLOOKUP($E$48,[1]QUART!$A$2:$FA$315, 55, FALSE)="",":",VLOOKUP($E$48,[1]QUART!$A$2:$FA$315, 55, FALSE))</f>
        <v>:</v>
      </c>
      <c r="BE48" s="544" t="str">
        <f>IF(VLOOKUP($E$48,[1]QUART!$A$2:$FA$315, 56, FALSE)="",":",VLOOKUP($E$48,[1]QUART!$A$2:$FA$315, 56, FALSE))</f>
        <v>:</v>
      </c>
      <c r="BF48" s="544" t="str">
        <f>IF(VLOOKUP($E$48,[1]QUART!$A$2:$FA$315, 57, FALSE)="",":",VLOOKUP($E$48,[1]QUART!$A$2:$FA$315, 57, FALSE))</f>
        <v>:</v>
      </c>
      <c r="BG48" s="544" t="str">
        <f>IF(VLOOKUP($E$48,[1]QUART!$A$2:$FA$315, 58, FALSE)="",":",VLOOKUP($E$48,[1]QUART!$A$2:$FA$315, 58, FALSE))</f>
        <v>:</v>
      </c>
      <c r="BH48" s="544" t="str">
        <f>IF(VLOOKUP($E$48,[1]QUART!$A$2:$FA$315, 59, FALSE)="",":",VLOOKUP($E$48,[1]QUART!$A$2:$FA$315, 59, FALSE))</f>
        <v>:</v>
      </c>
      <c r="BI48" s="544" t="str">
        <f>IF(VLOOKUP($E$48,[1]QUART!$A$2:$FA$315, 60, FALSE)="",":",VLOOKUP($E$48,[1]QUART!$A$2:$FA$315, 60, FALSE))</f>
        <v>:</v>
      </c>
      <c r="BJ48" s="544" t="str">
        <f>IF(VLOOKUP($E$48,[1]QUART!$A$2:$FA$315, 61, FALSE)="",":",VLOOKUP($E$48,[1]QUART!$A$2:$FA$315, 61, FALSE))</f>
        <v>:</v>
      </c>
      <c r="BK48" s="544" t="str">
        <f>IF(VLOOKUP($E$48,[1]QUART!$A$2:$FA$315, 62, FALSE)="",":",VLOOKUP($E$48,[1]QUART!$A$2:$FA$315, 62, FALSE))</f>
        <v>:</v>
      </c>
      <c r="BL48" s="544" t="str">
        <f>IF(VLOOKUP($E$48,[1]QUART!$A$2:$FA$315, 63, FALSE)="",":",VLOOKUP($E$48,[1]QUART!$A$2:$FA$315, 63, FALSE))</f>
        <v>:</v>
      </c>
      <c r="BM48" s="544" t="str">
        <f>IF(VLOOKUP($E$48,[1]QUART!$A$2:$FA$315, 64, FALSE)="",":",VLOOKUP($E$48,[1]QUART!$A$2:$FA$315, 64, FALSE))</f>
        <v>:</v>
      </c>
      <c r="BN48" s="544" t="str">
        <f>IF(VLOOKUP($E$48,[1]QUART!$A$2:$FA$315, 65, FALSE)="",":",VLOOKUP($E$48,[1]QUART!$A$2:$FA$315, 65, FALSE))</f>
        <v>:</v>
      </c>
      <c r="BO48" s="544" t="str">
        <f>IF(VLOOKUP($E$48,[1]QUART!$A$2:$FA$315, 66, FALSE)="",":",VLOOKUP($E$48,[1]QUART!$A$2:$FA$315, 66, FALSE))</f>
        <v>:</v>
      </c>
      <c r="BP48" s="544" t="str">
        <f>IF(VLOOKUP($E$48,[1]QUART!$A$2:$FA$315, 67, FALSE)="",":",VLOOKUP($E$48,[1]QUART!$A$2:$FA$315, 67, FALSE))</f>
        <v>:</v>
      </c>
      <c r="BQ48" s="544" t="str">
        <f>IF(VLOOKUP($E$48,[1]QUART!$A$2:$FA$315, 68, FALSE)="",":",VLOOKUP($E$48,[1]QUART!$A$2:$FA$315, 68, FALSE))</f>
        <v>:</v>
      </c>
      <c r="BR48" s="544" t="str">
        <f>IF(VLOOKUP($E$48,[1]QUART!$A$2:$FA$315, 69, FALSE)="",":",VLOOKUP($E$48,[1]QUART!$A$2:$FA$315, 69, FALSE))</f>
        <v>:</v>
      </c>
      <c r="BS48" s="544" t="str">
        <f>IF(VLOOKUP($E$48,[1]QUART!$A$2:$FA$315, 70, FALSE)="",":",VLOOKUP($E$48,[1]QUART!$A$2:$FA$315, 70, FALSE))</f>
        <v>:</v>
      </c>
      <c r="BT48" s="544" t="str">
        <f>IF(VLOOKUP($E$48,[1]QUART!$A$2:$FA$315, 71, FALSE)="",":",VLOOKUP($E$48,[1]QUART!$A$2:$FA$315, 71, FALSE))</f>
        <v>:</v>
      </c>
      <c r="BU48" s="544" t="str">
        <f>IF(VLOOKUP($E$48,[1]QUART!$A$2:$FA$315, 72, FALSE)="",":",VLOOKUP($E$48,[1]QUART!$A$2:$FA$315, 72, FALSE))</f>
        <v>:</v>
      </c>
      <c r="BV48" s="544" t="str">
        <f>IF(VLOOKUP($E$48,[1]QUART!$A$2:$FA$315, 73, FALSE)="",":",VLOOKUP($E$48,[1]QUART!$A$2:$FA$315, 73, FALSE))</f>
        <v>:</v>
      </c>
      <c r="BW48" s="544" t="str">
        <f>IF(VLOOKUP($E$48,[1]QUART!$A$2:$FA$315, 74, FALSE)="",":",VLOOKUP($E$48,[1]QUART!$A$2:$FA$315, 74, FALSE))</f>
        <v>:</v>
      </c>
      <c r="BX48" s="544" t="str">
        <f>IF(VLOOKUP($E$48,[1]QUART!$A$2:$FA$315, 75, FALSE)="",":",VLOOKUP($E$48,[1]QUART!$A$2:$FA$315, 75, FALSE))</f>
        <v>:</v>
      </c>
      <c r="BY48" s="544" t="str">
        <f>IF(VLOOKUP($E$48,[1]QUART!$A$2:$FA$315, 76, FALSE)="",":",VLOOKUP($E$48,[1]QUART!$A$2:$FA$315, 76, FALSE))</f>
        <v>:</v>
      </c>
      <c r="BZ48" s="544" t="str">
        <f>IF(VLOOKUP($E$48,[1]QUART!$A$2:$FA$315, 77, FALSE)="",":",VLOOKUP($E$48,[1]QUART!$A$2:$FA$315, 77, FALSE))</f>
        <v>:</v>
      </c>
      <c r="CA48" s="544" t="str">
        <f>IF(VLOOKUP($E$48,[1]QUART!$A$2:$FA$315, 78, FALSE)="",":",VLOOKUP($E$48,[1]QUART!$A$2:$FA$315, 78, FALSE))</f>
        <v>:</v>
      </c>
      <c r="CB48" s="544" t="str">
        <f>IF(VLOOKUP($E$48,[1]QUART!$A$2:$FA$315, 79, FALSE)="",":",VLOOKUP($E$48,[1]QUART!$A$2:$FA$315, 79, FALSE))</f>
        <v>:</v>
      </c>
      <c r="CC48" s="544" t="str">
        <f>IF(VLOOKUP($E$48,[1]QUART!$A$2:$FA$315, 80, FALSE)="",":",VLOOKUP($E$48,[1]QUART!$A$2:$FA$315, 80, FALSE))</f>
        <v>:</v>
      </c>
      <c r="CD48" s="544" t="str">
        <f>IF(VLOOKUP($E$48,[1]QUART!$A$2:$FA$315, 81, FALSE)="",":",VLOOKUP($E$48,[1]QUART!$A$2:$FA$315, 81, FALSE))</f>
        <v>:</v>
      </c>
      <c r="CE48" s="544" t="str">
        <f>IF(VLOOKUP($E$48,[1]QUART!$A$2:$FA$315, 82, FALSE)="",":",VLOOKUP($E$48,[1]QUART!$A$2:$FA$315, 82, FALSE))</f>
        <v>:</v>
      </c>
      <c r="CF48" s="544" t="str">
        <f>IF(VLOOKUP($E$48,[1]QUART!$A$2:$FA$315, 83, FALSE)="",":",VLOOKUP($E$48,[1]QUART!$A$2:$FA$315, 83, FALSE))</f>
        <v>:</v>
      </c>
      <c r="CG48" s="544" t="str">
        <f>IF(VLOOKUP($E$48,[1]QUART!$A$2:$FA$315, 84, FALSE)="",":",VLOOKUP($E$48,[1]QUART!$A$2:$FA$315, 84, FALSE))</f>
        <v>:</v>
      </c>
      <c r="CH48" s="544" t="str">
        <f>IF(VLOOKUP($E$48,[1]QUART!$A$2:$FA$315, 85, FALSE)="",":",VLOOKUP($E$48,[1]QUART!$A$2:$FA$315, 85, FALSE))</f>
        <v>:</v>
      </c>
      <c r="CI48" s="544" t="str">
        <f>IF(VLOOKUP($E$48,[1]QUART!$A$2:$FA$315, 86, FALSE)="",":",VLOOKUP($E$48,[1]QUART!$A$2:$FA$315, 86, FALSE))</f>
        <v>:</v>
      </c>
      <c r="CJ48" s="544" t="str">
        <f>IF(VLOOKUP($E$48,[1]QUART!$A$2:$FA$315, 87, FALSE)="",":",VLOOKUP($E$48,[1]QUART!$A$2:$FA$315, 87, FALSE))</f>
        <v>:</v>
      </c>
      <c r="CK48" s="544" t="str">
        <f>IF(VLOOKUP($E$48,[1]QUART!$A$2:$FA$315, 88, FALSE)="",":",VLOOKUP($E$48,[1]QUART!$A$2:$FA$315, 88, FALSE))</f>
        <v>:</v>
      </c>
      <c r="CL48" s="544" t="str">
        <f>IF(VLOOKUP($E$48,[1]QUART!$A$2:$FA$315, 89, FALSE)="",":",VLOOKUP($E$48,[1]QUART!$A$2:$FA$315, 89, FALSE))</f>
        <v>:</v>
      </c>
      <c r="CM48" s="544" t="str">
        <f>IF(VLOOKUP($E$48,[1]QUART!$A$2:$FA$315, 90, FALSE)="",":",VLOOKUP($E$48,[1]QUART!$A$2:$FA$315, 90, FALSE))</f>
        <v>:</v>
      </c>
      <c r="CN48" s="544" t="str">
        <f>IF(VLOOKUP($E$48,[1]QUART!$A$2:$FA$315, 91, FALSE)="",":",VLOOKUP($E$48,[1]QUART!$A$2:$FA$315, 91, FALSE))</f>
        <v>:</v>
      </c>
      <c r="CO48" s="544" t="str">
        <f>IF(VLOOKUP($E$48,[1]QUART!$A$2:$FA$315, 92, FALSE)="",":",VLOOKUP($E$48,[1]QUART!$A$2:$FA$315, 92, FALSE))</f>
        <v>:</v>
      </c>
      <c r="CP48" s="544" t="str">
        <f>IF(VLOOKUP($E$48,[1]QUART!$A$2:$FA$315, 93, FALSE)="",":",VLOOKUP($E$48,[1]QUART!$A$2:$FA$315, 93, FALSE))</f>
        <v>:</v>
      </c>
      <c r="CQ48" s="544" t="str">
        <f>IF(VLOOKUP($E$48,[1]QUART!$A$2:$FA$315, 94, FALSE)="",":",VLOOKUP($E$48,[1]QUART!$A$2:$FA$315, 94, FALSE))</f>
        <v>:</v>
      </c>
      <c r="CR48" s="544" t="str">
        <f>IF(VLOOKUP($E$48,[1]QUART!$A$2:$FA$315, 95, FALSE)="",":",VLOOKUP($E$48,[1]QUART!$A$2:$FA$315, 95, FALSE))</f>
        <v>:</v>
      </c>
      <c r="CS48" s="544" t="str">
        <f>IF(VLOOKUP($E$48,[1]QUART!$A$2:$FA$315, 96, FALSE)="",":",VLOOKUP($E$48,[1]QUART!$A$2:$FA$315, 96, FALSE))</f>
        <v>:</v>
      </c>
      <c r="CT48" s="544" t="str">
        <f>IF(VLOOKUP($E$48,[1]QUART!$A$2:$FA$315, 97, FALSE)="",":",VLOOKUP($E$48,[1]QUART!$A$2:$FA$315, 97, FALSE))</f>
        <v>:</v>
      </c>
      <c r="CU48" s="544" t="str">
        <f>IF(VLOOKUP($E$48,[1]QUART!$A$2:$FA$315, 98, FALSE)="",":",VLOOKUP($E$48,[1]QUART!$A$2:$FA$315, 98, FALSE))</f>
        <v>:</v>
      </c>
      <c r="CV48" s="544" t="str">
        <f>IF(VLOOKUP($E$48,[1]QUART!$A$2:$FA$315, 99, FALSE)="",":",VLOOKUP($E$48,[1]QUART!$A$2:$FA$315, 99, FALSE))</f>
        <v>:</v>
      </c>
      <c r="CW48" s="544" t="str">
        <f>IF(VLOOKUP($E$48,[1]QUART!$A$2:$FA$315, 100, FALSE)="",":",VLOOKUP($E$48,[1]QUART!$A$2:$FA$315, 100, FALSE))</f>
        <v>:</v>
      </c>
      <c r="CX48" s="544" t="str">
        <f>IF(VLOOKUP($E$48,[1]QUART!$A$2:$FA$315, 101, FALSE)="",":",VLOOKUP($E$48,[1]QUART!$A$2:$FA$315, 101, FALSE))</f>
        <v>:</v>
      </c>
      <c r="CY48" s="544" t="str">
        <f>IF(VLOOKUP($E$48,[1]QUART!$A$2:$FA$315, 102, FALSE)="",":",VLOOKUP($E$48,[1]QUART!$A$2:$FA$315, 102, FALSE))</f>
        <v>:</v>
      </c>
      <c r="CZ48" s="544" t="str">
        <f>IF(VLOOKUP($E$48,[1]QUART!$A$2:$FA$315, 103, FALSE)="",":",VLOOKUP($E$48,[1]QUART!$A$2:$FA$315, 103, FALSE))</f>
        <v>:</v>
      </c>
      <c r="DA48" s="544" t="str">
        <f>IF(VLOOKUP($E$48,[1]QUART!$A$2:$FA$315, 104, FALSE)="",":",VLOOKUP($E$48,[1]QUART!$A$2:$FA$315, 104, FALSE))</f>
        <v>:</v>
      </c>
      <c r="DB48" s="544" t="str">
        <f>IF(VLOOKUP($E$48,[1]QUART!$A$2:$FA$315, 105, FALSE)="",":",VLOOKUP($E$48,[1]QUART!$A$2:$FA$315, 105, FALSE))</f>
        <v>:</v>
      </c>
      <c r="DC48" s="544" t="str">
        <f>IF(VLOOKUP($E$48,[1]QUART!$A$2:$FA$315, 106, FALSE)="",":",VLOOKUP($E$48,[1]QUART!$A$2:$FA$315, 106, FALSE))</f>
        <v>:</v>
      </c>
    </row>
    <row r="49" spans="1:107">
      <c r="A49" s="1954"/>
      <c r="B49" s="534"/>
      <c r="C49" s="535"/>
      <c r="D49" s="12" t="s">
        <v>1841</v>
      </c>
      <c r="E49" s="13">
        <v>115</v>
      </c>
      <c r="F49" s="14" t="str">
        <f>VLOOKUP($E$49,[1]QUART!$A$2:$FA$315, 3, FALSE)</f>
        <v xml:space="preserve">115  Imports of goods          </v>
      </c>
      <c r="G49" s="544" t="str">
        <f>IF(VLOOKUP($E$49,[1]QUART!$A$2:$FA$315, 6, FALSE)="",":",VLOOKUP($E$49,[1]QUART!$A$2:$FA$315, 6, FALSE))</f>
        <v>:</v>
      </c>
      <c r="H49" s="544" t="str">
        <f>IF(VLOOKUP($E$49,[1]QUART!$A$2:$FA$315, 7, FALSE)="",":",VLOOKUP($E$49,[1]QUART!$A$2:$FA$315, 7, FALSE))</f>
        <v>:</v>
      </c>
      <c r="I49" s="544" t="str">
        <f>IF(VLOOKUP($E$49,[1]QUART!$A$2:$FA$315, 8, FALSE)="",":",VLOOKUP($E$49,[1]QUART!$A$2:$FA$315, 8, FALSE))</f>
        <v>:</v>
      </c>
      <c r="J49" s="544" t="str">
        <f>IF(VLOOKUP($E$49,[1]QUART!$A$2:$FA$315, 9, FALSE)="",":",VLOOKUP($E$49,[1]QUART!$A$2:$FA$315, 9, FALSE))</f>
        <v>:</v>
      </c>
      <c r="K49" s="544" t="str">
        <f>IF(VLOOKUP($E$49,[1]QUART!$A$2:$FA$315, 10, FALSE)="",":",VLOOKUP($E$49,[1]QUART!$A$2:$FA$315, 10, FALSE))</f>
        <v>:</v>
      </c>
      <c r="L49" s="544" t="str">
        <f>IF(VLOOKUP($E$49,[1]QUART!$A$2:$FA$315, 11, FALSE)="",":",VLOOKUP($E$49,[1]QUART!$A$2:$FA$315, 11, FALSE))</f>
        <v>:</v>
      </c>
      <c r="M49" s="544" t="str">
        <f>IF(VLOOKUP($E$49,[1]QUART!$A$2:$FA$315, 12, FALSE)="",":",VLOOKUP($E$49,[1]QUART!$A$2:$FA$315, 12, FALSE))</f>
        <v>:</v>
      </c>
      <c r="N49" s="544" t="str">
        <f>IF(VLOOKUP($E$49,[1]QUART!$A$2:$FA$315, 13, FALSE)="",":",VLOOKUP($E$49,[1]QUART!$A$2:$FA$315, 13, FALSE))</f>
        <v>:</v>
      </c>
      <c r="O49" s="544" t="str">
        <f>IF(VLOOKUP($E$49,[1]QUART!$A$2:$FA$315, 14, FALSE)="",":",VLOOKUP($E$49,[1]QUART!$A$2:$FA$315, 14, FALSE))</f>
        <v>:</v>
      </c>
      <c r="P49" s="544" t="str">
        <f>IF(VLOOKUP($E$49,[1]QUART!$A$2:$FA$315, 15, FALSE)="",":",VLOOKUP($E$49,[1]QUART!$A$2:$FA$315, 15, FALSE))</f>
        <v>:</v>
      </c>
      <c r="Q49" s="544" t="str">
        <f>IF(VLOOKUP($E$49,[1]QUART!$A$2:$FA$315, 16, FALSE)="",":",VLOOKUP($E$49,[1]QUART!$A$2:$FA$315, 16, FALSE))</f>
        <v>:</v>
      </c>
      <c r="R49" s="544" t="str">
        <f>IF(VLOOKUP($E$49,[1]QUART!$A$2:$FA$315, 17, FALSE)="",":",VLOOKUP($E$49,[1]QUART!$A$2:$FA$315, 17, FALSE))</f>
        <v>:</v>
      </c>
      <c r="S49" s="544" t="str">
        <f>IF(VLOOKUP($E$49,[1]QUART!$A$2:$FA$315, 18, FALSE)="",":",VLOOKUP($E$49,[1]QUART!$A$2:$FA$315, 18, FALSE))</f>
        <v>:</v>
      </c>
      <c r="T49" s="544" t="str">
        <f>IF(VLOOKUP($E$49,[1]QUART!$A$2:$FA$315, 19, FALSE)="",":",VLOOKUP($E$49,[1]QUART!$A$2:$FA$315, 19, FALSE))</f>
        <v>:</v>
      </c>
      <c r="U49" s="544" t="str">
        <f>IF(VLOOKUP($E$49,[1]QUART!$A$2:$FA$315, 20, FALSE)="",":",VLOOKUP($E$49,[1]QUART!$A$2:$FA$315, 20, FALSE))</f>
        <v>:</v>
      </c>
      <c r="V49" s="544" t="str">
        <f>IF(VLOOKUP($E$49,[1]QUART!$A$2:$FA$315, 21, FALSE)="",":",VLOOKUP($E$49,[1]QUART!$A$2:$FA$315, 21, FALSE))</f>
        <v>:</v>
      </c>
      <c r="W49" s="544" t="str">
        <f>IF(VLOOKUP($E$49,[1]QUART!$A$2:$FA$315, 22, FALSE)="",":",VLOOKUP($E$49,[1]QUART!$A$2:$FA$315, 22, FALSE))</f>
        <v>:</v>
      </c>
      <c r="X49" s="544" t="str">
        <f>IF(VLOOKUP($E$49,[1]QUART!$A$2:$FA$315, 23, FALSE)="",":",VLOOKUP($E$49,[1]QUART!$A$2:$FA$315, 23, FALSE))</f>
        <v>:</v>
      </c>
      <c r="Y49" s="544" t="str">
        <f>IF(VLOOKUP($E$49,[1]QUART!$A$2:$FA$315, 24, FALSE)="",":",VLOOKUP($E$49,[1]QUART!$A$2:$FA$315, 24, FALSE))</f>
        <v>:</v>
      </c>
      <c r="Z49" s="544" t="str">
        <f>IF(VLOOKUP($E$49,[1]QUART!$A$2:$FA$315, 25, FALSE)="",":",VLOOKUP($E$49,[1]QUART!$A$2:$FA$315, 25, FALSE))</f>
        <v>:</v>
      </c>
      <c r="AA49" s="544" t="str">
        <f>IF(VLOOKUP($E$49,[1]QUART!$A$2:$FA$315, 26, FALSE)="",":",VLOOKUP($E$49,[1]QUART!$A$2:$FA$315, 26, FALSE))</f>
        <v>:</v>
      </c>
      <c r="AB49" s="544" t="str">
        <f>IF(VLOOKUP($E$49,[1]QUART!$A$2:$FA$315, 27, FALSE)="",":",VLOOKUP($E$49,[1]QUART!$A$2:$FA$315, 27, FALSE))</f>
        <v>:</v>
      </c>
      <c r="AC49" s="544" t="str">
        <f>IF(VLOOKUP($E$49,[1]QUART!$A$2:$FA$315, 28, FALSE)="",":",VLOOKUP($E$49,[1]QUART!$A$2:$FA$315, 28, FALSE))</f>
        <v>:</v>
      </c>
      <c r="AD49" s="544" t="str">
        <f>IF(VLOOKUP($E$49,[1]QUART!$A$2:$FA$315, 29, FALSE)="",":",VLOOKUP($E$49,[1]QUART!$A$2:$FA$315, 29, FALSE))</f>
        <v>:</v>
      </c>
      <c r="AE49" s="544" t="str">
        <f>IF(VLOOKUP($E$49,[1]QUART!$A$2:$FA$315, 30, FALSE)="",":",VLOOKUP($E$49,[1]QUART!$A$2:$FA$315, 30, FALSE))</f>
        <v>:</v>
      </c>
      <c r="AF49" s="544" t="str">
        <f>IF(VLOOKUP($E$49,[1]QUART!$A$2:$FA$315, 31, FALSE)="",":",VLOOKUP($E$49,[1]QUART!$A$2:$FA$315, 31, FALSE))</f>
        <v>:</v>
      </c>
      <c r="AG49" s="544" t="str">
        <f>IF(VLOOKUP($E$49,[1]QUART!$A$2:$FA$315, 32, FALSE)="",":",VLOOKUP($E$49,[1]QUART!$A$2:$FA$315, 32, FALSE))</f>
        <v>:</v>
      </c>
      <c r="AH49" s="544" t="str">
        <f>IF(VLOOKUP($E$49,[1]QUART!$A$2:$FA$315, 33, FALSE)="",":",VLOOKUP($E$49,[1]QUART!$A$2:$FA$315, 33, FALSE))</f>
        <v>:</v>
      </c>
      <c r="AI49" s="544" t="str">
        <f>IF(VLOOKUP($E$49,[1]QUART!$A$2:$FA$315, 34, FALSE)="",":",VLOOKUP($E$49,[1]QUART!$A$2:$FA$315, 34, FALSE))</f>
        <v>:</v>
      </c>
      <c r="AJ49" s="544" t="str">
        <f>IF(VLOOKUP($E$49,[1]QUART!$A$2:$FA$315, 35, FALSE)="",":",VLOOKUP($E$49,[1]QUART!$A$2:$FA$315, 35, FALSE))</f>
        <v>:</v>
      </c>
      <c r="AK49" s="544" t="str">
        <f>IF(VLOOKUP($E$49,[1]QUART!$A$2:$FA$315, 36, FALSE)="",":",VLOOKUP($E$49,[1]QUART!$A$2:$FA$315, 36, FALSE))</f>
        <v>:</v>
      </c>
      <c r="AL49" s="544" t="str">
        <f>IF(VLOOKUP($E$49,[1]QUART!$A$2:$FA$315, 37, FALSE)="",":",VLOOKUP($E$49,[1]QUART!$A$2:$FA$315, 37, FALSE))</f>
        <v>:</v>
      </c>
      <c r="AM49" s="544" t="str">
        <f>IF(VLOOKUP($E$49,[1]QUART!$A$2:$FA$315, 38, FALSE)="",":",VLOOKUP($E$49,[1]QUART!$A$2:$FA$315, 38, FALSE))</f>
        <v>:</v>
      </c>
      <c r="AN49" s="544" t="str">
        <f>IF(VLOOKUP($E$49,[1]QUART!$A$2:$FA$315, 39, FALSE)="",":",VLOOKUP($E$49,[1]QUART!$A$2:$FA$315, 39, FALSE))</f>
        <v>:</v>
      </c>
      <c r="AO49" s="544" t="str">
        <f>IF(VLOOKUP($E$49,[1]QUART!$A$2:$FA$315, 40, FALSE)="",":",VLOOKUP($E$49,[1]QUART!$A$2:$FA$315, 40, FALSE))</f>
        <v>:</v>
      </c>
      <c r="AP49" s="544" t="str">
        <f>IF(VLOOKUP($E$49,[1]QUART!$A$2:$FA$315, 41, FALSE)="",":",VLOOKUP($E$49,[1]QUART!$A$2:$FA$315, 41, FALSE))</f>
        <v>:</v>
      </c>
      <c r="AQ49" s="544" t="str">
        <f>IF(VLOOKUP($E$49,[1]QUART!$A$2:$FA$315, 42, FALSE)="",":",VLOOKUP($E$49,[1]QUART!$A$2:$FA$315, 42, FALSE))</f>
        <v>:</v>
      </c>
      <c r="AR49" s="544" t="str">
        <f>IF(VLOOKUP($E$49,[1]QUART!$A$2:$FA$315, 43, FALSE)="",":",VLOOKUP($E$49,[1]QUART!$A$2:$FA$315, 43, FALSE))</f>
        <v>:</v>
      </c>
      <c r="AS49" s="544" t="str">
        <f>IF(VLOOKUP($E$49,[1]QUART!$A$2:$FA$315, 44, FALSE)="",":",VLOOKUP($E$49,[1]QUART!$A$2:$FA$315, 44, FALSE))</f>
        <v>:</v>
      </c>
      <c r="AT49" s="544" t="str">
        <f>IF(VLOOKUP($E$49,[1]QUART!$A$2:$FA$315, 45, FALSE)="",":",VLOOKUP($E$49,[1]QUART!$A$2:$FA$315, 45, FALSE))</f>
        <v>:</v>
      </c>
      <c r="AU49" s="544" t="str">
        <f>IF(VLOOKUP($E$49,[1]QUART!$A$2:$FA$315, 46, FALSE)="",":",VLOOKUP($E$49,[1]QUART!$A$2:$FA$315, 46, FALSE))</f>
        <v>:</v>
      </c>
      <c r="AV49" s="544" t="str">
        <f>IF(VLOOKUP($E$49,[1]QUART!$A$2:$FA$315, 47, FALSE)="",":",VLOOKUP($E$49,[1]QUART!$A$2:$FA$315, 47, FALSE))</f>
        <v>:</v>
      </c>
      <c r="AW49" s="544" t="str">
        <f>IF(VLOOKUP($E$49,[1]QUART!$A$2:$FA$315, 48, FALSE)="",":",VLOOKUP($E$49,[1]QUART!$A$2:$FA$315, 48, FALSE))</f>
        <v>:</v>
      </c>
      <c r="AX49" s="544" t="str">
        <f>IF(VLOOKUP($E$49,[1]QUART!$A$2:$FA$315, 49, FALSE)="",":",VLOOKUP($E$49,[1]QUART!$A$2:$FA$315, 49, FALSE))</f>
        <v>:</v>
      </c>
      <c r="AY49" s="544" t="str">
        <f>IF(VLOOKUP($E$49,[1]QUART!$A$2:$FA$315, 50, FALSE)="",":",VLOOKUP($E$49,[1]QUART!$A$2:$FA$315, 50, FALSE))</f>
        <v>:</v>
      </c>
      <c r="AZ49" s="544" t="str">
        <f>IF(VLOOKUP($E$49,[1]QUART!$A$2:$FA$315, 51, FALSE)="",":",VLOOKUP($E$49,[1]QUART!$A$2:$FA$315, 51, FALSE))</f>
        <v>:</v>
      </c>
      <c r="BA49" s="544" t="str">
        <f>IF(VLOOKUP($E$49,[1]QUART!$A$2:$FA$315, 52, FALSE)="",":",VLOOKUP($E$49,[1]QUART!$A$2:$FA$315, 52, FALSE))</f>
        <v>:</v>
      </c>
      <c r="BB49" s="544" t="str">
        <f>IF(VLOOKUP($E$49,[1]QUART!$A$2:$FA$315, 53, FALSE)="",":",VLOOKUP($E$49,[1]QUART!$A$2:$FA$315, 53, FALSE))</f>
        <v>:</v>
      </c>
      <c r="BC49" s="544" t="str">
        <f>IF(VLOOKUP($E$49,[1]QUART!$A$2:$FA$315, 54, FALSE)="",":",VLOOKUP($E$49,[1]QUART!$A$2:$FA$315, 54, FALSE))</f>
        <v>:</v>
      </c>
      <c r="BD49" s="544" t="str">
        <f>IF(VLOOKUP($E$49,[1]QUART!$A$2:$FA$315, 55, FALSE)="",":",VLOOKUP($E$49,[1]QUART!$A$2:$FA$315, 55, FALSE))</f>
        <v>:</v>
      </c>
      <c r="BE49" s="544" t="str">
        <f>IF(VLOOKUP($E$49,[1]QUART!$A$2:$FA$315, 56, FALSE)="",":",VLOOKUP($E$49,[1]QUART!$A$2:$FA$315, 56, FALSE))</f>
        <v>:</v>
      </c>
      <c r="BF49" s="544" t="str">
        <f>IF(VLOOKUP($E$49,[1]QUART!$A$2:$FA$315, 57, FALSE)="",":",VLOOKUP($E$49,[1]QUART!$A$2:$FA$315, 57, FALSE))</f>
        <v>:</v>
      </c>
      <c r="BG49" s="544" t="str">
        <f>IF(VLOOKUP($E$49,[1]QUART!$A$2:$FA$315, 58, FALSE)="",":",VLOOKUP($E$49,[1]QUART!$A$2:$FA$315, 58, FALSE))</f>
        <v>:</v>
      </c>
      <c r="BH49" s="544" t="str">
        <f>IF(VLOOKUP($E$49,[1]QUART!$A$2:$FA$315, 59, FALSE)="",":",VLOOKUP($E$49,[1]QUART!$A$2:$FA$315, 59, FALSE))</f>
        <v>:</v>
      </c>
      <c r="BI49" s="544" t="str">
        <f>IF(VLOOKUP($E$49,[1]QUART!$A$2:$FA$315, 60, FALSE)="",":",VLOOKUP($E$49,[1]QUART!$A$2:$FA$315, 60, FALSE))</f>
        <v>:</v>
      </c>
      <c r="BJ49" s="544" t="str">
        <f>IF(VLOOKUP($E$49,[1]QUART!$A$2:$FA$315, 61, FALSE)="",":",VLOOKUP($E$49,[1]QUART!$A$2:$FA$315, 61, FALSE))</f>
        <v>:</v>
      </c>
      <c r="BK49" s="544" t="str">
        <f>IF(VLOOKUP($E$49,[1]QUART!$A$2:$FA$315, 62, FALSE)="",":",VLOOKUP($E$49,[1]QUART!$A$2:$FA$315, 62, FALSE))</f>
        <v>:</v>
      </c>
      <c r="BL49" s="544" t="str">
        <f>IF(VLOOKUP($E$49,[1]QUART!$A$2:$FA$315, 63, FALSE)="",":",VLOOKUP($E$49,[1]QUART!$A$2:$FA$315, 63, FALSE))</f>
        <v>:</v>
      </c>
      <c r="BM49" s="544" t="str">
        <f>IF(VLOOKUP($E$49,[1]QUART!$A$2:$FA$315, 64, FALSE)="",":",VLOOKUP($E$49,[1]QUART!$A$2:$FA$315, 64, FALSE))</f>
        <v>:</v>
      </c>
      <c r="BN49" s="544" t="str">
        <f>IF(VLOOKUP($E$49,[1]QUART!$A$2:$FA$315, 65, FALSE)="",":",VLOOKUP($E$49,[1]QUART!$A$2:$FA$315, 65, FALSE))</f>
        <v>:</v>
      </c>
      <c r="BO49" s="544" t="str">
        <f>IF(VLOOKUP($E$49,[1]QUART!$A$2:$FA$315, 66, FALSE)="",":",VLOOKUP($E$49,[1]QUART!$A$2:$FA$315, 66, FALSE))</f>
        <v>:</v>
      </c>
      <c r="BP49" s="544" t="str">
        <f>IF(VLOOKUP($E$49,[1]QUART!$A$2:$FA$315, 67, FALSE)="",":",VLOOKUP($E$49,[1]QUART!$A$2:$FA$315, 67, FALSE))</f>
        <v>:</v>
      </c>
      <c r="BQ49" s="544" t="str">
        <f>IF(VLOOKUP($E$49,[1]QUART!$A$2:$FA$315, 68, FALSE)="",":",VLOOKUP($E$49,[1]QUART!$A$2:$FA$315, 68, FALSE))</f>
        <v>:</v>
      </c>
      <c r="BR49" s="544" t="str">
        <f>IF(VLOOKUP($E$49,[1]QUART!$A$2:$FA$315, 69, FALSE)="",":",VLOOKUP($E$49,[1]QUART!$A$2:$FA$315, 69, FALSE))</f>
        <v>:</v>
      </c>
      <c r="BS49" s="544" t="str">
        <f>IF(VLOOKUP($E$49,[1]QUART!$A$2:$FA$315, 70, FALSE)="",":",VLOOKUP($E$49,[1]QUART!$A$2:$FA$315, 70, FALSE))</f>
        <v>:</v>
      </c>
      <c r="BT49" s="544" t="str">
        <f>IF(VLOOKUP($E$49,[1]QUART!$A$2:$FA$315, 71, FALSE)="",":",VLOOKUP($E$49,[1]QUART!$A$2:$FA$315, 71, FALSE))</f>
        <v>:</v>
      </c>
      <c r="BU49" s="544" t="str">
        <f>IF(VLOOKUP($E$49,[1]QUART!$A$2:$FA$315, 72, FALSE)="",":",VLOOKUP($E$49,[1]QUART!$A$2:$FA$315, 72, FALSE))</f>
        <v>:</v>
      </c>
      <c r="BV49" s="544" t="str">
        <f>IF(VLOOKUP($E$49,[1]QUART!$A$2:$FA$315, 73, FALSE)="",":",VLOOKUP($E$49,[1]QUART!$A$2:$FA$315, 73, FALSE))</f>
        <v>:</v>
      </c>
      <c r="BW49" s="544" t="str">
        <f>IF(VLOOKUP($E$49,[1]QUART!$A$2:$FA$315, 74, FALSE)="",":",VLOOKUP($E$49,[1]QUART!$A$2:$FA$315, 74, FALSE))</f>
        <v>:</v>
      </c>
      <c r="BX49" s="544" t="str">
        <f>IF(VLOOKUP($E$49,[1]QUART!$A$2:$FA$315, 75, FALSE)="",":",VLOOKUP($E$49,[1]QUART!$A$2:$FA$315, 75, FALSE))</f>
        <v>:</v>
      </c>
      <c r="BY49" s="544" t="str">
        <f>IF(VLOOKUP($E$49,[1]QUART!$A$2:$FA$315, 76, FALSE)="",":",VLOOKUP($E$49,[1]QUART!$A$2:$FA$315, 76, FALSE))</f>
        <v>:</v>
      </c>
      <c r="BZ49" s="544" t="str">
        <f>IF(VLOOKUP($E$49,[1]QUART!$A$2:$FA$315, 77, FALSE)="",":",VLOOKUP($E$49,[1]QUART!$A$2:$FA$315, 77, FALSE))</f>
        <v>:</v>
      </c>
      <c r="CA49" s="544" t="str">
        <f>IF(VLOOKUP($E$49,[1]QUART!$A$2:$FA$315, 78, FALSE)="",":",VLOOKUP($E$49,[1]QUART!$A$2:$FA$315, 78, FALSE))</f>
        <v>:</v>
      </c>
      <c r="CB49" s="544" t="str">
        <f>IF(VLOOKUP($E$49,[1]QUART!$A$2:$FA$315, 79, FALSE)="",":",VLOOKUP($E$49,[1]QUART!$A$2:$FA$315, 79, FALSE))</f>
        <v>:</v>
      </c>
      <c r="CC49" s="544" t="str">
        <f>IF(VLOOKUP($E$49,[1]QUART!$A$2:$FA$315, 80, FALSE)="",":",VLOOKUP($E$49,[1]QUART!$A$2:$FA$315, 80, FALSE))</f>
        <v>:</v>
      </c>
      <c r="CD49" s="544" t="str">
        <f>IF(VLOOKUP($E$49,[1]QUART!$A$2:$FA$315, 81, FALSE)="",":",VLOOKUP($E$49,[1]QUART!$A$2:$FA$315, 81, FALSE))</f>
        <v>:</v>
      </c>
      <c r="CE49" s="544" t="str">
        <f>IF(VLOOKUP($E$49,[1]QUART!$A$2:$FA$315, 82, FALSE)="",":",VLOOKUP($E$49,[1]QUART!$A$2:$FA$315, 82, FALSE))</f>
        <v>:</v>
      </c>
      <c r="CF49" s="544" t="str">
        <f>IF(VLOOKUP($E$49,[1]QUART!$A$2:$FA$315, 83, FALSE)="",":",VLOOKUP($E$49,[1]QUART!$A$2:$FA$315, 83, FALSE))</f>
        <v>:</v>
      </c>
      <c r="CG49" s="544" t="str">
        <f>IF(VLOOKUP($E$49,[1]QUART!$A$2:$FA$315, 84, FALSE)="",":",VLOOKUP($E$49,[1]QUART!$A$2:$FA$315, 84, FALSE))</f>
        <v>:</v>
      </c>
      <c r="CH49" s="544" t="str">
        <f>IF(VLOOKUP($E$49,[1]QUART!$A$2:$FA$315, 85, FALSE)="",":",VLOOKUP($E$49,[1]QUART!$A$2:$FA$315, 85, FALSE))</f>
        <v>:</v>
      </c>
      <c r="CI49" s="544" t="str">
        <f>IF(VLOOKUP($E$49,[1]QUART!$A$2:$FA$315, 86, FALSE)="",":",VLOOKUP($E$49,[1]QUART!$A$2:$FA$315, 86, FALSE))</f>
        <v>:</v>
      </c>
      <c r="CJ49" s="544" t="str">
        <f>IF(VLOOKUP($E$49,[1]QUART!$A$2:$FA$315, 87, FALSE)="",":",VLOOKUP($E$49,[1]QUART!$A$2:$FA$315, 87, FALSE))</f>
        <v>:</v>
      </c>
      <c r="CK49" s="544" t="str">
        <f>IF(VLOOKUP($E$49,[1]QUART!$A$2:$FA$315, 88, FALSE)="",":",VLOOKUP($E$49,[1]QUART!$A$2:$FA$315, 88, FALSE))</f>
        <v>:</v>
      </c>
      <c r="CL49" s="544" t="str">
        <f>IF(VLOOKUP($E$49,[1]QUART!$A$2:$FA$315, 89, FALSE)="",":",VLOOKUP($E$49,[1]QUART!$A$2:$FA$315, 89, FALSE))</f>
        <v>:</v>
      </c>
      <c r="CM49" s="544" t="str">
        <f>IF(VLOOKUP($E$49,[1]QUART!$A$2:$FA$315, 90, FALSE)="",":",VLOOKUP($E$49,[1]QUART!$A$2:$FA$315, 90, FALSE))</f>
        <v>:</v>
      </c>
      <c r="CN49" s="544" t="str">
        <f>IF(VLOOKUP($E$49,[1]QUART!$A$2:$FA$315, 91, FALSE)="",":",VLOOKUP($E$49,[1]QUART!$A$2:$FA$315, 91, FALSE))</f>
        <v>:</v>
      </c>
      <c r="CO49" s="544" t="str">
        <f>IF(VLOOKUP($E$49,[1]QUART!$A$2:$FA$315, 92, FALSE)="",":",VLOOKUP($E$49,[1]QUART!$A$2:$FA$315, 92, FALSE))</f>
        <v>:</v>
      </c>
      <c r="CP49" s="544" t="str">
        <f>IF(VLOOKUP($E$49,[1]QUART!$A$2:$FA$315, 93, FALSE)="",":",VLOOKUP($E$49,[1]QUART!$A$2:$FA$315, 93, FALSE))</f>
        <v>:</v>
      </c>
      <c r="CQ49" s="544" t="str">
        <f>IF(VLOOKUP($E$49,[1]QUART!$A$2:$FA$315, 94, FALSE)="",":",VLOOKUP($E$49,[1]QUART!$A$2:$FA$315, 94, FALSE))</f>
        <v>:</v>
      </c>
      <c r="CR49" s="544" t="str">
        <f>IF(VLOOKUP($E$49,[1]QUART!$A$2:$FA$315, 95, FALSE)="",":",VLOOKUP($E$49,[1]QUART!$A$2:$FA$315, 95, FALSE))</f>
        <v>:</v>
      </c>
      <c r="CS49" s="544" t="str">
        <f>IF(VLOOKUP($E$49,[1]QUART!$A$2:$FA$315, 96, FALSE)="",":",VLOOKUP($E$49,[1]QUART!$A$2:$FA$315, 96, FALSE))</f>
        <v>:</v>
      </c>
      <c r="CT49" s="544" t="str">
        <f>IF(VLOOKUP($E$49,[1]QUART!$A$2:$FA$315, 97, FALSE)="",":",VLOOKUP($E$49,[1]QUART!$A$2:$FA$315, 97, FALSE))</f>
        <v>:</v>
      </c>
      <c r="CU49" s="544" t="str">
        <f>IF(VLOOKUP($E$49,[1]QUART!$A$2:$FA$315, 98, FALSE)="",":",VLOOKUP($E$49,[1]QUART!$A$2:$FA$315, 98, FALSE))</f>
        <v>:</v>
      </c>
      <c r="CV49" s="544" t="str">
        <f>IF(VLOOKUP($E$49,[1]QUART!$A$2:$FA$315, 99, FALSE)="",":",VLOOKUP($E$49,[1]QUART!$A$2:$FA$315, 99, FALSE))</f>
        <v>:</v>
      </c>
      <c r="CW49" s="544" t="str">
        <f>IF(VLOOKUP($E$49,[1]QUART!$A$2:$FA$315, 100, FALSE)="",":",VLOOKUP($E$49,[1]QUART!$A$2:$FA$315, 100, FALSE))</f>
        <v>:</v>
      </c>
      <c r="CX49" s="544" t="str">
        <f>IF(VLOOKUP($E$49,[1]QUART!$A$2:$FA$315, 101, FALSE)="",":",VLOOKUP($E$49,[1]QUART!$A$2:$FA$315, 101, FALSE))</f>
        <v>:</v>
      </c>
      <c r="CY49" s="544" t="str">
        <f>IF(VLOOKUP($E$49,[1]QUART!$A$2:$FA$315, 102, FALSE)="",":",VLOOKUP($E$49,[1]QUART!$A$2:$FA$315, 102, FALSE))</f>
        <v>:</v>
      </c>
      <c r="CZ49" s="544" t="str">
        <f>IF(VLOOKUP($E$49,[1]QUART!$A$2:$FA$315, 103, FALSE)="",":",VLOOKUP($E$49,[1]QUART!$A$2:$FA$315, 103, FALSE))</f>
        <v>:</v>
      </c>
      <c r="DA49" s="544" t="str">
        <f>IF(VLOOKUP($E$49,[1]QUART!$A$2:$FA$315, 104, FALSE)="",":",VLOOKUP($E$49,[1]QUART!$A$2:$FA$315, 104, FALSE))</f>
        <v>:</v>
      </c>
      <c r="DB49" s="544" t="str">
        <f>IF(VLOOKUP($E$49,[1]QUART!$A$2:$FA$315, 105, FALSE)="",":",VLOOKUP($E$49,[1]QUART!$A$2:$FA$315, 105, FALSE))</f>
        <v>:</v>
      </c>
      <c r="DC49" s="544" t="str">
        <f>IF(VLOOKUP($E$49,[1]QUART!$A$2:$FA$315, 106, FALSE)="",":",VLOOKUP($E$49,[1]QUART!$A$2:$FA$315, 106, FALSE))</f>
        <v>:</v>
      </c>
    </row>
    <row r="50" spans="1:107">
      <c r="A50" s="1954"/>
      <c r="B50" s="534"/>
      <c r="C50" s="535"/>
      <c r="D50" s="12" t="s">
        <v>1841</v>
      </c>
      <c r="E50" s="13">
        <v>116</v>
      </c>
      <c r="F50" s="14" t="str">
        <f>VLOOKUP($E$50,[1]QUART!$A$2:$FA$315, 3, FALSE)</f>
        <v xml:space="preserve">116  Imports of services                                                   </v>
      </c>
      <c r="G50" s="544" t="str">
        <f>IF(VLOOKUP($E$50,[1]QUART!$A$2:$FA$315, 6, FALSE)="",":",VLOOKUP($E$50,[1]QUART!$A$2:$FA$315, 6, FALSE))</f>
        <v>:</v>
      </c>
      <c r="H50" s="544" t="str">
        <f>IF(VLOOKUP($E$50,[1]QUART!$A$2:$FA$315, 7, FALSE)="",":",VLOOKUP($E$50,[1]QUART!$A$2:$FA$315, 7, FALSE))</f>
        <v>:</v>
      </c>
      <c r="I50" s="544" t="str">
        <f>IF(VLOOKUP($E$50,[1]QUART!$A$2:$FA$315, 8, FALSE)="",":",VLOOKUP($E$50,[1]QUART!$A$2:$FA$315, 8, FALSE))</f>
        <v>:</v>
      </c>
      <c r="J50" s="544" t="str">
        <f>IF(VLOOKUP($E$50,[1]QUART!$A$2:$FA$315, 9, FALSE)="",":",VLOOKUP($E$50,[1]QUART!$A$2:$FA$315, 9, FALSE))</f>
        <v>:</v>
      </c>
      <c r="K50" s="544" t="str">
        <f>IF(VLOOKUP($E$50,[1]QUART!$A$2:$FA$315, 10, FALSE)="",":",VLOOKUP($E$50,[1]QUART!$A$2:$FA$315, 10, FALSE))</f>
        <v>:</v>
      </c>
      <c r="L50" s="544" t="str">
        <f>IF(VLOOKUP($E$50,[1]QUART!$A$2:$FA$315, 11, FALSE)="",":",VLOOKUP($E$50,[1]QUART!$A$2:$FA$315, 11, FALSE))</f>
        <v>:</v>
      </c>
      <c r="M50" s="544" t="str">
        <f>IF(VLOOKUP($E$50,[1]QUART!$A$2:$FA$315, 12, FALSE)="",":",VLOOKUP($E$50,[1]QUART!$A$2:$FA$315, 12, FALSE))</f>
        <v>:</v>
      </c>
      <c r="N50" s="544" t="str">
        <f>IF(VLOOKUP($E$50,[1]QUART!$A$2:$FA$315, 13, FALSE)="",":",VLOOKUP($E$50,[1]QUART!$A$2:$FA$315, 13, FALSE))</f>
        <v>:</v>
      </c>
      <c r="O50" s="544" t="str">
        <f>IF(VLOOKUP($E$50,[1]QUART!$A$2:$FA$315, 14, FALSE)="",":",VLOOKUP($E$50,[1]QUART!$A$2:$FA$315, 14, FALSE))</f>
        <v>:</v>
      </c>
      <c r="P50" s="544" t="str">
        <f>IF(VLOOKUP($E$50,[1]QUART!$A$2:$FA$315, 15, FALSE)="",":",VLOOKUP($E$50,[1]QUART!$A$2:$FA$315, 15, FALSE))</f>
        <v>:</v>
      </c>
      <c r="Q50" s="544" t="str">
        <f>IF(VLOOKUP($E$50,[1]QUART!$A$2:$FA$315, 16, FALSE)="",":",VLOOKUP($E$50,[1]QUART!$A$2:$FA$315, 16, FALSE))</f>
        <v>:</v>
      </c>
      <c r="R50" s="544" t="str">
        <f>IF(VLOOKUP($E$50,[1]QUART!$A$2:$FA$315, 17, FALSE)="",":",VLOOKUP($E$50,[1]QUART!$A$2:$FA$315, 17, FALSE))</f>
        <v>:</v>
      </c>
      <c r="S50" s="544" t="str">
        <f>IF(VLOOKUP($E$50,[1]QUART!$A$2:$FA$315, 18, FALSE)="",":",VLOOKUP($E$50,[1]QUART!$A$2:$FA$315, 18, FALSE))</f>
        <v>:</v>
      </c>
      <c r="T50" s="544" t="str">
        <f>IF(VLOOKUP($E$50,[1]QUART!$A$2:$FA$315, 19, FALSE)="",":",VLOOKUP($E$50,[1]QUART!$A$2:$FA$315, 19, FALSE))</f>
        <v>:</v>
      </c>
      <c r="U50" s="544" t="str">
        <f>IF(VLOOKUP($E$50,[1]QUART!$A$2:$FA$315, 20, FALSE)="",":",VLOOKUP($E$50,[1]QUART!$A$2:$FA$315, 20, FALSE))</f>
        <v>:</v>
      </c>
      <c r="V50" s="544" t="str">
        <f>IF(VLOOKUP($E$50,[1]QUART!$A$2:$FA$315, 21, FALSE)="",":",VLOOKUP($E$50,[1]QUART!$A$2:$FA$315, 21, FALSE))</f>
        <v>:</v>
      </c>
      <c r="W50" s="544" t="str">
        <f>IF(VLOOKUP($E$50,[1]QUART!$A$2:$FA$315, 22, FALSE)="",":",VLOOKUP($E$50,[1]QUART!$A$2:$FA$315, 22, FALSE))</f>
        <v>:</v>
      </c>
      <c r="X50" s="544" t="str">
        <f>IF(VLOOKUP($E$50,[1]QUART!$A$2:$FA$315, 23, FALSE)="",":",VLOOKUP($E$50,[1]QUART!$A$2:$FA$315, 23, FALSE))</f>
        <v>:</v>
      </c>
      <c r="Y50" s="544" t="str">
        <f>IF(VLOOKUP($E$50,[1]QUART!$A$2:$FA$315, 24, FALSE)="",":",VLOOKUP($E$50,[1]QUART!$A$2:$FA$315, 24, FALSE))</f>
        <v>:</v>
      </c>
      <c r="Z50" s="544" t="str">
        <f>IF(VLOOKUP($E$50,[1]QUART!$A$2:$FA$315, 25, FALSE)="",":",VLOOKUP($E$50,[1]QUART!$A$2:$FA$315, 25, FALSE))</f>
        <v>:</v>
      </c>
      <c r="AA50" s="544" t="str">
        <f>IF(VLOOKUP($E$50,[1]QUART!$A$2:$FA$315, 26, FALSE)="",":",VLOOKUP($E$50,[1]QUART!$A$2:$FA$315, 26, FALSE))</f>
        <v>:</v>
      </c>
      <c r="AB50" s="544" t="str">
        <f>IF(VLOOKUP($E$50,[1]QUART!$A$2:$FA$315, 27, FALSE)="",":",VLOOKUP($E$50,[1]QUART!$A$2:$FA$315, 27, FALSE))</f>
        <v>:</v>
      </c>
      <c r="AC50" s="544" t="str">
        <f>IF(VLOOKUP($E$50,[1]QUART!$A$2:$FA$315, 28, FALSE)="",":",VLOOKUP($E$50,[1]QUART!$A$2:$FA$315, 28, FALSE))</f>
        <v>:</v>
      </c>
      <c r="AD50" s="544" t="str">
        <f>IF(VLOOKUP($E$50,[1]QUART!$A$2:$FA$315, 29, FALSE)="",":",VLOOKUP($E$50,[1]QUART!$A$2:$FA$315, 29, FALSE))</f>
        <v>:</v>
      </c>
      <c r="AE50" s="544" t="str">
        <f>IF(VLOOKUP($E$50,[1]QUART!$A$2:$FA$315, 30, FALSE)="",":",VLOOKUP($E$50,[1]QUART!$A$2:$FA$315, 30, FALSE))</f>
        <v>:</v>
      </c>
      <c r="AF50" s="544" t="str">
        <f>IF(VLOOKUP($E$50,[1]QUART!$A$2:$FA$315, 31, FALSE)="",":",VLOOKUP($E$50,[1]QUART!$A$2:$FA$315, 31, FALSE))</f>
        <v>:</v>
      </c>
      <c r="AG50" s="544" t="str">
        <f>IF(VLOOKUP($E$50,[1]QUART!$A$2:$FA$315, 32, FALSE)="",":",VLOOKUP($E$50,[1]QUART!$A$2:$FA$315, 32, FALSE))</f>
        <v>:</v>
      </c>
      <c r="AH50" s="544" t="str">
        <f>IF(VLOOKUP($E$50,[1]QUART!$A$2:$FA$315, 33, FALSE)="",":",VLOOKUP($E$50,[1]QUART!$A$2:$FA$315, 33, FALSE))</f>
        <v>:</v>
      </c>
      <c r="AI50" s="544" t="str">
        <f>IF(VLOOKUP($E$50,[1]QUART!$A$2:$FA$315, 34, FALSE)="",":",VLOOKUP($E$50,[1]QUART!$A$2:$FA$315, 34, FALSE))</f>
        <v>:</v>
      </c>
      <c r="AJ50" s="544" t="str">
        <f>IF(VLOOKUP($E$50,[1]QUART!$A$2:$FA$315, 35, FALSE)="",":",VLOOKUP($E$50,[1]QUART!$A$2:$FA$315, 35, FALSE))</f>
        <v>:</v>
      </c>
      <c r="AK50" s="544" t="str">
        <f>IF(VLOOKUP($E$50,[1]QUART!$A$2:$FA$315, 36, FALSE)="",":",VLOOKUP($E$50,[1]QUART!$A$2:$FA$315, 36, FALSE))</f>
        <v>:</v>
      </c>
      <c r="AL50" s="544" t="str">
        <f>IF(VLOOKUP($E$50,[1]QUART!$A$2:$FA$315, 37, FALSE)="",":",VLOOKUP($E$50,[1]QUART!$A$2:$FA$315, 37, FALSE))</f>
        <v>:</v>
      </c>
      <c r="AM50" s="544" t="str">
        <f>IF(VLOOKUP($E$50,[1]QUART!$A$2:$FA$315, 38, FALSE)="",":",VLOOKUP($E$50,[1]QUART!$A$2:$FA$315, 38, FALSE))</f>
        <v>:</v>
      </c>
      <c r="AN50" s="544" t="str">
        <f>IF(VLOOKUP($E$50,[1]QUART!$A$2:$FA$315, 39, FALSE)="",":",VLOOKUP($E$50,[1]QUART!$A$2:$FA$315, 39, FALSE))</f>
        <v>:</v>
      </c>
      <c r="AO50" s="544" t="str">
        <f>IF(VLOOKUP($E$50,[1]QUART!$A$2:$FA$315, 40, FALSE)="",":",VLOOKUP($E$50,[1]QUART!$A$2:$FA$315, 40, FALSE))</f>
        <v>:</v>
      </c>
      <c r="AP50" s="544" t="str">
        <f>IF(VLOOKUP($E$50,[1]QUART!$A$2:$FA$315, 41, FALSE)="",":",VLOOKUP($E$50,[1]QUART!$A$2:$FA$315, 41, FALSE))</f>
        <v>:</v>
      </c>
      <c r="AQ50" s="544" t="str">
        <f>IF(VLOOKUP($E$50,[1]QUART!$A$2:$FA$315, 42, FALSE)="",":",VLOOKUP($E$50,[1]QUART!$A$2:$FA$315, 42, FALSE))</f>
        <v>:</v>
      </c>
      <c r="AR50" s="544" t="str">
        <f>IF(VLOOKUP($E$50,[1]QUART!$A$2:$FA$315, 43, FALSE)="",":",VLOOKUP($E$50,[1]QUART!$A$2:$FA$315, 43, FALSE))</f>
        <v>:</v>
      </c>
      <c r="AS50" s="544" t="str">
        <f>IF(VLOOKUP($E$50,[1]QUART!$A$2:$FA$315, 44, FALSE)="",":",VLOOKUP($E$50,[1]QUART!$A$2:$FA$315, 44, FALSE))</f>
        <v>:</v>
      </c>
      <c r="AT50" s="544" t="str">
        <f>IF(VLOOKUP($E$50,[1]QUART!$A$2:$FA$315, 45, FALSE)="",":",VLOOKUP($E$50,[1]QUART!$A$2:$FA$315, 45, FALSE))</f>
        <v>:</v>
      </c>
      <c r="AU50" s="544" t="str">
        <f>IF(VLOOKUP($E$50,[1]QUART!$A$2:$FA$315, 46, FALSE)="",":",VLOOKUP($E$50,[1]QUART!$A$2:$FA$315, 46, FALSE))</f>
        <v>:</v>
      </c>
      <c r="AV50" s="544" t="str">
        <f>IF(VLOOKUP($E$50,[1]QUART!$A$2:$FA$315, 47, FALSE)="",":",VLOOKUP($E$50,[1]QUART!$A$2:$FA$315, 47, FALSE))</f>
        <v>:</v>
      </c>
      <c r="AW50" s="544" t="str">
        <f>IF(VLOOKUP($E$50,[1]QUART!$A$2:$FA$315, 48, FALSE)="",":",VLOOKUP($E$50,[1]QUART!$A$2:$FA$315, 48, FALSE))</f>
        <v>:</v>
      </c>
      <c r="AX50" s="544" t="str">
        <f>IF(VLOOKUP($E$50,[1]QUART!$A$2:$FA$315, 49, FALSE)="",":",VLOOKUP($E$50,[1]QUART!$A$2:$FA$315, 49, FALSE))</f>
        <v>:</v>
      </c>
      <c r="AY50" s="544" t="str">
        <f>IF(VLOOKUP($E$50,[1]QUART!$A$2:$FA$315, 50, FALSE)="",":",VLOOKUP($E$50,[1]QUART!$A$2:$FA$315, 50, FALSE))</f>
        <v>:</v>
      </c>
      <c r="AZ50" s="544" t="str">
        <f>IF(VLOOKUP($E$50,[1]QUART!$A$2:$FA$315, 51, FALSE)="",":",VLOOKUP($E$50,[1]QUART!$A$2:$FA$315, 51, FALSE))</f>
        <v>:</v>
      </c>
      <c r="BA50" s="544" t="str">
        <f>IF(VLOOKUP($E$50,[1]QUART!$A$2:$FA$315, 52, FALSE)="",":",VLOOKUP($E$50,[1]QUART!$A$2:$FA$315, 52, FALSE))</f>
        <v>:</v>
      </c>
      <c r="BB50" s="544" t="str">
        <f>IF(VLOOKUP($E$50,[1]QUART!$A$2:$FA$315, 53, FALSE)="",":",VLOOKUP($E$50,[1]QUART!$A$2:$FA$315, 53, FALSE))</f>
        <v>:</v>
      </c>
      <c r="BC50" s="544" t="str">
        <f>IF(VLOOKUP($E$50,[1]QUART!$A$2:$FA$315, 54, FALSE)="",":",VLOOKUP($E$50,[1]QUART!$A$2:$FA$315, 54, FALSE))</f>
        <v>:</v>
      </c>
      <c r="BD50" s="544" t="str">
        <f>IF(VLOOKUP($E$50,[1]QUART!$A$2:$FA$315, 55, FALSE)="",":",VLOOKUP($E$50,[1]QUART!$A$2:$FA$315, 55, FALSE))</f>
        <v>:</v>
      </c>
      <c r="BE50" s="544" t="str">
        <f>IF(VLOOKUP($E$50,[1]QUART!$A$2:$FA$315, 56, FALSE)="",":",VLOOKUP($E$50,[1]QUART!$A$2:$FA$315, 56, FALSE))</f>
        <v>:</v>
      </c>
      <c r="BF50" s="544" t="str">
        <f>IF(VLOOKUP($E$50,[1]QUART!$A$2:$FA$315, 57, FALSE)="",":",VLOOKUP($E$50,[1]QUART!$A$2:$FA$315, 57, FALSE))</f>
        <v>:</v>
      </c>
      <c r="BG50" s="544" t="str">
        <f>IF(VLOOKUP($E$50,[1]QUART!$A$2:$FA$315, 58, FALSE)="",":",VLOOKUP($E$50,[1]QUART!$A$2:$FA$315, 58, FALSE))</f>
        <v>:</v>
      </c>
      <c r="BH50" s="544" t="str">
        <f>IF(VLOOKUP($E$50,[1]QUART!$A$2:$FA$315, 59, FALSE)="",":",VLOOKUP($E$50,[1]QUART!$A$2:$FA$315, 59, FALSE))</f>
        <v>:</v>
      </c>
      <c r="BI50" s="544" t="str">
        <f>IF(VLOOKUP($E$50,[1]QUART!$A$2:$FA$315, 60, FALSE)="",":",VLOOKUP($E$50,[1]QUART!$A$2:$FA$315, 60, FALSE))</f>
        <v>:</v>
      </c>
      <c r="BJ50" s="544" t="str">
        <f>IF(VLOOKUP($E$50,[1]QUART!$A$2:$FA$315, 61, FALSE)="",":",VLOOKUP($E$50,[1]QUART!$A$2:$FA$315, 61, FALSE))</f>
        <v>:</v>
      </c>
      <c r="BK50" s="544" t="str">
        <f>IF(VLOOKUP($E$50,[1]QUART!$A$2:$FA$315, 62, FALSE)="",":",VLOOKUP($E$50,[1]QUART!$A$2:$FA$315, 62, FALSE))</f>
        <v>:</v>
      </c>
      <c r="BL50" s="544" t="str">
        <f>IF(VLOOKUP($E$50,[1]QUART!$A$2:$FA$315, 63, FALSE)="",":",VLOOKUP($E$50,[1]QUART!$A$2:$FA$315, 63, FALSE))</f>
        <v>:</v>
      </c>
      <c r="BM50" s="544" t="str">
        <f>IF(VLOOKUP($E$50,[1]QUART!$A$2:$FA$315, 64, FALSE)="",":",VLOOKUP($E$50,[1]QUART!$A$2:$FA$315, 64, FALSE))</f>
        <v>:</v>
      </c>
      <c r="BN50" s="544" t="str">
        <f>IF(VLOOKUP($E$50,[1]QUART!$A$2:$FA$315, 65, FALSE)="",":",VLOOKUP($E$50,[1]QUART!$A$2:$FA$315, 65, FALSE))</f>
        <v>:</v>
      </c>
      <c r="BO50" s="544" t="str">
        <f>IF(VLOOKUP($E$50,[1]QUART!$A$2:$FA$315, 66, FALSE)="",":",VLOOKUP($E$50,[1]QUART!$A$2:$FA$315, 66, FALSE))</f>
        <v>:</v>
      </c>
      <c r="BP50" s="544" t="str">
        <f>IF(VLOOKUP($E$50,[1]QUART!$A$2:$FA$315, 67, FALSE)="",":",VLOOKUP($E$50,[1]QUART!$A$2:$FA$315, 67, FALSE))</f>
        <v>:</v>
      </c>
      <c r="BQ50" s="544" t="str">
        <f>IF(VLOOKUP($E$50,[1]QUART!$A$2:$FA$315, 68, FALSE)="",":",VLOOKUP($E$50,[1]QUART!$A$2:$FA$315, 68, FALSE))</f>
        <v>:</v>
      </c>
      <c r="BR50" s="544" t="str">
        <f>IF(VLOOKUP($E$50,[1]QUART!$A$2:$FA$315, 69, FALSE)="",":",VLOOKUP($E$50,[1]QUART!$A$2:$FA$315, 69, FALSE))</f>
        <v>:</v>
      </c>
      <c r="BS50" s="544" t="str">
        <f>IF(VLOOKUP($E$50,[1]QUART!$A$2:$FA$315, 70, FALSE)="",":",VLOOKUP($E$50,[1]QUART!$A$2:$FA$315, 70, FALSE))</f>
        <v>:</v>
      </c>
      <c r="BT50" s="544" t="str">
        <f>IF(VLOOKUP($E$50,[1]QUART!$A$2:$FA$315, 71, FALSE)="",":",VLOOKUP($E$50,[1]QUART!$A$2:$FA$315, 71, FALSE))</f>
        <v>:</v>
      </c>
      <c r="BU50" s="544" t="str">
        <f>IF(VLOOKUP($E$50,[1]QUART!$A$2:$FA$315, 72, FALSE)="",":",VLOOKUP($E$50,[1]QUART!$A$2:$FA$315, 72, FALSE))</f>
        <v>:</v>
      </c>
      <c r="BV50" s="544" t="str">
        <f>IF(VLOOKUP($E$50,[1]QUART!$A$2:$FA$315, 73, FALSE)="",":",VLOOKUP($E$50,[1]QUART!$A$2:$FA$315, 73, FALSE))</f>
        <v>:</v>
      </c>
      <c r="BW50" s="544" t="str">
        <f>IF(VLOOKUP($E$50,[1]QUART!$A$2:$FA$315, 74, FALSE)="",":",VLOOKUP($E$50,[1]QUART!$A$2:$FA$315, 74, FALSE))</f>
        <v>:</v>
      </c>
      <c r="BX50" s="544" t="str">
        <f>IF(VLOOKUP($E$50,[1]QUART!$A$2:$FA$315, 75, FALSE)="",":",VLOOKUP($E$50,[1]QUART!$A$2:$FA$315, 75, FALSE))</f>
        <v>:</v>
      </c>
      <c r="BY50" s="544" t="str">
        <f>IF(VLOOKUP($E$50,[1]QUART!$A$2:$FA$315, 76, FALSE)="",":",VLOOKUP($E$50,[1]QUART!$A$2:$FA$315, 76, FALSE))</f>
        <v>:</v>
      </c>
      <c r="BZ50" s="544" t="str">
        <f>IF(VLOOKUP($E$50,[1]QUART!$A$2:$FA$315, 77, FALSE)="",":",VLOOKUP($E$50,[1]QUART!$A$2:$FA$315, 77, FALSE))</f>
        <v>:</v>
      </c>
      <c r="CA50" s="544" t="str">
        <f>IF(VLOOKUP($E$50,[1]QUART!$A$2:$FA$315, 78, FALSE)="",":",VLOOKUP($E$50,[1]QUART!$A$2:$FA$315, 78, FALSE))</f>
        <v>:</v>
      </c>
      <c r="CB50" s="544" t="str">
        <f>IF(VLOOKUP($E$50,[1]QUART!$A$2:$FA$315, 79, FALSE)="",":",VLOOKUP($E$50,[1]QUART!$A$2:$FA$315, 79, FALSE))</f>
        <v>:</v>
      </c>
      <c r="CC50" s="544" t="str">
        <f>IF(VLOOKUP($E$50,[1]QUART!$A$2:$FA$315, 80, FALSE)="",":",VLOOKUP($E$50,[1]QUART!$A$2:$FA$315, 80, FALSE))</f>
        <v>:</v>
      </c>
      <c r="CD50" s="544" t="str">
        <f>IF(VLOOKUP($E$50,[1]QUART!$A$2:$FA$315, 81, FALSE)="",":",VLOOKUP($E$50,[1]QUART!$A$2:$FA$315, 81, FALSE))</f>
        <v>:</v>
      </c>
      <c r="CE50" s="544" t="str">
        <f>IF(VLOOKUP($E$50,[1]QUART!$A$2:$FA$315, 82, FALSE)="",":",VLOOKUP($E$50,[1]QUART!$A$2:$FA$315, 82, FALSE))</f>
        <v>:</v>
      </c>
      <c r="CF50" s="544" t="str">
        <f>IF(VLOOKUP($E$50,[1]QUART!$A$2:$FA$315, 83, FALSE)="",":",VLOOKUP($E$50,[1]QUART!$A$2:$FA$315, 83, FALSE))</f>
        <v>:</v>
      </c>
      <c r="CG50" s="544" t="str">
        <f>IF(VLOOKUP($E$50,[1]QUART!$A$2:$FA$315, 84, FALSE)="",":",VLOOKUP($E$50,[1]QUART!$A$2:$FA$315, 84, FALSE))</f>
        <v>:</v>
      </c>
      <c r="CH50" s="544" t="str">
        <f>IF(VLOOKUP($E$50,[1]QUART!$A$2:$FA$315, 85, FALSE)="",":",VLOOKUP($E$50,[1]QUART!$A$2:$FA$315, 85, FALSE))</f>
        <v>:</v>
      </c>
      <c r="CI50" s="544" t="str">
        <f>IF(VLOOKUP($E$50,[1]QUART!$A$2:$FA$315, 86, FALSE)="",":",VLOOKUP($E$50,[1]QUART!$A$2:$FA$315, 86, FALSE))</f>
        <v>:</v>
      </c>
      <c r="CJ50" s="544" t="str">
        <f>IF(VLOOKUP($E$50,[1]QUART!$A$2:$FA$315, 87, FALSE)="",":",VLOOKUP($E$50,[1]QUART!$A$2:$FA$315, 87, FALSE))</f>
        <v>:</v>
      </c>
      <c r="CK50" s="544" t="str">
        <f>IF(VLOOKUP($E$50,[1]QUART!$A$2:$FA$315, 88, FALSE)="",":",VLOOKUP($E$50,[1]QUART!$A$2:$FA$315, 88, FALSE))</f>
        <v>:</v>
      </c>
      <c r="CL50" s="544" t="str">
        <f>IF(VLOOKUP($E$50,[1]QUART!$A$2:$FA$315, 89, FALSE)="",":",VLOOKUP($E$50,[1]QUART!$A$2:$FA$315, 89, FALSE))</f>
        <v>:</v>
      </c>
      <c r="CM50" s="544" t="str">
        <f>IF(VLOOKUP($E$50,[1]QUART!$A$2:$FA$315, 90, FALSE)="",":",VLOOKUP($E$50,[1]QUART!$A$2:$FA$315, 90, FALSE))</f>
        <v>:</v>
      </c>
      <c r="CN50" s="544" t="str">
        <f>IF(VLOOKUP($E$50,[1]QUART!$A$2:$FA$315, 91, FALSE)="",":",VLOOKUP($E$50,[1]QUART!$A$2:$FA$315, 91, FALSE))</f>
        <v>:</v>
      </c>
      <c r="CO50" s="544" t="str">
        <f>IF(VLOOKUP($E$50,[1]QUART!$A$2:$FA$315, 92, FALSE)="",":",VLOOKUP($E$50,[1]QUART!$A$2:$FA$315, 92, FALSE))</f>
        <v>:</v>
      </c>
      <c r="CP50" s="544" t="str">
        <f>IF(VLOOKUP($E$50,[1]QUART!$A$2:$FA$315, 93, FALSE)="",":",VLOOKUP($E$50,[1]QUART!$A$2:$FA$315, 93, FALSE))</f>
        <v>:</v>
      </c>
      <c r="CQ50" s="544" t="str">
        <f>IF(VLOOKUP($E$50,[1]QUART!$A$2:$FA$315, 94, FALSE)="",":",VLOOKUP($E$50,[1]QUART!$A$2:$FA$315, 94, FALSE))</f>
        <v>:</v>
      </c>
      <c r="CR50" s="544" t="str">
        <f>IF(VLOOKUP($E$50,[1]QUART!$A$2:$FA$315, 95, FALSE)="",":",VLOOKUP($E$50,[1]QUART!$A$2:$FA$315, 95, FALSE))</f>
        <v>:</v>
      </c>
      <c r="CS50" s="544" t="str">
        <f>IF(VLOOKUP($E$50,[1]QUART!$A$2:$FA$315, 96, FALSE)="",":",VLOOKUP($E$50,[1]QUART!$A$2:$FA$315, 96, FALSE))</f>
        <v>:</v>
      </c>
      <c r="CT50" s="544" t="str">
        <f>IF(VLOOKUP($E$50,[1]QUART!$A$2:$FA$315, 97, FALSE)="",":",VLOOKUP($E$50,[1]QUART!$A$2:$FA$315, 97, FALSE))</f>
        <v>:</v>
      </c>
      <c r="CU50" s="544" t="str">
        <f>IF(VLOOKUP($E$50,[1]QUART!$A$2:$FA$315, 98, FALSE)="",":",VLOOKUP($E$50,[1]QUART!$A$2:$FA$315, 98, FALSE))</f>
        <v>:</v>
      </c>
      <c r="CV50" s="544" t="str">
        <f>IF(VLOOKUP($E$50,[1]QUART!$A$2:$FA$315, 99, FALSE)="",":",VLOOKUP($E$50,[1]QUART!$A$2:$FA$315, 99, FALSE))</f>
        <v>:</v>
      </c>
      <c r="CW50" s="544" t="str">
        <f>IF(VLOOKUP($E$50,[1]QUART!$A$2:$FA$315, 100, FALSE)="",":",VLOOKUP($E$50,[1]QUART!$A$2:$FA$315, 100, FALSE))</f>
        <v>:</v>
      </c>
      <c r="CX50" s="544" t="str">
        <f>IF(VLOOKUP($E$50,[1]QUART!$A$2:$FA$315, 101, FALSE)="",":",VLOOKUP($E$50,[1]QUART!$A$2:$FA$315, 101, FALSE))</f>
        <v>:</v>
      </c>
      <c r="CY50" s="544" t="str">
        <f>IF(VLOOKUP($E$50,[1]QUART!$A$2:$FA$315, 102, FALSE)="",":",VLOOKUP($E$50,[1]QUART!$A$2:$FA$315, 102, FALSE))</f>
        <v>:</v>
      </c>
      <c r="CZ50" s="544" t="str">
        <f>IF(VLOOKUP($E$50,[1]QUART!$A$2:$FA$315, 103, FALSE)="",":",VLOOKUP($E$50,[1]QUART!$A$2:$FA$315, 103, FALSE))</f>
        <v>:</v>
      </c>
      <c r="DA50" s="544" t="str">
        <f>IF(VLOOKUP($E$50,[1]QUART!$A$2:$FA$315, 104, FALSE)="",":",VLOOKUP($E$50,[1]QUART!$A$2:$FA$315, 104, FALSE))</f>
        <v>:</v>
      </c>
      <c r="DB50" s="544" t="str">
        <f>IF(VLOOKUP($E$50,[1]QUART!$A$2:$FA$315, 105, FALSE)="",":",VLOOKUP($E$50,[1]QUART!$A$2:$FA$315, 105, FALSE))</f>
        <v>:</v>
      </c>
      <c r="DC50" s="544" t="str">
        <f>IF(VLOOKUP($E$50,[1]QUART!$A$2:$FA$315, 106, FALSE)="",":",VLOOKUP($E$50,[1]QUART!$A$2:$FA$315, 106, FALSE))</f>
        <v>:</v>
      </c>
    </row>
    <row r="51" spans="1:107">
      <c r="A51" s="1954"/>
      <c r="B51" s="534"/>
      <c r="C51" s="535"/>
      <c r="D51" s="12" t="s">
        <v>1841</v>
      </c>
      <c r="E51" s="13">
        <v>117</v>
      </c>
      <c r="F51" s="14" t="str">
        <f>VLOOKUP($E$51,[1]QUART!$A$2:$FA$311, 3, FALSE)</f>
        <v xml:space="preserve">117  GDP                                                 </v>
      </c>
      <c r="G51" s="544" t="str">
        <f>IF(VLOOKUP($E$51,[1]QUART!$A$2:$FA$311, 6, FALSE)="",":",VLOOKUP($E$51,[1]QUART!$A$2:$FA$311, 6, FALSE))</f>
        <v>:</v>
      </c>
      <c r="H51" s="544" t="str">
        <f>IF(VLOOKUP($E$51,[1]QUART!$A$2:$FA$311, 7, FALSE)="",":",VLOOKUP($E$51,[1]QUART!$A$2:$FA$311, 7, FALSE))</f>
        <v>:</v>
      </c>
      <c r="I51" s="544" t="str">
        <f>IF(VLOOKUP($E$51,[1]QUART!$A$2:$FA$311, 8, FALSE)="",":",VLOOKUP($E$51,[1]QUART!$A$2:$FA$311, 8, FALSE))</f>
        <v>:</v>
      </c>
      <c r="J51" s="544" t="str">
        <f>IF(VLOOKUP($E$51,[1]QUART!$A$2:$FA$311, 9, FALSE)="",":",VLOOKUP($E$51,[1]QUART!$A$2:$FA$311, 9, FALSE))</f>
        <v>:</v>
      </c>
      <c r="K51" s="544" t="str">
        <f>IF(VLOOKUP($E$51,[1]QUART!$A$2:$FA$311, 10, FALSE)="",":",VLOOKUP($E$51,[1]QUART!$A$2:$FA$311, 10, FALSE))</f>
        <v>:</v>
      </c>
      <c r="L51" s="544" t="str">
        <f>IF(VLOOKUP($E$51,[1]QUART!$A$2:$FA$311, 11, FALSE)="",":",VLOOKUP($E$51,[1]QUART!$A$2:$FA$311, 11, FALSE))</f>
        <v>:</v>
      </c>
      <c r="M51" s="544" t="str">
        <f>IF(VLOOKUP($E$51,[1]QUART!$A$2:$FA$311, 12, FALSE)="",":",VLOOKUP($E$51,[1]QUART!$A$2:$FA$311, 12, FALSE))</f>
        <v>:</v>
      </c>
      <c r="N51" s="544" t="str">
        <f>IF(VLOOKUP($E$51,[1]QUART!$A$2:$FA$311, 13, FALSE)="",":",VLOOKUP($E$51,[1]QUART!$A$2:$FA$311, 13, FALSE))</f>
        <v>:</v>
      </c>
      <c r="O51" s="544" t="str">
        <f>IF(VLOOKUP($E$51,[1]QUART!$A$2:$FA$311, 14, FALSE)="",":",VLOOKUP($E$51,[1]QUART!$A$2:$FA$311, 14, FALSE))</f>
        <v>:</v>
      </c>
      <c r="P51" s="544" t="str">
        <f>IF(VLOOKUP($E$51,[1]QUART!$A$2:$FA$311, 15, FALSE)="",":",VLOOKUP($E$51,[1]QUART!$A$2:$FA$311, 15, FALSE))</f>
        <v>:</v>
      </c>
      <c r="Q51" s="544" t="str">
        <f>IF(VLOOKUP($E$51,[1]QUART!$A$2:$FA$311, 16, FALSE)="",":",VLOOKUP($E$51,[1]QUART!$A$2:$FA$311, 16, FALSE))</f>
        <v>:</v>
      </c>
      <c r="R51" s="544" t="str">
        <f>IF(VLOOKUP($E$51,[1]QUART!$A$2:$FA$311, 17, FALSE)="",":",VLOOKUP($E$51,[1]QUART!$A$2:$FA$311, 17, FALSE))</f>
        <v>:</v>
      </c>
      <c r="S51" s="544" t="str">
        <f>IF(VLOOKUP($E$51,[1]QUART!$A$2:$FA$311, 18, FALSE)="",":",VLOOKUP($E$51,[1]QUART!$A$2:$FA$311, 18, FALSE))</f>
        <v>:</v>
      </c>
      <c r="T51" s="544" t="str">
        <f>IF(VLOOKUP($E$51,[1]QUART!$A$2:$FA$311, 19, FALSE)="",":",VLOOKUP($E$51,[1]QUART!$A$2:$FA$311, 19, FALSE))</f>
        <v>:</v>
      </c>
      <c r="U51" s="544" t="str">
        <f>IF(VLOOKUP($E$51,[1]QUART!$A$2:$FA$311, 20, FALSE)="",":",VLOOKUP($E$51,[1]QUART!$A$2:$FA$311, 20, FALSE))</f>
        <v>:</v>
      </c>
      <c r="V51" s="544" t="str">
        <f>IF(VLOOKUP($E$51,[1]QUART!$A$2:$FA$311, 21, FALSE)="",":",VLOOKUP($E$51,[1]QUART!$A$2:$FA$311, 21, FALSE))</f>
        <v>:</v>
      </c>
      <c r="W51" s="544" t="str">
        <f>IF(VLOOKUP($E$51,[1]QUART!$A$2:$FA$311, 22, FALSE)="",":",VLOOKUP($E$51,[1]QUART!$A$2:$FA$311, 22, FALSE))</f>
        <v>:</v>
      </c>
      <c r="X51" s="544" t="str">
        <f>IF(VLOOKUP($E$51,[1]QUART!$A$2:$FA$311, 23, FALSE)="",":",VLOOKUP($E$51,[1]QUART!$A$2:$FA$311, 23, FALSE))</f>
        <v>:</v>
      </c>
      <c r="Y51" s="544" t="str">
        <f>IF(VLOOKUP($E$51,[1]QUART!$A$2:$FA$311, 24, FALSE)="",":",VLOOKUP($E$51,[1]QUART!$A$2:$FA$311, 24, FALSE))</f>
        <v>:</v>
      </c>
      <c r="Z51" s="544" t="str">
        <f>IF(VLOOKUP($E$51,[1]QUART!$A$2:$FA$311, 25, FALSE)="",":",VLOOKUP($E$51,[1]QUART!$A$2:$FA$311, 25, FALSE))</f>
        <v>:</v>
      </c>
      <c r="AA51" s="544" t="str">
        <f>IF(VLOOKUP($E$51,[1]QUART!$A$2:$FA$311, 26, FALSE)="",":",VLOOKUP($E$51,[1]QUART!$A$2:$FA$311, 26, FALSE))</f>
        <v>:</v>
      </c>
      <c r="AB51" s="544" t="str">
        <f>IF(VLOOKUP($E$51,[1]QUART!$A$2:$FA$311, 27, FALSE)="",":",VLOOKUP($E$51,[1]QUART!$A$2:$FA$311, 27, FALSE))</f>
        <v>:</v>
      </c>
      <c r="AC51" s="544" t="str">
        <f>IF(VLOOKUP($E$51,[1]QUART!$A$2:$FA$311, 28, FALSE)="",":",VLOOKUP($E$51,[1]QUART!$A$2:$FA$311, 28, FALSE))</f>
        <v>:</v>
      </c>
      <c r="AD51" s="544" t="str">
        <f>IF(VLOOKUP($E$51,[1]QUART!$A$2:$FA$311, 29, FALSE)="",":",VLOOKUP($E$51,[1]QUART!$A$2:$FA$311, 29, FALSE))</f>
        <v>:</v>
      </c>
      <c r="AE51" s="544" t="str">
        <f>IF(VLOOKUP($E$51,[1]QUART!$A$2:$FA$311, 30, FALSE)="",":",VLOOKUP($E$51,[1]QUART!$A$2:$FA$311, 30, FALSE))</f>
        <v>:</v>
      </c>
      <c r="AF51" s="544" t="str">
        <f>IF(VLOOKUP($E$51,[1]QUART!$A$2:$FA$311, 31, FALSE)="",":",VLOOKUP($E$51,[1]QUART!$A$2:$FA$311, 31, FALSE))</f>
        <v>:</v>
      </c>
      <c r="AG51" s="544" t="str">
        <f>IF(VLOOKUP($E$51,[1]QUART!$A$2:$FA$311, 32, FALSE)="",":",VLOOKUP($E$51,[1]QUART!$A$2:$FA$311, 32, FALSE))</f>
        <v>:</v>
      </c>
      <c r="AH51" s="544" t="str">
        <f>IF(VLOOKUP($E$51,[1]QUART!$A$2:$FA$311, 33, FALSE)="",":",VLOOKUP($E$51,[1]QUART!$A$2:$FA$311, 33, FALSE))</f>
        <v>:</v>
      </c>
      <c r="AI51" s="544" t="str">
        <f>IF(VLOOKUP($E$51,[1]QUART!$A$2:$FA$311, 34, FALSE)="",":",VLOOKUP($E$51,[1]QUART!$A$2:$FA$311, 34, FALSE))</f>
        <v>:</v>
      </c>
      <c r="AJ51" s="544" t="str">
        <f>IF(VLOOKUP($E$51,[1]QUART!$A$2:$FA$311, 35, FALSE)="",":",VLOOKUP($E$51,[1]QUART!$A$2:$FA$311, 35, FALSE))</f>
        <v>:</v>
      </c>
      <c r="AK51" s="544" t="str">
        <f>IF(VLOOKUP($E$51,[1]QUART!$A$2:$FA$311, 36, FALSE)="",":",VLOOKUP($E$51,[1]QUART!$A$2:$FA$311, 36, FALSE))</f>
        <v>:</v>
      </c>
      <c r="AL51" s="544" t="str">
        <f>IF(VLOOKUP($E$51,[1]QUART!$A$2:$FA$311, 37, FALSE)="",":",VLOOKUP($E$51,[1]QUART!$A$2:$FA$311, 37, FALSE))</f>
        <v>:</v>
      </c>
      <c r="AM51" s="544" t="str">
        <f>IF(VLOOKUP($E$51,[1]QUART!$A$2:$FA$311, 38, FALSE)="",":",VLOOKUP($E$51,[1]QUART!$A$2:$FA$311, 38, FALSE))</f>
        <v>:</v>
      </c>
      <c r="AN51" s="544" t="str">
        <f>IF(VLOOKUP($E$51,[1]QUART!$A$2:$FA$311, 39, FALSE)="",":",VLOOKUP($E$51,[1]QUART!$A$2:$FA$311, 39, FALSE))</f>
        <v>:</v>
      </c>
      <c r="AO51" s="544" t="str">
        <f>IF(VLOOKUP($E$51,[1]QUART!$A$2:$FA$311, 40, FALSE)="",":",VLOOKUP($E$51,[1]QUART!$A$2:$FA$311, 40, FALSE))</f>
        <v>:</v>
      </c>
      <c r="AP51" s="544" t="str">
        <f>IF(VLOOKUP($E$51,[1]QUART!$A$2:$FA$311, 41, FALSE)="",":",VLOOKUP($E$51,[1]QUART!$A$2:$FA$311, 41, FALSE))</f>
        <v>:</v>
      </c>
      <c r="AQ51" s="544" t="str">
        <f>IF(VLOOKUP($E$51,[1]QUART!$A$2:$FA$311, 42, FALSE)="",":",VLOOKUP($E$51,[1]QUART!$A$2:$FA$311, 42, FALSE))</f>
        <v>:</v>
      </c>
      <c r="AR51" s="544" t="str">
        <f>IF(VLOOKUP($E$51,[1]QUART!$A$2:$FA$311, 43, FALSE)="",":",VLOOKUP($E$51,[1]QUART!$A$2:$FA$311, 43, FALSE))</f>
        <v>:</v>
      </c>
      <c r="AS51" s="544" t="str">
        <f>IF(VLOOKUP($E$51,[1]QUART!$A$2:$FA$311, 44, FALSE)="",":",VLOOKUP($E$51,[1]QUART!$A$2:$FA$311, 44, FALSE))</f>
        <v>:</v>
      </c>
      <c r="AT51" s="544" t="str">
        <f>IF(VLOOKUP($E$51,[1]QUART!$A$2:$FA$311, 45, FALSE)="",":",VLOOKUP($E$51,[1]QUART!$A$2:$FA$311, 45, FALSE))</f>
        <v>:</v>
      </c>
      <c r="AU51" s="544" t="str">
        <f>IF(VLOOKUP($E$51,[1]QUART!$A$2:$FA$311, 46, FALSE)="",":",VLOOKUP($E$51,[1]QUART!$A$2:$FA$311, 46, FALSE))</f>
        <v>:</v>
      </c>
      <c r="AV51" s="544" t="str">
        <f>IF(VLOOKUP($E$51,[1]QUART!$A$2:$FA$311, 47, FALSE)="",":",VLOOKUP($E$51,[1]QUART!$A$2:$FA$311, 47, FALSE))</f>
        <v>:</v>
      </c>
      <c r="AW51" s="544" t="str">
        <f>IF(VLOOKUP($E$51,[1]QUART!$A$2:$FA$311, 48, FALSE)="",":",VLOOKUP($E$51,[1]QUART!$A$2:$FA$311, 48, FALSE))</f>
        <v>:</v>
      </c>
      <c r="AX51" s="544" t="str">
        <f>IF(VLOOKUP($E$51,[1]QUART!$A$2:$FA$311, 49, FALSE)="",":",VLOOKUP($E$51,[1]QUART!$A$2:$FA$311, 49, FALSE))</f>
        <v>:</v>
      </c>
      <c r="AY51" s="544" t="str">
        <f>IF(VLOOKUP($E$51,[1]QUART!$A$2:$FA$311, 50, FALSE)="",":",VLOOKUP($E$51,[1]QUART!$A$2:$FA$311, 50, FALSE))</f>
        <v>:</v>
      </c>
      <c r="AZ51" s="544" t="str">
        <f>IF(VLOOKUP($E$51,[1]QUART!$A$2:$FA$311, 51, FALSE)="",":",VLOOKUP($E$51,[1]QUART!$A$2:$FA$311, 51, FALSE))</f>
        <v>:</v>
      </c>
      <c r="BA51" s="544" t="str">
        <f>IF(VLOOKUP($E$51,[1]QUART!$A$2:$FA$311, 52, FALSE)="",":",VLOOKUP($E$51,[1]QUART!$A$2:$FA$311, 52, FALSE))</f>
        <v>:</v>
      </c>
      <c r="BB51" s="544" t="str">
        <f>IF(VLOOKUP($E$51,[1]QUART!$A$2:$FA$311, 53, FALSE)="",":",VLOOKUP($E$51,[1]QUART!$A$2:$FA$311, 53, FALSE))</f>
        <v>:</v>
      </c>
      <c r="BC51" s="544" t="str">
        <f>IF(VLOOKUP($E$51,[1]QUART!$A$2:$FA$311, 54, FALSE)="",":",VLOOKUP($E$51,[1]QUART!$A$2:$FA$311, 54, FALSE))</f>
        <v>:</v>
      </c>
      <c r="BD51" s="544" t="str">
        <f>IF(VLOOKUP($E$51,[1]QUART!$A$2:$FA$311, 55, FALSE)="",":",VLOOKUP($E$51,[1]QUART!$A$2:$FA$311, 55, FALSE))</f>
        <v>:</v>
      </c>
      <c r="BE51" s="544" t="str">
        <f>IF(VLOOKUP($E$51,[1]QUART!$A$2:$FA$311, 56, FALSE)="",":",VLOOKUP($E$51,[1]QUART!$A$2:$FA$311, 56, FALSE))</f>
        <v>:</v>
      </c>
      <c r="BF51" s="544" t="str">
        <f>IF(VLOOKUP($E$51,[1]QUART!$A$2:$FA$311, 57, FALSE)="",":",VLOOKUP($E$51,[1]QUART!$A$2:$FA$311, 57, FALSE))</f>
        <v>:</v>
      </c>
      <c r="BG51" s="544" t="str">
        <f>IF(VLOOKUP($E$51,[1]QUART!$A$2:$FA$311, 58, FALSE)="",":",VLOOKUP($E$51,[1]QUART!$A$2:$FA$311, 58, FALSE))</f>
        <v>:</v>
      </c>
      <c r="BH51" s="544" t="str">
        <f>IF(VLOOKUP($E$51,[1]QUART!$A$2:$FA$311, 59, FALSE)="",":",VLOOKUP($E$51,[1]QUART!$A$2:$FA$311, 59, FALSE))</f>
        <v>:</v>
      </c>
      <c r="BI51" s="544" t="str">
        <f>IF(VLOOKUP($E$51,[1]QUART!$A$2:$FA$311, 60, FALSE)="",":",VLOOKUP($E$51,[1]QUART!$A$2:$FA$311, 60, FALSE))</f>
        <v>:</v>
      </c>
      <c r="BJ51" s="544" t="str">
        <f>IF(VLOOKUP($E$51,[1]QUART!$A$2:$FA$311, 61, FALSE)="",":",VLOOKUP($E$51,[1]QUART!$A$2:$FA$311, 61, FALSE))</f>
        <v>:</v>
      </c>
      <c r="BK51" s="544" t="str">
        <f>IF(VLOOKUP($E$51,[1]QUART!$A$2:$FA$311, 62, FALSE)="",":",VLOOKUP($E$51,[1]QUART!$A$2:$FA$311, 62, FALSE))</f>
        <v>:</v>
      </c>
      <c r="BL51" s="544" t="str">
        <f>IF(VLOOKUP($E$51,[1]QUART!$A$2:$FA$311, 63, FALSE)="",":",VLOOKUP($E$51,[1]QUART!$A$2:$FA$311, 63, FALSE))</f>
        <v>:</v>
      </c>
      <c r="BM51" s="544" t="str">
        <f>IF(VLOOKUP($E$51,[1]QUART!$A$2:$FA$311, 64, FALSE)="",":",VLOOKUP($E$51,[1]QUART!$A$2:$FA$311, 64, FALSE))</f>
        <v>:</v>
      </c>
      <c r="BN51" s="544" t="str">
        <f>IF(VLOOKUP($E$51,[1]QUART!$A$2:$FA$311, 65, FALSE)="",":",VLOOKUP($E$51,[1]QUART!$A$2:$FA$311, 65, FALSE))</f>
        <v>:</v>
      </c>
      <c r="BO51" s="544" t="str">
        <f>IF(VLOOKUP($E$51,[1]QUART!$A$2:$FA$311, 66, FALSE)="",":",VLOOKUP($E$51,[1]QUART!$A$2:$FA$311, 66, FALSE))</f>
        <v>:</v>
      </c>
      <c r="BP51" s="544" t="str">
        <f>IF(VLOOKUP($E$51,[1]QUART!$A$2:$FA$311, 67, FALSE)="",":",VLOOKUP($E$51,[1]QUART!$A$2:$FA$311, 67, FALSE))</f>
        <v>:</v>
      </c>
      <c r="BQ51" s="544" t="str">
        <f>IF(VLOOKUP($E$51,[1]QUART!$A$2:$FA$311, 68, FALSE)="",":",VLOOKUP($E$51,[1]QUART!$A$2:$FA$311, 68, FALSE))</f>
        <v>:</v>
      </c>
      <c r="BR51" s="544" t="str">
        <f>IF(VLOOKUP($E$51,[1]QUART!$A$2:$FA$311, 69, FALSE)="",":",VLOOKUP($E$51,[1]QUART!$A$2:$FA$311, 69, FALSE))</f>
        <v>:</v>
      </c>
      <c r="BS51" s="544" t="str">
        <f>IF(VLOOKUP($E$51,[1]QUART!$A$2:$FA$311, 70, FALSE)="",":",VLOOKUP($E$51,[1]QUART!$A$2:$FA$311, 70, FALSE))</f>
        <v>:</v>
      </c>
      <c r="BT51" s="544" t="str">
        <f>IF(VLOOKUP($E$51,[1]QUART!$A$2:$FA$311, 71, FALSE)="",":",VLOOKUP($E$51,[1]QUART!$A$2:$FA$311, 71, FALSE))</f>
        <v>:</v>
      </c>
      <c r="BU51" s="544" t="str">
        <f>IF(VLOOKUP($E$51,[1]QUART!$A$2:$FA$311, 72, FALSE)="",":",VLOOKUP($E$51,[1]QUART!$A$2:$FA$311, 72, FALSE))</f>
        <v>:</v>
      </c>
      <c r="BV51" s="544" t="str">
        <f>IF(VLOOKUP($E$51,[1]QUART!$A$2:$FA$311, 73, FALSE)="",":",VLOOKUP($E$51,[1]QUART!$A$2:$FA$311, 73, FALSE))</f>
        <v>:</v>
      </c>
      <c r="BW51" s="544" t="str">
        <f>IF(VLOOKUP($E$51,[1]QUART!$A$2:$FA$311, 74, FALSE)="",":",VLOOKUP($E$51,[1]QUART!$A$2:$FA$311, 74, FALSE))</f>
        <v>:</v>
      </c>
      <c r="BX51" s="544" t="str">
        <f>IF(VLOOKUP($E$51,[1]QUART!$A$2:$FA$311, 75, FALSE)="",":",VLOOKUP($E$51,[1]QUART!$A$2:$FA$311, 75, FALSE))</f>
        <v>:</v>
      </c>
      <c r="BY51" s="544" t="str">
        <f>IF(VLOOKUP($E$51,[1]QUART!$A$2:$FA$311, 76, FALSE)="",":",VLOOKUP($E$51,[1]QUART!$A$2:$FA$311, 76, FALSE))</f>
        <v>:</v>
      </c>
      <c r="BZ51" s="544" t="str">
        <f>IF(VLOOKUP($E$51,[1]QUART!$A$2:$FA$311, 77, FALSE)="",":",VLOOKUP($E$51,[1]QUART!$A$2:$FA$311, 77, FALSE))</f>
        <v>:</v>
      </c>
      <c r="CA51" s="544" t="str">
        <f>IF(VLOOKUP($E$51,[1]QUART!$A$2:$FA$311, 78, FALSE)="",":",VLOOKUP($E$51,[1]QUART!$A$2:$FA$311, 78, FALSE))</f>
        <v>:</v>
      </c>
      <c r="CB51" s="544" t="str">
        <f>IF(VLOOKUP($E$51,[1]QUART!$A$2:$FA$311, 79, FALSE)="",":",VLOOKUP($E$51,[1]QUART!$A$2:$FA$311, 79, FALSE))</f>
        <v>:</v>
      </c>
      <c r="CC51" s="544" t="str">
        <f>IF(VLOOKUP($E$51,[1]QUART!$A$2:$FA$311, 80, FALSE)="",":",VLOOKUP($E$51,[1]QUART!$A$2:$FA$311, 80, FALSE))</f>
        <v>:</v>
      </c>
      <c r="CD51" s="544" t="str">
        <f>IF(VLOOKUP($E$51,[1]QUART!$A$2:$FA$311, 81, FALSE)="",":",VLOOKUP($E$51,[1]QUART!$A$2:$FA$311, 81, FALSE))</f>
        <v>:</v>
      </c>
      <c r="CE51" s="544" t="str">
        <f>IF(VLOOKUP($E$51,[1]QUART!$A$2:$FA$311, 82, FALSE)="",":",VLOOKUP($E$51,[1]QUART!$A$2:$FA$311, 82, FALSE))</f>
        <v>:</v>
      </c>
      <c r="CF51" s="544" t="str">
        <f>IF(VLOOKUP($E$51,[1]QUART!$A$2:$FA$311, 83, FALSE)="",":",VLOOKUP($E$51,[1]QUART!$A$2:$FA$311, 83, FALSE))</f>
        <v>:</v>
      </c>
      <c r="CG51" s="544" t="str">
        <f>IF(VLOOKUP($E$51,[1]QUART!$A$2:$FA$311, 84, FALSE)="",":",VLOOKUP($E$51,[1]QUART!$A$2:$FA$311, 84, FALSE))</f>
        <v>:</v>
      </c>
      <c r="CH51" s="544" t="str">
        <f>IF(VLOOKUP($E$51,[1]QUART!$A$2:$FA$311, 85, FALSE)="",":",VLOOKUP($E$51,[1]QUART!$A$2:$FA$311, 85, FALSE))</f>
        <v>:</v>
      </c>
      <c r="CI51" s="544" t="str">
        <f>IF(VLOOKUP($E$51,[1]QUART!$A$2:$FA$311, 86, FALSE)="",":",VLOOKUP($E$51,[1]QUART!$A$2:$FA$311, 86, FALSE))</f>
        <v>:</v>
      </c>
      <c r="CJ51" s="544" t="str">
        <f>IF(VLOOKUP($E$51,[1]QUART!$A$2:$FA$311, 87, FALSE)="",":",VLOOKUP($E$51,[1]QUART!$A$2:$FA$311, 87, FALSE))</f>
        <v>:</v>
      </c>
      <c r="CK51" s="544" t="str">
        <f>IF(VLOOKUP($E$51,[1]QUART!$A$2:$FA$311, 88, FALSE)="",":",VLOOKUP($E$51,[1]QUART!$A$2:$FA$311, 88, FALSE))</f>
        <v>:</v>
      </c>
      <c r="CL51" s="544" t="str">
        <f>IF(VLOOKUP($E$51,[1]QUART!$A$2:$FA$311, 89, FALSE)="",":",VLOOKUP($E$51,[1]QUART!$A$2:$FA$311, 89, FALSE))</f>
        <v>:</v>
      </c>
      <c r="CM51" s="544" t="str">
        <f>IF(VLOOKUP($E$51,[1]QUART!$A$2:$FA$311, 90, FALSE)="",":",VLOOKUP($E$51,[1]QUART!$A$2:$FA$311, 90, FALSE))</f>
        <v>:</v>
      </c>
      <c r="CN51" s="544" t="str">
        <f>IF(VLOOKUP($E$51,[1]QUART!$A$2:$FA$311, 91, FALSE)="",":",VLOOKUP($E$51,[1]QUART!$A$2:$FA$311, 91, FALSE))</f>
        <v>:</v>
      </c>
      <c r="CO51" s="544" t="str">
        <f>IF(VLOOKUP($E$51,[1]QUART!$A$2:$FA$311, 92, FALSE)="",":",VLOOKUP($E$51,[1]QUART!$A$2:$FA$311, 92, FALSE))</f>
        <v>:</v>
      </c>
      <c r="CP51" s="544" t="str">
        <f>IF(VLOOKUP($E$51,[1]QUART!$A$2:$FA$311, 93, FALSE)="",":",VLOOKUP($E$51,[1]QUART!$A$2:$FA$311, 93, FALSE))</f>
        <v>:</v>
      </c>
      <c r="CQ51" s="544" t="str">
        <f>IF(VLOOKUP($E$51,[1]QUART!$A$2:$FA$311, 94, FALSE)="",":",VLOOKUP($E$51,[1]QUART!$A$2:$FA$311, 94, FALSE))</f>
        <v>:</v>
      </c>
      <c r="CR51" s="544" t="str">
        <f>IF(VLOOKUP($E$51,[1]QUART!$A$2:$FA$311, 95, FALSE)="",":",VLOOKUP($E$51,[1]QUART!$A$2:$FA$311, 95, FALSE))</f>
        <v>:</v>
      </c>
      <c r="CS51" s="544" t="str">
        <f>IF(VLOOKUP($E$51,[1]QUART!$A$2:$FA$311, 96, FALSE)="",":",VLOOKUP($E$51,[1]QUART!$A$2:$FA$311, 96, FALSE))</f>
        <v>:</v>
      </c>
      <c r="CT51" s="544" t="str">
        <f>IF(VLOOKUP($E$51,[1]QUART!$A$2:$FA$311, 97, FALSE)="",":",VLOOKUP($E$51,[1]QUART!$A$2:$FA$311, 97, FALSE))</f>
        <v>:</v>
      </c>
      <c r="CU51" s="544" t="str">
        <f>IF(VLOOKUP($E$51,[1]QUART!$A$2:$FA$311, 98, FALSE)="",":",VLOOKUP($E$51,[1]QUART!$A$2:$FA$311, 98, FALSE))</f>
        <v>:</v>
      </c>
      <c r="CV51" s="544" t="str">
        <f>IF(VLOOKUP($E$51,[1]QUART!$A$2:$FA$311, 99, FALSE)="",":",VLOOKUP($E$51,[1]QUART!$A$2:$FA$311, 99, FALSE))</f>
        <v>:</v>
      </c>
      <c r="CW51" s="544" t="str">
        <f>IF(VLOOKUP($E$51,[1]QUART!$A$2:$FA$311, 100, FALSE)="",":",VLOOKUP($E$51,[1]QUART!$A$2:$FA$311, 100, FALSE))</f>
        <v>:</v>
      </c>
      <c r="CX51" s="544" t="str">
        <f>IF(VLOOKUP($E$51,[1]QUART!$A$2:$FA$311, 101, FALSE)="",":",VLOOKUP($E$51,[1]QUART!$A$2:$FA$311, 101, FALSE))</f>
        <v>:</v>
      </c>
      <c r="CY51" s="544" t="str">
        <f>IF(VLOOKUP($E$51,[1]QUART!$A$2:$FA$311, 102, FALSE)="",":",VLOOKUP($E$51,[1]QUART!$A$2:$FA$311, 102, FALSE))</f>
        <v>:</v>
      </c>
      <c r="CZ51" s="544" t="str">
        <f>IF(VLOOKUP($E$51,[1]QUART!$A$2:$FA$311, 103, FALSE)="",":",VLOOKUP($E$51,[1]QUART!$A$2:$FA$311, 103, FALSE))</f>
        <v>:</v>
      </c>
      <c r="DA51" s="544" t="str">
        <f>IF(VLOOKUP($E$51,[1]QUART!$A$2:$FA$311, 104, FALSE)="",":",VLOOKUP($E$51,[1]QUART!$A$2:$FA$311, 104, FALSE))</f>
        <v>:</v>
      </c>
      <c r="DB51" s="544" t="str">
        <f>IF(VLOOKUP($E$51,[1]QUART!$A$2:$FA$311, 105, FALSE)="",":",VLOOKUP($E$51,[1]QUART!$A$2:$FA$311, 105, FALSE))</f>
        <v>:</v>
      </c>
      <c r="DC51" s="544" t="str">
        <f>IF(VLOOKUP($E$51,[1]QUART!$A$2:$FA$311, 106, FALSE)="",":",VLOOKUP($E$51,[1]QUART!$A$2:$FA$311, 106, FALSE))</f>
        <v>:</v>
      </c>
    </row>
    <row r="52" spans="1:107">
      <c r="A52" s="533"/>
      <c r="B52" s="534"/>
      <c r="C52" s="535"/>
      <c r="D52" s="12"/>
      <c r="E52" s="13"/>
      <c r="F52" s="14"/>
      <c r="G52" s="544"/>
      <c r="H52" s="544"/>
      <c r="I52" s="544"/>
      <c r="J52" s="544"/>
      <c r="K52" s="544"/>
      <c r="L52" s="544"/>
      <c r="M52" s="544"/>
      <c r="N52" s="544"/>
      <c r="O52" s="544"/>
      <c r="P52" s="544"/>
      <c r="Q52" s="544"/>
      <c r="R52" s="544"/>
      <c r="S52" s="544"/>
      <c r="T52" s="544"/>
      <c r="U52" s="544"/>
      <c r="V52" s="544"/>
      <c r="W52" s="544"/>
      <c r="X52" s="544"/>
      <c r="Y52" s="544"/>
      <c r="Z52" s="544"/>
      <c r="AA52" s="544"/>
      <c r="AB52" s="544"/>
      <c r="AC52" s="544"/>
      <c r="AD52" s="544"/>
      <c r="AE52" s="544"/>
      <c r="AF52" s="544"/>
      <c r="AG52" s="544"/>
      <c r="AH52" s="544"/>
      <c r="AI52" s="544"/>
      <c r="AJ52" s="544"/>
      <c r="AK52" s="544"/>
      <c r="AL52" s="544"/>
      <c r="AM52" s="544"/>
      <c r="AN52" s="544"/>
      <c r="AO52" s="544"/>
      <c r="AP52" s="544"/>
      <c r="AQ52" s="544"/>
      <c r="AR52" s="544"/>
      <c r="AS52" s="544"/>
      <c r="AT52" s="544"/>
      <c r="AU52" s="544"/>
      <c r="AV52" s="544"/>
      <c r="AW52" s="544"/>
      <c r="AX52" s="544"/>
      <c r="AY52" s="544"/>
      <c r="AZ52" s="544"/>
      <c r="BA52" s="544"/>
      <c r="BB52" s="544"/>
      <c r="BC52" s="544"/>
      <c r="BD52" s="544"/>
      <c r="BE52" s="544"/>
      <c r="BF52" s="544"/>
      <c r="BG52" s="544"/>
      <c r="BH52" s="544"/>
      <c r="BI52" s="544"/>
      <c r="BJ52" s="544"/>
      <c r="BK52" s="544"/>
      <c r="BL52" s="544"/>
      <c r="BM52" s="544"/>
      <c r="BN52" s="544"/>
      <c r="BO52" s="544"/>
      <c r="BP52" s="544"/>
      <c r="BQ52" s="544"/>
      <c r="BR52" s="544"/>
      <c r="BS52" s="544"/>
      <c r="BT52" s="544"/>
      <c r="BU52" s="544"/>
      <c r="BV52" s="544"/>
      <c r="BW52" s="544"/>
      <c r="BX52" s="544"/>
      <c r="BY52" s="544"/>
      <c r="BZ52" s="544"/>
      <c r="CA52" s="544"/>
      <c r="CB52" s="544"/>
      <c r="CC52" s="544"/>
      <c r="CD52" s="544"/>
      <c r="CE52" s="544"/>
      <c r="CF52" s="544"/>
      <c r="CG52" s="544"/>
      <c r="CH52" s="544"/>
      <c r="CI52" s="544"/>
      <c r="CJ52" s="544"/>
      <c r="CK52" s="544"/>
      <c r="CL52" s="544"/>
      <c r="CM52" s="544"/>
      <c r="CN52" s="544"/>
      <c r="CO52" s="544"/>
      <c r="CP52" s="544"/>
      <c r="CQ52" s="544"/>
      <c r="CR52" s="544"/>
      <c r="CS52" s="544"/>
      <c r="CT52" s="544"/>
      <c r="CU52" s="544"/>
      <c r="CV52" s="544"/>
      <c r="CW52" s="544"/>
      <c r="CX52" s="544"/>
      <c r="CY52" s="544"/>
      <c r="CZ52" s="544"/>
      <c r="DA52" s="544"/>
      <c r="DB52" s="544"/>
      <c r="DC52" s="544"/>
    </row>
    <row r="53" spans="1:107">
      <c r="A53" s="1954"/>
      <c r="B53" s="534"/>
      <c r="C53" s="535"/>
      <c r="D53" s="12" t="s">
        <v>1841</v>
      </c>
      <c r="E53" s="13">
        <v>120</v>
      </c>
      <c r="F53" s="14" t="str">
        <f>VLOOKUP($E$53,[1]QUART!$A$2:$FA$315, 3, FALSE)</f>
        <v xml:space="preserve">120  Household final consumption expenditure (domestic)                              </v>
      </c>
      <c r="G53" s="544" t="str">
        <f>IF(VLOOKUP($E$53,[1]QUART!$A$2:$FA$315, 6, FALSE)="",":",VLOOKUP($E$53,[1]QUART!$A$2:$FA$315, 6, FALSE))</f>
        <v>:</v>
      </c>
      <c r="H53" s="544" t="str">
        <f>IF(VLOOKUP($E$53,[1]QUART!$A$2:$FA$315, 7, FALSE)="",":",VLOOKUP($E$53,[1]QUART!$A$2:$FA$315, 7, FALSE))</f>
        <v>:</v>
      </c>
      <c r="I53" s="544" t="str">
        <f>IF(VLOOKUP($E$53,[1]QUART!$A$2:$FA$315, 8, FALSE)="",":",VLOOKUP($E$53,[1]QUART!$A$2:$FA$315, 8, FALSE))</f>
        <v>:</v>
      </c>
      <c r="J53" s="544" t="str">
        <f>IF(VLOOKUP($E$53,[1]QUART!$A$2:$FA$315, 9, FALSE)="",":",VLOOKUP($E$53,[1]QUART!$A$2:$FA$315, 9, FALSE))</f>
        <v>:</v>
      </c>
      <c r="K53" s="544" t="str">
        <f>IF(VLOOKUP($E$53,[1]QUART!$A$2:$FA$315, 10, FALSE)="",":",VLOOKUP($E$53,[1]QUART!$A$2:$FA$315, 10, FALSE))</f>
        <v>:</v>
      </c>
      <c r="L53" s="544" t="str">
        <f>IF(VLOOKUP($E$53,[1]QUART!$A$2:$FA$315, 11, FALSE)="",":",VLOOKUP($E$53,[1]QUART!$A$2:$FA$315, 11, FALSE))</f>
        <v>:</v>
      </c>
      <c r="M53" s="544" t="str">
        <f>IF(VLOOKUP($E$53,[1]QUART!$A$2:$FA$315, 12, FALSE)="",":",VLOOKUP($E$53,[1]QUART!$A$2:$FA$315, 12, FALSE))</f>
        <v>:</v>
      </c>
      <c r="N53" s="544" t="str">
        <f>IF(VLOOKUP($E$53,[1]QUART!$A$2:$FA$315, 13, FALSE)="",":",VLOOKUP($E$53,[1]QUART!$A$2:$FA$315, 13, FALSE))</f>
        <v>:</v>
      </c>
      <c r="O53" s="544" t="str">
        <f>IF(VLOOKUP($E$53,[1]QUART!$A$2:$FA$315, 14, FALSE)="",":",VLOOKUP($E$53,[1]QUART!$A$2:$FA$315, 14, FALSE))</f>
        <v>:</v>
      </c>
      <c r="P53" s="544" t="str">
        <f>IF(VLOOKUP($E$53,[1]QUART!$A$2:$FA$315, 15, FALSE)="",":",VLOOKUP($E$53,[1]QUART!$A$2:$FA$315, 15, FALSE))</f>
        <v>:</v>
      </c>
      <c r="Q53" s="544" t="str">
        <f>IF(VLOOKUP($E$53,[1]QUART!$A$2:$FA$315, 16, FALSE)="",":",VLOOKUP($E$53,[1]QUART!$A$2:$FA$315, 16, FALSE))</f>
        <v>:</v>
      </c>
      <c r="R53" s="544" t="str">
        <f>IF(VLOOKUP($E$53,[1]QUART!$A$2:$FA$315, 17, FALSE)="",":",VLOOKUP($E$53,[1]QUART!$A$2:$FA$315, 17, FALSE))</f>
        <v>:</v>
      </c>
      <c r="S53" s="544" t="str">
        <f>IF(VLOOKUP($E$53,[1]QUART!$A$2:$FA$315, 18, FALSE)="",":",VLOOKUP($E$53,[1]QUART!$A$2:$FA$315, 18, FALSE))</f>
        <v>:</v>
      </c>
      <c r="T53" s="544" t="str">
        <f>IF(VLOOKUP($E$53,[1]QUART!$A$2:$FA$315, 19, FALSE)="",":",VLOOKUP($E$53,[1]QUART!$A$2:$FA$315, 19, FALSE))</f>
        <v>:</v>
      </c>
      <c r="U53" s="544" t="str">
        <f>IF(VLOOKUP($E$53,[1]QUART!$A$2:$FA$315, 20, FALSE)="",":",VLOOKUP($E$53,[1]QUART!$A$2:$FA$315, 20, FALSE))</f>
        <v>:</v>
      </c>
      <c r="V53" s="544" t="str">
        <f>IF(VLOOKUP($E$53,[1]QUART!$A$2:$FA$315, 21, FALSE)="",":",VLOOKUP($E$53,[1]QUART!$A$2:$FA$315, 21, FALSE))</f>
        <v>:</v>
      </c>
      <c r="W53" s="544" t="str">
        <f>IF(VLOOKUP($E$53,[1]QUART!$A$2:$FA$315, 22, FALSE)="",":",VLOOKUP($E$53,[1]QUART!$A$2:$FA$315, 22, FALSE))</f>
        <v>:</v>
      </c>
      <c r="X53" s="544" t="str">
        <f>IF(VLOOKUP($E$53,[1]QUART!$A$2:$FA$315, 23, FALSE)="",":",VLOOKUP($E$53,[1]QUART!$A$2:$FA$315, 23, FALSE))</f>
        <v>:</v>
      </c>
      <c r="Y53" s="544" t="str">
        <f>IF(VLOOKUP($E$53,[1]QUART!$A$2:$FA$315, 24, FALSE)="",":",VLOOKUP($E$53,[1]QUART!$A$2:$FA$315, 24, FALSE))</f>
        <v>:</v>
      </c>
      <c r="Z53" s="544" t="str">
        <f>IF(VLOOKUP($E$53,[1]QUART!$A$2:$FA$315, 25, FALSE)="",":",VLOOKUP($E$53,[1]QUART!$A$2:$FA$315, 25, FALSE))</f>
        <v>:</v>
      </c>
      <c r="AA53" s="544" t="str">
        <f>IF(VLOOKUP($E$53,[1]QUART!$A$2:$FA$315, 26, FALSE)="",":",VLOOKUP($E$53,[1]QUART!$A$2:$FA$315, 26, FALSE))</f>
        <v>:</v>
      </c>
      <c r="AB53" s="544" t="str">
        <f>IF(VLOOKUP($E$53,[1]QUART!$A$2:$FA$315, 27, FALSE)="",":",VLOOKUP($E$53,[1]QUART!$A$2:$FA$315, 27, FALSE))</f>
        <v>:</v>
      </c>
      <c r="AC53" s="544" t="str">
        <f>IF(VLOOKUP($E$53,[1]QUART!$A$2:$FA$315, 28, FALSE)="",":",VLOOKUP($E$53,[1]QUART!$A$2:$FA$315, 28, FALSE))</f>
        <v>:</v>
      </c>
      <c r="AD53" s="544" t="str">
        <f>IF(VLOOKUP($E$53,[1]QUART!$A$2:$FA$315, 29, FALSE)="",":",VLOOKUP($E$53,[1]QUART!$A$2:$FA$315, 29, FALSE))</f>
        <v>:</v>
      </c>
      <c r="AE53" s="544" t="str">
        <f>IF(VLOOKUP($E$53,[1]QUART!$A$2:$FA$315, 30, FALSE)="",":",VLOOKUP($E$53,[1]QUART!$A$2:$FA$315, 30, FALSE))</f>
        <v>:</v>
      </c>
      <c r="AF53" s="544" t="str">
        <f>IF(VLOOKUP($E$53,[1]QUART!$A$2:$FA$315, 31, FALSE)="",":",VLOOKUP($E$53,[1]QUART!$A$2:$FA$315, 31, FALSE))</f>
        <v>:</v>
      </c>
      <c r="AG53" s="544" t="str">
        <f>IF(VLOOKUP($E$53,[1]QUART!$A$2:$FA$315, 32, FALSE)="",":",VLOOKUP($E$53,[1]QUART!$A$2:$FA$315, 32, FALSE))</f>
        <v>:</v>
      </c>
      <c r="AH53" s="544" t="str">
        <f>IF(VLOOKUP($E$53,[1]QUART!$A$2:$FA$315, 33, FALSE)="",":",VLOOKUP($E$53,[1]QUART!$A$2:$FA$315, 33, FALSE))</f>
        <v>:</v>
      </c>
      <c r="AI53" s="544" t="str">
        <f>IF(VLOOKUP($E$53,[1]QUART!$A$2:$FA$315, 34, FALSE)="",":",VLOOKUP($E$53,[1]QUART!$A$2:$FA$315, 34, FALSE))</f>
        <v>:</v>
      </c>
      <c r="AJ53" s="544" t="str">
        <f>IF(VLOOKUP($E$53,[1]QUART!$A$2:$FA$315, 35, FALSE)="",":",VLOOKUP($E$53,[1]QUART!$A$2:$FA$315, 35, FALSE))</f>
        <v>:</v>
      </c>
      <c r="AK53" s="544" t="str">
        <f>IF(VLOOKUP($E$53,[1]QUART!$A$2:$FA$315, 36, FALSE)="",":",VLOOKUP($E$53,[1]QUART!$A$2:$FA$315, 36, FALSE))</f>
        <v>:</v>
      </c>
      <c r="AL53" s="544" t="str">
        <f>IF(VLOOKUP($E$53,[1]QUART!$A$2:$FA$315, 37, FALSE)="",":",VLOOKUP($E$53,[1]QUART!$A$2:$FA$315, 37, FALSE))</f>
        <v>:</v>
      </c>
      <c r="AM53" s="544" t="str">
        <f>IF(VLOOKUP($E$53,[1]QUART!$A$2:$FA$315, 38, FALSE)="",":",VLOOKUP($E$53,[1]QUART!$A$2:$FA$315, 38, FALSE))</f>
        <v>:</v>
      </c>
      <c r="AN53" s="544" t="str">
        <f>IF(VLOOKUP($E$53,[1]QUART!$A$2:$FA$315, 39, FALSE)="",":",VLOOKUP($E$53,[1]QUART!$A$2:$FA$315, 39, FALSE))</f>
        <v>:</v>
      </c>
      <c r="AO53" s="544" t="str">
        <f>IF(VLOOKUP($E$53,[1]QUART!$A$2:$FA$315, 40, FALSE)="",":",VLOOKUP($E$53,[1]QUART!$A$2:$FA$315, 40, FALSE))</f>
        <v>:</v>
      </c>
      <c r="AP53" s="544" t="str">
        <f>IF(VLOOKUP($E$53,[1]QUART!$A$2:$FA$315, 41, FALSE)="",":",VLOOKUP($E$53,[1]QUART!$A$2:$FA$315, 41, FALSE))</f>
        <v>:</v>
      </c>
      <c r="AQ53" s="544" t="str">
        <f>IF(VLOOKUP($E$53,[1]QUART!$A$2:$FA$315, 42, FALSE)="",":",VLOOKUP($E$53,[1]QUART!$A$2:$FA$315, 42, FALSE))</f>
        <v>:</v>
      </c>
      <c r="AR53" s="544" t="str">
        <f>IF(VLOOKUP($E$53,[1]QUART!$A$2:$FA$315, 43, FALSE)="",":",VLOOKUP($E$53,[1]QUART!$A$2:$FA$315, 43, FALSE))</f>
        <v>:</v>
      </c>
      <c r="AS53" s="544" t="str">
        <f>IF(VLOOKUP($E$53,[1]QUART!$A$2:$FA$315, 44, FALSE)="",":",VLOOKUP($E$53,[1]QUART!$A$2:$FA$315, 44, FALSE))</f>
        <v>:</v>
      </c>
      <c r="AT53" s="544" t="str">
        <f>IF(VLOOKUP($E$53,[1]QUART!$A$2:$FA$315, 45, FALSE)="",":",VLOOKUP($E$53,[1]QUART!$A$2:$FA$315, 45, FALSE))</f>
        <v>:</v>
      </c>
      <c r="AU53" s="544" t="str">
        <f>IF(VLOOKUP($E$53,[1]QUART!$A$2:$FA$315, 46, FALSE)="",":",VLOOKUP($E$53,[1]QUART!$A$2:$FA$315, 46, FALSE))</f>
        <v>:</v>
      </c>
      <c r="AV53" s="544" t="str">
        <f>IF(VLOOKUP($E$53,[1]QUART!$A$2:$FA$315, 47, FALSE)="",":",VLOOKUP($E$53,[1]QUART!$A$2:$FA$315, 47, FALSE))</f>
        <v>:</v>
      </c>
      <c r="AW53" s="544" t="str">
        <f>IF(VLOOKUP($E$53,[1]QUART!$A$2:$FA$315, 48, FALSE)="",":",VLOOKUP($E$53,[1]QUART!$A$2:$FA$315, 48, FALSE))</f>
        <v>:</v>
      </c>
      <c r="AX53" s="544" t="str">
        <f>IF(VLOOKUP($E$53,[1]QUART!$A$2:$FA$315, 49, FALSE)="",":",VLOOKUP($E$53,[1]QUART!$A$2:$FA$315, 49, FALSE))</f>
        <v>:</v>
      </c>
      <c r="AY53" s="544" t="str">
        <f>IF(VLOOKUP($E$53,[1]QUART!$A$2:$FA$315, 50, FALSE)="",":",VLOOKUP($E$53,[1]QUART!$A$2:$FA$315, 50, FALSE))</f>
        <v>:</v>
      </c>
      <c r="AZ53" s="544" t="str">
        <f>IF(VLOOKUP($E$53,[1]QUART!$A$2:$FA$315, 51, FALSE)="",":",VLOOKUP($E$53,[1]QUART!$A$2:$FA$315, 51, FALSE))</f>
        <v>:</v>
      </c>
      <c r="BA53" s="544" t="str">
        <f>IF(VLOOKUP($E$53,[1]QUART!$A$2:$FA$315, 52, FALSE)="",":",VLOOKUP($E$53,[1]QUART!$A$2:$FA$315, 52, FALSE))</f>
        <v>:</v>
      </c>
      <c r="BB53" s="544" t="str">
        <f>IF(VLOOKUP($E$53,[1]QUART!$A$2:$FA$315, 53, FALSE)="",":",VLOOKUP($E$53,[1]QUART!$A$2:$FA$315, 53, FALSE))</f>
        <v>:</v>
      </c>
      <c r="BC53" s="544" t="str">
        <f>IF(VLOOKUP($E$53,[1]QUART!$A$2:$FA$315, 54, FALSE)="",":",VLOOKUP($E$53,[1]QUART!$A$2:$FA$315, 54, FALSE))</f>
        <v>:</v>
      </c>
      <c r="BD53" s="544" t="str">
        <f>IF(VLOOKUP($E$53,[1]QUART!$A$2:$FA$315, 55, FALSE)="",":",VLOOKUP($E$53,[1]QUART!$A$2:$FA$315, 55, FALSE))</f>
        <v>:</v>
      </c>
      <c r="BE53" s="544" t="str">
        <f>IF(VLOOKUP($E$53,[1]QUART!$A$2:$FA$315, 56, FALSE)="",":",VLOOKUP($E$53,[1]QUART!$A$2:$FA$315, 56, FALSE))</f>
        <v>:</v>
      </c>
      <c r="BF53" s="544" t="str">
        <f>IF(VLOOKUP($E$53,[1]QUART!$A$2:$FA$315, 57, FALSE)="",":",VLOOKUP($E$53,[1]QUART!$A$2:$FA$315, 57, FALSE))</f>
        <v>:</v>
      </c>
      <c r="BG53" s="544" t="str">
        <f>IF(VLOOKUP($E$53,[1]QUART!$A$2:$FA$315, 58, FALSE)="",":",VLOOKUP($E$53,[1]QUART!$A$2:$FA$315, 58, FALSE))</f>
        <v>:</v>
      </c>
      <c r="BH53" s="544" t="str">
        <f>IF(VLOOKUP($E$53,[1]QUART!$A$2:$FA$315, 59, FALSE)="",":",VLOOKUP($E$53,[1]QUART!$A$2:$FA$315, 59, FALSE))</f>
        <v>:</v>
      </c>
      <c r="BI53" s="544" t="str">
        <f>IF(VLOOKUP($E$53,[1]QUART!$A$2:$FA$315, 60, FALSE)="",":",VLOOKUP($E$53,[1]QUART!$A$2:$FA$315, 60, FALSE))</f>
        <v>:</v>
      </c>
      <c r="BJ53" s="544" t="str">
        <f>IF(VLOOKUP($E$53,[1]QUART!$A$2:$FA$315, 61, FALSE)="",":",VLOOKUP($E$53,[1]QUART!$A$2:$FA$315, 61, FALSE))</f>
        <v>:</v>
      </c>
      <c r="BK53" s="544" t="str">
        <f>IF(VLOOKUP($E$53,[1]QUART!$A$2:$FA$315, 62, FALSE)="",":",VLOOKUP($E$53,[1]QUART!$A$2:$FA$315, 62, FALSE))</f>
        <v>:</v>
      </c>
      <c r="BL53" s="544" t="str">
        <f>IF(VLOOKUP($E$53,[1]QUART!$A$2:$FA$315, 63, FALSE)="",":",VLOOKUP($E$53,[1]QUART!$A$2:$FA$315, 63, FALSE))</f>
        <v>:</v>
      </c>
      <c r="BM53" s="544" t="str">
        <f>IF(VLOOKUP($E$53,[1]QUART!$A$2:$FA$315, 64, FALSE)="",":",VLOOKUP($E$53,[1]QUART!$A$2:$FA$315, 64, FALSE))</f>
        <v>:</v>
      </c>
      <c r="BN53" s="544" t="str">
        <f>IF(VLOOKUP($E$53,[1]QUART!$A$2:$FA$315, 65, FALSE)="",":",VLOOKUP($E$53,[1]QUART!$A$2:$FA$315, 65, FALSE))</f>
        <v>:</v>
      </c>
      <c r="BO53" s="544" t="str">
        <f>IF(VLOOKUP($E$53,[1]QUART!$A$2:$FA$315, 66, FALSE)="",":",VLOOKUP($E$53,[1]QUART!$A$2:$FA$315, 66, FALSE))</f>
        <v>:</v>
      </c>
      <c r="BP53" s="544" t="str">
        <f>IF(VLOOKUP($E$53,[1]QUART!$A$2:$FA$315, 67, FALSE)="",":",VLOOKUP($E$53,[1]QUART!$A$2:$FA$315, 67, FALSE))</f>
        <v>:</v>
      </c>
      <c r="BQ53" s="544" t="str">
        <f>IF(VLOOKUP($E$53,[1]QUART!$A$2:$FA$315, 68, FALSE)="",":",VLOOKUP($E$53,[1]QUART!$A$2:$FA$315, 68, FALSE))</f>
        <v>:</v>
      </c>
      <c r="BR53" s="544" t="str">
        <f>IF(VLOOKUP($E$53,[1]QUART!$A$2:$FA$315, 69, FALSE)="",":",VLOOKUP($E$53,[1]QUART!$A$2:$FA$315, 69, FALSE))</f>
        <v>:</v>
      </c>
      <c r="BS53" s="544" t="str">
        <f>IF(VLOOKUP($E$53,[1]QUART!$A$2:$FA$315, 70, FALSE)="",":",VLOOKUP($E$53,[1]QUART!$A$2:$FA$315, 70, FALSE))</f>
        <v>:</v>
      </c>
      <c r="BT53" s="544" t="str">
        <f>IF(VLOOKUP($E$53,[1]QUART!$A$2:$FA$315, 71, FALSE)="",":",VLOOKUP($E$53,[1]QUART!$A$2:$FA$315, 71, FALSE))</f>
        <v>:</v>
      </c>
      <c r="BU53" s="544" t="str">
        <f>IF(VLOOKUP($E$53,[1]QUART!$A$2:$FA$315, 72, FALSE)="",":",VLOOKUP($E$53,[1]QUART!$A$2:$FA$315, 72, FALSE))</f>
        <v>:</v>
      </c>
      <c r="BV53" s="544" t="str">
        <f>IF(VLOOKUP($E$53,[1]QUART!$A$2:$FA$315, 73, FALSE)="",":",VLOOKUP($E$53,[1]QUART!$A$2:$FA$315, 73, FALSE))</f>
        <v>:</v>
      </c>
      <c r="BW53" s="544" t="str">
        <f>IF(VLOOKUP($E$53,[1]QUART!$A$2:$FA$315, 74, FALSE)="",":",VLOOKUP($E$53,[1]QUART!$A$2:$FA$315, 74, FALSE))</f>
        <v>:</v>
      </c>
      <c r="BX53" s="544" t="str">
        <f>IF(VLOOKUP($E$53,[1]QUART!$A$2:$FA$315, 75, FALSE)="",":",VLOOKUP($E$53,[1]QUART!$A$2:$FA$315, 75, FALSE))</f>
        <v>:</v>
      </c>
      <c r="BY53" s="544" t="str">
        <f>IF(VLOOKUP($E$53,[1]QUART!$A$2:$FA$315, 76, FALSE)="",":",VLOOKUP($E$53,[1]QUART!$A$2:$FA$315, 76, FALSE))</f>
        <v>:</v>
      </c>
      <c r="BZ53" s="544" t="str">
        <f>IF(VLOOKUP($E$53,[1]QUART!$A$2:$FA$315, 77, FALSE)="",":",VLOOKUP($E$53,[1]QUART!$A$2:$FA$315, 77, FALSE))</f>
        <v>:</v>
      </c>
      <c r="CA53" s="544" t="str">
        <f>IF(VLOOKUP($E$53,[1]QUART!$A$2:$FA$315, 78, FALSE)="",":",VLOOKUP($E$53,[1]QUART!$A$2:$FA$315, 78, FALSE))</f>
        <v>:</v>
      </c>
      <c r="CB53" s="544" t="str">
        <f>IF(VLOOKUP($E$53,[1]QUART!$A$2:$FA$315, 79, FALSE)="",":",VLOOKUP($E$53,[1]QUART!$A$2:$FA$315, 79, FALSE))</f>
        <v>:</v>
      </c>
      <c r="CC53" s="544" t="str">
        <f>IF(VLOOKUP($E$53,[1]QUART!$A$2:$FA$315, 80, FALSE)="",":",VLOOKUP($E$53,[1]QUART!$A$2:$FA$315, 80, FALSE))</f>
        <v>:</v>
      </c>
      <c r="CD53" s="544" t="str">
        <f>IF(VLOOKUP($E$53,[1]QUART!$A$2:$FA$315, 81, FALSE)="",":",VLOOKUP($E$53,[1]QUART!$A$2:$FA$315, 81, FALSE))</f>
        <v>:</v>
      </c>
      <c r="CE53" s="544" t="str">
        <f>IF(VLOOKUP($E$53,[1]QUART!$A$2:$FA$315, 82, FALSE)="",":",VLOOKUP($E$53,[1]QUART!$A$2:$FA$315, 82, FALSE))</f>
        <v>:</v>
      </c>
      <c r="CF53" s="544" t="str">
        <f>IF(VLOOKUP($E$53,[1]QUART!$A$2:$FA$315, 83, FALSE)="",":",VLOOKUP($E$53,[1]QUART!$A$2:$FA$315, 83, FALSE))</f>
        <v>:</v>
      </c>
      <c r="CG53" s="544" t="str">
        <f>IF(VLOOKUP($E$53,[1]QUART!$A$2:$FA$315, 84, FALSE)="",":",VLOOKUP($E$53,[1]QUART!$A$2:$FA$315, 84, FALSE))</f>
        <v>:</v>
      </c>
      <c r="CH53" s="544" t="str">
        <f>IF(VLOOKUP($E$53,[1]QUART!$A$2:$FA$315, 85, FALSE)="",":",VLOOKUP($E$53,[1]QUART!$A$2:$FA$315, 85, FALSE))</f>
        <v>:</v>
      </c>
      <c r="CI53" s="544" t="str">
        <f>IF(VLOOKUP($E$53,[1]QUART!$A$2:$FA$315, 86, FALSE)="",":",VLOOKUP($E$53,[1]QUART!$A$2:$FA$315, 86, FALSE))</f>
        <v>:</v>
      </c>
      <c r="CJ53" s="544" t="str">
        <f>IF(VLOOKUP($E$53,[1]QUART!$A$2:$FA$315, 87, FALSE)="",":",VLOOKUP($E$53,[1]QUART!$A$2:$FA$315, 87, FALSE))</f>
        <v>:</v>
      </c>
      <c r="CK53" s="544" t="str">
        <f>IF(VLOOKUP($E$53,[1]QUART!$A$2:$FA$315, 88, FALSE)="",":",VLOOKUP($E$53,[1]QUART!$A$2:$FA$315, 88, FALSE))</f>
        <v>:</v>
      </c>
      <c r="CL53" s="544" t="str">
        <f>IF(VLOOKUP($E$53,[1]QUART!$A$2:$FA$315, 89, FALSE)="",":",VLOOKUP($E$53,[1]QUART!$A$2:$FA$315, 89, FALSE))</f>
        <v>:</v>
      </c>
      <c r="CM53" s="544" t="str">
        <f>IF(VLOOKUP($E$53,[1]QUART!$A$2:$FA$315, 90, FALSE)="",":",VLOOKUP($E$53,[1]QUART!$A$2:$FA$315, 90, FALSE))</f>
        <v>:</v>
      </c>
      <c r="CN53" s="544" t="str">
        <f>IF(VLOOKUP($E$53,[1]QUART!$A$2:$FA$315, 91, FALSE)="",":",VLOOKUP($E$53,[1]QUART!$A$2:$FA$315, 91, FALSE))</f>
        <v>:</v>
      </c>
      <c r="CO53" s="544" t="str">
        <f>IF(VLOOKUP($E$53,[1]QUART!$A$2:$FA$315, 92, FALSE)="",":",VLOOKUP($E$53,[1]QUART!$A$2:$FA$315, 92, FALSE))</f>
        <v>:</v>
      </c>
      <c r="CP53" s="544" t="str">
        <f>IF(VLOOKUP($E$53,[1]QUART!$A$2:$FA$315, 93, FALSE)="",":",VLOOKUP($E$53,[1]QUART!$A$2:$FA$315, 93, FALSE))</f>
        <v>:</v>
      </c>
      <c r="CQ53" s="544" t="str">
        <f>IF(VLOOKUP($E$53,[1]QUART!$A$2:$FA$315, 94, FALSE)="",":",VLOOKUP($E$53,[1]QUART!$A$2:$FA$315, 94, FALSE))</f>
        <v>:</v>
      </c>
      <c r="CR53" s="544" t="str">
        <f>IF(VLOOKUP($E$53,[1]QUART!$A$2:$FA$315, 95, FALSE)="",":",VLOOKUP($E$53,[1]QUART!$A$2:$FA$315, 95, FALSE))</f>
        <v>:</v>
      </c>
      <c r="CS53" s="544" t="str">
        <f>IF(VLOOKUP($E$53,[1]QUART!$A$2:$FA$315, 96, FALSE)="",":",VLOOKUP($E$53,[1]QUART!$A$2:$FA$315, 96, FALSE))</f>
        <v>:</v>
      </c>
      <c r="CT53" s="544" t="str">
        <f>IF(VLOOKUP($E$53,[1]QUART!$A$2:$FA$315, 97, FALSE)="",":",VLOOKUP($E$53,[1]QUART!$A$2:$FA$315, 97, FALSE))</f>
        <v>:</v>
      </c>
      <c r="CU53" s="544" t="str">
        <f>IF(VLOOKUP($E$53,[1]QUART!$A$2:$FA$315, 98, FALSE)="",":",VLOOKUP($E$53,[1]QUART!$A$2:$FA$315, 98, FALSE))</f>
        <v>:</v>
      </c>
      <c r="CV53" s="544" t="str">
        <f>IF(VLOOKUP($E$53,[1]QUART!$A$2:$FA$315, 99, FALSE)="",":",VLOOKUP($E$53,[1]QUART!$A$2:$FA$315, 99, FALSE))</f>
        <v>:</v>
      </c>
      <c r="CW53" s="544" t="str">
        <f>IF(VLOOKUP($E$53,[1]QUART!$A$2:$FA$315, 100, FALSE)="",":",VLOOKUP($E$53,[1]QUART!$A$2:$FA$315, 100, FALSE))</f>
        <v>:</v>
      </c>
      <c r="CX53" s="544" t="str">
        <f>IF(VLOOKUP($E$53,[1]QUART!$A$2:$FA$315, 101, FALSE)="",":",VLOOKUP($E$53,[1]QUART!$A$2:$FA$315, 101, FALSE))</f>
        <v>:</v>
      </c>
      <c r="CY53" s="544" t="str">
        <f>IF(VLOOKUP($E$53,[1]QUART!$A$2:$FA$315, 102, FALSE)="",":",VLOOKUP($E$53,[1]QUART!$A$2:$FA$315, 102, FALSE))</f>
        <v>:</v>
      </c>
      <c r="CZ53" s="544" t="str">
        <f>IF(VLOOKUP($E$53,[1]QUART!$A$2:$FA$315, 103, FALSE)="",":",VLOOKUP($E$53,[1]QUART!$A$2:$FA$315, 103, FALSE))</f>
        <v>:</v>
      </c>
      <c r="DA53" s="544" t="str">
        <f>IF(VLOOKUP($E$53,[1]QUART!$A$2:$FA$315, 104, FALSE)="",":",VLOOKUP($E$53,[1]QUART!$A$2:$FA$315, 104, FALSE))</f>
        <v>:</v>
      </c>
      <c r="DB53" s="544" t="str">
        <f>IF(VLOOKUP($E$53,[1]QUART!$A$2:$FA$315, 105, FALSE)="",":",VLOOKUP($E$53,[1]QUART!$A$2:$FA$315, 105, FALSE))</f>
        <v>:</v>
      </c>
      <c r="DC53" s="544" t="str">
        <f>IF(VLOOKUP($E$53,[1]QUART!$A$2:$FA$315, 106, FALSE)="",":",VLOOKUP($E$53,[1]QUART!$A$2:$FA$315, 106, FALSE))</f>
        <v>:</v>
      </c>
    </row>
    <row r="54" spans="1:107">
      <c r="A54" s="1954"/>
      <c r="B54" s="534"/>
      <c r="C54" s="535"/>
      <c r="D54" s="12" t="s">
        <v>1841</v>
      </c>
      <c r="E54" s="13">
        <v>121</v>
      </c>
      <c r="F54" s="14" t="str">
        <f>VLOOKUP($E$54,[1]QUART!$A$2:$FA$315, 3, FALSE)</f>
        <v xml:space="preserve">121  Government final consumption expenditure                                        </v>
      </c>
      <c r="G54" s="544" t="str">
        <f>IF(VLOOKUP($E$54,[1]QUART!$A$2:$FA$315, 6, FALSE)="",":",VLOOKUP($E$54,[1]QUART!$A$2:$FA$315, 6, FALSE))</f>
        <v>:</v>
      </c>
      <c r="H54" s="544" t="str">
        <f>IF(VLOOKUP($E$54,[1]QUART!$A$2:$FA$315, 7, FALSE)="",":",VLOOKUP($E$54,[1]QUART!$A$2:$FA$315, 7, FALSE))</f>
        <v>:</v>
      </c>
      <c r="I54" s="544" t="str">
        <f>IF(VLOOKUP($E$54,[1]QUART!$A$2:$FA$315, 8, FALSE)="",":",VLOOKUP($E$54,[1]QUART!$A$2:$FA$315, 8, FALSE))</f>
        <v>:</v>
      </c>
      <c r="J54" s="544" t="str">
        <f>IF(VLOOKUP($E$54,[1]QUART!$A$2:$FA$315, 9, FALSE)="",":",VLOOKUP($E$54,[1]QUART!$A$2:$FA$315, 9, FALSE))</f>
        <v>:</v>
      </c>
      <c r="K54" s="544" t="str">
        <f>IF(VLOOKUP($E$54,[1]QUART!$A$2:$FA$315, 10, FALSE)="",":",VLOOKUP($E$54,[1]QUART!$A$2:$FA$315, 10, FALSE))</f>
        <v>:</v>
      </c>
      <c r="L54" s="544" t="str">
        <f>IF(VLOOKUP($E$54,[1]QUART!$A$2:$FA$315, 11, FALSE)="",":",VLOOKUP($E$54,[1]QUART!$A$2:$FA$315, 11, FALSE))</f>
        <v>:</v>
      </c>
      <c r="M54" s="544" t="str">
        <f>IF(VLOOKUP($E$54,[1]QUART!$A$2:$FA$315, 12, FALSE)="",":",VLOOKUP($E$54,[1]QUART!$A$2:$FA$315, 12, FALSE))</f>
        <v>:</v>
      </c>
      <c r="N54" s="544" t="str">
        <f>IF(VLOOKUP($E$54,[1]QUART!$A$2:$FA$315, 13, FALSE)="",":",VLOOKUP($E$54,[1]QUART!$A$2:$FA$315, 13, FALSE))</f>
        <v>:</v>
      </c>
      <c r="O54" s="544" t="str">
        <f>IF(VLOOKUP($E$54,[1]QUART!$A$2:$FA$315, 14, FALSE)="",":",VLOOKUP($E$54,[1]QUART!$A$2:$FA$315, 14, FALSE))</f>
        <v>:</v>
      </c>
      <c r="P54" s="544" t="str">
        <f>IF(VLOOKUP($E$54,[1]QUART!$A$2:$FA$315, 15, FALSE)="",":",VLOOKUP($E$54,[1]QUART!$A$2:$FA$315, 15, FALSE))</f>
        <v>:</v>
      </c>
      <c r="Q54" s="544" t="str">
        <f>IF(VLOOKUP($E$54,[1]QUART!$A$2:$FA$315, 16, FALSE)="",":",VLOOKUP($E$54,[1]QUART!$A$2:$FA$315, 16, FALSE))</f>
        <v>:</v>
      </c>
      <c r="R54" s="544" t="str">
        <f>IF(VLOOKUP($E$54,[1]QUART!$A$2:$FA$315, 17, FALSE)="",":",VLOOKUP($E$54,[1]QUART!$A$2:$FA$315, 17, FALSE))</f>
        <v>:</v>
      </c>
      <c r="S54" s="544" t="str">
        <f>IF(VLOOKUP($E$54,[1]QUART!$A$2:$FA$315, 18, FALSE)="",":",VLOOKUP($E$54,[1]QUART!$A$2:$FA$315, 18, FALSE))</f>
        <v>:</v>
      </c>
      <c r="T54" s="544" t="str">
        <f>IF(VLOOKUP($E$54,[1]QUART!$A$2:$FA$315, 19, FALSE)="",":",VLOOKUP($E$54,[1]QUART!$A$2:$FA$315, 19, FALSE))</f>
        <v>:</v>
      </c>
      <c r="U54" s="544" t="str">
        <f>IF(VLOOKUP($E$54,[1]QUART!$A$2:$FA$315, 20, FALSE)="",":",VLOOKUP($E$54,[1]QUART!$A$2:$FA$315, 20, FALSE))</f>
        <v>:</v>
      </c>
      <c r="V54" s="544" t="str">
        <f>IF(VLOOKUP($E$54,[1]QUART!$A$2:$FA$315, 21, FALSE)="",":",VLOOKUP($E$54,[1]QUART!$A$2:$FA$315, 21, FALSE))</f>
        <v>:</v>
      </c>
      <c r="W54" s="544" t="str">
        <f>IF(VLOOKUP($E$54,[1]QUART!$A$2:$FA$315, 22, FALSE)="",":",VLOOKUP($E$54,[1]QUART!$A$2:$FA$315, 22, FALSE))</f>
        <v>:</v>
      </c>
      <c r="X54" s="544" t="str">
        <f>IF(VLOOKUP($E$54,[1]QUART!$A$2:$FA$315, 23, FALSE)="",":",VLOOKUP($E$54,[1]QUART!$A$2:$FA$315, 23, FALSE))</f>
        <v>:</v>
      </c>
      <c r="Y54" s="544" t="str">
        <f>IF(VLOOKUP($E$54,[1]QUART!$A$2:$FA$315, 24, FALSE)="",":",VLOOKUP($E$54,[1]QUART!$A$2:$FA$315, 24, FALSE))</f>
        <v>:</v>
      </c>
      <c r="Z54" s="544" t="str">
        <f>IF(VLOOKUP($E$54,[1]QUART!$A$2:$FA$315, 25, FALSE)="",":",VLOOKUP($E$54,[1]QUART!$A$2:$FA$315, 25, FALSE))</f>
        <v>:</v>
      </c>
      <c r="AA54" s="544" t="str">
        <f>IF(VLOOKUP($E$54,[1]QUART!$A$2:$FA$315, 26, FALSE)="",":",VLOOKUP($E$54,[1]QUART!$A$2:$FA$315, 26, FALSE))</f>
        <v>:</v>
      </c>
      <c r="AB54" s="544" t="str">
        <f>IF(VLOOKUP($E$54,[1]QUART!$A$2:$FA$315, 27, FALSE)="",":",VLOOKUP($E$54,[1]QUART!$A$2:$FA$315, 27, FALSE))</f>
        <v>:</v>
      </c>
      <c r="AC54" s="544" t="str">
        <f>IF(VLOOKUP($E$54,[1]QUART!$A$2:$FA$315, 28, FALSE)="",":",VLOOKUP($E$54,[1]QUART!$A$2:$FA$315, 28, FALSE))</f>
        <v>:</v>
      </c>
      <c r="AD54" s="544" t="str">
        <f>IF(VLOOKUP($E$54,[1]QUART!$A$2:$FA$315, 29, FALSE)="",":",VLOOKUP($E$54,[1]QUART!$A$2:$FA$315, 29, FALSE))</f>
        <v>:</v>
      </c>
      <c r="AE54" s="544" t="str">
        <f>IF(VLOOKUP($E$54,[1]QUART!$A$2:$FA$315, 30, FALSE)="",":",VLOOKUP($E$54,[1]QUART!$A$2:$FA$315, 30, FALSE))</f>
        <v>:</v>
      </c>
      <c r="AF54" s="544" t="str">
        <f>IF(VLOOKUP($E$54,[1]QUART!$A$2:$FA$315, 31, FALSE)="",":",VLOOKUP($E$54,[1]QUART!$A$2:$FA$315, 31, FALSE))</f>
        <v>:</v>
      </c>
      <c r="AG54" s="544" t="str">
        <f>IF(VLOOKUP($E$54,[1]QUART!$A$2:$FA$315, 32, FALSE)="",":",VLOOKUP($E$54,[1]QUART!$A$2:$FA$315, 32, FALSE))</f>
        <v>:</v>
      </c>
      <c r="AH54" s="544" t="str">
        <f>IF(VLOOKUP($E$54,[1]QUART!$A$2:$FA$315, 33, FALSE)="",":",VLOOKUP($E$54,[1]QUART!$A$2:$FA$315, 33, FALSE))</f>
        <v>:</v>
      </c>
      <c r="AI54" s="544" t="str">
        <f>IF(VLOOKUP($E$54,[1]QUART!$A$2:$FA$315, 34, FALSE)="",":",VLOOKUP($E$54,[1]QUART!$A$2:$FA$315, 34, FALSE))</f>
        <v>:</v>
      </c>
      <c r="AJ54" s="544" t="str">
        <f>IF(VLOOKUP($E$54,[1]QUART!$A$2:$FA$315, 35, FALSE)="",":",VLOOKUP($E$54,[1]QUART!$A$2:$FA$315, 35, FALSE))</f>
        <v>:</v>
      </c>
      <c r="AK54" s="544" t="str">
        <f>IF(VLOOKUP($E$54,[1]QUART!$A$2:$FA$315, 36, FALSE)="",":",VLOOKUP($E$54,[1]QUART!$A$2:$FA$315, 36, FALSE))</f>
        <v>:</v>
      </c>
      <c r="AL54" s="544" t="str">
        <f>IF(VLOOKUP($E$54,[1]QUART!$A$2:$FA$315, 37, FALSE)="",":",VLOOKUP($E$54,[1]QUART!$A$2:$FA$315, 37, FALSE))</f>
        <v>:</v>
      </c>
      <c r="AM54" s="544" t="str">
        <f>IF(VLOOKUP($E$54,[1]QUART!$A$2:$FA$315, 38, FALSE)="",":",VLOOKUP($E$54,[1]QUART!$A$2:$FA$315, 38, FALSE))</f>
        <v>:</v>
      </c>
      <c r="AN54" s="544" t="str">
        <f>IF(VLOOKUP($E$54,[1]QUART!$A$2:$FA$315, 39, FALSE)="",":",VLOOKUP($E$54,[1]QUART!$A$2:$FA$315, 39, FALSE))</f>
        <v>:</v>
      </c>
      <c r="AO54" s="544" t="str">
        <f>IF(VLOOKUP($E$54,[1]QUART!$A$2:$FA$315, 40, FALSE)="",":",VLOOKUP($E$54,[1]QUART!$A$2:$FA$315, 40, FALSE))</f>
        <v>:</v>
      </c>
      <c r="AP54" s="544" t="str">
        <f>IF(VLOOKUP($E$54,[1]QUART!$A$2:$FA$315, 41, FALSE)="",":",VLOOKUP($E$54,[1]QUART!$A$2:$FA$315, 41, FALSE))</f>
        <v>:</v>
      </c>
      <c r="AQ54" s="544" t="str">
        <f>IF(VLOOKUP($E$54,[1]QUART!$A$2:$FA$315, 42, FALSE)="",":",VLOOKUP($E$54,[1]QUART!$A$2:$FA$315, 42, FALSE))</f>
        <v>:</v>
      </c>
      <c r="AR54" s="544" t="str">
        <f>IF(VLOOKUP($E$54,[1]QUART!$A$2:$FA$315, 43, FALSE)="",":",VLOOKUP($E$54,[1]QUART!$A$2:$FA$315, 43, FALSE))</f>
        <v>:</v>
      </c>
      <c r="AS54" s="544" t="str">
        <f>IF(VLOOKUP($E$54,[1]QUART!$A$2:$FA$315, 44, FALSE)="",":",VLOOKUP($E$54,[1]QUART!$A$2:$FA$315, 44, FALSE))</f>
        <v>:</v>
      </c>
      <c r="AT54" s="544" t="str">
        <f>IF(VLOOKUP($E$54,[1]QUART!$A$2:$FA$315, 45, FALSE)="",":",VLOOKUP($E$54,[1]QUART!$A$2:$FA$315, 45, FALSE))</f>
        <v>:</v>
      </c>
      <c r="AU54" s="544" t="str">
        <f>IF(VLOOKUP($E$54,[1]QUART!$A$2:$FA$315, 46, FALSE)="",":",VLOOKUP($E$54,[1]QUART!$A$2:$FA$315, 46, FALSE))</f>
        <v>:</v>
      </c>
      <c r="AV54" s="544" t="str">
        <f>IF(VLOOKUP($E$54,[1]QUART!$A$2:$FA$315, 47, FALSE)="",":",VLOOKUP($E$54,[1]QUART!$A$2:$FA$315, 47, FALSE))</f>
        <v>:</v>
      </c>
      <c r="AW54" s="544" t="str">
        <f>IF(VLOOKUP($E$54,[1]QUART!$A$2:$FA$315, 48, FALSE)="",":",VLOOKUP($E$54,[1]QUART!$A$2:$FA$315, 48, FALSE))</f>
        <v>:</v>
      </c>
      <c r="AX54" s="544" t="str">
        <f>IF(VLOOKUP($E$54,[1]QUART!$A$2:$FA$315, 49, FALSE)="",":",VLOOKUP($E$54,[1]QUART!$A$2:$FA$315, 49, FALSE))</f>
        <v>:</v>
      </c>
      <c r="AY54" s="544" t="str">
        <f>IF(VLOOKUP($E$54,[1]QUART!$A$2:$FA$315, 50, FALSE)="",":",VLOOKUP($E$54,[1]QUART!$A$2:$FA$315, 50, FALSE))</f>
        <v>:</v>
      </c>
      <c r="AZ54" s="544" t="str">
        <f>IF(VLOOKUP($E$54,[1]QUART!$A$2:$FA$315, 51, FALSE)="",":",VLOOKUP($E$54,[1]QUART!$A$2:$FA$315, 51, FALSE))</f>
        <v>:</v>
      </c>
      <c r="BA54" s="544" t="str">
        <f>IF(VLOOKUP($E$54,[1]QUART!$A$2:$FA$315, 52, FALSE)="",":",VLOOKUP($E$54,[1]QUART!$A$2:$FA$315, 52, FALSE))</f>
        <v>:</v>
      </c>
      <c r="BB54" s="544" t="str">
        <f>IF(VLOOKUP($E$54,[1]QUART!$A$2:$FA$315, 53, FALSE)="",":",VLOOKUP($E$54,[1]QUART!$A$2:$FA$315, 53, FALSE))</f>
        <v>:</v>
      </c>
      <c r="BC54" s="544" t="str">
        <f>IF(VLOOKUP($E$54,[1]QUART!$A$2:$FA$315, 54, FALSE)="",":",VLOOKUP($E$54,[1]QUART!$A$2:$FA$315, 54, FALSE))</f>
        <v>:</v>
      </c>
      <c r="BD54" s="544" t="str">
        <f>IF(VLOOKUP($E$54,[1]QUART!$A$2:$FA$315, 55, FALSE)="",":",VLOOKUP($E$54,[1]QUART!$A$2:$FA$315, 55, FALSE))</f>
        <v>:</v>
      </c>
      <c r="BE54" s="544" t="str">
        <f>IF(VLOOKUP($E$54,[1]QUART!$A$2:$FA$315, 56, FALSE)="",":",VLOOKUP($E$54,[1]QUART!$A$2:$FA$315, 56, FALSE))</f>
        <v>:</v>
      </c>
      <c r="BF54" s="544" t="str">
        <f>IF(VLOOKUP($E$54,[1]QUART!$A$2:$FA$315, 57, FALSE)="",":",VLOOKUP($E$54,[1]QUART!$A$2:$FA$315, 57, FALSE))</f>
        <v>:</v>
      </c>
      <c r="BG54" s="544" t="str">
        <f>IF(VLOOKUP($E$54,[1]QUART!$A$2:$FA$315, 58, FALSE)="",":",VLOOKUP($E$54,[1]QUART!$A$2:$FA$315, 58, FALSE))</f>
        <v>:</v>
      </c>
      <c r="BH54" s="544" t="str">
        <f>IF(VLOOKUP($E$54,[1]QUART!$A$2:$FA$315, 59, FALSE)="",":",VLOOKUP($E$54,[1]QUART!$A$2:$FA$315, 59, FALSE))</f>
        <v>:</v>
      </c>
      <c r="BI54" s="544" t="str">
        <f>IF(VLOOKUP($E$54,[1]QUART!$A$2:$FA$315, 60, FALSE)="",":",VLOOKUP($E$54,[1]QUART!$A$2:$FA$315, 60, FALSE))</f>
        <v>:</v>
      </c>
      <c r="BJ54" s="544" t="str">
        <f>IF(VLOOKUP($E$54,[1]QUART!$A$2:$FA$315, 61, FALSE)="",":",VLOOKUP($E$54,[1]QUART!$A$2:$FA$315, 61, FALSE))</f>
        <v>:</v>
      </c>
      <c r="BK54" s="544" t="str">
        <f>IF(VLOOKUP($E$54,[1]QUART!$A$2:$FA$315, 62, FALSE)="",":",VLOOKUP($E$54,[1]QUART!$A$2:$FA$315, 62, FALSE))</f>
        <v>:</v>
      </c>
      <c r="BL54" s="544" t="str">
        <f>IF(VLOOKUP($E$54,[1]QUART!$A$2:$FA$315, 63, FALSE)="",":",VLOOKUP($E$54,[1]QUART!$A$2:$FA$315, 63, FALSE))</f>
        <v>:</v>
      </c>
      <c r="BM54" s="544" t="str">
        <f>IF(VLOOKUP($E$54,[1]QUART!$A$2:$FA$315, 64, FALSE)="",":",VLOOKUP($E$54,[1]QUART!$A$2:$FA$315, 64, FALSE))</f>
        <v>:</v>
      </c>
      <c r="BN54" s="544" t="str">
        <f>IF(VLOOKUP($E$54,[1]QUART!$A$2:$FA$315, 65, FALSE)="",":",VLOOKUP($E$54,[1]QUART!$A$2:$FA$315, 65, FALSE))</f>
        <v>:</v>
      </c>
      <c r="BO54" s="544" t="str">
        <f>IF(VLOOKUP($E$54,[1]QUART!$A$2:$FA$315, 66, FALSE)="",":",VLOOKUP($E$54,[1]QUART!$A$2:$FA$315, 66, FALSE))</f>
        <v>:</v>
      </c>
      <c r="BP54" s="544" t="str">
        <f>IF(VLOOKUP($E$54,[1]QUART!$A$2:$FA$315, 67, FALSE)="",":",VLOOKUP($E$54,[1]QUART!$A$2:$FA$315, 67, FALSE))</f>
        <v>:</v>
      </c>
      <c r="BQ54" s="544" t="str">
        <f>IF(VLOOKUP($E$54,[1]QUART!$A$2:$FA$315, 68, FALSE)="",":",VLOOKUP($E$54,[1]QUART!$A$2:$FA$315, 68, FALSE))</f>
        <v>:</v>
      </c>
      <c r="BR54" s="544" t="str">
        <f>IF(VLOOKUP($E$54,[1]QUART!$A$2:$FA$315, 69, FALSE)="",":",VLOOKUP($E$54,[1]QUART!$A$2:$FA$315, 69, FALSE))</f>
        <v>:</v>
      </c>
      <c r="BS54" s="544" t="str">
        <f>IF(VLOOKUP($E$54,[1]QUART!$A$2:$FA$315, 70, FALSE)="",":",VLOOKUP($E$54,[1]QUART!$A$2:$FA$315, 70, FALSE))</f>
        <v>:</v>
      </c>
      <c r="BT54" s="544" t="str">
        <f>IF(VLOOKUP($E$54,[1]QUART!$A$2:$FA$315, 71, FALSE)="",":",VLOOKUP($E$54,[1]QUART!$A$2:$FA$315, 71, FALSE))</f>
        <v>:</v>
      </c>
      <c r="BU54" s="544" t="str">
        <f>IF(VLOOKUP($E$54,[1]QUART!$A$2:$FA$315, 72, FALSE)="",":",VLOOKUP($E$54,[1]QUART!$A$2:$FA$315, 72, FALSE))</f>
        <v>:</v>
      </c>
      <c r="BV54" s="544" t="str">
        <f>IF(VLOOKUP($E$54,[1]QUART!$A$2:$FA$315, 73, FALSE)="",":",VLOOKUP($E$54,[1]QUART!$A$2:$FA$315, 73, FALSE))</f>
        <v>:</v>
      </c>
      <c r="BW54" s="544" t="str">
        <f>IF(VLOOKUP($E$54,[1]QUART!$A$2:$FA$315, 74, FALSE)="",":",VLOOKUP($E$54,[1]QUART!$A$2:$FA$315, 74, FALSE))</f>
        <v>:</v>
      </c>
      <c r="BX54" s="544" t="str">
        <f>IF(VLOOKUP($E$54,[1]QUART!$A$2:$FA$315, 75, FALSE)="",":",VLOOKUP($E$54,[1]QUART!$A$2:$FA$315, 75, FALSE))</f>
        <v>:</v>
      </c>
      <c r="BY54" s="544" t="str">
        <f>IF(VLOOKUP($E$54,[1]QUART!$A$2:$FA$315, 76, FALSE)="",":",VLOOKUP($E$54,[1]QUART!$A$2:$FA$315, 76, FALSE))</f>
        <v>:</v>
      </c>
      <c r="BZ54" s="544" t="str">
        <f>IF(VLOOKUP($E$54,[1]QUART!$A$2:$FA$315, 77, FALSE)="",":",VLOOKUP($E$54,[1]QUART!$A$2:$FA$315, 77, FALSE))</f>
        <v>:</v>
      </c>
      <c r="CA54" s="544" t="str">
        <f>IF(VLOOKUP($E$54,[1]QUART!$A$2:$FA$315, 78, FALSE)="",":",VLOOKUP($E$54,[1]QUART!$A$2:$FA$315, 78, FALSE))</f>
        <v>:</v>
      </c>
      <c r="CB54" s="544" t="str">
        <f>IF(VLOOKUP($E$54,[1]QUART!$A$2:$FA$315, 79, FALSE)="",":",VLOOKUP($E$54,[1]QUART!$A$2:$FA$315, 79, FALSE))</f>
        <v>:</v>
      </c>
      <c r="CC54" s="544" t="str">
        <f>IF(VLOOKUP($E$54,[1]QUART!$A$2:$FA$315, 80, FALSE)="",":",VLOOKUP($E$54,[1]QUART!$A$2:$FA$315, 80, FALSE))</f>
        <v>:</v>
      </c>
      <c r="CD54" s="544" t="str">
        <f>IF(VLOOKUP($E$54,[1]QUART!$A$2:$FA$315, 81, FALSE)="",":",VLOOKUP($E$54,[1]QUART!$A$2:$FA$315, 81, FALSE))</f>
        <v>:</v>
      </c>
      <c r="CE54" s="544" t="str">
        <f>IF(VLOOKUP($E$54,[1]QUART!$A$2:$FA$315, 82, FALSE)="",":",VLOOKUP($E$54,[1]QUART!$A$2:$FA$315, 82, FALSE))</f>
        <v>:</v>
      </c>
      <c r="CF54" s="544" t="str">
        <f>IF(VLOOKUP($E$54,[1]QUART!$A$2:$FA$315, 83, FALSE)="",":",VLOOKUP($E$54,[1]QUART!$A$2:$FA$315, 83, FALSE))</f>
        <v>:</v>
      </c>
      <c r="CG54" s="544" t="str">
        <f>IF(VLOOKUP($E$54,[1]QUART!$A$2:$FA$315, 84, FALSE)="",":",VLOOKUP($E$54,[1]QUART!$A$2:$FA$315, 84, FALSE))</f>
        <v>:</v>
      </c>
      <c r="CH54" s="544" t="str">
        <f>IF(VLOOKUP($E$54,[1]QUART!$A$2:$FA$315, 85, FALSE)="",":",VLOOKUP($E$54,[1]QUART!$A$2:$FA$315, 85, FALSE))</f>
        <v>:</v>
      </c>
      <c r="CI54" s="544" t="str">
        <f>IF(VLOOKUP($E$54,[1]QUART!$A$2:$FA$315, 86, FALSE)="",":",VLOOKUP($E$54,[1]QUART!$A$2:$FA$315, 86, FALSE))</f>
        <v>:</v>
      </c>
      <c r="CJ54" s="544" t="str">
        <f>IF(VLOOKUP($E$54,[1]QUART!$A$2:$FA$315, 87, FALSE)="",":",VLOOKUP($E$54,[1]QUART!$A$2:$FA$315, 87, FALSE))</f>
        <v>:</v>
      </c>
      <c r="CK54" s="544" t="str">
        <f>IF(VLOOKUP($E$54,[1]QUART!$A$2:$FA$315, 88, FALSE)="",":",VLOOKUP($E$54,[1]QUART!$A$2:$FA$315, 88, FALSE))</f>
        <v>:</v>
      </c>
      <c r="CL54" s="544" t="str">
        <f>IF(VLOOKUP($E$54,[1]QUART!$A$2:$FA$315, 89, FALSE)="",":",VLOOKUP($E$54,[1]QUART!$A$2:$FA$315, 89, FALSE))</f>
        <v>:</v>
      </c>
      <c r="CM54" s="544" t="str">
        <f>IF(VLOOKUP($E$54,[1]QUART!$A$2:$FA$315, 90, FALSE)="",":",VLOOKUP($E$54,[1]QUART!$A$2:$FA$315, 90, FALSE))</f>
        <v>:</v>
      </c>
      <c r="CN54" s="544" t="str">
        <f>IF(VLOOKUP($E$54,[1]QUART!$A$2:$FA$315, 91, FALSE)="",":",VLOOKUP($E$54,[1]QUART!$A$2:$FA$315, 91, FALSE))</f>
        <v>:</v>
      </c>
      <c r="CO54" s="544" t="str">
        <f>IF(VLOOKUP($E$54,[1]QUART!$A$2:$FA$315, 92, FALSE)="",":",VLOOKUP($E$54,[1]QUART!$A$2:$FA$315, 92, FALSE))</f>
        <v>:</v>
      </c>
      <c r="CP54" s="544" t="str">
        <f>IF(VLOOKUP($E$54,[1]QUART!$A$2:$FA$315, 93, FALSE)="",":",VLOOKUP($E$54,[1]QUART!$A$2:$FA$315, 93, FALSE))</f>
        <v>:</v>
      </c>
      <c r="CQ54" s="544" t="str">
        <f>IF(VLOOKUP($E$54,[1]QUART!$A$2:$FA$315, 94, FALSE)="",":",VLOOKUP($E$54,[1]QUART!$A$2:$FA$315, 94, FALSE))</f>
        <v>:</v>
      </c>
      <c r="CR54" s="544" t="str">
        <f>IF(VLOOKUP($E$54,[1]QUART!$A$2:$FA$315, 95, FALSE)="",":",VLOOKUP($E$54,[1]QUART!$A$2:$FA$315, 95, FALSE))</f>
        <v>:</v>
      </c>
      <c r="CS54" s="544" t="str">
        <f>IF(VLOOKUP($E$54,[1]QUART!$A$2:$FA$315, 96, FALSE)="",":",VLOOKUP($E$54,[1]QUART!$A$2:$FA$315, 96, FALSE))</f>
        <v>:</v>
      </c>
      <c r="CT54" s="544" t="str">
        <f>IF(VLOOKUP($E$54,[1]QUART!$A$2:$FA$315, 97, FALSE)="",":",VLOOKUP($E$54,[1]QUART!$A$2:$FA$315, 97, FALSE))</f>
        <v>:</v>
      </c>
      <c r="CU54" s="544" t="str">
        <f>IF(VLOOKUP($E$54,[1]QUART!$A$2:$FA$315, 98, FALSE)="",":",VLOOKUP($E$54,[1]QUART!$A$2:$FA$315, 98, FALSE))</f>
        <v>:</v>
      </c>
      <c r="CV54" s="544" t="str">
        <f>IF(VLOOKUP($E$54,[1]QUART!$A$2:$FA$315, 99, FALSE)="",":",VLOOKUP($E$54,[1]QUART!$A$2:$FA$315, 99, FALSE))</f>
        <v>:</v>
      </c>
      <c r="CW54" s="544" t="str">
        <f>IF(VLOOKUP($E$54,[1]QUART!$A$2:$FA$315, 100, FALSE)="",":",VLOOKUP($E$54,[1]QUART!$A$2:$FA$315, 100, FALSE))</f>
        <v>:</v>
      </c>
      <c r="CX54" s="544" t="str">
        <f>IF(VLOOKUP($E$54,[1]QUART!$A$2:$FA$315, 101, FALSE)="",":",VLOOKUP($E$54,[1]QUART!$A$2:$FA$315, 101, FALSE))</f>
        <v>:</v>
      </c>
      <c r="CY54" s="544" t="str">
        <f>IF(VLOOKUP($E$54,[1]QUART!$A$2:$FA$315, 102, FALSE)="",":",VLOOKUP($E$54,[1]QUART!$A$2:$FA$315, 102, FALSE))</f>
        <v>:</v>
      </c>
      <c r="CZ54" s="544" t="str">
        <f>IF(VLOOKUP($E$54,[1]QUART!$A$2:$FA$315, 103, FALSE)="",":",VLOOKUP($E$54,[1]QUART!$A$2:$FA$315, 103, FALSE))</f>
        <v>:</v>
      </c>
      <c r="DA54" s="544" t="str">
        <f>IF(VLOOKUP($E$54,[1]QUART!$A$2:$FA$315, 104, FALSE)="",":",VLOOKUP($E$54,[1]QUART!$A$2:$FA$315, 104, FALSE))</f>
        <v>:</v>
      </c>
      <c r="DB54" s="544" t="str">
        <f>IF(VLOOKUP($E$54,[1]QUART!$A$2:$FA$315, 105, FALSE)="",":",VLOOKUP($E$54,[1]QUART!$A$2:$FA$315, 105, FALSE))</f>
        <v>:</v>
      </c>
      <c r="DC54" s="544" t="str">
        <f>IF(VLOOKUP($E$54,[1]QUART!$A$2:$FA$315, 106, FALSE)="",":",VLOOKUP($E$54,[1]QUART!$A$2:$FA$315, 106, FALSE))</f>
        <v>:</v>
      </c>
    </row>
    <row r="55" spans="1:107">
      <c r="A55" s="1954"/>
      <c r="B55" s="534"/>
      <c r="C55" s="535"/>
      <c r="D55" s="12" t="s">
        <v>1841</v>
      </c>
      <c r="E55" s="13">
        <v>122</v>
      </c>
      <c r="F55" s="14" t="str">
        <f>VLOOKUP($E$55,[1]QUART!$A$2:$FA$315, 3, FALSE)</f>
        <v xml:space="preserve">122  Gross fixed capital formation                                                   </v>
      </c>
      <c r="G55" s="544" t="str">
        <f>IF(VLOOKUP($E$55,[1]QUART!$A$2:$FA$315, 6, FALSE)="",":",VLOOKUP($E$55,[1]QUART!$A$2:$FA$315, 6, FALSE))</f>
        <v>:</v>
      </c>
      <c r="H55" s="544" t="str">
        <f>IF(VLOOKUP($E$55,[1]QUART!$A$2:$FA$315, 7, FALSE)="",":",VLOOKUP($E$55,[1]QUART!$A$2:$FA$315, 7, FALSE))</f>
        <v>:</v>
      </c>
      <c r="I55" s="544" t="str">
        <f>IF(VLOOKUP($E$55,[1]QUART!$A$2:$FA$315, 8, FALSE)="",":",VLOOKUP($E$55,[1]QUART!$A$2:$FA$315, 8, FALSE))</f>
        <v>:</v>
      </c>
      <c r="J55" s="544" t="str">
        <f>IF(VLOOKUP($E$55,[1]QUART!$A$2:$FA$315, 9, FALSE)="",":",VLOOKUP($E$55,[1]QUART!$A$2:$FA$315, 9, FALSE))</f>
        <v>:</v>
      </c>
      <c r="K55" s="544" t="str">
        <f>IF(VLOOKUP($E$55,[1]QUART!$A$2:$FA$315, 10, FALSE)="",":",VLOOKUP($E$55,[1]QUART!$A$2:$FA$315, 10, FALSE))</f>
        <v>:</v>
      </c>
      <c r="L55" s="544" t="str">
        <f>IF(VLOOKUP($E$55,[1]QUART!$A$2:$FA$315, 11, FALSE)="",":",VLOOKUP($E$55,[1]QUART!$A$2:$FA$315, 11, FALSE))</f>
        <v>:</v>
      </c>
      <c r="M55" s="544" t="str">
        <f>IF(VLOOKUP($E$55,[1]QUART!$A$2:$FA$315, 12, FALSE)="",":",VLOOKUP($E$55,[1]QUART!$A$2:$FA$315, 12, FALSE))</f>
        <v>:</v>
      </c>
      <c r="N55" s="544" t="str">
        <f>IF(VLOOKUP($E$55,[1]QUART!$A$2:$FA$315, 13, FALSE)="",":",VLOOKUP($E$55,[1]QUART!$A$2:$FA$315, 13, FALSE))</f>
        <v>:</v>
      </c>
      <c r="O55" s="544" t="str">
        <f>IF(VLOOKUP($E$55,[1]QUART!$A$2:$FA$315, 14, FALSE)="",":",VLOOKUP($E$55,[1]QUART!$A$2:$FA$315, 14, FALSE))</f>
        <v>:</v>
      </c>
      <c r="P55" s="544" t="str">
        <f>IF(VLOOKUP($E$55,[1]QUART!$A$2:$FA$315, 15, FALSE)="",":",VLOOKUP($E$55,[1]QUART!$A$2:$FA$315, 15, FALSE))</f>
        <v>:</v>
      </c>
      <c r="Q55" s="544" t="str">
        <f>IF(VLOOKUP($E$55,[1]QUART!$A$2:$FA$315, 16, FALSE)="",":",VLOOKUP($E$55,[1]QUART!$A$2:$FA$315, 16, FALSE))</f>
        <v>:</v>
      </c>
      <c r="R55" s="544" t="str">
        <f>IF(VLOOKUP($E$55,[1]QUART!$A$2:$FA$315, 17, FALSE)="",":",VLOOKUP($E$55,[1]QUART!$A$2:$FA$315, 17, FALSE))</f>
        <v>:</v>
      </c>
      <c r="S55" s="544" t="str">
        <f>IF(VLOOKUP($E$55,[1]QUART!$A$2:$FA$315, 18, FALSE)="",":",VLOOKUP($E$55,[1]QUART!$A$2:$FA$315, 18, FALSE))</f>
        <v>:</v>
      </c>
      <c r="T55" s="544" t="str">
        <f>IF(VLOOKUP($E$55,[1]QUART!$A$2:$FA$315, 19, FALSE)="",":",VLOOKUP($E$55,[1]QUART!$A$2:$FA$315, 19, FALSE))</f>
        <v>:</v>
      </c>
      <c r="U55" s="544" t="str">
        <f>IF(VLOOKUP($E$55,[1]QUART!$A$2:$FA$315, 20, FALSE)="",":",VLOOKUP($E$55,[1]QUART!$A$2:$FA$315, 20, FALSE))</f>
        <v>:</v>
      </c>
      <c r="V55" s="544" t="str">
        <f>IF(VLOOKUP($E$55,[1]QUART!$A$2:$FA$315, 21, FALSE)="",":",VLOOKUP($E$55,[1]QUART!$A$2:$FA$315, 21, FALSE))</f>
        <v>:</v>
      </c>
      <c r="W55" s="544" t="str">
        <f>IF(VLOOKUP($E$55,[1]QUART!$A$2:$FA$315, 22, FALSE)="",":",VLOOKUP($E$55,[1]QUART!$A$2:$FA$315, 22, FALSE))</f>
        <v>:</v>
      </c>
      <c r="X55" s="544" t="str">
        <f>IF(VLOOKUP($E$55,[1]QUART!$A$2:$FA$315, 23, FALSE)="",":",VLOOKUP($E$55,[1]QUART!$A$2:$FA$315, 23, FALSE))</f>
        <v>:</v>
      </c>
      <c r="Y55" s="544" t="str">
        <f>IF(VLOOKUP($E$55,[1]QUART!$A$2:$FA$315, 24, FALSE)="",":",VLOOKUP($E$55,[1]QUART!$A$2:$FA$315, 24, FALSE))</f>
        <v>:</v>
      </c>
      <c r="Z55" s="544" t="str">
        <f>IF(VLOOKUP($E$55,[1]QUART!$A$2:$FA$315, 25, FALSE)="",":",VLOOKUP($E$55,[1]QUART!$A$2:$FA$315, 25, FALSE))</f>
        <v>:</v>
      </c>
      <c r="AA55" s="544" t="str">
        <f>IF(VLOOKUP($E$55,[1]QUART!$A$2:$FA$315, 26, FALSE)="",":",VLOOKUP($E$55,[1]QUART!$A$2:$FA$315, 26, FALSE))</f>
        <v>:</v>
      </c>
      <c r="AB55" s="544" t="str">
        <f>IF(VLOOKUP($E$55,[1]QUART!$A$2:$FA$315, 27, FALSE)="",":",VLOOKUP($E$55,[1]QUART!$A$2:$FA$315, 27, FALSE))</f>
        <v>:</v>
      </c>
      <c r="AC55" s="544" t="str">
        <f>IF(VLOOKUP($E$55,[1]QUART!$A$2:$FA$315, 28, FALSE)="",":",VLOOKUP($E$55,[1]QUART!$A$2:$FA$315, 28, FALSE))</f>
        <v>:</v>
      </c>
      <c r="AD55" s="544" t="str">
        <f>IF(VLOOKUP($E$55,[1]QUART!$A$2:$FA$315, 29, FALSE)="",":",VLOOKUP($E$55,[1]QUART!$A$2:$FA$315, 29, FALSE))</f>
        <v>:</v>
      </c>
      <c r="AE55" s="544" t="str">
        <f>IF(VLOOKUP($E$55,[1]QUART!$A$2:$FA$315, 30, FALSE)="",":",VLOOKUP($E$55,[1]QUART!$A$2:$FA$315, 30, FALSE))</f>
        <v>:</v>
      </c>
      <c r="AF55" s="544" t="str">
        <f>IF(VLOOKUP($E$55,[1]QUART!$A$2:$FA$315, 31, FALSE)="",":",VLOOKUP($E$55,[1]QUART!$A$2:$FA$315, 31, FALSE))</f>
        <v>:</v>
      </c>
      <c r="AG55" s="544" t="str">
        <f>IF(VLOOKUP($E$55,[1]QUART!$A$2:$FA$315, 32, FALSE)="",":",VLOOKUP($E$55,[1]QUART!$A$2:$FA$315, 32, FALSE))</f>
        <v>:</v>
      </c>
      <c r="AH55" s="544" t="str">
        <f>IF(VLOOKUP($E$55,[1]QUART!$A$2:$FA$315, 33, FALSE)="",":",VLOOKUP($E$55,[1]QUART!$A$2:$FA$315, 33, FALSE))</f>
        <v>:</v>
      </c>
      <c r="AI55" s="544" t="str">
        <f>IF(VLOOKUP($E$55,[1]QUART!$A$2:$FA$315, 34, FALSE)="",":",VLOOKUP($E$55,[1]QUART!$A$2:$FA$315, 34, FALSE))</f>
        <v>:</v>
      </c>
      <c r="AJ55" s="544" t="str">
        <f>IF(VLOOKUP($E$55,[1]QUART!$A$2:$FA$315, 35, FALSE)="",":",VLOOKUP($E$55,[1]QUART!$A$2:$FA$315, 35, FALSE))</f>
        <v>:</v>
      </c>
      <c r="AK55" s="544" t="str">
        <f>IF(VLOOKUP($E$55,[1]QUART!$A$2:$FA$315, 36, FALSE)="",":",VLOOKUP($E$55,[1]QUART!$A$2:$FA$315, 36, FALSE))</f>
        <v>:</v>
      </c>
      <c r="AL55" s="544" t="str">
        <f>IF(VLOOKUP($E$55,[1]QUART!$A$2:$FA$315, 37, FALSE)="",":",VLOOKUP($E$55,[1]QUART!$A$2:$FA$315, 37, FALSE))</f>
        <v>:</v>
      </c>
      <c r="AM55" s="544" t="str">
        <f>IF(VLOOKUP($E$55,[1]QUART!$A$2:$FA$315, 38, FALSE)="",":",VLOOKUP($E$55,[1]QUART!$A$2:$FA$315, 38, FALSE))</f>
        <v>:</v>
      </c>
      <c r="AN55" s="544" t="str">
        <f>IF(VLOOKUP($E$55,[1]QUART!$A$2:$FA$315, 39, FALSE)="",":",VLOOKUP($E$55,[1]QUART!$A$2:$FA$315, 39, FALSE))</f>
        <v>:</v>
      </c>
      <c r="AO55" s="544" t="str">
        <f>IF(VLOOKUP($E$55,[1]QUART!$A$2:$FA$315, 40, FALSE)="",":",VLOOKUP($E$55,[1]QUART!$A$2:$FA$315, 40, FALSE))</f>
        <v>:</v>
      </c>
      <c r="AP55" s="544" t="str">
        <f>IF(VLOOKUP($E$55,[1]QUART!$A$2:$FA$315, 41, FALSE)="",":",VLOOKUP($E$55,[1]QUART!$A$2:$FA$315, 41, FALSE))</f>
        <v>:</v>
      </c>
      <c r="AQ55" s="544" t="str">
        <f>IF(VLOOKUP($E$55,[1]QUART!$A$2:$FA$315, 42, FALSE)="",":",VLOOKUP($E$55,[1]QUART!$A$2:$FA$315, 42, FALSE))</f>
        <v>:</v>
      </c>
      <c r="AR55" s="544" t="str">
        <f>IF(VLOOKUP($E$55,[1]QUART!$A$2:$FA$315, 43, FALSE)="",":",VLOOKUP($E$55,[1]QUART!$A$2:$FA$315, 43, FALSE))</f>
        <v>:</v>
      </c>
      <c r="AS55" s="544" t="str">
        <f>IF(VLOOKUP($E$55,[1]QUART!$A$2:$FA$315, 44, FALSE)="",":",VLOOKUP($E$55,[1]QUART!$A$2:$FA$315, 44, FALSE))</f>
        <v>:</v>
      </c>
      <c r="AT55" s="544" t="str">
        <f>IF(VLOOKUP($E$55,[1]QUART!$A$2:$FA$315, 45, FALSE)="",":",VLOOKUP($E$55,[1]QUART!$A$2:$FA$315, 45, FALSE))</f>
        <v>:</v>
      </c>
      <c r="AU55" s="544" t="str">
        <f>IF(VLOOKUP($E$55,[1]QUART!$A$2:$FA$315, 46, FALSE)="",":",VLOOKUP($E$55,[1]QUART!$A$2:$FA$315, 46, FALSE))</f>
        <v>:</v>
      </c>
      <c r="AV55" s="544" t="str">
        <f>IF(VLOOKUP($E$55,[1]QUART!$A$2:$FA$315, 47, FALSE)="",":",VLOOKUP($E$55,[1]QUART!$A$2:$FA$315, 47, FALSE))</f>
        <v>:</v>
      </c>
      <c r="AW55" s="544" t="str">
        <f>IF(VLOOKUP($E$55,[1]QUART!$A$2:$FA$315, 48, FALSE)="",":",VLOOKUP($E$55,[1]QUART!$A$2:$FA$315, 48, FALSE))</f>
        <v>:</v>
      </c>
      <c r="AX55" s="544" t="str">
        <f>IF(VLOOKUP($E$55,[1]QUART!$A$2:$FA$315, 49, FALSE)="",":",VLOOKUP($E$55,[1]QUART!$A$2:$FA$315, 49, FALSE))</f>
        <v>:</v>
      </c>
      <c r="AY55" s="544" t="str">
        <f>IF(VLOOKUP($E$55,[1]QUART!$A$2:$FA$315, 50, FALSE)="",":",VLOOKUP($E$55,[1]QUART!$A$2:$FA$315, 50, FALSE))</f>
        <v>:</v>
      </c>
      <c r="AZ55" s="544" t="str">
        <f>IF(VLOOKUP($E$55,[1]QUART!$A$2:$FA$315, 51, FALSE)="",":",VLOOKUP($E$55,[1]QUART!$A$2:$FA$315, 51, FALSE))</f>
        <v>:</v>
      </c>
      <c r="BA55" s="544" t="str">
        <f>IF(VLOOKUP($E$55,[1]QUART!$A$2:$FA$315, 52, FALSE)="",":",VLOOKUP($E$55,[1]QUART!$A$2:$FA$315, 52, FALSE))</f>
        <v>:</v>
      </c>
      <c r="BB55" s="544" t="str">
        <f>IF(VLOOKUP($E$55,[1]QUART!$A$2:$FA$315, 53, FALSE)="",":",VLOOKUP($E$55,[1]QUART!$A$2:$FA$315, 53, FALSE))</f>
        <v>:</v>
      </c>
      <c r="BC55" s="544" t="str">
        <f>IF(VLOOKUP($E$55,[1]QUART!$A$2:$FA$315, 54, FALSE)="",":",VLOOKUP($E$55,[1]QUART!$A$2:$FA$315, 54, FALSE))</f>
        <v>:</v>
      </c>
      <c r="BD55" s="544" t="str">
        <f>IF(VLOOKUP($E$55,[1]QUART!$A$2:$FA$315, 55, FALSE)="",":",VLOOKUP($E$55,[1]QUART!$A$2:$FA$315, 55, FALSE))</f>
        <v>:</v>
      </c>
      <c r="BE55" s="544" t="str">
        <f>IF(VLOOKUP($E$55,[1]QUART!$A$2:$FA$315, 56, FALSE)="",":",VLOOKUP($E$55,[1]QUART!$A$2:$FA$315, 56, FALSE))</f>
        <v>:</v>
      </c>
      <c r="BF55" s="544" t="str">
        <f>IF(VLOOKUP($E$55,[1]QUART!$A$2:$FA$315, 57, FALSE)="",":",VLOOKUP($E$55,[1]QUART!$A$2:$FA$315, 57, FALSE))</f>
        <v>:</v>
      </c>
      <c r="BG55" s="544" t="str">
        <f>IF(VLOOKUP($E$55,[1]QUART!$A$2:$FA$315, 58, FALSE)="",":",VLOOKUP($E$55,[1]QUART!$A$2:$FA$315, 58, FALSE))</f>
        <v>:</v>
      </c>
      <c r="BH55" s="544" t="str">
        <f>IF(VLOOKUP($E$55,[1]QUART!$A$2:$FA$315, 59, FALSE)="",":",VLOOKUP($E$55,[1]QUART!$A$2:$FA$315, 59, FALSE))</f>
        <v>:</v>
      </c>
      <c r="BI55" s="544" t="str">
        <f>IF(VLOOKUP($E$55,[1]QUART!$A$2:$FA$315, 60, FALSE)="",":",VLOOKUP($E$55,[1]QUART!$A$2:$FA$315, 60, FALSE))</f>
        <v>:</v>
      </c>
      <c r="BJ55" s="544" t="str">
        <f>IF(VLOOKUP($E$55,[1]QUART!$A$2:$FA$315, 61, FALSE)="",":",VLOOKUP($E$55,[1]QUART!$A$2:$FA$315, 61, FALSE))</f>
        <v>:</v>
      </c>
      <c r="BK55" s="544" t="str">
        <f>IF(VLOOKUP($E$55,[1]QUART!$A$2:$FA$315, 62, FALSE)="",":",VLOOKUP($E$55,[1]QUART!$A$2:$FA$315, 62, FALSE))</f>
        <v>:</v>
      </c>
      <c r="BL55" s="544" t="str">
        <f>IF(VLOOKUP($E$55,[1]QUART!$A$2:$FA$315, 63, FALSE)="",":",VLOOKUP($E$55,[1]QUART!$A$2:$FA$315, 63, FALSE))</f>
        <v>:</v>
      </c>
      <c r="BM55" s="544" t="str">
        <f>IF(VLOOKUP($E$55,[1]QUART!$A$2:$FA$315, 64, FALSE)="",":",VLOOKUP($E$55,[1]QUART!$A$2:$FA$315, 64, FALSE))</f>
        <v>:</v>
      </c>
      <c r="BN55" s="544" t="str">
        <f>IF(VLOOKUP($E$55,[1]QUART!$A$2:$FA$315, 65, FALSE)="",":",VLOOKUP($E$55,[1]QUART!$A$2:$FA$315, 65, FALSE))</f>
        <v>:</v>
      </c>
      <c r="BO55" s="544" t="str">
        <f>IF(VLOOKUP($E$55,[1]QUART!$A$2:$FA$315, 66, FALSE)="",":",VLOOKUP($E$55,[1]QUART!$A$2:$FA$315, 66, FALSE))</f>
        <v>:</v>
      </c>
      <c r="BP55" s="544" t="str">
        <f>IF(VLOOKUP($E$55,[1]QUART!$A$2:$FA$315, 67, FALSE)="",":",VLOOKUP($E$55,[1]QUART!$A$2:$FA$315, 67, FALSE))</f>
        <v>:</v>
      </c>
      <c r="BQ55" s="544" t="str">
        <f>IF(VLOOKUP($E$55,[1]QUART!$A$2:$FA$315, 68, FALSE)="",":",VLOOKUP($E$55,[1]QUART!$A$2:$FA$315, 68, FALSE))</f>
        <v>:</v>
      </c>
      <c r="BR55" s="544" t="str">
        <f>IF(VLOOKUP($E$55,[1]QUART!$A$2:$FA$315, 69, FALSE)="",":",VLOOKUP($E$55,[1]QUART!$A$2:$FA$315, 69, FALSE))</f>
        <v>:</v>
      </c>
      <c r="BS55" s="544" t="str">
        <f>IF(VLOOKUP($E$55,[1]QUART!$A$2:$FA$315, 70, FALSE)="",":",VLOOKUP($E$55,[1]QUART!$A$2:$FA$315, 70, FALSE))</f>
        <v>:</v>
      </c>
      <c r="BT55" s="544" t="str">
        <f>IF(VLOOKUP($E$55,[1]QUART!$A$2:$FA$315, 71, FALSE)="",":",VLOOKUP($E$55,[1]QUART!$A$2:$FA$315, 71, FALSE))</f>
        <v>:</v>
      </c>
      <c r="BU55" s="544" t="str">
        <f>IF(VLOOKUP($E$55,[1]QUART!$A$2:$FA$315, 72, FALSE)="",":",VLOOKUP($E$55,[1]QUART!$A$2:$FA$315, 72, FALSE))</f>
        <v>:</v>
      </c>
      <c r="BV55" s="544" t="str">
        <f>IF(VLOOKUP($E$55,[1]QUART!$A$2:$FA$315, 73, FALSE)="",":",VLOOKUP($E$55,[1]QUART!$A$2:$FA$315, 73, FALSE))</f>
        <v>:</v>
      </c>
      <c r="BW55" s="544" t="str">
        <f>IF(VLOOKUP($E$55,[1]QUART!$A$2:$FA$315, 74, FALSE)="",":",VLOOKUP($E$55,[1]QUART!$A$2:$FA$315, 74, FALSE))</f>
        <v>:</v>
      </c>
      <c r="BX55" s="544" t="str">
        <f>IF(VLOOKUP($E$55,[1]QUART!$A$2:$FA$315, 75, FALSE)="",":",VLOOKUP($E$55,[1]QUART!$A$2:$FA$315, 75, FALSE))</f>
        <v>:</v>
      </c>
      <c r="BY55" s="544" t="str">
        <f>IF(VLOOKUP($E$55,[1]QUART!$A$2:$FA$315, 76, FALSE)="",":",VLOOKUP($E$55,[1]QUART!$A$2:$FA$315, 76, FALSE))</f>
        <v>:</v>
      </c>
      <c r="BZ55" s="544" t="str">
        <f>IF(VLOOKUP($E$55,[1]QUART!$A$2:$FA$315, 77, FALSE)="",":",VLOOKUP($E$55,[1]QUART!$A$2:$FA$315, 77, FALSE))</f>
        <v>:</v>
      </c>
      <c r="CA55" s="544" t="str">
        <f>IF(VLOOKUP($E$55,[1]QUART!$A$2:$FA$315, 78, FALSE)="",":",VLOOKUP($E$55,[1]QUART!$A$2:$FA$315, 78, FALSE))</f>
        <v>:</v>
      </c>
      <c r="CB55" s="544" t="str">
        <f>IF(VLOOKUP($E$55,[1]QUART!$A$2:$FA$315, 79, FALSE)="",":",VLOOKUP($E$55,[1]QUART!$A$2:$FA$315, 79, FALSE))</f>
        <v>:</v>
      </c>
      <c r="CC55" s="544" t="str">
        <f>IF(VLOOKUP($E$55,[1]QUART!$A$2:$FA$315, 80, FALSE)="",":",VLOOKUP($E$55,[1]QUART!$A$2:$FA$315, 80, FALSE))</f>
        <v>:</v>
      </c>
      <c r="CD55" s="544" t="str">
        <f>IF(VLOOKUP($E$55,[1]QUART!$A$2:$FA$315, 81, FALSE)="",":",VLOOKUP($E$55,[1]QUART!$A$2:$FA$315, 81, FALSE))</f>
        <v>:</v>
      </c>
      <c r="CE55" s="544" t="str">
        <f>IF(VLOOKUP($E$55,[1]QUART!$A$2:$FA$315, 82, FALSE)="",":",VLOOKUP($E$55,[1]QUART!$A$2:$FA$315, 82, FALSE))</f>
        <v>:</v>
      </c>
      <c r="CF55" s="544" t="str">
        <f>IF(VLOOKUP($E$55,[1]QUART!$A$2:$FA$315, 83, FALSE)="",":",VLOOKUP($E$55,[1]QUART!$A$2:$FA$315, 83, FALSE))</f>
        <v>:</v>
      </c>
      <c r="CG55" s="544" t="str">
        <f>IF(VLOOKUP($E$55,[1]QUART!$A$2:$FA$315, 84, FALSE)="",":",VLOOKUP($E$55,[1]QUART!$A$2:$FA$315, 84, FALSE))</f>
        <v>:</v>
      </c>
      <c r="CH55" s="544" t="str">
        <f>IF(VLOOKUP($E$55,[1]QUART!$A$2:$FA$315, 85, FALSE)="",":",VLOOKUP($E$55,[1]QUART!$A$2:$FA$315, 85, FALSE))</f>
        <v>:</v>
      </c>
      <c r="CI55" s="544" t="str">
        <f>IF(VLOOKUP($E$55,[1]QUART!$A$2:$FA$315, 86, FALSE)="",":",VLOOKUP($E$55,[1]QUART!$A$2:$FA$315, 86, FALSE))</f>
        <v>:</v>
      </c>
      <c r="CJ55" s="544" t="str">
        <f>IF(VLOOKUP($E$55,[1]QUART!$A$2:$FA$315, 87, FALSE)="",":",VLOOKUP($E$55,[1]QUART!$A$2:$FA$315, 87, FALSE))</f>
        <v>:</v>
      </c>
      <c r="CK55" s="544" t="str">
        <f>IF(VLOOKUP($E$55,[1]QUART!$A$2:$FA$315, 88, FALSE)="",":",VLOOKUP($E$55,[1]QUART!$A$2:$FA$315, 88, FALSE))</f>
        <v>:</v>
      </c>
      <c r="CL55" s="544" t="str">
        <f>IF(VLOOKUP($E$55,[1]QUART!$A$2:$FA$315, 89, FALSE)="",":",VLOOKUP($E$55,[1]QUART!$A$2:$FA$315, 89, FALSE))</f>
        <v>:</v>
      </c>
      <c r="CM55" s="544" t="str">
        <f>IF(VLOOKUP($E$55,[1]QUART!$A$2:$FA$315, 90, FALSE)="",":",VLOOKUP($E$55,[1]QUART!$A$2:$FA$315, 90, FALSE))</f>
        <v>:</v>
      </c>
      <c r="CN55" s="544" t="str">
        <f>IF(VLOOKUP($E$55,[1]QUART!$A$2:$FA$315, 91, FALSE)="",":",VLOOKUP($E$55,[1]QUART!$A$2:$FA$315, 91, FALSE))</f>
        <v>:</v>
      </c>
      <c r="CO55" s="544" t="str">
        <f>IF(VLOOKUP($E$55,[1]QUART!$A$2:$FA$315, 92, FALSE)="",":",VLOOKUP($E$55,[1]QUART!$A$2:$FA$315, 92, FALSE))</f>
        <v>:</v>
      </c>
      <c r="CP55" s="544" t="str">
        <f>IF(VLOOKUP($E$55,[1]QUART!$A$2:$FA$315, 93, FALSE)="",":",VLOOKUP($E$55,[1]QUART!$A$2:$FA$315, 93, FALSE))</f>
        <v>:</v>
      </c>
      <c r="CQ55" s="544" t="str">
        <f>IF(VLOOKUP($E$55,[1]QUART!$A$2:$FA$315, 94, FALSE)="",":",VLOOKUP($E$55,[1]QUART!$A$2:$FA$315, 94, FALSE))</f>
        <v>:</v>
      </c>
      <c r="CR55" s="544" t="str">
        <f>IF(VLOOKUP($E$55,[1]QUART!$A$2:$FA$315, 95, FALSE)="",":",VLOOKUP($E$55,[1]QUART!$A$2:$FA$315, 95, FALSE))</f>
        <v>:</v>
      </c>
      <c r="CS55" s="544" t="str">
        <f>IF(VLOOKUP($E$55,[1]QUART!$A$2:$FA$315, 96, FALSE)="",":",VLOOKUP($E$55,[1]QUART!$A$2:$FA$315, 96, FALSE))</f>
        <v>:</v>
      </c>
      <c r="CT55" s="544" t="str">
        <f>IF(VLOOKUP($E$55,[1]QUART!$A$2:$FA$315, 97, FALSE)="",":",VLOOKUP($E$55,[1]QUART!$A$2:$FA$315, 97, FALSE))</f>
        <v>:</v>
      </c>
      <c r="CU55" s="544" t="str">
        <f>IF(VLOOKUP($E$55,[1]QUART!$A$2:$FA$315, 98, FALSE)="",":",VLOOKUP($E$55,[1]QUART!$A$2:$FA$315, 98, FALSE))</f>
        <v>:</v>
      </c>
      <c r="CV55" s="544" t="str">
        <f>IF(VLOOKUP($E$55,[1]QUART!$A$2:$FA$315, 99, FALSE)="",":",VLOOKUP($E$55,[1]QUART!$A$2:$FA$315, 99, FALSE))</f>
        <v>:</v>
      </c>
      <c r="CW55" s="544" t="str">
        <f>IF(VLOOKUP($E$55,[1]QUART!$A$2:$FA$315, 100, FALSE)="",":",VLOOKUP($E$55,[1]QUART!$A$2:$FA$315, 100, FALSE))</f>
        <v>:</v>
      </c>
      <c r="CX55" s="544" t="str">
        <f>IF(VLOOKUP($E$55,[1]QUART!$A$2:$FA$315, 101, FALSE)="",":",VLOOKUP($E$55,[1]QUART!$A$2:$FA$315, 101, FALSE))</f>
        <v>:</v>
      </c>
      <c r="CY55" s="544" t="str">
        <f>IF(VLOOKUP($E$55,[1]QUART!$A$2:$FA$315, 102, FALSE)="",":",VLOOKUP($E$55,[1]QUART!$A$2:$FA$315, 102, FALSE))</f>
        <v>:</v>
      </c>
      <c r="CZ55" s="544" t="str">
        <f>IF(VLOOKUP($E$55,[1]QUART!$A$2:$FA$315, 103, FALSE)="",":",VLOOKUP($E$55,[1]QUART!$A$2:$FA$315, 103, FALSE))</f>
        <v>:</v>
      </c>
      <c r="DA55" s="544" t="str">
        <f>IF(VLOOKUP($E$55,[1]QUART!$A$2:$FA$315, 104, FALSE)="",":",VLOOKUP($E$55,[1]QUART!$A$2:$FA$315, 104, FALSE))</f>
        <v>:</v>
      </c>
      <c r="DB55" s="544" t="str">
        <f>IF(VLOOKUP($E$55,[1]QUART!$A$2:$FA$315, 105, FALSE)="",":",VLOOKUP($E$55,[1]QUART!$A$2:$FA$315, 105, FALSE))</f>
        <v>:</v>
      </c>
      <c r="DC55" s="544" t="str">
        <f>IF(VLOOKUP($E$55,[1]QUART!$A$2:$FA$315, 106, FALSE)="",":",VLOOKUP($E$55,[1]QUART!$A$2:$FA$315, 106, FALSE))</f>
        <v>:</v>
      </c>
    </row>
    <row r="56" spans="1:107">
      <c r="A56" s="1954"/>
      <c r="B56" s="534"/>
      <c r="C56" s="535"/>
      <c r="D56" s="12" t="s">
        <v>1841</v>
      </c>
      <c r="E56" s="13">
        <v>123</v>
      </c>
      <c r="F56" s="14" t="str">
        <f>VLOOKUP($E$56,[1]QUART!$A$2:$FA$315, 3, FALSE)</f>
        <v xml:space="preserve">123  Changes in inventories and net acquisition of valuables                         </v>
      </c>
      <c r="G56" s="544" t="str">
        <f>IF(VLOOKUP($E$56,[1]QUART!$A$2:$FA$315, 6, FALSE)="",":",VLOOKUP($E$56,[1]QUART!$A$2:$FA$315, 6, FALSE))</f>
        <v>:</v>
      </c>
      <c r="H56" s="544" t="str">
        <f>IF(VLOOKUP($E$56,[1]QUART!$A$2:$FA$315, 7, FALSE)="",":",VLOOKUP($E$56,[1]QUART!$A$2:$FA$315, 7, FALSE))</f>
        <v>:</v>
      </c>
      <c r="I56" s="544" t="str">
        <f>IF(VLOOKUP($E$56,[1]QUART!$A$2:$FA$315, 8, FALSE)="",":",VLOOKUP($E$56,[1]QUART!$A$2:$FA$315, 8, FALSE))</f>
        <v>:</v>
      </c>
      <c r="J56" s="544" t="str">
        <f>IF(VLOOKUP($E$56,[1]QUART!$A$2:$FA$315, 9, FALSE)="",":",VLOOKUP($E$56,[1]QUART!$A$2:$FA$315, 9, FALSE))</f>
        <v>:</v>
      </c>
      <c r="K56" s="544" t="str">
        <f>IF(VLOOKUP($E$56,[1]QUART!$A$2:$FA$315, 10, FALSE)="",":",VLOOKUP($E$56,[1]QUART!$A$2:$FA$315, 10, FALSE))</f>
        <v>:</v>
      </c>
      <c r="L56" s="544" t="str">
        <f>IF(VLOOKUP($E$56,[1]QUART!$A$2:$FA$315, 11, FALSE)="",":",VLOOKUP($E$56,[1]QUART!$A$2:$FA$315, 11, FALSE))</f>
        <v>:</v>
      </c>
      <c r="M56" s="544" t="str">
        <f>IF(VLOOKUP($E$56,[1]QUART!$A$2:$FA$315, 12, FALSE)="",":",VLOOKUP($E$56,[1]QUART!$A$2:$FA$315, 12, FALSE))</f>
        <v>:</v>
      </c>
      <c r="N56" s="544" t="str">
        <f>IF(VLOOKUP($E$56,[1]QUART!$A$2:$FA$315, 13, FALSE)="",":",VLOOKUP($E$56,[1]QUART!$A$2:$FA$315, 13, FALSE))</f>
        <v>:</v>
      </c>
      <c r="O56" s="544" t="str">
        <f>IF(VLOOKUP($E$56,[1]QUART!$A$2:$FA$315, 14, FALSE)="",":",VLOOKUP($E$56,[1]QUART!$A$2:$FA$315, 14, FALSE))</f>
        <v>:</v>
      </c>
      <c r="P56" s="544" t="str">
        <f>IF(VLOOKUP($E$56,[1]QUART!$A$2:$FA$315, 15, FALSE)="",":",VLOOKUP($E$56,[1]QUART!$A$2:$FA$315, 15, FALSE))</f>
        <v>:</v>
      </c>
      <c r="Q56" s="544" t="str">
        <f>IF(VLOOKUP($E$56,[1]QUART!$A$2:$FA$315, 16, FALSE)="",":",VLOOKUP($E$56,[1]QUART!$A$2:$FA$315, 16, FALSE))</f>
        <v>:</v>
      </c>
      <c r="R56" s="544" t="str">
        <f>IF(VLOOKUP($E$56,[1]QUART!$A$2:$FA$315, 17, FALSE)="",":",VLOOKUP($E$56,[1]QUART!$A$2:$FA$315, 17, FALSE))</f>
        <v>:</v>
      </c>
      <c r="S56" s="544" t="str">
        <f>IF(VLOOKUP($E$56,[1]QUART!$A$2:$FA$315, 18, FALSE)="",":",VLOOKUP($E$56,[1]QUART!$A$2:$FA$315, 18, FALSE))</f>
        <v>:</v>
      </c>
      <c r="T56" s="544" t="str">
        <f>IF(VLOOKUP($E$56,[1]QUART!$A$2:$FA$315, 19, FALSE)="",":",VLOOKUP($E$56,[1]QUART!$A$2:$FA$315, 19, FALSE))</f>
        <v>:</v>
      </c>
      <c r="U56" s="544" t="str">
        <f>IF(VLOOKUP($E$56,[1]QUART!$A$2:$FA$315, 20, FALSE)="",":",VLOOKUP($E$56,[1]QUART!$A$2:$FA$315, 20, FALSE))</f>
        <v>:</v>
      </c>
      <c r="V56" s="544" t="str">
        <f>IF(VLOOKUP($E$56,[1]QUART!$A$2:$FA$315, 21, FALSE)="",":",VLOOKUP($E$56,[1]QUART!$A$2:$FA$315, 21, FALSE))</f>
        <v>:</v>
      </c>
      <c r="W56" s="544" t="str">
        <f>IF(VLOOKUP($E$56,[1]QUART!$A$2:$FA$315, 22, FALSE)="",":",VLOOKUP($E$56,[1]QUART!$A$2:$FA$315, 22, FALSE))</f>
        <v>:</v>
      </c>
      <c r="X56" s="544" t="str">
        <f>IF(VLOOKUP($E$56,[1]QUART!$A$2:$FA$315, 23, FALSE)="",":",VLOOKUP($E$56,[1]QUART!$A$2:$FA$315, 23, FALSE))</f>
        <v>:</v>
      </c>
      <c r="Y56" s="544" t="str">
        <f>IF(VLOOKUP($E$56,[1]QUART!$A$2:$FA$315, 24, FALSE)="",":",VLOOKUP($E$56,[1]QUART!$A$2:$FA$315, 24, FALSE))</f>
        <v>:</v>
      </c>
      <c r="Z56" s="544" t="str">
        <f>IF(VLOOKUP($E$56,[1]QUART!$A$2:$FA$315, 25, FALSE)="",":",VLOOKUP($E$56,[1]QUART!$A$2:$FA$315, 25, FALSE))</f>
        <v>:</v>
      </c>
      <c r="AA56" s="544" t="str">
        <f>IF(VLOOKUP($E$56,[1]QUART!$A$2:$FA$315, 26, FALSE)="",":",VLOOKUP($E$56,[1]QUART!$A$2:$FA$315, 26, FALSE))</f>
        <v>:</v>
      </c>
      <c r="AB56" s="544" t="str">
        <f>IF(VLOOKUP($E$56,[1]QUART!$A$2:$FA$315, 27, FALSE)="",":",VLOOKUP($E$56,[1]QUART!$A$2:$FA$315, 27, FALSE))</f>
        <v>:</v>
      </c>
      <c r="AC56" s="544" t="str">
        <f>IF(VLOOKUP($E$56,[1]QUART!$A$2:$FA$315, 28, FALSE)="",":",VLOOKUP($E$56,[1]QUART!$A$2:$FA$315, 28, FALSE))</f>
        <v>:</v>
      </c>
      <c r="AD56" s="544" t="str">
        <f>IF(VLOOKUP($E$56,[1]QUART!$A$2:$FA$315, 29, FALSE)="",":",VLOOKUP($E$56,[1]QUART!$A$2:$FA$315, 29, FALSE))</f>
        <v>:</v>
      </c>
      <c r="AE56" s="544" t="str">
        <f>IF(VLOOKUP($E$56,[1]QUART!$A$2:$FA$315, 30, FALSE)="",":",VLOOKUP($E$56,[1]QUART!$A$2:$FA$315, 30, FALSE))</f>
        <v>:</v>
      </c>
      <c r="AF56" s="544" t="str">
        <f>IF(VLOOKUP($E$56,[1]QUART!$A$2:$FA$315, 31, FALSE)="",":",VLOOKUP($E$56,[1]QUART!$A$2:$FA$315, 31, FALSE))</f>
        <v>:</v>
      </c>
      <c r="AG56" s="544" t="str">
        <f>IF(VLOOKUP($E$56,[1]QUART!$A$2:$FA$315, 32, FALSE)="",":",VLOOKUP($E$56,[1]QUART!$A$2:$FA$315, 32, FALSE))</f>
        <v>:</v>
      </c>
      <c r="AH56" s="544" t="str">
        <f>IF(VLOOKUP($E$56,[1]QUART!$A$2:$FA$315, 33, FALSE)="",":",VLOOKUP($E$56,[1]QUART!$A$2:$FA$315, 33, FALSE))</f>
        <v>:</v>
      </c>
      <c r="AI56" s="544" t="str">
        <f>IF(VLOOKUP($E$56,[1]QUART!$A$2:$FA$315, 34, FALSE)="",":",VLOOKUP($E$56,[1]QUART!$A$2:$FA$315, 34, FALSE))</f>
        <v>:</v>
      </c>
      <c r="AJ56" s="544" t="str">
        <f>IF(VLOOKUP($E$56,[1]QUART!$A$2:$FA$315, 35, FALSE)="",":",VLOOKUP($E$56,[1]QUART!$A$2:$FA$315, 35, FALSE))</f>
        <v>:</v>
      </c>
      <c r="AK56" s="544" t="str">
        <f>IF(VLOOKUP($E$56,[1]QUART!$A$2:$FA$315, 36, FALSE)="",":",VLOOKUP($E$56,[1]QUART!$A$2:$FA$315, 36, FALSE))</f>
        <v>:</v>
      </c>
      <c r="AL56" s="544" t="str">
        <f>IF(VLOOKUP($E$56,[1]QUART!$A$2:$FA$315, 37, FALSE)="",":",VLOOKUP($E$56,[1]QUART!$A$2:$FA$315, 37, FALSE))</f>
        <v>:</v>
      </c>
      <c r="AM56" s="544" t="str">
        <f>IF(VLOOKUP($E$56,[1]QUART!$A$2:$FA$315, 38, FALSE)="",":",VLOOKUP($E$56,[1]QUART!$A$2:$FA$315, 38, FALSE))</f>
        <v>:</v>
      </c>
      <c r="AN56" s="544" t="str">
        <f>IF(VLOOKUP($E$56,[1]QUART!$A$2:$FA$315, 39, FALSE)="",":",VLOOKUP($E$56,[1]QUART!$A$2:$FA$315, 39, FALSE))</f>
        <v>:</v>
      </c>
      <c r="AO56" s="544" t="str">
        <f>IF(VLOOKUP($E$56,[1]QUART!$A$2:$FA$315, 40, FALSE)="",":",VLOOKUP($E$56,[1]QUART!$A$2:$FA$315, 40, FALSE))</f>
        <v>:</v>
      </c>
      <c r="AP56" s="544" t="str">
        <f>IF(VLOOKUP($E$56,[1]QUART!$A$2:$FA$315, 41, FALSE)="",":",VLOOKUP($E$56,[1]QUART!$A$2:$FA$315, 41, FALSE))</f>
        <v>:</v>
      </c>
      <c r="AQ56" s="544" t="str">
        <f>IF(VLOOKUP($E$56,[1]QUART!$A$2:$FA$315, 42, FALSE)="",":",VLOOKUP($E$56,[1]QUART!$A$2:$FA$315, 42, FALSE))</f>
        <v>:</v>
      </c>
      <c r="AR56" s="544" t="str">
        <f>IF(VLOOKUP($E$56,[1]QUART!$A$2:$FA$315, 43, FALSE)="",":",VLOOKUP($E$56,[1]QUART!$A$2:$FA$315, 43, FALSE))</f>
        <v>:</v>
      </c>
      <c r="AS56" s="544" t="str">
        <f>IF(VLOOKUP($E$56,[1]QUART!$A$2:$FA$315, 44, FALSE)="",":",VLOOKUP($E$56,[1]QUART!$A$2:$FA$315, 44, FALSE))</f>
        <v>:</v>
      </c>
      <c r="AT56" s="544" t="str">
        <f>IF(VLOOKUP($E$56,[1]QUART!$A$2:$FA$315, 45, FALSE)="",":",VLOOKUP($E$56,[1]QUART!$A$2:$FA$315, 45, FALSE))</f>
        <v>:</v>
      </c>
      <c r="AU56" s="544" t="str">
        <f>IF(VLOOKUP($E$56,[1]QUART!$A$2:$FA$315, 46, FALSE)="",":",VLOOKUP($E$56,[1]QUART!$A$2:$FA$315, 46, FALSE))</f>
        <v>:</v>
      </c>
      <c r="AV56" s="544" t="str">
        <f>IF(VLOOKUP($E$56,[1]QUART!$A$2:$FA$315, 47, FALSE)="",":",VLOOKUP($E$56,[1]QUART!$A$2:$FA$315, 47, FALSE))</f>
        <v>:</v>
      </c>
      <c r="AW56" s="544" t="str">
        <f>IF(VLOOKUP($E$56,[1]QUART!$A$2:$FA$315, 48, FALSE)="",":",VLOOKUP($E$56,[1]QUART!$A$2:$FA$315, 48, FALSE))</f>
        <v>:</v>
      </c>
      <c r="AX56" s="544" t="str">
        <f>IF(VLOOKUP($E$56,[1]QUART!$A$2:$FA$315, 49, FALSE)="",":",VLOOKUP($E$56,[1]QUART!$A$2:$FA$315, 49, FALSE))</f>
        <v>:</v>
      </c>
      <c r="AY56" s="544" t="str">
        <f>IF(VLOOKUP($E$56,[1]QUART!$A$2:$FA$315, 50, FALSE)="",":",VLOOKUP($E$56,[1]QUART!$A$2:$FA$315, 50, FALSE))</f>
        <v>:</v>
      </c>
      <c r="AZ56" s="544" t="str">
        <f>IF(VLOOKUP($E$56,[1]QUART!$A$2:$FA$315, 51, FALSE)="",":",VLOOKUP($E$56,[1]QUART!$A$2:$FA$315, 51, FALSE))</f>
        <v>:</v>
      </c>
      <c r="BA56" s="544" t="str">
        <f>IF(VLOOKUP($E$56,[1]QUART!$A$2:$FA$315, 52, FALSE)="",":",VLOOKUP($E$56,[1]QUART!$A$2:$FA$315, 52, FALSE))</f>
        <v>:</v>
      </c>
      <c r="BB56" s="544" t="str">
        <f>IF(VLOOKUP($E$56,[1]QUART!$A$2:$FA$315, 53, FALSE)="",":",VLOOKUP($E$56,[1]QUART!$A$2:$FA$315, 53, FALSE))</f>
        <v>:</v>
      </c>
      <c r="BC56" s="544" t="str">
        <f>IF(VLOOKUP($E$56,[1]QUART!$A$2:$FA$315, 54, FALSE)="",":",VLOOKUP($E$56,[1]QUART!$A$2:$FA$315, 54, FALSE))</f>
        <v>:</v>
      </c>
      <c r="BD56" s="544" t="str">
        <f>IF(VLOOKUP($E$56,[1]QUART!$A$2:$FA$315, 55, FALSE)="",":",VLOOKUP($E$56,[1]QUART!$A$2:$FA$315, 55, FALSE))</f>
        <v>:</v>
      </c>
      <c r="BE56" s="544" t="str">
        <f>IF(VLOOKUP($E$56,[1]QUART!$A$2:$FA$315, 56, FALSE)="",":",VLOOKUP($E$56,[1]QUART!$A$2:$FA$315, 56, FALSE))</f>
        <v>:</v>
      </c>
      <c r="BF56" s="544" t="str">
        <f>IF(VLOOKUP($E$56,[1]QUART!$A$2:$FA$315, 57, FALSE)="",":",VLOOKUP($E$56,[1]QUART!$A$2:$FA$315, 57, FALSE))</f>
        <v>:</v>
      </c>
      <c r="BG56" s="544" t="str">
        <f>IF(VLOOKUP($E$56,[1]QUART!$A$2:$FA$315, 58, FALSE)="",":",VLOOKUP($E$56,[1]QUART!$A$2:$FA$315, 58, FALSE))</f>
        <v>:</v>
      </c>
      <c r="BH56" s="544" t="str">
        <f>IF(VLOOKUP($E$56,[1]QUART!$A$2:$FA$315, 59, FALSE)="",":",VLOOKUP($E$56,[1]QUART!$A$2:$FA$315, 59, FALSE))</f>
        <v>:</v>
      </c>
      <c r="BI56" s="544" t="str">
        <f>IF(VLOOKUP($E$56,[1]QUART!$A$2:$FA$315, 60, FALSE)="",":",VLOOKUP($E$56,[1]QUART!$A$2:$FA$315, 60, FALSE))</f>
        <v>:</v>
      </c>
      <c r="BJ56" s="544" t="str">
        <f>IF(VLOOKUP($E$56,[1]QUART!$A$2:$FA$315, 61, FALSE)="",":",VLOOKUP($E$56,[1]QUART!$A$2:$FA$315, 61, FALSE))</f>
        <v>:</v>
      </c>
      <c r="BK56" s="544" t="str">
        <f>IF(VLOOKUP($E$56,[1]QUART!$A$2:$FA$315, 62, FALSE)="",":",VLOOKUP($E$56,[1]QUART!$A$2:$FA$315, 62, FALSE))</f>
        <v>:</v>
      </c>
      <c r="BL56" s="544" t="str">
        <f>IF(VLOOKUP($E$56,[1]QUART!$A$2:$FA$315, 63, FALSE)="",":",VLOOKUP($E$56,[1]QUART!$A$2:$FA$315, 63, FALSE))</f>
        <v>:</v>
      </c>
      <c r="BM56" s="544" t="str">
        <f>IF(VLOOKUP($E$56,[1]QUART!$A$2:$FA$315, 64, FALSE)="",":",VLOOKUP($E$56,[1]QUART!$A$2:$FA$315, 64, FALSE))</f>
        <v>:</v>
      </c>
      <c r="BN56" s="544" t="str">
        <f>IF(VLOOKUP($E$56,[1]QUART!$A$2:$FA$315, 65, FALSE)="",":",VLOOKUP($E$56,[1]QUART!$A$2:$FA$315, 65, FALSE))</f>
        <v>:</v>
      </c>
      <c r="BO56" s="544" t="str">
        <f>IF(VLOOKUP($E$56,[1]QUART!$A$2:$FA$315, 66, FALSE)="",":",VLOOKUP($E$56,[1]QUART!$A$2:$FA$315, 66, FALSE))</f>
        <v>:</v>
      </c>
      <c r="BP56" s="544" t="str">
        <f>IF(VLOOKUP($E$56,[1]QUART!$A$2:$FA$315, 67, FALSE)="",":",VLOOKUP($E$56,[1]QUART!$A$2:$FA$315, 67, FALSE))</f>
        <v>:</v>
      </c>
      <c r="BQ56" s="544" t="str">
        <f>IF(VLOOKUP($E$56,[1]QUART!$A$2:$FA$315, 68, FALSE)="",":",VLOOKUP($E$56,[1]QUART!$A$2:$FA$315, 68, FALSE))</f>
        <v>:</v>
      </c>
      <c r="BR56" s="544" t="str">
        <f>IF(VLOOKUP($E$56,[1]QUART!$A$2:$FA$315, 69, FALSE)="",":",VLOOKUP($E$56,[1]QUART!$A$2:$FA$315, 69, FALSE))</f>
        <v>:</v>
      </c>
      <c r="BS56" s="544" t="str">
        <f>IF(VLOOKUP($E$56,[1]QUART!$A$2:$FA$315, 70, FALSE)="",":",VLOOKUP($E$56,[1]QUART!$A$2:$FA$315, 70, FALSE))</f>
        <v>:</v>
      </c>
      <c r="BT56" s="544" t="str">
        <f>IF(VLOOKUP($E$56,[1]QUART!$A$2:$FA$315, 71, FALSE)="",":",VLOOKUP($E$56,[1]QUART!$A$2:$FA$315, 71, FALSE))</f>
        <v>:</v>
      </c>
      <c r="BU56" s="544" t="str">
        <f>IF(VLOOKUP($E$56,[1]QUART!$A$2:$FA$315, 72, FALSE)="",":",VLOOKUP($E$56,[1]QUART!$A$2:$FA$315, 72, FALSE))</f>
        <v>:</v>
      </c>
      <c r="BV56" s="544" t="str">
        <f>IF(VLOOKUP($E$56,[1]QUART!$A$2:$FA$315, 73, FALSE)="",":",VLOOKUP($E$56,[1]QUART!$A$2:$FA$315, 73, FALSE))</f>
        <v>:</v>
      </c>
      <c r="BW56" s="544" t="str">
        <f>IF(VLOOKUP($E$56,[1]QUART!$A$2:$FA$315, 74, FALSE)="",":",VLOOKUP($E$56,[1]QUART!$A$2:$FA$315, 74, FALSE))</f>
        <v>:</v>
      </c>
      <c r="BX56" s="544" t="str">
        <f>IF(VLOOKUP($E$56,[1]QUART!$A$2:$FA$315, 75, FALSE)="",":",VLOOKUP($E$56,[1]QUART!$A$2:$FA$315, 75, FALSE))</f>
        <v>:</v>
      </c>
      <c r="BY56" s="544" t="str">
        <f>IF(VLOOKUP($E$56,[1]QUART!$A$2:$FA$315, 76, FALSE)="",":",VLOOKUP($E$56,[1]QUART!$A$2:$FA$315, 76, FALSE))</f>
        <v>:</v>
      </c>
      <c r="BZ56" s="544" t="str">
        <f>IF(VLOOKUP($E$56,[1]QUART!$A$2:$FA$315, 77, FALSE)="",":",VLOOKUP($E$56,[1]QUART!$A$2:$FA$315, 77, FALSE))</f>
        <v>:</v>
      </c>
      <c r="CA56" s="544" t="str">
        <f>IF(VLOOKUP($E$56,[1]QUART!$A$2:$FA$315, 78, FALSE)="",":",VLOOKUP($E$56,[1]QUART!$A$2:$FA$315, 78, FALSE))</f>
        <v>:</v>
      </c>
      <c r="CB56" s="544" t="str">
        <f>IF(VLOOKUP($E$56,[1]QUART!$A$2:$FA$315, 79, FALSE)="",":",VLOOKUP($E$56,[1]QUART!$A$2:$FA$315, 79, FALSE))</f>
        <v>:</v>
      </c>
      <c r="CC56" s="544" t="str">
        <f>IF(VLOOKUP($E$56,[1]QUART!$A$2:$FA$315, 80, FALSE)="",":",VLOOKUP($E$56,[1]QUART!$A$2:$FA$315, 80, FALSE))</f>
        <v>:</v>
      </c>
      <c r="CD56" s="544" t="str">
        <f>IF(VLOOKUP($E$56,[1]QUART!$A$2:$FA$315, 81, FALSE)="",":",VLOOKUP($E$56,[1]QUART!$A$2:$FA$315, 81, FALSE))</f>
        <v>:</v>
      </c>
      <c r="CE56" s="544" t="str">
        <f>IF(VLOOKUP($E$56,[1]QUART!$A$2:$FA$315, 82, FALSE)="",":",VLOOKUP($E$56,[1]QUART!$A$2:$FA$315, 82, FALSE))</f>
        <v>:</v>
      </c>
      <c r="CF56" s="544" t="str">
        <f>IF(VLOOKUP($E$56,[1]QUART!$A$2:$FA$315, 83, FALSE)="",":",VLOOKUP($E$56,[1]QUART!$A$2:$FA$315, 83, FALSE))</f>
        <v>:</v>
      </c>
      <c r="CG56" s="544" t="str">
        <f>IF(VLOOKUP($E$56,[1]QUART!$A$2:$FA$315, 84, FALSE)="",":",VLOOKUP($E$56,[1]QUART!$A$2:$FA$315, 84, FALSE))</f>
        <v>:</v>
      </c>
      <c r="CH56" s="544" t="str">
        <f>IF(VLOOKUP($E$56,[1]QUART!$A$2:$FA$315, 85, FALSE)="",":",VLOOKUP($E$56,[1]QUART!$A$2:$FA$315, 85, FALSE))</f>
        <v>:</v>
      </c>
      <c r="CI56" s="544" t="str">
        <f>IF(VLOOKUP($E$56,[1]QUART!$A$2:$FA$315, 86, FALSE)="",":",VLOOKUP($E$56,[1]QUART!$A$2:$FA$315, 86, FALSE))</f>
        <v>:</v>
      </c>
      <c r="CJ56" s="544" t="str">
        <f>IF(VLOOKUP($E$56,[1]QUART!$A$2:$FA$315, 87, FALSE)="",":",VLOOKUP($E$56,[1]QUART!$A$2:$FA$315, 87, FALSE))</f>
        <v>:</v>
      </c>
      <c r="CK56" s="544" t="str">
        <f>IF(VLOOKUP($E$56,[1]QUART!$A$2:$FA$315, 88, FALSE)="",":",VLOOKUP($E$56,[1]QUART!$A$2:$FA$315, 88, FALSE))</f>
        <v>:</v>
      </c>
      <c r="CL56" s="544" t="str">
        <f>IF(VLOOKUP($E$56,[1]QUART!$A$2:$FA$315, 89, FALSE)="",":",VLOOKUP($E$56,[1]QUART!$A$2:$FA$315, 89, FALSE))</f>
        <v>:</v>
      </c>
      <c r="CM56" s="544" t="str">
        <f>IF(VLOOKUP($E$56,[1]QUART!$A$2:$FA$315, 90, FALSE)="",":",VLOOKUP($E$56,[1]QUART!$A$2:$FA$315, 90, FALSE))</f>
        <v>:</v>
      </c>
      <c r="CN56" s="544" t="str">
        <f>IF(VLOOKUP($E$56,[1]QUART!$A$2:$FA$315, 91, FALSE)="",":",VLOOKUP($E$56,[1]QUART!$A$2:$FA$315, 91, FALSE))</f>
        <v>:</v>
      </c>
      <c r="CO56" s="544" t="str">
        <f>IF(VLOOKUP($E$56,[1]QUART!$A$2:$FA$315, 92, FALSE)="",":",VLOOKUP($E$56,[1]QUART!$A$2:$FA$315, 92, FALSE))</f>
        <v>:</v>
      </c>
      <c r="CP56" s="544" t="str">
        <f>IF(VLOOKUP($E$56,[1]QUART!$A$2:$FA$315, 93, FALSE)="",":",VLOOKUP($E$56,[1]QUART!$A$2:$FA$315, 93, FALSE))</f>
        <v>:</v>
      </c>
      <c r="CQ56" s="544" t="str">
        <f>IF(VLOOKUP($E$56,[1]QUART!$A$2:$FA$315, 94, FALSE)="",":",VLOOKUP($E$56,[1]QUART!$A$2:$FA$315, 94, FALSE))</f>
        <v>:</v>
      </c>
      <c r="CR56" s="544" t="str">
        <f>IF(VLOOKUP($E$56,[1]QUART!$A$2:$FA$315, 95, FALSE)="",":",VLOOKUP($E$56,[1]QUART!$A$2:$FA$315, 95, FALSE))</f>
        <v>:</v>
      </c>
      <c r="CS56" s="544" t="str">
        <f>IF(VLOOKUP($E$56,[1]QUART!$A$2:$FA$315, 96, FALSE)="",":",VLOOKUP($E$56,[1]QUART!$A$2:$FA$315, 96, FALSE))</f>
        <v>:</v>
      </c>
      <c r="CT56" s="544" t="str">
        <f>IF(VLOOKUP($E$56,[1]QUART!$A$2:$FA$315, 97, FALSE)="",":",VLOOKUP($E$56,[1]QUART!$A$2:$FA$315, 97, FALSE))</f>
        <v>:</v>
      </c>
      <c r="CU56" s="544" t="str">
        <f>IF(VLOOKUP($E$56,[1]QUART!$A$2:$FA$315, 98, FALSE)="",":",VLOOKUP($E$56,[1]QUART!$A$2:$FA$315, 98, FALSE))</f>
        <v>:</v>
      </c>
      <c r="CV56" s="544" t="str">
        <f>IF(VLOOKUP($E$56,[1]QUART!$A$2:$FA$315, 99, FALSE)="",":",VLOOKUP($E$56,[1]QUART!$A$2:$FA$315, 99, FALSE))</f>
        <v>:</v>
      </c>
      <c r="CW56" s="544" t="str">
        <f>IF(VLOOKUP($E$56,[1]QUART!$A$2:$FA$315, 100, FALSE)="",":",VLOOKUP($E$56,[1]QUART!$A$2:$FA$315, 100, FALSE))</f>
        <v>:</v>
      </c>
      <c r="CX56" s="544" t="str">
        <f>IF(VLOOKUP($E$56,[1]QUART!$A$2:$FA$315, 101, FALSE)="",":",VLOOKUP($E$56,[1]QUART!$A$2:$FA$315, 101, FALSE))</f>
        <v>:</v>
      </c>
      <c r="CY56" s="544" t="str">
        <f>IF(VLOOKUP($E$56,[1]QUART!$A$2:$FA$315, 102, FALSE)="",":",VLOOKUP($E$56,[1]QUART!$A$2:$FA$315, 102, FALSE))</f>
        <v>:</v>
      </c>
      <c r="CZ56" s="544" t="str">
        <f>IF(VLOOKUP($E$56,[1]QUART!$A$2:$FA$315, 103, FALSE)="",":",VLOOKUP($E$56,[1]QUART!$A$2:$FA$315, 103, FALSE))</f>
        <v>:</v>
      </c>
      <c r="DA56" s="544" t="str">
        <f>IF(VLOOKUP($E$56,[1]QUART!$A$2:$FA$315, 104, FALSE)="",":",VLOOKUP($E$56,[1]QUART!$A$2:$FA$315, 104, FALSE))</f>
        <v>:</v>
      </c>
      <c r="DB56" s="544" t="str">
        <f>IF(VLOOKUP($E$56,[1]QUART!$A$2:$FA$315, 105, FALSE)="",":",VLOOKUP($E$56,[1]QUART!$A$2:$FA$315, 105, FALSE))</f>
        <v>:</v>
      </c>
      <c r="DC56" s="544" t="str">
        <f>IF(VLOOKUP($E$56,[1]QUART!$A$2:$FA$315, 106, FALSE)="",":",VLOOKUP($E$56,[1]QUART!$A$2:$FA$315, 106, FALSE))</f>
        <v>:</v>
      </c>
    </row>
    <row r="57" spans="1:107">
      <c r="A57" s="1954"/>
      <c r="B57" s="534"/>
      <c r="C57" s="535"/>
      <c r="D57" s="12" t="s">
        <v>1841</v>
      </c>
      <c r="E57" s="13">
        <v>124</v>
      </c>
      <c r="F57" s="14" t="str">
        <f>VLOOKUP($E$57,[1]QUART!$A$2:$FA$315, 3, FALSE)</f>
        <v xml:space="preserve">124  Exports of goods and services                                                   </v>
      </c>
      <c r="G57" s="544" t="str">
        <f>IF(VLOOKUP($E$57,[1]QUART!$A$2:$FA$315, 6, FALSE)="",":",VLOOKUP($E$57,[1]QUART!$A$2:$FA$315, 6, FALSE))</f>
        <v>:</v>
      </c>
      <c r="H57" s="544" t="str">
        <f>IF(VLOOKUP($E$57,[1]QUART!$A$2:$FA$315, 7, FALSE)="",":",VLOOKUP($E$57,[1]QUART!$A$2:$FA$315, 7, FALSE))</f>
        <v>:</v>
      </c>
      <c r="I57" s="544" t="str">
        <f>IF(VLOOKUP($E$57,[1]QUART!$A$2:$FA$315, 8, FALSE)="",":",VLOOKUP($E$57,[1]QUART!$A$2:$FA$315, 8, FALSE))</f>
        <v>:</v>
      </c>
      <c r="J57" s="544" t="str">
        <f>IF(VLOOKUP($E$57,[1]QUART!$A$2:$FA$315, 9, FALSE)="",":",VLOOKUP($E$57,[1]QUART!$A$2:$FA$315, 9, FALSE))</f>
        <v>:</v>
      </c>
      <c r="K57" s="544" t="str">
        <f>IF(VLOOKUP($E$57,[1]QUART!$A$2:$FA$315, 10, FALSE)="",":",VLOOKUP($E$57,[1]QUART!$A$2:$FA$315, 10, FALSE))</f>
        <v>:</v>
      </c>
      <c r="L57" s="544" t="str">
        <f>IF(VLOOKUP($E$57,[1]QUART!$A$2:$FA$315, 11, FALSE)="",":",VLOOKUP($E$57,[1]QUART!$A$2:$FA$315, 11, FALSE))</f>
        <v>:</v>
      </c>
      <c r="M57" s="544" t="str">
        <f>IF(VLOOKUP($E$57,[1]QUART!$A$2:$FA$315, 12, FALSE)="",":",VLOOKUP($E$57,[1]QUART!$A$2:$FA$315, 12, FALSE))</f>
        <v>:</v>
      </c>
      <c r="N57" s="544" t="str">
        <f>IF(VLOOKUP($E$57,[1]QUART!$A$2:$FA$315, 13, FALSE)="",":",VLOOKUP($E$57,[1]QUART!$A$2:$FA$315, 13, FALSE))</f>
        <v>:</v>
      </c>
      <c r="O57" s="544" t="str">
        <f>IF(VLOOKUP($E$57,[1]QUART!$A$2:$FA$315, 14, FALSE)="",":",VLOOKUP($E$57,[1]QUART!$A$2:$FA$315, 14, FALSE))</f>
        <v>:</v>
      </c>
      <c r="P57" s="544" t="str">
        <f>IF(VLOOKUP($E$57,[1]QUART!$A$2:$FA$315, 15, FALSE)="",":",VLOOKUP($E$57,[1]QUART!$A$2:$FA$315, 15, FALSE))</f>
        <v>:</v>
      </c>
      <c r="Q57" s="544" t="str">
        <f>IF(VLOOKUP($E$57,[1]QUART!$A$2:$FA$315, 16, FALSE)="",":",VLOOKUP($E$57,[1]QUART!$A$2:$FA$315, 16, FALSE))</f>
        <v>:</v>
      </c>
      <c r="R57" s="544" t="str">
        <f>IF(VLOOKUP($E$57,[1]QUART!$A$2:$FA$315, 17, FALSE)="",":",VLOOKUP($E$57,[1]QUART!$A$2:$FA$315, 17, FALSE))</f>
        <v>:</v>
      </c>
      <c r="S57" s="544" t="str">
        <f>IF(VLOOKUP($E$57,[1]QUART!$A$2:$FA$315, 18, FALSE)="",":",VLOOKUP($E$57,[1]QUART!$A$2:$FA$315, 18, FALSE))</f>
        <v>:</v>
      </c>
      <c r="T57" s="544" t="str">
        <f>IF(VLOOKUP($E$57,[1]QUART!$A$2:$FA$315, 19, FALSE)="",":",VLOOKUP($E$57,[1]QUART!$A$2:$FA$315, 19, FALSE))</f>
        <v>:</v>
      </c>
      <c r="U57" s="544" t="str">
        <f>IF(VLOOKUP($E$57,[1]QUART!$A$2:$FA$315, 20, FALSE)="",":",VLOOKUP($E$57,[1]QUART!$A$2:$FA$315, 20, FALSE))</f>
        <v>:</v>
      </c>
      <c r="V57" s="544" t="str">
        <f>IF(VLOOKUP($E$57,[1]QUART!$A$2:$FA$315, 21, FALSE)="",":",VLOOKUP($E$57,[1]QUART!$A$2:$FA$315, 21, FALSE))</f>
        <v>:</v>
      </c>
      <c r="W57" s="544" t="str">
        <f>IF(VLOOKUP($E$57,[1]QUART!$A$2:$FA$315, 22, FALSE)="",":",VLOOKUP($E$57,[1]QUART!$A$2:$FA$315, 22, FALSE))</f>
        <v>:</v>
      </c>
      <c r="X57" s="544" t="str">
        <f>IF(VLOOKUP($E$57,[1]QUART!$A$2:$FA$315, 23, FALSE)="",":",VLOOKUP($E$57,[1]QUART!$A$2:$FA$315, 23, FALSE))</f>
        <v>:</v>
      </c>
      <c r="Y57" s="544" t="str">
        <f>IF(VLOOKUP($E$57,[1]QUART!$A$2:$FA$315, 24, FALSE)="",":",VLOOKUP($E$57,[1]QUART!$A$2:$FA$315, 24, FALSE))</f>
        <v>:</v>
      </c>
      <c r="Z57" s="544" t="str">
        <f>IF(VLOOKUP($E$57,[1]QUART!$A$2:$FA$315, 25, FALSE)="",":",VLOOKUP($E$57,[1]QUART!$A$2:$FA$315, 25, FALSE))</f>
        <v>:</v>
      </c>
      <c r="AA57" s="544" t="str">
        <f>IF(VLOOKUP($E$57,[1]QUART!$A$2:$FA$315, 26, FALSE)="",":",VLOOKUP($E$57,[1]QUART!$A$2:$FA$315, 26, FALSE))</f>
        <v>:</v>
      </c>
      <c r="AB57" s="544" t="str">
        <f>IF(VLOOKUP($E$57,[1]QUART!$A$2:$FA$315, 27, FALSE)="",":",VLOOKUP($E$57,[1]QUART!$A$2:$FA$315, 27, FALSE))</f>
        <v>:</v>
      </c>
      <c r="AC57" s="544" t="str">
        <f>IF(VLOOKUP($E$57,[1]QUART!$A$2:$FA$315, 28, FALSE)="",":",VLOOKUP($E$57,[1]QUART!$A$2:$FA$315, 28, FALSE))</f>
        <v>:</v>
      </c>
      <c r="AD57" s="544" t="str">
        <f>IF(VLOOKUP($E$57,[1]QUART!$A$2:$FA$315, 29, FALSE)="",":",VLOOKUP($E$57,[1]QUART!$A$2:$FA$315, 29, FALSE))</f>
        <v>:</v>
      </c>
      <c r="AE57" s="544" t="str">
        <f>IF(VLOOKUP($E$57,[1]QUART!$A$2:$FA$315, 30, FALSE)="",":",VLOOKUP($E$57,[1]QUART!$A$2:$FA$315, 30, FALSE))</f>
        <v>:</v>
      </c>
      <c r="AF57" s="544" t="str">
        <f>IF(VLOOKUP($E$57,[1]QUART!$A$2:$FA$315, 31, FALSE)="",":",VLOOKUP($E$57,[1]QUART!$A$2:$FA$315, 31, FALSE))</f>
        <v>:</v>
      </c>
      <c r="AG57" s="544" t="str">
        <f>IF(VLOOKUP($E$57,[1]QUART!$A$2:$FA$315, 32, FALSE)="",":",VLOOKUP($E$57,[1]QUART!$A$2:$FA$315, 32, FALSE))</f>
        <v>:</v>
      </c>
      <c r="AH57" s="544" t="str">
        <f>IF(VLOOKUP($E$57,[1]QUART!$A$2:$FA$315, 33, FALSE)="",":",VLOOKUP($E$57,[1]QUART!$A$2:$FA$315, 33, FALSE))</f>
        <v>:</v>
      </c>
      <c r="AI57" s="544" t="str">
        <f>IF(VLOOKUP($E$57,[1]QUART!$A$2:$FA$315, 34, FALSE)="",":",VLOOKUP($E$57,[1]QUART!$A$2:$FA$315, 34, FALSE))</f>
        <v>:</v>
      </c>
      <c r="AJ57" s="544" t="str">
        <f>IF(VLOOKUP($E$57,[1]QUART!$A$2:$FA$315, 35, FALSE)="",":",VLOOKUP($E$57,[1]QUART!$A$2:$FA$315, 35, FALSE))</f>
        <v>:</v>
      </c>
      <c r="AK57" s="544" t="str">
        <f>IF(VLOOKUP($E$57,[1]QUART!$A$2:$FA$315, 36, FALSE)="",":",VLOOKUP($E$57,[1]QUART!$A$2:$FA$315, 36, FALSE))</f>
        <v>:</v>
      </c>
      <c r="AL57" s="544" t="str">
        <f>IF(VLOOKUP($E$57,[1]QUART!$A$2:$FA$315, 37, FALSE)="",":",VLOOKUP($E$57,[1]QUART!$A$2:$FA$315, 37, FALSE))</f>
        <v>:</v>
      </c>
      <c r="AM57" s="544" t="str">
        <f>IF(VLOOKUP($E$57,[1]QUART!$A$2:$FA$315, 38, FALSE)="",":",VLOOKUP($E$57,[1]QUART!$A$2:$FA$315, 38, FALSE))</f>
        <v>:</v>
      </c>
      <c r="AN57" s="544" t="str">
        <f>IF(VLOOKUP($E$57,[1]QUART!$A$2:$FA$315, 39, FALSE)="",":",VLOOKUP($E$57,[1]QUART!$A$2:$FA$315, 39, FALSE))</f>
        <v>:</v>
      </c>
      <c r="AO57" s="544" t="str">
        <f>IF(VLOOKUP($E$57,[1]QUART!$A$2:$FA$315, 40, FALSE)="",":",VLOOKUP($E$57,[1]QUART!$A$2:$FA$315, 40, FALSE))</f>
        <v>:</v>
      </c>
      <c r="AP57" s="544" t="str">
        <f>IF(VLOOKUP($E$57,[1]QUART!$A$2:$FA$315, 41, FALSE)="",":",VLOOKUP($E$57,[1]QUART!$A$2:$FA$315, 41, FALSE))</f>
        <v>:</v>
      </c>
      <c r="AQ57" s="544" t="str">
        <f>IF(VLOOKUP($E$57,[1]QUART!$A$2:$FA$315, 42, FALSE)="",":",VLOOKUP($E$57,[1]QUART!$A$2:$FA$315, 42, FALSE))</f>
        <v>:</v>
      </c>
      <c r="AR57" s="544" t="str">
        <f>IF(VLOOKUP($E$57,[1]QUART!$A$2:$FA$315, 43, FALSE)="",":",VLOOKUP($E$57,[1]QUART!$A$2:$FA$315, 43, FALSE))</f>
        <v>:</v>
      </c>
      <c r="AS57" s="544" t="str">
        <f>IF(VLOOKUP($E$57,[1]QUART!$A$2:$FA$315, 44, FALSE)="",":",VLOOKUP($E$57,[1]QUART!$A$2:$FA$315, 44, FALSE))</f>
        <v>:</v>
      </c>
      <c r="AT57" s="544" t="str">
        <f>IF(VLOOKUP($E$57,[1]QUART!$A$2:$FA$315, 45, FALSE)="",":",VLOOKUP($E$57,[1]QUART!$A$2:$FA$315, 45, FALSE))</f>
        <v>:</v>
      </c>
      <c r="AU57" s="544" t="str">
        <f>IF(VLOOKUP($E$57,[1]QUART!$A$2:$FA$315, 46, FALSE)="",":",VLOOKUP($E$57,[1]QUART!$A$2:$FA$315, 46, FALSE))</f>
        <v>:</v>
      </c>
      <c r="AV57" s="544" t="str">
        <f>IF(VLOOKUP($E$57,[1]QUART!$A$2:$FA$315, 47, FALSE)="",":",VLOOKUP($E$57,[1]QUART!$A$2:$FA$315, 47, FALSE))</f>
        <v>:</v>
      </c>
      <c r="AW57" s="544" t="str">
        <f>IF(VLOOKUP($E$57,[1]QUART!$A$2:$FA$315, 48, FALSE)="",":",VLOOKUP($E$57,[1]QUART!$A$2:$FA$315, 48, FALSE))</f>
        <v>:</v>
      </c>
      <c r="AX57" s="544" t="str">
        <f>IF(VLOOKUP($E$57,[1]QUART!$A$2:$FA$315, 49, FALSE)="",":",VLOOKUP($E$57,[1]QUART!$A$2:$FA$315, 49, FALSE))</f>
        <v>:</v>
      </c>
      <c r="AY57" s="544" t="str">
        <f>IF(VLOOKUP($E$57,[1]QUART!$A$2:$FA$315, 50, FALSE)="",":",VLOOKUP($E$57,[1]QUART!$A$2:$FA$315, 50, FALSE))</f>
        <v>:</v>
      </c>
      <c r="AZ57" s="544" t="str">
        <f>IF(VLOOKUP($E$57,[1]QUART!$A$2:$FA$315, 51, FALSE)="",":",VLOOKUP($E$57,[1]QUART!$A$2:$FA$315, 51, FALSE))</f>
        <v>:</v>
      </c>
      <c r="BA57" s="544" t="str">
        <f>IF(VLOOKUP($E$57,[1]QUART!$A$2:$FA$315, 52, FALSE)="",":",VLOOKUP($E$57,[1]QUART!$A$2:$FA$315, 52, FALSE))</f>
        <v>:</v>
      </c>
      <c r="BB57" s="544" t="str">
        <f>IF(VLOOKUP($E$57,[1]QUART!$A$2:$FA$315, 53, FALSE)="",":",VLOOKUP($E$57,[1]QUART!$A$2:$FA$315, 53, FALSE))</f>
        <v>:</v>
      </c>
      <c r="BC57" s="544" t="str">
        <f>IF(VLOOKUP($E$57,[1]QUART!$A$2:$FA$315, 54, FALSE)="",":",VLOOKUP($E$57,[1]QUART!$A$2:$FA$315, 54, FALSE))</f>
        <v>:</v>
      </c>
      <c r="BD57" s="544" t="str">
        <f>IF(VLOOKUP($E$57,[1]QUART!$A$2:$FA$315, 55, FALSE)="",":",VLOOKUP($E$57,[1]QUART!$A$2:$FA$315, 55, FALSE))</f>
        <v>:</v>
      </c>
      <c r="BE57" s="544" t="str">
        <f>IF(VLOOKUP($E$57,[1]QUART!$A$2:$FA$315, 56, FALSE)="",":",VLOOKUP($E$57,[1]QUART!$A$2:$FA$315, 56, FALSE))</f>
        <v>:</v>
      </c>
      <c r="BF57" s="544" t="str">
        <f>IF(VLOOKUP($E$57,[1]QUART!$A$2:$FA$315, 57, FALSE)="",":",VLOOKUP($E$57,[1]QUART!$A$2:$FA$315, 57, FALSE))</f>
        <v>:</v>
      </c>
      <c r="BG57" s="544" t="str">
        <f>IF(VLOOKUP($E$57,[1]QUART!$A$2:$FA$315, 58, FALSE)="",":",VLOOKUP($E$57,[1]QUART!$A$2:$FA$315, 58, FALSE))</f>
        <v>:</v>
      </c>
      <c r="BH57" s="544" t="str">
        <f>IF(VLOOKUP($E$57,[1]QUART!$A$2:$FA$315, 59, FALSE)="",":",VLOOKUP($E$57,[1]QUART!$A$2:$FA$315, 59, FALSE))</f>
        <v>:</v>
      </c>
      <c r="BI57" s="544" t="str">
        <f>IF(VLOOKUP($E$57,[1]QUART!$A$2:$FA$315, 60, FALSE)="",":",VLOOKUP($E$57,[1]QUART!$A$2:$FA$315, 60, FALSE))</f>
        <v>:</v>
      </c>
      <c r="BJ57" s="544" t="str">
        <f>IF(VLOOKUP($E$57,[1]QUART!$A$2:$FA$315, 61, FALSE)="",":",VLOOKUP($E$57,[1]QUART!$A$2:$FA$315, 61, FALSE))</f>
        <v>:</v>
      </c>
      <c r="BK57" s="544" t="str">
        <f>IF(VLOOKUP($E$57,[1]QUART!$A$2:$FA$315, 62, FALSE)="",":",VLOOKUP($E$57,[1]QUART!$A$2:$FA$315, 62, FALSE))</f>
        <v>:</v>
      </c>
      <c r="BL57" s="544" t="str">
        <f>IF(VLOOKUP($E$57,[1]QUART!$A$2:$FA$315, 63, FALSE)="",":",VLOOKUP($E$57,[1]QUART!$A$2:$FA$315, 63, FALSE))</f>
        <v>:</v>
      </c>
      <c r="BM57" s="544" t="str">
        <f>IF(VLOOKUP($E$57,[1]QUART!$A$2:$FA$315, 64, FALSE)="",":",VLOOKUP($E$57,[1]QUART!$A$2:$FA$315, 64, FALSE))</f>
        <v>:</v>
      </c>
      <c r="BN57" s="544" t="str">
        <f>IF(VLOOKUP($E$57,[1]QUART!$A$2:$FA$315, 65, FALSE)="",":",VLOOKUP($E$57,[1]QUART!$A$2:$FA$315, 65, FALSE))</f>
        <v>:</v>
      </c>
      <c r="BO57" s="544" t="str">
        <f>IF(VLOOKUP($E$57,[1]QUART!$A$2:$FA$315, 66, FALSE)="",":",VLOOKUP($E$57,[1]QUART!$A$2:$FA$315, 66, FALSE))</f>
        <v>:</v>
      </c>
      <c r="BP57" s="544" t="str">
        <f>IF(VLOOKUP($E$57,[1]QUART!$A$2:$FA$315, 67, FALSE)="",":",VLOOKUP($E$57,[1]QUART!$A$2:$FA$315, 67, FALSE))</f>
        <v>:</v>
      </c>
      <c r="BQ57" s="544" t="str">
        <f>IF(VLOOKUP($E$57,[1]QUART!$A$2:$FA$315, 68, FALSE)="",":",VLOOKUP($E$57,[1]QUART!$A$2:$FA$315, 68, FALSE))</f>
        <v>:</v>
      </c>
      <c r="BR57" s="544" t="str">
        <f>IF(VLOOKUP($E$57,[1]QUART!$A$2:$FA$315, 69, FALSE)="",":",VLOOKUP($E$57,[1]QUART!$A$2:$FA$315, 69, FALSE))</f>
        <v>:</v>
      </c>
      <c r="BS57" s="544" t="str">
        <f>IF(VLOOKUP($E$57,[1]QUART!$A$2:$FA$315, 70, FALSE)="",":",VLOOKUP($E$57,[1]QUART!$A$2:$FA$315, 70, FALSE))</f>
        <v>:</v>
      </c>
      <c r="BT57" s="544" t="str">
        <f>IF(VLOOKUP($E$57,[1]QUART!$A$2:$FA$315, 71, FALSE)="",":",VLOOKUP($E$57,[1]QUART!$A$2:$FA$315, 71, FALSE))</f>
        <v>:</v>
      </c>
      <c r="BU57" s="544" t="str">
        <f>IF(VLOOKUP($E$57,[1]QUART!$A$2:$FA$315, 72, FALSE)="",":",VLOOKUP($E$57,[1]QUART!$A$2:$FA$315, 72, FALSE))</f>
        <v>:</v>
      </c>
      <c r="BV57" s="544" t="str">
        <f>IF(VLOOKUP($E$57,[1]QUART!$A$2:$FA$315, 73, FALSE)="",":",VLOOKUP($E$57,[1]QUART!$A$2:$FA$315, 73, FALSE))</f>
        <v>:</v>
      </c>
      <c r="BW57" s="544" t="str">
        <f>IF(VLOOKUP($E$57,[1]QUART!$A$2:$FA$315, 74, FALSE)="",":",VLOOKUP($E$57,[1]QUART!$A$2:$FA$315, 74, FALSE))</f>
        <v>:</v>
      </c>
      <c r="BX57" s="544" t="str">
        <f>IF(VLOOKUP($E$57,[1]QUART!$A$2:$FA$315, 75, FALSE)="",":",VLOOKUP($E$57,[1]QUART!$A$2:$FA$315, 75, FALSE))</f>
        <v>:</v>
      </c>
      <c r="BY57" s="544" t="str">
        <f>IF(VLOOKUP($E$57,[1]QUART!$A$2:$FA$315, 76, FALSE)="",":",VLOOKUP($E$57,[1]QUART!$A$2:$FA$315, 76, FALSE))</f>
        <v>:</v>
      </c>
      <c r="BZ57" s="544" t="str">
        <f>IF(VLOOKUP($E$57,[1]QUART!$A$2:$FA$315, 77, FALSE)="",":",VLOOKUP($E$57,[1]QUART!$A$2:$FA$315, 77, FALSE))</f>
        <v>:</v>
      </c>
      <c r="CA57" s="544" t="str">
        <f>IF(VLOOKUP($E$57,[1]QUART!$A$2:$FA$315, 78, FALSE)="",":",VLOOKUP($E$57,[1]QUART!$A$2:$FA$315, 78, FALSE))</f>
        <v>:</v>
      </c>
      <c r="CB57" s="544" t="str">
        <f>IF(VLOOKUP($E$57,[1]QUART!$A$2:$FA$315, 79, FALSE)="",":",VLOOKUP($E$57,[1]QUART!$A$2:$FA$315, 79, FALSE))</f>
        <v>:</v>
      </c>
      <c r="CC57" s="544" t="str">
        <f>IF(VLOOKUP($E$57,[1]QUART!$A$2:$FA$315, 80, FALSE)="",":",VLOOKUP($E$57,[1]QUART!$A$2:$FA$315, 80, FALSE))</f>
        <v>:</v>
      </c>
      <c r="CD57" s="544" t="str">
        <f>IF(VLOOKUP($E$57,[1]QUART!$A$2:$FA$315, 81, FALSE)="",":",VLOOKUP($E$57,[1]QUART!$A$2:$FA$315, 81, FALSE))</f>
        <v>:</v>
      </c>
      <c r="CE57" s="544" t="str">
        <f>IF(VLOOKUP($E$57,[1]QUART!$A$2:$FA$315, 82, FALSE)="",":",VLOOKUP($E$57,[1]QUART!$A$2:$FA$315, 82, FALSE))</f>
        <v>:</v>
      </c>
      <c r="CF57" s="544" t="str">
        <f>IF(VLOOKUP($E$57,[1]QUART!$A$2:$FA$315, 83, FALSE)="",":",VLOOKUP($E$57,[1]QUART!$A$2:$FA$315, 83, FALSE))</f>
        <v>:</v>
      </c>
      <c r="CG57" s="544" t="str">
        <f>IF(VLOOKUP($E$57,[1]QUART!$A$2:$FA$315, 84, FALSE)="",":",VLOOKUP($E$57,[1]QUART!$A$2:$FA$315, 84, FALSE))</f>
        <v>:</v>
      </c>
      <c r="CH57" s="544" t="str">
        <f>IF(VLOOKUP($E$57,[1]QUART!$A$2:$FA$315, 85, FALSE)="",":",VLOOKUP($E$57,[1]QUART!$A$2:$FA$315, 85, FALSE))</f>
        <v>:</v>
      </c>
      <c r="CI57" s="544" t="str">
        <f>IF(VLOOKUP($E$57,[1]QUART!$A$2:$FA$315, 86, FALSE)="",":",VLOOKUP($E$57,[1]QUART!$A$2:$FA$315, 86, FALSE))</f>
        <v>:</v>
      </c>
      <c r="CJ57" s="544" t="str">
        <f>IF(VLOOKUP($E$57,[1]QUART!$A$2:$FA$315, 87, FALSE)="",":",VLOOKUP($E$57,[1]QUART!$A$2:$FA$315, 87, FALSE))</f>
        <v>:</v>
      </c>
      <c r="CK57" s="544" t="str">
        <f>IF(VLOOKUP($E$57,[1]QUART!$A$2:$FA$315, 88, FALSE)="",":",VLOOKUP($E$57,[1]QUART!$A$2:$FA$315, 88, FALSE))</f>
        <v>:</v>
      </c>
      <c r="CL57" s="544" t="str">
        <f>IF(VLOOKUP($E$57,[1]QUART!$A$2:$FA$315, 89, FALSE)="",":",VLOOKUP($E$57,[1]QUART!$A$2:$FA$315, 89, FALSE))</f>
        <v>:</v>
      </c>
      <c r="CM57" s="544" t="str">
        <f>IF(VLOOKUP($E$57,[1]QUART!$A$2:$FA$315, 90, FALSE)="",":",VLOOKUP($E$57,[1]QUART!$A$2:$FA$315, 90, FALSE))</f>
        <v>:</v>
      </c>
      <c r="CN57" s="544" t="str">
        <f>IF(VLOOKUP($E$57,[1]QUART!$A$2:$FA$315, 91, FALSE)="",":",VLOOKUP($E$57,[1]QUART!$A$2:$FA$315, 91, FALSE))</f>
        <v>:</v>
      </c>
      <c r="CO57" s="544" t="str">
        <f>IF(VLOOKUP($E$57,[1]QUART!$A$2:$FA$315, 92, FALSE)="",":",VLOOKUP($E$57,[1]QUART!$A$2:$FA$315, 92, FALSE))</f>
        <v>:</v>
      </c>
      <c r="CP57" s="544" t="str">
        <f>IF(VLOOKUP($E$57,[1]QUART!$A$2:$FA$315, 93, FALSE)="",":",VLOOKUP($E$57,[1]QUART!$A$2:$FA$315, 93, FALSE))</f>
        <v>:</v>
      </c>
      <c r="CQ57" s="544" t="str">
        <f>IF(VLOOKUP($E$57,[1]QUART!$A$2:$FA$315, 94, FALSE)="",":",VLOOKUP($E$57,[1]QUART!$A$2:$FA$315, 94, FALSE))</f>
        <v>:</v>
      </c>
      <c r="CR57" s="544" t="str">
        <f>IF(VLOOKUP($E$57,[1]QUART!$A$2:$FA$315, 95, FALSE)="",":",VLOOKUP($E$57,[1]QUART!$A$2:$FA$315, 95, FALSE))</f>
        <v>:</v>
      </c>
      <c r="CS57" s="544" t="str">
        <f>IF(VLOOKUP($E$57,[1]QUART!$A$2:$FA$315, 96, FALSE)="",":",VLOOKUP($E$57,[1]QUART!$A$2:$FA$315, 96, FALSE))</f>
        <v>:</v>
      </c>
      <c r="CT57" s="544" t="str">
        <f>IF(VLOOKUP($E$57,[1]QUART!$A$2:$FA$315, 97, FALSE)="",":",VLOOKUP($E$57,[1]QUART!$A$2:$FA$315, 97, FALSE))</f>
        <v>:</v>
      </c>
      <c r="CU57" s="544" t="str">
        <f>IF(VLOOKUP($E$57,[1]QUART!$A$2:$FA$315, 98, FALSE)="",":",VLOOKUP($E$57,[1]QUART!$A$2:$FA$315, 98, FALSE))</f>
        <v>:</v>
      </c>
      <c r="CV57" s="544" t="str">
        <f>IF(VLOOKUP($E$57,[1]QUART!$A$2:$FA$315, 99, FALSE)="",":",VLOOKUP($E$57,[1]QUART!$A$2:$FA$315, 99, FALSE))</f>
        <v>:</v>
      </c>
      <c r="CW57" s="544" t="str">
        <f>IF(VLOOKUP($E$57,[1]QUART!$A$2:$FA$315, 100, FALSE)="",":",VLOOKUP($E$57,[1]QUART!$A$2:$FA$315, 100, FALSE))</f>
        <v>:</v>
      </c>
      <c r="CX57" s="544" t="str">
        <f>IF(VLOOKUP($E$57,[1]QUART!$A$2:$FA$315, 101, FALSE)="",":",VLOOKUP($E$57,[1]QUART!$A$2:$FA$315, 101, FALSE))</f>
        <v>:</v>
      </c>
      <c r="CY57" s="544" t="str">
        <f>IF(VLOOKUP($E$57,[1]QUART!$A$2:$FA$315, 102, FALSE)="",":",VLOOKUP($E$57,[1]QUART!$A$2:$FA$315, 102, FALSE))</f>
        <v>:</v>
      </c>
      <c r="CZ57" s="544" t="str">
        <f>IF(VLOOKUP($E$57,[1]QUART!$A$2:$FA$315, 103, FALSE)="",":",VLOOKUP($E$57,[1]QUART!$A$2:$FA$315, 103, FALSE))</f>
        <v>:</v>
      </c>
      <c r="DA57" s="544" t="str">
        <f>IF(VLOOKUP($E$57,[1]QUART!$A$2:$FA$315, 104, FALSE)="",":",VLOOKUP($E$57,[1]QUART!$A$2:$FA$315, 104, FALSE))</f>
        <v>:</v>
      </c>
      <c r="DB57" s="544" t="str">
        <f>IF(VLOOKUP($E$57,[1]QUART!$A$2:$FA$315, 105, FALSE)="",":",VLOOKUP($E$57,[1]QUART!$A$2:$FA$315, 105, FALSE))</f>
        <v>:</v>
      </c>
      <c r="DC57" s="544" t="str">
        <f>IF(VLOOKUP($E$57,[1]QUART!$A$2:$FA$315, 106, FALSE)="",":",VLOOKUP($E$57,[1]QUART!$A$2:$FA$315, 106, FALSE))</f>
        <v>:</v>
      </c>
    </row>
    <row r="58" spans="1:107">
      <c r="A58" s="1954"/>
      <c r="B58" s="534"/>
      <c r="C58" s="535"/>
      <c r="D58" s="12" t="s">
        <v>1841</v>
      </c>
      <c r="E58" s="13">
        <v>125</v>
      </c>
      <c r="F58" s="14" t="str">
        <f>VLOOKUP($E$58,[1]QUART!$A$2:$FA$315, 3, FALSE)</f>
        <v xml:space="preserve">125  Imports of goods and services                                                   </v>
      </c>
      <c r="G58" s="544" t="str">
        <f>IF(VLOOKUP($E$58,[1]QUART!$A$2:$FA$315, 6, FALSE)="",":",VLOOKUP($E$58,[1]QUART!$A$2:$FA$315, 6, FALSE))</f>
        <v>:</v>
      </c>
      <c r="H58" s="544" t="str">
        <f>IF(VLOOKUP($E$58,[1]QUART!$A$2:$FA$315, 7, FALSE)="",":",VLOOKUP($E$58,[1]QUART!$A$2:$FA$315, 7, FALSE))</f>
        <v>:</v>
      </c>
      <c r="I58" s="544" t="str">
        <f>IF(VLOOKUP($E$58,[1]QUART!$A$2:$FA$315, 8, FALSE)="",":",VLOOKUP($E$58,[1]QUART!$A$2:$FA$315, 8, FALSE))</f>
        <v>:</v>
      </c>
      <c r="J58" s="544" t="str">
        <f>IF(VLOOKUP($E$58,[1]QUART!$A$2:$FA$315, 9, FALSE)="",":",VLOOKUP($E$58,[1]QUART!$A$2:$FA$315, 9, FALSE))</f>
        <v>:</v>
      </c>
      <c r="K58" s="544" t="str">
        <f>IF(VLOOKUP($E$58,[1]QUART!$A$2:$FA$315, 10, FALSE)="",":",VLOOKUP($E$58,[1]QUART!$A$2:$FA$315, 10, FALSE))</f>
        <v>:</v>
      </c>
      <c r="L58" s="544" t="str">
        <f>IF(VLOOKUP($E$58,[1]QUART!$A$2:$FA$315, 11, FALSE)="",":",VLOOKUP($E$58,[1]QUART!$A$2:$FA$315, 11, FALSE))</f>
        <v>:</v>
      </c>
      <c r="M58" s="544" t="str">
        <f>IF(VLOOKUP($E$58,[1]QUART!$A$2:$FA$315, 12, FALSE)="",":",VLOOKUP($E$58,[1]QUART!$A$2:$FA$315, 12, FALSE))</f>
        <v>:</v>
      </c>
      <c r="N58" s="544" t="str">
        <f>IF(VLOOKUP($E$58,[1]QUART!$A$2:$FA$315, 13, FALSE)="",":",VLOOKUP($E$58,[1]QUART!$A$2:$FA$315, 13, FALSE))</f>
        <v>:</v>
      </c>
      <c r="O58" s="544" t="str">
        <f>IF(VLOOKUP($E$58,[1]QUART!$A$2:$FA$315, 14, FALSE)="",":",VLOOKUP($E$58,[1]QUART!$A$2:$FA$315, 14, FALSE))</f>
        <v>:</v>
      </c>
      <c r="P58" s="544" t="str">
        <f>IF(VLOOKUP($E$58,[1]QUART!$A$2:$FA$315, 15, FALSE)="",":",VLOOKUP($E$58,[1]QUART!$A$2:$FA$315, 15, FALSE))</f>
        <v>:</v>
      </c>
      <c r="Q58" s="544" t="str">
        <f>IF(VLOOKUP($E$58,[1]QUART!$A$2:$FA$315, 16, FALSE)="",":",VLOOKUP($E$58,[1]QUART!$A$2:$FA$315, 16, FALSE))</f>
        <v>:</v>
      </c>
      <c r="R58" s="544" t="str">
        <f>IF(VLOOKUP($E$58,[1]QUART!$A$2:$FA$315, 17, FALSE)="",":",VLOOKUP($E$58,[1]QUART!$A$2:$FA$315, 17, FALSE))</f>
        <v>:</v>
      </c>
      <c r="S58" s="544" t="str">
        <f>IF(VLOOKUP($E$58,[1]QUART!$A$2:$FA$315, 18, FALSE)="",":",VLOOKUP($E$58,[1]QUART!$A$2:$FA$315, 18, FALSE))</f>
        <v>:</v>
      </c>
      <c r="T58" s="544" t="str">
        <f>IF(VLOOKUP($E$58,[1]QUART!$A$2:$FA$315, 19, FALSE)="",":",VLOOKUP($E$58,[1]QUART!$A$2:$FA$315, 19, FALSE))</f>
        <v>:</v>
      </c>
      <c r="U58" s="544" t="str">
        <f>IF(VLOOKUP($E$58,[1]QUART!$A$2:$FA$315, 20, FALSE)="",":",VLOOKUP($E$58,[1]QUART!$A$2:$FA$315, 20, FALSE))</f>
        <v>:</v>
      </c>
      <c r="V58" s="544" t="str">
        <f>IF(VLOOKUP($E$58,[1]QUART!$A$2:$FA$315, 21, FALSE)="",":",VLOOKUP($E$58,[1]QUART!$A$2:$FA$315, 21, FALSE))</f>
        <v>:</v>
      </c>
      <c r="W58" s="544" t="str">
        <f>IF(VLOOKUP($E$58,[1]QUART!$A$2:$FA$315, 22, FALSE)="",":",VLOOKUP($E$58,[1]QUART!$A$2:$FA$315, 22, FALSE))</f>
        <v>:</v>
      </c>
      <c r="X58" s="544" t="str">
        <f>IF(VLOOKUP($E$58,[1]QUART!$A$2:$FA$315, 23, FALSE)="",":",VLOOKUP($E$58,[1]QUART!$A$2:$FA$315, 23, FALSE))</f>
        <v>:</v>
      </c>
      <c r="Y58" s="544" t="str">
        <f>IF(VLOOKUP($E$58,[1]QUART!$A$2:$FA$315, 24, FALSE)="",":",VLOOKUP($E$58,[1]QUART!$A$2:$FA$315, 24, FALSE))</f>
        <v>:</v>
      </c>
      <c r="Z58" s="544" t="str">
        <f>IF(VLOOKUP($E$58,[1]QUART!$A$2:$FA$315, 25, FALSE)="",":",VLOOKUP($E$58,[1]QUART!$A$2:$FA$315, 25, FALSE))</f>
        <v>:</v>
      </c>
      <c r="AA58" s="544" t="str">
        <f>IF(VLOOKUP($E$58,[1]QUART!$A$2:$FA$315, 26, FALSE)="",":",VLOOKUP($E$58,[1]QUART!$A$2:$FA$315, 26, FALSE))</f>
        <v>:</v>
      </c>
      <c r="AB58" s="544" t="str">
        <f>IF(VLOOKUP($E$58,[1]QUART!$A$2:$FA$315, 27, FALSE)="",":",VLOOKUP($E$58,[1]QUART!$A$2:$FA$315, 27, FALSE))</f>
        <v>:</v>
      </c>
      <c r="AC58" s="544" t="str">
        <f>IF(VLOOKUP($E$58,[1]QUART!$A$2:$FA$315, 28, FALSE)="",":",VLOOKUP($E$58,[1]QUART!$A$2:$FA$315, 28, FALSE))</f>
        <v>:</v>
      </c>
      <c r="AD58" s="544" t="str">
        <f>IF(VLOOKUP($E$58,[1]QUART!$A$2:$FA$315, 29, FALSE)="",":",VLOOKUP($E$58,[1]QUART!$A$2:$FA$315, 29, FALSE))</f>
        <v>:</v>
      </c>
      <c r="AE58" s="544" t="str">
        <f>IF(VLOOKUP($E$58,[1]QUART!$A$2:$FA$315, 30, FALSE)="",":",VLOOKUP($E$58,[1]QUART!$A$2:$FA$315, 30, FALSE))</f>
        <v>:</v>
      </c>
      <c r="AF58" s="544" t="str">
        <f>IF(VLOOKUP($E$58,[1]QUART!$A$2:$FA$315, 31, FALSE)="",":",VLOOKUP($E$58,[1]QUART!$A$2:$FA$315, 31, FALSE))</f>
        <v>:</v>
      </c>
      <c r="AG58" s="544" t="str">
        <f>IF(VLOOKUP($E$58,[1]QUART!$A$2:$FA$315, 32, FALSE)="",":",VLOOKUP($E$58,[1]QUART!$A$2:$FA$315, 32, FALSE))</f>
        <v>:</v>
      </c>
      <c r="AH58" s="544" t="str">
        <f>IF(VLOOKUP($E$58,[1]QUART!$A$2:$FA$315, 33, FALSE)="",":",VLOOKUP($E$58,[1]QUART!$A$2:$FA$315, 33, FALSE))</f>
        <v>:</v>
      </c>
      <c r="AI58" s="544" t="str">
        <f>IF(VLOOKUP($E$58,[1]QUART!$A$2:$FA$315, 34, FALSE)="",":",VLOOKUP($E$58,[1]QUART!$A$2:$FA$315, 34, FALSE))</f>
        <v>:</v>
      </c>
      <c r="AJ58" s="544" t="str">
        <f>IF(VLOOKUP($E$58,[1]QUART!$A$2:$FA$315, 35, FALSE)="",":",VLOOKUP($E$58,[1]QUART!$A$2:$FA$315, 35, FALSE))</f>
        <v>:</v>
      </c>
      <c r="AK58" s="544" t="str">
        <f>IF(VLOOKUP($E$58,[1]QUART!$A$2:$FA$315, 36, FALSE)="",":",VLOOKUP($E$58,[1]QUART!$A$2:$FA$315, 36, FALSE))</f>
        <v>:</v>
      </c>
      <c r="AL58" s="544" t="str">
        <f>IF(VLOOKUP($E$58,[1]QUART!$A$2:$FA$315, 37, FALSE)="",":",VLOOKUP($E$58,[1]QUART!$A$2:$FA$315, 37, FALSE))</f>
        <v>:</v>
      </c>
      <c r="AM58" s="544" t="str">
        <f>IF(VLOOKUP($E$58,[1]QUART!$A$2:$FA$315, 38, FALSE)="",":",VLOOKUP($E$58,[1]QUART!$A$2:$FA$315, 38, FALSE))</f>
        <v>:</v>
      </c>
      <c r="AN58" s="544" t="str">
        <f>IF(VLOOKUP($E$58,[1]QUART!$A$2:$FA$315, 39, FALSE)="",":",VLOOKUP($E$58,[1]QUART!$A$2:$FA$315, 39, FALSE))</f>
        <v>:</v>
      </c>
      <c r="AO58" s="544" t="str">
        <f>IF(VLOOKUP($E$58,[1]QUART!$A$2:$FA$315, 40, FALSE)="",":",VLOOKUP($E$58,[1]QUART!$A$2:$FA$315, 40, FALSE))</f>
        <v>:</v>
      </c>
      <c r="AP58" s="544" t="str">
        <f>IF(VLOOKUP($E$58,[1]QUART!$A$2:$FA$315, 41, FALSE)="",":",VLOOKUP($E$58,[1]QUART!$A$2:$FA$315, 41, FALSE))</f>
        <v>:</v>
      </c>
      <c r="AQ58" s="544" t="str">
        <f>IF(VLOOKUP($E$58,[1]QUART!$A$2:$FA$315, 42, FALSE)="",":",VLOOKUP($E$58,[1]QUART!$A$2:$FA$315, 42, FALSE))</f>
        <v>:</v>
      </c>
      <c r="AR58" s="544" t="str">
        <f>IF(VLOOKUP($E$58,[1]QUART!$A$2:$FA$315, 43, FALSE)="",":",VLOOKUP($E$58,[1]QUART!$A$2:$FA$315, 43, FALSE))</f>
        <v>:</v>
      </c>
      <c r="AS58" s="544" t="str">
        <f>IF(VLOOKUP($E$58,[1]QUART!$A$2:$FA$315, 44, FALSE)="",":",VLOOKUP($E$58,[1]QUART!$A$2:$FA$315, 44, FALSE))</f>
        <v>:</v>
      </c>
      <c r="AT58" s="544" t="str">
        <f>IF(VLOOKUP($E$58,[1]QUART!$A$2:$FA$315, 45, FALSE)="",":",VLOOKUP($E$58,[1]QUART!$A$2:$FA$315, 45, FALSE))</f>
        <v>:</v>
      </c>
      <c r="AU58" s="544" t="str">
        <f>IF(VLOOKUP($E$58,[1]QUART!$A$2:$FA$315, 46, FALSE)="",":",VLOOKUP($E$58,[1]QUART!$A$2:$FA$315, 46, FALSE))</f>
        <v>:</v>
      </c>
      <c r="AV58" s="544" t="str">
        <f>IF(VLOOKUP($E$58,[1]QUART!$A$2:$FA$315, 47, FALSE)="",":",VLOOKUP($E$58,[1]QUART!$A$2:$FA$315, 47, FALSE))</f>
        <v>:</v>
      </c>
      <c r="AW58" s="544" t="str">
        <f>IF(VLOOKUP($E$58,[1]QUART!$A$2:$FA$315, 48, FALSE)="",":",VLOOKUP($E$58,[1]QUART!$A$2:$FA$315, 48, FALSE))</f>
        <v>:</v>
      </c>
      <c r="AX58" s="544" t="str">
        <f>IF(VLOOKUP($E$58,[1]QUART!$A$2:$FA$315, 49, FALSE)="",":",VLOOKUP($E$58,[1]QUART!$A$2:$FA$315, 49, FALSE))</f>
        <v>:</v>
      </c>
      <c r="AY58" s="544" t="str">
        <f>IF(VLOOKUP($E$58,[1]QUART!$A$2:$FA$315, 50, FALSE)="",":",VLOOKUP($E$58,[1]QUART!$A$2:$FA$315, 50, FALSE))</f>
        <v>:</v>
      </c>
      <c r="AZ58" s="544" t="str">
        <f>IF(VLOOKUP($E$58,[1]QUART!$A$2:$FA$315, 51, FALSE)="",":",VLOOKUP($E$58,[1]QUART!$A$2:$FA$315, 51, FALSE))</f>
        <v>:</v>
      </c>
      <c r="BA58" s="544" t="str">
        <f>IF(VLOOKUP($E$58,[1]QUART!$A$2:$FA$315, 52, FALSE)="",":",VLOOKUP($E$58,[1]QUART!$A$2:$FA$315, 52, FALSE))</f>
        <v>:</v>
      </c>
      <c r="BB58" s="544" t="str">
        <f>IF(VLOOKUP($E$58,[1]QUART!$A$2:$FA$315, 53, FALSE)="",":",VLOOKUP($E$58,[1]QUART!$A$2:$FA$315, 53, FALSE))</f>
        <v>:</v>
      </c>
      <c r="BC58" s="544" t="str">
        <f>IF(VLOOKUP($E$58,[1]QUART!$A$2:$FA$315, 54, FALSE)="",":",VLOOKUP($E$58,[1]QUART!$A$2:$FA$315, 54, FALSE))</f>
        <v>:</v>
      </c>
      <c r="BD58" s="544" t="str">
        <f>IF(VLOOKUP($E$58,[1]QUART!$A$2:$FA$315, 55, FALSE)="",":",VLOOKUP($E$58,[1]QUART!$A$2:$FA$315, 55, FALSE))</f>
        <v>:</v>
      </c>
      <c r="BE58" s="544" t="str">
        <f>IF(VLOOKUP($E$58,[1]QUART!$A$2:$FA$315, 56, FALSE)="",":",VLOOKUP($E$58,[1]QUART!$A$2:$FA$315, 56, FALSE))</f>
        <v>:</v>
      </c>
      <c r="BF58" s="544" t="str">
        <f>IF(VLOOKUP($E$58,[1]QUART!$A$2:$FA$315, 57, FALSE)="",":",VLOOKUP($E$58,[1]QUART!$A$2:$FA$315, 57, FALSE))</f>
        <v>:</v>
      </c>
      <c r="BG58" s="544" t="str">
        <f>IF(VLOOKUP($E$58,[1]QUART!$A$2:$FA$315, 58, FALSE)="",":",VLOOKUP($E$58,[1]QUART!$A$2:$FA$315, 58, FALSE))</f>
        <v>:</v>
      </c>
      <c r="BH58" s="544" t="str">
        <f>IF(VLOOKUP($E$58,[1]QUART!$A$2:$FA$315, 59, FALSE)="",":",VLOOKUP($E$58,[1]QUART!$A$2:$FA$315, 59, FALSE))</f>
        <v>:</v>
      </c>
      <c r="BI58" s="544" t="str">
        <f>IF(VLOOKUP($E$58,[1]QUART!$A$2:$FA$315, 60, FALSE)="",":",VLOOKUP($E$58,[1]QUART!$A$2:$FA$315, 60, FALSE))</f>
        <v>:</v>
      </c>
      <c r="BJ58" s="544" t="str">
        <f>IF(VLOOKUP($E$58,[1]QUART!$A$2:$FA$315, 61, FALSE)="",":",VLOOKUP($E$58,[1]QUART!$A$2:$FA$315, 61, FALSE))</f>
        <v>:</v>
      </c>
      <c r="BK58" s="544" t="str">
        <f>IF(VLOOKUP($E$58,[1]QUART!$A$2:$FA$315, 62, FALSE)="",":",VLOOKUP($E$58,[1]QUART!$A$2:$FA$315, 62, FALSE))</f>
        <v>:</v>
      </c>
      <c r="BL58" s="544" t="str">
        <f>IF(VLOOKUP($E$58,[1]QUART!$A$2:$FA$315, 63, FALSE)="",":",VLOOKUP($E$58,[1]QUART!$A$2:$FA$315, 63, FALSE))</f>
        <v>:</v>
      </c>
      <c r="BM58" s="544" t="str">
        <f>IF(VLOOKUP($E$58,[1]QUART!$A$2:$FA$315, 64, FALSE)="",":",VLOOKUP($E$58,[1]QUART!$A$2:$FA$315, 64, FALSE))</f>
        <v>:</v>
      </c>
      <c r="BN58" s="544" t="str">
        <f>IF(VLOOKUP($E$58,[1]QUART!$A$2:$FA$315, 65, FALSE)="",":",VLOOKUP($E$58,[1]QUART!$A$2:$FA$315, 65, FALSE))</f>
        <v>:</v>
      </c>
      <c r="BO58" s="544" t="str">
        <f>IF(VLOOKUP($E$58,[1]QUART!$A$2:$FA$315, 66, FALSE)="",":",VLOOKUP($E$58,[1]QUART!$A$2:$FA$315, 66, FALSE))</f>
        <v>:</v>
      </c>
      <c r="BP58" s="544" t="str">
        <f>IF(VLOOKUP($E$58,[1]QUART!$A$2:$FA$315, 67, FALSE)="",":",VLOOKUP($E$58,[1]QUART!$A$2:$FA$315, 67, FALSE))</f>
        <v>:</v>
      </c>
      <c r="BQ58" s="544" t="str">
        <f>IF(VLOOKUP($E$58,[1]QUART!$A$2:$FA$315, 68, FALSE)="",":",VLOOKUP($E$58,[1]QUART!$A$2:$FA$315, 68, FALSE))</f>
        <v>:</v>
      </c>
      <c r="BR58" s="544" t="str">
        <f>IF(VLOOKUP($E$58,[1]QUART!$A$2:$FA$315, 69, FALSE)="",":",VLOOKUP($E$58,[1]QUART!$A$2:$FA$315, 69, FALSE))</f>
        <v>:</v>
      </c>
      <c r="BS58" s="544" t="str">
        <f>IF(VLOOKUP($E$58,[1]QUART!$A$2:$FA$315, 70, FALSE)="",":",VLOOKUP($E$58,[1]QUART!$A$2:$FA$315, 70, FALSE))</f>
        <v>:</v>
      </c>
      <c r="BT58" s="544" t="str">
        <f>IF(VLOOKUP($E$58,[1]QUART!$A$2:$FA$315, 71, FALSE)="",":",VLOOKUP($E$58,[1]QUART!$A$2:$FA$315, 71, FALSE))</f>
        <v>:</v>
      </c>
      <c r="BU58" s="544" t="str">
        <f>IF(VLOOKUP($E$58,[1]QUART!$A$2:$FA$315, 72, FALSE)="",":",VLOOKUP($E$58,[1]QUART!$A$2:$FA$315, 72, FALSE))</f>
        <v>:</v>
      </c>
      <c r="BV58" s="544" t="str">
        <f>IF(VLOOKUP($E$58,[1]QUART!$A$2:$FA$315, 73, FALSE)="",":",VLOOKUP($E$58,[1]QUART!$A$2:$FA$315, 73, FALSE))</f>
        <v>:</v>
      </c>
      <c r="BW58" s="544" t="str">
        <f>IF(VLOOKUP($E$58,[1]QUART!$A$2:$FA$315, 74, FALSE)="",":",VLOOKUP($E$58,[1]QUART!$A$2:$FA$315, 74, FALSE))</f>
        <v>:</v>
      </c>
      <c r="BX58" s="544" t="str">
        <f>IF(VLOOKUP($E$58,[1]QUART!$A$2:$FA$315, 75, FALSE)="",":",VLOOKUP($E$58,[1]QUART!$A$2:$FA$315, 75, FALSE))</f>
        <v>:</v>
      </c>
      <c r="BY58" s="544" t="str">
        <f>IF(VLOOKUP($E$58,[1]QUART!$A$2:$FA$315, 76, FALSE)="",":",VLOOKUP($E$58,[1]QUART!$A$2:$FA$315, 76, FALSE))</f>
        <v>:</v>
      </c>
      <c r="BZ58" s="544" t="str">
        <f>IF(VLOOKUP($E$58,[1]QUART!$A$2:$FA$315, 77, FALSE)="",":",VLOOKUP($E$58,[1]QUART!$A$2:$FA$315, 77, FALSE))</f>
        <v>:</v>
      </c>
      <c r="CA58" s="544" t="str">
        <f>IF(VLOOKUP($E$58,[1]QUART!$A$2:$FA$315, 78, FALSE)="",":",VLOOKUP($E$58,[1]QUART!$A$2:$FA$315, 78, FALSE))</f>
        <v>:</v>
      </c>
      <c r="CB58" s="544" t="str">
        <f>IF(VLOOKUP($E$58,[1]QUART!$A$2:$FA$315, 79, FALSE)="",":",VLOOKUP($E$58,[1]QUART!$A$2:$FA$315, 79, FALSE))</f>
        <v>:</v>
      </c>
      <c r="CC58" s="544" t="str">
        <f>IF(VLOOKUP($E$58,[1]QUART!$A$2:$FA$315, 80, FALSE)="",":",VLOOKUP($E$58,[1]QUART!$A$2:$FA$315, 80, FALSE))</f>
        <v>:</v>
      </c>
      <c r="CD58" s="544" t="str">
        <f>IF(VLOOKUP($E$58,[1]QUART!$A$2:$FA$315, 81, FALSE)="",":",VLOOKUP($E$58,[1]QUART!$A$2:$FA$315, 81, FALSE))</f>
        <v>:</v>
      </c>
      <c r="CE58" s="544" t="str">
        <f>IF(VLOOKUP($E$58,[1]QUART!$A$2:$FA$315, 82, FALSE)="",":",VLOOKUP($E$58,[1]QUART!$A$2:$FA$315, 82, FALSE))</f>
        <v>:</v>
      </c>
      <c r="CF58" s="544" t="str">
        <f>IF(VLOOKUP($E$58,[1]QUART!$A$2:$FA$315, 83, FALSE)="",":",VLOOKUP($E$58,[1]QUART!$A$2:$FA$315, 83, FALSE))</f>
        <v>:</v>
      </c>
      <c r="CG58" s="544" t="str">
        <f>IF(VLOOKUP($E$58,[1]QUART!$A$2:$FA$315, 84, FALSE)="",":",VLOOKUP($E$58,[1]QUART!$A$2:$FA$315, 84, FALSE))</f>
        <v>:</v>
      </c>
      <c r="CH58" s="544" t="str">
        <f>IF(VLOOKUP($E$58,[1]QUART!$A$2:$FA$315, 85, FALSE)="",":",VLOOKUP($E$58,[1]QUART!$A$2:$FA$315, 85, FALSE))</f>
        <v>:</v>
      </c>
      <c r="CI58" s="544" t="str">
        <f>IF(VLOOKUP($E$58,[1]QUART!$A$2:$FA$315, 86, FALSE)="",":",VLOOKUP($E$58,[1]QUART!$A$2:$FA$315, 86, FALSE))</f>
        <v>:</v>
      </c>
      <c r="CJ58" s="544" t="str">
        <f>IF(VLOOKUP($E$58,[1]QUART!$A$2:$FA$315, 87, FALSE)="",":",VLOOKUP($E$58,[1]QUART!$A$2:$FA$315, 87, FALSE))</f>
        <v>:</v>
      </c>
      <c r="CK58" s="544" t="str">
        <f>IF(VLOOKUP($E$58,[1]QUART!$A$2:$FA$315, 88, FALSE)="",":",VLOOKUP($E$58,[1]QUART!$A$2:$FA$315, 88, FALSE))</f>
        <v>:</v>
      </c>
      <c r="CL58" s="544" t="str">
        <f>IF(VLOOKUP($E$58,[1]QUART!$A$2:$FA$315, 89, FALSE)="",":",VLOOKUP($E$58,[1]QUART!$A$2:$FA$315, 89, FALSE))</f>
        <v>:</v>
      </c>
      <c r="CM58" s="544" t="str">
        <f>IF(VLOOKUP($E$58,[1]QUART!$A$2:$FA$315, 90, FALSE)="",":",VLOOKUP($E$58,[1]QUART!$A$2:$FA$315, 90, FALSE))</f>
        <v>:</v>
      </c>
      <c r="CN58" s="544" t="str">
        <f>IF(VLOOKUP($E$58,[1]QUART!$A$2:$FA$315, 91, FALSE)="",":",VLOOKUP($E$58,[1]QUART!$A$2:$FA$315, 91, FALSE))</f>
        <v>:</v>
      </c>
      <c r="CO58" s="544" t="str">
        <f>IF(VLOOKUP($E$58,[1]QUART!$A$2:$FA$315, 92, FALSE)="",":",VLOOKUP($E$58,[1]QUART!$A$2:$FA$315, 92, FALSE))</f>
        <v>:</v>
      </c>
      <c r="CP58" s="544" t="str">
        <f>IF(VLOOKUP($E$58,[1]QUART!$A$2:$FA$315, 93, FALSE)="",":",VLOOKUP($E$58,[1]QUART!$A$2:$FA$315, 93, FALSE))</f>
        <v>:</v>
      </c>
      <c r="CQ58" s="544" t="str">
        <f>IF(VLOOKUP($E$58,[1]QUART!$A$2:$FA$315, 94, FALSE)="",":",VLOOKUP($E$58,[1]QUART!$A$2:$FA$315, 94, FALSE))</f>
        <v>:</v>
      </c>
      <c r="CR58" s="544" t="str">
        <f>IF(VLOOKUP($E$58,[1]QUART!$A$2:$FA$315, 95, FALSE)="",":",VLOOKUP($E$58,[1]QUART!$A$2:$FA$315, 95, FALSE))</f>
        <v>:</v>
      </c>
      <c r="CS58" s="544" t="str">
        <f>IF(VLOOKUP($E$58,[1]QUART!$A$2:$FA$315, 96, FALSE)="",":",VLOOKUP($E$58,[1]QUART!$A$2:$FA$315, 96, FALSE))</f>
        <v>:</v>
      </c>
      <c r="CT58" s="544" t="str">
        <f>IF(VLOOKUP($E$58,[1]QUART!$A$2:$FA$315, 97, FALSE)="",":",VLOOKUP($E$58,[1]QUART!$A$2:$FA$315, 97, FALSE))</f>
        <v>:</v>
      </c>
      <c r="CU58" s="544" t="str">
        <f>IF(VLOOKUP($E$58,[1]QUART!$A$2:$FA$315, 98, FALSE)="",":",VLOOKUP($E$58,[1]QUART!$A$2:$FA$315, 98, FALSE))</f>
        <v>:</v>
      </c>
      <c r="CV58" s="544" t="str">
        <f>IF(VLOOKUP($E$58,[1]QUART!$A$2:$FA$315, 99, FALSE)="",":",VLOOKUP($E$58,[1]QUART!$A$2:$FA$315, 99, FALSE))</f>
        <v>:</v>
      </c>
      <c r="CW58" s="544" t="str">
        <f>IF(VLOOKUP($E$58,[1]QUART!$A$2:$FA$315, 100, FALSE)="",":",VLOOKUP($E$58,[1]QUART!$A$2:$FA$315, 100, FALSE))</f>
        <v>:</v>
      </c>
      <c r="CX58" s="544" t="str">
        <f>IF(VLOOKUP($E$58,[1]QUART!$A$2:$FA$315, 101, FALSE)="",":",VLOOKUP($E$58,[1]QUART!$A$2:$FA$315, 101, FALSE))</f>
        <v>:</v>
      </c>
      <c r="CY58" s="544" t="str">
        <f>IF(VLOOKUP($E$58,[1]QUART!$A$2:$FA$315, 102, FALSE)="",":",VLOOKUP($E$58,[1]QUART!$A$2:$FA$315, 102, FALSE))</f>
        <v>:</v>
      </c>
      <c r="CZ58" s="544" t="str">
        <f>IF(VLOOKUP($E$58,[1]QUART!$A$2:$FA$315, 103, FALSE)="",":",VLOOKUP($E$58,[1]QUART!$A$2:$FA$315, 103, FALSE))</f>
        <v>:</v>
      </c>
      <c r="DA58" s="544" t="str">
        <f>IF(VLOOKUP($E$58,[1]QUART!$A$2:$FA$315, 104, FALSE)="",":",VLOOKUP($E$58,[1]QUART!$A$2:$FA$315, 104, FALSE))</f>
        <v>:</v>
      </c>
      <c r="DB58" s="544" t="str">
        <f>IF(VLOOKUP($E$58,[1]QUART!$A$2:$FA$315, 105, FALSE)="",":",VLOOKUP($E$58,[1]QUART!$A$2:$FA$315, 105, FALSE))</f>
        <v>:</v>
      </c>
      <c r="DC58" s="544" t="str">
        <f>IF(VLOOKUP($E$58,[1]QUART!$A$2:$FA$315, 106, FALSE)="",":",VLOOKUP($E$58,[1]QUART!$A$2:$FA$315, 106, FALSE))</f>
        <v>:</v>
      </c>
    </row>
    <row r="59" spans="1:107">
      <c r="A59" s="1954"/>
      <c r="B59" s="534"/>
      <c r="C59" s="535"/>
      <c r="D59" s="12" t="s">
        <v>1841</v>
      </c>
      <c r="E59" s="13">
        <v>126</v>
      </c>
      <c r="F59" s="14" t="str">
        <f>VLOOKUP($E$59,[1]QUART!$A$2:$FA$315, 3, FALSE)</f>
        <v>126  Domestic demand excluding change in inventories and net acquisition of valuables</v>
      </c>
      <c r="G59" s="544" t="str">
        <f>IF(VLOOKUP($E$59,[1]QUART!$A$2:$FA$315, 6, FALSE)="",":",VLOOKUP($E$59,[1]QUART!$A$2:$FA$315, 6, FALSE))</f>
        <v>:</v>
      </c>
      <c r="H59" s="544" t="str">
        <f>IF(VLOOKUP($E$59,[1]QUART!$A$2:$FA$315, 7, FALSE)="",":",VLOOKUP($E$59,[1]QUART!$A$2:$FA$315, 7, FALSE))</f>
        <v>:</v>
      </c>
      <c r="I59" s="544" t="str">
        <f>IF(VLOOKUP($E$59,[1]QUART!$A$2:$FA$315, 8, FALSE)="",":",VLOOKUP($E$59,[1]QUART!$A$2:$FA$315, 8, FALSE))</f>
        <v>:</v>
      </c>
      <c r="J59" s="544" t="str">
        <f>IF(VLOOKUP($E$59,[1]QUART!$A$2:$FA$315, 9, FALSE)="",":",VLOOKUP($E$59,[1]QUART!$A$2:$FA$315, 9, FALSE))</f>
        <v>:</v>
      </c>
      <c r="K59" s="544" t="str">
        <f>IF(VLOOKUP($E$59,[1]QUART!$A$2:$FA$315, 10, FALSE)="",":",VLOOKUP($E$59,[1]QUART!$A$2:$FA$315, 10, FALSE))</f>
        <v>:</v>
      </c>
      <c r="L59" s="544" t="str">
        <f>IF(VLOOKUP($E$59,[1]QUART!$A$2:$FA$315, 11, FALSE)="",":",VLOOKUP($E$59,[1]QUART!$A$2:$FA$315, 11, FALSE))</f>
        <v>:</v>
      </c>
      <c r="M59" s="544" t="str">
        <f>IF(VLOOKUP($E$59,[1]QUART!$A$2:$FA$315, 12, FALSE)="",":",VLOOKUP($E$59,[1]QUART!$A$2:$FA$315, 12, FALSE))</f>
        <v>:</v>
      </c>
      <c r="N59" s="544" t="str">
        <f>IF(VLOOKUP($E$59,[1]QUART!$A$2:$FA$315, 13, FALSE)="",":",VLOOKUP($E$59,[1]QUART!$A$2:$FA$315, 13, FALSE))</f>
        <v>:</v>
      </c>
      <c r="O59" s="544" t="str">
        <f>IF(VLOOKUP($E$59,[1]QUART!$A$2:$FA$315, 14, FALSE)="",":",VLOOKUP($E$59,[1]QUART!$A$2:$FA$315, 14, FALSE))</f>
        <v>:</v>
      </c>
      <c r="P59" s="544" t="str">
        <f>IF(VLOOKUP($E$59,[1]QUART!$A$2:$FA$315, 15, FALSE)="",":",VLOOKUP($E$59,[1]QUART!$A$2:$FA$315, 15, FALSE))</f>
        <v>:</v>
      </c>
      <c r="Q59" s="544" t="str">
        <f>IF(VLOOKUP($E$59,[1]QUART!$A$2:$FA$315, 16, FALSE)="",":",VLOOKUP($E$59,[1]QUART!$A$2:$FA$315, 16, FALSE))</f>
        <v>:</v>
      </c>
      <c r="R59" s="544" t="str">
        <f>IF(VLOOKUP($E$59,[1]QUART!$A$2:$FA$315, 17, FALSE)="",":",VLOOKUP($E$59,[1]QUART!$A$2:$FA$315, 17, FALSE))</f>
        <v>:</v>
      </c>
      <c r="S59" s="544" t="str">
        <f>IF(VLOOKUP($E$59,[1]QUART!$A$2:$FA$315, 18, FALSE)="",":",VLOOKUP($E$59,[1]QUART!$A$2:$FA$315, 18, FALSE))</f>
        <v>:</v>
      </c>
      <c r="T59" s="544" t="str">
        <f>IF(VLOOKUP($E$59,[1]QUART!$A$2:$FA$315, 19, FALSE)="",":",VLOOKUP($E$59,[1]QUART!$A$2:$FA$315, 19, FALSE))</f>
        <v>:</v>
      </c>
      <c r="U59" s="544" t="str">
        <f>IF(VLOOKUP($E$59,[1]QUART!$A$2:$FA$315, 20, FALSE)="",":",VLOOKUP($E$59,[1]QUART!$A$2:$FA$315, 20, FALSE))</f>
        <v>:</v>
      </c>
      <c r="V59" s="544" t="str">
        <f>IF(VLOOKUP($E$59,[1]QUART!$A$2:$FA$315, 21, FALSE)="",":",VLOOKUP($E$59,[1]QUART!$A$2:$FA$315, 21, FALSE))</f>
        <v>:</v>
      </c>
      <c r="W59" s="544" t="str">
        <f>IF(VLOOKUP($E$59,[1]QUART!$A$2:$FA$315, 22, FALSE)="",":",VLOOKUP($E$59,[1]QUART!$A$2:$FA$315, 22, FALSE))</f>
        <v>:</v>
      </c>
      <c r="X59" s="544" t="str">
        <f>IF(VLOOKUP($E$59,[1]QUART!$A$2:$FA$315, 23, FALSE)="",":",VLOOKUP($E$59,[1]QUART!$A$2:$FA$315, 23, FALSE))</f>
        <v>:</v>
      </c>
      <c r="Y59" s="544" t="str">
        <f>IF(VLOOKUP($E$59,[1]QUART!$A$2:$FA$315, 24, FALSE)="",":",VLOOKUP($E$59,[1]QUART!$A$2:$FA$315, 24, FALSE))</f>
        <v>:</v>
      </c>
      <c r="Z59" s="544" t="str">
        <f>IF(VLOOKUP($E$59,[1]QUART!$A$2:$FA$315, 25, FALSE)="",":",VLOOKUP($E$59,[1]QUART!$A$2:$FA$315, 25, FALSE))</f>
        <v>:</v>
      </c>
      <c r="AA59" s="544" t="str">
        <f>IF(VLOOKUP($E$59,[1]QUART!$A$2:$FA$315, 26, FALSE)="",":",VLOOKUP($E$59,[1]QUART!$A$2:$FA$315, 26, FALSE))</f>
        <v>:</v>
      </c>
      <c r="AB59" s="544" t="str">
        <f>IF(VLOOKUP($E$59,[1]QUART!$A$2:$FA$315, 27, FALSE)="",":",VLOOKUP($E$59,[1]QUART!$A$2:$FA$315, 27, FALSE))</f>
        <v>:</v>
      </c>
      <c r="AC59" s="544" t="str">
        <f>IF(VLOOKUP($E$59,[1]QUART!$A$2:$FA$315, 28, FALSE)="",":",VLOOKUP($E$59,[1]QUART!$A$2:$FA$315, 28, FALSE))</f>
        <v>:</v>
      </c>
      <c r="AD59" s="544" t="str">
        <f>IF(VLOOKUP($E$59,[1]QUART!$A$2:$FA$315, 29, FALSE)="",":",VLOOKUP($E$59,[1]QUART!$A$2:$FA$315, 29, FALSE))</f>
        <v>:</v>
      </c>
      <c r="AE59" s="544" t="str">
        <f>IF(VLOOKUP($E$59,[1]QUART!$A$2:$FA$315, 30, FALSE)="",":",VLOOKUP($E$59,[1]QUART!$A$2:$FA$315, 30, FALSE))</f>
        <v>:</v>
      </c>
      <c r="AF59" s="544" t="str">
        <f>IF(VLOOKUP($E$59,[1]QUART!$A$2:$FA$315, 31, FALSE)="",":",VLOOKUP($E$59,[1]QUART!$A$2:$FA$315, 31, FALSE))</f>
        <v>:</v>
      </c>
      <c r="AG59" s="544" t="str">
        <f>IF(VLOOKUP($E$59,[1]QUART!$A$2:$FA$315, 32, FALSE)="",":",VLOOKUP($E$59,[1]QUART!$A$2:$FA$315, 32, FALSE))</f>
        <v>:</v>
      </c>
      <c r="AH59" s="544" t="str">
        <f>IF(VLOOKUP($E$59,[1]QUART!$A$2:$FA$315, 33, FALSE)="",":",VLOOKUP($E$59,[1]QUART!$A$2:$FA$315, 33, FALSE))</f>
        <v>:</v>
      </c>
      <c r="AI59" s="544" t="str">
        <f>IF(VLOOKUP($E$59,[1]QUART!$A$2:$FA$315, 34, FALSE)="",":",VLOOKUP($E$59,[1]QUART!$A$2:$FA$315, 34, FALSE))</f>
        <v>:</v>
      </c>
      <c r="AJ59" s="544" t="str">
        <f>IF(VLOOKUP($E$59,[1]QUART!$A$2:$FA$315, 35, FALSE)="",":",VLOOKUP($E$59,[1]QUART!$A$2:$FA$315, 35, FALSE))</f>
        <v>:</v>
      </c>
      <c r="AK59" s="544" t="str">
        <f>IF(VLOOKUP($E$59,[1]QUART!$A$2:$FA$315, 36, FALSE)="",":",VLOOKUP($E$59,[1]QUART!$A$2:$FA$315, 36, FALSE))</f>
        <v>:</v>
      </c>
      <c r="AL59" s="544" t="str">
        <f>IF(VLOOKUP($E$59,[1]QUART!$A$2:$FA$315, 37, FALSE)="",":",VLOOKUP($E$59,[1]QUART!$A$2:$FA$315, 37, FALSE))</f>
        <v>:</v>
      </c>
      <c r="AM59" s="544" t="str">
        <f>IF(VLOOKUP($E$59,[1]QUART!$A$2:$FA$315, 38, FALSE)="",":",VLOOKUP($E$59,[1]QUART!$A$2:$FA$315, 38, FALSE))</f>
        <v>:</v>
      </c>
      <c r="AN59" s="544" t="str">
        <f>IF(VLOOKUP($E$59,[1]QUART!$A$2:$FA$315, 39, FALSE)="",":",VLOOKUP($E$59,[1]QUART!$A$2:$FA$315, 39, FALSE))</f>
        <v>:</v>
      </c>
      <c r="AO59" s="544" t="str">
        <f>IF(VLOOKUP($E$59,[1]QUART!$A$2:$FA$315, 40, FALSE)="",":",VLOOKUP($E$59,[1]QUART!$A$2:$FA$315, 40, FALSE))</f>
        <v>:</v>
      </c>
      <c r="AP59" s="544" t="str">
        <f>IF(VLOOKUP($E$59,[1]QUART!$A$2:$FA$315, 41, FALSE)="",":",VLOOKUP($E$59,[1]QUART!$A$2:$FA$315, 41, FALSE))</f>
        <v>:</v>
      </c>
      <c r="AQ59" s="544" t="str">
        <f>IF(VLOOKUP($E$59,[1]QUART!$A$2:$FA$315, 42, FALSE)="",":",VLOOKUP($E$59,[1]QUART!$A$2:$FA$315, 42, FALSE))</f>
        <v>:</v>
      </c>
      <c r="AR59" s="544" t="str">
        <f>IF(VLOOKUP($E$59,[1]QUART!$A$2:$FA$315, 43, FALSE)="",":",VLOOKUP($E$59,[1]QUART!$A$2:$FA$315, 43, FALSE))</f>
        <v>:</v>
      </c>
      <c r="AS59" s="544" t="str">
        <f>IF(VLOOKUP($E$59,[1]QUART!$A$2:$FA$315, 44, FALSE)="",":",VLOOKUP($E$59,[1]QUART!$A$2:$FA$315, 44, FALSE))</f>
        <v>:</v>
      </c>
      <c r="AT59" s="544" t="str">
        <f>IF(VLOOKUP($E$59,[1]QUART!$A$2:$FA$315, 45, FALSE)="",":",VLOOKUP($E$59,[1]QUART!$A$2:$FA$315, 45, FALSE))</f>
        <v>:</v>
      </c>
      <c r="AU59" s="544" t="str">
        <f>IF(VLOOKUP($E$59,[1]QUART!$A$2:$FA$315, 46, FALSE)="",":",VLOOKUP($E$59,[1]QUART!$A$2:$FA$315, 46, FALSE))</f>
        <v>:</v>
      </c>
      <c r="AV59" s="544" t="str">
        <f>IF(VLOOKUP($E$59,[1]QUART!$A$2:$FA$315, 47, FALSE)="",":",VLOOKUP($E$59,[1]QUART!$A$2:$FA$315, 47, FALSE))</f>
        <v>:</v>
      </c>
      <c r="AW59" s="544" t="str">
        <f>IF(VLOOKUP($E$59,[1]QUART!$A$2:$FA$315, 48, FALSE)="",":",VLOOKUP($E$59,[1]QUART!$A$2:$FA$315, 48, FALSE))</f>
        <v>:</v>
      </c>
      <c r="AX59" s="544" t="str">
        <f>IF(VLOOKUP($E$59,[1]QUART!$A$2:$FA$315, 49, FALSE)="",":",VLOOKUP($E$59,[1]QUART!$A$2:$FA$315, 49, FALSE))</f>
        <v>:</v>
      </c>
      <c r="AY59" s="544" t="str">
        <f>IF(VLOOKUP($E$59,[1]QUART!$A$2:$FA$315, 50, FALSE)="",":",VLOOKUP($E$59,[1]QUART!$A$2:$FA$315, 50, FALSE))</f>
        <v>:</v>
      </c>
      <c r="AZ59" s="544" t="str">
        <f>IF(VLOOKUP($E$59,[1]QUART!$A$2:$FA$315, 51, FALSE)="",":",VLOOKUP($E$59,[1]QUART!$A$2:$FA$315, 51, FALSE))</f>
        <v>:</v>
      </c>
      <c r="BA59" s="544" t="str">
        <f>IF(VLOOKUP($E$59,[1]QUART!$A$2:$FA$315, 52, FALSE)="",":",VLOOKUP($E$59,[1]QUART!$A$2:$FA$315, 52, FALSE))</f>
        <v>:</v>
      </c>
      <c r="BB59" s="544" t="str">
        <f>IF(VLOOKUP($E$59,[1]QUART!$A$2:$FA$315, 53, FALSE)="",":",VLOOKUP($E$59,[1]QUART!$A$2:$FA$315, 53, FALSE))</f>
        <v>:</v>
      </c>
      <c r="BC59" s="544" t="str">
        <f>IF(VLOOKUP($E$59,[1]QUART!$A$2:$FA$315, 54, FALSE)="",":",VLOOKUP($E$59,[1]QUART!$A$2:$FA$315, 54, FALSE))</f>
        <v>:</v>
      </c>
      <c r="BD59" s="544" t="str">
        <f>IF(VLOOKUP($E$59,[1]QUART!$A$2:$FA$315, 55, FALSE)="",":",VLOOKUP($E$59,[1]QUART!$A$2:$FA$315, 55, FALSE))</f>
        <v>:</v>
      </c>
      <c r="BE59" s="544" t="str">
        <f>IF(VLOOKUP($E$59,[1]QUART!$A$2:$FA$315, 56, FALSE)="",":",VLOOKUP($E$59,[1]QUART!$A$2:$FA$315, 56, FALSE))</f>
        <v>:</v>
      </c>
      <c r="BF59" s="544" t="str">
        <f>IF(VLOOKUP($E$59,[1]QUART!$A$2:$FA$315, 57, FALSE)="",":",VLOOKUP($E$59,[1]QUART!$A$2:$FA$315, 57, FALSE))</f>
        <v>:</v>
      </c>
      <c r="BG59" s="544" t="str">
        <f>IF(VLOOKUP($E$59,[1]QUART!$A$2:$FA$315, 58, FALSE)="",":",VLOOKUP($E$59,[1]QUART!$A$2:$FA$315, 58, FALSE))</f>
        <v>:</v>
      </c>
      <c r="BH59" s="544" t="str">
        <f>IF(VLOOKUP($E$59,[1]QUART!$A$2:$FA$315, 59, FALSE)="",":",VLOOKUP($E$59,[1]QUART!$A$2:$FA$315, 59, FALSE))</f>
        <v>:</v>
      </c>
      <c r="BI59" s="544" t="str">
        <f>IF(VLOOKUP($E$59,[1]QUART!$A$2:$FA$315, 60, FALSE)="",":",VLOOKUP($E$59,[1]QUART!$A$2:$FA$315, 60, FALSE))</f>
        <v>:</v>
      </c>
      <c r="BJ59" s="544" t="str">
        <f>IF(VLOOKUP($E$59,[1]QUART!$A$2:$FA$315, 61, FALSE)="",":",VLOOKUP($E$59,[1]QUART!$A$2:$FA$315, 61, FALSE))</f>
        <v>:</v>
      </c>
      <c r="BK59" s="544" t="str">
        <f>IF(VLOOKUP($E$59,[1]QUART!$A$2:$FA$315, 62, FALSE)="",":",VLOOKUP($E$59,[1]QUART!$A$2:$FA$315, 62, FALSE))</f>
        <v>:</v>
      </c>
      <c r="BL59" s="544" t="str">
        <f>IF(VLOOKUP($E$59,[1]QUART!$A$2:$FA$315, 63, FALSE)="",":",VLOOKUP($E$59,[1]QUART!$A$2:$FA$315, 63, FALSE))</f>
        <v>:</v>
      </c>
      <c r="BM59" s="544" t="str">
        <f>IF(VLOOKUP($E$59,[1]QUART!$A$2:$FA$315, 64, FALSE)="",":",VLOOKUP($E$59,[1]QUART!$A$2:$FA$315, 64, FALSE))</f>
        <v>:</v>
      </c>
      <c r="BN59" s="544" t="str">
        <f>IF(VLOOKUP($E$59,[1]QUART!$A$2:$FA$315, 65, FALSE)="",":",VLOOKUP($E$59,[1]QUART!$A$2:$FA$315, 65, FALSE))</f>
        <v>:</v>
      </c>
      <c r="BO59" s="544" t="str">
        <f>IF(VLOOKUP($E$59,[1]QUART!$A$2:$FA$315, 66, FALSE)="",":",VLOOKUP($E$59,[1]QUART!$A$2:$FA$315, 66, FALSE))</f>
        <v>:</v>
      </c>
      <c r="BP59" s="544" t="str">
        <f>IF(VLOOKUP($E$59,[1]QUART!$A$2:$FA$315, 67, FALSE)="",":",VLOOKUP($E$59,[1]QUART!$A$2:$FA$315, 67, FALSE))</f>
        <v>:</v>
      </c>
      <c r="BQ59" s="544" t="str">
        <f>IF(VLOOKUP($E$59,[1]QUART!$A$2:$FA$315, 68, FALSE)="",":",VLOOKUP($E$59,[1]QUART!$A$2:$FA$315, 68, FALSE))</f>
        <v>:</v>
      </c>
      <c r="BR59" s="544" t="str">
        <f>IF(VLOOKUP($E$59,[1]QUART!$A$2:$FA$315, 69, FALSE)="",":",VLOOKUP($E$59,[1]QUART!$A$2:$FA$315, 69, FALSE))</f>
        <v>:</v>
      </c>
      <c r="BS59" s="544" t="str">
        <f>IF(VLOOKUP($E$59,[1]QUART!$A$2:$FA$315, 70, FALSE)="",":",VLOOKUP($E$59,[1]QUART!$A$2:$FA$315, 70, FALSE))</f>
        <v>:</v>
      </c>
      <c r="BT59" s="544" t="str">
        <f>IF(VLOOKUP($E$59,[1]QUART!$A$2:$FA$315, 71, FALSE)="",":",VLOOKUP($E$59,[1]QUART!$A$2:$FA$315, 71, FALSE))</f>
        <v>:</v>
      </c>
      <c r="BU59" s="544" t="str">
        <f>IF(VLOOKUP($E$59,[1]QUART!$A$2:$FA$315, 72, FALSE)="",":",VLOOKUP($E$59,[1]QUART!$A$2:$FA$315, 72, FALSE))</f>
        <v>:</v>
      </c>
      <c r="BV59" s="544" t="str">
        <f>IF(VLOOKUP($E$59,[1]QUART!$A$2:$FA$315, 73, FALSE)="",":",VLOOKUP($E$59,[1]QUART!$A$2:$FA$315, 73, FALSE))</f>
        <v>:</v>
      </c>
      <c r="BW59" s="544" t="str">
        <f>IF(VLOOKUP($E$59,[1]QUART!$A$2:$FA$315, 74, FALSE)="",":",VLOOKUP($E$59,[1]QUART!$A$2:$FA$315, 74, FALSE))</f>
        <v>:</v>
      </c>
      <c r="BX59" s="544" t="str">
        <f>IF(VLOOKUP($E$59,[1]QUART!$A$2:$FA$315, 75, FALSE)="",":",VLOOKUP($E$59,[1]QUART!$A$2:$FA$315, 75, FALSE))</f>
        <v>:</v>
      </c>
      <c r="BY59" s="544" t="str">
        <f>IF(VLOOKUP($E$59,[1]QUART!$A$2:$FA$315, 76, FALSE)="",":",VLOOKUP($E$59,[1]QUART!$A$2:$FA$315, 76, FALSE))</f>
        <v>:</v>
      </c>
      <c r="BZ59" s="544" t="str">
        <f>IF(VLOOKUP($E$59,[1]QUART!$A$2:$FA$315, 77, FALSE)="",":",VLOOKUP($E$59,[1]QUART!$A$2:$FA$315, 77, FALSE))</f>
        <v>:</v>
      </c>
      <c r="CA59" s="544" t="str">
        <f>IF(VLOOKUP($E$59,[1]QUART!$A$2:$FA$315, 78, FALSE)="",":",VLOOKUP($E$59,[1]QUART!$A$2:$FA$315, 78, FALSE))</f>
        <v>:</v>
      </c>
      <c r="CB59" s="544" t="str">
        <f>IF(VLOOKUP($E$59,[1]QUART!$A$2:$FA$315, 79, FALSE)="",":",VLOOKUP($E$59,[1]QUART!$A$2:$FA$315, 79, FALSE))</f>
        <v>:</v>
      </c>
      <c r="CC59" s="544" t="str">
        <f>IF(VLOOKUP($E$59,[1]QUART!$A$2:$FA$315, 80, FALSE)="",":",VLOOKUP($E$59,[1]QUART!$A$2:$FA$315, 80, FALSE))</f>
        <v>:</v>
      </c>
      <c r="CD59" s="544" t="str">
        <f>IF(VLOOKUP($E$59,[1]QUART!$A$2:$FA$315, 81, FALSE)="",":",VLOOKUP($E$59,[1]QUART!$A$2:$FA$315, 81, FALSE))</f>
        <v>:</v>
      </c>
      <c r="CE59" s="544" t="str">
        <f>IF(VLOOKUP($E$59,[1]QUART!$A$2:$FA$315, 82, FALSE)="",":",VLOOKUP($E$59,[1]QUART!$A$2:$FA$315, 82, FALSE))</f>
        <v>:</v>
      </c>
      <c r="CF59" s="544" t="str">
        <f>IF(VLOOKUP($E$59,[1]QUART!$A$2:$FA$315, 83, FALSE)="",":",VLOOKUP($E$59,[1]QUART!$A$2:$FA$315, 83, FALSE))</f>
        <v>:</v>
      </c>
      <c r="CG59" s="544" t="str">
        <f>IF(VLOOKUP($E$59,[1]QUART!$A$2:$FA$315, 84, FALSE)="",":",VLOOKUP($E$59,[1]QUART!$A$2:$FA$315, 84, FALSE))</f>
        <v>:</v>
      </c>
      <c r="CH59" s="544" t="str">
        <f>IF(VLOOKUP($E$59,[1]QUART!$A$2:$FA$315, 85, FALSE)="",":",VLOOKUP($E$59,[1]QUART!$A$2:$FA$315, 85, FALSE))</f>
        <v>:</v>
      </c>
      <c r="CI59" s="544" t="str">
        <f>IF(VLOOKUP($E$59,[1]QUART!$A$2:$FA$315, 86, FALSE)="",":",VLOOKUP($E$59,[1]QUART!$A$2:$FA$315, 86, FALSE))</f>
        <v>:</v>
      </c>
      <c r="CJ59" s="544" t="str">
        <f>IF(VLOOKUP($E$59,[1]QUART!$A$2:$FA$315, 87, FALSE)="",":",VLOOKUP($E$59,[1]QUART!$A$2:$FA$315, 87, FALSE))</f>
        <v>:</v>
      </c>
      <c r="CK59" s="544" t="str">
        <f>IF(VLOOKUP($E$59,[1]QUART!$A$2:$FA$315, 88, FALSE)="",":",VLOOKUP($E$59,[1]QUART!$A$2:$FA$315, 88, FALSE))</f>
        <v>:</v>
      </c>
      <c r="CL59" s="544" t="str">
        <f>IF(VLOOKUP($E$59,[1]QUART!$A$2:$FA$315, 89, FALSE)="",":",VLOOKUP($E$59,[1]QUART!$A$2:$FA$315, 89, FALSE))</f>
        <v>:</v>
      </c>
      <c r="CM59" s="544" t="str">
        <f>IF(VLOOKUP($E$59,[1]QUART!$A$2:$FA$315, 90, FALSE)="",":",VLOOKUP($E$59,[1]QUART!$A$2:$FA$315, 90, FALSE))</f>
        <v>:</v>
      </c>
      <c r="CN59" s="544" t="str">
        <f>IF(VLOOKUP($E$59,[1]QUART!$A$2:$FA$315, 91, FALSE)="",":",VLOOKUP($E$59,[1]QUART!$A$2:$FA$315, 91, FALSE))</f>
        <v>:</v>
      </c>
      <c r="CO59" s="544" t="str">
        <f>IF(VLOOKUP($E$59,[1]QUART!$A$2:$FA$315, 92, FALSE)="",":",VLOOKUP($E$59,[1]QUART!$A$2:$FA$315, 92, FALSE))</f>
        <v>:</v>
      </c>
      <c r="CP59" s="544" t="str">
        <f>IF(VLOOKUP($E$59,[1]QUART!$A$2:$FA$315, 93, FALSE)="",":",VLOOKUP($E$59,[1]QUART!$A$2:$FA$315, 93, FALSE))</f>
        <v>:</v>
      </c>
      <c r="CQ59" s="544" t="str">
        <f>IF(VLOOKUP($E$59,[1]QUART!$A$2:$FA$315, 94, FALSE)="",":",VLOOKUP($E$59,[1]QUART!$A$2:$FA$315, 94, FALSE))</f>
        <v>:</v>
      </c>
      <c r="CR59" s="544" t="str">
        <f>IF(VLOOKUP($E$59,[1]QUART!$A$2:$FA$315, 95, FALSE)="",":",VLOOKUP($E$59,[1]QUART!$A$2:$FA$315, 95, FALSE))</f>
        <v>:</v>
      </c>
      <c r="CS59" s="544" t="str">
        <f>IF(VLOOKUP($E$59,[1]QUART!$A$2:$FA$315, 96, FALSE)="",":",VLOOKUP($E$59,[1]QUART!$A$2:$FA$315, 96, FALSE))</f>
        <v>:</v>
      </c>
      <c r="CT59" s="544" t="str">
        <f>IF(VLOOKUP($E$59,[1]QUART!$A$2:$FA$315, 97, FALSE)="",":",VLOOKUP($E$59,[1]QUART!$A$2:$FA$315, 97, FALSE))</f>
        <v>:</v>
      </c>
      <c r="CU59" s="544" t="str">
        <f>IF(VLOOKUP($E$59,[1]QUART!$A$2:$FA$315, 98, FALSE)="",":",VLOOKUP($E$59,[1]QUART!$A$2:$FA$315, 98, FALSE))</f>
        <v>:</v>
      </c>
      <c r="CV59" s="544" t="str">
        <f>IF(VLOOKUP($E$59,[1]QUART!$A$2:$FA$315, 99, FALSE)="",":",VLOOKUP($E$59,[1]QUART!$A$2:$FA$315, 99, FALSE))</f>
        <v>:</v>
      </c>
      <c r="CW59" s="544" t="str">
        <f>IF(VLOOKUP($E$59,[1]QUART!$A$2:$FA$315, 100, FALSE)="",":",VLOOKUP($E$59,[1]QUART!$A$2:$FA$315, 100, FALSE))</f>
        <v>:</v>
      </c>
      <c r="CX59" s="544" t="str">
        <f>IF(VLOOKUP($E$59,[1]QUART!$A$2:$FA$315, 101, FALSE)="",":",VLOOKUP($E$59,[1]QUART!$A$2:$FA$315, 101, FALSE))</f>
        <v>:</v>
      </c>
      <c r="CY59" s="544" t="str">
        <f>IF(VLOOKUP($E$59,[1]QUART!$A$2:$FA$315, 102, FALSE)="",":",VLOOKUP($E$59,[1]QUART!$A$2:$FA$315, 102, FALSE))</f>
        <v>:</v>
      </c>
      <c r="CZ59" s="544" t="str">
        <f>IF(VLOOKUP($E$59,[1]QUART!$A$2:$FA$315, 103, FALSE)="",":",VLOOKUP($E$59,[1]QUART!$A$2:$FA$315, 103, FALSE))</f>
        <v>:</v>
      </c>
      <c r="DA59" s="544" t="str">
        <f>IF(VLOOKUP($E$59,[1]QUART!$A$2:$FA$315, 104, FALSE)="",":",VLOOKUP($E$59,[1]QUART!$A$2:$FA$315, 104, FALSE))</f>
        <v>:</v>
      </c>
      <c r="DB59" s="544" t="str">
        <f>IF(VLOOKUP($E$59,[1]QUART!$A$2:$FA$315, 105, FALSE)="",":",VLOOKUP($E$59,[1]QUART!$A$2:$FA$315, 105, FALSE))</f>
        <v>:</v>
      </c>
      <c r="DC59" s="544" t="str">
        <f>IF(VLOOKUP($E$59,[1]QUART!$A$2:$FA$315, 106, FALSE)="",":",VLOOKUP($E$59,[1]QUART!$A$2:$FA$315, 106, FALSE))</f>
        <v>:</v>
      </c>
    </row>
    <row r="60" spans="1:107">
      <c r="A60" s="1954"/>
      <c r="B60" s="534"/>
      <c r="C60" s="535"/>
      <c r="D60" s="12" t="s">
        <v>1841</v>
      </c>
      <c r="E60" s="13">
        <v>127</v>
      </c>
      <c r="F60" s="14" t="str">
        <f>VLOOKUP($E$60,[1]QUART!$A$2:$FA$315, 3, FALSE)</f>
        <v>127  Domestic demand including change in inventories and net acquisition of valuables</v>
      </c>
      <c r="G60" s="544" t="str">
        <f>IF(VLOOKUP($E$60,[1]QUART!$A$2:$FA$315, 6, FALSE)="",":",VLOOKUP($E$60,[1]QUART!$A$2:$FA$315, 6, FALSE))</f>
        <v>:</v>
      </c>
      <c r="H60" s="544" t="str">
        <f>IF(VLOOKUP($E$60,[1]QUART!$A$2:$FA$315, 7, FALSE)="",":",VLOOKUP($E$60,[1]QUART!$A$2:$FA$315, 7, FALSE))</f>
        <v>:</v>
      </c>
      <c r="I60" s="544" t="str">
        <f>IF(VLOOKUP($E$60,[1]QUART!$A$2:$FA$315, 8, FALSE)="",":",VLOOKUP($E$60,[1]QUART!$A$2:$FA$315, 8, FALSE))</f>
        <v>:</v>
      </c>
      <c r="J60" s="544" t="str">
        <f>IF(VLOOKUP($E$60,[1]QUART!$A$2:$FA$315, 9, FALSE)="",":",VLOOKUP($E$60,[1]QUART!$A$2:$FA$315, 9, FALSE))</f>
        <v>:</v>
      </c>
      <c r="K60" s="544" t="str">
        <f>IF(VLOOKUP($E$60,[1]QUART!$A$2:$FA$315, 10, FALSE)="",":",VLOOKUP($E$60,[1]QUART!$A$2:$FA$315, 10, FALSE))</f>
        <v>:</v>
      </c>
      <c r="L60" s="544" t="str">
        <f>IF(VLOOKUP($E$60,[1]QUART!$A$2:$FA$315, 11, FALSE)="",":",VLOOKUP($E$60,[1]QUART!$A$2:$FA$315, 11, FALSE))</f>
        <v>:</v>
      </c>
      <c r="M60" s="544" t="str">
        <f>IF(VLOOKUP($E$60,[1]QUART!$A$2:$FA$315, 12, FALSE)="",":",VLOOKUP($E$60,[1]QUART!$A$2:$FA$315, 12, FALSE))</f>
        <v>:</v>
      </c>
      <c r="N60" s="544" t="str">
        <f>IF(VLOOKUP($E$60,[1]QUART!$A$2:$FA$315, 13, FALSE)="",":",VLOOKUP($E$60,[1]QUART!$A$2:$FA$315, 13, FALSE))</f>
        <v>:</v>
      </c>
      <c r="O60" s="544" t="str">
        <f>IF(VLOOKUP($E$60,[1]QUART!$A$2:$FA$315, 14, FALSE)="",":",VLOOKUP($E$60,[1]QUART!$A$2:$FA$315, 14, FALSE))</f>
        <v>:</v>
      </c>
      <c r="P60" s="544" t="str">
        <f>IF(VLOOKUP($E$60,[1]QUART!$A$2:$FA$315, 15, FALSE)="",":",VLOOKUP($E$60,[1]QUART!$A$2:$FA$315, 15, FALSE))</f>
        <v>:</v>
      </c>
      <c r="Q60" s="544" t="str">
        <f>IF(VLOOKUP($E$60,[1]QUART!$A$2:$FA$315, 16, FALSE)="",":",VLOOKUP($E$60,[1]QUART!$A$2:$FA$315, 16, FALSE))</f>
        <v>:</v>
      </c>
      <c r="R60" s="544" t="str">
        <f>IF(VLOOKUP($E$60,[1]QUART!$A$2:$FA$315, 17, FALSE)="",":",VLOOKUP($E$60,[1]QUART!$A$2:$FA$315, 17, FALSE))</f>
        <v>:</v>
      </c>
      <c r="S60" s="544" t="str">
        <f>IF(VLOOKUP($E$60,[1]QUART!$A$2:$FA$315, 18, FALSE)="",":",VLOOKUP($E$60,[1]QUART!$A$2:$FA$315, 18, FALSE))</f>
        <v>:</v>
      </c>
      <c r="T60" s="544" t="str">
        <f>IF(VLOOKUP($E$60,[1]QUART!$A$2:$FA$315, 19, FALSE)="",":",VLOOKUP($E$60,[1]QUART!$A$2:$FA$315, 19, FALSE))</f>
        <v>:</v>
      </c>
      <c r="U60" s="544" t="str">
        <f>IF(VLOOKUP($E$60,[1]QUART!$A$2:$FA$315, 20, FALSE)="",":",VLOOKUP($E$60,[1]QUART!$A$2:$FA$315, 20, FALSE))</f>
        <v>:</v>
      </c>
      <c r="V60" s="544" t="str">
        <f>IF(VLOOKUP($E$60,[1]QUART!$A$2:$FA$315, 21, FALSE)="",":",VLOOKUP($E$60,[1]QUART!$A$2:$FA$315, 21, FALSE))</f>
        <v>:</v>
      </c>
      <c r="W60" s="544" t="str">
        <f>IF(VLOOKUP($E$60,[1]QUART!$A$2:$FA$315, 22, FALSE)="",":",VLOOKUP($E$60,[1]QUART!$A$2:$FA$315, 22, FALSE))</f>
        <v>:</v>
      </c>
      <c r="X60" s="544" t="str">
        <f>IF(VLOOKUP($E$60,[1]QUART!$A$2:$FA$315, 23, FALSE)="",":",VLOOKUP($E$60,[1]QUART!$A$2:$FA$315, 23, FALSE))</f>
        <v>:</v>
      </c>
      <c r="Y60" s="544" t="str">
        <f>IF(VLOOKUP($E$60,[1]QUART!$A$2:$FA$315, 24, FALSE)="",":",VLOOKUP($E$60,[1]QUART!$A$2:$FA$315, 24, FALSE))</f>
        <v>:</v>
      </c>
      <c r="Z60" s="544" t="str">
        <f>IF(VLOOKUP($E$60,[1]QUART!$A$2:$FA$315, 25, FALSE)="",":",VLOOKUP($E$60,[1]QUART!$A$2:$FA$315, 25, FALSE))</f>
        <v>:</v>
      </c>
      <c r="AA60" s="544" t="str">
        <f>IF(VLOOKUP($E$60,[1]QUART!$A$2:$FA$315, 26, FALSE)="",":",VLOOKUP($E$60,[1]QUART!$A$2:$FA$315, 26, FALSE))</f>
        <v>:</v>
      </c>
      <c r="AB60" s="544" t="str">
        <f>IF(VLOOKUP($E$60,[1]QUART!$A$2:$FA$315, 27, FALSE)="",":",VLOOKUP($E$60,[1]QUART!$A$2:$FA$315, 27, FALSE))</f>
        <v>:</v>
      </c>
      <c r="AC60" s="544" t="str">
        <f>IF(VLOOKUP($E$60,[1]QUART!$A$2:$FA$315, 28, FALSE)="",":",VLOOKUP($E$60,[1]QUART!$A$2:$FA$315, 28, FALSE))</f>
        <v>:</v>
      </c>
      <c r="AD60" s="544" t="str">
        <f>IF(VLOOKUP($E$60,[1]QUART!$A$2:$FA$315, 29, FALSE)="",":",VLOOKUP($E$60,[1]QUART!$A$2:$FA$315, 29, FALSE))</f>
        <v>:</v>
      </c>
      <c r="AE60" s="544" t="str">
        <f>IF(VLOOKUP($E$60,[1]QUART!$A$2:$FA$315, 30, FALSE)="",":",VLOOKUP($E$60,[1]QUART!$A$2:$FA$315, 30, FALSE))</f>
        <v>:</v>
      </c>
      <c r="AF60" s="544" t="str">
        <f>IF(VLOOKUP($E$60,[1]QUART!$A$2:$FA$315, 31, FALSE)="",":",VLOOKUP($E$60,[1]QUART!$A$2:$FA$315, 31, FALSE))</f>
        <v>:</v>
      </c>
      <c r="AG60" s="544" t="str">
        <f>IF(VLOOKUP($E$60,[1]QUART!$A$2:$FA$315, 32, FALSE)="",":",VLOOKUP($E$60,[1]QUART!$A$2:$FA$315, 32, FALSE))</f>
        <v>:</v>
      </c>
      <c r="AH60" s="544" t="str">
        <f>IF(VLOOKUP($E$60,[1]QUART!$A$2:$FA$315, 33, FALSE)="",":",VLOOKUP($E$60,[1]QUART!$A$2:$FA$315, 33, FALSE))</f>
        <v>:</v>
      </c>
      <c r="AI60" s="544" t="str">
        <f>IF(VLOOKUP($E$60,[1]QUART!$A$2:$FA$315, 34, FALSE)="",":",VLOOKUP($E$60,[1]QUART!$A$2:$FA$315, 34, FALSE))</f>
        <v>:</v>
      </c>
      <c r="AJ60" s="544" t="str">
        <f>IF(VLOOKUP($E$60,[1]QUART!$A$2:$FA$315, 35, FALSE)="",":",VLOOKUP($E$60,[1]QUART!$A$2:$FA$315, 35, FALSE))</f>
        <v>:</v>
      </c>
      <c r="AK60" s="544" t="str">
        <f>IF(VLOOKUP($E$60,[1]QUART!$A$2:$FA$315, 36, FALSE)="",":",VLOOKUP($E$60,[1]QUART!$A$2:$FA$315, 36, FALSE))</f>
        <v>:</v>
      </c>
      <c r="AL60" s="544" t="str">
        <f>IF(VLOOKUP($E$60,[1]QUART!$A$2:$FA$315, 37, FALSE)="",":",VLOOKUP($E$60,[1]QUART!$A$2:$FA$315, 37, FALSE))</f>
        <v>:</v>
      </c>
      <c r="AM60" s="544" t="str">
        <f>IF(VLOOKUP($E$60,[1]QUART!$A$2:$FA$315, 38, FALSE)="",":",VLOOKUP($E$60,[1]QUART!$A$2:$FA$315, 38, FALSE))</f>
        <v>:</v>
      </c>
      <c r="AN60" s="544" t="str">
        <f>IF(VLOOKUP($E$60,[1]QUART!$A$2:$FA$315, 39, FALSE)="",":",VLOOKUP($E$60,[1]QUART!$A$2:$FA$315, 39, FALSE))</f>
        <v>:</v>
      </c>
      <c r="AO60" s="544" t="str">
        <f>IF(VLOOKUP($E$60,[1]QUART!$A$2:$FA$315, 40, FALSE)="",":",VLOOKUP($E$60,[1]QUART!$A$2:$FA$315, 40, FALSE))</f>
        <v>:</v>
      </c>
      <c r="AP60" s="544" t="str">
        <f>IF(VLOOKUP($E$60,[1]QUART!$A$2:$FA$315, 41, FALSE)="",":",VLOOKUP($E$60,[1]QUART!$A$2:$FA$315, 41, FALSE))</f>
        <v>:</v>
      </c>
      <c r="AQ60" s="544" t="str">
        <f>IF(VLOOKUP($E$60,[1]QUART!$A$2:$FA$315, 42, FALSE)="",":",VLOOKUP($E$60,[1]QUART!$A$2:$FA$315, 42, FALSE))</f>
        <v>:</v>
      </c>
      <c r="AR60" s="544" t="str">
        <f>IF(VLOOKUP($E$60,[1]QUART!$A$2:$FA$315, 43, FALSE)="",":",VLOOKUP($E$60,[1]QUART!$A$2:$FA$315, 43, FALSE))</f>
        <v>:</v>
      </c>
      <c r="AS60" s="544" t="str">
        <f>IF(VLOOKUP($E$60,[1]QUART!$A$2:$FA$315, 44, FALSE)="",":",VLOOKUP($E$60,[1]QUART!$A$2:$FA$315, 44, FALSE))</f>
        <v>:</v>
      </c>
      <c r="AT60" s="544" t="str">
        <f>IF(VLOOKUP($E$60,[1]QUART!$A$2:$FA$315, 45, FALSE)="",":",VLOOKUP($E$60,[1]QUART!$A$2:$FA$315, 45, FALSE))</f>
        <v>:</v>
      </c>
      <c r="AU60" s="544" t="str">
        <f>IF(VLOOKUP($E$60,[1]QUART!$A$2:$FA$315, 46, FALSE)="",":",VLOOKUP($E$60,[1]QUART!$A$2:$FA$315, 46, FALSE))</f>
        <v>:</v>
      </c>
      <c r="AV60" s="544" t="str">
        <f>IF(VLOOKUP($E$60,[1]QUART!$A$2:$FA$315, 47, FALSE)="",":",VLOOKUP($E$60,[1]QUART!$A$2:$FA$315, 47, FALSE))</f>
        <v>:</v>
      </c>
      <c r="AW60" s="544" t="str">
        <f>IF(VLOOKUP($E$60,[1]QUART!$A$2:$FA$315, 48, FALSE)="",":",VLOOKUP($E$60,[1]QUART!$A$2:$FA$315, 48, FALSE))</f>
        <v>:</v>
      </c>
      <c r="AX60" s="544" t="str">
        <f>IF(VLOOKUP($E$60,[1]QUART!$A$2:$FA$315, 49, FALSE)="",":",VLOOKUP($E$60,[1]QUART!$A$2:$FA$315, 49, FALSE))</f>
        <v>:</v>
      </c>
      <c r="AY60" s="544" t="str">
        <f>IF(VLOOKUP($E$60,[1]QUART!$A$2:$FA$315, 50, FALSE)="",":",VLOOKUP($E$60,[1]QUART!$A$2:$FA$315, 50, FALSE))</f>
        <v>:</v>
      </c>
      <c r="AZ60" s="544" t="str">
        <f>IF(VLOOKUP($E$60,[1]QUART!$A$2:$FA$315, 51, FALSE)="",":",VLOOKUP($E$60,[1]QUART!$A$2:$FA$315, 51, FALSE))</f>
        <v>:</v>
      </c>
      <c r="BA60" s="544" t="str">
        <f>IF(VLOOKUP($E$60,[1]QUART!$A$2:$FA$315, 52, FALSE)="",":",VLOOKUP($E$60,[1]QUART!$A$2:$FA$315, 52, FALSE))</f>
        <v>:</v>
      </c>
      <c r="BB60" s="544" t="str">
        <f>IF(VLOOKUP($E$60,[1]QUART!$A$2:$FA$315, 53, FALSE)="",":",VLOOKUP($E$60,[1]QUART!$A$2:$FA$315, 53, FALSE))</f>
        <v>:</v>
      </c>
      <c r="BC60" s="544" t="str">
        <f>IF(VLOOKUP($E$60,[1]QUART!$A$2:$FA$315, 54, FALSE)="",":",VLOOKUP($E$60,[1]QUART!$A$2:$FA$315, 54, FALSE))</f>
        <v>:</v>
      </c>
      <c r="BD60" s="544" t="str">
        <f>IF(VLOOKUP($E$60,[1]QUART!$A$2:$FA$315, 55, FALSE)="",":",VLOOKUP($E$60,[1]QUART!$A$2:$FA$315, 55, FALSE))</f>
        <v>:</v>
      </c>
      <c r="BE60" s="544" t="str">
        <f>IF(VLOOKUP($E$60,[1]QUART!$A$2:$FA$315, 56, FALSE)="",":",VLOOKUP($E$60,[1]QUART!$A$2:$FA$315, 56, FALSE))</f>
        <v>:</v>
      </c>
      <c r="BF60" s="544" t="str">
        <f>IF(VLOOKUP($E$60,[1]QUART!$A$2:$FA$315, 57, FALSE)="",":",VLOOKUP($E$60,[1]QUART!$A$2:$FA$315, 57, FALSE))</f>
        <v>:</v>
      </c>
      <c r="BG60" s="544" t="str">
        <f>IF(VLOOKUP($E$60,[1]QUART!$A$2:$FA$315, 58, FALSE)="",":",VLOOKUP($E$60,[1]QUART!$A$2:$FA$315, 58, FALSE))</f>
        <v>:</v>
      </c>
      <c r="BH60" s="544" t="str">
        <f>IF(VLOOKUP($E$60,[1]QUART!$A$2:$FA$315, 59, FALSE)="",":",VLOOKUP($E$60,[1]QUART!$A$2:$FA$315, 59, FALSE))</f>
        <v>:</v>
      </c>
      <c r="BI60" s="544" t="str">
        <f>IF(VLOOKUP($E$60,[1]QUART!$A$2:$FA$315, 60, FALSE)="",":",VLOOKUP($E$60,[1]QUART!$A$2:$FA$315, 60, FALSE))</f>
        <v>:</v>
      </c>
      <c r="BJ60" s="544" t="str">
        <f>IF(VLOOKUP($E$60,[1]QUART!$A$2:$FA$315, 61, FALSE)="",":",VLOOKUP($E$60,[1]QUART!$A$2:$FA$315, 61, FALSE))</f>
        <v>:</v>
      </c>
      <c r="BK60" s="544" t="str">
        <f>IF(VLOOKUP($E$60,[1]QUART!$A$2:$FA$315, 62, FALSE)="",":",VLOOKUP($E$60,[1]QUART!$A$2:$FA$315, 62, FALSE))</f>
        <v>:</v>
      </c>
      <c r="BL60" s="544" t="str">
        <f>IF(VLOOKUP($E$60,[1]QUART!$A$2:$FA$315, 63, FALSE)="",":",VLOOKUP($E$60,[1]QUART!$A$2:$FA$315, 63, FALSE))</f>
        <v>:</v>
      </c>
      <c r="BM60" s="544" t="str">
        <f>IF(VLOOKUP($E$60,[1]QUART!$A$2:$FA$315, 64, FALSE)="",":",VLOOKUP($E$60,[1]QUART!$A$2:$FA$315, 64, FALSE))</f>
        <v>:</v>
      </c>
      <c r="BN60" s="544" t="str">
        <f>IF(VLOOKUP($E$60,[1]QUART!$A$2:$FA$315, 65, FALSE)="",":",VLOOKUP($E$60,[1]QUART!$A$2:$FA$315, 65, FALSE))</f>
        <v>:</v>
      </c>
      <c r="BO60" s="544" t="str">
        <f>IF(VLOOKUP($E$60,[1]QUART!$A$2:$FA$315, 66, FALSE)="",":",VLOOKUP($E$60,[1]QUART!$A$2:$FA$315, 66, FALSE))</f>
        <v>:</v>
      </c>
      <c r="BP60" s="544" t="str">
        <f>IF(VLOOKUP($E$60,[1]QUART!$A$2:$FA$315, 67, FALSE)="",":",VLOOKUP($E$60,[1]QUART!$A$2:$FA$315, 67, FALSE))</f>
        <v>:</v>
      </c>
      <c r="BQ60" s="544" t="str">
        <f>IF(VLOOKUP($E$60,[1]QUART!$A$2:$FA$315, 68, FALSE)="",":",VLOOKUP($E$60,[1]QUART!$A$2:$FA$315, 68, FALSE))</f>
        <v>:</v>
      </c>
      <c r="BR60" s="544" t="str">
        <f>IF(VLOOKUP($E$60,[1]QUART!$A$2:$FA$315, 69, FALSE)="",":",VLOOKUP($E$60,[1]QUART!$A$2:$FA$315, 69, FALSE))</f>
        <v>:</v>
      </c>
      <c r="BS60" s="544" t="str">
        <f>IF(VLOOKUP($E$60,[1]QUART!$A$2:$FA$315, 70, FALSE)="",":",VLOOKUP($E$60,[1]QUART!$A$2:$FA$315, 70, FALSE))</f>
        <v>:</v>
      </c>
      <c r="BT60" s="544" t="str">
        <f>IF(VLOOKUP($E$60,[1]QUART!$A$2:$FA$315, 71, FALSE)="",":",VLOOKUP($E$60,[1]QUART!$A$2:$FA$315, 71, FALSE))</f>
        <v>:</v>
      </c>
      <c r="BU60" s="544" t="str">
        <f>IF(VLOOKUP($E$60,[1]QUART!$A$2:$FA$315, 72, FALSE)="",":",VLOOKUP($E$60,[1]QUART!$A$2:$FA$315, 72, FALSE))</f>
        <v>:</v>
      </c>
      <c r="BV60" s="544" t="str">
        <f>IF(VLOOKUP($E$60,[1]QUART!$A$2:$FA$315, 73, FALSE)="",":",VLOOKUP($E$60,[1]QUART!$A$2:$FA$315, 73, FALSE))</f>
        <v>:</v>
      </c>
      <c r="BW60" s="544" t="str">
        <f>IF(VLOOKUP($E$60,[1]QUART!$A$2:$FA$315, 74, FALSE)="",":",VLOOKUP($E$60,[1]QUART!$A$2:$FA$315, 74, FALSE))</f>
        <v>:</v>
      </c>
      <c r="BX60" s="544" t="str">
        <f>IF(VLOOKUP($E$60,[1]QUART!$A$2:$FA$315, 75, FALSE)="",":",VLOOKUP($E$60,[1]QUART!$A$2:$FA$315, 75, FALSE))</f>
        <v>:</v>
      </c>
      <c r="BY60" s="544" t="str">
        <f>IF(VLOOKUP($E$60,[1]QUART!$A$2:$FA$315, 76, FALSE)="",":",VLOOKUP($E$60,[1]QUART!$A$2:$FA$315, 76, FALSE))</f>
        <v>:</v>
      </c>
      <c r="BZ60" s="544" t="str">
        <f>IF(VLOOKUP($E$60,[1]QUART!$A$2:$FA$315, 77, FALSE)="",":",VLOOKUP($E$60,[1]QUART!$A$2:$FA$315, 77, FALSE))</f>
        <v>:</v>
      </c>
      <c r="CA60" s="544" t="str">
        <f>IF(VLOOKUP($E$60,[1]QUART!$A$2:$FA$315, 78, FALSE)="",":",VLOOKUP($E$60,[1]QUART!$A$2:$FA$315, 78, FALSE))</f>
        <v>:</v>
      </c>
      <c r="CB60" s="544" t="str">
        <f>IF(VLOOKUP($E$60,[1]QUART!$A$2:$FA$315, 79, FALSE)="",":",VLOOKUP($E$60,[1]QUART!$A$2:$FA$315, 79, FALSE))</f>
        <v>:</v>
      </c>
      <c r="CC60" s="544" t="str">
        <f>IF(VLOOKUP($E$60,[1]QUART!$A$2:$FA$315, 80, FALSE)="",":",VLOOKUP($E$60,[1]QUART!$A$2:$FA$315, 80, FALSE))</f>
        <v>:</v>
      </c>
      <c r="CD60" s="544" t="str">
        <f>IF(VLOOKUP($E$60,[1]QUART!$A$2:$FA$315, 81, FALSE)="",":",VLOOKUP($E$60,[1]QUART!$A$2:$FA$315, 81, FALSE))</f>
        <v>:</v>
      </c>
      <c r="CE60" s="544" t="str">
        <f>IF(VLOOKUP($E$60,[1]QUART!$A$2:$FA$315, 82, FALSE)="",":",VLOOKUP($E$60,[1]QUART!$A$2:$FA$315, 82, FALSE))</f>
        <v>:</v>
      </c>
      <c r="CF60" s="544" t="str">
        <f>IF(VLOOKUP($E$60,[1]QUART!$A$2:$FA$315, 83, FALSE)="",":",VLOOKUP($E$60,[1]QUART!$A$2:$FA$315, 83, FALSE))</f>
        <v>:</v>
      </c>
      <c r="CG60" s="544" t="str">
        <f>IF(VLOOKUP($E$60,[1]QUART!$A$2:$FA$315, 84, FALSE)="",":",VLOOKUP($E$60,[1]QUART!$A$2:$FA$315, 84, FALSE))</f>
        <v>:</v>
      </c>
      <c r="CH60" s="544" t="str">
        <f>IF(VLOOKUP($E$60,[1]QUART!$A$2:$FA$315, 85, FALSE)="",":",VLOOKUP($E$60,[1]QUART!$A$2:$FA$315, 85, FALSE))</f>
        <v>:</v>
      </c>
      <c r="CI60" s="544" t="str">
        <f>IF(VLOOKUP($E$60,[1]QUART!$A$2:$FA$315, 86, FALSE)="",":",VLOOKUP($E$60,[1]QUART!$A$2:$FA$315, 86, FALSE))</f>
        <v>:</v>
      </c>
      <c r="CJ60" s="544" t="str">
        <f>IF(VLOOKUP($E$60,[1]QUART!$A$2:$FA$315, 87, FALSE)="",":",VLOOKUP($E$60,[1]QUART!$A$2:$FA$315, 87, FALSE))</f>
        <v>:</v>
      </c>
      <c r="CK60" s="544" t="str">
        <f>IF(VLOOKUP($E$60,[1]QUART!$A$2:$FA$315, 88, FALSE)="",":",VLOOKUP($E$60,[1]QUART!$A$2:$FA$315, 88, FALSE))</f>
        <v>:</v>
      </c>
      <c r="CL60" s="544" t="str">
        <f>IF(VLOOKUP($E$60,[1]QUART!$A$2:$FA$315, 89, FALSE)="",":",VLOOKUP($E$60,[1]QUART!$A$2:$FA$315, 89, FALSE))</f>
        <v>:</v>
      </c>
      <c r="CM60" s="544" t="str">
        <f>IF(VLOOKUP($E$60,[1]QUART!$A$2:$FA$315, 90, FALSE)="",":",VLOOKUP($E$60,[1]QUART!$A$2:$FA$315, 90, FALSE))</f>
        <v>:</v>
      </c>
      <c r="CN60" s="544" t="str">
        <f>IF(VLOOKUP($E$60,[1]QUART!$A$2:$FA$315, 91, FALSE)="",":",VLOOKUP($E$60,[1]QUART!$A$2:$FA$315, 91, FALSE))</f>
        <v>:</v>
      </c>
      <c r="CO60" s="544" t="str">
        <f>IF(VLOOKUP($E$60,[1]QUART!$A$2:$FA$315, 92, FALSE)="",":",VLOOKUP($E$60,[1]QUART!$A$2:$FA$315, 92, FALSE))</f>
        <v>:</v>
      </c>
      <c r="CP60" s="544" t="str">
        <f>IF(VLOOKUP($E$60,[1]QUART!$A$2:$FA$315, 93, FALSE)="",":",VLOOKUP($E$60,[1]QUART!$A$2:$FA$315, 93, FALSE))</f>
        <v>:</v>
      </c>
      <c r="CQ60" s="544" t="str">
        <f>IF(VLOOKUP($E$60,[1]QUART!$A$2:$FA$315, 94, FALSE)="",":",VLOOKUP($E$60,[1]QUART!$A$2:$FA$315, 94, FALSE))</f>
        <v>:</v>
      </c>
      <c r="CR60" s="544" t="str">
        <f>IF(VLOOKUP($E$60,[1]QUART!$A$2:$FA$315, 95, FALSE)="",":",VLOOKUP($E$60,[1]QUART!$A$2:$FA$315, 95, FALSE))</f>
        <v>:</v>
      </c>
      <c r="CS60" s="544" t="str">
        <f>IF(VLOOKUP($E$60,[1]QUART!$A$2:$FA$315, 96, FALSE)="",":",VLOOKUP($E$60,[1]QUART!$A$2:$FA$315, 96, FALSE))</f>
        <v>:</v>
      </c>
      <c r="CT60" s="544" t="str">
        <f>IF(VLOOKUP($E$60,[1]QUART!$A$2:$FA$315, 97, FALSE)="",":",VLOOKUP($E$60,[1]QUART!$A$2:$FA$315, 97, FALSE))</f>
        <v>:</v>
      </c>
      <c r="CU60" s="544" t="str">
        <f>IF(VLOOKUP($E$60,[1]QUART!$A$2:$FA$315, 98, FALSE)="",":",VLOOKUP($E$60,[1]QUART!$A$2:$FA$315, 98, FALSE))</f>
        <v>:</v>
      </c>
      <c r="CV60" s="544" t="str">
        <f>IF(VLOOKUP($E$60,[1]QUART!$A$2:$FA$315, 99, FALSE)="",":",VLOOKUP($E$60,[1]QUART!$A$2:$FA$315, 99, FALSE))</f>
        <v>:</v>
      </c>
      <c r="CW60" s="544" t="str">
        <f>IF(VLOOKUP($E$60,[1]QUART!$A$2:$FA$315, 100, FALSE)="",":",VLOOKUP($E$60,[1]QUART!$A$2:$FA$315, 100, FALSE))</f>
        <v>:</v>
      </c>
      <c r="CX60" s="544" t="str">
        <f>IF(VLOOKUP($E$60,[1]QUART!$A$2:$FA$315, 101, FALSE)="",":",VLOOKUP($E$60,[1]QUART!$A$2:$FA$315, 101, FALSE))</f>
        <v>:</v>
      </c>
      <c r="CY60" s="544" t="str">
        <f>IF(VLOOKUP($E$60,[1]QUART!$A$2:$FA$315, 102, FALSE)="",":",VLOOKUP($E$60,[1]QUART!$A$2:$FA$315, 102, FALSE))</f>
        <v>:</v>
      </c>
      <c r="CZ60" s="544" t="str">
        <f>IF(VLOOKUP($E$60,[1]QUART!$A$2:$FA$315, 103, FALSE)="",":",VLOOKUP($E$60,[1]QUART!$A$2:$FA$315, 103, FALSE))</f>
        <v>:</v>
      </c>
      <c r="DA60" s="544" t="str">
        <f>IF(VLOOKUP($E$60,[1]QUART!$A$2:$FA$315, 104, FALSE)="",":",VLOOKUP($E$60,[1]QUART!$A$2:$FA$315, 104, FALSE))</f>
        <v>:</v>
      </c>
      <c r="DB60" s="544" t="str">
        <f>IF(VLOOKUP($E$60,[1]QUART!$A$2:$FA$315, 105, FALSE)="",":",VLOOKUP($E$60,[1]QUART!$A$2:$FA$315, 105, FALSE))</f>
        <v>:</v>
      </c>
      <c r="DC60" s="544" t="str">
        <f>IF(VLOOKUP($E$60,[1]QUART!$A$2:$FA$315, 106, FALSE)="",":",VLOOKUP($E$60,[1]QUART!$A$2:$FA$315, 106, FALSE))</f>
        <v>:</v>
      </c>
    </row>
    <row r="61" spans="1:107">
      <c r="A61" s="1954"/>
      <c r="B61" s="534"/>
      <c r="C61" s="535"/>
      <c r="D61" s="12" t="s">
        <v>1841</v>
      </c>
      <c r="E61" s="13">
        <v>128</v>
      </c>
      <c r="F61" s="14" t="str">
        <f>VLOOKUP($E$61,[1]QUART!$A$2:$FA$315, 3, FALSE)</f>
        <v xml:space="preserve">128  Final demand                                                                    </v>
      </c>
      <c r="G61" s="544" t="str">
        <f>IF(VLOOKUP($E$61,[1]QUART!$A$2:$FA$315, 6, FALSE)="",":",VLOOKUP($E$61,[1]QUART!$A$2:$FA$315, 6, FALSE))</f>
        <v>:</v>
      </c>
      <c r="H61" s="544" t="str">
        <f>IF(VLOOKUP($E$61,[1]QUART!$A$2:$FA$315, 7, FALSE)="",":",VLOOKUP($E$61,[1]QUART!$A$2:$FA$315, 7, FALSE))</f>
        <v>:</v>
      </c>
      <c r="I61" s="544" t="str">
        <f>IF(VLOOKUP($E$61,[1]QUART!$A$2:$FA$315, 8, FALSE)="",":",VLOOKUP($E$61,[1]QUART!$A$2:$FA$315, 8, FALSE))</f>
        <v>:</v>
      </c>
      <c r="J61" s="544" t="str">
        <f>IF(VLOOKUP($E$61,[1]QUART!$A$2:$FA$315, 9, FALSE)="",":",VLOOKUP($E$61,[1]QUART!$A$2:$FA$315, 9, FALSE))</f>
        <v>:</v>
      </c>
      <c r="K61" s="544" t="str">
        <f>IF(VLOOKUP($E$61,[1]QUART!$A$2:$FA$315, 10, FALSE)="",":",VLOOKUP($E$61,[1]QUART!$A$2:$FA$315, 10, FALSE))</f>
        <v>:</v>
      </c>
      <c r="L61" s="544" t="str">
        <f>IF(VLOOKUP($E$61,[1]QUART!$A$2:$FA$315, 11, FALSE)="",":",VLOOKUP($E$61,[1]QUART!$A$2:$FA$315, 11, FALSE))</f>
        <v>:</v>
      </c>
      <c r="M61" s="544" t="str">
        <f>IF(VLOOKUP($E$61,[1]QUART!$A$2:$FA$315, 12, FALSE)="",":",VLOOKUP($E$61,[1]QUART!$A$2:$FA$315, 12, FALSE))</f>
        <v>:</v>
      </c>
      <c r="N61" s="544" t="str">
        <f>IF(VLOOKUP($E$61,[1]QUART!$A$2:$FA$315, 13, FALSE)="",":",VLOOKUP($E$61,[1]QUART!$A$2:$FA$315, 13, FALSE))</f>
        <v>:</v>
      </c>
      <c r="O61" s="544" t="str">
        <f>IF(VLOOKUP($E$61,[1]QUART!$A$2:$FA$315, 14, FALSE)="",":",VLOOKUP($E$61,[1]QUART!$A$2:$FA$315, 14, FALSE))</f>
        <v>:</v>
      </c>
      <c r="P61" s="544" t="str">
        <f>IF(VLOOKUP($E$61,[1]QUART!$A$2:$FA$315, 15, FALSE)="",":",VLOOKUP($E$61,[1]QUART!$A$2:$FA$315, 15, FALSE))</f>
        <v>:</v>
      </c>
      <c r="Q61" s="544" t="str">
        <f>IF(VLOOKUP($E$61,[1]QUART!$A$2:$FA$315, 16, FALSE)="",":",VLOOKUP($E$61,[1]QUART!$A$2:$FA$315, 16, FALSE))</f>
        <v>:</v>
      </c>
      <c r="R61" s="544" t="str">
        <f>IF(VLOOKUP($E$61,[1]QUART!$A$2:$FA$315, 17, FALSE)="",":",VLOOKUP($E$61,[1]QUART!$A$2:$FA$315, 17, FALSE))</f>
        <v>:</v>
      </c>
      <c r="S61" s="544" t="str">
        <f>IF(VLOOKUP($E$61,[1]QUART!$A$2:$FA$315, 18, FALSE)="",":",VLOOKUP($E$61,[1]QUART!$A$2:$FA$315, 18, FALSE))</f>
        <v>:</v>
      </c>
      <c r="T61" s="544" t="str">
        <f>IF(VLOOKUP($E$61,[1]QUART!$A$2:$FA$315, 19, FALSE)="",":",VLOOKUP($E$61,[1]QUART!$A$2:$FA$315, 19, FALSE))</f>
        <v>:</v>
      </c>
      <c r="U61" s="544" t="str">
        <f>IF(VLOOKUP($E$61,[1]QUART!$A$2:$FA$315, 20, FALSE)="",":",VLOOKUP($E$61,[1]QUART!$A$2:$FA$315, 20, FALSE))</f>
        <v>:</v>
      </c>
      <c r="V61" s="544" t="str">
        <f>IF(VLOOKUP($E$61,[1]QUART!$A$2:$FA$315, 21, FALSE)="",":",VLOOKUP($E$61,[1]QUART!$A$2:$FA$315, 21, FALSE))</f>
        <v>:</v>
      </c>
      <c r="W61" s="544" t="str">
        <f>IF(VLOOKUP($E$61,[1]QUART!$A$2:$FA$315, 22, FALSE)="",":",VLOOKUP($E$61,[1]QUART!$A$2:$FA$315, 22, FALSE))</f>
        <v>:</v>
      </c>
      <c r="X61" s="544" t="str">
        <f>IF(VLOOKUP($E$61,[1]QUART!$A$2:$FA$315, 23, FALSE)="",":",VLOOKUP($E$61,[1]QUART!$A$2:$FA$315, 23, FALSE))</f>
        <v>:</v>
      </c>
      <c r="Y61" s="544" t="str">
        <f>IF(VLOOKUP($E$61,[1]QUART!$A$2:$FA$315, 24, FALSE)="",":",VLOOKUP($E$61,[1]QUART!$A$2:$FA$315, 24, FALSE))</f>
        <v>:</v>
      </c>
      <c r="Z61" s="544" t="str">
        <f>IF(VLOOKUP($E$61,[1]QUART!$A$2:$FA$315, 25, FALSE)="",":",VLOOKUP($E$61,[1]QUART!$A$2:$FA$315, 25, FALSE))</f>
        <v>:</v>
      </c>
      <c r="AA61" s="544" t="str">
        <f>IF(VLOOKUP($E$61,[1]QUART!$A$2:$FA$315, 26, FALSE)="",":",VLOOKUP($E$61,[1]QUART!$A$2:$FA$315, 26, FALSE))</f>
        <v>:</v>
      </c>
      <c r="AB61" s="544" t="str">
        <f>IF(VLOOKUP($E$61,[1]QUART!$A$2:$FA$315, 27, FALSE)="",":",VLOOKUP($E$61,[1]QUART!$A$2:$FA$315, 27, FALSE))</f>
        <v>:</v>
      </c>
      <c r="AC61" s="544" t="str">
        <f>IF(VLOOKUP($E$61,[1]QUART!$A$2:$FA$315, 28, FALSE)="",":",VLOOKUP($E$61,[1]QUART!$A$2:$FA$315, 28, FALSE))</f>
        <v>:</v>
      </c>
      <c r="AD61" s="544" t="str">
        <f>IF(VLOOKUP($E$61,[1]QUART!$A$2:$FA$315, 29, FALSE)="",":",VLOOKUP($E$61,[1]QUART!$A$2:$FA$315, 29, FALSE))</f>
        <v>:</v>
      </c>
      <c r="AE61" s="544" t="str">
        <f>IF(VLOOKUP($E$61,[1]QUART!$A$2:$FA$315, 30, FALSE)="",":",VLOOKUP($E$61,[1]QUART!$A$2:$FA$315, 30, FALSE))</f>
        <v>:</v>
      </c>
      <c r="AF61" s="544" t="str">
        <f>IF(VLOOKUP($E$61,[1]QUART!$A$2:$FA$315, 31, FALSE)="",":",VLOOKUP($E$61,[1]QUART!$A$2:$FA$315, 31, FALSE))</f>
        <v>:</v>
      </c>
      <c r="AG61" s="544" t="str">
        <f>IF(VLOOKUP($E$61,[1]QUART!$A$2:$FA$315, 32, FALSE)="",":",VLOOKUP($E$61,[1]QUART!$A$2:$FA$315, 32, FALSE))</f>
        <v>:</v>
      </c>
      <c r="AH61" s="544" t="str">
        <f>IF(VLOOKUP($E$61,[1]QUART!$A$2:$FA$315, 33, FALSE)="",":",VLOOKUP($E$61,[1]QUART!$A$2:$FA$315, 33, FALSE))</f>
        <v>:</v>
      </c>
      <c r="AI61" s="544" t="str">
        <f>IF(VLOOKUP($E$61,[1]QUART!$A$2:$FA$315, 34, FALSE)="",":",VLOOKUP($E$61,[1]QUART!$A$2:$FA$315, 34, FALSE))</f>
        <v>:</v>
      </c>
      <c r="AJ61" s="544" t="str">
        <f>IF(VLOOKUP($E$61,[1]QUART!$A$2:$FA$315, 35, FALSE)="",":",VLOOKUP($E$61,[1]QUART!$A$2:$FA$315, 35, FALSE))</f>
        <v>:</v>
      </c>
      <c r="AK61" s="544" t="str">
        <f>IF(VLOOKUP($E$61,[1]QUART!$A$2:$FA$315, 36, FALSE)="",":",VLOOKUP($E$61,[1]QUART!$A$2:$FA$315, 36, FALSE))</f>
        <v>:</v>
      </c>
      <c r="AL61" s="544" t="str">
        <f>IF(VLOOKUP($E$61,[1]QUART!$A$2:$FA$315, 37, FALSE)="",":",VLOOKUP($E$61,[1]QUART!$A$2:$FA$315, 37, FALSE))</f>
        <v>:</v>
      </c>
      <c r="AM61" s="544" t="str">
        <f>IF(VLOOKUP($E$61,[1]QUART!$A$2:$FA$315, 38, FALSE)="",":",VLOOKUP($E$61,[1]QUART!$A$2:$FA$315, 38, FALSE))</f>
        <v>:</v>
      </c>
      <c r="AN61" s="544" t="str">
        <f>IF(VLOOKUP($E$61,[1]QUART!$A$2:$FA$315, 39, FALSE)="",":",VLOOKUP($E$61,[1]QUART!$A$2:$FA$315, 39, FALSE))</f>
        <v>:</v>
      </c>
      <c r="AO61" s="544" t="str">
        <f>IF(VLOOKUP($E$61,[1]QUART!$A$2:$FA$315, 40, FALSE)="",":",VLOOKUP($E$61,[1]QUART!$A$2:$FA$315, 40, FALSE))</f>
        <v>:</v>
      </c>
      <c r="AP61" s="544" t="str">
        <f>IF(VLOOKUP($E$61,[1]QUART!$A$2:$FA$315, 41, FALSE)="",":",VLOOKUP($E$61,[1]QUART!$A$2:$FA$315, 41, FALSE))</f>
        <v>:</v>
      </c>
      <c r="AQ61" s="544" t="str">
        <f>IF(VLOOKUP($E$61,[1]QUART!$A$2:$FA$315, 42, FALSE)="",":",VLOOKUP($E$61,[1]QUART!$A$2:$FA$315, 42, FALSE))</f>
        <v>:</v>
      </c>
      <c r="AR61" s="544" t="str">
        <f>IF(VLOOKUP($E$61,[1]QUART!$A$2:$FA$315, 43, FALSE)="",":",VLOOKUP($E$61,[1]QUART!$A$2:$FA$315, 43, FALSE))</f>
        <v>:</v>
      </c>
      <c r="AS61" s="544" t="str">
        <f>IF(VLOOKUP($E$61,[1]QUART!$A$2:$FA$315, 44, FALSE)="",":",VLOOKUP($E$61,[1]QUART!$A$2:$FA$315, 44, FALSE))</f>
        <v>:</v>
      </c>
      <c r="AT61" s="544" t="str">
        <f>IF(VLOOKUP($E$61,[1]QUART!$A$2:$FA$315, 45, FALSE)="",":",VLOOKUP($E$61,[1]QUART!$A$2:$FA$315, 45, FALSE))</f>
        <v>:</v>
      </c>
      <c r="AU61" s="544" t="str">
        <f>IF(VLOOKUP($E$61,[1]QUART!$A$2:$FA$315, 46, FALSE)="",":",VLOOKUP($E$61,[1]QUART!$A$2:$FA$315, 46, FALSE))</f>
        <v>:</v>
      </c>
      <c r="AV61" s="544" t="str">
        <f>IF(VLOOKUP($E$61,[1]QUART!$A$2:$FA$315, 47, FALSE)="",":",VLOOKUP($E$61,[1]QUART!$A$2:$FA$315, 47, FALSE))</f>
        <v>:</v>
      </c>
      <c r="AW61" s="544" t="str">
        <f>IF(VLOOKUP($E$61,[1]QUART!$A$2:$FA$315, 48, FALSE)="",":",VLOOKUP($E$61,[1]QUART!$A$2:$FA$315, 48, FALSE))</f>
        <v>:</v>
      </c>
      <c r="AX61" s="544" t="str">
        <f>IF(VLOOKUP($E$61,[1]QUART!$A$2:$FA$315, 49, FALSE)="",":",VLOOKUP($E$61,[1]QUART!$A$2:$FA$315, 49, FALSE))</f>
        <v>:</v>
      </c>
      <c r="AY61" s="544" t="str">
        <f>IF(VLOOKUP($E$61,[1]QUART!$A$2:$FA$315, 50, FALSE)="",":",VLOOKUP($E$61,[1]QUART!$A$2:$FA$315, 50, FALSE))</f>
        <v>:</v>
      </c>
      <c r="AZ61" s="544" t="str">
        <f>IF(VLOOKUP($E$61,[1]QUART!$A$2:$FA$315, 51, FALSE)="",":",VLOOKUP($E$61,[1]QUART!$A$2:$FA$315, 51, FALSE))</f>
        <v>:</v>
      </c>
      <c r="BA61" s="544" t="str">
        <f>IF(VLOOKUP($E$61,[1]QUART!$A$2:$FA$315, 52, FALSE)="",":",VLOOKUP($E$61,[1]QUART!$A$2:$FA$315, 52, FALSE))</f>
        <v>:</v>
      </c>
      <c r="BB61" s="544" t="str">
        <f>IF(VLOOKUP($E$61,[1]QUART!$A$2:$FA$315, 53, FALSE)="",":",VLOOKUP($E$61,[1]QUART!$A$2:$FA$315, 53, FALSE))</f>
        <v>:</v>
      </c>
      <c r="BC61" s="544" t="str">
        <f>IF(VLOOKUP($E$61,[1]QUART!$A$2:$FA$315, 54, FALSE)="",":",VLOOKUP($E$61,[1]QUART!$A$2:$FA$315, 54, FALSE))</f>
        <v>:</v>
      </c>
      <c r="BD61" s="544" t="str">
        <f>IF(VLOOKUP($E$61,[1]QUART!$A$2:$FA$315, 55, FALSE)="",":",VLOOKUP($E$61,[1]QUART!$A$2:$FA$315, 55, FALSE))</f>
        <v>:</v>
      </c>
      <c r="BE61" s="544" t="str">
        <f>IF(VLOOKUP($E$61,[1]QUART!$A$2:$FA$315, 56, FALSE)="",":",VLOOKUP($E$61,[1]QUART!$A$2:$FA$315, 56, FALSE))</f>
        <v>:</v>
      </c>
      <c r="BF61" s="544" t="str">
        <f>IF(VLOOKUP($E$61,[1]QUART!$A$2:$FA$315, 57, FALSE)="",":",VLOOKUP($E$61,[1]QUART!$A$2:$FA$315, 57, FALSE))</f>
        <v>:</v>
      </c>
      <c r="BG61" s="544" t="str">
        <f>IF(VLOOKUP($E$61,[1]QUART!$A$2:$FA$315, 58, FALSE)="",":",VLOOKUP($E$61,[1]QUART!$A$2:$FA$315, 58, FALSE))</f>
        <v>:</v>
      </c>
      <c r="BH61" s="544" t="str">
        <f>IF(VLOOKUP($E$61,[1]QUART!$A$2:$FA$315, 59, FALSE)="",":",VLOOKUP($E$61,[1]QUART!$A$2:$FA$315, 59, FALSE))</f>
        <v>:</v>
      </c>
      <c r="BI61" s="544" t="str">
        <f>IF(VLOOKUP($E$61,[1]QUART!$A$2:$FA$315, 60, FALSE)="",":",VLOOKUP($E$61,[1]QUART!$A$2:$FA$315, 60, FALSE))</f>
        <v>:</v>
      </c>
      <c r="BJ61" s="544" t="str">
        <f>IF(VLOOKUP($E$61,[1]QUART!$A$2:$FA$315, 61, FALSE)="",":",VLOOKUP($E$61,[1]QUART!$A$2:$FA$315, 61, FALSE))</f>
        <v>:</v>
      </c>
      <c r="BK61" s="544" t="str">
        <f>IF(VLOOKUP($E$61,[1]QUART!$A$2:$FA$315, 62, FALSE)="",":",VLOOKUP($E$61,[1]QUART!$A$2:$FA$315, 62, FALSE))</f>
        <v>:</v>
      </c>
      <c r="BL61" s="544" t="str">
        <f>IF(VLOOKUP($E$61,[1]QUART!$A$2:$FA$315, 63, FALSE)="",":",VLOOKUP($E$61,[1]QUART!$A$2:$FA$315, 63, FALSE))</f>
        <v>:</v>
      </c>
      <c r="BM61" s="544" t="str">
        <f>IF(VLOOKUP($E$61,[1]QUART!$A$2:$FA$315, 64, FALSE)="",":",VLOOKUP($E$61,[1]QUART!$A$2:$FA$315, 64, FALSE))</f>
        <v>:</v>
      </c>
      <c r="BN61" s="544" t="str">
        <f>IF(VLOOKUP($E$61,[1]QUART!$A$2:$FA$315, 65, FALSE)="",":",VLOOKUP($E$61,[1]QUART!$A$2:$FA$315, 65, FALSE))</f>
        <v>:</v>
      </c>
      <c r="BO61" s="544" t="str">
        <f>IF(VLOOKUP($E$61,[1]QUART!$A$2:$FA$315, 66, FALSE)="",":",VLOOKUP($E$61,[1]QUART!$A$2:$FA$315, 66, FALSE))</f>
        <v>:</v>
      </c>
      <c r="BP61" s="544" t="str">
        <f>IF(VLOOKUP($E$61,[1]QUART!$A$2:$FA$315, 67, FALSE)="",":",VLOOKUP($E$61,[1]QUART!$A$2:$FA$315, 67, FALSE))</f>
        <v>:</v>
      </c>
      <c r="BQ61" s="544" t="str">
        <f>IF(VLOOKUP($E$61,[1]QUART!$A$2:$FA$315, 68, FALSE)="",":",VLOOKUP($E$61,[1]QUART!$A$2:$FA$315, 68, FALSE))</f>
        <v>:</v>
      </c>
      <c r="BR61" s="544" t="str">
        <f>IF(VLOOKUP($E$61,[1]QUART!$A$2:$FA$315, 69, FALSE)="",":",VLOOKUP($E$61,[1]QUART!$A$2:$FA$315, 69, FALSE))</f>
        <v>:</v>
      </c>
      <c r="BS61" s="544" t="str">
        <f>IF(VLOOKUP($E$61,[1]QUART!$A$2:$FA$315, 70, FALSE)="",":",VLOOKUP($E$61,[1]QUART!$A$2:$FA$315, 70, FALSE))</f>
        <v>:</v>
      </c>
      <c r="BT61" s="544" t="str">
        <f>IF(VLOOKUP($E$61,[1]QUART!$A$2:$FA$315, 71, FALSE)="",":",VLOOKUP($E$61,[1]QUART!$A$2:$FA$315, 71, FALSE))</f>
        <v>:</v>
      </c>
      <c r="BU61" s="544" t="str">
        <f>IF(VLOOKUP($E$61,[1]QUART!$A$2:$FA$315, 72, FALSE)="",":",VLOOKUP($E$61,[1]QUART!$A$2:$FA$315, 72, FALSE))</f>
        <v>:</v>
      </c>
      <c r="BV61" s="544" t="str">
        <f>IF(VLOOKUP($E$61,[1]QUART!$A$2:$FA$315, 73, FALSE)="",":",VLOOKUP($E$61,[1]QUART!$A$2:$FA$315, 73, FALSE))</f>
        <v>:</v>
      </c>
      <c r="BW61" s="544" t="str">
        <f>IF(VLOOKUP($E$61,[1]QUART!$A$2:$FA$315, 74, FALSE)="",":",VLOOKUP($E$61,[1]QUART!$A$2:$FA$315, 74, FALSE))</f>
        <v>:</v>
      </c>
      <c r="BX61" s="544" t="str">
        <f>IF(VLOOKUP($E$61,[1]QUART!$A$2:$FA$315, 75, FALSE)="",":",VLOOKUP($E$61,[1]QUART!$A$2:$FA$315, 75, FALSE))</f>
        <v>:</v>
      </c>
      <c r="BY61" s="544" t="str">
        <f>IF(VLOOKUP($E$61,[1]QUART!$A$2:$FA$315, 76, FALSE)="",":",VLOOKUP($E$61,[1]QUART!$A$2:$FA$315, 76, FALSE))</f>
        <v>:</v>
      </c>
      <c r="BZ61" s="544" t="str">
        <f>IF(VLOOKUP($E$61,[1]QUART!$A$2:$FA$315, 77, FALSE)="",":",VLOOKUP($E$61,[1]QUART!$A$2:$FA$315, 77, FALSE))</f>
        <v>:</v>
      </c>
      <c r="CA61" s="544" t="str">
        <f>IF(VLOOKUP($E$61,[1]QUART!$A$2:$FA$315, 78, FALSE)="",":",VLOOKUP($E$61,[1]QUART!$A$2:$FA$315, 78, FALSE))</f>
        <v>:</v>
      </c>
      <c r="CB61" s="544" t="str">
        <f>IF(VLOOKUP($E$61,[1]QUART!$A$2:$FA$315, 79, FALSE)="",":",VLOOKUP($E$61,[1]QUART!$A$2:$FA$315, 79, FALSE))</f>
        <v>:</v>
      </c>
      <c r="CC61" s="544" t="str">
        <f>IF(VLOOKUP($E$61,[1]QUART!$A$2:$FA$315, 80, FALSE)="",":",VLOOKUP($E$61,[1]QUART!$A$2:$FA$315, 80, FALSE))</f>
        <v>:</v>
      </c>
      <c r="CD61" s="544" t="str">
        <f>IF(VLOOKUP($E$61,[1]QUART!$A$2:$FA$315, 81, FALSE)="",":",VLOOKUP($E$61,[1]QUART!$A$2:$FA$315, 81, FALSE))</f>
        <v>:</v>
      </c>
      <c r="CE61" s="544" t="str">
        <f>IF(VLOOKUP($E$61,[1]QUART!$A$2:$FA$315, 82, FALSE)="",":",VLOOKUP($E$61,[1]QUART!$A$2:$FA$315, 82, FALSE))</f>
        <v>:</v>
      </c>
      <c r="CF61" s="544" t="str">
        <f>IF(VLOOKUP($E$61,[1]QUART!$A$2:$FA$315, 83, FALSE)="",":",VLOOKUP($E$61,[1]QUART!$A$2:$FA$315, 83, FALSE))</f>
        <v>:</v>
      </c>
      <c r="CG61" s="544" t="str">
        <f>IF(VLOOKUP($E$61,[1]QUART!$A$2:$FA$315, 84, FALSE)="",":",VLOOKUP($E$61,[1]QUART!$A$2:$FA$315, 84, FALSE))</f>
        <v>:</v>
      </c>
      <c r="CH61" s="544" t="str">
        <f>IF(VLOOKUP($E$61,[1]QUART!$A$2:$FA$315, 85, FALSE)="",":",VLOOKUP($E$61,[1]QUART!$A$2:$FA$315, 85, FALSE))</f>
        <v>:</v>
      </c>
      <c r="CI61" s="544" t="str">
        <f>IF(VLOOKUP($E$61,[1]QUART!$A$2:$FA$315, 86, FALSE)="",":",VLOOKUP($E$61,[1]QUART!$A$2:$FA$315, 86, FALSE))</f>
        <v>:</v>
      </c>
      <c r="CJ61" s="544" t="str">
        <f>IF(VLOOKUP($E$61,[1]QUART!$A$2:$FA$315, 87, FALSE)="",":",VLOOKUP($E$61,[1]QUART!$A$2:$FA$315, 87, FALSE))</f>
        <v>:</v>
      </c>
      <c r="CK61" s="544" t="str">
        <f>IF(VLOOKUP($E$61,[1]QUART!$A$2:$FA$315, 88, FALSE)="",":",VLOOKUP($E$61,[1]QUART!$A$2:$FA$315, 88, FALSE))</f>
        <v>:</v>
      </c>
      <c r="CL61" s="544" t="str">
        <f>IF(VLOOKUP($E$61,[1]QUART!$A$2:$FA$315, 89, FALSE)="",":",VLOOKUP($E$61,[1]QUART!$A$2:$FA$315, 89, FALSE))</f>
        <v>:</v>
      </c>
      <c r="CM61" s="544" t="str">
        <f>IF(VLOOKUP($E$61,[1]QUART!$A$2:$FA$315, 90, FALSE)="",":",VLOOKUP($E$61,[1]QUART!$A$2:$FA$315, 90, FALSE))</f>
        <v>:</v>
      </c>
      <c r="CN61" s="544" t="str">
        <f>IF(VLOOKUP($E$61,[1]QUART!$A$2:$FA$315, 91, FALSE)="",":",VLOOKUP($E$61,[1]QUART!$A$2:$FA$315, 91, FALSE))</f>
        <v>:</v>
      </c>
      <c r="CO61" s="544" t="str">
        <f>IF(VLOOKUP($E$61,[1]QUART!$A$2:$FA$315, 92, FALSE)="",":",VLOOKUP($E$61,[1]QUART!$A$2:$FA$315, 92, FALSE))</f>
        <v>:</v>
      </c>
      <c r="CP61" s="544" t="str">
        <f>IF(VLOOKUP($E$61,[1]QUART!$A$2:$FA$315, 93, FALSE)="",":",VLOOKUP($E$61,[1]QUART!$A$2:$FA$315, 93, FALSE))</f>
        <v>:</v>
      </c>
      <c r="CQ61" s="544" t="str">
        <f>IF(VLOOKUP($E$61,[1]QUART!$A$2:$FA$315, 94, FALSE)="",":",VLOOKUP($E$61,[1]QUART!$A$2:$FA$315, 94, FALSE))</f>
        <v>:</v>
      </c>
      <c r="CR61" s="544" t="str">
        <f>IF(VLOOKUP($E$61,[1]QUART!$A$2:$FA$315, 95, FALSE)="",":",VLOOKUP($E$61,[1]QUART!$A$2:$FA$315, 95, FALSE))</f>
        <v>:</v>
      </c>
      <c r="CS61" s="544" t="str">
        <f>IF(VLOOKUP($E$61,[1]QUART!$A$2:$FA$315, 96, FALSE)="",":",VLOOKUP($E$61,[1]QUART!$A$2:$FA$315, 96, FALSE))</f>
        <v>:</v>
      </c>
      <c r="CT61" s="544" t="str">
        <f>IF(VLOOKUP($E$61,[1]QUART!$A$2:$FA$315, 97, FALSE)="",":",VLOOKUP($E$61,[1]QUART!$A$2:$FA$315, 97, FALSE))</f>
        <v>:</v>
      </c>
      <c r="CU61" s="544" t="str">
        <f>IF(VLOOKUP($E$61,[1]QUART!$A$2:$FA$315, 98, FALSE)="",":",VLOOKUP($E$61,[1]QUART!$A$2:$FA$315, 98, FALSE))</f>
        <v>:</v>
      </c>
      <c r="CV61" s="544" t="str">
        <f>IF(VLOOKUP($E$61,[1]QUART!$A$2:$FA$315, 99, FALSE)="",":",VLOOKUP($E$61,[1]QUART!$A$2:$FA$315, 99, FALSE))</f>
        <v>:</v>
      </c>
      <c r="CW61" s="544" t="str">
        <f>IF(VLOOKUP($E$61,[1]QUART!$A$2:$FA$315, 100, FALSE)="",":",VLOOKUP($E$61,[1]QUART!$A$2:$FA$315, 100, FALSE))</f>
        <v>:</v>
      </c>
      <c r="CX61" s="544" t="str">
        <f>IF(VLOOKUP($E$61,[1]QUART!$A$2:$FA$315, 101, FALSE)="",":",VLOOKUP($E$61,[1]QUART!$A$2:$FA$315, 101, FALSE))</f>
        <v>:</v>
      </c>
      <c r="CY61" s="544" t="str">
        <f>IF(VLOOKUP($E$61,[1]QUART!$A$2:$FA$315, 102, FALSE)="",":",VLOOKUP($E$61,[1]QUART!$A$2:$FA$315, 102, FALSE))</f>
        <v>:</v>
      </c>
      <c r="CZ61" s="544" t="str">
        <f>IF(VLOOKUP($E$61,[1]QUART!$A$2:$FA$315, 103, FALSE)="",":",VLOOKUP($E$61,[1]QUART!$A$2:$FA$315, 103, FALSE))</f>
        <v>:</v>
      </c>
      <c r="DA61" s="544" t="str">
        <f>IF(VLOOKUP($E$61,[1]QUART!$A$2:$FA$315, 104, FALSE)="",":",VLOOKUP($E$61,[1]QUART!$A$2:$FA$315, 104, FALSE))</f>
        <v>:</v>
      </c>
      <c r="DB61" s="544" t="str">
        <f>IF(VLOOKUP($E$61,[1]QUART!$A$2:$FA$315, 105, FALSE)="",":",VLOOKUP($E$61,[1]QUART!$A$2:$FA$315, 105, FALSE))</f>
        <v>:</v>
      </c>
      <c r="DC61" s="544" t="str">
        <f>IF(VLOOKUP($E$61,[1]QUART!$A$2:$FA$315, 106, FALSE)="",":",VLOOKUP($E$61,[1]QUART!$A$2:$FA$315, 106, FALSE))</f>
        <v>:</v>
      </c>
    </row>
    <row r="62" spans="1:107">
      <c r="A62" s="1954"/>
      <c r="B62" s="534"/>
      <c r="C62" s="535"/>
      <c r="D62" s="12" t="s">
        <v>1841</v>
      </c>
      <c r="E62" s="13">
        <v>129</v>
      </c>
      <c r="F62" s="14" t="str">
        <f>VLOOKUP($E$62,[1]QUART!$A$2:$FA$315, 3, FALSE)</f>
        <v>129 GFCF equipment</v>
      </c>
      <c r="G62" s="544" t="str">
        <f>IF(VLOOKUP($E$62,[1]QUART!$A$2:$FA$315, 6, FALSE)="",":",VLOOKUP($E$62,[1]QUART!$A$2:$FA$315, 6, FALSE))</f>
        <v>:</v>
      </c>
      <c r="H62" s="544" t="str">
        <f>IF(VLOOKUP($E$62,[1]QUART!$A$2:$FA$315, 7, FALSE)="",":",VLOOKUP($E$62,[1]QUART!$A$2:$FA$315, 7, FALSE))</f>
        <v>:</v>
      </c>
      <c r="I62" s="544" t="str">
        <f>IF(VLOOKUP($E$62,[1]QUART!$A$2:$FA$315, 8, FALSE)="",":",VLOOKUP($E$62,[1]QUART!$A$2:$FA$315, 8, FALSE))</f>
        <v>:</v>
      </c>
      <c r="J62" s="544" t="str">
        <f>IF(VLOOKUP($E$62,[1]QUART!$A$2:$FA$315, 9, FALSE)="",":",VLOOKUP($E$62,[1]QUART!$A$2:$FA$315, 9, FALSE))</f>
        <v>:</v>
      </c>
      <c r="K62" s="544" t="str">
        <f>IF(VLOOKUP($E$62,[1]QUART!$A$2:$FA$315, 10, FALSE)="",":",VLOOKUP($E$62,[1]QUART!$A$2:$FA$315, 10, FALSE))</f>
        <v>:</v>
      </c>
      <c r="L62" s="544" t="str">
        <f>IF(VLOOKUP($E$62,[1]QUART!$A$2:$FA$315, 11, FALSE)="",":",VLOOKUP($E$62,[1]QUART!$A$2:$FA$315, 11, FALSE))</f>
        <v>:</v>
      </c>
      <c r="M62" s="544" t="str">
        <f>IF(VLOOKUP($E$62,[1]QUART!$A$2:$FA$315, 12, FALSE)="",":",VLOOKUP($E$62,[1]QUART!$A$2:$FA$315, 12, FALSE))</f>
        <v>:</v>
      </c>
      <c r="N62" s="544" t="str">
        <f>IF(VLOOKUP($E$62,[1]QUART!$A$2:$FA$315, 13, FALSE)="",":",VLOOKUP($E$62,[1]QUART!$A$2:$FA$315, 13, FALSE))</f>
        <v>:</v>
      </c>
      <c r="O62" s="544" t="str">
        <f>IF(VLOOKUP($E$62,[1]QUART!$A$2:$FA$315, 14, FALSE)="",":",VLOOKUP($E$62,[1]QUART!$A$2:$FA$315, 14, FALSE))</f>
        <v>:</v>
      </c>
      <c r="P62" s="544" t="str">
        <f>IF(VLOOKUP($E$62,[1]QUART!$A$2:$FA$315, 15, FALSE)="",":",VLOOKUP($E$62,[1]QUART!$A$2:$FA$315, 15, FALSE))</f>
        <v>:</v>
      </c>
      <c r="Q62" s="544" t="str">
        <f>IF(VLOOKUP($E$62,[1]QUART!$A$2:$FA$315, 16, FALSE)="",":",VLOOKUP($E$62,[1]QUART!$A$2:$FA$315, 16, FALSE))</f>
        <v>:</v>
      </c>
      <c r="R62" s="544" t="str">
        <f>IF(VLOOKUP($E$62,[1]QUART!$A$2:$FA$315, 17, FALSE)="",":",VLOOKUP($E$62,[1]QUART!$A$2:$FA$315, 17, FALSE))</f>
        <v>:</v>
      </c>
      <c r="S62" s="544" t="str">
        <f>IF(VLOOKUP($E$62,[1]QUART!$A$2:$FA$315, 18, FALSE)="",":",VLOOKUP($E$62,[1]QUART!$A$2:$FA$315, 18, FALSE))</f>
        <v>:</v>
      </c>
      <c r="T62" s="544" t="str">
        <f>IF(VLOOKUP($E$62,[1]QUART!$A$2:$FA$315, 19, FALSE)="",":",VLOOKUP($E$62,[1]QUART!$A$2:$FA$315, 19, FALSE))</f>
        <v>:</v>
      </c>
      <c r="U62" s="544" t="str">
        <f>IF(VLOOKUP($E$62,[1]QUART!$A$2:$FA$315, 20, FALSE)="",":",VLOOKUP($E$62,[1]QUART!$A$2:$FA$315, 20, FALSE))</f>
        <v>:</v>
      </c>
      <c r="V62" s="544" t="str">
        <f>IF(VLOOKUP($E$62,[1]QUART!$A$2:$FA$315, 21, FALSE)="",":",VLOOKUP($E$62,[1]QUART!$A$2:$FA$315, 21, FALSE))</f>
        <v>:</v>
      </c>
      <c r="W62" s="544" t="str">
        <f>IF(VLOOKUP($E$62,[1]QUART!$A$2:$FA$315, 22, FALSE)="",":",VLOOKUP($E$62,[1]QUART!$A$2:$FA$315, 22, FALSE))</f>
        <v>:</v>
      </c>
      <c r="X62" s="544" t="str">
        <f>IF(VLOOKUP($E$62,[1]QUART!$A$2:$FA$315, 23, FALSE)="",":",VLOOKUP($E$62,[1]QUART!$A$2:$FA$315, 23, FALSE))</f>
        <v>:</v>
      </c>
      <c r="Y62" s="544" t="str">
        <f>IF(VLOOKUP($E$62,[1]QUART!$A$2:$FA$315, 24, FALSE)="",":",VLOOKUP($E$62,[1]QUART!$A$2:$FA$315, 24, FALSE))</f>
        <v>:</v>
      </c>
      <c r="Z62" s="544" t="str">
        <f>IF(VLOOKUP($E$62,[1]QUART!$A$2:$FA$315, 25, FALSE)="",":",VLOOKUP($E$62,[1]QUART!$A$2:$FA$315, 25, FALSE))</f>
        <v>:</v>
      </c>
      <c r="AA62" s="544" t="str">
        <f>IF(VLOOKUP($E$62,[1]QUART!$A$2:$FA$315, 26, FALSE)="",":",VLOOKUP($E$62,[1]QUART!$A$2:$FA$315, 26, FALSE))</f>
        <v>:</v>
      </c>
      <c r="AB62" s="544" t="str">
        <f>IF(VLOOKUP($E$62,[1]QUART!$A$2:$FA$315, 27, FALSE)="",":",VLOOKUP($E$62,[1]QUART!$A$2:$FA$315, 27, FALSE))</f>
        <v>:</v>
      </c>
      <c r="AC62" s="544" t="str">
        <f>IF(VLOOKUP($E$62,[1]QUART!$A$2:$FA$315, 28, FALSE)="",":",VLOOKUP($E$62,[1]QUART!$A$2:$FA$315, 28, FALSE))</f>
        <v>:</v>
      </c>
      <c r="AD62" s="544" t="str">
        <f>IF(VLOOKUP($E$62,[1]QUART!$A$2:$FA$315, 29, FALSE)="",":",VLOOKUP($E$62,[1]QUART!$A$2:$FA$315, 29, FALSE))</f>
        <v>:</v>
      </c>
      <c r="AE62" s="544" t="str">
        <f>IF(VLOOKUP($E$62,[1]QUART!$A$2:$FA$315, 30, FALSE)="",":",VLOOKUP($E$62,[1]QUART!$A$2:$FA$315, 30, FALSE))</f>
        <v>:</v>
      </c>
      <c r="AF62" s="544" t="str">
        <f>IF(VLOOKUP($E$62,[1]QUART!$A$2:$FA$315, 31, FALSE)="",":",VLOOKUP($E$62,[1]QUART!$A$2:$FA$315, 31, FALSE))</f>
        <v>:</v>
      </c>
      <c r="AG62" s="544" t="str">
        <f>IF(VLOOKUP($E$62,[1]QUART!$A$2:$FA$315, 32, FALSE)="",":",VLOOKUP($E$62,[1]QUART!$A$2:$FA$315, 32, FALSE))</f>
        <v>:</v>
      </c>
      <c r="AH62" s="544" t="str">
        <f>IF(VLOOKUP($E$62,[1]QUART!$A$2:$FA$315, 33, FALSE)="",":",VLOOKUP($E$62,[1]QUART!$A$2:$FA$315, 33, FALSE))</f>
        <v>:</v>
      </c>
      <c r="AI62" s="544" t="str">
        <f>IF(VLOOKUP($E$62,[1]QUART!$A$2:$FA$315, 34, FALSE)="",":",VLOOKUP($E$62,[1]QUART!$A$2:$FA$315, 34, FALSE))</f>
        <v>:</v>
      </c>
      <c r="AJ62" s="544" t="str">
        <f>IF(VLOOKUP($E$62,[1]QUART!$A$2:$FA$315, 35, FALSE)="",":",VLOOKUP($E$62,[1]QUART!$A$2:$FA$315, 35, FALSE))</f>
        <v>:</v>
      </c>
      <c r="AK62" s="544" t="str">
        <f>IF(VLOOKUP($E$62,[1]QUART!$A$2:$FA$315, 36, FALSE)="",":",VLOOKUP($E$62,[1]QUART!$A$2:$FA$315, 36, FALSE))</f>
        <v>:</v>
      </c>
      <c r="AL62" s="544" t="str">
        <f>IF(VLOOKUP($E$62,[1]QUART!$A$2:$FA$315, 37, FALSE)="",":",VLOOKUP($E$62,[1]QUART!$A$2:$FA$315, 37, FALSE))</f>
        <v>:</v>
      </c>
      <c r="AM62" s="544" t="str">
        <f>IF(VLOOKUP($E$62,[1]QUART!$A$2:$FA$315, 38, FALSE)="",":",VLOOKUP($E$62,[1]QUART!$A$2:$FA$315, 38, FALSE))</f>
        <v>:</v>
      </c>
      <c r="AN62" s="544" t="str">
        <f>IF(VLOOKUP($E$62,[1]QUART!$A$2:$FA$315, 39, FALSE)="",":",VLOOKUP($E$62,[1]QUART!$A$2:$FA$315, 39, FALSE))</f>
        <v>:</v>
      </c>
      <c r="AO62" s="544" t="str">
        <f>IF(VLOOKUP($E$62,[1]QUART!$A$2:$FA$315, 40, FALSE)="",":",VLOOKUP($E$62,[1]QUART!$A$2:$FA$315, 40, FALSE))</f>
        <v>:</v>
      </c>
      <c r="AP62" s="544" t="str">
        <f>IF(VLOOKUP($E$62,[1]QUART!$A$2:$FA$315, 41, FALSE)="",":",VLOOKUP($E$62,[1]QUART!$A$2:$FA$315, 41, FALSE))</f>
        <v>:</v>
      </c>
      <c r="AQ62" s="544" t="str">
        <f>IF(VLOOKUP($E$62,[1]QUART!$A$2:$FA$315, 42, FALSE)="",":",VLOOKUP($E$62,[1]QUART!$A$2:$FA$315, 42, FALSE))</f>
        <v>:</v>
      </c>
      <c r="AR62" s="544" t="str">
        <f>IF(VLOOKUP($E$62,[1]QUART!$A$2:$FA$315, 43, FALSE)="",":",VLOOKUP($E$62,[1]QUART!$A$2:$FA$315, 43, FALSE))</f>
        <v>:</v>
      </c>
      <c r="AS62" s="544" t="str">
        <f>IF(VLOOKUP($E$62,[1]QUART!$A$2:$FA$315, 44, FALSE)="",":",VLOOKUP($E$62,[1]QUART!$A$2:$FA$315, 44, FALSE))</f>
        <v>:</v>
      </c>
      <c r="AT62" s="544" t="str">
        <f>IF(VLOOKUP($E$62,[1]QUART!$A$2:$FA$315, 45, FALSE)="",":",VLOOKUP($E$62,[1]QUART!$A$2:$FA$315, 45, FALSE))</f>
        <v>:</v>
      </c>
      <c r="AU62" s="544" t="str">
        <f>IF(VLOOKUP($E$62,[1]QUART!$A$2:$FA$315, 46, FALSE)="",":",VLOOKUP($E$62,[1]QUART!$A$2:$FA$315, 46, FALSE))</f>
        <v>:</v>
      </c>
      <c r="AV62" s="544" t="str">
        <f>IF(VLOOKUP($E$62,[1]QUART!$A$2:$FA$315, 47, FALSE)="",":",VLOOKUP($E$62,[1]QUART!$A$2:$FA$315, 47, FALSE))</f>
        <v>:</v>
      </c>
      <c r="AW62" s="544" t="str">
        <f>IF(VLOOKUP($E$62,[1]QUART!$A$2:$FA$315, 48, FALSE)="",":",VLOOKUP($E$62,[1]QUART!$A$2:$FA$315, 48, FALSE))</f>
        <v>:</v>
      </c>
      <c r="AX62" s="544" t="str">
        <f>IF(VLOOKUP($E$62,[1]QUART!$A$2:$FA$315, 49, FALSE)="",":",VLOOKUP($E$62,[1]QUART!$A$2:$FA$315, 49, FALSE))</f>
        <v>:</v>
      </c>
      <c r="AY62" s="544" t="str">
        <f>IF(VLOOKUP($E$62,[1]QUART!$A$2:$FA$315, 50, FALSE)="",":",VLOOKUP($E$62,[1]QUART!$A$2:$FA$315, 50, FALSE))</f>
        <v>:</v>
      </c>
      <c r="AZ62" s="544" t="str">
        <f>IF(VLOOKUP($E$62,[1]QUART!$A$2:$FA$315, 51, FALSE)="",":",VLOOKUP($E$62,[1]QUART!$A$2:$FA$315, 51, FALSE))</f>
        <v>:</v>
      </c>
      <c r="BA62" s="544" t="str">
        <f>IF(VLOOKUP($E$62,[1]QUART!$A$2:$FA$315, 52, FALSE)="",":",VLOOKUP($E$62,[1]QUART!$A$2:$FA$315, 52, FALSE))</f>
        <v>:</v>
      </c>
      <c r="BB62" s="544" t="str">
        <f>IF(VLOOKUP($E$62,[1]QUART!$A$2:$FA$315, 53, FALSE)="",":",VLOOKUP($E$62,[1]QUART!$A$2:$FA$315, 53, FALSE))</f>
        <v>:</v>
      </c>
      <c r="BC62" s="544" t="str">
        <f>IF(VLOOKUP($E$62,[1]QUART!$A$2:$FA$315, 54, FALSE)="",":",VLOOKUP($E$62,[1]QUART!$A$2:$FA$315, 54, FALSE))</f>
        <v>:</v>
      </c>
      <c r="BD62" s="544" t="str">
        <f>IF(VLOOKUP($E$62,[1]QUART!$A$2:$FA$315, 55, FALSE)="",":",VLOOKUP($E$62,[1]QUART!$A$2:$FA$315, 55, FALSE))</f>
        <v>:</v>
      </c>
      <c r="BE62" s="544" t="str">
        <f>IF(VLOOKUP($E$62,[1]QUART!$A$2:$FA$315, 56, FALSE)="",":",VLOOKUP($E$62,[1]QUART!$A$2:$FA$315, 56, FALSE))</f>
        <v>:</v>
      </c>
      <c r="BF62" s="544" t="str">
        <f>IF(VLOOKUP($E$62,[1]QUART!$A$2:$FA$315, 57, FALSE)="",":",VLOOKUP($E$62,[1]QUART!$A$2:$FA$315, 57, FALSE))</f>
        <v>:</v>
      </c>
      <c r="BG62" s="544" t="str">
        <f>IF(VLOOKUP($E$62,[1]QUART!$A$2:$FA$315, 58, FALSE)="",":",VLOOKUP($E$62,[1]QUART!$A$2:$FA$315, 58, FALSE))</f>
        <v>:</v>
      </c>
      <c r="BH62" s="544" t="str">
        <f>IF(VLOOKUP($E$62,[1]QUART!$A$2:$FA$315, 59, FALSE)="",":",VLOOKUP($E$62,[1]QUART!$A$2:$FA$315, 59, FALSE))</f>
        <v>:</v>
      </c>
      <c r="BI62" s="544" t="str">
        <f>IF(VLOOKUP($E$62,[1]QUART!$A$2:$FA$315, 60, FALSE)="",":",VLOOKUP($E$62,[1]QUART!$A$2:$FA$315, 60, FALSE))</f>
        <v>:</v>
      </c>
      <c r="BJ62" s="544" t="str">
        <f>IF(VLOOKUP($E$62,[1]QUART!$A$2:$FA$315, 61, FALSE)="",":",VLOOKUP($E$62,[1]QUART!$A$2:$FA$315, 61, FALSE))</f>
        <v>:</v>
      </c>
      <c r="BK62" s="544" t="str">
        <f>IF(VLOOKUP($E$62,[1]QUART!$A$2:$FA$315, 62, FALSE)="",":",VLOOKUP($E$62,[1]QUART!$A$2:$FA$315, 62, FALSE))</f>
        <v>:</v>
      </c>
      <c r="BL62" s="544" t="str">
        <f>IF(VLOOKUP($E$62,[1]QUART!$A$2:$FA$315, 63, FALSE)="",":",VLOOKUP($E$62,[1]QUART!$A$2:$FA$315, 63, FALSE))</f>
        <v>:</v>
      </c>
      <c r="BM62" s="544" t="str">
        <f>IF(VLOOKUP($E$62,[1]QUART!$A$2:$FA$315, 64, FALSE)="",":",VLOOKUP($E$62,[1]QUART!$A$2:$FA$315, 64, FALSE))</f>
        <v>:</v>
      </c>
      <c r="BN62" s="544" t="str">
        <f>IF(VLOOKUP($E$62,[1]QUART!$A$2:$FA$315, 65, FALSE)="",":",VLOOKUP($E$62,[1]QUART!$A$2:$FA$315, 65, FALSE))</f>
        <v>:</v>
      </c>
      <c r="BO62" s="544" t="str">
        <f>IF(VLOOKUP($E$62,[1]QUART!$A$2:$FA$315, 66, FALSE)="",":",VLOOKUP($E$62,[1]QUART!$A$2:$FA$315, 66, FALSE))</f>
        <v>:</v>
      </c>
      <c r="BP62" s="544" t="str">
        <f>IF(VLOOKUP($E$62,[1]QUART!$A$2:$FA$315, 67, FALSE)="",":",VLOOKUP($E$62,[1]QUART!$A$2:$FA$315, 67, FALSE))</f>
        <v>:</v>
      </c>
      <c r="BQ62" s="544" t="str">
        <f>IF(VLOOKUP($E$62,[1]QUART!$A$2:$FA$315, 68, FALSE)="",":",VLOOKUP($E$62,[1]QUART!$A$2:$FA$315, 68, FALSE))</f>
        <v>:</v>
      </c>
      <c r="BR62" s="544" t="str">
        <f>IF(VLOOKUP($E$62,[1]QUART!$A$2:$FA$315, 69, FALSE)="",":",VLOOKUP($E$62,[1]QUART!$A$2:$FA$315, 69, FALSE))</f>
        <v>:</v>
      </c>
      <c r="BS62" s="544" t="str">
        <f>IF(VLOOKUP($E$62,[1]QUART!$A$2:$FA$315, 70, FALSE)="",":",VLOOKUP($E$62,[1]QUART!$A$2:$FA$315, 70, FALSE))</f>
        <v>:</v>
      </c>
      <c r="BT62" s="544" t="str">
        <f>IF(VLOOKUP($E$62,[1]QUART!$A$2:$FA$315, 71, FALSE)="",":",VLOOKUP($E$62,[1]QUART!$A$2:$FA$315, 71, FALSE))</f>
        <v>:</v>
      </c>
      <c r="BU62" s="544" t="str">
        <f>IF(VLOOKUP($E$62,[1]QUART!$A$2:$FA$315, 72, FALSE)="",":",VLOOKUP($E$62,[1]QUART!$A$2:$FA$315, 72, FALSE))</f>
        <v>:</v>
      </c>
      <c r="BV62" s="544" t="str">
        <f>IF(VLOOKUP($E$62,[1]QUART!$A$2:$FA$315, 73, FALSE)="",":",VLOOKUP($E$62,[1]QUART!$A$2:$FA$315, 73, FALSE))</f>
        <v>:</v>
      </c>
      <c r="BW62" s="544" t="str">
        <f>IF(VLOOKUP($E$62,[1]QUART!$A$2:$FA$315, 74, FALSE)="",":",VLOOKUP($E$62,[1]QUART!$A$2:$FA$315, 74, FALSE))</f>
        <v>:</v>
      </c>
      <c r="BX62" s="544" t="str">
        <f>IF(VLOOKUP($E$62,[1]QUART!$A$2:$FA$315, 75, FALSE)="",":",VLOOKUP($E$62,[1]QUART!$A$2:$FA$315, 75, FALSE))</f>
        <v>:</v>
      </c>
      <c r="BY62" s="544" t="str">
        <f>IF(VLOOKUP($E$62,[1]QUART!$A$2:$FA$315, 76, FALSE)="",":",VLOOKUP($E$62,[1]QUART!$A$2:$FA$315, 76, FALSE))</f>
        <v>:</v>
      </c>
      <c r="BZ62" s="544" t="str">
        <f>IF(VLOOKUP($E$62,[1]QUART!$A$2:$FA$315, 77, FALSE)="",":",VLOOKUP($E$62,[1]QUART!$A$2:$FA$315, 77, FALSE))</f>
        <v>:</v>
      </c>
      <c r="CA62" s="544" t="str">
        <f>IF(VLOOKUP($E$62,[1]QUART!$A$2:$FA$315, 78, FALSE)="",":",VLOOKUP($E$62,[1]QUART!$A$2:$FA$315, 78, FALSE))</f>
        <v>:</v>
      </c>
      <c r="CB62" s="544" t="str">
        <f>IF(VLOOKUP($E$62,[1]QUART!$A$2:$FA$315, 79, FALSE)="",":",VLOOKUP($E$62,[1]QUART!$A$2:$FA$315, 79, FALSE))</f>
        <v>:</v>
      </c>
      <c r="CC62" s="544" t="str">
        <f>IF(VLOOKUP($E$62,[1]QUART!$A$2:$FA$315, 80, FALSE)="",":",VLOOKUP($E$62,[1]QUART!$A$2:$FA$315, 80, FALSE))</f>
        <v>:</v>
      </c>
      <c r="CD62" s="544" t="str">
        <f>IF(VLOOKUP($E$62,[1]QUART!$A$2:$FA$315, 81, FALSE)="",":",VLOOKUP($E$62,[1]QUART!$A$2:$FA$315, 81, FALSE))</f>
        <v>:</v>
      </c>
      <c r="CE62" s="544" t="str">
        <f>IF(VLOOKUP($E$62,[1]QUART!$A$2:$FA$315, 82, FALSE)="",":",VLOOKUP($E$62,[1]QUART!$A$2:$FA$315, 82, FALSE))</f>
        <v>:</v>
      </c>
      <c r="CF62" s="544" t="str">
        <f>IF(VLOOKUP($E$62,[1]QUART!$A$2:$FA$315, 83, FALSE)="",":",VLOOKUP($E$62,[1]QUART!$A$2:$FA$315, 83, FALSE))</f>
        <v>:</v>
      </c>
      <c r="CG62" s="544" t="str">
        <f>IF(VLOOKUP($E$62,[1]QUART!$A$2:$FA$315, 84, FALSE)="",":",VLOOKUP($E$62,[1]QUART!$A$2:$FA$315, 84, FALSE))</f>
        <v>:</v>
      </c>
      <c r="CH62" s="544" t="str">
        <f>IF(VLOOKUP($E$62,[1]QUART!$A$2:$FA$315, 85, FALSE)="",":",VLOOKUP($E$62,[1]QUART!$A$2:$FA$315, 85, FALSE))</f>
        <v>:</v>
      </c>
      <c r="CI62" s="544" t="str">
        <f>IF(VLOOKUP($E$62,[1]QUART!$A$2:$FA$315, 86, FALSE)="",":",VLOOKUP($E$62,[1]QUART!$A$2:$FA$315, 86, FALSE))</f>
        <v>:</v>
      </c>
      <c r="CJ62" s="544" t="str">
        <f>IF(VLOOKUP($E$62,[1]QUART!$A$2:$FA$315, 87, FALSE)="",":",VLOOKUP($E$62,[1]QUART!$A$2:$FA$315, 87, FALSE))</f>
        <v>:</v>
      </c>
      <c r="CK62" s="544" t="str">
        <f>IF(VLOOKUP($E$62,[1]QUART!$A$2:$FA$315, 88, FALSE)="",":",VLOOKUP($E$62,[1]QUART!$A$2:$FA$315, 88, FALSE))</f>
        <v>:</v>
      </c>
      <c r="CL62" s="544" t="str">
        <f>IF(VLOOKUP($E$62,[1]QUART!$A$2:$FA$315, 89, FALSE)="",":",VLOOKUP($E$62,[1]QUART!$A$2:$FA$315, 89, FALSE))</f>
        <v>:</v>
      </c>
      <c r="CM62" s="544" t="str">
        <f>IF(VLOOKUP($E$62,[1]QUART!$A$2:$FA$315, 90, FALSE)="",":",VLOOKUP($E$62,[1]QUART!$A$2:$FA$315, 90, FALSE))</f>
        <v>:</v>
      </c>
      <c r="CN62" s="544" t="str">
        <f>IF(VLOOKUP($E$62,[1]QUART!$A$2:$FA$315, 91, FALSE)="",":",VLOOKUP($E$62,[1]QUART!$A$2:$FA$315, 91, FALSE))</f>
        <v>:</v>
      </c>
      <c r="CO62" s="544" t="str">
        <f>IF(VLOOKUP($E$62,[1]QUART!$A$2:$FA$315, 92, FALSE)="",":",VLOOKUP($E$62,[1]QUART!$A$2:$FA$315, 92, FALSE))</f>
        <v>:</v>
      </c>
      <c r="CP62" s="544" t="str">
        <f>IF(VLOOKUP($E$62,[1]QUART!$A$2:$FA$315, 93, FALSE)="",":",VLOOKUP($E$62,[1]QUART!$A$2:$FA$315, 93, FALSE))</f>
        <v>:</v>
      </c>
      <c r="CQ62" s="544" t="str">
        <f>IF(VLOOKUP($E$62,[1]QUART!$A$2:$FA$315, 94, FALSE)="",":",VLOOKUP($E$62,[1]QUART!$A$2:$FA$315, 94, FALSE))</f>
        <v>:</v>
      </c>
      <c r="CR62" s="544" t="str">
        <f>IF(VLOOKUP($E$62,[1]QUART!$A$2:$FA$315, 95, FALSE)="",":",VLOOKUP($E$62,[1]QUART!$A$2:$FA$315, 95, FALSE))</f>
        <v>:</v>
      </c>
      <c r="CS62" s="544" t="str">
        <f>IF(VLOOKUP($E$62,[1]QUART!$A$2:$FA$315, 96, FALSE)="",":",VLOOKUP($E$62,[1]QUART!$A$2:$FA$315, 96, FALSE))</f>
        <v>:</v>
      </c>
      <c r="CT62" s="544" t="str">
        <f>IF(VLOOKUP($E$62,[1]QUART!$A$2:$FA$315, 97, FALSE)="",":",VLOOKUP($E$62,[1]QUART!$A$2:$FA$315, 97, FALSE))</f>
        <v>:</v>
      </c>
      <c r="CU62" s="544" t="str">
        <f>IF(VLOOKUP($E$62,[1]QUART!$A$2:$FA$315, 98, FALSE)="",":",VLOOKUP($E$62,[1]QUART!$A$2:$FA$315, 98, FALSE))</f>
        <v>:</v>
      </c>
      <c r="CV62" s="544" t="str">
        <f>IF(VLOOKUP($E$62,[1]QUART!$A$2:$FA$315, 99, FALSE)="",":",VLOOKUP($E$62,[1]QUART!$A$2:$FA$315, 99, FALSE))</f>
        <v>:</v>
      </c>
      <c r="CW62" s="544" t="str">
        <f>IF(VLOOKUP($E$62,[1]QUART!$A$2:$FA$315, 100, FALSE)="",":",VLOOKUP($E$62,[1]QUART!$A$2:$FA$315, 100, FALSE))</f>
        <v>:</v>
      </c>
      <c r="CX62" s="544" t="str">
        <f>IF(VLOOKUP($E$62,[1]QUART!$A$2:$FA$315, 101, FALSE)="",":",VLOOKUP($E$62,[1]QUART!$A$2:$FA$315, 101, FALSE))</f>
        <v>:</v>
      </c>
      <c r="CY62" s="544" t="str">
        <f>IF(VLOOKUP($E$62,[1]QUART!$A$2:$FA$315, 102, FALSE)="",":",VLOOKUP($E$62,[1]QUART!$A$2:$FA$315, 102, FALSE))</f>
        <v>:</v>
      </c>
      <c r="CZ62" s="544" t="str">
        <f>IF(VLOOKUP($E$62,[1]QUART!$A$2:$FA$315, 103, FALSE)="",":",VLOOKUP($E$62,[1]QUART!$A$2:$FA$315, 103, FALSE))</f>
        <v>:</v>
      </c>
      <c r="DA62" s="544" t="str">
        <f>IF(VLOOKUP($E$62,[1]QUART!$A$2:$FA$315, 104, FALSE)="",":",VLOOKUP($E$62,[1]QUART!$A$2:$FA$315, 104, FALSE))</f>
        <v>:</v>
      </c>
      <c r="DB62" s="544" t="str">
        <f>IF(VLOOKUP($E$62,[1]QUART!$A$2:$FA$315, 105, FALSE)="",":",VLOOKUP($E$62,[1]QUART!$A$2:$FA$315, 105, FALSE))</f>
        <v>:</v>
      </c>
      <c r="DC62" s="544" t="str">
        <f>IF(VLOOKUP($E$62,[1]QUART!$A$2:$FA$315, 106, FALSE)="",":",VLOOKUP($E$62,[1]QUART!$A$2:$FA$315, 106, FALSE))</f>
        <v>:</v>
      </c>
    </row>
    <row r="63" spans="1:107">
      <c r="A63" s="1954"/>
      <c r="B63" s="534"/>
      <c r="C63" s="535"/>
      <c r="D63" s="12" t="s">
        <v>1841</v>
      </c>
      <c r="E63" s="13">
        <v>130</v>
      </c>
      <c r="F63" s="14" t="str">
        <f>VLOOKUP($E$63,[1]QUART!$A$2:$FA$315, 3, FALSE)</f>
        <v>130 GFCF construction</v>
      </c>
      <c r="G63" s="544" t="str">
        <f>IF(VLOOKUP($E$63,[1]QUART!$A$2:$FA$315, 6, FALSE)="",":",VLOOKUP($E$63,[1]QUART!$A$2:$FA$315, 6, FALSE))</f>
        <v>:</v>
      </c>
      <c r="H63" s="544" t="str">
        <f>IF(VLOOKUP($E$63,[1]QUART!$A$2:$FA$315, 7, FALSE)="",":",VLOOKUP($E$63,[1]QUART!$A$2:$FA$315, 7, FALSE))</f>
        <v>:</v>
      </c>
      <c r="I63" s="544" t="str">
        <f>IF(VLOOKUP($E$63,[1]QUART!$A$2:$FA$315, 8, FALSE)="",":",VLOOKUP($E$63,[1]QUART!$A$2:$FA$315, 8, FALSE))</f>
        <v>:</v>
      </c>
      <c r="J63" s="544" t="str">
        <f>IF(VLOOKUP($E$63,[1]QUART!$A$2:$FA$315, 9, FALSE)="",":",VLOOKUP($E$63,[1]QUART!$A$2:$FA$315, 9, FALSE))</f>
        <v>:</v>
      </c>
      <c r="K63" s="544" t="str">
        <f>IF(VLOOKUP($E$63,[1]QUART!$A$2:$FA$315, 10, FALSE)="",":",VLOOKUP($E$63,[1]QUART!$A$2:$FA$315, 10, FALSE))</f>
        <v>:</v>
      </c>
      <c r="L63" s="544" t="str">
        <f>IF(VLOOKUP($E$63,[1]QUART!$A$2:$FA$315, 11, FALSE)="",":",VLOOKUP($E$63,[1]QUART!$A$2:$FA$315, 11, FALSE))</f>
        <v>:</v>
      </c>
      <c r="M63" s="544" t="str">
        <f>IF(VLOOKUP($E$63,[1]QUART!$A$2:$FA$315, 12, FALSE)="",":",VLOOKUP($E$63,[1]QUART!$A$2:$FA$315, 12, FALSE))</f>
        <v>:</v>
      </c>
      <c r="N63" s="544" t="str">
        <f>IF(VLOOKUP($E$63,[1]QUART!$A$2:$FA$315, 13, FALSE)="",":",VLOOKUP($E$63,[1]QUART!$A$2:$FA$315, 13, FALSE))</f>
        <v>:</v>
      </c>
      <c r="O63" s="544" t="str">
        <f>IF(VLOOKUP($E$63,[1]QUART!$A$2:$FA$315, 14, FALSE)="",":",VLOOKUP($E$63,[1]QUART!$A$2:$FA$315, 14, FALSE))</f>
        <v>:</v>
      </c>
      <c r="P63" s="544" t="str">
        <f>IF(VLOOKUP($E$63,[1]QUART!$A$2:$FA$315, 15, FALSE)="",":",VLOOKUP($E$63,[1]QUART!$A$2:$FA$315, 15, FALSE))</f>
        <v>:</v>
      </c>
      <c r="Q63" s="544" t="str">
        <f>IF(VLOOKUP($E$63,[1]QUART!$A$2:$FA$315, 16, FALSE)="",":",VLOOKUP($E$63,[1]QUART!$A$2:$FA$315, 16, FALSE))</f>
        <v>:</v>
      </c>
      <c r="R63" s="544" t="str">
        <f>IF(VLOOKUP($E$63,[1]QUART!$A$2:$FA$315, 17, FALSE)="",":",VLOOKUP($E$63,[1]QUART!$A$2:$FA$315, 17, FALSE))</f>
        <v>:</v>
      </c>
      <c r="S63" s="544" t="str">
        <f>IF(VLOOKUP($E$63,[1]QUART!$A$2:$FA$315, 18, FALSE)="",":",VLOOKUP($E$63,[1]QUART!$A$2:$FA$315, 18, FALSE))</f>
        <v>:</v>
      </c>
      <c r="T63" s="544" t="str">
        <f>IF(VLOOKUP($E$63,[1]QUART!$A$2:$FA$315, 19, FALSE)="",":",VLOOKUP($E$63,[1]QUART!$A$2:$FA$315, 19, FALSE))</f>
        <v>:</v>
      </c>
      <c r="U63" s="544" t="str">
        <f>IF(VLOOKUP($E$63,[1]QUART!$A$2:$FA$315, 20, FALSE)="",":",VLOOKUP($E$63,[1]QUART!$A$2:$FA$315, 20, FALSE))</f>
        <v>:</v>
      </c>
      <c r="V63" s="544" t="str">
        <f>IF(VLOOKUP($E$63,[1]QUART!$A$2:$FA$315, 21, FALSE)="",":",VLOOKUP($E$63,[1]QUART!$A$2:$FA$315, 21, FALSE))</f>
        <v>:</v>
      </c>
      <c r="W63" s="544" t="str">
        <f>IF(VLOOKUP($E$63,[1]QUART!$A$2:$FA$315, 22, FALSE)="",":",VLOOKUP($E$63,[1]QUART!$A$2:$FA$315, 22, FALSE))</f>
        <v>:</v>
      </c>
      <c r="X63" s="544" t="str">
        <f>IF(VLOOKUP($E$63,[1]QUART!$A$2:$FA$315, 23, FALSE)="",":",VLOOKUP($E$63,[1]QUART!$A$2:$FA$315, 23, FALSE))</f>
        <v>:</v>
      </c>
      <c r="Y63" s="544" t="str">
        <f>IF(VLOOKUP($E$63,[1]QUART!$A$2:$FA$315, 24, FALSE)="",":",VLOOKUP($E$63,[1]QUART!$A$2:$FA$315, 24, FALSE))</f>
        <v>:</v>
      </c>
      <c r="Z63" s="544" t="str">
        <f>IF(VLOOKUP($E$63,[1]QUART!$A$2:$FA$315, 25, FALSE)="",":",VLOOKUP($E$63,[1]QUART!$A$2:$FA$315, 25, FALSE))</f>
        <v>:</v>
      </c>
      <c r="AA63" s="544" t="str">
        <f>IF(VLOOKUP($E$63,[1]QUART!$A$2:$FA$315, 26, FALSE)="",":",VLOOKUP($E$63,[1]QUART!$A$2:$FA$315, 26, FALSE))</f>
        <v>:</v>
      </c>
      <c r="AB63" s="544" t="str">
        <f>IF(VLOOKUP($E$63,[1]QUART!$A$2:$FA$315, 27, FALSE)="",":",VLOOKUP($E$63,[1]QUART!$A$2:$FA$315, 27, FALSE))</f>
        <v>:</v>
      </c>
      <c r="AC63" s="544" t="str">
        <f>IF(VLOOKUP($E$63,[1]QUART!$A$2:$FA$315, 28, FALSE)="",":",VLOOKUP($E$63,[1]QUART!$A$2:$FA$315, 28, FALSE))</f>
        <v>:</v>
      </c>
      <c r="AD63" s="544" t="str">
        <f>IF(VLOOKUP($E$63,[1]QUART!$A$2:$FA$315, 29, FALSE)="",":",VLOOKUP($E$63,[1]QUART!$A$2:$FA$315, 29, FALSE))</f>
        <v>:</v>
      </c>
      <c r="AE63" s="544" t="str">
        <f>IF(VLOOKUP($E$63,[1]QUART!$A$2:$FA$315, 30, FALSE)="",":",VLOOKUP($E$63,[1]QUART!$A$2:$FA$315, 30, FALSE))</f>
        <v>:</v>
      </c>
      <c r="AF63" s="544" t="str">
        <f>IF(VLOOKUP($E$63,[1]QUART!$A$2:$FA$315, 31, FALSE)="",":",VLOOKUP($E$63,[1]QUART!$A$2:$FA$315, 31, FALSE))</f>
        <v>:</v>
      </c>
      <c r="AG63" s="544" t="str">
        <f>IF(VLOOKUP($E$63,[1]QUART!$A$2:$FA$315, 32, FALSE)="",":",VLOOKUP($E$63,[1]QUART!$A$2:$FA$315, 32, FALSE))</f>
        <v>:</v>
      </c>
      <c r="AH63" s="544" t="str">
        <f>IF(VLOOKUP($E$63,[1]QUART!$A$2:$FA$315, 33, FALSE)="",":",VLOOKUP($E$63,[1]QUART!$A$2:$FA$315, 33, FALSE))</f>
        <v>:</v>
      </c>
      <c r="AI63" s="544" t="str">
        <f>IF(VLOOKUP($E$63,[1]QUART!$A$2:$FA$315, 34, FALSE)="",":",VLOOKUP($E$63,[1]QUART!$A$2:$FA$315, 34, FALSE))</f>
        <v>:</v>
      </c>
      <c r="AJ63" s="544" t="str">
        <f>IF(VLOOKUP($E$63,[1]QUART!$A$2:$FA$315, 35, FALSE)="",":",VLOOKUP($E$63,[1]QUART!$A$2:$FA$315, 35, FALSE))</f>
        <v>:</v>
      </c>
      <c r="AK63" s="544" t="str">
        <f>IF(VLOOKUP($E$63,[1]QUART!$A$2:$FA$315, 36, FALSE)="",":",VLOOKUP($E$63,[1]QUART!$A$2:$FA$315, 36, FALSE))</f>
        <v>:</v>
      </c>
      <c r="AL63" s="544" t="str">
        <f>IF(VLOOKUP($E$63,[1]QUART!$A$2:$FA$315, 37, FALSE)="",":",VLOOKUP($E$63,[1]QUART!$A$2:$FA$315, 37, FALSE))</f>
        <v>:</v>
      </c>
      <c r="AM63" s="544" t="str">
        <f>IF(VLOOKUP($E$63,[1]QUART!$A$2:$FA$315, 38, FALSE)="",":",VLOOKUP($E$63,[1]QUART!$A$2:$FA$315, 38, FALSE))</f>
        <v>:</v>
      </c>
      <c r="AN63" s="544" t="str">
        <f>IF(VLOOKUP($E$63,[1]QUART!$A$2:$FA$315, 39, FALSE)="",":",VLOOKUP($E$63,[1]QUART!$A$2:$FA$315, 39, FALSE))</f>
        <v>:</v>
      </c>
      <c r="AO63" s="544" t="str">
        <f>IF(VLOOKUP($E$63,[1]QUART!$A$2:$FA$315, 40, FALSE)="",":",VLOOKUP($E$63,[1]QUART!$A$2:$FA$315, 40, FALSE))</f>
        <v>:</v>
      </c>
      <c r="AP63" s="544" t="str">
        <f>IF(VLOOKUP($E$63,[1]QUART!$A$2:$FA$315, 41, FALSE)="",":",VLOOKUP($E$63,[1]QUART!$A$2:$FA$315, 41, FALSE))</f>
        <v>:</v>
      </c>
      <c r="AQ63" s="544" t="str">
        <f>IF(VLOOKUP($E$63,[1]QUART!$A$2:$FA$315, 42, FALSE)="",":",VLOOKUP($E$63,[1]QUART!$A$2:$FA$315, 42, FALSE))</f>
        <v>:</v>
      </c>
      <c r="AR63" s="544" t="str">
        <f>IF(VLOOKUP($E$63,[1]QUART!$A$2:$FA$315, 43, FALSE)="",":",VLOOKUP($E$63,[1]QUART!$A$2:$FA$315, 43, FALSE))</f>
        <v>:</v>
      </c>
      <c r="AS63" s="544" t="str">
        <f>IF(VLOOKUP($E$63,[1]QUART!$A$2:$FA$315, 44, FALSE)="",":",VLOOKUP($E$63,[1]QUART!$A$2:$FA$315, 44, FALSE))</f>
        <v>:</v>
      </c>
      <c r="AT63" s="544" t="str">
        <f>IF(VLOOKUP($E$63,[1]QUART!$A$2:$FA$315, 45, FALSE)="",":",VLOOKUP($E$63,[1]QUART!$A$2:$FA$315, 45, FALSE))</f>
        <v>:</v>
      </c>
      <c r="AU63" s="544" t="str">
        <f>IF(VLOOKUP($E$63,[1]QUART!$A$2:$FA$315, 46, FALSE)="",":",VLOOKUP($E$63,[1]QUART!$A$2:$FA$315, 46, FALSE))</f>
        <v>:</v>
      </c>
      <c r="AV63" s="544" t="str">
        <f>IF(VLOOKUP($E$63,[1]QUART!$A$2:$FA$315, 47, FALSE)="",":",VLOOKUP($E$63,[1]QUART!$A$2:$FA$315, 47, FALSE))</f>
        <v>:</v>
      </c>
      <c r="AW63" s="544" t="str">
        <f>IF(VLOOKUP($E$63,[1]QUART!$A$2:$FA$315, 48, FALSE)="",":",VLOOKUP($E$63,[1]QUART!$A$2:$FA$315, 48, FALSE))</f>
        <v>:</v>
      </c>
      <c r="AX63" s="544" t="str">
        <f>IF(VLOOKUP($E$63,[1]QUART!$A$2:$FA$315, 49, FALSE)="",":",VLOOKUP($E$63,[1]QUART!$A$2:$FA$315, 49, FALSE))</f>
        <v>:</v>
      </c>
      <c r="AY63" s="544" t="str">
        <f>IF(VLOOKUP($E$63,[1]QUART!$A$2:$FA$315, 50, FALSE)="",":",VLOOKUP($E$63,[1]QUART!$A$2:$FA$315, 50, FALSE))</f>
        <v>:</v>
      </c>
      <c r="AZ63" s="544" t="str">
        <f>IF(VLOOKUP($E$63,[1]QUART!$A$2:$FA$315, 51, FALSE)="",":",VLOOKUP($E$63,[1]QUART!$A$2:$FA$315, 51, FALSE))</f>
        <v>:</v>
      </c>
      <c r="BA63" s="544" t="str">
        <f>IF(VLOOKUP($E$63,[1]QUART!$A$2:$FA$315, 52, FALSE)="",":",VLOOKUP($E$63,[1]QUART!$A$2:$FA$315, 52, FALSE))</f>
        <v>:</v>
      </c>
      <c r="BB63" s="544" t="str">
        <f>IF(VLOOKUP($E$63,[1]QUART!$A$2:$FA$315, 53, FALSE)="",":",VLOOKUP($E$63,[1]QUART!$A$2:$FA$315, 53, FALSE))</f>
        <v>:</v>
      </c>
      <c r="BC63" s="544" t="str">
        <f>IF(VLOOKUP($E$63,[1]QUART!$A$2:$FA$315, 54, FALSE)="",":",VLOOKUP($E$63,[1]QUART!$A$2:$FA$315, 54, FALSE))</f>
        <v>:</v>
      </c>
      <c r="BD63" s="544" t="str">
        <f>IF(VLOOKUP($E$63,[1]QUART!$A$2:$FA$315, 55, FALSE)="",":",VLOOKUP($E$63,[1]QUART!$A$2:$FA$315, 55, FALSE))</f>
        <v>:</v>
      </c>
      <c r="BE63" s="544" t="str">
        <f>IF(VLOOKUP($E$63,[1]QUART!$A$2:$FA$315, 56, FALSE)="",":",VLOOKUP($E$63,[1]QUART!$A$2:$FA$315, 56, FALSE))</f>
        <v>:</v>
      </c>
      <c r="BF63" s="544" t="str">
        <f>IF(VLOOKUP($E$63,[1]QUART!$A$2:$FA$315, 57, FALSE)="",":",VLOOKUP($E$63,[1]QUART!$A$2:$FA$315, 57, FALSE))</f>
        <v>:</v>
      </c>
      <c r="BG63" s="544" t="str">
        <f>IF(VLOOKUP($E$63,[1]QUART!$A$2:$FA$315, 58, FALSE)="",":",VLOOKUP($E$63,[1]QUART!$A$2:$FA$315, 58, FALSE))</f>
        <v>:</v>
      </c>
      <c r="BH63" s="544" t="str">
        <f>IF(VLOOKUP($E$63,[1]QUART!$A$2:$FA$315, 59, FALSE)="",":",VLOOKUP($E$63,[1]QUART!$A$2:$FA$315, 59, FALSE))</f>
        <v>:</v>
      </c>
      <c r="BI63" s="544" t="str">
        <f>IF(VLOOKUP($E$63,[1]QUART!$A$2:$FA$315, 60, FALSE)="",":",VLOOKUP($E$63,[1]QUART!$A$2:$FA$315, 60, FALSE))</f>
        <v>:</v>
      </c>
      <c r="BJ63" s="544" t="str">
        <f>IF(VLOOKUP($E$63,[1]QUART!$A$2:$FA$315, 61, FALSE)="",":",VLOOKUP($E$63,[1]QUART!$A$2:$FA$315, 61, FALSE))</f>
        <v>:</v>
      </c>
      <c r="BK63" s="544" t="str">
        <f>IF(VLOOKUP($E$63,[1]QUART!$A$2:$FA$315, 62, FALSE)="",":",VLOOKUP($E$63,[1]QUART!$A$2:$FA$315, 62, FALSE))</f>
        <v>:</v>
      </c>
      <c r="BL63" s="544" t="str">
        <f>IF(VLOOKUP($E$63,[1]QUART!$A$2:$FA$315, 63, FALSE)="",":",VLOOKUP($E$63,[1]QUART!$A$2:$FA$315, 63, FALSE))</f>
        <v>:</v>
      </c>
      <c r="BM63" s="544" t="str">
        <f>IF(VLOOKUP($E$63,[1]QUART!$A$2:$FA$315, 64, FALSE)="",":",VLOOKUP($E$63,[1]QUART!$A$2:$FA$315, 64, FALSE))</f>
        <v>:</v>
      </c>
      <c r="BN63" s="544" t="str">
        <f>IF(VLOOKUP($E$63,[1]QUART!$A$2:$FA$315, 65, FALSE)="",":",VLOOKUP($E$63,[1]QUART!$A$2:$FA$315, 65, FALSE))</f>
        <v>:</v>
      </c>
      <c r="BO63" s="544" t="str">
        <f>IF(VLOOKUP($E$63,[1]QUART!$A$2:$FA$315, 66, FALSE)="",":",VLOOKUP($E$63,[1]QUART!$A$2:$FA$315, 66, FALSE))</f>
        <v>:</v>
      </c>
      <c r="BP63" s="544" t="str">
        <f>IF(VLOOKUP($E$63,[1]QUART!$A$2:$FA$315, 67, FALSE)="",":",VLOOKUP($E$63,[1]QUART!$A$2:$FA$315, 67, FALSE))</f>
        <v>:</v>
      </c>
      <c r="BQ63" s="544" t="str">
        <f>IF(VLOOKUP($E$63,[1]QUART!$A$2:$FA$315, 68, FALSE)="",":",VLOOKUP($E$63,[1]QUART!$A$2:$FA$315, 68, FALSE))</f>
        <v>:</v>
      </c>
      <c r="BR63" s="544" t="str">
        <f>IF(VLOOKUP($E$63,[1]QUART!$A$2:$FA$315, 69, FALSE)="",":",VLOOKUP($E$63,[1]QUART!$A$2:$FA$315, 69, FALSE))</f>
        <v>:</v>
      </c>
      <c r="BS63" s="544" t="str">
        <f>IF(VLOOKUP($E$63,[1]QUART!$A$2:$FA$315, 70, FALSE)="",":",VLOOKUP($E$63,[1]QUART!$A$2:$FA$315, 70, FALSE))</f>
        <v>:</v>
      </c>
      <c r="BT63" s="544" t="str">
        <f>IF(VLOOKUP($E$63,[1]QUART!$A$2:$FA$315, 71, FALSE)="",":",VLOOKUP($E$63,[1]QUART!$A$2:$FA$315, 71, FALSE))</f>
        <v>:</v>
      </c>
      <c r="BU63" s="544" t="str">
        <f>IF(VLOOKUP($E$63,[1]QUART!$A$2:$FA$315, 72, FALSE)="",":",VLOOKUP($E$63,[1]QUART!$A$2:$FA$315, 72, FALSE))</f>
        <v>:</v>
      </c>
      <c r="BV63" s="544" t="str">
        <f>IF(VLOOKUP($E$63,[1]QUART!$A$2:$FA$315, 73, FALSE)="",":",VLOOKUP($E$63,[1]QUART!$A$2:$FA$315, 73, FALSE))</f>
        <v>:</v>
      </c>
      <c r="BW63" s="544" t="str">
        <f>IF(VLOOKUP($E$63,[1]QUART!$A$2:$FA$315, 74, FALSE)="",":",VLOOKUP($E$63,[1]QUART!$A$2:$FA$315, 74, FALSE))</f>
        <v>:</v>
      </c>
      <c r="BX63" s="544" t="str">
        <f>IF(VLOOKUP($E$63,[1]QUART!$A$2:$FA$315, 75, FALSE)="",":",VLOOKUP($E$63,[1]QUART!$A$2:$FA$315, 75, FALSE))</f>
        <v>:</v>
      </c>
      <c r="BY63" s="544" t="str">
        <f>IF(VLOOKUP($E$63,[1]QUART!$A$2:$FA$315, 76, FALSE)="",":",VLOOKUP($E$63,[1]QUART!$A$2:$FA$315, 76, FALSE))</f>
        <v>:</v>
      </c>
      <c r="BZ63" s="544" t="str">
        <f>IF(VLOOKUP($E$63,[1]QUART!$A$2:$FA$315, 77, FALSE)="",":",VLOOKUP($E$63,[1]QUART!$A$2:$FA$315, 77, FALSE))</f>
        <v>:</v>
      </c>
      <c r="CA63" s="544" t="str">
        <f>IF(VLOOKUP($E$63,[1]QUART!$A$2:$FA$315, 78, FALSE)="",":",VLOOKUP($E$63,[1]QUART!$A$2:$FA$315, 78, FALSE))</f>
        <v>:</v>
      </c>
      <c r="CB63" s="544" t="str">
        <f>IF(VLOOKUP($E$63,[1]QUART!$A$2:$FA$315, 79, FALSE)="",":",VLOOKUP($E$63,[1]QUART!$A$2:$FA$315, 79, FALSE))</f>
        <v>:</v>
      </c>
      <c r="CC63" s="544" t="str">
        <f>IF(VLOOKUP($E$63,[1]QUART!$A$2:$FA$315, 80, FALSE)="",":",VLOOKUP($E$63,[1]QUART!$A$2:$FA$315, 80, FALSE))</f>
        <v>:</v>
      </c>
      <c r="CD63" s="544" t="str">
        <f>IF(VLOOKUP($E$63,[1]QUART!$A$2:$FA$315, 81, FALSE)="",":",VLOOKUP($E$63,[1]QUART!$A$2:$FA$315, 81, FALSE))</f>
        <v>:</v>
      </c>
      <c r="CE63" s="544" t="str">
        <f>IF(VLOOKUP($E$63,[1]QUART!$A$2:$FA$315, 82, FALSE)="",":",VLOOKUP($E$63,[1]QUART!$A$2:$FA$315, 82, FALSE))</f>
        <v>:</v>
      </c>
      <c r="CF63" s="544" t="str">
        <f>IF(VLOOKUP($E$63,[1]QUART!$A$2:$FA$315, 83, FALSE)="",":",VLOOKUP($E$63,[1]QUART!$A$2:$FA$315, 83, FALSE))</f>
        <v>:</v>
      </c>
      <c r="CG63" s="544" t="str">
        <f>IF(VLOOKUP($E$63,[1]QUART!$A$2:$FA$315, 84, FALSE)="",":",VLOOKUP($E$63,[1]QUART!$A$2:$FA$315, 84, FALSE))</f>
        <v>:</v>
      </c>
      <c r="CH63" s="544" t="str">
        <f>IF(VLOOKUP($E$63,[1]QUART!$A$2:$FA$315, 85, FALSE)="",":",VLOOKUP($E$63,[1]QUART!$A$2:$FA$315, 85, FALSE))</f>
        <v>:</v>
      </c>
      <c r="CI63" s="544" t="str">
        <f>IF(VLOOKUP($E$63,[1]QUART!$A$2:$FA$315, 86, FALSE)="",":",VLOOKUP($E$63,[1]QUART!$A$2:$FA$315, 86, FALSE))</f>
        <v>:</v>
      </c>
      <c r="CJ63" s="544" t="str">
        <f>IF(VLOOKUP($E$63,[1]QUART!$A$2:$FA$315, 87, FALSE)="",":",VLOOKUP($E$63,[1]QUART!$A$2:$FA$315, 87, FALSE))</f>
        <v>:</v>
      </c>
      <c r="CK63" s="544" t="str">
        <f>IF(VLOOKUP($E$63,[1]QUART!$A$2:$FA$315, 88, FALSE)="",":",VLOOKUP($E$63,[1]QUART!$A$2:$FA$315, 88, FALSE))</f>
        <v>:</v>
      </c>
      <c r="CL63" s="544" t="str">
        <f>IF(VLOOKUP($E$63,[1]QUART!$A$2:$FA$315, 89, FALSE)="",":",VLOOKUP($E$63,[1]QUART!$A$2:$FA$315, 89, FALSE))</f>
        <v>:</v>
      </c>
      <c r="CM63" s="544" t="str">
        <f>IF(VLOOKUP($E$63,[1]QUART!$A$2:$FA$315, 90, FALSE)="",":",VLOOKUP($E$63,[1]QUART!$A$2:$FA$315, 90, FALSE))</f>
        <v>:</v>
      </c>
      <c r="CN63" s="544" t="str">
        <f>IF(VLOOKUP($E$63,[1]QUART!$A$2:$FA$315, 91, FALSE)="",":",VLOOKUP($E$63,[1]QUART!$A$2:$FA$315, 91, FALSE))</f>
        <v>:</v>
      </c>
      <c r="CO63" s="544" t="str">
        <f>IF(VLOOKUP($E$63,[1]QUART!$A$2:$FA$315, 92, FALSE)="",":",VLOOKUP($E$63,[1]QUART!$A$2:$FA$315, 92, FALSE))</f>
        <v>:</v>
      </c>
      <c r="CP63" s="544" t="str">
        <f>IF(VLOOKUP($E$63,[1]QUART!$A$2:$FA$315, 93, FALSE)="",":",VLOOKUP($E$63,[1]QUART!$A$2:$FA$315, 93, FALSE))</f>
        <v>:</v>
      </c>
      <c r="CQ63" s="544" t="str">
        <f>IF(VLOOKUP($E$63,[1]QUART!$A$2:$FA$315, 94, FALSE)="",":",VLOOKUP($E$63,[1]QUART!$A$2:$FA$315, 94, FALSE))</f>
        <v>:</v>
      </c>
      <c r="CR63" s="544" t="str">
        <f>IF(VLOOKUP($E$63,[1]QUART!$A$2:$FA$315, 95, FALSE)="",":",VLOOKUP($E$63,[1]QUART!$A$2:$FA$315, 95, FALSE))</f>
        <v>:</v>
      </c>
      <c r="CS63" s="544" t="str">
        <f>IF(VLOOKUP($E$63,[1]QUART!$A$2:$FA$315, 96, FALSE)="",":",VLOOKUP($E$63,[1]QUART!$A$2:$FA$315, 96, FALSE))</f>
        <v>:</v>
      </c>
      <c r="CT63" s="544" t="str">
        <f>IF(VLOOKUP($E$63,[1]QUART!$A$2:$FA$315, 97, FALSE)="",":",VLOOKUP($E$63,[1]QUART!$A$2:$FA$315, 97, FALSE))</f>
        <v>:</v>
      </c>
      <c r="CU63" s="544" t="str">
        <f>IF(VLOOKUP($E$63,[1]QUART!$A$2:$FA$315, 98, FALSE)="",":",VLOOKUP($E$63,[1]QUART!$A$2:$FA$315, 98, FALSE))</f>
        <v>:</v>
      </c>
      <c r="CV63" s="544" t="str">
        <f>IF(VLOOKUP($E$63,[1]QUART!$A$2:$FA$315, 99, FALSE)="",":",VLOOKUP($E$63,[1]QUART!$A$2:$FA$315, 99, FALSE))</f>
        <v>:</v>
      </c>
      <c r="CW63" s="544" t="str">
        <f>IF(VLOOKUP($E$63,[1]QUART!$A$2:$FA$315, 100, FALSE)="",":",VLOOKUP($E$63,[1]QUART!$A$2:$FA$315, 100, FALSE))</f>
        <v>:</v>
      </c>
      <c r="CX63" s="544" t="str">
        <f>IF(VLOOKUP($E$63,[1]QUART!$A$2:$FA$315, 101, FALSE)="",":",VLOOKUP($E$63,[1]QUART!$A$2:$FA$315, 101, FALSE))</f>
        <v>:</v>
      </c>
      <c r="CY63" s="544" t="str">
        <f>IF(VLOOKUP($E$63,[1]QUART!$A$2:$FA$315, 102, FALSE)="",":",VLOOKUP($E$63,[1]QUART!$A$2:$FA$315, 102, FALSE))</f>
        <v>:</v>
      </c>
      <c r="CZ63" s="544" t="str">
        <f>IF(VLOOKUP($E$63,[1]QUART!$A$2:$FA$315, 103, FALSE)="",":",VLOOKUP($E$63,[1]QUART!$A$2:$FA$315, 103, FALSE))</f>
        <v>:</v>
      </c>
      <c r="DA63" s="544" t="str">
        <f>IF(VLOOKUP($E$63,[1]QUART!$A$2:$FA$315, 104, FALSE)="",":",VLOOKUP($E$63,[1]QUART!$A$2:$FA$315, 104, FALSE))</f>
        <v>:</v>
      </c>
      <c r="DB63" s="544" t="str">
        <f>IF(VLOOKUP($E$63,[1]QUART!$A$2:$FA$315, 105, FALSE)="",":",VLOOKUP($E$63,[1]QUART!$A$2:$FA$315, 105, FALSE))</f>
        <v>:</v>
      </c>
      <c r="DC63" s="544" t="str">
        <f>IF(VLOOKUP($E$63,[1]QUART!$A$2:$FA$315, 106, FALSE)="",":",VLOOKUP($E$63,[1]QUART!$A$2:$FA$315, 106, FALSE))</f>
        <v>:</v>
      </c>
    </row>
    <row r="64" spans="1:107">
      <c r="A64" s="1954"/>
      <c r="B64" s="534"/>
      <c r="C64" s="535"/>
      <c r="D64" s="12" t="s">
        <v>1841</v>
      </c>
      <c r="E64" s="13">
        <v>131</v>
      </c>
      <c r="F64" s="14" t="str">
        <f>VLOOKUP($E$64,[1]QUART!$A$2:$FA$315, 3, FALSE)</f>
        <v>131 GFCF other</v>
      </c>
      <c r="G64" s="544" t="str">
        <f>IF(VLOOKUP($E$64,[1]QUART!$A$2:$FA$315, 6, FALSE)="",":",VLOOKUP($E$64,[1]QUART!$A$2:$FA$315, 6, FALSE))</f>
        <v>:</v>
      </c>
      <c r="H64" s="544" t="str">
        <f>IF(VLOOKUP($E$64,[1]QUART!$A$2:$FA$315, 7, FALSE)="",":",VLOOKUP($E$64,[1]QUART!$A$2:$FA$315, 7, FALSE))</f>
        <v>:</v>
      </c>
      <c r="I64" s="544" t="str">
        <f>IF(VLOOKUP($E$64,[1]QUART!$A$2:$FA$315, 8, FALSE)="",":",VLOOKUP($E$64,[1]QUART!$A$2:$FA$315, 8, FALSE))</f>
        <v>:</v>
      </c>
      <c r="J64" s="544" t="str">
        <f>IF(VLOOKUP($E$64,[1]QUART!$A$2:$FA$315, 9, FALSE)="",":",VLOOKUP($E$64,[1]QUART!$A$2:$FA$315, 9, FALSE))</f>
        <v>:</v>
      </c>
      <c r="K64" s="544" t="str">
        <f>IF(VLOOKUP($E$64,[1]QUART!$A$2:$FA$315, 10, FALSE)="",":",VLOOKUP($E$64,[1]QUART!$A$2:$FA$315, 10, FALSE))</f>
        <v>:</v>
      </c>
      <c r="L64" s="544" t="str">
        <f>IF(VLOOKUP($E$64,[1]QUART!$A$2:$FA$315, 11, FALSE)="",":",VLOOKUP($E$64,[1]QUART!$A$2:$FA$315, 11, FALSE))</f>
        <v>:</v>
      </c>
      <c r="M64" s="544" t="str">
        <f>IF(VLOOKUP($E$64,[1]QUART!$A$2:$FA$315, 12, FALSE)="",":",VLOOKUP($E$64,[1]QUART!$A$2:$FA$315, 12, FALSE))</f>
        <v>:</v>
      </c>
      <c r="N64" s="544" t="str">
        <f>IF(VLOOKUP($E$64,[1]QUART!$A$2:$FA$315, 13, FALSE)="",":",VLOOKUP($E$64,[1]QUART!$A$2:$FA$315, 13, FALSE))</f>
        <v>:</v>
      </c>
      <c r="O64" s="544" t="str">
        <f>IF(VLOOKUP($E$64,[1]QUART!$A$2:$FA$315, 14, FALSE)="",":",VLOOKUP($E$64,[1]QUART!$A$2:$FA$315, 14, FALSE))</f>
        <v>:</v>
      </c>
      <c r="P64" s="544" t="str">
        <f>IF(VLOOKUP($E$64,[1]QUART!$A$2:$FA$315, 15, FALSE)="",":",VLOOKUP($E$64,[1]QUART!$A$2:$FA$315, 15, FALSE))</f>
        <v>:</v>
      </c>
      <c r="Q64" s="544" t="str">
        <f>IF(VLOOKUP($E$64,[1]QUART!$A$2:$FA$315, 16, FALSE)="",":",VLOOKUP($E$64,[1]QUART!$A$2:$FA$315, 16, FALSE))</f>
        <v>:</v>
      </c>
      <c r="R64" s="544" t="str">
        <f>IF(VLOOKUP($E$64,[1]QUART!$A$2:$FA$315, 17, FALSE)="",":",VLOOKUP($E$64,[1]QUART!$A$2:$FA$315, 17, FALSE))</f>
        <v>:</v>
      </c>
      <c r="S64" s="544" t="str">
        <f>IF(VLOOKUP($E$64,[1]QUART!$A$2:$FA$315, 18, FALSE)="",":",VLOOKUP($E$64,[1]QUART!$A$2:$FA$315, 18, FALSE))</f>
        <v>:</v>
      </c>
      <c r="T64" s="544" t="str">
        <f>IF(VLOOKUP($E$64,[1]QUART!$A$2:$FA$315, 19, FALSE)="",":",VLOOKUP($E$64,[1]QUART!$A$2:$FA$315, 19, FALSE))</f>
        <v>:</v>
      </c>
      <c r="U64" s="544" t="str">
        <f>IF(VLOOKUP($E$64,[1]QUART!$A$2:$FA$315, 20, FALSE)="",":",VLOOKUP($E$64,[1]QUART!$A$2:$FA$315, 20, FALSE))</f>
        <v>:</v>
      </c>
      <c r="V64" s="544" t="str">
        <f>IF(VLOOKUP($E$64,[1]QUART!$A$2:$FA$315, 21, FALSE)="",":",VLOOKUP($E$64,[1]QUART!$A$2:$FA$315, 21, FALSE))</f>
        <v>:</v>
      </c>
      <c r="W64" s="544" t="str">
        <f>IF(VLOOKUP($E$64,[1]QUART!$A$2:$FA$315, 22, FALSE)="",":",VLOOKUP($E$64,[1]QUART!$A$2:$FA$315, 22, FALSE))</f>
        <v>:</v>
      </c>
      <c r="X64" s="544" t="str">
        <f>IF(VLOOKUP($E$64,[1]QUART!$A$2:$FA$315, 23, FALSE)="",":",VLOOKUP($E$64,[1]QUART!$A$2:$FA$315, 23, FALSE))</f>
        <v>:</v>
      </c>
      <c r="Y64" s="544" t="str">
        <f>IF(VLOOKUP($E$64,[1]QUART!$A$2:$FA$315, 24, FALSE)="",":",VLOOKUP($E$64,[1]QUART!$A$2:$FA$315, 24, FALSE))</f>
        <v>:</v>
      </c>
      <c r="Z64" s="544" t="str">
        <f>IF(VLOOKUP($E$64,[1]QUART!$A$2:$FA$315, 25, FALSE)="",":",VLOOKUP($E$64,[1]QUART!$A$2:$FA$315, 25, FALSE))</f>
        <v>:</v>
      </c>
      <c r="AA64" s="544" t="str">
        <f>IF(VLOOKUP($E$64,[1]QUART!$A$2:$FA$315, 26, FALSE)="",":",VLOOKUP($E$64,[1]QUART!$A$2:$FA$315, 26, FALSE))</f>
        <v>:</v>
      </c>
      <c r="AB64" s="544" t="str">
        <f>IF(VLOOKUP($E$64,[1]QUART!$A$2:$FA$315, 27, FALSE)="",":",VLOOKUP($E$64,[1]QUART!$A$2:$FA$315, 27, FALSE))</f>
        <v>:</v>
      </c>
      <c r="AC64" s="544" t="str">
        <f>IF(VLOOKUP($E$64,[1]QUART!$A$2:$FA$315, 28, FALSE)="",":",VLOOKUP($E$64,[1]QUART!$A$2:$FA$315, 28, FALSE))</f>
        <v>:</v>
      </c>
      <c r="AD64" s="544" t="str">
        <f>IF(VLOOKUP($E$64,[1]QUART!$A$2:$FA$315, 29, FALSE)="",":",VLOOKUP($E$64,[1]QUART!$A$2:$FA$315, 29, FALSE))</f>
        <v>:</v>
      </c>
      <c r="AE64" s="544" t="str">
        <f>IF(VLOOKUP($E$64,[1]QUART!$A$2:$FA$315, 30, FALSE)="",":",VLOOKUP($E$64,[1]QUART!$A$2:$FA$315, 30, FALSE))</f>
        <v>:</v>
      </c>
      <c r="AF64" s="544" t="str">
        <f>IF(VLOOKUP($E$64,[1]QUART!$A$2:$FA$315, 31, FALSE)="",":",VLOOKUP($E$64,[1]QUART!$A$2:$FA$315, 31, FALSE))</f>
        <v>:</v>
      </c>
      <c r="AG64" s="544" t="str">
        <f>IF(VLOOKUP($E$64,[1]QUART!$A$2:$FA$315, 32, FALSE)="",":",VLOOKUP($E$64,[1]QUART!$A$2:$FA$315, 32, FALSE))</f>
        <v>:</v>
      </c>
      <c r="AH64" s="544" t="str">
        <f>IF(VLOOKUP($E$64,[1]QUART!$A$2:$FA$315, 33, FALSE)="",":",VLOOKUP($E$64,[1]QUART!$A$2:$FA$315, 33, FALSE))</f>
        <v>:</v>
      </c>
      <c r="AI64" s="544" t="str">
        <f>IF(VLOOKUP($E$64,[1]QUART!$A$2:$FA$315, 34, FALSE)="",":",VLOOKUP($E$64,[1]QUART!$A$2:$FA$315, 34, FALSE))</f>
        <v>:</v>
      </c>
      <c r="AJ64" s="544" t="str">
        <f>IF(VLOOKUP($E$64,[1]QUART!$A$2:$FA$315, 35, FALSE)="",":",VLOOKUP($E$64,[1]QUART!$A$2:$FA$315, 35, FALSE))</f>
        <v>:</v>
      </c>
      <c r="AK64" s="544" t="str">
        <f>IF(VLOOKUP($E$64,[1]QUART!$A$2:$FA$315, 36, FALSE)="",":",VLOOKUP($E$64,[1]QUART!$A$2:$FA$315, 36, FALSE))</f>
        <v>:</v>
      </c>
      <c r="AL64" s="544" t="str">
        <f>IF(VLOOKUP($E$64,[1]QUART!$A$2:$FA$315, 37, FALSE)="",":",VLOOKUP($E$64,[1]QUART!$A$2:$FA$315, 37, FALSE))</f>
        <v>:</v>
      </c>
      <c r="AM64" s="544" t="str">
        <f>IF(VLOOKUP($E$64,[1]QUART!$A$2:$FA$315, 38, FALSE)="",":",VLOOKUP($E$64,[1]QUART!$A$2:$FA$315, 38, FALSE))</f>
        <v>:</v>
      </c>
      <c r="AN64" s="544" t="str">
        <f>IF(VLOOKUP($E$64,[1]QUART!$A$2:$FA$315, 39, FALSE)="",":",VLOOKUP($E$64,[1]QUART!$A$2:$FA$315, 39, FALSE))</f>
        <v>:</v>
      </c>
      <c r="AO64" s="544" t="str">
        <f>IF(VLOOKUP($E$64,[1]QUART!$A$2:$FA$315, 40, FALSE)="",":",VLOOKUP($E$64,[1]QUART!$A$2:$FA$315, 40, FALSE))</f>
        <v>:</v>
      </c>
      <c r="AP64" s="544" t="str">
        <f>IF(VLOOKUP($E$64,[1]QUART!$A$2:$FA$315, 41, FALSE)="",":",VLOOKUP($E$64,[1]QUART!$A$2:$FA$315, 41, FALSE))</f>
        <v>:</v>
      </c>
      <c r="AQ64" s="544" t="str">
        <f>IF(VLOOKUP($E$64,[1]QUART!$A$2:$FA$315, 42, FALSE)="",":",VLOOKUP($E$64,[1]QUART!$A$2:$FA$315, 42, FALSE))</f>
        <v>:</v>
      </c>
      <c r="AR64" s="544" t="str">
        <f>IF(VLOOKUP($E$64,[1]QUART!$A$2:$FA$315, 43, FALSE)="",":",VLOOKUP($E$64,[1]QUART!$A$2:$FA$315, 43, FALSE))</f>
        <v>:</v>
      </c>
      <c r="AS64" s="544" t="str">
        <f>IF(VLOOKUP($E$64,[1]QUART!$A$2:$FA$315, 44, FALSE)="",":",VLOOKUP($E$64,[1]QUART!$A$2:$FA$315, 44, FALSE))</f>
        <v>:</v>
      </c>
      <c r="AT64" s="544" t="str">
        <f>IF(VLOOKUP($E$64,[1]QUART!$A$2:$FA$315, 45, FALSE)="",":",VLOOKUP($E$64,[1]QUART!$A$2:$FA$315, 45, FALSE))</f>
        <v>:</v>
      </c>
      <c r="AU64" s="544" t="str">
        <f>IF(VLOOKUP($E$64,[1]QUART!$A$2:$FA$315, 46, FALSE)="",":",VLOOKUP($E$64,[1]QUART!$A$2:$FA$315, 46, FALSE))</f>
        <v>:</v>
      </c>
      <c r="AV64" s="544" t="str">
        <f>IF(VLOOKUP($E$64,[1]QUART!$A$2:$FA$315, 47, FALSE)="",":",VLOOKUP($E$64,[1]QUART!$A$2:$FA$315, 47, FALSE))</f>
        <v>:</v>
      </c>
      <c r="AW64" s="544" t="str">
        <f>IF(VLOOKUP($E$64,[1]QUART!$A$2:$FA$315, 48, FALSE)="",":",VLOOKUP($E$64,[1]QUART!$A$2:$FA$315, 48, FALSE))</f>
        <v>:</v>
      </c>
      <c r="AX64" s="544" t="str">
        <f>IF(VLOOKUP($E$64,[1]QUART!$A$2:$FA$315, 49, FALSE)="",":",VLOOKUP($E$64,[1]QUART!$A$2:$FA$315, 49, FALSE))</f>
        <v>:</v>
      </c>
      <c r="AY64" s="544" t="str">
        <f>IF(VLOOKUP($E$64,[1]QUART!$A$2:$FA$315, 50, FALSE)="",":",VLOOKUP($E$64,[1]QUART!$A$2:$FA$315, 50, FALSE))</f>
        <v>:</v>
      </c>
      <c r="AZ64" s="544" t="str">
        <f>IF(VLOOKUP($E$64,[1]QUART!$A$2:$FA$315, 51, FALSE)="",":",VLOOKUP($E$64,[1]QUART!$A$2:$FA$315, 51, FALSE))</f>
        <v>:</v>
      </c>
      <c r="BA64" s="544" t="str">
        <f>IF(VLOOKUP($E$64,[1]QUART!$A$2:$FA$315, 52, FALSE)="",":",VLOOKUP($E$64,[1]QUART!$A$2:$FA$315, 52, FALSE))</f>
        <v>:</v>
      </c>
      <c r="BB64" s="544" t="str">
        <f>IF(VLOOKUP($E$64,[1]QUART!$A$2:$FA$315, 53, FALSE)="",":",VLOOKUP($E$64,[1]QUART!$A$2:$FA$315, 53, FALSE))</f>
        <v>:</v>
      </c>
      <c r="BC64" s="544" t="str">
        <f>IF(VLOOKUP($E$64,[1]QUART!$A$2:$FA$315, 54, FALSE)="",":",VLOOKUP($E$64,[1]QUART!$A$2:$FA$315, 54, FALSE))</f>
        <v>:</v>
      </c>
      <c r="BD64" s="544" t="str">
        <f>IF(VLOOKUP($E$64,[1]QUART!$A$2:$FA$315, 55, FALSE)="",":",VLOOKUP($E$64,[1]QUART!$A$2:$FA$315, 55, FALSE))</f>
        <v>:</v>
      </c>
      <c r="BE64" s="544" t="str">
        <f>IF(VLOOKUP($E$64,[1]QUART!$A$2:$FA$315, 56, FALSE)="",":",VLOOKUP($E$64,[1]QUART!$A$2:$FA$315, 56, FALSE))</f>
        <v>:</v>
      </c>
      <c r="BF64" s="544" t="str">
        <f>IF(VLOOKUP($E$64,[1]QUART!$A$2:$FA$315, 57, FALSE)="",":",VLOOKUP($E$64,[1]QUART!$A$2:$FA$315, 57, FALSE))</f>
        <v>:</v>
      </c>
      <c r="BG64" s="544" t="str">
        <f>IF(VLOOKUP($E$64,[1]QUART!$A$2:$FA$315, 58, FALSE)="",":",VLOOKUP($E$64,[1]QUART!$A$2:$FA$315, 58, FALSE))</f>
        <v>:</v>
      </c>
      <c r="BH64" s="544" t="str">
        <f>IF(VLOOKUP($E$64,[1]QUART!$A$2:$FA$315, 59, FALSE)="",":",VLOOKUP($E$64,[1]QUART!$A$2:$FA$315, 59, FALSE))</f>
        <v>:</v>
      </c>
      <c r="BI64" s="544" t="str">
        <f>IF(VLOOKUP($E$64,[1]QUART!$A$2:$FA$315, 60, FALSE)="",":",VLOOKUP($E$64,[1]QUART!$A$2:$FA$315, 60, FALSE))</f>
        <v>:</v>
      </c>
      <c r="BJ64" s="544" t="str">
        <f>IF(VLOOKUP($E$64,[1]QUART!$A$2:$FA$315, 61, FALSE)="",":",VLOOKUP($E$64,[1]QUART!$A$2:$FA$315, 61, FALSE))</f>
        <v>:</v>
      </c>
      <c r="BK64" s="544" t="str">
        <f>IF(VLOOKUP($E$64,[1]QUART!$A$2:$FA$315, 62, FALSE)="",":",VLOOKUP($E$64,[1]QUART!$A$2:$FA$315, 62, FALSE))</f>
        <v>:</v>
      </c>
      <c r="BL64" s="544" t="str">
        <f>IF(VLOOKUP($E$64,[1]QUART!$A$2:$FA$315, 63, FALSE)="",":",VLOOKUP($E$64,[1]QUART!$A$2:$FA$315, 63, FALSE))</f>
        <v>:</v>
      </c>
      <c r="BM64" s="544" t="str">
        <f>IF(VLOOKUP($E$64,[1]QUART!$A$2:$FA$315, 64, FALSE)="",":",VLOOKUP($E$64,[1]QUART!$A$2:$FA$315, 64, FALSE))</f>
        <v>:</v>
      </c>
      <c r="BN64" s="544" t="str">
        <f>IF(VLOOKUP($E$64,[1]QUART!$A$2:$FA$315, 65, FALSE)="",":",VLOOKUP($E$64,[1]QUART!$A$2:$FA$315, 65, FALSE))</f>
        <v>:</v>
      </c>
      <c r="BO64" s="544" t="str">
        <f>IF(VLOOKUP($E$64,[1]QUART!$A$2:$FA$315, 66, FALSE)="",":",VLOOKUP($E$64,[1]QUART!$A$2:$FA$315, 66, FALSE))</f>
        <v>:</v>
      </c>
      <c r="BP64" s="544" t="str">
        <f>IF(VLOOKUP($E$64,[1]QUART!$A$2:$FA$315, 67, FALSE)="",":",VLOOKUP($E$64,[1]QUART!$A$2:$FA$315, 67, FALSE))</f>
        <v>:</v>
      </c>
      <c r="BQ64" s="544" t="str">
        <f>IF(VLOOKUP($E$64,[1]QUART!$A$2:$FA$315, 68, FALSE)="",":",VLOOKUP($E$64,[1]QUART!$A$2:$FA$315, 68, FALSE))</f>
        <v>:</v>
      </c>
      <c r="BR64" s="544" t="str">
        <f>IF(VLOOKUP($E$64,[1]QUART!$A$2:$FA$315, 69, FALSE)="",":",VLOOKUP($E$64,[1]QUART!$A$2:$FA$315, 69, FALSE))</f>
        <v>:</v>
      </c>
      <c r="BS64" s="544" t="str">
        <f>IF(VLOOKUP($E$64,[1]QUART!$A$2:$FA$315, 70, FALSE)="",":",VLOOKUP($E$64,[1]QUART!$A$2:$FA$315, 70, FALSE))</f>
        <v>:</v>
      </c>
      <c r="BT64" s="544" t="str">
        <f>IF(VLOOKUP($E$64,[1]QUART!$A$2:$FA$315, 71, FALSE)="",":",VLOOKUP($E$64,[1]QUART!$A$2:$FA$315, 71, FALSE))</f>
        <v>:</v>
      </c>
      <c r="BU64" s="544" t="str">
        <f>IF(VLOOKUP($E$64,[1]QUART!$A$2:$FA$315, 72, FALSE)="",":",VLOOKUP($E$64,[1]QUART!$A$2:$FA$315, 72, FALSE))</f>
        <v>:</v>
      </c>
      <c r="BV64" s="544" t="str">
        <f>IF(VLOOKUP($E$64,[1]QUART!$A$2:$FA$315, 73, FALSE)="",":",VLOOKUP($E$64,[1]QUART!$A$2:$FA$315, 73, FALSE))</f>
        <v>:</v>
      </c>
      <c r="BW64" s="544" t="str">
        <f>IF(VLOOKUP($E$64,[1]QUART!$A$2:$FA$315, 74, FALSE)="",":",VLOOKUP($E$64,[1]QUART!$A$2:$FA$315, 74, FALSE))</f>
        <v>:</v>
      </c>
      <c r="BX64" s="544" t="str">
        <f>IF(VLOOKUP($E$64,[1]QUART!$A$2:$FA$315, 75, FALSE)="",":",VLOOKUP($E$64,[1]QUART!$A$2:$FA$315, 75, FALSE))</f>
        <v>:</v>
      </c>
      <c r="BY64" s="544" t="str">
        <f>IF(VLOOKUP($E$64,[1]QUART!$A$2:$FA$315, 76, FALSE)="",":",VLOOKUP($E$64,[1]QUART!$A$2:$FA$315, 76, FALSE))</f>
        <v>:</v>
      </c>
      <c r="BZ64" s="544" t="str">
        <f>IF(VLOOKUP($E$64,[1]QUART!$A$2:$FA$315, 77, FALSE)="",":",VLOOKUP($E$64,[1]QUART!$A$2:$FA$315, 77, FALSE))</f>
        <v>:</v>
      </c>
      <c r="CA64" s="544" t="str">
        <f>IF(VLOOKUP($E$64,[1]QUART!$A$2:$FA$315, 78, FALSE)="",":",VLOOKUP($E$64,[1]QUART!$A$2:$FA$315, 78, FALSE))</f>
        <v>:</v>
      </c>
      <c r="CB64" s="544" t="str">
        <f>IF(VLOOKUP($E$64,[1]QUART!$A$2:$FA$315, 79, FALSE)="",":",VLOOKUP($E$64,[1]QUART!$A$2:$FA$315, 79, FALSE))</f>
        <v>:</v>
      </c>
      <c r="CC64" s="544" t="str">
        <f>IF(VLOOKUP($E$64,[1]QUART!$A$2:$FA$315, 80, FALSE)="",":",VLOOKUP($E$64,[1]QUART!$A$2:$FA$315, 80, FALSE))</f>
        <v>:</v>
      </c>
      <c r="CD64" s="544" t="str">
        <f>IF(VLOOKUP($E$64,[1]QUART!$A$2:$FA$315, 81, FALSE)="",":",VLOOKUP($E$64,[1]QUART!$A$2:$FA$315, 81, FALSE))</f>
        <v>:</v>
      </c>
      <c r="CE64" s="544" t="str">
        <f>IF(VLOOKUP($E$64,[1]QUART!$A$2:$FA$315, 82, FALSE)="",":",VLOOKUP($E$64,[1]QUART!$A$2:$FA$315, 82, FALSE))</f>
        <v>:</v>
      </c>
      <c r="CF64" s="544" t="str">
        <f>IF(VLOOKUP($E$64,[1]QUART!$A$2:$FA$315, 83, FALSE)="",":",VLOOKUP($E$64,[1]QUART!$A$2:$FA$315, 83, FALSE))</f>
        <v>:</v>
      </c>
      <c r="CG64" s="544" t="str">
        <f>IF(VLOOKUP($E$64,[1]QUART!$A$2:$FA$315, 84, FALSE)="",":",VLOOKUP($E$64,[1]QUART!$A$2:$FA$315, 84, FALSE))</f>
        <v>:</v>
      </c>
      <c r="CH64" s="544" t="str">
        <f>IF(VLOOKUP($E$64,[1]QUART!$A$2:$FA$315, 85, FALSE)="",":",VLOOKUP($E$64,[1]QUART!$A$2:$FA$315, 85, FALSE))</f>
        <v>:</v>
      </c>
      <c r="CI64" s="544" t="str">
        <f>IF(VLOOKUP($E$64,[1]QUART!$A$2:$FA$315, 86, FALSE)="",":",VLOOKUP($E$64,[1]QUART!$A$2:$FA$315, 86, FALSE))</f>
        <v>:</v>
      </c>
      <c r="CJ64" s="544" t="str">
        <f>IF(VLOOKUP($E$64,[1]QUART!$A$2:$FA$315, 87, FALSE)="",":",VLOOKUP($E$64,[1]QUART!$A$2:$FA$315, 87, FALSE))</f>
        <v>:</v>
      </c>
      <c r="CK64" s="544" t="str">
        <f>IF(VLOOKUP($E$64,[1]QUART!$A$2:$FA$315, 88, FALSE)="",":",VLOOKUP($E$64,[1]QUART!$A$2:$FA$315, 88, FALSE))</f>
        <v>:</v>
      </c>
      <c r="CL64" s="544" t="str">
        <f>IF(VLOOKUP($E$64,[1]QUART!$A$2:$FA$315, 89, FALSE)="",":",VLOOKUP($E$64,[1]QUART!$A$2:$FA$315, 89, FALSE))</f>
        <v>:</v>
      </c>
      <c r="CM64" s="544" t="str">
        <f>IF(VLOOKUP($E$64,[1]QUART!$A$2:$FA$315, 90, FALSE)="",":",VLOOKUP($E$64,[1]QUART!$A$2:$FA$315, 90, FALSE))</f>
        <v>:</v>
      </c>
      <c r="CN64" s="544" t="str">
        <f>IF(VLOOKUP($E$64,[1]QUART!$A$2:$FA$315, 91, FALSE)="",":",VLOOKUP($E$64,[1]QUART!$A$2:$FA$315, 91, FALSE))</f>
        <v>:</v>
      </c>
      <c r="CO64" s="544" t="str">
        <f>IF(VLOOKUP($E$64,[1]QUART!$A$2:$FA$315, 92, FALSE)="",":",VLOOKUP($E$64,[1]QUART!$A$2:$FA$315, 92, FALSE))</f>
        <v>:</v>
      </c>
      <c r="CP64" s="544" t="str">
        <f>IF(VLOOKUP($E$64,[1]QUART!$A$2:$FA$315, 93, FALSE)="",":",VLOOKUP($E$64,[1]QUART!$A$2:$FA$315, 93, FALSE))</f>
        <v>:</v>
      </c>
      <c r="CQ64" s="544" t="str">
        <f>IF(VLOOKUP($E$64,[1]QUART!$A$2:$FA$315, 94, FALSE)="",":",VLOOKUP($E$64,[1]QUART!$A$2:$FA$315, 94, FALSE))</f>
        <v>:</v>
      </c>
      <c r="CR64" s="544" t="str">
        <f>IF(VLOOKUP($E$64,[1]QUART!$A$2:$FA$315, 95, FALSE)="",":",VLOOKUP($E$64,[1]QUART!$A$2:$FA$315, 95, FALSE))</f>
        <v>:</v>
      </c>
      <c r="CS64" s="544" t="str">
        <f>IF(VLOOKUP($E$64,[1]QUART!$A$2:$FA$315, 96, FALSE)="",":",VLOOKUP($E$64,[1]QUART!$A$2:$FA$315, 96, FALSE))</f>
        <v>:</v>
      </c>
      <c r="CT64" s="544" t="str">
        <f>IF(VLOOKUP($E$64,[1]QUART!$A$2:$FA$315, 97, FALSE)="",":",VLOOKUP($E$64,[1]QUART!$A$2:$FA$315, 97, FALSE))</f>
        <v>:</v>
      </c>
      <c r="CU64" s="544" t="str">
        <f>IF(VLOOKUP($E$64,[1]QUART!$A$2:$FA$315, 98, FALSE)="",":",VLOOKUP($E$64,[1]QUART!$A$2:$FA$315, 98, FALSE))</f>
        <v>:</v>
      </c>
      <c r="CV64" s="544" t="str">
        <f>IF(VLOOKUP($E$64,[1]QUART!$A$2:$FA$315, 99, FALSE)="",":",VLOOKUP($E$64,[1]QUART!$A$2:$FA$315, 99, FALSE))</f>
        <v>:</v>
      </c>
      <c r="CW64" s="544" t="str">
        <f>IF(VLOOKUP($E$64,[1]QUART!$A$2:$FA$315, 100, FALSE)="",":",VLOOKUP($E$64,[1]QUART!$A$2:$FA$315, 100, FALSE))</f>
        <v>:</v>
      </c>
      <c r="CX64" s="544" t="str">
        <f>IF(VLOOKUP($E$64,[1]QUART!$A$2:$FA$315, 101, FALSE)="",":",VLOOKUP($E$64,[1]QUART!$A$2:$FA$315, 101, FALSE))</f>
        <v>:</v>
      </c>
      <c r="CY64" s="544" t="str">
        <f>IF(VLOOKUP($E$64,[1]QUART!$A$2:$FA$315, 102, FALSE)="",":",VLOOKUP($E$64,[1]QUART!$A$2:$FA$315, 102, FALSE))</f>
        <v>:</v>
      </c>
      <c r="CZ64" s="544" t="str">
        <f>IF(VLOOKUP($E$64,[1]QUART!$A$2:$FA$315, 103, FALSE)="",":",VLOOKUP($E$64,[1]QUART!$A$2:$FA$315, 103, FALSE))</f>
        <v>:</v>
      </c>
      <c r="DA64" s="544" t="str">
        <f>IF(VLOOKUP($E$64,[1]QUART!$A$2:$FA$315, 104, FALSE)="",":",VLOOKUP($E$64,[1]QUART!$A$2:$FA$315, 104, FALSE))</f>
        <v>:</v>
      </c>
      <c r="DB64" s="544" t="str">
        <f>IF(VLOOKUP($E$64,[1]QUART!$A$2:$FA$315, 105, FALSE)="",":",VLOOKUP($E$64,[1]QUART!$A$2:$FA$315, 105, FALSE))</f>
        <v>:</v>
      </c>
      <c r="DC64" s="544" t="str">
        <f>IF(VLOOKUP($E$64,[1]QUART!$A$2:$FA$315, 106, FALSE)="",":",VLOOKUP($E$64,[1]QUART!$A$2:$FA$315, 106, FALSE))</f>
        <v>:</v>
      </c>
    </row>
    <row r="65" spans="1:107">
      <c r="A65" s="1954"/>
      <c r="B65" s="534"/>
      <c r="C65" s="535"/>
      <c r="D65" s="12" t="s">
        <v>1841</v>
      </c>
      <c r="E65" s="13">
        <v>132</v>
      </c>
      <c r="F65" s="14" t="str">
        <f>VLOOKUP($E$65,[1]QUART!$A$2:$FA$315, 3, FALSE)</f>
        <v>132 Gross capital formation (incl. Inventories)</v>
      </c>
      <c r="G65" s="544" t="str">
        <f>IF(VLOOKUP($E$65,[1]QUART!$A$2:$FA$315, 6, FALSE)="",":",VLOOKUP($E$65,[1]QUART!$A$2:$FA$315, 6, FALSE))</f>
        <v>:</v>
      </c>
      <c r="H65" s="544" t="str">
        <f>IF(VLOOKUP($E$65,[1]QUART!$A$2:$FA$315, 7, FALSE)="",":",VLOOKUP($E$65,[1]QUART!$A$2:$FA$315, 7, FALSE))</f>
        <v>:</v>
      </c>
      <c r="I65" s="544" t="str">
        <f>IF(VLOOKUP($E$65,[1]QUART!$A$2:$FA$315, 8, FALSE)="",":",VLOOKUP($E$65,[1]QUART!$A$2:$FA$315, 8, FALSE))</f>
        <v>:</v>
      </c>
      <c r="J65" s="544" t="str">
        <f>IF(VLOOKUP($E$65,[1]QUART!$A$2:$FA$315, 9, FALSE)="",":",VLOOKUP($E$65,[1]QUART!$A$2:$FA$315, 9, FALSE))</f>
        <v>:</v>
      </c>
      <c r="K65" s="544" t="str">
        <f>IF(VLOOKUP($E$65,[1]QUART!$A$2:$FA$315, 10, FALSE)="",":",VLOOKUP($E$65,[1]QUART!$A$2:$FA$315, 10, FALSE))</f>
        <v>:</v>
      </c>
      <c r="L65" s="544" t="str">
        <f>IF(VLOOKUP($E$65,[1]QUART!$A$2:$FA$315, 11, FALSE)="",":",VLOOKUP($E$65,[1]QUART!$A$2:$FA$315, 11, FALSE))</f>
        <v>:</v>
      </c>
      <c r="M65" s="544" t="str">
        <f>IF(VLOOKUP($E$65,[1]QUART!$A$2:$FA$315, 12, FALSE)="",":",VLOOKUP($E$65,[1]QUART!$A$2:$FA$315, 12, FALSE))</f>
        <v>:</v>
      </c>
      <c r="N65" s="544" t="str">
        <f>IF(VLOOKUP($E$65,[1]QUART!$A$2:$FA$315, 13, FALSE)="",":",VLOOKUP($E$65,[1]QUART!$A$2:$FA$315, 13, FALSE))</f>
        <v>:</v>
      </c>
      <c r="O65" s="544" t="str">
        <f>IF(VLOOKUP($E$65,[1]QUART!$A$2:$FA$315, 14, FALSE)="",":",VLOOKUP($E$65,[1]QUART!$A$2:$FA$315, 14, FALSE))</f>
        <v>:</v>
      </c>
      <c r="P65" s="544" t="str">
        <f>IF(VLOOKUP($E$65,[1]QUART!$A$2:$FA$315, 15, FALSE)="",":",VLOOKUP($E$65,[1]QUART!$A$2:$FA$315, 15, FALSE))</f>
        <v>:</v>
      </c>
      <c r="Q65" s="544" t="str">
        <f>IF(VLOOKUP($E$65,[1]QUART!$A$2:$FA$315, 16, FALSE)="",":",VLOOKUP($E$65,[1]QUART!$A$2:$FA$315, 16, FALSE))</f>
        <v>:</v>
      </c>
      <c r="R65" s="544" t="str">
        <f>IF(VLOOKUP($E$65,[1]QUART!$A$2:$FA$315, 17, FALSE)="",":",VLOOKUP($E$65,[1]QUART!$A$2:$FA$315, 17, FALSE))</f>
        <v>:</v>
      </c>
      <c r="S65" s="544" t="str">
        <f>IF(VLOOKUP($E$65,[1]QUART!$A$2:$FA$315, 18, FALSE)="",":",VLOOKUP($E$65,[1]QUART!$A$2:$FA$315, 18, FALSE))</f>
        <v>:</v>
      </c>
      <c r="T65" s="544" t="str">
        <f>IF(VLOOKUP($E$65,[1]QUART!$A$2:$FA$315, 19, FALSE)="",":",VLOOKUP($E$65,[1]QUART!$A$2:$FA$315, 19, FALSE))</f>
        <v>:</v>
      </c>
      <c r="U65" s="544" t="str">
        <f>IF(VLOOKUP($E$65,[1]QUART!$A$2:$FA$315, 20, FALSE)="",":",VLOOKUP($E$65,[1]QUART!$A$2:$FA$315, 20, FALSE))</f>
        <v>:</v>
      </c>
      <c r="V65" s="544" t="str">
        <f>IF(VLOOKUP($E$65,[1]QUART!$A$2:$FA$315, 21, FALSE)="",":",VLOOKUP($E$65,[1]QUART!$A$2:$FA$315, 21, FALSE))</f>
        <v>:</v>
      </c>
      <c r="W65" s="544" t="str">
        <f>IF(VLOOKUP($E$65,[1]QUART!$A$2:$FA$315, 22, FALSE)="",":",VLOOKUP($E$65,[1]QUART!$A$2:$FA$315, 22, FALSE))</f>
        <v>:</v>
      </c>
      <c r="X65" s="544" t="str">
        <f>IF(VLOOKUP($E$65,[1]QUART!$A$2:$FA$315, 23, FALSE)="",":",VLOOKUP($E$65,[1]QUART!$A$2:$FA$315, 23, FALSE))</f>
        <v>:</v>
      </c>
      <c r="Y65" s="544" t="str">
        <f>IF(VLOOKUP($E$65,[1]QUART!$A$2:$FA$315, 24, FALSE)="",":",VLOOKUP($E$65,[1]QUART!$A$2:$FA$315, 24, FALSE))</f>
        <v>:</v>
      </c>
      <c r="Z65" s="544" t="str">
        <f>IF(VLOOKUP($E$65,[1]QUART!$A$2:$FA$315, 25, FALSE)="",":",VLOOKUP($E$65,[1]QUART!$A$2:$FA$315, 25, FALSE))</f>
        <v>:</v>
      </c>
      <c r="AA65" s="544" t="str">
        <f>IF(VLOOKUP($E$65,[1]QUART!$A$2:$FA$315, 26, FALSE)="",":",VLOOKUP($E$65,[1]QUART!$A$2:$FA$315, 26, FALSE))</f>
        <v>:</v>
      </c>
      <c r="AB65" s="544" t="str">
        <f>IF(VLOOKUP($E$65,[1]QUART!$A$2:$FA$315, 27, FALSE)="",":",VLOOKUP($E$65,[1]QUART!$A$2:$FA$315, 27, FALSE))</f>
        <v>:</v>
      </c>
      <c r="AC65" s="544" t="str">
        <f>IF(VLOOKUP($E$65,[1]QUART!$A$2:$FA$315, 28, FALSE)="",":",VLOOKUP($E$65,[1]QUART!$A$2:$FA$315, 28, FALSE))</f>
        <v>:</v>
      </c>
      <c r="AD65" s="544" t="str">
        <f>IF(VLOOKUP($E$65,[1]QUART!$A$2:$FA$315, 29, FALSE)="",":",VLOOKUP($E$65,[1]QUART!$A$2:$FA$315, 29, FALSE))</f>
        <v>:</v>
      </c>
      <c r="AE65" s="544" t="str">
        <f>IF(VLOOKUP($E$65,[1]QUART!$A$2:$FA$315, 30, FALSE)="",":",VLOOKUP($E$65,[1]QUART!$A$2:$FA$315, 30, FALSE))</f>
        <v>:</v>
      </c>
      <c r="AF65" s="544" t="str">
        <f>IF(VLOOKUP($E$65,[1]QUART!$A$2:$FA$315, 31, FALSE)="",":",VLOOKUP($E$65,[1]QUART!$A$2:$FA$315, 31, FALSE))</f>
        <v>:</v>
      </c>
      <c r="AG65" s="544" t="str">
        <f>IF(VLOOKUP($E$65,[1]QUART!$A$2:$FA$315, 32, FALSE)="",":",VLOOKUP($E$65,[1]QUART!$A$2:$FA$315, 32, FALSE))</f>
        <v>:</v>
      </c>
      <c r="AH65" s="544" t="str">
        <f>IF(VLOOKUP($E$65,[1]QUART!$A$2:$FA$315, 33, FALSE)="",":",VLOOKUP($E$65,[1]QUART!$A$2:$FA$315, 33, FALSE))</f>
        <v>:</v>
      </c>
      <c r="AI65" s="544" t="str">
        <f>IF(VLOOKUP($E$65,[1]QUART!$A$2:$FA$315, 34, FALSE)="",":",VLOOKUP($E$65,[1]QUART!$A$2:$FA$315, 34, FALSE))</f>
        <v>:</v>
      </c>
      <c r="AJ65" s="544" t="str">
        <f>IF(VLOOKUP($E$65,[1]QUART!$A$2:$FA$315, 35, FALSE)="",":",VLOOKUP($E$65,[1]QUART!$A$2:$FA$315, 35, FALSE))</f>
        <v>:</v>
      </c>
      <c r="AK65" s="544" t="str">
        <f>IF(VLOOKUP($E$65,[1]QUART!$A$2:$FA$315, 36, FALSE)="",":",VLOOKUP($E$65,[1]QUART!$A$2:$FA$315, 36, FALSE))</f>
        <v>:</v>
      </c>
      <c r="AL65" s="544" t="str">
        <f>IF(VLOOKUP($E$65,[1]QUART!$A$2:$FA$315, 37, FALSE)="",":",VLOOKUP($E$65,[1]QUART!$A$2:$FA$315, 37, FALSE))</f>
        <v>:</v>
      </c>
      <c r="AM65" s="544" t="str">
        <f>IF(VLOOKUP($E$65,[1]QUART!$A$2:$FA$315, 38, FALSE)="",":",VLOOKUP($E$65,[1]QUART!$A$2:$FA$315, 38, FALSE))</f>
        <v>:</v>
      </c>
      <c r="AN65" s="544" t="str">
        <f>IF(VLOOKUP($E$65,[1]QUART!$A$2:$FA$315, 39, FALSE)="",":",VLOOKUP($E$65,[1]QUART!$A$2:$FA$315, 39, FALSE))</f>
        <v>:</v>
      </c>
      <c r="AO65" s="544" t="str">
        <f>IF(VLOOKUP($E$65,[1]QUART!$A$2:$FA$315, 40, FALSE)="",":",VLOOKUP($E$65,[1]QUART!$A$2:$FA$315, 40, FALSE))</f>
        <v>:</v>
      </c>
      <c r="AP65" s="544" t="str">
        <f>IF(VLOOKUP($E$65,[1]QUART!$A$2:$FA$315, 41, FALSE)="",":",VLOOKUP($E$65,[1]QUART!$A$2:$FA$315, 41, FALSE))</f>
        <v>:</v>
      </c>
      <c r="AQ65" s="544" t="str">
        <f>IF(VLOOKUP($E$65,[1]QUART!$A$2:$FA$315, 42, FALSE)="",":",VLOOKUP($E$65,[1]QUART!$A$2:$FA$315, 42, FALSE))</f>
        <v>:</v>
      </c>
      <c r="AR65" s="544" t="str">
        <f>IF(VLOOKUP($E$65,[1]QUART!$A$2:$FA$315, 43, FALSE)="",":",VLOOKUP($E$65,[1]QUART!$A$2:$FA$315, 43, FALSE))</f>
        <v>:</v>
      </c>
      <c r="AS65" s="544" t="str">
        <f>IF(VLOOKUP($E$65,[1]QUART!$A$2:$FA$315, 44, FALSE)="",":",VLOOKUP($E$65,[1]QUART!$A$2:$FA$315, 44, FALSE))</f>
        <v>:</v>
      </c>
      <c r="AT65" s="544" t="str">
        <f>IF(VLOOKUP($E$65,[1]QUART!$A$2:$FA$315, 45, FALSE)="",":",VLOOKUP($E$65,[1]QUART!$A$2:$FA$315, 45, FALSE))</f>
        <v>:</v>
      </c>
      <c r="AU65" s="544" t="str">
        <f>IF(VLOOKUP($E$65,[1]QUART!$A$2:$FA$315, 46, FALSE)="",":",VLOOKUP($E$65,[1]QUART!$A$2:$FA$315, 46, FALSE))</f>
        <v>:</v>
      </c>
      <c r="AV65" s="544" t="str">
        <f>IF(VLOOKUP($E$65,[1]QUART!$A$2:$FA$315, 47, FALSE)="",":",VLOOKUP($E$65,[1]QUART!$A$2:$FA$315, 47, FALSE))</f>
        <v>:</v>
      </c>
      <c r="AW65" s="544" t="str">
        <f>IF(VLOOKUP($E$65,[1]QUART!$A$2:$FA$315, 48, FALSE)="",":",VLOOKUP($E$65,[1]QUART!$A$2:$FA$315, 48, FALSE))</f>
        <v>:</v>
      </c>
      <c r="AX65" s="544" t="str">
        <f>IF(VLOOKUP($E$65,[1]QUART!$A$2:$FA$315, 49, FALSE)="",":",VLOOKUP($E$65,[1]QUART!$A$2:$FA$315, 49, FALSE))</f>
        <v>:</v>
      </c>
      <c r="AY65" s="544" t="str">
        <f>IF(VLOOKUP($E$65,[1]QUART!$A$2:$FA$315, 50, FALSE)="",":",VLOOKUP($E$65,[1]QUART!$A$2:$FA$315, 50, FALSE))</f>
        <v>:</v>
      </c>
      <c r="AZ65" s="544" t="str">
        <f>IF(VLOOKUP($E$65,[1]QUART!$A$2:$FA$315, 51, FALSE)="",":",VLOOKUP($E$65,[1]QUART!$A$2:$FA$315, 51, FALSE))</f>
        <v>:</v>
      </c>
      <c r="BA65" s="544" t="str">
        <f>IF(VLOOKUP($E$65,[1]QUART!$A$2:$FA$315, 52, FALSE)="",":",VLOOKUP($E$65,[1]QUART!$A$2:$FA$315, 52, FALSE))</f>
        <v>:</v>
      </c>
      <c r="BB65" s="544" t="str">
        <f>IF(VLOOKUP($E$65,[1]QUART!$A$2:$FA$315, 53, FALSE)="",":",VLOOKUP($E$65,[1]QUART!$A$2:$FA$315, 53, FALSE))</f>
        <v>:</v>
      </c>
      <c r="BC65" s="544" t="str">
        <f>IF(VLOOKUP($E$65,[1]QUART!$A$2:$FA$315, 54, FALSE)="",":",VLOOKUP($E$65,[1]QUART!$A$2:$FA$315, 54, FALSE))</f>
        <v>:</v>
      </c>
      <c r="BD65" s="544" t="str">
        <f>IF(VLOOKUP($E$65,[1]QUART!$A$2:$FA$315, 55, FALSE)="",":",VLOOKUP($E$65,[1]QUART!$A$2:$FA$315, 55, FALSE))</f>
        <v>:</v>
      </c>
      <c r="BE65" s="544" t="str">
        <f>IF(VLOOKUP($E$65,[1]QUART!$A$2:$FA$315, 56, FALSE)="",":",VLOOKUP($E$65,[1]QUART!$A$2:$FA$315, 56, FALSE))</f>
        <v>:</v>
      </c>
      <c r="BF65" s="544" t="str">
        <f>IF(VLOOKUP($E$65,[1]QUART!$A$2:$FA$315, 57, FALSE)="",":",VLOOKUP($E$65,[1]QUART!$A$2:$FA$315, 57, FALSE))</f>
        <v>:</v>
      </c>
      <c r="BG65" s="544" t="str">
        <f>IF(VLOOKUP($E$65,[1]QUART!$A$2:$FA$315, 58, FALSE)="",":",VLOOKUP($E$65,[1]QUART!$A$2:$FA$315, 58, FALSE))</f>
        <v>:</v>
      </c>
      <c r="BH65" s="544" t="str">
        <f>IF(VLOOKUP($E$65,[1]QUART!$A$2:$FA$315, 59, FALSE)="",":",VLOOKUP($E$65,[1]QUART!$A$2:$FA$315, 59, FALSE))</f>
        <v>:</v>
      </c>
      <c r="BI65" s="544" t="str">
        <f>IF(VLOOKUP($E$65,[1]QUART!$A$2:$FA$315, 60, FALSE)="",":",VLOOKUP($E$65,[1]QUART!$A$2:$FA$315, 60, FALSE))</f>
        <v>:</v>
      </c>
      <c r="BJ65" s="544" t="str">
        <f>IF(VLOOKUP($E$65,[1]QUART!$A$2:$FA$315, 61, FALSE)="",":",VLOOKUP($E$65,[1]QUART!$A$2:$FA$315, 61, FALSE))</f>
        <v>:</v>
      </c>
      <c r="BK65" s="544" t="str">
        <f>IF(VLOOKUP($E$65,[1]QUART!$A$2:$FA$315, 62, FALSE)="",":",VLOOKUP($E$65,[1]QUART!$A$2:$FA$315, 62, FALSE))</f>
        <v>:</v>
      </c>
      <c r="BL65" s="544" t="str">
        <f>IF(VLOOKUP($E$65,[1]QUART!$A$2:$FA$315, 63, FALSE)="",":",VLOOKUP($E$65,[1]QUART!$A$2:$FA$315, 63, FALSE))</f>
        <v>:</v>
      </c>
      <c r="BM65" s="544" t="str">
        <f>IF(VLOOKUP($E$65,[1]QUART!$A$2:$FA$315, 64, FALSE)="",":",VLOOKUP($E$65,[1]QUART!$A$2:$FA$315, 64, FALSE))</f>
        <v>:</v>
      </c>
      <c r="BN65" s="544" t="str">
        <f>IF(VLOOKUP($E$65,[1]QUART!$A$2:$FA$315, 65, FALSE)="",":",VLOOKUP($E$65,[1]QUART!$A$2:$FA$315, 65, FALSE))</f>
        <v>:</v>
      </c>
      <c r="BO65" s="544" t="str">
        <f>IF(VLOOKUP($E$65,[1]QUART!$A$2:$FA$315, 66, FALSE)="",":",VLOOKUP($E$65,[1]QUART!$A$2:$FA$315, 66, FALSE))</f>
        <v>:</v>
      </c>
      <c r="BP65" s="544" t="str">
        <f>IF(VLOOKUP($E$65,[1]QUART!$A$2:$FA$315, 67, FALSE)="",":",VLOOKUP($E$65,[1]QUART!$A$2:$FA$315, 67, FALSE))</f>
        <v>:</v>
      </c>
      <c r="BQ65" s="544" t="str">
        <f>IF(VLOOKUP($E$65,[1]QUART!$A$2:$FA$315, 68, FALSE)="",":",VLOOKUP($E$65,[1]QUART!$A$2:$FA$315, 68, FALSE))</f>
        <v>:</v>
      </c>
      <c r="BR65" s="544" t="str">
        <f>IF(VLOOKUP($E$65,[1]QUART!$A$2:$FA$315, 69, FALSE)="",":",VLOOKUP($E$65,[1]QUART!$A$2:$FA$315, 69, FALSE))</f>
        <v>:</v>
      </c>
      <c r="BS65" s="544" t="str">
        <f>IF(VLOOKUP($E$65,[1]QUART!$A$2:$FA$315, 70, FALSE)="",":",VLOOKUP($E$65,[1]QUART!$A$2:$FA$315, 70, FALSE))</f>
        <v>:</v>
      </c>
      <c r="BT65" s="544" t="str">
        <f>IF(VLOOKUP($E$65,[1]QUART!$A$2:$FA$315, 71, FALSE)="",":",VLOOKUP($E$65,[1]QUART!$A$2:$FA$315, 71, FALSE))</f>
        <v>:</v>
      </c>
      <c r="BU65" s="544" t="str">
        <f>IF(VLOOKUP($E$65,[1]QUART!$A$2:$FA$315, 72, FALSE)="",":",VLOOKUP($E$65,[1]QUART!$A$2:$FA$315, 72, FALSE))</f>
        <v>:</v>
      </c>
      <c r="BV65" s="544" t="str">
        <f>IF(VLOOKUP($E$65,[1]QUART!$A$2:$FA$315, 73, FALSE)="",":",VLOOKUP($E$65,[1]QUART!$A$2:$FA$315, 73, FALSE))</f>
        <v>:</v>
      </c>
      <c r="BW65" s="544" t="str">
        <f>IF(VLOOKUP($E$65,[1]QUART!$A$2:$FA$315, 74, FALSE)="",":",VLOOKUP($E$65,[1]QUART!$A$2:$FA$315, 74, FALSE))</f>
        <v>:</v>
      </c>
      <c r="BX65" s="544" t="str">
        <f>IF(VLOOKUP($E$65,[1]QUART!$A$2:$FA$315, 75, FALSE)="",":",VLOOKUP($E$65,[1]QUART!$A$2:$FA$315, 75, FALSE))</f>
        <v>:</v>
      </c>
      <c r="BY65" s="544" t="str">
        <f>IF(VLOOKUP($E$65,[1]QUART!$A$2:$FA$315, 76, FALSE)="",":",VLOOKUP($E$65,[1]QUART!$A$2:$FA$315, 76, FALSE))</f>
        <v>:</v>
      </c>
      <c r="BZ65" s="544" t="str">
        <f>IF(VLOOKUP($E$65,[1]QUART!$A$2:$FA$315, 77, FALSE)="",":",VLOOKUP($E$65,[1]QUART!$A$2:$FA$315, 77, FALSE))</f>
        <v>:</v>
      </c>
      <c r="CA65" s="544" t="str">
        <f>IF(VLOOKUP($E$65,[1]QUART!$A$2:$FA$315, 78, FALSE)="",":",VLOOKUP($E$65,[1]QUART!$A$2:$FA$315, 78, FALSE))</f>
        <v>:</v>
      </c>
      <c r="CB65" s="544" t="str">
        <f>IF(VLOOKUP($E$65,[1]QUART!$A$2:$FA$315, 79, FALSE)="",":",VLOOKUP($E$65,[1]QUART!$A$2:$FA$315, 79, FALSE))</f>
        <v>:</v>
      </c>
      <c r="CC65" s="544" t="str">
        <f>IF(VLOOKUP($E$65,[1]QUART!$A$2:$FA$315, 80, FALSE)="",":",VLOOKUP($E$65,[1]QUART!$A$2:$FA$315, 80, FALSE))</f>
        <v>:</v>
      </c>
      <c r="CD65" s="544" t="str">
        <f>IF(VLOOKUP($E$65,[1]QUART!$A$2:$FA$315, 81, FALSE)="",":",VLOOKUP($E$65,[1]QUART!$A$2:$FA$315, 81, FALSE))</f>
        <v>:</v>
      </c>
      <c r="CE65" s="544" t="str">
        <f>IF(VLOOKUP($E$65,[1]QUART!$A$2:$FA$315, 82, FALSE)="",":",VLOOKUP($E$65,[1]QUART!$A$2:$FA$315, 82, FALSE))</f>
        <v>:</v>
      </c>
      <c r="CF65" s="544" t="str">
        <f>IF(VLOOKUP($E$65,[1]QUART!$A$2:$FA$315, 83, FALSE)="",":",VLOOKUP($E$65,[1]QUART!$A$2:$FA$315, 83, FALSE))</f>
        <v>:</v>
      </c>
      <c r="CG65" s="544" t="str">
        <f>IF(VLOOKUP($E$65,[1]QUART!$A$2:$FA$315, 84, FALSE)="",":",VLOOKUP($E$65,[1]QUART!$A$2:$FA$315, 84, FALSE))</f>
        <v>:</v>
      </c>
      <c r="CH65" s="544" t="str">
        <f>IF(VLOOKUP($E$65,[1]QUART!$A$2:$FA$315, 85, FALSE)="",":",VLOOKUP($E$65,[1]QUART!$A$2:$FA$315, 85, FALSE))</f>
        <v>:</v>
      </c>
      <c r="CI65" s="544" t="str">
        <f>IF(VLOOKUP($E$65,[1]QUART!$A$2:$FA$315, 86, FALSE)="",":",VLOOKUP($E$65,[1]QUART!$A$2:$FA$315, 86, FALSE))</f>
        <v>:</v>
      </c>
      <c r="CJ65" s="544" t="str">
        <f>IF(VLOOKUP($E$65,[1]QUART!$A$2:$FA$315, 87, FALSE)="",":",VLOOKUP($E$65,[1]QUART!$A$2:$FA$315, 87, FALSE))</f>
        <v>:</v>
      </c>
      <c r="CK65" s="544" t="str">
        <f>IF(VLOOKUP($E$65,[1]QUART!$A$2:$FA$315, 88, FALSE)="",":",VLOOKUP($E$65,[1]QUART!$A$2:$FA$315, 88, FALSE))</f>
        <v>:</v>
      </c>
      <c r="CL65" s="544" t="str">
        <f>IF(VLOOKUP($E$65,[1]QUART!$A$2:$FA$315, 89, FALSE)="",":",VLOOKUP($E$65,[1]QUART!$A$2:$FA$315, 89, FALSE))</f>
        <v>:</v>
      </c>
      <c r="CM65" s="544" t="str">
        <f>IF(VLOOKUP($E$65,[1]QUART!$A$2:$FA$315, 90, FALSE)="",":",VLOOKUP($E$65,[1]QUART!$A$2:$FA$315, 90, FALSE))</f>
        <v>:</v>
      </c>
      <c r="CN65" s="544" t="str">
        <f>IF(VLOOKUP($E$65,[1]QUART!$A$2:$FA$315, 91, FALSE)="",":",VLOOKUP($E$65,[1]QUART!$A$2:$FA$315, 91, FALSE))</f>
        <v>:</v>
      </c>
      <c r="CO65" s="544" t="str">
        <f>IF(VLOOKUP($E$65,[1]QUART!$A$2:$FA$315, 92, FALSE)="",":",VLOOKUP($E$65,[1]QUART!$A$2:$FA$315, 92, FALSE))</f>
        <v>:</v>
      </c>
      <c r="CP65" s="544" t="str">
        <f>IF(VLOOKUP($E$65,[1]QUART!$A$2:$FA$315, 93, FALSE)="",":",VLOOKUP($E$65,[1]QUART!$A$2:$FA$315, 93, FALSE))</f>
        <v>:</v>
      </c>
      <c r="CQ65" s="544" t="str">
        <f>IF(VLOOKUP($E$65,[1]QUART!$A$2:$FA$315, 94, FALSE)="",":",VLOOKUP($E$65,[1]QUART!$A$2:$FA$315, 94, FALSE))</f>
        <v>:</v>
      </c>
      <c r="CR65" s="544" t="str">
        <f>IF(VLOOKUP($E$65,[1]QUART!$A$2:$FA$315, 95, FALSE)="",":",VLOOKUP($E$65,[1]QUART!$A$2:$FA$315, 95, FALSE))</f>
        <v>:</v>
      </c>
      <c r="CS65" s="544" t="str">
        <f>IF(VLOOKUP($E$65,[1]QUART!$A$2:$FA$315, 96, FALSE)="",":",VLOOKUP($E$65,[1]QUART!$A$2:$FA$315, 96, FALSE))</f>
        <v>:</v>
      </c>
      <c r="CT65" s="544" t="str">
        <f>IF(VLOOKUP($E$65,[1]QUART!$A$2:$FA$315, 97, FALSE)="",":",VLOOKUP($E$65,[1]QUART!$A$2:$FA$315, 97, FALSE))</f>
        <v>:</v>
      </c>
      <c r="CU65" s="544" t="str">
        <f>IF(VLOOKUP($E$65,[1]QUART!$A$2:$FA$315, 98, FALSE)="",":",VLOOKUP($E$65,[1]QUART!$A$2:$FA$315, 98, FALSE))</f>
        <v>:</v>
      </c>
      <c r="CV65" s="544" t="str">
        <f>IF(VLOOKUP($E$65,[1]QUART!$A$2:$FA$315, 99, FALSE)="",":",VLOOKUP($E$65,[1]QUART!$A$2:$FA$315, 99, FALSE))</f>
        <v>:</v>
      </c>
      <c r="CW65" s="544" t="str">
        <f>IF(VLOOKUP($E$65,[1]QUART!$A$2:$FA$315, 100, FALSE)="",":",VLOOKUP($E$65,[1]QUART!$A$2:$FA$315, 100, FALSE))</f>
        <v>:</v>
      </c>
      <c r="CX65" s="544" t="str">
        <f>IF(VLOOKUP($E$65,[1]QUART!$A$2:$FA$315, 101, FALSE)="",":",VLOOKUP($E$65,[1]QUART!$A$2:$FA$315, 101, FALSE))</f>
        <v>:</v>
      </c>
      <c r="CY65" s="544" t="str">
        <f>IF(VLOOKUP($E$65,[1]QUART!$A$2:$FA$315, 102, FALSE)="",":",VLOOKUP($E$65,[1]QUART!$A$2:$FA$315, 102, FALSE))</f>
        <v>:</v>
      </c>
      <c r="CZ65" s="544" t="str">
        <f>IF(VLOOKUP($E$65,[1]QUART!$A$2:$FA$315, 103, FALSE)="",":",VLOOKUP($E$65,[1]QUART!$A$2:$FA$315, 103, FALSE))</f>
        <v>:</v>
      </c>
      <c r="DA65" s="544" t="str">
        <f>IF(VLOOKUP($E$65,[1]QUART!$A$2:$FA$315, 104, FALSE)="",":",VLOOKUP($E$65,[1]QUART!$A$2:$FA$315, 104, FALSE))</f>
        <v>:</v>
      </c>
      <c r="DB65" s="544" t="str">
        <f>IF(VLOOKUP($E$65,[1]QUART!$A$2:$FA$315, 105, FALSE)="",":",VLOOKUP($E$65,[1]QUART!$A$2:$FA$315, 105, FALSE))</f>
        <v>:</v>
      </c>
      <c r="DC65" s="544" t="str">
        <f>IF(VLOOKUP($E$65,[1]QUART!$A$2:$FA$315, 106, FALSE)="",":",VLOOKUP($E$65,[1]QUART!$A$2:$FA$315, 106, FALSE))</f>
        <v>:</v>
      </c>
    </row>
    <row r="66" spans="1:107">
      <c r="A66" s="1954"/>
      <c r="B66" s="534"/>
      <c r="C66" s="535"/>
      <c r="D66" s="12" t="s">
        <v>1841</v>
      </c>
      <c r="E66" s="13">
        <v>133</v>
      </c>
      <c r="F66" s="14" t="str">
        <f>VLOOKUP($E$66,[1]QUART!$A$2:$FA$315, 3, FALSE)</f>
        <v xml:space="preserve">133  Exports of goods                              </v>
      </c>
      <c r="G66" s="544" t="str">
        <f>IF(VLOOKUP($E$66,[1]QUART!$A$2:$FA$315, 6, FALSE)="",":",VLOOKUP($E$66,[1]QUART!$A$2:$FA$315, 6, FALSE))</f>
        <v>:</v>
      </c>
      <c r="H66" s="544" t="str">
        <f>IF(VLOOKUP($E$66,[1]QUART!$A$2:$FA$315, 7, FALSE)="",":",VLOOKUP($E$66,[1]QUART!$A$2:$FA$315, 7, FALSE))</f>
        <v>:</v>
      </c>
      <c r="I66" s="544" t="str">
        <f>IF(VLOOKUP($E$66,[1]QUART!$A$2:$FA$315, 8, FALSE)="",":",VLOOKUP($E$66,[1]QUART!$A$2:$FA$315, 8, FALSE))</f>
        <v>:</v>
      </c>
      <c r="J66" s="544" t="str">
        <f>IF(VLOOKUP($E$66,[1]QUART!$A$2:$FA$315, 9, FALSE)="",":",VLOOKUP($E$66,[1]QUART!$A$2:$FA$315, 9, FALSE))</f>
        <v>:</v>
      </c>
      <c r="K66" s="544" t="str">
        <f>IF(VLOOKUP($E$66,[1]QUART!$A$2:$FA$315, 10, FALSE)="",":",VLOOKUP($E$66,[1]QUART!$A$2:$FA$315, 10, FALSE))</f>
        <v>:</v>
      </c>
      <c r="L66" s="544" t="str">
        <f>IF(VLOOKUP($E$66,[1]QUART!$A$2:$FA$315, 11, FALSE)="",":",VLOOKUP($E$66,[1]QUART!$A$2:$FA$315, 11, FALSE))</f>
        <v>:</v>
      </c>
      <c r="M66" s="544" t="str">
        <f>IF(VLOOKUP($E$66,[1]QUART!$A$2:$FA$315, 12, FALSE)="",":",VLOOKUP($E$66,[1]QUART!$A$2:$FA$315, 12, FALSE))</f>
        <v>:</v>
      </c>
      <c r="N66" s="544" t="str">
        <f>IF(VLOOKUP($E$66,[1]QUART!$A$2:$FA$315, 13, FALSE)="",":",VLOOKUP($E$66,[1]QUART!$A$2:$FA$315, 13, FALSE))</f>
        <v>:</v>
      </c>
      <c r="O66" s="544" t="str">
        <f>IF(VLOOKUP($E$66,[1]QUART!$A$2:$FA$315, 14, FALSE)="",":",VLOOKUP($E$66,[1]QUART!$A$2:$FA$315, 14, FALSE))</f>
        <v>:</v>
      </c>
      <c r="P66" s="544" t="str">
        <f>IF(VLOOKUP($E$66,[1]QUART!$A$2:$FA$315, 15, FALSE)="",":",VLOOKUP($E$66,[1]QUART!$A$2:$FA$315, 15, FALSE))</f>
        <v>:</v>
      </c>
      <c r="Q66" s="544" t="str">
        <f>IF(VLOOKUP($E$66,[1]QUART!$A$2:$FA$315, 16, FALSE)="",":",VLOOKUP($E$66,[1]QUART!$A$2:$FA$315, 16, FALSE))</f>
        <v>:</v>
      </c>
      <c r="R66" s="544" t="str">
        <f>IF(VLOOKUP($E$66,[1]QUART!$A$2:$FA$315, 17, FALSE)="",":",VLOOKUP($E$66,[1]QUART!$A$2:$FA$315, 17, FALSE))</f>
        <v>:</v>
      </c>
      <c r="S66" s="544" t="str">
        <f>IF(VLOOKUP($E$66,[1]QUART!$A$2:$FA$315, 18, FALSE)="",":",VLOOKUP($E$66,[1]QUART!$A$2:$FA$315, 18, FALSE))</f>
        <v>:</v>
      </c>
      <c r="T66" s="544" t="str">
        <f>IF(VLOOKUP($E$66,[1]QUART!$A$2:$FA$315, 19, FALSE)="",":",VLOOKUP($E$66,[1]QUART!$A$2:$FA$315, 19, FALSE))</f>
        <v>:</v>
      </c>
      <c r="U66" s="544" t="str">
        <f>IF(VLOOKUP($E$66,[1]QUART!$A$2:$FA$315, 20, FALSE)="",":",VLOOKUP($E$66,[1]QUART!$A$2:$FA$315, 20, FALSE))</f>
        <v>:</v>
      </c>
      <c r="V66" s="544" t="str">
        <f>IF(VLOOKUP($E$66,[1]QUART!$A$2:$FA$315, 21, FALSE)="",":",VLOOKUP($E$66,[1]QUART!$A$2:$FA$315, 21, FALSE))</f>
        <v>:</v>
      </c>
      <c r="W66" s="544" t="str">
        <f>IF(VLOOKUP($E$66,[1]QUART!$A$2:$FA$315, 22, FALSE)="",":",VLOOKUP($E$66,[1]QUART!$A$2:$FA$315, 22, FALSE))</f>
        <v>:</v>
      </c>
      <c r="X66" s="544" t="str">
        <f>IF(VLOOKUP($E$66,[1]QUART!$A$2:$FA$315, 23, FALSE)="",":",VLOOKUP($E$66,[1]QUART!$A$2:$FA$315, 23, FALSE))</f>
        <v>:</v>
      </c>
      <c r="Y66" s="544" t="str">
        <f>IF(VLOOKUP($E$66,[1]QUART!$A$2:$FA$315, 24, FALSE)="",":",VLOOKUP($E$66,[1]QUART!$A$2:$FA$315, 24, FALSE))</f>
        <v>:</v>
      </c>
      <c r="Z66" s="544" t="str">
        <f>IF(VLOOKUP($E$66,[1]QUART!$A$2:$FA$315, 25, FALSE)="",":",VLOOKUP($E$66,[1]QUART!$A$2:$FA$315, 25, FALSE))</f>
        <v>:</v>
      </c>
      <c r="AA66" s="544" t="str">
        <f>IF(VLOOKUP($E$66,[1]QUART!$A$2:$FA$315, 26, FALSE)="",":",VLOOKUP($E$66,[1]QUART!$A$2:$FA$315, 26, FALSE))</f>
        <v>:</v>
      </c>
      <c r="AB66" s="544" t="str">
        <f>IF(VLOOKUP($E$66,[1]QUART!$A$2:$FA$315, 27, FALSE)="",":",VLOOKUP($E$66,[1]QUART!$A$2:$FA$315, 27, FALSE))</f>
        <v>:</v>
      </c>
      <c r="AC66" s="544" t="str">
        <f>IF(VLOOKUP($E$66,[1]QUART!$A$2:$FA$315, 28, FALSE)="",":",VLOOKUP($E$66,[1]QUART!$A$2:$FA$315, 28, FALSE))</f>
        <v>:</v>
      </c>
      <c r="AD66" s="544" t="str">
        <f>IF(VLOOKUP($E$66,[1]QUART!$A$2:$FA$315, 29, FALSE)="",":",VLOOKUP($E$66,[1]QUART!$A$2:$FA$315, 29, FALSE))</f>
        <v>:</v>
      </c>
      <c r="AE66" s="544" t="str">
        <f>IF(VLOOKUP($E$66,[1]QUART!$A$2:$FA$315, 30, FALSE)="",":",VLOOKUP($E$66,[1]QUART!$A$2:$FA$315, 30, FALSE))</f>
        <v>:</v>
      </c>
      <c r="AF66" s="544" t="str">
        <f>IF(VLOOKUP($E$66,[1]QUART!$A$2:$FA$315, 31, FALSE)="",":",VLOOKUP($E$66,[1]QUART!$A$2:$FA$315, 31, FALSE))</f>
        <v>:</v>
      </c>
      <c r="AG66" s="544" t="str">
        <f>IF(VLOOKUP($E$66,[1]QUART!$A$2:$FA$315, 32, FALSE)="",":",VLOOKUP($E$66,[1]QUART!$A$2:$FA$315, 32, FALSE))</f>
        <v>:</v>
      </c>
      <c r="AH66" s="544" t="str">
        <f>IF(VLOOKUP($E$66,[1]QUART!$A$2:$FA$315, 33, FALSE)="",":",VLOOKUP($E$66,[1]QUART!$A$2:$FA$315, 33, FALSE))</f>
        <v>:</v>
      </c>
      <c r="AI66" s="544" t="str">
        <f>IF(VLOOKUP($E$66,[1]QUART!$A$2:$FA$315, 34, FALSE)="",":",VLOOKUP($E$66,[1]QUART!$A$2:$FA$315, 34, FALSE))</f>
        <v>:</v>
      </c>
      <c r="AJ66" s="544" t="str">
        <f>IF(VLOOKUP($E$66,[1]QUART!$A$2:$FA$315, 35, FALSE)="",":",VLOOKUP($E$66,[1]QUART!$A$2:$FA$315, 35, FALSE))</f>
        <v>:</v>
      </c>
      <c r="AK66" s="544" t="str">
        <f>IF(VLOOKUP($E$66,[1]QUART!$A$2:$FA$315, 36, FALSE)="",":",VLOOKUP($E$66,[1]QUART!$A$2:$FA$315, 36, FALSE))</f>
        <v>:</v>
      </c>
      <c r="AL66" s="544" t="str">
        <f>IF(VLOOKUP($E$66,[1]QUART!$A$2:$FA$315, 37, FALSE)="",":",VLOOKUP($E$66,[1]QUART!$A$2:$FA$315, 37, FALSE))</f>
        <v>:</v>
      </c>
      <c r="AM66" s="544" t="str">
        <f>IF(VLOOKUP($E$66,[1]QUART!$A$2:$FA$315, 38, FALSE)="",":",VLOOKUP($E$66,[1]QUART!$A$2:$FA$315, 38, FALSE))</f>
        <v>:</v>
      </c>
      <c r="AN66" s="544" t="str">
        <f>IF(VLOOKUP($E$66,[1]QUART!$A$2:$FA$315, 39, FALSE)="",":",VLOOKUP($E$66,[1]QUART!$A$2:$FA$315, 39, FALSE))</f>
        <v>:</v>
      </c>
      <c r="AO66" s="544" t="str">
        <f>IF(VLOOKUP($E$66,[1]QUART!$A$2:$FA$315, 40, FALSE)="",":",VLOOKUP($E$66,[1]QUART!$A$2:$FA$315, 40, FALSE))</f>
        <v>:</v>
      </c>
      <c r="AP66" s="544" t="str">
        <f>IF(VLOOKUP($E$66,[1]QUART!$A$2:$FA$315, 41, FALSE)="",":",VLOOKUP($E$66,[1]QUART!$A$2:$FA$315, 41, FALSE))</f>
        <v>:</v>
      </c>
      <c r="AQ66" s="544" t="str">
        <f>IF(VLOOKUP($E$66,[1]QUART!$A$2:$FA$315, 42, FALSE)="",":",VLOOKUP($E$66,[1]QUART!$A$2:$FA$315, 42, FALSE))</f>
        <v>:</v>
      </c>
      <c r="AR66" s="544" t="str">
        <f>IF(VLOOKUP($E$66,[1]QUART!$A$2:$FA$315, 43, FALSE)="",":",VLOOKUP($E$66,[1]QUART!$A$2:$FA$315, 43, FALSE))</f>
        <v>:</v>
      </c>
      <c r="AS66" s="544" t="str">
        <f>IF(VLOOKUP($E$66,[1]QUART!$A$2:$FA$315, 44, FALSE)="",":",VLOOKUP($E$66,[1]QUART!$A$2:$FA$315, 44, FALSE))</f>
        <v>:</v>
      </c>
      <c r="AT66" s="544" t="str">
        <f>IF(VLOOKUP($E$66,[1]QUART!$A$2:$FA$315, 45, FALSE)="",":",VLOOKUP($E$66,[1]QUART!$A$2:$FA$315, 45, FALSE))</f>
        <v>:</v>
      </c>
      <c r="AU66" s="544" t="str">
        <f>IF(VLOOKUP($E$66,[1]QUART!$A$2:$FA$315, 46, FALSE)="",":",VLOOKUP($E$66,[1]QUART!$A$2:$FA$315, 46, FALSE))</f>
        <v>:</v>
      </c>
      <c r="AV66" s="544" t="str">
        <f>IF(VLOOKUP($E$66,[1]QUART!$A$2:$FA$315, 47, FALSE)="",":",VLOOKUP($E$66,[1]QUART!$A$2:$FA$315, 47, FALSE))</f>
        <v>:</v>
      </c>
      <c r="AW66" s="544" t="str">
        <f>IF(VLOOKUP($E$66,[1]QUART!$A$2:$FA$315, 48, FALSE)="",":",VLOOKUP($E$66,[1]QUART!$A$2:$FA$315, 48, FALSE))</f>
        <v>:</v>
      </c>
      <c r="AX66" s="544" t="str">
        <f>IF(VLOOKUP($E$66,[1]QUART!$A$2:$FA$315, 49, FALSE)="",":",VLOOKUP($E$66,[1]QUART!$A$2:$FA$315, 49, FALSE))</f>
        <v>:</v>
      </c>
      <c r="AY66" s="544" t="str">
        <f>IF(VLOOKUP($E$66,[1]QUART!$A$2:$FA$315, 50, FALSE)="",":",VLOOKUP($E$66,[1]QUART!$A$2:$FA$315, 50, FALSE))</f>
        <v>:</v>
      </c>
      <c r="AZ66" s="544" t="str">
        <f>IF(VLOOKUP($E$66,[1]QUART!$A$2:$FA$315, 51, FALSE)="",":",VLOOKUP($E$66,[1]QUART!$A$2:$FA$315, 51, FALSE))</f>
        <v>:</v>
      </c>
      <c r="BA66" s="544" t="str">
        <f>IF(VLOOKUP($E$66,[1]QUART!$A$2:$FA$315, 52, FALSE)="",":",VLOOKUP($E$66,[1]QUART!$A$2:$FA$315, 52, FALSE))</f>
        <v>:</v>
      </c>
      <c r="BB66" s="544" t="str">
        <f>IF(VLOOKUP($E$66,[1]QUART!$A$2:$FA$315, 53, FALSE)="",":",VLOOKUP($E$66,[1]QUART!$A$2:$FA$315, 53, FALSE))</f>
        <v>:</v>
      </c>
      <c r="BC66" s="544" t="str">
        <f>IF(VLOOKUP($E$66,[1]QUART!$A$2:$FA$315, 54, FALSE)="",":",VLOOKUP($E$66,[1]QUART!$A$2:$FA$315, 54, FALSE))</f>
        <v>:</v>
      </c>
      <c r="BD66" s="544" t="str">
        <f>IF(VLOOKUP($E$66,[1]QUART!$A$2:$FA$315, 55, FALSE)="",":",VLOOKUP($E$66,[1]QUART!$A$2:$FA$315, 55, FALSE))</f>
        <v>:</v>
      </c>
      <c r="BE66" s="544" t="str">
        <f>IF(VLOOKUP($E$66,[1]QUART!$A$2:$FA$315, 56, FALSE)="",":",VLOOKUP($E$66,[1]QUART!$A$2:$FA$315, 56, FALSE))</f>
        <v>:</v>
      </c>
      <c r="BF66" s="544" t="str">
        <f>IF(VLOOKUP($E$66,[1]QUART!$A$2:$FA$315, 57, FALSE)="",":",VLOOKUP($E$66,[1]QUART!$A$2:$FA$315, 57, FALSE))</f>
        <v>:</v>
      </c>
      <c r="BG66" s="544" t="str">
        <f>IF(VLOOKUP($E$66,[1]QUART!$A$2:$FA$315, 58, FALSE)="",":",VLOOKUP($E$66,[1]QUART!$A$2:$FA$315, 58, FALSE))</f>
        <v>:</v>
      </c>
      <c r="BH66" s="544" t="str">
        <f>IF(VLOOKUP($E$66,[1]QUART!$A$2:$FA$315, 59, FALSE)="",":",VLOOKUP($E$66,[1]QUART!$A$2:$FA$315, 59, FALSE))</f>
        <v>:</v>
      </c>
      <c r="BI66" s="544" t="str">
        <f>IF(VLOOKUP($E$66,[1]QUART!$A$2:$FA$315, 60, FALSE)="",":",VLOOKUP($E$66,[1]QUART!$A$2:$FA$315, 60, FALSE))</f>
        <v>:</v>
      </c>
      <c r="BJ66" s="544" t="str">
        <f>IF(VLOOKUP($E$66,[1]QUART!$A$2:$FA$315, 61, FALSE)="",":",VLOOKUP($E$66,[1]QUART!$A$2:$FA$315, 61, FALSE))</f>
        <v>:</v>
      </c>
      <c r="BK66" s="544" t="str">
        <f>IF(VLOOKUP($E$66,[1]QUART!$A$2:$FA$315, 62, FALSE)="",":",VLOOKUP($E$66,[1]QUART!$A$2:$FA$315, 62, FALSE))</f>
        <v>:</v>
      </c>
      <c r="BL66" s="544" t="str">
        <f>IF(VLOOKUP($E$66,[1]QUART!$A$2:$FA$315, 63, FALSE)="",":",VLOOKUP($E$66,[1]QUART!$A$2:$FA$315, 63, FALSE))</f>
        <v>:</v>
      </c>
      <c r="BM66" s="544" t="str">
        <f>IF(VLOOKUP($E$66,[1]QUART!$A$2:$FA$315, 64, FALSE)="",":",VLOOKUP($E$66,[1]QUART!$A$2:$FA$315, 64, FALSE))</f>
        <v>:</v>
      </c>
      <c r="BN66" s="544" t="str">
        <f>IF(VLOOKUP($E$66,[1]QUART!$A$2:$FA$315, 65, FALSE)="",":",VLOOKUP($E$66,[1]QUART!$A$2:$FA$315, 65, FALSE))</f>
        <v>:</v>
      </c>
      <c r="BO66" s="544" t="str">
        <f>IF(VLOOKUP($E$66,[1]QUART!$A$2:$FA$315, 66, FALSE)="",":",VLOOKUP($E$66,[1]QUART!$A$2:$FA$315, 66, FALSE))</f>
        <v>:</v>
      </c>
      <c r="BP66" s="544" t="str">
        <f>IF(VLOOKUP($E$66,[1]QUART!$A$2:$FA$315, 67, FALSE)="",":",VLOOKUP($E$66,[1]QUART!$A$2:$FA$315, 67, FALSE))</f>
        <v>:</v>
      </c>
      <c r="BQ66" s="544" t="str">
        <f>IF(VLOOKUP($E$66,[1]QUART!$A$2:$FA$315, 68, FALSE)="",":",VLOOKUP($E$66,[1]QUART!$A$2:$FA$315, 68, FALSE))</f>
        <v>:</v>
      </c>
      <c r="BR66" s="544" t="str">
        <f>IF(VLOOKUP($E$66,[1]QUART!$A$2:$FA$315, 69, FALSE)="",":",VLOOKUP($E$66,[1]QUART!$A$2:$FA$315, 69, FALSE))</f>
        <v>:</v>
      </c>
      <c r="BS66" s="544" t="str">
        <f>IF(VLOOKUP($E$66,[1]QUART!$A$2:$FA$315, 70, FALSE)="",":",VLOOKUP($E$66,[1]QUART!$A$2:$FA$315, 70, FALSE))</f>
        <v>:</v>
      </c>
      <c r="BT66" s="544" t="str">
        <f>IF(VLOOKUP($E$66,[1]QUART!$A$2:$FA$315, 71, FALSE)="",":",VLOOKUP($E$66,[1]QUART!$A$2:$FA$315, 71, FALSE))</f>
        <v>:</v>
      </c>
      <c r="BU66" s="544" t="str">
        <f>IF(VLOOKUP($E$66,[1]QUART!$A$2:$FA$315, 72, FALSE)="",":",VLOOKUP($E$66,[1]QUART!$A$2:$FA$315, 72, FALSE))</f>
        <v>:</v>
      </c>
      <c r="BV66" s="544" t="str">
        <f>IF(VLOOKUP($E$66,[1]QUART!$A$2:$FA$315, 73, FALSE)="",":",VLOOKUP($E$66,[1]QUART!$A$2:$FA$315, 73, FALSE))</f>
        <v>:</v>
      </c>
      <c r="BW66" s="544" t="str">
        <f>IF(VLOOKUP($E$66,[1]QUART!$A$2:$FA$315, 74, FALSE)="",":",VLOOKUP($E$66,[1]QUART!$A$2:$FA$315, 74, FALSE))</f>
        <v>:</v>
      </c>
      <c r="BX66" s="544" t="str">
        <f>IF(VLOOKUP($E$66,[1]QUART!$A$2:$FA$315, 75, FALSE)="",":",VLOOKUP($E$66,[1]QUART!$A$2:$FA$315, 75, FALSE))</f>
        <v>:</v>
      </c>
      <c r="BY66" s="544" t="str">
        <f>IF(VLOOKUP($E$66,[1]QUART!$A$2:$FA$315, 76, FALSE)="",":",VLOOKUP($E$66,[1]QUART!$A$2:$FA$315, 76, FALSE))</f>
        <v>:</v>
      </c>
      <c r="BZ66" s="544" t="str">
        <f>IF(VLOOKUP($E$66,[1]QUART!$A$2:$FA$315, 77, FALSE)="",":",VLOOKUP($E$66,[1]QUART!$A$2:$FA$315, 77, FALSE))</f>
        <v>:</v>
      </c>
      <c r="CA66" s="544" t="str">
        <f>IF(VLOOKUP($E$66,[1]QUART!$A$2:$FA$315, 78, FALSE)="",":",VLOOKUP($E$66,[1]QUART!$A$2:$FA$315, 78, FALSE))</f>
        <v>:</v>
      </c>
      <c r="CB66" s="544" t="str">
        <f>IF(VLOOKUP($E$66,[1]QUART!$A$2:$FA$315, 79, FALSE)="",":",VLOOKUP($E$66,[1]QUART!$A$2:$FA$315, 79, FALSE))</f>
        <v>:</v>
      </c>
      <c r="CC66" s="544" t="str">
        <f>IF(VLOOKUP($E$66,[1]QUART!$A$2:$FA$315, 80, FALSE)="",":",VLOOKUP($E$66,[1]QUART!$A$2:$FA$315, 80, FALSE))</f>
        <v>:</v>
      </c>
      <c r="CD66" s="544" t="str">
        <f>IF(VLOOKUP($E$66,[1]QUART!$A$2:$FA$315, 81, FALSE)="",":",VLOOKUP($E$66,[1]QUART!$A$2:$FA$315, 81, FALSE))</f>
        <v>:</v>
      </c>
      <c r="CE66" s="544" t="str">
        <f>IF(VLOOKUP($E$66,[1]QUART!$A$2:$FA$315, 82, FALSE)="",":",VLOOKUP($E$66,[1]QUART!$A$2:$FA$315, 82, FALSE))</f>
        <v>:</v>
      </c>
      <c r="CF66" s="544" t="str">
        <f>IF(VLOOKUP($E$66,[1]QUART!$A$2:$FA$315, 83, FALSE)="",":",VLOOKUP($E$66,[1]QUART!$A$2:$FA$315, 83, FALSE))</f>
        <v>:</v>
      </c>
      <c r="CG66" s="544" t="str">
        <f>IF(VLOOKUP($E$66,[1]QUART!$A$2:$FA$315, 84, FALSE)="",":",VLOOKUP($E$66,[1]QUART!$A$2:$FA$315, 84, FALSE))</f>
        <v>:</v>
      </c>
      <c r="CH66" s="544" t="str">
        <f>IF(VLOOKUP($E$66,[1]QUART!$A$2:$FA$315, 85, FALSE)="",":",VLOOKUP($E$66,[1]QUART!$A$2:$FA$315, 85, FALSE))</f>
        <v>:</v>
      </c>
      <c r="CI66" s="544" t="str">
        <f>IF(VLOOKUP($E$66,[1]QUART!$A$2:$FA$315, 86, FALSE)="",":",VLOOKUP($E$66,[1]QUART!$A$2:$FA$315, 86, FALSE))</f>
        <v>:</v>
      </c>
      <c r="CJ66" s="544" t="str">
        <f>IF(VLOOKUP($E$66,[1]QUART!$A$2:$FA$315, 87, FALSE)="",":",VLOOKUP($E$66,[1]QUART!$A$2:$FA$315, 87, FALSE))</f>
        <v>:</v>
      </c>
      <c r="CK66" s="544" t="str">
        <f>IF(VLOOKUP($E$66,[1]QUART!$A$2:$FA$315, 88, FALSE)="",":",VLOOKUP($E$66,[1]QUART!$A$2:$FA$315, 88, FALSE))</f>
        <v>:</v>
      </c>
      <c r="CL66" s="544" t="str">
        <f>IF(VLOOKUP($E$66,[1]QUART!$A$2:$FA$315, 89, FALSE)="",":",VLOOKUP($E$66,[1]QUART!$A$2:$FA$315, 89, FALSE))</f>
        <v>:</v>
      </c>
      <c r="CM66" s="544" t="str">
        <f>IF(VLOOKUP($E$66,[1]QUART!$A$2:$FA$315, 90, FALSE)="",":",VLOOKUP($E$66,[1]QUART!$A$2:$FA$315, 90, FALSE))</f>
        <v>:</v>
      </c>
      <c r="CN66" s="544" t="str">
        <f>IF(VLOOKUP($E$66,[1]QUART!$A$2:$FA$315, 91, FALSE)="",":",VLOOKUP($E$66,[1]QUART!$A$2:$FA$315, 91, FALSE))</f>
        <v>:</v>
      </c>
      <c r="CO66" s="544" t="str">
        <f>IF(VLOOKUP($E$66,[1]QUART!$A$2:$FA$315, 92, FALSE)="",":",VLOOKUP($E$66,[1]QUART!$A$2:$FA$315, 92, FALSE))</f>
        <v>:</v>
      </c>
      <c r="CP66" s="544" t="str">
        <f>IF(VLOOKUP($E$66,[1]QUART!$A$2:$FA$315, 93, FALSE)="",":",VLOOKUP($E$66,[1]QUART!$A$2:$FA$315, 93, FALSE))</f>
        <v>:</v>
      </c>
      <c r="CQ66" s="544" t="str">
        <f>IF(VLOOKUP($E$66,[1]QUART!$A$2:$FA$315, 94, FALSE)="",":",VLOOKUP($E$66,[1]QUART!$A$2:$FA$315, 94, FALSE))</f>
        <v>:</v>
      </c>
      <c r="CR66" s="544" t="str">
        <f>IF(VLOOKUP($E$66,[1]QUART!$A$2:$FA$315, 95, FALSE)="",":",VLOOKUP($E$66,[1]QUART!$A$2:$FA$315, 95, FALSE))</f>
        <v>:</v>
      </c>
      <c r="CS66" s="544" t="str">
        <f>IF(VLOOKUP($E$66,[1]QUART!$A$2:$FA$315, 96, FALSE)="",":",VLOOKUP($E$66,[1]QUART!$A$2:$FA$315, 96, FALSE))</f>
        <v>:</v>
      </c>
      <c r="CT66" s="544" t="str">
        <f>IF(VLOOKUP($E$66,[1]QUART!$A$2:$FA$315, 97, FALSE)="",":",VLOOKUP($E$66,[1]QUART!$A$2:$FA$315, 97, FALSE))</f>
        <v>:</v>
      </c>
      <c r="CU66" s="544" t="str">
        <f>IF(VLOOKUP($E$66,[1]QUART!$A$2:$FA$315, 98, FALSE)="",":",VLOOKUP($E$66,[1]QUART!$A$2:$FA$315, 98, FALSE))</f>
        <v>:</v>
      </c>
      <c r="CV66" s="544" t="str">
        <f>IF(VLOOKUP($E$66,[1]QUART!$A$2:$FA$315, 99, FALSE)="",":",VLOOKUP($E$66,[1]QUART!$A$2:$FA$315, 99, FALSE))</f>
        <v>:</v>
      </c>
      <c r="CW66" s="544" t="str">
        <f>IF(VLOOKUP($E$66,[1]QUART!$A$2:$FA$315, 100, FALSE)="",":",VLOOKUP($E$66,[1]QUART!$A$2:$FA$315, 100, FALSE))</f>
        <v>:</v>
      </c>
      <c r="CX66" s="544" t="str">
        <f>IF(VLOOKUP($E$66,[1]QUART!$A$2:$FA$315, 101, FALSE)="",":",VLOOKUP($E$66,[1]QUART!$A$2:$FA$315, 101, FALSE))</f>
        <v>:</v>
      </c>
      <c r="CY66" s="544" t="str">
        <f>IF(VLOOKUP($E$66,[1]QUART!$A$2:$FA$315, 102, FALSE)="",":",VLOOKUP($E$66,[1]QUART!$A$2:$FA$315, 102, FALSE))</f>
        <v>:</v>
      </c>
      <c r="CZ66" s="544" t="str">
        <f>IF(VLOOKUP($E$66,[1]QUART!$A$2:$FA$315, 103, FALSE)="",":",VLOOKUP($E$66,[1]QUART!$A$2:$FA$315, 103, FALSE))</f>
        <v>:</v>
      </c>
      <c r="DA66" s="544" t="str">
        <f>IF(VLOOKUP($E$66,[1]QUART!$A$2:$FA$315, 104, FALSE)="",":",VLOOKUP($E$66,[1]QUART!$A$2:$FA$315, 104, FALSE))</f>
        <v>:</v>
      </c>
      <c r="DB66" s="544" t="str">
        <f>IF(VLOOKUP($E$66,[1]QUART!$A$2:$FA$315, 105, FALSE)="",":",VLOOKUP($E$66,[1]QUART!$A$2:$FA$315, 105, FALSE))</f>
        <v>:</v>
      </c>
      <c r="DC66" s="544" t="str">
        <f>IF(VLOOKUP($E$66,[1]QUART!$A$2:$FA$315, 106, FALSE)="",":",VLOOKUP($E$66,[1]QUART!$A$2:$FA$315, 106, FALSE))</f>
        <v>:</v>
      </c>
    </row>
    <row r="67" spans="1:107">
      <c r="A67" s="1954"/>
      <c r="B67" s="534"/>
      <c r="C67" s="535"/>
      <c r="D67" s="12" t="s">
        <v>1841</v>
      </c>
      <c r="E67" s="13">
        <v>134</v>
      </c>
      <c r="F67" s="14" t="str">
        <f>VLOOKUP($E$67,[1]QUART!$A$2:$FA$315, 3, FALSE)</f>
        <v xml:space="preserve">134  Exports of services                                                   </v>
      </c>
      <c r="G67" s="544" t="str">
        <f>IF(VLOOKUP($E$67,[1]QUART!$A$2:$FA$315, 6, FALSE)="",":",VLOOKUP($E$67,[1]QUART!$A$2:$FA$315, 6, FALSE))</f>
        <v>:</v>
      </c>
      <c r="H67" s="544" t="str">
        <f>IF(VLOOKUP($E$67,[1]QUART!$A$2:$FA$315, 7, FALSE)="",":",VLOOKUP($E$67,[1]QUART!$A$2:$FA$315, 7, FALSE))</f>
        <v>:</v>
      </c>
      <c r="I67" s="544" t="str">
        <f>IF(VLOOKUP($E$67,[1]QUART!$A$2:$FA$315, 8, FALSE)="",":",VLOOKUP($E$67,[1]QUART!$A$2:$FA$315, 8, FALSE))</f>
        <v>:</v>
      </c>
      <c r="J67" s="544" t="str">
        <f>IF(VLOOKUP($E$67,[1]QUART!$A$2:$FA$315, 9, FALSE)="",":",VLOOKUP($E$67,[1]QUART!$A$2:$FA$315, 9, FALSE))</f>
        <v>:</v>
      </c>
      <c r="K67" s="544" t="str">
        <f>IF(VLOOKUP($E$67,[1]QUART!$A$2:$FA$315, 10, FALSE)="",":",VLOOKUP($E$67,[1]QUART!$A$2:$FA$315, 10, FALSE))</f>
        <v>:</v>
      </c>
      <c r="L67" s="544" t="str">
        <f>IF(VLOOKUP($E$67,[1]QUART!$A$2:$FA$315, 11, FALSE)="",":",VLOOKUP($E$67,[1]QUART!$A$2:$FA$315, 11, FALSE))</f>
        <v>:</v>
      </c>
      <c r="M67" s="544" t="str">
        <f>IF(VLOOKUP($E$67,[1]QUART!$A$2:$FA$315, 12, FALSE)="",":",VLOOKUP($E$67,[1]QUART!$A$2:$FA$315, 12, FALSE))</f>
        <v>:</v>
      </c>
      <c r="N67" s="544" t="str">
        <f>IF(VLOOKUP($E$67,[1]QUART!$A$2:$FA$315, 13, FALSE)="",":",VLOOKUP($E$67,[1]QUART!$A$2:$FA$315, 13, FALSE))</f>
        <v>:</v>
      </c>
      <c r="O67" s="544" t="str">
        <f>IF(VLOOKUP($E$67,[1]QUART!$A$2:$FA$315, 14, FALSE)="",":",VLOOKUP($E$67,[1]QUART!$A$2:$FA$315, 14, FALSE))</f>
        <v>:</v>
      </c>
      <c r="P67" s="544" t="str">
        <f>IF(VLOOKUP($E$67,[1]QUART!$A$2:$FA$315, 15, FALSE)="",":",VLOOKUP($E$67,[1]QUART!$A$2:$FA$315, 15, FALSE))</f>
        <v>:</v>
      </c>
      <c r="Q67" s="544" t="str">
        <f>IF(VLOOKUP($E$67,[1]QUART!$A$2:$FA$315, 16, FALSE)="",":",VLOOKUP($E$67,[1]QUART!$A$2:$FA$315, 16, FALSE))</f>
        <v>:</v>
      </c>
      <c r="R67" s="544" t="str">
        <f>IF(VLOOKUP($E$67,[1]QUART!$A$2:$FA$315, 17, FALSE)="",":",VLOOKUP($E$67,[1]QUART!$A$2:$FA$315, 17, FALSE))</f>
        <v>:</v>
      </c>
      <c r="S67" s="544" t="str">
        <f>IF(VLOOKUP($E$67,[1]QUART!$A$2:$FA$315, 18, FALSE)="",":",VLOOKUP($E$67,[1]QUART!$A$2:$FA$315, 18, FALSE))</f>
        <v>:</v>
      </c>
      <c r="T67" s="544" t="str">
        <f>IF(VLOOKUP($E$67,[1]QUART!$A$2:$FA$315, 19, FALSE)="",":",VLOOKUP($E$67,[1]QUART!$A$2:$FA$315, 19, FALSE))</f>
        <v>:</v>
      </c>
      <c r="U67" s="544" t="str">
        <f>IF(VLOOKUP($E$67,[1]QUART!$A$2:$FA$315, 20, FALSE)="",":",VLOOKUP($E$67,[1]QUART!$A$2:$FA$315, 20, FALSE))</f>
        <v>:</v>
      </c>
      <c r="V67" s="544" t="str">
        <f>IF(VLOOKUP($E$67,[1]QUART!$A$2:$FA$315, 21, FALSE)="",":",VLOOKUP($E$67,[1]QUART!$A$2:$FA$315, 21, FALSE))</f>
        <v>:</v>
      </c>
      <c r="W67" s="544" t="str">
        <f>IF(VLOOKUP($E$67,[1]QUART!$A$2:$FA$315, 22, FALSE)="",":",VLOOKUP($E$67,[1]QUART!$A$2:$FA$315, 22, FALSE))</f>
        <v>:</v>
      </c>
      <c r="X67" s="544" t="str">
        <f>IF(VLOOKUP($E$67,[1]QUART!$A$2:$FA$315, 23, FALSE)="",":",VLOOKUP($E$67,[1]QUART!$A$2:$FA$315, 23, FALSE))</f>
        <v>:</v>
      </c>
      <c r="Y67" s="544" t="str">
        <f>IF(VLOOKUP($E$67,[1]QUART!$A$2:$FA$315, 24, FALSE)="",":",VLOOKUP($E$67,[1]QUART!$A$2:$FA$315, 24, FALSE))</f>
        <v>:</v>
      </c>
      <c r="Z67" s="544" t="str">
        <f>IF(VLOOKUP($E$67,[1]QUART!$A$2:$FA$315, 25, FALSE)="",":",VLOOKUP($E$67,[1]QUART!$A$2:$FA$315, 25, FALSE))</f>
        <v>:</v>
      </c>
      <c r="AA67" s="544" t="str">
        <f>IF(VLOOKUP($E$67,[1]QUART!$A$2:$FA$315, 26, FALSE)="",":",VLOOKUP($E$67,[1]QUART!$A$2:$FA$315, 26, FALSE))</f>
        <v>:</v>
      </c>
      <c r="AB67" s="544" t="str">
        <f>IF(VLOOKUP($E$67,[1]QUART!$A$2:$FA$315, 27, FALSE)="",":",VLOOKUP($E$67,[1]QUART!$A$2:$FA$315, 27, FALSE))</f>
        <v>:</v>
      </c>
      <c r="AC67" s="544" t="str">
        <f>IF(VLOOKUP($E$67,[1]QUART!$A$2:$FA$315, 28, FALSE)="",":",VLOOKUP($E$67,[1]QUART!$A$2:$FA$315, 28, FALSE))</f>
        <v>:</v>
      </c>
      <c r="AD67" s="544" t="str">
        <f>IF(VLOOKUP($E$67,[1]QUART!$A$2:$FA$315, 29, FALSE)="",":",VLOOKUP($E$67,[1]QUART!$A$2:$FA$315, 29, FALSE))</f>
        <v>:</v>
      </c>
      <c r="AE67" s="544" t="str">
        <f>IF(VLOOKUP($E$67,[1]QUART!$A$2:$FA$315, 30, FALSE)="",":",VLOOKUP($E$67,[1]QUART!$A$2:$FA$315, 30, FALSE))</f>
        <v>:</v>
      </c>
      <c r="AF67" s="544" t="str">
        <f>IF(VLOOKUP($E$67,[1]QUART!$A$2:$FA$315, 31, FALSE)="",":",VLOOKUP($E$67,[1]QUART!$A$2:$FA$315, 31, FALSE))</f>
        <v>:</v>
      </c>
      <c r="AG67" s="544" t="str">
        <f>IF(VLOOKUP($E$67,[1]QUART!$A$2:$FA$315, 32, FALSE)="",":",VLOOKUP($E$67,[1]QUART!$A$2:$FA$315, 32, FALSE))</f>
        <v>:</v>
      </c>
      <c r="AH67" s="544" t="str">
        <f>IF(VLOOKUP($E$67,[1]QUART!$A$2:$FA$315, 33, FALSE)="",":",VLOOKUP($E$67,[1]QUART!$A$2:$FA$315, 33, FALSE))</f>
        <v>:</v>
      </c>
      <c r="AI67" s="544" t="str">
        <f>IF(VLOOKUP($E$67,[1]QUART!$A$2:$FA$315, 34, FALSE)="",":",VLOOKUP($E$67,[1]QUART!$A$2:$FA$315, 34, FALSE))</f>
        <v>:</v>
      </c>
      <c r="AJ67" s="544" t="str">
        <f>IF(VLOOKUP($E$67,[1]QUART!$A$2:$FA$315, 35, FALSE)="",":",VLOOKUP($E$67,[1]QUART!$A$2:$FA$315, 35, FALSE))</f>
        <v>:</v>
      </c>
      <c r="AK67" s="544" t="str">
        <f>IF(VLOOKUP($E$67,[1]QUART!$A$2:$FA$315, 36, FALSE)="",":",VLOOKUP($E$67,[1]QUART!$A$2:$FA$315, 36, FALSE))</f>
        <v>:</v>
      </c>
      <c r="AL67" s="544" t="str">
        <f>IF(VLOOKUP($E$67,[1]QUART!$A$2:$FA$315, 37, FALSE)="",":",VLOOKUP($E$67,[1]QUART!$A$2:$FA$315, 37, FALSE))</f>
        <v>:</v>
      </c>
      <c r="AM67" s="544" t="str">
        <f>IF(VLOOKUP($E$67,[1]QUART!$A$2:$FA$315, 38, FALSE)="",":",VLOOKUP($E$67,[1]QUART!$A$2:$FA$315, 38, FALSE))</f>
        <v>:</v>
      </c>
      <c r="AN67" s="544" t="str">
        <f>IF(VLOOKUP($E$67,[1]QUART!$A$2:$FA$315, 39, FALSE)="",":",VLOOKUP($E$67,[1]QUART!$A$2:$FA$315, 39, FALSE))</f>
        <v>:</v>
      </c>
      <c r="AO67" s="544" t="str">
        <f>IF(VLOOKUP($E$67,[1]QUART!$A$2:$FA$315, 40, FALSE)="",":",VLOOKUP($E$67,[1]QUART!$A$2:$FA$315, 40, FALSE))</f>
        <v>:</v>
      </c>
      <c r="AP67" s="544" t="str">
        <f>IF(VLOOKUP($E$67,[1]QUART!$A$2:$FA$315, 41, FALSE)="",":",VLOOKUP($E$67,[1]QUART!$A$2:$FA$315, 41, FALSE))</f>
        <v>:</v>
      </c>
      <c r="AQ67" s="544" t="str">
        <f>IF(VLOOKUP($E$67,[1]QUART!$A$2:$FA$315, 42, FALSE)="",":",VLOOKUP($E$67,[1]QUART!$A$2:$FA$315, 42, FALSE))</f>
        <v>:</v>
      </c>
      <c r="AR67" s="544" t="str">
        <f>IF(VLOOKUP($E$67,[1]QUART!$A$2:$FA$315, 43, FALSE)="",":",VLOOKUP($E$67,[1]QUART!$A$2:$FA$315, 43, FALSE))</f>
        <v>:</v>
      </c>
      <c r="AS67" s="544" t="str">
        <f>IF(VLOOKUP($E$67,[1]QUART!$A$2:$FA$315, 44, FALSE)="",":",VLOOKUP($E$67,[1]QUART!$A$2:$FA$315, 44, FALSE))</f>
        <v>:</v>
      </c>
      <c r="AT67" s="544" t="str">
        <f>IF(VLOOKUP($E$67,[1]QUART!$A$2:$FA$315, 45, FALSE)="",":",VLOOKUP($E$67,[1]QUART!$A$2:$FA$315, 45, FALSE))</f>
        <v>:</v>
      </c>
      <c r="AU67" s="544" t="str">
        <f>IF(VLOOKUP($E$67,[1]QUART!$A$2:$FA$315, 46, FALSE)="",":",VLOOKUP($E$67,[1]QUART!$A$2:$FA$315, 46, FALSE))</f>
        <v>:</v>
      </c>
      <c r="AV67" s="544" t="str">
        <f>IF(VLOOKUP($E$67,[1]QUART!$A$2:$FA$315, 47, FALSE)="",":",VLOOKUP($E$67,[1]QUART!$A$2:$FA$315, 47, FALSE))</f>
        <v>:</v>
      </c>
      <c r="AW67" s="544" t="str">
        <f>IF(VLOOKUP($E$67,[1]QUART!$A$2:$FA$315, 48, FALSE)="",":",VLOOKUP($E$67,[1]QUART!$A$2:$FA$315, 48, FALSE))</f>
        <v>:</v>
      </c>
      <c r="AX67" s="544" t="str">
        <f>IF(VLOOKUP($E$67,[1]QUART!$A$2:$FA$315, 49, FALSE)="",":",VLOOKUP($E$67,[1]QUART!$A$2:$FA$315, 49, FALSE))</f>
        <v>:</v>
      </c>
      <c r="AY67" s="544" t="str">
        <f>IF(VLOOKUP($E$67,[1]QUART!$A$2:$FA$315, 50, FALSE)="",":",VLOOKUP($E$67,[1]QUART!$A$2:$FA$315, 50, FALSE))</f>
        <v>:</v>
      </c>
      <c r="AZ67" s="544" t="str">
        <f>IF(VLOOKUP($E$67,[1]QUART!$A$2:$FA$315, 51, FALSE)="",":",VLOOKUP($E$67,[1]QUART!$A$2:$FA$315, 51, FALSE))</f>
        <v>:</v>
      </c>
      <c r="BA67" s="544" t="str">
        <f>IF(VLOOKUP($E$67,[1]QUART!$A$2:$FA$315, 52, FALSE)="",":",VLOOKUP($E$67,[1]QUART!$A$2:$FA$315, 52, FALSE))</f>
        <v>:</v>
      </c>
      <c r="BB67" s="544" t="str">
        <f>IF(VLOOKUP($E$67,[1]QUART!$A$2:$FA$315, 53, FALSE)="",":",VLOOKUP($E$67,[1]QUART!$A$2:$FA$315, 53, FALSE))</f>
        <v>:</v>
      </c>
      <c r="BC67" s="544" t="str">
        <f>IF(VLOOKUP($E$67,[1]QUART!$A$2:$FA$315, 54, FALSE)="",":",VLOOKUP($E$67,[1]QUART!$A$2:$FA$315, 54, FALSE))</f>
        <v>:</v>
      </c>
      <c r="BD67" s="544" t="str">
        <f>IF(VLOOKUP($E$67,[1]QUART!$A$2:$FA$315, 55, FALSE)="",":",VLOOKUP($E$67,[1]QUART!$A$2:$FA$315, 55, FALSE))</f>
        <v>:</v>
      </c>
      <c r="BE67" s="544" t="str">
        <f>IF(VLOOKUP($E$67,[1]QUART!$A$2:$FA$315, 56, FALSE)="",":",VLOOKUP($E$67,[1]QUART!$A$2:$FA$315, 56, FALSE))</f>
        <v>:</v>
      </c>
      <c r="BF67" s="544" t="str">
        <f>IF(VLOOKUP($E$67,[1]QUART!$A$2:$FA$315, 57, FALSE)="",":",VLOOKUP($E$67,[1]QUART!$A$2:$FA$315, 57, FALSE))</f>
        <v>:</v>
      </c>
      <c r="BG67" s="544" t="str">
        <f>IF(VLOOKUP($E$67,[1]QUART!$A$2:$FA$315, 58, FALSE)="",":",VLOOKUP($E$67,[1]QUART!$A$2:$FA$315, 58, FALSE))</f>
        <v>:</v>
      </c>
      <c r="BH67" s="544" t="str">
        <f>IF(VLOOKUP($E$67,[1]QUART!$A$2:$FA$315, 59, FALSE)="",":",VLOOKUP($E$67,[1]QUART!$A$2:$FA$315, 59, FALSE))</f>
        <v>:</v>
      </c>
      <c r="BI67" s="544" t="str">
        <f>IF(VLOOKUP($E$67,[1]QUART!$A$2:$FA$315, 60, FALSE)="",":",VLOOKUP($E$67,[1]QUART!$A$2:$FA$315, 60, FALSE))</f>
        <v>:</v>
      </c>
      <c r="BJ67" s="544" t="str">
        <f>IF(VLOOKUP($E$67,[1]QUART!$A$2:$FA$315, 61, FALSE)="",":",VLOOKUP($E$67,[1]QUART!$A$2:$FA$315, 61, FALSE))</f>
        <v>:</v>
      </c>
      <c r="BK67" s="544" t="str">
        <f>IF(VLOOKUP($E$67,[1]QUART!$A$2:$FA$315, 62, FALSE)="",":",VLOOKUP($E$67,[1]QUART!$A$2:$FA$315, 62, FALSE))</f>
        <v>:</v>
      </c>
      <c r="BL67" s="544" t="str">
        <f>IF(VLOOKUP($E$67,[1]QUART!$A$2:$FA$315, 63, FALSE)="",":",VLOOKUP($E$67,[1]QUART!$A$2:$FA$315, 63, FALSE))</f>
        <v>:</v>
      </c>
      <c r="BM67" s="544" t="str">
        <f>IF(VLOOKUP($E$67,[1]QUART!$A$2:$FA$315, 64, FALSE)="",":",VLOOKUP($E$67,[1]QUART!$A$2:$FA$315, 64, FALSE))</f>
        <v>:</v>
      </c>
      <c r="BN67" s="544" t="str">
        <f>IF(VLOOKUP($E$67,[1]QUART!$A$2:$FA$315, 65, FALSE)="",":",VLOOKUP($E$67,[1]QUART!$A$2:$FA$315, 65, FALSE))</f>
        <v>:</v>
      </c>
      <c r="BO67" s="544" t="str">
        <f>IF(VLOOKUP($E$67,[1]QUART!$A$2:$FA$315, 66, FALSE)="",":",VLOOKUP($E$67,[1]QUART!$A$2:$FA$315, 66, FALSE))</f>
        <v>:</v>
      </c>
      <c r="BP67" s="544" t="str">
        <f>IF(VLOOKUP($E$67,[1]QUART!$A$2:$FA$315, 67, FALSE)="",":",VLOOKUP($E$67,[1]QUART!$A$2:$FA$315, 67, FALSE))</f>
        <v>:</v>
      </c>
      <c r="BQ67" s="544" t="str">
        <f>IF(VLOOKUP($E$67,[1]QUART!$A$2:$FA$315, 68, FALSE)="",":",VLOOKUP($E$67,[1]QUART!$A$2:$FA$315, 68, FALSE))</f>
        <v>:</v>
      </c>
      <c r="BR67" s="544" t="str">
        <f>IF(VLOOKUP($E$67,[1]QUART!$A$2:$FA$315, 69, FALSE)="",":",VLOOKUP($E$67,[1]QUART!$A$2:$FA$315, 69, FALSE))</f>
        <v>:</v>
      </c>
      <c r="BS67" s="544" t="str">
        <f>IF(VLOOKUP($E$67,[1]QUART!$A$2:$FA$315, 70, FALSE)="",":",VLOOKUP($E$67,[1]QUART!$A$2:$FA$315, 70, FALSE))</f>
        <v>:</v>
      </c>
      <c r="BT67" s="544" t="str">
        <f>IF(VLOOKUP($E$67,[1]QUART!$A$2:$FA$315, 71, FALSE)="",":",VLOOKUP($E$67,[1]QUART!$A$2:$FA$315, 71, FALSE))</f>
        <v>:</v>
      </c>
      <c r="BU67" s="544" t="str">
        <f>IF(VLOOKUP($E$67,[1]QUART!$A$2:$FA$315, 72, FALSE)="",":",VLOOKUP($E$67,[1]QUART!$A$2:$FA$315, 72, FALSE))</f>
        <v>:</v>
      </c>
      <c r="BV67" s="544" t="str">
        <f>IF(VLOOKUP($E$67,[1]QUART!$A$2:$FA$315, 73, FALSE)="",":",VLOOKUP($E$67,[1]QUART!$A$2:$FA$315, 73, FALSE))</f>
        <v>:</v>
      </c>
      <c r="BW67" s="544" t="str">
        <f>IF(VLOOKUP($E$67,[1]QUART!$A$2:$FA$315, 74, FALSE)="",":",VLOOKUP($E$67,[1]QUART!$A$2:$FA$315, 74, FALSE))</f>
        <v>:</v>
      </c>
      <c r="BX67" s="544" t="str">
        <f>IF(VLOOKUP($E$67,[1]QUART!$A$2:$FA$315, 75, FALSE)="",":",VLOOKUP($E$67,[1]QUART!$A$2:$FA$315, 75, FALSE))</f>
        <v>:</v>
      </c>
      <c r="BY67" s="544" t="str">
        <f>IF(VLOOKUP($E$67,[1]QUART!$A$2:$FA$315, 76, FALSE)="",":",VLOOKUP($E$67,[1]QUART!$A$2:$FA$315, 76, FALSE))</f>
        <v>:</v>
      </c>
      <c r="BZ67" s="544" t="str">
        <f>IF(VLOOKUP($E$67,[1]QUART!$A$2:$FA$315, 77, FALSE)="",":",VLOOKUP($E$67,[1]QUART!$A$2:$FA$315, 77, FALSE))</f>
        <v>:</v>
      </c>
      <c r="CA67" s="544" t="str">
        <f>IF(VLOOKUP($E$67,[1]QUART!$A$2:$FA$315, 78, FALSE)="",":",VLOOKUP($E$67,[1]QUART!$A$2:$FA$315, 78, FALSE))</f>
        <v>:</v>
      </c>
      <c r="CB67" s="544" t="str">
        <f>IF(VLOOKUP($E$67,[1]QUART!$A$2:$FA$315, 79, FALSE)="",":",VLOOKUP($E$67,[1]QUART!$A$2:$FA$315, 79, FALSE))</f>
        <v>:</v>
      </c>
      <c r="CC67" s="544" t="str">
        <f>IF(VLOOKUP($E$67,[1]QUART!$A$2:$FA$315, 80, FALSE)="",":",VLOOKUP($E$67,[1]QUART!$A$2:$FA$315, 80, FALSE))</f>
        <v>:</v>
      </c>
      <c r="CD67" s="544" t="str">
        <f>IF(VLOOKUP($E$67,[1]QUART!$A$2:$FA$315, 81, FALSE)="",":",VLOOKUP($E$67,[1]QUART!$A$2:$FA$315, 81, FALSE))</f>
        <v>:</v>
      </c>
      <c r="CE67" s="544" t="str">
        <f>IF(VLOOKUP($E$67,[1]QUART!$A$2:$FA$315, 82, FALSE)="",":",VLOOKUP($E$67,[1]QUART!$A$2:$FA$315, 82, FALSE))</f>
        <v>:</v>
      </c>
      <c r="CF67" s="544" t="str">
        <f>IF(VLOOKUP($E$67,[1]QUART!$A$2:$FA$315, 83, FALSE)="",":",VLOOKUP($E$67,[1]QUART!$A$2:$FA$315, 83, FALSE))</f>
        <v>:</v>
      </c>
      <c r="CG67" s="544" t="str">
        <f>IF(VLOOKUP($E$67,[1]QUART!$A$2:$FA$315, 84, FALSE)="",":",VLOOKUP($E$67,[1]QUART!$A$2:$FA$315, 84, FALSE))</f>
        <v>:</v>
      </c>
      <c r="CH67" s="544" t="str">
        <f>IF(VLOOKUP($E$67,[1]QUART!$A$2:$FA$315, 85, FALSE)="",":",VLOOKUP($E$67,[1]QUART!$A$2:$FA$315, 85, FALSE))</f>
        <v>:</v>
      </c>
      <c r="CI67" s="544" t="str">
        <f>IF(VLOOKUP($E$67,[1]QUART!$A$2:$FA$315, 86, FALSE)="",":",VLOOKUP($E$67,[1]QUART!$A$2:$FA$315, 86, FALSE))</f>
        <v>:</v>
      </c>
      <c r="CJ67" s="544" t="str">
        <f>IF(VLOOKUP($E$67,[1]QUART!$A$2:$FA$315, 87, FALSE)="",":",VLOOKUP($E$67,[1]QUART!$A$2:$FA$315, 87, FALSE))</f>
        <v>:</v>
      </c>
      <c r="CK67" s="544" t="str">
        <f>IF(VLOOKUP($E$67,[1]QUART!$A$2:$FA$315, 88, FALSE)="",":",VLOOKUP($E$67,[1]QUART!$A$2:$FA$315, 88, FALSE))</f>
        <v>:</v>
      </c>
      <c r="CL67" s="544" t="str">
        <f>IF(VLOOKUP($E$67,[1]QUART!$A$2:$FA$315, 89, FALSE)="",":",VLOOKUP($E$67,[1]QUART!$A$2:$FA$315, 89, FALSE))</f>
        <v>:</v>
      </c>
      <c r="CM67" s="544" t="str">
        <f>IF(VLOOKUP($E$67,[1]QUART!$A$2:$FA$315, 90, FALSE)="",":",VLOOKUP($E$67,[1]QUART!$A$2:$FA$315, 90, FALSE))</f>
        <v>:</v>
      </c>
      <c r="CN67" s="544" t="str">
        <f>IF(VLOOKUP($E$67,[1]QUART!$A$2:$FA$315, 91, FALSE)="",":",VLOOKUP($E$67,[1]QUART!$A$2:$FA$315, 91, FALSE))</f>
        <v>:</v>
      </c>
      <c r="CO67" s="544" t="str">
        <f>IF(VLOOKUP($E$67,[1]QUART!$A$2:$FA$315, 92, FALSE)="",":",VLOOKUP($E$67,[1]QUART!$A$2:$FA$315, 92, FALSE))</f>
        <v>:</v>
      </c>
      <c r="CP67" s="544" t="str">
        <f>IF(VLOOKUP($E$67,[1]QUART!$A$2:$FA$315, 93, FALSE)="",":",VLOOKUP($E$67,[1]QUART!$A$2:$FA$315, 93, FALSE))</f>
        <v>:</v>
      </c>
      <c r="CQ67" s="544" t="str">
        <f>IF(VLOOKUP($E$67,[1]QUART!$A$2:$FA$315, 94, FALSE)="",":",VLOOKUP($E$67,[1]QUART!$A$2:$FA$315, 94, FALSE))</f>
        <v>:</v>
      </c>
      <c r="CR67" s="544" t="str">
        <f>IF(VLOOKUP($E$67,[1]QUART!$A$2:$FA$315, 95, FALSE)="",":",VLOOKUP($E$67,[1]QUART!$A$2:$FA$315, 95, FALSE))</f>
        <v>:</v>
      </c>
      <c r="CS67" s="544" t="str">
        <f>IF(VLOOKUP($E$67,[1]QUART!$A$2:$FA$315, 96, FALSE)="",":",VLOOKUP($E$67,[1]QUART!$A$2:$FA$315, 96, FALSE))</f>
        <v>:</v>
      </c>
      <c r="CT67" s="544" t="str">
        <f>IF(VLOOKUP($E$67,[1]QUART!$A$2:$FA$315, 97, FALSE)="",":",VLOOKUP($E$67,[1]QUART!$A$2:$FA$315, 97, FALSE))</f>
        <v>:</v>
      </c>
      <c r="CU67" s="544" t="str">
        <f>IF(VLOOKUP($E$67,[1]QUART!$A$2:$FA$315, 98, FALSE)="",":",VLOOKUP($E$67,[1]QUART!$A$2:$FA$315, 98, FALSE))</f>
        <v>:</v>
      </c>
      <c r="CV67" s="544" t="str">
        <f>IF(VLOOKUP($E$67,[1]QUART!$A$2:$FA$315, 99, FALSE)="",":",VLOOKUP($E$67,[1]QUART!$A$2:$FA$315, 99, FALSE))</f>
        <v>:</v>
      </c>
      <c r="CW67" s="544" t="str">
        <f>IF(VLOOKUP($E$67,[1]QUART!$A$2:$FA$315, 100, FALSE)="",":",VLOOKUP($E$67,[1]QUART!$A$2:$FA$315, 100, FALSE))</f>
        <v>:</v>
      </c>
      <c r="CX67" s="544" t="str">
        <f>IF(VLOOKUP($E$67,[1]QUART!$A$2:$FA$315, 101, FALSE)="",":",VLOOKUP($E$67,[1]QUART!$A$2:$FA$315, 101, FALSE))</f>
        <v>:</v>
      </c>
      <c r="CY67" s="544" t="str">
        <f>IF(VLOOKUP($E$67,[1]QUART!$A$2:$FA$315, 102, FALSE)="",":",VLOOKUP($E$67,[1]QUART!$A$2:$FA$315, 102, FALSE))</f>
        <v>:</v>
      </c>
      <c r="CZ67" s="544" t="str">
        <f>IF(VLOOKUP($E$67,[1]QUART!$A$2:$FA$315, 103, FALSE)="",":",VLOOKUP($E$67,[1]QUART!$A$2:$FA$315, 103, FALSE))</f>
        <v>:</v>
      </c>
      <c r="DA67" s="544" t="str">
        <f>IF(VLOOKUP($E$67,[1]QUART!$A$2:$FA$315, 104, FALSE)="",":",VLOOKUP($E$67,[1]QUART!$A$2:$FA$315, 104, FALSE))</f>
        <v>:</v>
      </c>
      <c r="DB67" s="544" t="str">
        <f>IF(VLOOKUP($E$67,[1]QUART!$A$2:$FA$315, 105, FALSE)="",":",VLOOKUP($E$67,[1]QUART!$A$2:$FA$315, 105, FALSE))</f>
        <v>:</v>
      </c>
      <c r="DC67" s="544" t="str">
        <f>IF(VLOOKUP($E$67,[1]QUART!$A$2:$FA$315, 106, FALSE)="",":",VLOOKUP($E$67,[1]QUART!$A$2:$FA$315, 106, FALSE))</f>
        <v>:</v>
      </c>
    </row>
    <row r="68" spans="1:107">
      <c r="A68" s="1954"/>
      <c r="B68" s="534"/>
      <c r="C68" s="535"/>
      <c r="D68" s="12" t="s">
        <v>1841</v>
      </c>
      <c r="E68" s="13">
        <v>135</v>
      </c>
      <c r="F68" s="14" t="str">
        <f>VLOOKUP($E$68,[1]QUART!$A$2:$FA$315, 3, FALSE)</f>
        <v xml:space="preserve">135  Imports of goods          </v>
      </c>
      <c r="G68" s="544" t="str">
        <f>IF(VLOOKUP($E$68,[1]QUART!$A$2:$FA$315, 6, FALSE)="",":",VLOOKUP($E$68,[1]QUART!$A$2:$FA$315, 6, FALSE))</f>
        <v>:</v>
      </c>
      <c r="H68" s="544" t="str">
        <f>IF(VLOOKUP($E$68,[1]QUART!$A$2:$FA$315, 7, FALSE)="",":",VLOOKUP($E$68,[1]QUART!$A$2:$FA$315, 7, FALSE))</f>
        <v>:</v>
      </c>
      <c r="I68" s="544" t="str">
        <f>IF(VLOOKUP($E$68,[1]QUART!$A$2:$FA$315, 8, FALSE)="",":",VLOOKUP($E$68,[1]QUART!$A$2:$FA$315, 8, FALSE))</f>
        <v>:</v>
      </c>
      <c r="J68" s="544" t="str">
        <f>IF(VLOOKUP($E$68,[1]QUART!$A$2:$FA$315, 9, FALSE)="",":",VLOOKUP($E$68,[1]QUART!$A$2:$FA$315, 9, FALSE))</f>
        <v>:</v>
      </c>
      <c r="K68" s="544" t="str">
        <f>IF(VLOOKUP($E$68,[1]QUART!$A$2:$FA$315, 10, FALSE)="",":",VLOOKUP($E$68,[1]QUART!$A$2:$FA$315, 10, FALSE))</f>
        <v>:</v>
      </c>
      <c r="L68" s="544" t="str">
        <f>IF(VLOOKUP($E$68,[1]QUART!$A$2:$FA$315, 11, FALSE)="",":",VLOOKUP($E$68,[1]QUART!$A$2:$FA$315, 11, FALSE))</f>
        <v>:</v>
      </c>
      <c r="M68" s="544" t="str">
        <f>IF(VLOOKUP($E$68,[1]QUART!$A$2:$FA$315, 12, FALSE)="",":",VLOOKUP($E$68,[1]QUART!$A$2:$FA$315, 12, FALSE))</f>
        <v>:</v>
      </c>
      <c r="N68" s="544" t="str">
        <f>IF(VLOOKUP($E$68,[1]QUART!$A$2:$FA$315, 13, FALSE)="",":",VLOOKUP($E$68,[1]QUART!$A$2:$FA$315, 13, FALSE))</f>
        <v>:</v>
      </c>
      <c r="O68" s="544" t="str">
        <f>IF(VLOOKUP($E$68,[1]QUART!$A$2:$FA$315, 14, FALSE)="",":",VLOOKUP($E$68,[1]QUART!$A$2:$FA$315, 14, FALSE))</f>
        <v>:</v>
      </c>
      <c r="P68" s="544" t="str">
        <f>IF(VLOOKUP($E$68,[1]QUART!$A$2:$FA$315, 15, FALSE)="",":",VLOOKUP($E$68,[1]QUART!$A$2:$FA$315, 15, FALSE))</f>
        <v>:</v>
      </c>
      <c r="Q68" s="544" t="str">
        <f>IF(VLOOKUP($E$68,[1]QUART!$A$2:$FA$315, 16, FALSE)="",":",VLOOKUP($E$68,[1]QUART!$A$2:$FA$315, 16, FALSE))</f>
        <v>:</v>
      </c>
      <c r="R68" s="544" t="str">
        <f>IF(VLOOKUP($E$68,[1]QUART!$A$2:$FA$315, 17, FALSE)="",":",VLOOKUP($E$68,[1]QUART!$A$2:$FA$315, 17, FALSE))</f>
        <v>:</v>
      </c>
      <c r="S68" s="544" t="str">
        <f>IF(VLOOKUP($E$68,[1]QUART!$A$2:$FA$315, 18, FALSE)="",":",VLOOKUP($E$68,[1]QUART!$A$2:$FA$315, 18, FALSE))</f>
        <v>:</v>
      </c>
      <c r="T68" s="544" t="str">
        <f>IF(VLOOKUP($E$68,[1]QUART!$A$2:$FA$315, 19, FALSE)="",":",VLOOKUP($E$68,[1]QUART!$A$2:$FA$315, 19, FALSE))</f>
        <v>:</v>
      </c>
      <c r="U68" s="544" t="str">
        <f>IF(VLOOKUP($E$68,[1]QUART!$A$2:$FA$315, 20, FALSE)="",":",VLOOKUP($E$68,[1]QUART!$A$2:$FA$315, 20, FALSE))</f>
        <v>:</v>
      </c>
      <c r="V68" s="544" t="str">
        <f>IF(VLOOKUP($E$68,[1]QUART!$A$2:$FA$315, 21, FALSE)="",":",VLOOKUP($E$68,[1]QUART!$A$2:$FA$315, 21, FALSE))</f>
        <v>:</v>
      </c>
      <c r="W68" s="544" t="str">
        <f>IF(VLOOKUP($E$68,[1]QUART!$A$2:$FA$315, 22, FALSE)="",":",VLOOKUP($E$68,[1]QUART!$A$2:$FA$315, 22, FALSE))</f>
        <v>:</v>
      </c>
      <c r="X68" s="544" t="str">
        <f>IF(VLOOKUP($E$68,[1]QUART!$A$2:$FA$315, 23, FALSE)="",":",VLOOKUP($E$68,[1]QUART!$A$2:$FA$315, 23, FALSE))</f>
        <v>:</v>
      </c>
      <c r="Y68" s="544" t="str">
        <f>IF(VLOOKUP($E$68,[1]QUART!$A$2:$FA$315, 24, FALSE)="",":",VLOOKUP($E$68,[1]QUART!$A$2:$FA$315, 24, FALSE))</f>
        <v>:</v>
      </c>
      <c r="Z68" s="544" t="str">
        <f>IF(VLOOKUP($E$68,[1]QUART!$A$2:$FA$315, 25, FALSE)="",":",VLOOKUP($E$68,[1]QUART!$A$2:$FA$315, 25, FALSE))</f>
        <v>:</v>
      </c>
      <c r="AA68" s="544" t="str">
        <f>IF(VLOOKUP($E$68,[1]QUART!$A$2:$FA$315, 26, FALSE)="",":",VLOOKUP($E$68,[1]QUART!$A$2:$FA$315, 26, FALSE))</f>
        <v>:</v>
      </c>
      <c r="AB68" s="544" t="str">
        <f>IF(VLOOKUP($E$68,[1]QUART!$A$2:$FA$315, 27, FALSE)="",":",VLOOKUP($E$68,[1]QUART!$A$2:$FA$315, 27, FALSE))</f>
        <v>:</v>
      </c>
      <c r="AC68" s="544" t="str">
        <f>IF(VLOOKUP($E$68,[1]QUART!$A$2:$FA$315, 28, FALSE)="",":",VLOOKUP($E$68,[1]QUART!$A$2:$FA$315, 28, FALSE))</f>
        <v>:</v>
      </c>
      <c r="AD68" s="544" t="str">
        <f>IF(VLOOKUP($E$68,[1]QUART!$A$2:$FA$315, 29, FALSE)="",":",VLOOKUP($E$68,[1]QUART!$A$2:$FA$315, 29, FALSE))</f>
        <v>:</v>
      </c>
      <c r="AE68" s="544" t="str">
        <f>IF(VLOOKUP($E$68,[1]QUART!$A$2:$FA$315, 30, FALSE)="",":",VLOOKUP($E$68,[1]QUART!$A$2:$FA$315, 30, FALSE))</f>
        <v>:</v>
      </c>
      <c r="AF68" s="544" t="str">
        <f>IF(VLOOKUP($E$68,[1]QUART!$A$2:$FA$315, 31, FALSE)="",":",VLOOKUP($E$68,[1]QUART!$A$2:$FA$315, 31, FALSE))</f>
        <v>:</v>
      </c>
      <c r="AG68" s="544" t="str">
        <f>IF(VLOOKUP($E$68,[1]QUART!$A$2:$FA$315, 32, FALSE)="",":",VLOOKUP($E$68,[1]QUART!$A$2:$FA$315, 32, FALSE))</f>
        <v>:</v>
      </c>
      <c r="AH68" s="544" t="str">
        <f>IF(VLOOKUP($E$68,[1]QUART!$A$2:$FA$315, 33, FALSE)="",":",VLOOKUP($E$68,[1]QUART!$A$2:$FA$315, 33, FALSE))</f>
        <v>:</v>
      </c>
      <c r="AI68" s="544" t="str">
        <f>IF(VLOOKUP($E$68,[1]QUART!$A$2:$FA$315, 34, FALSE)="",":",VLOOKUP($E$68,[1]QUART!$A$2:$FA$315, 34, FALSE))</f>
        <v>:</v>
      </c>
      <c r="AJ68" s="544" t="str">
        <f>IF(VLOOKUP($E$68,[1]QUART!$A$2:$FA$315, 35, FALSE)="",":",VLOOKUP($E$68,[1]QUART!$A$2:$FA$315, 35, FALSE))</f>
        <v>:</v>
      </c>
      <c r="AK68" s="544" t="str">
        <f>IF(VLOOKUP($E$68,[1]QUART!$A$2:$FA$315, 36, FALSE)="",":",VLOOKUP($E$68,[1]QUART!$A$2:$FA$315, 36, FALSE))</f>
        <v>:</v>
      </c>
      <c r="AL68" s="544" t="str">
        <f>IF(VLOOKUP($E$68,[1]QUART!$A$2:$FA$315, 37, FALSE)="",":",VLOOKUP($E$68,[1]QUART!$A$2:$FA$315, 37, FALSE))</f>
        <v>:</v>
      </c>
      <c r="AM68" s="544" t="str">
        <f>IF(VLOOKUP($E$68,[1]QUART!$A$2:$FA$315, 38, FALSE)="",":",VLOOKUP($E$68,[1]QUART!$A$2:$FA$315, 38, FALSE))</f>
        <v>:</v>
      </c>
      <c r="AN68" s="544" t="str">
        <f>IF(VLOOKUP($E$68,[1]QUART!$A$2:$FA$315, 39, FALSE)="",":",VLOOKUP($E$68,[1]QUART!$A$2:$FA$315, 39, FALSE))</f>
        <v>:</v>
      </c>
      <c r="AO68" s="544" t="str">
        <f>IF(VLOOKUP($E$68,[1]QUART!$A$2:$FA$315, 40, FALSE)="",":",VLOOKUP($E$68,[1]QUART!$A$2:$FA$315, 40, FALSE))</f>
        <v>:</v>
      </c>
      <c r="AP68" s="544" t="str">
        <f>IF(VLOOKUP($E$68,[1]QUART!$A$2:$FA$315, 41, FALSE)="",":",VLOOKUP($E$68,[1]QUART!$A$2:$FA$315, 41, FALSE))</f>
        <v>:</v>
      </c>
      <c r="AQ68" s="544" t="str">
        <f>IF(VLOOKUP($E$68,[1]QUART!$A$2:$FA$315, 42, FALSE)="",":",VLOOKUP($E$68,[1]QUART!$A$2:$FA$315, 42, FALSE))</f>
        <v>:</v>
      </c>
      <c r="AR68" s="544" t="str">
        <f>IF(VLOOKUP($E$68,[1]QUART!$A$2:$FA$315, 43, FALSE)="",":",VLOOKUP($E$68,[1]QUART!$A$2:$FA$315, 43, FALSE))</f>
        <v>:</v>
      </c>
      <c r="AS68" s="544" t="str">
        <f>IF(VLOOKUP($E$68,[1]QUART!$A$2:$FA$315, 44, FALSE)="",":",VLOOKUP($E$68,[1]QUART!$A$2:$FA$315, 44, FALSE))</f>
        <v>:</v>
      </c>
      <c r="AT68" s="544" t="str">
        <f>IF(VLOOKUP($E$68,[1]QUART!$A$2:$FA$315, 45, FALSE)="",":",VLOOKUP($E$68,[1]QUART!$A$2:$FA$315, 45, FALSE))</f>
        <v>:</v>
      </c>
      <c r="AU68" s="544" t="str">
        <f>IF(VLOOKUP($E$68,[1]QUART!$A$2:$FA$315, 46, FALSE)="",":",VLOOKUP($E$68,[1]QUART!$A$2:$FA$315, 46, FALSE))</f>
        <v>:</v>
      </c>
      <c r="AV68" s="544" t="str">
        <f>IF(VLOOKUP($E$68,[1]QUART!$A$2:$FA$315, 47, FALSE)="",":",VLOOKUP($E$68,[1]QUART!$A$2:$FA$315, 47, FALSE))</f>
        <v>:</v>
      </c>
      <c r="AW68" s="544" t="str">
        <f>IF(VLOOKUP($E$68,[1]QUART!$A$2:$FA$315, 48, FALSE)="",":",VLOOKUP($E$68,[1]QUART!$A$2:$FA$315, 48, FALSE))</f>
        <v>:</v>
      </c>
      <c r="AX68" s="544" t="str">
        <f>IF(VLOOKUP($E$68,[1]QUART!$A$2:$FA$315, 49, FALSE)="",":",VLOOKUP($E$68,[1]QUART!$A$2:$FA$315, 49, FALSE))</f>
        <v>:</v>
      </c>
      <c r="AY68" s="544" t="str">
        <f>IF(VLOOKUP($E$68,[1]QUART!$A$2:$FA$315, 50, FALSE)="",":",VLOOKUP($E$68,[1]QUART!$A$2:$FA$315, 50, FALSE))</f>
        <v>:</v>
      </c>
      <c r="AZ68" s="544" t="str">
        <f>IF(VLOOKUP($E$68,[1]QUART!$A$2:$FA$315, 51, FALSE)="",":",VLOOKUP($E$68,[1]QUART!$A$2:$FA$315, 51, FALSE))</f>
        <v>:</v>
      </c>
      <c r="BA68" s="544" t="str">
        <f>IF(VLOOKUP($E$68,[1]QUART!$A$2:$FA$315, 52, FALSE)="",":",VLOOKUP($E$68,[1]QUART!$A$2:$FA$315, 52, FALSE))</f>
        <v>:</v>
      </c>
      <c r="BB68" s="544" t="str">
        <f>IF(VLOOKUP($E$68,[1]QUART!$A$2:$FA$315, 53, FALSE)="",":",VLOOKUP($E$68,[1]QUART!$A$2:$FA$315, 53, FALSE))</f>
        <v>:</v>
      </c>
      <c r="BC68" s="544" t="str">
        <f>IF(VLOOKUP($E$68,[1]QUART!$A$2:$FA$315, 54, FALSE)="",":",VLOOKUP($E$68,[1]QUART!$A$2:$FA$315, 54, FALSE))</f>
        <v>:</v>
      </c>
      <c r="BD68" s="544" t="str">
        <f>IF(VLOOKUP($E$68,[1]QUART!$A$2:$FA$315, 55, FALSE)="",":",VLOOKUP($E$68,[1]QUART!$A$2:$FA$315, 55, FALSE))</f>
        <v>:</v>
      </c>
      <c r="BE68" s="544" t="str">
        <f>IF(VLOOKUP($E$68,[1]QUART!$A$2:$FA$315, 56, FALSE)="",":",VLOOKUP($E$68,[1]QUART!$A$2:$FA$315, 56, FALSE))</f>
        <v>:</v>
      </c>
      <c r="BF68" s="544" t="str">
        <f>IF(VLOOKUP($E$68,[1]QUART!$A$2:$FA$315, 57, FALSE)="",":",VLOOKUP($E$68,[1]QUART!$A$2:$FA$315, 57, FALSE))</f>
        <v>:</v>
      </c>
      <c r="BG68" s="544" t="str">
        <f>IF(VLOOKUP($E$68,[1]QUART!$A$2:$FA$315, 58, FALSE)="",":",VLOOKUP($E$68,[1]QUART!$A$2:$FA$315, 58, FALSE))</f>
        <v>:</v>
      </c>
      <c r="BH68" s="544" t="str">
        <f>IF(VLOOKUP($E$68,[1]QUART!$A$2:$FA$315, 59, FALSE)="",":",VLOOKUP($E$68,[1]QUART!$A$2:$FA$315, 59, FALSE))</f>
        <v>:</v>
      </c>
      <c r="BI68" s="544" t="str">
        <f>IF(VLOOKUP($E$68,[1]QUART!$A$2:$FA$315, 60, FALSE)="",":",VLOOKUP($E$68,[1]QUART!$A$2:$FA$315, 60, FALSE))</f>
        <v>:</v>
      </c>
      <c r="BJ68" s="544" t="str">
        <f>IF(VLOOKUP($E$68,[1]QUART!$A$2:$FA$315, 61, FALSE)="",":",VLOOKUP($E$68,[1]QUART!$A$2:$FA$315, 61, FALSE))</f>
        <v>:</v>
      </c>
      <c r="BK68" s="544" t="str">
        <f>IF(VLOOKUP($E$68,[1]QUART!$A$2:$FA$315, 62, FALSE)="",":",VLOOKUP($E$68,[1]QUART!$A$2:$FA$315, 62, FALSE))</f>
        <v>:</v>
      </c>
      <c r="BL68" s="544" t="str">
        <f>IF(VLOOKUP($E$68,[1]QUART!$A$2:$FA$315, 63, FALSE)="",":",VLOOKUP($E$68,[1]QUART!$A$2:$FA$315, 63, FALSE))</f>
        <v>:</v>
      </c>
      <c r="BM68" s="544" t="str">
        <f>IF(VLOOKUP($E$68,[1]QUART!$A$2:$FA$315, 64, FALSE)="",":",VLOOKUP($E$68,[1]QUART!$A$2:$FA$315, 64, FALSE))</f>
        <v>:</v>
      </c>
      <c r="BN68" s="544" t="str">
        <f>IF(VLOOKUP($E$68,[1]QUART!$A$2:$FA$315, 65, FALSE)="",":",VLOOKUP($E$68,[1]QUART!$A$2:$FA$315, 65, FALSE))</f>
        <v>:</v>
      </c>
      <c r="BO68" s="544" t="str">
        <f>IF(VLOOKUP($E$68,[1]QUART!$A$2:$FA$315, 66, FALSE)="",":",VLOOKUP($E$68,[1]QUART!$A$2:$FA$315, 66, FALSE))</f>
        <v>:</v>
      </c>
      <c r="BP68" s="544" t="str">
        <f>IF(VLOOKUP($E$68,[1]QUART!$A$2:$FA$315, 67, FALSE)="",":",VLOOKUP($E$68,[1]QUART!$A$2:$FA$315, 67, FALSE))</f>
        <v>:</v>
      </c>
      <c r="BQ68" s="544" t="str">
        <f>IF(VLOOKUP($E$68,[1]QUART!$A$2:$FA$315, 68, FALSE)="",":",VLOOKUP($E$68,[1]QUART!$A$2:$FA$315, 68, FALSE))</f>
        <v>:</v>
      </c>
      <c r="BR68" s="544" t="str">
        <f>IF(VLOOKUP($E$68,[1]QUART!$A$2:$FA$315, 69, FALSE)="",":",VLOOKUP($E$68,[1]QUART!$A$2:$FA$315, 69, FALSE))</f>
        <v>:</v>
      </c>
      <c r="BS68" s="544" t="str">
        <f>IF(VLOOKUP($E$68,[1]QUART!$A$2:$FA$315, 70, FALSE)="",":",VLOOKUP($E$68,[1]QUART!$A$2:$FA$315, 70, FALSE))</f>
        <v>:</v>
      </c>
      <c r="BT68" s="544" t="str">
        <f>IF(VLOOKUP($E$68,[1]QUART!$A$2:$FA$315, 71, FALSE)="",":",VLOOKUP($E$68,[1]QUART!$A$2:$FA$315, 71, FALSE))</f>
        <v>:</v>
      </c>
      <c r="BU68" s="544" t="str">
        <f>IF(VLOOKUP($E$68,[1]QUART!$A$2:$FA$315, 72, FALSE)="",":",VLOOKUP($E$68,[1]QUART!$A$2:$FA$315, 72, FALSE))</f>
        <v>:</v>
      </c>
      <c r="BV68" s="544" t="str">
        <f>IF(VLOOKUP($E$68,[1]QUART!$A$2:$FA$315, 73, FALSE)="",":",VLOOKUP($E$68,[1]QUART!$A$2:$FA$315, 73, FALSE))</f>
        <v>:</v>
      </c>
      <c r="BW68" s="544" t="str">
        <f>IF(VLOOKUP($E$68,[1]QUART!$A$2:$FA$315, 74, FALSE)="",":",VLOOKUP($E$68,[1]QUART!$A$2:$FA$315, 74, FALSE))</f>
        <v>:</v>
      </c>
      <c r="BX68" s="544" t="str">
        <f>IF(VLOOKUP($E$68,[1]QUART!$A$2:$FA$315, 75, FALSE)="",":",VLOOKUP($E$68,[1]QUART!$A$2:$FA$315, 75, FALSE))</f>
        <v>:</v>
      </c>
      <c r="BY68" s="544" t="str">
        <f>IF(VLOOKUP($E$68,[1]QUART!$A$2:$FA$315, 76, FALSE)="",":",VLOOKUP($E$68,[1]QUART!$A$2:$FA$315, 76, FALSE))</f>
        <v>:</v>
      </c>
      <c r="BZ68" s="544" t="str">
        <f>IF(VLOOKUP($E$68,[1]QUART!$A$2:$FA$315, 77, FALSE)="",":",VLOOKUP($E$68,[1]QUART!$A$2:$FA$315, 77, FALSE))</f>
        <v>:</v>
      </c>
      <c r="CA68" s="544" t="str">
        <f>IF(VLOOKUP($E$68,[1]QUART!$A$2:$FA$315, 78, FALSE)="",":",VLOOKUP($E$68,[1]QUART!$A$2:$FA$315, 78, FALSE))</f>
        <v>:</v>
      </c>
      <c r="CB68" s="544" t="str">
        <f>IF(VLOOKUP($E$68,[1]QUART!$A$2:$FA$315, 79, FALSE)="",":",VLOOKUP($E$68,[1]QUART!$A$2:$FA$315, 79, FALSE))</f>
        <v>:</v>
      </c>
      <c r="CC68" s="544" t="str">
        <f>IF(VLOOKUP($E$68,[1]QUART!$A$2:$FA$315, 80, FALSE)="",":",VLOOKUP($E$68,[1]QUART!$A$2:$FA$315, 80, FALSE))</f>
        <v>:</v>
      </c>
      <c r="CD68" s="544" t="str">
        <f>IF(VLOOKUP($E$68,[1]QUART!$A$2:$FA$315, 81, FALSE)="",":",VLOOKUP($E$68,[1]QUART!$A$2:$FA$315, 81, FALSE))</f>
        <v>:</v>
      </c>
      <c r="CE68" s="544" t="str">
        <f>IF(VLOOKUP($E$68,[1]QUART!$A$2:$FA$315, 82, FALSE)="",":",VLOOKUP($E$68,[1]QUART!$A$2:$FA$315, 82, FALSE))</f>
        <v>:</v>
      </c>
      <c r="CF68" s="544" t="str">
        <f>IF(VLOOKUP($E$68,[1]QUART!$A$2:$FA$315, 83, FALSE)="",":",VLOOKUP($E$68,[1]QUART!$A$2:$FA$315, 83, FALSE))</f>
        <v>:</v>
      </c>
      <c r="CG68" s="544" t="str">
        <f>IF(VLOOKUP($E$68,[1]QUART!$A$2:$FA$315, 84, FALSE)="",":",VLOOKUP($E$68,[1]QUART!$A$2:$FA$315, 84, FALSE))</f>
        <v>:</v>
      </c>
      <c r="CH68" s="544" t="str">
        <f>IF(VLOOKUP($E$68,[1]QUART!$A$2:$FA$315, 85, FALSE)="",":",VLOOKUP($E$68,[1]QUART!$A$2:$FA$315, 85, FALSE))</f>
        <v>:</v>
      </c>
      <c r="CI68" s="544" t="str">
        <f>IF(VLOOKUP($E$68,[1]QUART!$A$2:$FA$315, 86, FALSE)="",":",VLOOKUP($E$68,[1]QUART!$A$2:$FA$315, 86, FALSE))</f>
        <v>:</v>
      </c>
      <c r="CJ68" s="544" t="str">
        <f>IF(VLOOKUP($E$68,[1]QUART!$A$2:$FA$315, 87, FALSE)="",":",VLOOKUP($E$68,[1]QUART!$A$2:$FA$315, 87, FALSE))</f>
        <v>:</v>
      </c>
      <c r="CK68" s="544" t="str">
        <f>IF(VLOOKUP($E$68,[1]QUART!$A$2:$FA$315, 88, FALSE)="",":",VLOOKUP($E$68,[1]QUART!$A$2:$FA$315, 88, FALSE))</f>
        <v>:</v>
      </c>
      <c r="CL68" s="544" t="str">
        <f>IF(VLOOKUP($E$68,[1]QUART!$A$2:$FA$315, 89, FALSE)="",":",VLOOKUP($E$68,[1]QUART!$A$2:$FA$315, 89, FALSE))</f>
        <v>:</v>
      </c>
      <c r="CM68" s="544" t="str">
        <f>IF(VLOOKUP($E$68,[1]QUART!$A$2:$FA$315, 90, FALSE)="",":",VLOOKUP($E$68,[1]QUART!$A$2:$FA$315, 90, FALSE))</f>
        <v>:</v>
      </c>
      <c r="CN68" s="544" t="str">
        <f>IF(VLOOKUP($E$68,[1]QUART!$A$2:$FA$315, 91, FALSE)="",":",VLOOKUP($E$68,[1]QUART!$A$2:$FA$315, 91, FALSE))</f>
        <v>:</v>
      </c>
      <c r="CO68" s="544" t="str">
        <f>IF(VLOOKUP($E$68,[1]QUART!$A$2:$FA$315, 92, FALSE)="",":",VLOOKUP($E$68,[1]QUART!$A$2:$FA$315, 92, FALSE))</f>
        <v>:</v>
      </c>
      <c r="CP68" s="544" t="str">
        <f>IF(VLOOKUP($E$68,[1]QUART!$A$2:$FA$315, 93, FALSE)="",":",VLOOKUP($E$68,[1]QUART!$A$2:$FA$315, 93, FALSE))</f>
        <v>:</v>
      </c>
      <c r="CQ68" s="544" t="str">
        <f>IF(VLOOKUP($E$68,[1]QUART!$A$2:$FA$315, 94, FALSE)="",":",VLOOKUP($E$68,[1]QUART!$A$2:$FA$315, 94, FALSE))</f>
        <v>:</v>
      </c>
      <c r="CR68" s="544" t="str">
        <f>IF(VLOOKUP($E$68,[1]QUART!$A$2:$FA$315, 95, FALSE)="",":",VLOOKUP($E$68,[1]QUART!$A$2:$FA$315, 95, FALSE))</f>
        <v>:</v>
      </c>
      <c r="CS68" s="544" t="str">
        <f>IF(VLOOKUP($E$68,[1]QUART!$A$2:$FA$315, 96, FALSE)="",":",VLOOKUP($E$68,[1]QUART!$A$2:$FA$315, 96, FALSE))</f>
        <v>:</v>
      </c>
      <c r="CT68" s="544" t="str">
        <f>IF(VLOOKUP($E$68,[1]QUART!$A$2:$FA$315, 97, FALSE)="",":",VLOOKUP($E$68,[1]QUART!$A$2:$FA$315, 97, FALSE))</f>
        <v>:</v>
      </c>
      <c r="CU68" s="544" t="str">
        <f>IF(VLOOKUP($E$68,[1]QUART!$A$2:$FA$315, 98, FALSE)="",":",VLOOKUP($E$68,[1]QUART!$A$2:$FA$315, 98, FALSE))</f>
        <v>:</v>
      </c>
      <c r="CV68" s="544" t="str">
        <f>IF(VLOOKUP($E$68,[1]QUART!$A$2:$FA$315, 99, FALSE)="",":",VLOOKUP($E$68,[1]QUART!$A$2:$FA$315, 99, FALSE))</f>
        <v>:</v>
      </c>
      <c r="CW68" s="544" t="str">
        <f>IF(VLOOKUP($E$68,[1]QUART!$A$2:$FA$315, 100, FALSE)="",":",VLOOKUP($E$68,[1]QUART!$A$2:$FA$315, 100, FALSE))</f>
        <v>:</v>
      </c>
      <c r="CX68" s="544" t="str">
        <f>IF(VLOOKUP($E$68,[1]QUART!$A$2:$FA$315, 101, FALSE)="",":",VLOOKUP($E$68,[1]QUART!$A$2:$FA$315, 101, FALSE))</f>
        <v>:</v>
      </c>
      <c r="CY68" s="544" t="str">
        <f>IF(VLOOKUP($E$68,[1]QUART!$A$2:$FA$315, 102, FALSE)="",":",VLOOKUP($E$68,[1]QUART!$A$2:$FA$315, 102, FALSE))</f>
        <v>:</v>
      </c>
      <c r="CZ68" s="544" t="str">
        <f>IF(VLOOKUP($E$68,[1]QUART!$A$2:$FA$315, 103, FALSE)="",":",VLOOKUP($E$68,[1]QUART!$A$2:$FA$315, 103, FALSE))</f>
        <v>:</v>
      </c>
      <c r="DA68" s="544" t="str">
        <f>IF(VLOOKUP($E$68,[1]QUART!$A$2:$FA$315, 104, FALSE)="",":",VLOOKUP($E$68,[1]QUART!$A$2:$FA$315, 104, FALSE))</f>
        <v>:</v>
      </c>
      <c r="DB68" s="544" t="str">
        <f>IF(VLOOKUP($E$68,[1]QUART!$A$2:$FA$315, 105, FALSE)="",":",VLOOKUP($E$68,[1]QUART!$A$2:$FA$315, 105, FALSE))</f>
        <v>:</v>
      </c>
      <c r="DC68" s="544" t="str">
        <f>IF(VLOOKUP($E$68,[1]QUART!$A$2:$FA$315, 106, FALSE)="",":",VLOOKUP($E$68,[1]QUART!$A$2:$FA$315, 106, FALSE))</f>
        <v>:</v>
      </c>
    </row>
    <row r="69" spans="1:107">
      <c r="A69" s="1954"/>
      <c r="B69" s="534"/>
      <c r="C69" s="535"/>
      <c r="D69" s="12" t="s">
        <v>1841</v>
      </c>
      <c r="E69" s="13">
        <v>136</v>
      </c>
      <c r="F69" s="14" t="str">
        <f>VLOOKUP($E$69,[1]QUART!$A$2:$FA$315, 3, FALSE)</f>
        <v xml:space="preserve">136  Imports of services                                                   </v>
      </c>
      <c r="G69" s="544" t="str">
        <f>IF(VLOOKUP($E$69,[1]QUART!$A$2:$FA$315, 6, FALSE)="",":",VLOOKUP($E$69,[1]QUART!$A$2:$FA$315, 6, FALSE))</f>
        <v>:</v>
      </c>
      <c r="H69" s="544" t="str">
        <f>IF(VLOOKUP($E$69,[1]QUART!$A$2:$FA$315, 7, FALSE)="",":",VLOOKUP($E$69,[1]QUART!$A$2:$FA$315, 7, FALSE))</f>
        <v>:</v>
      </c>
      <c r="I69" s="544" t="str">
        <f>IF(VLOOKUP($E$69,[1]QUART!$A$2:$FA$315, 8, FALSE)="",":",VLOOKUP($E$69,[1]QUART!$A$2:$FA$315, 8, FALSE))</f>
        <v>:</v>
      </c>
      <c r="J69" s="544" t="str">
        <f>IF(VLOOKUP($E$69,[1]QUART!$A$2:$FA$315, 9, FALSE)="",":",VLOOKUP($E$69,[1]QUART!$A$2:$FA$315, 9, FALSE))</f>
        <v>:</v>
      </c>
      <c r="K69" s="544" t="str">
        <f>IF(VLOOKUP($E$69,[1]QUART!$A$2:$FA$315, 10, FALSE)="",":",VLOOKUP($E$69,[1]QUART!$A$2:$FA$315, 10, FALSE))</f>
        <v>:</v>
      </c>
      <c r="L69" s="544" t="str">
        <f>IF(VLOOKUP($E$69,[1]QUART!$A$2:$FA$315, 11, FALSE)="",":",VLOOKUP($E$69,[1]QUART!$A$2:$FA$315, 11, FALSE))</f>
        <v>:</v>
      </c>
      <c r="M69" s="544" t="str">
        <f>IF(VLOOKUP($E$69,[1]QUART!$A$2:$FA$315, 12, FALSE)="",":",VLOOKUP($E$69,[1]QUART!$A$2:$FA$315, 12, FALSE))</f>
        <v>:</v>
      </c>
      <c r="N69" s="544" t="str">
        <f>IF(VLOOKUP($E$69,[1]QUART!$A$2:$FA$315, 13, FALSE)="",":",VLOOKUP($E$69,[1]QUART!$A$2:$FA$315, 13, FALSE))</f>
        <v>:</v>
      </c>
      <c r="O69" s="544" t="str">
        <f>IF(VLOOKUP($E$69,[1]QUART!$A$2:$FA$315, 14, FALSE)="",":",VLOOKUP($E$69,[1]QUART!$A$2:$FA$315, 14, FALSE))</f>
        <v>:</v>
      </c>
      <c r="P69" s="544" t="str">
        <f>IF(VLOOKUP($E$69,[1]QUART!$A$2:$FA$315, 15, FALSE)="",":",VLOOKUP($E$69,[1]QUART!$A$2:$FA$315, 15, FALSE))</f>
        <v>:</v>
      </c>
      <c r="Q69" s="544" t="str">
        <f>IF(VLOOKUP($E$69,[1]QUART!$A$2:$FA$315, 16, FALSE)="",":",VLOOKUP($E$69,[1]QUART!$A$2:$FA$315, 16, FALSE))</f>
        <v>:</v>
      </c>
      <c r="R69" s="544" t="str">
        <f>IF(VLOOKUP($E$69,[1]QUART!$A$2:$FA$315, 17, FALSE)="",":",VLOOKUP($E$69,[1]QUART!$A$2:$FA$315, 17, FALSE))</f>
        <v>:</v>
      </c>
      <c r="S69" s="544" t="str">
        <f>IF(VLOOKUP($E$69,[1]QUART!$A$2:$FA$315, 18, FALSE)="",":",VLOOKUP($E$69,[1]QUART!$A$2:$FA$315, 18, FALSE))</f>
        <v>:</v>
      </c>
      <c r="T69" s="544" t="str">
        <f>IF(VLOOKUP($E$69,[1]QUART!$A$2:$FA$315, 19, FALSE)="",":",VLOOKUP($E$69,[1]QUART!$A$2:$FA$315, 19, FALSE))</f>
        <v>:</v>
      </c>
      <c r="U69" s="544" t="str">
        <f>IF(VLOOKUP($E$69,[1]QUART!$A$2:$FA$315, 20, FALSE)="",":",VLOOKUP($E$69,[1]QUART!$A$2:$FA$315, 20, FALSE))</f>
        <v>:</v>
      </c>
      <c r="V69" s="544" t="str">
        <f>IF(VLOOKUP($E$69,[1]QUART!$A$2:$FA$315, 21, FALSE)="",":",VLOOKUP($E$69,[1]QUART!$A$2:$FA$315, 21, FALSE))</f>
        <v>:</v>
      </c>
      <c r="W69" s="544" t="str">
        <f>IF(VLOOKUP($E$69,[1]QUART!$A$2:$FA$315, 22, FALSE)="",":",VLOOKUP($E$69,[1]QUART!$A$2:$FA$315, 22, FALSE))</f>
        <v>:</v>
      </c>
      <c r="X69" s="544" t="str">
        <f>IF(VLOOKUP($E$69,[1]QUART!$A$2:$FA$315, 23, FALSE)="",":",VLOOKUP($E$69,[1]QUART!$A$2:$FA$315, 23, FALSE))</f>
        <v>:</v>
      </c>
      <c r="Y69" s="544" t="str">
        <f>IF(VLOOKUP($E$69,[1]QUART!$A$2:$FA$315, 24, FALSE)="",":",VLOOKUP($E$69,[1]QUART!$A$2:$FA$315, 24, FALSE))</f>
        <v>:</v>
      </c>
      <c r="Z69" s="544" t="str">
        <f>IF(VLOOKUP($E$69,[1]QUART!$A$2:$FA$315, 25, FALSE)="",":",VLOOKUP($E$69,[1]QUART!$A$2:$FA$315, 25, FALSE))</f>
        <v>:</v>
      </c>
      <c r="AA69" s="544" t="str">
        <f>IF(VLOOKUP($E$69,[1]QUART!$A$2:$FA$315, 26, FALSE)="",":",VLOOKUP($E$69,[1]QUART!$A$2:$FA$315, 26, FALSE))</f>
        <v>:</v>
      </c>
      <c r="AB69" s="544" t="str">
        <f>IF(VLOOKUP($E$69,[1]QUART!$A$2:$FA$315, 27, FALSE)="",":",VLOOKUP($E$69,[1]QUART!$A$2:$FA$315, 27, FALSE))</f>
        <v>:</v>
      </c>
      <c r="AC69" s="544" t="str">
        <f>IF(VLOOKUP($E$69,[1]QUART!$A$2:$FA$315, 28, FALSE)="",":",VLOOKUP($E$69,[1]QUART!$A$2:$FA$315, 28, FALSE))</f>
        <v>:</v>
      </c>
      <c r="AD69" s="544" t="str">
        <f>IF(VLOOKUP($E$69,[1]QUART!$A$2:$FA$315, 29, FALSE)="",":",VLOOKUP($E$69,[1]QUART!$A$2:$FA$315, 29, FALSE))</f>
        <v>:</v>
      </c>
      <c r="AE69" s="544" t="str">
        <f>IF(VLOOKUP($E$69,[1]QUART!$A$2:$FA$315, 30, FALSE)="",":",VLOOKUP($E$69,[1]QUART!$A$2:$FA$315, 30, FALSE))</f>
        <v>:</v>
      </c>
      <c r="AF69" s="544" t="str">
        <f>IF(VLOOKUP($E$69,[1]QUART!$A$2:$FA$315, 31, FALSE)="",":",VLOOKUP($E$69,[1]QUART!$A$2:$FA$315, 31, FALSE))</f>
        <v>:</v>
      </c>
      <c r="AG69" s="544" t="str">
        <f>IF(VLOOKUP($E$69,[1]QUART!$A$2:$FA$315, 32, FALSE)="",":",VLOOKUP($E$69,[1]QUART!$A$2:$FA$315, 32, FALSE))</f>
        <v>:</v>
      </c>
      <c r="AH69" s="544" t="str">
        <f>IF(VLOOKUP($E$69,[1]QUART!$A$2:$FA$315, 33, FALSE)="",":",VLOOKUP($E$69,[1]QUART!$A$2:$FA$315, 33, FALSE))</f>
        <v>:</v>
      </c>
      <c r="AI69" s="544" t="str">
        <f>IF(VLOOKUP($E$69,[1]QUART!$A$2:$FA$315, 34, FALSE)="",":",VLOOKUP($E$69,[1]QUART!$A$2:$FA$315, 34, FALSE))</f>
        <v>:</v>
      </c>
      <c r="AJ69" s="544" t="str">
        <f>IF(VLOOKUP($E$69,[1]QUART!$A$2:$FA$315, 35, FALSE)="",":",VLOOKUP($E$69,[1]QUART!$A$2:$FA$315, 35, FALSE))</f>
        <v>:</v>
      </c>
      <c r="AK69" s="544" t="str">
        <f>IF(VLOOKUP($E$69,[1]QUART!$A$2:$FA$315, 36, FALSE)="",":",VLOOKUP($E$69,[1]QUART!$A$2:$FA$315, 36, FALSE))</f>
        <v>:</v>
      </c>
      <c r="AL69" s="544" t="str">
        <f>IF(VLOOKUP($E$69,[1]QUART!$A$2:$FA$315, 37, FALSE)="",":",VLOOKUP($E$69,[1]QUART!$A$2:$FA$315, 37, FALSE))</f>
        <v>:</v>
      </c>
      <c r="AM69" s="544" t="str">
        <f>IF(VLOOKUP($E$69,[1]QUART!$A$2:$FA$315, 38, FALSE)="",":",VLOOKUP($E$69,[1]QUART!$A$2:$FA$315, 38, FALSE))</f>
        <v>:</v>
      </c>
      <c r="AN69" s="544" t="str">
        <f>IF(VLOOKUP($E$69,[1]QUART!$A$2:$FA$315, 39, FALSE)="",":",VLOOKUP($E$69,[1]QUART!$A$2:$FA$315, 39, FALSE))</f>
        <v>:</v>
      </c>
      <c r="AO69" s="544" t="str">
        <f>IF(VLOOKUP($E$69,[1]QUART!$A$2:$FA$315, 40, FALSE)="",":",VLOOKUP($E$69,[1]QUART!$A$2:$FA$315, 40, FALSE))</f>
        <v>:</v>
      </c>
      <c r="AP69" s="544" t="str">
        <f>IF(VLOOKUP($E$69,[1]QUART!$A$2:$FA$315, 41, FALSE)="",":",VLOOKUP($E$69,[1]QUART!$A$2:$FA$315, 41, FALSE))</f>
        <v>:</v>
      </c>
      <c r="AQ69" s="544" t="str">
        <f>IF(VLOOKUP($E$69,[1]QUART!$A$2:$FA$315, 42, FALSE)="",":",VLOOKUP($E$69,[1]QUART!$A$2:$FA$315, 42, FALSE))</f>
        <v>:</v>
      </c>
      <c r="AR69" s="544" t="str">
        <f>IF(VLOOKUP($E$69,[1]QUART!$A$2:$FA$315, 43, FALSE)="",":",VLOOKUP($E$69,[1]QUART!$A$2:$FA$315, 43, FALSE))</f>
        <v>:</v>
      </c>
      <c r="AS69" s="544" t="str">
        <f>IF(VLOOKUP($E$69,[1]QUART!$A$2:$FA$315, 44, FALSE)="",":",VLOOKUP($E$69,[1]QUART!$A$2:$FA$315, 44, FALSE))</f>
        <v>:</v>
      </c>
      <c r="AT69" s="544" t="str">
        <f>IF(VLOOKUP($E$69,[1]QUART!$A$2:$FA$315, 45, FALSE)="",":",VLOOKUP($E$69,[1]QUART!$A$2:$FA$315, 45, FALSE))</f>
        <v>:</v>
      </c>
      <c r="AU69" s="544" t="str">
        <f>IF(VLOOKUP($E$69,[1]QUART!$A$2:$FA$315, 46, FALSE)="",":",VLOOKUP($E$69,[1]QUART!$A$2:$FA$315, 46, FALSE))</f>
        <v>:</v>
      </c>
      <c r="AV69" s="544" t="str">
        <f>IF(VLOOKUP($E$69,[1]QUART!$A$2:$FA$315, 47, FALSE)="",":",VLOOKUP($E$69,[1]QUART!$A$2:$FA$315, 47, FALSE))</f>
        <v>:</v>
      </c>
      <c r="AW69" s="544" t="str">
        <f>IF(VLOOKUP($E$69,[1]QUART!$A$2:$FA$315, 48, FALSE)="",":",VLOOKUP($E$69,[1]QUART!$A$2:$FA$315, 48, FALSE))</f>
        <v>:</v>
      </c>
      <c r="AX69" s="544" t="str">
        <f>IF(VLOOKUP($E$69,[1]QUART!$A$2:$FA$315, 49, FALSE)="",":",VLOOKUP($E$69,[1]QUART!$A$2:$FA$315, 49, FALSE))</f>
        <v>:</v>
      </c>
      <c r="AY69" s="544" t="str">
        <f>IF(VLOOKUP($E$69,[1]QUART!$A$2:$FA$315, 50, FALSE)="",":",VLOOKUP($E$69,[1]QUART!$A$2:$FA$315, 50, FALSE))</f>
        <v>:</v>
      </c>
      <c r="AZ69" s="544" t="str">
        <f>IF(VLOOKUP($E$69,[1]QUART!$A$2:$FA$315, 51, FALSE)="",":",VLOOKUP($E$69,[1]QUART!$A$2:$FA$315, 51, FALSE))</f>
        <v>:</v>
      </c>
      <c r="BA69" s="544" t="str">
        <f>IF(VLOOKUP($E$69,[1]QUART!$A$2:$FA$315, 52, FALSE)="",":",VLOOKUP($E$69,[1]QUART!$A$2:$FA$315, 52, FALSE))</f>
        <v>:</v>
      </c>
      <c r="BB69" s="544" t="str">
        <f>IF(VLOOKUP($E$69,[1]QUART!$A$2:$FA$315, 53, FALSE)="",":",VLOOKUP($E$69,[1]QUART!$A$2:$FA$315, 53, FALSE))</f>
        <v>:</v>
      </c>
      <c r="BC69" s="544" t="str">
        <f>IF(VLOOKUP($E$69,[1]QUART!$A$2:$FA$315, 54, FALSE)="",":",VLOOKUP($E$69,[1]QUART!$A$2:$FA$315, 54, FALSE))</f>
        <v>:</v>
      </c>
      <c r="BD69" s="544" t="str">
        <f>IF(VLOOKUP($E$69,[1]QUART!$A$2:$FA$315, 55, FALSE)="",":",VLOOKUP($E$69,[1]QUART!$A$2:$FA$315, 55, FALSE))</f>
        <v>:</v>
      </c>
      <c r="BE69" s="544" t="str">
        <f>IF(VLOOKUP($E$69,[1]QUART!$A$2:$FA$315, 56, FALSE)="",":",VLOOKUP($E$69,[1]QUART!$A$2:$FA$315, 56, FALSE))</f>
        <v>:</v>
      </c>
      <c r="BF69" s="544" t="str">
        <f>IF(VLOOKUP($E$69,[1]QUART!$A$2:$FA$315, 57, FALSE)="",":",VLOOKUP($E$69,[1]QUART!$A$2:$FA$315, 57, FALSE))</f>
        <v>:</v>
      </c>
      <c r="BG69" s="544" t="str">
        <f>IF(VLOOKUP($E$69,[1]QUART!$A$2:$FA$315, 58, FALSE)="",":",VLOOKUP($E$69,[1]QUART!$A$2:$FA$315, 58, FALSE))</f>
        <v>:</v>
      </c>
      <c r="BH69" s="544" t="str">
        <f>IF(VLOOKUP($E$69,[1]QUART!$A$2:$FA$315, 59, FALSE)="",":",VLOOKUP($E$69,[1]QUART!$A$2:$FA$315, 59, FALSE))</f>
        <v>:</v>
      </c>
      <c r="BI69" s="544" t="str">
        <f>IF(VLOOKUP($E$69,[1]QUART!$A$2:$FA$315, 60, FALSE)="",":",VLOOKUP($E$69,[1]QUART!$A$2:$FA$315, 60, FALSE))</f>
        <v>:</v>
      </c>
      <c r="BJ69" s="544" t="str">
        <f>IF(VLOOKUP($E$69,[1]QUART!$A$2:$FA$315, 61, FALSE)="",":",VLOOKUP($E$69,[1]QUART!$A$2:$FA$315, 61, FALSE))</f>
        <v>:</v>
      </c>
      <c r="BK69" s="544" t="str">
        <f>IF(VLOOKUP($E$69,[1]QUART!$A$2:$FA$315, 62, FALSE)="",":",VLOOKUP($E$69,[1]QUART!$A$2:$FA$315, 62, FALSE))</f>
        <v>:</v>
      </c>
      <c r="BL69" s="544" t="str">
        <f>IF(VLOOKUP($E$69,[1]QUART!$A$2:$FA$315, 63, FALSE)="",":",VLOOKUP($E$69,[1]QUART!$A$2:$FA$315, 63, FALSE))</f>
        <v>:</v>
      </c>
      <c r="BM69" s="544" t="str">
        <f>IF(VLOOKUP($E$69,[1]QUART!$A$2:$FA$315, 64, FALSE)="",":",VLOOKUP($E$69,[1]QUART!$A$2:$FA$315, 64, FALSE))</f>
        <v>:</v>
      </c>
      <c r="BN69" s="544" t="str">
        <f>IF(VLOOKUP($E$69,[1]QUART!$A$2:$FA$315, 65, FALSE)="",":",VLOOKUP($E$69,[1]QUART!$A$2:$FA$315, 65, FALSE))</f>
        <v>:</v>
      </c>
      <c r="BO69" s="544" t="str">
        <f>IF(VLOOKUP($E$69,[1]QUART!$A$2:$FA$315, 66, FALSE)="",":",VLOOKUP($E$69,[1]QUART!$A$2:$FA$315, 66, FALSE))</f>
        <v>:</v>
      </c>
      <c r="BP69" s="544" t="str">
        <f>IF(VLOOKUP($E$69,[1]QUART!$A$2:$FA$315, 67, FALSE)="",":",VLOOKUP($E$69,[1]QUART!$A$2:$FA$315, 67, FALSE))</f>
        <v>:</v>
      </c>
      <c r="BQ69" s="544" t="str">
        <f>IF(VLOOKUP($E$69,[1]QUART!$A$2:$FA$315, 68, FALSE)="",":",VLOOKUP($E$69,[1]QUART!$A$2:$FA$315, 68, FALSE))</f>
        <v>:</v>
      </c>
      <c r="BR69" s="544" t="str">
        <f>IF(VLOOKUP($E$69,[1]QUART!$A$2:$FA$315, 69, FALSE)="",":",VLOOKUP($E$69,[1]QUART!$A$2:$FA$315, 69, FALSE))</f>
        <v>:</v>
      </c>
      <c r="BS69" s="544" t="str">
        <f>IF(VLOOKUP($E$69,[1]QUART!$A$2:$FA$315, 70, FALSE)="",":",VLOOKUP($E$69,[1]QUART!$A$2:$FA$315, 70, FALSE))</f>
        <v>:</v>
      </c>
      <c r="BT69" s="544" t="str">
        <f>IF(VLOOKUP($E$69,[1]QUART!$A$2:$FA$315, 71, FALSE)="",":",VLOOKUP($E$69,[1]QUART!$A$2:$FA$315, 71, FALSE))</f>
        <v>:</v>
      </c>
      <c r="BU69" s="544" t="str">
        <f>IF(VLOOKUP($E$69,[1]QUART!$A$2:$FA$315, 72, FALSE)="",":",VLOOKUP($E$69,[1]QUART!$A$2:$FA$315, 72, FALSE))</f>
        <v>:</v>
      </c>
      <c r="BV69" s="544" t="str">
        <f>IF(VLOOKUP($E$69,[1]QUART!$A$2:$FA$315, 73, FALSE)="",":",VLOOKUP($E$69,[1]QUART!$A$2:$FA$315, 73, FALSE))</f>
        <v>:</v>
      </c>
      <c r="BW69" s="544" t="str">
        <f>IF(VLOOKUP($E$69,[1]QUART!$A$2:$FA$315, 74, FALSE)="",":",VLOOKUP($E$69,[1]QUART!$A$2:$FA$315, 74, FALSE))</f>
        <v>:</v>
      </c>
      <c r="BX69" s="544" t="str">
        <f>IF(VLOOKUP($E$69,[1]QUART!$A$2:$FA$315, 75, FALSE)="",":",VLOOKUP($E$69,[1]QUART!$A$2:$FA$315, 75, FALSE))</f>
        <v>:</v>
      </c>
      <c r="BY69" s="544" t="str">
        <f>IF(VLOOKUP($E$69,[1]QUART!$A$2:$FA$315, 76, FALSE)="",":",VLOOKUP($E$69,[1]QUART!$A$2:$FA$315, 76, FALSE))</f>
        <v>:</v>
      </c>
      <c r="BZ69" s="544" t="str">
        <f>IF(VLOOKUP($E$69,[1]QUART!$A$2:$FA$315, 77, FALSE)="",":",VLOOKUP($E$69,[1]QUART!$A$2:$FA$315, 77, FALSE))</f>
        <v>:</v>
      </c>
      <c r="CA69" s="544" t="str">
        <f>IF(VLOOKUP($E$69,[1]QUART!$A$2:$FA$315, 78, FALSE)="",":",VLOOKUP($E$69,[1]QUART!$A$2:$FA$315, 78, FALSE))</f>
        <v>:</v>
      </c>
      <c r="CB69" s="544" t="str">
        <f>IF(VLOOKUP($E$69,[1]QUART!$A$2:$FA$315, 79, FALSE)="",":",VLOOKUP($E$69,[1]QUART!$A$2:$FA$315, 79, FALSE))</f>
        <v>:</v>
      </c>
      <c r="CC69" s="544" t="str">
        <f>IF(VLOOKUP($E$69,[1]QUART!$A$2:$FA$315, 80, FALSE)="",":",VLOOKUP($E$69,[1]QUART!$A$2:$FA$315, 80, FALSE))</f>
        <v>:</v>
      </c>
      <c r="CD69" s="544" t="str">
        <f>IF(VLOOKUP($E$69,[1]QUART!$A$2:$FA$315, 81, FALSE)="",":",VLOOKUP($E$69,[1]QUART!$A$2:$FA$315, 81, FALSE))</f>
        <v>:</v>
      </c>
      <c r="CE69" s="544" t="str">
        <f>IF(VLOOKUP($E$69,[1]QUART!$A$2:$FA$315, 82, FALSE)="",":",VLOOKUP($E$69,[1]QUART!$A$2:$FA$315, 82, FALSE))</f>
        <v>:</v>
      </c>
      <c r="CF69" s="544" t="str">
        <f>IF(VLOOKUP($E$69,[1]QUART!$A$2:$FA$315, 83, FALSE)="",":",VLOOKUP($E$69,[1]QUART!$A$2:$FA$315, 83, FALSE))</f>
        <v>:</v>
      </c>
      <c r="CG69" s="544" t="str">
        <f>IF(VLOOKUP($E$69,[1]QUART!$A$2:$FA$315, 84, FALSE)="",":",VLOOKUP($E$69,[1]QUART!$A$2:$FA$315, 84, FALSE))</f>
        <v>:</v>
      </c>
      <c r="CH69" s="544" t="str">
        <f>IF(VLOOKUP($E$69,[1]QUART!$A$2:$FA$315, 85, FALSE)="",":",VLOOKUP($E$69,[1]QUART!$A$2:$FA$315, 85, FALSE))</f>
        <v>:</v>
      </c>
      <c r="CI69" s="544" t="str">
        <f>IF(VLOOKUP($E$69,[1]QUART!$A$2:$FA$315, 86, FALSE)="",":",VLOOKUP($E$69,[1]QUART!$A$2:$FA$315, 86, FALSE))</f>
        <v>:</v>
      </c>
      <c r="CJ69" s="544" t="str">
        <f>IF(VLOOKUP($E$69,[1]QUART!$A$2:$FA$315, 87, FALSE)="",":",VLOOKUP($E$69,[1]QUART!$A$2:$FA$315, 87, FALSE))</f>
        <v>:</v>
      </c>
      <c r="CK69" s="544" t="str">
        <f>IF(VLOOKUP($E$69,[1]QUART!$A$2:$FA$315, 88, FALSE)="",":",VLOOKUP($E$69,[1]QUART!$A$2:$FA$315, 88, FALSE))</f>
        <v>:</v>
      </c>
      <c r="CL69" s="544" t="str">
        <f>IF(VLOOKUP($E$69,[1]QUART!$A$2:$FA$315, 89, FALSE)="",":",VLOOKUP($E$69,[1]QUART!$A$2:$FA$315, 89, FALSE))</f>
        <v>:</v>
      </c>
      <c r="CM69" s="544" t="str">
        <f>IF(VLOOKUP($E$69,[1]QUART!$A$2:$FA$315, 90, FALSE)="",":",VLOOKUP($E$69,[1]QUART!$A$2:$FA$315, 90, FALSE))</f>
        <v>:</v>
      </c>
      <c r="CN69" s="544" t="str">
        <f>IF(VLOOKUP($E$69,[1]QUART!$A$2:$FA$315, 91, FALSE)="",":",VLOOKUP($E$69,[1]QUART!$A$2:$FA$315, 91, FALSE))</f>
        <v>:</v>
      </c>
      <c r="CO69" s="544" t="str">
        <f>IF(VLOOKUP($E$69,[1]QUART!$A$2:$FA$315, 92, FALSE)="",":",VLOOKUP($E$69,[1]QUART!$A$2:$FA$315, 92, FALSE))</f>
        <v>:</v>
      </c>
      <c r="CP69" s="544" t="str">
        <f>IF(VLOOKUP($E$69,[1]QUART!$A$2:$FA$315, 93, FALSE)="",":",VLOOKUP($E$69,[1]QUART!$A$2:$FA$315, 93, FALSE))</f>
        <v>:</v>
      </c>
      <c r="CQ69" s="544" t="str">
        <f>IF(VLOOKUP($E$69,[1]QUART!$A$2:$FA$315, 94, FALSE)="",":",VLOOKUP($E$69,[1]QUART!$A$2:$FA$315, 94, FALSE))</f>
        <v>:</v>
      </c>
      <c r="CR69" s="544" t="str">
        <f>IF(VLOOKUP($E$69,[1]QUART!$A$2:$FA$315, 95, FALSE)="",":",VLOOKUP($E$69,[1]QUART!$A$2:$FA$315, 95, FALSE))</f>
        <v>:</v>
      </c>
      <c r="CS69" s="544" t="str">
        <f>IF(VLOOKUP($E$69,[1]QUART!$A$2:$FA$315, 96, FALSE)="",":",VLOOKUP($E$69,[1]QUART!$A$2:$FA$315, 96, FALSE))</f>
        <v>:</v>
      </c>
      <c r="CT69" s="544" t="str">
        <f>IF(VLOOKUP($E$69,[1]QUART!$A$2:$FA$315, 97, FALSE)="",":",VLOOKUP($E$69,[1]QUART!$A$2:$FA$315, 97, FALSE))</f>
        <v>:</v>
      </c>
      <c r="CU69" s="544" t="str">
        <f>IF(VLOOKUP($E$69,[1]QUART!$A$2:$FA$315, 98, FALSE)="",":",VLOOKUP($E$69,[1]QUART!$A$2:$FA$315, 98, FALSE))</f>
        <v>:</v>
      </c>
      <c r="CV69" s="544" t="str">
        <f>IF(VLOOKUP($E$69,[1]QUART!$A$2:$FA$315, 99, FALSE)="",":",VLOOKUP($E$69,[1]QUART!$A$2:$FA$315, 99, FALSE))</f>
        <v>:</v>
      </c>
      <c r="CW69" s="544" t="str">
        <f>IF(VLOOKUP($E$69,[1]QUART!$A$2:$FA$315, 100, FALSE)="",":",VLOOKUP($E$69,[1]QUART!$A$2:$FA$315, 100, FALSE))</f>
        <v>:</v>
      </c>
      <c r="CX69" s="544" t="str">
        <f>IF(VLOOKUP($E$69,[1]QUART!$A$2:$FA$315, 101, FALSE)="",":",VLOOKUP($E$69,[1]QUART!$A$2:$FA$315, 101, FALSE))</f>
        <v>:</v>
      </c>
      <c r="CY69" s="544" t="str">
        <f>IF(VLOOKUP($E$69,[1]QUART!$A$2:$FA$315, 102, FALSE)="",":",VLOOKUP($E$69,[1]QUART!$A$2:$FA$315, 102, FALSE))</f>
        <v>:</v>
      </c>
      <c r="CZ69" s="544" t="str">
        <f>IF(VLOOKUP($E$69,[1]QUART!$A$2:$FA$315, 103, FALSE)="",":",VLOOKUP($E$69,[1]QUART!$A$2:$FA$315, 103, FALSE))</f>
        <v>:</v>
      </c>
      <c r="DA69" s="544" t="str">
        <f>IF(VLOOKUP($E$69,[1]QUART!$A$2:$FA$315, 104, FALSE)="",":",VLOOKUP($E$69,[1]QUART!$A$2:$FA$315, 104, FALSE))</f>
        <v>:</v>
      </c>
      <c r="DB69" s="544" t="str">
        <f>IF(VLOOKUP($E$69,[1]QUART!$A$2:$FA$315, 105, FALSE)="",":",VLOOKUP($E$69,[1]QUART!$A$2:$FA$315, 105, FALSE))</f>
        <v>:</v>
      </c>
      <c r="DC69" s="544" t="str">
        <f>IF(VLOOKUP($E$69,[1]QUART!$A$2:$FA$315, 106, FALSE)="",":",VLOOKUP($E$69,[1]QUART!$A$2:$FA$315, 106, FALSE))</f>
        <v>:</v>
      </c>
    </row>
    <row r="70" spans="1:107">
      <c r="A70" s="1954"/>
      <c r="B70" s="534"/>
      <c r="C70" s="535"/>
      <c r="D70" s="12" t="s">
        <v>1841</v>
      </c>
      <c r="E70" s="13">
        <v>137</v>
      </c>
      <c r="F70" s="14" t="str">
        <f>VLOOKUP($E$70,[1]QUART!$A$2:$FA$311, 3, FALSE)</f>
        <v xml:space="preserve">137  GDP      </v>
      </c>
      <c r="G70" s="544" t="str">
        <f>IF(VLOOKUP($E$70,[1]QUART!$A$2:$FA$311, 6, FALSE)="",":",VLOOKUP($E$70,[1]QUART!$A$2:$FA$311, 6, FALSE))</f>
        <v>:</v>
      </c>
      <c r="H70" s="544" t="str">
        <f>IF(VLOOKUP($E$70,[1]QUART!$A$2:$FA$311, 7, FALSE)="",":",VLOOKUP($E$70,[1]QUART!$A$2:$FA$311, 7, FALSE))</f>
        <v>:</v>
      </c>
      <c r="I70" s="544" t="str">
        <f>IF(VLOOKUP($E$70,[1]QUART!$A$2:$FA$311, 8, FALSE)="",":",VLOOKUP($E$70,[1]QUART!$A$2:$FA$311, 8, FALSE))</f>
        <v>:</v>
      </c>
      <c r="J70" s="544" t="str">
        <f>IF(VLOOKUP($E$70,[1]QUART!$A$2:$FA$311, 9, FALSE)="",":",VLOOKUP($E$70,[1]QUART!$A$2:$FA$311, 9, FALSE))</f>
        <v>:</v>
      </c>
      <c r="K70" s="544" t="str">
        <f>IF(VLOOKUP($E$70,[1]QUART!$A$2:$FA$311, 10, FALSE)="",":",VLOOKUP($E$70,[1]QUART!$A$2:$FA$311, 10, FALSE))</f>
        <v>:</v>
      </c>
      <c r="L70" s="544" t="str">
        <f>IF(VLOOKUP($E$70,[1]QUART!$A$2:$FA$311, 11, FALSE)="",":",VLOOKUP($E$70,[1]QUART!$A$2:$FA$311, 11, FALSE))</f>
        <v>:</v>
      </c>
      <c r="M70" s="544" t="str">
        <f>IF(VLOOKUP($E$70,[1]QUART!$A$2:$FA$311, 12, FALSE)="",":",VLOOKUP($E$70,[1]QUART!$A$2:$FA$311, 12, FALSE))</f>
        <v>:</v>
      </c>
      <c r="N70" s="544" t="str">
        <f>IF(VLOOKUP($E$70,[1]QUART!$A$2:$FA$311, 13, FALSE)="",":",VLOOKUP($E$70,[1]QUART!$A$2:$FA$311, 13, FALSE))</f>
        <v>:</v>
      </c>
      <c r="O70" s="544" t="str">
        <f>IF(VLOOKUP($E$70,[1]QUART!$A$2:$FA$311, 14, FALSE)="",":",VLOOKUP($E$70,[1]QUART!$A$2:$FA$311, 14, FALSE))</f>
        <v>:</v>
      </c>
      <c r="P70" s="544" t="str">
        <f>IF(VLOOKUP($E$70,[1]QUART!$A$2:$FA$311, 15, FALSE)="",":",VLOOKUP($E$70,[1]QUART!$A$2:$FA$311, 15, FALSE))</f>
        <v>:</v>
      </c>
      <c r="Q70" s="544" t="str">
        <f>IF(VLOOKUP($E$70,[1]QUART!$A$2:$FA$311, 16, FALSE)="",":",VLOOKUP($E$70,[1]QUART!$A$2:$FA$311, 16, FALSE))</f>
        <v>:</v>
      </c>
      <c r="R70" s="544" t="str">
        <f>IF(VLOOKUP($E$70,[1]QUART!$A$2:$FA$311, 17, FALSE)="",":",VLOOKUP($E$70,[1]QUART!$A$2:$FA$311, 17, FALSE))</f>
        <v>:</v>
      </c>
      <c r="S70" s="544" t="str">
        <f>IF(VLOOKUP($E$70,[1]QUART!$A$2:$FA$311, 18, FALSE)="",":",VLOOKUP($E$70,[1]QUART!$A$2:$FA$311, 18, FALSE))</f>
        <v>:</v>
      </c>
      <c r="T70" s="544" t="str">
        <f>IF(VLOOKUP($E$70,[1]QUART!$A$2:$FA$311, 19, FALSE)="",":",VLOOKUP($E$70,[1]QUART!$A$2:$FA$311, 19, FALSE))</f>
        <v>:</v>
      </c>
      <c r="U70" s="544" t="str">
        <f>IF(VLOOKUP($E$70,[1]QUART!$A$2:$FA$311, 20, FALSE)="",":",VLOOKUP($E$70,[1]QUART!$A$2:$FA$311, 20, FALSE))</f>
        <v>:</v>
      </c>
      <c r="V70" s="544" t="str">
        <f>IF(VLOOKUP($E$70,[1]QUART!$A$2:$FA$311, 21, FALSE)="",":",VLOOKUP($E$70,[1]QUART!$A$2:$FA$311, 21, FALSE))</f>
        <v>:</v>
      </c>
      <c r="W70" s="544" t="str">
        <f>IF(VLOOKUP($E$70,[1]QUART!$A$2:$FA$311, 22, FALSE)="",":",VLOOKUP($E$70,[1]QUART!$A$2:$FA$311, 22, FALSE))</f>
        <v>:</v>
      </c>
      <c r="X70" s="544" t="str">
        <f>IF(VLOOKUP($E$70,[1]QUART!$A$2:$FA$311, 23, FALSE)="",":",VLOOKUP($E$70,[1]QUART!$A$2:$FA$311, 23, FALSE))</f>
        <v>:</v>
      </c>
      <c r="Y70" s="544" t="str">
        <f>IF(VLOOKUP($E$70,[1]QUART!$A$2:$FA$311, 24, FALSE)="",":",VLOOKUP($E$70,[1]QUART!$A$2:$FA$311, 24, FALSE))</f>
        <v>:</v>
      </c>
      <c r="Z70" s="544" t="str">
        <f>IF(VLOOKUP($E$70,[1]QUART!$A$2:$FA$311, 25, FALSE)="",":",VLOOKUP($E$70,[1]QUART!$A$2:$FA$311, 25, FALSE))</f>
        <v>:</v>
      </c>
      <c r="AA70" s="544" t="str">
        <f>IF(VLOOKUP($E$70,[1]QUART!$A$2:$FA$311, 26, FALSE)="",":",VLOOKUP($E$70,[1]QUART!$A$2:$FA$311, 26, FALSE))</f>
        <v>:</v>
      </c>
      <c r="AB70" s="544" t="str">
        <f>IF(VLOOKUP($E$70,[1]QUART!$A$2:$FA$311, 27, FALSE)="",":",VLOOKUP($E$70,[1]QUART!$A$2:$FA$311, 27, FALSE))</f>
        <v>:</v>
      </c>
      <c r="AC70" s="544" t="str">
        <f>IF(VLOOKUP($E$70,[1]QUART!$A$2:$FA$311, 28, FALSE)="",":",VLOOKUP($E$70,[1]QUART!$A$2:$FA$311, 28, FALSE))</f>
        <v>:</v>
      </c>
      <c r="AD70" s="544" t="str">
        <f>IF(VLOOKUP($E$70,[1]QUART!$A$2:$FA$311, 29, FALSE)="",":",VLOOKUP($E$70,[1]QUART!$A$2:$FA$311, 29, FALSE))</f>
        <v>:</v>
      </c>
      <c r="AE70" s="544" t="str">
        <f>IF(VLOOKUP($E$70,[1]QUART!$A$2:$FA$311, 30, FALSE)="",":",VLOOKUP($E$70,[1]QUART!$A$2:$FA$311, 30, FALSE))</f>
        <v>:</v>
      </c>
      <c r="AF70" s="544" t="str">
        <f>IF(VLOOKUP($E$70,[1]QUART!$A$2:$FA$311, 31, FALSE)="",":",VLOOKUP($E$70,[1]QUART!$A$2:$FA$311, 31, FALSE))</f>
        <v>:</v>
      </c>
      <c r="AG70" s="544" t="str">
        <f>IF(VLOOKUP($E$70,[1]QUART!$A$2:$FA$311, 32, FALSE)="",":",VLOOKUP($E$70,[1]QUART!$A$2:$FA$311, 32, FALSE))</f>
        <v>:</v>
      </c>
      <c r="AH70" s="544" t="str">
        <f>IF(VLOOKUP($E$70,[1]QUART!$A$2:$FA$311, 33, FALSE)="",":",VLOOKUP($E$70,[1]QUART!$A$2:$FA$311, 33, FALSE))</f>
        <v>:</v>
      </c>
      <c r="AI70" s="544" t="str">
        <f>IF(VLOOKUP($E$70,[1]QUART!$A$2:$FA$311, 34, FALSE)="",":",VLOOKUP($E$70,[1]QUART!$A$2:$FA$311, 34, FALSE))</f>
        <v>:</v>
      </c>
      <c r="AJ70" s="544" t="str">
        <f>IF(VLOOKUP($E$70,[1]QUART!$A$2:$FA$311, 35, FALSE)="",":",VLOOKUP($E$70,[1]QUART!$A$2:$FA$311, 35, FALSE))</f>
        <v>:</v>
      </c>
      <c r="AK70" s="544" t="str">
        <f>IF(VLOOKUP($E$70,[1]QUART!$A$2:$FA$311, 36, FALSE)="",":",VLOOKUP($E$70,[1]QUART!$A$2:$FA$311, 36, FALSE))</f>
        <v>:</v>
      </c>
      <c r="AL70" s="544" t="str">
        <f>IF(VLOOKUP($E$70,[1]QUART!$A$2:$FA$311, 37, FALSE)="",":",VLOOKUP($E$70,[1]QUART!$A$2:$FA$311, 37, FALSE))</f>
        <v>:</v>
      </c>
      <c r="AM70" s="544" t="str">
        <f>IF(VLOOKUP($E$70,[1]QUART!$A$2:$FA$311, 38, FALSE)="",":",VLOOKUP($E$70,[1]QUART!$A$2:$FA$311, 38, FALSE))</f>
        <v>:</v>
      </c>
      <c r="AN70" s="544" t="str">
        <f>IF(VLOOKUP($E$70,[1]QUART!$A$2:$FA$311, 39, FALSE)="",":",VLOOKUP($E$70,[1]QUART!$A$2:$FA$311, 39, FALSE))</f>
        <v>:</v>
      </c>
      <c r="AO70" s="544" t="str">
        <f>IF(VLOOKUP($E$70,[1]QUART!$A$2:$FA$311, 40, FALSE)="",":",VLOOKUP($E$70,[1]QUART!$A$2:$FA$311, 40, FALSE))</f>
        <v>:</v>
      </c>
      <c r="AP70" s="544" t="str">
        <f>IF(VLOOKUP($E$70,[1]QUART!$A$2:$FA$311, 41, FALSE)="",":",VLOOKUP($E$70,[1]QUART!$A$2:$FA$311, 41, FALSE))</f>
        <v>:</v>
      </c>
      <c r="AQ70" s="544" t="str">
        <f>IF(VLOOKUP($E$70,[1]QUART!$A$2:$FA$311, 42, FALSE)="",":",VLOOKUP($E$70,[1]QUART!$A$2:$FA$311, 42, FALSE))</f>
        <v>:</v>
      </c>
      <c r="AR70" s="544" t="str">
        <f>IF(VLOOKUP($E$70,[1]QUART!$A$2:$FA$311, 43, FALSE)="",":",VLOOKUP($E$70,[1]QUART!$A$2:$FA$311, 43, FALSE))</f>
        <v>:</v>
      </c>
      <c r="AS70" s="544" t="str">
        <f>IF(VLOOKUP($E$70,[1]QUART!$A$2:$FA$311, 44, FALSE)="",":",VLOOKUP($E$70,[1]QUART!$A$2:$FA$311, 44, FALSE))</f>
        <v>:</v>
      </c>
      <c r="AT70" s="544" t="str">
        <f>IF(VLOOKUP($E$70,[1]QUART!$A$2:$FA$311, 45, FALSE)="",":",VLOOKUP($E$70,[1]QUART!$A$2:$FA$311, 45, FALSE))</f>
        <v>:</v>
      </c>
      <c r="AU70" s="544" t="str">
        <f>IF(VLOOKUP($E$70,[1]QUART!$A$2:$FA$311, 46, FALSE)="",":",VLOOKUP($E$70,[1]QUART!$A$2:$FA$311, 46, FALSE))</f>
        <v>:</v>
      </c>
      <c r="AV70" s="544" t="str">
        <f>IF(VLOOKUP($E$70,[1]QUART!$A$2:$FA$311, 47, FALSE)="",":",VLOOKUP($E$70,[1]QUART!$A$2:$FA$311, 47, FALSE))</f>
        <v>:</v>
      </c>
      <c r="AW70" s="544" t="str">
        <f>IF(VLOOKUP($E$70,[1]QUART!$A$2:$FA$311, 48, FALSE)="",":",VLOOKUP($E$70,[1]QUART!$A$2:$FA$311, 48, FALSE))</f>
        <v>:</v>
      </c>
      <c r="AX70" s="544" t="str">
        <f>IF(VLOOKUP($E$70,[1]QUART!$A$2:$FA$311, 49, FALSE)="",":",VLOOKUP($E$70,[1]QUART!$A$2:$FA$311, 49, FALSE))</f>
        <v>:</v>
      </c>
      <c r="AY70" s="544" t="str">
        <f>IF(VLOOKUP($E$70,[1]QUART!$A$2:$FA$311, 50, FALSE)="",":",VLOOKUP($E$70,[1]QUART!$A$2:$FA$311, 50, FALSE))</f>
        <v>:</v>
      </c>
      <c r="AZ70" s="544" t="str">
        <f>IF(VLOOKUP($E$70,[1]QUART!$A$2:$FA$311, 51, FALSE)="",":",VLOOKUP($E$70,[1]QUART!$A$2:$FA$311, 51, FALSE))</f>
        <v>:</v>
      </c>
      <c r="BA70" s="544" t="str">
        <f>IF(VLOOKUP($E$70,[1]QUART!$A$2:$FA$311, 52, FALSE)="",":",VLOOKUP($E$70,[1]QUART!$A$2:$FA$311, 52, FALSE))</f>
        <v>:</v>
      </c>
      <c r="BB70" s="544" t="str">
        <f>IF(VLOOKUP($E$70,[1]QUART!$A$2:$FA$311, 53, FALSE)="",":",VLOOKUP($E$70,[1]QUART!$A$2:$FA$311, 53, FALSE))</f>
        <v>:</v>
      </c>
      <c r="BC70" s="544" t="str">
        <f>IF(VLOOKUP($E$70,[1]QUART!$A$2:$FA$311, 54, FALSE)="",":",VLOOKUP($E$70,[1]QUART!$A$2:$FA$311, 54, FALSE))</f>
        <v>:</v>
      </c>
      <c r="BD70" s="544" t="str">
        <f>IF(VLOOKUP($E$70,[1]QUART!$A$2:$FA$311, 55, FALSE)="",":",VLOOKUP($E$70,[1]QUART!$A$2:$FA$311, 55, FALSE))</f>
        <v>:</v>
      </c>
      <c r="BE70" s="544" t="str">
        <f>IF(VLOOKUP($E$70,[1]QUART!$A$2:$FA$311, 56, FALSE)="",":",VLOOKUP($E$70,[1]QUART!$A$2:$FA$311, 56, FALSE))</f>
        <v>:</v>
      </c>
      <c r="BF70" s="544" t="str">
        <f>IF(VLOOKUP($E$70,[1]QUART!$A$2:$FA$311, 57, FALSE)="",":",VLOOKUP($E$70,[1]QUART!$A$2:$FA$311, 57, FALSE))</f>
        <v>:</v>
      </c>
      <c r="BG70" s="544" t="str">
        <f>IF(VLOOKUP($E$70,[1]QUART!$A$2:$FA$311, 58, FALSE)="",":",VLOOKUP($E$70,[1]QUART!$A$2:$FA$311, 58, FALSE))</f>
        <v>:</v>
      </c>
      <c r="BH70" s="544" t="str">
        <f>IF(VLOOKUP($E$70,[1]QUART!$A$2:$FA$311, 59, FALSE)="",":",VLOOKUP($E$70,[1]QUART!$A$2:$FA$311, 59, FALSE))</f>
        <v>:</v>
      </c>
      <c r="BI70" s="544" t="str">
        <f>IF(VLOOKUP($E$70,[1]QUART!$A$2:$FA$311, 60, FALSE)="",":",VLOOKUP($E$70,[1]QUART!$A$2:$FA$311, 60, FALSE))</f>
        <v>:</v>
      </c>
      <c r="BJ70" s="544" t="str">
        <f>IF(VLOOKUP($E$70,[1]QUART!$A$2:$FA$311, 61, FALSE)="",":",VLOOKUP($E$70,[1]QUART!$A$2:$FA$311, 61, FALSE))</f>
        <v>:</v>
      </c>
      <c r="BK70" s="544" t="str">
        <f>IF(VLOOKUP($E$70,[1]QUART!$A$2:$FA$311, 62, FALSE)="",":",VLOOKUP($E$70,[1]QUART!$A$2:$FA$311, 62, FALSE))</f>
        <v>:</v>
      </c>
      <c r="BL70" s="544" t="str">
        <f>IF(VLOOKUP($E$70,[1]QUART!$A$2:$FA$311, 63, FALSE)="",":",VLOOKUP($E$70,[1]QUART!$A$2:$FA$311, 63, FALSE))</f>
        <v>:</v>
      </c>
      <c r="BM70" s="544" t="str">
        <f>IF(VLOOKUP($E$70,[1]QUART!$A$2:$FA$311, 64, FALSE)="",":",VLOOKUP($E$70,[1]QUART!$A$2:$FA$311, 64, FALSE))</f>
        <v>:</v>
      </c>
      <c r="BN70" s="544" t="str">
        <f>IF(VLOOKUP($E$70,[1]QUART!$A$2:$FA$311, 65, FALSE)="",":",VLOOKUP($E$70,[1]QUART!$A$2:$FA$311, 65, FALSE))</f>
        <v>:</v>
      </c>
      <c r="BO70" s="544" t="str">
        <f>IF(VLOOKUP($E$70,[1]QUART!$A$2:$FA$311, 66, FALSE)="",":",VLOOKUP($E$70,[1]QUART!$A$2:$FA$311, 66, FALSE))</f>
        <v>:</v>
      </c>
      <c r="BP70" s="544" t="str">
        <f>IF(VLOOKUP($E$70,[1]QUART!$A$2:$FA$311, 67, FALSE)="",":",VLOOKUP($E$70,[1]QUART!$A$2:$FA$311, 67, FALSE))</f>
        <v>:</v>
      </c>
      <c r="BQ70" s="544" t="str">
        <f>IF(VLOOKUP($E$70,[1]QUART!$A$2:$FA$311, 68, FALSE)="",":",VLOOKUP($E$70,[1]QUART!$A$2:$FA$311, 68, FALSE))</f>
        <v>:</v>
      </c>
      <c r="BR70" s="544" t="str">
        <f>IF(VLOOKUP($E$70,[1]QUART!$A$2:$FA$311, 69, FALSE)="",":",VLOOKUP($E$70,[1]QUART!$A$2:$FA$311, 69, FALSE))</f>
        <v>:</v>
      </c>
      <c r="BS70" s="544" t="str">
        <f>IF(VLOOKUP($E$70,[1]QUART!$A$2:$FA$311, 70, FALSE)="",":",VLOOKUP($E$70,[1]QUART!$A$2:$FA$311, 70, FALSE))</f>
        <v>:</v>
      </c>
      <c r="BT70" s="544" t="str">
        <f>IF(VLOOKUP($E$70,[1]QUART!$A$2:$FA$311, 71, FALSE)="",":",VLOOKUP($E$70,[1]QUART!$A$2:$FA$311, 71, FALSE))</f>
        <v>:</v>
      </c>
      <c r="BU70" s="544" t="str">
        <f>IF(VLOOKUP($E$70,[1]QUART!$A$2:$FA$311, 72, FALSE)="",":",VLOOKUP($E$70,[1]QUART!$A$2:$FA$311, 72, FALSE))</f>
        <v>:</v>
      </c>
      <c r="BV70" s="544" t="str">
        <f>IF(VLOOKUP($E$70,[1]QUART!$A$2:$FA$311, 73, FALSE)="",":",VLOOKUP($E$70,[1]QUART!$A$2:$FA$311, 73, FALSE))</f>
        <v>:</v>
      </c>
      <c r="BW70" s="544" t="str">
        <f>IF(VLOOKUP($E$70,[1]QUART!$A$2:$FA$311, 74, FALSE)="",":",VLOOKUP($E$70,[1]QUART!$A$2:$FA$311, 74, FALSE))</f>
        <v>:</v>
      </c>
      <c r="BX70" s="544" t="str">
        <f>IF(VLOOKUP($E$70,[1]QUART!$A$2:$FA$311, 75, FALSE)="",":",VLOOKUP($E$70,[1]QUART!$A$2:$FA$311, 75, FALSE))</f>
        <v>:</v>
      </c>
      <c r="BY70" s="544" t="str">
        <f>IF(VLOOKUP($E$70,[1]QUART!$A$2:$FA$311, 76, FALSE)="",":",VLOOKUP($E$70,[1]QUART!$A$2:$FA$311, 76, FALSE))</f>
        <v>:</v>
      </c>
      <c r="BZ70" s="544" t="str">
        <f>IF(VLOOKUP($E$70,[1]QUART!$A$2:$FA$311, 77, FALSE)="",":",VLOOKUP($E$70,[1]QUART!$A$2:$FA$311, 77, FALSE))</f>
        <v>:</v>
      </c>
      <c r="CA70" s="544" t="str">
        <f>IF(VLOOKUP($E$70,[1]QUART!$A$2:$FA$311, 78, FALSE)="",":",VLOOKUP($E$70,[1]QUART!$A$2:$FA$311, 78, FALSE))</f>
        <v>:</v>
      </c>
      <c r="CB70" s="544" t="str">
        <f>IF(VLOOKUP($E$70,[1]QUART!$A$2:$FA$311, 79, FALSE)="",":",VLOOKUP($E$70,[1]QUART!$A$2:$FA$311, 79, FALSE))</f>
        <v>:</v>
      </c>
      <c r="CC70" s="544" t="str">
        <f>IF(VLOOKUP($E$70,[1]QUART!$A$2:$FA$311, 80, FALSE)="",":",VLOOKUP($E$70,[1]QUART!$A$2:$FA$311, 80, FALSE))</f>
        <v>:</v>
      </c>
      <c r="CD70" s="544" t="str">
        <f>IF(VLOOKUP($E$70,[1]QUART!$A$2:$FA$311, 81, FALSE)="",":",VLOOKUP($E$70,[1]QUART!$A$2:$FA$311, 81, FALSE))</f>
        <v>:</v>
      </c>
      <c r="CE70" s="544" t="str">
        <f>IF(VLOOKUP($E$70,[1]QUART!$A$2:$FA$311, 82, FALSE)="",":",VLOOKUP($E$70,[1]QUART!$A$2:$FA$311, 82, FALSE))</f>
        <v>:</v>
      </c>
      <c r="CF70" s="544" t="str">
        <f>IF(VLOOKUP($E$70,[1]QUART!$A$2:$FA$311, 83, FALSE)="",":",VLOOKUP($E$70,[1]QUART!$A$2:$FA$311, 83, FALSE))</f>
        <v>:</v>
      </c>
      <c r="CG70" s="544" t="str">
        <f>IF(VLOOKUP($E$70,[1]QUART!$A$2:$FA$311, 84, FALSE)="",":",VLOOKUP($E$70,[1]QUART!$A$2:$FA$311, 84, FALSE))</f>
        <v>:</v>
      </c>
      <c r="CH70" s="544" t="str">
        <f>IF(VLOOKUP($E$70,[1]QUART!$A$2:$FA$311, 85, FALSE)="",":",VLOOKUP($E$70,[1]QUART!$A$2:$FA$311, 85, FALSE))</f>
        <v>:</v>
      </c>
      <c r="CI70" s="544" t="str">
        <f>IF(VLOOKUP($E$70,[1]QUART!$A$2:$FA$311, 86, FALSE)="",":",VLOOKUP($E$70,[1]QUART!$A$2:$FA$311, 86, FALSE))</f>
        <v>:</v>
      </c>
      <c r="CJ70" s="544" t="str">
        <f>IF(VLOOKUP($E$70,[1]QUART!$A$2:$FA$311, 87, FALSE)="",":",VLOOKUP($E$70,[1]QUART!$A$2:$FA$311, 87, FALSE))</f>
        <v>:</v>
      </c>
      <c r="CK70" s="544" t="str">
        <f>IF(VLOOKUP($E$70,[1]QUART!$A$2:$FA$311, 88, FALSE)="",":",VLOOKUP($E$70,[1]QUART!$A$2:$FA$311, 88, FALSE))</f>
        <v>:</v>
      </c>
      <c r="CL70" s="544" t="str">
        <f>IF(VLOOKUP($E$70,[1]QUART!$A$2:$FA$311, 89, FALSE)="",":",VLOOKUP($E$70,[1]QUART!$A$2:$FA$311, 89, FALSE))</f>
        <v>:</v>
      </c>
      <c r="CM70" s="544" t="str">
        <f>IF(VLOOKUP($E$70,[1]QUART!$A$2:$FA$311, 90, FALSE)="",":",VLOOKUP($E$70,[1]QUART!$A$2:$FA$311, 90, FALSE))</f>
        <v>:</v>
      </c>
      <c r="CN70" s="544" t="str">
        <f>IF(VLOOKUP($E$70,[1]QUART!$A$2:$FA$311, 91, FALSE)="",":",VLOOKUP($E$70,[1]QUART!$A$2:$FA$311, 91, FALSE))</f>
        <v>:</v>
      </c>
      <c r="CO70" s="544" t="str">
        <f>IF(VLOOKUP($E$70,[1]QUART!$A$2:$FA$311, 92, FALSE)="",":",VLOOKUP($E$70,[1]QUART!$A$2:$FA$311, 92, FALSE))</f>
        <v>:</v>
      </c>
      <c r="CP70" s="544" t="str">
        <f>IF(VLOOKUP($E$70,[1]QUART!$A$2:$FA$311, 93, FALSE)="",":",VLOOKUP($E$70,[1]QUART!$A$2:$FA$311, 93, FALSE))</f>
        <v>:</v>
      </c>
      <c r="CQ70" s="544" t="str">
        <f>IF(VLOOKUP($E$70,[1]QUART!$A$2:$FA$311, 94, FALSE)="",":",VLOOKUP($E$70,[1]QUART!$A$2:$FA$311, 94, FALSE))</f>
        <v>:</v>
      </c>
      <c r="CR70" s="544" t="str">
        <f>IF(VLOOKUP($E$70,[1]QUART!$A$2:$FA$311, 95, FALSE)="",":",VLOOKUP($E$70,[1]QUART!$A$2:$FA$311, 95, FALSE))</f>
        <v>:</v>
      </c>
      <c r="CS70" s="544" t="str">
        <f>IF(VLOOKUP($E$70,[1]QUART!$A$2:$FA$311, 96, FALSE)="",":",VLOOKUP($E$70,[1]QUART!$A$2:$FA$311, 96, FALSE))</f>
        <v>:</v>
      </c>
      <c r="CT70" s="544" t="str">
        <f>IF(VLOOKUP($E$70,[1]QUART!$A$2:$FA$311, 97, FALSE)="",":",VLOOKUP($E$70,[1]QUART!$A$2:$FA$311, 97, FALSE))</f>
        <v>:</v>
      </c>
      <c r="CU70" s="544" t="str">
        <f>IF(VLOOKUP($E$70,[1]QUART!$A$2:$FA$311, 98, FALSE)="",":",VLOOKUP($E$70,[1]QUART!$A$2:$FA$311, 98, FALSE))</f>
        <v>:</v>
      </c>
      <c r="CV70" s="544" t="str">
        <f>IF(VLOOKUP($E$70,[1]QUART!$A$2:$FA$311, 99, FALSE)="",":",VLOOKUP($E$70,[1]QUART!$A$2:$FA$311, 99, FALSE))</f>
        <v>:</v>
      </c>
      <c r="CW70" s="544" t="str">
        <f>IF(VLOOKUP($E$70,[1]QUART!$A$2:$FA$311, 100, FALSE)="",":",VLOOKUP($E$70,[1]QUART!$A$2:$FA$311, 100, FALSE))</f>
        <v>:</v>
      </c>
      <c r="CX70" s="544" t="str">
        <f>IF(VLOOKUP($E$70,[1]QUART!$A$2:$FA$311, 101, FALSE)="",":",VLOOKUP($E$70,[1]QUART!$A$2:$FA$311, 101, FALSE))</f>
        <v>:</v>
      </c>
      <c r="CY70" s="544" t="str">
        <f>IF(VLOOKUP($E$70,[1]QUART!$A$2:$FA$311, 102, FALSE)="",":",VLOOKUP($E$70,[1]QUART!$A$2:$FA$311, 102, FALSE))</f>
        <v>:</v>
      </c>
      <c r="CZ70" s="544" t="str">
        <f>IF(VLOOKUP($E$70,[1]QUART!$A$2:$FA$311, 103, FALSE)="",":",VLOOKUP($E$70,[1]QUART!$A$2:$FA$311, 103, FALSE))</f>
        <v>:</v>
      </c>
      <c r="DA70" s="544" t="str">
        <f>IF(VLOOKUP($E$70,[1]QUART!$A$2:$FA$311, 104, FALSE)="",":",VLOOKUP($E$70,[1]QUART!$A$2:$FA$311, 104, FALSE))</f>
        <v>:</v>
      </c>
      <c r="DB70" s="544" t="str">
        <f>IF(VLOOKUP($E$70,[1]QUART!$A$2:$FA$311, 105, FALSE)="",":",VLOOKUP($E$70,[1]QUART!$A$2:$FA$311, 105, FALSE))</f>
        <v>:</v>
      </c>
      <c r="DC70" s="544" t="str">
        <f>IF(VLOOKUP($E$70,[1]QUART!$A$2:$FA$311, 106, FALSE)="",":",VLOOKUP($E$70,[1]QUART!$A$2:$FA$311, 106, FALSE))</f>
        <v>:</v>
      </c>
    </row>
    <row r="71" spans="1:107">
      <c r="A71" s="533"/>
      <c r="B71" s="534"/>
      <c r="C71" s="535"/>
      <c r="D71" s="12"/>
      <c r="E71" s="13"/>
      <c r="F71" s="14"/>
      <c r="G71" s="544"/>
      <c r="H71" s="544"/>
      <c r="I71" s="544"/>
      <c r="J71" s="544"/>
      <c r="K71" s="544"/>
      <c r="L71" s="544"/>
      <c r="M71" s="544"/>
      <c r="N71" s="544"/>
      <c r="O71" s="544"/>
      <c r="P71" s="544"/>
      <c r="Q71" s="544"/>
      <c r="R71" s="544"/>
      <c r="S71" s="544"/>
      <c r="T71" s="544"/>
      <c r="U71" s="544"/>
      <c r="V71" s="544"/>
      <c r="W71" s="544"/>
      <c r="X71" s="544"/>
      <c r="Y71" s="544"/>
      <c r="Z71" s="544"/>
      <c r="AA71" s="544"/>
      <c r="AB71" s="544"/>
      <c r="AC71" s="544"/>
      <c r="AD71" s="544"/>
      <c r="AE71" s="544"/>
      <c r="AF71" s="544"/>
      <c r="AG71" s="544"/>
      <c r="AH71" s="544"/>
      <c r="AI71" s="544"/>
      <c r="AJ71" s="544"/>
      <c r="AK71" s="544"/>
      <c r="AL71" s="544"/>
      <c r="AM71" s="544"/>
      <c r="AN71" s="544"/>
      <c r="AO71" s="544"/>
      <c r="AP71" s="544"/>
      <c r="AQ71" s="544"/>
      <c r="AR71" s="544"/>
      <c r="AS71" s="544"/>
      <c r="AT71" s="544"/>
      <c r="AU71" s="544"/>
      <c r="AV71" s="544"/>
      <c r="AW71" s="544"/>
      <c r="AX71" s="544"/>
      <c r="AY71" s="544"/>
      <c r="AZ71" s="544"/>
      <c r="BA71" s="544"/>
      <c r="BB71" s="544"/>
      <c r="BC71" s="544"/>
      <c r="BD71" s="544"/>
      <c r="BE71" s="544"/>
      <c r="BF71" s="544"/>
      <c r="BG71" s="544"/>
      <c r="BH71" s="544"/>
      <c r="BI71" s="544"/>
      <c r="BJ71" s="544"/>
      <c r="BK71" s="544"/>
      <c r="BL71" s="544"/>
      <c r="BM71" s="544"/>
      <c r="BN71" s="544"/>
      <c r="BO71" s="544"/>
      <c r="BP71" s="544"/>
      <c r="BQ71" s="544"/>
      <c r="BR71" s="544"/>
      <c r="BS71" s="544"/>
      <c r="BT71" s="544"/>
      <c r="BU71" s="544"/>
      <c r="BV71" s="544"/>
      <c r="BW71" s="544"/>
      <c r="BX71" s="544"/>
      <c r="BY71" s="544"/>
      <c r="BZ71" s="544"/>
      <c r="CA71" s="544"/>
      <c r="CB71" s="544"/>
      <c r="CC71" s="544"/>
      <c r="CD71" s="544"/>
      <c r="CE71" s="544"/>
      <c r="CF71" s="544"/>
      <c r="CG71" s="544"/>
      <c r="CH71" s="544"/>
      <c r="CI71" s="544"/>
      <c r="CJ71" s="544"/>
      <c r="CK71" s="544"/>
      <c r="CL71" s="544"/>
      <c r="CM71" s="544"/>
      <c r="CN71" s="544"/>
      <c r="CO71" s="544"/>
      <c r="CP71" s="544"/>
      <c r="CQ71" s="544"/>
      <c r="CR71" s="544"/>
      <c r="CS71" s="544"/>
      <c r="CT71" s="544"/>
      <c r="CU71" s="544"/>
      <c r="CV71" s="544"/>
      <c r="CW71" s="544"/>
      <c r="CX71" s="544"/>
      <c r="CY71" s="544"/>
      <c r="CZ71" s="544"/>
      <c r="DA71" s="544"/>
      <c r="DB71" s="544"/>
      <c r="DC71" s="544"/>
    </row>
    <row r="72" spans="1:107">
      <c r="A72" s="533"/>
      <c r="B72" s="534"/>
      <c r="C72" s="535"/>
      <c r="D72" s="12"/>
      <c r="E72" s="13"/>
      <c r="F72" s="14"/>
      <c r="G72" s="544"/>
      <c r="H72" s="544"/>
      <c r="I72" s="544"/>
      <c r="J72" s="544"/>
      <c r="K72" s="544"/>
      <c r="L72" s="544"/>
      <c r="M72" s="544"/>
      <c r="N72" s="544"/>
      <c r="O72" s="544"/>
      <c r="P72" s="544"/>
      <c r="Q72" s="544"/>
      <c r="R72" s="544"/>
      <c r="S72" s="544"/>
      <c r="T72" s="544"/>
      <c r="U72" s="544"/>
      <c r="V72" s="544"/>
      <c r="W72" s="544"/>
      <c r="X72" s="544"/>
      <c r="Y72" s="544"/>
      <c r="Z72" s="544"/>
      <c r="AA72" s="544"/>
      <c r="AB72" s="544"/>
      <c r="AC72" s="544"/>
      <c r="AD72" s="544"/>
      <c r="AE72" s="544"/>
      <c r="AF72" s="544"/>
      <c r="AG72" s="544"/>
      <c r="AH72" s="544"/>
      <c r="AI72" s="544"/>
      <c r="AJ72" s="544"/>
      <c r="AK72" s="544"/>
      <c r="AL72" s="544"/>
      <c r="AM72" s="544"/>
      <c r="AN72" s="544"/>
      <c r="AO72" s="544"/>
      <c r="AP72" s="544"/>
      <c r="AQ72" s="544"/>
      <c r="AR72" s="544"/>
      <c r="AS72" s="544"/>
      <c r="AT72" s="544"/>
      <c r="AU72" s="544"/>
      <c r="AV72" s="544"/>
      <c r="AW72" s="544"/>
      <c r="AX72" s="544"/>
      <c r="AY72" s="544"/>
      <c r="AZ72" s="544"/>
      <c r="BA72" s="544"/>
      <c r="BB72" s="544"/>
      <c r="BC72" s="544"/>
      <c r="BD72" s="544"/>
      <c r="BE72" s="544"/>
      <c r="BF72" s="544"/>
      <c r="BG72" s="544"/>
      <c r="BH72" s="544"/>
      <c r="BI72" s="544"/>
      <c r="BJ72" s="544"/>
      <c r="BK72" s="544"/>
      <c r="BL72" s="544"/>
      <c r="BM72" s="544"/>
      <c r="BN72" s="544"/>
      <c r="BO72" s="544"/>
      <c r="BP72" s="544"/>
      <c r="BQ72" s="544"/>
      <c r="BR72" s="544"/>
      <c r="BS72" s="544"/>
      <c r="BT72" s="544"/>
      <c r="BU72" s="544"/>
      <c r="BV72" s="544"/>
      <c r="BW72" s="544"/>
      <c r="BX72" s="544"/>
      <c r="BY72" s="544"/>
      <c r="BZ72" s="544"/>
      <c r="CA72" s="544"/>
      <c r="CB72" s="544"/>
      <c r="CC72" s="544"/>
      <c r="CD72" s="544"/>
      <c r="CE72" s="544"/>
      <c r="CF72" s="544"/>
      <c r="CG72" s="544"/>
      <c r="CH72" s="544"/>
      <c r="CI72" s="544"/>
      <c r="CJ72" s="544"/>
      <c r="CK72" s="544"/>
      <c r="CL72" s="544"/>
      <c r="CM72" s="544"/>
      <c r="CN72" s="544"/>
      <c r="CO72" s="544"/>
      <c r="CP72" s="544"/>
      <c r="CQ72" s="544"/>
      <c r="CR72" s="544"/>
      <c r="CS72" s="544"/>
      <c r="CT72" s="544"/>
      <c r="CU72" s="544"/>
      <c r="CV72" s="544"/>
      <c r="CW72" s="544"/>
      <c r="CX72" s="544"/>
      <c r="CY72" s="544"/>
      <c r="CZ72" s="544"/>
      <c r="DA72" s="544"/>
      <c r="DB72" s="544"/>
      <c r="DC72" s="544"/>
    </row>
    <row r="73" spans="1:107">
      <c r="A73" s="533"/>
      <c r="B73" s="534"/>
      <c r="C73" s="535"/>
      <c r="D73" s="12"/>
      <c r="E73" s="13"/>
      <c r="F73" s="14"/>
      <c r="G73" s="544"/>
      <c r="H73" s="544"/>
      <c r="I73" s="544"/>
      <c r="J73" s="544"/>
      <c r="K73" s="544"/>
      <c r="L73" s="544"/>
      <c r="M73" s="544"/>
      <c r="N73" s="544"/>
      <c r="O73" s="544"/>
      <c r="P73" s="544"/>
      <c r="Q73" s="544"/>
      <c r="R73" s="544"/>
      <c r="S73" s="544"/>
      <c r="T73" s="544"/>
      <c r="U73" s="544"/>
      <c r="V73" s="544"/>
      <c r="W73" s="544"/>
      <c r="X73" s="544"/>
      <c r="Y73" s="544"/>
      <c r="Z73" s="544"/>
      <c r="AA73" s="544"/>
      <c r="AB73" s="544"/>
      <c r="AC73" s="544"/>
      <c r="AD73" s="544"/>
      <c r="AE73" s="544"/>
      <c r="AF73" s="544"/>
      <c r="AG73" s="544"/>
      <c r="AH73" s="544"/>
      <c r="AI73" s="544"/>
      <c r="AJ73" s="544"/>
      <c r="AK73" s="544"/>
      <c r="AL73" s="544"/>
      <c r="AM73" s="544"/>
      <c r="AN73" s="544"/>
      <c r="AO73" s="544"/>
      <c r="AP73" s="544"/>
      <c r="AQ73" s="544"/>
      <c r="AR73" s="544"/>
      <c r="AS73" s="544"/>
      <c r="AT73" s="544"/>
      <c r="AU73" s="544"/>
      <c r="AV73" s="544"/>
      <c r="AW73" s="544"/>
      <c r="AX73" s="544"/>
      <c r="AY73" s="544"/>
      <c r="AZ73" s="544"/>
      <c r="BA73" s="544"/>
      <c r="BB73" s="544"/>
      <c r="BC73" s="544"/>
      <c r="BD73" s="544"/>
      <c r="BE73" s="544"/>
      <c r="BF73" s="544"/>
      <c r="BG73" s="544"/>
      <c r="BH73" s="544"/>
      <c r="BI73" s="544"/>
      <c r="BJ73" s="544"/>
      <c r="BK73" s="544"/>
      <c r="BL73" s="544"/>
      <c r="BM73" s="544"/>
      <c r="BN73" s="544"/>
      <c r="BO73" s="544"/>
      <c r="BP73" s="544"/>
      <c r="BQ73" s="544"/>
      <c r="BR73" s="544"/>
      <c r="BS73" s="544"/>
      <c r="BT73" s="544"/>
      <c r="BU73" s="544"/>
      <c r="BV73" s="544"/>
      <c r="BW73" s="544"/>
      <c r="BX73" s="544"/>
      <c r="BY73" s="544"/>
      <c r="BZ73" s="544"/>
      <c r="CA73" s="544"/>
      <c r="CB73" s="544"/>
      <c r="CC73" s="544"/>
      <c r="CD73" s="544"/>
      <c r="CE73" s="544"/>
      <c r="CF73" s="544"/>
      <c r="CG73" s="544"/>
      <c r="CH73" s="544"/>
      <c r="CI73" s="544"/>
      <c r="CJ73" s="544"/>
      <c r="CK73" s="544"/>
      <c r="CL73" s="544"/>
      <c r="CM73" s="544"/>
      <c r="CN73" s="544"/>
      <c r="CO73" s="544"/>
      <c r="CP73" s="544"/>
      <c r="CQ73" s="544"/>
      <c r="CR73" s="544"/>
      <c r="CS73" s="544"/>
      <c r="CT73" s="544"/>
      <c r="CU73" s="544"/>
      <c r="CV73" s="544"/>
      <c r="CW73" s="544"/>
      <c r="CX73" s="544"/>
      <c r="CY73" s="544"/>
      <c r="CZ73" s="544"/>
      <c r="DA73" s="544"/>
      <c r="DB73" s="544"/>
      <c r="DC73" s="544"/>
    </row>
    <row r="74" spans="1:107" customFormat="1"/>
    <row r="75" spans="1:107" customFormat="1"/>
    <row r="76" spans="1:107" customFormat="1"/>
    <row r="77" spans="1:107" customFormat="1"/>
    <row r="78" spans="1:107" customFormat="1"/>
    <row r="79" spans="1:107" customFormat="1"/>
    <row r="80" spans="1:107"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sheetData>
  <mergeCells count="1">
    <mergeCell ref="A1:F1"/>
  </mergeCells>
  <phoneticPr fontId="60" type="noConversion"/>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enableFormatConditionsCalculation="0">
    <tabColor indexed="43"/>
    <pageSetUpPr fitToPage="1"/>
  </sheetPr>
  <dimension ref="A2:ET126"/>
  <sheetViews>
    <sheetView showGridLines="0" zoomScaleNormal="100" workbookViewId="0">
      <pane xSplit="6" ySplit="17" topLeftCell="AI18" activePane="bottomRight" state="frozen"/>
      <selection pane="topRight" activeCell="G1" sqref="G1"/>
      <selection pane="bottomLeft" activeCell="A18" sqref="A18"/>
      <selection pane="bottomRight" activeCell="DM81" sqref="DM81"/>
    </sheetView>
  </sheetViews>
  <sheetFormatPr defaultRowHeight="12.75"/>
  <cols>
    <col min="1" max="1" width="4.140625" style="1456" customWidth="1"/>
    <col min="2" max="2" width="4.140625" hidden="1" customWidth="1"/>
    <col min="3" max="3" width="4.140625" style="546" customWidth="1"/>
    <col min="4" max="4" width="4.140625" customWidth="1"/>
    <col min="5" max="5" width="38.85546875" customWidth="1"/>
    <col min="6" max="6" width="13.140625" style="546" customWidth="1"/>
    <col min="7" max="9" width="9.140625" customWidth="1"/>
    <col min="10" max="10" width="10" customWidth="1"/>
    <col min="11" max="11" width="9.140625" customWidth="1"/>
    <col min="12" max="12" width="10.42578125" style="1287" customWidth="1"/>
    <col min="13" max="13" width="10.42578125" customWidth="1"/>
    <col min="14" max="14" width="9.140625" style="1287" customWidth="1"/>
    <col min="15" max="15" width="10" customWidth="1"/>
    <col min="16" max="16" width="9.140625" customWidth="1"/>
    <col min="17" max="17" width="10.42578125" style="1287" customWidth="1"/>
    <col min="18" max="18" width="9.140625" customWidth="1"/>
    <col min="19" max="19" width="9.140625" style="1287" customWidth="1"/>
    <col min="20" max="21" width="9.140625" customWidth="1"/>
    <col min="22" max="22" width="10.42578125" style="1287" customWidth="1"/>
    <col min="23" max="23" width="9.140625" customWidth="1"/>
    <col min="24" max="24" width="9.140625" style="1287" customWidth="1"/>
    <col min="25" max="26" width="9.140625" customWidth="1"/>
    <col min="27" max="27" width="10.42578125" style="1287" customWidth="1"/>
    <col min="28" max="28" width="9.140625" customWidth="1"/>
    <col min="29" max="29" width="9.140625" style="1287" customWidth="1"/>
    <col min="30" max="31" width="9.140625" customWidth="1"/>
    <col min="32" max="32" width="10.42578125" style="1287" customWidth="1"/>
    <col min="33" max="33" width="9.140625" customWidth="1"/>
    <col min="34" max="34" width="9.140625" style="1287" customWidth="1"/>
    <col min="35" max="36" width="9.140625" customWidth="1"/>
    <col min="37" max="37" width="10.42578125" style="1287" customWidth="1"/>
    <col min="38" max="38" width="9.140625" customWidth="1"/>
    <col min="39" max="39" width="9.140625" style="1287" customWidth="1"/>
    <col min="40" max="41" width="9.140625" customWidth="1"/>
    <col min="42" max="42" width="10.42578125" style="1287" customWidth="1"/>
    <col min="43" max="43" width="9.140625" customWidth="1"/>
    <col min="44" max="44" width="9.140625" style="1287" customWidth="1"/>
    <col min="45" max="46" width="9.140625" customWidth="1"/>
    <col min="47" max="47" width="10.42578125" style="1287" customWidth="1"/>
    <col min="48" max="48" width="9.140625" customWidth="1"/>
    <col min="49" max="49" width="9.140625" style="1287" customWidth="1"/>
    <col min="50" max="51" width="9.140625" customWidth="1"/>
    <col min="52" max="52" width="10.42578125" style="1287" customWidth="1"/>
    <col min="53" max="53" width="9.140625" customWidth="1"/>
    <col min="54" max="54" width="9.140625" style="1287" customWidth="1"/>
    <col min="55" max="56" width="9.140625" customWidth="1"/>
    <col min="57" max="61" width="8.5703125" customWidth="1"/>
    <col min="62" max="62" width="9.42578125" customWidth="1"/>
    <col min="63" max="71" width="8.5703125" customWidth="1"/>
    <col min="72" max="73" width="9.140625" customWidth="1"/>
    <col min="74" max="74" width="8.5703125" customWidth="1"/>
    <col min="75" max="75" width="9.7109375" customWidth="1"/>
    <col min="76" max="76" width="8.28515625" customWidth="1"/>
    <col min="77" max="77" width="7.7109375" customWidth="1"/>
    <col min="78" max="78" width="7.85546875" customWidth="1"/>
    <col min="79" max="79" width="5.85546875" customWidth="1"/>
    <col min="80" max="80" width="8" customWidth="1"/>
    <col min="81" max="81" width="6.28515625" customWidth="1"/>
    <col min="82" max="82" width="8.7109375" customWidth="1"/>
    <col min="83" max="84" width="9" customWidth="1"/>
    <col min="85" max="85" width="8.7109375" customWidth="1"/>
    <col min="86" max="86" width="9.28515625" customWidth="1"/>
    <col min="87" max="89" width="9.140625" customWidth="1"/>
    <col min="90" max="90" width="10.7109375" customWidth="1"/>
    <col min="91" max="91" width="9.5703125" customWidth="1"/>
    <col min="92" max="92" width="11.140625" customWidth="1"/>
    <col min="93" max="94" width="9.140625" customWidth="1"/>
    <col min="95" max="96" width="9.5703125" customWidth="1"/>
    <col min="97" max="97" width="11.140625" customWidth="1"/>
    <col min="98" max="99" width="9.140625" customWidth="1"/>
    <col min="100" max="101" width="9.5703125" customWidth="1"/>
    <col min="102" max="102" width="11.140625" customWidth="1"/>
    <col min="103" max="103" width="9.140625" customWidth="1"/>
    <col min="104" max="106" width="9.5703125" customWidth="1"/>
    <col min="107" max="107" width="11.140625" customWidth="1"/>
    <col min="108" max="109" width="9.140625" customWidth="1"/>
    <col min="110" max="111" width="9.5703125" customWidth="1"/>
    <col min="115" max="115" width="11.140625" customWidth="1"/>
    <col min="127" max="131" width="9.140625" style="3649"/>
  </cols>
  <sheetData>
    <row r="2" spans="1:145" ht="15.75">
      <c r="B2" s="546" t="s">
        <v>1501</v>
      </c>
      <c r="D2" s="1650" t="s">
        <v>1610</v>
      </c>
      <c r="E2" s="1651"/>
      <c r="F2" s="1641" t="s">
        <v>1501</v>
      </c>
    </row>
    <row r="3" spans="1:145" ht="15.75">
      <c r="B3" s="546" t="s">
        <v>235</v>
      </c>
      <c r="D3" s="1650" t="s">
        <v>736</v>
      </c>
      <c r="E3" s="1651"/>
      <c r="F3" s="1641" t="s">
        <v>1501</v>
      </c>
      <c r="M3" s="1444"/>
    </row>
    <row r="4" spans="1:145">
      <c r="D4" s="3751" t="str">
        <f>IF(F2=F3,"ok","Reporting in different format can cause errors in transfer")</f>
        <v>ok</v>
      </c>
      <c r="E4" s="3751"/>
      <c r="F4" s="3751"/>
      <c r="G4" s="3756" t="str">
        <f ca="1">IF(OFFSET('VVP2'!$G$2,0,(COLUMN()-6)/5)="ok","ok","Not ok - Check VVP2 for inconsistencies")</f>
        <v>ok</v>
      </c>
      <c r="H4" s="3756"/>
      <c r="I4" s="3756"/>
      <c r="J4" s="3756"/>
      <c r="K4" s="3757"/>
      <c r="L4" s="3756" t="str">
        <f ca="1">IF(OFFSET('VVP2'!$G$2,0,(COLUMN()-6)/5)="ok","ok","Not ok - Check VVP2 for inconsistencies")</f>
        <v>Not ok - Check VVP2 for inconsistencies</v>
      </c>
      <c r="M4" s="3756"/>
      <c r="N4" s="3756"/>
      <c r="O4" s="3756"/>
      <c r="P4" s="3757"/>
      <c r="Q4" s="3756" t="str">
        <f ca="1">IF(OFFSET('VVP2'!$G$2,0,(COLUMN()-6)/5)="ok","ok","Not ok - Check VVP2 for inconsistencies")</f>
        <v>ok</v>
      </c>
      <c r="R4" s="3756"/>
      <c r="S4" s="3756"/>
      <c r="T4" s="3756"/>
      <c r="U4" s="3757"/>
      <c r="V4" s="3756" t="str">
        <f ca="1">IF(OFFSET('VVP2'!$G$2,0,(COLUMN()-6)/5)="ok","ok","Not ok - Check VVP2 for inconsistencies")</f>
        <v>Not ok - Check VVP2 for inconsistencies</v>
      </c>
      <c r="W4" s="3756"/>
      <c r="X4" s="3756"/>
      <c r="Y4" s="3756"/>
      <c r="Z4" s="3757"/>
      <c r="AA4" s="3756" t="str">
        <f ca="1">IF(OFFSET('VVP2'!$G$2,0,(COLUMN()-6)/5)="ok","ok","Not ok - Check VVP2 for inconsistencies")</f>
        <v>Not ok - Check VVP2 for inconsistencies</v>
      </c>
      <c r="AB4" s="3756"/>
      <c r="AC4" s="3756"/>
      <c r="AD4" s="3756"/>
      <c r="AE4" s="3757"/>
      <c r="AF4" s="3756" t="str">
        <f ca="1">IF(OFFSET('VVP2'!$G$2,0,(COLUMN()-6)/5)="ok","ok","Not ok - Check VVP2 for inconsistencies")</f>
        <v>Not ok - Check VVP2 for inconsistencies</v>
      </c>
      <c r="AG4" s="3756"/>
      <c r="AH4" s="3756"/>
      <c r="AI4" s="3756"/>
      <c r="AJ4" s="3757"/>
      <c r="AK4" s="3756" t="str">
        <f ca="1">IF(OFFSET('VVP2'!$G$2,0,(COLUMN()-6)/5)="ok","ok","Not ok - Check VVP2 for inconsistencies")</f>
        <v>Not ok - Check VVP2 for inconsistencies</v>
      </c>
      <c r="AL4" s="3756"/>
      <c r="AM4" s="3756"/>
      <c r="AN4" s="3756"/>
      <c r="AO4" s="3757"/>
      <c r="AP4" s="3756" t="str">
        <f ca="1">IF(OFFSET('VVP2'!$G$2,0,(COLUMN()-6)/5)="ok","ok","Not ok - Check VVP2 for inconsistencies")</f>
        <v>Not ok - Check VVP2 for inconsistencies</v>
      </c>
      <c r="AQ4" s="3756"/>
      <c r="AR4" s="3756"/>
      <c r="AS4" s="3756"/>
      <c r="AT4" s="3757"/>
      <c r="AU4" s="3756" t="str">
        <f ca="1">IF(OFFSET('VVP2'!$G$2,0,(COLUMN()-6)/5)="ok","ok","Not ok - Check VVP2 for inconsistencies")</f>
        <v>ok</v>
      </c>
      <c r="AV4" s="3756"/>
      <c r="AW4" s="3756"/>
      <c r="AX4" s="3756"/>
      <c r="AY4" s="3757"/>
      <c r="AZ4" s="3756" t="str">
        <f ca="1">IF(OFFSET('VVP2'!$G$2,0,(COLUMN()-6)/5)="ok","ok","Not ok - Check VVP2 for inconsistencies")</f>
        <v>Not ok - Check VVP2 for inconsistencies</v>
      </c>
      <c r="BA4" s="3756"/>
      <c r="BB4" s="3756"/>
      <c r="BC4" s="3756"/>
      <c r="BD4" s="3757"/>
      <c r="BE4" s="3756" t="str">
        <f ca="1">IF(OFFSET('VVP2'!$G$2,0,(COLUMN()-6)/5)="ok","ok","Not ok - Check VVP2 for inconsistencies")</f>
        <v>ok</v>
      </c>
      <c r="BF4" s="3756"/>
      <c r="BG4" s="3756"/>
      <c r="BH4" s="3756"/>
      <c r="BI4" s="3757"/>
      <c r="BJ4" s="3756" t="str">
        <f ca="1">IF(OFFSET('VVP2'!$G$2,0,(COLUMN()-6)/5)="ok","ok","Not ok - Check VVP2 for inconsistencies")</f>
        <v>ok</v>
      </c>
      <c r="BK4" s="3756"/>
      <c r="BL4" s="3756"/>
      <c r="BM4" s="3756"/>
      <c r="BN4" s="3757"/>
      <c r="BO4" s="3756" t="str">
        <f ca="1">IF(OFFSET('VVP2'!$G$2,0,(COLUMN()-6)/5)="ok","ok","Not ok - Check VVP2 for inconsistencies")</f>
        <v>ok</v>
      </c>
      <c r="BP4" s="3756"/>
      <c r="BQ4" s="3756"/>
      <c r="BR4" s="3756"/>
      <c r="BS4" s="3757"/>
      <c r="BT4" s="3756" t="str">
        <f ca="1">IF(OFFSET('VVP2'!$G$2,0,(COLUMN()-6)/5)="ok","ok","Not ok - Check VVP2 for inconsistencies")</f>
        <v>ok</v>
      </c>
      <c r="BU4" s="3756"/>
      <c r="BV4" s="3756"/>
      <c r="BW4" s="3756"/>
      <c r="BX4" s="3757"/>
      <c r="BY4" s="3756" t="str">
        <f ca="1">IF(OFFSET('VVP2'!$G$2,0,(COLUMN()-6)/5)="ok","ok","Not ok - Check VVP2 for inconsistencies")</f>
        <v>ok</v>
      </c>
      <c r="BZ4" s="3756"/>
      <c r="CA4" s="3756"/>
      <c r="CB4" s="3756"/>
      <c r="CC4" s="3757"/>
      <c r="CD4" s="3756" t="str">
        <f ca="1">IF(OFFSET('VVP2'!$G$2,0,(COLUMN()-6)/5)="ok","ok","Not ok - Check VVP2 for inconsistencies")</f>
        <v>ok</v>
      </c>
      <c r="CE4" s="3756"/>
      <c r="CF4" s="3756"/>
      <c r="CG4" s="3756"/>
      <c r="CH4" s="3757"/>
      <c r="CI4" s="3756" t="str">
        <f ca="1">IF(OFFSET('VVP2'!$G$2,0,(COLUMN()-6)/5)="ok","ok","Not ok - Check VVP2 for inconsistencies")</f>
        <v>ok</v>
      </c>
      <c r="CJ4" s="3756"/>
      <c r="CK4" s="3756"/>
      <c r="CL4" s="3756"/>
      <c r="CM4" s="3757"/>
      <c r="CN4" s="3756" t="str">
        <f ca="1">IF(OFFSET('VVP2'!$G$2,0,(COLUMN()-6)/5)="ok","ok","Not ok - Check VVP2 for inconsistencies")</f>
        <v>ok</v>
      </c>
      <c r="CO4" s="3756"/>
      <c r="CP4" s="3756"/>
      <c r="CQ4" s="3756"/>
      <c r="CR4" s="3757"/>
      <c r="CS4" s="3756" t="str">
        <f ca="1">IF(OFFSET('VVP2'!$G$2,0,(COLUMN()-6)/5)="ok","ok","Not ok - Check VVP2 for inconsistencies")</f>
        <v>ok</v>
      </c>
      <c r="CT4" s="3756"/>
      <c r="CU4" s="3756"/>
      <c r="CV4" s="3756"/>
      <c r="CW4" s="3757"/>
      <c r="CX4" s="3756" t="str">
        <f ca="1">IF(OFFSET('VVP2'!$G$2,0,(COLUMN()-6)/5)="ok","ok","Not ok - Check VVP2 for inconsistencies")</f>
        <v>ok</v>
      </c>
      <c r="CY4" s="3756"/>
      <c r="CZ4" s="3756"/>
      <c r="DA4" s="3756"/>
      <c r="DB4" s="3757"/>
      <c r="DC4" s="3756" t="str">
        <f ca="1">IF(OFFSET('VVP2'!$G$2,0,(COLUMN()-6)/5)="ok","ok","Not ok - Check VVP2 for inconsistencies")</f>
        <v>ok</v>
      </c>
      <c r="DD4" s="3756"/>
      <c r="DE4" s="3756"/>
      <c r="DF4" s="3756"/>
      <c r="DG4" s="3757"/>
      <c r="DH4" s="3756" t="str">
        <f ca="1">IF(OFFSET('VVP2'!$G$2,0,(COLUMN()-6)/5)="ok","ok","Not ok - Check VVP2 for inconsistencies")</f>
        <v>ok</v>
      </c>
      <c r="DI4" s="3756"/>
      <c r="DJ4" s="3756"/>
      <c r="DK4" s="3756"/>
      <c r="DL4" s="3757"/>
      <c r="DM4" s="3756" t="str">
        <f ca="1">IF(OFFSET('VVP2'!$G$2,0,(COLUMN()-6)/5)="ok","ok","Not ok - Check VVP2 for inconsistencies")</f>
        <v>ok</v>
      </c>
      <c r="DN4" s="3756"/>
      <c r="DO4" s="3756"/>
      <c r="DP4" s="3756"/>
      <c r="DQ4" s="3757"/>
      <c r="DR4" s="3756" t="str">
        <f ca="1">IF(OFFSET('VVP2'!$G$2,0,(COLUMN()-6)/5)="ok","ok","Not ok - Check VVP2 for inconsistencies")</f>
        <v>ok</v>
      </c>
      <c r="DS4" s="3756"/>
      <c r="DT4" s="3756"/>
      <c r="DU4" s="3756"/>
      <c r="DV4" s="3757"/>
      <c r="DW4" s="3756" t="str">
        <f ca="1">IF(OFFSET('VVP2'!$G$2,0,(COLUMN()-6)/5)="ok","ok","Not ok - Check VVP2 for inconsistencies")</f>
        <v>ok</v>
      </c>
      <c r="DX4" s="3756"/>
      <c r="DY4" s="3756"/>
      <c r="DZ4" s="3756"/>
      <c r="EA4" s="3757"/>
    </row>
    <row r="5" spans="1:145">
      <c r="D5" s="1254"/>
      <c r="E5" s="3751" t="s">
        <v>1269</v>
      </c>
      <c r="F5" s="3751"/>
      <c r="G5" s="3758">
        <f>+InputY!$G$3</f>
        <v>1995</v>
      </c>
      <c r="H5" s="3759"/>
      <c r="I5" s="3759"/>
      <c r="J5" s="3759"/>
      <c r="K5" s="3760"/>
      <c r="L5" s="3758">
        <f>+G5+1</f>
        <v>1996</v>
      </c>
      <c r="M5" s="3759"/>
      <c r="N5" s="3759"/>
      <c r="O5" s="3759"/>
      <c r="P5" s="3760"/>
      <c r="Q5" s="3758">
        <f>+L5+1</f>
        <v>1997</v>
      </c>
      <c r="R5" s="3759"/>
      <c r="S5" s="3759"/>
      <c r="T5" s="3759"/>
      <c r="U5" s="3760"/>
      <c r="V5" s="3758">
        <f>+Q5+1</f>
        <v>1998</v>
      </c>
      <c r="W5" s="3759"/>
      <c r="X5" s="3759"/>
      <c r="Y5" s="3759"/>
      <c r="Z5" s="3760"/>
      <c r="AA5" s="3758">
        <f>+V5+1</f>
        <v>1999</v>
      </c>
      <c r="AB5" s="3759"/>
      <c r="AC5" s="3759"/>
      <c r="AD5" s="3759"/>
      <c r="AE5" s="3760"/>
      <c r="AF5" s="3758">
        <f>+AA5+1</f>
        <v>2000</v>
      </c>
      <c r="AG5" s="3759"/>
      <c r="AH5" s="3759"/>
      <c r="AI5" s="3759"/>
      <c r="AJ5" s="3760"/>
      <c r="AK5" s="3758">
        <f>+AF5+1</f>
        <v>2001</v>
      </c>
      <c r="AL5" s="3759"/>
      <c r="AM5" s="3759"/>
      <c r="AN5" s="3759"/>
      <c r="AO5" s="3760"/>
      <c r="AP5" s="3758">
        <f>+AK5+1</f>
        <v>2002</v>
      </c>
      <c r="AQ5" s="3759"/>
      <c r="AR5" s="3759"/>
      <c r="AS5" s="3759"/>
      <c r="AT5" s="3760"/>
      <c r="AU5" s="3758">
        <f>+AP5+1</f>
        <v>2003</v>
      </c>
      <c r="AV5" s="3759"/>
      <c r="AW5" s="3759"/>
      <c r="AX5" s="3759"/>
      <c r="AY5" s="3760"/>
      <c r="AZ5" s="3758">
        <f>+AU5+1</f>
        <v>2004</v>
      </c>
      <c r="BA5" s="3759"/>
      <c r="BB5" s="3759"/>
      <c r="BC5" s="3759"/>
      <c r="BD5" s="3760"/>
      <c r="BE5" s="3758">
        <f>+AZ5+1</f>
        <v>2005</v>
      </c>
      <c r="BF5" s="3759"/>
      <c r="BG5" s="3759"/>
      <c r="BH5" s="3759"/>
      <c r="BI5" s="3760"/>
      <c r="BJ5" s="3758">
        <f>+BE5+1</f>
        <v>2006</v>
      </c>
      <c r="BK5" s="3759"/>
      <c r="BL5" s="3759"/>
      <c r="BM5" s="3759"/>
      <c r="BN5" s="3760"/>
      <c r="BO5" s="3758">
        <f>+BJ5+1</f>
        <v>2007</v>
      </c>
      <c r="BP5" s="3759"/>
      <c r="BQ5" s="3759"/>
      <c r="BR5" s="3759"/>
      <c r="BS5" s="3760"/>
      <c r="BT5" s="3758">
        <f>+BO5+1</f>
        <v>2008</v>
      </c>
      <c r="BU5" s="3759"/>
      <c r="BV5" s="3759"/>
      <c r="BW5" s="3759"/>
      <c r="BX5" s="3760"/>
      <c r="BY5" s="3758">
        <f>+BT5+1</f>
        <v>2009</v>
      </c>
      <c r="BZ5" s="3759"/>
      <c r="CA5" s="3759"/>
      <c r="CB5" s="3759"/>
      <c r="CC5" s="3760"/>
      <c r="CD5" s="3758">
        <f>+BY5+1</f>
        <v>2010</v>
      </c>
      <c r="CE5" s="3759"/>
      <c r="CF5" s="3759"/>
      <c r="CG5" s="3759"/>
      <c r="CH5" s="3760"/>
      <c r="CI5" s="3758">
        <f>+CD5+1</f>
        <v>2011</v>
      </c>
      <c r="CJ5" s="3759"/>
      <c r="CK5" s="3759"/>
      <c r="CL5" s="3759"/>
      <c r="CM5" s="3760"/>
      <c r="CN5" s="3758">
        <f>+CI5+1</f>
        <v>2012</v>
      </c>
      <c r="CO5" s="3759"/>
      <c r="CP5" s="3759"/>
      <c r="CQ5" s="3759"/>
      <c r="CR5" s="3760"/>
      <c r="CS5" s="3758">
        <f>+CN5+1</f>
        <v>2013</v>
      </c>
      <c r="CT5" s="3759"/>
      <c r="CU5" s="3759"/>
      <c r="CV5" s="3759"/>
      <c r="CW5" s="3760"/>
      <c r="CX5" s="3758">
        <f>+CS5+1</f>
        <v>2014</v>
      </c>
      <c r="CY5" s="3759"/>
      <c r="CZ5" s="3759"/>
      <c r="DA5" s="3759"/>
      <c r="DB5" s="3760"/>
      <c r="DC5" s="3758">
        <f>+CX5+1</f>
        <v>2015</v>
      </c>
      <c r="DD5" s="3759"/>
      <c r="DE5" s="3759"/>
      <c r="DF5" s="3759"/>
      <c r="DG5" s="3760"/>
      <c r="DH5" s="3758">
        <f>+DC5+1</f>
        <v>2016</v>
      </c>
      <c r="DI5" s="3759"/>
      <c r="DJ5" s="3759"/>
      <c r="DK5" s="3759"/>
      <c r="DL5" s="3760"/>
      <c r="DM5" s="3758">
        <f>+DH5+1</f>
        <v>2017</v>
      </c>
      <c r="DN5" s="3759"/>
      <c r="DO5" s="3759"/>
      <c r="DP5" s="3759"/>
      <c r="DQ5" s="3760"/>
      <c r="DR5" s="3758">
        <f>+DM5+1</f>
        <v>2018</v>
      </c>
      <c r="DS5" s="3759"/>
      <c r="DT5" s="3759"/>
      <c r="DU5" s="3759"/>
      <c r="DV5" s="3760"/>
      <c r="DW5" s="3758">
        <f>+DR5+1</f>
        <v>2019</v>
      </c>
      <c r="DX5" s="3759"/>
      <c r="DY5" s="3759"/>
      <c r="DZ5" s="3759"/>
      <c r="EA5" s="3760"/>
    </row>
    <row r="6" spans="1:145">
      <c r="C6" s="3"/>
      <c r="D6" s="1199"/>
      <c r="E6" s="3751"/>
      <c r="F6" s="3751"/>
      <c r="G6" s="1250" t="s">
        <v>1486</v>
      </c>
      <c r="H6" s="1251" t="s">
        <v>1732</v>
      </c>
      <c r="I6" s="1250" t="s">
        <v>2022</v>
      </c>
      <c r="J6" s="1251" t="s">
        <v>584</v>
      </c>
      <c r="K6" s="1250" t="s">
        <v>2023</v>
      </c>
      <c r="L6" s="1250" t="s">
        <v>1486</v>
      </c>
      <c r="M6" s="1251" t="s">
        <v>1732</v>
      </c>
      <c r="N6" s="1250" t="s">
        <v>2022</v>
      </c>
      <c r="O6" s="1251" t="s">
        <v>584</v>
      </c>
      <c r="P6" s="1250" t="s">
        <v>2023</v>
      </c>
      <c r="Q6" s="1250" t="s">
        <v>1486</v>
      </c>
      <c r="R6" s="1251" t="s">
        <v>1732</v>
      </c>
      <c r="S6" s="1250" t="s">
        <v>2022</v>
      </c>
      <c r="T6" s="1251" t="s">
        <v>584</v>
      </c>
      <c r="U6" s="1250" t="s">
        <v>2023</v>
      </c>
      <c r="V6" s="1250" t="s">
        <v>1486</v>
      </c>
      <c r="W6" s="1251" t="s">
        <v>1732</v>
      </c>
      <c r="X6" s="1250" t="s">
        <v>2022</v>
      </c>
      <c r="Y6" s="1251" t="s">
        <v>584</v>
      </c>
      <c r="Z6" s="1250" t="s">
        <v>2023</v>
      </c>
      <c r="AA6" s="1250" t="s">
        <v>1486</v>
      </c>
      <c r="AB6" s="1251" t="s">
        <v>1732</v>
      </c>
      <c r="AC6" s="1250" t="s">
        <v>2022</v>
      </c>
      <c r="AD6" s="1251" t="s">
        <v>584</v>
      </c>
      <c r="AE6" s="1250" t="s">
        <v>2023</v>
      </c>
      <c r="AF6" s="1250" t="s">
        <v>1486</v>
      </c>
      <c r="AG6" s="1251" t="s">
        <v>1732</v>
      </c>
      <c r="AH6" s="1250" t="s">
        <v>2022</v>
      </c>
      <c r="AI6" s="1251" t="s">
        <v>584</v>
      </c>
      <c r="AJ6" s="1250" t="s">
        <v>2023</v>
      </c>
      <c r="AK6" s="1250" t="s">
        <v>1486</v>
      </c>
      <c r="AL6" s="1251" t="s">
        <v>1732</v>
      </c>
      <c r="AM6" s="1250" t="s">
        <v>2022</v>
      </c>
      <c r="AN6" s="1251" t="s">
        <v>584</v>
      </c>
      <c r="AO6" s="1250" t="s">
        <v>2023</v>
      </c>
      <c r="AP6" s="1250" t="s">
        <v>1486</v>
      </c>
      <c r="AQ6" s="1251" t="s">
        <v>1732</v>
      </c>
      <c r="AR6" s="1250" t="s">
        <v>2022</v>
      </c>
      <c r="AS6" s="1251" t="s">
        <v>584</v>
      </c>
      <c r="AT6" s="1250" t="s">
        <v>2023</v>
      </c>
      <c r="AU6" s="1250" t="s">
        <v>1486</v>
      </c>
      <c r="AV6" s="1251" t="s">
        <v>1732</v>
      </c>
      <c r="AW6" s="1250" t="s">
        <v>2022</v>
      </c>
      <c r="AX6" s="1251" t="s">
        <v>584</v>
      </c>
      <c r="AY6" s="1250" t="s">
        <v>2023</v>
      </c>
      <c r="AZ6" s="1250" t="s">
        <v>1486</v>
      </c>
      <c r="BA6" s="1251" t="s">
        <v>1732</v>
      </c>
      <c r="BB6" s="1250" t="s">
        <v>2022</v>
      </c>
      <c r="BC6" s="1251" t="s">
        <v>584</v>
      </c>
      <c r="BD6" s="1250" t="s">
        <v>2023</v>
      </c>
      <c r="BE6" s="1250" t="s">
        <v>1486</v>
      </c>
      <c r="BF6" s="1251" t="s">
        <v>1732</v>
      </c>
      <c r="BG6" s="1250" t="s">
        <v>2022</v>
      </c>
      <c r="BH6" s="1251" t="s">
        <v>584</v>
      </c>
      <c r="BI6" s="1250" t="s">
        <v>2023</v>
      </c>
      <c r="BJ6" s="1250" t="s">
        <v>1486</v>
      </c>
      <c r="BK6" s="1251" t="s">
        <v>1732</v>
      </c>
      <c r="BL6" s="1250" t="s">
        <v>2022</v>
      </c>
      <c r="BM6" s="1251" t="s">
        <v>584</v>
      </c>
      <c r="BN6" s="1250" t="s">
        <v>2023</v>
      </c>
      <c r="BO6" s="1250" t="s">
        <v>1486</v>
      </c>
      <c r="BP6" s="1251" t="s">
        <v>1732</v>
      </c>
      <c r="BQ6" s="1250" t="s">
        <v>2022</v>
      </c>
      <c r="BR6" s="1251" t="s">
        <v>584</v>
      </c>
      <c r="BS6" s="1250" t="s">
        <v>2023</v>
      </c>
      <c r="BT6" s="1250" t="s">
        <v>1486</v>
      </c>
      <c r="BU6" s="1251" t="s">
        <v>1732</v>
      </c>
      <c r="BV6" s="1250" t="s">
        <v>2022</v>
      </c>
      <c r="BW6" s="1251" t="s">
        <v>584</v>
      </c>
      <c r="BX6" s="1250" t="s">
        <v>2023</v>
      </c>
      <c r="BY6" s="1250" t="s">
        <v>1486</v>
      </c>
      <c r="BZ6" s="1251" t="s">
        <v>1732</v>
      </c>
      <c r="CA6" s="1250" t="s">
        <v>2022</v>
      </c>
      <c r="CB6" s="1251" t="s">
        <v>584</v>
      </c>
      <c r="CC6" s="1250" t="s">
        <v>2023</v>
      </c>
      <c r="CD6" s="1250" t="s">
        <v>1486</v>
      </c>
      <c r="CE6" s="1251" t="s">
        <v>1732</v>
      </c>
      <c r="CF6" s="1250" t="s">
        <v>2022</v>
      </c>
      <c r="CG6" s="1251" t="s">
        <v>584</v>
      </c>
      <c r="CH6" s="1250" t="s">
        <v>2023</v>
      </c>
      <c r="CI6" s="1250" t="s">
        <v>1486</v>
      </c>
      <c r="CJ6" s="1251" t="s">
        <v>1732</v>
      </c>
      <c r="CK6" s="1250" t="s">
        <v>2022</v>
      </c>
      <c r="CL6" s="1251" t="s">
        <v>584</v>
      </c>
      <c r="CM6" s="1250" t="s">
        <v>2023</v>
      </c>
      <c r="CN6" s="1250" t="s">
        <v>1486</v>
      </c>
      <c r="CO6" s="1251" t="s">
        <v>1732</v>
      </c>
      <c r="CP6" s="1250" t="s">
        <v>2022</v>
      </c>
      <c r="CQ6" s="1251" t="s">
        <v>584</v>
      </c>
      <c r="CR6" s="1250" t="s">
        <v>2023</v>
      </c>
      <c r="CS6" s="1250" t="s">
        <v>1486</v>
      </c>
      <c r="CT6" s="1251" t="s">
        <v>1732</v>
      </c>
      <c r="CU6" s="1250" t="s">
        <v>2022</v>
      </c>
      <c r="CV6" s="1251" t="s">
        <v>584</v>
      </c>
      <c r="CW6" s="1250" t="s">
        <v>2023</v>
      </c>
      <c r="CX6" s="1250" t="s">
        <v>1486</v>
      </c>
      <c r="CY6" s="1251" t="s">
        <v>1732</v>
      </c>
      <c r="CZ6" s="1250" t="s">
        <v>2022</v>
      </c>
      <c r="DA6" s="1251" t="s">
        <v>584</v>
      </c>
      <c r="DB6" s="1250" t="s">
        <v>2023</v>
      </c>
      <c r="DC6" s="1250" t="s">
        <v>1486</v>
      </c>
      <c r="DD6" s="1251" t="s">
        <v>1732</v>
      </c>
      <c r="DE6" s="1250" t="s">
        <v>2022</v>
      </c>
      <c r="DF6" s="1251" t="s">
        <v>584</v>
      </c>
      <c r="DG6" s="1250" t="s">
        <v>2023</v>
      </c>
      <c r="DH6" s="1250" t="s">
        <v>1486</v>
      </c>
      <c r="DI6" s="1251" t="s">
        <v>1732</v>
      </c>
      <c r="DJ6" s="1250" t="s">
        <v>2022</v>
      </c>
      <c r="DK6" s="1251" t="s">
        <v>584</v>
      </c>
      <c r="DL6" s="1250" t="s">
        <v>2023</v>
      </c>
      <c r="DM6" s="1250" t="s">
        <v>1486</v>
      </c>
      <c r="DN6" s="1251" t="s">
        <v>1732</v>
      </c>
      <c r="DO6" s="1250" t="s">
        <v>2022</v>
      </c>
      <c r="DP6" s="1251" t="s">
        <v>584</v>
      </c>
      <c r="DQ6" s="1250" t="s">
        <v>2023</v>
      </c>
      <c r="DR6" s="1250" t="s">
        <v>1486</v>
      </c>
      <c r="DS6" s="1251" t="s">
        <v>1732</v>
      </c>
      <c r="DT6" s="1250" t="s">
        <v>2022</v>
      </c>
      <c r="DU6" s="1251" t="s">
        <v>584</v>
      </c>
      <c r="DV6" s="1250" t="s">
        <v>2023</v>
      </c>
      <c r="DW6" s="1250" t="s">
        <v>1486</v>
      </c>
      <c r="DX6" s="1251" t="s">
        <v>1732</v>
      </c>
      <c r="DY6" s="1250" t="s">
        <v>2022</v>
      </c>
      <c r="DZ6" s="1251" t="s">
        <v>584</v>
      </c>
      <c r="EA6" s="1250" t="s">
        <v>2023</v>
      </c>
    </row>
    <row r="7" spans="1:145" s="28" customFormat="1">
      <c r="A7" s="1457"/>
      <c r="C7" s="779" t="s">
        <v>1767</v>
      </c>
      <c r="D7" s="773" t="s">
        <v>685</v>
      </c>
      <c r="E7" s="1219" t="s">
        <v>821</v>
      </c>
      <c r="F7" s="1220" t="s">
        <v>1731</v>
      </c>
      <c r="G7" s="1363"/>
      <c r="H7" s="1244"/>
      <c r="I7" s="1364"/>
      <c r="J7" s="1232">
        <f ca="1">OFFSET('VVP2'!$G$185,0,(COLUMN()-6)/5)</f>
        <v>4.9615900000000002</v>
      </c>
      <c r="K7" s="1367"/>
      <c r="L7" s="1222">
        <f ca="1">OFFSET('VVP2'!$G$10,0,(COLUMN()-7)/5)</f>
        <v>6.4762344028386432</v>
      </c>
      <c r="M7" s="1228">
        <f ca="1">+J7*(1+L7/100)</f>
        <v>5.2829141985078021</v>
      </c>
      <c r="N7" s="1222">
        <f t="shared" ref="N7:N17" ca="1" si="0">+O7/M7*100-100</f>
        <v>17.98147321341159</v>
      </c>
      <c r="O7" s="1228">
        <f ca="1">OFFSET('VVP2'!$G$185,0,(COLUMN()-10)/5)</f>
        <v>6.2328599999999996</v>
      </c>
      <c r="P7" s="1221">
        <f t="shared" ref="P7:P17" ca="1" si="1">(O7/J7-1)*100</f>
        <v>25.622229970634393</v>
      </c>
      <c r="Q7" s="1222">
        <f ca="1">OFFSET('VVP2'!$G$10,0,(COLUMN()-7)/5)</f>
        <v>5.6211089393928937</v>
      </c>
      <c r="R7" s="1228">
        <f ca="1">+O7*(1+Q7/100)</f>
        <v>6.5832158506398439</v>
      </c>
      <c r="S7" s="1222">
        <f t="shared" ref="S7:S15" ca="1" si="2">+T7/R7*100-100</f>
        <v>9.2523800400826133</v>
      </c>
      <c r="T7" s="1228">
        <f ca="1">OFFSET('VVP2'!$G$185,0,(COLUMN()-10)/5)</f>
        <v>7.1923199999999996</v>
      </c>
      <c r="U7" s="1221">
        <f t="shared" ref="U7:U15" ca="1" si="3">(T7/O7-1)*100</f>
        <v>15.393575341015197</v>
      </c>
      <c r="V7" s="1222">
        <f ca="1">OFFSET('VVP2'!$G$10,0,(COLUMN()-7)/5)</f>
        <v>4.7552825314067348</v>
      </c>
      <c r="W7" s="1228">
        <f ca="1">+T7*(1+V7/100)</f>
        <v>7.5343351365628726</v>
      </c>
      <c r="X7" s="1222">
        <f t="shared" ref="X7:X15" ca="1" si="4">+Y7/W7*100-100</f>
        <v>5.7466897289446734</v>
      </c>
      <c r="Y7" s="1228">
        <f ca="1">OFFSET('VVP2'!$G$185,0,(COLUMN()-10)/5)</f>
        <v>7.9673100000000003</v>
      </c>
      <c r="Z7" s="1221">
        <f t="shared" ref="Z7:Z15" ca="1" si="5">(Y7/T7-1)*100</f>
        <v>10.775243593166062</v>
      </c>
      <c r="AA7" s="1222">
        <f ca="1">OFFSET('VVP2'!$G$10,0,(COLUMN()-7)/5)</f>
        <v>4.9644887582733777</v>
      </c>
      <c r="AB7" s="1228">
        <f ca="1">+Y7*(1+AA7/100)</f>
        <v>8.3628462092867917</v>
      </c>
      <c r="AC7" s="1222">
        <f t="shared" ref="AC7:AC15" ca="1" si="6">+AD7/AB7*100-100</f>
        <v>-1.23039700493986</v>
      </c>
      <c r="AD7" s="1228">
        <f ca="1">OFFSET('VVP2'!$G$185,0,(COLUMN()-10)/5)</f>
        <v>8.2599499999999999</v>
      </c>
      <c r="AE7" s="1221">
        <f t="shared" ref="AE7:AE15" ca="1" si="7">(AD7/Y7-1)*100</f>
        <v>3.6730088323411403</v>
      </c>
      <c r="AF7" s="1222">
        <f ca="1">OFFSET('VVP2'!$G$10,0,(COLUMN()-7)/5)</f>
        <v>6.98278615571859</v>
      </c>
      <c r="AG7" s="1228">
        <f ca="1">+AD7*(1+AF7/100)</f>
        <v>8.8367246450692782</v>
      </c>
      <c r="AH7" s="1222">
        <f t="shared" ref="AH7:AH15" ca="1" si="8">+AI7/AG7*100-100</f>
        <v>-1.6390082398923056</v>
      </c>
      <c r="AI7" s="1228">
        <f ca="1">OFFSET('VVP2'!$G$185,0,(COLUMN()-10)/5)</f>
        <v>8.691889999999999</v>
      </c>
      <c r="AJ7" s="1221">
        <f t="shared" ref="AJ7:AJ15" ca="1" si="9">(AI7/AD7-1)*100</f>
        <v>5.2293294753600117</v>
      </c>
      <c r="AK7" s="1222">
        <f ca="1">OFFSET('VVP2'!$G$10,0,(COLUMN()-7)/5)</f>
        <v>4.2080179577484333</v>
      </c>
      <c r="AL7" s="1228">
        <f ca="1">+AI7*(1+AK7/100)</f>
        <v>9.057646292067739</v>
      </c>
      <c r="AM7" s="1222">
        <f t="shared" ref="AM7:AM15" ca="1" si="10">+AN7/AL7*100-100</f>
        <v>2.3337597993573951</v>
      </c>
      <c r="AN7" s="1228">
        <f ca="1">OFFSET('VVP2'!$G$185,0,(COLUMN()-10)/5)</f>
        <v>9.2690300000000008</v>
      </c>
      <c r="AO7" s="1221">
        <f t="shared" ref="AO7:AO15" ca="1" si="11">(AN7/AI7-1)*100</f>
        <v>6.639982788553489</v>
      </c>
      <c r="AP7" s="1222">
        <f ca="1">OFFSET('VVP2'!$G$10,0,(COLUMN()-7)/5)</f>
        <v>6.1642052831319294</v>
      </c>
      <c r="AQ7" s="1228">
        <f ca="1">+AN7*(1+AP7/100)</f>
        <v>9.8403920369550839</v>
      </c>
      <c r="AR7" s="1222">
        <f t="shared" ref="AR7:AR15" ca="1" si="12">+AS7/AQ7*100-100</f>
        <v>-0.38587931062585312</v>
      </c>
      <c r="AS7" s="1228">
        <f ca="1">OFFSET('VVP2'!$G$185,0,(COLUMN()-10)/5)</f>
        <v>9.8024199999999997</v>
      </c>
      <c r="AT7" s="1221">
        <f t="shared" ref="AT7:AT15" ca="1" si="13">(AS7/AN7-1)*100</f>
        <v>5.75453957965395</v>
      </c>
      <c r="AU7" s="1222">
        <f ca="1">OFFSET('VVP2'!$G$10,0,(COLUMN()-7)/5)</f>
        <v>11.214400216834619</v>
      </c>
      <c r="AV7" s="1228">
        <f ca="1">+AS7*(1+AU7/100)</f>
        <v>10.90170260973504</v>
      </c>
      <c r="AW7" s="1222">
        <f t="shared" ref="AW7:AW15" ca="1" si="14">+AX7/AV7*100-100</f>
        <v>-1.4834619464910475</v>
      </c>
      <c r="AX7" s="1228">
        <f ca="1">OFFSET('VVP2'!$G$185,0,(COLUMN()-10)/5)</f>
        <v>10.739979999999999</v>
      </c>
      <c r="AY7" s="1221">
        <f t="shared" ref="AY7:AY15" ca="1" si="15">(AX7/AS7-1)*100</f>
        <v>9.5645769105996195</v>
      </c>
      <c r="AZ7" s="1222">
        <f ca="1">OFFSET('VVP2'!$G$10,0,(COLUMN()-7)/5)</f>
        <v>11.679399634080156</v>
      </c>
      <c r="BA7" s="1228">
        <f ca="1">+AX7*(1+AZ7/100)</f>
        <v>11.994345184820281</v>
      </c>
      <c r="BB7" s="1222">
        <f t="shared" ref="BB7:BB15" ca="1" si="16">+BC7/BA7*100-100</f>
        <v>-0.87762344003157011</v>
      </c>
      <c r="BC7" s="1228">
        <f ca="1">OFFSET('VVP2'!$G$185,0,(COLUMN()-10)/5)</f>
        <v>11.88908</v>
      </c>
      <c r="BD7" s="1221">
        <f t="shared" ref="BD7:BD15" ca="1" si="17">(BC7/AX7-1)*100</f>
        <v>10.699275045204937</v>
      </c>
      <c r="BE7" s="1222">
        <f ca="1">OFFSET('VVP2'!$G$10,0,(COLUMN()-7)/5)</f>
        <v>11.604172440280291</v>
      </c>
      <c r="BF7" s="1228">
        <f ca="1">+BC7*(1+BE7/100)</f>
        <v>13.268709344762875</v>
      </c>
      <c r="BG7" s="1222">
        <f t="shared" ref="BG7:BG15" ca="1" si="18">+BH7/BF7*100-100</f>
        <v>2.3692632574034462</v>
      </c>
      <c r="BH7" s="1228">
        <f ca="1">OFFSET('VVP2'!$G$185,0,(COLUMN()-10)/5)</f>
        <v>13.583080000000001</v>
      </c>
      <c r="BI7" s="1221">
        <f t="shared" ref="BI7:BI15" ca="1" si="19">(BH7/BC7-1)*100</f>
        <v>14.248369091637048</v>
      </c>
      <c r="BJ7" s="1222">
        <f ca="1">OFFSET('VVP2'!$G$10,0,(COLUMN()-7)/5)</f>
        <v>9.0980834144997367</v>
      </c>
      <c r="BK7" s="1228">
        <f ca="1">+BH7*(1+BJ7/100)</f>
        <v>14.818879948658232</v>
      </c>
      <c r="BL7" s="1222">
        <f t="shared" ref="BL7:BL15" ca="1" si="20">+BM7/BK7*100-100</f>
        <v>4.6627009175840755</v>
      </c>
      <c r="BM7" s="1228">
        <f ca="1">OFFSET('VVP2'!$G$185,0,(COLUMN()-10)/5)</f>
        <v>15.509840000000001</v>
      </c>
      <c r="BN7" s="1221">
        <f t="shared" ref="BN7:BN15" ca="1" si="21">(BM7/BH7-1)*100</f>
        <v>14.18500075093425</v>
      </c>
      <c r="BO7" s="1222">
        <f ca="1">OFFSET('VVP2'!$G$10,0,(COLUMN()-7)/5)</f>
        <v>12.41815392674075</v>
      </c>
      <c r="BP7" s="1228">
        <f ca="1">+BM7*(1+BO7/100)</f>
        <v>17.435875804991209</v>
      </c>
      <c r="BQ7" s="1222">
        <f t="shared" ref="BQ7:BQ15" ca="1" si="22">+BR7/BP7*100-100</f>
        <v>5.8771592919665494</v>
      </c>
      <c r="BR7" s="1228">
        <f ca="1">OFFSET('VVP2'!$G$185,0,(COLUMN()-10)/5)</f>
        <v>18.460609999999999</v>
      </c>
      <c r="BS7" s="1221">
        <f t="shared" ref="BS7:BS15" ca="1" si="23">(BR7/BM7-1)*100</f>
        <v>19.025147906103477</v>
      </c>
      <c r="BT7" s="1222">
        <f ca="1">OFFSET('VVP2'!$G$10,0,(COLUMN()-7)/5)</f>
        <v>3.853720591389509</v>
      </c>
      <c r="BU7" s="1228">
        <f ca="1">+BR7*(1+BT7/100)</f>
        <v>19.172030328866111</v>
      </c>
      <c r="BV7" s="1222">
        <f t="shared" ref="BV7:BV15" ca="1" si="24">+BW7/BU7*100-100</f>
        <v>10.895036338373188</v>
      </c>
      <c r="BW7" s="1228">
        <f ca="1">OFFSET('VVP2'!$G$185,0,(COLUMN()-10)/5)</f>
        <v>21.260830000000002</v>
      </c>
      <c r="BX7" s="1221">
        <f t="shared" ref="BX7:BX15" ca="1" si="25">(BW7/BR7-1)*100</f>
        <v>15.168621188573962</v>
      </c>
      <c r="BY7" s="1222">
        <f ca="1">OFFSET('VVP2'!$G$10,0,(COLUMN()-7)/5)</f>
        <v>-17.351959335552912</v>
      </c>
      <c r="BZ7" s="1228">
        <f ca="1">+BW7*(1+BY7/100)</f>
        <v>17.571659423998966</v>
      </c>
      <c r="CA7" s="1222">
        <f t="shared" ref="CA7:CA15" ca="1" si="26">+CB7/BZ7*100-100</f>
        <v>4.3463770698739239</v>
      </c>
      <c r="CB7" s="1228">
        <f ca="1">OFFSET('VVP2'!$G$185,0,(COLUMN()-10)/5)</f>
        <v>18.33539</v>
      </c>
      <c r="CC7" s="1221">
        <f t="shared" ref="CC7:CC15" ca="1" si="27">(CB7/BW7-1)*100</f>
        <v>-13.759763847413298</v>
      </c>
      <c r="CD7" s="1222">
        <f ca="1">OFFSET('VVP2'!$G$10,0,(COLUMN()-7)/5)</f>
        <v>-3.3542524195715462</v>
      </c>
      <c r="CE7" s="1228">
        <f ca="1">+CB7*(1+CD7/100)</f>
        <v>17.72037473728712</v>
      </c>
      <c r="CF7" s="1222">
        <f t="shared" ref="CF7:CF15" ca="1" si="28">+CG7/CE7*100-100</f>
        <v>1.2706574553363623</v>
      </c>
      <c r="CG7" s="1228">
        <f ca="1">OFFSET('VVP2'!$G$185,0,(COLUMN()-10)/5)</f>
        <v>17.945540000000001</v>
      </c>
      <c r="CH7" s="1221">
        <f t="shared" ref="CH7:CH15" ca="1" si="29">(CG7/CB7-1)*100</f>
        <v>-2.1262160226752647</v>
      </c>
      <c r="CI7" s="1222">
        <f ca="1">OFFSET('VVP2'!$G$10,0,(COLUMN()-7)/5)</f>
        <v>4.5987470981647682</v>
      </c>
      <c r="CJ7" s="1228">
        <f ca="1">+CG7*(1+CI7/100)</f>
        <v>18.770809999999997</v>
      </c>
      <c r="CK7" s="1222">
        <f t="shared" ref="CK7:CK15" ca="1" si="30">+CL7/CJ7*100-100</f>
        <v>4.1183092258671934</v>
      </c>
      <c r="CL7" s="1228">
        <f ca="1">OFFSET('VVP2'!$G$185,0,(COLUMN()-10)/5)</f>
        <v>19.543849999999999</v>
      </c>
      <c r="CM7" s="1221">
        <f t="shared" ref="CM7:CM15" ca="1" si="31">(CL7/CG7-1)*100</f>
        <v>8.9064469500499612</v>
      </c>
      <c r="CN7" s="1222">
        <f ca="1">OFFSET('VVP2'!$G$10,0,(COLUMN()-7)/5)</f>
        <v>3.0945388078617908</v>
      </c>
      <c r="CO7" s="1228">
        <f ca="1">+CL7*(1+CN7/100)</f>
        <v>20.148642022800296</v>
      </c>
      <c r="CP7" s="1222">
        <f t="shared" ref="CP7:CP15" ca="1" si="32">+CQ7/CO7*100-100</f>
        <v>3.0842672994859015</v>
      </c>
      <c r="CQ7" s="1228">
        <f ca="1">OFFSET('VVP2'!$G$185,0,(COLUMN()-10)/5)</f>
        <v>20.77008</v>
      </c>
      <c r="CR7" s="1221">
        <f t="shared" ref="CR7:CR17" ca="1" si="33">(CQ7/CL7-1)*100</f>
        <v>6.2742499558684717</v>
      </c>
      <c r="CS7" s="1222">
        <f ca="1">OFFSET('VVP2'!$G$10,0,(COLUMN()-7)/5)</f>
        <v>4.3134239507887751</v>
      </c>
      <c r="CT7" s="1228">
        <f ca="1">+CQ7*(1+CS7/100)</f>
        <v>21.665981605317988</v>
      </c>
      <c r="CU7" s="1222">
        <f t="shared" ref="CU7:CU15" ca="1" si="34">+CV7/CT7*100-100</f>
        <v>0.99570099620622443</v>
      </c>
      <c r="CV7" s="1228">
        <f ca="1">OFFSET('VVP2'!$G$185,0,(COLUMN()-10)/5)</f>
        <v>21.881709999999998</v>
      </c>
      <c r="CW7" s="1221">
        <f t="shared" ref="CW7:CW15" ca="1" si="35">(CV7/CQ7-1)*100</f>
        <v>5.3520737522436024</v>
      </c>
      <c r="CX7" s="1222">
        <f ca="1">OFFSET('VVP2'!$G$10,0,(COLUMN()-7)/5)</f>
        <v>3.9665319224824414</v>
      </c>
      <c r="CY7" s="1228">
        <f ca="1">+CV7*(1+CX7/100)</f>
        <v>22.74965501233503</v>
      </c>
      <c r="CZ7" s="1222">
        <f t="shared" ref="CZ7:CZ15" ca="1" si="36">+DA7/CY7*100-100</f>
        <v>0.11940834992989835</v>
      </c>
      <c r="DA7" s="1228">
        <f ca="1">OFFSET('VVP2'!$G$185,0,(COLUMN()-10)/5)</f>
        <v>22.776820000000001</v>
      </c>
      <c r="DB7" s="1221">
        <f t="shared" ref="DB7:DB15" ca="1" si="37">(DA7/CV7-1)*100</f>
        <v>4.0906766427303953</v>
      </c>
      <c r="DC7" s="1222">
        <f ca="1">OFFSET('VVP2'!$G$10,0,(COLUMN()-7)/5)</f>
        <v>3.9764903202443636</v>
      </c>
      <c r="DD7" s="1228">
        <f ca="1">+DA7*(1+DC7/100)</f>
        <v>23.682538042559482</v>
      </c>
      <c r="DE7" s="1222">
        <f t="shared" ref="DE7:DE15" ca="1" si="38">+DF7/DD7*100-100</f>
        <v>-0.8820762461526499</v>
      </c>
      <c r="DF7" s="1228">
        <f ca="1">OFFSET('VVP2'!$G$185,0,(COLUMN()-10)/5)</f>
        <v>23.47364</v>
      </c>
      <c r="DG7" s="1221">
        <f t="shared" ref="DG7:DG15" ca="1" si="39">(DF7/DA7-1)*100</f>
        <v>3.0593383975462629</v>
      </c>
      <c r="DH7" s="1222">
        <f ca="1">OFFSET('VVP2'!$G$10,0,(COLUMN()-7)/5)</f>
        <v>4.9353738145373915</v>
      </c>
      <c r="DI7" s="1228">
        <f ca="1">+DF7*(1+DH7/100)</f>
        <v>24.632151881878773</v>
      </c>
      <c r="DJ7" s="1222">
        <f t="shared" ref="DJ7:DJ15" ca="1" si="40">+DK7/DI7*100-100</f>
        <v>0.93856240912231215</v>
      </c>
      <c r="DK7" s="1228">
        <f ca="1">OFFSET('VVP2'!$G$185,0,(COLUMN()-10)/5)</f>
        <v>24.863340000000001</v>
      </c>
      <c r="DL7" s="1221">
        <f t="shared" ref="DL7:DL15" ca="1" si="41">(DK7/DF7-1)*100</f>
        <v>5.9202577870326012</v>
      </c>
      <c r="DM7" s="3404">
        <f ca="1">OFFSET('VVP2'!$G$10,0,(COLUMN()-7)/5)</f>
        <v>3.8909751369404999</v>
      </c>
      <c r="DN7" s="1223">
        <f ca="1">+DK7*(1+DM7/100)</f>
        <v>25.830766377612981</v>
      </c>
      <c r="DO7" s="3404">
        <f ca="1">+DO35</f>
        <v>3.7537547597789001</v>
      </c>
      <c r="DP7" s="1223">
        <f ca="1">+DN7*(1+DO7/100)</f>
        <v>26.800389999999997</v>
      </c>
      <c r="DQ7" s="1395">
        <f t="shared" ref="DQ7:DQ15" ca="1" si="42">(DP7/DK7-1)*100</f>
        <v>7.7907875611241018</v>
      </c>
      <c r="DR7" s="3404">
        <f>+DR35</f>
        <v>3.5</v>
      </c>
      <c r="DS7" s="1223">
        <f ca="1">+DP7*(1+DR7/100)</f>
        <v>27.738403649999995</v>
      </c>
      <c r="DT7" s="3404">
        <f>+DT35</f>
        <v>2.6</v>
      </c>
      <c r="DU7" s="1223">
        <f ca="1">+DS7*(1+DT7/100)</f>
        <v>28.459602144899996</v>
      </c>
      <c r="DV7" s="1395">
        <f t="shared" ref="DV7:DV15" ca="1" si="43">(DU7/DP7-1)*100</f>
        <v>6.190999999999991</v>
      </c>
      <c r="DW7" s="3404">
        <f>+DW35</f>
        <v>3.3</v>
      </c>
      <c r="DX7" s="1223">
        <f ca="1">+DU7*(1+DW7/100)</f>
        <v>29.398769015681694</v>
      </c>
      <c r="DY7" s="3404">
        <f>+DY35</f>
        <v>2.2000000000000002</v>
      </c>
      <c r="DZ7" s="1223">
        <f ca="1">+DX7*(1+DY7/100)</f>
        <v>30.045541934026691</v>
      </c>
      <c r="EA7" s="1395">
        <f t="shared" ref="EA7:EA15" ca="1" si="44">(DZ7/DU7-1)*100</f>
        <v>5.5725999999999942</v>
      </c>
      <c r="EB7"/>
      <c r="EC7"/>
      <c r="ED7"/>
      <c r="EE7"/>
      <c r="EF7"/>
      <c r="EG7"/>
      <c r="EH7"/>
      <c r="EI7"/>
      <c r="EJ7"/>
      <c r="EK7"/>
      <c r="EL7"/>
      <c r="EM7"/>
      <c r="EN7"/>
      <c r="EO7"/>
    </row>
    <row r="8" spans="1:145">
      <c r="C8" s="1224" t="s">
        <v>1767</v>
      </c>
      <c r="D8" s="1" t="s">
        <v>687</v>
      </c>
      <c r="E8" s="1" t="s">
        <v>821</v>
      </c>
      <c r="F8" s="3" t="s">
        <v>280</v>
      </c>
      <c r="G8" s="1241"/>
      <c r="H8" s="1242"/>
      <c r="I8" s="1243"/>
      <c r="J8" s="1232">
        <f ca="1">OFFSET('VVP2'!$G$193,0,(COLUMN()-6)/5)</f>
        <v>1.8624400000000001</v>
      </c>
      <c r="K8" s="1245"/>
      <c r="L8" s="1209">
        <f ca="1">OFFSET('VVP2'!$G$16,0,(COLUMN()-7)/5)</f>
        <v>-0.70218291322577953</v>
      </c>
      <c r="M8" s="1235">
        <f ca="1">+J8*(1+L8/100)</f>
        <v>1.8493622645509178</v>
      </c>
      <c r="N8" s="1284">
        <f t="shared" ca="1" si="0"/>
        <v>26.451698773461899</v>
      </c>
      <c r="O8" s="1232">
        <f ca="1">OFFSET('VVP2'!$G$193,0,(COLUMN()-6)/5)</f>
        <v>2.3385500000000001</v>
      </c>
      <c r="P8" s="1217">
        <f t="shared" ca="1" si="1"/>
        <v>25.563776551190909</v>
      </c>
      <c r="Q8" s="1209">
        <f ca="1">OFFSET('VVP2'!$G$16,0,(COLUMN()-7)/5)</f>
        <v>3.4160337882479963</v>
      </c>
      <c r="R8" s="1235">
        <f ca="1">+O8*(1+Q8/100)</f>
        <v>2.4184356581550737</v>
      </c>
      <c r="S8" s="1284">
        <f t="shared" ca="1" si="2"/>
        <v>17.107105597365376</v>
      </c>
      <c r="T8" s="1232">
        <f ca="1">OFFSET('VVP2'!$G$193,0,(COLUMN()-6)/5)</f>
        <v>2.83216</v>
      </c>
      <c r="U8" s="1217">
        <f t="shared" ca="1" si="3"/>
        <v>21.107523893010626</v>
      </c>
      <c r="V8" s="1209">
        <f ca="1">OFFSET('VVP2'!$G$16,0,(COLUMN()-7)/5)</f>
        <v>5.0156327954667068</v>
      </c>
      <c r="W8" s="1235">
        <f ca="1">+T8*(1+V8/100)</f>
        <v>2.9742107457800899</v>
      </c>
      <c r="X8" s="1284">
        <f t="shared" ca="1" si="4"/>
        <v>13.323173375731216</v>
      </c>
      <c r="Y8" s="1232">
        <f ca="1">OFFSET('VVP2'!$G$193,0,(COLUMN()-6)/5)</f>
        <v>3.3704699999999996</v>
      </c>
      <c r="Z8" s="1217">
        <f t="shared" ca="1" si="5"/>
        <v>19.007047624427976</v>
      </c>
      <c r="AA8" s="1209">
        <f ca="1">OFFSET('VVP2'!$G$16,0,(COLUMN()-7)/5)</f>
        <v>-4.4198117990299046</v>
      </c>
      <c r="AB8" s="1235">
        <f ca="1">+Y8*(1+AA8/100)</f>
        <v>3.2215015692572364</v>
      </c>
      <c r="AC8" s="1284">
        <f t="shared" ca="1" si="6"/>
        <v>-6.6227367788129783</v>
      </c>
      <c r="AD8" s="1232">
        <f ca="1">OFFSET('VVP2'!$G$193,0,(COLUMN()-6)/5)</f>
        <v>3.0081500000000001</v>
      </c>
      <c r="AE8" s="1217">
        <f t="shared" ca="1" si="7"/>
        <v>-10.74983607627421</v>
      </c>
      <c r="AF8" s="1209">
        <f ca="1">OFFSET('VVP2'!$G$16,0,(COLUMN()-7)/5)</f>
        <v>0.22345871660096606</v>
      </c>
      <c r="AG8" s="1235">
        <f ca="1">+AD8*(1+AF8/100)</f>
        <v>3.0148719733834319</v>
      </c>
      <c r="AH8" s="1284">
        <f t="shared" ca="1" si="8"/>
        <v>-0.654819626097634</v>
      </c>
      <c r="AI8" s="1232">
        <f ca="1">OFFSET('VVP2'!$G$193,0,(COLUMN()-6)/5)</f>
        <v>2.9951300000000001</v>
      </c>
      <c r="AJ8" s="1217">
        <f t="shared" ca="1" si="9"/>
        <v>-0.43282416102921051</v>
      </c>
      <c r="AK8" s="1209">
        <f ca="1">OFFSET('VVP2'!$G$16,0,(COLUMN()-7)/5)</f>
        <v>1.3605540892593027</v>
      </c>
      <c r="AL8" s="1235">
        <f ca="1">+AI8*(1+AK8/100)</f>
        <v>3.0358803636936322</v>
      </c>
      <c r="AM8" s="1284">
        <f t="shared" ca="1" si="10"/>
        <v>-1.134444034933253</v>
      </c>
      <c r="AN8" s="1232">
        <f ca="1">OFFSET('VVP2'!$G$193,0,(COLUMN()-6)/5)</f>
        <v>3.0014400000000001</v>
      </c>
      <c r="AO8" s="1217">
        <f t="shared" ca="1" si="11"/>
        <v>0.21067532961842605</v>
      </c>
      <c r="AP8" s="1209">
        <f ca="1">OFFSET('VVP2'!$G$16,0,(COLUMN()-7)/5)</f>
        <v>2.4593939771627937</v>
      </c>
      <c r="AQ8" s="1235">
        <f ca="1">+AN8*(1+AP8/100)</f>
        <v>3.0752572345881553</v>
      </c>
      <c r="AR8" s="1284">
        <f t="shared" ca="1" si="12"/>
        <v>1.6474317934132046</v>
      </c>
      <c r="AS8" s="1232">
        <f ca="1">OFFSET('VVP2'!$G$193,0,(COLUMN()-6)/5)</f>
        <v>3.1259200000000003</v>
      </c>
      <c r="AT8" s="1217">
        <f t="shared" ca="1" si="13"/>
        <v>4.1473426088810772</v>
      </c>
      <c r="AU8" s="1209">
        <f ca="1">OFFSET('VVP2'!$G$16,0,(COLUMN()-7)/5)</f>
        <v>2.919078684026899</v>
      </c>
      <c r="AV8" s="1235">
        <f ca="1">+AS8*(1+AU8/100)</f>
        <v>3.217168064399734</v>
      </c>
      <c r="AW8" s="1284">
        <f t="shared" ca="1" si="14"/>
        <v>1.3036911582078545</v>
      </c>
      <c r="AX8" s="1232">
        <f ca="1">OFFSET('VVP2'!$G$193,0,(COLUMN()-6)/5)</f>
        <v>3.2591100000000002</v>
      </c>
      <c r="AY8" s="1217">
        <f t="shared" ca="1" si="15"/>
        <v>4.260825612939545</v>
      </c>
      <c r="AZ8" s="1209">
        <f ca="1">OFFSET('VVP2'!$G$16,0,(COLUMN()-7)/5)</f>
        <v>4.5939341332392081</v>
      </c>
      <c r="BA8" s="1235">
        <f ca="1">+AX8*(1+AZ8/100)</f>
        <v>3.4088313667298125</v>
      </c>
      <c r="BB8" s="1284">
        <f t="shared" ca="1" si="16"/>
        <v>2.542180118265037</v>
      </c>
      <c r="BC8" s="1232">
        <f ca="1">OFFSET('VVP2'!$G$193,0,(COLUMN()-6)/5)</f>
        <v>3.4954899999999998</v>
      </c>
      <c r="BD8" s="1217">
        <f t="shared" ca="1" si="17"/>
        <v>7.2529003316856411</v>
      </c>
      <c r="BE8" s="1209">
        <f ca="1">OFFSET('VVP2'!$G$16,0,(COLUMN()-7)/5)</f>
        <v>3.5574155936628493</v>
      </c>
      <c r="BF8" s="1235">
        <f ca="1">+BC8*(1+BE8/100)</f>
        <v>3.6198391063349251</v>
      </c>
      <c r="BG8" s="1284">
        <f t="shared" ca="1" si="18"/>
        <v>7.3641641474771831</v>
      </c>
      <c r="BH8" s="1232">
        <f ca="1">OFFSET('VVP2'!$G$193,0,(COLUMN()-6)/5)</f>
        <v>3.8864099999999997</v>
      </c>
      <c r="BI8" s="1217">
        <f t="shared" ca="1" si="19"/>
        <v>11.183553664865297</v>
      </c>
      <c r="BJ8" s="1209">
        <f ca="1">OFFSET('VVP2'!$G$16,0,(COLUMN()-7)/5)</f>
        <v>2.1037421147720448</v>
      </c>
      <c r="BK8" s="1235">
        <f ca="1">+BH8*(1+BJ8/100)</f>
        <v>3.9681700439227119</v>
      </c>
      <c r="BL8" s="1284">
        <f t="shared" ca="1" si="20"/>
        <v>16.061054567290142</v>
      </c>
      <c r="BM8" s="1232">
        <f ca="1">OFFSET('VVP2'!$G$193,0,(COLUMN()-6)/5)</f>
        <v>4.6055000000000001</v>
      </c>
      <c r="BN8" s="1217">
        <f t="shared" ca="1" si="21"/>
        <v>18.502679851070791</v>
      </c>
      <c r="BO8" s="1209">
        <f ca="1">OFFSET('VVP2'!$G$16,0,(COLUMN()-7)/5)</f>
        <v>1.8506567525384376</v>
      </c>
      <c r="BP8" s="1235">
        <f ca="1">+BM8*(1+BO8/100)</f>
        <v>4.6907319967381582</v>
      </c>
      <c r="BQ8" s="1284">
        <f t="shared" ca="1" si="22"/>
        <v>8.0178957894710692</v>
      </c>
      <c r="BR8" s="1232">
        <f ca="1">OFFSET('VVP2'!$G$193,0,(COLUMN()-6)/5)</f>
        <v>5.0668299999999995</v>
      </c>
      <c r="BS8" s="1217">
        <f t="shared" ca="1" si="23"/>
        <v>10.016936271848852</v>
      </c>
      <c r="BT8" s="1209">
        <f ca="1">OFFSET('VVP2'!$G$16,0,(COLUMN()-7)/5)</f>
        <v>0.23588844714808044</v>
      </c>
      <c r="BU8" s="1235">
        <f ca="1">+BR8*(1+BT8/100)</f>
        <v>5.0787820666066326</v>
      </c>
      <c r="BV8" s="1284">
        <f t="shared" ca="1" si="24"/>
        <v>20.123287827473661</v>
      </c>
      <c r="BW8" s="1232">
        <f ca="1">OFFSET('VVP2'!$G$193,0,(COLUMN()-6)/5)</f>
        <v>6.1008000000000004</v>
      </c>
      <c r="BX8" s="1217">
        <f t="shared" ca="1" si="25"/>
        <v>20.406644785793105</v>
      </c>
      <c r="BY8" s="1209">
        <f ca="1">OFFSET('VVP2'!$G$16,0,(COLUMN()-7)/5)</f>
        <v>-1.3144310859859787</v>
      </c>
      <c r="BZ8" s="1235">
        <f ca="1">+BW8*(1+BY8/100)</f>
        <v>6.0206091883061674</v>
      </c>
      <c r="CA8" s="1284">
        <f t="shared" ca="1" si="26"/>
        <v>-4.995826483645061</v>
      </c>
      <c r="CB8" s="1232">
        <f ca="1">OFFSET('VVP2'!$G$193,0,(COLUMN()-6)/5)</f>
        <v>5.71983</v>
      </c>
      <c r="CC8" s="1217">
        <f t="shared" ca="1" si="27"/>
        <v>-6.244590873328093</v>
      </c>
      <c r="CD8" s="1209">
        <f ca="1">OFFSET('VVP2'!$G$16,0,(COLUMN()-7)/5)</f>
        <v>-3.1615262636618624</v>
      </c>
      <c r="CE8" s="1235">
        <f ca="1">+CB8*(1+CD8/100)</f>
        <v>5.5389960723131892</v>
      </c>
      <c r="CF8" s="1284">
        <f t="shared" ca="1" si="28"/>
        <v>0.44022287375675262</v>
      </c>
      <c r="CG8" s="1232">
        <f ca="1">OFFSET('VVP2'!$G$193,0,(COLUMN()-6)/5)</f>
        <v>5.5633800000000004</v>
      </c>
      <c r="CH8" s="1217">
        <f t="shared" ca="1" si="29"/>
        <v>-2.7352211516775804</v>
      </c>
      <c r="CI8" s="1209">
        <f ca="1">OFFSET('VVP2'!$G$16,0,(COLUMN()-7)/5)</f>
        <v>-0.35589875219742551</v>
      </c>
      <c r="CJ8" s="1235">
        <f ca="1">+CG8*(1+CI8/100)</f>
        <v>5.5435799999999995</v>
      </c>
      <c r="CK8" s="1284">
        <f t="shared" ca="1" si="30"/>
        <v>3.4948535062180071</v>
      </c>
      <c r="CL8" s="1232">
        <f ca="1">OFFSET('VVP2'!$G$193,0,(COLUMN()-6)/5)</f>
        <v>5.7373199999999995</v>
      </c>
      <c r="CM8" s="1217">
        <f t="shared" ca="1" si="31"/>
        <v>3.1265166140008294</v>
      </c>
      <c r="CN8" s="1209">
        <f ca="1">OFFSET('VVP2'!$G$16,0,(COLUMN()-7)/5)</f>
        <v>1.2852705291526378</v>
      </c>
      <c r="CO8" s="1235">
        <f ca="1">+CL8*(1+CN8/100)</f>
        <v>5.8110600831231798</v>
      </c>
      <c r="CP8" s="1284">
        <f t="shared" ca="1" si="32"/>
        <v>0.33763059744988766</v>
      </c>
      <c r="CQ8" s="1232">
        <f ca="1">OFFSET('VVP2'!$G$193,0,(COLUMN()-6)/5)</f>
        <v>5.8306800000000001</v>
      </c>
      <c r="CR8" s="1217">
        <f t="shared" ca="1" si="33"/>
        <v>1.6272405931689438</v>
      </c>
      <c r="CS8" s="1209">
        <f ca="1">OFFSET('VVP2'!$G$16,0,(COLUMN()-7)/5)</f>
        <v>0.72272891610254408</v>
      </c>
      <c r="CT8" s="1235">
        <f ca="1">+CQ8*(1+CS8/100)</f>
        <v>5.872820010365408</v>
      </c>
      <c r="CU8" s="1284">
        <f t="shared" ca="1" si="34"/>
        <v>-0.6104394533143136</v>
      </c>
      <c r="CV8" s="1232">
        <f ca="1">OFFSET('VVP2'!$G$193,0,(COLUMN()-6)/5)</f>
        <v>5.83697</v>
      </c>
      <c r="CW8" s="1217">
        <f t="shared" ca="1" si="35"/>
        <v>0.10787764034383418</v>
      </c>
      <c r="CX8" s="1209">
        <f ca="1">OFFSET('VVP2'!$G$16,0,(COLUMN()-7)/5)</f>
        <v>0.28733548938097986</v>
      </c>
      <c r="CY8" s="1235">
        <f ca="1">+CV8*(1+CX8/100)</f>
        <v>5.8537416863145211</v>
      </c>
      <c r="CZ8" s="1284">
        <f t="shared" ca="1" si="36"/>
        <v>3.7512470732840058</v>
      </c>
      <c r="DA8" s="1232">
        <f ca="1">OFFSET('VVP2'!$G$193,0,(COLUMN()-6)/5)</f>
        <v>6.0733300000000003</v>
      </c>
      <c r="DB8" s="1217">
        <f t="shared" ca="1" si="37"/>
        <v>4.0493612268009072</v>
      </c>
      <c r="DC8" s="1209">
        <f ca="1">OFFSET('VVP2'!$G$16,0,(COLUMN()-7)/5)</f>
        <v>0.16432578821721222</v>
      </c>
      <c r="DD8" s="1235">
        <f ca="1">+DA8*(1+DC8/100)</f>
        <v>6.0833100473935326</v>
      </c>
      <c r="DE8" s="1284">
        <f t="shared" ca="1" si="38"/>
        <v>5.678815478992135</v>
      </c>
      <c r="DF8" s="1232">
        <f ca="1">OFFSET('VVP2'!$G$193,0,(COLUMN()-6)/5)</f>
        <v>6.4287700000000001</v>
      </c>
      <c r="DG8" s="1217">
        <f t="shared" ca="1" si="39"/>
        <v>5.8524730255065993</v>
      </c>
      <c r="DH8" s="1209">
        <f ca="1">OFFSET('VVP2'!$G$16,0,(COLUMN()-7)/5)</f>
        <v>1.2923826522888593</v>
      </c>
      <c r="DI8" s="1235">
        <f ca="1">+DF8*(1+DH8/100)</f>
        <v>6.5118543082355504</v>
      </c>
      <c r="DJ8" s="1284">
        <f t="shared" ca="1" si="40"/>
        <v>1.9198170881425085</v>
      </c>
      <c r="DK8" s="1232">
        <f ca="1">OFFSET('VVP2'!$G$193,0,(COLUMN()-6)/5)</f>
        <v>6.63687</v>
      </c>
      <c r="DL8" s="1217">
        <f t="shared" ca="1" si="41"/>
        <v>3.2370111234341969</v>
      </c>
      <c r="DM8" s="3405">
        <f ca="1">OFFSET('VVP2'!$G$16,0,(COLUMN()-7)/5)</f>
        <v>1.1589392464896431</v>
      </c>
      <c r="DN8" s="1210">
        <f ca="1">+DK8*(1+DM8/100)</f>
        <v>6.7137872911684973</v>
      </c>
      <c r="DO8" s="3405">
        <f ca="1">+DO50</f>
        <v>2.8934891799006266</v>
      </c>
      <c r="DP8" s="1207">
        <f ca="1">+DN8*(1+DO8/100)</f>
        <v>6.9080500000000011</v>
      </c>
      <c r="DQ8" s="1396">
        <f t="shared" ca="1" si="42"/>
        <v>4.0859622080890778</v>
      </c>
      <c r="DR8" s="3405">
        <f>+DR50</f>
        <v>1.64</v>
      </c>
      <c r="DS8" s="1210">
        <f ca="1">+DP8*(1+DR8/100)</f>
        <v>7.0213420200000005</v>
      </c>
      <c r="DT8" s="3405">
        <f>+DT50</f>
        <v>3.94</v>
      </c>
      <c r="DU8" s="1207">
        <f ca="1">+DS8*(1+DT8/100)</f>
        <v>7.2979828955880013</v>
      </c>
      <c r="DV8" s="1396">
        <f t="shared" ca="1" si="43"/>
        <v>5.6446159999999912</v>
      </c>
      <c r="DW8" s="3405">
        <f>+DW50</f>
        <v>1.54</v>
      </c>
      <c r="DX8" s="1210">
        <f ca="1">+DU8*(1+DW8/100)</f>
        <v>7.4103718321800569</v>
      </c>
      <c r="DY8" s="3405">
        <f>+DY50</f>
        <v>3.54</v>
      </c>
      <c r="DZ8" s="1207">
        <f ca="1">+DX8*(1+DY8/100)</f>
        <v>7.6726989950392319</v>
      </c>
      <c r="EA8" s="1396">
        <f t="shared" ca="1" si="44"/>
        <v>5.1345160000000112</v>
      </c>
    </row>
    <row r="9" spans="1:145">
      <c r="C9" s="1224" t="s">
        <v>1767</v>
      </c>
      <c r="D9" s="1078"/>
      <c r="E9" s="1078" t="s">
        <v>376</v>
      </c>
      <c r="F9" s="1077" t="s">
        <v>850</v>
      </c>
      <c r="G9" s="1246"/>
      <c r="H9" s="1247"/>
      <c r="I9" s="1248"/>
      <c r="J9" s="1231">
        <f ca="1">OFFSET('VVP2'!$G$212,0,(COLUMN()-6)/5)</f>
        <v>1.5812299999999999</v>
      </c>
      <c r="K9" s="1249"/>
      <c r="L9" s="1213">
        <f ca="1">OFFSET('VVP2'!$G$42,0,(COLUMN()-7)/5)</f>
        <v>21.052143368447961</v>
      </c>
      <c r="M9" s="1236">
        <f ca="1">+J9*(1+L9/100)</f>
        <v>1.9141128065849096</v>
      </c>
      <c r="N9" s="1285">
        <f t="shared" ca="1" si="0"/>
        <v>4.4264472356912847</v>
      </c>
      <c r="O9" s="1231">
        <f ca="1">OFFSET('VVP2'!$G$212,0,(COLUMN()-10)/5)</f>
        <v>1.99884</v>
      </c>
      <c r="P9" s="1218">
        <f t="shared" ca="1" si="1"/>
        <v>26.410452622325664</v>
      </c>
      <c r="Q9" s="1213">
        <f ca="1">OFFSET('VVP2'!$G$42,0,(COLUMN()-7)/5)</f>
        <v>25.539577706707984</v>
      </c>
      <c r="R9" s="1236">
        <f ca="1">+O9*(1+Q9/100)</f>
        <v>2.5093352950327619</v>
      </c>
      <c r="S9" s="1285">
        <f t="shared" ca="1" si="2"/>
        <v>4.5189140403716976</v>
      </c>
      <c r="T9" s="1231">
        <f ca="1">OFFSET('VVP2'!$G$212,0,(COLUMN()-10)/5)</f>
        <v>2.6227300000000002</v>
      </c>
      <c r="U9" s="1218">
        <f t="shared" ca="1" si="3"/>
        <v>31.212603309919771</v>
      </c>
      <c r="V9" s="1213">
        <f ca="1">OFFSET('VVP2'!$G$42,0,(COLUMN()-7)/5)</f>
        <v>21.100038350932927</v>
      </c>
      <c r="W9" s="1236">
        <f ca="1">+T9*(1+V9/100)</f>
        <v>3.1761270358414233</v>
      </c>
      <c r="X9" s="1285">
        <f t="shared" ca="1" si="4"/>
        <v>-2.077909198740187</v>
      </c>
      <c r="Y9" s="1231">
        <f ca="1">OFFSET('VVP2'!$G$212,0,(COLUMN()-10)/5)</f>
        <v>3.1101300000000003</v>
      </c>
      <c r="Z9" s="1218">
        <f t="shared" ca="1" si="5"/>
        <v>18.583689514361001</v>
      </c>
      <c r="AA9" s="1213">
        <f ca="1">OFFSET('VVP2'!$G$42,0,(COLUMN()-7)/5)</f>
        <v>-5.9441297641102402</v>
      </c>
      <c r="AB9" s="1236">
        <f ca="1">+Y9*(1+AA9/100)</f>
        <v>2.9252598369674785</v>
      </c>
      <c r="AC9" s="1285">
        <f t="shared" ca="1" si="6"/>
        <v>-4.6129179795312041</v>
      </c>
      <c r="AD9" s="1231">
        <f ca="1">OFFSET('VVP2'!$G$212,0,(COLUMN()-10)/5)</f>
        <v>2.7903200000000004</v>
      </c>
      <c r="AE9" s="1218">
        <f t="shared" ca="1" si="7"/>
        <v>-10.282849913026137</v>
      </c>
      <c r="AF9" s="1213">
        <f ca="1">OFFSET('VVP2'!$G$42,0,(COLUMN()-7)/5)</f>
        <v>-8.3737695967158743</v>
      </c>
      <c r="AG9" s="1236">
        <f ca="1">+AD9*(1+AF9/100)</f>
        <v>2.5566650321889179</v>
      </c>
      <c r="AH9" s="1285">
        <f t="shared" ca="1" si="8"/>
        <v>9.7657732898426275E-4</v>
      </c>
      <c r="AI9" s="1231">
        <f ca="1">OFFSET('VVP2'!$G$212,0,(COLUMN()-10)/5)</f>
        <v>2.5566900000000001</v>
      </c>
      <c r="AJ9" s="1218">
        <f t="shared" ca="1" si="9"/>
        <v>-8.3728747957223622</v>
      </c>
      <c r="AK9" s="1213">
        <f ca="1">OFFSET('VVP2'!$G$42,0,(COLUMN()-7)/5)</f>
        <v>13.18589520055442</v>
      </c>
      <c r="AL9" s="1236">
        <f ca="1">+AI9*(1+AK9/100)</f>
        <v>2.8938124640030551</v>
      </c>
      <c r="AM9" s="1285">
        <f t="shared" ca="1" si="10"/>
        <v>0.62987965611741004</v>
      </c>
      <c r="AN9" s="1231">
        <f ca="1">OFFSET('VVP2'!$G$212,0,(COLUMN()-10)/5)</f>
        <v>2.9120400000000002</v>
      </c>
      <c r="AO9" s="1218">
        <f t="shared" ca="1" si="11"/>
        <v>13.898830128017092</v>
      </c>
      <c r="AP9" s="1213">
        <f ca="1">OFFSET('VVP2'!$G$42,0,(COLUMN()-7)/5)</f>
        <v>10.691182506773567</v>
      </c>
      <c r="AQ9" s="1236">
        <f ca="1">+AN9*(1+AP9/100)</f>
        <v>3.223371511070249</v>
      </c>
      <c r="AR9" s="1285">
        <f t="shared" ca="1" si="12"/>
        <v>-2.403431028790294</v>
      </c>
      <c r="AS9" s="1231">
        <f ca="1">OFFSET('VVP2'!$G$212,0,(COLUMN()-10)/5)</f>
        <v>3.1459000000000001</v>
      </c>
      <c r="AT9" s="1218">
        <f t="shared" ca="1" si="13"/>
        <v>8.0307962802708808</v>
      </c>
      <c r="AU9" s="1213">
        <f ca="1">OFFSET('VVP2'!$G$42,0,(COLUMN()-7)/5)</f>
        <v>13.492945688229208</v>
      </c>
      <c r="AV9" s="1236">
        <f ca="1">+AS9*(1+AU9/100)</f>
        <v>3.5703745784060028</v>
      </c>
      <c r="AW9" s="1285">
        <f t="shared" ca="1" si="14"/>
        <v>0.55751633776432641</v>
      </c>
      <c r="AX9" s="1231">
        <f ca="1">OFFSET('VVP2'!$G$212,0,(COLUMN()-10)/5)</f>
        <v>3.5902800000000004</v>
      </c>
      <c r="AY9" s="1218">
        <f t="shared" ca="1" si="15"/>
        <v>14.125687402651078</v>
      </c>
      <c r="AZ9" s="1213">
        <f ca="1">OFFSET('VVP2'!$G$42,0,(COLUMN()-7)/5)</f>
        <v>15.723477944641729</v>
      </c>
      <c r="BA9" s="1236">
        <f ca="1">+AX9*(1+AZ9/100)</f>
        <v>4.1547968839508833</v>
      </c>
      <c r="BB9" s="1285">
        <f t="shared" ca="1" si="16"/>
        <v>0.51032858263229741</v>
      </c>
      <c r="BC9" s="1231">
        <f ca="1">OFFSET('VVP2'!$G$212,0,(COLUMN()-10)/5)</f>
        <v>4.1760000000000002</v>
      </c>
      <c r="BD9" s="1218">
        <f t="shared" ca="1" si="17"/>
        <v>16.314047929409405</v>
      </c>
      <c r="BE9" s="1213">
        <f ca="1">OFFSET('VVP2'!$G$42,0,(COLUMN()-7)/5)</f>
        <v>11.472066413767458</v>
      </c>
      <c r="BF9" s="1236">
        <f ca="1">+BC9*(1+BE9/100)</f>
        <v>4.6550734934389295</v>
      </c>
      <c r="BG9" s="1285">
        <f t="shared" ca="1" si="18"/>
        <v>5.5059604734988739</v>
      </c>
      <c r="BH9" s="1231">
        <f ca="1">OFFSET('VVP2'!$G$212,0,(COLUMN()-10)/5)</f>
        <v>4.9113800000000003</v>
      </c>
      <c r="BI9" s="1218">
        <f t="shared" ca="1" si="19"/>
        <v>17.609674329501914</v>
      </c>
      <c r="BJ9" s="1213">
        <f ca="1">OFFSET('VVP2'!$G$42,0,(COLUMN()-7)/5)</f>
        <v>19.593435567110017</v>
      </c>
      <c r="BK9" s="1236">
        <f ca="1">+BH9*(1+BJ9/100)</f>
        <v>5.8736880757559282</v>
      </c>
      <c r="BL9" s="1285">
        <f t="shared" ca="1" si="20"/>
        <v>6.2858619572942587</v>
      </c>
      <c r="BM9" s="1231">
        <f ca="1">OFFSET('VVP2'!$G$212,0,(COLUMN()-10)/5)</f>
        <v>6.2428999999999997</v>
      </c>
      <c r="BN9" s="1218">
        <f t="shared" ca="1" si="21"/>
        <v>27.110913836844208</v>
      </c>
      <c r="BO9" s="1213">
        <f ca="1">OFFSET('VVP2'!$G$42,0,(COLUMN()-7)/5)</f>
        <v>22.334362987898349</v>
      </c>
      <c r="BP9" s="1236">
        <f ca="1">+BM9*(1+BO9/100)</f>
        <v>7.6372119469715054</v>
      </c>
      <c r="BQ9" s="1285">
        <f t="shared" ca="1" si="22"/>
        <v>8.6609885599782501</v>
      </c>
      <c r="BR9" s="1231">
        <f ca="1">OFFSET('VVP2'!$G$212,0,(COLUMN()-10)/5)</f>
        <v>8.2986699999999995</v>
      </c>
      <c r="BS9" s="1218">
        <f t="shared" ca="1" si="23"/>
        <v>32.929728171202477</v>
      </c>
      <c r="BT9" s="1213">
        <f ca="1">OFFSET('VVP2'!$G$42,0,(COLUMN()-7)/5)</f>
        <v>-3.9963277056724089</v>
      </c>
      <c r="BU9" s="1236">
        <f ca="1">+BR9*(1+BT9/100)</f>
        <v>7.9670279515876752</v>
      </c>
      <c r="BV9" s="1285">
        <f t="shared" ca="1" si="24"/>
        <v>6.8569114070129444</v>
      </c>
      <c r="BW9" s="1231">
        <f ca="1">OFFSET('VVP2'!$G$212,0,(COLUMN()-10)/5)</f>
        <v>8.5133200000000002</v>
      </c>
      <c r="BX9" s="1218">
        <f t="shared" ca="1" si="25"/>
        <v>2.5865590510286696</v>
      </c>
      <c r="BY9" s="1213">
        <f ca="1">OFFSET('VVP2'!$G$42,0,(COLUMN()-7)/5)</f>
        <v>-38.902640751074678</v>
      </c>
      <c r="BZ9" s="1236">
        <f ca="1">+BW9*(1+BY9/100)</f>
        <v>5.2014137044106095</v>
      </c>
      <c r="CA9" s="1285">
        <f t="shared" ca="1" si="26"/>
        <v>-7.5151435095259842</v>
      </c>
      <c r="CB9" s="1231">
        <f ca="1">OFFSET('VVP2'!$G$212,0,(COLUMN()-10)/5)</f>
        <v>4.8105200000000004</v>
      </c>
      <c r="CC9" s="1218">
        <f t="shared" ca="1" si="27"/>
        <v>-43.49419497916206</v>
      </c>
      <c r="CD9" s="1213">
        <f ca="1">OFFSET('VVP2'!$G$42,0,(COLUMN()-7)/5)</f>
        <v>1.4754443294586528</v>
      </c>
      <c r="CE9" s="1236">
        <f ca="1">+CB9*(1+CD9/100)</f>
        <v>4.8814965445574749</v>
      </c>
      <c r="CF9" s="1285">
        <f t="shared" ca="1" si="28"/>
        <v>-3.1792820734556955</v>
      </c>
      <c r="CG9" s="1231">
        <f ca="1">OFFSET('VVP2'!$G$212,0,(COLUMN()-10)/5)</f>
        <v>4.7263000000000002</v>
      </c>
      <c r="CH9" s="1218">
        <f t="shared" ca="1" si="29"/>
        <v>-1.750746281067328</v>
      </c>
      <c r="CI9" s="1213">
        <f ca="1">OFFSET('VVP2'!$G$42,0,(COLUMN()-7)/5)</f>
        <v>20.146626325032258</v>
      </c>
      <c r="CJ9" s="1236">
        <f ca="1">+CG9*(1+CI9/100)</f>
        <v>5.67849</v>
      </c>
      <c r="CK9" s="1285">
        <f t="shared" ca="1" si="30"/>
        <v>1.8071705682320527</v>
      </c>
      <c r="CL9" s="1231">
        <f ca="1">OFFSET('VVP2'!$G$212,0,(COLUMN()-10)/5)</f>
        <v>5.78111</v>
      </c>
      <c r="CM9" s="1218">
        <f t="shared" ca="1" si="31"/>
        <v>22.317880794701985</v>
      </c>
      <c r="CN9" s="1213">
        <f ca="1">OFFSET('VVP2'!$G$42,0,(COLUMN()-7)/5)</f>
        <v>-1.7782896509459301</v>
      </c>
      <c r="CO9" s="1236">
        <f ca="1">+CL9*(1+CN9/100)</f>
        <v>5.6783051191601999</v>
      </c>
      <c r="CP9" s="1285">
        <f t="shared" ca="1" si="32"/>
        <v>1.9323526745605335</v>
      </c>
      <c r="CQ9" s="1231">
        <f ca="1">OFFSET('VVP2'!$G$212,0,(COLUMN()-10)/5)</f>
        <v>5.78803</v>
      </c>
      <c r="CR9" s="1218">
        <f t="shared" ca="1" si="33"/>
        <v>0.11970019598313009</v>
      </c>
      <c r="CS9" s="3401">
        <f ca="1">OFFSET('VVP2'!$G$42,0,(COLUMN()-7)/5)</f>
        <v>8.2995817129866154</v>
      </c>
      <c r="CT9" s="1236">
        <f ca="1">+CQ9*(1+CS9/100)</f>
        <v>6.2684122794221793</v>
      </c>
      <c r="CU9" s="1285">
        <f t="shared" ca="1" si="34"/>
        <v>2.9747201087898105</v>
      </c>
      <c r="CV9" s="1231">
        <f ca="1">OFFSET('VVP2'!$G$212,0,(COLUMN()-10)/5)</f>
        <v>6.4548800000000002</v>
      </c>
      <c r="CW9" s="1218">
        <f t="shared" ca="1" si="35"/>
        <v>11.521191147938081</v>
      </c>
      <c r="CX9" s="3401">
        <f ca="1">OFFSET('VVP2'!$G$42,0,(COLUMN()-7)/5)</f>
        <v>5.75191791299281</v>
      </c>
      <c r="CY9" s="1236">
        <f ca="1">+CV9*(1+CX9/100)</f>
        <v>6.82615939898219</v>
      </c>
      <c r="CZ9" s="1285">
        <f t="shared" ca="1" si="36"/>
        <v>1.162155706906546</v>
      </c>
      <c r="DA9" s="1231">
        <f ca="1">OFFSET('VVP2'!$G$212,0,(COLUMN()-10)/5)</f>
        <v>6.9054899999999995</v>
      </c>
      <c r="DB9" s="1218">
        <f t="shared" ca="1" si="37"/>
        <v>6.9809198621817892</v>
      </c>
      <c r="DC9" s="3401">
        <f ca="1">OFFSET('VVP2'!$G$42,0,(COLUMN()-7)/5)</f>
        <v>4.8264990153196852</v>
      </c>
      <c r="DD9" s="1236">
        <f ca="1">+DA9*(1+DC9/100)</f>
        <v>7.238783406852999</v>
      </c>
      <c r="DE9" s="1285">
        <f t="shared" ca="1" si="38"/>
        <v>1.1940762458118428</v>
      </c>
      <c r="DF9" s="1231">
        <f ca="1">OFFSET('VVP2'!$G$212,0,(COLUMN()-10)/5)</f>
        <v>7.3252199999999998</v>
      </c>
      <c r="DG9" s="1218">
        <f t="shared" ca="1" si="39"/>
        <v>6.0782073393778058</v>
      </c>
      <c r="DH9" s="3647">
        <f ca="1">OFFSET('VVP2'!$G$42,0,(COLUMN()-7)/5)</f>
        <v>-0.47086618171282568</v>
      </c>
      <c r="DI9" s="1236">
        <f ca="1">+DF9*(1+DH9/100)</f>
        <v>7.2907280162839356</v>
      </c>
      <c r="DJ9" s="1285">
        <f t="shared" ca="1" si="40"/>
        <v>0.32194293441804689</v>
      </c>
      <c r="DK9" s="1231">
        <f ca="1">OFFSET('VVP2'!$G$212,0,(COLUMN()-10)/5)</f>
        <v>7.3141999999999996</v>
      </c>
      <c r="DL9" s="1218">
        <f t="shared" ca="1" si="41"/>
        <v>-0.15043916769735821</v>
      </c>
      <c r="DM9" s="3406">
        <f ca="1">OFFSET('VVP2'!$G$42,0,(COLUMN()-7)/5)</f>
        <v>7.3037703461852344</v>
      </c>
      <c r="DN9" s="1211">
        <f ca="1">+DK9*(1+DM9/100)</f>
        <v>7.8484123706606796</v>
      </c>
      <c r="DO9" s="3406">
        <f ca="1">+DO65</f>
        <v>0.32625432069880844</v>
      </c>
      <c r="DP9" s="1208">
        <f ca="1">+DN9*(1+DO9/100)</f>
        <v>7.8740181551262207</v>
      </c>
      <c r="DQ9" s="1397">
        <f t="shared" ca="1" si="42"/>
        <v>7.6538535332123958</v>
      </c>
      <c r="DR9" s="3406">
        <f ca="1">+DR65</f>
        <v>6.762084236947663</v>
      </c>
      <c r="DS9" s="1211">
        <f ca="1">+DP9*(1+DR9/100)</f>
        <v>8.4064658956084077</v>
      </c>
      <c r="DT9" s="3406">
        <f ca="1">+DT65</f>
        <v>2.3682800607741257</v>
      </c>
      <c r="DU9" s="1208">
        <f ca="1">+DS9*(1+DT9/100)</f>
        <v>8.6055545512298774</v>
      </c>
      <c r="DV9" s="1397">
        <f t="shared" ca="1" si="43"/>
        <v>9.2905093903981495</v>
      </c>
      <c r="DW9" s="3406">
        <f ca="1">+DW65</f>
        <v>4.1647416495982359</v>
      </c>
      <c r="DX9" s="1211">
        <f ca="1">+DU9*(1+DW9/100)</f>
        <v>8.9639536658038441</v>
      </c>
      <c r="DY9" s="3406">
        <f ca="1">+DY65</f>
        <v>2.3764176785420261</v>
      </c>
      <c r="DZ9" s="1208">
        <f ca="1">+DX9*(1+DY9/100)</f>
        <v>9.1769746454143224</v>
      </c>
      <c r="EA9" s="1397">
        <f t="shared" ca="1" si="44"/>
        <v>6.6401309849668966</v>
      </c>
    </row>
    <row r="10" spans="1:145">
      <c r="A10" s="1456" t="s">
        <v>1940</v>
      </c>
      <c r="C10" s="1224" t="s">
        <v>1769</v>
      </c>
      <c r="D10" s="1203"/>
      <c r="E10" s="1203" t="s">
        <v>1941</v>
      </c>
      <c r="F10" s="1227"/>
      <c r="G10" s="1365"/>
      <c r="H10" s="1366"/>
      <c r="I10" s="1366"/>
      <c r="J10" s="1212">
        <f ca="1">+J7+J8+J9</f>
        <v>8.4052600000000002</v>
      </c>
      <c r="K10" s="1368"/>
      <c r="L10" s="3055">
        <f ca="1">OFFSET('VVP2'!$G$61,0,(COLUMN()-7)/5)</f>
        <v>7.5825031524344499</v>
      </c>
      <c r="M10" s="1212">
        <f ca="1">+J10*(1+L10/100)</f>
        <v>9.0425891044703128</v>
      </c>
      <c r="N10" s="1286">
        <f t="shared" ca="1" si="0"/>
        <v>16.89406516076761</v>
      </c>
      <c r="O10" s="1212">
        <f ca="1">+O7+O8+O9</f>
        <v>10.57025</v>
      </c>
      <c r="P10" s="1230">
        <f t="shared" ca="1" si="1"/>
        <v>25.757561336591593</v>
      </c>
      <c r="Q10" s="3055">
        <f ca="1">OFFSET('VVP2'!$G$61,0,(COLUMN()-7)/5)</f>
        <v>8.8789250778812843</v>
      </c>
      <c r="R10" s="1212">
        <f ca="1">+O10*(1+Q10/100)</f>
        <v>11.508774578044745</v>
      </c>
      <c r="S10" s="1286">
        <f t="shared" ca="1" si="2"/>
        <v>9.8918908719182355</v>
      </c>
      <c r="T10" s="1212">
        <f ca="1">+T7+T8+T9</f>
        <v>12.647210000000001</v>
      </c>
      <c r="U10" s="1230">
        <f t="shared" ca="1" si="3"/>
        <v>19.649109529102926</v>
      </c>
      <c r="V10" s="3055">
        <f ca="1">OFFSET('VVP2'!$G$61,0,(COLUMN()-7)/5)</f>
        <v>8.1966570218200197</v>
      </c>
      <c r="W10" s="1212">
        <f ca="1">+T10*(1+V10/100)</f>
        <v>13.683858426529325</v>
      </c>
      <c r="X10" s="1286">
        <f t="shared" ca="1" si="4"/>
        <v>5.5835974741552832</v>
      </c>
      <c r="Y10" s="1212">
        <f ca="1">+Y7+Y8+Y9</f>
        <v>14.44791</v>
      </c>
      <c r="Z10" s="1230">
        <f t="shared" ca="1" si="5"/>
        <v>14.23792283041081</v>
      </c>
      <c r="AA10" s="3055">
        <f ca="1">OFFSET('VVP2'!$G$61,0,(COLUMN()-7)/5)</f>
        <v>0.42226428997069743</v>
      </c>
      <c r="AB10" s="1212">
        <f ca="1">+Y10*(1+AA10/100)</f>
        <v>14.508918364577106</v>
      </c>
      <c r="AC10" s="1286">
        <f t="shared" ca="1" si="6"/>
        <v>-3.1049755278586275</v>
      </c>
      <c r="AD10" s="1212">
        <f ca="1">+AD7+AD8+AD9</f>
        <v>14.058420000000002</v>
      </c>
      <c r="AE10" s="1230">
        <f t="shared" ca="1" si="7"/>
        <v>-2.6958224407543918</v>
      </c>
      <c r="AF10" s="3055">
        <f ca="1">OFFSET('VVP2'!$G$61,0,(COLUMN()-7)/5)</f>
        <v>2.490216423518099</v>
      </c>
      <c r="AG10" s="1212">
        <f ca="1">+AD10*(1+AF10/100)</f>
        <v>14.408505083727155</v>
      </c>
      <c r="AH10" s="1286">
        <f t="shared" ca="1" si="8"/>
        <v>-1.1437347786570484</v>
      </c>
      <c r="AI10" s="1212">
        <f ca="1">+AI7+AI8+AI9</f>
        <v>14.243709999999998</v>
      </c>
      <c r="AJ10" s="1230">
        <f t="shared" ca="1" si="9"/>
        <v>1.318000173561451</v>
      </c>
      <c r="AK10" s="3055">
        <f ca="1">OFFSET('VVP2'!$G$61,0,(COLUMN()-7)/5)</f>
        <v>5.1914940732004311</v>
      </c>
      <c r="AL10" s="1212">
        <f ca="1">+AI10*(1+AK10/100)</f>
        <v>14.983171360453856</v>
      </c>
      <c r="AM10" s="1286">
        <f t="shared" ca="1" si="10"/>
        <v>1.3304168707051929</v>
      </c>
      <c r="AN10" s="1212">
        <f ca="1">+AN7+AN8+AN9</f>
        <v>15.182510000000001</v>
      </c>
      <c r="AO10" s="1230">
        <f t="shared" ca="1" si="11"/>
        <v>6.5909794568971281</v>
      </c>
      <c r="AP10" s="3055">
        <f ca="1">OFFSET('VVP2'!$G$61,0,(COLUMN()-7)/5)</f>
        <v>6.2848080524413819</v>
      </c>
      <c r="AQ10" s="1212">
        <f ca="1">+AN10*(1+AP10/100)</f>
        <v>16.136701611042717</v>
      </c>
      <c r="AR10" s="1286">
        <f t="shared" ca="1" si="12"/>
        <v>-0.38707793295237991</v>
      </c>
      <c r="AS10" s="1212">
        <f ca="1">+AS7+AS8+AS9</f>
        <v>16.07424</v>
      </c>
      <c r="AT10" s="1230">
        <f t="shared" ca="1" si="13"/>
        <v>5.8734030143895666</v>
      </c>
      <c r="AU10" s="3055">
        <f ca="1">OFFSET('VVP2'!$G$61,0,(COLUMN()-7)/5)</f>
        <v>10.023612688262261</v>
      </c>
      <c r="AV10" s="1212">
        <f ca="1">+AS10*(1+AU10/100)</f>
        <v>17.685459560181727</v>
      </c>
      <c r="AW10" s="1286">
        <f t="shared" ca="1" si="14"/>
        <v>-0.54332520936051765</v>
      </c>
      <c r="AX10" s="1212">
        <f ca="1">+AX7+AX8+AX9</f>
        <v>17.589369999999999</v>
      </c>
      <c r="AY10" s="1230">
        <f t="shared" ca="1" si="15"/>
        <v>9.4258266642777357</v>
      </c>
      <c r="AZ10" s="3055">
        <f ca="1">OFFSET('VVP2'!$G$61,0,(COLUMN()-7)/5)</f>
        <v>11.197330478077493</v>
      </c>
      <c r="BA10" s="1212">
        <f ca="1">+AX10*(1+AZ10/100)</f>
        <v>19.558909887911817</v>
      </c>
      <c r="BB10" s="1286">
        <f t="shared" ca="1" si="16"/>
        <v>8.4877536513943141E-3</v>
      </c>
      <c r="BC10" s="1212">
        <f ca="1">+BC7+BC8+BC9</f>
        <v>19.560569999999998</v>
      </c>
      <c r="BD10" s="1230">
        <f t="shared" ca="1" si="17"/>
        <v>11.206768633555386</v>
      </c>
      <c r="BE10" s="3055">
        <f ca="1">OFFSET('VVP2'!$G$61,0,(COLUMN()-7)/5)</f>
        <v>10.137985829179264</v>
      </c>
      <c r="BF10" s="1212">
        <f ca="1">+BC10*(1+BE10/100)</f>
        <v>21.543617814706689</v>
      </c>
      <c r="BG10" s="1286">
        <f t="shared" ca="1" si="18"/>
        <v>3.8863119114644036</v>
      </c>
      <c r="BH10" s="1212">
        <f ca="1">+BH7+BH8+BH9</f>
        <v>22.380870000000002</v>
      </c>
      <c r="BI10" s="1230">
        <f t="shared" ca="1" si="19"/>
        <v>14.418291491505641</v>
      </c>
      <c r="BJ10" s="3055">
        <f ca="1">OFFSET('VVP2'!$G$61,0,(COLUMN()-7)/5)</f>
        <v>10.186712032597111</v>
      </c>
      <c r="BK10" s="1212">
        <f ca="1">+BH10*(1+BJ10/100)</f>
        <v>24.660744777289921</v>
      </c>
      <c r="BL10" s="1286">
        <f t="shared" ca="1" si="20"/>
        <v>6.8833899301910009</v>
      </c>
      <c r="BM10" s="1212">
        <f ca="1">+BM7+BM8+BM9</f>
        <v>26.358239999999999</v>
      </c>
      <c r="BN10" s="1230">
        <f t="shared" ca="1" si="21"/>
        <v>17.771293073057471</v>
      </c>
      <c r="BO10" s="3055">
        <f ca="1">OFFSET('VVP2'!$G$61,0,(COLUMN()-7)/5)</f>
        <v>12.920361326552543</v>
      </c>
      <c r="BP10" s="1212">
        <f ca="1">+BM10*(1+BO10/100)</f>
        <v>29.763819847319901</v>
      </c>
      <c r="BQ10" s="1286">
        <f t="shared" ca="1" si="22"/>
        <v>6.9288490632555693</v>
      </c>
      <c r="BR10" s="1212">
        <f ca="1">+BR7+BR8+BR9</f>
        <v>31.82611</v>
      </c>
      <c r="BS10" s="1230">
        <f t="shared" ca="1" si="23"/>
        <v>20.744442724552179</v>
      </c>
      <c r="BT10" s="3055">
        <f ca="1">OFFSET('VVP2'!$G$61,0,(COLUMN()-7)/5)</f>
        <v>1.2308496096373744</v>
      </c>
      <c r="BU10" s="1212">
        <f ca="1">+BR10*(1+BT10/100)</f>
        <v>32.217841550697763</v>
      </c>
      <c r="BV10" s="1286">
        <f t="shared" ca="1" si="24"/>
        <v>11.35119012720773</v>
      </c>
      <c r="BW10" s="1212">
        <f ca="1">+BW7+BW8+BW9</f>
        <v>35.874949999999998</v>
      </c>
      <c r="BX10" s="1230">
        <f t="shared" ca="1" si="25"/>
        <v>12.72175581621504</v>
      </c>
      <c r="BY10" s="3055">
        <f ca="1">OFFSET('VVP2'!$G$61,0,(COLUMN()-7)/5)</f>
        <v>-19.738740548391142</v>
      </c>
      <c r="BZ10" s="1212">
        <f ca="1">+BW10*(1+BY10/100)</f>
        <v>28.79368669763495</v>
      </c>
      <c r="CA10" s="1286">
        <f t="shared" ca="1" si="26"/>
        <v>0.25023993322454885</v>
      </c>
      <c r="CB10" s="1212">
        <f ca="1">+CB7+CB8+CB9</f>
        <v>28.865739999999999</v>
      </c>
      <c r="CC10" s="1230">
        <f t="shared" ca="1" si="27"/>
        <v>-19.537894826334256</v>
      </c>
      <c r="CD10" s="3055">
        <f ca="1">OFFSET('VVP2'!$G$61,0,(COLUMN()-7)/5)</f>
        <v>-2.5112271051088153</v>
      </c>
      <c r="CE10" s="1212">
        <f ca="1">+CB10*(1+CD10/100)</f>
        <v>28.140855713029762</v>
      </c>
      <c r="CF10" s="1286">
        <f t="shared" ca="1" si="28"/>
        <v>0.3353284204735445</v>
      </c>
      <c r="CG10" s="1212">
        <f ca="1">+CG7+CG8+CG9</f>
        <v>28.235220000000005</v>
      </c>
      <c r="CH10" s="1230">
        <f t="shared" ca="1" si="29"/>
        <v>-2.1843195428213336</v>
      </c>
      <c r="CI10" s="3055">
        <f ca="1">OFFSET('VVP2'!$G$61,0,(COLUMN()-7)/5)</f>
        <v>6.2250621741215317</v>
      </c>
      <c r="CJ10" s="1212">
        <f ca="1">+CG10*(1+CI10/100)</f>
        <v>29.992880000000003</v>
      </c>
      <c r="CK10" s="1286">
        <f t="shared" ca="1" si="30"/>
        <v>3.565512881723933</v>
      </c>
      <c r="CL10" s="1212">
        <f ca="1">+CL7+CL8+CL9</f>
        <v>31.062280000000001</v>
      </c>
      <c r="CM10" s="1230">
        <f t="shared" ca="1" si="31"/>
        <v>10.012530449559076</v>
      </c>
      <c r="CN10" s="3055">
        <f ca="1">OFFSET('VVP2'!$G$61,0,(COLUMN()-7)/5)</f>
        <v>1.8534463179261218</v>
      </c>
      <c r="CO10" s="1212">
        <f ca="1">+CL10*(1+CN10/100)</f>
        <v>31.638002684923904</v>
      </c>
      <c r="CP10" s="1286">
        <f t="shared" ca="1" si="32"/>
        <v>2.3730553491414241</v>
      </c>
      <c r="CQ10" s="1212">
        <f ca="1">+CQ7+CQ8+CQ9</f>
        <v>32.38879</v>
      </c>
      <c r="CR10" s="1230">
        <f t="shared" ca="1" si="33"/>
        <v>4.2704849740585749</v>
      </c>
      <c r="CS10" s="3055">
        <f ca="1">OFFSET('VVP2'!$G$61,0,(COLUMN()-7)/5)</f>
        <v>4.3793729421538252</v>
      </c>
      <c r="CT10" s="1212">
        <f ca="1">+CQ10*(1+CS10/100)</f>
        <v>33.807215905551026</v>
      </c>
      <c r="CU10" s="1286">
        <f t="shared" ca="1" si="34"/>
        <v>1.0836269258978746</v>
      </c>
      <c r="CV10" s="1212">
        <f ca="1">+CV7+CV8+CV9</f>
        <v>34.173560000000002</v>
      </c>
      <c r="CW10" s="1230">
        <f t="shared" ca="1" si="35"/>
        <v>5.5104559324383517</v>
      </c>
      <c r="CX10" s="3055">
        <f ca="1">OFFSET('VVP2'!$G$61,0,(COLUMN()-7)/5)</f>
        <v>3.6753768570909839</v>
      </c>
      <c r="CY10" s="1212">
        <f ca="1">+CV10*(1+CX10/100)</f>
        <v>35.429567115484105</v>
      </c>
      <c r="CZ10" s="1286">
        <f t="shared" ca="1" si="36"/>
        <v>0.92034114741805695</v>
      </c>
      <c r="DA10" s="1212">
        <f ca="1">+DA7+DA8+DA9</f>
        <v>35.75564</v>
      </c>
      <c r="DB10" s="1230">
        <f t="shared" ca="1" si="37"/>
        <v>4.6295440100475371</v>
      </c>
      <c r="DC10" s="3055">
        <f ca="1">OFFSET('VVP2'!$G$61,0,(COLUMN()-7)/5)</f>
        <v>3.4931110607300253</v>
      </c>
      <c r="DD10" s="1212">
        <f ca="1">+DA10*(1+DC10/100)</f>
        <v>37.004624215674809</v>
      </c>
      <c r="DE10" s="1286">
        <f t="shared" ca="1" si="38"/>
        <v>0.60264301841152701</v>
      </c>
      <c r="DF10" s="1212">
        <f ca="1">+DF7+DF8+DF9</f>
        <v>37.227629999999998</v>
      </c>
      <c r="DG10" s="1230">
        <f t="shared" ca="1" si="39"/>
        <v>4.116805069074414</v>
      </c>
      <c r="DH10" s="3055">
        <f ca="1">OFFSET('VVP2'!$G$61,0,(COLUMN()-7)/5)</f>
        <v>3.2424898204958863</v>
      </c>
      <c r="DI10" s="1212">
        <f ca="1">+DF10*(1+DH10/100)</f>
        <v>38.434732113161871</v>
      </c>
      <c r="DJ10" s="1286">
        <f t="shared" ca="1" si="40"/>
        <v>0.98785100341081034</v>
      </c>
      <c r="DK10" s="1212">
        <f ca="1">+DK7+DK8+DK9</f>
        <v>38.814410000000002</v>
      </c>
      <c r="DL10" s="1230">
        <f t="shared" ca="1" si="41"/>
        <v>4.2623717921339788</v>
      </c>
      <c r="DM10" s="3407">
        <f ca="1">IF(UPPER($F$2)="Y",(DN10/DK10-1)*100,OFFSET('VVP2'!$G$61,0,(COLUMN()-7)/5))</f>
        <v>4.066932975258819</v>
      </c>
      <c r="DN10" s="1212">
        <f ca="1">IF(UPPER($F$2)="Y",+DN7+DN8+DN9,DK10*(1+DM10/100))</f>
        <v>40.392966039442157</v>
      </c>
      <c r="DO10" s="3407">
        <f ca="1">+DP10/DN10*100-100</f>
        <v>2.9448001281276817</v>
      </c>
      <c r="DP10" s="1216">
        <f ca="1">+DP7+DP8+DP9</f>
        <v>41.582458155126218</v>
      </c>
      <c r="DQ10" s="1432">
        <f t="shared" ca="1" si="42"/>
        <v>7.1314961508527785</v>
      </c>
      <c r="DR10" s="3407">
        <f ca="1">IF(UPPER($F$2)="Y",(DS10/DP10-1)*100,OFFSET('VVP2'!$G$61,0,(COLUMN()-7)/5))</f>
        <v>3.8087055954553639</v>
      </c>
      <c r="DS10" s="1212">
        <f ca="1">IF(UPPER($F$2)="Y",+DS7+DS8+DS9,DP10*(1+DR10/100))</f>
        <v>43.1662115656084</v>
      </c>
      <c r="DT10" s="3407">
        <f ca="1">+DU10/DS10*100-100</f>
        <v>2.772835471767678</v>
      </c>
      <c r="DU10" s="1216">
        <f ca="1">+DU7+DU8+DU9</f>
        <v>44.363139591717875</v>
      </c>
      <c r="DV10" s="1432">
        <f t="shared" ca="1" si="43"/>
        <v>6.6871502069890454</v>
      </c>
      <c r="DW10" s="3407">
        <f ca="1">IF(UPPER($F$2)="Y",(DX10/DU10-1)*100,OFFSET('VVP2'!$G$61,0,(COLUMN()-7)/5))</f>
        <v>3.1782126669207544</v>
      </c>
      <c r="DX10" s="1212">
        <f ca="1">IF(UPPER($F$2)="Y",+DX7+DX8+DX9,DU10*(1+DW10/100))</f>
        <v>45.77309451366559</v>
      </c>
      <c r="DY10" s="3407">
        <f ca="1">+DZ10/DX10*100-100</f>
        <v>2.4514861246264417</v>
      </c>
      <c r="DZ10" s="1216">
        <f ca="1">+DZ7+DZ8+DZ9</f>
        <v>46.895215574480247</v>
      </c>
      <c r="EA10" s="1432">
        <f t="shared" ca="1" si="44"/>
        <v>5.7076122340878666</v>
      </c>
    </row>
    <row r="11" spans="1:145">
      <c r="A11" s="2857" t="s">
        <v>903</v>
      </c>
      <c r="C11" s="1224" t="s">
        <v>1767</v>
      </c>
      <c r="D11" s="1078"/>
      <c r="E11" s="1078" t="s">
        <v>1272</v>
      </c>
      <c r="F11" s="1215" t="s">
        <v>1992</v>
      </c>
      <c r="G11" s="1246"/>
      <c r="H11" s="1247"/>
      <c r="I11" s="1248"/>
      <c r="J11" s="1231">
        <f ca="1">OFFSET('VVP2'!$G$260,0,(COLUMN()-6)/5)</f>
        <v>0.18446000000000001</v>
      </c>
      <c r="K11" s="1249"/>
      <c r="L11" s="2858">
        <f ca="1">IF(UPPER($F$2)="Y",M11/J11*100-100,OFFSET('VVP2'!$G$67,0,(COLUMN()-7)/5))</f>
        <v>61.091807269466472</v>
      </c>
      <c r="M11" s="2859">
        <f ca="1">IF(UPPER($F$2)="Y",M12-M10,J11*(1+L11/100))</f>
        <v>0.29714994768925784</v>
      </c>
      <c r="N11" s="1285">
        <f t="shared" ca="1" si="0"/>
        <v>-84.290759475813459</v>
      </c>
      <c r="O11" s="1231">
        <f ca="1">OFFSET('VVP2'!$G$260,0,(COLUMN()-10)/5)</f>
        <v>4.6679999999999999E-2</v>
      </c>
      <c r="P11" s="1218">
        <f t="shared" ca="1" si="1"/>
        <v>-74.693700531280498</v>
      </c>
      <c r="Q11" s="2858">
        <f ca="1">IF(UPPER($F$2)="Y",R11/O11*100-100,OFFSET('VVP2'!$G$67,0,(COLUMN()-7)/5))</f>
        <v>801.56982740201079</v>
      </c>
      <c r="R11" s="2859">
        <f ca="1">IF(UPPER($F$2)="Y",R12-R10,O11*(1+Q11/100))</f>
        <v>0.42085279543125864</v>
      </c>
      <c r="S11" s="1285">
        <f t="shared" ca="1" si="2"/>
        <v>-38.586602535181122</v>
      </c>
      <c r="T11" s="1231">
        <f ca="1">OFFSET('VVP2'!$G$260,0,(COLUMN()-10)/5)</f>
        <v>0.25845999999999997</v>
      </c>
      <c r="U11" s="1218">
        <f t="shared" ca="1" si="3"/>
        <v>453.68466152527844</v>
      </c>
      <c r="V11" s="2858">
        <f ca="1">IF(UPPER($F$2)="Y",W11/T11*100-100,OFFSET('VVP2'!$G$67,0,(COLUMN()-7)/5))</f>
        <v>7.4233111197303145</v>
      </c>
      <c r="W11" s="2859">
        <f ca="1">IF(UPPER($F$2)="Y",W12-W10,T11*(1+V11/100))</f>
        <v>0.27764628992005491</v>
      </c>
      <c r="X11" s="1285">
        <f t="shared" ca="1" si="4"/>
        <v>-78.807568429262176</v>
      </c>
      <c r="Y11" s="1231">
        <f ca="1">OFFSET('VVP2'!$G$260,0,(COLUMN()-10)/5)</f>
        <v>5.8840000000000003E-2</v>
      </c>
      <c r="Z11" s="1218">
        <f t="shared" ca="1" si="5"/>
        <v>-77.234388299930359</v>
      </c>
      <c r="AA11" s="2858">
        <f ca="1">IF(UPPER($F$2)="Y",AB11/Y11*100-100,OFFSET('VVP2'!$G$67,0,(COLUMN()-7)/5))</f>
        <v>-239.0373049581379</v>
      </c>
      <c r="AB11" s="2859">
        <f ca="1">IF(UPPER($F$2)="Y",AB12-AB10,Y11*(1+AA11/100))</f>
        <v>-8.1809550237368356E-2</v>
      </c>
      <c r="AC11" s="1285">
        <f t="shared" ca="1" si="6"/>
        <v>-5.6833832038897754</v>
      </c>
      <c r="AD11" s="1231">
        <f ca="1">OFFSET('VVP2'!$G$260,0,(COLUMN()-10)/5)</f>
        <v>-7.7159999999999992E-2</v>
      </c>
      <c r="AE11" s="1218">
        <f t="shared" ca="1" si="7"/>
        <v>-231.13528212100613</v>
      </c>
      <c r="AF11" s="2858">
        <f ca="1">IF(UPPER($F$2)="Y",AG11/AD11*100-100,OFFSET('VVP2'!$G$67,0,(COLUMN()-7)/5))</f>
        <v>66.813099167635727</v>
      </c>
      <c r="AG11" s="2859">
        <f ca="1">IF(UPPER($F$2)="Y",AG12-AG10,AD11*(1+AF11/100))</f>
        <v>-0.12871298731774772</v>
      </c>
      <c r="AH11" s="1285">
        <f t="shared" ca="1" si="8"/>
        <v>-61.946341996487611</v>
      </c>
      <c r="AI11" s="1231">
        <f ca="1">OFFSET('VVP2'!$G$260,0,(COLUMN()-10)/5)</f>
        <v>-4.8979999999999996E-2</v>
      </c>
      <c r="AJ11" s="1218">
        <f t="shared" ca="1" si="9"/>
        <v>-36.521513737687918</v>
      </c>
      <c r="AK11" s="2858">
        <f ca="1">IF(UPPER($F$2)="Y",AL11/AI11*100-100,OFFSET('VVP2'!$G$67,0,(COLUMN()-7)/5))</f>
        <v>-177.43549770457992</v>
      </c>
      <c r="AL11" s="2859">
        <f ca="1">IF(UPPER($F$2)="Y",AL12-AL10,AI11*(1+AK11/100))</f>
        <v>3.7927906775703235E-2</v>
      </c>
      <c r="AM11" s="1285">
        <f t="shared" ca="1" si="10"/>
        <v>-659.66705796688211</v>
      </c>
      <c r="AN11" s="1231">
        <f ca="1">OFFSET('VVP2'!$G$260,0,(COLUMN()-10)/5)</f>
        <v>-0.21227000000000001</v>
      </c>
      <c r="AO11" s="1218">
        <f t="shared" ca="1" si="11"/>
        <v>333.38097182523489</v>
      </c>
      <c r="AP11" s="2858">
        <f ca="1">IF(UPPER($F$2)="Y",AQ11/AN11*100-100,OFFSET('VVP2'!$G$67,0,(COLUMN()-7)/5))</f>
        <v>-75.242494485879064</v>
      </c>
      <c r="AQ11" s="2859">
        <f ca="1">IF(UPPER($F$2)="Y",AQ12-AQ10,AN11*(1+AP11/100))</f>
        <v>-5.2552756954824531E-2</v>
      </c>
      <c r="AR11" s="1285">
        <f t="shared" ca="1" si="12"/>
        <v>-82.417668386184005</v>
      </c>
      <c r="AS11" s="1231">
        <f ca="1">OFFSET('VVP2'!$G$260,0,(COLUMN()-10)/5)</f>
        <v>-9.2399999999999999E-3</v>
      </c>
      <c r="AT11" s="1218">
        <f t="shared" ca="1" si="13"/>
        <v>-95.647053281198467</v>
      </c>
      <c r="AU11" s="2858">
        <f ca="1">IF(UPPER($F$2)="Y",AV11/AS11*100-100,OFFSET('VVP2'!$G$67,0,(COLUMN()-7)/5))</f>
        <v>-665.65169636188693</v>
      </c>
      <c r="AV11" s="2859">
        <f ca="1">IF(UPPER($F$2)="Y",AV12-AV10,AS11*(1+AU11/100))</f>
        <v>5.2266216743838356E-2</v>
      </c>
      <c r="AW11" s="1285">
        <f t="shared" ca="1" si="14"/>
        <v>-16.523516110158241</v>
      </c>
      <c r="AX11" s="1231">
        <f ca="1">OFFSET('VVP2'!$G$260,0,(COLUMN()-10)/5)</f>
        <v>4.3630000000000002E-2</v>
      </c>
      <c r="AY11" s="1218">
        <f t="shared" ca="1" si="15"/>
        <v>-572.1861471861472</v>
      </c>
      <c r="AZ11" s="2858">
        <f ca="1">IF(UPPER($F$2)="Y",BA11/AX11*100-100,OFFSET('VVP2'!$G$67,0,(COLUMN()-7)/5))</f>
        <v>839.12534447623875</v>
      </c>
      <c r="BA11" s="2859">
        <f ca="1">IF(UPPER($F$2)="Y",BA12-BA10,AX11*(1+AZ11/100))</f>
        <v>0.40974038779498301</v>
      </c>
      <c r="BB11" s="1285">
        <f t="shared" ca="1" si="16"/>
        <v>-109.61828542509193</v>
      </c>
      <c r="BC11" s="1231">
        <f ca="1">OFFSET('VVP2'!$G$260,0,(COLUMN()-10)/5)</f>
        <v>-3.9409999999999994E-2</v>
      </c>
      <c r="BD11" s="1218">
        <f t="shared" ca="1" si="17"/>
        <v>-190.32775613110243</v>
      </c>
      <c r="BE11" s="2858">
        <f ca="1">IF(UPPER($F$2)="Y",BF11/BC11*100-100,OFFSET('VVP2'!$G$67,0,(COLUMN()-7)/5))</f>
        <v>837.22794536239462</v>
      </c>
      <c r="BF11" s="2859">
        <f ca="1">IF(UPPER($F$2)="Y",BF12-BF10,BC11*(1+BE11/100))</f>
        <v>-0.36936153326731969</v>
      </c>
      <c r="BG11" s="1285">
        <f t="shared" ca="1" si="18"/>
        <v>-138.02778236204261</v>
      </c>
      <c r="BH11" s="1231">
        <f ca="1">OFFSET('VVP2'!$G$260,0,(COLUMN()-10)/5)</f>
        <v>0.14046</v>
      </c>
      <c r="BI11" s="1218">
        <f t="shared" ca="1" si="19"/>
        <v>-456.40700329865524</v>
      </c>
      <c r="BJ11" s="2858">
        <f ca="1">IF(UPPER($F$2)="Y",BK11/BH11*100-100,OFFSET('VVP2'!$G$67,0,(COLUMN()-7)/5))</f>
        <v>-231.54230557867908</v>
      </c>
      <c r="BK11" s="2859">
        <f ca="1">IF(UPPER($F$2)="Y",BK12-BK10,BH11*(1+BJ11/100))</f>
        <v>-0.18476432241581264</v>
      </c>
      <c r="BL11" s="1285">
        <f t="shared" ca="1" si="20"/>
        <v>-204.10018421583484</v>
      </c>
      <c r="BM11" s="1231">
        <f ca="1">OFFSET('VVP2'!$G$260,0,(COLUMN()-10)/5)</f>
        <v>0.19234000000000001</v>
      </c>
      <c r="BN11" s="1218">
        <f t="shared" ca="1" si="21"/>
        <v>36.935782429161335</v>
      </c>
      <c r="BO11" s="2858">
        <f ca="1">IF(UPPER($F$2)="Y",BP11/BM11*100-100,OFFSET('VVP2'!$G$67,0,(COLUMN()-7)/5))</f>
        <v>287.84072115639458</v>
      </c>
      <c r="BP11" s="2859">
        <f ca="1">IF(UPPER($F$2)="Y",BP12-BP10,BM11*(1+BO11/100))</f>
        <v>0.74597284307220946</v>
      </c>
      <c r="BQ11" s="1285">
        <f t="shared" ca="1" si="22"/>
        <v>37.549243183464853</v>
      </c>
      <c r="BR11" s="1231">
        <f ca="1">OFFSET('VVP2'!$G$260,0,(COLUMN()-10)/5)</f>
        <v>1.0260799999999999</v>
      </c>
      <c r="BS11" s="1218">
        <f t="shared" ca="1" si="23"/>
        <v>433.47197670791297</v>
      </c>
      <c r="BT11" s="2858">
        <f ca="1">IF(UPPER($F$2)="Y",BU11/BR11*100-100,OFFSET('VVP2'!$G$67,0,(COLUMN()-7)/5))</f>
        <v>62.667606319817196</v>
      </c>
      <c r="BU11" s="2859">
        <f ca="1">IF(UPPER($F$2)="Y",BU12-BU10,BR11*(1+BT11/100))</f>
        <v>1.6690997749263801</v>
      </c>
      <c r="BV11" s="1285">
        <f t="shared" ca="1" si="24"/>
        <v>-63.768493107209622</v>
      </c>
      <c r="BW11" s="1231">
        <f ca="1">OFFSET('VVP2'!$G$260,0,(COLUMN()-10)/5)</f>
        <v>0.60474000000000006</v>
      </c>
      <c r="BX11" s="1218">
        <f t="shared" ca="1" si="25"/>
        <v>-41.063075003898319</v>
      </c>
      <c r="BY11" s="2858">
        <f ca="1">IF(UPPER($F$2)="Y",BZ11/BW11*100-100,OFFSET('VVP2'!$G$67,0,(COLUMN()-7)/5))</f>
        <v>-274.97654040287534</v>
      </c>
      <c r="BZ11" s="2859">
        <f ca="1">IF(UPPER($F$2)="Y",BZ12-BZ10,BW11*(1+BY11/100))</f>
        <v>-1.0581531304323484</v>
      </c>
      <c r="CA11" s="1285">
        <f t="shared" ca="1" si="26"/>
        <v>39.71229281304079</v>
      </c>
      <c r="CB11" s="1231">
        <f ca="1">OFFSET('VVP2'!$G$260,0,(COLUMN()-10)/5)</f>
        <v>-1.47837</v>
      </c>
      <c r="CC11" s="1218">
        <f t="shared" ca="1" si="27"/>
        <v>-344.46373648179377</v>
      </c>
      <c r="CD11" s="2858">
        <f ca="1">IF(UPPER($F$2)="Y",CE11/CB11*100-100,OFFSET('VVP2'!$G$67,0,(COLUMN()-7)/5))</f>
        <v>-82.061497225955165</v>
      </c>
      <c r="CE11" s="2859">
        <f ca="1">IF(UPPER($F$2)="Y",CE12-CE10,CB11*(1+CD11/100))</f>
        <v>-0.26519744346064655</v>
      </c>
      <c r="CF11" s="1285">
        <f t="shared" ca="1" si="28"/>
        <v>-220.15575860831609</v>
      </c>
      <c r="CG11" s="1231">
        <f ca="1">OFFSET('VVP2'!$G$260,0,(COLUMN()-10)/5)</f>
        <v>0.31864999999999999</v>
      </c>
      <c r="CH11" s="1218">
        <f t="shared" ca="1" si="29"/>
        <v>-121.5541440911274</v>
      </c>
      <c r="CI11" s="2858">
        <f ca="1">IF(UPPER($F$2)="Y",CJ11/CG11*100-100,OFFSET('VVP2'!$G$67,0,(COLUMN()-7)/5))</f>
        <v>-18.123332810291359</v>
      </c>
      <c r="CJ11" s="2859">
        <f ca="1">IF(UPPER($F$2)="Y",CJ12-CJ10,CG11*(1+CI11/100))</f>
        <v>0.26090000000000657</v>
      </c>
      <c r="CK11" s="1285">
        <f t="shared" ca="1" si="30"/>
        <v>287.38980452279594</v>
      </c>
      <c r="CL11" s="1231">
        <f ca="1">OFFSET('VVP2'!$G$260,0,(COLUMN()-10)/5)</f>
        <v>1.0107000000000002</v>
      </c>
      <c r="CM11" s="1218">
        <f t="shared" ca="1" si="31"/>
        <v>217.18186097599252</v>
      </c>
      <c r="CN11" s="3401">
        <f ca="1">IF(UPPER($F$2)="Y",CO11/CL11*100-100,OFFSET('VVP2'!$G$67,0,(COLUMN()-7)/5))</f>
        <v>-66.586867124364332</v>
      </c>
      <c r="CO11" s="3402">
        <f ca="1">IF(UPPER($F$2)="Y",CO12-CO10,CL11*(1+CN11/100))</f>
        <v>0.33770653397404971</v>
      </c>
      <c r="CP11" s="1285">
        <f t="shared" ca="1" si="32"/>
        <v>99.232153456557484</v>
      </c>
      <c r="CQ11" s="1231">
        <f ca="1">OFFSET('VVP2'!$G$260,0,(COLUMN()-10)/5)</f>
        <v>0.67282000000000008</v>
      </c>
      <c r="CR11" s="1218">
        <f t="shared" ca="1" si="33"/>
        <v>-33.430295834570103</v>
      </c>
      <c r="CS11" s="3401">
        <f ca="1">IF(UPPER($F$2)="Y",CT11/CQ11*100-100,OFFSET('VVP2'!$G$67,0,(COLUMN()-7)/5))</f>
        <v>-71.518844666527315</v>
      </c>
      <c r="CT11" s="3402">
        <f ca="1">IF(UPPER($F$2)="Y",CT12-CT10,CQ11*(1+CS11/100))</f>
        <v>0.19162690931467097</v>
      </c>
      <c r="CU11" s="1285">
        <f t="shared" ca="1" si="34"/>
        <v>82.046457487425585</v>
      </c>
      <c r="CV11" s="1231">
        <f ca="1">OFFSET('VVP2'!$G$260,0,(COLUMN()-10)/5)</f>
        <v>0.34885000000000005</v>
      </c>
      <c r="CW11" s="1218">
        <f t="shared" ca="1" si="35"/>
        <v>-48.151065663921997</v>
      </c>
      <c r="CX11" s="3401">
        <f ca="1">IF(UPPER($F$2)="Y",CY11/CV11*100-100,OFFSET('VVP2'!$G$67,0,(COLUMN()-7)/5))</f>
        <v>-23.923386213797215</v>
      </c>
      <c r="CY11" s="3402">
        <f ca="1">IF(UPPER($F$2)="Y",CY12-CY10,CV11*(1+CX11/100))</f>
        <v>0.26539326719316847</v>
      </c>
      <c r="CZ11" s="1285">
        <f t="shared" ca="1" si="36"/>
        <v>-79.984420644199616</v>
      </c>
      <c r="DA11" s="1231">
        <f ca="1">OFFSET('VVP2'!$G$260,0,(COLUMN()-10)/5)</f>
        <v>5.3120000000000001E-2</v>
      </c>
      <c r="DB11" s="1218">
        <f t="shared" ca="1" si="37"/>
        <v>-84.772824996416801</v>
      </c>
      <c r="DC11" s="3401">
        <f ca="1">IF(UPPER($F$2)="Y",DD11/DA11*100-100,OFFSET('VVP2'!$G$67,0,(COLUMN()-7)/5))</f>
        <v>2625.084372878237</v>
      </c>
      <c r="DD11" s="3402">
        <f ca="1">IF(UPPER($F$2)="Y",DD12-DD10,DA11*(1+DC11/100))</f>
        <v>1.4475648188729195</v>
      </c>
      <c r="DE11" s="1285">
        <f t="shared" ca="1" si="38"/>
        <v>-73.854711370045692</v>
      </c>
      <c r="DF11" s="1231">
        <f ca="1">OFFSET('VVP2'!$G$260,0,(COLUMN()-10)/5)</f>
        <v>0.37847000000000003</v>
      </c>
      <c r="DG11" s="1218">
        <f t="shared" ca="1" si="39"/>
        <v>612.48117469879526</v>
      </c>
      <c r="DH11" s="3401">
        <f ca="1">IF(UPPER($F$2)="Y",DI11/DF11*100-100,OFFSET('VVP2'!$G$67,0,(COLUMN()-7)/5))</f>
        <v>-79.899694976144815</v>
      </c>
      <c r="DI11" s="3402">
        <f ca="1">IF(UPPER($F$2)="Y",DI12-DI10,DF11*(1+DH11/100))</f>
        <v>7.6073624423784736E-2</v>
      </c>
      <c r="DJ11" s="1285">
        <f t="shared" ca="1" si="40"/>
        <v>-949.15107554416932</v>
      </c>
      <c r="DK11" s="1231">
        <f ca="1">OFFSET('VVP2'!$G$260,0,(COLUMN()-10)/5)</f>
        <v>-0.64598</v>
      </c>
      <c r="DL11" s="1218">
        <f t="shared" ca="1" si="41"/>
        <v>-270.68195629772504</v>
      </c>
      <c r="DM11" s="3406">
        <f>+DM81</f>
        <v>0</v>
      </c>
      <c r="DN11" s="3408">
        <f ca="1">+DK11*(1+DM11/100)</f>
        <v>-0.64598</v>
      </c>
      <c r="DO11" s="3406">
        <f>+DO81</f>
        <v>0</v>
      </c>
      <c r="DP11" s="1208">
        <f ca="1">+DN11*(1+DO11/100)</f>
        <v>-0.64598</v>
      </c>
      <c r="DQ11" s="1397">
        <f t="shared" ca="1" si="42"/>
        <v>0</v>
      </c>
      <c r="DR11" s="3406">
        <f>+DR81</f>
        <v>0</v>
      </c>
      <c r="DS11" s="3408">
        <f ca="1">+DP11*(1+DR11/100)</f>
        <v>-0.64598</v>
      </c>
      <c r="DT11" s="3406">
        <f>+DT81</f>
        <v>0</v>
      </c>
      <c r="DU11" s="1208">
        <f ca="1">+DS11*(1+DT11/100)</f>
        <v>-0.64598</v>
      </c>
      <c r="DV11" s="1397">
        <f t="shared" ca="1" si="43"/>
        <v>0</v>
      </c>
      <c r="DW11" s="3406">
        <f>+DW81</f>
        <v>0</v>
      </c>
      <c r="DX11" s="3408">
        <f ca="1">+DU11*(1+DW11/100)</f>
        <v>-0.64598</v>
      </c>
      <c r="DY11" s="3406">
        <f>+DY81</f>
        <v>0</v>
      </c>
      <c r="DZ11" s="1208">
        <f ca="1">+DX11*(1+DY11/100)</f>
        <v>-0.64598</v>
      </c>
      <c r="EA11" s="1397">
        <f t="shared" ca="1" si="44"/>
        <v>0</v>
      </c>
    </row>
    <row r="12" spans="1:145">
      <c r="A12" s="1456" t="s">
        <v>1940</v>
      </c>
      <c r="C12" s="1224" t="s">
        <v>1769</v>
      </c>
      <c r="D12" s="1203"/>
      <c r="E12" s="1203" t="s">
        <v>1942</v>
      </c>
      <c r="F12" s="1227"/>
      <c r="G12" s="1365"/>
      <c r="H12" s="1366"/>
      <c r="I12" s="1366"/>
      <c r="J12" s="1212">
        <f ca="1">+J10+J11</f>
        <v>8.5897199999999998</v>
      </c>
      <c r="K12" s="1368"/>
      <c r="L12" s="3055">
        <f ca="1">OFFSET('VVP2'!$G$78,0,(COLUMN()-7)/5)</f>
        <v>8.7315890641321392</v>
      </c>
      <c r="M12" s="1212">
        <f ca="1">+J12*(1+L12/100)</f>
        <v>9.3397390521595707</v>
      </c>
      <c r="N12" s="1286">
        <f t="shared" ca="1" si="0"/>
        <v>13.674803339876092</v>
      </c>
      <c r="O12" s="1212">
        <f ca="1">+O10+O11</f>
        <v>10.61693</v>
      </c>
      <c r="P12" s="1230">
        <f t="shared" ca="1" si="1"/>
        <v>23.600420036974423</v>
      </c>
      <c r="Q12" s="3055">
        <f ca="1">OFFSET('VVP2'!$G$78,0,(COLUMN()-7)/5)</f>
        <v>12.364189774972644</v>
      </c>
      <c r="R12" s="1212">
        <f ca="1">+O12*(1+Q12/100)</f>
        <v>11.929627373476004</v>
      </c>
      <c r="S12" s="1286">
        <f t="shared" ca="1" si="2"/>
        <v>8.1816690158663476</v>
      </c>
      <c r="T12" s="1212">
        <f ca="1">+T10+T11</f>
        <v>12.905670000000001</v>
      </c>
      <c r="U12" s="1230">
        <f t="shared" ca="1" si="3"/>
        <v>21.557455874720844</v>
      </c>
      <c r="V12" s="3055">
        <f ca="1">OFFSET('VVP2'!$G$78,0,(COLUMN()-7)/5)</f>
        <v>8.1811693344814973</v>
      </c>
      <c r="W12" s="1212">
        <f ca="1">+T12*(1+V12/100)</f>
        <v>13.96150471644938</v>
      </c>
      <c r="X12" s="1286">
        <f t="shared" ca="1" si="4"/>
        <v>3.9053475583345545</v>
      </c>
      <c r="Y12" s="1212">
        <f ca="1">+Y10+Y11</f>
        <v>14.50675</v>
      </c>
      <c r="Z12" s="1230">
        <f t="shared" ca="1" si="5"/>
        <v>12.406019989663463</v>
      </c>
      <c r="AA12" s="3055">
        <f ca="1">OFFSET('VVP2'!$G$78,0,(COLUMN()-7)/5)</f>
        <v>-0.54899399010986949</v>
      </c>
      <c r="AB12" s="1212">
        <f ca="1">+Y12*(1+AA12/100)</f>
        <v>14.427108814339737</v>
      </c>
      <c r="AC12" s="1286">
        <f t="shared" ca="1" si="6"/>
        <v>-3.0903545545909168</v>
      </c>
      <c r="AD12" s="1212">
        <f ca="1">+AD10+AD11</f>
        <v>13.981260000000002</v>
      </c>
      <c r="AE12" s="1230">
        <f t="shared" ca="1" si="7"/>
        <v>-3.6223826839229867</v>
      </c>
      <c r="AF12" s="3055">
        <f ca="1">OFFSET('VVP2'!$G$78,0,(COLUMN()-7)/5)</f>
        <v>2.1352302754501729</v>
      </c>
      <c r="AG12" s="1212">
        <f ca="1">+AD12*(1+AF12/100)</f>
        <v>14.279792096409407</v>
      </c>
      <c r="AH12" s="1286">
        <f t="shared" ca="1" si="8"/>
        <v>-0.59568161661680108</v>
      </c>
      <c r="AI12" s="1212">
        <f ca="1">+AI10+AI11</f>
        <v>14.194729999999998</v>
      </c>
      <c r="AJ12" s="1230">
        <f t="shared" ca="1" si="9"/>
        <v>1.5268294846100927</v>
      </c>
      <c r="AK12" s="3055">
        <f ca="1">OFFSET('VVP2'!$G$78,0,(COLUMN()-7)/5)</f>
        <v>5.8216624566269415</v>
      </c>
      <c r="AL12" s="1212">
        <f ca="1">+AI12*(1+AK12/100)</f>
        <v>15.021099267229559</v>
      </c>
      <c r="AM12" s="1286">
        <f t="shared" ca="1" si="10"/>
        <v>-0.33858552110439177</v>
      </c>
      <c r="AN12" s="1212">
        <f ca="1">+AN10+AN11</f>
        <v>14.97024</v>
      </c>
      <c r="AO12" s="1230">
        <f t="shared" ca="1" si="11"/>
        <v>5.4633656293568311</v>
      </c>
      <c r="AP12" s="3055">
        <f ca="1">OFFSET('VVP2'!$G$78,0,(COLUMN()-7)/5)</f>
        <v>7.440821617341431</v>
      </c>
      <c r="AQ12" s="1212">
        <f ca="1">+AN12*(1+AP12/100)</f>
        <v>16.084148854087893</v>
      </c>
      <c r="AR12" s="1286">
        <f t="shared" ca="1" si="12"/>
        <v>-0.11905419591428767</v>
      </c>
      <c r="AS12" s="1212">
        <f ca="1">+AS10+AS11</f>
        <v>16.065000000000001</v>
      </c>
      <c r="AT12" s="1230">
        <f t="shared" ca="1" si="13"/>
        <v>7.3129088110811979</v>
      </c>
      <c r="AU12" s="3055">
        <f ca="1">OFFSET('VVP2'!$G$78,0,(COLUMN()-7)/5)</f>
        <v>10.412236395428343</v>
      </c>
      <c r="AV12" s="1212">
        <f ca="1">+AS12*(1+AU12/100)</f>
        <v>17.737725776925565</v>
      </c>
      <c r="AW12" s="1286">
        <f t="shared" ca="1" si="14"/>
        <v>-0.59041265065559401</v>
      </c>
      <c r="AX12" s="1212">
        <f ca="1">+AX10+AX11</f>
        <v>17.632999999999999</v>
      </c>
      <c r="AY12" s="1230">
        <f t="shared" ca="1" si="15"/>
        <v>9.7603485838779758</v>
      </c>
      <c r="AZ12" s="3055">
        <f ca="1">OFFSET('VVP2'!$G$78,0,(COLUMN()-7)/5)</f>
        <v>13.245904132630869</v>
      </c>
      <c r="BA12" s="1212">
        <f ca="1">+AX12*(1+AZ12/100)</f>
        <v>19.9686502757068</v>
      </c>
      <c r="BB12" s="1286">
        <f t="shared" ca="1" si="16"/>
        <v>-2.2409640588037263</v>
      </c>
      <c r="BC12" s="1212">
        <f ca="1">+BC10+BC11</f>
        <v>19.521159999999998</v>
      </c>
      <c r="BD12" s="1230">
        <f t="shared" ca="1" si="17"/>
        <v>10.708104122951291</v>
      </c>
      <c r="BE12" s="3055">
        <f ca="1">OFFSET('VVP2'!$G$78,0,(COLUMN()-7)/5)</f>
        <v>8.4682277151530538</v>
      </c>
      <c r="BF12" s="1212">
        <f ca="1">+BC12*(1+BE12/100)</f>
        <v>21.174256281439369</v>
      </c>
      <c r="BG12" s="1286">
        <f t="shared" ca="1" si="18"/>
        <v>6.3618466719959059</v>
      </c>
      <c r="BH12" s="1212">
        <f ca="1">+BH10+BH11</f>
        <v>22.521330000000003</v>
      </c>
      <c r="BI12" s="1230">
        <f t="shared" ca="1" si="19"/>
        <v>15.368810050222459</v>
      </c>
      <c r="BJ12" s="3055">
        <f ca="1">OFFSET('VVP2'!$G$78,0,(COLUMN()-7)/5)</f>
        <v>8.6791075610281645</v>
      </c>
      <c r="BK12" s="1212">
        <f ca="1">+BH12*(1+BJ12/100)</f>
        <v>24.475980454874108</v>
      </c>
      <c r="BL12" s="1286">
        <f t="shared" ca="1" si="20"/>
        <v>8.4760630894880507</v>
      </c>
      <c r="BM12" s="1212">
        <f ca="1">+BM10+BM11</f>
        <v>26.55058</v>
      </c>
      <c r="BN12" s="1230">
        <f t="shared" ca="1" si="21"/>
        <v>17.890817282993488</v>
      </c>
      <c r="BO12" s="3055">
        <f ca="1">OFFSET('VVP2'!$G$78,0,(COLUMN()-7)/5)</f>
        <v>14.911963092301983</v>
      </c>
      <c r="BP12" s="1212">
        <f ca="1">+BM12*(1+BO12/100)</f>
        <v>30.509792690392111</v>
      </c>
      <c r="BQ12" s="1286">
        <f t="shared" ca="1" si="22"/>
        <v>7.6775261417805041</v>
      </c>
      <c r="BR12" s="1212">
        <f ca="1">+BR10+BR11</f>
        <v>32.85219</v>
      </c>
      <c r="BS12" s="1230">
        <f t="shared" ca="1" si="23"/>
        <v>23.734359098746616</v>
      </c>
      <c r="BT12" s="3055">
        <f ca="1">OFFSET('VVP2'!$G$78,0,(COLUMN()-7)/5)</f>
        <v>3.1497179506880357</v>
      </c>
      <c r="BU12" s="1212">
        <f ca="1">+BR12*(1+BT12/100)</f>
        <v>33.886941325624143</v>
      </c>
      <c r="BV12" s="1286">
        <f t="shared" ca="1" si="24"/>
        <v>7.6511734991417057</v>
      </c>
      <c r="BW12" s="1212">
        <f ca="1">+BW10+BW11</f>
        <v>36.479689999999998</v>
      </c>
      <c r="BX12" s="1230">
        <f t="shared" ca="1" si="25"/>
        <v>11.041881834970502</v>
      </c>
      <c r="BY12" s="3055">
        <f ca="1">OFFSET('VVP2'!$G$78,0,(COLUMN()-7)/5)</f>
        <v>-23.969930755435144</v>
      </c>
      <c r="BZ12" s="1212">
        <f ca="1">+BW12*(1+BY12/100)</f>
        <v>27.735533567202602</v>
      </c>
      <c r="CA12" s="1286">
        <f t="shared" ca="1" si="26"/>
        <v>-1.2552978883893218</v>
      </c>
      <c r="CB12" s="1212">
        <f ca="1">+CB10+CB11</f>
        <v>27.387369999999997</v>
      </c>
      <c r="CC12" s="1230">
        <f t="shared" ca="1" si="27"/>
        <v>-24.924334609203104</v>
      </c>
      <c r="CD12" s="3055">
        <f ca="1">OFFSET('VVP2'!$G$78,0,(COLUMN()-7)/5)</f>
        <v>1.7828958003967443</v>
      </c>
      <c r="CE12" s="1212">
        <f ca="1">+CB12*(1+CD12/100)</f>
        <v>27.875658269569115</v>
      </c>
      <c r="CF12" s="1286">
        <f t="shared" ca="1" si="28"/>
        <v>2.4329891114043107</v>
      </c>
      <c r="CG12" s="1212">
        <f ca="1">+CG10+CG11</f>
        <v>28.553870000000007</v>
      </c>
      <c r="CH12" s="1230">
        <f t="shared" ca="1" si="29"/>
        <v>4.2592625724923838</v>
      </c>
      <c r="CI12" s="3055">
        <f ca="1">OFFSET('VVP2'!$G$78,0,(COLUMN()-7)/5)</f>
        <v>5.9533436273261797</v>
      </c>
      <c r="CJ12" s="1212">
        <f ca="1">+CG12*(1+CI12/100)</f>
        <v>30.25378000000001</v>
      </c>
      <c r="CK12" s="1286">
        <f t="shared" ca="1" si="30"/>
        <v>6.0131329043841504</v>
      </c>
      <c r="CL12" s="1212">
        <f ca="1">+CL10+CL11</f>
        <v>32.072980000000001</v>
      </c>
      <c r="CM12" s="1230">
        <f t="shared" ca="1" si="31"/>
        <v>12.324458996276144</v>
      </c>
      <c r="CN12" s="3055">
        <f ca="1">OFFSET('VVP2'!$G$78,0,(COLUMN()-7)/5)</f>
        <v>-0.30327952407929182</v>
      </c>
      <c r="CO12" s="1212">
        <f ca="1">+CL12*(1+CN12/100)</f>
        <v>31.975709218897954</v>
      </c>
      <c r="CP12" s="1286">
        <f t="shared" ca="1" si="32"/>
        <v>3.3960178136104275</v>
      </c>
      <c r="CQ12" s="1212">
        <f ca="1">+CQ10+CQ11</f>
        <v>33.061610000000002</v>
      </c>
      <c r="CR12" s="1230">
        <f t="shared" ca="1" si="33"/>
        <v>3.0824388628683641</v>
      </c>
      <c r="CS12" s="3055">
        <f ca="1">OFFSET('VVP2'!$G$78,0,(COLUMN()-7)/5)</f>
        <v>2.8348069403326015</v>
      </c>
      <c r="CT12" s="1212">
        <f ca="1">+CQ12*(1+CS12/100)</f>
        <v>33.998842814865696</v>
      </c>
      <c r="CU12" s="1286">
        <f t="shared" ca="1" si="34"/>
        <v>1.5399558978677277</v>
      </c>
      <c r="CV12" s="1212">
        <f ca="1">+CV10+CV11</f>
        <v>34.522410000000001</v>
      </c>
      <c r="CW12" s="1230">
        <f t="shared" ca="1" si="35"/>
        <v>4.4184176148711396</v>
      </c>
      <c r="CX12" s="3055">
        <f ca="1">OFFSET('VVP2'!$G$78,0,(COLUMN()-7)/5)</f>
        <v>3.3964905192808814</v>
      </c>
      <c r="CY12" s="1212">
        <f ca="1">+CV12*(1+CX12/100)</f>
        <v>35.694960382677273</v>
      </c>
      <c r="CZ12" s="1286">
        <f t="shared" ca="1" si="36"/>
        <v>0.31881144033417286</v>
      </c>
      <c r="DA12" s="1212">
        <f ca="1">+DA10+DA11</f>
        <v>35.808759999999999</v>
      </c>
      <c r="DB12" s="1230">
        <f t="shared" ca="1" si="37"/>
        <v>3.726130359960389</v>
      </c>
      <c r="DC12" s="3055">
        <f ca="1">OFFSET('VVP2'!$G$78,0,(COLUMN()-7)/5)</f>
        <v>7.3820736449621061</v>
      </c>
      <c r="DD12" s="1212">
        <f ca="1">+DA12*(1+DC12/100)</f>
        <v>38.452189034547729</v>
      </c>
      <c r="DE12" s="1286">
        <f t="shared" ca="1" si="38"/>
        <v>-2.2003663661061097</v>
      </c>
      <c r="DF12" s="1212">
        <f ca="1">+DF10+DF11</f>
        <v>37.606099999999998</v>
      </c>
      <c r="DG12" s="1230">
        <f t="shared" ca="1" si="39"/>
        <v>5.0192746132510457</v>
      </c>
      <c r="DH12" s="3055">
        <f ca="1">OFFSET('VVP2'!$G$78,0,(COLUMN()-7)/5)</f>
        <v>2.4057419875649355</v>
      </c>
      <c r="DI12" s="1212">
        <f ca="1">+DF12*(1+DH12/100)</f>
        <v>38.510805737585656</v>
      </c>
      <c r="DJ12" s="1286">
        <f t="shared" ca="1" si="40"/>
        <v>-0.88903810509346215</v>
      </c>
      <c r="DK12" s="1212">
        <f ca="1">+DK10+DK11</f>
        <v>38.168430000000001</v>
      </c>
      <c r="DL12" s="1230">
        <f t="shared" ca="1" si="41"/>
        <v>1.4953159194917909</v>
      </c>
      <c r="DM12" s="3407">
        <f ca="1">IF(UPPER($F$2)="Y",(DN12/DK12-1)*100,OFFSET('VVP2'!$G$78,0,(COLUMN()-7)/5))</f>
        <v>4.1357636126038155</v>
      </c>
      <c r="DN12" s="1212">
        <f ca="1">IF(UPPER($F$2)="Y",+DN10+DN11,DK12*(1+DM12/100))</f>
        <v>39.746986039442156</v>
      </c>
      <c r="DO12" s="3407">
        <f ca="1">+DP12/DN12*100-100</f>
        <v>2.9926599076057983</v>
      </c>
      <c r="DP12" s="1216">
        <f ca="1">+DP10+DP11</f>
        <v>40.936478155126217</v>
      </c>
      <c r="DQ12" s="1432">
        <f t="shared" ca="1" si="42"/>
        <v>7.2521928597173435</v>
      </c>
      <c r="DR12" s="3407">
        <f ca="1">IF(UPPER($F$2)="Y",(DS12/DP12-1)*100,OFFSET('VVP2'!$G$78,0,(COLUMN()-7)/5))</f>
        <v>3.8688071906934685</v>
      </c>
      <c r="DS12" s="1212">
        <f ca="1">IF(UPPER($F$2)="Y",+DS10+DS11,DP12*(1+DR12/100))</f>
        <v>42.520231565608398</v>
      </c>
      <c r="DT12" s="3407">
        <f ca="1">+DU12/DS12*100-100</f>
        <v>2.8149612126703119</v>
      </c>
      <c r="DU12" s="1216">
        <f ca="1">+DU10+DU11</f>
        <v>43.717159591717873</v>
      </c>
      <c r="DV12" s="1432">
        <f t="shared" ca="1" si="43"/>
        <v>6.7926738251747887</v>
      </c>
      <c r="DW12" s="3407">
        <f ca="1">IF(UPPER($F$2)="Y",(DX12/DU12-1)*100,OFFSET('VVP2'!$G$78,0,(COLUMN()-7)/5))</f>
        <v>3.2251750459442619</v>
      </c>
      <c r="DX12" s="1212">
        <f ca="1">IF(UPPER($F$2)="Y",+DX10+DX11,DU12*(1+DW12/100))</f>
        <v>45.127114513665589</v>
      </c>
      <c r="DY12" s="3407">
        <f ca="1">+DZ12/DX12*100-100</f>
        <v>2.4865783529652674</v>
      </c>
      <c r="DZ12" s="1216">
        <f ca="1">+DZ10+DZ11</f>
        <v>46.249235574480245</v>
      </c>
      <c r="EA12" s="1432">
        <f t="shared" ca="1" si="44"/>
        <v>5.7919499034472244</v>
      </c>
    </row>
    <row r="13" spans="1:145">
      <c r="C13" s="1224" t="s">
        <v>1767</v>
      </c>
      <c r="D13" s="1078"/>
      <c r="E13" s="1078" t="s">
        <v>1358</v>
      </c>
      <c r="F13" s="1077" t="s">
        <v>1590</v>
      </c>
      <c r="G13" s="1246"/>
      <c r="H13" s="1247"/>
      <c r="I13" s="1248"/>
      <c r="J13" s="1231">
        <f ca="1">OFFSET('VVP2'!$G$279,0,(COLUMN()-6)/5)</f>
        <v>2.8841000000000001</v>
      </c>
      <c r="K13" s="1249"/>
      <c r="L13" s="1213">
        <f ca="1">OFFSET('VVP2'!$G$89,0,(COLUMN()-7)/5)</f>
        <v>19.044528323428999</v>
      </c>
      <c r="M13" s="1236">
        <f ca="1">+J13*(1+L13/100)</f>
        <v>3.433363241376016</v>
      </c>
      <c r="N13" s="1285">
        <f t="shared" ca="1" si="0"/>
        <v>18.663820678850371</v>
      </c>
      <c r="O13" s="1231">
        <f ca="1">OFFSET('VVP2'!$G$279,0,(COLUMN()-10)/5)</f>
        <v>4.07416</v>
      </c>
      <c r="P13" s="1218">
        <f t="shared" ca="1" si="1"/>
        <v>41.262785617697027</v>
      </c>
      <c r="Q13" s="1213">
        <f ca="1">OFFSET('VVP2'!$G$89,0,(COLUMN()-7)/5)</f>
        <v>18.838320999906678</v>
      </c>
      <c r="R13" s="1236">
        <f ca="1">+O13*(1+Q13/100)</f>
        <v>4.8416633388497976</v>
      </c>
      <c r="S13" s="1285">
        <f t="shared" ca="1" si="2"/>
        <v>8.8892314692092356</v>
      </c>
      <c r="T13" s="1231">
        <f ca="1">OFFSET('VVP2'!$G$279,0,(COLUMN()-10)/5)</f>
        <v>5.2720500000000001</v>
      </c>
      <c r="U13" s="1218">
        <f t="shared" ca="1" si="3"/>
        <v>29.402134427710248</v>
      </c>
      <c r="V13" s="1213">
        <f ca="1">OFFSET('VVP2'!$G$89,0,(COLUMN()-7)/5)</f>
        <v>4.6592149170669783</v>
      </c>
      <c r="W13" s="1236">
        <f ca="1">+T13*(1+V13/100)</f>
        <v>5.5176861400352299</v>
      </c>
      <c r="X13" s="1285">
        <f t="shared" ca="1" si="4"/>
        <v>-7.6640122200305001</v>
      </c>
      <c r="Y13" s="1231">
        <f ca="1">OFFSET('VVP2'!$G$279,0,(COLUMN()-10)/5)</f>
        <v>5.0948100000000007</v>
      </c>
      <c r="Z13" s="1218">
        <f t="shared" ca="1" si="5"/>
        <v>-3.3618801035650181</v>
      </c>
      <c r="AA13" s="1213">
        <f ca="1">OFFSET('VVP2'!$G$89,0,(COLUMN()-7)/5)</f>
        <v>-16.372062303186162</v>
      </c>
      <c r="AB13" s="1236">
        <f ca="1">+Y13*(1+AA13/100)</f>
        <v>4.2606845325710418</v>
      </c>
      <c r="AC13" s="1285">
        <f t="shared" ca="1" si="6"/>
        <v>-3.2892492156999396</v>
      </c>
      <c r="AD13" s="1231">
        <f ca="1">OFFSET('VVP2'!$G$279,0,(COLUMN()-10)/5)</f>
        <v>4.1205400000000001</v>
      </c>
      <c r="AE13" s="1218">
        <f t="shared" ca="1" si="7"/>
        <v>-19.122793587984642</v>
      </c>
      <c r="AF13" s="1213">
        <f ca="1">OFFSET('VVP2'!$G$89,0,(COLUMN()-7)/5)</f>
        <v>9.5572088492080773</v>
      </c>
      <c r="AG13" s="1236">
        <f ca="1">+AD13*(1+AF13/100)</f>
        <v>4.5143486135151587</v>
      </c>
      <c r="AH13" s="1285">
        <f t="shared" ca="1" si="8"/>
        <v>14.143820983901904</v>
      </c>
      <c r="AI13" s="1231">
        <f ca="1">OFFSET('VVP2'!$G$279,0,(COLUMN()-10)/5)</f>
        <v>5.1528499999999999</v>
      </c>
      <c r="AJ13" s="1218">
        <f t="shared" ca="1" si="9"/>
        <v>25.052784343799605</v>
      </c>
      <c r="AK13" s="1213">
        <f ca="1">OFFSET('VVP2'!$G$89,0,(COLUMN()-7)/5)</f>
        <v>21.209135528019061</v>
      </c>
      <c r="AL13" s="1236">
        <f ca="1">+AI13*(1+AK13/100)</f>
        <v>6.2457249400555304</v>
      </c>
      <c r="AM13" s="1285">
        <f t="shared" ca="1" si="10"/>
        <v>9.4705738745147983E-2</v>
      </c>
      <c r="AN13" s="1231">
        <f ca="1">OFFSET('VVP2'!$G$279,0,(COLUMN()-10)/5)</f>
        <v>6.2516400000000001</v>
      </c>
      <c r="AO13" s="1218">
        <f t="shared" ca="1" si="11"/>
        <v>21.323927535247478</v>
      </c>
      <c r="AP13" s="1213">
        <f ca="1">OFFSET('VVP2'!$G$89,0,(COLUMN()-7)/5)</f>
        <v>18.611044650627086</v>
      </c>
      <c r="AQ13" s="1236">
        <f ca="1">+AN13*(1+AP13/100)</f>
        <v>7.4151355117964632</v>
      </c>
      <c r="AR13" s="1285">
        <f t="shared" ca="1" si="12"/>
        <v>-2.9413557102157739</v>
      </c>
      <c r="AS13" s="1231">
        <f ca="1">OFFSET('VVP2'!$G$279,0,(COLUMN()-10)/5)</f>
        <v>7.1970299999999998</v>
      </c>
      <c r="AT13" s="1218">
        <f t="shared" ca="1" si="13"/>
        <v>15.122271915849272</v>
      </c>
      <c r="AU13" s="1213">
        <f ca="1">OFFSET('VVP2'!$G$89,0,(COLUMN()-7)/5)</f>
        <v>8.4262028762699828</v>
      </c>
      <c r="AV13" s="1236">
        <f ca="1">+AS13*(1+AU13/100)</f>
        <v>7.8034663488660136</v>
      </c>
      <c r="AW13" s="1285">
        <f t="shared" ca="1" si="14"/>
        <v>-1.3798527994121628</v>
      </c>
      <c r="AX13" s="1231">
        <f ca="1">OFFSET('VVP2'!$G$279,0,(COLUMN()-10)/5)</f>
        <v>7.6957899999999997</v>
      </c>
      <c r="AY13" s="1218">
        <f t="shared" ca="1" si="15"/>
        <v>6.9300808805854652</v>
      </c>
      <c r="AZ13" s="1213">
        <f ca="1">OFFSET('VVP2'!$G$89,0,(COLUMN()-7)/5)</f>
        <v>3.994045959034831</v>
      </c>
      <c r="BA13" s="1236">
        <f ca="1">+AX13*(1+AZ13/100)</f>
        <v>8.0031633895108065</v>
      </c>
      <c r="BB13" s="1285">
        <f t="shared" ca="1" si="16"/>
        <v>7.8943360236434188</v>
      </c>
      <c r="BC13" s="1231">
        <f ca="1">OFFSET('VVP2'!$G$279,0,(COLUMN()-10)/5)</f>
        <v>8.6349599999999995</v>
      </c>
      <c r="BD13" s="1218">
        <f t="shared" ca="1" si="17"/>
        <v>12.203685391623221</v>
      </c>
      <c r="BE13" s="1213">
        <f ca="1">OFFSET('VVP2'!$G$89,0,(COLUMN()-7)/5)</f>
        <v>20.540314154987939</v>
      </c>
      <c r="BF13" s="1236">
        <f ca="1">+BC13*(1+BE13/100)</f>
        <v>10.408607911157546</v>
      </c>
      <c r="BG13" s="1285">
        <f t="shared" ca="1" si="18"/>
        <v>8.642194004427779</v>
      </c>
      <c r="BH13" s="1231">
        <f ca="1">OFFSET('VVP2'!$G$279,0,(COLUMN()-10)/5)</f>
        <v>11.30814</v>
      </c>
      <c r="BI13" s="1218">
        <f t="shared" ca="1" si="19"/>
        <v>30.957641957808725</v>
      </c>
      <c r="BJ13" s="1213">
        <f ca="1">OFFSET('VVP2'!$G$89,0,(COLUMN()-7)/5)</f>
        <v>12.644517254648502</v>
      </c>
      <c r="BK13" s="1236">
        <f ca="1">+BH13*(1+BJ13/100)</f>
        <v>12.737999713479809</v>
      </c>
      <c r="BL13" s="1285">
        <f t="shared" ca="1" si="20"/>
        <v>5.141311832713825</v>
      </c>
      <c r="BM13" s="1231">
        <f ca="1">OFFSET('VVP2'!$G$279,0,(COLUMN()-10)/5)</f>
        <v>13.392899999999999</v>
      </c>
      <c r="BN13" s="1218">
        <f t="shared" ca="1" si="21"/>
        <v>18.435923149165113</v>
      </c>
      <c r="BO13" s="1213">
        <f ca="1">OFFSET('VVP2'!$G$89,0,(COLUMN()-7)/5)</f>
        <v>3.1746642424419269</v>
      </c>
      <c r="BP13" s="1236">
        <f ca="1">+BM13*(1+BO13/100)</f>
        <v>13.818079607326004</v>
      </c>
      <c r="BQ13" s="1285">
        <f t="shared" ca="1" si="22"/>
        <v>5.8351841615278346</v>
      </c>
      <c r="BR13" s="1231">
        <f ca="1">OFFSET('VVP2'!$G$279,0,(COLUMN()-10)/5)</f>
        <v>14.62439</v>
      </c>
      <c r="BS13" s="1218">
        <f t="shared" ca="1" si="23"/>
        <v>9.1950959090264295</v>
      </c>
      <c r="BT13" s="1213">
        <f ca="1">OFFSET('VVP2'!$G$89,0,(COLUMN()-7)/5)</f>
        <v>13.507146939638858</v>
      </c>
      <c r="BU13" s="1236">
        <f ca="1">+BR13*(1+BT13/100)</f>
        <v>16.599727846325852</v>
      </c>
      <c r="BV13" s="1285">
        <f t="shared" ca="1" si="24"/>
        <v>12.546001795656593</v>
      </c>
      <c r="BW13" s="1231">
        <f ca="1">OFFSET('VVP2'!$G$279,0,(COLUMN()-10)/5)</f>
        <v>18.68233</v>
      </c>
      <c r="BX13" s="1218">
        <f t="shared" ca="1" si="25"/>
        <v>27.74775563288452</v>
      </c>
      <c r="BY13" s="1213">
        <f ca="1">OFFSET('VVP2'!$G$89,0,(COLUMN()-7)/5)</f>
        <v>-12.788626994744856</v>
      </c>
      <c r="BZ13" s="1236">
        <f ca="1">+BW13*(1+BY13/100)</f>
        <v>16.293116502372683</v>
      </c>
      <c r="CA13" s="1285">
        <f t="shared" ca="1" si="26"/>
        <v>-14.137175671930251</v>
      </c>
      <c r="CB13" s="1231">
        <f ca="1">OFFSET('VVP2'!$G$279,0,(COLUMN()-10)/5)</f>
        <v>13.98973</v>
      </c>
      <c r="CC13" s="1218">
        <f t="shared" ca="1" si="27"/>
        <v>-25.117852002400131</v>
      </c>
      <c r="CD13" s="1213">
        <f ca="1">OFFSET('VVP2'!$G$89,0,(COLUMN()-7)/5)</f>
        <v>18.942229444272328</v>
      </c>
      <c r="CE13" s="1236">
        <f ca="1">+CB13*(1+CD13/100)</f>
        <v>16.639696755234198</v>
      </c>
      <c r="CF13" s="1285">
        <f t="shared" ca="1" si="28"/>
        <v>10.061380741443912</v>
      </c>
      <c r="CG13" s="1231">
        <f ca="1">OFFSET('VVP2'!$G$279,0,(COLUMN()-10)/5)</f>
        <v>18.313880000000001</v>
      </c>
      <c r="CH13" s="1218">
        <f t="shared" ca="1" si="29"/>
        <v>30.909460011022372</v>
      </c>
      <c r="CI13" s="1213">
        <f ca="1">OFFSET('VVP2'!$G$89,0,(COLUMN()-7)/5)</f>
        <v>15.404381813138457</v>
      </c>
      <c r="CJ13" s="1236">
        <f ca="1">+CG13*(1+CI13/100)</f>
        <v>21.135020000000001</v>
      </c>
      <c r="CK13" s="1285">
        <f t="shared" ca="1" si="30"/>
        <v>10.977183839901741</v>
      </c>
      <c r="CL13" s="1231">
        <f ca="1">OFFSET('VVP2'!$G$279,0,(COLUMN()-10)/5)</f>
        <v>23.45505</v>
      </c>
      <c r="CM13" s="1218">
        <f t="shared" ca="1" si="31"/>
        <v>28.072532964068774</v>
      </c>
      <c r="CN13" s="1213">
        <f ca="1">OFFSET('VVP2'!$G$89,0,(COLUMN()-7)/5)</f>
        <v>12.388585390503515</v>
      </c>
      <c r="CO13" s="1236">
        <f ca="1">+CL13*(1+CN13/100)</f>
        <v>26.360798897635295</v>
      </c>
      <c r="CP13" s="1285">
        <f t="shared" ca="1" si="32"/>
        <v>3.259655011600529</v>
      </c>
      <c r="CQ13" s="1231">
        <f ca="1">OFFSET('VVP2'!$G$279,0,(COLUMN()-10)/5)</f>
        <v>27.22007</v>
      </c>
      <c r="CR13" s="1218">
        <f t="shared" ca="1" si="33"/>
        <v>16.052065546651995</v>
      </c>
      <c r="CS13" s="1213">
        <f ca="1">OFFSET('VVP2'!$G$89,0,(COLUMN()-7)/5)</f>
        <v>9.8597881982962718</v>
      </c>
      <c r="CT13" s="1236">
        <f ca="1">+CQ13*(1+CS13/100)</f>
        <v>29.903911249427985</v>
      </c>
      <c r="CU13" s="1285">
        <f t="shared" ca="1" si="34"/>
        <v>-1.7256647303548078</v>
      </c>
      <c r="CV13" s="1231">
        <f ca="1">OFFSET('VVP2'!$G$279,0,(COLUMN()-10)/5)</f>
        <v>29.387869999999999</v>
      </c>
      <c r="CW13" s="1218">
        <f t="shared" ca="1" si="35"/>
        <v>7.9639765805157747</v>
      </c>
      <c r="CX13" s="1213">
        <f ca="1">OFFSET('VVP2'!$G$89,0,(COLUMN()-7)/5)</f>
        <v>3.2687395240077022</v>
      </c>
      <c r="CY13" s="1236">
        <f ca="1">+CV13*(1+CX13/100)</f>
        <v>30.348482921954002</v>
      </c>
      <c r="CZ13" s="1285">
        <f t="shared" ca="1" si="36"/>
        <v>-2.2751151144181989</v>
      </c>
      <c r="DA13" s="1231">
        <f ca="1">OFFSET('VVP2'!$G$279,0,(COLUMN()-10)/5)</f>
        <v>29.65802</v>
      </c>
      <c r="DB13" s="1218">
        <f t="shared" ca="1" si="37"/>
        <v>0.91925682262783415</v>
      </c>
      <c r="DC13" s="1213">
        <f ca="1">OFFSET('VVP2'!$G$89,0,(COLUMN()-7)/5)</f>
        <v>-0.36250801068858918</v>
      </c>
      <c r="DD13" s="1236">
        <f ca="1">+DA13*(1+DC13/100)</f>
        <v>29.550507301688377</v>
      </c>
      <c r="DE13" s="1285">
        <f t="shared" ca="1" si="38"/>
        <v>-3.9503460626602447</v>
      </c>
      <c r="DF13" s="1231">
        <f ca="1">OFFSET('VVP2'!$G$279,0,(COLUMN()-10)/5)</f>
        <v>28.38316</v>
      </c>
      <c r="DG13" s="1218">
        <f t="shared" ca="1" si="39"/>
        <v>-4.2985337524217737</v>
      </c>
      <c r="DH13" s="1213">
        <f ca="1">OFFSET('VVP2'!$G$89,0,(COLUMN()-7)/5)</f>
        <v>3.4546238679988628</v>
      </c>
      <c r="DI13" s="1236">
        <f ca="1">+DF13*(1+DH13/100)</f>
        <v>29.363691419852305</v>
      </c>
      <c r="DJ13" s="1285">
        <f t="shared" ca="1" si="40"/>
        <v>-1.9567070489776768</v>
      </c>
      <c r="DK13" s="1231">
        <f ca="1">OFFSET('VVP2'!$G$279,0,(COLUMN()-10)/5)</f>
        <v>28.78913</v>
      </c>
      <c r="DL13" s="1218">
        <f t="shared" ca="1" si="41"/>
        <v>1.4303199502803787</v>
      </c>
      <c r="DM13" s="3409">
        <f ca="1">OFFSET('VVP2'!$G$89,0,(COLUMN()-7)/5)</f>
        <v>13.238477414180206</v>
      </c>
      <c r="DN13" s="1211">
        <f ca="1">+DK13*(1+DM13/100)</f>
        <v>32.600372472788976</v>
      </c>
      <c r="DO13" s="3406">
        <f ca="1">+DO88</f>
        <v>4.3947696442213413</v>
      </c>
      <c r="DP13" s="1208">
        <f ca="1">+DN13*(1+DO13/100)</f>
        <v>34.033083746126195</v>
      </c>
      <c r="DQ13" s="1397">
        <f t="shared" ca="1" si="42"/>
        <v>18.215047645157021</v>
      </c>
      <c r="DR13" s="3409">
        <f ca="1">+DR88</f>
        <v>5.5162869137066251</v>
      </c>
      <c r="DS13" s="1211">
        <f ca="1">+DP13*(1+DR13/100)</f>
        <v>35.910446291144574</v>
      </c>
      <c r="DT13" s="3406">
        <f ca="1">+DT88</f>
        <v>2.3491131709032516</v>
      </c>
      <c r="DU13" s="1208">
        <f ca="1">+DS13*(1+DT13/100)</f>
        <v>36.754023314699985</v>
      </c>
      <c r="DV13" s="1397">
        <f t="shared" ca="1" si="43"/>
        <v>7.9949839070445616</v>
      </c>
      <c r="DW13" s="3409">
        <f ca="1">+DW88</f>
        <v>4.424592787673598</v>
      </c>
      <c r="DX13" s="1211">
        <f ca="1">+DU13*(1+DW13/100)</f>
        <v>38.380239179462073</v>
      </c>
      <c r="DY13" s="3406">
        <f ca="1">+DY88</f>
        <v>2.0246105466469544</v>
      </c>
      <c r="DZ13" s="1208">
        <f ca="1">+DX13*(1+DY13/100)</f>
        <v>39.157289549717788</v>
      </c>
      <c r="EA13" s="1397">
        <f t="shared" ca="1" si="44"/>
        <v>6.5387841065459806</v>
      </c>
    </row>
    <row r="14" spans="1:145">
      <c r="A14" s="1456" t="s">
        <v>1940</v>
      </c>
      <c r="C14" s="1224" t="s">
        <v>1769</v>
      </c>
      <c r="D14" s="1203"/>
      <c r="E14" s="1203" t="s">
        <v>1359</v>
      </c>
      <c r="F14" s="1227"/>
      <c r="G14" s="1365"/>
      <c r="H14" s="1366"/>
      <c r="I14" s="1366"/>
      <c r="J14" s="1212">
        <f ca="1">+J12+J13</f>
        <v>11.47382</v>
      </c>
      <c r="K14" s="1368"/>
      <c r="L14" s="3055">
        <f ca="1">OFFSET('VVP2'!$G$100,0,(COLUMN()-7)/5)</f>
        <v>11.827125551478247</v>
      </c>
      <c r="M14" s="1212">
        <f ca="1">+J14*(1+L14/100)</f>
        <v>12.830843096950622</v>
      </c>
      <c r="N14" s="1286">
        <f t="shared" ca="1" si="0"/>
        <v>14.498243716279902</v>
      </c>
      <c r="O14" s="1212">
        <f ca="1">+O12+O13</f>
        <v>14.691089999999999</v>
      </c>
      <c r="P14" s="1230">
        <f t="shared" ca="1" si="1"/>
        <v>28.040094754841881</v>
      </c>
      <c r="Q14" s="3055">
        <f ca="1">OFFSET('VVP2'!$G$100,0,(COLUMN()-7)/5)</f>
        <v>14.400066740955108</v>
      </c>
      <c r="R14" s="1212">
        <f ca="1">+O14*(1+Q14/100)</f>
        <v>16.806616764973782</v>
      </c>
      <c r="S14" s="1286">
        <f t="shared" ca="1" si="2"/>
        <v>8.1581156647999364</v>
      </c>
      <c r="T14" s="1212">
        <f ca="1">+T12+T13</f>
        <v>18.177720000000001</v>
      </c>
      <c r="U14" s="1230">
        <f t="shared" ca="1" si="3"/>
        <v>23.73295650629057</v>
      </c>
      <c r="V14" s="3055">
        <f ca="1">OFFSET('VVP2'!$G$100,0,(COLUMN()-7)/5)</f>
        <v>7.0572290476035748</v>
      </c>
      <c r="W14" s="1212">
        <f ca="1">+T14*(1+V14/100)</f>
        <v>19.460563336032045</v>
      </c>
      <c r="X14" s="1286">
        <f t="shared" ca="1" si="4"/>
        <v>0.72452508970741292</v>
      </c>
      <c r="Y14" s="1212">
        <f ca="1">+Y12+Y13</f>
        <v>19.601559999999999</v>
      </c>
      <c r="Z14" s="1230">
        <f t="shared" ca="1" si="5"/>
        <v>7.8328855323990032</v>
      </c>
      <c r="AA14" s="3055">
        <f ca="1">OFFSET('VVP2'!$G$100,0,(COLUMN()-7)/5)</f>
        <v>-5.1118404805977846</v>
      </c>
      <c r="AB14" s="1212">
        <f ca="1">+Y14*(1+AA14/100)</f>
        <v>18.599559521091336</v>
      </c>
      <c r="AC14" s="1286">
        <f t="shared" ca="1" si="6"/>
        <v>-2.676189834102729</v>
      </c>
      <c r="AD14" s="1212">
        <f ca="1">+AD12+AD13</f>
        <v>18.101800000000004</v>
      </c>
      <c r="AE14" s="1230">
        <f t="shared" ca="1" si="7"/>
        <v>-7.6512277594232074</v>
      </c>
      <c r="AF14" s="3055">
        <f ca="1">OFFSET('VVP2'!$G$100,0,(COLUMN()-7)/5)</f>
        <v>4.0652448074415259</v>
      </c>
      <c r="AG14" s="1212">
        <f ca="1">+AD14*(1+AF14/100)</f>
        <v>18.837682484553454</v>
      </c>
      <c r="AH14" s="1286">
        <f t="shared" ca="1" si="8"/>
        <v>2.7067953601227259</v>
      </c>
      <c r="AI14" s="1212">
        <f ca="1">+AI12+AI13</f>
        <v>19.347579999999997</v>
      </c>
      <c r="AJ14" s="1230">
        <f t="shared" ca="1" si="9"/>
        <v>6.8820780253896929</v>
      </c>
      <c r="AK14" s="3055">
        <f ca="1">OFFSET('VVP2'!$G$100,0,(COLUMN()-7)/5)</f>
        <v>10.363782081855156</v>
      </c>
      <c r="AL14" s="1212">
        <f ca="1">+AI14*(1+AK14/100)</f>
        <v>21.352721029312587</v>
      </c>
      <c r="AM14" s="1286">
        <f t="shared" ca="1" si="10"/>
        <v>-0.61276044927937789</v>
      </c>
      <c r="AN14" s="1212">
        <f ca="1">+AN12+AN13</f>
        <v>21.221879999999999</v>
      </c>
      <c r="AO14" s="1230">
        <f t="shared" ca="1" si="11"/>
        <v>9.687516474928648</v>
      </c>
      <c r="AP14" s="3055">
        <f ca="1">OFFSET('VVP2'!$G$100,0,(COLUMN()-7)/5)</f>
        <v>11.010347557114763</v>
      </c>
      <c r="AQ14" s="1212">
        <f ca="1">+AN14*(1+AP14/100)</f>
        <v>23.558482746153825</v>
      </c>
      <c r="AR14" s="1286">
        <f t="shared" ca="1" si="12"/>
        <v>-1.2583694346879071</v>
      </c>
      <c r="AS14" s="1212">
        <f ca="1">+AS12+AS13</f>
        <v>23.262030000000003</v>
      </c>
      <c r="AT14" s="1230">
        <f t="shared" ca="1" si="13"/>
        <v>9.613427274115228</v>
      </c>
      <c r="AU14" s="3055">
        <f ca="1">OFFSET('VVP2'!$G$100,0,(COLUMN()-7)/5)</f>
        <v>9.7537199975804345</v>
      </c>
      <c r="AV14" s="1212">
        <f ca="1">+AS14*(1+AU14/100)</f>
        <v>25.530943271953163</v>
      </c>
      <c r="AW14" s="1286">
        <f t="shared" ca="1" si="14"/>
        <v>-0.79179711379970286</v>
      </c>
      <c r="AX14" s="1212">
        <f ca="1">+AX12+AX13</f>
        <v>25.328789999999998</v>
      </c>
      <c r="AY14" s="1230">
        <f t="shared" ca="1" si="15"/>
        <v>8.8846932103517915</v>
      </c>
      <c r="AZ14" s="3055">
        <f ca="1">OFFSET('VVP2'!$G$100,0,(COLUMN()-7)/5)</f>
        <v>10.234495684566735</v>
      </c>
      <c r="BA14" s="1212">
        <f ca="1">+AX14*(1+AZ14/100)</f>
        <v>27.92106391950297</v>
      </c>
      <c r="BB14" s="1286">
        <f t="shared" ca="1" si="16"/>
        <v>0.84185932590068546</v>
      </c>
      <c r="BC14" s="1212">
        <f ca="1">+BC12+BC13</f>
        <v>28.156119999999998</v>
      </c>
      <c r="BD14" s="1230">
        <f t="shared" ca="1" si="17"/>
        <v>11.162515066846868</v>
      </c>
      <c r="BE14" s="3055">
        <f ca="1">OFFSET('VVP2'!$G$100,0,(COLUMN()-7)/5)</f>
        <v>12.170512822147161</v>
      </c>
      <c r="BF14" s="1212">
        <f ca="1">+BC14*(1+BE14/100)</f>
        <v>31.582864194819138</v>
      </c>
      <c r="BG14" s="1286">
        <f t="shared" ca="1" si="18"/>
        <v>7.1133694250231798</v>
      </c>
      <c r="BH14" s="1212">
        <f ca="1">+BH12+BH13</f>
        <v>33.829470000000001</v>
      </c>
      <c r="BI14" s="1230">
        <f t="shared" ca="1" si="19"/>
        <v>20.149615785129505</v>
      </c>
      <c r="BJ14" s="3055">
        <f ca="1">OFFSET('VVP2'!$G$100,0,(COLUMN()-7)/5)</f>
        <v>10.004620343381166</v>
      </c>
      <c r="BK14" s="1212">
        <f ca="1">+BH14*(1+BJ14/100)</f>
        <v>37.213980037678027</v>
      </c>
      <c r="BL14" s="1286">
        <f t="shared" ca="1" si="20"/>
        <v>7.3346090892681701</v>
      </c>
      <c r="BM14" s="1212">
        <f ca="1">+BM12+BM13</f>
        <v>39.943480000000001</v>
      </c>
      <c r="BN14" s="1230">
        <f t="shared" ca="1" si="21"/>
        <v>18.073029225701731</v>
      </c>
      <c r="BO14" s="3055">
        <f ca="1">OFFSET('VVP2'!$G$100,0,(COLUMN()-7)/5)</f>
        <v>10.976490522052252</v>
      </c>
      <c r="BP14" s="1212">
        <f ca="1">+BM14*(1+BO14/100)</f>
        <v>44.327872296377841</v>
      </c>
      <c r="BQ14" s="1286">
        <f t="shared" ca="1" si="22"/>
        <v>7.1032231878168659</v>
      </c>
      <c r="BR14" s="1212">
        <f ca="1">+BR12+BR13</f>
        <v>47.476579999999998</v>
      </c>
      <c r="BS14" s="1230">
        <f t="shared" ca="1" si="23"/>
        <v>18.859398329840047</v>
      </c>
      <c r="BT14" s="3055">
        <f ca="1">OFFSET('VVP2'!$G$100,0,(COLUMN()-7)/5)</f>
        <v>6.3401551967141367</v>
      </c>
      <c r="BU14" s="1212">
        <f ca="1">+BR14*(1+BT14/100)</f>
        <v>50.486668854092144</v>
      </c>
      <c r="BV14" s="1286">
        <f t="shared" ca="1" si="24"/>
        <v>9.2605657137327739</v>
      </c>
      <c r="BW14" s="1212">
        <f ca="1">+BW12+BW13</f>
        <v>55.162019999999998</v>
      </c>
      <c r="BX14" s="1230">
        <f t="shared" ca="1" si="25"/>
        <v>16.187855148791265</v>
      </c>
      <c r="BY14" s="3055">
        <f ca="1">OFFSET('VVP2'!$G$100,0,(COLUMN()-7)/5)</f>
        <v>-20.183035920962645</v>
      </c>
      <c r="BZ14" s="1212">
        <f ca="1">+BW14*(1+BY14/100)</f>
        <v>44.0286496886714</v>
      </c>
      <c r="CA14" s="1286">
        <f t="shared" ca="1" si="26"/>
        <v>-6.0223279783064783</v>
      </c>
      <c r="CB14" s="1212">
        <f ca="1">+CB12+CB13</f>
        <v>41.377099999999999</v>
      </c>
      <c r="CC14" s="1230">
        <f t="shared" ca="1" si="27"/>
        <v>-24.989875280129336</v>
      </c>
      <c r="CD14" s="3055">
        <f ca="1">OFFSET('VVP2'!$G$100,0,(COLUMN()-7)/5)</f>
        <v>7.5845214624761237</v>
      </c>
      <c r="CE14" s="1212">
        <f ca="1">+CB14*(1+CD14/100)</f>
        <v>44.515355030050209</v>
      </c>
      <c r="CF14" s="1286">
        <f t="shared" ca="1" si="28"/>
        <v>5.2844573930991032</v>
      </c>
      <c r="CG14" s="1212">
        <f ca="1">+CG12+CG13</f>
        <v>46.867750000000008</v>
      </c>
      <c r="CH14" s="1230">
        <f t="shared" ca="1" si="29"/>
        <v>13.26977966073024</v>
      </c>
      <c r="CI14" s="3055">
        <f ca="1">OFFSET('VVP2'!$G$100,0,(COLUMN()-7)/5)</f>
        <v>9.6463986429901283</v>
      </c>
      <c r="CJ14" s="1212">
        <f ca="1">+CG14*(1+CI14/100)</f>
        <v>51.388800000000018</v>
      </c>
      <c r="CK14" s="1286">
        <f t="shared" ca="1" si="30"/>
        <v>8.0547317703468195</v>
      </c>
      <c r="CL14" s="1212">
        <f ca="1">+CL12+CL13</f>
        <v>55.528030000000001</v>
      </c>
      <c r="CM14" s="1230">
        <f t="shared" ca="1" si="31"/>
        <v>18.47812194952818</v>
      </c>
      <c r="CN14" s="3055">
        <f ca="1">OFFSET('VVP2'!$G$100,0,(COLUMN()-7)/5)</f>
        <v>5.0577675096519004</v>
      </c>
      <c r="CO14" s="1212">
        <f ca="1">+CL14*(1+CN14/100)</f>
        <v>58.336508660089763</v>
      </c>
      <c r="CP14" s="1286">
        <f t="shared" ca="1" si="32"/>
        <v>3.3343979346522019</v>
      </c>
      <c r="CQ14" s="1212">
        <f ca="1">+CQ12+CQ13</f>
        <v>60.281680000000001</v>
      </c>
      <c r="CR14" s="1230">
        <f t="shared" ca="1" si="33"/>
        <v>8.5608115396854423</v>
      </c>
      <c r="CS14" s="3055">
        <f ca="1">OFFSET('VVP2'!$G$100,0,(COLUMN()-7)/5)</f>
        <v>6.0069223963111984</v>
      </c>
      <c r="CT14" s="1212">
        <f ca="1">+CQ14*(1+CS14/100)</f>
        <v>63.902753736792647</v>
      </c>
      <c r="CU14" s="1286">
        <f t="shared" ca="1" si="34"/>
        <v>1.1777682129874734E-2</v>
      </c>
      <c r="CV14" s="1212">
        <f ca="1">+CV12+CV13</f>
        <v>63.91028</v>
      </c>
      <c r="CW14" s="1230">
        <f t="shared" ca="1" si="35"/>
        <v>6.0194075546666781</v>
      </c>
      <c r="CX14" s="3055">
        <f ca="1">OFFSET('VVP2'!$G$100,0,(COLUMN()-7)/5)</f>
        <v>3.3377467649213566</v>
      </c>
      <c r="CY14" s="1212">
        <f ca="1">+CV14*(1+CX14/100)</f>
        <v>66.043443303152188</v>
      </c>
      <c r="CZ14" s="1286">
        <f t="shared" ca="1" si="36"/>
        <v>-0.87315753738820945</v>
      </c>
      <c r="DA14" s="1212">
        <f ca="1">+DA12+DA13</f>
        <v>65.46678</v>
      </c>
      <c r="DB14" s="1230">
        <f t="shared" ca="1" si="37"/>
        <v>2.4354454400763004</v>
      </c>
      <c r="DC14" s="3055">
        <f ca="1">OFFSET('VVP2'!$G$100,0,(COLUMN()-7)/5)</f>
        <v>3.8735925824965767</v>
      </c>
      <c r="DD14" s="1212">
        <f ca="1">+DA14*(1+DC14/100)</f>
        <v>68.002696334079346</v>
      </c>
      <c r="DE14" s="1286">
        <f t="shared" ca="1" si="38"/>
        <v>-2.9608183831238932</v>
      </c>
      <c r="DF14" s="1212">
        <f ca="1">+DF12+DF13</f>
        <v>65.989260000000002</v>
      </c>
      <c r="DG14" s="1230">
        <f t="shared" ca="1" si="39"/>
        <v>0.79808415810278532</v>
      </c>
      <c r="DH14" s="3055">
        <f ca="1">OFFSET('VVP2'!$G$100,0,(COLUMN()-7)/5)</f>
        <v>2.8568848345463138</v>
      </c>
      <c r="DI14" s="1212">
        <f ca="1">+DF14*(1+DH14/100)</f>
        <v>67.874497161369334</v>
      </c>
      <c r="DJ14" s="1286">
        <f t="shared" ca="1" si="40"/>
        <v>-1.3509303195121163</v>
      </c>
      <c r="DK14" s="1212">
        <f ca="1">+DK12+DK13</f>
        <v>66.957560000000001</v>
      </c>
      <c r="DL14" s="1230">
        <f t="shared" ca="1" si="41"/>
        <v>1.4673599916107616</v>
      </c>
      <c r="DM14" s="3407">
        <f ca="1">OFFSET('VVP2'!$G$100,0,(COLUMN()-7)/5)</f>
        <v>7.6243958693458014</v>
      </c>
      <c r="DN14" s="1212">
        <f ca="1">IF(UPPER($F$2)="Y",+DN12+DN13,DK14*(1+DM14/100))</f>
        <v>72.347358512231125</v>
      </c>
      <c r="DO14" s="3407">
        <f ca="1">+DP14/DN14*100-100</f>
        <v>3.6244632049392038</v>
      </c>
      <c r="DP14" s="1216">
        <f ca="1">+DP12+DP13</f>
        <v>74.969561901252405</v>
      </c>
      <c r="DQ14" s="1432">
        <f t="shared" ca="1" si="42"/>
        <v>11.965791318041475</v>
      </c>
      <c r="DR14" s="3407">
        <f ca="1">IF(UPPER($F$2)="Y",(DS14/DP14-1)*100,OFFSET('VVP2'!$G$100,0,(COLUMN()-7)/5))</f>
        <v>4.6166949195453943</v>
      </c>
      <c r="DS14" s="1212">
        <f ca="1">IF(UPPER($F$2)="Y",+DS12+DS13,DP14*(1+DR14/100))</f>
        <v>78.430677856752965</v>
      </c>
      <c r="DT14" s="3407">
        <f ca="1">+DU14/DS14*100-100</f>
        <v>2.6016669821363791</v>
      </c>
      <c r="DU14" s="1216">
        <f ca="1">+DU12+DU13</f>
        <v>80.471182906417852</v>
      </c>
      <c r="DV14" s="1432">
        <f t="shared" ca="1" si="43"/>
        <v>7.3384729290695505</v>
      </c>
      <c r="DW14" s="3407">
        <f ca="1">IF(UPPER($F$2)="Y",(DX14/DU14-1)*100,OFFSET('VVP2'!$G$100,0,(COLUMN()-7)/5))</f>
        <v>3.7729913703898887</v>
      </c>
      <c r="DX14" s="1212">
        <f ca="1">IF(UPPER($F$2)="Y",+DX12+DX13,DU14*(1+DW14/100))</f>
        <v>83.507353693127669</v>
      </c>
      <c r="DY14" s="3407">
        <f ca="1">+DZ14/DX14*100-100</f>
        <v>2.2742565140423636</v>
      </c>
      <c r="DZ14" s="1216">
        <f ca="1">+DZ12+DZ13</f>
        <v>85.406525124198026</v>
      </c>
      <c r="EA14" s="1432">
        <f t="shared" ca="1" si="44"/>
        <v>6.1330553864476167</v>
      </c>
    </row>
    <row r="15" spans="1:145">
      <c r="C15" s="842" t="s">
        <v>401</v>
      </c>
      <c r="D15" s="1078"/>
      <c r="E15" s="1078" t="s">
        <v>1455</v>
      </c>
      <c r="F15" s="1077" t="s">
        <v>1591</v>
      </c>
      <c r="G15" s="1246"/>
      <c r="H15" s="1247"/>
      <c r="I15" s="1248"/>
      <c r="J15" s="1231">
        <f ca="1">OFFSET('VVP2'!$G$311,0,(COLUMN()-6)/5)</f>
        <v>3.7092899999999998</v>
      </c>
      <c r="K15" s="1249"/>
      <c r="L15" s="1213">
        <f ca="1">OFFSET('VVP2'!$G$111,0,(COLUMN()-7)/5)</f>
        <v>23.166175697902137</v>
      </c>
      <c r="M15" s="1236">
        <f ca="1">+J15*(1+L15/100)</f>
        <v>4.5685906385447135</v>
      </c>
      <c r="N15" s="1285">
        <f t="shared" ca="1" si="0"/>
        <v>8.9381910913638478</v>
      </c>
      <c r="O15" s="1231">
        <f ca="1">OFFSET('VVP2'!$G$311,0,(COLUMN()-10)/5)</f>
        <v>4.9769399999999999</v>
      </c>
      <c r="P15" s="1218">
        <f t="shared" ca="1" si="1"/>
        <v>34.175003841705553</v>
      </c>
      <c r="Q15" s="1213">
        <f ca="1">OFFSET('VVP2'!$G$111,0,(COLUMN()-7)/5)</f>
        <v>24.966294345254948</v>
      </c>
      <c r="R15" s="1236">
        <f ca="1">+O15*(1+Q15/100)</f>
        <v>6.2194974897867317</v>
      </c>
      <c r="S15" s="1285">
        <f t="shared" ca="1" si="2"/>
        <v>3.7604727809173539</v>
      </c>
      <c r="T15" s="1231">
        <f ca="1">OFFSET('VVP2'!$G$311,0,(COLUMN()-10)/5)</f>
        <v>6.4533800000000001</v>
      </c>
      <c r="U15" s="1218">
        <f t="shared" ca="1" si="3"/>
        <v>29.665617829429337</v>
      </c>
      <c r="V15" s="1213">
        <f ca="1">OFFSET('VVP2'!$G$111,0,(COLUMN()-7)/5)</f>
        <v>6.1402011527074141</v>
      </c>
      <c r="W15" s="1236">
        <f ca="1">+T15*(1+V15/100)</f>
        <v>6.8496305131485897</v>
      </c>
      <c r="X15" s="1285">
        <f t="shared" ca="1" si="4"/>
        <v>-3.9421179380443476</v>
      </c>
      <c r="Y15" s="1231">
        <f ca="1">OFFSET('VVP2'!$G$311,0,(COLUMN()-10)/5)</f>
        <v>6.5796099999999997</v>
      </c>
      <c r="Z15" s="1218">
        <f t="shared" ca="1" si="5"/>
        <v>1.9560292435901738</v>
      </c>
      <c r="AA15" s="1213">
        <f ca="1">OFFSET('VVP2'!$G$111,0,(COLUMN()-7)/5)</f>
        <v>-12.351269284311128</v>
      </c>
      <c r="AB15" s="1236">
        <f ca="1">+Y15*(1+AA15/100)</f>
        <v>5.766944651042536</v>
      </c>
      <c r="AC15" s="1285">
        <f t="shared" ca="1" si="6"/>
        <v>-6.5413260204316401</v>
      </c>
      <c r="AD15" s="1231">
        <f ca="1">OFFSET('VVP2'!$G$311,0,(COLUMN()-10)/5)</f>
        <v>5.38971</v>
      </c>
      <c r="AE15" s="1218">
        <f t="shared" ca="1" si="7"/>
        <v>-18.084658513194551</v>
      </c>
      <c r="AF15" s="1213">
        <f ca="1">OFFSET('VVP2'!$G$111,0,(COLUMN()-7)/5)</f>
        <v>4.9760726387508836</v>
      </c>
      <c r="AG15" s="1236">
        <f ca="1">+AD15*(1+AF15/100)</f>
        <v>5.6579058846180201</v>
      </c>
      <c r="AH15" s="1285">
        <f t="shared" ca="1" si="8"/>
        <v>5.6822103785080031</v>
      </c>
      <c r="AI15" s="1231">
        <f ca="1">OFFSET('VVP2'!$G$311,0,(COLUMN()-10)/5)</f>
        <v>5.9794</v>
      </c>
      <c r="AJ15" s="1218">
        <f t="shared" ca="1" si="9"/>
        <v>10.941033933180089</v>
      </c>
      <c r="AK15" s="1213">
        <f ca="1">OFFSET('VVP2'!$G$111,0,(COLUMN()-7)/5)</f>
        <v>17.576290385742467</v>
      </c>
      <c r="AL15" s="1236">
        <f ca="1">+AI15*(1+AK15/100)</f>
        <v>7.030356707325085</v>
      </c>
      <c r="AM15" s="1285">
        <f t="shared" ca="1" si="10"/>
        <v>-4.262525288315544E-2</v>
      </c>
      <c r="AN15" s="1231">
        <f ca="1">OFFSET('VVP2'!$G$311,0,(COLUMN()-10)/5)</f>
        <v>7.0273599999999998</v>
      </c>
      <c r="AO15" s="1218">
        <f t="shared" ca="1" si="11"/>
        <v>17.526173194634922</v>
      </c>
      <c r="AP15" s="1213">
        <f ca="1">OFFSET('VVP2'!$G$111,0,(COLUMN()-7)/5)</f>
        <v>18.582320452280499</v>
      </c>
      <c r="AQ15" s="1236">
        <f ca="1">+AN15*(1+AP15/100)</f>
        <v>8.3332065545353782</v>
      </c>
      <c r="AR15" s="1285">
        <f t="shared" ca="1" si="12"/>
        <v>-3.2803285595579297</v>
      </c>
      <c r="AS15" s="1231">
        <f ca="1">OFFSET('VVP2'!$G$311,0,(COLUMN()-10)/5)</f>
        <v>8.0598500000000008</v>
      </c>
      <c r="AT15" s="1218">
        <f t="shared" ca="1" si="13"/>
        <v>14.692430727897833</v>
      </c>
      <c r="AU15" s="1213">
        <f ca="1">OFFSET('VVP2'!$G$111,0,(COLUMN()-7)/5)</f>
        <v>8.8562930633370165</v>
      </c>
      <c r="AV15" s="1236">
        <f ca="1">+AS15*(1+AU15/100)</f>
        <v>8.7736539364653687</v>
      </c>
      <c r="AW15" s="1285">
        <f t="shared" ca="1" si="14"/>
        <v>-1.2917529832619152</v>
      </c>
      <c r="AX15" s="1231">
        <f ca="1">OFFSET('VVP2'!$G$311,0,(COLUMN()-10)/5)</f>
        <v>8.6603200000000005</v>
      </c>
      <c r="AY15" s="1218">
        <f t="shared" ca="1" si="15"/>
        <v>7.4501386502230149</v>
      </c>
      <c r="AZ15" s="1213">
        <f ca="1">OFFSET('VVP2'!$G$111,0,(COLUMN()-7)/5)</f>
        <v>15.140289710799216</v>
      </c>
      <c r="BA15" s="1236">
        <f ca="1">+AX15*(1+AZ15/100)</f>
        <v>9.9715175378822867</v>
      </c>
      <c r="BB15" s="1285">
        <f t="shared" ca="1" si="16"/>
        <v>-0.53279290419391145</v>
      </c>
      <c r="BC15" s="1231">
        <f ca="1">OFFSET('VVP2'!$G$311,0,(COLUMN()-10)/5)</f>
        <v>9.9183899999999987</v>
      </c>
      <c r="BD15" s="1218">
        <f t="shared" ca="1" si="17"/>
        <v>14.526830417351766</v>
      </c>
      <c r="BE15" s="1213">
        <f ca="1">OFFSET('VVP2'!$G$111,0,(COLUMN()-7)/5)</f>
        <v>20.340344313524227</v>
      </c>
      <c r="BF15" s="1236">
        <f ca="1">+BC15*(1+BE15/100)</f>
        <v>11.935824676358154</v>
      </c>
      <c r="BG15" s="1285">
        <f t="shared" ca="1" si="18"/>
        <v>7.4673962445785236</v>
      </c>
      <c r="BH15" s="1231">
        <f ca="1">OFFSET('VVP2'!$G$311,0,(COLUMN()-10)/5)</f>
        <v>12.827120000000001</v>
      </c>
      <c r="BI15" s="1218">
        <f t="shared" ca="1" si="19"/>
        <v>29.326634665505203</v>
      </c>
      <c r="BJ15" s="1213">
        <f ca="1">OFFSET('VVP2'!$G$111,0,(COLUMN()-7)/5)</f>
        <v>14.258666950116105</v>
      </c>
      <c r="BK15" s="1236">
        <f ca="1">+BH15*(1+BJ15/100)</f>
        <v>14.656096320091734</v>
      </c>
      <c r="BL15" s="1285">
        <f t="shared" ca="1" si="20"/>
        <v>8.2437618689224195</v>
      </c>
      <c r="BM15" s="1231">
        <f ca="1">OFFSET('VVP2'!$G$311,0,(COLUMN()-10)/5)</f>
        <v>15.86431</v>
      </c>
      <c r="BN15" s="1218">
        <f t="shared" ca="1" si="21"/>
        <v>23.677879368088849</v>
      </c>
      <c r="BO15" s="1213">
        <f ca="1">OFFSET('VVP2'!$G$111,0,(COLUMN()-7)/5)</f>
        <v>10.808883185624163</v>
      </c>
      <c r="BP15" s="1236">
        <f ca="1">+BM15*(1+BO15/100)</f>
        <v>17.579064736105291</v>
      </c>
      <c r="BQ15" s="1285">
        <f t="shared" ca="1" si="22"/>
        <v>4.8742938077634506</v>
      </c>
      <c r="BR15" s="1231">
        <f ca="1">OFFSET('VVP2'!$G$311,0,(COLUMN()-10)/5)</f>
        <v>18.435919999999999</v>
      </c>
      <c r="BS15" s="1218">
        <f t="shared" ca="1" si="23"/>
        <v>16.210033717192871</v>
      </c>
      <c r="BT15" s="1213">
        <f ca="1">OFFSET('VVP2'!$G$111,0,(COLUMN()-7)/5)</f>
        <v>12.187524486682811</v>
      </c>
      <c r="BU15" s="1236">
        <f ca="1">+BR15*(1+BT15/100)</f>
        <v>20.682802264345252</v>
      </c>
      <c r="BV15" s="1285">
        <f t="shared" ca="1" si="24"/>
        <v>8.6204360166820493</v>
      </c>
      <c r="BW15" s="1231">
        <f ca="1">OFFSET('VVP2'!$G$311,0,(COLUMN()-10)/5)</f>
        <v>22.46575</v>
      </c>
      <c r="BX15" s="1218">
        <f t="shared" ca="1" si="25"/>
        <v>21.858578253756811</v>
      </c>
      <c r="BY15" s="1213">
        <f ca="1">OFFSET('VVP2'!$G$111,0,(COLUMN()-7)/5)</f>
        <v>-27.996827041084281</v>
      </c>
      <c r="BZ15" s="1236">
        <f ca="1">+BW15*(1+BY15/100)</f>
        <v>16.176052829017607</v>
      </c>
      <c r="CA15" s="1285">
        <f t="shared" ca="1" si="26"/>
        <v>-10.718145194898582</v>
      </c>
      <c r="CB15" s="1231">
        <f ca="1">OFFSET('VVP2'!$G$311,0,(COLUMN()-10)/5)</f>
        <v>14.44228</v>
      </c>
      <c r="CC15" s="1218">
        <f t="shared" ca="1" si="27"/>
        <v>-35.714231663754823</v>
      </c>
      <c r="CD15" s="1213">
        <f ca="1">OFFSET('VVP2'!$G$111,0,(COLUMN()-7)/5)</f>
        <v>18.671378225417847</v>
      </c>
      <c r="CE15" s="1236">
        <f ca="1">+CB15*(1+CD15/100)</f>
        <v>17.138852723173876</v>
      </c>
      <c r="CF15" s="1285">
        <f t="shared" ca="1" si="28"/>
        <v>9.9262027879254617</v>
      </c>
      <c r="CG15" s="1231">
        <f ca="1">OFFSET('VVP2'!$G$311,0,(COLUMN()-10)/5)</f>
        <v>18.84009</v>
      </c>
      <c r="CH15" s="1218">
        <f t="shared" ca="1" si="29"/>
        <v>30.450939879298833</v>
      </c>
      <c r="CI15" s="1213">
        <f ca="1">OFFSET('VVP2'!$G$111,0,(COLUMN()-7)/5)</f>
        <v>15.006828523642945</v>
      </c>
      <c r="CJ15" s="1236">
        <f ca="1">+CG15*(1+CI15/100)</f>
        <v>21.667390000000001</v>
      </c>
      <c r="CK15" s="1285">
        <f t="shared" ca="1" si="30"/>
        <v>11.931847813696066</v>
      </c>
      <c r="CL15" s="1231">
        <f ca="1">OFFSET('VVP2'!$G$311,0,(COLUMN()-10)/5)</f>
        <v>24.25271</v>
      </c>
      <c r="CM15" s="1218">
        <f t="shared" ca="1" si="31"/>
        <v>28.729268278442397</v>
      </c>
      <c r="CN15" s="1213">
        <f ca="1">OFFSET('VVP2'!$G$111,0,(COLUMN()-7)/5)</f>
        <v>6.6449627758580876</v>
      </c>
      <c r="CO15" s="1236">
        <f ca="1">+CL15*(1+CN15/100)</f>
        <v>25.864293551636813</v>
      </c>
      <c r="CP15" s="1285">
        <f t="shared" ca="1" si="32"/>
        <v>4.132788108939252</v>
      </c>
      <c r="CQ15" s="1231">
        <f ca="1">OFFSET('VVP2'!$G$311,0,(COLUMN()-10)/5)</f>
        <v>26.933209999999999</v>
      </c>
      <c r="CR15" s="1218">
        <f t="shared" ca="1" si="33"/>
        <v>11.052373116241432</v>
      </c>
      <c r="CS15" s="1213">
        <f ca="1">OFFSET('VVP2'!$G$111,0,(COLUMN()-7)/5)</f>
        <v>9.1127519671375001</v>
      </c>
      <c r="CT15" s="1236">
        <f ca="1">+CQ15*(1+CS15/100)</f>
        <v>29.387566624088272</v>
      </c>
      <c r="CU15" s="1285">
        <f t="shared" ca="1" si="34"/>
        <v>-1.4868417983614819</v>
      </c>
      <c r="CV15" s="1231">
        <f ca="1">OFFSET('VVP2'!$G$311,0,(COLUMN()-10)/5)</f>
        <v>28.950620000000001</v>
      </c>
      <c r="CW15" s="1218">
        <f t="shared" ca="1" si="35"/>
        <v>7.4904179635476131</v>
      </c>
      <c r="CX15" s="1213">
        <f ca="1">OFFSET('VVP2'!$G$111,0,(COLUMN()-7)/5)</f>
        <v>3.0964332515761805</v>
      </c>
      <c r="CY15" s="1236">
        <f ca="1">+CV15*(1+CX15/100)</f>
        <v>29.847056624217466</v>
      </c>
      <c r="CZ15" s="1285">
        <f t="shared" ca="1" si="36"/>
        <v>-3.1780575088527314</v>
      </c>
      <c r="DA15" s="1231">
        <f ca="1">OFFSET('VVP2'!$G$311,0,(COLUMN()-10)/5)</f>
        <v>28.898499999999999</v>
      </c>
      <c r="DB15" s="1218">
        <f t="shared" ca="1" si="37"/>
        <v>-0.18003068673486666</v>
      </c>
      <c r="DC15" s="1213">
        <f ca="1">OFFSET('VVP2'!$G$111,0,(COLUMN()-7)/5)</f>
        <v>6.2006079962821703</v>
      </c>
      <c r="DD15" s="1236">
        <f ca="1">+DA15*(1+DC15/100)</f>
        <v>30.6903827018056</v>
      </c>
      <c r="DE15" s="1285">
        <f t="shared" ca="1" si="38"/>
        <v>-6.9328972612662199</v>
      </c>
      <c r="DF15" s="1231">
        <f ca="1">OFFSET('VVP2'!$G$311,0,(COLUMN()-10)/5)</f>
        <v>28.562650000000001</v>
      </c>
      <c r="DG15" s="1218">
        <f t="shared" ca="1" si="39"/>
        <v>-1.1621710469401414</v>
      </c>
      <c r="DH15" s="1213">
        <f ca="1">OFFSET('VVP2'!$G$111,0,(COLUMN()-7)/5)</f>
        <v>3.5277957090910528</v>
      </c>
      <c r="DI15" s="1236">
        <f ca="1">+DF15*(1+DH15/100)</f>
        <v>29.570281941102696</v>
      </c>
      <c r="DJ15" s="1285">
        <f t="shared" ca="1" si="40"/>
        <v>-4.3322276860743472</v>
      </c>
      <c r="DK15" s="1231">
        <f ca="1">OFFSET('VVP2'!$G$311,0,(COLUMN()-10)/5)</f>
        <v>28.28923</v>
      </c>
      <c r="DL15" s="1218">
        <f t="shared" ca="1" si="41"/>
        <v>-0.95726411940069145</v>
      </c>
      <c r="DM15" s="3406">
        <f ca="1">OFFSET('VVP2'!$G$111,0,(COLUMN()-7)/5)</f>
        <v>12.812325047587048</v>
      </c>
      <c r="DN15" s="1211">
        <f ca="1">+DK15*(1+DM15/100)</f>
        <v>31.913738101059508</v>
      </c>
      <c r="DO15" s="3406">
        <f ca="1">+DO103</f>
        <v>3.9989640315824033</v>
      </c>
      <c r="DP15" s="1208">
        <f ca="1">+DN15*(1+DO15/100)</f>
        <v>33.189957008854286</v>
      </c>
      <c r="DQ15" s="1397">
        <f t="shared" ca="1" si="42"/>
        <v>17.323649349431868</v>
      </c>
      <c r="DR15" s="3406">
        <f ca="1">+DR103</f>
        <v>6.4999999999999725</v>
      </c>
      <c r="DS15" s="1211">
        <f ca="1">+DP15*(1+DR15/100)</f>
        <v>35.347304214429805</v>
      </c>
      <c r="DT15" s="3406">
        <f ca="1">+DT103</f>
        <v>2.5809897029101592</v>
      </c>
      <c r="DU15" s="1208">
        <f ca="1">+DS15*(1+DT15/100)</f>
        <v>36.259614496460571</v>
      </c>
      <c r="DV15" s="1397">
        <f t="shared" ca="1" si="43"/>
        <v>9.2487540335993046</v>
      </c>
      <c r="DW15" s="3406">
        <f ca="1">+DW103</f>
        <v>5.1512076881462754</v>
      </c>
      <c r="DX15" s="1211">
        <f ca="1">+DU15*(1+DW15/100)</f>
        <v>38.127422546094451</v>
      </c>
      <c r="DY15" s="3406">
        <f ca="1">+DY103</f>
        <v>1.581126243910802</v>
      </c>
      <c r="DZ15" s="1208">
        <f ca="1">+DX15*(1+DY15/100)</f>
        <v>38.730265230097515</v>
      </c>
      <c r="EA15" s="1397">
        <f t="shared" ca="1" si="44"/>
        <v>6.8137810286927225</v>
      </c>
    </row>
    <row r="16" spans="1:145">
      <c r="A16" s="2857" t="s">
        <v>903</v>
      </c>
      <c r="B16" s="1"/>
      <c r="C16" s="1082" t="s">
        <v>1769</v>
      </c>
      <c r="D16" s="1086"/>
      <c r="E16" s="1087" t="s">
        <v>1294</v>
      </c>
      <c r="F16" s="1089"/>
      <c r="G16" s="1376"/>
      <c r="H16" s="1377"/>
      <c r="I16" s="1378"/>
      <c r="J16" s="1349">
        <f ca="1">+J17-J14+J15</f>
        <v>0</v>
      </c>
      <c r="K16" s="1379"/>
      <c r="L16" s="1355" t="e">
        <f ca="1">IF(UPPER($F$2)="Y",M16/J16*100-100,OFFSET('VVP2'!$G$130,0,(COLUMN()-7)/5))</f>
        <v>#DIV/0!</v>
      </c>
      <c r="M16" s="1349">
        <f ca="1">IF(UPPER($F$2)="Y",M17-M14+M15,J16*(1+L16/100))</f>
        <v>-9.0924888565850459E-2</v>
      </c>
      <c r="N16" s="1356">
        <f ca="1">+O16/M16*100-100</f>
        <v>-100</v>
      </c>
      <c r="O16" s="1349">
        <f ca="1">+O17-O14+O15</f>
        <v>0</v>
      </c>
      <c r="P16" s="1357" t="e">
        <f ca="1">(O16/J16-1)*100</f>
        <v>#DIV/0!</v>
      </c>
      <c r="Q16" s="1355" t="e">
        <f ca="1">IF(UPPER($F$2)="Y",R16/O16*100-100,OFFSET('VVP2'!$G$130,0,(COLUMN()-7)/5))</f>
        <v>#DIV/0!</v>
      </c>
      <c r="R16" s="1349">
        <f ca="1">IF(UPPER($F$2)="Y",R17-R14+R15,O16*(1+Q16/100))</f>
        <v>-8.2214072632690538E-2</v>
      </c>
      <c r="S16" s="1356">
        <f ca="1">+T16/R16*100-100</f>
        <v>-100</v>
      </c>
      <c r="T16" s="1349">
        <f ca="1">+T17-T14+T15</f>
        <v>0</v>
      </c>
      <c r="U16" s="1357" t="e">
        <f ca="1">(T16/O16-1)*100</f>
        <v>#DIV/0!</v>
      </c>
      <c r="V16" s="1355" t="e">
        <f ca="1">IF(UPPER($F$2)="Y",W16/T16*100-100,OFFSET('VVP2'!$G$130,0,(COLUMN()-7)/5))</f>
        <v>#DIV/0!</v>
      </c>
      <c r="W16" s="1349">
        <f ca="1">IF(UPPER($F$2)="Y",W17-W14+W15,T16*(1+V16/100))</f>
        <v>7.1921567478874238E-3</v>
      </c>
      <c r="X16" s="1356">
        <f ca="1">+Y16/W16*100-100</f>
        <v>-99.860959648808446</v>
      </c>
      <c r="Y16" s="1349">
        <f ca="1">+Y17-Y14+Y15</f>
        <v>1.0000000000509601E-5</v>
      </c>
      <c r="Z16" s="1357" t="e">
        <f ca="1">(Y16/T16-1)*100</f>
        <v>#DIV/0!</v>
      </c>
      <c r="AA16" s="1355">
        <f ca="1">IF(UPPER($F$2)="Y",AB16/Y16*100-100,OFFSET('VVP2'!$G$130,0,(COLUMN()-7)/5))</f>
        <v>563160.20352626778</v>
      </c>
      <c r="AB16" s="1349">
        <f ca="1">IF(UPPER($F$2)="Y",AB17-AB14+AB15,Y16*(1+AA16/100))</f>
        <v>5.6326020355497164E-2</v>
      </c>
      <c r="AC16" s="1356">
        <f ca="1">+AD16/AB16*100-100</f>
        <v>-100.01775378402547</v>
      </c>
      <c r="AD16" s="1349">
        <f ca="1">+AD17-AD14+AD15</f>
        <v>-1.0000000004062315E-5</v>
      </c>
      <c r="AE16" s="1357">
        <f ca="1">(AD16/Y16-1)*100</f>
        <v>-200.00000003552714</v>
      </c>
      <c r="AF16" s="1355">
        <f ca="1">IF(UPPER($F$2)="Y",AG16/AD16*100-100,OFFSET('VVP2'!$G$130,0,(COLUMN()-7)/5))</f>
        <v>73329.339351531889</v>
      </c>
      <c r="AG16" s="1349">
        <f ca="1">IF(UPPER($F$2)="Y",AG17-AG14+AG15,AD16*(1+AF16/100))</f>
        <v>-7.3429339381361203E-3</v>
      </c>
      <c r="AH16" s="1356">
        <f ca="1">+AI16/AG16*100-100</f>
        <v>-100</v>
      </c>
      <c r="AI16" s="1349">
        <f ca="1">+AI17-AI14+AI15</f>
        <v>0</v>
      </c>
      <c r="AJ16" s="1357">
        <f ca="1">(AI16/AD16-1)*100</f>
        <v>-100</v>
      </c>
      <c r="AK16" s="1355" t="e">
        <f ca="1">IF(UPPER($F$2)="Y",AL16/AI16*100-100,OFFSET('VVP2'!$G$130,0,(COLUMN()-7)/5))</f>
        <v>#DIV/0!</v>
      </c>
      <c r="AL16" s="1349">
        <f ca="1">IF(UPPER($F$2)="Y",AL17-AL14+AL15,AI16*(1+AK16/100))</f>
        <v>-5.8568950933242547E-2</v>
      </c>
      <c r="AM16" s="1356">
        <f ca="1">+AN16/AL16*100-100</f>
        <v>-100</v>
      </c>
      <c r="AN16" s="1349">
        <f ca="1">+AN17-AN14+AN15</f>
        <v>0</v>
      </c>
      <c r="AO16" s="1357" t="e">
        <f ca="1">(AN16/AI16-1)*100</f>
        <v>#DIV/0!</v>
      </c>
      <c r="AP16" s="1355" t="e">
        <f ca="1">IF(UPPER($F$2)="Y",AQ16/AN16*100-100,OFFSET('VVP2'!$G$130,0,(COLUMN()-7)/5))</f>
        <v>#DIV/0!</v>
      </c>
      <c r="AQ16" s="1349">
        <f ca="1">IF(UPPER($F$2)="Y",AQ17-AQ14+AQ15,AN16*(1+AP16/100))</f>
        <v>-6.0135268811675857E-2</v>
      </c>
      <c r="AR16" s="1356">
        <f ca="1">+AS16/AQ16*100-100</f>
        <v>-99.983370823480115</v>
      </c>
      <c r="AS16" s="1349">
        <f ca="1">+AS17-AS14+AS15</f>
        <v>-1.000000000139778E-5</v>
      </c>
      <c r="AT16" s="1357" t="e">
        <f ca="1">(AS16/AN16-1)*100</f>
        <v>#DIV/0!</v>
      </c>
      <c r="AU16" s="1355">
        <f ca="1">IF(UPPER($F$2)="Y",AV16/AS16*100-100,OFFSET('VVP2'!$G$130,0,(COLUMN()-7)/5))</f>
        <v>-70485.311378411905</v>
      </c>
      <c r="AV16" s="1349">
        <f ca="1">IF(UPPER($F$2)="Y",AV17-AV14+AV15,AS16*(1+AU16/100))</f>
        <v>7.0385311388250216E-3</v>
      </c>
      <c r="AW16" s="1356">
        <f ca="1">+AX16/AV16*100-100</f>
        <v>-99.857924902168335</v>
      </c>
      <c r="AX16" s="1349">
        <f ca="1">+AX17-AX14+AX15</f>
        <v>1.000000000139778E-5</v>
      </c>
      <c r="AY16" s="1357">
        <f ca="1">(AX16/AS16-1)*100</f>
        <v>-200</v>
      </c>
      <c r="AZ16" s="1355">
        <f ca="1">IF(UPPER($F$2)="Y",BA16/AX16*100-100,OFFSET('VVP2'!$G$130,0,(COLUMN()-7)/5))</f>
        <v>-395645.05063969246</v>
      </c>
      <c r="BA16" s="1349">
        <f ca="1">IF(UPPER($F$2)="Y",BA17-BA14+BA15,AX16*(1+AZ16/100))</f>
        <v>-3.9554505069498092E-2</v>
      </c>
      <c r="BB16" s="1356">
        <f ca="1">+BC16/BA16*100-100</f>
        <v>-99.974718429716035</v>
      </c>
      <c r="BC16" s="1349">
        <f ca="1">+BC17-BC14+BC15</f>
        <v>-9.9999999996214228E-6</v>
      </c>
      <c r="BD16" s="1357">
        <f ca="1">(BC16/AX16-1)*100</f>
        <v>-199.99999998223643</v>
      </c>
      <c r="BE16" s="1355">
        <f ca="1">IF(UPPER($F$2)="Y",BF16/BC16*100-100,OFFSET('VVP2'!$G$130,0,(COLUMN()-7)/5))</f>
        <v>102.44116888490714</v>
      </c>
      <c r="BF16" s="1349">
        <f ca="1">IF(UPPER($F$2)="Y",BF17-BF14+BF15,BC16*(1+BE16/100))</f>
        <v>-2.0244116887724317E-5</v>
      </c>
      <c r="BG16" s="1356">
        <f ca="1">+BH16/BF16*100-100</f>
        <v>-100</v>
      </c>
      <c r="BH16" s="1349">
        <f ca="1">+BH17-BH14+BH15</f>
        <v>0</v>
      </c>
      <c r="BI16" s="1357">
        <f ca="1">(BH16/BC16-1)*100</f>
        <v>-100</v>
      </c>
      <c r="BJ16" s="1355" t="e">
        <f ca="1">IF(UPPER($F$2)="Y",BK16/BH16*100-100,OFFSET('VVP2'!$G$130,0,(COLUMN()-7)/5))</f>
        <v>#DIV/0!</v>
      </c>
      <c r="BK16" s="1349">
        <f ca="1">IF(UPPER($F$2)="Y",BK17-BK14+BK15,BH16*(1+BJ16/100))</f>
        <v>-5.0568882521417891E-6</v>
      </c>
      <c r="BL16" s="1356">
        <f ca="1">+BM16/BK16*100-100</f>
        <v>-297.75006883701718</v>
      </c>
      <c r="BM16" s="1349">
        <f ca="1">+BM17-BM14+BM15</f>
        <v>9.9999999996214228E-6</v>
      </c>
      <c r="BN16" s="1357" t="e">
        <f ca="1">(BM16/BH16-1)*100</f>
        <v>#DIV/0!</v>
      </c>
      <c r="BO16" s="1355">
        <f ca="1">IF(UPPER($F$2)="Y",BP16/BM16*100-100,OFFSET('VVP2'!$G$130,0,(COLUMN()-7)/5))</f>
        <v>121.6883904621707</v>
      </c>
      <c r="BP16" s="1349">
        <f ca="1">IF(UPPER($F$2)="Y",BP17-BP14+BP15,BM16*(1+BO16/100))</f>
        <v>2.2168839045377808E-5</v>
      </c>
      <c r="BQ16" s="1356">
        <f ca="1">+BR16/BP16*100-100</f>
        <v>-100</v>
      </c>
      <c r="BR16" s="1349">
        <f ca="1">+BR17-BR14+BR15</f>
        <v>0</v>
      </c>
      <c r="BS16" s="1357">
        <f ca="1">(BR16/BM16-1)*100</f>
        <v>-100</v>
      </c>
      <c r="BT16" s="1355" t="e">
        <f ca="1">IF(UPPER($F$2)="Y",BU16/BR16*100-100,OFFSET('VVP2'!$G$130,0,(COLUMN()-7)/5))</f>
        <v>#DIV/0!</v>
      </c>
      <c r="BU16" s="1349">
        <f ca="1">IF(UPPER($F$2)="Y",BU17-BU14+BU15,BR16*(1+BT16/100))</f>
        <v>5.8722046389902971E-6</v>
      </c>
      <c r="BV16" s="1356">
        <f ca="1">+BW16/BU16*100-100</f>
        <v>70.293792841892468</v>
      </c>
      <c r="BW16" s="1349">
        <f ca="1">+BW17-BW14+BW15</f>
        <v>1.0000000003174137E-5</v>
      </c>
      <c r="BX16" s="1357" t="e">
        <f ca="1">(BW16/BR16-1)*100</f>
        <v>#DIV/0!</v>
      </c>
      <c r="BY16" s="1355">
        <f ca="1">IF(UPPER($F$2)="Y",BZ16/BW16*100-100,OFFSET('VVP2'!$G$130,0,(COLUMN()-7)/5))</f>
        <v>-103.27094973225343</v>
      </c>
      <c r="BZ16" s="1349">
        <f ca="1">IF(UPPER($F$2)="Y",BZ17-BZ14+BZ15,BW16*(1+BY16/100))</f>
        <v>-3.2709497332916726E-7</v>
      </c>
      <c r="CA16" s="1356">
        <f ca="1">+CB16/BZ16*100-100</f>
        <v>-100</v>
      </c>
      <c r="CB16" s="1349">
        <f ca="1">+CB17-CB14+CB15</f>
        <v>0</v>
      </c>
      <c r="CC16" s="1357">
        <f ca="1">(CB16/BW16-1)*100</f>
        <v>-100</v>
      </c>
      <c r="CD16" s="1355" t="e">
        <f ca="1">IF(UPPER($F$2)="Y",CE16/CB16*100-100,OFFSET('VVP2'!$G$130,0,(COLUMN()-7)/5))</f>
        <v>#DIV/0!</v>
      </c>
      <c r="CE16" s="1349">
        <f ca="1">IF(UPPER($F$2)="Y",CE17-CE14+CE15,CB16*(1+CD16/100))</f>
        <v>2.1415047761763617E-6</v>
      </c>
      <c r="CF16" s="1356">
        <f ca="1">+CG16/CE16*100-100</f>
        <v>-100</v>
      </c>
      <c r="CG16" s="1349">
        <f ca="1">+CG17-CG14+CG15</f>
        <v>0</v>
      </c>
      <c r="CH16" s="1357" t="e">
        <f ca="1">(CG16/CB16-1)*100</f>
        <v>#DIV/0!</v>
      </c>
      <c r="CI16" s="1355" t="e">
        <f ca="1">IF(UPPER($F$2)="Y",CJ16/CG16*100-100,OFFSET('VVP2'!$G$130,0,(COLUMN()-7)/5))</f>
        <v>#DIV/0!</v>
      </c>
      <c r="CJ16" s="3205">
        <f ca="1">IF(UPPER($F$2)="Y",CJ17-CJ14+CJ15,CG16*(1+CI16/100))</f>
        <v>-2.1316282072803006E-14</v>
      </c>
      <c r="CK16" s="1356">
        <f ca="1">+CL16/CJ16*100-100</f>
        <v>-100</v>
      </c>
      <c r="CL16" s="3204">
        <f ca="1">+CL17-CL14+CL15</f>
        <v>0</v>
      </c>
      <c r="CM16" s="1357" t="e">
        <f ca="1">(CL16/CG16-1)*100</f>
        <v>#DIV/0!</v>
      </c>
      <c r="CN16" s="1355" t="e">
        <f ca="1">IF(UPPER($F$2)="Y",CO16/CL16*100-100,OFFSET('VVP2'!$G$130,0,(COLUMN()-7)/5))</f>
        <v>#DIV/0!</v>
      </c>
      <c r="CO16" s="3205">
        <f ca="1">IF(UPPER($F$2)="Y",CO17-CO14+CO15,CL16*(1+CN16/100))</f>
        <v>-7.9326964836923253E-6</v>
      </c>
      <c r="CP16" s="1356">
        <f ca="1">+CQ16/CO16*100-100</f>
        <v>-226.06053969389808</v>
      </c>
      <c r="CQ16" s="3204">
        <f ca="1">+CQ17-CQ14+CQ15</f>
        <v>9.9999999996214228E-6</v>
      </c>
      <c r="CR16" s="1357" t="e">
        <f t="shared" ca="1" si="33"/>
        <v>#DIV/0!</v>
      </c>
      <c r="CS16" s="1355">
        <f ca="1">IF(UPPER($F$2)="Y",CT16/CQ16*100-100,OFFSET('VVP2'!$G$130,0,(COLUMN()-7)/5))</f>
        <v>52.153164882027681</v>
      </c>
      <c r="CT16" s="3205">
        <f ca="1">IF(UPPER($F$2)="Y",CT17-CT14+CT15,CQ16*(1+CS16/100))</f>
        <v>1.5215316487626751E-5</v>
      </c>
      <c r="CU16" s="1356">
        <f ca="1">+CV16/CT16*100-100</f>
        <v>-165.72324673102139</v>
      </c>
      <c r="CV16" s="3204">
        <f ca="1">+CV17-CV14+CV15</f>
        <v>-9.9999999960687092E-6</v>
      </c>
      <c r="CW16" s="1357">
        <f ca="1">(CV16/CQ16-1)*100</f>
        <v>-199.99999996447286</v>
      </c>
      <c r="CX16" s="1355">
        <f ca="1">IF(UPPER($F$2)="Y",CY16/CV16*100-100,OFFSET('VVP2'!$G$130,0,(COLUMN()-7)/5))</f>
        <v>-8.5644974523820565</v>
      </c>
      <c r="CY16" s="3205">
        <f ca="1">IF(UPPER($F$2)="Y",CY17-CY14+CY15,CV16*(1+CX16/100))</f>
        <v>-9.1435502511671984E-6</v>
      </c>
      <c r="CZ16" s="1356">
        <f ca="1">+DA16/CY16*100-100</f>
        <v>-100</v>
      </c>
      <c r="DA16" s="3204">
        <f ca="1">+DA17-DA14+DA15</f>
        <v>0</v>
      </c>
      <c r="DB16" s="1357">
        <f ca="1">(DA16/CV16-1)*100</f>
        <v>-100</v>
      </c>
      <c r="DC16" s="1355" t="e">
        <f ca="1">IF(UPPER($F$2)="Y",DD16/DA16*100-100,OFFSET('VVP2'!$G$130,0,(COLUMN()-7)/5))</f>
        <v>#DIV/0!</v>
      </c>
      <c r="DD16" s="3205">
        <f ca="1">IF(UPPER($F$2)="Y",DD17-DD14+DD15,DA16*(1+DC16/100))</f>
        <v>9.3282775956993191E-6</v>
      </c>
      <c r="DE16" s="1356">
        <f ca="1">+DF16/DD16*100-100</f>
        <v>-100</v>
      </c>
      <c r="DF16" s="3204">
        <f ca="1">+DF17-DF14+DF15</f>
        <v>0</v>
      </c>
      <c r="DG16" s="1357" t="e">
        <f ca="1">(DF16/DA16-1)*100</f>
        <v>#DIV/0!</v>
      </c>
      <c r="DH16" s="1355" t="e">
        <f ca="1">IF(UPPER($F$2)="Y",DI16/DF16*100-100,OFFSET('VVP2'!$G$130,0,(COLUMN()-7)/5))</f>
        <v>#DIV/0!</v>
      </c>
      <c r="DI16" s="3205">
        <f ca="1">IF(UPPER($F$2)="Y",DI17-DI14+DI15,DF16*(1+DH16/100))</f>
        <v>4.9713866978606802E-6</v>
      </c>
      <c r="DJ16" s="1356">
        <f ca="1">+DK16/DI16*100-100</f>
        <v>-301.15111954426493</v>
      </c>
      <c r="DK16" s="3204">
        <f ca="1">+DK17-DK14+DK15</f>
        <v>-9.9999999996214228E-6</v>
      </c>
      <c r="DL16" s="1357" t="e">
        <f ca="1">(DK16/DF16-1)*100</f>
        <v>#DIV/0!</v>
      </c>
      <c r="DM16" s="2239">
        <v>0</v>
      </c>
      <c r="DN16" s="2250">
        <f ca="1">+DK16*(1+DM16/100)</f>
        <v>-9.9999999996214228E-6</v>
      </c>
      <c r="DO16" s="2240">
        <v>0</v>
      </c>
      <c r="DP16" s="2250">
        <f ca="1">+DN16*(1+DO16/100)</f>
        <v>-9.9999999996214228E-6</v>
      </c>
      <c r="DQ16" s="2251">
        <f ca="1">(DP16/DK16-1)*100</f>
        <v>0</v>
      </c>
      <c r="DR16" s="2239">
        <v>0</v>
      </c>
      <c r="DS16" s="2250">
        <f ca="1">+DP16*(1+DR16/100)</f>
        <v>-9.9999999996214228E-6</v>
      </c>
      <c r="DT16" s="2240">
        <v>0</v>
      </c>
      <c r="DU16" s="2250">
        <f ca="1">+DS16*(1+DT16/100)</f>
        <v>-9.9999999996214228E-6</v>
      </c>
      <c r="DV16" s="2251">
        <f ca="1">(DU16/DP16-1)*100</f>
        <v>0</v>
      </c>
      <c r="DW16" s="2239">
        <v>0</v>
      </c>
      <c r="DX16" s="2250">
        <f ca="1">+DU16*(1+DW16/100)</f>
        <v>-9.9999999996214228E-6</v>
      </c>
      <c r="DY16" s="2240">
        <v>0</v>
      </c>
      <c r="DZ16" s="2250">
        <f ca="1">+DX16*(1+DY16/100)</f>
        <v>-9.9999999996214228E-6</v>
      </c>
      <c r="EA16" s="2251">
        <f ca="1">(DZ16/DU16-1)*100</f>
        <v>0</v>
      </c>
    </row>
    <row r="17" spans="1:145">
      <c r="B17" s="1"/>
      <c r="C17" s="176" t="s">
        <v>1769</v>
      </c>
      <c r="D17" s="1150"/>
      <c r="E17" s="1150" t="s">
        <v>1166</v>
      </c>
      <c r="F17" s="1140" t="s">
        <v>281</v>
      </c>
      <c r="G17" s="1233"/>
      <c r="H17" s="1233"/>
      <c r="I17" s="1233"/>
      <c r="J17" s="1234">
        <f ca="1">OFFSET('VVP2'!$G$341,0,(COLUMN()-6)/5)</f>
        <v>7.7645299999999997</v>
      </c>
      <c r="K17" s="1233"/>
      <c r="L17" s="1234">
        <f ca="1">OFFSET('VVP2'!$G$131,0,(COLUMN()-7)/5)</f>
        <v>5.2391782869028569</v>
      </c>
      <c r="M17" s="1234">
        <f ca="1">J17*(1+L17/100)</f>
        <v>8.1713275698400576</v>
      </c>
      <c r="N17" s="1234">
        <f t="shared" ca="1" si="0"/>
        <v>18.880927449958307</v>
      </c>
      <c r="O17" s="1234">
        <f ca="1">OFFSET('VVP2'!$G$341,0,(COLUMN()-6)/5)</f>
        <v>9.7141500000000001</v>
      </c>
      <c r="P17" s="1234">
        <f t="shared" ca="1" si="1"/>
        <v>25.109311188185245</v>
      </c>
      <c r="Q17" s="1234">
        <f ca="1">OFFSET('VVP2'!$G$131,0,(COLUMN()-7)/5)</f>
        <v>8.1402408090708978</v>
      </c>
      <c r="R17" s="1234">
        <f ca="1">O17*(1+Q17/100)</f>
        <v>10.50490520255436</v>
      </c>
      <c r="S17" s="1234">
        <f ca="1">+T17/R17*100-100</f>
        <v>11.608241806400343</v>
      </c>
      <c r="T17" s="1234">
        <f ca="1">OFFSET('VVP2'!$G$341,0,(COLUMN()-6)/5)</f>
        <v>11.72434</v>
      </c>
      <c r="U17" s="1234">
        <f ca="1">(T17/O17-1)*100</f>
        <v>20.693421452211467</v>
      </c>
      <c r="V17" s="1234">
        <f ca="1">OFFSET('VVP2'!$G$131,0,(COLUMN()-7)/5)</f>
        <v>7.6233287300721653</v>
      </c>
      <c r="W17" s="1234">
        <f ca="1">T17*(1+V17/100)</f>
        <v>12.618124979631343</v>
      </c>
      <c r="X17" s="1234">
        <f ca="1">+Y17/W17*100-100</f>
        <v>3.2004360475153248</v>
      </c>
      <c r="Y17" s="1234">
        <f ca="1">OFFSET('VVP2'!$G$341,0,(COLUMN()-6)/5)</f>
        <v>13.02196</v>
      </c>
      <c r="Z17" s="1234">
        <f ca="1">(Y17/T17-1)*100</f>
        <v>11.067744538285318</v>
      </c>
      <c r="AA17" s="1234">
        <f ca="1">OFFSET('VVP2'!$G$131,0,(COLUMN()-7)/5)</f>
        <v>-1.0214983734837313</v>
      </c>
      <c r="AB17" s="1234">
        <f ca="1">Y17*(1+AA17/100)</f>
        <v>12.888940890404298</v>
      </c>
      <c r="AC17" s="1234">
        <f ca="1">+AD17/AB17*100-100</f>
        <v>-1.3721910272392392</v>
      </c>
      <c r="AD17" s="1234">
        <f ca="1">OFFSET('VVP2'!$G$341,0,(COLUMN()-6)/5)</f>
        <v>12.71208</v>
      </c>
      <c r="AE17" s="1234">
        <f ca="1">(AD17/Y17-1)*100</f>
        <v>-2.3796724916986367</v>
      </c>
      <c r="AF17" s="1234">
        <f ca="1">OFFSET('VVP2'!$G$131,0,(COLUMN()-7)/5)</f>
        <v>3.6213874204480856</v>
      </c>
      <c r="AG17" s="1234">
        <f ca="1">AD17*(1+AF17/100)</f>
        <v>13.172433665997298</v>
      </c>
      <c r="AH17" s="1234">
        <f ca="1">+AI17/AG17*100-100</f>
        <v>1.4860301366177424</v>
      </c>
      <c r="AI17" s="1234">
        <f ca="1">OFFSET('VVP2'!$G$341,0,(COLUMN()-6)/5)</f>
        <v>13.368180000000001</v>
      </c>
      <c r="AJ17" s="1234">
        <f ca="1">(AI17/AD17-1)*100</f>
        <v>5.1612324654973785</v>
      </c>
      <c r="AK17" s="1234">
        <f ca="1">OFFSET('VVP2'!$G$131,0,(COLUMN()-7)/5)</f>
        <v>6.6996058629840372</v>
      </c>
      <c r="AL17" s="1234">
        <f ca="1">AI17*(1+AK17/100)</f>
        <v>14.263795371054259</v>
      </c>
      <c r="AM17" s="1234">
        <f ca="1">+AN17/AL17*100-100</f>
        <v>-0.48567277679011056</v>
      </c>
      <c r="AN17" s="1234">
        <f ca="1">OFFSET('VVP2'!$G$341,0,(COLUMN()-6)/5)</f>
        <v>14.194520000000001</v>
      </c>
      <c r="AO17" s="1234">
        <f ca="1">(AN17/AI17-1)*100</f>
        <v>6.18139492436518</v>
      </c>
      <c r="AP17" s="1234">
        <f ca="1">OFFSET('VVP2'!$G$131,0,(COLUMN()-7)/5)</f>
        <v>6.8379975004915217</v>
      </c>
      <c r="AQ17" s="1234">
        <f ca="1">AN17*(1+AP17/100)</f>
        <v>15.165140922806771</v>
      </c>
      <c r="AR17" s="1234">
        <f ca="1">+AS17/AQ17*100-100</f>
        <v>0.24417232508233155</v>
      </c>
      <c r="AS17" s="1234">
        <f ca="1">OFFSET('VVP2'!$G$341,0,(COLUMN()-6)/5)</f>
        <v>15.202170000000001</v>
      </c>
      <c r="AT17" s="1234">
        <f ca="1">(AS17/AN17-1)*100</f>
        <v>7.0988663230598936</v>
      </c>
      <c r="AU17" s="1234">
        <f ca="1">OFFSET('VVP2'!$G$131,0,(COLUMN()-7)/5)</f>
        <v>10.275887367570679</v>
      </c>
      <c r="AV17" s="1234">
        <f ca="1">AS17*(1+AU17/100)</f>
        <v>16.764327866626619</v>
      </c>
      <c r="AW17" s="1234">
        <f ca="1">+AX17/AV17*100-100</f>
        <v>-0.57173700842147923</v>
      </c>
      <c r="AX17" s="1234">
        <f ca="1">OFFSET('VVP2'!$G$341,0,(COLUMN()-6)/5)</f>
        <v>16.668479999999999</v>
      </c>
      <c r="AY17" s="1234">
        <f ca="1">(AX17/AS17-1)*100</f>
        <v>9.645399308125068</v>
      </c>
      <c r="AZ17" s="1234">
        <f ca="1">OFFSET('VVP2'!$G$131,0,(COLUMN()-7)/5)</f>
        <v>7.4482608885224399</v>
      </c>
      <c r="BA17" s="1234">
        <f ca="1">AX17*(1+AZ17/100)</f>
        <v>17.909991876551185</v>
      </c>
      <c r="BB17" s="1234">
        <f ca="1">+BC17/BA17*100-100</f>
        <v>1.8298619324216219</v>
      </c>
      <c r="BC17" s="3118">
        <f ca="1">OFFSET('VVP2'!$G$341,0,(COLUMN()-6)/5)</f>
        <v>18.237719999999999</v>
      </c>
      <c r="BD17" s="1234">
        <f ca="1">(BC17/AX17-1)*100</f>
        <v>9.4144157115705784</v>
      </c>
      <c r="BE17" s="1234">
        <f ca="1">OFFSET('VVP2'!$G$131,0,(COLUMN()-7)/5)</f>
        <v>7.7273873836427809</v>
      </c>
      <c r="BF17" s="1234">
        <f ca="1">BC17*(1+BE17/100)</f>
        <v>19.647019274344096</v>
      </c>
      <c r="BG17" s="1234">
        <f ca="1">+BH17/BF17*100-100</f>
        <v>6.8984038073691494</v>
      </c>
      <c r="BH17" s="3119">
        <f ca="1">OFFSET('VVP2'!$G$341,0,(COLUMN()-6)/5)</f>
        <v>21.00235</v>
      </c>
      <c r="BI17" s="1234">
        <f ca="1">(BH17/BC17-1)*100</f>
        <v>15.158857576495311</v>
      </c>
      <c r="BJ17" s="1234">
        <f ca="1">OFFSET('VVP2'!$G$131,0,(COLUMN()-7)/5)</f>
        <v>7.4064505195753805</v>
      </c>
      <c r="BK17" s="1234">
        <f ca="1">BH17*(1+BJ17/100)</f>
        <v>22.557878660698041</v>
      </c>
      <c r="BL17" s="1234">
        <f ca="1">+BM17/BK17*100-100</f>
        <v>6.7439911446659266</v>
      </c>
      <c r="BM17" s="3118">
        <f ca="1">OFFSET('VVP2'!$G$341,0,(COLUMN()-6)/5)</f>
        <v>24.079180000000001</v>
      </c>
      <c r="BN17" s="1234">
        <f ca="1">(BM17/BH17-1)*100</f>
        <v>14.649932031415535</v>
      </c>
      <c r="BO17" s="1234">
        <f ca="1">OFFSET('VVP2'!$G$131,0,(COLUMN()-7)/5)</f>
        <v>11.0869627998611</v>
      </c>
      <c r="BP17" s="3118">
        <f ca="1">BM17*(1+BO17/100)</f>
        <v>26.748829729111595</v>
      </c>
      <c r="BQ17" s="1234">
        <f ca="1">+BR17/BP17*100-100</f>
        <v>8.5679646328382404</v>
      </c>
      <c r="BR17" s="3118">
        <f ca="1">OFFSET('VVP2'!$G$341,0,(COLUMN()-6)/5)</f>
        <v>29.040659999999999</v>
      </c>
      <c r="BS17" s="1234">
        <f ca="1">(BR17/BM17-1)*100</f>
        <v>20.604854484247383</v>
      </c>
      <c r="BT17" s="1234">
        <f ca="1">OFFSET('VVP2'!$G$131,0,(COLUMN()-7)/5)</f>
        <v>2.6280823574654777</v>
      </c>
      <c r="BU17" s="1234">
        <f ca="1">BR17*(1+BT17/100)</f>
        <v>29.803872461951531</v>
      </c>
      <c r="BV17" s="1234">
        <f ca="1">+BW17/BU17*100-100</f>
        <v>9.7048044402317117</v>
      </c>
      <c r="BW17" s="1234">
        <f ca="1">OFFSET('VVP2'!$G$341,0,(COLUMN()-6)/5)</f>
        <v>32.696280000000002</v>
      </c>
      <c r="BX17" s="1234">
        <f ca="1">(BW17/BR17-1)*100</f>
        <v>12.587937051017439</v>
      </c>
      <c r="BY17" s="1234">
        <f ca="1">OFFSET('VVP2'!$G$131,0,(COLUMN()-7)/5)</f>
        <v>-14.814172950076221</v>
      </c>
      <c r="BZ17" s="1234">
        <f ca="1">BW17*(1+BY17/100)</f>
        <v>27.85259653255882</v>
      </c>
      <c r="CA17" s="1234">
        <f ca="1">+CB17/BZ17*100-100</f>
        <v>-3.295120192783358</v>
      </c>
      <c r="CB17" s="1234">
        <f ca="1">OFFSET('VVP2'!$G$341,0,(COLUMN()-6)/5)</f>
        <v>26.934819999999998</v>
      </c>
      <c r="CC17" s="1234">
        <f ca="1">(CB17/BW17-1)*100</f>
        <v>-17.621148338587766</v>
      </c>
      <c r="CD17" s="1234">
        <f ca="1">OFFSET('VVP2'!$G$131,0,(COLUMN()-7)/5)</f>
        <v>1.639826991162785</v>
      </c>
      <c r="CE17" s="1234">
        <f ca="1">CB17*(1+CD17/100)</f>
        <v>27.376504448381109</v>
      </c>
      <c r="CF17" s="1234">
        <f ca="1">+CG17/CE17*100-100</f>
        <v>2.3785197005215224</v>
      </c>
      <c r="CG17" s="1234">
        <f ca="1">OFFSET('VVP2'!$G$341,0,(COLUMN()-6)/5)</f>
        <v>28.027660000000001</v>
      </c>
      <c r="CH17" s="1234">
        <f ca="1">(CG17/CB17-1)*100</f>
        <v>4.0573502997235611</v>
      </c>
      <c r="CI17" s="1234">
        <f ca="1">OFFSET('VVP2'!$G$131,0,(COLUMN()-7)/5)</f>
        <v>6.0431373864246796</v>
      </c>
      <c r="CJ17" s="1234">
        <f ca="1">CG17*(1+CI17/100)</f>
        <v>29.721409999999995</v>
      </c>
      <c r="CK17" s="1234">
        <f ca="1">+CL17/CJ17*100-100</f>
        <v>5.2282512841753004</v>
      </c>
      <c r="CL17" s="1234">
        <f ca="1">OFFSET('VVP2'!$G$341,0,(COLUMN()-6)/5)</f>
        <v>31.275320000000001</v>
      </c>
      <c r="CM17" s="1234">
        <f ca="1">(CL17/CG17-1)*100</f>
        <v>11.587339078610203</v>
      </c>
      <c r="CN17" s="1234">
        <f ca="1">OFFSET('VVP2'!$G$131,0,(COLUMN()-7)/5)</f>
        <v>3.8269382239940919</v>
      </c>
      <c r="CO17" s="1234">
        <f ca="1">CL17*(1+CN17/100)</f>
        <v>32.472207175756466</v>
      </c>
      <c r="CP17" s="1234">
        <f ca="1">+CQ17/CO17*100-100</f>
        <v>2.6985317613326743</v>
      </c>
      <c r="CQ17" s="1234">
        <f ca="1">OFFSET('VVP2'!$G$341,0,(COLUMN()-6)/5)</f>
        <v>33.348480000000002</v>
      </c>
      <c r="CR17" s="1234">
        <f t="shared" ca="1" si="33"/>
        <v>6.6287411287878184</v>
      </c>
      <c r="CS17" s="1234">
        <f ca="1">OFFSET('VVP2'!$G$131,0,(COLUMN()-7)/5)</f>
        <v>3.498577230569011</v>
      </c>
      <c r="CT17" s="1234">
        <f ca="1">CQ17*(1+CS17/100)</f>
        <v>34.515202328020862</v>
      </c>
      <c r="CU17" s="1234">
        <f ca="1">+CV17/CT17*100-100</f>
        <v>1.2876867061512769</v>
      </c>
      <c r="CV17" s="1234">
        <f ca="1">OFFSET('VVP2'!$G$341,0,(COLUMN()-6)/5)</f>
        <v>34.959650000000003</v>
      </c>
      <c r="CW17" s="1234">
        <f ca="1">(CV17/CQ17-1)*100</f>
        <v>4.8313146506227644</v>
      </c>
      <c r="CX17" s="1234">
        <f ca="1">OFFSET('VVP2'!$G$131,0,(COLUMN()-7)/5)</f>
        <v>3.5375855747539431</v>
      </c>
      <c r="CY17" s="1234">
        <f ca="1">CV17*(1+CX17/100)</f>
        <v>36.196377535384471</v>
      </c>
      <c r="CZ17" s="1234">
        <f ca="1">+DA17/CY17*100-100</f>
        <v>1.027457690350289</v>
      </c>
      <c r="DA17" s="1234">
        <f ca="1">OFFSET('VVP2'!$G$341,0,(COLUMN()-6)/5)</f>
        <v>36.568280000000001</v>
      </c>
      <c r="DB17" s="1234">
        <f ca="1">(DA17/CV17-1)*100</f>
        <v>4.6013904601447608</v>
      </c>
      <c r="DC17" s="1234">
        <f ca="1">OFFSET('VVP2'!$G$131,0,(COLUMN()-7)/5)</f>
        <v>2.0346676424249033</v>
      </c>
      <c r="DD17" s="1234">
        <f ca="1">DA17*(1+DC17/100)</f>
        <v>37.312322960551342</v>
      </c>
      <c r="DE17" s="1234">
        <f ca="1">+DF17/DD17*100-100</f>
        <v>0.30629837646263525</v>
      </c>
      <c r="DF17" s="3118">
        <f ca="1">OFFSET('VVP2'!$G$341,0,(COLUMN()-6)/5)</f>
        <v>37.426610000000004</v>
      </c>
      <c r="DG17" s="1234">
        <f ca="1">(DF17/DA17-1)*100</f>
        <v>2.3471981728427016</v>
      </c>
      <c r="DH17" s="1234">
        <f ca="1">OFFSET('VVP2'!$G$131,0,(COLUMN()-7)/5)</f>
        <v>2.3448829366414126</v>
      </c>
      <c r="DI17" s="1234">
        <f ca="1">DF17*(1+DH17/100)</f>
        <v>38.304220191653336</v>
      </c>
      <c r="DJ17" s="1234">
        <f ca="1">+DK17/DI17*100-100</f>
        <v>0.95054750240288399</v>
      </c>
      <c r="DK17" s="3118">
        <f ca="1">OFFSET('VVP2'!$G$341,0,(COLUMN()-6)/5)</f>
        <v>38.668320000000001</v>
      </c>
      <c r="DL17" s="1234">
        <f ca="1">(DK17/DF17-1)*100</f>
        <v>3.3177196652328211</v>
      </c>
      <c r="DM17" s="3403">
        <f ca="1">IF(UPPER($F$2)="Y",(DN17/DK17-1)*100,OFFSET('VVP2'!$G$131,0,(COLUMN()-7)/5))</f>
        <v>4.565211033661698</v>
      </c>
      <c r="DN17" s="3348">
        <f ca="1">IF(UPPER($F$2)="Y",+DN14-DN15+DN16,DK17*(1+DM17/100))</f>
        <v>40.433610411171614</v>
      </c>
      <c r="DO17" s="1431">
        <f ca="1">+DP17/DN17*100-100</f>
        <v>3.3288753280726695</v>
      </c>
      <c r="DP17" s="1234">
        <f ca="1">+DP14-DP15+DP16</f>
        <v>41.779594892398123</v>
      </c>
      <c r="DQ17" s="1431">
        <f ca="1">(DP17/DK17-1)*100</f>
        <v>8.0460565455083621</v>
      </c>
      <c r="DR17" s="3403">
        <f ca="1">IF(UPPER($F$2)="Y",(DS17/DP17-1)*100,OFFSET('VVP2'!$G$131,0,(COLUMN()-7)/5))</f>
        <v>3.1205873424164476</v>
      </c>
      <c r="DS17" s="3348">
        <f ca="1">IF(UPPER($F$2)="Y",+DS14-DS15+DS16,DP17*(1+DR17/100))</f>
        <v>43.083363642323164</v>
      </c>
      <c r="DT17" s="1431">
        <f ca="1">+DU17/DS17*100-100</f>
        <v>2.6186320478604159</v>
      </c>
      <c r="DU17" s="1234">
        <f ca="1">+DU14-DU15+DU16</f>
        <v>44.211558409957277</v>
      </c>
      <c r="DV17" s="1431">
        <f ca="1">(DU17/DP17-1)*100</f>
        <v>5.8209360905068452</v>
      </c>
      <c r="DW17" s="3403">
        <f ca="1">IF(UPPER($F$2)="Y",(DX17/DU17-1)*100,OFFSET('VVP2'!$G$131,0,(COLUMN()-7)/5))</f>
        <v>2.6426635456776815</v>
      </c>
      <c r="DX17" s="3348">
        <f ca="1">IF(UPPER($F$2)="Y",+DX14-DX15+DX16,DU17*(1+DW17/100))</f>
        <v>45.379921147033215</v>
      </c>
      <c r="DY17" s="1431">
        <f ca="1">+DZ17/DX17*100-100</f>
        <v>2.8566130444941109</v>
      </c>
      <c r="DZ17" s="1234">
        <f ca="1">+DZ14-DZ15+DZ16</f>
        <v>46.676249894100508</v>
      </c>
      <c r="EA17" s="1431">
        <f ca="1">(DZ17/DU17-1)*100</f>
        <v>5.5747672617397104</v>
      </c>
    </row>
    <row r="18" spans="1:145">
      <c r="CY18">
        <v>32.7988</v>
      </c>
      <c r="DD18" s="3194"/>
      <c r="DI18" s="3194"/>
      <c r="DN18" s="3194"/>
      <c r="DS18" s="3194"/>
      <c r="DX18" s="3194"/>
    </row>
    <row r="19" spans="1:145">
      <c r="DD19" s="3194"/>
      <c r="DI19" s="3194"/>
      <c r="DN19" s="3194"/>
      <c r="DS19" s="3194"/>
      <c r="DX19" s="3194"/>
    </row>
    <row r="20" spans="1:145" s="217" customFormat="1">
      <c r="A20" s="1036"/>
      <c r="C20" s="694"/>
      <c r="D20" s="1477"/>
      <c r="E20" s="1478" t="s">
        <v>1070</v>
      </c>
      <c r="F20" s="1493"/>
      <c r="G20" s="3761">
        <f>+InputY!$G$3</f>
        <v>1995</v>
      </c>
      <c r="H20" s="3761"/>
      <c r="I20" s="3761"/>
      <c r="J20" s="3761"/>
      <c r="K20" s="3761"/>
      <c r="L20" s="3761">
        <f>+G20+1</f>
        <v>1996</v>
      </c>
      <c r="M20" s="3761"/>
      <c r="N20" s="3761"/>
      <c r="O20" s="3761"/>
      <c r="P20" s="3761"/>
      <c r="Q20" s="3761">
        <f>+L20+1</f>
        <v>1997</v>
      </c>
      <c r="R20" s="3761"/>
      <c r="S20" s="3761"/>
      <c r="T20" s="3761"/>
      <c r="U20" s="3761"/>
      <c r="V20" s="3761">
        <f>+Q20+1</f>
        <v>1998</v>
      </c>
      <c r="W20" s="3761"/>
      <c r="X20" s="3761"/>
      <c r="Y20" s="3761"/>
      <c r="Z20" s="3761"/>
      <c r="AA20" s="3761">
        <f>+V20+1</f>
        <v>1999</v>
      </c>
      <c r="AB20" s="3761"/>
      <c r="AC20" s="3761"/>
      <c r="AD20" s="3761"/>
      <c r="AE20" s="3761"/>
      <c r="AF20" s="3761">
        <f>+AA20+1</f>
        <v>2000</v>
      </c>
      <c r="AG20" s="3761"/>
      <c r="AH20" s="3761"/>
      <c r="AI20" s="3761"/>
      <c r="AJ20" s="3761"/>
      <c r="AK20" s="3761">
        <f>+AF20+1</f>
        <v>2001</v>
      </c>
      <c r="AL20" s="3761"/>
      <c r="AM20" s="3761"/>
      <c r="AN20" s="3761"/>
      <c r="AO20" s="3761"/>
      <c r="AP20" s="3761">
        <f>+AK20+1</f>
        <v>2002</v>
      </c>
      <c r="AQ20" s="3761"/>
      <c r="AR20" s="3761"/>
      <c r="AS20" s="3761"/>
      <c r="AT20" s="3761"/>
      <c r="AU20" s="3761">
        <f>+AP20+1</f>
        <v>2003</v>
      </c>
      <c r="AV20" s="3761"/>
      <c r="AW20" s="3761"/>
      <c r="AX20" s="3761"/>
      <c r="AY20" s="3761"/>
      <c r="AZ20" s="3761">
        <f>+AU20+1</f>
        <v>2004</v>
      </c>
      <c r="BA20" s="3761"/>
      <c r="BB20" s="3761"/>
      <c r="BC20" s="3761"/>
      <c r="BD20" s="3761"/>
      <c r="BE20" s="3761">
        <f>+AZ20+1</f>
        <v>2005</v>
      </c>
      <c r="BF20" s="3761"/>
      <c r="BG20" s="3761"/>
      <c r="BH20" s="3761"/>
      <c r="BI20" s="3761"/>
      <c r="BJ20" s="3761">
        <f>+BE20+1</f>
        <v>2006</v>
      </c>
      <c r="BK20" s="3761"/>
      <c r="BL20" s="3761"/>
      <c r="BM20" s="3761"/>
      <c r="BN20" s="3761"/>
      <c r="BO20" s="3761">
        <f>+BJ20+1</f>
        <v>2007</v>
      </c>
      <c r="BP20" s="3761"/>
      <c r="BQ20" s="3761"/>
      <c r="BR20" s="3761"/>
      <c r="BS20" s="3761"/>
      <c r="BT20" s="3761">
        <f>+BO20+1</f>
        <v>2008</v>
      </c>
      <c r="BU20" s="3761"/>
      <c r="BV20" s="3761"/>
      <c r="BW20" s="3761"/>
      <c r="BX20" s="3761"/>
      <c r="BY20" s="3761">
        <f>+BT20+1</f>
        <v>2009</v>
      </c>
      <c r="BZ20" s="3761"/>
      <c r="CA20" s="3761"/>
      <c r="CB20" s="3761"/>
      <c r="CC20" s="3761"/>
      <c r="CD20" s="3761">
        <f>+BY20+1</f>
        <v>2010</v>
      </c>
      <c r="CE20" s="3761"/>
      <c r="CF20" s="3761"/>
      <c r="CG20" s="3761"/>
      <c r="CH20" s="3761"/>
      <c r="CI20" s="3761">
        <f>+CD20+1</f>
        <v>2011</v>
      </c>
      <c r="CJ20" s="3761"/>
      <c r="CK20" s="3761"/>
      <c r="CL20" s="3761"/>
      <c r="CM20" s="3761"/>
      <c r="CN20" s="3761">
        <f>+CI20+1</f>
        <v>2012</v>
      </c>
      <c r="CO20" s="3761"/>
      <c r="CP20" s="3761"/>
      <c r="CQ20" s="3761"/>
      <c r="CR20" s="3761"/>
      <c r="CS20" s="3761">
        <f>+CN20+1</f>
        <v>2013</v>
      </c>
      <c r="CT20" s="3761"/>
      <c r="CU20" s="3761"/>
      <c r="CV20" s="3761"/>
      <c r="CW20" s="3761"/>
      <c r="CX20" s="3761">
        <f>+CS20+1</f>
        <v>2014</v>
      </c>
      <c r="CY20" s="3761"/>
      <c r="CZ20" s="3761"/>
      <c r="DA20" s="3761"/>
      <c r="DB20" s="3761"/>
      <c r="DC20" s="3761">
        <f>+CX20+1</f>
        <v>2015</v>
      </c>
      <c r="DD20" s="3761"/>
      <c r="DE20" s="3761"/>
      <c r="DF20" s="3761"/>
      <c r="DG20" s="3761"/>
      <c r="DH20" s="3761">
        <f>+DC20+1</f>
        <v>2016</v>
      </c>
      <c r="DI20" s="3761"/>
      <c r="DJ20" s="3761"/>
      <c r="DK20" s="3761"/>
      <c r="DL20" s="3761"/>
      <c r="DM20" s="3761">
        <f>+DH20+1</f>
        <v>2017</v>
      </c>
      <c r="DN20" s="3761"/>
      <c r="DO20" s="3761"/>
      <c r="DP20" s="3761"/>
      <c r="DQ20" s="3761"/>
      <c r="DR20" s="3761">
        <f>+DM20+1</f>
        <v>2018</v>
      </c>
      <c r="DS20" s="3761"/>
      <c r="DT20" s="3761"/>
      <c r="DU20" s="3761"/>
      <c r="DV20" s="3761"/>
      <c r="DW20" s="3761">
        <f>+DR20+1</f>
        <v>2019</v>
      </c>
      <c r="DX20" s="3761"/>
      <c r="DY20" s="3761"/>
      <c r="DZ20" s="3761"/>
      <c r="EA20" s="3761"/>
      <c r="EB20"/>
      <c r="EC20"/>
      <c r="ED20"/>
      <c r="EE20"/>
      <c r="EF20"/>
      <c r="EG20"/>
      <c r="EH20"/>
      <c r="EI20"/>
      <c r="EJ20"/>
      <c r="EK20"/>
      <c r="EL20"/>
      <c r="EM20"/>
      <c r="EN20"/>
      <c r="EO20"/>
    </row>
    <row r="21" spans="1:145">
      <c r="C21" s="1479" t="s">
        <v>1767</v>
      </c>
      <c r="D21" s="23" t="s">
        <v>685</v>
      </c>
      <c r="E21" s="23" t="s">
        <v>821</v>
      </c>
      <c r="F21" s="1494" t="s">
        <v>1731</v>
      </c>
      <c r="G21" s="1520"/>
      <c r="H21" s="1486"/>
      <c r="I21" s="1486"/>
      <c r="J21" s="1486"/>
      <c r="K21" s="1487"/>
      <c r="L21" s="1510">
        <f ca="1">OFFSET('VVP2'!$G134,0,(COLUMN()-6)/5)</f>
        <v>4.1383599330262353</v>
      </c>
      <c r="M21" s="1486"/>
      <c r="N21" s="1486"/>
      <c r="O21" s="1486"/>
      <c r="P21" s="1487"/>
      <c r="Q21" s="1510">
        <f ca="1">OFFSET('VVP2'!$G134,0,(COLUMN()-6)/5)</f>
        <v>3.6066547319100932</v>
      </c>
      <c r="R21" s="1486"/>
      <c r="S21" s="1486"/>
      <c r="T21" s="1486"/>
      <c r="U21" s="1487"/>
      <c r="V21" s="1510">
        <f ca="1">OFFSET('VVP2'!$G134,0,(COLUMN()-6)/5)</f>
        <v>2.9171376517814478</v>
      </c>
      <c r="W21" s="1486"/>
      <c r="X21" s="1486"/>
      <c r="Y21" s="1486"/>
      <c r="Z21" s="1487"/>
      <c r="AA21" s="1510">
        <f ca="1">OFFSET('VVP2'!$G134,0,(COLUMN()-6)/5)</f>
        <v>3.0374552623936131</v>
      </c>
      <c r="AB21" s="1486"/>
      <c r="AC21" s="1486"/>
      <c r="AD21" s="1486"/>
      <c r="AE21" s="1487"/>
      <c r="AF21" s="1510">
        <f ca="1">OFFSET('VVP2'!$G134,0,(COLUMN()-6)/5)</f>
        <v>4.5372169233459694</v>
      </c>
      <c r="AG21" s="1486"/>
      <c r="AH21" s="1486"/>
      <c r="AI21" s="1486"/>
      <c r="AJ21" s="1487"/>
      <c r="AK21" s="1510">
        <f ca="1">OFFSET('VVP2'!$G134,0,(COLUMN()-6)/5)</f>
        <v>2.7360215980615159</v>
      </c>
      <c r="AL21" s="1486"/>
      <c r="AM21" s="1486"/>
      <c r="AN21" s="1486"/>
      <c r="AO21" s="1487"/>
      <c r="AP21" s="1510">
        <f ca="1">OFFSET('VVP2'!$G134,0,(COLUMN()-6)/5)</f>
        <v>4.025229715094861</v>
      </c>
      <c r="AQ21" s="1486"/>
      <c r="AR21" s="1486"/>
      <c r="AS21" s="1486"/>
      <c r="AT21" s="1487"/>
      <c r="AU21" s="1510">
        <f ca="1">OFFSET('VVP2'!$G134,0,(COLUMN()-6)/5)</f>
        <v>7.2310900992097835</v>
      </c>
      <c r="AV21" s="1486"/>
      <c r="AW21" s="1486"/>
      <c r="AX21" s="1486"/>
      <c r="AY21" s="1487"/>
      <c r="AZ21" s="1510">
        <f ca="1">OFFSET('VVP2'!$G134,0,(COLUMN()-6)/5)</f>
        <v>7.5253723484101833</v>
      </c>
      <c r="BA21" s="1486"/>
      <c r="BB21" s="1486"/>
      <c r="BC21" s="1486"/>
      <c r="BD21" s="1487"/>
      <c r="BE21" s="1510">
        <f ca="1">OFFSET('VVP2'!$G134,0,(COLUMN()-6)/5)</f>
        <v>7.564702960473543</v>
      </c>
      <c r="BF21" s="1486"/>
      <c r="BG21" s="1486"/>
      <c r="BH21" s="1486"/>
      <c r="BI21" s="1487"/>
      <c r="BJ21" s="1510">
        <f ca="1">OFFSET('VVP2'!$G134,0,(COLUMN()-6)/5)</f>
        <v>5.8841032011095482</v>
      </c>
      <c r="BK21" s="1486"/>
      <c r="BL21" s="1486"/>
      <c r="BM21" s="1486"/>
      <c r="BN21" s="1487"/>
      <c r="BO21" s="1510">
        <f ca="1">OFFSET('VVP2'!$G134,0,(COLUMN()-6)/5)</f>
        <v>7.9987599452772411</v>
      </c>
      <c r="BP21" s="1486"/>
      <c r="BQ21" s="1486"/>
      <c r="BR21" s="1486"/>
      <c r="BS21" s="1487"/>
      <c r="BT21" s="1510">
        <f ca="1">OFFSET('VVP2'!$G134,0,(COLUMN()-6)/5)</f>
        <v>2.4497388450059732</v>
      </c>
      <c r="BU21" s="1486"/>
      <c r="BV21" s="1486"/>
      <c r="BW21" s="1486"/>
      <c r="BX21" s="1487"/>
      <c r="BY21" s="1510">
        <f ca="1">OFFSET('VVP2'!$G134,0,(COLUMN()-6)/5)</f>
        <v>-11.283150792692734</v>
      </c>
      <c r="BZ21" s="1486"/>
      <c r="CA21" s="1486"/>
      <c r="CB21" s="1486"/>
      <c r="CC21" s="1487"/>
      <c r="CD21" s="1510">
        <f ca="1">OFFSET('VVP2'!$G134,0,(COLUMN()-6)/5)</f>
        <v>-2.2833464738686966</v>
      </c>
      <c r="CE21" s="1486"/>
      <c r="CF21" s="1486"/>
      <c r="CG21" s="1486"/>
      <c r="CH21" s="1487"/>
      <c r="CI21" s="1510">
        <f ca="1">OFFSET('VVP2'!$G134,0,(COLUMN()-6)/5)</f>
        <v>2.9444841274654974</v>
      </c>
      <c r="CJ21" s="1486"/>
      <c r="CK21" s="1486"/>
      <c r="CL21" s="1486"/>
      <c r="CM21" s="1487"/>
      <c r="CN21" s="1510">
        <f ca="1">OFFSET('VVP2'!$G134,0,(COLUMN()-6)/5)</f>
        <v>1.933767657054497</v>
      </c>
      <c r="CO21" s="1486"/>
      <c r="CP21" s="1486"/>
      <c r="CQ21" s="1486"/>
      <c r="CR21" s="1487"/>
      <c r="CS21" s="1510">
        <f ca="1">OFFSET('VVP2'!$G134,0,(COLUMN()-6)/5)</f>
        <v>2.6864840775891077</v>
      </c>
      <c r="CT21" s="1486"/>
      <c r="CU21" s="1486"/>
      <c r="CV21" s="1486"/>
      <c r="CW21" s="1487"/>
      <c r="CX21" s="1510">
        <f ca="1">OFFSET('VVP2'!$G134,0,(COLUMN()-6)/5)</f>
        <v>2.4827050966901307</v>
      </c>
      <c r="CY21" s="1486"/>
      <c r="CZ21" s="1486"/>
      <c r="DA21" s="1486"/>
      <c r="DB21" s="1487"/>
      <c r="DC21" s="1510">
        <f ca="1">OFFSET('VVP2'!$G134,0,(COLUMN()-6)/5)</f>
        <v>2.4767860084189945</v>
      </c>
      <c r="DD21" s="1486"/>
      <c r="DE21" s="1486"/>
      <c r="DF21" s="1486"/>
      <c r="DG21" s="1487"/>
      <c r="DH21" s="1510">
        <f ca="1">OFFSET('VVP2'!$G134,0,(COLUMN()-6)/5)</f>
        <v>3.0954229674522304</v>
      </c>
      <c r="DI21" s="1486"/>
      <c r="DJ21" s="1486"/>
      <c r="DK21" s="1486"/>
      <c r="DL21" s="1487"/>
      <c r="DM21" s="1510">
        <f ca="1">OFFSET('VVP2'!$G134,0,(COLUMN()-6)/5)</f>
        <v>2.5018577937003226</v>
      </c>
      <c r="DN21" s="1486"/>
      <c r="DO21" s="1486"/>
      <c r="DP21" s="1486"/>
      <c r="DQ21" s="1487"/>
      <c r="DR21" s="1510">
        <f ca="1">OFFSET('VVP2'!$G134,0,(COLUMN()-6)/5)</f>
        <v>2.2451477866547527</v>
      </c>
      <c r="DS21" s="1486"/>
      <c r="DT21" s="1486"/>
      <c r="DU21" s="1486"/>
      <c r="DV21" s="1487"/>
      <c r="DW21" s="1510">
        <f ca="1">OFFSET('VVP2'!$G134,0,(COLUMN()-6)/5)</f>
        <v>2.1242564265053807</v>
      </c>
      <c r="DX21" s="1486"/>
      <c r="DY21" s="1486"/>
      <c r="DZ21" s="1486"/>
      <c r="EA21" s="1487"/>
    </row>
    <row r="22" spans="1:145">
      <c r="C22" s="1480" t="s">
        <v>1767</v>
      </c>
      <c r="D22" s="1" t="s">
        <v>687</v>
      </c>
      <c r="E22" s="1" t="s">
        <v>821</v>
      </c>
      <c r="F22" s="1481" t="s">
        <v>280</v>
      </c>
      <c r="G22" s="1491"/>
      <c r="H22" s="1198"/>
      <c r="I22" s="1198"/>
      <c r="J22" s="1198"/>
      <c r="K22" s="1488"/>
      <c r="L22" s="1515">
        <f ca="1">OFFSET('VVP2'!$G135,0,(COLUMN()-6)/5)</f>
        <v>-0.16842919596012002</v>
      </c>
      <c r="M22" s="1198"/>
      <c r="N22" s="1198"/>
      <c r="O22" s="1198"/>
      <c r="P22" s="1488"/>
      <c r="Q22" s="1515">
        <f ca="1">OFFSET('VVP2'!$G135,0,(COLUMN()-6)/5)</f>
        <v>0.82236385226781072</v>
      </c>
      <c r="R22" s="1198"/>
      <c r="S22" s="1198"/>
      <c r="T22" s="1198"/>
      <c r="U22" s="1488"/>
      <c r="V22" s="1515">
        <f ca="1">OFFSET('VVP2'!$G135,0,(COLUMN()-6)/5)</f>
        <v>1.2115884201591725</v>
      </c>
      <c r="W22" s="1198"/>
      <c r="X22" s="1198"/>
      <c r="Y22" s="1198"/>
      <c r="Z22" s="1488"/>
      <c r="AA22" s="1515">
        <f ca="1">OFFSET('VVP2'!$G135,0,(COLUMN()-6)/5)</f>
        <v>-1.1439785619274152</v>
      </c>
      <c r="AB22" s="1198"/>
      <c r="AC22" s="1198"/>
      <c r="AD22" s="1198"/>
      <c r="AE22" s="1488"/>
      <c r="AF22" s="1515">
        <f ca="1">OFFSET('VVP2'!$G135,0,(COLUMN()-6)/5)</f>
        <v>5.2878627128147664E-2</v>
      </c>
      <c r="AG22" s="1198"/>
      <c r="AH22" s="1198"/>
      <c r="AI22" s="1198"/>
      <c r="AJ22" s="1488"/>
      <c r="AK22" s="1515">
        <f ca="1">OFFSET('VVP2'!$G135,0,(COLUMN()-6)/5)</f>
        <v>0.30483105174849651</v>
      </c>
      <c r="AL22" s="1198"/>
      <c r="AM22" s="1198"/>
      <c r="AN22" s="1198"/>
      <c r="AO22" s="1488"/>
      <c r="AP22" s="1515">
        <f ca="1">OFFSET('VVP2'!$G135,0,(COLUMN()-6)/5)</f>
        <v>0.52004037183473018</v>
      </c>
      <c r="AQ22" s="1198"/>
      <c r="AR22" s="1198"/>
      <c r="AS22" s="1198"/>
      <c r="AT22" s="1488"/>
      <c r="AU22" s="1515">
        <f ca="1">OFFSET('VVP2'!$G135,0,(COLUMN()-6)/5)</f>
        <v>0.60023052235130747</v>
      </c>
      <c r="AV22" s="1198"/>
      <c r="AW22" s="1198"/>
      <c r="AX22" s="1198"/>
      <c r="AY22" s="1488"/>
      <c r="AZ22" s="1515">
        <f ca="1">OFFSET('VVP2'!$G135,0,(COLUMN()-6)/5)</f>
        <v>0.89823047290342184</v>
      </c>
      <c r="BA22" s="1198"/>
      <c r="BB22" s="1198"/>
      <c r="BC22" s="1198"/>
      <c r="BD22" s="1488"/>
      <c r="BE22" s="1515">
        <f ca="1">OFFSET('VVP2'!$G135,0,(COLUMN()-6)/5)</f>
        <v>0.6818237495417484</v>
      </c>
      <c r="BF22" s="1198"/>
      <c r="BG22" s="1198"/>
      <c r="BH22" s="1198"/>
      <c r="BI22" s="1488"/>
      <c r="BJ22" s="1515">
        <f ca="1">OFFSET('VVP2'!$G135,0,(COLUMN()-6)/5)</f>
        <v>0.38928997908668406</v>
      </c>
      <c r="BK22" s="1198"/>
      <c r="BL22" s="1198"/>
      <c r="BM22" s="1198"/>
      <c r="BN22" s="1488"/>
      <c r="BO22" s="1515">
        <f ca="1">OFFSET('VVP2'!$G135,0,(COLUMN()-6)/5)</f>
        <v>0.35396552846964913</v>
      </c>
      <c r="BP22" s="1198"/>
      <c r="BQ22" s="1198"/>
      <c r="BR22" s="1198"/>
      <c r="BS22" s="1488"/>
      <c r="BT22" s="1515">
        <f ca="1">OFFSET('VVP2'!$G135,0,(COLUMN()-6)/5)</f>
        <v>4.1156318784191064E-2</v>
      </c>
      <c r="BU22" s="1198"/>
      <c r="BV22" s="1198"/>
      <c r="BW22" s="1198"/>
      <c r="BX22" s="1488"/>
      <c r="BY22" s="1515">
        <f ca="1">OFFSET('VVP2'!$G135,0,(COLUMN()-6)/5)</f>
        <v>-0.24525974115047039</v>
      </c>
      <c r="BZ22" s="1198"/>
      <c r="CA22" s="1198"/>
      <c r="CB22" s="1198"/>
      <c r="CC22" s="1488"/>
      <c r="CD22" s="1515">
        <f ca="1">OFFSET('VVP2'!$G135,0,(COLUMN()-6)/5)</f>
        <v>-0.67137603921916222</v>
      </c>
      <c r="CE22" s="1198"/>
      <c r="CF22" s="1198"/>
      <c r="CG22" s="1198"/>
      <c r="CH22" s="1488"/>
      <c r="CI22" s="1515">
        <f ca="1">OFFSET('VVP2'!$G135,0,(COLUMN()-6)/5)</f>
        <v>-7.0644499041307512E-2</v>
      </c>
      <c r="CJ22" s="1198"/>
      <c r="CK22" s="1198"/>
      <c r="CL22" s="1198"/>
      <c r="CM22" s="1488"/>
      <c r="CN22" s="1515">
        <f ca="1">OFFSET('VVP2'!$G135,0,(COLUMN()-6)/5)</f>
        <v>0.23577722985146193</v>
      </c>
      <c r="CO22" s="1198"/>
      <c r="CP22" s="1198"/>
      <c r="CQ22" s="1198"/>
      <c r="CR22" s="1488"/>
      <c r="CS22" s="1515">
        <f ca="1">OFFSET('VVP2'!$G135,0,(COLUMN()-6)/5)</f>
        <v>0.12636261192536491</v>
      </c>
      <c r="CT22" s="1198"/>
      <c r="CU22" s="1198"/>
      <c r="CV22" s="1198"/>
      <c r="CW22" s="1488"/>
      <c r="CX22" s="1515">
        <f ca="1">OFFSET('VVP2'!$G135,0,(COLUMN()-6)/5)</f>
        <v>4.7974411398629797E-2</v>
      </c>
      <c r="CY22" s="1198"/>
      <c r="CZ22" s="1198"/>
      <c r="DA22" s="1198"/>
      <c r="DB22" s="1488"/>
      <c r="DC22" s="1515">
        <f ca="1">OFFSET('VVP2'!$G135,0,(COLUMN()-6)/5)</f>
        <v>2.7291541722860111E-2</v>
      </c>
      <c r="DD22" s="1198"/>
      <c r="DE22" s="1198"/>
      <c r="DF22" s="1198"/>
      <c r="DG22" s="1488"/>
      <c r="DH22" s="1515">
        <f ca="1">OFFSET('VVP2'!$G135,0,(COLUMN()-6)/5)</f>
        <v>0.22199260963135678</v>
      </c>
      <c r="DI22" s="1198"/>
      <c r="DJ22" s="1198"/>
      <c r="DK22" s="1198"/>
      <c r="DL22" s="1488"/>
      <c r="DM22" s="1515">
        <f ca="1">OFFSET('VVP2'!$G135,0,(COLUMN()-6)/5)</f>
        <v>0.19891552353062456</v>
      </c>
      <c r="DN22" s="1198"/>
      <c r="DO22" s="1198"/>
      <c r="DP22" s="1198"/>
      <c r="DQ22" s="1488"/>
      <c r="DR22" s="1515">
        <f ca="1">OFFSET('VVP2'!$G135,0,(COLUMN()-6)/5)</f>
        <v>0.27116591314917959</v>
      </c>
      <c r="DS22" s="1198"/>
      <c r="DT22" s="1198"/>
      <c r="DU22" s="1198"/>
      <c r="DV22" s="1488"/>
      <c r="DW22" s="1515">
        <f ca="1">OFFSET('VVP2'!$G135,0,(COLUMN()-6)/5)</f>
        <v>0.25420713640065562</v>
      </c>
      <c r="DX22" s="1198"/>
      <c r="DY22" s="1198"/>
      <c r="DZ22" s="1198"/>
      <c r="EA22" s="1488"/>
    </row>
    <row r="23" spans="1:145">
      <c r="C23" s="1480" t="s">
        <v>1767</v>
      </c>
      <c r="D23" s="113"/>
      <c r="E23" s="113" t="s">
        <v>376</v>
      </c>
      <c r="F23" s="1482" t="s">
        <v>850</v>
      </c>
      <c r="G23" s="1521"/>
      <c r="H23" s="1489"/>
      <c r="I23" s="1489"/>
      <c r="J23" s="1489"/>
      <c r="K23" s="1490"/>
      <c r="L23" s="1516">
        <f ca="1">OFFSET('VVP2'!$G136,0,(COLUMN()-6)/5)</f>
        <v>4.2872241666257933</v>
      </c>
      <c r="M23" s="1489"/>
      <c r="N23" s="1489"/>
      <c r="O23" s="1489"/>
      <c r="P23" s="1490"/>
      <c r="Q23" s="1516">
        <f ca="1">OFFSET('VVP2'!$G136,0,(COLUMN()-6)/5)</f>
        <v>5.2551720431819753</v>
      </c>
      <c r="R23" s="1489"/>
      <c r="S23" s="1489"/>
      <c r="T23" s="1489"/>
      <c r="U23" s="1490"/>
      <c r="V23" s="1516">
        <f ca="1">OFFSET('VVP2'!$G136,0,(COLUMN()-6)/5)</f>
        <v>4.7200698362673137</v>
      </c>
      <c r="W23" s="1489"/>
      <c r="X23" s="1489"/>
      <c r="Y23" s="1489"/>
      <c r="Z23" s="1490"/>
      <c r="AA23" s="1516">
        <f ca="1">OFFSET('VVP2'!$G136,0,(COLUMN()-6)/5)</f>
        <v>-1.4196800100178606</v>
      </c>
      <c r="AB23" s="1489"/>
      <c r="AC23" s="1489"/>
      <c r="AD23" s="1489"/>
      <c r="AE23" s="1490"/>
      <c r="AF23" s="1516">
        <f ca="1">OFFSET('VVP2'!$G136,0,(COLUMN()-6)/5)</f>
        <v>-1.8380545733749503</v>
      </c>
      <c r="AG23" s="1489"/>
      <c r="AH23" s="1489"/>
      <c r="AI23" s="1489"/>
      <c r="AJ23" s="1490"/>
      <c r="AK23" s="1516">
        <f ca="1">OFFSET('VVP2'!$G136,0,(COLUMN()-6)/5)</f>
        <v>2.5218276833724187</v>
      </c>
      <c r="AL23" s="1489"/>
      <c r="AM23" s="1489"/>
      <c r="AN23" s="1489"/>
      <c r="AO23" s="1490"/>
      <c r="AP23" s="1516">
        <f ca="1">OFFSET('VVP2'!$G136,0,(COLUMN()-6)/5)</f>
        <v>2.1933218669616785</v>
      </c>
      <c r="AQ23" s="1489"/>
      <c r="AR23" s="1489"/>
      <c r="AS23" s="1489"/>
      <c r="AT23" s="1490"/>
      <c r="AU23" s="1516">
        <f ca="1">OFFSET('VVP2'!$G136,0,(COLUMN()-6)/5)</f>
        <v>2.792197287663555</v>
      </c>
      <c r="AV23" s="1489"/>
      <c r="AW23" s="1489"/>
      <c r="AX23" s="1489"/>
      <c r="AY23" s="1490"/>
      <c r="AZ23" s="1516">
        <f ca="1">OFFSET('VVP2'!$G136,0,(COLUMN()-6)/5)</f>
        <v>3.3867328271737018</v>
      </c>
      <c r="BA23" s="1489"/>
      <c r="BB23" s="1489"/>
      <c r="BC23" s="1489"/>
      <c r="BD23" s="1490"/>
      <c r="BE23" s="1516">
        <f ca="1">OFFSET('VVP2'!$G136,0,(COLUMN()-6)/5)</f>
        <v>2.6268277692547608</v>
      </c>
      <c r="BF23" s="1489"/>
      <c r="BG23" s="1489"/>
      <c r="BH23" s="1489"/>
      <c r="BI23" s="1490"/>
      <c r="BJ23" s="1516">
        <f ca="1">OFFSET('VVP2'!$G136,0,(COLUMN()-6)/5)</f>
        <v>4.5819066711864522</v>
      </c>
      <c r="BK23" s="1489"/>
      <c r="BL23" s="1489"/>
      <c r="BM23" s="1489"/>
      <c r="BN23" s="1490"/>
      <c r="BO23" s="1516">
        <f ca="1">OFFSET('VVP2'!$G136,0,(COLUMN()-6)/5)</f>
        <v>5.7905291914903483</v>
      </c>
      <c r="BP23" s="1489"/>
      <c r="BQ23" s="1489"/>
      <c r="BR23" s="1489"/>
      <c r="BS23" s="1490"/>
      <c r="BT23" s="1516">
        <f ca="1">OFFSET('VVP2'!$G136,0,(COLUMN()-6)/5)</f>
        <v>-1.1419921186788604</v>
      </c>
      <c r="BU23" s="1489"/>
      <c r="BV23" s="1489"/>
      <c r="BW23" s="1489"/>
      <c r="BX23" s="1490"/>
      <c r="BY23" s="1516">
        <f ca="1">OFFSET('VVP2'!$G136,0,(COLUMN()-6)/5)</f>
        <v>-10.129306133876364</v>
      </c>
      <c r="BZ23" s="1489"/>
      <c r="CA23" s="1489"/>
      <c r="CB23" s="1489"/>
      <c r="CC23" s="1490"/>
      <c r="CD23" s="1516">
        <f ca="1">OFFSET('VVP2'!$G136,0,(COLUMN()-6)/5)</f>
        <v>0.26351222899382509</v>
      </c>
      <c r="CE23" s="1489"/>
      <c r="CF23" s="1489"/>
      <c r="CG23" s="1489"/>
      <c r="CH23" s="1490"/>
      <c r="CI23" s="1516">
        <f ca="1">OFFSET('VVP2'!$G136,0,(COLUMN()-6)/5)</f>
        <v>3.397322502128254</v>
      </c>
      <c r="CJ23" s="1489"/>
      <c r="CK23" s="1489"/>
      <c r="CL23" s="1489"/>
      <c r="CM23" s="1490"/>
      <c r="CN23" s="1516">
        <f ca="1">OFFSET('VVP2'!$G136,0,(COLUMN()-6)/5)</f>
        <v>-0.32870928527605825</v>
      </c>
      <c r="CO23" s="1489"/>
      <c r="CP23" s="1489"/>
      <c r="CQ23" s="1489"/>
      <c r="CR23" s="1490"/>
      <c r="CS23" s="1516">
        <f ca="1">OFFSET('VVP2'!$G136,0,(COLUMN()-6)/5)</f>
        <v>1.4404922785751533</v>
      </c>
      <c r="CT23" s="1489"/>
      <c r="CU23" s="1489"/>
      <c r="CV23" s="1489"/>
      <c r="CW23" s="1490"/>
      <c r="CX23" s="1516">
        <f ca="1">OFFSET('VVP2'!$G136,0,(COLUMN()-6)/5)</f>
        <v>1.0620226431963415</v>
      </c>
      <c r="CY23" s="1489"/>
      <c r="CZ23" s="1489"/>
      <c r="DA23" s="1489"/>
      <c r="DB23" s="1490"/>
      <c r="DC23" s="1516">
        <f ca="1">OFFSET('VVP2'!$G136,0,(COLUMN()-6)/5)</f>
        <v>0.91142762758598306</v>
      </c>
      <c r="DD23" s="1489"/>
      <c r="DE23" s="1489"/>
      <c r="DF23" s="1489"/>
      <c r="DG23" s="1490"/>
      <c r="DH23" s="1516">
        <f ca="1">OFFSET('VVP2'!$G136,0,(COLUMN()-6)/5)</f>
        <v>-9.215898451947481E-2</v>
      </c>
      <c r="DI23" s="1489"/>
      <c r="DJ23" s="1489"/>
      <c r="DK23" s="1489"/>
      <c r="DL23" s="1490"/>
      <c r="DM23" s="1516">
        <f ca="1">OFFSET('VVP2'!$G136,0,(COLUMN()-6)/5)</f>
        <v>1.3815246451376217</v>
      </c>
      <c r="DN23" s="1489"/>
      <c r="DO23" s="1489"/>
      <c r="DP23" s="1489"/>
      <c r="DQ23" s="1490"/>
      <c r="DR23" s="1516">
        <f ca="1">OFFSET('VVP2'!$G136,0,(COLUMN()-6)/5)</f>
        <v>1.2744205439365495</v>
      </c>
      <c r="DS23" s="1489"/>
      <c r="DT23" s="1489"/>
      <c r="DU23" s="1489"/>
      <c r="DV23" s="1490"/>
      <c r="DW23" s="1516">
        <f ca="1">OFFSET('VVP2'!$G136,0,(COLUMN()-6)/5)</f>
        <v>0.81064573940295304</v>
      </c>
      <c r="DX23" s="1489"/>
      <c r="DY23" s="1489"/>
      <c r="DZ23" s="1489"/>
      <c r="EA23" s="1490"/>
    </row>
    <row r="24" spans="1:145">
      <c r="C24" s="1480" t="s">
        <v>1769</v>
      </c>
      <c r="D24" s="50"/>
      <c r="E24" s="50" t="s">
        <v>1343</v>
      </c>
      <c r="F24" s="1483"/>
      <c r="G24" s="1491"/>
      <c r="H24" s="1491"/>
      <c r="I24" s="1491"/>
      <c r="J24" s="1491"/>
      <c r="K24" s="1492"/>
      <c r="L24" s="1515">
        <f ca="1">OFFSET('VVP2'!$G137,0,(COLUMN()-6)/5)</f>
        <v>8.2082122738956862</v>
      </c>
      <c r="M24" s="1491"/>
      <c r="N24" s="1491"/>
      <c r="O24" s="1491"/>
      <c r="P24" s="1492"/>
      <c r="Q24" s="1515">
        <f ca="1">OFFSET('VVP2'!$G137,0,(COLUMN()-6)/5)</f>
        <v>9.6614173967330697</v>
      </c>
      <c r="R24" s="1491"/>
      <c r="S24" s="1491"/>
      <c r="T24" s="1491"/>
      <c r="U24" s="1492"/>
      <c r="V24" s="1515">
        <f ca="1">OFFSET('VVP2'!$G137,0,(COLUMN()-6)/5)</f>
        <v>8.8418488932368344</v>
      </c>
      <c r="W24" s="1491"/>
      <c r="X24" s="1491"/>
      <c r="Y24" s="1491"/>
      <c r="Z24" s="1492"/>
      <c r="AA24" s="1515">
        <f ca="1">OFFSET('VVP2'!$G137,0,(COLUMN()-6)/5)</f>
        <v>0.46850370126390778</v>
      </c>
      <c r="AB24" s="1491"/>
      <c r="AC24" s="1491"/>
      <c r="AD24" s="1491"/>
      <c r="AE24" s="1492"/>
      <c r="AF24" s="1515">
        <f ca="1">OFFSET('VVP2'!$G137,0,(COLUMN()-6)/5)</f>
        <v>2.7539559515606666</v>
      </c>
      <c r="AG24" s="1491"/>
      <c r="AH24" s="1491"/>
      <c r="AI24" s="1491"/>
      <c r="AJ24" s="1492"/>
      <c r="AK24" s="1515">
        <f ca="1">OFFSET('VVP2'!$G137,0,(COLUMN()-6)/5)</f>
        <v>5.5315036186964663</v>
      </c>
      <c r="AL24" s="1491"/>
      <c r="AM24" s="1491"/>
      <c r="AN24" s="1491"/>
      <c r="AO24" s="1492"/>
      <c r="AP24" s="1515">
        <f ca="1">OFFSET('VVP2'!$G137,0,(COLUMN()-6)/5)</f>
        <v>6.7222534544508479</v>
      </c>
      <c r="AQ24" s="1491"/>
      <c r="AR24" s="1491"/>
      <c r="AS24" s="1491"/>
      <c r="AT24" s="1492"/>
      <c r="AU24" s="1515">
        <f ca="1">OFFSET('VVP2'!$G137,0,(COLUMN()-6)/5)</f>
        <v>10.598615593574646</v>
      </c>
      <c r="AV24" s="1491"/>
      <c r="AW24" s="1491"/>
      <c r="AX24" s="1491"/>
      <c r="AY24" s="1492"/>
      <c r="AZ24" s="1515">
        <f ca="1">OFFSET('VVP2'!$G137,0,(COLUMN()-6)/5)</f>
        <v>11.815953751702724</v>
      </c>
      <c r="BA24" s="1491"/>
      <c r="BB24" s="1491"/>
      <c r="BC24" s="1491"/>
      <c r="BD24" s="1492"/>
      <c r="BE24" s="1515">
        <f ca="1">OFFSET('VVP2'!$G137,0,(COLUMN()-6)/5)</f>
        <v>10.873331834827438</v>
      </c>
      <c r="BF24" s="1491"/>
      <c r="BG24" s="1491"/>
      <c r="BH24" s="1491"/>
      <c r="BI24" s="1492"/>
      <c r="BJ24" s="1515">
        <f ca="1">OFFSET('VVP2'!$G137,0,(COLUMN()-6)/5)</f>
        <v>10.855331795203485</v>
      </c>
      <c r="BK24" s="1491"/>
      <c r="BL24" s="1491"/>
      <c r="BM24" s="1491"/>
      <c r="BN24" s="1492"/>
      <c r="BO24" s="1515">
        <f ca="1">OFFSET('VVP2'!$G137,0,(COLUMN()-6)/5)</f>
        <v>14.143255074798653</v>
      </c>
      <c r="BP24" s="1491"/>
      <c r="BQ24" s="1491"/>
      <c r="BR24" s="1491"/>
      <c r="BS24" s="1492"/>
      <c r="BT24" s="1515">
        <f ca="1">OFFSET('VVP2'!$G137,0,(COLUMN()-6)/5)</f>
        <v>1.3489071897737965</v>
      </c>
      <c r="BU24" s="1491"/>
      <c r="BV24" s="1491"/>
      <c r="BW24" s="1491"/>
      <c r="BX24" s="1492"/>
      <c r="BY24" s="1515">
        <f ca="1">OFFSET('VVP2'!$G137,0,(COLUMN()-6)/5)</f>
        <v>-21.657703268888838</v>
      </c>
      <c r="BZ24" s="1491"/>
      <c r="CA24" s="1491"/>
      <c r="CB24" s="1491"/>
      <c r="CC24" s="1492"/>
      <c r="CD24" s="1515">
        <f ca="1">OFFSET('VVP2'!$G137,0,(COLUMN()-6)/5)</f>
        <v>-2.6912535037183738</v>
      </c>
      <c r="CE24" s="1491"/>
      <c r="CF24" s="1491"/>
      <c r="CG24" s="1491"/>
      <c r="CH24" s="1492"/>
      <c r="CI24" s="1515">
        <f ca="1">OFFSET('VVP2'!$G137,0,(COLUMN()-6)/5)</f>
        <v>6.2711621305524528</v>
      </c>
      <c r="CJ24" s="1491"/>
      <c r="CK24" s="1491"/>
      <c r="CL24" s="1491"/>
      <c r="CM24" s="1492"/>
      <c r="CN24" s="1515">
        <f ca="1">OFFSET('VVP2'!$G137,0,(COLUMN()-6)/5)</f>
        <v>1.8408210848806765</v>
      </c>
      <c r="CO24" s="1491"/>
      <c r="CP24" s="1491"/>
      <c r="CQ24" s="1491"/>
      <c r="CR24" s="1492"/>
      <c r="CS24" s="1515">
        <f ca="1">OFFSET('VVP2'!$G137,0,(COLUMN()-6)/5)</f>
        <v>4.2533449966865806</v>
      </c>
      <c r="CT24" s="1491"/>
      <c r="CU24" s="1491"/>
      <c r="CV24" s="1491"/>
      <c r="CW24" s="1492"/>
      <c r="CX24" s="1515">
        <f ca="1">OFFSET('VVP2'!$G137,0,(COLUMN()-6)/5)</f>
        <v>3.5927336671966179</v>
      </c>
      <c r="CY24" s="1491"/>
      <c r="CZ24" s="1491"/>
      <c r="DA24" s="1491"/>
      <c r="DB24" s="1492"/>
      <c r="DC24" s="1515">
        <f ca="1">OFFSET('VVP2'!$G137,0,(COLUMN()-6)/5)</f>
        <v>3.4154852666704851</v>
      </c>
      <c r="DD24" s="1491"/>
      <c r="DE24" s="1491"/>
      <c r="DF24" s="1491"/>
      <c r="DG24" s="1492"/>
      <c r="DH24" s="1515">
        <f ca="1">OFFSET('VVP2'!$G137,0,(COLUMN()-6)/5)</f>
        <v>3.2252509996547198</v>
      </c>
      <c r="DI24" s="1491"/>
      <c r="DJ24" s="1491"/>
      <c r="DK24" s="1491"/>
      <c r="DL24" s="1492"/>
      <c r="DM24" s="1515">
        <f ca="1">OFFSET('VVP2'!$G137,0,(COLUMN()-6)/5)</f>
        <v>4.0822979623685622</v>
      </c>
      <c r="DN24" s="1491"/>
      <c r="DO24" s="1491"/>
      <c r="DP24" s="1491"/>
      <c r="DQ24" s="1492"/>
      <c r="DR24" s="1515">
        <f ca="1">OFFSET('VVP2'!$G137,0,(COLUMN()-6)/5)</f>
        <v>3.7907342437404736</v>
      </c>
      <c r="DS24" s="1491"/>
      <c r="DT24" s="1491"/>
      <c r="DU24" s="1491"/>
      <c r="DV24" s="1492"/>
      <c r="DW24" s="1515">
        <f ca="1">OFFSET('VVP2'!$G137,0,(COLUMN()-6)/5)</f>
        <v>3.1891093023089798</v>
      </c>
      <c r="DX24" s="1491"/>
      <c r="DY24" s="1491"/>
      <c r="DZ24" s="1491"/>
      <c r="EA24" s="1492"/>
    </row>
    <row r="25" spans="1:145">
      <c r="C25" s="1480" t="s">
        <v>1767</v>
      </c>
      <c r="D25" s="113"/>
      <c r="E25" s="113" t="s">
        <v>1272</v>
      </c>
      <c r="F25" s="1482" t="s">
        <v>1992</v>
      </c>
      <c r="G25" s="1521"/>
      <c r="H25" s="1489"/>
      <c r="I25" s="1489"/>
      <c r="J25" s="1489"/>
      <c r="K25" s="1490"/>
      <c r="L25" s="1516">
        <f ca="1">OFFSET('VVP2'!$G138,0,(COLUMN()-6)/5)</f>
        <v>1.4513428074752475</v>
      </c>
      <c r="M25" s="1489"/>
      <c r="N25" s="1489"/>
      <c r="O25" s="1489"/>
      <c r="P25" s="1490"/>
      <c r="Q25" s="1516">
        <f ca="1">OFFSET('VVP2'!$G138,0,(COLUMN()-6)/5)</f>
        <v>3.8518325888653013</v>
      </c>
      <c r="R25" s="1489"/>
      <c r="S25" s="1489"/>
      <c r="T25" s="1489"/>
      <c r="U25" s="1490"/>
      <c r="V25" s="1516">
        <f ca="1">OFFSET('VVP2'!$G138,0,(COLUMN()-6)/5)</f>
        <v>0.1636449464963908</v>
      </c>
      <c r="W25" s="1489"/>
      <c r="X25" s="1489"/>
      <c r="Y25" s="1489"/>
      <c r="Z25" s="1490"/>
      <c r="AA25" s="1516">
        <f ca="1">OFFSET('VVP2'!$G138,0,(COLUMN()-6)/5)</f>
        <v>-1.0800950873552702</v>
      </c>
      <c r="AB25" s="1489"/>
      <c r="AC25" s="1489"/>
      <c r="AD25" s="1489"/>
      <c r="AE25" s="1490"/>
      <c r="AF25" s="1516">
        <f ca="1">OFFSET('VVP2'!$G138,0,(COLUMN()-6)/5)</f>
        <v>-0.40554328888543595</v>
      </c>
      <c r="AG25" s="1489"/>
      <c r="AH25" s="1489"/>
      <c r="AI25" s="1489"/>
      <c r="AJ25" s="1490"/>
      <c r="AK25" s="1516">
        <f ca="1">OFFSET('VVP2'!$G138,0,(COLUMN()-6)/5)</f>
        <v>0.6501102377115151</v>
      </c>
      <c r="AL25" s="1489"/>
      <c r="AM25" s="1489"/>
      <c r="AN25" s="1489"/>
      <c r="AO25" s="1490"/>
      <c r="AP25" s="1516">
        <f ca="1">OFFSET('VVP2'!$G138,0,(COLUMN()-6)/5)</f>
        <v>1.1252035507024927</v>
      </c>
      <c r="AQ25" s="1489"/>
      <c r="AR25" s="1489"/>
      <c r="AS25" s="1489"/>
      <c r="AT25" s="1490"/>
      <c r="AU25" s="1516">
        <f ca="1">OFFSET('VVP2'!$G138,0,(COLUMN()-6)/5)</f>
        <v>0.40458840247042593</v>
      </c>
      <c r="AV25" s="1489"/>
      <c r="AW25" s="1489"/>
      <c r="AX25" s="1489"/>
      <c r="AY25" s="1490"/>
      <c r="AZ25" s="1516">
        <f ca="1">OFFSET('VVP2'!$G138,0,(COLUMN()-6)/5)</f>
        <v>2.1964233559087751</v>
      </c>
      <c r="BA25" s="1489"/>
      <c r="BB25" s="1489"/>
      <c r="BC25" s="1489"/>
      <c r="BD25" s="1490"/>
      <c r="BE25" s="1516">
        <f ca="1">OFFSET('VVP2'!$G138,0,(COLUMN()-6)/5)</f>
        <v>-1.8091709559490972</v>
      </c>
      <c r="BF25" s="1489"/>
      <c r="BG25" s="1489"/>
      <c r="BH25" s="1489"/>
      <c r="BI25" s="1490"/>
      <c r="BJ25" s="1516">
        <f ca="1">OFFSET('VVP2'!$G138,0,(COLUMN()-6)/5)</f>
        <v>-1.548513963512715</v>
      </c>
      <c r="BK25" s="1489"/>
      <c r="BL25" s="1489"/>
      <c r="BM25" s="1489"/>
      <c r="BN25" s="1490"/>
      <c r="BO25" s="1516">
        <f ca="1">OFFSET('VVP2'!$G138,0,(COLUMN()-6)/5)</f>
        <v>2.2992180093849104</v>
      </c>
      <c r="BP25" s="1489"/>
      <c r="BQ25" s="1489"/>
      <c r="BR25" s="1489"/>
      <c r="BS25" s="1490"/>
      <c r="BT25" s="1516">
        <f ca="1">OFFSET('VVP2'!$G138,0,(COLUMN()-6)/5)</f>
        <v>2.2142051004570154</v>
      </c>
      <c r="BU25" s="1489"/>
      <c r="BV25" s="1489"/>
      <c r="BW25" s="1489"/>
      <c r="BX25" s="1490"/>
      <c r="BY25" s="1516">
        <f ca="1">OFFSET('VVP2'!$G138,0,(COLUMN()-6)/5)</f>
        <v>-5.085878670088305</v>
      </c>
      <c r="BZ25" s="1489"/>
      <c r="CA25" s="1489"/>
      <c r="CB25" s="1489"/>
      <c r="CC25" s="1490"/>
      <c r="CD25" s="1516">
        <f ca="1">OFFSET('VVP2'!$G138,0,(COLUMN()-6)/5)</f>
        <v>4.5041049338341725</v>
      </c>
      <c r="CE25" s="1489"/>
      <c r="CF25" s="1489"/>
      <c r="CG25" s="1489"/>
      <c r="CH25" s="1490"/>
      <c r="CI25" s="1516">
        <f ca="1">OFFSET('VVP2'!$G138,0,(COLUMN()-6)/5)</f>
        <v>-0.20604645553711376</v>
      </c>
      <c r="CJ25" s="1489"/>
      <c r="CK25" s="1489"/>
      <c r="CL25" s="1489"/>
      <c r="CM25" s="1490"/>
      <c r="CN25" s="1516">
        <f ca="1">OFFSET('VVP2'!$G138,0,(COLUMN()-6)/5)</f>
        <v>-2.151835588016207</v>
      </c>
      <c r="CO25" s="1489"/>
      <c r="CP25" s="1489"/>
      <c r="CQ25" s="1489"/>
      <c r="CR25" s="1490"/>
      <c r="CS25" s="1516">
        <f ca="1">OFFSET('VVP2'!$G138,0,(COLUMN()-6)/5)</f>
        <v>-1.442923607568708</v>
      </c>
      <c r="CT25" s="1489"/>
      <c r="CU25" s="1489"/>
      <c r="CV25" s="1489"/>
      <c r="CW25" s="1490"/>
      <c r="CX25" s="1516">
        <f ca="1">OFFSET('VVP2'!$G138,0,(COLUMN()-6)/5)</f>
        <v>-0.23872302156008876</v>
      </c>
      <c r="CY25" s="1489"/>
      <c r="CZ25" s="1489"/>
      <c r="DA25" s="1489"/>
      <c r="DB25" s="1490"/>
      <c r="DC25" s="1516">
        <f ca="1">OFFSET('VVP2'!$G138,0,(COLUMN()-6)/5)</f>
        <v>3.8132633497471562</v>
      </c>
      <c r="DD25" s="1489"/>
      <c r="DE25" s="1489"/>
      <c r="DF25" s="1489"/>
      <c r="DG25" s="1490"/>
      <c r="DH25" s="1516">
        <f ca="1">OFFSET('VVP2'!$G138,0,(COLUMN()-6)/5)</f>
        <v>-0.80797158913461642</v>
      </c>
      <c r="DI25" s="1489"/>
      <c r="DJ25" s="1489"/>
      <c r="DK25" s="1489"/>
      <c r="DL25" s="1490"/>
      <c r="DM25" s="1516">
        <f ca="1">OFFSET('VVP2'!$G138,0,(COLUMN()-6)/5)</f>
        <v>0</v>
      </c>
      <c r="DN25" s="1489"/>
      <c r="DO25" s="1489"/>
      <c r="DP25" s="1489"/>
      <c r="DQ25" s="1490"/>
      <c r="DR25" s="1516">
        <f ca="1">OFFSET('VVP2'!$G138,0,(COLUMN()-6)/5)</f>
        <v>0</v>
      </c>
      <c r="DS25" s="1489"/>
      <c r="DT25" s="1489"/>
      <c r="DU25" s="1489"/>
      <c r="DV25" s="1490"/>
      <c r="DW25" s="1516">
        <f ca="1">OFFSET('VVP2'!$G138,0,(COLUMN()-6)/5)</f>
        <v>0</v>
      </c>
      <c r="DX25" s="1489"/>
      <c r="DY25" s="1489"/>
      <c r="DZ25" s="1489"/>
      <c r="EA25" s="1490"/>
    </row>
    <row r="26" spans="1:145">
      <c r="C26" s="1480" t="s">
        <v>1769</v>
      </c>
      <c r="D26" s="50"/>
      <c r="E26" s="50" t="s">
        <v>1071</v>
      </c>
      <c r="F26" s="1483"/>
      <c r="G26" s="1491"/>
      <c r="H26" s="1491"/>
      <c r="I26" s="1491"/>
      <c r="J26" s="1491"/>
      <c r="K26" s="1492"/>
      <c r="L26" s="1515">
        <f ca="1">OFFSET('VVP2'!$G139,0,(COLUMN()-6)/5)</f>
        <v>9.6595550813709377</v>
      </c>
      <c r="M26" s="1491"/>
      <c r="N26" s="1491"/>
      <c r="O26" s="1491"/>
      <c r="P26" s="1492"/>
      <c r="Q26" s="1515">
        <f ca="1">OFFSET('VVP2'!$G139,0,(COLUMN()-6)/5)</f>
        <v>13.513249985598369</v>
      </c>
      <c r="R26" s="1491"/>
      <c r="S26" s="1491"/>
      <c r="T26" s="1491"/>
      <c r="U26" s="1492"/>
      <c r="V26" s="1515">
        <f ca="1">OFFSET('VVP2'!$G139,0,(COLUMN()-6)/5)</f>
        <v>9.00549383973323</v>
      </c>
      <c r="W26" s="1491"/>
      <c r="X26" s="1491"/>
      <c r="Y26" s="1491"/>
      <c r="Z26" s="1492"/>
      <c r="AA26" s="1515">
        <f ca="1">OFFSET('VVP2'!$G139,0,(COLUMN()-6)/5)</f>
        <v>-0.61159138609136254</v>
      </c>
      <c r="AB26" s="1491"/>
      <c r="AC26" s="1491"/>
      <c r="AD26" s="1491"/>
      <c r="AE26" s="1492"/>
      <c r="AF26" s="1515">
        <f ca="1">OFFSET('VVP2'!$G139,0,(COLUMN()-6)/5)</f>
        <v>2.3484126626752246</v>
      </c>
      <c r="AG26" s="1491"/>
      <c r="AH26" s="1491"/>
      <c r="AI26" s="1491"/>
      <c r="AJ26" s="1492"/>
      <c r="AK26" s="1515">
        <f ca="1">OFFSET('VVP2'!$G139,0,(COLUMN()-6)/5)</f>
        <v>6.1816138564079841</v>
      </c>
      <c r="AL26" s="1491"/>
      <c r="AM26" s="1491"/>
      <c r="AN26" s="1491"/>
      <c r="AO26" s="1492"/>
      <c r="AP26" s="1515">
        <f ca="1">OFFSET('VVP2'!$G139,0,(COLUMN()-6)/5)</f>
        <v>7.8474570051533421</v>
      </c>
      <c r="AQ26" s="1491"/>
      <c r="AR26" s="1491"/>
      <c r="AS26" s="1491"/>
      <c r="AT26" s="1492"/>
      <c r="AU26" s="1515">
        <f ca="1">OFFSET('VVP2'!$G139,0,(COLUMN()-6)/5)</f>
        <v>11.003203996045062</v>
      </c>
      <c r="AV26" s="1491"/>
      <c r="AW26" s="1491"/>
      <c r="AX26" s="1491"/>
      <c r="AY26" s="1492"/>
      <c r="AZ26" s="1515">
        <f ca="1">OFFSET('VVP2'!$G139,0,(COLUMN()-6)/5)</f>
        <v>14.012377107611499</v>
      </c>
      <c r="BA26" s="1491"/>
      <c r="BB26" s="1491"/>
      <c r="BC26" s="1491"/>
      <c r="BD26" s="1492"/>
      <c r="BE26" s="1515">
        <f ca="1">OFFSET('VVP2'!$G139,0,(COLUMN()-6)/5)</f>
        <v>9.0641608788783419</v>
      </c>
      <c r="BF26" s="1491"/>
      <c r="BG26" s="1491"/>
      <c r="BH26" s="1491"/>
      <c r="BI26" s="1492"/>
      <c r="BJ26" s="1515">
        <f ca="1">OFFSET('VVP2'!$G139,0,(COLUMN()-6)/5)</f>
        <v>9.3068178316907648</v>
      </c>
      <c r="BK26" s="1491"/>
      <c r="BL26" s="1491"/>
      <c r="BM26" s="1491"/>
      <c r="BN26" s="1492"/>
      <c r="BO26" s="1515">
        <f ca="1">OFFSET('VVP2'!$G139,0,(COLUMN()-6)/5)</f>
        <v>16.442473084183558</v>
      </c>
      <c r="BP26" s="1491"/>
      <c r="BQ26" s="1491"/>
      <c r="BR26" s="1491"/>
      <c r="BS26" s="1492"/>
      <c r="BT26" s="1515">
        <f ca="1">OFFSET('VVP2'!$G139,0,(COLUMN()-6)/5)</f>
        <v>3.5631122902308099</v>
      </c>
      <c r="BU26" s="1491"/>
      <c r="BV26" s="1491"/>
      <c r="BW26" s="1491"/>
      <c r="BX26" s="1492"/>
      <c r="BY26" s="1515">
        <f ca="1">OFFSET('VVP2'!$G139,0,(COLUMN()-6)/5)</f>
        <v>-26.743581938977144</v>
      </c>
      <c r="BZ26" s="1491"/>
      <c r="CA26" s="1491"/>
      <c r="CB26" s="1491"/>
      <c r="CC26" s="1492"/>
      <c r="CD26" s="1515">
        <f ca="1">OFFSET('VVP2'!$G139,0,(COLUMN()-6)/5)</f>
        <v>1.8128514301158054</v>
      </c>
      <c r="CE26" s="1491"/>
      <c r="CF26" s="1491"/>
      <c r="CG26" s="1491"/>
      <c r="CH26" s="1492"/>
      <c r="CI26" s="1515">
        <f ca="1">OFFSET('VVP2'!$G139,0,(COLUMN()-6)/5)</f>
        <v>6.065115675015333</v>
      </c>
      <c r="CJ26" s="1491"/>
      <c r="CK26" s="1491"/>
      <c r="CL26" s="1491"/>
      <c r="CM26" s="1492"/>
      <c r="CN26" s="1515">
        <f ca="1">OFFSET('VVP2'!$G139,0,(COLUMN()-6)/5)</f>
        <v>-0.31101450313552992</v>
      </c>
      <c r="CO26" s="1491"/>
      <c r="CP26" s="1491"/>
      <c r="CQ26" s="1491"/>
      <c r="CR26" s="1492"/>
      <c r="CS26" s="1515">
        <f ca="1">OFFSET('VVP2'!$G139,0,(COLUMN()-6)/5)</f>
        <v>2.8104213891178689</v>
      </c>
      <c r="CT26" s="1491"/>
      <c r="CU26" s="1491"/>
      <c r="CV26" s="1491"/>
      <c r="CW26" s="1492"/>
      <c r="CX26" s="1515">
        <f ca="1">OFFSET('VVP2'!$G139,0,(COLUMN()-6)/5)</f>
        <v>3.3540106456365328</v>
      </c>
      <c r="CY26" s="1491"/>
      <c r="CZ26" s="1491"/>
      <c r="DA26" s="1491"/>
      <c r="DB26" s="1492"/>
      <c r="DC26" s="1515">
        <f ca="1">OFFSET('VVP2'!$G139,0,(COLUMN()-6)/5)</f>
        <v>7.2287486164176418</v>
      </c>
      <c r="DD26" s="1491"/>
      <c r="DE26" s="1491"/>
      <c r="DF26" s="1491"/>
      <c r="DG26" s="1492"/>
      <c r="DH26" s="1515">
        <f ca="1">OFFSET('VVP2'!$G139,0,(COLUMN()-6)/5)</f>
        <v>2.4172794105201034</v>
      </c>
      <c r="DI26" s="1491"/>
      <c r="DJ26" s="1491"/>
      <c r="DK26" s="1491"/>
      <c r="DL26" s="1492"/>
      <c r="DM26" s="1515">
        <f ca="1">OFFSET('VVP2'!$G139,0,(COLUMN()-6)/5)</f>
        <v>4.0822979623685622</v>
      </c>
      <c r="DN26" s="1491"/>
      <c r="DO26" s="1491"/>
      <c r="DP26" s="1491"/>
      <c r="DQ26" s="1492"/>
      <c r="DR26" s="1515">
        <f ca="1">OFFSET('VVP2'!$G139,0,(COLUMN()-6)/5)</f>
        <v>3.7907342437404736</v>
      </c>
      <c r="DS26" s="1491"/>
      <c r="DT26" s="1491"/>
      <c r="DU26" s="1491"/>
      <c r="DV26" s="1492"/>
      <c r="DW26" s="1515">
        <f ca="1">OFFSET('VVP2'!$G139,0,(COLUMN()-6)/5)</f>
        <v>3.1891093023089798</v>
      </c>
      <c r="DX26" s="1491"/>
      <c r="DY26" s="1491"/>
      <c r="DZ26" s="1491"/>
      <c r="EA26" s="1492"/>
    </row>
    <row r="27" spans="1:145">
      <c r="C27" s="1480" t="s">
        <v>1767</v>
      </c>
      <c r="D27" s="113"/>
      <c r="E27" s="113" t="s">
        <v>1358</v>
      </c>
      <c r="F27" s="1482" t="s">
        <v>1590</v>
      </c>
      <c r="G27" s="1521"/>
      <c r="H27" s="1489"/>
      <c r="I27" s="1489"/>
      <c r="J27" s="1489"/>
      <c r="K27" s="1490"/>
      <c r="L27" s="1516">
        <f ca="1">OFFSET('VVP2'!$G140,0,(COLUMN()-6)/5)</f>
        <v>7.0740050122288913</v>
      </c>
      <c r="M27" s="1489"/>
      <c r="N27" s="1489"/>
      <c r="O27" s="1489"/>
      <c r="P27" s="1490"/>
      <c r="Q27" s="1516">
        <f ca="1">OFFSET('VVP2'!$G140,0,(COLUMN()-6)/5)</f>
        <v>7.9008800445720686</v>
      </c>
      <c r="R27" s="1489"/>
      <c r="S27" s="1489"/>
      <c r="T27" s="1489"/>
      <c r="U27" s="1490"/>
      <c r="V27" s="1516">
        <f ca="1">OFFSET('VVP2'!$G140,0,(COLUMN()-6)/5)</f>
        <v>2.0950956730633008</v>
      </c>
      <c r="W27" s="1489"/>
      <c r="X27" s="1489"/>
      <c r="Y27" s="1489"/>
      <c r="Z27" s="1490"/>
      <c r="AA27" s="1516">
        <f ca="1">OFFSET('VVP2'!$G140,0,(COLUMN()-6)/5)</f>
        <v>-6.405529332212347</v>
      </c>
      <c r="AB27" s="1489"/>
      <c r="AC27" s="1489"/>
      <c r="AD27" s="1489"/>
      <c r="AE27" s="1490"/>
      <c r="AF27" s="1516">
        <f ca="1">OFFSET('VVP2'!$G140,0,(COLUMN()-6)/5)</f>
        <v>3.0979085524568646</v>
      </c>
      <c r="AG27" s="1489"/>
      <c r="AH27" s="1489"/>
      <c r="AI27" s="1489"/>
      <c r="AJ27" s="1490"/>
      <c r="AK27" s="1516">
        <f ca="1">OFFSET('VVP2'!$G140,0,(COLUMN()-6)/5)</f>
        <v>8.1751961752125588</v>
      </c>
      <c r="AL27" s="1489"/>
      <c r="AM27" s="1489"/>
      <c r="AN27" s="1489"/>
      <c r="AO27" s="1490"/>
      <c r="AP27" s="1516">
        <f ca="1">OFFSET('VVP2'!$G140,0,(COLUMN()-6)/5)</f>
        <v>8.1967936344199241</v>
      </c>
      <c r="AQ27" s="1489"/>
      <c r="AR27" s="1489"/>
      <c r="AS27" s="1489"/>
      <c r="AT27" s="1490"/>
      <c r="AU27" s="1516">
        <f ca="1">OFFSET('VVP2'!$G140,0,(COLUMN()-6)/5)</f>
        <v>3.9891433187894481</v>
      </c>
      <c r="AV27" s="1489"/>
      <c r="AW27" s="1489"/>
      <c r="AX27" s="1489"/>
      <c r="AY27" s="1490"/>
      <c r="AZ27" s="1516">
        <f ca="1">OFFSET('VVP2'!$G140,0,(COLUMN()-6)/5)</f>
        <v>1.8440397055448778</v>
      </c>
      <c r="BA27" s="1489"/>
      <c r="BB27" s="1489"/>
      <c r="BC27" s="1489"/>
      <c r="BD27" s="1490"/>
      <c r="BE27" s="1516">
        <f ca="1">OFFSET('VVP2'!$G140,0,(COLUMN()-6)/5)</f>
        <v>9.7251625266620305</v>
      </c>
      <c r="BF27" s="1489"/>
      <c r="BG27" s="1489"/>
      <c r="BH27" s="1489"/>
      <c r="BI27" s="1490"/>
      <c r="BJ27" s="1516">
        <f ca="1">OFFSET('VVP2'!$G140,0,(COLUMN()-6)/5)</f>
        <v>6.8080939203460993</v>
      </c>
      <c r="BK27" s="1489"/>
      <c r="BL27" s="1489"/>
      <c r="BM27" s="1489"/>
      <c r="BN27" s="1490"/>
      <c r="BO27" s="1516">
        <f ca="1">OFFSET('VVP2'!$G140,0,(COLUMN()-6)/5)</f>
        <v>1.7657561732833282</v>
      </c>
      <c r="BP27" s="1489"/>
      <c r="BQ27" s="1489"/>
      <c r="BR27" s="1489"/>
      <c r="BS27" s="1490"/>
      <c r="BT27" s="1516">
        <f ca="1">OFFSET('VVP2'!$G140,0,(COLUMN()-6)/5)</f>
        <v>6.8019729796976094</v>
      </c>
      <c r="BU27" s="1489"/>
      <c r="BV27" s="1489"/>
      <c r="BW27" s="1489"/>
      <c r="BX27" s="1490"/>
      <c r="BY27" s="1516">
        <f ca="1">OFFSET('VVP2'!$G140,0,(COLUMN()-6)/5)</f>
        <v>-7.3072945840545671</v>
      </c>
      <c r="BZ27" s="1489"/>
      <c r="CA27" s="1489"/>
      <c r="CB27" s="1489"/>
      <c r="CC27" s="1490"/>
      <c r="CD27" s="1516">
        <f ca="1">OFFSET('VVP2'!$G140,0,(COLUMN()-6)/5)</f>
        <v>9.8384424148154626</v>
      </c>
      <c r="CE27" s="1489"/>
      <c r="CF27" s="1489"/>
      <c r="CG27" s="1489"/>
      <c r="CH27" s="1490"/>
      <c r="CI27" s="1516">
        <f ca="1">OFFSET('VVP2'!$G140,0,(COLUMN()-6)/5)</f>
        <v>10.065556667948734</v>
      </c>
      <c r="CJ27" s="1489"/>
      <c r="CK27" s="1489"/>
      <c r="CL27" s="1489"/>
      <c r="CM27" s="1490"/>
      <c r="CN27" s="1516">
        <f ca="1">OFFSET('VVP2'!$G140,0,(COLUMN()-6)/5)</f>
        <v>9.2908686390268578</v>
      </c>
      <c r="CO27" s="1489"/>
      <c r="CP27" s="1489"/>
      <c r="CQ27" s="1489"/>
      <c r="CR27" s="1490"/>
      <c r="CS27" s="1516">
        <f ca="1">OFFSET('VVP2'!$G140,0,(COLUMN()-6)/5)</f>
        <v>8.0478667976111193</v>
      </c>
      <c r="CT27" s="1489"/>
      <c r="CU27" s="1489"/>
      <c r="CV27" s="1489"/>
      <c r="CW27" s="1490"/>
      <c r="CX27" s="1516">
        <f ca="1">OFFSET('VVP2'!$G140,0,(COLUMN()-6)/5)</f>
        <v>2.7477761417920439</v>
      </c>
      <c r="CY27" s="1489"/>
      <c r="CZ27" s="1489"/>
      <c r="DA27" s="1489"/>
      <c r="DB27" s="1490"/>
      <c r="DC27" s="1516">
        <f ca="1">OFFSET('VVP2'!$G140,0,(COLUMN()-6)/5)</f>
        <v>-0.2940053464686429</v>
      </c>
      <c r="DD27" s="1489"/>
      <c r="DE27" s="1489"/>
      <c r="DF27" s="1489"/>
      <c r="DG27" s="1490"/>
      <c r="DH27" s="1516">
        <f ca="1">OFFSET('VVP2'!$G140,0,(COLUMN()-6)/5)</f>
        <v>2.6198777283123023</v>
      </c>
      <c r="DI27" s="1489"/>
      <c r="DJ27" s="1489"/>
      <c r="DK27" s="1489"/>
      <c r="DL27" s="1490"/>
      <c r="DM27" s="1516">
        <f ca="1">OFFSET('VVP2'!$G140,0,(COLUMN()-6)/5)</f>
        <v>9.8562401283246217</v>
      </c>
      <c r="DN27" s="1489"/>
      <c r="DO27" s="1489"/>
      <c r="DP27" s="1489"/>
      <c r="DQ27" s="1490"/>
      <c r="DR27" s="1516">
        <f ca="1">OFFSET('VVP2'!$G140,0,(COLUMN()-6)/5)</f>
        <v>4.4934914995070203</v>
      </c>
      <c r="DS27" s="1489"/>
      <c r="DT27" s="1489"/>
      <c r="DU27" s="1489"/>
      <c r="DV27" s="1490"/>
      <c r="DW27" s="1516">
        <f ca="1">OFFSET('VVP2'!$G140,0,(COLUMN()-6)/5)</f>
        <v>3.6782595394688311</v>
      </c>
      <c r="DX27" s="1489"/>
      <c r="DY27" s="1489"/>
      <c r="DZ27" s="1489"/>
      <c r="EA27" s="1490"/>
    </row>
    <row r="28" spans="1:145">
      <c r="C28" s="1480" t="s">
        <v>1769</v>
      </c>
      <c r="D28" s="50"/>
      <c r="E28" s="50" t="s">
        <v>1359</v>
      </c>
      <c r="F28" s="1483"/>
      <c r="G28" s="1491"/>
      <c r="H28" s="1491"/>
      <c r="I28" s="1491"/>
      <c r="J28" s="1491"/>
      <c r="K28" s="1492"/>
      <c r="L28" s="1515">
        <f ca="1">OFFSET('VVP2'!$G141,0,(COLUMN()-6)/5)</f>
        <v>17.477208497495941</v>
      </c>
      <c r="M28" s="1491"/>
      <c r="N28" s="1491"/>
      <c r="O28" s="1491"/>
      <c r="P28" s="1492"/>
      <c r="Q28" s="1515">
        <f ca="1">OFFSET('VVP2'!$G141,0,(COLUMN()-6)/5)</f>
        <v>21.777785652617911</v>
      </c>
      <c r="R28" s="1491"/>
      <c r="S28" s="1491"/>
      <c r="T28" s="1491"/>
      <c r="U28" s="1492"/>
      <c r="V28" s="1515">
        <f ca="1">OFFSET('VVP2'!$G141,0,(COLUMN()-6)/5)</f>
        <v>10.941710459028352</v>
      </c>
      <c r="W28" s="1491"/>
      <c r="X28" s="1491"/>
      <c r="Y28" s="1491"/>
      <c r="Z28" s="1492"/>
      <c r="AA28" s="1515">
        <f ca="1">OFFSET('VVP2'!$G141,0,(COLUMN()-6)/5)</f>
        <v>-7.6946978712011314</v>
      </c>
      <c r="AB28" s="1491"/>
      <c r="AC28" s="1491"/>
      <c r="AD28" s="1491"/>
      <c r="AE28" s="1492"/>
      <c r="AF28" s="1515">
        <f ca="1">OFFSET('VVP2'!$G141,0,(COLUMN()-6)/5)</f>
        <v>5.7888440330256721</v>
      </c>
      <c r="AG28" s="1491"/>
      <c r="AH28" s="1491"/>
      <c r="AI28" s="1491"/>
      <c r="AJ28" s="1492"/>
      <c r="AK28" s="1515">
        <f ca="1">OFFSET('VVP2'!$G141,0,(COLUMN()-6)/5)</f>
        <v>14.999356900584745</v>
      </c>
      <c r="AL28" s="1491"/>
      <c r="AM28" s="1491"/>
      <c r="AN28" s="1491"/>
      <c r="AO28" s="1492"/>
      <c r="AP28" s="1515">
        <f ca="1">OFFSET('VVP2'!$G141,0,(COLUMN()-6)/5)</f>
        <v>16.461301587893256</v>
      </c>
      <c r="AQ28" s="1491"/>
      <c r="AR28" s="1491"/>
      <c r="AS28" s="1491"/>
      <c r="AT28" s="1492"/>
      <c r="AU28" s="1515">
        <f ca="1">OFFSET('VVP2'!$G141,0,(COLUMN()-6)/5)</f>
        <v>14.924930269515208</v>
      </c>
      <c r="AV28" s="1491"/>
      <c r="AW28" s="1491"/>
      <c r="AX28" s="1491"/>
      <c r="AY28" s="1492"/>
      <c r="AZ28" s="1515">
        <f ca="1">OFFSET('VVP2'!$G141,0,(COLUMN()-6)/5)</f>
        <v>15.551951464698474</v>
      </c>
      <c r="BA28" s="1491"/>
      <c r="BB28" s="1491"/>
      <c r="BC28" s="1491"/>
      <c r="BD28" s="1492"/>
      <c r="BE28" s="1515">
        <f ca="1">OFFSET('VVP2'!$G141,0,(COLUMN()-6)/5)</f>
        <v>18.789323417725132</v>
      </c>
      <c r="BF28" s="1491"/>
      <c r="BG28" s="1491"/>
      <c r="BH28" s="1491"/>
      <c r="BI28" s="1492"/>
      <c r="BJ28" s="1515">
        <f ca="1">OFFSET('VVP2'!$G141,0,(COLUMN()-6)/5)</f>
        <v>16.114911129840358</v>
      </c>
      <c r="BK28" s="1491"/>
      <c r="BL28" s="1491"/>
      <c r="BM28" s="1491"/>
      <c r="BN28" s="1492"/>
      <c r="BO28" s="1515">
        <f ca="1">OFFSET('VVP2'!$G141,0,(COLUMN()-6)/5)</f>
        <v>18.208229251900768</v>
      </c>
      <c r="BP28" s="1491"/>
      <c r="BQ28" s="1491"/>
      <c r="BR28" s="1491"/>
      <c r="BS28" s="1492"/>
      <c r="BT28" s="1515">
        <f ca="1">OFFSET('VVP2'!$G141,0,(COLUMN()-6)/5)</f>
        <v>10.365084175401474</v>
      </c>
      <c r="BU28" s="1491"/>
      <c r="BV28" s="1491"/>
      <c r="BW28" s="1491"/>
      <c r="BX28" s="1492"/>
      <c r="BY28" s="1515">
        <f ca="1">OFFSET('VVP2'!$G141,0,(COLUMN()-6)/5)</f>
        <v>-34.050877688007922</v>
      </c>
      <c r="BZ28" s="1491"/>
      <c r="CA28" s="1491"/>
      <c r="CB28" s="1491"/>
      <c r="CC28" s="1492"/>
      <c r="CD28" s="1515">
        <f ca="1">OFFSET('VVP2'!$G141,0,(COLUMN()-6)/5)</f>
        <v>11.651293864411235</v>
      </c>
      <c r="CE28" s="1491"/>
      <c r="CF28" s="1491"/>
      <c r="CG28" s="1491"/>
      <c r="CH28" s="1492"/>
      <c r="CI28" s="1515">
        <f ca="1">OFFSET('VVP2'!$G141,0,(COLUMN()-6)/5)</f>
        <v>16.130672342964093</v>
      </c>
      <c r="CJ28" s="1491"/>
      <c r="CK28" s="1491"/>
      <c r="CL28" s="1491"/>
      <c r="CM28" s="1492"/>
      <c r="CN28" s="1515">
        <f ca="1">OFFSET('VVP2'!$G141,0,(COLUMN()-6)/5)</f>
        <v>8.9798558738639969</v>
      </c>
      <c r="CO28" s="1491"/>
      <c r="CP28" s="1491"/>
      <c r="CQ28" s="1491"/>
      <c r="CR28" s="1492"/>
      <c r="CS28" s="1515">
        <f ca="1">OFFSET('VVP2'!$G141,0,(COLUMN()-6)/5)</f>
        <v>10.858287204672132</v>
      </c>
      <c r="CT28" s="1491"/>
      <c r="CU28" s="1491"/>
      <c r="CV28" s="1491"/>
      <c r="CW28" s="1492"/>
      <c r="CX28" s="1515">
        <f ca="1">OFFSET('VVP2'!$G141,0,(COLUMN()-6)/5)</f>
        <v>6.1017867831977357</v>
      </c>
      <c r="CY28" s="1491"/>
      <c r="CZ28" s="1491"/>
      <c r="DA28" s="1491"/>
      <c r="DB28" s="1492"/>
      <c r="DC28" s="1515">
        <f ca="1">OFFSET('VVP2'!$G141,0,(COLUMN()-6)/5)</f>
        <v>6.9347432640511002</v>
      </c>
      <c r="DD28" s="1491"/>
      <c r="DE28" s="1491"/>
      <c r="DF28" s="1491"/>
      <c r="DG28" s="1492"/>
      <c r="DH28" s="1515">
        <f ca="1">OFFSET('VVP2'!$G141,0,(COLUMN()-6)/5)</f>
        <v>5.0371571493366138</v>
      </c>
      <c r="DI28" s="1491"/>
      <c r="DJ28" s="1491"/>
      <c r="DK28" s="1491"/>
      <c r="DL28" s="1492"/>
      <c r="DM28" s="1515">
        <f ca="1">OFFSET('VVP2'!$G141,0,(COLUMN()-6)/5)</f>
        <v>13.938538090693168</v>
      </c>
      <c r="DN28" s="1491"/>
      <c r="DO28" s="1491"/>
      <c r="DP28" s="1491"/>
      <c r="DQ28" s="1492"/>
      <c r="DR28" s="1515">
        <f ca="1">OFFSET('VVP2'!$G141,0,(COLUMN()-6)/5)</f>
        <v>8.2842257432474931</v>
      </c>
      <c r="DS28" s="1491"/>
      <c r="DT28" s="1491"/>
      <c r="DU28" s="1491"/>
      <c r="DV28" s="1492"/>
      <c r="DW28" s="1515">
        <f ca="1">OFFSET('VVP2'!$G141,0,(COLUMN()-6)/5)</f>
        <v>6.8673688417778429</v>
      </c>
      <c r="DX28" s="1491"/>
      <c r="DY28" s="1491"/>
      <c r="DZ28" s="1491"/>
      <c r="EA28" s="1492"/>
    </row>
    <row r="29" spans="1:145">
      <c r="C29" s="1484" t="s">
        <v>401</v>
      </c>
      <c r="D29" s="113"/>
      <c r="E29" s="113" t="s">
        <v>1455</v>
      </c>
      <c r="F29" s="1482" t="s">
        <v>1591</v>
      </c>
      <c r="G29" s="1521"/>
      <c r="H29" s="1489"/>
      <c r="I29" s="1489"/>
      <c r="J29" s="1489"/>
      <c r="K29" s="1490"/>
      <c r="L29" s="1516">
        <f ca="1">OFFSET('VVP2'!$G142,0,(COLUMN()-6)/5)</f>
        <v>-11.067001332272703</v>
      </c>
      <c r="M29" s="1489"/>
      <c r="N29" s="1489"/>
      <c r="O29" s="1489"/>
      <c r="P29" s="1490"/>
      <c r="Q29" s="1516">
        <f ca="1">OFFSET('VVP2'!$G142,0,(COLUMN()-6)/5)</f>
        <v>-12.791211683850175</v>
      </c>
      <c r="R29" s="1489"/>
      <c r="S29" s="1489"/>
      <c r="T29" s="1489"/>
      <c r="U29" s="1490"/>
      <c r="V29" s="1516">
        <f ca="1">OFFSET('VVP2'!$G142,0,(COLUMN()-6)/5)</f>
        <v>-3.379725538056638</v>
      </c>
      <c r="W29" s="1489"/>
      <c r="X29" s="1489"/>
      <c r="Y29" s="1489"/>
      <c r="Z29" s="1490"/>
      <c r="AA29" s="1516">
        <f ca="1">OFFSET('VVP2'!$G142,0,(COLUMN()-6)/5)</f>
        <v>6.2407298821180817</v>
      </c>
      <c r="AB29" s="1489"/>
      <c r="AC29" s="1489"/>
      <c r="AD29" s="1489"/>
      <c r="AE29" s="1490"/>
      <c r="AF29" s="1516">
        <f ca="1">OFFSET('VVP2'!$G142,0,(COLUMN()-6)/5)</f>
        <v>-2.1097718439312851</v>
      </c>
      <c r="AG29" s="1489"/>
      <c r="AH29" s="1489"/>
      <c r="AI29" s="1489"/>
      <c r="AJ29" s="1490"/>
      <c r="AK29" s="1516">
        <f ca="1">OFFSET('VVP2'!$G142,0,(COLUMN()-6)/5)</f>
        <v>-7.8616289377094333</v>
      </c>
      <c r="AL29" s="1489"/>
      <c r="AM29" s="1489"/>
      <c r="AN29" s="1489"/>
      <c r="AO29" s="1490"/>
      <c r="AP29" s="1516">
        <f ca="1">OFFSET('VVP2'!$G142,0,(COLUMN()-6)/5)</f>
        <v>-9.1996527852676824</v>
      </c>
      <c r="AQ29" s="1489"/>
      <c r="AR29" s="1489"/>
      <c r="AS29" s="1489"/>
      <c r="AT29" s="1490"/>
      <c r="AU29" s="1516">
        <f ca="1">OFFSET('VVP2'!$G142,0,(COLUMN()-6)/5)</f>
        <v>-4.6954081980754587</v>
      </c>
      <c r="AV29" s="1489"/>
      <c r="AW29" s="1489"/>
      <c r="AX29" s="1489"/>
      <c r="AY29" s="1490"/>
      <c r="AZ29" s="1516">
        <f ca="1">OFFSET('VVP2'!$G142,0,(COLUMN()-6)/5)</f>
        <v>-7.8663293706581898</v>
      </c>
      <c r="BA29" s="1489"/>
      <c r="BB29" s="1489"/>
      <c r="BC29" s="1489"/>
      <c r="BD29" s="1490"/>
      <c r="BE29" s="1516">
        <f ca="1">OFFSET('VVP2'!$G142,0,(COLUMN()-6)/5)</f>
        <v>-11.06187986413957</v>
      </c>
      <c r="BF29" s="1489"/>
      <c r="BG29" s="1489"/>
      <c r="BH29" s="1489"/>
      <c r="BI29" s="1490"/>
      <c r="BJ29" s="1516">
        <f ca="1">OFFSET('VVP2'!$G142,0,(COLUMN()-6)/5)</f>
        <v>-8.7084365325391371</v>
      </c>
      <c r="BK29" s="1489"/>
      <c r="BL29" s="1489"/>
      <c r="BM29" s="1489"/>
      <c r="BN29" s="1490"/>
      <c r="BO29" s="1516">
        <f ca="1">OFFSET('VVP2'!$G142,0,(COLUMN()-6)/5)</f>
        <v>-7.1213169888064769</v>
      </c>
      <c r="BP29" s="1489"/>
      <c r="BQ29" s="1489"/>
      <c r="BR29" s="1489"/>
      <c r="BS29" s="1490"/>
      <c r="BT29" s="1516">
        <f ca="1">OFFSET('VVP2'!$G142,0,(COLUMN()-6)/5)</f>
        <v>-7.7370220385667992</v>
      </c>
      <c r="BU29" s="1489"/>
      <c r="BV29" s="1489"/>
      <c r="BW29" s="1489"/>
      <c r="BX29" s="1490"/>
      <c r="BY29" s="1516">
        <f ca="1">OFFSET('VVP2'!$G142,0,(COLUMN()-6)/5)</f>
        <v>19.236736322855055</v>
      </c>
      <c r="BZ29" s="1489"/>
      <c r="CA29" s="1489"/>
      <c r="CB29" s="1489"/>
      <c r="CC29" s="1490"/>
      <c r="CD29" s="1516">
        <f ca="1">OFFSET('VVP2'!$G142,0,(COLUMN()-6)/5)</f>
        <v>-10.011474823941189</v>
      </c>
      <c r="CE29" s="1489"/>
      <c r="CF29" s="1489"/>
      <c r="CG29" s="1489"/>
      <c r="CH29" s="1490"/>
      <c r="CI29" s="1516">
        <f ca="1">OFFSET('VVP2'!$G142,0,(COLUMN()-6)/5)</f>
        <v>-10.087534956539365</v>
      </c>
      <c r="CJ29" s="1489"/>
      <c r="CK29" s="1489"/>
      <c r="CL29" s="1489"/>
      <c r="CM29" s="1490"/>
      <c r="CN29" s="1516">
        <f ca="1">OFFSET('VVP2'!$G142,0,(COLUMN()-6)/5)</f>
        <v>-5.1528922857921584</v>
      </c>
      <c r="CO29" s="1489"/>
      <c r="CP29" s="1489"/>
      <c r="CQ29" s="1489"/>
      <c r="CR29" s="1490"/>
      <c r="CS29" s="1516">
        <f ca="1">OFFSET('VVP2'!$G142,0,(COLUMN()-6)/5)</f>
        <v>-7.3597256129462965</v>
      </c>
      <c r="CT29" s="1489"/>
      <c r="CU29" s="1489"/>
      <c r="CV29" s="1489"/>
      <c r="CW29" s="1490"/>
      <c r="CX29" s="1516">
        <f ca="1">OFFSET('VVP2'!$G142,0,(COLUMN()-6)/5)</f>
        <v>-2.5642036582673589</v>
      </c>
      <c r="CY29" s="1489"/>
      <c r="CZ29" s="1489"/>
      <c r="DA29" s="1489"/>
      <c r="DB29" s="1490"/>
      <c r="DC29" s="1516">
        <f ca="1">OFFSET('VVP2'!$G142,0,(COLUMN()-6)/5)</f>
        <v>-4.9001011308314242</v>
      </c>
      <c r="DD29" s="1489"/>
      <c r="DE29" s="1489"/>
      <c r="DF29" s="1489"/>
      <c r="DG29" s="1490"/>
      <c r="DH29" s="1516">
        <f ca="1">OFFSET('VVP2'!$G142,0,(COLUMN()-6)/5)</f>
        <v>-2.6922874957221463</v>
      </c>
      <c r="DI29" s="1489"/>
      <c r="DJ29" s="1489"/>
      <c r="DK29" s="1489"/>
      <c r="DL29" s="1490"/>
      <c r="DM29" s="1516">
        <f ca="1">OFFSET('VVP2'!$G142,0,(COLUMN()-6)/5)</f>
        <v>-9.3733270570314602</v>
      </c>
      <c r="DN29" s="1489"/>
      <c r="DO29" s="1489"/>
      <c r="DP29" s="1489"/>
      <c r="DQ29" s="1490"/>
      <c r="DR29" s="1516">
        <f ca="1">OFFSET('VVP2'!$G142,0,(COLUMN()-6)/5)</f>
        <v>-5.1636384008310534</v>
      </c>
      <c r="DS29" s="1489"/>
      <c r="DT29" s="1489"/>
      <c r="DU29" s="1489"/>
      <c r="DV29" s="1490"/>
      <c r="DW29" s="1516">
        <f ca="1">OFFSET('VVP2'!$G142,0,(COLUMN()-6)/5)</f>
        <v>-4.224705296100157</v>
      </c>
      <c r="DX29" s="1489"/>
      <c r="DY29" s="1489"/>
      <c r="DZ29" s="1489"/>
      <c r="EA29" s="1490"/>
    </row>
    <row r="30" spans="1:145">
      <c r="D30" s="45"/>
      <c r="E30" s="45" t="s">
        <v>1166</v>
      </c>
      <c r="F30" s="1476" t="s">
        <v>281</v>
      </c>
      <c r="G30" s="45"/>
      <c r="H30" s="45"/>
      <c r="I30" s="45"/>
      <c r="J30" s="45"/>
      <c r="K30" s="45"/>
      <c r="L30" s="1517">
        <f ca="1">OFFSET('VVP2'!$G144,0,(COLUMN()-6)/5)</f>
        <v>5.2391782869028507</v>
      </c>
      <c r="M30" s="45"/>
      <c r="N30" s="45"/>
      <c r="O30" s="45"/>
      <c r="P30" s="45"/>
      <c r="Q30" s="1517">
        <f ca="1">OFFSET('VVP2'!$G144,0,(COLUMN()-6)/5)</f>
        <v>8.1402408090708889</v>
      </c>
      <c r="R30" s="45"/>
      <c r="S30" s="45"/>
      <c r="T30" s="45"/>
      <c r="U30" s="45"/>
      <c r="V30" s="1517">
        <f ca="1">OFFSET('VVP2'!$G144,0,(COLUMN()-6)/5)</f>
        <v>7.6233287300721679</v>
      </c>
      <c r="W30" s="45"/>
      <c r="X30" s="45"/>
      <c r="Y30" s="45"/>
      <c r="Z30" s="45"/>
      <c r="AA30" s="1517">
        <f ca="1">OFFSET('VVP2'!$G144,0,(COLUMN()-6)/5)</f>
        <v>-1.0214983734837328</v>
      </c>
      <c r="AB30" s="45"/>
      <c r="AC30" s="45"/>
      <c r="AD30" s="45"/>
      <c r="AE30" s="45"/>
      <c r="AF30" s="1517">
        <f ca="1">OFFSET('VVP2'!$G144,0,(COLUMN()-6)/5)</f>
        <v>3.6213874204480918</v>
      </c>
      <c r="AG30" s="45"/>
      <c r="AH30" s="45"/>
      <c r="AI30" s="45"/>
      <c r="AJ30" s="45"/>
      <c r="AK30" s="1517">
        <f ca="1">OFFSET('VVP2'!$G144,0,(COLUMN()-6)/5)</f>
        <v>6.6996058629840318</v>
      </c>
      <c r="AL30" s="45"/>
      <c r="AM30" s="45"/>
      <c r="AN30" s="45"/>
      <c r="AO30" s="45"/>
      <c r="AP30" s="1517">
        <f ca="1">OFFSET('VVP2'!$G144,0,(COLUMN()-6)/5)</f>
        <v>6.837997500491527</v>
      </c>
      <c r="AQ30" s="45"/>
      <c r="AR30" s="45"/>
      <c r="AS30" s="45"/>
      <c r="AT30" s="45"/>
      <c r="AU30" s="1517">
        <f ca="1">OFFSET('VVP2'!$G144,0,(COLUMN()-6)/5)</f>
        <v>10.275887367570672</v>
      </c>
      <c r="AV30" s="45"/>
      <c r="AW30" s="45"/>
      <c r="AX30" s="45"/>
      <c r="AY30" s="45"/>
      <c r="AZ30" s="1517">
        <f ca="1">OFFSET('VVP2'!$G144,0,(COLUMN()-6)/5)</f>
        <v>7.4482608885224471</v>
      </c>
      <c r="BA30" s="45"/>
      <c r="BB30" s="45"/>
      <c r="BC30" s="45"/>
      <c r="BD30" s="45"/>
      <c r="BE30" s="1517">
        <f ca="1">OFFSET('VVP2'!$G144,0,(COLUMN()-6)/5)</f>
        <v>7.7273873836427835</v>
      </c>
      <c r="BF30" s="45"/>
      <c r="BG30" s="45"/>
      <c r="BH30" s="45"/>
      <c r="BI30" s="45"/>
      <c r="BJ30" s="1517">
        <f ca="1">OFFSET('VVP2'!$G144,0,(COLUMN()-6)/5)</f>
        <v>7.4064505195753858</v>
      </c>
      <c r="BK30" s="45"/>
      <c r="BL30" s="45"/>
      <c r="BM30" s="45"/>
      <c r="BN30" s="45"/>
      <c r="BO30" s="1517">
        <f ca="1">OFFSET('VVP2'!$G144,0,(COLUMN()-6)/5)</f>
        <v>11.0869627998611</v>
      </c>
      <c r="BP30" s="45"/>
      <c r="BQ30" s="45"/>
      <c r="BR30" s="45"/>
      <c r="BS30" s="45"/>
      <c r="BT30" s="1517">
        <f ca="1">OFFSET('VVP2'!$G144,0,(COLUMN()-6)/5)</f>
        <v>2.6280823574654724</v>
      </c>
      <c r="BU30" s="45"/>
      <c r="BV30" s="45"/>
      <c r="BW30" s="45"/>
      <c r="BX30" s="45"/>
      <c r="BY30" s="1517">
        <f ca="1">OFFSET('VVP2'!$G144,0,(COLUMN()-6)/5)</f>
        <v>-14.814172950076221</v>
      </c>
      <c r="BZ30" s="45"/>
      <c r="CA30" s="45"/>
      <c r="CB30" s="45"/>
      <c r="CC30" s="45"/>
      <c r="CD30" s="1517">
        <f ca="1">OFFSET('VVP2'!$G144,0,(COLUMN()-6)/5)</f>
        <v>1.639826991162779</v>
      </c>
      <c r="CE30" s="45"/>
      <c r="CF30" s="45"/>
      <c r="CG30" s="45"/>
      <c r="CH30" s="45"/>
      <c r="CI30" s="1517">
        <f ca="1">OFFSET('VVP2'!$G144,0,(COLUMN()-6)/5)</f>
        <v>6.0431373864246751</v>
      </c>
      <c r="CJ30" s="45"/>
      <c r="CK30" s="45"/>
      <c r="CL30" s="45"/>
      <c r="CM30" s="45"/>
      <c r="CN30" s="1517">
        <f ca="1">OFFSET('VVP2'!$G144,0,(COLUMN()-6)/5)</f>
        <v>3.8269382239940808</v>
      </c>
      <c r="CO30" s="45"/>
      <c r="CP30" s="45"/>
      <c r="CQ30" s="45"/>
      <c r="CR30" s="45"/>
      <c r="CS30" s="1517">
        <f ca="1">OFFSET('VVP2'!$G144,0,(COLUMN()-6)/5)</f>
        <v>3.4985772305690102</v>
      </c>
      <c r="CT30" s="45"/>
      <c r="CU30" s="45"/>
      <c r="CV30" s="45"/>
      <c r="CW30" s="45"/>
      <c r="CX30" s="1517">
        <f ca="1">OFFSET('VVP2'!$G144,0,(COLUMN()-6)/5)</f>
        <v>3.5375855747539444</v>
      </c>
      <c r="CY30" s="45"/>
      <c r="CZ30" s="45"/>
      <c r="DA30" s="45"/>
      <c r="DB30" s="45"/>
      <c r="DC30" s="1517">
        <f ca="1">OFFSET('VVP2'!$G144,0,(COLUMN()-6)/5)</f>
        <v>2.0346676424249104</v>
      </c>
      <c r="DD30" s="45"/>
      <c r="DE30" s="45"/>
      <c r="DF30" s="45"/>
      <c r="DG30" s="45"/>
      <c r="DH30" s="1517">
        <f ca="1">OFFSET('VVP2'!$G144,0,(COLUMN()-6)/5)</f>
        <v>2.3448829366414214</v>
      </c>
      <c r="DI30" s="45"/>
      <c r="DJ30" s="45"/>
      <c r="DK30" s="45"/>
      <c r="DL30" s="45"/>
      <c r="DM30" s="1517">
        <f ca="1">OFFSET('VVP2'!$G144,0,(COLUMN()-6)/5)</f>
        <v>4.5652110336616962</v>
      </c>
      <c r="DN30" s="45"/>
      <c r="DO30" s="45"/>
      <c r="DP30" s="45"/>
      <c r="DQ30" s="45"/>
      <c r="DR30" s="1517">
        <f ca="1">OFFSET('VVP2'!$G144,0,(COLUMN()-6)/5)</f>
        <v>3.1205873424164392</v>
      </c>
      <c r="DS30" s="45"/>
      <c r="DT30" s="45"/>
      <c r="DU30" s="45"/>
      <c r="DV30" s="45"/>
      <c r="DW30" s="1517">
        <f ca="1">OFFSET('VVP2'!$G144,0,(COLUMN()-6)/5)</f>
        <v>2.6426635456776859</v>
      </c>
      <c r="DX30" s="45"/>
      <c r="DY30" s="45"/>
      <c r="DZ30" s="45"/>
      <c r="EA30" s="45"/>
    </row>
    <row r="31" spans="1:145">
      <c r="CN31" s="3194"/>
    </row>
    <row r="32" spans="1:145">
      <c r="E32" s="45" t="s">
        <v>2349</v>
      </c>
      <c r="CM32" s="1721">
        <f>(Labour1!W135/Labour1!V135-1)*100</f>
        <v>7.0710418738261005</v>
      </c>
      <c r="CN32" s="3194"/>
      <c r="CQ32" s="3267" t="s">
        <v>2355</v>
      </c>
      <c r="CR32" s="1721">
        <f>(Labour1!X135/Labour1!W135-1)*100</f>
        <v>5.8507893922195686</v>
      </c>
      <c r="CV32" s="3267" t="s">
        <v>2355</v>
      </c>
      <c r="CW32" s="1721">
        <f>(Labour1!Y135/Labour1!X135-1)*100</f>
        <v>5.6151296549034946</v>
      </c>
      <c r="DA32" s="3267" t="s">
        <v>2355</v>
      </c>
      <c r="DB32" s="1721">
        <f>(Labour1!Z135/Labour1!Y135-1)*100</f>
        <v>6.3042274321580161</v>
      </c>
      <c r="DF32" s="3267" t="s">
        <v>2355</v>
      </c>
      <c r="DG32" s="1721">
        <f>(Labour1!AA135/Labour1!Z135-1)*100</f>
        <v>6.8767908309455672</v>
      </c>
      <c r="DK32" s="3267" t="s">
        <v>2355</v>
      </c>
      <c r="DL32" s="1721">
        <f>(Labour1!AB135/Labour1!AA135-1)*100</f>
        <v>7.9616540742546205</v>
      </c>
      <c r="DP32" s="3267" t="s">
        <v>2355</v>
      </c>
      <c r="DQ32" s="1721" t="e">
        <f>(Labour1!AG135/Labour1!AF135-1)*100</f>
        <v>#DIV/0!</v>
      </c>
      <c r="DU32" s="3267" t="s">
        <v>2355</v>
      </c>
      <c r="DV32" s="1721" t="e">
        <f>(Labour1!AL135/Labour1!AK135-1)*100</f>
        <v>#DIV/0!</v>
      </c>
      <c r="DZ32" s="3267" t="s">
        <v>2355</v>
      </c>
      <c r="EA32" s="1721" t="e">
        <f>(Labour1!AQ135/Labour1!AP135-1)*100</f>
        <v>#DIV/0!</v>
      </c>
    </row>
    <row r="33" spans="1:145">
      <c r="D33" s="3751"/>
      <c r="E33" s="3751" t="s">
        <v>1270</v>
      </c>
      <c r="F33" s="3751"/>
      <c r="G33" s="3753">
        <f>+InputY!$G$3</f>
        <v>1995</v>
      </c>
      <c r="H33" s="3754"/>
      <c r="I33" s="3754"/>
      <c r="J33" s="3754"/>
      <c r="K33" s="3755"/>
      <c r="L33" s="3753">
        <f>+G33+1</f>
        <v>1996</v>
      </c>
      <c r="M33" s="3754"/>
      <c r="N33" s="3754"/>
      <c r="O33" s="3754"/>
      <c r="P33" s="3755"/>
      <c r="Q33" s="3753">
        <f>+L33+1</f>
        <v>1997</v>
      </c>
      <c r="R33" s="3754"/>
      <c r="S33" s="3754"/>
      <c r="T33" s="3754"/>
      <c r="U33" s="3755"/>
      <c r="V33" s="3753">
        <f>+Q33+1</f>
        <v>1998</v>
      </c>
      <c r="W33" s="3754"/>
      <c r="X33" s="3754"/>
      <c r="Y33" s="3754"/>
      <c r="Z33" s="3755"/>
      <c r="AA33" s="3753">
        <f>+V33+1</f>
        <v>1999</v>
      </c>
      <c r="AB33" s="3754"/>
      <c r="AC33" s="3754"/>
      <c r="AD33" s="3754"/>
      <c r="AE33" s="3755"/>
      <c r="AF33" s="3753">
        <f>+AA33+1</f>
        <v>2000</v>
      </c>
      <c r="AG33" s="3754"/>
      <c r="AH33" s="3754"/>
      <c r="AI33" s="3754"/>
      <c r="AJ33" s="3755"/>
      <c r="AK33" s="3753">
        <f>+AF33+1</f>
        <v>2001</v>
      </c>
      <c r="AL33" s="3754"/>
      <c r="AM33" s="3754"/>
      <c r="AN33" s="3754"/>
      <c r="AO33" s="3755"/>
      <c r="AP33" s="3753">
        <f>+AK33+1</f>
        <v>2002</v>
      </c>
      <c r="AQ33" s="3754"/>
      <c r="AR33" s="3754"/>
      <c r="AS33" s="3754"/>
      <c r="AT33" s="3755"/>
      <c r="AU33" s="3753">
        <f>+AP33+1</f>
        <v>2003</v>
      </c>
      <c r="AV33" s="3754"/>
      <c r="AW33" s="3754"/>
      <c r="AX33" s="3754"/>
      <c r="AY33" s="3755"/>
      <c r="AZ33" s="3753">
        <f>+AU33+1</f>
        <v>2004</v>
      </c>
      <c r="BA33" s="3754"/>
      <c r="BB33" s="3754"/>
      <c r="BC33" s="3754"/>
      <c r="BD33" s="3755"/>
      <c r="BE33" s="3753">
        <f>+AZ33+1</f>
        <v>2005</v>
      </c>
      <c r="BF33" s="3754"/>
      <c r="BG33" s="3754"/>
      <c r="BH33" s="3754"/>
      <c r="BI33" s="3755"/>
      <c r="BJ33" s="3753">
        <f>+BE33+1</f>
        <v>2006</v>
      </c>
      <c r="BK33" s="3754"/>
      <c r="BL33" s="3754"/>
      <c r="BM33" s="3754"/>
      <c r="BN33" s="3755"/>
      <c r="BO33" s="3753">
        <f>+BJ33+1</f>
        <v>2007</v>
      </c>
      <c r="BP33" s="3754"/>
      <c r="BQ33" s="3754"/>
      <c r="BR33" s="3754"/>
      <c r="BS33" s="3755"/>
      <c r="BT33" s="3753">
        <f>+BO33+1</f>
        <v>2008</v>
      </c>
      <c r="BU33" s="3754"/>
      <c r="BV33" s="3754"/>
      <c r="BW33" s="3754"/>
      <c r="BX33" s="3755"/>
      <c r="BY33" s="3753">
        <f>+BT33+1</f>
        <v>2009</v>
      </c>
      <c r="BZ33" s="3754"/>
      <c r="CA33" s="3754"/>
      <c r="CB33" s="3754"/>
      <c r="CC33" s="3755"/>
      <c r="CD33" s="3753">
        <f>+BY33+1</f>
        <v>2010</v>
      </c>
      <c r="CE33" s="3754"/>
      <c r="CF33" s="3754"/>
      <c r="CG33" s="3754"/>
      <c r="CH33" s="3755"/>
      <c r="CI33" s="3753">
        <f>+CD33+1</f>
        <v>2011</v>
      </c>
      <c r="CJ33" s="3754"/>
      <c r="CK33" s="3754"/>
      <c r="CL33" s="3754"/>
      <c r="CM33" s="3755"/>
      <c r="CN33" s="3753">
        <f>+CI33+1</f>
        <v>2012</v>
      </c>
      <c r="CO33" s="3754"/>
      <c r="CP33" s="3754"/>
      <c r="CQ33" s="3754"/>
      <c r="CR33" s="3755"/>
      <c r="CS33" s="3753">
        <f>+CN33+1</f>
        <v>2013</v>
      </c>
      <c r="CT33" s="3754"/>
      <c r="CU33" s="3754"/>
      <c r="CV33" s="3754"/>
      <c r="CW33" s="3755"/>
      <c r="CX33" s="3753">
        <f>+CS33+1</f>
        <v>2014</v>
      </c>
      <c r="CY33" s="3754"/>
      <c r="CZ33" s="3754"/>
      <c r="DA33" s="3754"/>
      <c r="DB33" s="3755"/>
      <c r="DC33" s="3753">
        <f>+CX33+1</f>
        <v>2015</v>
      </c>
      <c r="DD33" s="3754"/>
      <c r="DE33" s="3754"/>
      <c r="DF33" s="3754"/>
      <c r="DG33" s="3755"/>
      <c r="DH33" s="3753">
        <f>+DC33+1</f>
        <v>2016</v>
      </c>
      <c r="DI33" s="3754"/>
      <c r="DJ33" s="3754"/>
      <c r="DK33" s="3754"/>
      <c r="DL33" s="3755"/>
      <c r="DM33" s="3753">
        <f>+DH33+1</f>
        <v>2017</v>
      </c>
      <c r="DN33" s="3754"/>
      <c r="DO33" s="3754"/>
      <c r="DP33" s="3754"/>
      <c r="DQ33" s="3755"/>
      <c r="DR33" s="3753">
        <f>+DM33+1</f>
        <v>2018</v>
      </c>
      <c r="DS33" s="3754"/>
      <c r="DT33" s="3754"/>
      <c r="DU33" s="3754"/>
      <c r="DV33" s="3755"/>
      <c r="DW33" s="3753">
        <f>+DR33+1</f>
        <v>2019</v>
      </c>
      <c r="DX33" s="3754"/>
      <c r="DY33" s="3754"/>
      <c r="DZ33" s="3754"/>
      <c r="EA33" s="3755"/>
    </row>
    <row r="34" spans="1:145">
      <c r="C34" s="3"/>
      <c r="D34" s="3751"/>
      <c r="E34" s="3751"/>
      <c r="F34" s="3751"/>
      <c r="G34" s="1255" t="s">
        <v>1486</v>
      </c>
      <c r="H34" s="1251" t="s">
        <v>1732</v>
      </c>
      <c r="I34" s="1250" t="s">
        <v>2022</v>
      </c>
      <c r="J34" s="1251" t="s">
        <v>584</v>
      </c>
      <c r="K34" s="1250" t="s">
        <v>2023</v>
      </c>
      <c r="L34" s="1250" t="s">
        <v>1486</v>
      </c>
      <c r="M34" s="1251" t="s">
        <v>1732</v>
      </c>
      <c r="N34" s="1250" t="s">
        <v>2022</v>
      </c>
      <c r="O34" s="1251" t="s">
        <v>584</v>
      </c>
      <c r="P34" s="1250" t="s">
        <v>2023</v>
      </c>
      <c r="Q34" s="1250" t="s">
        <v>1486</v>
      </c>
      <c r="R34" s="1251" t="s">
        <v>1732</v>
      </c>
      <c r="S34" s="1250" t="s">
        <v>2022</v>
      </c>
      <c r="T34" s="1251" t="s">
        <v>584</v>
      </c>
      <c r="U34" s="1250" t="s">
        <v>2023</v>
      </c>
      <c r="V34" s="1250" t="s">
        <v>1486</v>
      </c>
      <c r="W34" s="1251" t="s">
        <v>1732</v>
      </c>
      <c r="X34" s="1250" t="s">
        <v>2022</v>
      </c>
      <c r="Y34" s="1251" t="s">
        <v>584</v>
      </c>
      <c r="Z34" s="1250" t="s">
        <v>2023</v>
      </c>
      <c r="AA34" s="1250" t="s">
        <v>1486</v>
      </c>
      <c r="AB34" s="1251" t="s">
        <v>1732</v>
      </c>
      <c r="AC34" s="1250" t="s">
        <v>2022</v>
      </c>
      <c r="AD34" s="1251" t="s">
        <v>584</v>
      </c>
      <c r="AE34" s="1250" t="s">
        <v>2023</v>
      </c>
      <c r="AF34" s="1250" t="s">
        <v>1486</v>
      </c>
      <c r="AG34" s="1251" t="s">
        <v>1732</v>
      </c>
      <c r="AH34" s="1250" t="s">
        <v>2022</v>
      </c>
      <c r="AI34" s="1251" t="s">
        <v>584</v>
      </c>
      <c r="AJ34" s="1250" t="s">
        <v>2023</v>
      </c>
      <c r="AK34" s="1250" t="s">
        <v>1486</v>
      </c>
      <c r="AL34" s="1251" t="s">
        <v>1732</v>
      </c>
      <c r="AM34" s="1250" t="s">
        <v>2022</v>
      </c>
      <c r="AN34" s="1251" t="s">
        <v>584</v>
      </c>
      <c r="AO34" s="1250" t="s">
        <v>2023</v>
      </c>
      <c r="AP34" s="1250" t="s">
        <v>1486</v>
      </c>
      <c r="AQ34" s="1251" t="s">
        <v>1732</v>
      </c>
      <c r="AR34" s="1250" t="s">
        <v>2022</v>
      </c>
      <c r="AS34" s="1251" t="s">
        <v>584</v>
      </c>
      <c r="AT34" s="1250" t="s">
        <v>2023</v>
      </c>
      <c r="AU34" s="1250" t="s">
        <v>1486</v>
      </c>
      <c r="AV34" s="1251" t="s">
        <v>1732</v>
      </c>
      <c r="AW34" s="1250" t="s">
        <v>2022</v>
      </c>
      <c r="AX34" s="1251" t="s">
        <v>584</v>
      </c>
      <c r="AY34" s="1250" t="s">
        <v>2023</v>
      </c>
      <c r="AZ34" s="1250" t="s">
        <v>1486</v>
      </c>
      <c r="BA34" s="1251" t="s">
        <v>1732</v>
      </c>
      <c r="BB34" s="1250" t="s">
        <v>2022</v>
      </c>
      <c r="BC34" s="1251" t="s">
        <v>584</v>
      </c>
      <c r="BD34" s="1250" t="s">
        <v>2023</v>
      </c>
      <c r="BE34" s="1250" t="s">
        <v>1486</v>
      </c>
      <c r="BF34" s="1251" t="s">
        <v>1732</v>
      </c>
      <c r="BG34" s="1250" t="s">
        <v>2022</v>
      </c>
      <c r="BH34" s="1251" t="s">
        <v>584</v>
      </c>
      <c r="BI34" s="1250" t="s">
        <v>2023</v>
      </c>
      <c r="BJ34" s="1250" t="s">
        <v>1486</v>
      </c>
      <c r="BK34" s="1251" t="s">
        <v>1732</v>
      </c>
      <c r="BL34" s="1250" t="s">
        <v>2022</v>
      </c>
      <c r="BM34" s="1251" t="s">
        <v>584</v>
      </c>
      <c r="BN34" s="1250" t="s">
        <v>2023</v>
      </c>
      <c r="BO34" s="1250" t="s">
        <v>1486</v>
      </c>
      <c r="BP34" s="1251" t="s">
        <v>1732</v>
      </c>
      <c r="BQ34" s="1250" t="s">
        <v>2022</v>
      </c>
      <c r="BR34" s="1251" t="s">
        <v>584</v>
      </c>
      <c r="BS34" s="1250" t="s">
        <v>2023</v>
      </c>
      <c r="BT34" s="1250" t="s">
        <v>1486</v>
      </c>
      <c r="BU34" s="1251" t="s">
        <v>1732</v>
      </c>
      <c r="BV34" s="1250" t="s">
        <v>2022</v>
      </c>
      <c r="BW34" s="1251" t="s">
        <v>584</v>
      </c>
      <c r="BX34" s="1250" t="s">
        <v>2023</v>
      </c>
      <c r="BY34" s="1250" t="s">
        <v>1486</v>
      </c>
      <c r="BZ34" s="1251" t="s">
        <v>1732</v>
      </c>
      <c r="CA34" s="1250" t="s">
        <v>2022</v>
      </c>
      <c r="CB34" s="1251" t="s">
        <v>584</v>
      </c>
      <c r="CC34" s="1250" t="s">
        <v>2023</v>
      </c>
      <c r="CD34" s="1250" t="s">
        <v>1486</v>
      </c>
      <c r="CE34" s="1251" t="s">
        <v>1732</v>
      </c>
      <c r="CF34" s="1250" t="s">
        <v>2022</v>
      </c>
      <c r="CG34" s="1251" t="s">
        <v>584</v>
      </c>
      <c r="CH34" s="1250" t="s">
        <v>2023</v>
      </c>
      <c r="CI34" s="1250" t="s">
        <v>1486</v>
      </c>
      <c r="CJ34" s="1251" t="s">
        <v>1732</v>
      </c>
      <c r="CK34" s="1250" t="s">
        <v>2022</v>
      </c>
      <c r="CL34" s="1251" t="s">
        <v>584</v>
      </c>
      <c r="CM34" s="1250" t="s">
        <v>2023</v>
      </c>
      <c r="CN34" s="1250" t="s">
        <v>1486</v>
      </c>
      <c r="CO34" s="1251" t="s">
        <v>1732</v>
      </c>
      <c r="CP34" s="1250" t="s">
        <v>2022</v>
      </c>
      <c r="CQ34" s="1251" t="s">
        <v>584</v>
      </c>
      <c r="CR34" s="1250" t="s">
        <v>2023</v>
      </c>
      <c r="CS34" s="1250" t="s">
        <v>1486</v>
      </c>
      <c r="CT34" s="1251" t="s">
        <v>1732</v>
      </c>
      <c r="CU34" s="1250" t="s">
        <v>2022</v>
      </c>
      <c r="CV34" s="1251" t="s">
        <v>584</v>
      </c>
      <c r="CW34" s="1250" t="s">
        <v>2023</v>
      </c>
      <c r="CX34" s="1250" t="s">
        <v>1486</v>
      </c>
      <c r="CY34" s="1251" t="s">
        <v>1732</v>
      </c>
      <c r="CZ34" s="1250" t="s">
        <v>2022</v>
      </c>
      <c r="DA34" s="1251" t="s">
        <v>584</v>
      </c>
      <c r="DB34" s="1250" t="s">
        <v>2023</v>
      </c>
      <c r="DC34" s="1250" t="s">
        <v>1486</v>
      </c>
      <c r="DD34" s="1251" t="s">
        <v>1732</v>
      </c>
      <c r="DE34" s="1250" t="s">
        <v>2022</v>
      </c>
      <c r="DF34" s="1251" t="s">
        <v>584</v>
      </c>
      <c r="DG34" s="1250" t="s">
        <v>2023</v>
      </c>
      <c r="DH34" s="1250" t="s">
        <v>1486</v>
      </c>
      <c r="DI34" s="1251" t="s">
        <v>1732</v>
      </c>
      <c r="DJ34" s="1250" t="s">
        <v>2022</v>
      </c>
      <c r="DK34" s="1251" t="s">
        <v>584</v>
      </c>
      <c r="DL34" s="1250" t="s">
        <v>2023</v>
      </c>
      <c r="DM34" s="1250" t="s">
        <v>1486</v>
      </c>
      <c r="DN34" s="1251" t="s">
        <v>1732</v>
      </c>
      <c r="DO34" s="1250" t="s">
        <v>2022</v>
      </c>
      <c r="DP34" s="1251" t="s">
        <v>584</v>
      </c>
      <c r="DQ34" s="1250" t="s">
        <v>2023</v>
      </c>
      <c r="DR34" s="1250" t="s">
        <v>1486</v>
      </c>
      <c r="DS34" s="1251" t="s">
        <v>1732</v>
      </c>
      <c r="DT34" s="1250" t="s">
        <v>2022</v>
      </c>
      <c r="DU34" s="1251" t="s">
        <v>584</v>
      </c>
      <c r="DV34" s="1250" t="s">
        <v>2023</v>
      </c>
      <c r="DW34" s="1250" t="s">
        <v>1486</v>
      </c>
      <c r="DX34" s="1251" t="s">
        <v>1732</v>
      </c>
      <c r="DY34" s="1250" t="s">
        <v>2022</v>
      </c>
      <c r="DZ34" s="1251" t="s">
        <v>584</v>
      </c>
      <c r="EA34" s="1250" t="s">
        <v>2023</v>
      </c>
    </row>
    <row r="35" spans="1:145">
      <c r="B35" s="1"/>
      <c r="C35" s="1082" t="s">
        <v>1769</v>
      </c>
      <c r="D35" s="1086" t="s">
        <v>685</v>
      </c>
      <c r="E35" s="1087" t="s">
        <v>821</v>
      </c>
      <c r="F35" s="1089" t="s">
        <v>1731</v>
      </c>
      <c r="G35" s="1376"/>
      <c r="H35" s="1377"/>
      <c r="I35" s="1378"/>
      <c r="J35" s="1349">
        <f ca="1">OFFSET('VVP2'!$G$185,0,(COLUMN()-10)/5)</f>
        <v>4.9615900000000002</v>
      </c>
      <c r="K35" s="1379"/>
      <c r="L35" s="1355">
        <f ca="1">OFFSET('VVP2'!$G$10,0,(COLUMN()-7)/5)</f>
        <v>6.4762344028386432</v>
      </c>
      <c r="M35" s="1349">
        <f ca="1">+J35*(1+L35/100)</f>
        <v>5.2829141985078021</v>
      </c>
      <c r="N35" s="1356">
        <f ca="1">+O35/M35*100-100</f>
        <v>17.98147321341159</v>
      </c>
      <c r="O35" s="1349">
        <f ca="1">OFFSET('VVP2'!$G$185,0,(COLUMN()-10)/5)</f>
        <v>6.2328599999999996</v>
      </c>
      <c r="P35" s="1357">
        <f ca="1">(O35/J35-1)*100</f>
        <v>25.622229970634393</v>
      </c>
      <c r="Q35" s="1355">
        <f ca="1">OFFSET('VVP2'!$G$10,0,(COLUMN()-7)/5)</f>
        <v>5.6211089393928937</v>
      </c>
      <c r="R35" s="1349">
        <f ca="1">+O35*(1+Q35/100)</f>
        <v>6.5832158506398439</v>
      </c>
      <c r="S35" s="1356">
        <f ca="1">+T35/R35*100-100</f>
        <v>9.2523800400826133</v>
      </c>
      <c r="T35" s="1349">
        <f ca="1">OFFSET('VVP2'!$G$185,0,(COLUMN()-10)/5)</f>
        <v>7.1923199999999996</v>
      </c>
      <c r="U35" s="1357">
        <f ca="1">(T35/O35-1)*100</f>
        <v>15.393575341015197</v>
      </c>
      <c r="V35" s="1355">
        <f ca="1">OFFSET('VVP2'!$G$10,0,(COLUMN()-7)/5)</f>
        <v>4.7552825314067348</v>
      </c>
      <c r="W35" s="1349">
        <f ca="1">+T35*(1+V35/100)</f>
        <v>7.5343351365628726</v>
      </c>
      <c r="X35" s="1356">
        <f ca="1">+Y35/W35*100-100</f>
        <v>5.7466897289446734</v>
      </c>
      <c r="Y35" s="1349">
        <f ca="1">OFFSET('VVP2'!$G$185,0,(COLUMN()-10)/5)</f>
        <v>7.9673100000000003</v>
      </c>
      <c r="Z35" s="1357">
        <f ca="1">(Y35/T35-1)*100</f>
        <v>10.775243593166062</v>
      </c>
      <c r="AA35" s="1355">
        <f ca="1">OFFSET('VVP2'!$G$10,0,(COLUMN()-7)/5)</f>
        <v>4.9644887582733777</v>
      </c>
      <c r="AB35" s="1349">
        <f ca="1">+Y35*(1+AA35/100)</f>
        <v>8.3628462092867917</v>
      </c>
      <c r="AC35" s="1356">
        <f ca="1">+AD35/AB35*100-100</f>
        <v>-1.23039700493986</v>
      </c>
      <c r="AD35" s="1349">
        <f ca="1">OFFSET('VVP2'!$G$185,0,(COLUMN()-10)/5)</f>
        <v>8.2599499999999999</v>
      </c>
      <c r="AE35" s="1357">
        <f ca="1">(AD35/Y35-1)*100</f>
        <v>3.6730088323411403</v>
      </c>
      <c r="AF35" s="1355">
        <f ca="1">OFFSET('VVP2'!$G$10,0,(COLUMN()-7)/5)</f>
        <v>6.98278615571859</v>
      </c>
      <c r="AG35" s="1349">
        <f ca="1">+AD35*(1+AF35/100)</f>
        <v>8.8367246450692782</v>
      </c>
      <c r="AH35" s="1356">
        <f ca="1">+AI35/AG35*100-100</f>
        <v>-1.6390082398923056</v>
      </c>
      <c r="AI35" s="1349">
        <f ca="1">OFFSET('VVP2'!$G$185,0,(COLUMN()-10)/5)</f>
        <v>8.691889999999999</v>
      </c>
      <c r="AJ35" s="1357">
        <f ca="1">(AI35/AD35-1)*100</f>
        <v>5.2293294753600117</v>
      </c>
      <c r="AK35" s="1355">
        <f ca="1">OFFSET('VVP2'!$G$10,0,(COLUMN()-7)/5)</f>
        <v>4.2080179577484333</v>
      </c>
      <c r="AL35" s="1349">
        <f ca="1">+AI35*(1+AK35/100)</f>
        <v>9.057646292067739</v>
      </c>
      <c r="AM35" s="1356">
        <f ca="1">+AN35/AL35*100-100</f>
        <v>2.3337597993573951</v>
      </c>
      <c r="AN35" s="1349">
        <f ca="1">OFFSET('VVP2'!$G$185,0,(COLUMN()-10)/5)</f>
        <v>9.2690300000000008</v>
      </c>
      <c r="AO35" s="1357">
        <f ca="1">(AN35/AI35-1)*100</f>
        <v>6.639982788553489</v>
      </c>
      <c r="AP35" s="1355">
        <f ca="1">OFFSET('VVP2'!$G$10,0,(COLUMN()-7)/5)</f>
        <v>6.1642052831319294</v>
      </c>
      <c r="AQ35" s="1349">
        <f ca="1">+AN35*(1+AP35/100)</f>
        <v>9.8403920369550839</v>
      </c>
      <c r="AR35" s="1356">
        <f ca="1">+AS35/AQ35*100-100</f>
        <v>-0.38587931062585312</v>
      </c>
      <c r="AS35" s="1349">
        <f ca="1">OFFSET('VVP2'!$G$185,0,(COLUMN()-10)/5)</f>
        <v>9.8024199999999997</v>
      </c>
      <c r="AT35" s="1357">
        <f ca="1">(AS35/AN35-1)*100</f>
        <v>5.75453957965395</v>
      </c>
      <c r="AU35" s="1355">
        <f ca="1">OFFSET('VVP2'!$G$10,0,(COLUMN()-7)/5)</f>
        <v>11.214400216834619</v>
      </c>
      <c r="AV35" s="1349">
        <f ca="1">+AS35*(1+AU35/100)</f>
        <v>10.90170260973504</v>
      </c>
      <c r="AW35" s="1356">
        <f ca="1">+AX35/AV35*100-100</f>
        <v>-1.4834619464910475</v>
      </c>
      <c r="AX35" s="1349">
        <f ca="1">OFFSET('VVP2'!$G$185,0,(COLUMN()-10)/5)</f>
        <v>10.739979999999999</v>
      </c>
      <c r="AY35" s="1357">
        <f ca="1">(AX35/AS35-1)*100</f>
        <v>9.5645769105996195</v>
      </c>
      <c r="AZ35" s="1355">
        <f ca="1">OFFSET('VVP2'!$G$10,0,(COLUMN()-7)/5)</f>
        <v>11.679399634080156</v>
      </c>
      <c r="BA35" s="1349">
        <f ca="1">+AX35*(1+AZ35/100)</f>
        <v>11.994345184820281</v>
      </c>
      <c r="BB35" s="1356">
        <f ca="1">+BC35/BA35*100-100</f>
        <v>-0.87762344003157011</v>
      </c>
      <c r="BC35" s="1349">
        <f ca="1">OFFSET('VVP2'!$G$185,0,(COLUMN()-10)/5)</f>
        <v>11.88908</v>
      </c>
      <c r="BD35" s="1357">
        <f ca="1">(BC35/AX35-1)*100</f>
        <v>10.699275045204937</v>
      </c>
      <c r="BE35" s="1355">
        <f ca="1">OFFSET('VVP2'!$G$10,0,(COLUMN()-7)/5)</f>
        <v>11.604172440280291</v>
      </c>
      <c r="BF35" s="1349">
        <f ca="1">+BC35*(1+BE35/100)</f>
        <v>13.268709344762875</v>
      </c>
      <c r="BG35" s="1356">
        <f ca="1">+BH35/BF35*100-100</f>
        <v>2.3692632574034462</v>
      </c>
      <c r="BH35" s="1349">
        <f ca="1">OFFSET('VVP2'!$G$185,0,(COLUMN()-10)/5)</f>
        <v>13.583080000000001</v>
      </c>
      <c r="BI35" s="1357">
        <f ca="1">(BH35/BC35-1)*100</f>
        <v>14.248369091637048</v>
      </c>
      <c r="BJ35" s="1355">
        <f ca="1">OFFSET('VVP2'!$G$10,0,(COLUMN()-7)/5)</f>
        <v>9.0980834144997367</v>
      </c>
      <c r="BK35" s="1349">
        <f ca="1">+BH35*(1+BJ35/100)</f>
        <v>14.818879948658232</v>
      </c>
      <c r="BL35" s="1356">
        <f ca="1">+BM35/BK35*100-100</f>
        <v>4.6627009175840755</v>
      </c>
      <c r="BM35" s="1349">
        <f ca="1">OFFSET('VVP2'!$G$185,0,(COLUMN()-10)/5)</f>
        <v>15.509840000000001</v>
      </c>
      <c r="BN35" s="1357">
        <f ca="1">(BM35/BH35-1)*100</f>
        <v>14.18500075093425</v>
      </c>
      <c r="BO35" s="1355">
        <f ca="1">OFFSET('VVP2'!$G$10,0,(COLUMN()-7)/5)</f>
        <v>12.41815392674075</v>
      </c>
      <c r="BP35" s="1349">
        <f ca="1">+BM35*(1+BO35/100)</f>
        <v>17.435875804991209</v>
      </c>
      <c r="BQ35" s="1356">
        <f ca="1">+BR35/BP35*100-100</f>
        <v>5.8771592919665494</v>
      </c>
      <c r="BR35" s="1349">
        <f ca="1">OFFSET('VVP2'!$G$185,0,(COLUMN()-10)/5)</f>
        <v>18.460609999999999</v>
      </c>
      <c r="BS35" s="1357">
        <f ca="1">(BR35/BM35-1)*100</f>
        <v>19.025147906103477</v>
      </c>
      <c r="BT35" s="1355">
        <f ca="1">OFFSET('VVP2'!$G$10,0,(COLUMN()-7)/5)</f>
        <v>3.853720591389509</v>
      </c>
      <c r="BU35" s="1349">
        <f ca="1">+BR35*(1+BT35/100)</f>
        <v>19.172030328866111</v>
      </c>
      <c r="BV35" s="1356">
        <f ca="1">+BW35/BU35*100-100</f>
        <v>10.895036338373188</v>
      </c>
      <c r="BW35" s="1349">
        <f ca="1">OFFSET('VVP2'!$G$185,0,(COLUMN()-10)/5)</f>
        <v>21.260830000000002</v>
      </c>
      <c r="BX35" s="1357">
        <f ca="1">(BW35/BR35-1)*100</f>
        <v>15.168621188573962</v>
      </c>
      <c r="BY35" s="1355">
        <f ca="1">OFFSET('VVP2'!$G$10,0,(COLUMN()-7)/5)</f>
        <v>-17.351959335552912</v>
      </c>
      <c r="BZ35" s="1349">
        <f ca="1">+BW35*(1+BY35/100)</f>
        <v>17.571659423998966</v>
      </c>
      <c r="CA35" s="1356">
        <f ca="1">+CB35/BZ35*100-100</f>
        <v>4.3463770698739239</v>
      </c>
      <c r="CB35" s="1349">
        <f ca="1">OFFSET('VVP2'!$G$185,0,(COLUMN()-10)/5)</f>
        <v>18.33539</v>
      </c>
      <c r="CC35" s="1357">
        <f ca="1">(CB35/BW35-1)*100</f>
        <v>-13.759763847413298</v>
      </c>
      <c r="CD35" s="1355">
        <f ca="1">OFFSET('VVP2'!$G$10,0,(COLUMN()-7)/5)</f>
        <v>-3.3542524195715462</v>
      </c>
      <c r="CE35" s="1349">
        <f ca="1">+CB35*(1+CD35/100)</f>
        <v>17.72037473728712</v>
      </c>
      <c r="CF35" s="1356">
        <f ca="1">+CG35/CE35*100-100</f>
        <v>1.2706574553363623</v>
      </c>
      <c r="CG35" s="1349">
        <f ca="1">OFFSET('VVP2'!$G$185,0,(COLUMN()-10)/5)</f>
        <v>17.945540000000001</v>
      </c>
      <c r="CH35" s="1357">
        <f ca="1">(CG35/CB35-1)*100</f>
        <v>-2.1262160226752647</v>
      </c>
      <c r="CI35" s="1355">
        <f ca="1">OFFSET('VVP2'!$G$10,0,(COLUMN()-7)/5)</f>
        <v>4.5987470981647682</v>
      </c>
      <c r="CJ35" s="1349">
        <f ca="1">+CG35*(1+CI35/100)</f>
        <v>18.770809999999997</v>
      </c>
      <c r="CK35" s="1356">
        <f ca="1">+CL35/CJ35*100-100</f>
        <v>4.1183092258671934</v>
      </c>
      <c r="CL35" s="1349">
        <f ca="1">OFFSET('VVP2'!$G$185,0,(COLUMN()-10)/5)</f>
        <v>19.543849999999999</v>
      </c>
      <c r="CM35" s="1357">
        <f ca="1">(CL35/CG35-1)*100</f>
        <v>8.9064469500499612</v>
      </c>
      <c r="CN35" s="1355">
        <f ca="1">OFFSET('VVP2'!$G$10,0,(COLUMN()-7)/5)</f>
        <v>3.0945388078617908</v>
      </c>
      <c r="CO35" s="1349">
        <f ca="1">+CL35*(1+CN35/100)</f>
        <v>20.148642022800296</v>
      </c>
      <c r="CP35" s="1356">
        <f ca="1">+CQ35/CO35*100-100</f>
        <v>3.0842672994859015</v>
      </c>
      <c r="CQ35" s="1349">
        <f ca="1">OFFSET('VVP2'!$G$185,0,(COLUMN()-10)/5)</f>
        <v>20.77008</v>
      </c>
      <c r="CR35" s="1357">
        <f ca="1">(CQ35/CL35-1)*100</f>
        <v>6.2742499558684717</v>
      </c>
      <c r="CS35" s="1355">
        <f ca="1">OFFSET('VVP2'!$G$10,0,(COLUMN()-7)/5)</f>
        <v>4.3134239507887751</v>
      </c>
      <c r="CT35" s="1349">
        <f ca="1">+CQ35*(1+CS35/100)</f>
        <v>21.665981605317988</v>
      </c>
      <c r="CU35" s="1356">
        <f ca="1">+CV35/CT35*100-100</f>
        <v>0.99570099620622443</v>
      </c>
      <c r="CV35" s="1349">
        <f ca="1">OFFSET('VVP2'!$G$185,0,(COLUMN()-10)/5)</f>
        <v>21.881709999999998</v>
      </c>
      <c r="CW35" s="1357">
        <f ca="1">(CV35/CQ35-1)*100</f>
        <v>5.3520737522436024</v>
      </c>
      <c r="CX35" s="1355">
        <f ca="1">OFFSET('VVP2'!$G$10,0,(COLUMN()-7)/5)</f>
        <v>3.9665319224824414</v>
      </c>
      <c r="CY35" s="1349">
        <f ca="1">+CV35*(1+CX35/100)</f>
        <v>22.74965501233503</v>
      </c>
      <c r="CZ35" s="1356">
        <f ca="1">+DA35/CY35*100-100</f>
        <v>0.11940834992989835</v>
      </c>
      <c r="DA35" s="1349">
        <f ca="1">OFFSET('VVP2'!$G$185,0,(COLUMN()-10)/5)</f>
        <v>22.776820000000001</v>
      </c>
      <c r="DB35" s="1357">
        <f ca="1">(DA35/CV35-1)*100</f>
        <v>4.0906766427303953</v>
      </c>
      <c r="DC35" s="1355">
        <f ca="1">OFFSET('VVP2'!$G$10,0,(COLUMN()-7)/5)</f>
        <v>3.9764903202443636</v>
      </c>
      <c r="DD35" s="1349">
        <f ca="1">+DA35*(1+DC35/100)</f>
        <v>23.682538042559482</v>
      </c>
      <c r="DE35" s="1356">
        <f ca="1">+DF35/DD35*100-100</f>
        <v>-0.8820762461526499</v>
      </c>
      <c r="DF35" s="1349">
        <f ca="1">OFFSET('VVP2'!$G$185,0,(COLUMN()-10)/5)</f>
        <v>23.47364</v>
      </c>
      <c r="DG35" s="1357">
        <f ca="1">(DF35/DA35-1)*100</f>
        <v>3.0593383975462629</v>
      </c>
      <c r="DH35" s="1355">
        <f ca="1">OFFSET('VVP2'!$G$10,0,(COLUMN()-7)/5)</f>
        <v>4.9353738145373915</v>
      </c>
      <c r="DI35" s="1349">
        <f ca="1">+DF35*(1+DH35/100)</f>
        <v>24.632151881878773</v>
      </c>
      <c r="DJ35" s="1356">
        <f ca="1">+DK35/DI35*100-100</f>
        <v>0.93856240912231215</v>
      </c>
      <c r="DK35" s="1349">
        <f ca="1">OFFSET('VVP2'!$G$185,0,(COLUMN()-10)/5)</f>
        <v>24.863340000000001</v>
      </c>
      <c r="DL35" s="1357">
        <f ca="1">(DK35/DF35-1)*100</f>
        <v>5.9202577870326012</v>
      </c>
      <c r="DM35" s="1355">
        <f ca="1">OFFSET('VVP2'!$G$10,0,(COLUMN()-7)/5)</f>
        <v>3.8909751369404999</v>
      </c>
      <c r="DN35" s="1349">
        <f ca="1">+DK35*(1+DM35/100)</f>
        <v>25.830766377612981</v>
      </c>
      <c r="DO35" s="1356">
        <f ca="1">+DP35/DN35*100-100</f>
        <v>3.7537547597789001</v>
      </c>
      <c r="DP35" s="1349">
        <f ca="1">OFFSET('VVP2'!$G$185,0,(COLUMN()-10)/5)</f>
        <v>26.80039</v>
      </c>
      <c r="DQ35" s="1357">
        <f ca="1">(DP35/DK35-1)*100</f>
        <v>7.790787561124124</v>
      </c>
      <c r="DR35" s="3073">
        <v>3.5</v>
      </c>
      <c r="DS35" s="2250">
        <f ca="1">+DP35*(1+DR35/100)</f>
        <v>27.738403649999999</v>
      </c>
      <c r="DT35" s="3197">
        <v>2.6</v>
      </c>
      <c r="DU35" s="2250">
        <f ca="1">+DS35*(1+DT35/100)</f>
        <v>28.4596021449</v>
      </c>
      <c r="DV35" s="2251">
        <f ca="1">(DU35/DP35-1)*100</f>
        <v>6.190999999999991</v>
      </c>
      <c r="DW35" s="3073">
        <v>3.3</v>
      </c>
      <c r="DX35" s="2250">
        <f ca="1">+DU35*(1+DW35/100)</f>
        <v>29.398769015681697</v>
      </c>
      <c r="DY35" s="3197">
        <v>2.2000000000000002</v>
      </c>
      <c r="DZ35" s="2250">
        <f ca="1">+DX35*(1+DY35/100)</f>
        <v>30.045541934026694</v>
      </c>
      <c r="EA35" s="2251">
        <f ca="1">(DZ35/DU35-1)*100</f>
        <v>5.5725999999999942</v>
      </c>
    </row>
    <row r="36" spans="1:145" s="2842" customFormat="1">
      <c r="A36" s="2841"/>
      <c r="C36" s="2843"/>
      <c r="D36" s="1782"/>
      <c r="E36" s="1782" t="s">
        <v>758</v>
      </c>
      <c r="F36" s="2844"/>
      <c r="G36" s="2845"/>
      <c r="H36" s="2845"/>
      <c r="I36" s="2845"/>
      <c r="J36" s="1232"/>
      <c r="K36" s="2845"/>
      <c r="L36" s="2847">
        <f ca="1">OFFSET('Q1'!$N28,0,(COLUMN()-12)*4/5)</f>
        <v>6.1330753520369825</v>
      </c>
      <c r="M36" s="2846"/>
      <c r="N36" s="1232"/>
      <c r="O36" s="1232"/>
      <c r="P36" s="1232"/>
      <c r="Q36" s="2847">
        <f ca="1">OFFSET('Q1'!$N28,0,(COLUMN()-12)*4/5)</f>
        <v>5.9929751781525624</v>
      </c>
      <c r="R36" s="1232"/>
      <c r="S36" s="1232"/>
      <c r="T36" s="1232"/>
      <c r="U36" s="1232"/>
      <c r="V36" s="2847">
        <f ca="1">OFFSET('Q1'!$N28,0,(COLUMN()-12)*4/5)</f>
        <v>4.7410102739726057</v>
      </c>
      <c r="W36" s="1232"/>
      <c r="X36" s="1232"/>
      <c r="Y36" s="1232"/>
      <c r="Z36" s="1232"/>
      <c r="AA36" s="2847">
        <f ca="1">OFFSET('Q1'!$N28,0,(COLUMN()-12)*4/5)</f>
        <v>4.9767183873651817</v>
      </c>
      <c r="AB36" s="1232"/>
      <c r="AC36" s="1232"/>
      <c r="AD36" s="1232"/>
      <c r="AE36" s="1232"/>
      <c r="AF36" s="2847">
        <f ca="1">OFFSET('Q1'!$N28,0,(COLUMN()-12)*4/5)</f>
        <v>6.6040031424459613</v>
      </c>
      <c r="AG36" s="1232"/>
      <c r="AH36" s="1232"/>
      <c r="AI36" s="1232"/>
      <c r="AJ36" s="1232"/>
      <c r="AK36" s="2847">
        <f ca="1">OFFSET('Q1'!$N28,0,(COLUMN()-12)*4/5)</f>
        <v>4.5638336724578892</v>
      </c>
      <c r="AL36" s="1232"/>
      <c r="AM36" s="1232"/>
      <c r="AN36" s="1232"/>
      <c r="AO36" s="1232"/>
      <c r="AP36" s="2847">
        <f ca="1">OFFSET('Q1'!$N28,0,(COLUMN()-12)*4/5)</f>
        <v>6.1655668791397886</v>
      </c>
      <c r="AQ36" s="1232"/>
      <c r="AR36" s="1232"/>
      <c r="AS36" s="1232"/>
      <c r="AT36" s="1232"/>
      <c r="AU36" s="2847">
        <f ca="1">OFFSET('Q1'!$N28,0,(COLUMN()-12)*4/5)</f>
        <v>11.227855797954973</v>
      </c>
      <c r="AV36" s="1232"/>
      <c r="AW36" s="1232"/>
      <c r="AX36" s="1232"/>
      <c r="AY36" s="1232"/>
      <c r="AZ36" s="2847">
        <f ca="1">OFFSET('Q1'!$N28,0,(COLUMN()-12)*4/5)</f>
        <v>11.327222358667214</v>
      </c>
      <c r="BA36" s="1232"/>
      <c r="BB36" s="1232"/>
      <c r="BC36" s="1232"/>
      <c r="BD36" s="1232"/>
      <c r="BE36" s="2847">
        <f ca="1">OFFSET('Q1'!$N28,0,(COLUMN()-12)*4/5)</f>
        <v>44.525261377518973</v>
      </c>
      <c r="BF36" s="1232"/>
      <c r="BG36" s="1232"/>
      <c r="BH36" s="1232"/>
      <c r="BI36" s="1232"/>
      <c r="BJ36" s="2847">
        <f ca="1">OFFSET('Q1'!$N28,0,(COLUMN()-12)*4/5)</f>
        <v>9.0948246548636149</v>
      </c>
      <c r="BK36" s="1232"/>
      <c r="BL36" s="1232"/>
      <c r="BM36" s="1232"/>
      <c r="BN36" s="1232"/>
      <c r="BO36" s="2847">
        <f ca="1">OFFSET('Q1'!$N28,0,(COLUMN()-12)*4/5)</f>
        <v>12.414025974025961</v>
      </c>
      <c r="BP36" s="1232"/>
      <c r="BQ36" s="1232"/>
      <c r="BR36" s="1232"/>
      <c r="BS36" s="1232"/>
      <c r="BT36" s="2847">
        <f ca="1">OFFSET('Q1'!$N28,0,(COLUMN()-12)*4/5)</f>
        <v>3.6682578778818709</v>
      </c>
      <c r="BU36" s="1232"/>
      <c r="BV36" s="1232"/>
      <c r="BW36" s="1232"/>
      <c r="BX36" s="1232"/>
      <c r="BY36" s="2865">
        <f ca="1">OFFSET('Q1'!$N28,0,(COLUMN()-12)*4/5)</f>
        <v>-17.180555865112453</v>
      </c>
      <c r="BZ36" s="1232"/>
      <c r="CA36" s="1232"/>
      <c r="CB36" s="1232"/>
      <c r="CC36" s="1232"/>
      <c r="CD36" s="2865">
        <f ca="1">OFFSET('Q1'!$N28,0,(COLUMN()-12)*4/5)</f>
        <v>-3.37418524917517</v>
      </c>
      <c r="CE36" s="1232"/>
      <c r="CF36" s="1232"/>
      <c r="CG36" s="1232"/>
      <c r="CH36" s="1232"/>
      <c r="CI36" s="2865">
        <f ca="1">OFFSET('Q1'!$N28,0,(COLUMN()-12)*4/5)</f>
        <v>4.7291727011430424</v>
      </c>
      <c r="CJ36" s="1232"/>
      <c r="CK36" s="1232"/>
      <c r="CL36" s="1232"/>
      <c r="CM36" s="1232"/>
      <c r="CN36" s="2865">
        <f ca="1">OFFSET('Q1'!$N28,0,(COLUMN()-12)*4/5)</f>
        <v>2.5242801068005463</v>
      </c>
      <c r="CO36" s="1232"/>
      <c r="CP36" s="1232"/>
      <c r="CQ36" s="1232"/>
      <c r="CR36" s="1232"/>
      <c r="CS36" s="2865">
        <f ca="1">OFFSET('Q1'!$N28,0,(COLUMN()-12)*4/5)</f>
        <v>4.8822369786262669</v>
      </c>
      <c r="CT36" s="1232"/>
      <c r="CU36" s="1232"/>
      <c r="CV36" s="1232"/>
      <c r="CW36" s="1232"/>
      <c r="CX36" s="2865">
        <f ca="1">OFFSET('Q1'!$N28,0,(COLUMN()-12)*4/5)</f>
        <v>3.8650449372066333</v>
      </c>
      <c r="CY36" s="1232"/>
      <c r="CZ36" s="1232"/>
      <c r="DA36" s="1232"/>
      <c r="DB36" s="1232"/>
      <c r="DC36" s="2865">
        <f ca="1">OFFSET('Q1'!$N28,0,(COLUMN()-12)*4/5)</f>
        <v>4.0040955306331512</v>
      </c>
      <c r="DD36" s="1232"/>
      <c r="DE36" s="1232"/>
      <c r="DF36" s="1232"/>
      <c r="DG36" s="1232"/>
      <c r="DH36" s="2865">
        <f ca="1">OFFSET('Q1'!$N28,0,(COLUMN()-12)*4/5)</f>
        <v>4.6659004638427035</v>
      </c>
      <c r="DI36" s="1232"/>
      <c r="DJ36" s="1232"/>
      <c r="DK36" s="1232"/>
      <c r="DL36" s="1232"/>
      <c r="DM36" s="2865">
        <f ca="1">OFFSET('Q1'!$N28,0,(COLUMN()-12)*4/5)</f>
        <v>4.1241037172493122</v>
      </c>
      <c r="DN36" s="1232"/>
      <c r="DO36" s="1232"/>
      <c r="DP36" s="1232"/>
      <c r="DQ36" s="1232"/>
      <c r="DR36" s="2865">
        <f ca="1">OFFSET('Q1'!$N28,0,(COLUMN()-12)*4/5)</f>
        <v>3.5081423884548002</v>
      </c>
      <c r="DS36" s="1232"/>
      <c r="DT36" s="1232"/>
      <c r="DU36" s="1232"/>
      <c r="DV36" s="1232"/>
      <c r="DW36" s="2865">
        <f ca="1">OFFSET('Q1'!$N28,0,(COLUMN()-12)*4/5)</f>
        <v>3.2650864524893564</v>
      </c>
      <c r="DX36" s="1232"/>
      <c r="DY36" s="1232"/>
      <c r="DZ36" s="1232"/>
      <c r="EA36" s="1232"/>
      <c r="EB36"/>
      <c r="EC36"/>
      <c r="ED36"/>
      <c r="EE36"/>
      <c r="EF36"/>
      <c r="EG36"/>
      <c r="EH36"/>
      <c r="EI36"/>
      <c r="EJ36"/>
      <c r="EK36"/>
      <c r="EL36"/>
      <c r="EM36"/>
      <c r="EN36"/>
      <c r="EO36"/>
    </row>
    <row r="39" spans="1:145">
      <c r="B39" s="1"/>
      <c r="C39" s="774"/>
      <c r="D39" s="3751"/>
      <c r="E39" s="3751" t="s">
        <v>664</v>
      </c>
      <c r="F39" s="3751"/>
      <c r="G39" s="3753">
        <f>+InputY!$G$3</f>
        <v>1995</v>
      </c>
      <c r="H39" s="3754"/>
      <c r="I39" s="3754"/>
      <c r="J39" s="3754"/>
      <c r="K39" s="3755"/>
      <c r="L39" s="3753">
        <f>+G39+1</f>
        <v>1996</v>
      </c>
      <c r="M39" s="3754"/>
      <c r="N39" s="3754"/>
      <c r="O39" s="3754"/>
      <c r="P39" s="3755"/>
      <c r="Q39" s="3753">
        <f>+L39+1</f>
        <v>1997</v>
      </c>
      <c r="R39" s="3754"/>
      <c r="S39" s="3754"/>
      <c r="T39" s="3754"/>
      <c r="U39" s="3755"/>
      <c r="V39" s="3753">
        <f>+Q39+1</f>
        <v>1998</v>
      </c>
      <c r="W39" s="3754"/>
      <c r="X39" s="3754"/>
      <c r="Y39" s="3754"/>
      <c r="Z39" s="3755"/>
      <c r="AA39" s="3753">
        <f>+V39+1</f>
        <v>1999</v>
      </c>
      <c r="AB39" s="3754"/>
      <c r="AC39" s="3754"/>
      <c r="AD39" s="3754"/>
      <c r="AE39" s="3755"/>
      <c r="AF39" s="3753">
        <f>+AA39+1</f>
        <v>2000</v>
      </c>
      <c r="AG39" s="3754"/>
      <c r="AH39" s="3754"/>
      <c r="AI39" s="3754"/>
      <c r="AJ39" s="3755"/>
      <c r="AK39" s="3753">
        <f>+AF39+1</f>
        <v>2001</v>
      </c>
      <c r="AL39" s="3754"/>
      <c r="AM39" s="3754"/>
      <c r="AN39" s="3754"/>
      <c r="AO39" s="3755"/>
      <c r="AP39" s="3753">
        <f>+AK39+1</f>
        <v>2002</v>
      </c>
      <c r="AQ39" s="3754"/>
      <c r="AR39" s="3754"/>
      <c r="AS39" s="3754"/>
      <c r="AT39" s="3755"/>
      <c r="AU39" s="3753">
        <f>+AP39+1</f>
        <v>2003</v>
      </c>
      <c r="AV39" s="3754"/>
      <c r="AW39" s="3754"/>
      <c r="AX39" s="3754"/>
      <c r="AY39" s="3755"/>
      <c r="AZ39" s="3753">
        <f>+AU39+1</f>
        <v>2004</v>
      </c>
      <c r="BA39" s="3754"/>
      <c r="BB39" s="3754"/>
      <c r="BC39" s="3754"/>
      <c r="BD39" s="3755"/>
      <c r="BE39" s="3753">
        <f>+AZ39+1</f>
        <v>2005</v>
      </c>
      <c r="BF39" s="3754"/>
      <c r="BG39" s="3754"/>
      <c r="BH39" s="3754"/>
      <c r="BI39" s="3755"/>
      <c r="BJ39" s="3753">
        <f>+BE39+1</f>
        <v>2006</v>
      </c>
      <c r="BK39" s="3754"/>
      <c r="BL39" s="3754"/>
      <c r="BM39" s="3754"/>
      <c r="BN39" s="3755"/>
      <c r="BO39" s="3753">
        <f>+BJ39+1</f>
        <v>2007</v>
      </c>
      <c r="BP39" s="3754"/>
      <c r="BQ39" s="3754"/>
      <c r="BR39" s="3754"/>
      <c r="BS39" s="3755"/>
      <c r="BT39" s="3753">
        <f>+BO39+1</f>
        <v>2008</v>
      </c>
      <c r="BU39" s="3754"/>
      <c r="BV39" s="3754"/>
      <c r="BW39" s="3754"/>
      <c r="BX39" s="3755"/>
      <c r="BY39" s="3753">
        <f>+BT39+1</f>
        <v>2009</v>
      </c>
      <c r="BZ39" s="3754"/>
      <c r="CA39" s="3754"/>
      <c r="CB39" s="3754"/>
      <c r="CC39" s="3755"/>
      <c r="CD39" s="3753">
        <f>+BY39+1</f>
        <v>2010</v>
      </c>
      <c r="CE39" s="3754"/>
      <c r="CF39" s="3754"/>
      <c r="CG39" s="3754"/>
      <c r="CH39" s="3755"/>
      <c r="CI39" s="3753">
        <f>+CD39+1</f>
        <v>2011</v>
      </c>
      <c r="CJ39" s="3754"/>
      <c r="CK39" s="3754"/>
      <c r="CL39" s="3754"/>
      <c r="CM39" s="3755"/>
      <c r="CN39" s="3753">
        <f>+CI39+1</f>
        <v>2012</v>
      </c>
      <c r="CO39" s="3754"/>
      <c r="CP39" s="3754"/>
      <c r="CQ39" s="3754"/>
      <c r="CR39" s="3755"/>
      <c r="CS39" s="3753">
        <f>+CN39+1</f>
        <v>2013</v>
      </c>
      <c r="CT39" s="3754"/>
      <c r="CU39" s="3754"/>
      <c r="CV39" s="3754"/>
      <c r="CW39" s="3755"/>
      <c r="CX39" s="3753">
        <f>+CS39+1</f>
        <v>2014</v>
      </c>
      <c r="CY39" s="3754"/>
      <c r="CZ39" s="3754"/>
      <c r="DA39" s="3754"/>
      <c r="DB39" s="3755"/>
      <c r="DC39" s="3753">
        <f>+CX39+1</f>
        <v>2015</v>
      </c>
      <c r="DD39" s="3754"/>
      <c r="DE39" s="3754"/>
      <c r="DF39" s="3754"/>
      <c r="DG39" s="3755"/>
      <c r="DH39" s="3753">
        <f>+DC39+1</f>
        <v>2016</v>
      </c>
      <c r="DI39" s="3754"/>
      <c r="DJ39" s="3754"/>
      <c r="DK39" s="3754"/>
      <c r="DL39" s="3755"/>
      <c r="DM39" s="3753">
        <f>+DH39+1</f>
        <v>2017</v>
      </c>
      <c r="DN39" s="3754"/>
      <c r="DO39" s="3754"/>
      <c r="DP39" s="3754"/>
      <c r="DQ39" s="3755"/>
      <c r="DR39" s="3753">
        <f>+DM39+1</f>
        <v>2018</v>
      </c>
      <c r="DS39" s="3754"/>
      <c r="DT39" s="3754"/>
      <c r="DU39" s="3754"/>
      <c r="DV39" s="3755"/>
      <c r="DW39" s="3753">
        <f>+DR39+1</f>
        <v>2019</v>
      </c>
      <c r="DX39" s="3754"/>
      <c r="DY39" s="3754"/>
      <c r="DZ39" s="3754"/>
      <c r="EA39" s="3755"/>
    </row>
    <row r="40" spans="1:145">
      <c r="B40" s="1"/>
      <c r="C40" s="774"/>
      <c r="D40" s="3751"/>
      <c r="E40" s="3751"/>
      <c r="F40" s="3751"/>
      <c r="G40" s="1252"/>
      <c r="H40" s="1253"/>
      <c r="I40" s="1252" t="s">
        <v>2022</v>
      </c>
      <c r="J40" s="1253" t="s">
        <v>666</v>
      </c>
      <c r="K40" s="1252"/>
      <c r="L40" s="1252"/>
      <c r="M40" s="1253"/>
      <c r="N40" s="1252" t="s">
        <v>2022</v>
      </c>
      <c r="O40" s="1253" t="s">
        <v>666</v>
      </c>
      <c r="P40" s="1252"/>
      <c r="Q40" s="1252"/>
      <c r="R40" s="1253"/>
      <c r="S40" s="1252" t="s">
        <v>2022</v>
      </c>
      <c r="T40" s="1253" t="s">
        <v>666</v>
      </c>
      <c r="U40" s="1252"/>
      <c r="V40" s="1252"/>
      <c r="W40" s="1253"/>
      <c r="X40" s="1252" t="s">
        <v>2022</v>
      </c>
      <c r="Y40" s="1253" t="s">
        <v>666</v>
      </c>
      <c r="Z40" s="1252"/>
      <c r="AA40" s="1252"/>
      <c r="AB40" s="1253"/>
      <c r="AC40" s="1252" t="s">
        <v>2022</v>
      </c>
      <c r="AD40" s="1253" t="s">
        <v>666</v>
      </c>
      <c r="AE40" s="1252"/>
      <c r="AF40" s="1252"/>
      <c r="AG40" s="1253"/>
      <c r="AH40" s="1252" t="s">
        <v>2022</v>
      </c>
      <c r="AI40" s="1253" t="s">
        <v>666</v>
      </c>
      <c r="AJ40" s="1252"/>
      <c r="AK40" s="1252"/>
      <c r="AL40" s="1253"/>
      <c r="AM40" s="1252" t="s">
        <v>2022</v>
      </c>
      <c r="AN40" s="1253" t="s">
        <v>666</v>
      </c>
      <c r="AO40" s="1252"/>
      <c r="AP40" s="1252"/>
      <c r="AQ40" s="1253"/>
      <c r="AR40" s="1252" t="s">
        <v>2022</v>
      </c>
      <c r="AS40" s="1253" t="s">
        <v>666</v>
      </c>
      <c r="AT40" s="1252"/>
      <c r="AU40" s="1252"/>
      <c r="AV40" s="1253"/>
      <c r="AW40" s="1252" t="s">
        <v>2022</v>
      </c>
      <c r="AX40" s="1253" t="s">
        <v>666</v>
      </c>
      <c r="AY40" s="1252"/>
      <c r="AZ40" s="1252"/>
      <c r="BA40" s="1253"/>
      <c r="BB40" s="1252" t="s">
        <v>2022</v>
      </c>
      <c r="BC40" s="1253" t="s">
        <v>666</v>
      </c>
      <c r="BD40" s="1252"/>
      <c r="BE40" s="1252"/>
      <c r="BF40" s="1253"/>
      <c r="BG40" s="1252" t="s">
        <v>2022</v>
      </c>
      <c r="BH40" s="1253" t="s">
        <v>666</v>
      </c>
      <c r="BI40" s="1252"/>
      <c r="BJ40" s="1252"/>
      <c r="BK40" s="1253"/>
      <c r="BL40" s="1252" t="s">
        <v>2022</v>
      </c>
      <c r="BM40" s="1253" t="s">
        <v>666</v>
      </c>
      <c r="BN40" s="1252"/>
      <c r="BO40" s="1252"/>
      <c r="BP40" s="1253"/>
      <c r="BQ40" s="1252" t="s">
        <v>2022</v>
      </c>
      <c r="BR40" s="1253" t="s">
        <v>666</v>
      </c>
      <c r="BS40" s="1252"/>
      <c r="BT40" s="1252"/>
      <c r="BU40" s="1253"/>
      <c r="BV40" s="1252" t="s">
        <v>2022</v>
      </c>
      <c r="BW40" s="1253" t="s">
        <v>666</v>
      </c>
      <c r="BX40" s="1252"/>
      <c r="BY40" s="1252"/>
      <c r="BZ40" s="1253"/>
      <c r="CA40" s="1252" t="s">
        <v>2022</v>
      </c>
      <c r="CB40" s="1253" t="s">
        <v>666</v>
      </c>
      <c r="CC40" s="1252"/>
      <c r="CD40" s="1252"/>
      <c r="CE40" s="1253"/>
      <c r="CF40" s="1252" t="s">
        <v>2022</v>
      </c>
      <c r="CG40" s="1253" t="s">
        <v>666</v>
      </c>
      <c r="CH40" s="1252"/>
      <c r="CI40" s="1252"/>
      <c r="CJ40" s="1253"/>
      <c r="CK40" s="1252" t="s">
        <v>2022</v>
      </c>
      <c r="CL40" s="1253" t="s">
        <v>666</v>
      </c>
      <c r="CM40" s="1252"/>
      <c r="CN40" s="1252"/>
      <c r="CO40" s="1253"/>
      <c r="CP40" s="1252" t="s">
        <v>2022</v>
      </c>
      <c r="CQ40" s="1253" t="s">
        <v>666</v>
      </c>
      <c r="CR40" s="1252"/>
      <c r="CS40" s="1252"/>
      <c r="CT40" s="1253"/>
      <c r="CU40" s="1252" t="s">
        <v>2022</v>
      </c>
      <c r="CV40" s="1253" t="s">
        <v>666</v>
      </c>
      <c r="CW40" s="1252"/>
      <c r="CX40" s="1252"/>
      <c r="CY40" s="1253"/>
      <c r="CZ40" s="1252" t="s">
        <v>2022</v>
      </c>
      <c r="DA40" s="1253" t="s">
        <v>666</v>
      </c>
      <c r="DB40" s="1252"/>
      <c r="DC40" s="1252"/>
      <c r="DD40" s="1253"/>
      <c r="DE40" s="1252" t="s">
        <v>2022</v>
      </c>
      <c r="DF40" s="1253" t="s">
        <v>666</v>
      </c>
      <c r="DG40" s="1252"/>
      <c r="DH40" s="1252"/>
      <c r="DI40" s="1253"/>
      <c r="DJ40" s="1252" t="s">
        <v>2022</v>
      </c>
      <c r="DK40" s="1253" t="s">
        <v>666</v>
      </c>
      <c r="DL40" s="1252"/>
      <c r="DM40" s="1252"/>
      <c r="DN40" s="1253"/>
      <c r="DO40" s="1252" t="s">
        <v>2022</v>
      </c>
      <c r="DP40" s="1253" t="s">
        <v>666</v>
      </c>
      <c r="DQ40" s="1252"/>
      <c r="DR40" s="1252"/>
      <c r="DS40" s="1253"/>
      <c r="DT40" s="1252" t="s">
        <v>2022</v>
      </c>
      <c r="DU40" s="1253" t="s">
        <v>666</v>
      </c>
      <c r="DV40" s="1252"/>
      <c r="DW40" s="1252"/>
      <c r="DX40" s="1253"/>
      <c r="DY40" s="1252" t="s">
        <v>2022</v>
      </c>
      <c r="DZ40" s="1253" t="s">
        <v>666</v>
      </c>
      <c r="EA40" s="1252"/>
    </row>
    <row r="41" spans="1:145">
      <c r="B41" s="1"/>
      <c r="C41" s="1389"/>
      <c r="D41" s="1311"/>
      <c r="E41" s="1311" t="s">
        <v>665</v>
      </c>
      <c r="F41" s="1390" t="s">
        <v>599</v>
      </c>
      <c r="G41" s="1391"/>
      <c r="H41" s="1392"/>
      <c r="I41" s="1392"/>
      <c r="J41" s="1393">
        <f ca="1">OFFSET('VVP2'!$G$363,0,(COLUMN()-10)/5)</f>
        <v>46.202189580827167</v>
      </c>
      <c r="K41" s="1436"/>
      <c r="L41" s="1391"/>
      <c r="M41" s="1392"/>
      <c r="N41" s="1388">
        <f ca="1">(O41/J41-1)*100</f>
        <v>24.696471147133337</v>
      </c>
      <c r="O41" s="1393">
        <f ca="1">OFFSET('VVP2'!$G$363,0,(COLUMN()-10)/5)</f>
        <v>57.612499999999997</v>
      </c>
      <c r="P41" s="1436"/>
      <c r="Q41" s="1391"/>
      <c r="R41" s="1392"/>
      <c r="S41" s="1388">
        <f ca="1">(T41/O41-1)*100</f>
        <v>10.316048311274994</v>
      </c>
      <c r="T41" s="1393">
        <f ca="1">OFFSET('VVP2'!$G$363,0,(COLUMN()-10)/5)</f>
        <v>63.555833333333297</v>
      </c>
      <c r="U41" s="1436"/>
      <c r="V41" s="1391"/>
      <c r="W41" s="1392"/>
      <c r="X41" s="1388">
        <f ca="1">(Y41/T41-1)*100</f>
        <v>5.3692947146210201</v>
      </c>
      <c r="Y41" s="1393">
        <f ca="1">OFFSET('VVP2'!$G$363,0,(COLUMN()-10)/5)</f>
        <v>66.968333333333305</v>
      </c>
      <c r="Z41" s="1436"/>
      <c r="AA41" s="1391"/>
      <c r="AB41" s="1392"/>
      <c r="AC41" s="1388">
        <f ca="1">(AD41/Y41-1)*100</f>
        <v>1.4434683059157738</v>
      </c>
      <c r="AD41" s="1393">
        <f ca="1">OFFSET('VVP2'!$G$363,0,(COLUMN()-10)/5)</f>
        <v>67.935000000000002</v>
      </c>
      <c r="AE41" s="1436"/>
      <c r="AF41" s="1391"/>
      <c r="AG41" s="1392"/>
      <c r="AH41" s="1388">
        <f ca="1">(AI41/AD41-1)*100</f>
        <v>1.0941831652804934</v>
      </c>
      <c r="AI41" s="1393">
        <f ca="1">OFFSET('VVP2'!$G$363,0,(COLUMN()-10)/5)</f>
        <v>68.678333333333299</v>
      </c>
      <c r="AJ41" s="1436"/>
      <c r="AK41" s="1391"/>
      <c r="AL41" s="1392"/>
      <c r="AM41" s="1388">
        <f ca="1">(AN41/AI41-1)*100</f>
        <v>1.5494940180067029</v>
      </c>
      <c r="AN41" s="1393">
        <f ca="1">OFFSET('VVP2'!$G$363,0,(COLUMN()-10)/5)</f>
        <v>69.742500000000007</v>
      </c>
      <c r="AO41" s="1436"/>
      <c r="AP41" s="1391"/>
      <c r="AQ41" s="1392"/>
      <c r="AR41" s="1388">
        <f ca="1">(AS41/AN41-1)*100</f>
        <v>0.33575892270378827</v>
      </c>
      <c r="AS41" s="1393">
        <f ca="1">OFFSET('VVP2'!$G$363,0,(COLUMN()-10)/5)</f>
        <v>69.976666666666702</v>
      </c>
      <c r="AT41" s="1436"/>
      <c r="AU41" s="1391"/>
      <c r="AV41" s="1392"/>
      <c r="AW41" s="1388">
        <f ca="1">(AX41/AS41-1)*100</f>
        <v>-1.076549325965892</v>
      </c>
      <c r="AX41" s="1393">
        <f ca="1">OFFSET('VVP2'!$G$363,0,(COLUMN()-10)/5)</f>
        <v>69.223333333333301</v>
      </c>
      <c r="AY41" s="1436"/>
      <c r="AZ41" s="1391"/>
      <c r="BA41" s="1392"/>
      <c r="BB41" s="1388">
        <f ca="1">(BC41/AX41-1)*100</f>
        <v>1.1544758511099706</v>
      </c>
      <c r="BC41" s="1393">
        <f ca="1">OFFSET('VVP2'!$G$363,0,(COLUMN()-10)/5)</f>
        <v>70.022499999999994</v>
      </c>
      <c r="BD41" s="1436"/>
      <c r="BE41" s="1391"/>
      <c r="BF41" s="1392"/>
      <c r="BG41" s="1388">
        <f ca="1">(BH41/BC41-1)*100</f>
        <v>2.6717602675330188</v>
      </c>
      <c r="BH41" s="1393">
        <f ca="1">OFFSET('VVP2'!$G$363,0,(COLUMN()-10)/5)</f>
        <v>71.893333333333302</v>
      </c>
      <c r="BI41" s="1436"/>
      <c r="BJ41" s="1391"/>
      <c r="BK41" s="1392"/>
      <c r="BL41" s="1388">
        <f ca="1">(BM41/BH41-1)*100</f>
        <v>3.7567229228487431</v>
      </c>
      <c r="BM41" s="1393">
        <f ca="1">OFFSET('VVP2'!$G$363,0,(COLUMN()-10)/5)</f>
        <v>74.594166666666695</v>
      </c>
      <c r="BN41" s="1436"/>
      <c r="BO41" s="1391"/>
      <c r="BP41" s="1392"/>
      <c r="BQ41" s="1388">
        <f ca="1">(BR41/BM41-1)*100</f>
        <v>5.8181493190933242</v>
      </c>
      <c r="BR41" s="1393">
        <f ca="1">OFFSET('VVP2'!$G$363,0,(COLUMN()-10)/5)</f>
        <v>78.934166666666698</v>
      </c>
      <c r="BS41" s="1436"/>
      <c r="BT41" s="1391"/>
      <c r="BU41" s="1392"/>
      <c r="BV41" s="1388">
        <f ca="1">(BW41/BR41-1)*100</f>
        <v>11.091521415525584</v>
      </c>
      <c r="BW41" s="1393">
        <f ca="1">OFFSET('VVP2'!$G$363,0,(COLUMN()-10)/5)</f>
        <v>87.689166666666694</v>
      </c>
      <c r="BX41" s="1436"/>
      <c r="BY41" s="1391"/>
      <c r="BZ41" s="1392"/>
      <c r="CA41" s="1388">
        <f ca="1">(CB41/BW41-1)*100</f>
        <v>4.1614794681972489</v>
      </c>
      <c r="CB41" s="1393">
        <f ca="1">OFFSET('VVP2'!$G$363,0,(COLUMN()-10)/5)</f>
        <v>91.338333333333296</v>
      </c>
      <c r="CC41" s="1436"/>
      <c r="CD41" s="1391"/>
      <c r="CE41" s="1392"/>
      <c r="CF41" s="1388">
        <f ca="1">(CG41/CB41-1)*100</f>
        <v>1.1906282502782695</v>
      </c>
      <c r="CG41" s="1393">
        <f ca="1">OFFSET('VVP2'!$G$363,0,(COLUMN()-10)/5)</f>
        <v>92.425833333333301</v>
      </c>
      <c r="CH41" s="1436"/>
      <c r="CI41" s="1391"/>
      <c r="CJ41" s="1392"/>
      <c r="CK41" s="1388">
        <f ca="1">(CL41/CG41-1)*100</f>
        <v>4.1240273732993549</v>
      </c>
      <c r="CL41" s="1393">
        <f ca="1">OFFSET('VVP2'!$G$363,0,(COLUMN()-10)/5)</f>
        <v>96.237499999999997</v>
      </c>
      <c r="CM41" s="1436"/>
      <c r="CN41" s="1391"/>
      <c r="CO41" s="1392"/>
      <c r="CP41" s="1388">
        <f ca="1">(CQ41/CL41-1)*100</f>
        <v>3.1640472788673879</v>
      </c>
      <c r="CQ41" s="1393">
        <f ca="1">OFFSET('VVP2'!$G$363,0,(COLUMN()-10)/5)</f>
        <v>99.282499999999999</v>
      </c>
      <c r="CR41" s="1436"/>
      <c r="CS41" s="1391"/>
      <c r="CT41" s="1392"/>
      <c r="CU41" s="1388">
        <f ca="1">(CV41/CQ41-1)*100</f>
        <v>1.1641863705416533</v>
      </c>
      <c r="CV41" s="1393">
        <f ca="1">OFFSET('VVP2'!$G$363,0,(COLUMN()-10)/5)</f>
        <v>100.43833333333301</v>
      </c>
      <c r="CW41" s="1436"/>
      <c r="CX41" s="1391"/>
      <c r="CY41" s="1392"/>
      <c r="CZ41" s="1848">
        <f ca="1">OFFSET('Q1'!$G329,0,4*(COLUMN()-9)/5+3)</f>
        <v>0.23523211230831009</v>
      </c>
      <c r="DA41" s="1437">
        <f ca="1">+CV41*(1+CZ41/100)</f>
        <v>100.67459654640027</v>
      </c>
      <c r="DB41" s="1436"/>
      <c r="DC41" s="1391"/>
      <c r="DD41" s="1392"/>
      <c r="DE41" s="1848">
        <f ca="1">OFFSET('Q1'!$G329,0,4*(COLUMN()-9)/5+3)</f>
        <v>-0.65578090704427439</v>
      </c>
      <c r="DF41" s="1437">
        <f ca="1">+DA41*(1+DE41/100)</f>
        <v>100.01439176400511</v>
      </c>
      <c r="DG41" s="1436"/>
      <c r="DH41" s="1391"/>
      <c r="DI41" s="1392"/>
      <c r="DJ41" s="1848">
        <f ca="1">OFFSET('Q1'!$G329,0,4*(COLUMN()-9)/5+3)</f>
        <v>0.7005573017237765</v>
      </c>
      <c r="DK41" s="1437">
        <f ca="1">+DF41*(1+DJ41/100)</f>
        <v>100.71504988828248</v>
      </c>
      <c r="DL41" s="1436"/>
      <c r="DM41" s="1391"/>
      <c r="DN41" s="1392"/>
      <c r="DO41" s="1848">
        <f ca="1">OFFSET('Q1'!$G329,0,4*(COLUMN()-9)/5+3)</f>
        <v>3.7189943820576019</v>
      </c>
      <c r="DP41" s="1437">
        <f ca="1">+DK41*(1+DO41/100)</f>
        <v>104.46063693551422</v>
      </c>
      <c r="DQ41" s="1436"/>
      <c r="DR41" s="1391"/>
      <c r="DS41" s="1392"/>
      <c r="DT41" s="1848">
        <f ca="1">OFFSET('Q1'!$G329,0,4*(COLUMN()-9)/5+3)</f>
        <v>2.8095001688776193</v>
      </c>
      <c r="DU41" s="1437">
        <f ca="1">+DP41*(1+DT41/100)</f>
        <v>107.39545870662813</v>
      </c>
      <c r="DV41" s="1436"/>
      <c r="DW41" s="1391"/>
      <c r="DX41" s="1392"/>
      <c r="DY41" s="1848">
        <f ca="1">OFFSET('Q1'!$G329,0,4*(COLUMN()-9)/5+3)</f>
        <v>2.3463849329505422</v>
      </c>
      <c r="DZ41" s="1437">
        <f ca="1">+DU41*(1+DY41/100)</f>
        <v>109.91536956839357</v>
      </c>
      <c r="EA41" s="1436"/>
    </row>
    <row r="42" spans="1:145">
      <c r="B42" s="1"/>
      <c r="C42" s="1389"/>
      <c r="D42" s="1311"/>
      <c r="E42" s="1311" t="s">
        <v>904</v>
      </c>
      <c r="F42" s="1390" t="s">
        <v>551</v>
      </c>
      <c r="G42" s="1391"/>
      <c r="H42" s="1392"/>
      <c r="I42" s="1392"/>
      <c r="J42" s="1393">
        <f ca="1">OFFSET('VVP2'!$G$362,0,(COLUMN()-10)/5)</f>
        <v>66.068980652933803</v>
      </c>
      <c r="K42" s="1436"/>
      <c r="L42" s="1391"/>
      <c r="M42" s="1392"/>
      <c r="N42" s="1388">
        <f ca="1">(O42/J42-1)*100</f>
        <v>24.625218170028674</v>
      </c>
      <c r="O42" s="1393">
        <f ca="1">OFFSET('VVP2'!$G$362,0,(COLUMN()-10)/5)</f>
        <v>82.33861128143279</v>
      </c>
      <c r="P42" s="1436"/>
      <c r="Q42" s="1391"/>
      <c r="R42" s="1392"/>
      <c r="S42" s="1388">
        <f ca="1">(T42/O42-1)*100</f>
        <v>8.8810385147548132</v>
      </c>
      <c r="T42" s="1393">
        <f ca="1">OFFSET('VVP2'!$G$362,0,(COLUMN()-10)/5)</f>
        <v>89.651135061851093</v>
      </c>
      <c r="U42" s="1436"/>
      <c r="V42" s="1391"/>
      <c r="W42" s="1392"/>
      <c r="X42" s="1388">
        <f ca="1">(Y42/T42-1)*100</f>
        <v>5.0675683816638006</v>
      </c>
      <c r="Y42" s="1393">
        <f ca="1">OFFSET('VVP2'!$G$362,0,(COLUMN()-10)/5)</f>
        <v>94.194267636048167</v>
      </c>
      <c r="Z42" s="1436"/>
      <c r="AA42" s="1391"/>
      <c r="AB42" s="1392"/>
      <c r="AC42" s="1388">
        <f ca="1">(AD42/Y42-1)*100</f>
        <v>0.72754768934095715</v>
      </c>
      <c r="AD42" s="1393">
        <f ca="1">OFFSET('VVP2'!$G$362,0,(COLUMN()-10)/5)</f>
        <v>94.879575853725868</v>
      </c>
      <c r="AE42" s="1436"/>
      <c r="AF42" s="1391"/>
      <c r="AG42" s="1392"/>
      <c r="AH42" s="1388">
        <f ca="1">(AI42/AD42-1)*100</f>
        <v>0.98165648690160534</v>
      </c>
      <c r="AI42" s="1393">
        <f ca="1">OFFSET('VVP2'!$G$362,0,(COLUMN()-10)/5)</f>
        <v>95.810967364838703</v>
      </c>
      <c r="AJ42" s="1436"/>
      <c r="AK42" s="1391"/>
      <c r="AL42" s="1392"/>
      <c r="AM42" s="1388">
        <f ca="1">(AN42/AI42-1)*100</f>
        <v>1.3671101382080053</v>
      </c>
      <c r="AN42" s="1393">
        <f ca="1">OFFSET('VVP2'!$G$362,0,(COLUMN()-10)/5)</f>
        <v>97.120808813198579</v>
      </c>
      <c r="AO42" s="1436"/>
      <c r="AP42" s="1391"/>
      <c r="AQ42" s="1392"/>
      <c r="AR42" s="1388">
        <f ca="1">(AS42/AN42-1)*100</f>
        <v>0.28147070071347091</v>
      </c>
      <c r="AS42" s="1393">
        <f ca="1">OFFSET('VVP2'!$G$362,0,(COLUMN()-10)/5)</f>
        <v>97.394175434303676</v>
      </c>
      <c r="AT42" s="1436"/>
      <c r="AU42" s="1391"/>
      <c r="AV42" s="1392"/>
      <c r="AW42" s="1388">
        <f ca="1">(AX42/AS42-1)*100</f>
        <v>-1.1342993332159379</v>
      </c>
      <c r="AX42" s="1393">
        <f ca="1">OFFSET('VVP2'!$G$362,0,(COLUMN()-10)/5)</f>
        <v>96.289433951761211</v>
      </c>
      <c r="AY42" s="1436"/>
      <c r="AZ42" s="1391"/>
      <c r="BA42" s="1392"/>
      <c r="BB42" s="1388">
        <f ca="1">(BC42/AX42-1)*100</f>
        <v>1.1641029555507165</v>
      </c>
      <c r="BC42" s="1393">
        <f ca="1">OFFSET('VVP2'!$G$362,0,(COLUMN()-10)/5)</f>
        <v>97.410342098276729</v>
      </c>
      <c r="BD42" s="1436"/>
      <c r="BE42" s="1391"/>
      <c r="BF42" s="1392"/>
      <c r="BG42" s="1388">
        <f ca="1">(BH42/BC42-1)*100</f>
        <v>2.6585040622386646</v>
      </c>
      <c r="BH42" s="1393">
        <f ca="1">OFFSET('VVP2'!$G$362,0,(COLUMN()-10)/5)</f>
        <v>100</v>
      </c>
      <c r="BI42" s="1436"/>
      <c r="BJ42" s="1391"/>
      <c r="BK42" s="1392"/>
      <c r="BL42" s="1388">
        <f ca="1">(BM42/BH42-1)*100</f>
        <v>3.7390827101533075</v>
      </c>
      <c r="BM42" s="1393">
        <f ca="1">OFFSET('VVP2'!$G$362,0,(COLUMN()-10)/5)</f>
        <v>103.73908271015331</v>
      </c>
      <c r="BN42" s="1436"/>
      <c r="BO42" s="1391"/>
      <c r="BP42" s="1392"/>
      <c r="BQ42" s="1388">
        <f ca="1">(BR42/BM42-1)*100</f>
        <v>5.7371890958501481</v>
      </c>
      <c r="BR42" s="1393">
        <f ca="1">OFFSET('VVP2'!$G$362,0,(COLUMN()-10)/5)</f>
        <v>109.69079005153519</v>
      </c>
      <c r="BS42" s="1436"/>
      <c r="BT42" s="1391"/>
      <c r="BU42" s="1392"/>
      <c r="BV42" s="1388">
        <f ca="1">(BW42/BR42-1)*100</f>
        <v>10.92586989019213</v>
      </c>
      <c r="BW42" s="1393">
        <f ca="1">OFFSET('VVP2'!$G$362,0,(COLUMN()-10)/5)</f>
        <v>121.67546305408973</v>
      </c>
      <c r="BX42" s="1436"/>
      <c r="BY42" s="1391"/>
      <c r="BZ42" s="1392"/>
      <c r="CA42" s="1388">
        <f ca="1">(CB42/BW42-1)*100</f>
        <v>4.4530745648701853</v>
      </c>
      <c r="CB42" s="1393">
        <f ca="1">OFFSET('VVP2'!$G$362,0,(COLUMN()-10)/5)</f>
        <v>127.09376215103943</v>
      </c>
      <c r="CC42" s="1436"/>
      <c r="CD42" s="1391"/>
      <c r="CE42" s="1392"/>
      <c r="CF42" s="1388">
        <f ca="1">(CG42/CB42-1)*100</f>
        <v>1.3192095548344218</v>
      </c>
      <c r="CG42" s="1393">
        <f ca="1">OFFSET('VVP2'!$G$362,0,(COLUMN()-10)/5)</f>
        <v>128.77039520493449</v>
      </c>
      <c r="CH42" s="1436"/>
      <c r="CI42" s="1391"/>
      <c r="CJ42" s="1392"/>
      <c r="CK42" s="1388">
        <f ca="1">(CL42/CG42-1)*100</f>
        <v>4.130270604337194</v>
      </c>
      <c r="CL42" s="1393">
        <f ca="1">OFFSET('VVP2'!$G$362,0,(COLUMN()-10)/5)</f>
        <v>134.08896098517272</v>
      </c>
      <c r="CM42" s="1436"/>
      <c r="CN42" s="1391"/>
      <c r="CO42" s="1392"/>
      <c r="CP42" s="1388">
        <f ca="1">(CQ42/CL42-1)*100</f>
        <v>3.1000000000005024</v>
      </c>
      <c r="CQ42" s="1393">
        <f ca="1">OFFSET('VVP2'!$G$362,0,(COLUMN()-10)/5)</f>
        <v>138.24571877571375</v>
      </c>
      <c r="CR42" s="1436"/>
      <c r="CS42" s="1391"/>
      <c r="CT42" s="1392"/>
      <c r="CU42" s="1388">
        <f ca="1">(CV42/CQ42-1)*100</f>
        <v>0.99999999999949019</v>
      </c>
      <c r="CV42" s="1393">
        <f ca="1">OFFSET('VVP2'!$G$362,0,(COLUMN()-10)/5)</f>
        <v>139.6281759634702</v>
      </c>
      <c r="CW42" s="1436"/>
      <c r="CX42" s="1391"/>
      <c r="CY42" s="1392"/>
      <c r="CZ42" s="1848">
        <f ca="1">CZ41</f>
        <v>0.23523211230831009</v>
      </c>
      <c r="DA42" s="1437">
        <f ca="1">+CV42*(1+CZ42/100)</f>
        <v>139.95662627116664</v>
      </c>
      <c r="DB42" s="1436"/>
      <c r="DC42" s="1391"/>
      <c r="DD42" s="1392"/>
      <c r="DE42" s="1848">
        <f ca="1">DE41</f>
        <v>-0.65578090704427439</v>
      </c>
      <c r="DF42" s="1437">
        <f ca="1">+DA42*(1+DE42/100)</f>
        <v>139.03881743793701</v>
      </c>
      <c r="DG42" s="1436"/>
      <c r="DH42" s="1391"/>
      <c r="DI42" s="1392"/>
      <c r="DJ42" s="1848">
        <f ca="1">DJ41</f>
        <v>0.7005573017237765</v>
      </c>
      <c r="DK42" s="1437">
        <f ca="1">+DF42*(1+DJ42/100)</f>
        <v>140.01286402572887</v>
      </c>
      <c r="DL42" s="1436"/>
      <c r="DM42" s="1391"/>
      <c r="DN42" s="1392"/>
      <c r="DO42" s="1848">
        <f ca="1">DO41</f>
        <v>3.7189943820576019</v>
      </c>
      <c r="DP42" s="1437">
        <f ca="1">+DK42*(1+DO42/100)</f>
        <v>145.21993457300368</v>
      </c>
      <c r="DQ42" s="1436"/>
      <c r="DR42" s="1391"/>
      <c r="DS42" s="1392"/>
      <c r="DT42" s="1848">
        <f ca="1">DT41</f>
        <v>2.8095001688776193</v>
      </c>
      <c r="DU42" s="1437">
        <f ca="1">+DP42*(1+DT42/100)</f>
        <v>149.2998888800762</v>
      </c>
      <c r="DV42" s="1436"/>
      <c r="DW42" s="1391"/>
      <c r="DX42" s="1392"/>
      <c r="DY42" s="1848">
        <f ca="1">DY41</f>
        <v>2.3463849329505422</v>
      </c>
      <c r="DZ42" s="1437">
        <f ca="1">+DU42*(1+DY42/100)</f>
        <v>152.80303897767021</v>
      </c>
      <c r="EA42" s="1436"/>
    </row>
    <row r="45" spans="1:145">
      <c r="D45" s="3751"/>
      <c r="E45" s="3751" t="s">
        <v>1271</v>
      </c>
      <c r="F45" s="3751"/>
      <c r="G45" s="3753">
        <f>+InputY!$G$3</f>
        <v>1995</v>
      </c>
      <c r="H45" s="3754"/>
      <c r="I45" s="3754"/>
      <c r="J45" s="3754"/>
      <c r="K45" s="3755"/>
      <c r="L45" s="3753">
        <f>+G45+1</f>
        <v>1996</v>
      </c>
      <c r="M45" s="3754"/>
      <c r="N45" s="3754"/>
      <c r="O45" s="3754"/>
      <c r="P45" s="3755"/>
      <c r="Q45" s="3753">
        <f>+L45+1</f>
        <v>1997</v>
      </c>
      <c r="R45" s="3754"/>
      <c r="S45" s="3754"/>
      <c r="T45" s="3754"/>
      <c r="U45" s="3755"/>
      <c r="V45" s="3753">
        <f>+Q45+1</f>
        <v>1998</v>
      </c>
      <c r="W45" s="3754"/>
      <c r="X45" s="3754"/>
      <c r="Y45" s="3754"/>
      <c r="Z45" s="3755"/>
      <c r="AA45" s="3753">
        <f>+V45+1</f>
        <v>1999</v>
      </c>
      <c r="AB45" s="3754"/>
      <c r="AC45" s="3754"/>
      <c r="AD45" s="3754"/>
      <c r="AE45" s="3755"/>
      <c r="AF45" s="3753">
        <f>+AA45+1</f>
        <v>2000</v>
      </c>
      <c r="AG45" s="3754"/>
      <c r="AH45" s="3754"/>
      <c r="AI45" s="3754"/>
      <c r="AJ45" s="3755"/>
      <c r="AK45" s="3753">
        <f>+AF45+1</f>
        <v>2001</v>
      </c>
      <c r="AL45" s="3754"/>
      <c r="AM45" s="3754"/>
      <c r="AN45" s="3754"/>
      <c r="AO45" s="3755"/>
      <c r="AP45" s="3753">
        <f>+AK45+1</f>
        <v>2002</v>
      </c>
      <c r="AQ45" s="3754"/>
      <c r="AR45" s="3754"/>
      <c r="AS45" s="3754"/>
      <c r="AT45" s="3755"/>
      <c r="AU45" s="3753">
        <f>+AP45+1</f>
        <v>2003</v>
      </c>
      <c r="AV45" s="3754"/>
      <c r="AW45" s="3754"/>
      <c r="AX45" s="3754"/>
      <c r="AY45" s="3755"/>
      <c r="AZ45" s="3753">
        <f>+AU45+1</f>
        <v>2004</v>
      </c>
      <c r="BA45" s="3754"/>
      <c r="BB45" s="3754"/>
      <c r="BC45" s="3754"/>
      <c r="BD45" s="3755"/>
      <c r="BE45" s="3753">
        <f>+AZ45+1</f>
        <v>2005</v>
      </c>
      <c r="BF45" s="3754"/>
      <c r="BG45" s="3754"/>
      <c r="BH45" s="3754"/>
      <c r="BI45" s="3755"/>
      <c r="BJ45" s="3753">
        <f>+BE45+1</f>
        <v>2006</v>
      </c>
      <c r="BK45" s="3754"/>
      <c r="BL45" s="3754"/>
      <c r="BM45" s="3754"/>
      <c r="BN45" s="3755"/>
      <c r="BO45" s="3753">
        <f>+BJ45+1</f>
        <v>2007</v>
      </c>
      <c r="BP45" s="3754"/>
      <c r="BQ45" s="3754"/>
      <c r="BR45" s="3754"/>
      <c r="BS45" s="3755"/>
      <c r="BT45" s="3753">
        <f>+BO45+1</f>
        <v>2008</v>
      </c>
      <c r="BU45" s="3754"/>
      <c r="BV45" s="3754"/>
      <c r="BW45" s="3754"/>
      <c r="BX45" s="3755"/>
      <c r="BY45" s="3753">
        <f>+BT45+1</f>
        <v>2009</v>
      </c>
      <c r="BZ45" s="3754"/>
      <c r="CA45" s="3754"/>
      <c r="CB45" s="3754"/>
      <c r="CC45" s="3755"/>
      <c r="CD45" s="3753">
        <f>+BY45+1</f>
        <v>2010</v>
      </c>
      <c r="CE45" s="3754"/>
      <c r="CF45" s="3754"/>
      <c r="CG45" s="3754"/>
      <c r="CH45" s="3755"/>
      <c r="CI45" s="3753">
        <f>+CD45+1</f>
        <v>2011</v>
      </c>
      <c r="CJ45" s="3754"/>
      <c r="CK45" s="3754"/>
      <c r="CL45" s="3754"/>
      <c r="CM45" s="3755"/>
      <c r="CN45" s="3753">
        <f>+CI45+1</f>
        <v>2012</v>
      </c>
      <c r="CO45" s="3754"/>
      <c r="CP45" s="3754"/>
      <c r="CQ45" s="3754"/>
      <c r="CR45" s="3755"/>
      <c r="CS45" s="3753">
        <f>+CN45+1</f>
        <v>2013</v>
      </c>
      <c r="CT45" s="3754"/>
      <c r="CU45" s="3754"/>
      <c r="CV45" s="3754"/>
      <c r="CW45" s="3755"/>
      <c r="CX45" s="3753">
        <f>+CS45+1</f>
        <v>2014</v>
      </c>
      <c r="CY45" s="3754"/>
      <c r="CZ45" s="3754"/>
      <c r="DA45" s="3754"/>
      <c r="DB45" s="3755"/>
      <c r="DC45" s="3753">
        <f>+CX45+1</f>
        <v>2015</v>
      </c>
      <c r="DD45" s="3754"/>
      <c r="DE45" s="3754"/>
      <c r="DF45" s="3754"/>
      <c r="DG45" s="3755"/>
      <c r="DH45" s="3753">
        <f>+DC45+1</f>
        <v>2016</v>
      </c>
      <c r="DI45" s="3754"/>
      <c r="DJ45" s="3754"/>
      <c r="DK45" s="3754"/>
      <c r="DL45" s="3755"/>
      <c r="DM45" s="3753">
        <f>+DH45+1</f>
        <v>2017</v>
      </c>
      <c r="DN45" s="3754"/>
      <c r="DO45" s="3754"/>
      <c r="DP45" s="3754"/>
      <c r="DQ45" s="3755"/>
      <c r="DR45" s="3753">
        <f>+DM45+1</f>
        <v>2018</v>
      </c>
      <c r="DS45" s="3754"/>
      <c r="DT45" s="3754"/>
      <c r="DU45" s="3754"/>
      <c r="DV45" s="3755"/>
      <c r="DW45" s="3753">
        <f>+DR45+1</f>
        <v>2019</v>
      </c>
      <c r="DX45" s="3754"/>
      <c r="DY45" s="3754"/>
      <c r="DZ45" s="3754"/>
      <c r="EA45" s="3755"/>
    </row>
    <row r="46" spans="1:145">
      <c r="A46" s="1457"/>
      <c r="C46" s="774"/>
      <c r="D46" s="3751"/>
      <c r="E46" s="3751"/>
      <c r="F46" s="3751"/>
      <c r="G46" s="1256" t="s">
        <v>1486</v>
      </c>
      <c r="H46" s="1253" t="s">
        <v>1732</v>
      </c>
      <c r="I46" s="1252" t="s">
        <v>2022</v>
      </c>
      <c r="J46" s="1253" t="s">
        <v>584</v>
      </c>
      <c r="K46" s="1252" t="s">
        <v>2023</v>
      </c>
      <c r="L46" s="1252" t="s">
        <v>1486</v>
      </c>
      <c r="M46" s="1253" t="s">
        <v>1732</v>
      </c>
      <c r="N46" s="1252" t="s">
        <v>2022</v>
      </c>
      <c r="O46" s="1253" t="s">
        <v>584</v>
      </c>
      <c r="P46" s="1252" t="s">
        <v>2023</v>
      </c>
      <c r="Q46" s="1252" t="s">
        <v>1486</v>
      </c>
      <c r="R46" s="1253" t="s">
        <v>1732</v>
      </c>
      <c r="S46" s="1252" t="s">
        <v>2022</v>
      </c>
      <c r="T46" s="1253" t="s">
        <v>584</v>
      </c>
      <c r="U46" s="1252" t="s">
        <v>2023</v>
      </c>
      <c r="V46" s="1252" t="s">
        <v>1486</v>
      </c>
      <c r="W46" s="1253" t="s">
        <v>1732</v>
      </c>
      <c r="X46" s="1252" t="s">
        <v>2022</v>
      </c>
      <c r="Y46" s="1253" t="s">
        <v>584</v>
      </c>
      <c r="Z46" s="1252" t="s">
        <v>2023</v>
      </c>
      <c r="AA46" s="1252" t="s">
        <v>1486</v>
      </c>
      <c r="AB46" s="1253" t="s">
        <v>1732</v>
      </c>
      <c r="AC46" s="1252" t="s">
        <v>2022</v>
      </c>
      <c r="AD46" s="1253" t="s">
        <v>584</v>
      </c>
      <c r="AE46" s="1252" t="s">
        <v>2023</v>
      </c>
      <c r="AF46" s="1252" t="s">
        <v>1486</v>
      </c>
      <c r="AG46" s="1253" t="s">
        <v>1732</v>
      </c>
      <c r="AH46" s="1252" t="s">
        <v>2022</v>
      </c>
      <c r="AI46" s="1253" t="s">
        <v>584</v>
      </c>
      <c r="AJ46" s="1252" t="s">
        <v>2023</v>
      </c>
      <c r="AK46" s="1252" t="s">
        <v>1486</v>
      </c>
      <c r="AL46" s="1253" t="s">
        <v>1732</v>
      </c>
      <c r="AM46" s="1252" t="s">
        <v>2022</v>
      </c>
      <c r="AN46" s="1253" t="s">
        <v>584</v>
      </c>
      <c r="AO46" s="1252" t="s">
        <v>2023</v>
      </c>
      <c r="AP46" s="1252" t="s">
        <v>1486</v>
      </c>
      <c r="AQ46" s="1253" t="s">
        <v>1732</v>
      </c>
      <c r="AR46" s="1252" t="s">
        <v>2022</v>
      </c>
      <c r="AS46" s="1253" t="s">
        <v>584</v>
      </c>
      <c r="AT46" s="1252" t="s">
        <v>2023</v>
      </c>
      <c r="AU46" s="1252" t="s">
        <v>1486</v>
      </c>
      <c r="AV46" s="1253" t="s">
        <v>1732</v>
      </c>
      <c r="AW46" s="1252" t="s">
        <v>2022</v>
      </c>
      <c r="AX46" s="1253" t="s">
        <v>584</v>
      </c>
      <c r="AY46" s="1252" t="s">
        <v>2023</v>
      </c>
      <c r="AZ46" s="1252" t="s">
        <v>1486</v>
      </c>
      <c r="BA46" s="1253" t="s">
        <v>1732</v>
      </c>
      <c r="BB46" s="1252" t="s">
        <v>2022</v>
      </c>
      <c r="BC46" s="1253" t="s">
        <v>584</v>
      </c>
      <c r="BD46" s="1252" t="s">
        <v>2023</v>
      </c>
      <c r="BE46" s="1252" t="s">
        <v>1486</v>
      </c>
      <c r="BF46" s="1253" t="s">
        <v>1732</v>
      </c>
      <c r="BG46" s="1252" t="s">
        <v>2022</v>
      </c>
      <c r="BH46" s="1253" t="s">
        <v>584</v>
      </c>
      <c r="BI46" s="1252" t="s">
        <v>2023</v>
      </c>
      <c r="BJ46" s="1252" t="s">
        <v>1486</v>
      </c>
      <c r="BK46" s="1253" t="s">
        <v>1732</v>
      </c>
      <c r="BL46" s="1252" t="s">
        <v>2022</v>
      </c>
      <c r="BM46" s="1253" t="s">
        <v>584</v>
      </c>
      <c r="BN46" s="1252" t="s">
        <v>2023</v>
      </c>
      <c r="BO46" s="1252" t="s">
        <v>1486</v>
      </c>
      <c r="BP46" s="1253" t="s">
        <v>1732</v>
      </c>
      <c r="BQ46" s="1252" t="s">
        <v>2022</v>
      </c>
      <c r="BR46" s="1253" t="s">
        <v>584</v>
      </c>
      <c r="BS46" s="1252" t="s">
        <v>2023</v>
      </c>
      <c r="BT46" s="1252" t="s">
        <v>1486</v>
      </c>
      <c r="BU46" s="1253" t="s">
        <v>1732</v>
      </c>
      <c r="BV46" s="1252" t="s">
        <v>2022</v>
      </c>
      <c r="BW46" s="1253" t="s">
        <v>584</v>
      </c>
      <c r="BX46" s="1252" t="s">
        <v>2023</v>
      </c>
      <c r="BY46" s="1252" t="s">
        <v>1486</v>
      </c>
      <c r="BZ46" s="1253" t="s">
        <v>1732</v>
      </c>
      <c r="CA46" s="1252" t="s">
        <v>2022</v>
      </c>
      <c r="CB46" s="1253" t="s">
        <v>584</v>
      </c>
      <c r="CC46" s="1252" t="s">
        <v>2023</v>
      </c>
      <c r="CD46" s="1252" t="s">
        <v>1486</v>
      </c>
      <c r="CE46" s="1253" t="s">
        <v>1732</v>
      </c>
      <c r="CF46" s="1252" t="s">
        <v>2022</v>
      </c>
      <c r="CG46" s="1253" t="s">
        <v>584</v>
      </c>
      <c r="CH46" s="1252" t="s">
        <v>2023</v>
      </c>
      <c r="CI46" s="1252" t="s">
        <v>1486</v>
      </c>
      <c r="CJ46" s="1253" t="s">
        <v>1732</v>
      </c>
      <c r="CK46" s="1252" t="s">
        <v>2022</v>
      </c>
      <c r="CL46" s="1253" t="s">
        <v>584</v>
      </c>
      <c r="CM46" s="1252" t="s">
        <v>2023</v>
      </c>
      <c r="CN46" s="1252" t="s">
        <v>1486</v>
      </c>
      <c r="CO46" s="1253" t="s">
        <v>1732</v>
      </c>
      <c r="CP46" s="1252" t="s">
        <v>2022</v>
      </c>
      <c r="CQ46" s="1253" t="s">
        <v>584</v>
      </c>
      <c r="CR46" s="1252" t="s">
        <v>2023</v>
      </c>
      <c r="CS46" s="1252" t="s">
        <v>1486</v>
      </c>
      <c r="CT46" s="1253" t="s">
        <v>1732</v>
      </c>
      <c r="CU46" s="1252" t="s">
        <v>2022</v>
      </c>
      <c r="CV46" s="1253" t="s">
        <v>584</v>
      </c>
      <c r="CW46" s="1252" t="s">
        <v>2023</v>
      </c>
      <c r="CX46" s="1252" t="s">
        <v>1486</v>
      </c>
      <c r="CY46" s="1253" t="s">
        <v>1732</v>
      </c>
      <c r="CZ46" s="1252" t="s">
        <v>2022</v>
      </c>
      <c r="DA46" s="1253" t="s">
        <v>584</v>
      </c>
      <c r="DB46" s="1252" t="s">
        <v>2023</v>
      </c>
      <c r="DC46" s="1252" t="s">
        <v>1486</v>
      </c>
      <c r="DD46" s="1253" t="s">
        <v>1732</v>
      </c>
      <c r="DE46" s="1252" t="s">
        <v>2022</v>
      </c>
      <c r="DF46" s="1253" t="s">
        <v>584</v>
      </c>
      <c r="DG46" s="1252" t="s">
        <v>2023</v>
      </c>
      <c r="DH46" s="1252" t="s">
        <v>1486</v>
      </c>
      <c r="DI46" s="1253" t="s">
        <v>1732</v>
      </c>
      <c r="DJ46" s="1252" t="s">
        <v>2022</v>
      </c>
      <c r="DK46" s="1253" t="s">
        <v>584</v>
      </c>
      <c r="DL46" s="1252" t="s">
        <v>2023</v>
      </c>
      <c r="DM46" s="1252" t="s">
        <v>1486</v>
      </c>
      <c r="DN46" s="1253" t="s">
        <v>1732</v>
      </c>
      <c r="DO46" s="1252" t="s">
        <v>2022</v>
      </c>
      <c r="DP46" s="1253" t="s">
        <v>584</v>
      </c>
      <c r="DQ46" s="1252" t="s">
        <v>2023</v>
      </c>
      <c r="DR46" s="1252" t="s">
        <v>1486</v>
      </c>
      <c r="DS46" s="1253" t="s">
        <v>1732</v>
      </c>
      <c r="DT46" s="1252" t="s">
        <v>2022</v>
      </c>
      <c r="DU46" s="1253" t="s">
        <v>584</v>
      </c>
      <c r="DV46" s="1252" t="s">
        <v>2023</v>
      </c>
      <c r="DW46" s="1252" t="s">
        <v>1486</v>
      </c>
      <c r="DX46" s="1253" t="s">
        <v>1732</v>
      </c>
      <c r="DY46" s="1252" t="s">
        <v>2022</v>
      </c>
      <c r="DZ46" s="1253" t="s">
        <v>584</v>
      </c>
      <c r="EA46" s="1252" t="s">
        <v>2023</v>
      </c>
    </row>
    <row r="47" spans="1:145" s="3218" customFormat="1">
      <c r="A47" s="3410"/>
      <c r="C47" s="779" t="s">
        <v>1767</v>
      </c>
      <c r="D47" s="668" t="s">
        <v>687</v>
      </c>
      <c r="E47" s="700" t="s">
        <v>1741</v>
      </c>
      <c r="F47" s="3411" t="s">
        <v>241</v>
      </c>
      <c r="G47" s="3412"/>
      <c r="H47" s="3413"/>
      <c r="I47" s="3414"/>
      <c r="J47" s="1228">
        <f ca="1">OFFSET('VVP2'!$G$191,0,(COLUMN()-6)/5)</f>
        <v>0.79224000000000006</v>
      </c>
      <c r="K47" s="1221"/>
      <c r="L47" s="3415"/>
      <c r="M47" s="3416"/>
      <c r="N47"/>
      <c r="O47" s="1228">
        <f ca="1">OFFSET('VVP2'!$G$191,0,(COLUMN()-6)/5)</f>
        <v>1.0240100000000001</v>
      </c>
      <c r="P47" s="1221">
        <f ca="1">(O47/J47-1)*100</f>
        <v>29.255023730182785</v>
      </c>
      <c r="Q47" s="3415"/>
      <c r="R47" s="3416"/>
      <c r="S47"/>
      <c r="T47" s="1228">
        <f ca="1">OFFSET('VVP2'!$G$191,0,(COLUMN()-6)/5)</f>
        <v>1.35297</v>
      </c>
      <c r="U47" s="1221">
        <f ca="1">(T47/O47-1)*100</f>
        <v>32.124686282360514</v>
      </c>
      <c r="V47" s="3415"/>
      <c r="W47" s="3416"/>
      <c r="X47"/>
      <c r="Y47" s="1228">
        <f ca="1">OFFSET('VVP2'!$G$191,0,(COLUMN()-6)/5)</f>
        <v>1.66221</v>
      </c>
      <c r="Z47" s="1221">
        <f ca="1">(Y47/T47-1)*100</f>
        <v>22.856382624891893</v>
      </c>
      <c r="AA47" s="3415"/>
      <c r="AB47" s="3416"/>
      <c r="AC47"/>
      <c r="AD47" s="1228">
        <f ca="1">OFFSET('VVP2'!$G$191,0,(COLUMN()-6)/5)</f>
        <v>1.7330999999999999</v>
      </c>
      <c r="AE47" s="1221">
        <f ca="1">(AD47/Y47-1)*100</f>
        <v>4.2648040861263059</v>
      </c>
      <c r="AF47" s="3415"/>
      <c r="AG47" s="3416"/>
      <c r="AH47"/>
      <c r="AI47" s="1228">
        <f ca="1">OFFSET('VVP2'!$G$191,0,(COLUMN()-6)/5)</f>
        <v>1.46346</v>
      </c>
      <c r="AJ47" s="1221">
        <f ca="1">(AI47/AD47-1)*100</f>
        <v>-15.558248225722693</v>
      </c>
      <c r="AK47" s="3415"/>
      <c r="AL47" s="3416"/>
      <c r="AM47"/>
      <c r="AN47" s="1228">
        <f ca="1">OFFSET('VVP2'!$G$191,0,(COLUMN()-6)/5)</f>
        <v>1.5200199999999999</v>
      </c>
      <c r="AO47" s="1221">
        <f ca="1">(AN47/AI47-1)*100</f>
        <v>3.8648135241140746</v>
      </c>
      <c r="AP47" s="3415"/>
      <c r="AQ47" s="3416"/>
      <c r="AR47"/>
      <c r="AS47" s="1228">
        <f ca="1">OFFSET('VVP2'!$G$191,0,(COLUMN()-6)/5)</f>
        <v>1.6473100000000001</v>
      </c>
      <c r="AT47" s="1221">
        <f ca="1">(AS47/AN47-1)*100</f>
        <v>8.3742319180010849</v>
      </c>
      <c r="AU47" s="3415"/>
      <c r="AV47" s="3416"/>
      <c r="AW47"/>
      <c r="AX47" s="1228">
        <f ca="1">OFFSET('VVP2'!$G$191,0,(COLUMN()-6)/5)</f>
        <v>1.7149700000000001</v>
      </c>
      <c r="AY47" s="1221">
        <f ca="1">(AX47/AS47-1)*100</f>
        <v>4.1073022078418786</v>
      </c>
      <c r="AZ47" s="3415"/>
      <c r="BA47" s="3416"/>
      <c r="BB47"/>
      <c r="BC47" s="1228">
        <f ca="1">OFFSET('VVP2'!$G$191,0,(COLUMN()-6)/5)</f>
        <v>1.8429800000000001</v>
      </c>
      <c r="BD47" s="1221">
        <f ca="1">(BC47/AX47-1)*100</f>
        <v>7.4642705120206099</v>
      </c>
      <c r="BE47" s="3415"/>
      <c r="BF47" s="3416"/>
      <c r="BG47"/>
      <c r="BH47" s="1228">
        <f ca="1">OFFSET('VVP2'!$G$191,0,(COLUMN()-6)/5)</f>
        <v>2.1234000000000002</v>
      </c>
      <c r="BI47" s="1221">
        <f ca="1">(BH47/BC47-1)*100</f>
        <v>15.21557477563511</v>
      </c>
      <c r="BJ47" s="3415"/>
      <c r="BK47" s="3416"/>
      <c r="BL47"/>
      <c r="BM47" s="1228">
        <f ca="1">OFFSET('VVP2'!$G$191,0,(COLUMN()-6)/5)</f>
        <v>2.4421900000000001</v>
      </c>
      <c r="BN47" s="1221">
        <f ca="1">(BM47/BH47-1)*100</f>
        <v>15.013186399171129</v>
      </c>
      <c r="BO47" s="3415"/>
      <c r="BP47" s="3416"/>
      <c r="BQ47"/>
      <c r="BR47" s="1228">
        <f ca="1">OFFSET('VVP2'!$G$191,0,(COLUMN()-6)/5)</f>
        <v>2.7316700000000003</v>
      </c>
      <c r="BS47" s="1221">
        <f ca="1">(BR47/BM47-1)*100</f>
        <v>11.853295607630866</v>
      </c>
      <c r="BT47" s="3415"/>
      <c r="BU47" s="3416"/>
      <c r="BV47"/>
      <c r="BW47" s="1228">
        <f ca="1">OFFSET('VVP2'!$G$191,0,(COLUMN()-6)/5)</f>
        <v>3.3761199999999998</v>
      </c>
      <c r="BX47" s="1221">
        <f ca="1">(BW47/BR47-1)*100</f>
        <v>23.591795495063451</v>
      </c>
      <c r="BY47" s="3415"/>
      <c r="BZ47" s="3416"/>
      <c r="CA47"/>
      <c r="CB47" s="1228">
        <f ca="1">OFFSET('VVP2'!$G$191,0,(COLUMN()-6)/5)</f>
        <v>3.3891499999999999</v>
      </c>
      <c r="CC47" s="1221">
        <f ca="1">(CB47/BW47-1)*100</f>
        <v>0.38594599718020373</v>
      </c>
      <c r="CD47" s="3415"/>
      <c r="CE47" s="3416"/>
      <c r="CF47"/>
      <c r="CG47" s="1228">
        <f ca="1">OFFSET('VVP2'!$G$191,0,(COLUMN()-6)/5)</f>
        <v>3.1927500000000002</v>
      </c>
      <c r="CH47" s="1221">
        <f ca="1">(CG47/CB47-1)*100</f>
        <v>-5.7949633388902688</v>
      </c>
      <c r="CI47" s="3415"/>
      <c r="CJ47" s="3416"/>
      <c r="CK47"/>
      <c r="CL47" s="1228">
        <f ca="1">OFFSET('VVP2'!$G$191,0,(COLUMN()-6)/5)</f>
        <v>3.33344</v>
      </c>
      <c r="CM47" s="1221">
        <f ca="1">(CL47/CG47-1)*100</f>
        <v>4.4065460809646684</v>
      </c>
      <c r="CN47" s="3415"/>
      <c r="CO47" s="3416"/>
      <c r="CP47"/>
      <c r="CQ47">
        <f ca="1">+CQ50-CQ48</f>
        <v>3.2970000000000002</v>
      </c>
      <c r="CR47">
        <f ca="1">+CQ47/CL47*100-100</f>
        <v>-1.0931650187194037</v>
      </c>
      <c r="CS47" s="3415"/>
      <c r="CT47" s="3416"/>
      <c r="CU47"/>
      <c r="CV47">
        <f ca="1">+CV50-CV48</f>
        <v>3.3099599999999998</v>
      </c>
      <c r="CW47">
        <f ca="1">+CV47/CQ47*100-100</f>
        <v>0.39308462238396658</v>
      </c>
      <c r="CX47" s="3415"/>
      <c r="CY47" s="3416"/>
      <c r="CZ47"/>
      <c r="DA47">
        <f ca="1">+DA50-DA48</f>
        <v>3.3924000000000003</v>
      </c>
      <c r="DB47">
        <f ca="1">+DA47/CV47*100-100</f>
        <v>2.4906645397527569</v>
      </c>
      <c r="DC47" s="3415"/>
      <c r="DD47" s="3416"/>
      <c r="DE47"/>
      <c r="DF47" s="3417">
        <f ca="1">+DF50-DF48</f>
        <v>3.6384799999999999</v>
      </c>
      <c r="DG47" s="3418">
        <f ca="1">+DF47/DA47*100-100</f>
        <v>7.2538615729277183</v>
      </c>
      <c r="DH47" s="3415"/>
      <c r="DI47" s="3416"/>
      <c r="DJ47" s="3602"/>
      <c r="DK47" s="3417">
        <f ca="1">+DK50-DK48</f>
        <v>3.7765200000000001</v>
      </c>
      <c r="DL47" s="3418">
        <f ca="1">+DK47/DF47*100-100</f>
        <v>3.7938919548822696</v>
      </c>
      <c r="DM47" s="3415"/>
      <c r="DN47" s="3416"/>
      <c r="DO47" s="3746"/>
      <c r="DP47" s="3417">
        <f ca="1">+DP50-DP48</f>
        <v>3.9208400000000001</v>
      </c>
      <c r="DQ47" s="3418">
        <f ca="1">+DP47/DK47*100-100</f>
        <v>3.8215076313643266</v>
      </c>
      <c r="DR47" s="3415"/>
      <c r="DS47" s="3416"/>
      <c r="DT47"/>
      <c r="DU47" s="3417">
        <f ca="1">+DU49-DU48</f>
        <v>4.161412395588</v>
      </c>
      <c r="DV47" s="3418">
        <f ca="1">+DU47/DP47*100-100</f>
        <v>6.1357361072627299</v>
      </c>
      <c r="DW47" s="3415"/>
      <c r="DX47" s="3416"/>
      <c r="DY47" s="3649"/>
      <c r="DZ47" s="3417">
        <f ca="1">+DZ49-DZ48</f>
        <v>4.3792999700392308</v>
      </c>
      <c r="EA47" s="3418">
        <f ca="1">+DZ47/DU47*100-100</f>
        <v>5.2359043934756073</v>
      </c>
    </row>
    <row r="48" spans="1:145">
      <c r="A48" s="1457"/>
      <c r="C48" s="842" t="s">
        <v>1767</v>
      </c>
      <c r="D48" s="676" t="s">
        <v>687</v>
      </c>
      <c r="E48" s="1260" t="s">
        <v>1742</v>
      </c>
      <c r="F48" s="1226" t="s">
        <v>242</v>
      </c>
      <c r="G48" s="1304"/>
      <c r="H48" s="1229"/>
      <c r="I48" s="1305"/>
      <c r="J48" s="1231">
        <f ca="1">OFFSET('VVP2'!$G$192,0,(COLUMN()-6)/5)</f>
        <v>1.0702</v>
      </c>
      <c r="K48" s="1206"/>
      <c r="L48" s="1246"/>
      <c r="M48" s="1247"/>
      <c r="N48" s="1248"/>
      <c r="O48" s="1231">
        <f ca="1">OFFSET('VVP2'!$G$192,0,(COLUMN()-6)/5)</f>
        <v>1.31453</v>
      </c>
      <c r="P48" s="1218">
        <f ca="1">(O48/J48-1)*100</f>
        <v>22.830312091197904</v>
      </c>
      <c r="Q48" s="1246"/>
      <c r="R48" s="1247"/>
      <c r="S48" s="1248"/>
      <c r="T48" s="1231">
        <f ca="1">OFFSET('VVP2'!$G$192,0,(COLUMN()-6)/5)</f>
        <v>1.4791800000000002</v>
      </c>
      <c r="U48" s="1218">
        <f ca="1">(T48/O48-1)*100</f>
        <v>12.525389302640511</v>
      </c>
      <c r="V48" s="1246"/>
      <c r="W48" s="1247"/>
      <c r="X48" s="1248"/>
      <c r="Y48" s="1231">
        <f ca="1">OFFSET('VVP2'!$G$192,0,(COLUMN()-6)/5)</f>
        <v>1.7082599999999999</v>
      </c>
      <c r="Z48" s="1218">
        <f ca="1">(Y48/T48-1)*100</f>
        <v>15.486958990792177</v>
      </c>
      <c r="AA48" s="1246"/>
      <c r="AB48" s="1247"/>
      <c r="AC48" s="1248"/>
      <c r="AD48" s="1231">
        <f ca="1">OFFSET('VVP2'!$G$192,0,(COLUMN()-6)/5)</f>
        <v>1.27505</v>
      </c>
      <c r="AE48" s="1218">
        <f ca="1">(AD48/Y48-1)*100</f>
        <v>-25.359722758830618</v>
      </c>
      <c r="AF48" s="1246"/>
      <c r="AG48" s="1247"/>
      <c r="AH48" s="1248"/>
      <c r="AI48" s="1231">
        <f ca="1">OFFSET('VVP2'!$G$192,0,(COLUMN()-6)/5)</f>
        <v>1.5316700000000001</v>
      </c>
      <c r="AJ48" s="1218">
        <f ca="1">(AI48/AD48-1)*100</f>
        <v>20.126269558056542</v>
      </c>
      <c r="AK48" s="1246"/>
      <c r="AL48" s="1247"/>
      <c r="AM48" s="1248"/>
      <c r="AN48" s="1231">
        <f ca="1">OFFSET('VVP2'!$G$192,0,(COLUMN()-6)/5)</f>
        <v>1.4814200000000002</v>
      </c>
      <c r="AO48" s="1218">
        <f ca="1">(AN48/AI48-1)*100</f>
        <v>-3.2807327949231802</v>
      </c>
      <c r="AP48" s="1246"/>
      <c r="AQ48" s="1247"/>
      <c r="AR48" s="1248"/>
      <c r="AS48" s="1231">
        <f ca="1">OFFSET('VVP2'!$G$192,0,(COLUMN()-6)/5)</f>
        <v>1.47861</v>
      </c>
      <c r="AT48" s="1218">
        <f ca="1">(AS48/AN48-1)*100</f>
        <v>-0.18968287183919186</v>
      </c>
      <c r="AU48" s="1246"/>
      <c r="AV48" s="1247"/>
      <c r="AW48" s="1248"/>
      <c r="AX48" s="1231">
        <f ca="1">OFFSET('VVP2'!$G$192,0,(COLUMN()-6)/5)</f>
        <v>1.5441400000000001</v>
      </c>
      <c r="AY48" s="1218">
        <f ca="1">(AX48/AS48-1)*100</f>
        <v>4.4318650624573186</v>
      </c>
      <c r="AZ48" s="1246"/>
      <c r="BA48" s="1247"/>
      <c r="BB48" s="1248"/>
      <c r="BC48" s="1231">
        <f ca="1">OFFSET('VVP2'!$G$192,0,(COLUMN()-6)/5)</f>
        <v>1.6525099999999999</v>
      </c>
      <c r="BD48" s="1218">
        <f ca="1">(BC48/AX48-1)*100</f>
        <v>7.0181460230289927</v>
      </c>
      <c r="BE48" s="1246"/>
      <c r="BF48" s="1247"/>
      <c r="BG48" s="1248"/>
      <c r="BH48" s="1231">
        <f ca="1">OFFSET('VVP2'!$G$192,0,(COLUMN()-6)/5)</f>
        <v>1.76301</v>
      </c>
      <c r="BI48" s="1218">
        <f ca="1">(BH48/BC48-1)*100</f>
        <v>6.6867976593182554</v>
      </c>
      <c r="BJ48" s="1246"/>
      <c r="BK48" s="1247"/>
      <c r="BL48" s="1248"/>
      <c r="BM48" s="1231">
        <f ca="1">OFFSET('VVP2'!$G$192,0,(COLUMN()-6)/5)</f>
        <v>2.1633200000000001</v>
      </c>
      <c r="BN48" s="1218">
        <f ca="1">(BM48/BH48-1)*100</f>
        <v>22.706053851084242</v>
      </c>
      <c r="BO48" s="1246"/>
      <c r="BP48" s="1247"/>
      <c r="BQ48" s="1248"/>
      <c r="BR48" s="1231">
        <f ca="1">OFFSET('VVP2'!$G$192,0,(COLUMN()-6)/5)</f>
        <v>2.3351599999999997</v>
      </c>
      <c r="BS48" s="1218">
        <f ca="1">(BR48/BM48-1)*100</f>
        <v>7.9433463380359504</v>
      </c>
      <c r="BT48" s="1246"/>
      <c r="BU48" s="1247"/>
      <c r="BV48" s="1248"/>
      <c r="BW48" s="1231">
        <f ca="1">OFFSET('VVP2'!$G$192,0,(COLUMN()-6)/5)</f>
        <v>2.7246799999999998</v>
      </c>
      <c r="BX48" s="1218">
        <f ca="1">(BW48/BR48-1)*100</f>
        <v>16.680655715240068</v>
      </c>
      <c r="BY48" s="1246"/>
      <c r="BZ48" s="1247"/>
      <c r="CA48" s="1248"/>
      <c r="CB48" s="1231">
        <f ca="1">OFFSET('VVP2'!$G$192,0,(COLUMN()-6)/5)</f>
        <v>2.3306799999999996</v>
      </c>
      <c r="CC48" s="1218">
        <f ca="1">(CB48/BW48-1)*100</f>
        <v>-14.460413699957432</v>
      </c>
      <c r="CD48" s="1246"/>
      <c r="CE48" s="1247"/>
      <c r="CF48" s="1248"/>
      <c r="CG48" s="1231">
        <f ca="1">OFFSET('VVP2'!$G$192,0,(COLUMN()-6)/5)</f>
        <v>2.3706300000000002</v>
      </c>
      <c r="CH48" s="1218">
        <f ca="1">(CG48/CB48-1)*100</f>
        <v>1.7140920246451863</v>
      </c>
      <c r="CI48" s="1246"/>
      <c r="CJ48" s="1247"/>
      <c r="CK48" s="1248"/>
      <c r="CL48" s="1231">
        <f ca="1">OFFSET('VVP2'!$G$192,0,(COLUMN()-6)/5)</f>
        <v>2.40388</v>
      </c>
      <c r="CM48" s="1218">
        <f ca="1">(CL48/CG48-1)*100</f>
        <v>1.4025807485773756</v>
      </c>
      <c r="CN48" s="1246"/>
      <c r="CO48" s="1247"/>
      <c r="CP48" s="1248"/>
      <c r="CQ48" s="1231">
        <f ca="1">OFFSET('VVP2'!$G$192,0,(COLUMN()-6)/5)</f>
        <v>2.5336799999999999</v>
      </c>
      <c r="CR48" s="1218">
        <f ca="1">(CQ48/CL48-1)*100</f>
        <v>5.3996039735760393</v>
      </c>
      <c r="CS48" s="1246"/>
      <c r="CT48" s="1247"/>
      <c r="CU48" s="1248"/>
      <c r="CV48" s="1231">
        <f ca="1">OFFSET('VVP2'!$G$192,0,(COLUMN()-6)/5)</f>
        <v>2.5270100000000002</v>
      </c>
      <c r="CW48" s="1218">
        <f ca="1">(CV48/CQ48-1)*100</f>
        <v>-0.26325344952794483</v>
      </c>
      <c r="CX48" s="1246"/>
      <c r="CY48" s="1247"/>
      <c r="CZ48" s="1248"/>
      <c r="DA48" s="1231">
        <f ca="1">OFFSET('VVP2'!$G$192,0,(COLUMN()-6)/5)</f>
        <v>2.68093</v>
      </c>
      <c r="DB48" s="1218">
        <f ca="1">(DA48/CV48-1)*100</f>
        <v>6.090992912572557</v>
      </c>
      <c r="DC48" s="1246"/>
      <c r="DD48" s="1247"/>
      <c r="DE48" s="1248"/>
      <c r="DF48" s="3420">
        <f ca="1">OFFSET('VVP2'!$G$192,0,(COLUMN()-6)/5)</f>
        <v>2.7902900000000002</v>
      </c>
      <c r="DG48" s="1218">
        <f ca="1">(DF48/DA48-1)*100</f>
        <v>4.0791814780691826</v>
      </c>
      <c r="DH48" s="1246"/>
      <c r="DI48" s="1247"/>
      <c r="DJ48" s="1248"/>
      <c r="DK48" s="3420">
        <f ca="1">OFFSET('VVP2'!$G$192,0,(COLUMN()-6)/5)</f>
        <v>2.8603499999999999</v>
      </c>
      <c r="DL48" s="1218">
        <f ca="1">(DK48/DF48-1)*100</f>
        <v>2.5108501266893235</v>
      </c>
      <c r="DM48" s="1246"/>
      <c r="DN48" s="1247"/>
      <c r="DO48" s="1248"/>
      <c r="DP48" s="3420">
        <f ca="1">OFFSET('VVP2'!$G$192,0,(COLUMN()-6)/5)</f>
        <v>2.9872100000000001</v>
      </c>
      <c r="DQ48" s="1218">
        <f ca="1">(DP48/DK48-1)*100</f>
        <v>4.4351215760309204</v>
      </c>
      <c r="DR48" s="1246"/>
      <c r="DS48" s="1247"/>
      <c r="DT48" s="1248"/>
      <c r="DU48" s="3419">
        <f ca="1">+DP48*(1+DV48/100)</f>
        <v>3.1365705000000004</v>
      </c>
      <c r="DV48" s="2252">
        <v>5</v>
      </c>
      <c r="DW48" s="1246"/>
      <c r="DX48" s="1247"/>
      <c r="DY48" s="1248"/>
      <c r="DZ48" s="3419">
        <f ca="1">+DU48*(1+EA48/100)</f>
        <v>3.2933990250000007</v>
      </c>
      <c r="EA48" s="2252">
        <v>5</v>
      </c>
    </row>
    <row r="49" spans="1:145" s="28" customFormat="1">
      <c r="A49" s="1457"/>
      <c r="C49" s="176"/>
      <c r="D49" s="1150"/>
      <c r="E49" s="1150" t="s">
        <v>566</v>
      </c>
      <c r="F49" s="1140"/>
      <c r="G49" s="1234"/>
      <c r="H49" s="1234"/>
      <c r="I49" s="1234"/>
      <c r="J49" s="1234">
        <f ca="1">+J47+J48</f>
        <v>1.8624400000000001</v>
      </c>
      <c r="K49" s="1234"/>
      <c r="L49" s="1234"/>
      <c r="M49" s="1234"/>
      <c r="N49" s="1234"/>
      <c r="O49" s="1234">
        <f ca="1">+O47+O48</f>
        <v>2.3385400000000001</v>
      </c>
      <c r="P49" s="1234"/>
      <c r="Q49" s="1234"/>
      <c r="R49" s="1234"/>
      <c r="S49" s="1234"/>
      <c r="T49" s="1234">
        <f ca="1">+T47+T48</f>
        <v>2.8321500000000004</v>
      </c>
      <c r="U49" s="1234"/>
      <c r="V49" s="1234"/>
      <c r="W49" s="1234"/>
      <c r="X49" s="1234"/>
      <c r="Y49" s="1234">
        <f ca="1">+Y47+Y48</f>
        <v>3.3704700000000001</v>
      </c>
      <c r="Z49" s="1234"/>
      <c r="AA49" s="1234"/>
      <c r="AB49" s="1234"/>
      <c r="AC49" s="1234"/>
      <c r="AD49" s="1234">
        <f ca="1">+AD47+AD48</f>
        <v>3.0081499999999997</v>
      </c>
      <c r="AE49" s="1234"/>
      <c r="AF49" s="1234"/>
      <c r="AG49" s="1234"/>
      <c r="AH49" s="1234"/>
      <c r="AI49" s="1234">
        <f ca="1">+AI47+AI48</f>
        <v>2.9951300000000001</v>
      </c>
      <c r="AJ49" s="1234"/>
      <c r="AK49" s="1234"/>
      <c r="AL49" s="1234"/>
      <c r="AM49" s="1234"/>
      <c r="AN49" s="1234">
        <f ca="1">+AN47+AN48</f>
        <v>3.0014400000000001</v>
      </c>
      <c r="AO49" s="1234"/>
      <c r="AP49" s="1234"/>
      <c r="AQ49" s="1234"/>
      <c r="AR49" s="1234"/>
      <c r="AS49" s="1234">
        <f ca="1">+AS47+AS48</f>
        <v>3.1259199999999998</v>
      </c>
      <c r="AT49" s="1234"/>
      <c r="AU49" s="1234"/>
      <c r="AV49" s="1234"/>
      <c r="AW49" s="1234"/>
      <c r="AX49" s="1234">
        <f ca="1">+AX47+AX48</f>
        <v>3.2591100000000002</v>
      </c>
      <c r="AY49" s="1234"/>
      <c r="AZ49" s="1234"/>
      <c r="BA49" s="1234"/>
      <c r="BB49" s="1234"/>
      <c r="BC49" s="1234">
        <f ca="1">+BC47+BC48</f>
        <v>3.4954900000000002</v>
      </c>
      <c r="BD49" s="1234"/>
      <c r="BE49" s="1234"/>
      <c r="BF49" s="1234"/>
      <c r="BG49" s="1234"/>
      <c r="BH49" s="1234">
        <f ca="1">+BH47+BH48</f>
        <v>3.8864100000000001</v>
      </c>
      <c r="BI49" s="1234"/>
      <c r="BJ49" s="1234"/>
      <c r="BK49" s="1234"/>
      <c r="BL49" s="1234"/>
      <c r="BM49" s="1234">
        <f ca="1">+BM47+BM48</f>
        <v>4.6055100000000007</v>
      </c>
      <c r="BN49" s="1234"/>
      <c r="BO49" s="1234"/>
      <c r="BP49" s="1234"/>
      <c r="BQ49" s="1234"/>
      <c r="BR49" s="1234">
        <f ca="1">+BR47+BR48</f>
        <v>5.0668299999999995</v>
      </c>
      <c r="BS49" s="1234"/>
      <c r="BT49" s="1234"/>
      <c r="BU49" s="1234"/>
      <c r="BV49" s="1234"/>
      <c r="BW49" s="1234">
        <f ca="1">+BW47+BW48</f>
        <v>6.1007999999999996</v>
      </c>
      <c r="BX49" s="1234"/>
      <c r="BY49" s="1234"/>
      <c r="BZ49" s="1234"/>
      <c r="CA49" s="1234"/>
      <c r="CB49" s="1234">
        <f ca="1">+CB47+CB48</f>
        <v>5.71983</v>
      </c>
      <c r="CC49" s="1234"/>
      <c r="CD49" s="1234"/>
      <c r="CE49" s="1234"/>
      <c r="CF49" s="1234"/>
      <c r="CG49" s="1234">
        <f ca="1">+CG47+CG48</f>
        <v>5.5633800000000004</v>
      </c>
      <c r="CH49" s="1234"/>
      <c r="CI49" s="1234"/>
      <c r="CJ49" s="1234"/>
      <c r="CK49" s="1234"/>
      <c r="CL49" s="1234">
        <f ca="1">+CL47+CL48</f>
        <v>5.7373200000000004</v>
      </c>
      <c r="CM49" s="1234"/>
      <c r="CN49" s="1234"/>
      <c r="CO49" s="1234"/>
      <c r="CP49" s="1234"/>
      <c r="CQ49" s="1234">
        <f ca="1">+CQ47+CQ48</f>
        <v>5.8306800000000001</v>
      </c>
      <c r="CR49" s="1234"/>
      <c r="CS49" s="1234"/>
      <c r="CT49" s="1234"/>
      <c r="CU49" s="1234"/>
      <c r="CV49" s="1234">
        <f ca="1">+CV47+CV48</f>
        <v>5.83697</v>
      </c>
      <c r="CW49" s="1234"/>
      <c r="CX49" s="1234"/>
      <c r="CY49" s="1234"/>
      <c r="CZ49" s="1234"/>
      <c r="DA49" s="1234">
        <f ca="1">+DA47+DA48</f>
        <v>6.0733300000000003</v>
      </c>
      <c r="DB49" s="1234"/>
      <c r="DC49" s="1234"/>
      <c r="DD49" s="1234"/>
      <c r="DE49" s="1234"/>
      <c r="DF49" s="1234">
        <f ca="1">+DF47+DF48</f>
        <v>6.4287700000000001</v>
      </c>
      <c r="DG49" s="1234"/>
      <c r="DH49" s="1234"/>
      <c r="DI49" s="1234"/>
      <c r="DJ49" s="1234"/>
      <c r="DK49" s="1234">
        <f ca="1">+DK47+DK48</f>
        <v>6.63687</v>
      </c>
      <c r="DL49" s="1234"/>
      <c r="DM49" s="1234"/>
      <c r="DN49" s="1234"/>
      <c r="DO49" s="1234"/>
      <c r="DP49" s="1234">
        <f ca="1">+DP47+DP48</f>
        <v>6.9080500000000002</v>
      </c>
      <c r="DQ49" s="1234"/>
      <c r="DR49" s="3669">
        <v>1.64</v>
      </c>
      <c r="DS49" s="2250">
        <f ca="1">+DP49*(1+DR49/100)</f>
        <v>7.0213420199999996</v>
      </c>
      <c r="DT49" s="2240">
        <v>3.94</v>
      </c>
      <c r="DU49" s="2250">
        <f ca="1">+DS49*(1+DT49/100)</f>
        <v>7.2979828955880004</v>
      </c>
      <c r="DV49" s="3136">
        <f ca="1">(DU49/DP49-1)*100</f>
        <v>5.6446159999999912</v>
      </c>
      <c r="DW49" s="3669">
        <v>1.54</v>
      </c>
      <c r="DX49" s="2250">
        <f ca="1">+DU49*(1+DW49/100)</f>
        <v>7.410371832180056</v>
      </c>
      <c r="DY49" s="2240">
        <v>3.54</v>
      </c>
      <c r="DZ49" s="2250">
        <f ca="1">+DX49*(1+DY49/100)</f>
        <v>7.672698995039231</v>
      </c>
      <c r="EA49" s="3136">
        <f ca="1">(DZ49/DU49-1)*100</f>
        <v>5.1345160000000112</v>
      </c>
    </row>
    <row r="50" spans="1:145" s="28" customFormat="1">
      <c r="A50" s="1457" t="s">
        <v>1940</v>
      </c>
      <c r="C50" s="176" t="s">
        <v>1769</v>
      </c>
      <c r="D50" s="1257" t="s">
        <v>687</v>
      </c>
      <c r="E50" s="1257" t="s">
        <v>821</v>
      </c>
      <c r="F50" s="1200" t="s">
        <v>280</v>
      </c>
      <c r="G50" s="1258"/>
      <c r="H50" s="1258"/>
      <c r="I50" s="1258"/>
      <c r="J50" s="1259">
        <f ca="1">OFFSET('VVP2'!$G$193,0,(COLUMN()-6)/5)</f>
        <v>1.8624400000000001</v>
      </c>
      <c r="K50" s="1258"/>
      <c r="L50" s="1259">
        <f ca="1">OFFSET('VVP2'!$G$16,0,(COLUMN()-7)/5)</f>
        <v>-0.70218291322577953</v>
      </c>
      <c r="M50" s="1259">
        <f ca="1">+J50*(1+L50/100)</f>
        <v>1.8493622645509178</v>
      </c>
      <c r="N50" s="1259">
        <f ca="1">+O50/M50*100-100</f>
        <v>26.451698773461899</v>
      </c>
      <c r="O50" s="1259">
        <f ca="1">OFFSET('VVP2'!$G$193,0,(COLUMN()-6)/5)</f>
        <v>2.3385500000000001</v>
      </c>
      <c r="P50" s="1259">
        <f ca="1">(O50/J50-1)*100</f>
        <v>25.563776551190909</v>
      </c>
      <c r="Q50" s="1259">
        <f ca="1">OFFSET('VVP2'!$G$16,0,(COLUMN()-7)/5)</f>
        <v>3.4160337882479963</v>
      </c>
      <c r="R50" s="1259">
        <f ca="1">+O50*(1+Q50/100)</f>
        <v>2.4184356581550737</v>
      </c>
      <c r="S50" s="1259">
        <f ca="1">+T50/R50*100-100</f>
        <v>17.107105597365376</v>
      </c>
      <c r="T50" s="1259">
        <f ca="1">OFFSET('VVP2'!$G$193,0,(COLUMN()-6)/5)</f>
        <v>2.83216</v>
      </c>
      <c r="U50" s="1259">
        <f ca="1">(T50/O50-1)*100</f>
        <v>21.107523893010626</v>
      </c>
      <c r="V50" s="1259">
        <f ca="1">OFFSET('VVP2'!$G$16,0,(COLUMN()-7)/5)</f>
        <v>5.0156327954667068</v>
      </c>
      <c r="W50" s="1259">
        <f ca="1">+T50*(1+V50/100)</f>
        <v>2.9742107457800899</v>
      </c>
      <c r="X50" s="1259">
        <f ca="1">+Y50/W50*100-100</f>
        <v>13.323173375731216</v>
      </c>
      <c r="Y50" s="1259">
        <f ca="1">OFFSET('VVP2'!$G$193,0,(COLUMN()-6)/5)</f>
        <v>3.3704699999999996</v>
      </c>
      <c r="Z50" s="1259">
        <f ca="1">(Y50/T50-1)*100</f>
        <v>19.007047624427976</v>
      </c>
      <c r="AA50" s="1259">
        <f ca="1">OFFSET('VVP2'!$G$16,0,(COLUMN()-7)/5)</f>
        <v>-4.4198117990299046</v>
      </c>
      <c r="AB50" s="1259">
        <f ca="1">+Y50*(1+AA50/100)</f>
        <v>3.2215015692572364</v>
      </c>
      <c r="AC50" s="1259">
        <f ca="1">+AD50/AB50*100-100</f>
        <v>-6.6227367788129783</v>
      </c>
      <c r="AD50" s="1259">
        <f ca="1">OFFSET('VVP2'!$G$193,0,(COLUMN()-6)/5)</f>
        <v>3.0081500000000001</v>
      </c>
      <c r="AE50" s="1259">
        <f ca="1">(AD50/Y50-1)*100</f>
        <v>-10.74983607627421</v>
      </c>
      <c r="AF50" s="1259">
        <f ca="1">OFFSET('VVP2'!$G$16,0,(COLUMN()-7)/5)</f>
        <v>0.22345871660096606</v>
      </c>
      <c r="AG50" s="1259">
        <f ca="1">+AD50*(1+AF50/100)</f>
        <v>3.0148719733834319</v>
      </c>
      <c r="AH50" s="1259">
        <f ca="1">+AI50/AG50*100-100</f>
        <v>-0.654819626097634</v>
      </c>
      <c r="AI50" s="1259">
        <f ca="1">OFFSET('VVP2'!$G$193,0,(COLUMN()-6)/5)</f>
        <v>2.9951300000000001</v>
      </c>
      <c r="AJ50" s="1259">
        <f ca="1">(AI50/AD50-1)*100</f>
        <v>-0.43282416102921051</v>
      </c>
      <c r="AK50" s="1259">
        <f ca="1">OFFSET('VVP2'!$G$16,0,(COLUMN()-7)/5)</f>
        <v>1.3605540892593027</v>
      </c>
      <c r="AL50" s="1259">
        <f ca="1">+AI50*(1+AK50/100)</f>
        <v>3.0358803636936322</v>
      </c>
      <c r="AM50" s="1259">
        <f ca="1">+AN50/AL50*100-100</f>
        <v>-1.134444034933253</v>
      </c>
      <c r="AN50" s="1259">
        <f ca="1">OFFSET('VVP2'!$G$193,0,(COLUMN()-6)/5)</f>
        <v>3.0014400000000001</v>
      </c>
      <c r="AO50" s="1259">
        <f ca="1">(AN50/AI50-1)*100</f>
        <v>0.21067532961842605</v>
      </c>
      <c r="AP50" s="1259">
        <f ca="1">OFFSET('VVP2'!$G$16,0,(COLUMN()-7)/5)</f>
        <v>2.4593939771627937</v>
      </c>
      <c r="AQ50" s="1259">
        <f ca="1">+AN50*(1+AP50/100)</f>
        <v>3.0752572345881553</v>
      </c>
      <c r="AR50" s="1259">
        <f ca="1">+AS50/AQ50*100-100</f>
        <v>1.6474317934132046</v>
      </c>
      <c r="AS50" s="1259">
        <f ca="1">OFFSET('VVP2'!$G$193,0,(COLUMN()-6)/5)</f>
        <v>3.1259200000000003</v>
      </c>
      <c r="AT50" s="1259">
        <f ca="1">(AS50/AN50-1)*100</f>
        <v>4.1473426088810772</v>
      </c>
      <c r="AU50" s="1259">
        <f ca="1">OFFSET('VVP2'!$G$16,0,(COLUMN()-7)/5)</f>
        <v>2.919078684026899</v>
      </c>
      <c r="AV50" s="1259">
        <f ca="1">+AS50*(1+AU50/100)</f>
        <v>3.217168064399734</v>
      </c>
      <c r="AW50" s="1259">
        <f ca="1">+AX50/AV50*100-100</f>
        <v>1.3036911582078545</v>
      </c>
      <c r="AX50" s="1259">
        <f ca="1">OFFSET('VVP2'!$G$193,0,(COLUMN()-6)/5)</f>
        <v>3.2591100000000002</v>
      </c>
      <c r="AY50" s="1259">
        <f ca="1">(AX50/AS50-1)*100</f>
        <v>4.260825612939545</v>
      </c>
      <c r="AZ50" s="1259">
        <f ca="1">OFFSET('VVP2'!$G$16,0,(COLUMN()-7)/5)</f>
        <v>4.5939341332392081</v>
      </c>
      <c r="BA50" s="1259">
        <f ca="1">+AX50*(1+AZ50/100)</f>
        <v>3.4088313667298125</v>
      </c>
      <c r="BB50" s="1259">
        <f ca="1">+BC50/BA50*100-100</f>
        <v>2.542180118265037</v>
      </c>
      <c r="BC50" s="1259">
        <f ca="1">OFFSET('VVP2'!$G$193,0,(COLUMN()-6)/5)</f>
        <v>3.4954899999999998</v>
      </c>
      <c r="BD50" s="1259">
        <f ca="1">(BC50/AX50-1)*100</f>
        <v>7.2529003316856411</v>
      </c>
      <c r="BE50" s="1259">
        <f ca="1">OFFSET('VVP2'!$G$16,0,(COLUMN()-7)/5)</f>
        <v>3.5574155936628493</v>
      </c>
      <c r="BF50" s="1259">
        <f ca="1">+BC50*(1+BE50/100)</f>
        <v>3.6198391063349251</v>
      </c>
      <c r="BG50" s="1259">
        <f ca="1">+BH50/BF50*100-100</f>
        <v>7.3641641474771831</v>
      </c>
      <c r="BH50" s="1259">
        <f ca="1">OFFSET('VVP2'!$G$193,0,(COLUMN()-6)/5)</f>
        <v>3.8864099999999997</v>
      </c>
      <c r="BI50" s="1259">
        <f ca="1">(BH50/BC50-1)*100</f>
        <v>11.183553664865297</v>
      </c>
      <c r="BJ50" s="1259">
        <f ca="1">OFFSET('VVP2'!$G$16,0,(COLUMN()-7)/5)</f>
        <v>2.1037421147720448</v>
      </c>
      <c r="BK50" s="1259">
        <f ca="1">+BH50*(1+BJ50/100)</f>
        <v>3.9681700439227119</v>
      </c>
      <c r="BL50" s="1259">
        <f ca="1">+BM50/BK50*100-100</f>
        <v>16.061054567290142</v>
      </c>
      <c r="BM50" s="1259">
        <f ca="1">OFFSET('VVP2'!$G$193,0,(COLUMN()-6)/5)</f>
        <v>4.6055000000000001</v>
      </c>
      <c r="BN50" s="1259">
        <f ca="1">(BM50/BH50-1)*100</f>
        <v>18.502679851070791</v>
      </c>
      <c r="BO50" s="1259">
        <f ca="1">OFFSET('VVP2'!$G$16,0,(COLUMN()-7)/5)</f>
        <v>1.8506567525384376</v>
      </c>
      <c r="BP50" s="1259">
        <f ca="1">+BM50*(1+BO50/100)</f>
        <v>4.6907319967381582</v>
      </c>
      <c r="BQ50" s="1259">
        <f ca="1">+BR50/BP50*100-100</f>
        <v>8.0178957894710692</v>
      </c>
      <c r="BR50" s="1259">
        <f ca="1">OFFSET('VVP2'!$G$193,0,(COLUMN()-6)/5)</f>
        <v>5.0668299999999995</v>
      </c>
      <c r="BS50" s="1259">
        <f ca="1">(BR50/BM50-1)*100</f>
        <v>10.016936271848852</v>
      </c>
      <c r="BT50" s="1259">
        <f ca="1">OFFSET('VVP2'!$G$16,0,(COLUMN()-7)/5)</f>
        <v>0.23588844714808044</v>
      </c>
      <c r="BU50" s="1259">
        <f ca="1">+BR50*(1+BT50/100)</f>
        <v>5.0787820666066326</v>
      </c>
      <c r="BV50" s="1259">
        <f ca="1">+BW50/BU50*100-100</f>
        <v>20.123287827473661</v>
      </c>
      <c r="BW50" s="1259">
        <f ca="1">OFFSET('VVP2'!$G$193,0,(COLUMN()-6)/5)</f>
        <v>6.1008000000000004</v>
      </c>
      <c r="BX50" s="1259">
        <f ca="1">(BW50/BR50-1)*100</f>
        <v>20.406644785793105</v>
      </c>
      <c r="BY50" s="1259">
        <f ca="1">OFFSET('VVP2'!$G$16,0,(COLUMN()-7)/5)</f>
        <v>-1.3144310859859787</v>
      </c>
      <c r="BZ50" s="1259">
        <f ca="1">+BW50*(1+BY50/100)</f>
        <v>6.0206091883061674</v>
      </c>
      <c r="CA50" s="1259">
        <f ca="1">+CB50/BZ50*100-100</f>
        <v>-4.995826483645061</v>
      </c>
      <c r="CB50" s="1259">
        <f ca="1">OFFSET('VVP2'!$G$193,0,(COLUMN()-6)/5)</f>
        <v>5.71983</v>
      </c>
      <c r="CC50" s="1259">
        <f ca="1">(CB50/BW50-1)*100</f>
        <v>-6.244590873328093</v>
      </c>
      <c r="CD50" s="1259">
        <f ca="1">OFFSET('VVP2'!$G$16,0,(COLUMN()-7)/5)</f>
        <v>-3.1615262636618624</v>
      </c>
      <c r="CE50" s="1259">
        <f ca="1">+CB50*(1+CD50/100)</f>
        <v>5.5389960723131892</v>
      </c>
      <c r="CF50" s="1259">
        <f ca="1">+CG50/CE50*100-100</f>
        <v>0.44022287375675262</v>
      </c>
      <c r="CG50" s="1259">
        <f ca="1">OFFSET('VVP2'!$G$193,0,(COLUMN()-6)/5)</f>
        <v>5.5633800000000004</v>
      </c>
      <c r="CH50" s="1259">
        <f ca="1">(CG50/CB50-1)*100</f>
        <v>-2.7352211516775804</v>
      </c>
      <c r="CI50" s="1259">
        <f ca="1">OFFSET('VVP2'!$G$16,0,(COLUMN()-7)/5)</f>
        <v>-0.35589875219742551</v>
      </c>
      <c r="CJ50" s="1259">
        <f ca="1">+CG50*(1+CI50/100)</f>
        <v>5.5435799999999995</v>
      </c>
      <c r="CK50" s="1259">
        <f ca="1">+CL50/CJ50*100-100</f>
        <v>3.4948535062180071</v>
      </c>
      <c r="CL50" s="1259">
        <f ca="1">OFFSET('VVP2'!$G$193,0,(COLUMN()-6)/5)</f>
        <v>5.7373199999999995</v>
      </c>
      <c r="CM50" s="1259">
        <f ca="1">(CL50/CG50-1)*100</f>
        <v>3.1265166140008294</v>
      </c>
      <c r="CN50" s="1259">
        <f ca="1">OFFSET('VVP2'!$G$16,0,(COLUMN()-7)/5)</f>
        <v>1.2852705291526378</v>
      </c>
      <c r="CO50" s="1259">
        <f ca="1">+CL50*(1+CN50/100)</f>
        <v>5.8110600831231798</v>
      </c>
      <c r="CP50" s="1259">
        <f ca="1">+CQ50/CO50*100-100</f>
        <v>0.33763059744988766</v>
      </c>
      <c r="CQ50" s="1259">
        <f ca="1">OFFSET('VVP2'!$G$193,0,(COLUMN()-6)/5)</f>
        <v>5.8306800000000001</v>
      </c>
      <c r="CR50" s="1259">
        <f ca="1">(CQ50/CL50-1)*100</f>
        <v>1.6272405931689438</v>
      </c>
      <c r="CS50" s="1259">
        <f ca="1">OFFSET('VVP2'!$G$16,0,(COLUMN()-7)/5)</f>
        <v>0.72272891610254408</v>
      </c>
      <c r="CT50" s="1259">
        <f ca="1">+CQ50*(1+CS50/100)</f>
        <v>5.872820010365408</v>
      </c>
      <c r="CU50" s="1259">
        <f ca="1">+CV50/CT50*100-100</f>
        <v>-0.6104394533143136</v>
      </c>
      <c r="CV50" s="1259">
        <f ca="1">OFFSET('VVP2'!$G$193,0,(COLUMN()-6)/5)</f>
        <v>5.83697</v>
      </c>
      <c r="CW50" s="1259">
        <f ca="1">(CV50/CQ50-1)*100</f>
        <v>0.10787764034383418</v>
      </c>
      <c r="CX50" s="1259">
        <f ca="1">OFFSET('VVP2'!$G$16,0,(COLUMN()-7)/5)</f>
        <v>0.28733548938097986</v>
      </c>
      <c r="CY50" s="1259">
        <f ca="1">+CV50*(1+CX50/100)</f>
        <v>5.8537416863145211</v>
      </c>
      <c r="CZ50" s="1259">
        <f ca="1">+DA50/CY50*100-100</f>
        <v>3.7512470732840058</v>
      </c>
      <c r="DA50" s="1259">
        <f ca="1">OFFSET('VVP2'!$G$193,0,(COLUMN()-6)/5)</f>
        <v>6.0733300000000003</v>
      </c>
      <c r="DB50" s="1259">
        <f ca="1">(DA50/CV50-1)*100</f>
        <v>4.0493612268009072</v>
      </c>
      <c r="DC50" s="1259">
        <f ca="1">OFFSET('VVP2'!$G$16,0,(COLUMN()-7)/5)</f>
        <v>0.16432578821721222</v>
      </c>
      <c r="DD50" s="1259">
        <f ca="1">+DA50*(1+DC50/100)</f>
        <v>6.0833100473935326</v>
      </c>
      <c r="DE50" s="1259">
        <f ca="1">+DF50/DD50*100-100</f>
        <v>5.678815478992135</v>
      </c>
      <c r="DF50" s="1259">
        <f ca="1">OFFSET('VVP2'!$G$193,0,(COLUMN()-6)/5)</f>
        <v>6.4287700000000001</v>
      </c>
      <c r="DG50" s="1259">
        <f ca="1">(DF50/DA50-1)*100</f>
        <v>5.8524730255065993</v>
      </c>
      <c r="DH50" s="1259">
        <f ca="1">OFFSET('VVP2'!$G$16,0,(COLUMN()-7)/5)</f>
        <v>1.2923826522888593</v>
      </c>
      <c r="DI50" s="1259">
        <f ca="1">+DF50*(1+DH50/100)</f>
        <v>6.5118543082355504</v>
      </c>
      <c r="DJ50" s="1259">
        <f ca="1">+DK50/DI50*100-100</f>
        <v>1.9198170881425085</v>
      </c>
      <c r="DK50" s="1259">
        <f ca="1">OFFSET('VVP2'!$G$193,0,(COLUMN()-6)/5)</f>
        <v>6.63687</v>
      </c>
      <c r="DL50" s="1259">
        <f ca="1">(DK50/DF50-1)*100</f>
        <v>3.2370111234341969</v>
      </c>
      <c r="DM50" s="1259">
        <f ca="1">OFFSET('VVP2'!$G$16,0,(COLUMN()-7)/5)</f>
        <v>1.1589392464896431</v>
      </c>
      <c r="DN50" s="1259">
        <f ca="1">+DK50*(1+DM50/100)</f>
        <v>6.7137872911684973</v>
      </c>
      <c r="DO50" s="1259">
        <f ca="1">+DP50/DN50*100-100</f>
        <v>2.8934891799006266</v>
      </c>
      <c r="DP50" s="1259">
        <f ca="1">OFFSET('VVP2'!$G$193,0,(COLUMN()-6)/5)</f>
        <v>6.9080500000000002</v>
      </c>
      <c r="DQ50" s="1259">
        <f ca="1">(DP50/DK50-1)*100</f>
        <v>4.0859622080890556</v>
      </c>
      <c r="DR50" s="3336">
        <f>DR49</f>
        <v>1.64</v>
      </c>
      <c r="DS50" s="2250">
        <f ca="1">+DP50*(1+DR50/100)</f>
        <v>7.0213420199999996</v>
      </c>
      <c r="DT50" s="2240">
        <f>DT49</f>
        <v>3.94</v>
      </c>
      <c r="DU50" s="2250">
        <f ca="1">+DS50*(1+DT50/100)</f>
        <v>7.2979828955880004</v>
      </c>
      <c r="DV50" s="1399">
        <f ca="1">(DU50/DP50-1)*100</f>
        <v>5.6446159999999912</v>
      </c>
      <c r="DW50" s="3336">
        <f>DW49</f>
        <v>1.54</v>
      </c>
      <c r="DX50" s="2250">
        <f ca="1">+DU50*(1+DW50/100)</f>
        <v>7.410371832180056</v>
      </c>
      <c r="DY50" s="2240">
        <f>DY49</f>
        <v>3.54</v>
      </c>
      <c r="DZ50" s="2250">
        <f ca="1">+DX50*(1+DY50/100)</f>
        <v>7.672698995039231</v>
      </c>
      <c r="EA50" s="1399">
        <f ca="1">(DZ50/DU50-1)*100</f>
        <v>5.1345160000000112</v>
      </c>
      <c r="EB50"/>
      <c r="EC50"/>
      <c r="ED50"/>
      <c r="EE50"/>
      <c r="EF50"/>
      <c r="EG50"/>
      <c r="EH50"/>
      <c r="EI50"/>
      <c r="EJ50"/>
      <c r="EK50"/>
      <c r="EL50"/>
      <c r="EM50"/>
      <c r="EN50"/>
      <c r="EO50"/>
    </row>
    <row r="51" spans="1:145" s="2842" customFormat="1">
      <c r="A51" s="2841"/>
      <c r="C51" s="2843"/>
      <c r="D51" s="1782"/>
      <c r="E51" s="1782" t="s">
        <v>758</v>
      </c>
      <c r="F51" s="2844"/>
      <c r="G51" s="2845"/>
      <c r="H51" s="2845"/>
      <c r="I51" s="2845"/>
      <c r="J51" s="1232"/>
      <c r="K51" s="2845"/>
      <c r="L51" s="2847">
        <f ca="1">OFFSET('Q1'!$N47,0,(COLUMN()-12)*4/5)</f>
        <v>-0.25710120599019604</v>
      </c>
      <c r="M51" s="2846"/>
      <c r="N51" s="1232"/>
      <c r="O51" s="1232"/>
      <c r="P51" s="1232"/>
      <c r="Q51" s="2847">
        <f ca="1">OFFSET('Q1'!$N47,0,(COLUMN()-12)*4/5)</f>
        <v>3.1365705883394952</v>
      </c>
      <c r="R51" s="1232"/>
      <c r="S51" s="1232"/>
      <c r="T51" s="1232"/>
      <c r="U51" s="1232"/>
      <c r="V51" s="2847">
        <f ca="1">OFFSET('Q1'!$N47,0,(COLUMN()-12)*4/5)</f>
        <v>4.8447631725855729</v>
      </c>
      <c r="W51" s="1232"/>
      <c r="X51" s="1232"/>
      <c r="Y51" s="1232"/>
      <c r="Z51" s="1232"/>
      <c r="AA51" s="2847">
        <f ca="1">OFFSET('Q1'!$N47,0,(COLUMN()-12)*4/5)</f>
        <v>-4.2645565057832897</v>
      </c>
      <c r="AB51" s="1232"/>
      <c r="AC51" s="1232"/>
      <c r="AD51" s="1232"/>
      <c r="AE51" s="1232"/>
      <c r="AF51" s="2847">
        <f ca="1">OFFSET('Q1'!$N47,0,(COLUMN()-12)*4/5)</f>
        <v>0.48515444510994143</v>
      </c>
      <c r="AG51" s="1232"/>
      <c r="AH51" s="1232"/>
      <c r="AI51" s="1232"/>
      <c r="AJ51" s="1232"/>
      <c r="AK51" s="2847">
        <f ca="1">OFFSET('Q1'!$N47,0,(COLUMN()-12)*4/5)</f>
        <v>0.92815722472474249</v>
      </c>
      <c r="AL51" s="1232"/>
      <c r="AM51" s="1232"/>
      <c r="AN51" s="1232"/>
      <c r="AO51" s="1232"/>
      <c r="AP51" s="2847">
        <f ca="1">OFFSET('Q1'!$N47,0,(COLUMN()-12)*4/5)</f>
        <v>2.4627300108835897</v>
      </c>
      <c r="AQ51" s="1232"/>
      <c r="AR51" s="1232"/>
      <c r="AS51" s="1232"/>
      <c r="AT51" s="1232"/>
      <c r="AU51" s="2847">
        <f ca="1">OFFSET('Q1'!$N47,0,(COLUMN()-12)*4/5)</f>
        <v>3.0886155163611875</v>
      </c>
      <c r="AV51" s="1232"/>
      <c r="AW51" s="1232"/>
      <c r="AX51" s="1232"/>
      <c r="AY51" s="1232"/>
      <c r="AZ51" s="2847">
        <f ca="1">OFFSET('Q1'!$N47,0,(COLUMN()-12)*4/5)</f>
        <v>4.6462774667124478</v>
      </c>
      <c r="BA51" s="1232"/>
      <c r="BB51" s="1232"/>
      <c r="BC51" s="1232"/>
      <c r="BD51" s="1232"/>
      <c r="BE51" s="2847">
        <f ca="1">OFFSET('Q1'!$N47,0,(COLUMN()-12)*4/5)</f>
        <v>47.163167295098248</v>
      </c>
      <c r="BF51" s="1232"/>
      <c r="BG51" s="1232"/>
      <c r="BH51" s="1232"/>
      <c r="BI51" s="1232"/>
      <c r="BJ51" s="2847">
        <f ca="1">OFFSET('Q1'!$N47,0,(COLUMN()-12)*4/5)</f>
        <v>2.1042263610315359</v>
      </c>
      <c r="BK51" s="1232"/>
      <c r="BL51" s="1232"/>
      <c r="BM51" s="1232"/>
      <c r="BN51" s="1232"/>
      <c r="BO51" s="2847">
        <f ca="1">OFFSET('Q1'!$N47,0,(COLUMN()-12)*4/5)</f>
        <v>1.8503902481803038</v>
      </c>
      <c r="BP51" s="1232"/>
      <c r="BQ51" s="1232"/>
      <c r="BR51" s="1232"/>
      <c r="BS51" s="1232"/>
      <c r="BT51" s="2847">
        <f ca="1">OFFSET('Q1'!$N47,0,(COLUMN()-12)*4/5)</f>
        <v>0.30136042707079014</v>
      </c>
      <c r="BU51" s="1232"/>
      <c r="BV51" s="1232"/>
      <c r="BW51" s="1232"/>
      <c r="BX51" s="1232"/>
      <c r="BY51" s="2847">
        <f ca="1">OFFSET('Q1'!$N47,0,(COLUMN()-12)*4/5)</f>
        <v>-1.3786591123701868</v>
      </c>
      <c r="BZ51" s="1232"/>
      <c r="CA51" s="1232"/>
      <c r="CB51" s="3133"/>
      <c r="CC51" s="3134"/>
      <c r="CD51" s="2847">
        <f ca="1">OFFSET('Q1'!$N47,0,(COLUMN()-12)*4/5)</f>
        <v>-3.1161867622993356</v>
      </c>
      <c r="CE51" s="1232"/>
      <c r="CF51" s="1232"/>
      <c r="CG51" s="3133"/>
      <c r="CH51" s="3134"/>
      <c r="CI51" s="2847">
        <f ca="1">OFFSET('Q1'!$N47,0,(COLUMN()-12)*4/5)</f>
        <v>-0.40789189966218942</v>
      </c>
      <c r="CJ51" s="1232"/>
      <c r="CK51" s="1232"/>
      <c r="CL51" s="1232"/>
      <c r="CM51" s="1232"/>
      <c r="CN51" s="2847">
        <f ca="1">OFFSET('Q1'!$N47,0,(COLUMN()-12)*4/5)</f>
        <v>1.3243121335137573</v>
      </c>
      <c r="CO51" s="1232"/>
      <c r="CP51" s="1232"/>
      <c r="CQ51" s="1232"/>
      <c r="CR51" s="1232"/>
      <c r="CS51" s="2847">
        <f ca="1">OFFSET('Q1'!$N47,0,(COLUMN()-12)*4/5)</f>
        <v>0.68377285920333009</v>
      </c>
      <c r="CT51" s="1232"/>
      <c r="CU51" s="1232"/>
      <c r="CV51" s="1232"/>
      <c r="CW51" s="1232"/>
      <c r="CX51" s="2847">
        <f ca="1">OFFSET('Q1'!$N47,0,(COLUMN()-12)*4/5)</f>
        <v>0.31834179297169385</v>
      </c>
      <c r="CY51" s="1232"/>
      <c r="CZ51" s="1232"/>
      <c r="DA51" s="1232"/>
      <c r="DB51" s="1232"/>
      <c r="DC51" s="2847">
        <f ca="1">OFFSET('Q1'!$N47,0,(COLUMN()-12)*4/5)</f>
        <v>0.13045854415317137</v>
      </c>
      <c r="DD51" s="1232"/>
      <c r="DE51" s="1232"/>
      <c r="DF51" s="1232"/>
      <c r="DG51" s="1232"/>
      <c r="DH51" s="2847">
        <f ca="1">OFFSET('Q1'!$N47,0,(COLUMN()-12)*4/5)</f>
        <v>1.316970966776438</v>
      </c>
      <c r="DI51" s="1232"/>
      <c r="DJ51" s="1232"/>
      <c r="DK51" s="1232"/>
      <c r="DL51" s="1232"/>
      <c r="DM51" s="3737">
        <f ca="1">OFFSET('Q1'!$N47,0,(COLUMN()-12)*4/5)</f>
        <v>1.1677817360326657</v>
      </c>
      <c r="DN51" s="1232"/>
      <c r="DO51" s="1232"/>
      <c r="DP51" s="1232"/>
      <c r="DQ51" s="1232"/>
      <c r="DR51" s="3737">
        <f ca="1">OFFSET('Q1'!$N47,0,(COLUMN()-12)*4/5)</f>
        <v>1.6293445767539652</v>
      </c>
      <c r="DS51" s="1232"/>
      <c r="DT51" s="1232"/>
      <c r="DU51" s="1232"/>
      <c r="DV51" s="1232"/>
      <c r="DW51" s="3737">
        <f ca="1">OFFSET('Q1'!$N47,0,(COLUMN()-12)*4/5)</f>
        <v>1.5387433473974284</v>
      </c>
      <c r="DX51" s="1232"/>
      <c r="DY51" s="1232"/>
      <c r="DZ51" s="1232"/>
      <c r="EA51" s="1232"/>
      <c r="EB51"/>
      <c r="EC51"/>
      <c r="ED51"/>
      <c r="EE51"/>
      <c r="EF51"/>
      <c r="EG51"/>
      <c r="EH51"/>
      <c r="EI51"/>
      <c r="EJ51"/>
      <c r="EK51"/>
      <c r="EL51"/>
      <c r="EM51"/>
      <c r="EN51"/>
      <c r="EO51"/>
    </row>
    <row r="52" spans="1:145">
      <c r="D52" s="1782"/>
      <c r="E52" s="2897" t="s">
        <v>725</v>
      </c>
      <c r="F52" s="1782"/>
      <c r="G52" s="1782"/>
      <c r="H52" s="1782"/>
      <c r="I52" s="1782"/>
      <c r="J52" s="1782"/>
      <c r="K52" s="1782"/>
      <c r="L52" s="1782"/>
      <c r="M52" s="1782"/>
      <c r="N52" s="1782"/>
      <c r="O52" s="1782"/>
      <c r="P52" s="1782"/>
      <c r="Q52" s="1782"/>
      <c r="R52" s="1782"/>
      <c r="S52" s="1782"/>
      <c r="T52" s="1782"/>
      <c r="U52" s="1782"/>
      <c r="V52" s="1782"/>
      <c r="W52" s="1782"/>
      <c r="X52" s="1782"/>
      <c r="Y52" s="1782"/>
      <c r="Z52" s="1782"/>
      <c r="AA52" s="1782"/>
      <c r="AB52" s="1782"/>
      <c r="AC52" s="1782"/>
      <c r="AD52" s="1782"/>
      <c r="AE52" s="1782"/>
      <c r="AF52" s="1782"/>
      <c r="AG52" s="1782"/>
      <c r="AH52" s="1782"/>
      <c r="AI52" s="1782"/>
      <c r="AJ52" s="1782"/>
      <c r="AK52" s="1782"/>
      <c r="AL52" s="1782"/>
      <c r="AM52" s="1782"/>
      <c r="AN52" s="1782"/>
      <c r="AO52" s="1782"/>
      <c r="AP52" s="1782"/>
      <c r="AQ52" s="1782"/>
      <c r="AR52" s="1782"/>
      <c r="AS52" s="1782"/>
      <c r="AT52" s="1782"/>
      <c r="AU52" s="1782"/>
      <c r="AV52" s="1782"/>
      <c r="AW52" s="1782"/>
      <c r="AX52" s="1782"/>
      <c r="AY52" s="1782"/>
      <c r="AZ52" s="1782"/>
      <c r="BA52" s="1782"/>
      <c r="BB52" s="1782"/>
      <c r="BC52" s="1782"/>
      <c r="BD52" s="1782"/>
      <c r="BE52" s="1782"/>
      <c r="BF52" s="1782"/>
      <c r="BG52" s="1782"/>
      <c r="BH52" s="1782"/>
      <c r="BI52" s="1782"/>
      <c r="BJ52" s="1782"/>
      <c r="BK52" s="1782"/>
      <c r="BL52" s="1782"/>
      <c r="BM52" s="1782"/>
      <c r="BN52" s="1782"/>
      <c r="BO52" s="1782"/>
      <c r="BP52" s="1782"/>
      <c r="BQ52" s="1782"/>
      <c r="BR52" s="1782"/>
      <c r="BS52" s="1782"/>
      <c r="BT52" s="1782"/>
      <c r="BU52" s="1782"/>
      <c r="BV52" s="1782"/>
      <c r="BW52" s="1782"/>
      <c r="BX52" s="1782"/>
      <c r="BY52" s="1782"/>
      <c r="BZ52" s="1782"/>
      <c r="CA52" s="1782"/>
      <c r="CB52" s="1782"/>
      <c r="CC52" s="1782"/>
      <c r="CD52" s="1782"/>
      <c r="CE52" s="1782"/>
      <c r="CF52" s="1782"/>
      <c r="CG52" s="1782"/>
      <c r="CH52" s="1782"/>
      <c r="CI52" s="1782"/>
      <c r="CJ52" s="1782"/>
      <c r="CK52" s="1782"/>
      <c r="CL52" s="1782"/>
      <c r="CM52" s="1782"/>
      <c r="CN52" s="1782"/>
      <c r="CO52" s="1782"/>
      <c r="CP52" s="1782"/>
      <c r="CQ52" s="1782"/>
      <c r="CR52" s="1782"/>
      <c r="CS52" s="1782"/>
      <c r="CT52" s="1782"/>
      <c r="CU52" s="1782"/>
      <c r="CV52" s="1782"/>
      <c r="CW52" s="1782"/>
      <c r="CX52" s="1782"/>
      <c r="CY52" s="1782"/>
      <c r="CZ52" s="1782"/>
      <c r="DA52" s="1782"/>
      <c r="DB52" s="1782"/>
      <c r="DC52" s="1782"/>
      <c r="DD52" s="1782"/>
      <c r="DE52" s="1782"/>
      <c r="DF52" s="1782"/>
      <c r="DG52" s="1782"/>
      <c r="DH52" s="1782"/>
      <c r="DI52" s="1782"/>
      <c r="DJ52" s="1782"/>
      <c r="DK52" s="1782"/>
      <c r="DL52" s="1782"/>
      <c r="DM52" s="1782"/>
      <c r="DN52" s="1782"/>
      <c r="DO52" s="1782"/>
      <c r="DP52" s="1782"/>
      <c r="DQ52" s="1782"/>
      <c r="DR52" s="1782"/>
      <c r="DS52" s="1782"/>
      <c r="DT52" s="1782"/>
      <c r="DU52" s="1782"/>
      <c r="DV52" s="1782"/>
      <c r="DW52" s="1782"/>
      <c r="DX52" s="1782"/>
      <c r="DY52" s="1782"/>
      <c r="DZ52" s="1782"/>
      <c r="EA52" s="1782"/>
    </row>
    <row r="54" spans="1:145">
      <c r="C54" s="774"/>
      <c r="D54" s="3751"/>
      <c r="E54" s="3751" t="s">
        <v>1586</v>
      </c>
      <c r="F54" s="3751"/>
      <c r="G54" s="3753">
        <f>+InputY!$G$3</f>
        <v>1995</v>
      </c>
      <c r="H54" s="3754"/>
      <c r="I54" s="3754"/>
      <c r="J54" s="3754"/>
      <c r="K54" s="3755"/>
      <c r="L54" s="3753">
        <f>+G54+1</f>
        <v>1996</v>
      </c>
      <c r="M54" s="3754"/>
      <c r="N54" s="3754"/>
      <c r="O54" s="3754"/>
      <c r="P54" s="3755"/>
      <c r="Q54" s="3753">
        <f>+L54+1</f>
        <v>1997</v>
      </c>
      <c r="R54" s="3754"/>
      <c r="S54" s="3754"/>
      <c r="T54" s="3754"/>
      <c r="U54" s="3755"/>
      <c r="V54" s="3753">
        <f>+Q54+1</f>
        <v>1998</v>
      </c>
      <c r="W54" s="3754"/>
      <c r="X54" s="3754"/>
      <c r="Y54" s="3754"/>
      <c r="Z54" s="3755"/>
      <c r="AA54" s="3753">
        <f>+V54+1</f>
        <v>1999</v>
      </c>
      <c r="AB54" s="3754"/>
      <c r="AC54" s="3754"/>
      <c r="AD54" s="3754"/>
      <c r="AE54" s="3755"/>
      <c r="AF54" s="3753">
        <f>+AA54+1</f>
        <v>2000</v>
      </c>
      <c r="AG54" s="3754"/>
      <c r="AH54" s="3754"/>
      <c r="AI54" s="3754"/>
      <c r="AJ54" s="3755"/>
      <c r="AK54" s="3753">
        <f>+AF54+1</f>
        <v>2001</v>
      </c>
      <c r="AL54" s="3754"/>
      <c r="AM54" s="3754"/>
      <c r="AN54" s="3754"/>
      <c r="AO54" s="3755"/>
      <c r="AP54" s="3753">
        <f>+AK54+1</f>
        <v>2002</v>
      </c>
      <c r="AQ54" s="3754"/>
      <c r="AR54" s="3754"/>
      <c r="AS54" s="3754"/>
      <c r="AT54" s="3755"/>
      <c r="AU54" s="3753">
        <f>+AP54+1</f>
        <v>2003</v>
      </c>
      <c r="AV54" s="3754"/>
      <c r="AW54" s="3754"/>
      <c r="AX54" s="3754"/>
      <c r="AY54" s="3755"/>
      <c r="AZ54" s="3753">
        <f>+AU54+1</f>
        <v>2004</v>
      </c>
      <c r="BA54" s="3754"/>
      <c r="BB54" s="3754"/>
      <c r="BC54" s="3754"/>
      <c r="BD54" s="3755"/>
      <c r="BE54" s="3753">
        <f>+AZ54+1</f>
        <v>2005</v>
      </c>
      <c r="BF54" s="3754"/>
      <c r="BG54" s="3754"/>
      <c r="BH54" s="3754"/>
      <c r="BI54" s="3755"/>
      <c r="BJ54" s="3753">
        <f>+BE54+1</f>
        <v>2006</v>
      </c>
      <c r="BK54" s="3754"/>
      <c r="BL54" s="3754"/>
      <c r="BM54" s="3754"/>
      <c r="BN54" s="3755"/>
      <c r="BO54" s="3753">
        <f>+BJ54+1</f>
        <v>2007</v>
      </c>
      <c r="BP54" s="3754"/>
      <c r="BQ54" s="3754"/>
      <c r="BR54" s="3754"/>
      <c r="BS54" s="3755"/>
      <c r="BT54" s="3753">
        <f>+BO54+1</f>
        <v>2008</v>
      </c>
      <c r="BU54" s="3754"/>
      <c r="BV54" s="3754"/>
      <c r="BW54" s="3754"/>
      <c r="BX54" s="3755"/>
      <c r="BY54" s="3753">
        <f>+BT54+1</f>
        <v>2009</v>
      </c>
      <c r="BZ54" s="3754"/>
      <c r="CA54" s="3754"/>
      <c r="CB54" s="3754"/>
      <c r="CC54" s="3755"/>
      <c r="CD54" s="3753">
        <f>+BY54+1</f>
        <v>2010</v>
      </c>
      <c r="CE54" s="3754"/>
      <c r="CF54" s="3754"/>
      <c r="CG54" s="3754"/>
      <c r="CH54" s="3755"/>
      <c r="CI54" s="3753">
        <f>+CD54+1</f>
        <v>2011</v>
      </c>
      <c r="CJ54" s="3754"/>
      <c r="CK54" s="3754"/>
      <c r="CL54" s="3754"/>
      <c r="CM54" s="3755"/>
      <c r="CN54" s="3753">
        <f>+CI54+1</f>
        <v>2012</v>
      </c>
      <c r="CO54" s="3754"/>
      <c r="CP54" s="3754"/>
      <c r="CQ54" s="3754"/>
      <c r="CR54" s="3755"/>
      <c r="CS54" s="3753">
        <f>+CN54+1</f>
        <v>2013</v>
      </c>
      <c r="CT54" s="3754"/>
      <c r="CU54" s="3754"/>
      <c r="CV54" s="3754"/>
      <c r="CW54" s="3755"/>
      <c r="CX54" s="3753">
        <f>+CS54+1</f>
        <v>2014</v>
      </c>
      <c r="CY54" s="3754"/>
      <c r="CZ54" s="3754"/>
      <c r="DA54" s="3754"/>
      <c r="DB54" s="3755"/>
      <c r="DC54" s="3753">
        <f>+CX54+1</f>
        <v>2015</v>
      </c>
      <c r="DD54" s="3754"/>
      <c r="DE54" s="3754"/>
      <c r="DF54" s="3754"/>
      <c r="DG54" s="3755"/>
      <c r="DH54" s="3753">
        <f>+DC54+1</f>
        <v>2016</v>
      </c>
      <c r="DI54" s="3754"/>
      <c r="DJ54" s="3754"/>
      <c r="DK54" s="3754"/>
      <c r="DL54" s="3755"/>
      <c r="DM54" s="3753">
        <f>+DH54+1</f>
        <v>2017</v>
      </c>
      <c r="DN54" s="3754"/>
      <c r="DO54" s="3754"/>
      <c r="DP54" s="3754"/>
      <c r="DQ54" s="3755"/>
      <c r="DR54" s="3753">
        <f>+DM54+1</f>
        <v>2018</v>
      </c>
      <c r="DS54" s="3754"/>
      <c r="DT54" s="3754"/>
      <c r="DU54" s="3754"/>
      <c r="DV54" s="3755"/>
      <c r="DW54" s="3753">
        <f>+DR54+1</f>
        <v>2019</v>
      </c>
      <c r="DX54" s="3754"/>
      <c r="DY54" s="3754"/>
      <c r="DZ54" s="3754"/>
      <c r="EA54" s="3755"/>
    </row>
    <row r="55" spans="1:145">
      <c r="C55" s="774"/>
      <c r="D55" s="3751"/>
      <c r="E55" s="3751"/>
      <c r="F55" s="3751"/>
      <c r="G55" s="1256" t="s">
        <v>1486</v>
      </c>
      <c r="H55" s="1253" t="s">
        <v>1732</v>
      </c>
      <c r="I55" s="1252" t="s">
        <v>2022</v>
      </c>
      <c r="J55" s="1253" t="s">
        <v>584</v>
      </c>
      <c r="K55" s="1252" t="s">
        <v>2023</v>
      </c>
      <c r="L55" s="1252" t="s">
        <v>1486</v>
      </c>
      <c r="M55" s="1253" t="s">
        <v>1732</v>
      </c>
      <c r="N55" s="1252" t="s">
        <v>2022</v>
      </c>
      <c r="O55" s="1253" t="s">
        <v>584</v>
      </c>
      <c r="P55" s="1252" t="s">
        <v>2023</v>
      </c>
      <c r="Q55" s="1252" t="s">
        <v>1486</v>
      </c>
      <c r="R55" s="1253" t="s">
        <v>1732</v>
      </c>
      <c r="S55" s="1252" t="s">
        <v>2022</v>
      </c>
      <c r="T55" s="1253" t="s">
        <v>584</v>
      </c>
      <c r="U55" s="1252" t="s">
        <v>2023</v>
      </c>
      <c r="V55" s="1252" t="s">
        <v>1486</v>
      </c>
      <c r="W55" s="1253" t="s">
        <v>1732</v>
      </c>
      <c r="X55" s="1252" t="s">
        <v>2022</v>
      </c>
      <c r="Y55" s="1253" t="s">
        <v>584</v>
      </c>
      <c r="Z55" s="1252" t="s">
        <v>2023</v>
      </c>
      <c r="AA55" s="1252" t="s">
        <v>1486</v>
      </c>
      <c r="AB55" s="1253" t="s">
        <v>1732</v>
      </c>
      <c r="AC55" s="1252" t="s">
        <v>2022</v>
      </c>
      <c r="AD55" s="1253" t="s">
        <v>584</v>
      </c>
      <c r="AE55" s="1252" t="s">
        <v>2023</v>
      </c>
      <c r="AF55" s="1252" t="s">
        <v>1486</v>
      </c>
      <c r="AG55" s="1253" t="s">
        <v>1732</v>
      </c>
      <c r="AH55" s="1252" t="s">
        <v>2022</v>
      </c>
      <c r="AI55" s="1253" t="s">
        <v>584</v>
      </c>
      <c r="AJ55" s="1252" t="s">
        <v>2023</v>
      </c>
      <c r="AK55" s="1252" t="s">
        <v>1486</v>
      </c>
      <c r="AL55" s="1253" t="s">
        <v>1732</v>
      </c>
      <c r="AM55" s="1252" t="s">
        <v>2022</v>
      </c>
      <c r="AN55" s="1253" t="s">
        <v>584</v>
      </c>
      <c r="AO55" s="1252" t="s">
        <v>2023</v>
      </c>
      <c r="AP55" s="1252" t="s">
        <v>1486</v>
      </c>
      <c r="AQ55" s="1253" t="s">
        <v>1732</v>
      </c>
      <c r="AR55" s="1252" t="s">
        <v>2022</v>
      </c>
      <c r="AS55" s="1253" t="s">
        <v>584</v>
      </c>
      <c r="AT55" s="1252" t="s">
        <v>2023</v>
      </c>
      <c r="AU55" s="1252" t="s">
        <v>1486</v>
      </c>
      <c r="AV55" s="1253" t="s">
        <v>1732</v>
      </c>
      <c r="AW55" s="1252" t="s">
        <v>2022</v>
      </c>
      <c r="AX55" s="1253" t="s">
        <v>584</v>
      </c>
      <c r="AY55" s="1252" t="s">
        <v>2023</v>
      </c>
      <c r="AZ55" s="1252" t="s">
        <v>1486</v>
      </c>
      <c r="BA55" s="1253" t="s">
        <v>1732</v>
      </c>
      <c r="BB55" s="1252" t="s">
        <v>2022</v>
      </c>
      <c r="BC55" s="1253" t="s">
        <v>584</v>
      </c>
      <c r="BD55" s="1252" t="s">
        <v>2023</v>
      </c>
      <c r="BE55" s="1252" t="s">
        <v>1486</v>
      </c>
      <c r="BF55" s="1253" t="s">
        <v>1732</v>
      </c>
      <c r="BG55" s="1252" t="s">
        <v>2022</v>
      </c>
      <c r="BH55" s="1253" t="s">
        <v>584</v>
      </c>
      <c r="BI55" s="1252" t="s">
        <v>2023</v>
      </c>
      <c r="BJ55" s="1252" t="s">
        <v>1486</v>
      </c>
      <c r="BK55" s="1253" t="s">
        <v>1732</v>
      </c>
      <c r="BL55" s="1252" t="s">
        <v>2022</v>
      </c>
      <c r="BM55" s="1253" t="s">
        <v>584</v>
      </c>
      <c r="BN55" s="1252" t="s">
        <v>2023</v>
      </c>
      <c r="BO55" s="1252" t="s">
        <v>1486</v>
      </c>
      <c r="BP55" s="1253" t="s">
        <v>1732</v>
      </c>
      <c r="BQ55" s="1252" t="s">
        <v>2022</v>
      </c>
      <c r="BR55" s="1253" t="s">
        <v>584</v>
      </c>
      <c r="BS55" s="1252" t="s">
        <v>2023</v>
      </c>
      <c r="BT55" s="1252" t="s">
        <v>1486</v>
      </c>
      <c r="BU55" s="1253" t="s">
        <v>1732</v>
      </c>
      <c r="BV55" s="1252" t="s">
        <v>2022</v>
      </c>
      <c r="BW55" s="1253" t="s">
        <v>584</v>
      </c>
      <c r="BX55" s="1252" t="s">
        <v>2023</v>
      </c>
      <c r="BY55" s="1252" t="s">
        <v>1486</v>
      </c>
      <c r="BZ55" s="1253" t="s">
        <v>1732</v>
      </c>
      <c r="CA55" s="1252" t="s">
        <v>2022</v>
      </c>
      <c r="CB55" s="1253" t="s">
        <v>584</v>
      </c>
      <c r="CC55" s="1252" t="s">
        <v>2023</v>
      </c>
      <c r="CD55" s="1252" t="s">
        <v>1486</v>
      </c>
      <c r="CE55" s="1253" t="s">
        <v>1732</v>
      </c>
      <c r="CF55" s="1252" t="s">
        <v>2022</v>
      </c>
      <c r="CG55" s="1253" t="s">
        <v>584</v>
      </c>
      <c r="CH55" s="1252" t="s">
        <v>2023</v>
      </c>
      <c r="CI55" s="1252" t="s">
        <v>1486</v>
      </c>
      <c r="CJ55" s="1253" t="s">
        <v>1732</v>
      </c>
      <c r="CK55" s="1252" t="s">
        <v>2022</v>
      </c>
      <c r="CL55" s="1253" t="s">
        <v>584</v>
      </c>
      <c r="CM55" s="1252" t="s">
        <v>2023</v>
      </c>
      <c r="CN55" s="1252" t="s">
        <v>1486</v>
      </c>
      <c r="CO55" s="1253" t="s">
        <v>1732</v>
      </c>
      <c r="CP55" s="1252" t="s">
        <v>2022</v>
      </c>
      <c r="CQ55" s="1253" t="s">
        <v>584</v>
      </c>
      <c r="CR55" s="1252" t="s">
        <v>2023</v>
      </c>
      <c r="CS55" s="1252" t="s">
        <v>1486</v>
      </c>
      <c r="CT55" s="1253" t="s">
        <v>1732</v>
      </c>
      <c r="CU55" s="1252" t="s">
        <v>2022</v>
      </c>
      <c r="CV55" s="1253" t="s">
        <v>584</v>
      </c>
      <c r="CW55" s="1252" t="s">
        <v>2023</v>
      </c>
      <c r="CX55" s="1252" t="s">
        <v>1486</v>
      </c>
      <c r="CY55" s="1253" t="s">
        <v>1732</v>
      </c>
      <c r="CZ55" s="1252" t="s">
        <v>2022</v>
      </c>
      <c r="DA55" s="1253" t="s">
        <v>584</v>
      </c>
      <c r="DB55" s="1252" t="s">
        <v>2023</v>
      </c>
      <c r="DC55" s="1252" t="s">
        <v>1486</v>
      </c>
      <c r="DD55" s="1253" t="s">
        <v>1732</v>
      </c>
      <c r="DE55" s="1252" t="s">
        <v>2022</v>
      </c>
      <c r="DF55" s="1253" t="s">
        <v>584</v>
      </c>
      <c r="DG55" s="1252" t="s">
        <v>2023</v>
      </c>
      <c r="DH55" s="1252" t="s">
        <v>1486</v>
      </c>
      <c r="DI55" s="1253" t="s">
        <v>1732</v>
      </c>
      <c r="DJ55" s="1252" t="s">
        <v>2022</v>
      </c>
      <c r="DK55" s="1253" t="s">
        <v>584</v>
      </c>
      <c r="DL55" s="1252" t="s">
        <v>2023</v>
      </c>
      <c r="DM55" s="1252" t="s">
        <v>1486</v>
      </c>
      <c r="DN55" s="1253" t="s">
        <v>1732</v>
      </c>
      <c r="DO55" s="1252" t="s">
        <v>2022</v>
      </c>
      <c r="DP55" s="1253" t="s">
        <v>584</v>
      </c>
      <c r="DQ55" s="1252" t="s">
        <v>2023</v>
      </c>
      <c r="DR55" s="1252" t="s">
        <v>1486</v>
      </c>
      <c r="DS55" s="1253" t="s">
        <v>1732</v>
      </c>
      <c r="DT55" s="1252" t="s">
        <v>2022</v>
      </c>
      <c r="DU55" s="1253" t="s">
        <v>584</v>
      </c>
      <c r="DV55" s="1252" t="s">
        <v>2023</v>
      </c>
      <c r="DW55" s="1252" t="s">
        <v>1486</v>
      </c>
      <c r="DX55" s="1253" t="s">
        <v>1732</v>
      </c>
      <c r="DY55" s="1252" t="s">
        <v>2022</v>
      </c>
      <c r="DZ55" s="1253" t="s">
        <v>584</v>
      </c>
      <c r="EA55" s="1252" t="s">
        <v>2023</v>
      </c>
    </row>
    <row r="56" spans="1:145">
      <c r="C56" s="1079" t="s">
        <v>1767</v>
      </c>
      <c r="D56" s="1091" t="s">
        <v>687</v>
      </c>
      <c r="E56" s="1038" t="s">
        <v>1485</v>
      </c>
      <c r="F56" s="1069" t="s">
        <v>2051</v>
      </c>
      <c r="G56" s="1261"/>
      <c r="H56" s="1273"/>
      <c r="I56" s="1197"/>
      <c r="J56" s="1273"/>
      <c r="K56" s="1275"/>
      <c r="L56" s="1277"/>
      <c r="M56" s="1273"/>
      <c r="N56" s="1288"/>
      <c r="O56" s="1273"/>
      <c r="P56" s="1275"/>
      <c r="Q56" s="1277"/>
      <c r="R56" s="1273"/>
      <c r="S56" s="1288"/>
      <c r="T56" s="1273"/>
      <c r="U56" s="1275"/>
      <c r="V56" s="1277"/>
      <c r="W56" s="1273"/>
      <c r="X56" s="1288"/>
      <c r="Y56" s="1273"/>
      <c r="Z56" s="1275"/>
      <c r="AA56" s="1277"/>
      <c r="AB56" s="1273"/>
      <c r="AC56" s="1288"/>
      <c r="AD56" s="1273"/>
      <c r="AE56" s="1275"/>
      <c r="AF56" s="1277"/>
      <c r="AG56" s="1273"/>
      <c r="AH56" s="1288"/>
      <c r="AI56" s="1273"/>
      <c r="AJ56" s="1275"/>
      <c r="AK56" s="1277"/>
      <c r="AL56" s="1273"/>
      <c r="AM56" s="1288"/>
      <c r="AN56" s="1273"/>
      <c r="AO56" s="1275"/>
      <c r="AP56" s="1277"/>
      <c r="AQ56" s="1273"/>
      <c r="AR56" s="1288"/>
      <c r="AS56" s="1273"/>
      <c r="AT56" s="1275"/>
      <c r="AU56" s="1277"/>
      <c r="AV56" s="1273"/>
      <c r="AW56" s="1288"/>
      <c r="AX56" s="1273"/>
      <c r="AY56" s="1275"/>
      <c r="AZ56" s="1277"/>
      <c r="BA56" s="1273"/>
      <c r="BB56" s="1288"/>
      <c r="BC56" s="1273"/>
      <c r="BD56" s="1275"/>
      <c r="BE56" s="1277"/>
      <c r="BF56" s="1273"/>
      <c r="BG56" s="1288"/>
      <c r="BH56" s="1273"/>
      <c r="BI56" s="1275"/>
      <c r="BJ56" s="1277"/>
      <c r="BK56" s="1273"/>
      <c r="BL56" s="1288"/>
      <c r="BM56" s="1273"/>
      <c r="BN56" s="1275"/>
      <c r="BO56" s="1277"/>
      <c r="BP56" s="1273"/>
      <c r="BQ56" s="1288"/>
      <c r="BR56" s="1273"/>
      <c r="BS56" s="1275"/>
      <c r="BT56" s="1277"/>
      <c r="BU56" s="1273"/>
      <c r="BV56" s="1288"/>
      <c r="BW56" s="1273"/>
      <c r="BX56" s="1275"/>
      <c r="BY56" s="1277"/>
      <c r="BZ56" s="1414"/>
      <c r="CA56" s="1288"/>
      <c r="CB56" s="1414"/>
      <c r="CC56" s="1275"/>
      <c r="CD56" s="1277"/>
      <c r="CE56" s="1414"/>
      <c r="CF56" s="1288"/>
      <c r="CG56" s="1414"/>
      <c r="CH56" s="1275"/>
      <c r="CI56" s="1277"/>
      <c r="CJ56" s="1414"/>
      <c r="CK56" s="1288"/>
      <c r="CL56" s="1414"/>
      <c r="CM56" s="1275"/>
      <c r="CN56" s="1277"/>
      <c r="CO56" s="1414"/>
      <c r="CP56" s="1288"/>
      <c r="CQ56" s="1414"/>
      <c r="CR56" s="1275"/>
      <c r="CS56" s="1277"/>
      <c r="CT56" s="1414"/>
      <c r="CU56" s="1288"/>
      <c r="CV56" s="1414"/>
      <c r="CW56" s="1275"/>
      <c r="CX56" s="1277"/>
      <c r="CY56" s="1414"/>
      <c r="CZ56" s="1288"/>
      <c r="DA56" s="1414"/>
      <c r="DB56" s="1275"/>
      <c r="DC56" s="1277"/>
      <c r="DD56" s="1414"/>
      <c r="DE56" s="1288"/>
      <c r="DF56" s="1414"/>
      <c r="DG56" s="1275"/>
      <c r="DH56" s="1277"/>
      <c r="DI56" s="1414"/>
      <c r="DJ56" s="1288"/>
      <c r="DK56" s="1414"/>
      <c r="DL56" s="1275"/>
      <c r="DM56" s="1277"/>
      <c r="DN56" s="1414"/>
      <c r="DO56" s="1288"/>
      <c r="DP56" s="1414"/>
      <c r="DQ56" s="1275"/>
      <c r="DR56" s="1277"/>
      <c r="DS56" s="1414"/>
      <c r="DT56" s="1288"/>
      <c r="DU56" s="1414"/>
      <c r="DV56" s="1275"/>
      <c r="DW56" s="1277"/>
      <c r="DX56" s="1414"/>
      <c r="DY56" s="1288"/>
      <c r="DZ56" s="1414"/>
      <c r="EA56" s="1275"/>
    </row>
    <row r="57" spans="1:145">
      <c r="C57" s="1080" t="s">
        <v>1767</v>
      </c>
      <c r="D57" s="1202" t="s">
        <v>1447</v>
      </c>
      <c r="E57" s="29" t="s">
        <v>1485</v>
      </c>
      <c r="F57" s="1070" t="s">
        <v>2052</v>
      </c>
      <c r="G57" s="1204"/>
      <c r="H57" s="1274"/>
      <c r="I57" s="1198"/>
      <c r="J57" s="1274"/>
      <c r="K57" s="1276"/>
      <c r="L57" s="1278"/>
      <c r="M57" s="1274"/>
      <c r="N57" s="1289"/>
      <c r="O57" s="1274"/>
      <c r="P57" s="1276"/>
      <c r="Q57" s="1278"/>
      <c r="R57" s="1274"/>
      <c r="S57" s="1289"/>
      <c r="T57" s="1274"/>
      <c r="U57" s="1276"/>
      <c r="V57" s="1278"/>
      <c r="W57" s="1274"/>
      <c r="X57" s="1289"/>
      <c r="Y57" s="1274"/>
      <c r="Z57" s="1276"/>
      <c r="AA57" s="1278"/>
      <c r="AB57" s="1274"/>
      <c r="AC57" s="1289"/>
      <c r="AD57" s="1274"/>
      <c r="AE57" s="1276"/>
      <c r="AF57" s="1278"/>
      <c r="AG57" s="1274"/>
      <c r="AH57" s="1289"/>
      <c r="AI57" s="1274"/>
      <c r="AJ57" s="1276"/>
      <c r="AK57" s="1278"/>
      <c r="AL57" s="1274"/>
      <c r="AM57" s="1289"/>
      <c r="AN57" s="1274"/>
      <c r="AO57" s="1276"/>
      <c r="AP57" s="1278"/>
      <c r="AQ57" s="1274"/>
      <c r="AR57" s="1289"/>
      <c r="AS57" s="1274"/>
      <c r="AT57" s="1276"/>
      <c r="AU57" s="1278"/>
      <c r="AV57" s="1274"/>
      <c r="AW57" s="1289"/>
      <c r="AX57" s="1274"/>
      <c r="AY57" s="1276"/>
      <c r="AZ57" s="1278"/>
      <c r="BA57" s="1274"/>
      <c r="BB57" s="1289"/>
      <c r="BC57" s="1274"/>
      <c r="BD57" s="1276"/>
      <c r="BE57" s="1278"/>
      <c r="BF57" s="1274"/>
      <c r="BG57" s="1289"/>
      <c r="BH57" s="1274"/>
      <c r="BI57" s="1276"/>
      <c r="BJ57" s="1278"/>
      <c r="BK57" s="1274"/>
      <c r="BL57" s="1289"/>
      <c r="BM57" s="1274"/>
      <c r="BN57" s="1276"/>
      <c r="BO57" s="1278"/>
      <c r="BP57" s="1274"/>
      <c r="BQ57" s="1289"/>
      <c r="BR57" s="1274"/>
      <c r="BS57" s="1276"/>
      <c r="BT57" s="1278"/>
      <c r="BU57" s="1274"/>
      <c r="BV57" s="1289"/>
      <c r="BW57" s="1274"/>
      <c r="BX57" s="1276"/>
      <c r="BY57" s="1278"/>
      <c r="BZ57" s="1415"/>
      <c r="CA57" s="1289"/>
      <c r="CB57" s="1415"/>
      <c r="CC57" s="1276"/>
      <c r="CD57" s="1278"/>
      <c r="CE57" s="1415"/>
      <c r="CF57" s="1289"/>
      <c r="CG57" s="1415"/>
      <c r="CH57" s="1276"/>
      <c r="CI57" s="1278"/>
      <c r="CJ57" s="1415"/>
      <c r="CK57" s="1289"/>
      <c r="CL57" s="1415"/>
      <c r="CM57" s="1276"/>
      <c r="CN57" s="1278"/>
      <c r="CO57" s="1415"/>
      <c r="CP57" s="1289"/>
      <c r="CQ57" s="1415"/>
      <c r="CR57" s="1276"/>
      <c r="CS57" s="1278"/>
      <c r="CT57" s="1415"/>
      <c r="CU57" s="1289"/>
      <c r="CV57" s="1415"/>
      <c r="CW57" s="1276"/>
      <c r="CX57" s="1278"/>
      <c r="CY57" s="1415"/>
      <c r="CZ57" s="1289"/>
      <c r="DA57" s="1415"/>
      <c r="DB57" s="1276"/>
      <c r="DC57" s="1278"/>
      <c r="DD57" s="1415"/>
      <c r="DE57" s="1289"/>
      <c r="DF57" s="1415"/>
      <c r="DG57" s="1276"/>
      <c r="DH57" s="1278"/>
      <c r="DI57" s="1415"/>
      <c r="DJ57" s="1289"/>
      <c r="DK57" s="1415"/>
      <c r="DL57" s="1276"/>
      <c r="DM57" s="1278"/>
      <c r="DN57" s="1415"/>
      <c r="DO57" s="1289"/>
      <c r="DP57" s="1415"/>
      <c r="DQ57" s="1276"/>
      <c r="DR57" s="1278"/>
      <c r="DS57" s="1415"/>
      <c r="DT57" s="1289"/>
      <c r="DU57" s="1415"/>
      <c r="DV57" s="1276"/>
      <c r="DW57" s="1278"/>
      <c r="DX57" s="1415"/>
      <c r="DY57" s="1289"/>
      <c r="DZ57" s="1415"/>
      <c r="EA57" s="1276"/>
    </row>
    <row r="58" spans="1:145">
      <c r="C58" s="1080" t="s">
        <v>1769</v>
      </c>
      <c r="D58" s="1203"/>
      <c r="E58" s="1203" t="s">
        <v>1485</v>
      </c>
      <c r="F58" s="1227" t="s">
        <v>2053</v>
      </c>
      <c r="G58" s="1365"/>
      <c r="H58" s="1366"/>
      <c r="I58" s="1366"/>
      <c r="J58" s="1212">
        <f ca="1">OFFSET('VVP2'!$G$204,0,(COLUMN()-6)/5)</f>
        <v>0.7525599999999999</v>
      </c>
      <c r="K58" s="1368"/>
      <c r="L58" s="1279">
        <f ca="1">OFFSET('VVP2'!$G$35,0,(COLUMN()-7)/5)</f>
        <v>2.322935357477296</v>
      </c>
      <c r="M58" s="1216">
        <f ca="1">+J58*(1+L58/100)</f>
        <v>0.77004148232623104</v>
      </c>
      <c r="N58" s="1286">
        <f ca="1">+O58/M58*100-100</f>
        <v>13.46141994332892</v>
      </c>
      <c r="O58" s="1212">
        <f ca="1">OFFSET('VVP2'!$G$204,0,(COLUMN()-6)/5)</f>
        <v>0.87370000000000003</v>
      </c>
      <c r="P58" s="1230">
        <f ca="1">(O58/J58-1)*100</f>
        <v>16.097055384288318</v>
      </c>
      <c r="Q58" s="1279">
        <f ca="1">OFFSET('VVP2'!$G$35,0,(COLUMN()-7)/5)</f>
        <v>25.568572516800891</v>
      </c>
      <c r="R58" s="1216">
        <f ca="1">+O58*(1+Q58/100)</f>
        <v>1.0970926180792895</v>
      </c>
      <c r="S58" s="1286">
        <f ca="1">+T58/R58*100-100</f>
        <v>7.7867064742692946</v>
      </c>
      <c r="T58" s="1212">
        <f ca="1">OFFSET('VVP2'!$G$204,0,(COLUMN()-6)/5)</f>
        <v>1.18252</v>
      </c>
      <c r="U58" s="1230">
        <f ca="1">(T58/O58-1)*100</f>
        <v>35.346228682614168</v>
      </c>
      <c r="V58" s="1279">
        <f ca="1">OFFSET('VVP2'!$G$35,0,(COLUMN()-7)/5)</f>
        <v>28.92657713502831</v>
      </c>
      <c r="W58" s="1216">
        <f ca="1">+T58*(1+V58/100)</f>
        <v>1.5245825599371368</v>
      </c>
      <c r="X58" s="1286">
        <f ca="1">+Y58/W58*100-100</f>
        <v>2.8406096987393568</v>
      </c>
      <c r="Y58" s="1212">
        <f ca="1">OFFSET('VVP2'!$G$204,0,(COLUMN()-6)/5)</f>
        <v>1.56789</v>
      </c>
      <c r="Z58" s="1230">
        <f ca="1">(Y58/T58-1)*100</f>
        <v>32.588877989378616</v>
      </c>
      <c r="AA58" s="1279">
        <f ca="1">OFFSET('VVP2'!$G$35,0,(COLUMN()-7)/5)</f>
        <v>-9.5081925797033779</v>
      </c>
      <c r="AB58" s="1216">
        <f ca="1">+Y58*(1+AA58/100)</f>
        <v>1.4188119993620887</v>
      </c>
      <c r="AC58" s="1286">
        <f ca="1">+AD58/AB58*100-100</f>
        <v>1.0211360380674392</v>
      </c>
      <c r="AD58" s="1212">
        <f ca="1">OFFSET('VVP2'!$G$204,0,(COLUMN()-6)/5)</f>
        <v>1.4333</v>
      </c>
      <c r="AE58" s="1230">
        <f ca="1">(AD58/Y58-1)*100</f>
        <v>-8.5841481226361473</v>
      </c>
      <c r="AF58" s="1279">
        <f ca="1">OFFSET('VVP2'!$G$35,0,(COLUMN()-7)/5)</f>
        <v>-20.686442156691676</v>
      </c>
      <c r="AG58" s="1216">
        <f ca="1">+AD58*(1+AF58/100)</f>
        <v>1.1368012245681383</v>
      </c>
      <c r="AH58" s="1286">
        <f ca="1">+AI58/AG58*100-100</f>
        <v>1.0475688426871557</v>
      </c>
      <c r="AI58" s="1212">
        <f ca="1">OFFSET('VVP2'!$G$204,0,(COLUMN()-6)/5)</f>
        <v>1.1487100000000001</v>
      </c>
      <c r="AJ58" s="1230">
        <f ca="1">(AI58/AD58-1)*100</f>
        <v>-19.855578036698518</v>
      </c>
      <c r="AK58" s="1279">
        <f ca="1">OFFSET('VVP2'!$G$35,0,(COLUMN()-7)/5)</f>
        <v>11.24594650486419</v>
      </c>
      <c r="AL58" s="1216">
        <f ca="1">+AI58*(1+AK58/100)</f>
        <v>1.2778933120960256</v>
      </c>
      <c r="AM58" s="1286">
        <f ca="1">+AN58/AL58*100-100</f>
        <v>-0.36883455382475461</v>
      </c>
      <c r="AN58" s="1212">
        <f ca="1">OFFSET('VVP2'!$G$204,0,(COLUMN()-6)/5)</f>
        <v>1.27318</v>
      </c>
      <c r="AO58" s="1230">
        <f ca="1">(AN58/AI58-1)*100</f>
        <v>10.835633014424872</v>
      </c>
      <c r="AP58" s="1279">
        <f ca="1">OFFSET('VVP2'!$G$35,0,(COLUMN()-7)/5)</f>
        <v>15.105880584736099</v>
      </c>
      <c r="AQ58" s="1216">
        <f ca="1">+AN58*(1+AP58/100)</f>
        <v>1.465505050428743</v>
      </c>
      <c r="AR58" s="1286">
        <f ca="1">+AS58/AQ58*100-100</f>
        <v>-3.7874344314317909E-2</v>
      </c>
      <c r="AS58" s="1212">
        <f ca="1">OFFSET('VVP2'!$G$204,0,(COLUMN()-6)/5)</f>
        <v>1.46495</v>
      </c>
      <c r="AT58" s="1230">
        <f ca="1">(AS58/AN58-1)*100</f>
        <v>15.062284987197415</v>
      </c>
      <c r="AU58" s="1279">
        <f ca="1">OFFSET('VVP2'!$G$35,0,(COLUMN()-7)/5)</f>
        <v>20.486763141934784</v>
      </c>
      <c r="AV58" s="1216">
        <f ca="1">+AS58*(1+AU58/100)</f>
        <v>1.7650708366477736</v>
      </c>
      <c r="AW58" s="1286">
        <f ca="1">+AX58/AV58*100-100</f>
        <v>1.4469200228094223</v>
      </c>
      <c r="AX58" s="1212">
        <f ca="1">OFFSET('VVP2'!$G$204,0,(COLUMN()-6)/5)</f>
        <v>1.7906099999999998</v>
      </c>
      <c r="AY58" s="1230">
        <f ca="1">(AX58/AS58-1)*100</f>
        <v>22.230110242670385</v>
      </c>
      <c r="AZ58" s="1279">
        <f ca="1">OFFSET('VVP2'!$G$35,0,(COLUMN()-7)/5)</f>
        <v>-2.1405223087823555</v>
      </c>
      <c r="BA58" s="1216">
        <f ca="1">+AX58*(1+AZ58/100)</f>
        <v>1.752281593486712</v>
      </c>
      <c r="BB58" s="1286">
        <f ca="1">+BC58/BA58*100-100</f>
        <v>6.0885423273206953</v>
      </c>
      <c r="BC58" s="1212">
        <f ca="1">OFFSET('VVP2'!$G$204,0,(COLUMN()-6)/5)</f>
        <v>1.85897</v>
      </c>
      <c r="BD58" s="1230">
        <f ca="1">(BC58/AX58-1)*100</f>
        <v>3.8176934117423844</v>
      </c>
      <c r="BE58" s="1279">
        <f ca="1">OFFSET('VVP2'!$G$35,0,(COLUMN()-7)/5)</f>
        <v>13.878813105785825</v>
      </c>
      <c r="BF58" s="1216">
        <f ca="1">+BC58*(1+BE58/100)</f>
        <v>2.1169729719926269</v>
      </c>
      <c r="BG58" s="1286">
        <f ca="1">+BH58/BF58*100-100</f>
        <v>7.3017950655211337</v>
      </c>
      <c r="BH58" s="1212">
        <f ca="1">OFFSET('VVP2'!$G$204,0,(COLUMN()-6)/5)</f>
        <v>2.2715500000000004</v>
      </c>
      <c r="BI58" s="1230">
        <f ca="1">(BH58/BC58-1)*100</f>
        <v>22.194010661818119</v>
      </c>
      <c r="BJ58" s="1279">
        <f ca="1">OFFSET('VVP2'!$G$35,0,(COLUMN()-7)/5)</f>
        <v>22.210701418053503</v>
      </c>
      <c r="BK58" s="1216">
        <f ca="1">+BH58*(1+BJ58/100)</f>
        <v>2.7760771880617949</v>
      </c>
      <c r="BL58" s="1286">
        <f ca="1">+BM58/BK58*100-100</f>
        <v>9.5484669186476765</v>
      </c>
      <c r="BM58" s="1212">
        <f ca="1">OFFSET('VVP2'!$G$204,0,(COLUMN()-6)/5)</f>
        <v>3.04115</v>
      </c>
      <c r="BN58" s="1230">
        <f ca="1">(BM58/BH58-1)*100</f>
        <v>33.879949814003638</v>
      </c>
      <c r="BO58" s="1279">
        <f ca="1">OFFSET('VVP2'!$G$35,0,(COLUMN()-7)/5)</f>
        <v>22.818191806240542</v>
      </c>
      <c r="BP58" s="1216">
        <f ca="1">+BM58*(1+BO58/100)</f>
        <v>3.7350854401154843</v>
      </c>
      <c r="BQ58" s="1286">
        <f ca="1">+BR58/BP58*100-100</f>
        <v>12.894606230737907</v>
      </c>
      <c r="BR58" s="1212">
        <f ca="1">OFFSET('VVP2'!$G$204,0,(COLUMN()-6)/5)</f>
        <v>4.21671</v>
      </c>
      <c r="BS58" s="1230">
        <f ca="1">(BR58/BM58-1)*100</f>
        <v>38.655114019367673</v>
      </c>
      <c r="BT58" s="1279">
        <f ca="1">OFFSET('VVP2'!$G$35,0,(COLUMN()-7)/5)</f>
        <v>-3.9400543198709892</v>
      </c>
      <c r="BU58" s="1216">
        <f ca="1">+BR58*(1+BT58/100)</f>
        <v>4.0505693354885679</v>
      </c>
      <c r="BV58" s="1286">
        <f ca="1">+BW58/BU58*100-100</f>
        <v>9.5986670590971812</v>
      </c>
      <c r="BW58" s="1212">
        <f ca="1">OFFSET('VVP2'!$G$204,0,(COLUMN()-6)/5)</f>
        <v>4.4393700000000003</v>
      </c>
      <c r="BX58" s="1230">
        <f ca="1">(BW58/BR58-1)*100</f>
        <v>5.2804200431141979</v>
      </c>
      <c r="BY58" s="1279">
        <f ca="1">OFFSET('VVP2'!$G$35,0,(COLUMN()-7)/5)</f>
        <v>-44.441828881846988</v>
      </c>
      <c r="BZ58" s="1216">
        <f ca="1">+BW58*(1+BY58/100)</f>
        <v>2.4664327811679496</v>
      </c>
      <c r="CA58" s="1286">
        <f ca="1">+CB58/BZ58*100-100</f>
        <v>-9.2316637577338838</v>
      </c>
      <c r="CB58" s="1212">
        <f ca="1">OFFSET('VVP2'!$G$204,0,(COLUMN()-6)/5)</f>
        <v>2.23874</v>
      </c>
      <c r="CC58" s="1230">
        <f ca="1">(CB58/BW58-1)*100</f>
        <v>-49.570772429421297</v>
      </c>
      <c r="CD58" s="1279">
        <f ca="1">OFFSET('VVP2'!$G$35,0,(COLUMN()-7)/5)</f>
        <v>1.684095840278621</v>
      </c>
      <c r="CE58" s="1216">
        <f ca="1">+CB58*(1+CD58/100)</f>
        <v>2.2764425272146536</v>
      </c>
      <c r="CF58" s="1286">
        <f ca="1">+CG58/CE58*100-100</f>
        <v>-4.0647864423738298</v>
      </c>
      <c r="CG58" s="1212">
        <f ca="1">OFFSET('VVP2'!$G$204,0,(COLUMN()-6)/5)</f>
        <v>2.18391</v>
      </c>
      <c r="CH58" s="1230">
        <f ca="1">(CG58/CB58-1)*100</f>
        <v>-2.4491455014874375</v>
      </c>
      <c r="CI58" s="1279">
        <f ca="1">OFFSET('VVP2'!$G$35,0,(COLUMN()-7)/5)</f>
        <v>18.105599589726683</v>
      </c>
      <c r="CJ58" s="1216">
        <f ca="1">+CG58*(1+CI58/100)</f>
        <v>2.5793200000000001</v>
      </c>
      <c r="CK58" s="1286">
        <f ca="1">+CL58/CJ58*100-100</f>
        <v>3.9436750771521218</v>
      </c>
      <c r="CL58" s="1212">
        <f ca="1">OFFSET('VVP2'!$G$204,0,(COLUMN()-6)/5)</f>
        <v>2.6810399999999999</v>
      </c>
      <c r="CM58" s="1230">
        <f ca="1">(CL58/CG58-1)*100</f>
        <v>22.76330068546779</v>
      </c>
      <c r="CN58" s="1279">
        <f ca="1">OFFSET('VVP2'!$G$35,0,(COLUMN()-7)/5)</f>
        <v>-5.8693764247941367</v>
      </c>
      <c r="CO58" s="1216">
        <f ca="1">+CL58*(1+CN58/100)</f>
        <v>2.523679670300699</v>
      </c>
      <c r="CP58" s="1286">
        <f ca="1">+CQ58/CO58*100-100</f>
        <v>3.7013544467856718</v>
      </c>
      <c r="CQ58" s="1212">
        <f ca="1">OFFSET('VVP2'!$G$204,0,(COLUMN()-6)/5)</f>
        <v>2.6170900000000001</v>
      </c>
      <c r="CR58" s="1230">
        <f ca="1">(CQ58/CL58-1)*100</f>
        <v>-2.3852684033061733</v>
      </c>
      <c r="CS58" s="1279">
        <f ca="1">OFFSET('VVP2'!$G$35,0,(COLUMN()-7)/5)</f>
        <v>7.1093482925784546</v>
      </c>
      <c r="CT58" s="1216">
        <f ca="1">+CQ58*(1+CS58/100)</f>
        <v>2.8031480432302418</v>
      </c>
      <c r="CU58" s="1286">
        <f ca="1">+CV58/CT58*100-100</f>
        <v>4.050872626723816</v>
      </c>
      <c r="CV58" s="1212">
        <f ca="1">OFFSET('VVP2'!$G$204,0,(COLUMN()-6)/5)</f>
        <v>2.9166999999999996</v>
      </c>
      <c r="CW58" s="1230">
        <f ca="1">(CV58/CQ58-1)*100</f>
        <v>11.448211563224774</v>
      </c>
      <c r="CX58" s="1279">
        <f ca="1">OFFSET('VVP2'!$G$35,0,(COLUMN()-7)/5)</f>
        <v>6.2033270013151176</v>
      </c>
      <c r="CY58" s="1216">
        <f ca="1">+CV58*(1+CX58/100)</f>
        <v>3.0976324386473575</v>
      </c>
      <c r="CZ58" s="1286">
        <f ca="1">+DA58/CY58*100-100</f>
        <v>2.1041089491270668</v>
      </c>
      <c r="DA58" s="1212">
        <f ca="1">OFFSET('VVP2'!$G$204,0,(COLUMN()-6)/5)</f>
        <v>3.1628099999999999</v>
      </c>
      <c r="DB58" s="1230">
        <f ca="1">(DA58/CV58-1)*100</f>
        <v>8.4379607090204765</v>
      </c>
      <c r="DC58" s="1279">
        <f ca="1">OFFSET('VVP2'!$G$35,0,(COLUMN()-7)/5)</f>
        <v>-4.1921024237289384</v>
      </c>
      <c r="DD58" s="1216">
        <f ca="1">+DA58*(1+DC58/100)</f>
        <v>3.0302217653320587</v>
      </c>
      <c r="DE58" s="1286">
        <f ca="1">+DF58/DD58*100-100</f>
        <v>0.46690426521938377</v>
      </c>
      <c r="DF58" s="1212">
        <f ca="1">OFFSET('VVP2'!$G$204,0,(COLUMN()-6)/5)</f>
        <v>3.0443699999999998</v>
      </c>
      <c r="DG58" s="1230">
        <f ca="1">(DF58/DA58-1)*100</f>
        <v>-3.7447712635283237</v>
      </c>
      <c r="DH58" s="1279">
        <f ca="1">OFFSET('VVP2'!$G$35,0,(COLUMN()-7)/5)</f>
        <v>-11.24833716289757</v>
      </c>
      <c r="DI58" s="1216">
        <f ca="1">+DF58*(1+DH58/100)</f>
        <v>2.7019289979138952</v>
      </c>
      <c r="DJ58" s="1286">
        <f ca="1">+DK58/DI58*100-100</f>
        <v>-2.8671737108453783</v>
      </c>
      <c r="DK58" s="1212">
        <f ca="1">OFFSET('VVP2'!$G$204,0,(COLUMN()-6)/5)</f>
        <v>2.62446</v>
      </c>
      <c r="DL58" s="1230">
        <f ca="1">(DK58/DF58-1)*100</f>
        <v>-13.793001507701097</v>
      </c>
      <c r="DM58" s="1279">
        <f ca="1">OFFSET('VVP2'!$G$35,0,(COLUMN()-7)/5)</f>
        <v>8.5810154826182483</v>
      </c>
      <c r="DN58" s="1216">
        <f ca="1">+DK58*(1+DM58/100)</f>
        <v>2.8496653189351231</v>
      </c>
      <c r="DO58" s="1286">
        <f ca="1">+DP58/DN58*100-100</f>
        <v>4.2911944870274112</v>
      </c>
      <c r="DP58" s="1212">
        <f ca="1">OFFSET('VVP2'!$G$204,0,(COLUMN()-6)/5)</f>
        <v>2.9719499999999996</v>
      </c>
      <c r="DQ58" s="1230">
        <f ca="1">(DP58/DK58-1)*100</f>
        <v>13.240438032966772</v>
      </c>
      <c r="DR58" s="2242">
        <v>6.5</v>
      </c>
      <c r="DS58" s="2243">
        <f ca="1">+DP58*(1+DR58/100)</f>
        <v>3.1651267499999993</v>
      </c>
      <c r="DT58" s="2244">
        <v>3.3</v>
      </c>
      <c r="DU58" s="2243">
        <f ca="1">+DS58*(1+DT58/100)</f>
        <v>3.2695759327499991</v>
      </c>
      <c r="DV58" s="2245">
        <f ca="1">(DU58/DP58-1)*100</f>
        <v>10.014499999999993</v>
      </c>
      <c r="DW58" s="2242">
        <v>4.9000000000000004</v>
      </c>
      <c r="DX58" s="2243">
        <f ca="1">+DU58*(1+DW58/100)</f>
        <v>3.4297851534547488</v>
      </c>
      <c r="DY58" s="2244">
        <v>3.3</v>
      </c>
      <c r="DZ58" s="2243">
        <f ca="1">+DX58*(1+DY58/100)</f>
        <v>3.5429680635187553</v>
      </c>
      <c r="EA58" s="2245">
        <f ca="1">(DZ58/DU58-1)*100</f>
        <v>8.361699999999983</v>
      </c>
    </row>
    <row r="59" spans="1:145">
      <c r="C59" s="1080" t="s">
        <v>1767</v>
      </c>
      <c r="D59" s="3"/>
      <c r="E59" s="1" t="s">
        <v>1443</v>
      </c>
      <c r="F59" s="3" t="s">
        <v>2054</v>
      </c>
      <c r="G59" s="1369"/>
      <c r="H59" s="1274"/>
      <c r="I59" s="1198"/>
      <c r="J59" s="1068">
        <f ca="1">OFFSET('VVP2'!$G$205,0,(COLUMN()-6)/5)</f>
        <v>0.17634</v>
      </c>
      <c r="K59" s="1276"/>
      <c r="L59" s="1280">
        <f ca="1">OFFSET('VVP2'!$G$36,0,(COLUMN()-7)/5)</f>
        <v>1.1255694237329861</v>
      </c>
      <c r="M59" s="1068">
        <f ca="1">+J59*(1+L59/100)</f>
        <v>0.17832482912181075</v>
      </c>
      <c r="N59" s="1290">
        <f ca="1">+O59/M59*100-100</f>
        <v>15.541958466847873</v>
      </c>
      <c r="O59" s="1068">
        <f ca="1">OFFSET('VVP2'!$G$205,0,(COLUMN()-6)/5)</f>
        <v>0.20604</v>
      </c>
      <c r="P59" s="1281">
        <f ca="1">(O59/J59-1)*100</f>
        <v>16.842463422932962</v>
      </c>
      <c r="Q59" s="1280">
        <f ca="1">OFFSET('VVP2'!$G$36,0,(COLUMN()-7)/5)</f>
        <v>-11.288986748545582</v>
      </c>
      <c r="R59" s="1068">
        <f ca="1">+O59*(1+Q59/100)</f>
        <v>0.18278017170329669</v>
      </c>
      <c r="S59" s="1290">
        <f ca="1">+T59/R59*100-100</f>
        <v>11.02407778093793</v>
      </c>
      <c r="T59" s="1068">
        <f ca="1">OFFSET('VVP2'!$G$205,0,(COLUMN()-6)/5)</f>
        <v>0.20293</v>
      </c>
      <c r="U59" s="1281">
        <f ca="1">(T59/O59-1)*100</f>
        <v>-1.5094156474470988</v>
      </c>
      <c r="V59" s="1280">
        <f ca="1">OFFSET('VVP2'!$G$36,0,(COLUMN()-7)/5)</f>
        <v>-6.394097755917616</v>
      </c>
      <c r="W59" s="1068">
        <f ca="1">+T59*(1+V59/100)</f>
        <v>0.18995445742391637</v>
      </c>
      <c r="X59" s="1290">
        <f ca="1">+Y59/W59*100-100</f>
        <v>4.451352545633398</v>
      </c>
      <c r="Y59" s="1068">
        <f ca="1">OFFSET('VVP2'!$G$205,0,(COLUMN()-6)/5)</f>
        <v>0.19841</v>
      </c>
      <c r="Z59" s="1281">
        <f ca="1">(Y59/T59-1)*100</f>
        <v>-2.2273690435125393</v>
      </c>
      <c r="AA59" s="1280">
        <f ca="1">OFFSET('VVP2'!$G$36,0,(COLUMN()-7)/5)</f>
        <v>5.8128078817734075</v>
      </c>
      <c r="AB59" s="1068">
        <f ca="1">+Y59*(1+AA59/100)</f>
        <v>0.20994319211822662</v>
      </c>
      <c r="AC59" s="1290">
        <f ca="1">+AD59/AB59*100-100</f>
        <v>1.494122219503538</v>
      </c>
      <c r="AD59" s="1068">
        <f ca="1">OFFSET('VVP2'!$G$205,0,(COLUMN()-6)/5)</f>
        <v>0.21308000000000002</v>
      </c>
      <c r="AE59" s="1281">
        <f ca="1">(AD59/Y59-1)*100</f>
        <v>7.3937805554155522</v>
      </c>
      <c r="AF59" s="1280">
        <f ca="1">OFFSET('VVP2'!$G$36,0,(COLUMN()-7)/5)</f>
        <v>9.3362760650159693</v>
      </c>
      <c r="AG59" s="1068">
        <f ca="1">+AD59*(1+AF59/100)</f>
        <v>0.23297373703933605</v>
      </c>
      <c r="AH59" s="1290">
        <f ca="1">+AI59/AG59*100-100</f>
        <v>0.68516862928392186</v>
      </c>
      <c r="AI59" s="1068">
        <f ca="1">OFFSET('VVP2'!$G$205,0,(COLUMN()-6)/5)</f>
        <v>0.23457</v>
      </c>
      <c r="AJ59" s="1281">
        <f ca="1">(AI59/AD59-1)*100</f>
        <v>10.085413929040721</v>
      </c>
      <c r="AK59" s="1280">
        <f ca="1">OFFSET('VVP2'!$G$36,0,(COLUMN()-7)/5)</f>
        <v>-3.5588123974935826</v>
      </c>
      <c r="AL59" s="1068">
        <f ca="1">+AI59*(1+AK59/100)</f>
        <v>0.2262220937591993</v>
      </c>
      <c r="AM59" s="1290">
        <f ca="1">+AN59/AL59*100-100</f>
        <v>-1.1723407361008356</v>
      </c>
      <c r="AN59" s="1068">
        <f ca="1">OFFSET('VVP2'!$G$205,0,(COLUMN()-6)/5)</f>
        <v>0.22356999999999999</v>
      </c>
      <c r="AO59" s="1281">
        <f ca="1">(AN59/AI59-1)*100</f>
        <v>-4.6894317261371938</v>
      </c>
      <c r="AP59" s="1280">
        <f ca="1">OFFSET('VVP2'!$G$36,0,(COLUMN()-7)/5)</f>
        <v>-10.280057995661219</v>
      </c>
      <c r="AQ59" s="1068">
        <f ca="1">+AN59*(1+AP59/100)</f>
        <v>0.20058687433910022</v>
      </c>
      <c r="AR59" s="1290">
        <f ca="1">+AS59/AQ59*100-100</f>
        <v>0.49012462262997758</v>
      </c>
      <c r="AS59" s="1068">
        <f ca="1">OFFSET('VVP2'!$G$205,0,(COLUMN()-6)/5)</f>
        <v>0.20157</v>
      </c>
      <c r="AT59" s="1281">
        <f ca="1">(AS59/AN59-1)*100</f>
        <v>-9.8403184684886185</v>
      </c>
      <c r="AU59" s="1280">
        <f ca="1">OFFSET('VVP2'!$G$36,0,(COLUMN()-7)/5)</f>
        <v>14.389861605569809</v>
      </c>
      <c r="AV59" s="1068">
        <f ca="1">+AS59*(1+AU59/100)</f>
        <v>0.23057564403834707</v>
      </c>
      <c r="AW59" s="1290">
        <f ca="1">+AX59/AV59*100-100</f>
        <v>1.2292521066021891</v>
      </c>
      <c r="AX59" s="1068">
        <f ca="1">OFFSET('VVP2'!$G$205,0,(COLUMN()-6)/5)</f>
        <v>0.23341000000000001</v>
      </c>
      <c r="AY59" s="1281">
        <f ca="1">(AX59/AS59-1)*100</f>
        <v>15.796001389095604</v>
      </c>
      <c r="AZ59" s="1280">
        <f ca="1">OFFSET('VVP2'!$G$36,0,(COLUMN()-7)/5)</f>
        <v>66.597574321806931</v>
      </c>
      <c r="BA59" s="1068">
        <f ca="1">+AX59*(1+AZ59/100)</f>
        <v>0.38885539822452958</v>
      </c>
      <c r="BB59" s="1290">
        <f ca="1">+BC59/BA59*100-100</f>
        <v>7.6852737320659941</v>
      </c>
      <c r="BC59" s="1068">
        <f ca="1">OFFSET('VVP2'!$G$205,0,(COLUMN()-6)/5)</f>
        <v>0.41874</v>
      </c>
      <c r="BD59" s="1281">
        <f ca="1">(BC59/AX59-1)*100</f>
        <v>79.401053939419896</v>
      </c>
      <c r="BE59" s="1280">
        <f ca="1">OFFSET('VVP2'!$G$36,0,(COLUMN()-7)/5)</f>
        <v>-2.1131089595782804E-2</v>
      </c>
      <c r="BF59" s="1068">
        <f ca="1">+BC59*(1+BE59/100)</f>
        <v>0.41865151567542663</v>
      </c>
      <c r="BG59" s="1290">
        <f ca="1">+BH59/BF59*100-100</f>
        <v>8.4792441912702259</v>
      </c>
      <c r="BH59" s="1068">
        <f ca="1">OFFSET('VVP2'!$G$205,0,(COLUMN()-6)/5)</f>
        <v>0.45415</v>
      </c>
      <c r="BI59" s="1281">
        <f ca="1">(BH59/BC59-1)*100</f>
        <v>8.4563213449873498</v>
      </c>
      <c r="BJ59" s="1280">
        <f ca="1">OFFSET('VVP2'!$G$36,0,(COLUMN()-7)/5)</f>
        <v>21.172062638101629</v>
      </c>
      <c r="BK59" s="1068">
        <f ca="1">+BH59*(1+BJ59/100)</f>
        <v>0.55030292247093859</v>
      </c>
      <c r="BL59" s="1290">
        <f ca="1">+BM59/BK59*100-100</f>
        <v>10.693578959172086</v>
      </c>
      <c r="BM59" s="1068">
        <f ca="1">OFFSET('VVP2'!$G$205,0,(COLUMN()-6)/5)</f>
        <v>0.60914999999999997</v>
      </c>
      <c r="BN59" s="1281">
        <f ca="1">(BM59/BH59-1)*100</f>
        <v>34.129692832764505</v>
      </c>
      <c r="BO59" s="1280">
        <f ca="1">OFFSET('VVP2'!$G$36,0,(COLUMN()-7)/5)</f>
        <v>14.878536090320949</v>
      </c>
      <c r="BP59" s="1068">
        <f ca="1">+BM59*(1+BO59/100)</f>
        <v>0.69978260259419001</v>
      </c>
      <c r="BQ59" s="1290">
        <f ca="1">+BR59/BP59*100-100</f>
        <v>16.091768641912353</v>
      </c>
      <c r="BR59" s="1068">
        <f ca="1">OFFSET('VVP2'!$G$205,0,(COLUMN()-6)/5)</f>
        <v>0.81238999999999995</v>
      </c>
      <c r="BS59" s="1281">
        <f ca="1">(BR59/BM59-1)*100</f>
        <v>33.36452433719117</v>
      </c>
      <c r="BT59" s="1280">
        <f ca="1">OFFSET('VVP2'!$G$36,0,(COLUMN()-7)/5)</f>
        <v>24.314326335113922</v>
      </c>
      <c r="BU59" s="1068">
        <f ca="1">+BR59*(1+BT59/100)</f>
        <v>1.009917155713832</v>
      </c>
      <c r="BV59" s="1290">
        <f ca="1">+BW59/BU59*100-100</f>
        <v>9.5446288580012464</v>
      </c>
      <c r="BW59" s="1068">
        <f ca="1">OFFSET('VVP2'!$G$205,0,(COLUMN()-6)/5)</f>
        <v>1.1063099999999999</v>
      </c>
      <c r="BX59" s="1281">
        <f ca="1">(BW59/BR59-1)*100</f>
        <v>36.17966740112508</v>
      </c>
      <c r="BY59" s="1280">
        <f ca="1">OFFSET('VVP2'!$G$36,0,(COLUMN()-7)/5)</f>
        <v>-7.1706157980058194</v>
      </c>
      <c r="BZ59" s="1068">
        <f ca="1">+BW59*(1+BY59/100)</f>
        <v>1.0269807603650818</v>
      </c>
      <c r="CA59" s="1290">
        <f ca="1">+CB59/BZ59*100-100</f>
        <v>-14.498885092272701</v>
      </c>
      <c r="CB59" s="1068">
        <f ca="1">OFFSET('VVP2'!$G$205,0,(COLUMN()-6)/5)</f>
        <v>0.87808000000000008</v>
      </c>
      <c r="CC59" s="1281">
        <f ca="1">(CB59/BW59-1)*100</f>
        <v>-20.629841545317305</v>
      </c>
      <c r="CD59" s="1280">
        <f ca="1">OFFSET('VVP2'!$G$36,0,(COLUMN()-7)/5)</f>
        <v>-29.656475766709722</v>
      </c>
      <c r="CE59" s="1068">
        <f ca="1">+CB59*(1+CD59/100)</f>
        <v>0.61767241758767533</v>
      </c>
      <c r="CF59" s="1290">
        <f ca="1">+CG59/CE59*100-100</f>
        <v>-4.7877186588921319</v>
      </c>
      <c r="CG59" s="1068">
        <f ca="1">OFFSET('VVP2'!$G$205,0,(COLUMN()-6)/5)</f>
        <v>0.58810000000000007</v>
      </c>
      <c r="CH59" s="1281">
        <f ca="1">(CG59/CB59-1)*100</f>
        <v>-33.024325801749264</v>
      </c>
      <c r="CI59" s="1280">
        <f ca="1">OFFSET('VVP2'!$G$36,0,(COLUMN()-7)/5)</f>
        <v>0.97942526781158445</v>
      </c>
      <c r="CJ59" s="1068">
        <f ca="1">+CG59*(1+CI59/100)</f>
        <v>0.59385999999999994</v>
      </c>
      <c r="CK59" s="1290">
        <f ca="1">+CL59/CJ59*100-100</f>
        <v>3.7736166773313613</v>
      </c>
      <c r="CL59" s="1068">
        <f ca="1">OFFSET('VVP2'!$G$205,0,(COLUMN()-6)/5)</f>
        <v>0.61626999999999998</v>
      </c>
      <c r="CM59" s="1281">
        <f ca="1">(CL59/CG59-1)*100</f>
        <v>4.7900017003910778</v>
      </c>
      <c r="CN59" s="1280">
        <f ca="1">OFFSET('VVP2'!$G$36,0,(COLUMN()-7)/5)</f>
        <v>2.2547401744518636</v>
      </c>
      <c r="CO59" s="1068">
        <f ca="1">+CL59*(1+CN59/100)</f>
        <v>0.63016528727309451</v>
      </c>
      <c r="CP59" s="1290">
        <f ca="1">+CQ59/CO59*100-100</f>
        <v>3.0586757341574184</v>
      </c>
      <c r="CQ59" s="1068">
        <f ca="1">OFFSET('VVP2'!$G$205,0,(COLUMN()-6)/5)</f>
        <v>0.64944000000000002</v>
      </c>
      <c r="CR59" s="1281">
        <f ca="1">(CQ59/CL59-1)*100</f>
        <v>5.3823810991935339</v>
      </c>
      <c r="CS59" s="1280">
        <f ca="1">OFFSET('VVP2'!$G$36,0,(COLUMN()-7)/5)</f>
        <v>11.5240839851791</v>
      </c>
      <c r="CT59" s="1068">
        <f ca="1">+CQ59*(1+CS59/100)</f>
        <v>0.72428201103334722</v>
      </c>
      <c r="CU59" s="1290">
        <f ca="1">+CV59/CT59*100-100</f>
        <v>4.5062542586260719</v>
      </c>
      <c r="CV59" s="1068">
        <f ca="1">OFFSET('VVP2'!$G$205,0,(COLUMN()-6)/5)</f>
        <v>0.75691999999999993</v>
      </c>
      <c r="CW59" s="1281">
        <f ca="1">(CV59/CQ59-1)*100</f>
        <v>16.549642769154961</v>
      </c>
      <c r="CX59" s="1280">
        <f ca="1">OFFSET('VVP2'!$G$36,0,(COLUMN()-7)/5)</f>
        <v>16.917443113860877</v>
      </c>
      <c r="CY59" s="1068">
        <f ca="1">+CV59*(1+CX59/100)</f>
        <v>0.8849715104174356</v>
      </c>
      <c r="CZ59" s="1290">
        <f ca="1">+DA59/CY59*100-100</f>
        <v>3.2055822417586199</v>
      </c>
      <c r="DA59" s="1068">
        <f ca="1">OFFSET('VVP2'!$G$205,0,(COLUMN()-6)/5)</f>
        <v>0.91334000000000004</v>
      </c>
      <c r="DB59" s="1281">
        <f ca="1">(DA59/CV59-1)*100</f>
        <v>20.665327907837039</v>
      </c>
      <c r="DC59" s="1280">
        <f ca="1">OFFSET('VVP2'!$G$36,0,(COLUMN()-7)/5)</f>
        <v>14.887597878252091</v>
      </c>
      <c r="DD59" s="1068">
        <f ca="1">+DA59*(1+DC59/100)</f>
        <v>1.0493143864612278</v>
      </c>
      <c r="DE59" s="1290">
        <f ca="1">+DF59/DD59*100-100</f>
        <v>0.38840728683014447</v>
      </c>
      <c r="DF59" s="1068">
        <f ca="1">OFFSET('VVP2'!$G$205,0,(COLUMN()-6)/5)</f>
        <v>1.05339</v>
      </c>
      <c r="DG59" s="1281">
        <f ca="1">(DF59/DA59-1)*100</f>
        <v>15.333829680075329</v>
      </c>
      <c r="DH59" s="1280">
        <f ca="1">OFFSET('VVP2'!$G$36,0,(COLUMN()-7)/5)</f>
        <v>6.7760091460733696</v>
      </c>
      <c r="DI59" s="1068">
        <f ca="1">+DF59*(1+DH59/100)</f>
        <v>1.1247678027438224</v>
      </c>
      <c r="DJ59" s="1290">
        <f ca="1">+DK59/DI59*100-100</f>
        <v>3.1928543090023993</v>
      </c>
      <c r="DK59" s="1068">
        <f ca="1">OFFSET('VVP2'!$G$205,0,(COLUMN()-6)/5)</f>
        <v>1.1606800000000002</v>
      </c>
      <c r="DL59" s="1281">
        <f ca="1">(DK59/DF59-1)*100</f>
        <v>10.18521155507457</v>
      </c>
      <c r="DM59" s="1280">
        <f ca="1">OFFSET('VVP2'!$G$36,0,(COLUMN()-7)/5)</f>
        <v>-4.6091916155335149</v>
      </c>
      <c r="DN59" s="1068">
        <f ca="1">+DK59*(1+DM59/100)</f>
        <v>1.1071820347568258</v>
      </c>
      <c r="DO59" s="1290">
        <f ca="1">+DP59/DN59*100-100</f>
        <v>1.6969174583202857</v>
      </c>
      <c r="DP59" s="1068">
        <f ca="1">OFFSET('VVP2'!$G$205,0,(COLUMN()-6)/5)</f>
        <v>1.1259700000000001</v>
      </c>
      <c r="DQ59" s="1281">
        <f ca="1">(DP59/DK59-1)*100</f>
        <v>-2.9904883344246458</v>
      </c>
      <c r="DR59" s="3074">
        <v>3.5</v>
      </c>
      <c r="DS59" s="2246">
        <f ca="1">+DP59*(1+DR59/100)</f>
        <v>1.16537895</v>
      </c>
      <c r="DT59" s="3075">
        <v>3.3</v>
      </c>
      <c r="DU59" s="2246">
        <f ca="1">+DS59*(1+DT59/100)</f>
        <v>1.2038364553499998</v>
      </c>
      <c r="DV59" s="2247">
        <f ca="1">(DU59/DP59-1)*100</f>
        <v>6.9154999999999633</v>
      </c>
      <c r="DW59" s="3074">
        <v>1.8</v>
      </c>
      <c r="DX59" s="2246">
        <f ca="1">+DU59*(1+DW59/100)</f>
        <v>1.2255055115462998</v>
      </c>
      <c r="DY59" s="3075">
        <v>3.3</v>
      </c>
      <c r="DZ59" s="2246">
        <f ca="1">+DX59*(1+DY59/100)</f>
        <v>1.2659471934273276</v>
      </c>
      <c r="EA59" s="2247">
        <f ca="1">(DZ59/DU59-1)*100</f>
        <v>5.1593999999999918</v>
      </c>
    </row>
    <row r="60" spans="1:145">
      <c r="A60" s="1456" t="s">
        <v>1940</v>
      </c>
      <c r="C60" s="1081" t="s">
        <v>1769</v>
      </c>
      <c r="D60" s="1262"/>
      <c r="E60" s="1262" t="s">
        <v>1444</v>
      </c>
      <c r="F60" s="1263" t="s">
        <v>1306</v>
      </c>
      <c r="G60" s="1370"/>
      <c r="H60" s="1371"/>
      <c r="I60" s="1371"/>
      <c r="J60" s="1214">
        <f ca="1">OFFSET('VVP2'!$G$206,0,(COLUMN()-6)/5)</f>
        <v>0.92889999999999995</v>
      </c>
      <c r="K60" s="1374"/>
      <c r="L60" s="1473">
        <f ca="1">IF(UPPER($F$2)="Y",(M60/J60-1)*100,OFFSET('VVP2'!$G$37,0,(COLUMN()-7)/5))</f>
        <v>2.095630471314669</v>
      </c>
      <c r="M60" s="1474">
        <f ca="1">IF(UPPER($F$2)="Y",+M58+M59,J60*(1+L60/100))</f>
        <v>0.94836631144804184</v>
      </c>
      <c r="N60" s="1291">
        <f ca="1">+O60/M60*100-100</f>
        <v>13.852631305657212</v>
      </c>
      <c r="O60" s="1214">
        <f ca="1">OFFSET('VVP2'!$G$206,0,(COLUMN()-6)/5)</f>
        <v>1.0797399999999999</v>
      </c>
      <c r="P60" s="1266">
        <f ca="1">(O60/J60-1)*100</f>
        <v>16.238561739692116</v>
      </c>
      <c r="Q60" s="1473">
        <f ca="1">IF(UPPER($F$2)="Y",(R60/O60-1)*100,OFFSET('VVP2'!$G$37,0,(COLUMN()-7)/5))</f>
        <v>18.535276064847661</v>
      </c>
      <c r="R60" s="1474">
        <f ca="1">IF(UPPER($F$2)="Y",+R58+R59,O60*(1+Q60/100))</f>
        <v>1.2798727897825861</v>
      </c>
      <c r="S60" s="1291">
        <f ca="1">+T60/R60*100-100</f>
        <v>8.2490393623688476</v>
      </c>
      <c r="T60" s="1214">
        <f ca="1">OFFSET('VVP2'!$G$206,0,(COLUMN()-6)/5)</f>
        <v>1.3854500000000001</v>
      </c>
      <c r="U60" s="1266">
        <f ca="1">(T60/O60-1)*100</f>
        <v>28.313297645729541</v>
      </c>
      <c r="V60" s="1473">
        <f ca="1">IF(UPPER($F$2)="Y",(W60/T60-1)*100,OFFSET('VVP2'!$G$37,0,(COLUMN()-7)/5))</f>
        <v>23.753077870803917</v>
      </c>
      <c r="W60" s="1474">
        <f ca="1">IF(UPPER($F$2)="Y",+W58+W59,T60*(1+V60/100))</f>
        <v>1.714537017361053</v>
      </c>
      <c r="X60" s="1291">
        <f ca="1">+Y60/W60*100-100</f>
        <v>3.0190647454563901</v>
      </c>
      <c r="Y60" s="1214">
        <f ca="1">OFFSET('VVP2'!$G$206,0,(COLUMN()-6)/5)</f>
        <v>1.7663</v>
      </c>
      <c r="Z60" s="1266">
        <f ca="1">(Y60/T60-1)*100</f>
        <v>27.489263416218556</v>
      </c>
      <c r="AA60" s="1473">
        <f ca="1">IF(UPPER($F$2)="Y",(AB60/Y60-1)*100,OFFSET('VVP2'!$G$37,0,(COLUMN()-7)/5))</f>
        <v>-7.7871714046132912</v>
      </c>
      <c r="AB60" s="1474">
        <f ca="1">IF(UPPER($F$2)="Y",+AB58+AB59,Y60*(1+AA60/100))</f>
        <v>1.6287551914803153</v>
      </c>
      <c r="AC60" s="1291">
        <f ca="1">+AD60/AB60*100-100</f>
        <v>1.0821029834241926</v>
      </c>
      <c r="AD60" s="1214">
        <f ca="1">OFFSET('VVP2'!$G$206,0,(COLUMN()-6)/5)</f>
        <v>1.6463800000000002</v>
      </c>
      <c r="AE60" s="1266">
        <f ca="1">(AD60/Y60-1)*100</f>
        <v>-6.7893336352827793</v>
      </c>
      <c r="AF60" s="1473">
        <f ca="1">IF(UPPER($F$2)="Y",(AG60/AD60-1)*100,OFFSET('VVP2'!$G$37,0,(COLUMN()-7)/5))</f>
        <v>-16.800801661373789</v>
      </c>
      <c r="AG60" s="1474">
        <f ca="1">IF(UPPER($F$2)="Y",+AG58+AG59,AD60*(1+AF60/100))</f>
        <v>1.3697749616074744</v>
      </c>
      <c r="AH60" s="1291">
        <f ca="1">+AI60/AG60*100-100</f>
        <v>0.9859311763647014</v>
      </c>
      <c r="AI60" s="1214">
        <f ca="1">OFFSET('VVP2'!$G$206,0,(COLUMN()-6)/5)</f>
        <v>1.3832800000000001</v>
      </c>
      <c r="AJ60" s="1266">
        <f ca="1">(AI60/AD60-1)*100</f>
        <v>-15.980514826467774</v>
      </c>
      <c r="AK60" s="1473">
        <f ca="1">IF(UPPER($F$2)="Y",(AL60/AI60-1)*100,OFFSET('VVP2'!$G$37,0,(COLUMN()-7)/5))</f>
        <v>8.7354263674183752</v>
      </c>
      <c r="AL60" s="1474">
        <f ca="1">IF(UPPER($F$2)="Y",+AL58+AL59,AI60*(1+AK60/100))</f>
        <v>1.5041154058552249</v>
      </c>
      <c r="AM60" s="1291">
        <f ca="1">+AN60/AL60*100-100</f>
        <v>-0.48968355929024199</v>
      </c>
      <c r="AN60" s="1214">
        <f ca="1">OFFSET('VVP2'!$G$206,0,(COLUMN()-6)/5)</f>
        <v>1.49675</v>
      </c>
      <c r="AO60" s="1266">
        <f ca="1">(AN60/AI60-1)*100</f>
        <v>8.2029668613729623</v>
      </c>
      <c r="AP60" s="1473">
        <f ca="1">IF(UPPER($F$2)="Y",(AQ60/AN60-1)*100,OFFSET('VVP2'!$G$37,0,(COLUMN()-7)/5))</f>
        <v>11.313975264262123</v>
      </c>
      <c r="AQ60" s="1474">
        <f ca="1">IF(UPPER($F$2)="Y",+AQ58+AQ59,AN60*(1+AP60/100))</f>
        <v>1.6660919247678432</v>
      </c>
      <c r="AR60" s="1291">
        <f ca="1">+AS60/AQ60*100-100</f>
        <v>2.5693374164603711E-2</v>
      </c>
      <c r="AS60" s="1214">
        <f ca="1">OFFSET('VVP2'!$G$206,0,(COLUMN()-6)/5)</f>
        <v>1.66652</v>
      </c>
      <c r="AT60" s="1266">
        <f ca="1">(AS60/AN60-1)*100</f>
        <v>11.342575580424242</v>
      </c>
      <c r="AU60" s="1473">
        <f ca="1">IF(UPPER($F$2)="Y",(AV60/AS60-1)*100,OFFSET('VVP2'!$G$37,0,(COLUMN()-7)/5))</f>
        <v>19.749326781924047</v>
      </c>
      <c r="AV60" s="1474">
        <f ca="1">IF(UPPER($F$2)="Y",+AV58+AV59,AS60*(1+AU60/100))</f>
        <v>1.9956464806861207</v>
      </c>
      <c r="AW60" s="1291">
        <f ca="1">+AX60/AV60*100-100</f>
        <v>1.4217708190543021</v>
      </c>
      <c r="AX60" s="1214">
        <f ca="1">OFFSET('VVP2'!$G$206,0,(COLUMN()-6)/5)</f>
        <v>2.0240200000000002</v>
      </c>
      <c r="AY60" s="1266">
        <f ca="1">(AX60/AS60-1)*100</f>
        <v>21.451887766123434</v>
      </c>
      <c r="AZ60" s="1473">
        <f ca="1">IF(UPPER($F$2)="Y",(BA60/AX60-1)*100,OFFSET('VVP2'!$G$37,0,(COLUMN()-7)/5))</f>
        <v>5.7863554565291464</v>
      </c>
      <c r="BA60" s="1474">
        <f ca="1">IF(UPPER($F$2)="Y",+BA58+BA59,AX60*(1+AZ60/100))</f>
        <v>2.1411369917112415</v>
      </c>
      <c r="BB60" s="1291">
        <f ca="1">+BC60/BA60*100-100</f>
        <v>6.3785273346572069</v>
      </c>
      <c r="BC60" s="1214">
        <f ca="1">OFFSET('VVP2'!$G$206,0,(COLUMN()-6)/5)</f>
        <v>2.2777099999999999</v>
      </c>
      <c r="BD60" s="1266">
        <f ca="1">(BC60/AX60-1)*100</f>
        <v>12.533967055661499</v>
      </c>
      <c r="BE60" s="1473">
        <f ca="1">IF(UPPER($F$2)="Y",(BF60/BC60-1)*100,OFFSET('VVP2'!$G$37,0,(COLUMN()-7)/5))</f>
        <v>11.323412008906031</v>
      </c>
      <c r="BF60" s="1474">
        <f ca="1">IF(UPPER($F$2)="Y",+BF58+BF59,BC60*(1+BE60/100))</f>
        <v>2.5356244876680534</v>
      </c>
      <c r="BG60" s="1291">
        <f ca="1">+BH60/BF60*100-100</f>
        <v>7.4962011629235263</v>
      </c>
      <c r="BH60" s="1214">
        <f ca="1">OFFSET('VVP2'!$G$206,0,(COLUMN()-6)/5)</f>
        <v>2.7256999999999998</v>
      </c>
      <c r="BI60" s="1266">
        <f ca="1">(BH60/BC60-1)*100</f>
        <v>19.66843891452379</v>
      </c>
      <c r="BJ60" s="1473">
        <f ca="1">IF(UPPER($F$2)="Y",(BK60/BH60-1)*100,OFFSET('VVP2'!$G$37,0,(COLUMN()-7)/5))</f>
        <v>22.037645761922953</v>
      </c>
      <c r="BK60" s="1474">
        <f ca="1">IF(UPPER($F$2)="Y",+BK58+BK59,BH60*(1+BJ60/100))</f>
        <v>3.3263801105327335</v>
      </c>
      <c r="BL60" s="1291">
        <f ca="1">+BM60/BK60*100-100</f>
        <v>9.7379096406209982</v>
      </c>
      <c r="BM60" s="1214">
        <f ca="1">OFFSET('VVP2'!$G$206,0,(COLUMN()-6)/5)</f>
        <v>3.6503000000000001</v>
      </c>
      <c r="BN60" s="1266">
        <f ca="1">(BM60/BH60-1)*100</f>
        <v>33.921561433760147</v>
      </c>
      <c r="BO60" s="1473">
        <f ca="1">IF(UPPER($F$2)="Y",(BP60/BM60-1)*100,OFFSET('VVP2'!$G$37,0,(COLUMN()-7)/5))</f>
        <v>21.493248300404733</v>
      </c>
      <c r="BP60" s="1474">
        <f ca="1">IF(UPPER($F$2)="Y",+BP58+BP59,BM60*(1+BO60/100))</f>
        <v>4.4348680427096738</v>
      </c>
      <c r="BQ60" s="1291">
        <f ca="1">+BR60/BP60*100-100</f>
        <v>13.399089929342182</v>
      </c>
      <c r="BR60" s="1214">
        <f ca="1">OFFSET('VVP2'!$G$206,0,(COLUMN()-6)/5)</f>
        <v>5.0291000000000006</v>
      </c>
      <c r="BS60" s="1266">
        <f ca="1">(BR60/BM60-1)*100</f>
        <v>37.772237898254943</v>
      </c>
      <c r="BT60" s="1473">
        <f ca="1">IF(UPPER($F$2)="Y",(BU60/BR60-1)*100,OFFSET('VVP2'!$G$37,0,(COLUMN()-7)/5))</f>
        <v>0.62409757615475847</v>
      </c>
      <c r="BU60" s="1474">
        <f ca="1">IF(UPPER($F$2)="Y",+BU58+BU59,BR60*(1+BT60/100))</f>
        <v>5.0604864912023997</v>
      </c>
      <c r="BV60" s="1291">
        <f ca="1">+BW60/BU60*100-100</f>
        <v>9.5878826994421047</v>
      </c>
      <c r="BW60" s="1214">
        <f ca="1">OFFSET('VVP2'!$G$206,0,(COLUMN()-6)/5)</f>
        <v>5.5456799999999999</v>
      </c>
      <c r="BX60" s="1266">
        <f ca="1">(BW60/BR60-1)*100</f>
        <v>10.271818019128665</v>
      </c>
      <c r="BY60" s="1473">
        <f ca="1">IF(UPPER($F$2)="Y",(BZ60/BW60-1)*100,OFFSET('VVP2'!$G$37,0,(COLUMN()-7)/5))</f>
        <v>-37.00657914749803</v>
      </c>
      <c r="BZ60" s="1474">
        <f ca="1">IF(UPPER($F$2)="Y",+BZ58+BZ59,BW60*(1+BY60/100))</f>
        <v>3.4934135415330312</v>
      </c>
      <c r="CA60" s="1291">
        <f ca="1">+CB60/BZ60*100-100</f>
        <v>-10.780101956316585</v>
      </c>
      <c r="CB60" s="1214">
        <f ca="1">OFFSET('VVP2'!$G$206,0,(COLUMN()-6)/5)</f>
        <v>3.1168200000000001</v>
      </c>
      <c r="CC60" s="1266">
        <f ca="1">(CB60/BW60-1)*100</f>
        <v>-43.797334141169344</v>
      </c>
      <c r="CD60" s="1473">
        <f ca="1">IF(UPPER($F$2)="Y",(CE60/CB60-1)*100,OFFSET('VVP2'!$G$37,0,(COLUMN()-7)/5))</f>
        <v>-7.1452652125458371</v>
      </c>
      <c r="CE60" s="1474">
        <f ca="1">IF(UPPER($F$2)="Y",+CE58+CE59,CB60*(1+CD60/100))</f>
        <v>2.8941149448023289</v>
      </c>
      <c r="CF60" s="1291">
        <f ca="1">+CG60/CE60*100-100</f>
        <v>-4.2190772353953037</v>
      </c>
      <c r="CG60" s="1214">
        <f ca="1">OFFSET('VVP2'!$G$206,0,(COLUMN()-6)/5)</f>
        <v>2.7720100000000003</v>
      </c>
      <c r="CH60" s="1266">
        <f ca="1">(CG60/CB60-1)*100</f>
        <v>-11.062878189950009</v>
      </c>
      <c r="CI60" s="1473">
        <f ca="1">IF(UPPER($F$2)="Y",(CJ60/CG60-1)*100,OFFSET('VVP2'!$G$37,0,(COLUMN()-7)/5))</f>
        <v>14.472170013816665</v>
      </c>
      <c r="CJ60" s="1474">
        <f ca="1">IF(UPPER($F$2)="Y",+CJ58+CJ59,CG60*(1+CI60/100))</f>
        <v>3.1731799999999999</v>
      </c>
      <c r="CK60" s="1291">
        <f ca="1">+CL60/CJ60*100-100</f>
        <v>3.9118486817640417</v>
      </c>
      <c r="CL60" s="1214">
        <f ca="1">OFFSET('VVP2'!$G$206,0,(COLUMN()-6)/5)</f>
        <v>3.29731</v>
      </c>
      <c r="CM60" s="1266">
        <f ca="1">(CL60/CG60-1)*100</f>
        <v>18.950148087488849</v>
      </c>
      <c r="CN60" s="1473">
        <f ca="1">IF(UPPER($F$2)="Y",(CO60/CL60-1)*100,OFFSET('VVP2'!$G$37,0,(COLUMN()-7)/5))</f>
        <v>-4.3509722296722675</v>
      </c>
      <c r="CO60" s="1474">
        <f ca="1">IF(UPPER($F$2)="Y",+CO58+CO59,CL60*(1+CN60/100))</f>
        <v>3.1538449575737935</v>
      </c>
      <c r="CP60" s="1291">
        <f ca="1">+CQ60/CO60*100-100</f>
        <v>3.5729417248492155</v>
      </c>
      <c r="CQ60" s="1214">
        <f ca="1">OFFSET('VVP2'!$G$206,0,(COLUMN()-6)/5)</f>
        <v>3.2665300000000004</v>
      </c>
      <c r="CR60" s="1266">
        <f ca="1">(CQ60/CL60-1)*100</f>
        <v>-0.93348820705361213</v>
      </c>
      <c r="CS60" s="1473">
        <f ca="1">IF(UPPER($F$2)="Y",(CT60/CQ60-1)*100,OFFSET('VVP2'!$G$37,0,(COLUMN()-7)/5))</f>
        <v>7.9870705079576387</v>
      </c>
      <c r="CT60" s="1474">
        <f ca="1">IF(UPPER($F$2)="Y",+CT58+CT59,CQ60*(1+CS60/100))</f>
        <v>3.527430054263589</v>
      </c>
      <c r="CU60" s="1291">
        <f ca="1">+CV60/CT60*100-100</f>
        <v>4.1443754656371539</v>
      </c>
      <c r="CV60" s="1214">
        <f ca="1">OFFSET('VVP2'!$G$206,0,(COLUMN()-6)/5)</f>
        <v>3.6736200000000001</v>
      </c>
      <c r="CW60" s="1266">
        <f ca="1">(CV60/CQ60-1)*100</f>
        <v>12.462460164149714</v>
      </c>
      <c r="CX60" s="1473">
        <f ca="1">IF(UPPER($F$2)="Y",(CY60/CV60-1)*100,OFFSET('VVP2'!$G$37,0,(COLUMN()-7)/5))</f>
        <v>8.4108848782615819</v>
      </c>
      <c r="CY60" s="1474">
        <f ca="1">IF(UPPER($F$2)="Y",+CY58+CY59,CV60*(1+CX60/100))</f>
        <v>3.9826039490647931</v>
      </c>
      <c r="CZ60" s="1291">
        <f ca="1">+DA60/CY60*100-100</f>
        <v>2.3488665238022008</v>
      </c>
      <c r="DA60" s="1214">
        <f ca="1">OFFSET('VVP2'!$G$206,0,(COLUMN()-6)/5)</f>
        <v>4.0761500000000002</v>
      </c>
      <c r="DB60" s="1266">
        <f ca="1">(DA60/CV60-1)*100</f>
        <v>10.957311861324804</v>
      </c>
      <c r="DC60" s="1473">
        <f ca="1">IF(UPPER($F$2)="Y",(DD60/DA60-1)*100,OFFSET('VVP2'!$G$37,0,(COLUMN()-7)/5))</f>
        <v>8.3072305810283353E-2</v>
      </c>
      <c r="DD60" s="1474">
        <f ca="1">IF(UPPER($F$2)="Y",+DD58+DD59,DA60*(1+DC60/100))</f>
        <v>4.0795361517932864</v>
      </c>
      <c r="DE60" s="1291">
        <f ca="1">+DF60/DD60*100-100</f>
        <v>0.44671373236153045</v>
      </c>
      <c r="DF60" s="1214">
        <f ca="1">OFFSET('VVP2'!$G$206,0,(COLUMN()-6)/5)</f>
        <v>4.0977600000000001</v>
      </c>
      <c r="DG60" s="1266">
        <f ca="1">(DF60/DA60-1)*100</f>
        <v>0.53015713356967531</v>
      </c>
      <c r="DH60" s="1473">
        <f ca="1">IF(UPPER($F$2)="Y",(DI60/DF60-1)*100,OFFSET('VVP2'!$G$37,0,(COLUMN()-7)/5))</f>
        <v>-6.6149115453877805</v>
      </c>
      <c r="DI60" s="1474">
        <f ca="1">IF(UPPER($F$2)="Y",+DI58+DI59,DF60*(1+DH60/100))</f>
        <v>3.8266968006577176</v>
      </c>
      <c r="DJ60" s="1291">
        <f ca="1">+DK60/DI60*100-100</f>
        <v>-1.0859705595325835</v>
      </c>
      <c r="DK60" s="1214">
        <f ca="1">OFFSET('VVP2'!$G$206,0,(COLUMN()-6)/5)</f>
        <v>3.7851399999999997</v>
      </c>
      <c r="DL60" s="1266">
        <f ca="1">(DK60/DF60-1)*100</f>
        <v>-7.6290461129983278</v>
      </c>
      <c r="DM60" s="1473">
        <f ca="1">IF(UPPER($F$2)="Y",(DN60/DK60-1)*100,OFFSET('VVP2'!$G$37,0,(COLUMN()-7)/5))</f>
        <v>4.536354102938045</v>
      </c>
      <c r="DN60" s="1474">
        <f ca="1">IF(UPPER($F$2)="Y",+DN58+DN59,DK60*(1+DM60/100))</f>
        <v>3.9568473536919488</v>
      </c>
      <c r="DO60" s="1291">
        <f ca="1">+DP60/DN60*100-100</f>
        <v>3.5652789632236761</v>
      </c>
      <c r="DP60" s="1214">
        <f ca="1">OFFSET('VVP2'!$G$206,0,(COLUMN()-6)/5)</f>
        <v>4.0979200000000002</v>
      </c>
      <c r="DQ60" s="1266">
        <f ca="1">(DP60/DK60-1)*100</f>
        <v>8.263366744691103</v>
      </c>
      <c r="DR60" s="1497">
        <f ca="1">IF(UPPER($F$2)="Y",(DS60/DP60-1)*100,OFFSET('VVP2'!$G$37,0,(COLUMN()-7)/5))</f>
        <v>5.6757013314071347</v>
      </c>
      <c r="DS60" s="1496">
        <f ca="1">IF(UPPER($F$2)="Y",+DS58+DS59,DP60*(1+DR60/100))</f>
        <v>4.3305056999999998</v>
      </c>
      <c r="DT60" s="1498">
        <f ca="1">+DU60/DS60*100-100</f>
        <v>3.2999999999999972</v>
      </c>
      <c r="DU60" s="1211">
        <f ca="1">+DU58+DU59</f>
        <v>4.473412388099999</v>
      </c>
      <c r="DV60" s="1403">
        <f ca="1">(DU60/DP60-1)*100</f>
        <v>9.1629994753435575</v>
      </c>
      <c r="DW60" s="1497">
        <f ca="1">IF(UPPER($F$2)="Y",(DX60/DU60-1)*100,OFFSET('VVP2'!$G$37,0,(COLUMN()-7)/5))</f>
        <v>4.065761461761852</v>
      </c>
      <c r="DX60" s="1496">
        <f ca="1">IF(UPPER($F$2)="Y",+DX58+DX59,DU60*(1+DW60/100))</f>
        <v>4.6552906650010488</v>
      </c>
      <c r="DY60" s="1498">
        <f ca="1">+DZ60/DX60*100-100</f>
        <v>3.2999999999999972</v>
      </c>
      <c r="DZ60" s="1211">
        <f ca="1">+DZ58+DZ59</f>
        <v>4.8089152569460829</v>
      </c>
      <c r="EA60" s="1403">
        <f ca="1">(DZ60/DU60-1)*100</f>
        <v>7.4999315899999752</v>
      </c>
    </row>
    <row r="61" spans="1:145" ht="12.75" customHeight="1">
      <c r="C61" s="1079"/>
      <c r="D61" s="1058" t="s">
        <v>687</v>
      </c>
      <c r="E61" s="1038" t="s">
        <v>1445</v>
      </c>
      <c r="F61" s="1058" t="s">
        <v>2055</v>
      </c>
      <c r="G61" s="1261"/>
      <c r="H61" s="1273"/>
      <c r="I61" s="1197"/>
      <c r="J61" s="1273"/>
      <c r="K61" s="1275"/>
      <c r="L61" s="1277"/>
      <c r="M61" s="1273"/>
      <c r="N61" s="1292"/>
      <c r="O61" s="1273"/>
      <c r="P61" s="1282"/>
      <c r="Q61" s="1277"/>
      <c r="R61" s="1273"/>
      <c r="S61" s="1292"/>
      <c r="T61" s="1273"/>
      <c r="U61" s="1282"/>
      <c r="V61" s="1277"/>
      <c r="W61" s="1273"/>
      <c r="X61" s="1292"/>
      <c r="Y61" s="1273"/>
      <c r="Z61" s="1282"/>
      <c r="AA61" s="1277"/>
      <c r="AB61" s="1273"/>
      <c r="AC61" s="1292"/>
      <c r="AD61" s="1273"/>
      <c r="AE61" s="1282"/>
      <c r="AF61" s="1277"/>
      <c r="AG61" s="1273"/>
      <c r="AH61" s="1292"/>
      <c r="AI61" s="1273"/>
      <c r="AJ61" s="1282"/>
      <c r="AK61" s="1277"/>
      <c r="AL61" s="1273"/>
      <c r="AM61" s="1292"/>
      <c r="AN61" s="1273"/>
      <c r="AO61" s="1282"/>
      <c r="AP61" s="1277"/>
      <c r="AQ61" s="1273"/>
      <c r="AR61" s="1292"/>
      <c r="AS61" s="1273"/>
      <c r="AT61" s="1282"/>
      <c r="AU61" s="1277"/>
      <c r="AV61" s="1273"/>
      <c r="AW61" s="1292"/>
      <c r="AX61" s="1273"/>
      <c r="AY61" s="1282"/>
      <c r="AZ61" s="1277"/>
      <c r="BA61" s="1273"/>
      <c r="BB61" s="1292"/>
      <c r="BC61" s="1273"/>
      <c r="BD61" s="1282"/>
      <c r="BE61" s="1277"/>
      <c r="BF61" s="1273"/>
      <c r="BG61" s="1292"/>
      <c r="BH61" s="1273"/>
      <c r="BI61" s="1282"/>
      <c r="BJ61" s="1277"/>
      <c r="BK61" s="1273"/>
      <c r="BL61" s="1292"/>
      <c r="BM61" s="1273"/>
      <c r="BN61" s="1282"/>
      <c r="BO61" s="1277"/>
      <c r="BP61" s="1273"/>
      <c r="BQ61" s="1292"/>
      <c r="BR61" s="1273"/>
      <c r="BS61" s="1282"/>
      <c r="BT61" s="1277"/>
      <c r="BU61" s="1273"/>
      <c r="BV61" s="1292"/>
      <c r="BW61" s="1273"/>
      <c r="BX61" s="1282"/>
      <c r="BY61" s="1277"/>
      <c r="BZ61" s="1273"/>
      <c r="CA61" s="1292"/>
      <c r="CB61" s="1273"/>
      <c r="CC61" s="1282"/>
      <c r="CD61" s="1277"/>
      <c r="CE61" s="1273"/>
      <c r="CF61" s="1292"/>
      <c r="CG61" s="1273"/>
      <c r="CH61" s="1282"/>
      <c r="CI61" s="1277"/>
      <c r="CJ61" s="1273"/>
      <c r="CK61" s="1292"/>
      <c r="CL61" s="1273"/>
      <c r="CM61" s="1282"/>
      <c r="CN61" s="1277"/>
      <c r="CO61" s="1273"/>
      <c r="CP61" s="1292"/>
      <c r="CQ61" s="1273"/>
      <c r="CR61" s="1282"/>
      <c r="CS61" s="1277"/>
      <c r="CT61" s="1273"/>
      <c r="CU61" s="1292"/>
      <c r="CV61" s="1273"/>
      <c r="CW61" s="1282"/>
      <c r="CX61" s="1277"/>
      <c r="CY61" s="1273"/>
      <c r="CZ61" s="1292"/>
      <c r="DA61" s="1273"/>
      <c r="DB61" s="1282"/>
      <c r="DC61" s="1277"/>
      <c r="DD61" s="1273"/>
      <c r="DE61" s="1292"/>
      <c r="DF61" s="1273"/>
      <c r="DG61" s="1282"/>
      <c r="DH61" s="1277"/>
      <c r="DI61" s="1273"/>
      <c r="DJ61" s="1292"/>
      <c r="DK61" s="1273"/>
      <c r="DL61" s="1282"/>
      <c r="DM61" s="1277"/>
      <c r="DN61" s="1414"/>
      <c r="DO61" s="1292"/>
      <c r="DP61" s="1414"/>
      <c r="DQ61" s="1282"/>
      <c r="DR61" s="1277"/>
      <c r="DS61" s="1414"/>
      <c r="DT61" s="1292"/>
      <c r="DU61" s="1414"/>
      <c r="DV61" s="1282"/>
      <c r="DW61" s="1277"/>
      <c r="DX61" s="1414"/>
      <c r="DY61" s="1292"/>
      <c r="DZ61" s="1414"/>
      <c r="EA61" s="1282"/>
    </row>
    <row r="62" spans="1:145">
      <c r="C62" s="1080" t="s">
        <v>1767</v>
      </c>
      <c r="D62" s="1070" t="s">
        <v>1447</v>
      </c>
      <c r="E62" s="1" t="s">
        <v>1445</v>
      </c>
      <c r="F62" s="3" t="s">
        <v>2056</v>
      </c>
      <c r="G62" s="1204"/>
      <c r="H62" s="1274"/>
      <c r="I62" s="1198"/>
      <c r="J62" s="1274"/>
      <c r="K62" s="1276"/>
      <c r="L62" s="1278"/>
      <c r="M62" s="1274"/>
      <c r="N62" s="1293"/>
      <c r="O62" s="1274"/>
      <c r="P62" s="1283"/>
      <c r="Q62" s="1278"/>
      <c r="R62" s="1274"/>
      <c r="S62" s="1293"/>
      <c r="T62" s="1274"/>
      <c r="U62" s="1283"/>
      <c r="V62" s="1278"/>
      <c r="W62" s="1274"/>
      <c r="X62" s="1293"/>
      <c r="Y62" s="1274"/>
      <c r="Z62" s="1283"/>
      <c r="AA62" s="1278"/>
      <c r="AB62" s="1274"/>
      <c r="AC62" s="1293"/>
      <c r="AD62" s="1274"/>
      <c r="AE62" s="1283"/>
      <c r="AF62" s="1278"/>
      <c r="AG62" s="1274"/>
      <c r="AH62" s="1293"/>
      <c r="AI62" s="1274"/>
      <c r="AJ62" s="1283"/>
      <c r="AK62" s="1278"/>
      <c r="AL62" s="1274"/>
      <c r="AM62" s="1293"/>
      <c r="AN62" s="1274"/>
      <c r="AO62" s="1283"/>
      <c r="AP62" s="1278"/>
      <c r="AQ62" s="1274"/>
      <c r="AR62" s="1293"/>
      <c r="AS62" s="1274"/>
      <c r="AT62" s="1283"/>
      <c r="AU62" s="1278"/>
      <c r="AV62" s="1274"/>
      <c r="AW62" s="1293"/>
      <c r="AX62" s="1274"/>
      <c r="AY62" s="1283"/>
      <c r="AZ62" s="1278"/>
      <c r="BA62" s="1274"/>
      <c r="BB62" s="1293"/>
      <c r="BC62" s="1274"/>
      <c r="BD62" s="1283"/>
      <c r="BE62" s="1278"/>
      <c r="BF62" s="1274"/>
      <c r="BG62" s="1293"/>
      <c r="BH62" s="1274"/>
      <c r="BI62" s="1283"/>
      <c r="BJ62" s="1278"/>
      <c r="BK62" s="1274"/>
      <c r="BL62" s="1293"/>
      <c r="BM62" s="1274"/>
      <c r="BN62" s="1283"/>
      <c r="BO62" s="1278"/>
      <c r="BP62" s="1274"/>
      <c r="BQ62" s="1293"/>
      <c r="BR62" s="1274"/>
      <c r="BS62" s="1283"/>
      <c r="BT62" s="1278"/>
      <c r="BU62" s="1274"/>
      <c r="BV62" s="1293"/>
      <c r="BW62" s="1274"/>
      <c r="BX62" s="1283"/>
      <c r="BY62" s="1278"/>
      <c r="BZ62" s="1274"/>
      <c r="CA62" s="1293"/>
      <c r="CB62" s="1274"/>
      <c r="CC62" s="1283"/>
      <c r="CD62" s="1278"/>
      <c r="CE62" s="1274"/>
      <c r="CF62" s="1293"/>
      <c r="CG62" s="1274"/>
      <c r="CH62" s="1283"/>
      <c r="CI62" s="1278"/>
      <c r="CJ62" s="1274"/>
      <c r="CK62" s="1293"/>
      <c r="CL62" s="1274"/>
      <c r="CM62" s="1283"/>
      <c r="CN62" s="1278"/>
      <c r="CO62" s="1274"/>
      <c r="CP62" s="1293"/>
      <c r="CQ62" s="1274"/>
      <c r="CR62" s="1283"/>
      <c r="CS62" s="1278"/>
      <c r="CT62" s="1274"/>
      <c r="CU62" s="1293"/>
      <c r="CV62" s="1274"/>
      <c r="CW62" s="1283"/>
      <c r="CX62" s="1278"/>
      <c r="CY62" s="1274"/>
      <c r="CZ62" s="1293"/>
      <c r="DA62" s="1274"/>
      <c r="DB62" s="1283"/>
      <c r="DC62" s="1278"/>
      <c r="DD62" s="1274"/>
      <c r="DE62" s="1293"/>
      <c r="DF62" s="1274"/>
      <c r="DG62" s="1283"/>
      <c r="DH62" s="1278"/>
      <c r="DI62" s="1274"/>
      <c r="DJ62" s="1293"/>
      <c r="DK62" s="1274"/>
      <c r="DL62" s="1283"/>
      <c r="DM62" s="1278"/>
      <c r="DN62" s="1415"/>
      <c r="DO62" s="1293"/>
      <c r="DP62" s="1415"/>
      <c r="DQ62" s="1283"/>
      <c r="DR62" s="1278"/>
      <c r="DS62" s="1415"/>
      <c r="DT62" s="1293"/>
      <c r="DU62" s="1415"/>
      <c r="DV62" s="1283"/>
      <c r="DW62" s="1278"/>
      <c r="DX62" s="1415"/>
      <c r="DY62" s="1293"/>
      <c r="DZ62" s="1415"/>
      <c r="EA62" s="1283"/>
    </row>
    <row r="63" spans="1:145">
      <c r="C63" s="1081" t="s">
        <v>1769</v>
      </c>
      <c r="D63" s="1262"/>
      <c r="E63" s="1262" t="s">
        <v>1445</v>
      </c>
      <c r="F63" s="1263" t="s">
        <v>2057</v>
      </c>
      <c r="G63" s="1370"/>
      <c r="H63" s="1371"/>
      <c r="I63" s="1371"/>
      <c r="J63" s="1214">
        <f ca="1">OFFSET('VVP2'!$G$210,0,(COLUMN()-6)/5)</f>
        <v>0.57979999999999998</v>
      </c>
      <c r="K63" s="1374"/>
      <c r="L63" s="1264">
        <f ca="1">OFFSET('VVP2'!$G$40,0,(COLUMN()-7)/5)</f>
        <v>52.257473213952196</v>
      </c>
      <c r="M63" s="1265">
        <f ca="1">+J63*(1+L63/100)</f>
        <v>0.88278882969449479</v>
      </c>
      <c r="N63" s="1291">
        <f ca="1">+O63/M63*100-100</f>
        <v>-6.2018036310497564</v>
      </c>
      <c r="O63" s="1214">
        <f ca="1">OFFSET('VVP2'!$G$210,0,(COLUMN()-6)/5)</f>
        <v>0.82804</v>
      </c>
      <c r="P63" s="1266">
        <f ca="1">(O63/J63-1)*100</f>
        <v>42.814763711624693</v>
      </c>
      <c r="Q63" s="1264">
        <f ca="1">OFFSET('VVP2'!$G$40,0,(COLUMN()-7)/5)</f>
        <v>36.034356894988747</v>
      </c>
      <c r="R63" s="1265">
        <f ca="1">+O63*(1+Q63/100)</f>
        <v>1.1264188888332649</v>
      </c>
      <c r="S63" s="1291">
        <f ca="1">+T63/R63*100-100</f>
        <v>0.53187239899187944</v>
      </c>
      <c r="T63" s="1214">
        <f ca="1">OFFSET('VVP2'!$G$210,0,(COLUMN()-6)/5)</f>
        <v>1.1324100000000001</v>
      </c>
      <c r="U63" s="1266">
        <f ca="1">(T63/O63-1)*100</f>
        <v>36.757886092459316</v>
      </c>
      <c r="V63" s="1264">
        <f ca="1">OFFSET('VVP2'!$G$40,0,(COLUMN()-7)/5)</f>
        <v>19.038247769712036</v>
      </c>
      <c r="W63" s="1265">
        <f ca="1">+T63*(1+V63/100)</f>
        <v>1.3480010215689961</v>
      </c>
      <c r="X63" s="1291">
        <f ca="1">+Y63/W63*100-100</f>
        <v>-7.4333045721558761</v>
      </c>
      <c r="Y63" s="1214">
        <f ca="1">OFFSET('VVP2'!$G$210,0,(COLUMN()-6)/5)</f>
        <v>1.2478</v>
      </c>
      <c r="Z63" s="1266">
        <f ca="1">(Y63/T63-1)*100</f>
        <v>10.18977225563178</v>
      </c>
      <c r="AA63" s="1264">
        <f ca="1">OFFSET('VVP2'!$G$40,0,(COLUMN()-7)/5)</f>
        <v>-3.6835902604232529</v>
      </c>
      <c r="AB63" s="1265">
        <f ca="1">+Y63*(1+AA63/100)</f>
        <v>1.2018361607304386</v>
      </c>
      <c r="AC63" s="1291">
        <f ca="1">+AD63/AB63*100-100</f>
        <v>-12.059560651124926</v>
      </c>
      <c r="AD63" s="1214">
        <f ca="1">OFFSET('VVP2'!$G$210,0,(COLUMN()-6)/5)</f>
        <v>1.0569000000000002</v>
      </c>
      <c r="AE63" s="1266">
        <f ca="1">(AD63/Y63-1)*100</f>
        <v>-15.298926109953504</v>
      </c>
      <c r="AF63" s="1264">
        <f ca="1">OFFSET('VVP2'!$G$40,0,(COLUMN()-7)/5)</f>
        <v>-2.309679981313939</v>
      </c>
      <c r="AG63" s="1265">
        <f ca="1">+AD63*(1+AF63/100)</f>
        <v>1.0324889922774931</v>
      </c>
      <c r="AH63" s="1291">
        <f ca="1">+AI63/AG63*100-100</f>
        <v>-4.3679877088096219</v>
      </c>
      <c r="AI63" s="1214">
        <f ca="1">OFFSET('VVP2'!$G$210,0,(COLUMN()-6)/5)</f>
        <v>0.98738999999999999</v>
      </c>
      <c r="AJ63" s="1266">
        <f ca="1">(AI63/AD63-1)*100</f>
        <v>-6.5767811524269248</v>
      </c>
      <c r="AK63" s="1264">
        <f ca="1">OFFSET('VVP2'!$G$40,0,(COLUMN()-7)/5)</f>
        <v>23.231395350328366</v>
      </c>
      <c r="AL63" s="1265">
        <f ca="1">+AI63*(1+AK63/100)</f>
        <v>1.2167744745496072</v>
      </c>
      <c r="AM63" s="1291">
        <f ca="1">+AN63/AL63*100-100</f>
        <v>-1.0095933804129373</v>
      </c>
      <c r="AN63" s="1214">
        <f ca="1">OFFSET('VVP2'!$G$210,0,(COLUMN()-6)/5)</f>
        <v>1.2044900000000001</v>
      </c>
      <c r="AO63" s="1266">
        <f ca="1">(AN63/AI63-1)*100</f>
        <v>21.987259340280939</v>
      </c>
      <c r="AP63" s="1264">
        <f ca="1">OFFSET('VVP2'!$G$40,0,(COLUMN()-7)/5)</f>
        <v>10.162245652709823</v>
      </c>
      <c r="AQ63" s="1265">
        <f ca="1">+AN63*(1+AP63/100)</f>
        <v>1.3268932326623246</v>
      </c>
      <c r="AR63" s="1291">
        <f ca="1">+AS63/AQ63*100-100</f>
        <v>-3.79934356596074</v>
      </c>
      <c r="AS63" s="1214">
        <f ca="1">OFFSET('VVP2'!$G$210,0,(COLUMN()-6)/5)</f>
        <v>1.2764800000000001</v>
      </c>
      <c r="AT63" s="1266">
        <f ca="1">(AS63/AN63-1)*100</f>
        <v>5.9768034603857156</v>
      </c>
      <c r="AU63" s="1264">
        <f ca="1">OFFSET('VVP2'!$G$40,0,(COLUMN()-7)/5)</f>
        <v>6.7751830455098361</v>
      </c>
      <c r="AV63" s="1265">
        <f ca="1">+AS63*(1+AU63/100)</f>
        <v>1.3629638565393241</v>
      </c>
      <c r="AW63" s="1291">
        <f ca="1">+AX63/AV63*100-100</f>
        <v>-1.9188958249950048</v>
      </c>
      <c r="AX63" s="1214">
        <f ca="1">OFFSET('VVP2'!$G$210,0,(COLUMN()-6)/5)</f>
        <v>1.3368100000000001</v>
      </c>
      <c r="AY63" s="1266">
        <f ca="1">(AX63/AS63-1)*100</f>
        <v>4.7262785159187803</v>
      </c>
      <c r="AZ63" s="1264">
        <f ca="1">OFFSET('VVP2'!$G$40,0,(COLUMN()-7)/5)</f>
        <v>32.369529968370124</v>
      </c>
      <c r="BA63" s="1265">
        <f ca="1">+AX63*(1+AZ63/100)</f>
        <v>1.7695291135701687</v>
      </c>
      <c r="BB63" s="1291">
        <f ca="1">+BC63/BA63*100-100</f>
        <v>-7.4335659448279898</v>
      </c>
      <c r="BC63" s="1214">
        <f ca="1">OFFSET('VVP2'!$G$210,0,(COLUMN()-6)/5)</f>
        <v>1.6379900000000001</v>
      </c>
      <c r="BD63" s="1266">
        <f ca="1">(BC63/AX63-1)*100</f>
        <v>22.529753667312491</v>
      </c>
      <c r="BE63" s="1264">
        <f ca="1">OFFSET('VVP2'!$G$40,0,(COLUMN()-7)/5)</f>
        <v>12.050540793556387</v>
      </c>
      <c r="BF63" s="1265">
        <f ca="1">+BC63*(1+BE63/100)</f>
        <v>1.8353766531443743</v>
      </c>
      <c r="BG63" s="1291">
        <f ca="1">+BH63/BF63*100-100</f>
        <v>1.1775973513991005</v>
      </c>
      <c r="BH63" s="1214">
        <f ca="1">OFFSET('VVP2'!$G$210,0,(COLUMN()-6)/5)</f>
        <v>1.8569899999999999</v>
      </c>
      <c r="BI63" s="1266">
        <f ca="1">(BH63/BC63-1)*100</f>
        <v>13.370044994169671</v>
      </c>
      <c r="BJ63" s="1264">
        <f ca="1">OFFSET('VVP2'!$G$40,0,(COLUMN()-7)/5)</f>
        <v>17.052178025327102</v>
      </c>
      <c r="BK63" s="1265">
        <f ca="1">+BH63*(1+BJ63/100)</f>
        <v>2.1736472407125218</v>
      </c>
      <c r="BL63" s="1291">
        <f ca="1">+BM63/BK63*100-100</f>
        <v>-0.58184421444465784</v>
      </c>
      <c r="BM63" s="1214">
        <f ca="1">OFFSET('VVP2'!$G$210,0,(COLUMN()-6)/5)</f>
        <v>2.161</v>
      </c>
      <c r="BN63" s="1266">
        <f ca="1">(BM63/BH63-1)*100</f>
        <v>16.371116699605292</v>
      </c>
      <c r="BO63" s="1264">
        <f ca="1">OFFSET('VVP2'!$G$40,0,(COLUMN()-7)/5)</f>
        <v>23.206381698853495</v>
      </c>
      <c r="BP63" s="1265">
        <f ca="1">+BM63*(1+BO63/100)</f>
        <v>2.662489908512224</v>
      </c>
      <c r="BQ63" s="1291">
        <f ca="1">+BR63/BP63*100-100</f>
        <v>2.0935324978911751</v>
      </c>
      <c r="BR63" s="1214">
        <f ca="1">OFFSET('VVP2'!$G$210,0,(COLUMN()-6)/5)</f>
        <v>2.7182300000000001</v>
      </c>
      <c r="BS63" s="1266">
        <f ca="1">(BR63/BM63-1)*100</f>
        <v>25.785747339194831</v>
      </c>
      <c r="BT63" s="1264">
        <f ca="1">OFFSET('VVP2'!$G$40,0,(COLUMN()-7)/5)</f>
        <v>-17.458472547612203</v>
      </c>
      <c r="BU63" s="1265">
        <f ca="1">+BR63*(1+BT63/100)</f>
        <v>2.2436685616690411</v>
      </c>
      <c r="BV63" s="1291">
        <f ca="1">+BW63/BU63*100-100</f>
        <v>2.924738504253213</v>
      </c>
      <c r="BW63" s="1214">
        <f ca="1">OFFSET('VVP2'!$G$210,0,(COLUMN()-6)/5)</f>
        <v>2.3092899999999998</v>
      </c>
      <c r="BX63" s="1266">
        <f ca="1">(BW63/BR63-1)*100</f>
        <v>-15.044348712213473</v>
      </c>
      <c r="BY63" s="1264">
        <f ca="1">OFFSET('VVP2'!$G$40,0,(COLUMN()-7)/5)</f>
        <v>-49.870884299089333</v>
      </c>
      <c r="BZ63" s="1265">
        <f ca="1">+BW63*(1+BY63/100)</f>
        <v>1.1576266559695598</v>
      </c>
      <c r="CA63" s="1291">
        <f ca="1">+CB63/BZ63*100-100</f>
        <v>-0.80394278427920085</v>
      </c>
      <c r="CB63" s="1214">
        <f ca="1">OFFSET('VVP2'!$G$210,0,(COLUMN()-6)/5)</f>
        <v>1.14832</v>
      </c>
      <c r="CC63" s="1266">
        <f ca="1">(CB63/BW63-1)*100</f>
        <v>-50.273893707589764</v>
      </c>
      <c r="CD63" s="1264">
        <f ca="1">OFFSET('VVP2'!$G$40,0,(COLUMN()-7)/5)</f>
        <v>20.712732139869484</v>
      </c>
      <c r="CE63" s="1265">
        <f ca="1">+CB63*(1+CD63/100)</f>
        <v>1.3861684457085492</v>
      </c>
      <c r="CF63" s="1291">
        <f ca="1">+CG63/CE63*100-100</f>
        <v>-1.105092657099064</v>
      </c>
      <c r="CG63" s="1214">
        <f ca="1">OFFSET('VVP2'!$G$210,0,(COLUMN()-6)/5)</f>
        <v>1.3708499999999999</v>
      </c>
      <c r="CH63" s="1266">
        <f ca="1">(CG63/CB63-1)*100</f>
        <v>19.37874460080813</v>
      </c>
      <c r="CI63" s="1264">
        <f ca="1">OFFSET('VVP2'!$G$40,0,(COLUMN()-7)/5)</f>
        <v>36.353357405988994</v>
      </c>
      <c r="CJ63" s="1265">
        <f ca="1">+CG63*(1+CI63/100)</f>
        <v>1.8692</v>
      </c>
      <c r="CK63" s="1291">
        <f ca="1">+CL63/CJ63*100-100</f>
        <v>0.63556601754761743</v>
      </c>
      <c r="CL63" s="1214">
        <f ca="1">OFFSET('VVP2'!$G$210,0,(COLUMN()-6)/5)</f>
        <v>1.8810799999999999</v>
      </c>
      <c r="CM63" s="1266">
        <f ca="1">(CL63/CG63-1)*100</f>
        <v>37.219973009446683</v>
      </c>
      <c r="CN63" s="1264">
        <f ca="1">OFFSET('VVP2'!$G$40,0,(COLUMN()-7)/5)</f>
        <v>2.0960838861545206</v>
      </c>
      <c r="CO63" s="1265">
        <f ca="1">+CL63*(1+CN63/100)</f>
        <v>1.9205090147656754</v>
      </c>
      <c r="CP63" s="1291">
        <f ca="1">+CQ63/CO63*100-100</f>
        <v>1.2012953366500767</v>
      </c>
      <c r="CQ63" s="1214">
        <f ca="1">OFFSET('VVP2'!$G$210,0,(COLUMN()-6)/5)</f>
        <v>1.9435799999999999</v>
      </c>
      <c r="CR63" s="1266">
        <f ca="1">(CQ63/CL63-1)*100</f>
        <v>3.3225593807812537</v>
      </c>
      <c r="CS63" s="1264">
        <f ca="1">OFFSET('VVP2'!$G$40,0,(COLUMN()-7)/5)</f>
        <v>12.348693656399657</v>
      </c>
      <c r="CT63" s="1265">
        <f ca="1">+CQ63*(1+CS63/100)</f>
        <v>2.1835867401670521</v>
      </c>
      <c r="CU63" s="1291">
        <f ca="1">+CV63/CT63*100-100</f>
        <v>0.24561698119384801</v>
      </c>
      <c r="CV63" s="1214">
        <f ca="1">OFFSET('VVP2'!$G$210,0,(COLUMN()-6)/5)</f>
        <v>2.1889499999999997</v>
      </c>
      <c r="CW63" s="1266">
        <f ca="1">(CV63/CQ63-1)*100</f>
        <v>12.624641126169234</v>
      </c>
      <c r="CX63" s="1264">
        <f ca="1">OFFSET('VVP2'!$G$40,0,(COLUMN()-7)/5)</f>
        <v>-0.21174978078767337</v>
      </c>
      <c r="CY63" s="1265">
        <f ca="1">+CV63*(1+CX63/100)</f>
        <v>2.1843149031734481</v>
      </c>
      <c r="CZ63" s="1291">
        <f ca="1">+DA63/CY63*100-100</f>
        <v>-0.57065504407530909</v>
      </c>
      <c r="DA63" s="1214">
        <f ca="1">OFFSET('VVP2'!$G$210,0,(COLUMN()-6)/5)</f>
        <v>2.1718500000000001</v>
      </c>
      <c r="DB63" s="1266">
        <f ca="1">(DA63/CV63-1)*100</f>
        <v>-0.78119646405809817</v>
      </c>
      <c r="DC63" s="1264">
        <f ca="1">OFFSET('VVP2'!$G$40,0,(COLUMN()-7)/5)</f>
        <v>13.386772610423003</v>
      </c>
      <c r="DD63" s="1265">
        <f ca="1">+DA63*(1+DC63/100)</f>
        <v>2.4625906209394719</v>
      </c>
      <c r="DE63" s="1291">
        <f ca="1">+DF63/DD63*100-100</f>
        <v>0.46899305805534652</v>
      </c>
      <c r="DF63" s="1214">
        <f ca="1">OFFSET('VVP2'!$G$210,0,(COLUMN()-6)/5)</f>
        <v>2.4741399999999998</v>
      </c>
      <c r="DG63" s="1266">
        <f ca="1">(DF63/DA63-1)*100</f>
        <v>13.918548702718869</v>
      </c>
      <c r="DH63" s="1264">
        <f ca="1">OFFSET('VVP2'!$G$40,0,(COLUMN()-7)/5)</f>
        <v>8.9751886920784294</v>
      </c>
      <c r="DI63" s="1265">
        <f ca="1">+DF63*(1+DH63/100)</f>
        <v>2.696198733506189</v>
      </c>
      <c r="DJ63" s="1291">
        <f ca="1">+DK63/DI63*100-100</f>
        <v>-0.5069631305854756</v>
      </c>
      <c r="DK63" s="1214">
        <f ca="1">OFFSET('VVP2'!$G$210,0,(COLUMN()-6)/5)</f>
        <v>2.6825300000000003</v>
      </c>
      <c r="DL63" s="1266">
        <f ca="1">(DK63/DF63-1)*100</f>
        <v>8.4227246639236419</v>
      </c>
      <c r="DM63" s="1264">
        <f ca="1">OFFSET('VVP2'!$G$40,0,(COLUMN()-7)/5)</f>
        <v>8.8692106338230658</v>
      </c>
      <c r="DN63" s="1265">
        <f ca="1">+DK63*(1+DM63/100)</f>
        <v>2.9204492360154943</v>
      </c>
      <c r="DO63" s="1291">
        <f ca="1">+DP63/DN63*100-100</f>
        <v>-2.0702032848200389</v>
      </c>
      <c r="DP63" s="1214">
        <f ca="1">OFFSET('VVP2'!$G$210,0,(COLUMN()-6)/5)</f>
        <v>2.8599899999999998</v>
      </c>
      <c r="DQ63" s="1266">
        <f ca="1">(DP63/DK63-1)*100</f>
        <v>6.6153966591240065</v>
      </c>
      <c r="DR63" s="2242">
        <v>8.5</v>
      </c>
      <c r="DS63" s="1207">
        <f ca="1">+DP63*(1+DR63/100)</f>
        <v>3.1030891499999997</v>
      </c>
      <c r="DT63" s="2244">
        <v>1.5</v>
      </c>
      <c r="DU63" s="1210">
        <f ca="1">+DS63*(1+DT63/100)</f>
        <v>3.1496354872499994</v>
      </c>
      <c r="DV63" s="1217">
        <f ca="1">(DU63/DP63-1)*100</f>
        <v>10.127499999999978</v>
      </c>
      <c r="DW63" s="2242">
        <v>4.2</v>
      </c>
      <c r="DX63" s="1207">
        <f ca="1">+DU63*(1+DW63/100)</f>
        <v>3.2819201777144995</v>
      </c>
      <c r="DY63" s="2244">
        <v>1.5</v>
      </c>
      <c r="DZ63" s="1210">
        <f ca="1">+DX63*(1+DY63/100)</f>
        <v>3.3311489803802168</v>
      </c>
      <c r="EA63" s="1217">
        <f ca="1">(DZ63/DU63-1)*100</f>
        <v>5.763000000000007</v>
      </c>
    </row>
    <row r="64" spans="1:145">
      <c r="C64" s="1082" t="s">
        <v>1769</v>
      </c>
      <c r="D64" s="1267"/>
      <c r="E64" s="1267" t="s">
        <v>1446</v>
      </c>
      <c r="F64" s="1268" t="s">
        <v>743</v>
      </c>
      <c r="G64" s="1372"/>
      <c r="H64" s="1373"/>
      <c r="I64" s="1373"/>
      <c r="J64" s="1269">
        <f ca="1">OFFSET('VVP2'!$G$211,0,(COLUMN()-6)/5)</f>
        <v>7.2520000000000001E-2</v>
      </c>
      <c r="K64" s="1375"/>
      <c r="L64" s="1270">
        <f ca="1">OFFSET('VVP2'!$G$41,0,(COLUMN()-7)/5)</f>
        <v>7.0010775921349966</v>
      </c>
      <c r="M64" s="1271">
        <f ca="1">+J64*(1+L64/100)</f>
        <v>7.7597181469816298E-2</v>
      </c>
      <c r="N64" s="1294">
        <f ca="1">+O64/M64*100-100</f>
        <v>17.336736045518037</v>
      </c>
      <c r="O64" s="1269">
        <f ca="1">OFFSET('VVP2'!$G$211,0,(COLUMN()-6)/5)</f>
        <v>9.1049999999999992E-2</v>
      </c>
      <c r="P64" s="1272">
        <f ca="1">(O64/J64-1)*100</f>
        <v>25.551571980143393</v>
      </c>
      <c r="Q64" s="1270">
        <f ca="1">OFFSET('VVP2'!$G$41,0,(COLUMN()-7)/5)</f>
        <v>11.672211641179953</v>
      </c>
      <c r="R64" s="1271">
        <f ca="1">+O64*(1+Q64/100)</f>
        <v>0.10167754869929434</v>
      </c>
      <c r="S64" s="1294">
        <f ca="1">+T64/R64*100-100</f>
        <v>3.1397799627793717</v>
      </c>
      <c r="T64" s="1269">
        <f ca="1">OFFSET('VVP2'!$G$211,0,(COLUMN()-6)/5)</f>
        <v>0.10487</v>
      </c>
      <c r="U64" s="1272">
        <f ca="1">(T64/O64-1)*100</f>
        <v>15.178473366282287</v>
      </c>
      <c r="V64" s="1270">
        <f ca="1">OFFSET('VVP2'!$G$41,0,(COLUMN()-7)/5)</f>
        <v>3.3973109097837018</v>
      </c>
      <c r="W64" s="1271">
        <f ca="1">+T64*(1+V64/100)</f>
        <v>0.10843275995109017</v>
      </c>
      <c r="X64" s="1294">
        <f ca="1">+Y64/W64*100-100</f>
        <v>-11.428981385957599</v>
      </c>
      <c r="Y64" s="1269">
        <f ca="1">OFFSET('VVP2'!$G$211,0,(COLUMN()-6)/5)</f>
        <v>9.6039999999999986E-2</v>
      </c>
      <c r="Z64" s="1272">
        <f ca="1">(Y64/T64-1)*100</f>
        <v>-8.4199485076761889</v>
      </c>
      <c r="AA64" s="1270">
        <f ca="1">OFFSET('VVP2'!$G$41,0,(COLUMN()-7)/5)</f>
        <v>-3.4032499959780194</v>
      </c>
      <c r="AB64" s="1271">
        <f ca="1">+Y64*(1+AA64/100)</f>
        <v>9.2771518703862701E-2</v>
      </c>
      <c r="AC64" s="1294">
        <f ca="1">+AD64/AB64*100-100</f>
        <v>-6.1781016242262581</v>
      </c>
      <c r="AD64" s="1269">
        <f ca="1">OFFSET('VVP2'!$G$211,0,(COLUMN()-6)/5)</f>
        <v>8.7039999999999992E-2</v>
      </c>
      <c r="AE64" s="1272">
        <f ca="1">(AD64/Y64-1)*100</f>
        <v>-9.3710953769262755</v>
      </c>
      <c r="AF64" s="1270">
        <f ca="1">OFFSET('VVP2'!$G$41,0,(COLUMN()-7)/5)</f>
        <v>48.545623101290538</v>
      </c>
      <c r="AG64" s="1271">
        <f ca="1">+AD64*(1+AF64/100)</f>
        <v>0.12929411034736327</v>
      </c>
      <c r="AH64" s="1294">
        <f ca="1">+AI64/AG64*100-100</f>
        <v>43.873529505896471</v>
      </c>
      <c r="AI64" s="1269">
        <f ca="1">OFFSET('VVP2'!$G$211,0,(COLUMN()-6)/5)</f>
        <v>0.18602000000000002</v>
      </c>
      <c r="AJ64" s="1272">
        <f ca="1">(AI64/AD64-1)*100</f>
        <v>113.71783088235298</v>
      </c>
      <c r="AK64" s="1270">
        <f ca="1">OFFSET('VVP2'!$G$41,0,(COLUMN()-7)/5)</f>
        <v>-4.6057275694915916</v>
      </c>
      <c r="AL64" s="1271">
        <f ca="1">+AI64*(1+AK64/100)</f>
        <v>0.17745242557523175</v>
      </c>
      <c r="AM64" s="1294">
        <f ca="1">+AN64/AL64*100-100</f>
        <v>18.78676739227474</v>
      </c>
      <c r="AN64" s="1269">
        <f ca="1">OFFSET('VVP2'!$G$211,0,(COLUMN()-6)/5)</f>
        <v>0.21079000000000001</v>
      </c>
      <c r="AO64" s="1272">
        <f ca="1">(AN64/AI64-1)*100</f>
        <v>13.315772497580891</v>
      </c>
      <c r="AP64" s="1270">
        <f ca="1">OFFSET('VVP2'!$G$41,0,(COLUMN()-7)/5)</f>
        <v>8.4033625790541642</v>
      </c>
      <c r="AQ64" s="1271">
        <f ca="1">+AN64*(1+AP64/100)</f>
        <v>0.22850344798038827</v>
      </c>
      <c r="AR64" s="1294">
        <f ca="1">+AS64/AQ64*100-100</f>
        <v>-11.204840980161393</v>
      </c>
      <c r="AS64" s="1269">
        <f ca="1">OFFSET('VVP2'!$G$211,0,(COLUMN()-6)/5)</f>
        <v>0.20289999999999997</v>
      </c>
      <c r="AT64" s="1272">
        <f ca="1">(AS64/AN64-1)*100</f>
        <v>-3.7430618150766315</v>
      </c>
      <c r="AU64" s="1270">
        <f ca="1">OFFSET('VVP2'!$G$41,0,(COLUMN()-7)/5)</f>
        <v>2.3645301255766471</v>
      </c>
      <c r="AV64" s="1271">
        <f ca="1">+AS64*(1+AU64/100)</f>
        <v>0.20769763162479499</v>
      </c>
      <c r="AW64" s="1294">
        <f ca="1">+AX64/AV64*100-100</f>
        <v>10.473094086359438</v>
      </c>
      <c r="AX64" s="1269">
        <f ca="1">OFFSET('VVP2'!$G$211,0,(COLUMN()-6)/5)</f>
        <v>0.22945000000000002</v>
      </c>
      <c r="AY64" s="1272">
        <f ca="1">(AX64/AS64-1)*100</f>
        <v>13.085263676688053</v>
      </c>
      <c r="AZ64" s="1270">
        <f ca="1">OFFSET('VVP2'!$G$41,0,(COLUMN()-7)/5)</f>
        <v>5.6854829335765578</v>
      </c>
      <c r="BA64" s="1271">
        <f ca="1">+AX64*(1+AZ64/100)</f>
        <v>0.24249534059109143</v>
      </c>
      <c r="BB64" s="1294">
        <f ca="1">+BC64/BA64*100-100</f>
        <v>7.3422686660737924</v>
      </c>
      <c r="BC64" s="1269">
        <f ca="1">OFFSET('VVP2'!$G$211,0,(COLUMN()-6)/5)</f>
        <v>0.26030000000000003</v>
      </c>
      <c r="BD64" s="1272">
        <f ca="1">(BC64/AX64-1)*100</f>
        <v>13.445195031597311</v>
      </c>
      <c r="BE64" s="1270">
        <f ca="1">OFFSET('VVP2'!$G$41,0,(COLUMN()-7)/5)</f>
        <v>7.527367114321204</v>
      </c>
      <c r="BF64" s="1271">
        <f ca="1">+BC64*(1+BE64/100)</f>
        <v>0.27989373659857814</v>
      </c>
      <c r="BG64" s="1294">
        <f ca="1">+BH64/BF64*100-100</f>
        <v>17.437426072673972</v>
      </c>
      <c r="BH64" s="1269">
        <f ca="1">OFFSET('VVP2'!$G$211,0,(COLUMN()-6)/5)</f>
        <v>0.32870000000000005</v>
      </c>
      <c r="BI64" s="1272">
        <f ca="1">(BH64/BC64-1)*100</f>
        <v>26.277372262773735</v>
      </c>
      <c r="BJ64" s="1270">
        <f ca="1">OFFSET('VVP2'!$G$41,0,(COLUMN()-7)/5)</f>
        <v>11.851910159529799</v>
      </c>
      <c r="BK64" s="1271">
        <f ca="1">+BH64*(1+BJ64/100)</f>
        <v>0.3676572286943745</v>
      </c>
      <c r="BL64" s="1294">
        <f ca="1">+BM64/BK64*100-100</f>
        <v>17.394672622848944</v>
      </c>
      <c r="BM64" s="1269">
        <f ca="1">OFFSET('VVP2'!$G$211,0,(COLUMN()-6)/5)</f>
        <v>0.43160999999999999</v>
      </c>
      <c r="BN64" s="1272">
        <f ca="1">(BM64/BH64-1)*100</f>
        <v>31.308183754183116</v>
      </c>
      <c r="BO64" s="1270">
        <f ca="1">OFFSET('VVP2'!$G$41,0,(COLUMN()-7)/5)</f>
        <v>23.854652935794874</v>
      </c>
      <c r="BP64" s="1271">
        <f ca="1">+BM64*(1+BO64/100)</f>
        <v>0.53456906753618427</v>
      </c>
      <c r="BQ64" s="1294">
        <f ca="1">+BR64/BP64*100-100</f>
        <v>3.1391514180120055</v>
      </c>
      <c r="BR64" s="1269">
        <f ca="1">OFFSET('VVP2'!$G$211,0,(COLUMN()-6)/5)</f>
        <v>0.5513499999999999</v>
      </c>
      <c r="BS64" s="1272">
        <f ca="1">(BR64/BM64-1)*100</f>
        <v>27.742638029702714</v>
      </c>
      <c r="BT64" s="1270">
        <f ca="1">OFFSET('VVP2'!$G$41,0,(COLUMN()-7)/5)</f>
        <v>19.981817493086872</v>
      </c>
      <c r="BU64" s="1271">
        <f ca="1">+BR64*(1+BT64/100)</f>
        <v>0.66151975074813429</v>
      </c>
      <c r="BV64" s="1294">
        <f ca="1">+BW64/BU64*100-100</f>
        <v>-0.480673592064079</v>
      </c>
      <c r="BW64" s="1269">
        <f ca="1">OFFSET('VVP2'!$G$211,0,(COLUMN()-6)/5)</f>
        <v>0.65833999999999993</v>
      </c>
      <c r="BX64" s="1272">
        <f ca="1">(BW64/BR64-1)*100</f>
        <v>19.405096581119086</v>
      </c>
      <c r="BY64" s="1270">
        <f ca="1">OFFSET('VVP2'!$G$41,0,(COLUMN()-7)/5)</f>
        <v>-16.317800088400592</v>
      </c>
      <c r="BZ64" s="1271">
        <f ca="1">+BW64*(1+BY64/100)</f>
        <v>0.55091339489802349</v>
      </c>
      <c r="CA64" s="1294">
        <f ca="1">+CB64/BZ64*100-100</f>
        <v>-1.0025886008899505</v>
      </c>
      <c r="CB64" s="1269">
        <f ca="1">OFFSET('VVP2'!$G$211,0,(COLUMN()-6)/5)</f>
        <v>0.54539000000000004</v>
      </c>
      <c r="CC64" s="1272">
        <f ca="1">(CB64/BW64-1)*100</f>
        <v>-17.156788285688229</v>
      </c>
      <c r="CD64" s="1270">
        <f ca="1">OFFSET('VVP2'!$G$41,0,(COLUMN()-7)/5)</f>
        <v>10.060176189847381</v>
      </c>
      <c r="CE64" s="1271">
        <f ca="1">+CB64*(1+CD64/100)</f>
        <v>0.60025719492180862</v>
      </c>
      <c r="CF64" s="1294">
        <f ca="1">+CG64/CE64*100-100</f>
        <v>-2.8016648636755406</v>
      </c>
      <c r="CG64" s="1269">
        <f ca="1">OFFSET('VVP2'!$G$211,0,(COLUMN()-6)/5)</f>
        <v>0.58343999999999996</v>
      </c>
      <c r="CH64" s="1272">
        <f ca="1">(CG64/CB64-1)*100</f>
        <v>6.9766589046370342</v>
      </c>
      <c r="CI64" s="1270">
        <f ca="1">OFFSET('VVP2'!$G$41,0,(COLUMN()-7)/5)</f>
        <v>9.0292060880296177</v>
      </c>
      <c r="CJ64" s="1271">
        <f ca="1">+CG64*(1+CI64/100)</f>
        <v>0.63611999999999991</v>
      </c>
      <c r="CK64" s="1294">
        <f ca="1">+CL64/CJ64*100-100</f>
        <v>-5.2505816512607453</v>
      </c>
      <c r="CL64" s="1269">
        <f ca="1">OFFSET('VVP2'!$G$211,0,(COLUMN()-6)/5)</f>
        <v>0.60272000000000003</v>
      </c>
      <c r="CM64" s="1272">
        <f ca="1">(CL64/CG64-1)*100</f>
        <v>3.3045385986562481</v>
      </c>
      <c r="CN64" s="1270">
        <f ca="1">OFFSET('VVP2'!$G$41,0,(COLUMN()-7)/5)</f>
        <v>0.23737659561089419</v>
      </c>
      <c r="CO64" s="1271">
        <f ca="1">+CL64*(1+CN64/100)</f>
        <v>0.60415071621706606</v>
      </c>
      <c r="CP64" s="1294">
        <f ca="1">+CQ64/CO64*100-100</f>
        <v>-4.3417504130942035</v>
      </c>
      <c r="CQ64" s="1269">
        <f ca="1">OFFSET('VVP2'!$G$211,0,(COLUMN()-6)/5)</f>
        <v>0.57791999999999999</v>
      </c>
      <c r="CR64" s="1272">
        <f ca="1">(CQ64/CL64-1)*100</f>
        <v>-4.1146801168038261</v>
      </c>
      <c r="CS64" s="1270">
        <f ca="1">OFFSET('VVP2'!$G$41,0,(COLUMN()-7)/5)</f>
        <v>-3.9364521744585379</v>
      </c>
      <c r="CT64" s="1271">
        <f ca="1">+CQ64*(1+CS64/100)</f>
        <v>0.55517045559336919</v>
      </c>
      <c r="CU64" s="1294">
        <f ca="1">+CV64/CT64*100-100</f>
        <v>6.689755197245816</v>
      </c>
      <c r="CV64" s="1269">
        <f ca="1">OFFSET('VVP2'!$G$211,0,(COLUMN()-6)/5)</f>
        <v>0.59230999999999989</v>
      </c>
      <c r="CW64" s="1272">
        <f ca="1">(CV64/CQ64-1)*100</f>
        <v>2.4899640088593467</v>
      </c>
      <c r="CX64" s="1270">
        <f ca="1">OFFSET('VVP2'!$G$41,0,(COLUMN()-7)/5)</f>
        <v>11.403523092746482</v>
      </c>
      <c r="CY64" s="1271">
        <f ca="1">+CV64*(1+CX64/100)</f>
        <v>0.65985420763064662</v>
      </c>
      <c r="CZ64" s="1294">
        <f ca="1">+DA64/CY64*100-100</f>
        <v>-0.35829242328176747</v>
      </c>
      <c r="DA64" s="1269">
        <f ca="1">OFFSET('VVP2'!$G$211,0,(COLUMN()-6)/5)</f>
        <v>0.65749000000000002</v>
      </c>
      <c r="DB64" s="1272">
        <f ca="1">(DA64/CV64-1)*100</f>
        <v>11.004372710236222</v>
      </c>
      <c r="DC64" s="1270">
        <f ca="1">OFFSET('VVP2'!$G$41,0,(COLUMN()-7)/5)</f>
        <v>6.0171751809842133</v>
      </c>
      <c r="DD64" s="1271">
        <f ca="1">+DA64*(1+DC64/100)</f>
        <v>0.69705232509745307</v>
      </c>
      <c r="DE64" s="1294">
        <f ca="1">+DF64/DD64*100-100</f>
        <v>8.0722311477377673</v>
      </c>
      <c r="DF64" s="1269">
        <f ca="1">OFFSET('VVP2'!$G$211,0,(COLUMN()-6)/5)</f>
        <v>0.75331999999999999</v>
      </c>
      <c r="DG64" s="1272">
        <f ca="1">(DF64/DA64-1)*100</f>
        <v>14.575126617895329</v>
      </c>
      <c r="DH64" s="1270">
        <f ca="1">OFFSET('VVP2'!$G$41,0,(COLUMN()-7)/5)</f>
        <v>1.9946367355965888</v>
      </c>
      <c r="DI64" s="1271">
        <f ca="1">+DF64*(1+DH64/100)</f>
        <v>0.76834599745659626</v>
      </c>
      <c r="DJ64" s="1294">
        <f ca="1">+DK64/DI64*100-100</f>
        <v>10.174322870448705</v>
      </c>
      <c r="DK64" s="1269">
        <f ca="1">OFFSET('VVP2'!$G$211,0,(COLUMN()-6)/5)</f>
        <v>0.84651999999999994</v>
      </c>
      <c r="DL64" s="1272">
        <f ca="1">(DK64/DF64-1)*100</f>
        <v>12.371900387617462</v>
      </c>
      <c r="DM64" s="1270">
        <f ca="1">OFFSET('VVP2'!$G$41,0,(COLUMN()-7)/5)</f>
        <v>15.468849526339334</v>
      </c>
      <c r="DN64" s="1271">
        <f ca="1">+DK64*(1+DM64/100)</f>
        <v>0.9774669050103677</v>
      </c>
      <c r="DO64" s="1294">
        <f ca="1">+DP64/DN64*100-100</f>
        <v>-5.6254492841151205</v>
      </c>
      <c r="DP64" s="1269">
        <f ca="1">OFFSET('VVP2'!$G$211,0,(COLUMN()-6)/5)</f>
        <v>0.92247999999999986</v>
      </c>
      <c r="DQ64" s="1272">
        <f ca="1">(DP64/DK64-1)*100</f>
        <v>8.9732079572839361</v>
      </c>
      <c r="DR64" s="2239">
        <v>6.2</v>
      </c>
      <c r="DS64" s="1400">
        <f ca="1">+DP64*(1+DR64/100)</f>
        <v>0.97967375999999995</v>
      </c>
      <c r="DT64" s="2240">
        <v>1</v>
      </c>
      <c r="DU64" s="1401">
        <f ca="1">+DS64*(1+DT64/100)</f>
        <v>0.98947049759999994</v>
      </c>
      <c r="DV64" s="1402">
        <f ca="1">(DU64/DP64-1)*100</f>
        <v>7.2620000000000129</v>
      </c>
      <c r="DW64" s="2239">
        <v>4.5</v>
      </c>
      <c r="DX64" s="1400">
        <f ca="1">+DU64*(1+DW64/100)</f>
        <v>1.0339966699919998</v>
      </c>
      <c r="DY64" s="2240">
        <v>1</v>
      </c>
      <c r="DZ64" s="1401">
        <f ca="1">+DX64*(1+DY64/100)</f>
        <v>1.0443366366919198</v>
      </c>
      <c r="EA64" s="1402">
        <f ca="1">(DZ64/DU64-1)*100</f>
        <v>5.5449999999999777</v>
      </c>
    </row>
    <row r="65" spans="1:150" ht="12.75" customHeight="1">
      <c r="A65" s="1456" t="s">
        <v>1940</v>
      </c>
      <c r="C65" s="1201" t="s">
        <v>1448</v>
      </c>
      <c r="D65" s="1257"/>
      <c r="E65" s="1257" t="s">
        <v>376</v>
      </c>
      <c r="F65" s="1200" t="s">
        <v>850</v>
      </c>
      <c r="G65" s="1258"/>
      <c r="H65" s="1258"/>
      <c r="I65" s="1258"/>
      <c r="J65" s="1259">
        <f ca="1">OFFSET('VVP2'!$G$212,0,(COLUMN()-6)/5)</f>
        <v>1.5812299999999999</v>
      </c>
      <c r="K65" s="1258"/>
      <c r="L65" s="1471">
        <f ca="1">IF(UPPER($F$2)="Y",(M65/J65-1)*100,OFFSET('VVP2'!$G$42,0,(COLUMN()-7)/5))</f>
        <v>20.713136141633591</v>
      </c>
      <c r="M65" s="1472">
        <f ca="1">IF(UPPER($F$2)="Y",+M60+M63+M64,J65*(1+L65/100))</f>
        <v>1.9087523226123528</v>
      </c>
      <c r="N65" s="1259">
        <f ca="1">+O65/M65*100-100</f>
        <v>4.7197154036387161</v>
      </c>
      <c r="O65" s="1259">
        <f ca="1">OFFSET('VVP2'!$G$212,0,(COLUMN()-6)/5)</f>
        <v>1.99884</v>
      </c>
      <c r="P65" s="1259">
        <f ca="1">(O65/J65-1)*100</f>
        <v>26.410452622325664</v>
      </c>
      <c r="Q65" s="1471">
        <f ca="1">IF(UPPER($F$2)="Y",(R65/O65-1)*100,OFFSET('VVP2'!$G$42,0,(COLUMN()-7)/5))</f>
        <v>25.471234681872758</v>
      </c>
      <c r="R65" s="1472">
        <f ca="1">IF(UPPER($F$2)="Y",+R60+R63+R64,O65*(1+Q65/100))</f>
        <v>2.5079692273151455</v>
      </c>
      <c r="S65" s="1259">
        <f ca="1">+T65/R65*100-100</f>
        <v>4.5758445293090517</v>
      </c>
      <c r="T65" s="1259">
        <f ca="1">OFFSET('VVP2'!$G$212,0,(COLUMN()-6)/5)</f>
        <v>2.6227300000000002</v>
      </c>
      <c r="U65" s="1259">
        <f ca="1">(T65/O65-1)*100</f>
        <v>31.212603309919771</v>
      </c>
      <c r="V65" s="1471">
        <f ca="1">IF(UPPER($F$2)="Y",(W65/T65-1)*100,OFFSET('VVP2'!$G$42,0,(COLUMN()-7)/5))</f>
        <v>20.903440265720796</v>
      </c>
      <c r="W65" s="1472">
        <f ca="1">IF(UPPER($F$2)="Y",+W60+W63+W64,T65*(1+V65/100))</f>
        <v>3.1709707988811395</v>
      </c>
      <c r="X65" s="1259">
        <f ca="1">+Y65/W65*100-100</f>
        <v>-1.9186805158409754</v>
      </c>
      <c r="Y65" s="1259">
        <f ca="1">OFFSET('VVP2'!$G$212,0,(COLUMN()-6)/5)</f>
        <v>3.1101300000000003</v>
      </c>
      <c r="Z65" s="1259">
        <f ca="1">(Y65/T65-1)*100</f>
        <v>18.583689514361001</v>
      </c>
      <c r="AA65" s="1471">
        <f ca="1">IF(UPPER($F$2)="Y",(AB65/Y65-1)*100,OFFSET('VVP2'!$G$42,0,(COLUMN()-7)/5))</f>
        <v>-6.0051229075756769</v>
      </c>
      <c r="AB65" s="1472">
        <f ca="1">IF(UPPER($F$2)="Y",+AB60+AB63+AB64,Y65*(1+AA65/100))</f>
        <v>2.9233628709146169</v>
      </c>
      <c r="AC65" s="1259">
        <f ca="1">+AD65/AB65*100-100</f>
        <v>-4.5510214362472254</v>
      </c>
      <c r="AD65" s="1259">
        <f ca="1">OFFSET('VVP2'!$G$212,0,(COLUMN()-6)/5)</f>
        <v>2.7903200000000004</v>
      </c>
      <c r="AE65" s="1259">
        <f ca="1">(AD65/Y65-1)*100</f>
        <v>-10.282849913026137</v>
      </c>
      <c r="AF65" s="1471">
        <f ca="1">IF(UPPER($F$2)="Y",(AG65/AD65-1)*100,OFFSET('VVP2'!$G$42,0,(COLUMN()-7)/5))</f>
        <v>-9.2735577198195696</v>
      </c>
      <c r="AG65" s="1472">
        <f ca="1">IF(UPPER($F$2)="Y",+AG60+AG63+AG64,AD65*(1+AF65/100))</f>
        <v>2.531558064232331</v>
      </c>
      <c r="AH65" s="1259">
        <f ca="1">+AI65/AG65*100-100</f>
        <v>0.99274577671162945</v>
      </c>
      <c r="AI65" s="1259">
        <f ca="1">OFFSET('VVP2'!$G$212,0,(COLUMN()-6)/5)</f>
        <v>2.5566900000000001</v>
      </c>
      <c r="AJ65" s="1259">
        <f ca="1">(AI65/AD65-1)*100</f>
        <v>-8.3728747957223622</v>
      </c>
      <c r="AK65" s="1471">
        <f ca="1">IF(UPPER($F$2)="Y",(AL65/AI65-1)*100,OFFSET('VVP2'!$G$42,0,(COLUMN()-7)/5))</f>
        <v>13.363071235858225</v>
      </c>
      <c r="AL65" s="1472">
        <f ca="1">IF(UPPER($F$2)="Y",+AL60+AL63+AL64,AI65*(1+AK65/100))</f>
        <v>2.8983423059800639</v>
      </c>
      <c r="AM65" s="1259">
        <f ca="1">+AN65/AL65*100-100</f>
        <v>0.47260442604290631</v>
      </c>
      <c r="AN65" s="1259">
        <f ca="1">OFFSET('VVP2'!$G$212,0,(COLUMN()-6)/5)</f>
        <v>2.9120400000000002</v>
      </c>
      <c r="AO65" s="1259">
        <f ca="1">(AN65/AI65-1)*100</f>
        <v>13.898830128017092</v>
      </c>
      <c r="AP65" s="1471">
        <f ca="1">IF(UPPER($F$2)="Y",(AQ65/AN65-1)*100,OFFSET('VVP2'!$G$42,0,(COLUMN()-7)/5))</f>
        <v>10.626523173121093</v>
      </c>
      <c r="AQ65" s="1472">
        <f ca="1">IF(UPPER($F$2)="Y",+AQ60+AQ63+AQ64,AN65*(1+AP65/100))</f>
        <v>3.2214886054105558</v>
      </c>
      <c r="AR65" s="1259">
        <f ca="1">+AS65/AQ65*100-100</f>
        <v>-2.3463874832151532</v>
      </c>
      <c r="AS65" s="1259">
        <f ca="1">OFFSET('VVP2'!$G$212,0,(COLUMN()-6)/5)</f>
        <v>3.1459000000000001</v>
      </c>
      <c r="AT65" s="1259">
        <f ca="1">(AS65/AN65-1)*100</f>
        <v>8.0307962802708808</v>
      </c>
      <c r="AU65" s="1471">
        <f ca="1">IF(UPPER($F$2)="Y",(AV65/AS65-1)*100,OFFSET('VVP2'!$G$42,0,(COLUMN()-7)/5))</f>
        <v>13.363678719928785</v>
      </c>
      <c r="AV65" s="1472">
        <f ca="1">IF(UPPER($F$2)="Y",+AV60+AV63+AV64,AS65*(1+AU65/100))</f>
        <v>3.5663079688502397</v>
      </c>
      <c r="AW65" s="1259">
        <f ca="1">+AX65/AV65*100-100</f>
        <v>0.67218062374712417</v>
      </c>
      <c r="AX65" s="1259">
        <f ca="1">OFFSET('VVP2'!$G$212,0,(COLUMN()-6)/5)</f>
        <v>3.5902800000000004</v>
      </c>
      <c r="AY65" s="1259">
        <f ca="1">(AX65/AS65-1)*100</f>
        <v>14.125687402651078</v>
      </c>
      <c r="AZ65" s="1471">
        <f ca="1">IF(UPPER($F$2)="Y",(BA65/AX65-1)*100,OFFSET('VVP2'!$G$42,0,(COLUMN()-7)/5))</f>
        <v>15.677926119202423</v>
      </c>
      <c r="BA65" s="1472">
        <f ca="1">IF(UPPER($F$2)="Y",+BA60+BA63+BA64,AX65*(1+AZ65/100))</f>
        <v>4.1531614458725015</v>
      </c>
      <c r="BB65" s="1259">
        <f ca="1">+BC65/BA65*100-100</f>
        <v>0.54990768900150044</v>
      </c>
      <c r="BC65" s="1259">
        <f ca="1">OFFSET('VVP2'!$G$212,0,(COLUMN()-6)/5)</f>
        <v>4.1760000000000002</v>
      </c>
      <c r="BD65" s="1259">
        <f ca="1">(BC65/AX65-1)*100</f>
        <v>16.314047929409405</v>
      </c>
      <c r="BE65" s="1471">
        <f ca="1">IF(UPPER($F$2)="Y",(BF65/BC65-1)*100,OFFSET('VVP2'!$G$42,0,(COLUMN()-7)/5))</f>
        <v>11.372003769420648</v>
      </c>
      <c r="BF65" s="1472">
        <f ca="1">IF(UPPER($F$2)="Y",+BF60+BF63+BF64,BC65*(1+BE65/100))</f>
        <v>4.6508948774110062</v>
      </c>
      <c r="BG65" s="1259">
        <f ca="1">+BH65/BF65*100-100</f>
        <v>5.6007527466197473</v>
      </c>
      <c r="BH65" s="1259">
        <f ca="1">OFFSET('VVP2'!$G$212,0,(COLUMN()-6)/5)</f>
        <v>4.9113800000000003</v>
      </c>
      <c r="BI65" s="1259">
        <f ca="1">(BH65/BC65-1)*100</f>
        <v>17.609674329501914</v>
      </c>
      <c r="BJ65" s="1471">
        <f ca="1">IF(UPPER($F$2)="Y",(BK65/BH65-1)*100,OFFSET('VVP2'!$G$42,0,(COLUMN()-7)/5))</f>
        <v>19.471199132211915</v>
      </c>
      <c r="BK65" s="1472">
        <f ca="1">IF(UPPER($F$2)="Y",+BK60+BK63+BK64,BH65*(1+BJ65/100))</f>
        <v>5.8676845799396302</v>
      </c>
      <c r="BL65" s="1259">
        <f ca="1">+BM65/BK65*100-100</f>
        <v>6.3946078721264428</v>
      </c>
      <c r="BM65" s="1259">
        <f ca="1">OFFSET('VVP2'!$G$212,0,(COLUMN()-6)/5)</f>
        <v>6.2428999999999997</v>
      </c>
      <c r="BN65" s="1259">
        <f ca="1">(BM65/BH65-1)*100</f>
        <v>27.110913836844208</v>
      </c>
      <c r="BO65" s="1471">
        <f ca="1">IF(UPPER($F$2)="Y",(BP65/BM65-1)*100,OFFSET('VVP2'!$G$42,0,(COLUMN()-7)/5))</f>
        <v>22.249707968381415</v>
      </c>
      <c r="BP65" s="1472">
        <f ca="1">IF(UPPER($F$2)="Y",+BP60+BP63+BP64,BM65*(1+BO65/100))</f>
        <v>7.6319270187580823</v>
      </c>
      <c r="BQ65" s="1259">
        <f ca="1">+BR65/BP65*100-100</f>
        <v>8.7362337140170183</v>
      </c>
      <c r="BR65" s="1259">
        <f ca="1">OFFSET('VVP2'!$G$212,0,(COLUMN()-6)/5)</f>
        <v>8.2986699999999995</v>
      </c>
      <c r="BS65" s="1259">
        <f ca="1">(BR65/BM65-1)*100</f>
        <v>32.929728171202477</v>
      </c>
      <c r="BT65" s="1471">
        <f ca="1">IF(UPPER($F$2)="Y",(BU65/BR65-1)*100,OFFSET('VVP2'!$G$42,0,(COLUMN()-7)/5))</f>
        <v>-4.0126333060650055</v>
      </c>
      <c r="BU65" s="1472">
        <f ca="1">IF(UPPER($F$2)="Y",+BU60+BU63+BU64,BR65*(1+BT65/100))</f>
        <v>7.9656748036195744</v>
      </c>
      <c r="BV65" s="1259">
        <f ca="1">+BW65/BU65*100-100</f>
        <v>6.875063442604727</v>
      </c>
      <c r="BW65" s="1259">
        <f ca="1">OFFSET('VVP2'!$G$212,0,(COLUMN()-6)/5)</f>
        <v>8.5133200000000002</v>
      </c>
      <c r="BX65" s="1259">
        <f ca="1">(BW65/BR65-1)*100</f>
        <v>2.5865590510286696</v>
      </c>
      <c r="BY65" s="3138">
        <f ca="1">IF(UPPER($F$2)="Y",(BZ65/BW65-1)*100,OFFSET('VVP2'!$G$42,0,(COLUMN()-7)/5))</f>
        <v>-38.896299065457249</v>
      </c>
      <c r="BZ65" s="3139">
        <f ca="1">IF(UPPER($F$2)="Y",+BZ60+BZ63+BZ64,BW65*(1+BY65/100))</f>
        <v>5.2019535924006144</v>
      </c>
      <c r="CA65" s="3140">
        <f ca="1">+CB65/BZ65*100-100</f>
        <v>-7.5245498724254958</v>
      </c>
      <c r="CB65" s="3140">
        <f ca="1">+CB60+CB63+CB64</f>
        <v>4.8105300000000009</v>
      </c>
      <c r="CC65" s="3141">
        <f ca="1">(CB65/BW65-1)*100</f>
        <v>-43.494077516174642</v>
      </c>
      <c r="CD65" s="3138">
        <f ca="1">IF(UPPER($F$2)="Y",(CE65/CB65-1)*100,OFFSET('VVP2'!$G$42,0,(COLUMN()-7)/5))</f>
        <v>1.4553611646260567</v>
      </c>
      <c r="CE65" s="3139">
        <f ca="1">IF(UPPER($F$2)="Y",+CE60+CE63+CE64,CB65*(1+CD65/100))</f>
        <v>4.8805405854326862</v>
      </c>
      <c r="CF65" s="3140">
        <f ca="1">+CG65/CE65*100-100</f>
        <v>-3.160317647865881</v>
      </c>
      <c r="CG65" s="3140">
        <f ca="1">+CG60+CG63+CG64</f>
        <v>4.7263000000000002</v>
      </c>
      <c r="CH65" s="3141">
        <f ca="1">(CG65/CB65-1)*100</f>
        <v>-1.7509505189656993</v>
      </c>
      <c r="CI65" s="3138">
        <f ca="1">IF(UPPER($F$2)="Y",(CJ65/CG65-1)*100,OFFSET('VVP2'!$G$42,0,(COLUMN()-7)/5))</f>
        <v>20.146837907030868</v>
      </c>
      <c r="CJ65" s="3139">
        <f ca="1">IF(UPPER($F$2)="Y",+CJ60+CJ63+CJ64,CG65*(1+CI65/100))</f>
        <v>5.6784999999999997</v>
      </c>
      <c r="CK65" s="3140">
        <f ca="1">+CL65/CJ65*100-100</f>
        <v>1.8069912829092232</v>
      </c>
      <c r="CL65" s="3140">
        <f ca="1">+CL60+CL63+CL64</f>
        <v>5.78111</v>
      </c>
      <c r="CM65" s="3141">
        <f ca="1">(CL65/CG65-1)*100</f>
        <v>22.317880794701985</v>
      </c>
      <c r="CN65" s="3138">
        <f ca="1">IF(UPPER($F$2)="Y",(CO65/CL65-1)*100,OFFSET('VVP2'!$G$42,0,(COLUMN()-7)/5))</f>
        <v>-1.7748375561694063</v>
      </c>
      <c r="CO65" s="3139">
        <f ca="1">IF(UPPER($F$2)="Y",+CO60+CO63+CO64,CL65*(1+CN65/100))</f>
        <v>5.6785046885565347</v>
      </c>
      <c r="CP65" s="3140">
        <f ca="1">+CQ65/CO65*100-100</f>
        <v>1.9287702916611664</v>
      </c>
      <c r="CQ65" s="3140">
        <f ca="1">+CQ60+CQ63+CQ64</f>
        <v>5.78803</v>
      </c>
      <c r="CR65" s="3141">
        <f ca="1">(CQ65/CL65-1)*100</f>
        <v>0.11970019598313009</v>
      </c>
      <c r="CS65" s="3138">
        <f ca="1">IF(UPPER($F$2)="Y",(CT65/CQ65-1)*100,OFFSET('VVP2'!$G$42,0,(COLUMN()-7)/5))</f>
        <v>8.2611398010032921</v>
      </c>
      <c r="CT65" s="3139">
        <f ca="1">IF(UPPER($F$2)="Y",+CT60+CT63+CT64,CQ65*(1+CS65/100))</f>
        <v>6.2661872500240108</v>
      </c>
      <c r="CU65" s="3140">
        <f ca="1">+CV65/CT65*100-100</f>
        <v>3.0112848921848752</v>
      </c>
      <c r="CV65" s="3140">
        <f ca="1">+CV60+CV63+CV64</f>
        <v>6.4548799999999993</v>
      </c>
      <c r="CW65" s="3141">
        <f ca="1">(CV65/CQ65-1)*100</f>
        <v>11.521191147938058</v>
      </c>
      <c r="CX65" s="3138">
        <f ca="1">IF(UPPER($F$2)="Y",(CY65/CV65-1)*100,OFFSET('VVP2'!$G$42,0,(COLUMN()-7)/5))</f>
        <v>5.7614248424275649</v>
      </c>
      <c r="CY65" s="3139">
        <f ca="1">IF(UPPER($F$2)="Y",+CY60+CY63+CY64,CV65*(1+CX65/100))</f>
        <v>6.8267730598688878</v>
      </c>
      <c r="CZ65" s="3140">
        <f ca="1">+DA65/CY65*100-100</f>
        <v>1.1530622072945249</v>
      </c>
      <c r="DA65" s="3140">
        <f ca="1">+DA60+DA63+DA64</f>
        <v>6.9054900000000004</v>
      </c>
      <c r="DB65" s="3141">
        <f ca="1">(DA65/CV65-1)*100</f>
        <v>6.9809198621818114</v>
      </c>
      <c r="DC65" s="3138">
        <f ca="1">IF(UPPER($F$2)="Y",(DD65/DA65-1)*100,OFFSET('VVP2'!$G$42,0,(COLUMN()-7)/5))</f>
        <v>4.8322291080026281</v>
      </c>
      <c r="DD65" s="3139">
        <f ca="1">IF(UPPER($F$2)="Y",+DD60+DD63+DD64,DA65*(1+DC65/100))</f>
        <v>7.2391790978302115</v>
      </c>
      <c r="DE65" s="3140">
        <f ca="1">+DF65/DD65*100-100</f>
        <v>1.1885450132816544</v>
      </c>
      <c r="DF65" s="3140">
        <f ca="1">+DF60+DF63+DF64</f>
        <v>7.3252199999999998</v>
      </c>
      <c r="DG65" s="3141">
        <f ca="1">(DF65/DA65-1)*100</f>
        <v>6.0782073393777836</v>
      </c>
      <c r="DH65" s="3138">
        <f ca="1">IF(UPPER($F$2)="Y",(DI65/DF65-1)*100,OFFSET('VVP2'!$G$42,0,(COLUMN()-7)/5))</f>
        <v>-0.46385594397844176</v>
      </c>
      <c r="DI65" s="3139">
        <f ca="1">IF(UPPER($F$2)="Y",+DI60+DI63+DI64,DF65*(1+DH65/100))</f>
        <v>7.2912415316205026</v>
      </c>
      <c r="DJ65" s="3140">
        <f ca="1">+DK65/DI65*100-100</f>
        <v>0.31474020274839631</v>
      </c>
      <c r="DK65" s="3140">
        <f ca="1">+DK60+DK63+DK64</f>
        <v>7.31419</v>
      </c>
      <c r="DL65" s="3141">
        <f ca="1">(DK65/DF65-1)*100</f>
        <v>-0.1505756823685811</v>
      </c>
      <c r="DM65" s="3138">
        <f ca="1">IF(UPPER($F$2)="Y",(DN65/DK65-1)*100,OFFSET('VVP2'!$G$42,0,(COLUMN()-7)/5))</f>
        <v>7.3907499629871642</v>
      </c>
      <c r="DN65" s="3139">
        <f ca="1">IF(UPPER($F$2)="Y",+DN60+DN63+DN64,DK65*(1+DM65/100))</f>
        <v>7.8547634947178109</v>
      </c>
      <c r="DO65" s="3140">
        <f ca="1">+DP65/DN65*100-100</f>
        <v>0.32625432069880844</v>
      </c>
      <c r="DP65" s="3140">
        <f ca="1">+DP60+DP63+DP64</f>
        <v>7.8803900000000002</v>
      </c>
      <c r="DQ65" s="3141">
        <f ca="1">(DP65/DK65-1)*100</f>
        <v>7.7411169247722622</v>
      </c>
      <c r="DR65" s="1499">
        <f ca="1">IF(UPPER($F$2)="Y",(DS65/DP65-1)*100,OFFSET('VVP2'!$G$42,0,(COLUMN()-7)/5))</f>
        <v>6.762084236947663</v>
      </c>
      <c r="DS65" s="1495">
        <f ca="1">IF(UPPER($F$2)="Y",+DS60+DS63+DS64,DP65*(1+DR65/100))</f>
        <v>8.4132686099999994</v>
      </c>
      <c r="DT65" s="1398">
        <f ca="1">+DU65/DS65*100-100</f>
        <v>2.3682800607741257</v>
      </c>
      <c r="DU65" s="1398">
        <f ca="1">+DU60+DU63+DU64</f>
        <v>8.6125183729499977</v>
      </c>
      <c r="DV65" s="1405">
        <f ca="1">(DU65/DP65-1)*100</f>
        <v>9.2905093903981495</v>
      </c>
      <c r="DW65" s="1499">
        <f ca="1">IF(UPPER($F$2)="Y",(DX65/DU65-1)*100,OFFSET('VVP2'!$G$42,0,(COLUMN()-7)/5))</f>
        <v>4.1647416495982359</v>
      </c>
      <c r="DX65" s="1495">
        <f ca="1">IF(UPPER($F$2)="Y",+DX60+DX63+DX64,DU65*(1+DW65/100))</f>
        <v>8.9712075127075472</v>
      </c>
      <c r="DY65" s="1398">
        <f ca="1">+DZ65/DX65*100-100</f>
        <v>2.3764176785420261</v>
      </c>
      <c r="DZ65" s="1398">
        <f ca="1">+DZ60+DZ63+DZ64</f>
        <v>9.1844008740182197</v>
      </c>
      <c r="EA65" s="1405">
        <f ca="1">(DZ65/DU65-1)*100</f>
        <v>6.6401309849669188</v>
      </c>
    </row>
    <row r="66" spans="1:150" s="2842" customFormat="1">
      <c r="A66" s="2841"/>
      <c r="C66" s="2843"/>
      <c r="D66" s="1782"/>
      <c r="E66" s="1782" t="s">
        <v>758</v>
      </c>
      <c r="F66" s="2844"/>
      <c r="G66" s="2845"/>
      <c r="H66" s="2845"/>
      <c r="I66" s="2845"/>
      <c r="J66" s="1232"/>
      <c r="K66" s="2845"/>
      <c r="L66" s="2847">
        <f ca="1">OFFSET('Q1'!$N88,0,(COLUMN()-12)*4/5)</f>
        <v>19.758994364976147</v>
      </c>
      <c r="M66" s="2846"/>
      <c r="N66" s="1232"/>
      <c r="O66" s="1232"/>
      <c r="P66" s="1232"/>
      <c r="Q66" s="2847">
        <f ca="1">OFFSET('Q1'!$N88,0,(COLUMN()-12)*4/5)</f>
        <v>25.262411142158086</v>
      </c>
      <c r="R66" s="1232"/>
      <c r="S66" s="1232"/>
      <c r="T66" s="1232"/>
      <c r="U66" s="1232"/>
      <c r="V66" s="2847">
        <f ca="1">OFFSET('Q1'!$N88,0,(COLUMN()-12)*4/5)</f>
        <v>21.720989366620415</v>
      </c>
      <c r="W66" s="1232"/>
      <c r="X66" s="1232"/>
      <c r="Y66" s="1232"/>
      <c r="Z66" s="1232"/>
      <c r="AA66" s="2847">
        <f ca="1">OFFSET('Q1'!$N88,0,(COLUMN()-12)*4/5)</f>
        <v>-6.4730849942552027</v>
      </c>
      <c r="AB66" s="1232"/>
      <c r="AC66" s="1232"/>
      <c r="AD66" s="1232"/>
      <c r="AE66" s="1232"/>
      <c r="AF66" s="2847">
        <f ca="1">OFFSET('Q1'!$N88,0,(COLUMN()-12)*4/5)</f>
        <v>-7.7830571799869972</v>
      </c>
      <c r="AG66" s="1232"/>
      <c r="AH66" s="1232"/>
      <c r="AI66" s="1232"/>
      <c r="AJ66" s="1232"/>
      <c r="AK66" s="2847">
        <f ca="1">OFFSET('Q1'!$N88,0,(COLUMN()-12)*4/5)</f>
        <v>13.624353187272902</v>
      </c>
      <c r="AL66" s="1232"/>
      <c r="AM66" s="1232"/>
      <c r="AN66" s="1232"/>
      <c r="AO66" s="1232"/>
      <c r="AP66" s="2847">
        <f ca="1">OFFSET('Q1'!$N88,0,(COLUMN()-12)*4/5)</f>
        <v>10.421975679472922</v>
      </c>
      <c r="AQ66" s="1232"/>
      <c r="AR66" s="1232"/>
      <c r="AS66" s="1232"/>
      <c r="AT66" s="1232"/>
      <c r="AU66" s="2847">
        <f ca="1">OFFSET('Q1'!$N88,0,(COLUMN()-12)*4/5)</f>
        <v>12.680653907915882</v>
      </c>
      <c r="AV66" s="1232"/>
      <c r="AW66" s="1232"/>
      <c r="AX66" s="1232"/>
      <c r="AY66" s="1232"/>
      <c r="AZ66" s="2847">
        <f ca="1">OFFSET('Q1'!$N88,0,(COLUMN()-12)*4/5)</f>
        <v>14.451141637853169</v>
      </c>
      <c r="BA66" s="1232"/>
      <c r="BB66" s="1232"/>
      <c r="BC66" s="1232"/>
      <c r="BD66" s="1232"/>
      <c r="BE66" s="2847">
        <f ca="1">OFFSET('Q1'!$N88,0,(COLUMN()-12)*4/5)</f>
        <v>27.571455749171591</v>
      </c>
      <c r="BF66" s="1232"/>
      <c r="BG66" s="1232"/>
      <c r="BH66" s="1232"/>
      <c r="BI66" s="1232"/>
      <c r="BJ66" s="2847">
        <f ca="1">OFFSET('Q1'!$N88,0,(COLUMN()-12)*4/5)</f>
        <v>19.581591499235728</v>
      </c>
      <c r="BK66" s="1232"/>
      <c r="BL66" s="1232"/>
      <c r="BM66" s="1232"/>
      <c r="BN66" s="1232"/>
      <c r="BO66" s="2847">
        <f ca="1">OFFSET('Q1'!$N88,0,(COLUMN()-12)*4/5)</f>
        <v>22.327286167493128</v>
      </c>
      <c r="BP66" s="1232"/>
      <c r="BQ66" s="1232"/>
      <c r="BR66" s="1232"/>
      <c r="BS66" s="1232"/>
      <c r="BT66" s="2847">
        <f ca="1">OFFSET('Q1'!$N88,0,(COLUMN()-12)*4/5)</f>
        <v>-3.7025380199415991</v>
      </c>
      <c r="BU66" s="1232" t="s">
        <v>1385</v>
      </c>
      <c r="BV66" s="1232"/>
      <c r="BW66" s="1232"/>
      <c r="BX66" s="1232"/>
      <c r="BY66" s="2865">
        <f ca="1">OFFSET('Q1'!$N88,0,(COLUMN()-12)*4/5)</f>
        <v>-39.230759174281935</v>
      </c>
      <c r="BZ66" s="1232"/>
      <c r="CA66" s="1232"/>
      <c r="CB66" s="1232"/>
      <c r="CC66" s="1232"/>
      <c r="CD66" s="2865">
        <f ca="1">OFFSET('Q1'!$N88,0,(COLUMN()-12)*4/5)</f>
        <v>1.1939848977045244</v>
      </c>
      <c r="CE66" s="1232"/>
      <c r="CF66" s="1232"/>
      <c r="CG66" s="1232"/>
      <c r="CH66" s="1232"/>
      <c r="CI66" s="2865">
        <f ca="1">OFFSET('Q1'!$N88,0,(COLUMN()-12)*4/5)</f>
        <v>20.73855180917559</v>
      </c>
      <c r="CJ66" s="1232"/>
      <c r="CK66" s="1232"/>
      <c r="CL66" s="1232"/>
      <c r="CM66" s="1232"/>
      <c r="CN66" s="2865">
        <f ca="1">OFFSET('Q1'!$N88,0,(COLUMN()-12)*4/5)</f>
        <v>-1.6234395083901205</v>
      </c>
      <c r="CO66" s="1232"/>
      <c r="CP66" s="1232"/>
      <c r="CQ66" s="1232"/>
      <c r="CR66" s="1232"/>
      <c r="CS66" s="2865">
        <f ca="1">OFFSET('Q1'!$N88,0,(COLUMN()-12)*4/5)</f>
        <v>8.1258613592024318</v>
      </c>
      <c r="CT66" s="1232"/>
      <c r="CU66" s="1232"/>
      <c r="CV66" s="1232"/>
      <c r="CW66" s="1232"/>
      <c r="CX66" s="2865">
        <f ca="1">OFFSET('Q1'!$N88,0,(COLUMN()-12)*4/5)</f>
        <v>5.5370710632169704</v>
      </c>
      <c r="CY66" s="1232"/>
      <c r="CZ66" s="1232"/>
      <c r="DA66" s="1232"/>
      <c r="DB66" s="1232"/>
      <c r="DC66" s="2865">
        <f ca="1">OFFSET('Q1'!$N88,0,(COLUMN()-12)*4/5)</f>
        <v>5.033251772382215</v>
      </c>
      <c r="DD66" s="1232"/>
      <c r="DE66" s="1232"/>
      <c r="DF66" s="1232"/>
      <c r="DG66" s="1232"/>
      <c r="DH66" s="2865">
        <f ca="1">OFFSET('Q1'!$N88,0,(COLUMN()-12)*4/5)</f>
        <v>-0.11498544015530854</v>
      </c>
      <c r="DI66" s="3608"/>
      <c r="DJ66" s="1232"/>
      <c r="DK66" s="3608"/>
      <c r="DL66" s="1232"/>
      <c r="DM66" s="2865">
        <f ca="1">OFFSET('Q1'!$N88,0,(COLUMN()-12)*4/5)</f>
        <v>6.7336443009209432</v>
      </c>
      <c r="DN66" s="1232"/>
      <c r="DO66" s="1232"/>
      <c r="DP66" s="1232"/>
      <c r="DQ66" s="1232"/>
      <c r="DR66" s="2865">
        <f ca="1">OFFSET('Q1'!$N88,0,(COLUMN()-12)*4/5)</f>
        <v>6.7643090052033727</v>
      </c>
      <c r="DS66" s="1232"/>
      <c r="DT66" s="1232"/>
      <c r="DU66" s="1232"/>
      <c r="DV66" s="1232"/>
      <c r="DW66" s="2865">
        <f ca="1">OFFSET('Q1'!$N88,0,(COLUMN()-12)*4/5)</f>
        <v>4.1557542812569466</v>
      </c>
      <c r="DX66" s="1232"/>
      <c r="DY66" s="1232"/>
      <c r="DZ66" s="1232"/>
      <c r="EA66" s="1232"/>
      <c r="EB66"/>
      <c r="EC66"/>
      <c r="ED66"/>
      <c r="EE66"/>
      <c r="EF66"/>
      <c r="EG66"/>
      <c r="EH66"/>
      <c r="EI66"/>
      <c r="EJ66"/>
      <c r="EK66"/>
      <c r="EL66"/>
      <c r="EM66"/>
      <c r="EN66"/>
      <c r="EO66"/>
    </row>
    <row r="67" spans="1:150">
      <c r="BT67" s="1187"/>
    </row>
    <row r="68" spans="1:150">
      <c r="CL68" s="3194"/>
      <c r="CV68" s="3265"/>
      <c r="DJ68" s="3654"/>
      <c r="DK68" s="3421"/>
      <c r="DM68" s="3654"/>
    </row>
    <row r="69" spans="1:150">
      <c r="D69" s="3751"/>
      <c r="E69" s="3762" t="s">
        <v>1587</v>
      </c>
      <c r="F69" s="3751"/>
      <c r="G69" s="3753">
        <f>+InputY!$G$3</f>
        <v>1995</v>
      </c>
      <c r="H69" s="3754"/>
      <c r="I69" s="3754"/>
      <c r="J69" s="3754"/>
      <c r="K69" s="3755"/>
      <c r="L69" s="3753">
        <f>+G69+1</f>
        <v>1996</v>
      </c>
      <c r="M69" s="3754"/>
      <c r="N69" s="3754"/>
      <c r="O69" s="3754"/>
      <c r="P69" s="3755"/>
      <c r="Q69" s="3753">
        <f>+L69+1</f>
        <v>1997</v>
      </c>
      <c r="R69" s="3754"/>
      <c r="S69" s="3754"/>
      <c r="T69" s="3754"/>
      <c r="U69" s="3755"/>
      <c r="V69" s="3753">
        <f>+Q69+1</f>
        <v>1998</v>
      </c>
      <c r="W69" s="3754"/>
      <c r="X69" s="3754"/>
      <c r="Y69" s="3754"/>
      <c r="Z69" s="3755"/>
      <c r="AA69" s="3753">
        <f>+V69+1</f>
        <v>1999</v>
      </c>
      <c r="AB69" s="3754"/>
      <c r="AC69" s="3754"/>
      <c r="AD69" s="3754"/>
      <c r="AE69" s="3755"/>
      <c r="AF69" s="3753">
        <f>+AA69+1</f>
        <v>2000</v>
      </c>
      <c r="AG69" s="3754"/>
      <c r="AH69" s="3754"/>
      <c r="AI69" s="3754"/>
      <c r="AJ69" s="3755"/>
      <c r="AK69" s="3753">
        <f>+AF69+1</f>
        <v>2001</v>
      </c>
      <c r="AL69" s="3754"/>
      <c r="AM69" s="3754"/>
      <c r="AN69" s="3754"/>
      <c r="AO69" s="3755"/>
      <c r="AP69" s="3753">
        <f>+AK69+1</f>
        <v>2002</v>
      </c>
      <c r="AQ69" s="3754"/>
      <c r="AR69" s="3754"/>
      <c r="AS69" s="3754"/>
      <c r="AT69" s="3755"/>
      <c r="AU69" s="3753">
        <f>+AP69+1</f>
        <v>2003</v>
      </c>
      <c r="AV69" s="3754"/>
      <c r="AW69" s="3754"/>
      <c r="AX69" s="3754"/>
      <c r="AY69" s="3755"/>
      <c r="AZ69" s="3753">
        <f>+AU69+1</f>
        <v>2004</v>
      </c>
      <c r="BA69" s="3754"/>
      <c r="BB69" s="3754"/>
      <c r="BC69" s="3754"/>
      <c r="BD69" s="3755"/>
      <c r="BE69" s="3753">
        <f>+AZ69+1</f>
        <v>2005</v>
      </c>
      <c r="BF69" s="3754"/>
      <c r="BG69" s="3754"/>
      <c r="BH69" s="3754"/>
      <c r="BI69" s="3755"/>
      <c r="BJ69" s="3753">
        <f>+BE69+1</f>
        <v>2006</v>
      </c>
      <c r="BK69" s="3754"/>
      <c r="BL69" s="3754"/>
      <c r="BM69" s="3754"/>
      <c r="BN69" s="3755"/>
      <c r="BO69" s="3753">
        <f>+BJ69+1</f>
        <v>2007</v>
      </c>
      <c r="BP69" s="3754"/>
      <c r="BQ69" s="3754"/>
      <c r="BR69" s="3754"/>
      <c r="BS69" s="3755"/>
      <c r="BT69" s="3753">
        <f>+BO69+1</f>
        <v>2008</v>
      </c>
      <c r="BU69" s="3754"/>
      <c r="BV69" s="3754"/>
      <c r="BW69" s="3754"/>
      <c r="BX69" s="3755"/>
      <c r="BY69" s="3753">
        <f>+BT69+1</f>
        <v>2009</v>
      </c>
      <c r="BZ69" s="3754"/>
      <c r="CA69" s="3754"/>
      <c r="CB69" s="3754"/>
      <c r="CC69" s="3755"/>
      <c r="CD69" s="3753">
        <f>+BY69+1</f>
        <v>2010</v>
      </c>
      <c r="CE69" s="3754"/>
      <c r="CF69" s="3754"/>
      <c r="CG69" s="3754"/>
      <c r="CH69" s="3755"/>
      <c r="CI69" s="3753">
        <f>+CD69+1</f>
        <v>2011</v>
      </c>
      <c r="CJ69" s="3754"/>
      <c r="CK69" s="3754"/>
      <c r="CL69" s="3754"/>
      <c r="CM69" s="3755"/>
      <c r="CN69" s="3753">
        <f>+CI69+1</f>
        <v>2012</v>
      </c>
      <c r="CO69" s="3754"/>
      <c r="CP69" s="3754"/>
      <c r="CQ69" s="3754"/>
      <c r="CR69" s="3755"/>
      <c r="CS69" s="3753">
        <f>+CN69+1</f>
        <v>2013</v>
      </c>
      <c r="CT69" s="3754"/>
      <c r="CU69" s="3754"/>
      <c r="CV69" s="3754"/>
      <c r="CW69" s="3755"/>
      <c r="CX69" s="3753">
        <f>+CS69+1</f>
        <v>2014</v>
      </c>
      <c r="CY69" s="3754"/>
      <c r="CZ69" s="3754"/>
      <c r="DA69" s="3754"/>
      <c r="DB69" s="3755"/>
      <c r="DC69" s="3753">
        <f>+CX69+1</f>
        <v>2015</v>
      </c>
      <c r="DD69" s="3754"/>
      <c r="DE69" s="3754"/>
      <c r="DF69" s="3754"/>
      <c r="DG69" s="3755"/>
      <c r="DH69" s="3753">
        <f>+DC69+1</f>
        <v>2016</v>
      </c>
      <c r="DI69" s="3754"/>
      <c r="DJ69" s="3754"/>
      <c r="DK69" s="3754"/>
      <c r="DL69" s="3755"/>
      <c r="DM69" s="3753">
        <f>+DH69+1</f>
        <v>2017</v>
      </c>
      <c r="DN69" s="3754"/>
      <c r="DO69" s="3754"/>
      <c r="DP69" s="3754"/>
      <c r="DQ69" s="3755"/>
      <c r="DR69" s="3753">
        <f>+DM69+1</f>
        <v>2018</v>
      </c>
      <c r="DS69" s="3754"/>
      <c r="DT69" s="3754"/>
      <c r="DU69" s="3754"/>
      <c r="DV69" s="3755"/>
      <c r="DW69" s="3753">
        <f>+DR69+1</f>
        <v>2019</v>
      </c>
      <c r="DX69" s="3754"/>
      <c r="DY69" s="3754"/>
      <c r="DZ69" s="3754"/>
      <c r="EA69" s="3755"/>
    </row>
    <row r="70" spans="1:150">
      <c r="C70" s="3"/>
      <c r="D70" s="3751"/>
      <c r="E70" s="3751" t="s">
        <v>1587</v>
      </c>
      <c r="F70" s="3751"/>
      <c r="G70" s="1256" t="s">
        <v>1486</v>
      </c>
      <c r="H70" s="1253" t="s">
        <v>1732</v>
      </c>
      <c r="I70" s="1252" t="s">
        <v>2022</v>
      </c>
      <c r="J70" s="1253" t="s">
        <v>584</v>
      </c>
      <c r="K70" s="1252" t="s">
        <v>2023</v>
      </c>
      <c r="L70" s="1252" t="s">
        <v>1486</v>
      </c>
      <c r="M70" s="1253" t="s">
        <v>1732</v>
      </c>
      <c r="N70" s="1252" t="s">
        <v>2022</v>
      </c>
      <c r="O70" s="1253" t="s">
        <v>584</v>
      </c>
      <c r="P70" s="1252" t="s">
        <v>2023</v>
      </c>
      <c r="Q70" s="1252" t="s">
        <v>1486</v>
      </c>
      <c r="R70" s="1253" t="s">
        <v>1732</v>
      </c>
      <c r="S70" s="1252" t="s">
        <v>2022</v>
      </c>
      <c r="T70" s="1253" t="s">
        <v>584</v>
      </c>
      <c r="U70" s="1252" t="s">
        <v>2023</v>
      </c>
      <c r="V70" s="1252" t="s">
        <v>1486</v>
      </c>
      <c r="W70" s="1253" t="s">
        <v>1732</v>
      </c>
      <c r="X70" s="1252" t="s">
        <v>2022</v>
      </c>
      <c r="Y70" s="1253" t="s">
        <v>584</v>
      </c>
      <c r="Z70" s="1252" t="s">
        <v>2023</v>
      </c>
      <c r="AA70" s="1252" t="s">
        <v>1486</v>
      </c>
      <c r="AB70" s="1253" t="s">
        <v>1732</v>
      </c>
      <c r="AC70" s="1252" t="s">
        <v>2022</v>
      </c>
      <c r="AD70" s="1253" t="s">
        <v>584</v>
      </c>
      <c r="AE70" s="1252" t="s">
        <v>2023</v>
      </c>
      <c r="AF70" s="1252" t="s">
        <v>1486</v>
      </c>
      <c r="AG70" s="1253" t="s">
        <v>1732</v>
      </c>
      <c r="AH70" s="1252" t="s">
        <v>2022</v>
      </c>
      <c r="AI70" s="1253" t="s">
        <v>584</v>
      </c>
      <c r="AJ70" s="1252" t="s">
        <v>2023</v>
      </c>
      <c r="AK70" s="1252" t="s">
        <v>1486</v>
      </c>
      <c r="AL70" s="1253" t="s">
        <v>1732</v>
      </c>
      <c r="AM70" s="1252" t="s">
        <v>2022</v>
      </c>
      <c r="AN70" s="1253" t="s">
        <v>584</v>
      </c>
      <c r="AO70" s="1252" t="s">
        <v>2023</v>
      </c>
      <c r="AP70" s="1252" t="s">
        <v>1486</v>
      </c>
      <c r="AQ70" s="1253" t="s">
        <v>1732</v>
      </c>
      <c r="AR70" s="1252" t="s">
        <v>2022</v>
      </c>
      <c r="AS70" s="1253" t="s">
        <v>584</v>
      </c>
      <c r="AT70" s="1252" t="s">
        <v>2023</v>
      </c>
      <c r="AU70" s="1252" t="s">
        <v>1486</v>
      </c>
      <c r="AV70" s="1253" t="s">
        <v>1732</v>
      </c>
      <c r="AW70" s="1252" t="s">
        <v>2022</v>
      </c>
      <c r="AX70" s="1253" t="s">
        <v>584</v>
      </c>
      <c r="AY70" s="1252" t="s">
        <v>2023</v>
      </c>
      <c r="AZ70" s="1252" t="s">
        <v>1486</v>
      </c>
      <c r="BA70" s="1253" t="s">
        <v>1732</v>
      </c>
      <c r="BB70" s="1252" t="s">
        <v>2022</v>
      </c>
      <c r="BC70" s="1253" t="s">
        <v>584</v>
      </c>
      <c r="BD70" s="1252" t="s">
        <v>2023</v>
      </c>
      <c r="BE70" s="1252" t="s">
        <v>1486</v>
      </c>
      <c r="BF70" s="1253" t="s">
        <v>1732</v>
      </c>
      <c r="BG70" s="1252" t="s">
        <v>2022</v>
      </c>
      <c r="BH70" s="1253" t="s">
        <v>584</v>
      </c>
      <c r="BI70" s="1252" t="s">
        <v>2023</v>
      </c>
      <c r="BJ70" s="1252" t="s">
        <v>1486</v>
      </c>
      <c r="BK70" s="1253" t="s">
        <v>1732</v>
      </c>
      <c r="BL70" s="1252" t="s">
        <v>2022</v>
      </c>
      <c r="BM70" s="1253" t="s">
        <v>584</v>
      </c>
      <c r="BN70" s="1252" t="s">
        <v>2023</v>
      </c>
      <c r="BO70" s="1252" t="s">
        <v>1486</v>
      </c>
      <c r="BP70" s="1253" t="s">
        <v>1732</v>
      </c>
      <c r="BQ70" s="1252" t="s">
        <v>2022</v>
      </c>
      <c r="BR70" s="1253" t="s">
        <v>584</v>
      </c>
      <c r="BS70" s="1252" t="s">
        <v>2023</v>
      </c>
      <c r="BT70" s="1252" t="s">
        <v>1486</v>
      </c>
      <c r="BU70" s="1253" t="s">
        <v>1732</v>
      </c>
      <c r="BV70" s="1252" t="s">
        <v>2022</v>
      </c>
      <c r="BW70" s="1253" t="s">
        <v>584</v>
      </c>
      <c r="BX70" s="1252" t="s">
        <v>2023</v>
      </c>
      <c r="BY70" s="1252" t="s">
        <v>1486</v>
      </c>
      <c r="BZ70" s="1253" t="s">
        <v>1732</v>
      </c>
      <c r="CA70" s="1252" t="s">
        <v>2022</v>
      </c>
      <c r="CB70" s="1253" t="s">
        <v>584</v>
      </c>
      <c r="CC70" s="1252" t="s">
        <v>2023</v>
      </c>
      <c r="CD70" s="1252" t="s">
        <v>1486</v>
      </c>
      <c r="CE70" s="1253" t="s">
        <v>1732</v>
      </c>
      <c r="CF70" s="1252" t="s">
        <v>2022</v>
      </c>
      <c r="CG70" s="1253" t="s">
        <v>584</v>
      </c>
      <c r="CH70" s="1252" t="s">
        <v>2023</v>
      </c>
      <c r="CI70" s="1252" t="s">
        <v>1486</v>
      </c>
      <c r="CJ70" s="1253" t="s">
        <v>1732</v>
      </c>
      <c r="CK70" s="1252" t="s">
        <v>2022</v>
      </c>
      <c r="CL70" s="1253" t="s">
        <v>584</v>
      </c>
      <c r="CM70" s="1252" t="s">
        <v>2023</v>
      </c>
      <c r="CN70" s="1252" t="s">
        <v>1486</v>
      </c>
      <c r="CO70" s="1253" t="s">
        <v>1732</v>
      </c>
      <c r="CP70" s="1252" t="s">
        <v>2022</v>
      </c>
      <c r="CQ70" s="1253" t="s">
        <v>584</v>
      </c>
      <c r="CR70" s="1252" t="s">
        <v>2023</v>
      </c>
      <c r="CS70" s="1252" t="s">
        <v>1486</v>
      </c>
      <c r="CT70" s="1253" t="s">
        <v>1732</v>
      </c>
      <c r="CU70" s="1252" t="s">
        <v>2022</v>
      </c>
      <c r="CV70" s="1253" t="s">
        <v>584</v>
      </c>
      <c r="CW70" s="1252" t="s">
        <v>2023</v>
      </c>
      <c r="CX70" s="1252" t="s">
        <v>1486</v>
      </c>
      <c r="CY70" s="1253" t="s">
        <v>1732</v>
      </c>
      <c r="CZ70" s="1252" t="s">
        <v>2022</v>
      </c>
      <c r="DA70" s="1253" t="s">
        <v>584</v>
      </c>
      <c r="DB70" s="1252" t="s">
        <v>2023</v>
      </c>
      <c r="DC70" s="1252" t="s">
        <v>1486</v>
      </c>
      <c r="DD70" s="1253" t="s">
        <v>1732</v>
      </c>
      <c r="DE70" s="1252" t="s">
        <v>2022</v>
      </c>
      <c r="DF70" s="1253" t="s">
        <v>584</v>
      </c>
      <c r="DG70" s="1252" t="s">
        <v>2023</v>
      </c>
      <c r="DH70" s="1252" t="s">
        <v>1486</v>
      </c>
      <c r="DI70" s="1253" t="s">
        <v>1732</v>
      </c>
      <c r="DJ70" s="1252" t="s">
        <v>2022</v>
      </c>
      <c r="DK70" s="1253" t="s">
        <v>584</v>
      </c>
      <c r="DL70" s="1252" t="s">
        <v>2023</v>
      </c>
      <c r="DM70" s="1252" t="s">
        <v>1486</v>
      </c>
      <c r="DN70" s="1253" t="s">
        <v>1732</v>
      </c>
      <c r="DO70" s="1252" t="s">
        <v>2022</v>
      </c>
      <c r="DP70" s="1253" t="s">
        <v>584</v>
      </c>
      <c r="DQ70" s="1252" t="s">
        <v>2023</v>
      </c>
      <c r="DR70" s="1252" t="s">
        <v>1486</v>
      </c>
      <c r="DS70" s="1253" t="s">
        <v>1732</v>
      </c>
      <c r="DT70" s="1252" t="s">
        <v>2022</v>
      </c>
      <c r="DU70" s="1253" t="s">
        <v>584</v>
      </c>
      <c r="DV70" s="1252" t="s">
        <v>2023</v>
      </c>
      <c r="DW70" s="1252" t="s">
        <v>1486</v>
      </c>
      <c r="DX70" s="1253" t="s">
        <v>1732</v>
      </c>
      <c r="DY70" s="1252" t="s">
        <v>2022</v>
      </c>
      <c r="DZ70" s="1253" t="s">
        <v>584</v>
      </c>
      <c r="EA70" s="1252" t="s">
        <v>2023</v>
      </c>
      <c r="EB70" s="3654"/>
    </row>
    <row r="71" spans="1:150" s="1295" customFormat="1">
      <c r="A71" s="1458"/>
      <c r="C71" s="1296" t="s">
        <v>1767</v>
      </c>
      <c r="D71" s="1297" t="s">
        <v>687</v>
      </c>
      <c r="E71" s="1297" t="s">
        <v>376</v>
      </c>
      <c r="F71" s="1298" t="s">
        <v>1855</v>
      </c>
      <c r="G71" s="1237"/>
      <c r="H71" s="1238"/>
      <c r="I71" s="1239"/>
      <c r="J71" s="1228" t="e">
        <v>#VALUE!</v>
      </c>
      <c r="K71" s="1240"/>
      <c r="L71" s="1299" t="e">
        <v>#VALUE!</v>
      </c>
      <c r="M71" s="1228" t="e">
        <f>+J71*(1+L71/100)</f>
        <v>#VALUE!</v>
      </c>
      <c r="N71" s="1299" t="e">
        <f>+O71/M71*100-100</f>
        <v>#VALUE!</v>
      </c>
      <c r="O71" s="1228" t="e">
        <v>#VALUE!</v>
      </c>
      <c r="P71" s="1221" t="e">
        <f>(O71/J71-1)*100</f>
        <v>#VALUE!</v>
      </c>
      <c r="Q71" s="1299" t="e">
        <v>#VALUE!</v>
      </c>
      <c r="R71" s="1228" t="e">
        <f>+O71*(1+Q71/100)</f>
        <v>#VALUE!</v>
      </c>
      <c r="S71" s="1299" t="e">
        <f>+T71/R71*100-100</f>
        <v>#VALUE!</v>
      </c>
      <c r="T71" s="1228" t="e">
        <v>#VALUE!</v>
      </c>
      <c r="U71" s="1221" t="e">
        <f>(T71/O71-1)*100</f>
        <v>#VALUE!</v>
      </c>
      <c r="V71" s="1299" t="e">
        <v>#VALUE!</v>
      </c>
      <c r="W71" s="1228" t="e">
        <f>+T71*(1+V71/100)</f>
        <v>#VALUE!</v>
      </c>
      <c r="X71" s="1299" t="e">
        <f>+Y71/W71*100-100</f>
        <v>#VALUE!</v>
      </c>
      <c r="Y71" s="1228" t="e">
        <v>#VALUE!</v>
      </c>
      <c r="Z71" s="1221" t="e">
        <f>(Y71/T71-1)*100</f>
        <v>#VALUE!</v>
      </c>
      <c r="AA71" s="1299" t="e">
        <v>#VALUE!</v>
      </c>
      <c r="AB71" s="1228" t="e">
        <f>+Y71*(1+AA71/100)</f>
        <v>#VALUE!</v>
      </c>
      <c r="AC71" s="1299" t="e">
        <f ca="1">+AD71/AB71*100-100</f>
        <v>#VALUE!</v>
      </c>
      <c r="AD71" s="1228">
        <f ca="1">OFFSET('VVP2'!$G$228,0,(COLUMN()-6)/5)</f>
        <v>0.43416000000000005</v>
      </c>
      <c r="AE71" s="1221" t="e">
        <f ca="1">(AD71/Y71-1)*100</f>
        <v>#VALUE!</v>
      </c>
      <c r="AF71" s="3164">
        <f ca="1">(AG71/AD71-1)*100</f>
        <v>-20.109579787634924</v>
      </c>
      <c r="AG71" s="3168">
        <f ca="1">AI71/(1+AH71/100)</f>
        <v>0.34685224839400425</v>
      </c>
      <c r="AH71" s="2249">
        <v>-6.6</v>
      </c>
      <c r="AI71" s="1228">
        <f ca="1">OFFSET('VVP2'!$G$229,0,(COLUMN()-6)/5)</f>
        <v>0.32395999999999997</v>
      </c>
      <c r="AJ71" s="1221">
        <f ca="1">(AI71/AD71-1)*100</f>
        <v>-25.382347521651017</v>
      </c>
      <c r="AK71" s="3164">
        <f ca="1">(AL71/AI71-1)*100</f>
        <v>6.8912200808358692</v>
      </c>
      <c r="AL71" s="3168">
        <f ca="1">AN71/(1+AM71/100)</f>
        <v>0.34628479657387584</v>
      </c>
      <c r="AM71" s="2249">
        <v>-6.6</v>
      </c>
      <c r="AN71" s="1228">
        <f ca="1">OFFSET('VVP2'!$G$229,0,(COLUMN()-6)/5)</f>
        <v>0.32343</v>
      </c>
      <c r="AO71" s="1221">
        <f ca="1">(AN71/AI71-1)*100</f>
        <v>-0.16360044449931221</v>
      </c>
      <c r="AP71" s="3164">
        <f ca="1">(AQ71/AN71-1)*100</f>
        <v>49.52151328165364</v>
      </c>
      <c r="AQ71" s="3168">
        <f ca="1">AS71/(1+AR71/100)</f>
        <v>0.48359743040685232</v>
      </c>
      <c r="AR71" s="2249">
        <v>-6.6</v>
      </c>
      <c r="AS71" s="1228">
        <f ca="1">OFFSET('VVP2'!$G$229,0,(COLUMN()-6)/5)</f>
        <v>0.45168000000000003</v>
      </c>
      <c r="AT71" s="1221">
        <f ca="1">(AS71/AN71-1)*100</f>
        <v>39.653093405064467</v>
      </c>
      <c r="AU71" s="3164">
        <f ca="1">(AV71/AS71-1)*100</f>
        <v>21.599324453991819</v>
      </c>
      <c r="AV71" s="3168">
        <f ca="1">AX71/(1+AW71/100)</f>
        <v>0.54923982869379029</v>
      </c>
      <c r="AW71" s="2249">
        <v>-6.6</v>
      </c>
      <c r="AX71" s="1228">
        <f ca="1">OFFSET('VVP2'!$G$229,0,(COLUMN()-6)/5)</f>
        <v>0.51299000000000006</v>
      </c>
      <c r="AY71" s="1221">
        <f ca="1">(AX71/AS71-1)*100</f>
        <v>13.573769040028338</v>
      </c>
      <c r="AZ71" s="3164">
        <f ca="1">(BA71/AX71-1)*100</f>
        <v>37.283482198854891</v>
      </c>
      <c r="BA71" s="3168">
        <f ca="1">BC71/(1+BB71/100)</f>
        <v>0.70425053533190574</v>
      </c>
      <c r="BB71" s="2249">
        <v>-6.6</v>
      </c>
      <c r="BC71" s="1228">
        <f ca="1">OFFSET('VVP2'!$G$229,0,(COLUMN()-6)/5)</f>
        <v>0.65776999999999997</v>
      </c>
      <c r="BD71" s="1221">
        <f ca="1">(BC71/AX71-1)*100</f>
        <v>28.222772373730454</v>
      </c>
      <c r="BE71" s="3164">
        <f ca="1">(BF71/BC71-1)*100</f>
        <v>23.296353434007266</v>
      </c>
      <c r="BF71" s="3168">
        <f ca="1">BH71/(1+BG71/100)</f>
        <v>0.81100642398286948</v>
      </c>
      <c r="BG71" s="2249">
        <v>-6.6</v>
      </c>
      <c r="BH71" s="1228">
        <f ca="1">OFFSET('VVP2'!$G$229,0,(COLUMN()-6)/5)</f>
        <v>0.75748000000000004</v>
      </c>
      <c r="BI71" s="1221">
        <f ca="1">(BH71/BC71-1)*100</f>
        <v>15.158794107362761</v>
      </c>
      <c r="BJ71" s="3164">
        <f ca="1">(BK71/BH71-1)*100</f>
        <v>45.491152394296442</v>
      </c>
      <c r="BK71" s="3168">
        <f ca="1">BM71/(1+BL71/100)</f>
        <v>1.1020663811563167</v>
      </c>
      <c r="BL71" s="2249">
        <v>-6.6</v>
      </c>
      <c r="BM71" s="1228">
        <f ca="1">OFFSET('VVP2'!$G$229,0,(COLUMN()-6)/5)</f>
        <v>1.0293299999999999</v>
      </c>
      <c r="BN71" s="1221">
        <f ca="1">(BM71/BH71-1)*100</f>
        <v>35.888736336272878</v>
      </c>
      <c r="BO71" s="3164">
        <f ca="1">(BP71/BM71-1)*100</f>
        <v>63.54997432790892</v>
      </c>
      <c r="BP71" s="3168">
        <f ca="1">BR71/(1+BQ71/100)</f>
        <v>1.6834689507494647</v>
      </c>
      <c r="BQ71" s="2249">
        <v>-6.6</v>
      </c>
      <c r="BR71" s="1228">
        <f ca="1">OFFSET('VVP2'!$G$229,0,(COLUMN()-6)/5)</f>
        <v>1.57236</v>
      </c>
      <c r="BS71" s="1221">
        <f ca="1">(BR71/BM71-1)*100</f>
        <v>52.75567602226694</v>
      </c>
      <c r="BT71" s="3164">
        <f ca="1">(BU71/BR71-1)*100</f>
        <v>19.785433622793079</v>
      </c>
      <c r="BU71" s="3168">
        <f ca="1">BW71/(1+BV71/100)</f>
        <v>1.8834582441113492</v>
      </c>
      <c r="BV71" s="2249">
        <v>-6.6</v>
      </c>
      <c r="BW71" s="1228">
        <f ca="1">OFFSET('VVP2'!$G$229,0,(COLUMN()-6)/5)</f>
        <v>1.75915</v>
      </c>
      <c r="BX71" s="1221">
        <f ca="1">(BW71/BR71-1)*100</f>
        <v>11.879595003688713</v>
      </c>
      <c r="BY71" s="3164">
        <f ca="1">(BZ71/BW71-1)*100</f>
        <v>-27.622237744881282</v>
      </c>
      <c r="BZ71" s="3168">
        <f ca="1">CB71/(1+CA71/100)</f>
        <v>1.2732334047109208</v>
      </c>
      <c r="CA71" s="2249">
        <v>-6.6</v>
      </c>
      <c r="CB71" s="1228">
        <f ca="1">OFFSET('VVP2'!$G$229,0,(COLUMN()-6)/5)</f>
        <v>1.1892</v>
      </c>
      <c r="CC71" s="1221">
        <f ca="1">(CB71/BW71-1)*100</f>
        <v>-32.399170053719132</v>
      </c>
      <c r="CD71" s="3164">
        <f ca="1">(CE71/CB71-1)*100</f>
        <v>14.11073646558869</v>
      </c>
      <c r="CE71" s="3168">
        <f ca="1">CG71/(1+CF71/100)</f>
        <v>1.3570048780487807</v>
      </c>
      <c r="CF71" s="2249">
        <v>2.5</v>
      </c>
      <c r="CG71" s="1228">
        <f ca="1">OFFSET('VVP2'!$G$229,0,(COLUMN()-6)/5)</f>
        <v>1.39093</v>
      </c>
      <c r="CH71" s="1221">
        <f ca="1">(CG71/CB71-1)*100</f>
        <v>16.963504877228374</v>
      </c>
      <c r="CI71" s="3164">
        <f ca="1">(CJ71/CG71-1)*100</f>
        <v>3.7544103234667059</v>
      </c>
      <c r="CJ71" s="3168">
        <f ca="1">CL71/(1+CK71/100)</f>
        <v>1.4431512195121954</v>
      </c>
      <c r="CK71" s="2249">
        <v>2.5</v>
      </c>
      <c r="CL71" s="1228">
        <f ca="1">OFFSET('VVP2'!$G$229,0,(COLUMN()-6)/5)</f>
        <v>1.47923</v>
      </c>
      <c r="CM71" s="1221">
        <f ca="1">(CL71/CG71-1)*100</f>
        <v>6.3482705815533613</v>
      </c>
      <c r="CN71" s="3164">
        <f ca="1">(CO71/CL71-1)*100</f>
        <v>-12.52337447152383</v>
      </c>
      <c r="CO71" s="3168">
        <f ca="1">CQ71/(1+CP71/100)</f>
        <v>1.2939804878048782</v>
      </c>
      <c r="CP71" s="2249">
        <v>2.5</v>
      </c>
      <c r="CQ71" s="1228">
        <f ca="1">OFFSET('VVP2'!$G$229,0,(COLUMN()-6)/5)</f>
        <v>1.32633</v>
      </c>
      <c r="CR71" s="1221">
        <f ca="1">(CQ71/CL71-1)*100</f>
        <v>-10.336458833311923</v>
      </c>
      <c r="CS71" s="3164">
        <f ca="1">(CT71/CQ71-1)*100</f>
        <v>-3.6784613622074303</v>
      </c>
      <c r="CT71" s="3168">
        <f ca="1">CV71/(1+CU71/100)</f>
        <v>1.2775414634146343</v>
      </c>
      <c r="CU71" s="2249">
        <v>2.5</v>
      </c>
      <c r="CV71" s="1228">
        <f ca="1">OFFSET('VVP2'!$G$229,0,(COLUMN()-6)/5)</f>
        <v>1.30948</v>
      </c>
      <c r="CW71" s="3705">
        <f ca="1">(CV71/CQ71-1)*100</f>
        <v>-1.2704228962626241</v>
      </c>
      <c r="CX71" s="3164">
        <f ca="1">(CY71/CV71-1)*100</f>
        <v>-4.4133698202302512</v>
      </c>
      <c r="CY71" s="3168">
        <f ca="1">DA71/(1+CZ71/100)</f>
        <v>1.2516878048780489</v>
      </c>
      <c r="CZ71" s="2249">
        <v>2.5</v>
      </c>
      <c r="DA71">
        <f ca="1">OFFSET('VVP2'!$G$229,0,(COLUMN()-6)/5)</f>
        <v>1.28298</v>
      </c>
      <c r="DB71" s="1221">
        <f ca="1">(DA71/CV71-1)*100</f>
        <v>-2.0237040657360095</v>
      </c>
      <c r="DC71" s="3164">
        <f ca="1">(DD71/DA71-1)*100</f>
        <v>4.5211434202917067</v>
      </c>
      <c r="DD71" s="3168">
        <f ca="1">DF71/(1+DE71/100)</f>
        <v>1.3409853658536586</v>
      </c>
      <c r="DE71" s="2249">
        <v>2.5</v>
      </c>
      <c r="DF71" s="1228">
        <f ca="1">OFFSET('VVP2'!$G$229,0,(COLUMN()-6)/5)</f>
        <v>1.3745099999999999</v>
      </c>
      <c r="DG71" s="2248">
        <f ca="1">(DF71/DA71-1)*100</f>
        <v>7.1341720057989999</v>
      </c>
      <c r="DH71" s="3164">
        <f ca="1">(DI71/DF71-1)*100</f>
        <v>-15.22488565071013</v>
      </c>
      <c r="DI71" s="1228">
        <f ca="1">DK71/(1+DJ71/100)</f>
        <v>1.1652424242424242</v>
      </c>
      <c r="DJ71" s="2249">
        <v>-1</v>
      </c>
      <c r="DK71" s="1228">
        <f ca="1">OFFSET('VVP2'!$G$229,0,(COLUMN()-6)/5)</f>
        <v>1.1535899999999999</v>
      </c>
      <c r="DL71" s="3702">
        <f ca="1">(DK71/DF71-1)*100</f>
        <v>-16.072636794203021</v>
      </c>
      <c r="DM71" s="3317">
        <v>3</v>
      </c>
      <c r="DN71" s="1228">
        <f ca="1">+DK71*(1+DM71/100)</f>
        <v>1.1881976999999999</v>
      </c>
      <c r="DO71" s="2249">
        <v>4.0999999999999996</v>
      </c>
      <c r="DP71" s="3726">
        <f ca="1">+DN71*(1+DO71/100)</f>
        <v>1.2369138056999998</v>
      </c>
      <c r="DQ71" s="2248">
        <f ca="1">(DP71/DK71-1)*100</f>
        <v>7.2229999999999794</v>
      </c>
      <c r="DR71" s="3317">
        <v>6.34</v>
      </c>
      <c r="DS71" s="1228">
        <f ca="1">+DP71*(1+DR71/100)</f>
        <v>1.3153341409813797</v>
      </c>
      <c r="DT71" s="2249">
        <v>3</v>
      </c>
      <c r="DU71" s="2241">
        <f ca="1">+DS71*(1+DT71/100)</f>
        <v>1.3547941652108211</v>
      </c>
      <c r="DV71" s="2248">
        <f ca="1">(DU71/DP71-1)*100</f>
        <v>9.5302000000000007</v>
      </c>
      <c r="DW71" s="3317">
        <v>4.5</v>
      </c>
      <c r="DX71" s="1228">
        <f ca="1">+DU71*(1+DW71/100)</f>
        <v>1.4157599026453078</v>
      </c>
      <c r="DY71" s="2249">
        <v>3</v>
      </c>
      <c r="DZ71" s="2241">
        <f ca="1">+DX71*(1+DY71/100)</f>
        <v>1.4582326997246671</v>
      </c>
      <c r="EA71" s="2248">
        <f ca="1">(DZ71/DU71-1)*100</f>
        <v>7.6349999999999918</v>
      </c>
      <c r="EB71" s="3654"/>
      <c r="EC71"/>
      <c r="ED71"/>
      <c r="EE71"/>
      <c r="EF71"/>
      <c r="EG71"/>
      <c r="EH71"/>
      <c r="EI71"/>
      <c r="EJ71"/>
      <c r="EK71"/>
      <c r="EL71"/>
      <c r="EM71"/>
      <c r="EN71"/>
      <c r="EO71"/>
    </row>
    <row r="72" spans="1:150" s="1295" customFormat="1">
      <c r="A72" s="1458"/>
      <c r="C72" s="1300" t="s">
        <v>1767</v>
      </c>
      <c r="D72" s="1297" t="s">
        <v>685</v>
      </c>
      <c r="E72" s="1297" t="s">
        <v>376</v>
      </c>
      <c r="F72" s="1298" t="s">
        <v>848</v>
      </c>
      <c r="G72" s="1241"/>
      <c r="H72" s="1242"/>
      <c r="I72" s="1243"/>
      <c r="J72" s="1232" t="e">
        <v>#VALUE!</v>
      </c>
      <c r="K72" s="1245"/>
      <c r="L72" s="1241"/>
      <c r="M72" s="1242"/>
      <c r="N72" s="1243"/>
      <c r="O72" s="1232" t="e">
        <v>#VALUE!</v>
      </c>
      <c r="P72" s="1217" t="e">
        <f>(O72/J72-1)*100</f>
        <v>#VALUE!</v>
      </c>
      <c r="Q72" s="1241"/>
      <c r="R72" s="1242"/>
      <c r="S72" s="1243"/>
      <c r="T72" s="1232" t="e">
        <v>#VALUE!</v>
      </c>
      <c r="U72" s="1217" t="e">
        <f>(T72/O72-1)*100</f>
        <v>#VALUE!</v>
      </c>
      <c r="V72" s="1241"/>
      <c r="W72" s="1242"/>
      <c r="X72" s="1243"/>
      <c r="Y72" s="1232" t="e">
        <v>#VALUE!</v>
      </c>
      <c r="Z72" s="1217" t="e">
        <f>(Y72/T72-1)*100</f>
        <v>#VALUE!</v>
      </c>
      <c r="AA72" s="1241"/>
      <c r="AB72" s="1242"/>
      <c r="AC72" s="1243"/>
      <c r="AD72" s="1232">
        <f ca="1">OFFSET('VVP2'!$G$229,0,(COLUMN()-6)/5)</f>
        <v>0.32613999999999999</v>
      </c>
      <c r="AE72" s="1217" t="e">
        <f ca="1">(AD72/Y72-1)*100</f>
        <v>#VALUE!</v>
      </c>
      <c r="AF72" s="1241"/>
      <c r="AG72" s="1242"/>
      <c r="AH72" s="1243"/>
      <c r="AI72" s="1232">
        <f ca="1">OFFSET('VVP2'!$G$228,0,(COLUMN()-6)/5)</f>
        <v>0.48319000000000001</v>
      </c>
      <c r="AJ72" s="1217">
        <f ca="1">(AI72/AD72-1)*100</f>
        <v>48.154166922180664</v>
      </c>
      <c r="AK72" s="1241"/>
      <c r="AL72" s="1242"/>
      <c r="AM72" s="1243"/>
      <c r="AN72" s="1232">
        <f ca="1">OFFSET('VVP2'!$G$228,0,(COLUMN()-6)/5)</f>
        <v>0.53537000000000001</v>
      </c>
      <c r="AO72" s="1217">
        <f ca="1">(AN72/AI72-1)*100</f>
        <v>10.79906455017694</v>
      </c>
      <c r="AP72" s="1241"/>
      <c r="AQ72" s="1242"/>
      <c r="AR72" s="1243"/>
      <c r="AS72" s="1232">
        <f ca="1">OFFSET('VVP2'!$G$228,0,(COLUMN()-6)/5)</f>
        <v>0.53712000000000004</v>
      </c>
      <c r="AT72" s="1217">
        <f ca="1">(AS72/AN72-1)*100</f>
        <v>0.32687673945122064</v>
      </c>
      <c r="AU72" s="1241"/>
      <c r="AV72" s="1242"/>
      <c r="AW72" s="1243"/>
      <c r="AX72" s="1232">
        <f ca="1">OFFSET('VVP2'!$G$228,0,(COLUMN()-6)/5)</f>
        <v>0.68988000000000005</v>
      </c>
      <c r="AY72" s="1217">
        <f ca="1">(AX72/AS72-1)*100</f>
        <v>28.440571939231461</v>
      </c>
      <c r="AZ72" s="1241"/>
      <c r="BA72" s="1242"/>
      <c r="BB72" s="1243"/>
      <c r="BC72" s="1232">
        <f ca="1">OFFSET('VVP2'!$G$228,0,(COLUMN()-6)/5)</f>
        <v>0.79324000000000006</v>
      </c>
      <c r="BD72" s="1217">
        <f ca="1">(BC72/AX72-1)*100</f>
        <v>14.982315765060594</v>
      </c>
      <c r="BE72" s="1241"/>
      <c r="BF72" s="1242"/>
      <c r="BG72" s="1243"/>
      <c r="BH72" s="1232">
        <f ca="1">OFFSET('VVP2'!$G$228,0,(COLUMN()-6)/5)</f>
        <v>0.83965000000000001</v>
      </c>
      <c r="BI72" s="1217">
        <f ca="1">(BH72/BC72-1)*100</f>
        <v>5.8506883162724899</v>
      </c>
      <c r="BJ72" s="1241"/>
      <c r="BK72" s="1242"/>
      <c r="BL72" s="1243"/>
      <c r="BM72" s="1232">
        <f ca="1">OFFSET('VVP2'!$G$228,0,(COLUMN()-6)/5)</f>
        <v>0.87766999999999995</v>
      </c>
      <c r="BN72" s="1217">
        <f ca="1">(BM72/BH72-1)*100</f>
        <v>4.5280771750134008</v>
      </c>
      <c r="BO72" s="1241"/>
      <c r="BP72" s="1242"/>
      <c r="BQ72" s="1243"/>
      <c r="BR72" s="1232">
        <f ca="1">OFFSET('VVP2'!$G$228,0,(COLUMN()-6)/5)</f>
        <v>1.0825199999999999</v>
      </c>
      <c r="BS72" s="1217">
        <f ca="1">(BR72/BM72-1)*100</f>
        <v>23.340207595109774</v>
      </c>
      <c r="BT72" s="1241"/>
      <c r="BU72" s="1242"/>
      <c r="BV72" s="1243"/>
      <c r="BW72" s="1232">
        <f ca="1">OFFSET('VVP2'!$G$228,0,(COLUMN()-6)/5)</f>
        <v>1.27919</v>
      </c>
      <c r="BX72" s="1217">
        <f ca="1">(BW72/BR72-1)*100</f>
        <v>18.167793666629727</v>
      </c>
      <c r="BY72" s="1241"/>
      <c r="BZ72" s="1242"/>
      <c r="CA72" s="1243"/>
      <c r="CB72" s="1232">
        <f ca="1">OFFSET('VVP2'!$G$228,0,(COLUMN()-6)/5)</f>
        <v>0.95716000000000001</v>
      </c>
      <c r="CC72" s="1217">
        <f ca="1">(CB72/BW72-1)*100</f>
        <v>-25.174524503787556</v>
      </c>
      <c r="CD72" s="1241"/>
      <c r="CE72" s="1242"/>
      <c r="CF72" s="1243"/>
      <c r="CG72" s="1232">
        <f ca="1">OFFSET('VVP2'!$G$228,0,(COLUMN()-6)/5)</f>
        <v>0.92220000000000002</v>
      </c>
      <c r="CH72" s="1217">
        <f ca="1">(CG72/CB72-1)*100</f>
        <v>-3.6524718960257441</v>
      </c>
      <c r="CI72" s="1241"/>
      <c r="CJ72" s="1242"/>
      <c r="CK72" s="1243"/>
      <c r="CL72" s="1232">
        <f ca="1">OFFSET('VVP2'!$G$228,0,(COLUMN()-6)/5)</f>
        <v>1.04375</v>
      </c>
      <c r="CM72" s="1217">
        <f ca="1">(CL72/CG72-1)*100</f>
        <v>13.18043808284537</v>
      </c>
      <c r="CN72" s="1241"/>
      <c r="CO72" s="1242"/>
      <c r="CP72" s="1243"/>
      <c r="CQ72" s="1232">
        <f ca="1">OFFSET('VVP2'!$G$228,0,(COLUMN()-6)/5)</f>
        <v>1.00299</v>
      </c>
      <c r="CR72" s="1217">
        <f ca="1">(CQ72/CL72-1)*100</f>
        <v>-3.9051497005987978</v>
      </c>
      <c r="CS72" s="1241"/>
      <c r="CT72" s="1242"/>
      <c r="CU72" s="1243"/>
      <c r="CV72" s="1232">
        <f ca="1">OFFSET('VVP2'!$G$228,0,(COLUMN()-6)/5)</f>
        <v>1.2413599999999998</v>
      </c>
      <c r="CW72" s="3706">
        <f ca="1">(CV72/CQ72-1)*100</f>
        <v>23.765939839878737</v>
      </c>
      <c r="CX72" s="1241"/>
      <c r="CY72" s="1242"/>
      <c r="CZ72" s="1243"/>
      <c r="DA72" s="2846">
        <f ca="1">OFFSET('VVP2'!$G$228,0,(COLUMN()-6)/5)</f>
        <v>1.37171</v>
      </c>
      <c r="DB72" s="1217">
        <f ca="1">(DA72/CV72-1)*100</f>
        <v>10.500580009022386</v>
      </c>
      <c r="DC72" s="1241"/>
      <c r="DD72" s="1242"/>
      <c r="DE72" s="1243"/>
      <c r="DF72" s="1232">
        <f ca="1">OFFSET('VVP2'!$G$228,0,(COLUMN()-6)/5)</f>
        <v>1.56351</v>
      </c>
      <c r="DG72" s="1217">
        <f ca="1">(DF72/DA72-1)*100</f>
        <v>13.982547331433025</v>
      </c>
      <c r="DH72" s="1241"/>
      <c r="DI72" s="1242"/>
      <c r="DJ72" s="1243"/>
      <c r="DK72" s="2241">
        <f ca="1">OFFSET('VVP2'!$G$228,0,(COLUMN()-6)/5)</f>
        <v>1.7422800000000001</v>
      </c>
      <c r="DL72" s="1217">
        <f ca="1">(DK72/DF72-1)*100</f>
        <v>11.433889134063758</v>
      </c>
      <c r="DM72" s="1241"/>
      <c r="DN72" s="1242"/>
      <c r="DO72" s="1243"/>
      <c r="DP72" s="3726">
        <f ca="1">+DK72*(1+DQ72/100)</f>
        <v>1.8032598</v>
      </c>
      <c r="DQ72" s="3203">
        <v>3.5</v>
      </c>
      <c r="DR72" s="1241"/>
      <c r="DS72" s="1242"/>
      <c r="DT72" s="1243"/>
      <c r="DU72" s="2241">
        <f ca="1">+DP72*(1+DV72/100)</f>
        <v>1.8663738929999998</v>
      </c>
      <c r="DV72" s="3203">
        <v>3.5</v>
      </c>
      <c r="DW72" s="1241"/>
      <c r="DX72" s="1242"/>
      <c r="DY72" s="1243"/>
      <c r="DZ72" s="2241">
        <f ca="1">+DU72*(1+EA72/100)</f>
        <v>1.9316969792549996</v>
      </c>
      <c r="EA72" s="3203">
        <v>3.5</v>
      </c>
      <c r="EB72" s="3654"/>
      <c r="EC72"/>
      <c r="ED72"/>
      <c r="EE72"/>
      <c r="EF72"/>
      <c r="EG72"/>
      <c r="EH72"/>
      <c r="EI72"/>
      <c r="EJ72"/>
      <c r="EK72"/>
      <c r="EL72"/>
      <c r="EM72"/>
      <c r="EN72"/>
      <c r="EO72"/>
    </row>
    <row r="73" spans="1:150" s="1295" customFormat="1">
      <c r="A73" s="1458"/>
      <c r="C73" s="1301" t="s">
        <v>1767</v>
      </c>
      <c r="D73" s="1900" t="s">
        <v>686</v>
      </c>
      <c r="E73" s="1900" t="s">
        <v>376</v>
      </c>
      <c r="F73" s="1901" t="s">
        <v>849</v>
      </c>
      <c r="G73" s="1246"/>
      <c r="H73" s="1247"/>
      <c r="I73" s="1248"/>
      <c r="J73" s="1231" t="e">
        <v>#VALUE!</v>
      </c>
      <c r="K73" s="1249"/>
      <c r="L73" s="1246"/>
      <c r="M73" s="1247"/>
      <c r="N73" s="1248"/>
      <c r="O73" s="1231" t="e">
        <v>#VALUE!</v>
      </c>
      <c r="P73" s="1218" t="e">
        <f>(O73/J73-1)*100</f>
        <v>#VALUE!</v>
      </c>
      <c r="Q73" s="1246"/>
      <c r="R73" s="1247"/>
      <c r="S73" s="1248"/>
      <c r="T73" s="1231" t="e">
        <v>#VALUE!</v>
      </c>
      <c r="U73" s="1218" t="e">
        <f>(T73/O73-1)*100</f>
        <v>#VALUE!</v>
      </c>
      <c r="V73" s="1246"/>
      <c r="W73" s="1247"/>
      <c r="X73" s="1248"/>
      <c r="Y73" s="1231" t="e">
        <v>#VALUE!</v>
      </c>
      <c r="Z73" s="1218" t="e">
        <f>(Y73/T73-1)*100</f>
        <v>#VALUE!</v>
      </c>
      <c r="AA73" s="1246"/>
      <c r="AB73" s="1247"/>
      <c r="AC73" s="1248"/>
      <c r="AD73" s="1232">
        <f ca="1">OFFSET('VVP2'!$G$230,0,(COLUMN()-6)/5)</f>
        <v>2.0300199999999999</v>
      </c>
      <c r="AE73" s="1218" t="e">
        <f ca="1">(AD73/Y73-1)*100</f>
        <v>#VALUE!</v>
      </c>
      <c r="AF73" s="1246"/>
      <c r="AG73" s="1247"/>
      <c r="AH73" s="1248"/>
      <c r="AI73" s="1232">
        <f ca="1">OFFSET('VVP2'!$G$230,0,(COLUMN()-6)/5)</f>
        <v>1.7495399999999999</v>
      </c>
      <c r="AJ73" s="1218">
        <f ca="1">(AI73/AD73-1)*100</f>
        <v>-13.816612644210402</v>
      </c>
      <c r="AK73" s="1246"/>
      <c r="AL73" s="1247"/>
      <c r="AM73" s="1248"/>
      <c r="AN73" s="1232">
        <f ca="1">OFFSET('VVP2'!$G$230,0,(COLUMN()-6)/5)</f>
        <v>2.0532399999999997</v>
      </c>
      <c r="AO73" s="1218">
        <f ca="1">(AN73/AI73-1)*100</f>
        <v>17.358848611635057</v>
      </c>
      <c r="AP73" s="1246"/>
      <c r="AQ73" s="1247"/>
      <c r="AR73" s="1248"/>
      <c r="AS73" s="1232">
        <f ca="1">OFFSET('VVP2'!$G$230,0,(COLUMN()-6)/5)</f>
        <v>2.1570999999999998</v>
      </c>
      <c r="AT73" s="1218">
        <f ca="1">(AS73/AN73-1)*100</f>
        <v>5.0583468079717919</v>
      </c>
      <c r="AU73" s="1246"/>
      <c r="AV73" s="1247"/>
      <c r="AW73" s="1248"/>
      <c r="AX73" s="1232">
        <f ca="1">OFFSET('VVP2'!$G$230,0,(COLUMN()-6)/5)</f>
        <v>2.38741</v>
      </c>
      <c r="AY73" s="1218">
        <f ca="1">(AX73/AS73-1)*100</f>
        <v>10.676834639098809</v>
      </c>
      <c r="AZ73" s="1246"/>
      <c r="BA73" s="1247"/>
      <c r="BB73" s="1248"/>
      <c r="BC73" s="1232">
        <f ca="1">OFFSET('VVP2'!$G$230,0,(COLUMN()-6)/5)</f>
        <v>2.7249899999999996</v>
      </c>
      <c r="BD73" s="1218">
        <f ca="1">(BC73/AX73-1)*100</f>
        <v>14.140009466325409</v>
      </c>
      <c r="BE73" s="1246"/>
      <c r="BF73" s="1247"/>
      <c r="BG73" s="1248"/>
      <c r="BH73" s="1232">
        <f ca="1">OFFSET('VVP2'!$G$230,0,(COLUMN()-6)/5)</f>
        <v>3.3142499999999999</v>
      </c>
      <c r="BI73" s="1218">
        <f ca="1">(BH73/BC73-1)*100</f>
        <v>21.62429953871392</v>
      </c>
      <c r="BJ73" s="1246"/>
      <c r="BK73" s="1247"/>
      <c r="BL73" s="1248"/>
      <c r="BM73" s="1232">
        <f ca="1">OFFSET('VVP2'!$G$230,0,(COLUMN()-6)/5)</f>
        <v>4.3358999999999996</v>
      </c>
      <c r="BN73" s="1218">
        <f ca="1">(BM73/BH73-1)*100</f>
        <v>30.825978728219038</v>
      </c>
      <c r="BO73" s="1246"/>
      <c r="BP73" s="1247"/>
      <c r="BQ73" s="1248"/>
      <c r="BR73" s="1232">
        <f ca="1">OFFSET('VVP2'!$G$230,0,(COLUMN()-6)/5)</f>
        <v>5.6438000000000006</v>
      </c>
      <c r="BS73" s="1218">
        <f ca="1">(BR73/BM73-1)*100</f>
        <v>30.164441061832626</v>
      </c>
      <c r="BT73" s="1246"/>
      <c r="BU73" s="1247"/>
      <c r="BV73" s="1248"/>
      <c r="BW73" s="1232">
        <f ca="1">OFFSET('VVP2'!$G$230,0,(COLUMN()-6)/5)</f>
        <v>5.4749799999999995</v>
      </c>
      <c r="BX73" s="1218">
        <f ca="1">(BW73/BR73-1)*100</f>
        <v>-2.9912470321414864</v>
      </c>
      <c r="BY73" s="1246"/>
      <c r="BZ73" s="1247"/>
      <c r="CA73" s="1248"/>
      <c r="CB73" s="1232">
        <f ca="1">OFFSET('VVP2'!$G$230,0,(COLUMN()-6)/5)</f>
        <v>2.6641699999999999</v>
      </c>
      <c r="CC73" s="1218">
        <f ca="1">(CB73/BW73-1)*100</f>
        <v>-51.339182974184382</v>
      </c>
      <c r="CD73" s="1246"/>
      <c r="CE73" s="1247"/>
      <c r="CF73" s="1248"/>
      <c r="CG73" s="1232">
        <f ca="1">OFFSET('VVP2'!$G$230,0,(COLUMN()-6)/5)</f>
        <v>2.41317</v>
      </c>
      <c r="CH73" s="1218">
        <f ca="1">(CG73/CB73-1)*100</f>
        <v>-9.4213207115161559</v>
      </c>
      <c r="CI73" s="1246"/>
      <c r="CJ73" s="1247"/>
      <c r="CK73" s="1248"/>
      <c r="CL73" s="1232">
        <f ca="1">OFFSET('VVP2'!$G$230,0,(COLUMN()-6)/5)</f>
        <v>3.25813</v>
      </c>
      <c r="CM73" s="1218">
        <f ca="1">(CL73/CG73-1)*100</f>
        <v>35.014524463672259</v>
      </c>
      <c r="CN73" s="1246"/>
      <c r="CO73" s="1247"/>
      <c r="CP73" s="1248"/>
      <c r="CQ73" s="1232">
        <f ca="1">OFFSET('VVP2'!$G$230,0,(COLUMN()-6)/5)</f>
        <v>3.45871</v>
      </c>
      <c r="CR73" s="1218">
        <f ca="1">(CQ73/CL73-1)*100</f>
        <v>6.156292106208161</v>
      </c>
      <c r="CS73" s="1246"/>
      <c r="CT73" s="1247"/>
      <c r="CU73" s="1248"/>
      <c r="CV73" s="1232">
        <f ca="1">OFFSET('VVP2'!$G$230,0,(COLUMN()-6)/5)</f>
        <v>3.9040300000000001</v>
      </c>
      <c r="CW73" s="3707">
        <f ca="1">(CV73/CQ73-1)*100</f>
        <v>12.87532056749483</v>
      </c>
      <c r="CX73" s="1246"/>
      <c r="CY73" s="1247"/>
      <c r="CZ73" s="1248"/>
      <c r="DA73" s="1899">
        <f ca="1">+DA65-DA72-DA71</f>
        <v>4.2507999999999999</v>
      </c>
      <c r="DB73" s="1218">
        <f ca="1">(DA73/CV73-1)*100</f>
        <v>8.8823600228481894</v>
      </c>
      <c r="DC73" s="1246"/>
      <c r="DD73" s="1247"/>
      <c r="DE73" s="1248"/>
      <c r="DF73" s="3703">
        <f ca="1">+DF65-DF72-DF71</f>
        <v>4.3872</v>
      </c>
      <c r="DG73" s="1217">
        <f ca="1">(DF73/DA73-1)*100</f>
        <v>3.2088077538345638</v>
      </c>
      <c r="DH73" s="1246"/>
      <c r="DI73" s="1247"/>
      <c r="DJ73" s="1248"/>
      <c r="DK73" s="1899">
        <f ca="1">+DK65-DK72-DK71</f>
        <v>4.4183199999999996</v>
      </c>
      <c r="DL73" s="1217">
        <f ca="1">(DK73/DF73-1)*100</f>
        <v>0.70933625091174068</v>
      </c>
      <c r="DM73" s="1246"/>
      <c r="DN73" s="1247"/>
      <c r="DO73" s="1248"/>
      <c r="DP73" s="3727">
        <f ca="1">+DP65-DP72-DP71</f>
        <v>4.8402163943000005</v>
      </c>
      <c r="DQ73" s="1217">
        <f ca="1">(DP73/DK73-1)*100</f>
        <v>9.5487966987452424</v>
      </c>
      <c r="DR73" s="1246"/>
      <c r="DS73" s="1247"/>
      <c r="DT73" s="1248"/>
      <c r="DU73" s="1899">
        <f ca="1">+DU65-DU72-DU71</f>
        <v>5.391350314739177</v>
      </c>
      <c r="DV73" s="1217">
        <f ca="1">(DU73/DP73-1)*100</f>
        <v>11.38655538393305</v>
      </c>
      <c r="DW73" s="1246"/>
      <c r="DX73" s="1247"/>
      <c r="DY73" s="1248"/>
      <c r="DZ73" s="1899">
        <f ca="1">+DZ65-DZ72-DZ71</f>
        <v>5.794471195038553</v>
      </c>
      <c r="EA73" s="1217">
        <f ca="1">(DZ73/DU73-1)*100</f>
        <v>7.4771783832577432</v>
      </c>
      <c r="EB73" s="3654"/>
      <c r="EC73"/>
      <c r="ED73"/>
      <c r="EE73"/>
      <c r="EF73"/>
      <c r="EG73"/>
      <c r="EH73"/>
      <c r="EI73"/>
      <c r="EJ73"/>
      <c r="EK73"/>
      <c r="EL73"/>
      <c r="EM73"/>
      <c r="EN73"/>
      <c r="EO73"/>
    </row>
    <row r="74" spans="1:150" s="28" customFormat="1">
      <c r="A74" s="1457" t="s">
        <v>1940</v>
      </c>
      <c r="C74" s="176" t="s">
        <v>1769</v>
      </c>
      <c r="D74" s="1150"/>
      <c r="E74" s="1150" t="s">
        <v>376</v>
      </c>
      <c r="F74" s="1140" t="s">
        <v>850</v>
      </c>
      <c r="G74" s="1233"/>
      <c r="H74" s="1233"/>
      <c r="I74" s="1234" t="e">
        <f>+J74/H74*100-100</f>
        <v>#VALUE!</v>
      </c>
      <c r="J74" s="1234" t="e">
        <f>SUM(J71:J73)</f>
        <v>#VALUE!</v>
      </c>
      <c r="K74" s="1234" t="e">
        <f>(J74/E74-1)*100</f>
        <v>#VALUE!</v>
      </c>
      <c r="L74" s="1471"/>
      <c r="M74" s="1471"/>
      <c r="N74" s="1234"/>
      <c r="O74" s="1234" t="e">
        <f>SUM(O71:O73)</f>
        <v>#VALUE!</v>
      </c>
      <c r="P74" s="1234" t="e">
        <f>(O74/J74-1)*100</f>
        <v>#VALUE!</v>
      </c>
      <c r="Q74" s="1471"/>
      <c r="R74" s="1471"/>
      <c r="S74" s="1234"/>
      <c r="T74" s="1234" t="e">
        <f>SUM(T71:T73)</f>
        <v>#VALUE!</v>
      </c>
      <c r="U74" s="1234" t="e">
        <f>(T74/O74-1)*100</f>
        <v>#VALUE!</v>
      </c>
      <c r="V74" s="1471"/>
      <c r="W74" s="1471"/>
      <c r="X74" s="1234"/>
      <c r="Y74" s="1234" t="e">
        <f>SUM(Y71:Y73)</f>
        <v>#VALUE!</v>
      </c>
      <c r="Z74" s="1234" t="e">
        <f>(Y74/T74-1)*100</f>
        <v>#VALUE!</v>
      </c>
      <c r="AA74" s="1471"/>
      <c r="AB74" s="1471"/>
      <c r="AC74" s="1234"/>
      <c r="AD74" s="1234">
        <f ca="1">SUM(AD71:AD73)</f>
        <v>2.7903199999999999</v>
      </c>
      <c r="AE74" s="1234" t="e">
        <f ca="1">(AD74/Y74-1)*100</f>
        <v>#VALUE!</v>
      </c>
      <c r="AF74" s="1471"/>
      <c r="AG74" s="1471"/>
      <c r="AH74" s="1234"/>
      <c r="AI74" s="1234">
        <f ca="1">SUM(AI71:AI73)</f>
        <v>2.5566899999999997</v>
      </c>
      <c r="AJ74" s="1234">
        <f ca="1">(AI74/AD74-1)*100</f>
        <v>-8.3728747957223622</v>
      </c>
      <c r="AK74" s="1471"/>
      <c r="AL74" s="1471"/>
      <c r="AM74" s="1234"/>
      <c r="AN74" s="1234">
        <f ca="1">SUM(AN71:AN73)</f>
        <v>2.9120399999999997</v>
      </c>
      <c r="AO74" s="1234">
        <f ca="1">(AN74/AI74-1)*100</f>
        <v>13.898830128017092</v>
      </c>
      <c r="AP74" s="1471"/>
      <c r="AQ74" s="1471"/>
      <c r="AR74" s="1234"/>
      <c r="AS74" s="1234">
        <f ca="1">SUM(AS71:AS73)</f>
        <v>3.1459000000000001</v>
      </c>
      <c r="AT74" s="1234">
        <f ca="1">(AS74/AN74-1)*100</f>
        <v>8.0307962802708808</v>
      </c>
      <c r="AU74" s="1471"/>
      <c r="AV74" s="1471"/>
      <c r="AW74" s="1234"/>
      <c r="AX74" s="1234">
        <f ca="1">SUM(AX71:AX73)</f>
        <v>3.5902799999999999</v>
      </c>
      <c r="AY74" s="1234">
        <f ca="1">(AX74/AS74-1)*100</f>
        <v>14.125687402651055</v>
      </c>
      <c r="AZ74" s="1471"/>
      <c r="BA74" s="1471"/>
      <c r="BB74" s="1234"/>
      <c r="BC74" s="1234">
        <f ca="1">SUM(BC71:BC73)</f>
        <v>4.1760000000000002</v>
      </c>
      <c r="BD74" s="1234">
        <f ca="1">(BC74/AX74-1)*100</f>
        <v>16.314047929409405</v>
      </c>
      <c r="BE74" s="1471"/>
      <c r="BF74" s="1471"/>
      <c r="BG74" s="1234"/>
      <c r="BH74" s="1234">
        <f ca="1">SUM(BH71:BH73)</f>
        <v>4.9113799999999994</v>
      </c>
      <c r="BI74" s="1234">
        <f ca="1">(BH74/BC74-1)*100</f>
        <v>17.609674329501889</v>
      </c>
      <c r="BJ74" s="1471"/>
      <c r="BK74" s="1471"/>
      <c r="BL74" s="1234"/>
      <c r="BM74" s="1234">
        <f ca="1">SUM(BM71:BM73)</f>
        <v>6.2428999999999997</v>
      </c>
      <c r="BN74" s="1234">
        <f ca="1">(BM74/BH74-1)*100</f>
        <v>27.11091383684423</v>
      </c>
      <c r="BO74" s="1471"/>
      <c r="BP74" s="1471"/>
      <c r="BQ74" s="1234"/>
      <c r="BR74" s="1234">
        <f ca="1">SUM(BR71:BR73)</f>
        <v>8.2986800000000009</v>
      </c>
      <c r="BS74" s="1234">
        <f ca="1">(BR74/BM74-1)*100</f>
        <v>32.929888353169211</v>
      </c>
      <c r="BT74" s="1471"/>
      <c r="BU74" s="1471"/>
      <c r="BV74" s="1234"/>
      <c r="BW74" s="1234">
        <f ca="1">SUM(BW71:BW73)</f>
        <v>8.5133200000000002</v>
      </c>
      <c r="BX74" s="1234">
        <f ca="1">(BW74/BR74-1)*100</f>
        <v>2.5864354331050166</v>
      </c>
      <c r="BY74" s="1471"/>
      <c r="BZ74" s="1471"/>
      <c r="CA74" s="1234"/>
      <c r="CB74" s="1234">
        <f ca="1">SUM(CB71:CB73)</f>
        <v>4.81053</v>
      </c>
      <c r="CC74" s="1234">
        <f ca="1">(CB74/BW74-1)*100</f>
        <v>-43.494077516174656</v>
      </c>
      <c r="CD74" s="1472"/>
      <c r="CE74" s="1472"/>
      <c r="CF74" s="1259"/>
      <c r="CG74" s="1234">
        <f ca="1">SUM(CG71:CG73)</f>
        <v>4.7263000000000002</v>
      </c>
      <c r="CH74" s="1234">
        <f ca="1">(CG74/CB74-1)*100</f>
        <v>-1.7509505189656771</v>
      </c>
      <c r="CI74" s="1472"/>
      <c r="CJ74" s="1472"/>
      <c r="CK74" s="1259"/>
      <c r="CL74" s="1234">
        <f ca="1">SUM(CL71:CL73)</f>
        <v>5.78111</v>
      </c>
      <c r="CM74" s="1234">
        <f ca="1">(CL74/CG74-1)*100</f>
        <v>22.317880794701985</v>
      </c>
      <c r="CN74" s="1471"/>
      <c r="CO74" s="1471"/>
      <c r="CP74" s="1234"/>
      <c r="CQ74" s="1234">
        <f ca="1">SUM(CQ71:CQ73)</f>
        <v>5.78803</v>
      </c>
      <c r="CR74" s="1234">
        <f ca="1">(CQ74/CL74-1)*100</f>
        <v>0.11970019598313009</v>
      </c>
      <c r="CS74" s="1471"/>
      <c r="CT74" s="1471"/>
      <c r="CU74" s="1234"/>
      <c r="CV74" s="1234">
        <f ca="1">SUM(CV71:CV73)</f>
        <v>6.4548699999999997</v>
      </c>
      <c r="CW74" s="3118">
        <f ca="1">(CV74/CQ74-1)*100</f>
        <v>11.521018377582703</v>
      </c>
      <c r="CX74" s="1471"/>
      <c r="CY74" s="1471"/>
      <c r="CZ74" s="1234"/>
      <c r="DA74" s="1234">
        <f ca="1">SUM(DA71:DA73)</f>
        <v>6.9054900000000004</v>
      </c>
      <c r="DB74" s="1234">
        <f ca="1">(DA74/CV74-1)*100</f>
        <v>6.9810855989353993</v>
      </c>
      <c r="DC74" s="1471"/>
      <c r="DD74" s="1471"/>
      <c r="DE74" s="1234"/>
      <c r="DF74" s="1234">
        <f ca="1">SUM(DF71:DF73)</f>
        <v>7.3252199999999998</v>
      </c>
      <c r="DG74" s="1234">
        <f ca="1">(DF74/DA74-1)*100</f>
        <v>6.0782073393777836</v>
      </c>
      <c r="DH74" s="1471"/>
      <c r="DI74" s="1471"/>
      <c r="DJ74" s="1234"/>
      <c r="DK74" s="1234">
        <f ca="1">SUM(DK71:DK73)</f>
        <v>7.31419</v>
      </c>
      <c r="DL74" s="3118">
        <f ca="1">(DK74/DF74-1)*100</f>
        <v>-0.1505756823685811</v>
      </c>
      <c r="DM74" s="1471"/>
      <c r="DN74" s="1471"/>
      <c r="DO74" s="1234"/>
      <c r="DP74" s="3118">
        <f ca="1">SUM(DP71:DP73)</f>
        <v>7.8803900000000002</v>
      </c>
      <c r="DQ74" s="1431">
        <f ca="1">(DP74/DK74-1)*100</f>
        <v>7.7411169247722622</v>
      </c>
      <c r="DR74" s="1471"/>
      <c r="DS74" s="1471"/>
      <c r="DT74" s="1234"/>
      <c r="DU74" s="1234">
        <f ca="1">SUM(DU71:DU73)</f>
        <v>8.6125183729499977</v>
      </c>
      <c r="DV74" s="1234">
        <f ca="1">(DU74/DP74-1)*100</f>
        <v>9.2905093903981495</v>
      </c>
      <c r="DW74" s="1471"/>
      <c r="DX74" s="1471"/>
      <c r="DY74" s="1234"/>
      <c r="DZ74" s="1234">
        <f ca="1">SUM(DZ71:DZ73)</f>
        <v>9.1844008740182197</v>
      </c>
      <c r="EA74" s="1234">
        <f ca="1">(DZ74/DU74-1)*100</f>
        <v>6.6401309849669188</v>
      </c>
      <c r="EB74"/>
      <c r="EC74"/>
      <c r="ED74"/>
      <c r="EE74"/>
      <c r="EF74"/>
      <c r="EG74"/>
      <c r="EH74"/>
      <c r="EI74"/>
      <c r="EJ74"/>
      <c r="EK74"/>
      <c r="EL74"/>
      <c r="EM74"/>
      <c r="EN74"/>
      <c r="EO74"/>
    </row>
    <row r="75" spans="1:150" s="28" customFormat="1">
      <c r="A75" s="1457"/>
      <c r="C75" s="176"/>
      <c r="D75" s="1257"/>
      <c r="E75" s="1257"/>
      <c r="F75" s="1200"/>
      <c r="G75" s="1258"/>
      <c r="H75" s="1258"/>
      <c r="I75" s="1258" t="s">
        <v>219</v>
      </c>
      <c r="J75" s="1259" t="e">
        <f ca="1">+J65-J74</f>
        <v>#VALUE!</v>
      </c>
      <c r="K75" s="1472"/>
      <c r="L75" s="1472"/>
      <c r="M75" s="1472"/>
      <c r="N75" s="1258" t="s">
        <v>219</v>
      </c>
      <c r="O75" s="1259" t="e">
        <f ca="1">+O65-O74</f>
        <v>#VALUE!</v>
      </c>
      <c r="P75" s="1472"/>
      <c r="Q75" s="1472"/>
      <c r="R75" s="1472"/>
      <c r="S75" s="1258" t="s">
        <v>219</v>
      </c>
      <c r="T75" s="1259" t="e">
        <f ca="1">+T65-T74</f>
        <v>#VALUE!</v>
      </c>
      <c r="U75" s="1472"/>
      <c r="V75" s="1472"/>
      <c r="W75" s="1472"/>
      <c r="X75" s="1258" t="s">
        <v>219</v>
      </c>
      <c r="Y75" s="1259" t="e">
        <f ca="1">+Y65-Y74</f>
        <v>#VALUE!</v>
      </c>
      <c r="Z75" s="1472"/>
      <c r="AA75" s="1472"/>
      <c r="AB75" s="1472"/>
      <c r="AC75" s="1258" t="s">
        <v>219</v>
      </c>
      <c r="AD75" s="1259">
        <f ca="1">+AD65-AD74</f>
        <v>0</v>
      </c>
      <c r="AE75" s="1472"/>
      <c r="AF75" s="1472"/>
      <c r="AG75" s="1472"/>
      <c r="AH75" s="1258" t="s">
        <v>219</v>
      </c>
      <c r="AI75" s="1259">
        <f ca="1">+AI65-AI74</f>
        <v>0</v>
      </c>
      <c r="AJ75" s="1472"/>
      <c r="AK75" s="1472"/>
      <c r="AL75" s="1472"/>
      <c r="AM75" s="1258" t="s">
        <v>219</v>
      </c>
      <c r="AN75" s="1259">
        <f ca="1">+AN65-AN74</f>
        <v>0</v>
      </c>
      <c r="AO75" s="1472"/>
      <c r="AP75" s="1472"/>
      <c r="AQ75" s="1472"/>
      <c r="AR75" s="1258" t="s">
        <v>219</v>
      </c>
      <c r="AS75" s="1259">
        <f ca="1">+AS65-AS74</f>
        <v>0</v>
      </c>
      <c r="AT75" s="1472"/>
      <c r="AU75" s="1472"/>
      <c r="AV75" s="1472"/>
      <c r="AW75" s="1258" t="s">
        <v>219</v>
      </c>
      <c r="AX75" s="1259">
        <f ca="1">+AX65-AX74</f>
        <v>0</v>
      </c>
      <c r="AY75" s="1472"/>
      <c r="AZ75" s="1472"/>
      <c r="BA75" s="1472"/>
      <c r="BB75" s="1258" t="s">
        <v>219</v>
      </c>
      <c r="BC75" s="1259">
        <f ca="1">+BC65-BC74</f>
        <v>0</v>
      </c>
      <c r="BD75" s="1472"/>
      <c r="BE75" s="1472"/>
      <c r="BF75" s="1472"/>
      <c r="BG75" s="1258" t="s">
        <v>219</v>
      </c>
      <c r="BH75" s="1259">
        <f ca="1">+BH65-BH74</f>
        <v>0</v>
      </c>
      <c r="BI75" s="1472"/>
      <c r="BJ75" s="1472"/>
      <c r="BK75" s="1472"/>
      <c r="BL75" s="1258" t="s">
        <v>219</v>
      </c>
      <c r="BM75" s="1259">
        <f ca="1">+BM65-BM74</f>
        <v>0</v>
      </c>
      <c r="BN75" s="1472"/>
      <c r="BO75" s="1472"/>
      <c r="BP75" s="1472"/>
      <c r="BQ75" s="1258"/>
      <c r="BR75" s="1259"/>
      <c r="BS75" s="1472"/>
      <c r="BT75" s="1472"/>
      <c r="BU75" s="1472"/>
      <c r="BV75" s="1258"/>
      <c r="BW75" s="1259"/>
      <c r="BX75" s="1472"/>
      <c r="BY75" s="1472"/>
      <c r="BZ75" s="1472"/>
      <c r="CA75" s="1258"/>
      <c r="CB75" s="1259"/>
      <c r="CC75" s="1472"/>
      <c r="CD75" s="1472"/>
      <c r="CE75" s="1472"/>
      <c r="CF75" s="1258"/>
      <c r="CG75" s="1259"/>
      <c r="CH75" s="1472"/>
      <c r="CI75" s="1472"/>
      <c r="CJ75" s="1472"/>
      <c r="CK75" s="1258"/>
      <c r="CL75" s="1259"/>
      <c r="CM75" s="1472"/>
      <c r="CN75" s="1472"/>
      <c r="CO75" s="1472"/>
      <c r="CP75" s="1258"/>
      <c r="CQ75" s="1259"/>
      <c r="CR75" s="1472"/>
      <c r="CS75" s="1472"/>
      <c r="CT75" s="1472"/>
      <c r="CU75" s="1258"/>
      <c r="CV75" s="1259"/>
      <c r="CW75" s="1472"/>
      <c r="CX75" s="1472"/>
      <c r="CY75" s="1472"/>
      <c r="CZ75" s="1258"/>
      <c r="DA75" s="1259"/>
      <c r="DB75" s="1472"/>
      <c r="DC75" s="1472"/>
      <c r="DD75" s="1472"/>
      <c r="DE75" s="1258"/>
      <c r="DF75" s="1259"/>
      <c r="DG75" s="1472"/>
      <c r="DH75" s="1472"/>
      <c r="DI75" s="1472"/>
      <c r="DJ75" s="1258"/>
      <c r="DK75" s="1259"/>
      <c r="DL75" s="1472"/>
      <c r="DM75" s="1472"/>
      <c r="DN75" s="1472"/>
      <c r="DO75" s="1258"/>
      <c r="DP75" s="3741"/>
      <c r="DQ75" s="1472"/>
      <c r="DR75" s="1472"/>
      <c r="DS75" s="1472"/>
      <c r="DT75" s="1258"/>
      <c r="DU75" s="1259"/>
      <c r="DV75" s="1472"/>
      <c r="DW75" s="1472"/>
      <c r="DX75" s="1472"/>
      <c r="DY75" s="1258"/>
      <c r="DZ75" s="1259"/>
      <c r="EA75" s="1472"/>
      <c r="EB75"/>
      <c r="EC75"/>
      <c r="ED75"/>
      <c r="EE75"/>
      <c r="EF75"/>
      <c r="EG75"/>
      <c r="EH75"/>
      <c r="EI75"/>
      <c r="EJ75"/>
      <c r="EK75"/>
      <c r="EL75"/>
      <c r="EM75"/>
      <c r="EN75"/>
      <c r="EO75"/>
    </row>
    <row r="76" spans="1:150" s="2842" customFormat="1">
      <c r="A76" s="2841"/>
      <c r="C76" s="2843"/>
      <c r="D76" s="1782"/>
      <c r="E76" s="1782" t="s">
        <v>807</v>
      </c>
      <c r="F76" s="2844"/>
      <c r="G76" s="2845"/>
      <c r="H76" s="2845"/>
      <c r="I76" s="2845"/>
      <c r="J76" s="1232"/>
      <c r="K76" s="2845"/>
      <c r="L76" s="2847"/>
      <c r="M76" s="2847" t="e">
        <f ca="1">IF(UPPER($F$2)="Y",M65-M71,OFFSET('VVP2'!$G$29,0,(COLUMN()-7)/5)-OFFSET('VVP2'!$G$45,0,(COLUMN()-7)/5))</f>
        <v>#VALUE!</v>
      </c>
      <c r="N76" s="2847" t="e">
        <f ca="1">+O76/M76*100-100</f>
        <v>#VALUE!</v>
      </c>
      <c r="O76" s="2847" t="e">
        <f>+O74</f>
        <v>#VALUE!</v>
      </c>
      <c r="P76" s="1232"/>
      <c r="Q76" s="2847" t="e">
        <f ca="1">+R76/M76*100-100</f>
        <v>#VALUE!</v>
      </c>
      <c r="R76" s="2847" t="e">
        <f ca="1">IF(UPPER($F$2)="Y",R65-R71,OFFSET('VVP2'!$G$29,0,(COLUMN()-7)/5)-OFFSET('VVP2'!$G$45,0,(COLUMN()-7)/5))</f>
        <v>#VALUE!</v>
      </c>
      <c r="S76" s="2847" t="e">
        <f ca="1">+T76/R76*100-100</f>
        <v>#VALUE!</v>
      </c>
      <c r="T76" s="2847" t="e">
        <f>+T74</f>
        <v>#VALUE!</v>
      </c>
      <c r="U76" s="1232"/>
      <c r="V76" s="2847" t="e">
        <f ca="1">+W76/R76*100-100</f>
        <v>#VALUE!</v>
      </c>
      <c r="W76" s="2847" t="e">
        <f ca="1">IF(UPPER($F$2)="Y",W65-W71,OFFSET('VVP2'!$G$29,0,(COLUMN()-7)/5)-OFFSET('VVP2'!$G$45,0,(COLUMN()-7)/5))</f>
        <v>#VALUE!</v>
      </c>
      <c r="X76" s="2847" t="e">
        <f ca="1">+Y76/W76*100-100</f>
        <v>#VALUE!</v>
      </c>
      <c r="Y76" s="2847" t="e">
        <f>+Y74</f>
        <v>#VALUE!</v>
      </c>
      <c r="Z76" s="1232"/>
      <c r="AA76" s="2847" t="e">
        <f ca="1">+AB76/W76*100-100</f>
        <v>#VALUE!</v>
      </c>
      <c r="AB76" s="2847" t="e">
        <f ca="1">IF(UPPER($F$2)="Y",AB65-AB71,OFFSET('VVP2'!$G$29,0,(COLUMN()-7)/5)-OFFSET('VVP2'!$G$45,0,(COLUMN()-7)/5))</f>
        <v>#VALUE!</v>
      </c>
      <c r="AC76" s="2847" t="e">
        <f ca="1">+AD76/AB76*100-100</f>
        <v>#VALUE!</v>
      </c>
      <c r="AD76" s="2847">
        <f ca="1">+AD74</f>
        <v>2.7903199999999999</v>
      </c>
      <c r="AE76" s="1232"/>
      <c r="AF76" s="2847" t="e">
        <f ca="1">+AG76/AB76*100-100</f>
        <v>#VALUE!</v>
      </c>
      <c r="AG76" s="2847">
        <f ca="1">IF(UPPER($F$2)="Y",AG65-AG71,OFFSET('VVP2'!$G$29,0,(COLUMN()-7)/5)-OFFSET('VVP2'!$G$45,0,(COLUMN()-7)/5))</f>
        <v>2.1847058158383268</v>
      </c>
      <c r="AH76" s="2847">
        <f ca="1">+AI76/AG76*100-100</f>
        <v>17.026740234997419</v>
      </c>
      <c r="AI76" s="2847">
        <f ca="1">+AI74</f>
        <v>2.5566899999999997</v>
      </c>
      <c r="AJ76" s="1232"/>
      <c r="AK76" s="2847">
        <f ca="1">+AL76/AG76*100-100</f>
        <v>16.814698386606295</v>
      </c>
      <c r="AL76" s="2847">
        <f ca="1">IF(UPPER($F$2)="Y",AL65-AL71,OFFSET('VVP2'!$G$29,0,(COLUMN()-7)/5)-OFFSET('VVP2'!$G$45,0,(COLUMN()-7)/5))</f>
        <v>2.5520575094061879</v>
      </c>
      <c r="AM76" s="2847">
        <f ca="1">+AN76/AL76*100-100</f>
        <v>14.105579097140804</v>
      </c>
      <c r="AN76" s="2847">
        <f ca="1">+AN74</f>
        <v>2.9120399999999997</v>
      </c>
      <c r="AO76" s="1232"/>
      <c r="AP76" s="2847">
        <f ca="1">+AQ76/AL76*100-100</f>
        <v>7.2817193543869223</v>
      </c>
      <c r="AQ76" s="2847">
        <f ca="1">IF(UPPER($F$2)="Y",AQ65-AQ71,OFFSET('VVP2'!$G$29,0,(COLUMN()-7)/5)-OFFSET('VVP2'!$G$45,0,(COLUMN()-7)/5))</f>
        <v>2.7378911750037034</v>
      </c>
      <c r="AR76" s="2847">
        <f ca="1">+AS76/AQ76*100-100</f>
        <v>14.902302499139509</v>
      </c>
      <c r="AS76" s="2847">
        <f ca="1">+AS74</f>
        <v>3.1459000000000001</v>
      </c>
      <c r="AT76" s="1232"/>
      <c r="AU76" s="2847">
        <f ca="1">+AV76/AQ76*100-100</f>
        <v>10.196788232547931</v>
      </c>
      <c r="AV76" s="2847">
        <f ca="1">IF(UPPER($F$2)="Y",AV65-AV71,OFFSET('VVP2'!$G$29,0,(COLUMN()-7)/5)-OFFSET('VVP2'!$G$45,0,(COLUMN()-7)/5))</f>
        <v>3.0170681401564492</v>
      </c>
      <c r="AW76" s="2847">
        <f ca="1">+AX76/AV76*100-100</f>
        <v>18.998969635926983</v>
      </c>
      <c r="AX76" s="2847">
        <f ca="1">+AX74</f>
        <v>3.5902799999999999</v>
      </c>
      <c r="AY76" s="1232"/>
      <c r="AZ76" s="2847">
        <f ca="1">+BA76/AV76*100-100</f>
        <v>14.313325066690524</v>
      </c>
      <c r="BA76" s="2847">
        <f ca="1">IF(UPPER($F$2)="Y",BA65-BA71,OFFSET('VVP2'!$G$29,0,(COLUMN()-7)/5)-OFFSET('VVP2'!$G$45,0,(COLUMN()-7)/5))</f>
        <v>3.4489109105405955</v>
      </c>
      <c r="BB76" s="2847">
        <f ca="1">+BC76/BA76*100-100</f>
        <v>21.081701102723983</v>
      </c>
      <c r="BC76" s="2847">
        <f ca="1">+BC74</f>
        <v>4.1760000000000002</v>
      </c>
      <c r="BD76" s="1232"/>
      <c r="BE76" s="2847">
        <f ca="1">+BF76/BA76*100-100</f>
        <v>11.336261011922105</v>
      </c>
      <c r="BF76" s="2847">
        <f ca="1">IF(UPPER($F$2)="Y",BF65-BF71,OFFSET('VVP2'!$G$29,0,(COLUMN()-7)/5)-OFFSET('VVP2'!$G$45,0,(COLUMN()-7)/5))</f>
        <v>3.8398884534281366</v>
      </c>
      <c r="BG76" s="2847">
        <f ca="1">+BH76/BF76*100-100</f>
        <v>27.904236270594467</v>
      </c>
      <c r="BH76" s="2847">
        <f ca="1">+BH74</f>
        <v>4.9113799999999994</v>
      </c>
      <c r="BI76" s="1232"/>
      <c r="BJ76" s="2847">
        <f ca="1">+BK76/BF76*100-100</f>
        <v>24.10824576241825</v>
      </c>
      <c r="BK76" s="2847">
        <f ca="1">IF(UPPER($F$2)="Y",BK65-BK71,OFFSET('VVP2'!$G$29,0,(COLUMN()-7)/5)-OFFSET('VVP2'!$G$45,0,(COLUMN()-7)/5))</f>
        <v>4.7656181987833133</v>
      </c>
      <c r="BL76" s="2847">
        <f ca="1">+BM76/BK76*100-100</f>
        <v>30.998744330669297</v>
      </c>
      <c r="BM76" s="2847">
        <f ca="1">+BM74</f>
        <v>6.2428999999999997</v>
      </c>
      <c r="BN76" s="1232"/>
      <c r="BO76" s="2847">
        <f ca="1">+BP76/BK76*100-100</f>
        <v>24.820281858233841</v>
      </c>
      <c r="BP76" s="2847">
        <f ca="1">IF(UPPER($F$2)="Y",BP65-BP71,OFFSET('VVP2'!$G$29,0,(COLUMN()-7)/5)-OFFSET('VVP2'!$G$45,0,(COLUMN()-7)/5))</f>
        <v>5.9484580680086179</v>
      </c>
      <c r="BQ76" s="2847">
        <f ca="1">+BR76/BP76*100-100</f>
        <v>39.509767155140651</v>
      </c>
      <c r="BR76" s="2847">
        <f ca="1">+BR74</f>
        <v>8.2986800000000009</v>
      </c>
      <c r="BS76" s="1232"/>
      <c r="BT76" s="2847">
        <f ca="1">+BU76/BP76*100-100</f>
        <v>2.2486246010369229</v>
      </c>
      <c r="BU76" s="2847">
        <f ca="1">IF(UPPER($F$2)="Y",BU65-BU71,OFFSET('VVP2'!$G$29,0,(COLUMN()-7)/5)-OFFSET('VVP2'!$G$45,0,(COLUMN()-7)/5))</f>
        <v>6.0822165595082254</v>
      </c>
      <c r="BV76" s="2847">
        <f ca="1">+BW76/BU76*100-100</f>
        <v>39.97068201544505</v>
      </c>
      <c r="BW76" s="2847">
        <f ca="1">+BW74</f>
        <v>8.5133200000000002</v>
      </c>
      <c r="BX76" s="1232"/>
      <c r="BY76" s="2847">
        <f ca="1">+BZ76/BU76*100-100</f>
        <v>-35.406440246722354</v>
      </c>
      <c r="BZ76" s="2847">
        <f ca="1">IF(UPPER($F$2)="Y",BZ65-BZ71,OFFSET('VVP2'!$G$29,0,(COLUMN()-7)/5)-OFFSET('VVP2'!$G$45,0,(COLUMN()-7)/5))</f>
        <v>3.9287201876896933</v>
      </c>
      <c r="CA76" s="2847">
        <f ca="1">+CB76/BZ76*100-100</f>
        <v>22.445218040047294</v>
      </c>
      <c r="CB76" s="2847">
        <f ca="1">+CB74</f>
        <v>4.81053</v>
      </c>
      <c r="CC76" s="1232"/>
      <c r="CD76" s="2847">
        <f ca="1">+CE76/BZ76*100-100</f>
        <v>-10.313396244797445</v>
      </c>
      <c r="CE76" s="2847">
        <f ca="1">IF(UPPER($F$2)="Y",CE65-CE71,OFFSET('VVP2'!$G$29,0,(COLUMN()-7)/5)-OFFSET('VVP2'!$G$45,0,(COLUMN()-7)/5))</f>
        <v>3.5235357073839055</v>
      </c>
      <c r="CF76" s="2847">
        <f ca="1">+CG76/CE76*100-100</f>
        <v>34.135152656338562</v>
      </c>
      <c r="CG76" s="2847">
        <f ca="1">+CG74</f>
        <v>4.7263000000000002</v>
      </c>
      <c r="CH76" s="1232"/>
      <c r="CI76" s="2847">
        <f ca="1">+CJ76/CE76*100-100</f>
        <v>20.201670487182128</v>
      </c>
      <c r="CJ76" s="2847">
        <f ca="1">IF(UPPER($F$2)="Y",CJ65-CJ71,OFFSET('VVP2'!$G$29,0,(COLUMN()-7)/5)-OFFSET('VVP2'!$G$45,0,(COLUMN()-7)/5))</f>
        <v>4.2353487804878043</v>
      </c>
      <c r="CK76" s="2847">
        <f ca="1">+CL76/CJ76*100-100</f>
        <v>36.496668860744052</v>
      </c>
      <c r="CL76" s="2847">
        <f ca="1">+CL74</f>
        <v>5.78111</v>
      </c>
      <c r="CM76" s="1232"/>
      <c r="CN76" s="2847">
        <f ca="1">+CO76/CJ76*100-100</f>
        <v>3.5221519642278452</v>
      </c>
      <c r="CO76" s="2847">
        <f ca="1">IF(UPPER($F$2)="Y",CO65-CO71,OFFSET('VVP2'!$G$29,0,(COLUMN()-7)/5)-OFFSET('VVP2'!$G$45,0,(COLUMN()-7)/5))</f>
        <v>4.3845242007516561</v>
      </c>
      <c r="CP76" s="2847">
        <f ca="1">+CQ76/CO76*100-100</f>
        <v>32.010447085860193</v>
      </c>
      <c r="CQ76" s="2847">
        <f ca="1">+CQ74</f>
        <v>5.78803</v>
      </c>
      <c r="CR76" s="1232"/>
      <c r="CS76" s="2847">
        <f ca="1">+CT76/CO76*100-100</f>
        <v>13.778498149335206</v>
      </c>
      <c r="CT76" s="2847">
        <f ca="1">IF(UPPER($F$2)="Y",CT65-CT71,OFFSET('VVP2'!$G$29,0,(COLUMN()-7)/5)-OFFSET('VVP2'!$G$45,0,(COLUMN()-7)/5))</f>
        <v>4.9886457866093767</v>
      </c>
      <c r="CU76" s="2847">
        <f ca="1">+CV76/CT76*100-100</f>
        <v>29.391227120720629</v>
      </c>
      <c r="CV76" s="3712">
        <f ca="1">+CV74</f>
        <v>6.4548699999999997</v>
      </c>
      <c r="CW76" s="1232"/>
      <c r="CX76" s="2847">
        <f ca="1">+CY76/CT76*100-100</f>
        <v>11.755484222904627</v>
      </c>
      <c r="CY76" s="2847">
        <f ca="1">IF(UPPER($F$2)="Y",CY65-CY71,OFFSET('VVP2'!$G$29,0,(COLUMN()-7)/5)-OFFSET('VVP2'!$G$45,0,(COLUMN()-7)/5))</f>
        <v>5.5750852549908387</v>
      </c>
      <c r="CZ76" s="2847">
        <f ca="1">+DA76/CY76*100-100</f>
        <v>23.863397314295383</v>
      </c>
      <c r="DA76" s="2847">
        <f ca="1">+DA74</f>
        <v>6.9054900000000004</v>
      </c>
      <c r="DB76" s="1232"/>
      <c r="DC76" s="2847">
        <f ca="1">+DD76/CY76*100-100</f>
        <v>5.7955791204532119</v>
      </c>
      <c r="DD76" s="2847">
        <f ca="1">IF(UPPER($F$2)="Y",DD65-DD71,OFFSET('VVP2'!$G$29,0,(COLUMN()-7)/5)-OFFSET('VVP2'!$G$45,0,(COLUMN()-7)/5))</f>
        <v>5.8981937319765532</v>
      </c>
      <c r="DE76" s="2847">
        <f ca="1">+DF76/DD76*100-100</f>
        <v>24.19429291186124</v>
      </c>
      <c r="DF76" s="2847">
        <f ca="1">+DF74</f>
        <v>7.3252199999999998</v>
      </c>
      <c r="DG76" s="1232"/>
      <c r="DH76" s="2847">
        <f ca="1">+DI76/DD76*100-100</f>
        <v>3.8622904867721957</v>
      </c>
      <c r="DI76" s="2847">
        <f ca="1">IF(UPPER($F$2)="Y",DI65-DI71,OFFSET('VVP2'!$G$29,0,(COLUMN()-7)/5)-OFFSET('VVP2'!$G$45,0,(COLUMN()-7)/5))</f>
        <v>6.1259991073780782</v>
      </c>
      <c r="DJ76" s="2847">
        <f ca="1">+DK76/DI76*100-100</f>
        <v>19.395871135385562</v>
      </c>
      <c r="DK76" s="2847">
        <f ca="1">+DK74</f>
        <v>7.31419</v>
      </c>
      <c r="DL76" s="1232"/>
      <c r="DM76" s="2847">
        <f ca="1">+DN76/DI76*100-100</f>
        <v>8.8241391790064228</v>
      </c>
      <c r="DN76" s="2847">
        <f ca="1">IF(UPPER($F$2)="Y",DN65-DN71,OFFSET('VVP2'!$G$29,0,(COLUMN()-7)/5)-OFFSET('VVP2'!$G$45,0,(COLUMN()-7)/5))</f>
        <v>6.666565794717811</v>
      </c>
      <c r="DO76" s="2847">
        <f ca="1">+DP76/DN76*100-100</f>
        <v>18.207638575230916</v>
      </c>
      <c r="DP76" s="2847">
        <f ca="1">+DP74</f>
        <v>7.8803900000000002</v>
      </c>
      <c r="DQ76" s="1232"/>
      <c r="DR76" s="2847">
        <f ca="1">+DS76/DN76*100-100</f>
        <v>6.4706280202409374</v>
      </c>
      <c r="DS76" s="2847">
        <f ca="1">IF(UPPER($F$2)="Y",DS65-DS71,OFFSET('VVP2'!$G$29,0,(COLUMN()-7)/5)-OFFSET('VVP2'!$G$45,0,(COLUMN()-7)/5))</f>
        <v>7.0979344690186199</v>
      </c>
      <c r="DT76" s="2847">
        <f ca="1">+DU76/DS76*100-100</f>
        <v>21.338375418120606</v>
      </c>
      <c r="DU76" s="2847">
        <f ca="1">+DU74</f>
        <v>8.6125183729499977</v>
      </c>
      <c r="DV76" s="1232"/>
      <c r="DW76" s="2847">
        <f ca="1">+DX76/DS76*100-100</f>
        <v>6.4457222455433225</v>
      </c>
      <c r="DX76" s="2847">
        <f ca="1">IF(UPPER($F$2)="Y",DX65-DX71,OFFSET('VVP2'!$G$29,0,(COLUMN()-7)/5)-OFFSET('VVP2'!$G$45,0,(COLUMN()-7)/5))</f>
        <v>7.5554476100622399</v>
      </c>
      <c r="DY76" s="2847">
        <f ca="1">+DZ76/DX76*100-100</f>
        <v>21.559983577763987</v>
      </c>
      <c r="DZ76" s="2847">
        <f ca="1">+DZ74</f>
        <v>9.1844008740182197</v>
      </c>
      <c r="EA76" s="1232"/>
      <c r="EB76"/>
      <c r="EC76"/>
      <c r="ED76"/>
      <c r="EE76"/>
      <c r="EF76"/>
      <c r="EG76"/>
      <c r="EH76"/>
      <c r="EI76"/>
      <c r="EJ76"/>
      <c r="EK76"/>
      <c r="EL76"/>
      <c r="EM76"/>
      <c r="EN76"/>
      <c r="EO76"/>
    </row>
    <row r="78" spans="1:150">
      <c r="DQ78" s="3265">
        <f ca="1">DQ103-DQ88</f>
        <v>-0.89140944532033473</v>
      </c>
      <c r="DR78">
        <f ca="1">DQ78/DP17</f>
        <v>-2.1336000208142955E-2</v>
      </c>
    </row>
    <row r="79" spans="1:150">
      <c r="B79" s="1"/>
      <c r="C79" s="774"/>
      <c r="D79" s="3751"/>
      <c r="E79" s="3762" t="s">
        <v>636</v>
      </c>
      <c r="F79" s="3751"/>
      <c r="G79" s="3753">
        <f>+InputY!$G$3</f>
        <v>1995</v>
      </c>
      <c r="H79" s="3754"/>
      <c r="I79" s="3754"/>
      <c r="J79" s="3754"/>
      <c r="K79" s="3755"/>
      <c r="L79" s="3753">
        <f>+G79+1</f>
        <v>1996</v>
      </c>
      <c r="M79" s="3754"/>
      <c r="N79" s="3754"/>
      <c r="O79" s="3754"/>
      <c r="P79" s="3755"/>
      <c r="Q79" s="3753">
        <f>+L79+1</f>
        <v>1997</v>
      </c>
      <c r="R79" s="3754"/>
      <c r="S79" s="3754"/>
      <c r="T79" s="3754"/>
      <c r="U79" s="3755"/>
      <c r="V79" s="3753">
        <f>+Q79+1</f>
        <v>1998</v>
      </c>
      <c r="W79" s="3754"/>
      <c r="X79" s="3754"/>
      <c r="Y79" s="3754"/>
      <c r="Z79" s="3755"/>
      <c r="AA79" s="3753">
        <f>+V79+1</f>
        <v>1999</v>
      </c>
      <c r="AB79" s="3754"/>
      <c r="AC79" s="3754"/>
      <c r="AD79" s="3754"/>
      <c r="AE79" s="3755"/>
      <c r="AF79" s="3753">
        <f>+AA79+1</f>
        <v>2000</v>
      </c>
      <c r="AG79" s="3754"/>
      <c r="AH79" s="3754"/>
      <c r="AI79" s="3754"/>
      <c r="AJ79" s="3755"/>
      <c r="AK79" s="3753">
        <f>+AF79+1</f>
        <v>2001</v>
      </c>
      <c r="AL79" s="3754"/>
      <c r="AM79" s="3754"/>
      <c r="AN79" s="3754"/>
      <c r="AO79" s="3755"/>
      <c r="AP79" s="3753">
        <f>+AK79+1</f>
        <v>2002</v>
      </c>
      <c r="AQ79" s="3754"/>
      <c r="AR79" s="3754"/>
      <c r="AS79" s="3754"/>
      <c r="AT79" s="3755"/>
      <c r="AU79" s="3753">
        <f>+AP79+1</f>
        <v>2003</v>
      </c>
      <c r="AV79" s="3754"/>
      <c r="AW79" s="3754"/>
      <c r="AX79" s="3754"/>
      <c r="AY79" s="3755"/>
      <c r="AZ79" s="3753">
        <f>+AU79+1</f>
        <v>2004</v>
      </c>
      <c r="BA79" s="3754"/>
      <c r="BB79" s="3754"/>
      <c r="BC79" s="3754"/>
      <c r="BD79" s="3755"/>
      <c r="BE79" s="3753">
        <f>+AZ79+1</f>
        <v>2005</v>
      </c>
      <c r="BF79" s="3754"/>
      <c r="BG79" s="3754"/>
      <c r="BH79" s="3754"/>
      <c r="BI79" s="3755"/>
      <c r="BJ79" s="3753">
        <f>+BE79+1</f>
        <v>2006</v>
      </c>
      <c r="BK79" s="3754"/>
      <c r="BL79" s="3754"/>
      <c r="BM79" s="3754"/>
      <c r="BN79" s="3755"/>
      <c r="BO79" s="3753">
        <f>+BJ79+1</f>
        <v>2007</v>
      </c>
      <c r="BP79" s="3754"/>
      <c r="BQ79" s="3754"/>
      <c r="BR79" s="3754"/>
      <c r="BS79" s="3755"/>
      <c r="BT79" s="3753">
        <f>+BO79+1</f>
        <v>2008</v>
      </c>
      <c r="BU79" s="3754"/>
      <c r="BV79" s="3754"/>
      <c r="BW79" s="3754"/>
      <c r="BX79" s="3755"/>
      <c r="BY79" s="3753">
        <f>+BT79+1</f>
        <v>2009</v>
      </c>
      <c r="BZ79" s="3754"/>
      <c r="CA79" s="3754"/>
      <c r="CB79" s="3754"/>
      <c r="CC79" s="3755"/>
      <c r="CD79" s="3753">
        <f>+BY79+1</f>
        <v>2010</v>
      </c>
      <c r="CE79" s="3754"/>
      <c r="CF79" s="3754"/>
      <c r="CG79" s="3754"/>
      <c r="CH79" s="3755"/>
      <c r="CI79" s="3753">
        <f>+CD79+1</f>
        <v>2011</v>
      </c>
      <c r="CJ79" s="3754"/>
      <c r="CK79" s="3754"/>
      <c r="CL79" s="3754"/>
      <c r="CM79" s="3755"/>
      <c r="CN79" s="3753">
        <f>+CI79+1</f>
        <v>2012</v>
      </c>
      <c r="CO79" s="3754"/>
      <c r="CP79" s="3754"/>
      <c r="CQ79" s="3754"/>
      <c r="CR79" s="3755"/>
      <c r="CS79" s="3753">
        <f>+CN79+1</f>
        <v>2013</v>
      </c>
      <c r="CT79" s="3754"/>
      <c r="CU79" s="3754"/>
      <c r="CV79" s="3754"/>
      <c r="CW79" s="3755"/>
      <c r="CX79" s="3753">
        <f>+CS79+1</f>
        <v>2014</v>
      </c>
      <c r="CY79" s="3754"/>
      <c r="CZ79" s="3754"/>
      <c r="DA79" s="3754"/>
      <c r="DB79" s="3755"/>
      <c r="DC79" s="3753">
        <f>+CX79+1</f>
        <v>2015</v>
      </c>
      <c r="DD79" s="3754"/>
      <c r="DE79" s="3754"/>
      <c r="DF79" s="3754"/>
      <c r="DG79" s="3755"/>
      <c r="DH79" s="3753">
        <f>+DC79+1</f>
        <v>2016</v>
      </c>
      <c r="DI79" s="3754"/>
      <c r="DJ79" s="3754"/>
      <c r="DK79" s="3754"/>
      <c r="DL79" s="3755"/>
      <c r="DM79" s="3753">
        <f>+DH79+1</f>
        <v>2017</v>
      </c>
      <c r="DN79" s="3754"/>
      <c r="DO79" s="3754"/>
      <c r="DP79" s="3754"/>
      <c r="DQ79" s="3755"/>
      <c r="DR79" s="3753">
        <f>+DM79+1</f>
        <v>2018</v>
      </c>
      <c r="DS79" s="3754"/>
      <c r="DT79" s="3754"/>
      <c r="DU79" s="3754"/>
      <c r="DV79" s="3755"/>
      <c r="DW79" s="3753">
        <f>+DR79+1</f>
        <v>2019</v>
      </c>
      <c r="DX79" s="3754"/>
      <c r="DY79" s="3754"/>
      <c r="DZ79" s="3754"/>
      <c r="EA79" s="3755"/>
    </row>
    <row r="80" spans="1:150">
      <c r="B80" s="1"/>
      <c r="C80" s="774"/>
      <c r="D80" s="3751"/>
      <c r="E80" s="3751"/>
      <c r="F80" s="3751"/>
      <c r="G80" s="1256" t="s">
        <v>1486</v>
      </c>
      <c r="H80" s="1253" t="s">
        <v>1732</v>
      </c>
      <c r="I80" s="1252" t="s">
        <v>2022</v>
      </c>
      <c r="J80" s="1253" t="s">
        <v>584</v>
      </c>
      <c r="K80" s="1252" t="s">
        <v>2023</v>
      </c>
      <c r="L80" s="1252" t="s">
        <v>1486</v>
      </c>
      <c r="M80" s="1253" t="s">
        <v>1732</v>
      </c>
      <c r="N80" s="1252" t="s">
        <v>2022</v>
      </c>
      <c r="O80" s="1253" t="s">
        <v>584</v>
      </c>
      <c r="P80" s="1252" t="s">
        <v>2023</v>
      </c>
      <c r="Q80" s="1252" t="s">
        <v>1486</v>
      </c>
      <c r="R80" s="1253" t="s">
        <v>1732</v>
      </c>
      <c r="S80" s="1252" t="s">
        <v>2022</v>
      </c>
      <c r="T80" s="1253" t="s">
        <v>584</v>
      </c>
      <c r="U80" s="1252" t="s">
        <v>2023</v>
      </c>
      <c r="V80" s="1252" t="s">
        <v>1486</v>
      </c>
      <c r="W80" s="1253" t="s">
        <v>1732</v>
      </c>
      <c r="X80" s="1252" t="s">
        <v>2022</v>
      </c>
      <c r="Y80" s="1253" t="s">
        <v>584</v>
      </c>
      <c r="Z80" s="1252" t="s">
        <v>2023</v>
      </c>
      <c r="AA80" s="1252" t="s">
        <v>1486</v>
      </c>
      <c r="AB80" s="1253" t="s">
        <v>1732</v>
      </c>
      <c r="AC80" s="1252" t="s">
        <v>2022</v>
      </c>
      <c r="AD80" s="1253" t="s">
        <v>584</v>
      </c>
      <c r="AE80" s="1252" t="s">
        <v>2023</v>
      </c>
      <c r="AF80" s="1252" t="s">
        <v>1486</v>
      </c>
      <c r="AG80" s="1253" t="s">
        <v>1732</v>
      </c>
      <c r="AH80" s="1252" t="s">
        <v>2022</v>
      </c>
      <c r="AI80" s="1253" t="s">
        <v>584</v>
      </c>
      <c r="AJ80" s="1252" t="s">
        <v>2023</v>
      </c>
      <c r="AK80" s="1252" t="s">
        <v>1486</v>
      </c>
      <c r="AL80" s="1253" t="s">
        <v>1732</v>
      </c>
      <c r="AM80" s="1252" t="s">
        <v>2022</v>
      </c>
      <c r="AN80" s="1253" t="s">
        <v>584</v>
      </c>
      <c r="AO80" s="1252" t="s">
        <v>2023</v>
      </c>
      <c r="AP80" s="1252" t="s">
        <v>1486</v>
      </c>
      <c r="AQ80" s="1253" t="s">
        <v>1732</v>
      </c>
      <c r="AR80" s="1252" t="s">
        <v>2022</v>
      </c>
      <c r="AS80" s="1253" t="s">
        <v>584</v>
      </c>
      <c r="AT80" s="1252" t="s">
        <v>2023</v>
      </c>
      <c r="AU80" s="1252" t="s">
        <v>1486</v>
      </c>
      <c r="AV80" s="1253" t="s">
        <v>1732</v>
      </c>
      <c r="AW80" s="1252" t="s">
        <v>2022</v>
      </c>
      <c r="AX80" s="1253" t="s">
        <v>584</v>
      </c>
      <c r="AY80" s="1252" t="s">
        <v>2023</v>
      </c>
      <c r="AZ80" s="1252" t="s">
        <v>1486</v>
      </c>
      <c r="BA80" s="1253" t="s">
        <v>1732</v>
      </c>
      <c r="BB80" s="1252" t="s">
        <v>2022</v>
      </c>
      <c r="BC80" s="1253" t="s">
        <v>584</v>
      </c>
      <c r="BD80" s="1252" t="s">
        <v>2023</v>
      </c>
      <c r="BE80" s="1252" t="s">
        <v>1486</v>
      </c>
      <c r="BF80" s="1253" t="s">
        <v>1732</v>
      </c>
      <c r="BG80" s="1252" t="s">
        <v>2022</v>
      </c>
      <c r="BH80" s="1253" t="s">
        <v>584</v>
      </c>
      <c r="BI80" s="1252" t="s">
        <v>2023</v>
      </c>
      <c r="BJ80" s="1252" t="s">
        <v>1486</v>
      </c>
      <c r="BK80" s="1253" t="s">
        <v>1732</v>
      </c>
      <c r="BL80" s="1252" t="s">
        <v>2022</v>
      </c>
      <c r="BM80" s="1253" t="s">
        <v>584</v>
      </c>
      <c r="BN80" s="1252" t="s">
        <v>2023</v>
      </c>
      <c r="BO80" s="1252" t="s">
        <v>1486</v>
      </c>
      <c r="BP80" s="1253" t="s">
        <v>1732</v>
      </c>
      <c r="BQ80" s="1252" t="s">
        <v>2022</v>
      </c>
      <c r="BR80" s="1253" t="s">
        <v>584</v>
      </c>
      <c r="BS80" s="1252" t="s">
        <v>2023</v>
      </c>
      <c r="BT80" s="1252" t="s">
        <v>1486</v>
      </c>
      <c r="BU80" s="1253" t="s">
        <v>1732</v>
      </c>
      <c r="BV80" s="1252" t="s">
        <v>2022</v>
      </c>
      <c r="BW80" s="1253" t="s">
        <v>584</v>
      </c>
      <c r="BX80" s="1252" t="s">
        <v>2023</v>
      </c>
      <c r="BY80" s="1252" t="s">
        <v>1486</v>
      </c>
      <c r="BZ80" s="1253" t="s">
        <v>1732</v>
      </c>
      <c r="CA80" s="1252" t="s">
        <v>2022</v>
      </c>
      <c r="CB80" s="1253" t="s">
        <v>584</v>
      </c>
      <c r="CC80" s="1252" t="s">
        <v>2023</v>
      </c>
      <c r="CD80" s="1252" t="s">
        <v>1486</v>
      </c>
      <c r="CE80" s="1253" t="s">
        <v>1732</v>
      </c>
      <c r="CF80" s="1252" t="s">
        <v>2022</v>
      </c>
      <c r="CG80" s="1253" t="s">
        <v>584</v>
      </c>
      <c r="CH80" s="1252" t="s">
        <v>2023</v>
      </c>
      <c r="CI80" s="1252" t="s">
        <v>1486</v>
      </c>
      <c r="CJ80" s="1253" t="s">
        <v>1732</v>
      </c>
      <c r="CK80" s="1252" t="s">
        <v>2022</v>
      </c>
      <c r="CL80" s="1253" t="s">
        <v>584</v>
      </c>
      <c r="CM80" s="1252" t="s">
        <v>2023</v>
      </c>
      <c r="CN80" s="1252" t="s">
        <v>1486</v>
      </c>
      <c r="CO80" s="1253" t="s">
        <v>1732</v>
      </c>
      <c r="CP80" s="1252" t="s">
        <v>2022</v>
      </c>
      <c r="CQ80" s="1253" t="s">
        <v>584</v>
      </c>
      <c r="CR80" s="1252" t="s">
        <v>2023</v>
      </c>
      <c r="CS80" s="1252" t="s">
        <v>1486</v>
      </c>
      <c r="CT80" s="1253" t="s">
        <v>1732</v>
      </c>
      <c r="CU80" s="1252" t="s">
        <v>2022</v>
      </c>
      <c r="CV80" s="1253" t="s">
        <v>584</v>
      </c>
      <c r="CW80" s="1252" t="s">
        <v>2023</v>
      </c>
      <c r="CX80" s="1252" t="s">
        <v>1486</v>
      </c>
      <c r="CY80" s="1253" t="s">
        <v>1732</v>
      </c>
      <c r="CZ80" s="1252" t="s">
        <v>2022</v>
      </c>
      <c r="DA80" s="1253" t="s">
        <v>584</v>
      </c>
      <c r="DB80" s="1252" t="s">
        <v>2023</v>
      </c>
      <c r="DC80" s="1252" t="s">
        <v>1486</v>
      </c>
      <c r="DD80" s="1253" t="s">
        <v>1732</v>
      </c>
      <c r="DE80" s="1252" t="s">
        <v>2022</v>
      </c>
      <c r="DF80" s="1253" t="s">
        <v>584</v>
      </c>
      <c r="DG80" s="1252" t="s">
        <v>2023</v>
      </c>
      <c r="DH80" s="1252" t="s">
        <v>1486</v>
      </c>
      <c r="DI80" s="1253" t="s">
        <v>1732</v>
      </c>
      <c r="DJ80" s="1252" t="s">
        <v>2022</v>
      </c>
      <c r="DK80" s="1253" t="s">
        <v>584</v>
      </c>
      <c r="DL80" s="1252" t="s">
        <v>2023</v>
      </c>
      <c r="DM80" s="1252" t="s">
        <v>1486</v>
      </c>
      <c r="DN80" s="1253" t="s">
        <v>1732</v>
      </c>
      <c r="DO80" s="1252" t="s">
        <v>2022</v>
      </c>
      <c r="DP80" s="1253" t="s">
        <v>584</v>
      </c>
      <c r="DQ80" s="1252" t="s">
        <v>2023</v>
      </c>
      <c r="DR80" s="1252" t="s">
        <v>1486</v>
      </c>
      <c r="DS80" s="1253" t="s">
        <v>1732</v>
      </c>
      <c r="DT80" s="1252" t="s">
        <v>2022</v>
      </c>
      <c r="DU80" s="1253" t="s">
        <v>584</v>
      </c>
      <c r="DV80" s="1252" t="s">
        <v>2023</v>
      </c>
      <c r="DW80" s="1252" t="s">
        <v>1486</v>
      </c>
      <c r="DX80" s="1253" t="s">
        <v>1732</v>
      </c>
      <c r="DY80" s="1252" t="s">
        <v>2022</v>
      </c>
      <c r="DZ80" s="1253" t="s">
        <v>584</v>
      </c>
      <c r="EA80" s="1252" t="s">
        <v>2023</v>
      </c>
    </row>
    <row r="81" spans="1:145">
      <c r="B81" s="1"/>
      <c r="C81" s="1082"/>
      <c r="D81" s="1086"/>
      <c r="E81" s="1087" t="s">
        <v>1449</v>
      </c>
      <c r="F81" s="1089" t="s">
        <v>1992</v>
      </c>
      <c r="G81" s="1376"/>
      <c r="H81" s="1377"/>
      <c r="I81" s="1378"/>
      <c r="J81" s="1349">
        <f ca="1">OFFSET('VVP2'!$G$260,0,(COLUMN()-6)/5)</f>
        <v>0.18446000000000001</v>
      </c>
      <c r="K81" s="1379"/>
      <c r="L81" s="1355">
        <f ca="1">+L11</f>
        <v>61.091807269466472</v>
      </c>
      <c r="M81" s="1349">
        <f ca="1">+J81*(1+L81/100)</f>
        <v>0.2971499476892579</v>
      </c>
      <c r="N81" s="1356">
        <f ca="1">+O81/M81*100-100</f>
        <v>-84.290759475813459</v>
      </c>
      <c r="O81" s="1349">
        <f ca="1">OFFSET('VVP2'!$G$260,0,(COLUMN()-6)/5)</f>
        <v>4.6679999999999999E-2</v>
      </c>
      <c r="P81" s="1357">
        <f ca="1">(O81/J81-1)*100</f>
        <v>-74.693700531280498</v>
      </c>
      <c r="Q81" s="1355">
        <f ca="1">+Q11</f>
        <v>801.56982740201079</v>
      </c>
      <c r="R81" s="1349">
        <f ca="1">+O81*(1+Q81/100)</f>
        <v>0.42085279543125864</v>
      </c>
      <c r="S81" s="1356">
        <f ca="1">+T81/R81*100-100</f>
        <v>-38.586602535181122</v>
      </c>
      <c r="T81" s="1349">
        <f ca="1">OFFSET('VVP2'!$G$260,0,(COLUMN()-6)/5)</f>
        <v>0.25845999999999997</v>
      </c>
      <c r="U81" s="1357">
        <f ca="1">(T81/O81-1)*100</f>
        <v>453.68466152527844</v>
      </c>
      <c r="V81" s="1355">
        <f ca="1">+V11</f>
        <v>7.4233111197303145</v>
      </c>
      <c r="W81" s="1349">
        <f ca="1">+T81*(1+V81/100)</f>
        <v>0.27764628992005491</v>
      </c>
      <c r="X81" s="1356">
        <f ca="1">+Y81/W81*100-100</f>
        <v>-78.807568429262176</v>
      </c>
      <c r="Y81" s="1349">
        <f ca="1">OFFSET('VVP2'!$G$260,0,(COLUMN()-6)/5)</f>
        <v>5.8840000000000003E-2</v>
      </c>
      <c r="Z81" s="1357">
        <f ca="1">(Y81/T81-1)*100</f>
        <v>-77.234388299930359</v>
      </c>
      <c r="AA81" s="1355">
        <f ca="1">+AA11</f>
        <v>-239.0373049581379</v>
      </c>
      <c r="AB81" s="1349">
        <f ca="1">+Y81*(1+AA81/100)</f>
        <v>-8.1809550237368342E-2</v>
      </c>
      <c r="AC81" s="1356">
        <f ca="1">+AD81/AB81*100-100</f>
        <v>-5.6833832038897611</v>
      </c>
      <c r="AD81" s="1349">
        <f ca="1">OFFSET('VVP2'!$G$260,0,(COLUMN()-6)/5)</f>
        <v>-7.7159999999999992E-2</v>
      </c>
      <c r="AE81" s="1357">
        <f ca="1">(AD81/Y81-1)*100</f>
        <v>-231.13528212100613</v>
      </c>
      <c r="AF81" s="1355">
        <f ca="1">+AF11</f>
        <v>66.813099167635727</v>
      </c>
      <c r="AG81" s="1349">
        <f ca="1">+AD81*(1+AF81/100)</f>
        <v>-0.12871298731774772</v>
      </c>
      <c r="AH81" s="1356">
        <f ca="1">+AI81/AG81*100-100</f>
        <v>-61.946341996487611</v>
      </c>
      <c r="AI81" s="1349">
        <f ca="1">OFFSET('VVP2'!$G$260,0,(COLUMN()-6)/5)</f>
        <v>-4.8979999999999996E-2</v>
      </c>
      <c r="AJ81" s="1357">
        <f ca="1">(AI81/AD81-1)*100</f>
        <v>-36.521513737687918</v>
      </c>
      <c r="AK81" s="1355">
        <f ca="1">+AK11</f>
        <v>-177.43549770457992</v>
      </c>
      <c r="AL81" s="1349">
        <f ca="1">+AI81*(1+AK81/100)</f>
        <v>3.7927906775703242E-2</v>
      </c>
      <c r="AM81" s="1356">
        <f ca="1">+AN81/AL81*100-100</f>
        <v>-659.66705796688188</v>
      </c>
      <c r="AN81" s="1349">
        <f ca="1">OFFSET('VVP2'!$G$260,0,(COLUMN()-6)/5)</f>
        <v>-0.21227000000000001</v>
      </c>
      <c r="AO81" s="1357">
        <f ca="1">(AN81/AI81-1)*100</f>
        <v>333.38097182523489</v>
      </c>
      <c r="AP81" s="1355">
        <f ca="1">+AP11</f>
        <v>-75.242494485879064</v>
      </c>
      <c r="AQ81" s="1349">
        <f ca="1">+AN81*(1+AP81/100)</f>
        <v>-5.2552756954824517E-2</v>
      </c>
      <c r="AR81" s="1356">
        <f ca="1">+AS81/AQ81*100-100</f>
        <v>-82.41766838618399</v>
      </c>
      <c r="AS81" s="1349">
        <f ca="1">OFFSET('VVP2'!$G$260,0,(COLUMN()-6)/5)</f>
        <v>-9.2399999999999999E-3</v>
      </c>
      <c r="AT81" s="1357">
        <f ca="1">(AS81/AN81-1)*100</f>
        <v>-95.647053281198467</v>
      </c>
      <c r="AU81" s="1355">
        <f ca="1">+AU11</f>
        <v>-665.65169636188693</v>
      </c>
      <c r="AV81" s="1349">
        <f ca="1">+AS81*(1+AU81/100)</f>
        <v>5.2266216743838349E-2</v>
      </c>
      <c r="AW81" s="1356">
        <f ca="1">+AX81/AV81*100-100</f>
        <v>-16.523516110158226</v>
      </c>
      <c r="AX81" s="1349">
        <f ca="1">OFFSET('VVP2'!$G$260,0,(COLUMN()-6)/5)</f>
        <v>4.3630000000000002E-2</v>
      </c>
      <c r="AY81" s="1357">
        <f ca="1">(AX81/AS81-1)*100</f>
        <v>-572.1861471861472</v>
      </c>
      <c r="AZ81" s="1355">
        <f ca="1">+AZ11</f>
        <v>839.12534447623875</v>
      </c>
      <c r="BA81" s="1349">
        <f ca="1">+AX81*(1+AZ81/100)</f>
        <v>0.40974038779498301</v>
      </c>
      <c r="BB81" s="1356">
        <f ca="1">+BC81/BA81*100-100</f>
        <v>-109.61828542509193</v>
      </c>
      <c r="BC81" s="1349">
        <f ca="1">OFFSET('VVP2'!$G$260,0,(COLUMN()-6)/5)</f>
        <v>-3.9409999999999994E-2</v>
      </c>
      <c r="BD81" s="1357">
        <f ca="1">(BC81/AX81-1)*100</f>
        <v>-190.32775613110243</v>
      </c>
      <c r="BE81" s="1355">
        <f ca="1">+BE11</f>
        <v>837.22794536239462</v>
      </c>
      <c r="BF81" s="1349">
        <f ca="1">+BC81*(1+BE81/100)</f>
        <v>-0.36936153326731969</v>
      </c>
      <c r="BG81" s="1356">
        <f ca="1">+BH81/BF81*100-100</f>
        <v>-138.02778236204261</v>
      </c>
      <c r="BH81" s="1349">
        <f ca="1">OFFSET('VVP2'!$G$260,0,(COLUMN()-6)/5)</f>
        <v>0.14046</v>
      </c>
      <c r="BI81" s="1357">
        <f ca="1">(BH81/BC81-1)*100</f>
        <v>-456.40700329865524</v>
      </c>
      <c r="BJ81" s="1355">
        <f ca="1">+BJ11</f>
        <v>-231.54230557867908</v>
      </c>
      <c r="BK81" s="1349">
        <f ca="1">+BH81*(1+BJ81/100)</f>
        <v>-0.18476432241581264</v>
      </c>
      <c r="BL81" s="1356">
        <f ca="1">+BM81/BK81*100-100</f>
        <v>-204.10018421583484</v>
      </c>
      <c r="BM81" s="1349">
        <f ca="1">OFFSET('VVP2'!$G$260,0,(COLUMN()-6)/5)</f>
        <v>0.19234000000000001</v>
      </c>
      <c r="BN81" s="1357">
        <f ca="1">(BM81/BH81-1)*100</f>
        <v>36.935782429161335</v>
      </c>
      <c r="BO81" s="1355">
        <f ca="1">+BO11</f>
        <v>287.84072115639458</v>
      </c>
      <c r="BP81" s="1349">
        <f ca="1">+BM81*(1+BO81/100)</f>
        <v>0.74597284307220935</v>
      </c>
      <c r="BQ81" s="1356">
        <f ca="1">+BR81/BP81*100-100</f>
        <v>37.549243183464853</v>
      </c>
      <c r="BR81" s="1349">
        <f ca="1">OFFSET('VVP2'!$G$260,0,(COLUMN()-6)/5)</f>
        <v>1.0260799999999999</v>
      </c>
      <c r="BS81" s="1357">
        <f ca="1">(BR81/BM81-1)*100</f>
        <v>433.47197670791297</v>
      </c>
      <c r="BT81" s="1355">
        <f ca="1">+BT11</f>
        <v>62.667606319817196</v>
      </c>
      <c r="BU81" s="1349">
        <f ca="1">+BR81*(1+BT81/100)</f>
        <v>1.6690997749263798</v>
      </c>
      <c r="BV81" s="1356">
        <f ca="1">+BW81/BU81*100-100</f>
        <v>-63.768493107209615</v>
      </c>
      <c r="BW81" s="1349">
        <f ca="1">OFFSET('VVP2'!$G$260,0,(COLUMN()-6)/5)</f>
        <v>0.60474000000000006</v>
      </c>
      <c r="BX81" s="1357">
        <f ca="1">(BW81/BR81-1)*100</f>
        <v>-41.063075003898319</v>
      </c>
      <c r="BY81" s="1355">
        <f ca="1">+BY11</f>
        <v>-274.97654040287534</v>
      </c>
      <c r="BZ81" s="1349">
        <f ca="1">+BW81*(1+BY81/100)</f>
        <v>-1.0581531304323486</v>
      </c>
      <c r="CA81" s="1356">
        <f ca="1">+CB81/BZ81*100-100</f>
        <v>39.712292813040762</v>
      </c>
      <c r="CB81" s="1349">
        <f ca="1">OFFSET('VVP2'!$G$260,0,(COLUMN()-6)/5)</f>
        <v>-1.47837</v>
      </c>
      <c r="CC81" s="1357">
        <f ca="1">(CB81/BW81-1)*100</f>
        <v>-344.46373648179377</v>
      </c>
      <c r="CD81" s="1355">
        <f ca="1">+CD11</f>
        <v>-82.061497225955165</v>
      </c>
      <c r="CE81" s="1349">
        <f ca="1">+CB81*(1+CD81/100)</f>
        <v>-0.26519744346064672</v>
      </c>
      <c r="CF81" s="1356">
        <f ca="1">+CG81/CE81*100-100</f>
        <v>-220.15575860831601</v>
      </c>
      <c r="CG81" s="1349">
        <f ca="1">OFFSET('VVP2'!$G$260,0,(COLUMN()-6)/5)</f>
        <v>0.31864999999999999</v>
      </c>
      <c r="CH81" s="1357">
        <f ca="1">(CG81/CB81-1)*100</f>
        <v>-121.5541440911274</v>
      </c>
      <c r="CI81" s="1355">
        <f ca="1">+CI11</f>
        <v>-18.123332810291359</v>
      </c>
      <c r="CJ81" s="1349">
        <f ca="1">+CG81*(1+CI81/100)</f>
        <v>0.26090000000000657</v>
      </c>
      <c r="CK81" s="1356">
        <f ca="1">+CL81/CJ81*100-100</f>
        <v>287.38980452279594</v>
      </c>
      <c r="CL81" s="1349">
        <f ca="1">OFFSET('VVP2'!$G$260,0,(COLUMN()-6)/5)</f>
        <v>1.0107000000000002</v>
      </c>
      <c r="CM81" s="1357">
        <f ca="1">(CL81/CG81-1)*100</f>
        <v>217.18186097599252</v>
      </c>
      <c r="CN81" s="1355">
        <f ca="1">+CN11</f>
        <v>-66.586867124364332</v>
      </c>
      <c r="CO81" s="1349">
        <f ca="1">+CL81*(1+CN81/100)</f>
        <v>0.33770653397404971</v>
      </c>
      <c r="CP81" s="1356">
        <f ca="1">+CQ81/CO81*100-100</f>
        <v>99.232153456557484</v>
      </c>
      <c r="CQ81" s="1349">
        <f ca="1">OFFSET('VVP2'!$G$260,0,(COLUMN()-6)/5)</f>
        <v>0.67282000000000008</v>
      </c>
      <c r="CR81" s="1357">
        <f ca="1">(CQ81/CL81-1)*100</f>
        <v>-33.430295834570103</v>
      </c>
      <c r="CS81" s="1355">
        <f ca="1">+CS11</f>
        <v>-71.518844666527315</v>
      </c>
      <c r="CT81" s="1349">
        <f ca="1">+CQ81*(1+CS81/100)</f>
        <v>0.19162690931467094</v>
      </c>
      <c r="CU81" s="1356">
        <f ca="1">+CV81/CT81*100-100</f>
        <v>82.046457487425613</v>
      </c>
      <c r="CV81" s="1349">
        <f ca="1">OFFSET('VVP2'!$G$260,0,(COLUMN()-6)/5)</f>
        <v>0.34885000000000005</v>
      </c>
      <c r="CW81" s="1357">
        <f ca="1">(CV81/CQ81-1)*100</f>
        <v>-48.151065663921997</v>
      </c>
      <c r="CX81" s="1355">
        <f ca="1">+CX11</f>
        <v>-23.923386213797215</v>
      </c>
      <c r="CY81" s="1349">
        <f ca="1">+CV81*(1+CX81/100)</f>
        <v>0.26539326719316847</v>
      </c>
      <c r="CZ81" s="1356">
        <f ca="1">+DA81/CY81*100-100</f>
        <v>-79.984420644199616</v>
      </c>
      <c r="DA81" s="1349">
        <f ca="1">OFFSET('VVP2'!$G$260,0,(COLUMN()-6)/5)</f>
        <v>5.3120000000000001E-2</v>
      </c>
      <c r="DB81" s="1357">
        <f ca="1">(DA81/CV81-1)*100</f>
        <v>-84.772824996416801</v>
      </c>
      <c r="DC81" s="1355">
        <f ca="1">+DC11</f>
        <v>2625.084372878237</v>
      </c>
      <c r="DD81" s="3204">
        <f ca="1">+DA81*(1+DC81/100)</f>
        <v>1.4475648188729195</v>
      </c>
      <c r="DE81" s="1356">
        <f ca="1">+DF81/DD81*100-100</f>
        <v>-73.854711370045692</v>
      </c>
      <c r="DF81" s="3205">
        <f ca="1">OFFSET('VVP2'!$G$260,0,(COLUMN()-6)/5)</f>
        <v>0.37847000000000003</v>
      </c>
      <c r="DG81" s="1357">
        <f ca="1">(DF81/DA81-1)*100</f>
        <v>612.48117469879526</v>
      </c>
      <c r="DH81" s="1355">
        <f ca="1">+DH11</f>
        <v>-79.899694976144815</v>
      </c>
      <c r="DI81" s="3204">
        <f ca="1">+DF81*(1+DH81/100)</f>
        <v>7.6073624423784708E-2</v>
      </c>
      <c r="DJ81" s="1356">
        <f ca="1">+DK81/DI81*100-100</f>
        <v>-949.15107554416966</v>
      </c>
      <c r="DK81" s="3205">
        <f ca="1">OFFSET('VVP2'!$G$260,0,(COLUMN()-6)/5)</f>
        <v>-0.64598</v>
      </c>
      <c r="DL81" s="1357">
        <f ca="1">(DK81/DF81-1)*100</f>
        <v>-270.68195629772504</v>
      </c>
      <c r="DM81" s="2239">
        <v>0</v>
      </c>
      <c r="DN81">
        <f ca="1">+DK81*(1+DM81/100)</f>
        <v>-0.64598</v>
      </c>
      <c r="DO81" s="2239">
        <v>0</v>
      </c>
      <c r="DP81">
        <f ca="1">+DN81*(1+DO81/100)</f>
        <v>-0.64598</v>
      </c>
      <c r="DQ81" s="2251">
        <f ca="1">(DP81/DK81-1)*100</f>
        <v>0</v>
      </c>
      <c r="DR81" s="2239">
        <v>0</v>
      </c>
      <c r="DS81">
        <f ca="1">+DP81*(1+DR81/100)</f>
        <v>-0.64598</v>
      </c>
      <c r="DT81" s="2239">
        <v>0</v>
      </c>
      <c r="DU81">
        <f ca="1">+DS81*(1+DT81/100)</f>
        <v>-0.64598</v>
      </c>
      <c r="DV81" s="2251">
        <f ca="1">(DU81/DP81-1)*100</f>
        <v>0</v>
      </c>
      <c r="DW81" s="2239">
        <v>0</v>
      </c>
      <c r="DX81" s="3649">
        <f ca="1">+DU81*(1+DW81/100)</f>
        <v>-0.64598</v>
      </c>
      <c r="DY81" s="2239">
        <v>0</v>
      </c>
      <c r="DZ81" s="3649">
        <f ca="1">+DX81*(1+DY81/100)</f>
        <v>-0.64598</v>
      </c>
      <c r="EA81" s="2251">
        <f ca="1">(DZ81/DU81-1)*100</f>
        <v>0</v>
      </c>
    </row>
    <row r="84" spans="1:145">
      <c r="B84" s="1"/>
      <c r="C84" s="774"/>
      <c r="D84" s="3751"/>
      <c r="E84" s="3751" t="s">
        <v>1588</v>
      </c>
      <c r="F84" s="3751"/>
      <c r="G84" s="3753">
        <f>+InputY!$G$3</f>
        <v>1995</v>
      </c>
      <c r="H84" s="3754"/>
      <c r="I84" s="3754"/>
      <c r="J84" s="3754"/>
      <c r="K84" s="3755"/>
      <c r="L84" s="3753">
        <f>+G84+1</f>
        <v>1996</v>
      </c>
      <c r="M84" s="3754"/>
      <c r="N84" s="3754"/>
      <c r="O84" s="3754"/>
      <c r="P84" s="3755"/>
      <c r="Q84" s="3753">
        <f>+L84+1</f>
        <v>1997</v>
      </c>
      <c r="R84" s="3754"/>
      <c r="S84" s="3754"/>
      <c r="T84" s="3754"/>
      <c r="U84" s="3755"/>
      <c r="V84" s="3753">
        <f>+Q84+1</f>
        <v>1998</v>
      </c>
      <c r="W84" s="3754"/>
      <c r="X84" s="3754"/>
      <c r="Y84" s="3754"/>
      <c r="Z84" s="3755"/>
      <c r="AA84" s="3753">
        <f>+V84+1</f>
        <v>1999</v>
      </c>
      <c r="AB84" s="3754"/>
      <c r="AC84" s="3754"/>
      <c r="AD84" s="3754"/>
      <c r="AE84" s="3755"/>
      <c r="AF84" s="3753">
        <f>+AA84+1</f>
        <v>2000</v>
      </c>
      <c r="AG84" s="3754"/>
      <c r="AH84" s="3754"/>
      <c r="AI84" s="3754"/>
      <c r="AJ84" s="3755"/>
      <c r="AK84" s="3753">
        <f>+AF84+1</f>
        <v>2001</v>
      </c>
      <c r="AL84" s="3754"/>
      <c r="AM84" s="3754"/>
      <c r="AN84" s="3754"/>
      <c r="AO84" s="3755"/>
      <c r="AP84" s="3753">
        <f>+AK84+1</f>
        <v>2002</v>
      </c>
      <c r="AQ84" s="3754"/>
      <c r="AR84" s="3754"/>
      <c r="AS84" s="3754"/>
      <c r="AT84" s="3755"/>
      <c r="AU84" s="3753">
        <f>+AP84+1</f>
        <v>2003</v>
      </c>
      <c r="AV84" s="3754"/>
      <c r="AW84" s="3754"/>
      <c r="AX84" s="3754"/>
      <c r="AY84" s="3755"/>
      <c r="AZ84" s="3753">
        <f>+AU84+1</f>
        <v>2004</v>
      </c>
      <c r="BA84" s="3754"/>
      <c r="BB84" s="3754"/>
      <c r="BC84" s="3754"/>
      <c r="BD84" s="3755"/>
      <c r="BE84" s="3753">
        <f>+AZ84+1</f>
        <v>2005</v>
      </c>
      <c r="BF84" s="3754"/>
      <c r="BG84" s="3754"/>
      <c r="BH84" s="3754"/>
      <c r="BI84" s="3755"/>
      <c r="BJ84" s="3753">
        <f>+BE84+1</f>
        <v>2006</v>
      </c>
      <c r="BK84" s="3754"/>
      <c r="BL84" s="3754"/>
      <c r="BM84" s="3754"/>
      <c r="BN84" s="3755"/>
      <c r="BO84" s="3753">
        <f>+BJ84+1</f>
        <v>2007</v>
      </c>
      <c r="BP84" s="3754"/>
      <c r="BQ84" s="3754"/>
      <c r="BR84" s="3754"/>
      <c r="BS84" s="3755"/>
      <c r="BT84" s="3753">
        <f>+BO84+1</f>
        <v>2008</v>
      </c>
      <c r="BU84" s="3754"/>
      <c r="BV84" s="3754"/>
      <c r="BW84" s="3754"/>
      <c r="BX84" s="3755"/>
      <c r="BY84" s="3753">
        <f>+BT84+1</f>
        <v>2009</v>
      </c>
      <c r="BZ84" s="3754"/>
      <c r="CA84" s="3754"/>
      <c r="CB84" s="3754"/>
      <c r="CC84" s="3755"/>
      <c r="CD84" s="3753">
        <f>+BY84+1</f>
        <v>2010</v>
      </c>
      <c r="CE84" s="3754"/>
      <c r="CF84" s="3754"/>
      <c r="CG84" s="3754"/>
      <c r="CH84" s="3755"/>
      <c r="CI84" s="3753">
        <f>+CD84+1</f>
        <v>2011</v>
      </c>
      <c r="CJ84" s="3754"/>
      <c r="CK84" s="3754"/>
      <c r="CL84" s="3754"/>
      <c r="CM84" s="3755"/>
      <c r="CN84" s="3753">
        <f>+CI84+1</f>
        <v>2012</v>
      </c>
      <c r="CO84" s="3754"/>
      <c r="CP84" s="3754"/>
      <c r="CQ84" s="3754"/>
      <c r="CR84" s="3755"/>
      <c r="CS84" s="3753">
        <f>+CN84+1</f>
        <v>2013</v>
      </c>
      <c r="CT84" s="3754"/>
      <c r="CU84" s="3754"/>
      <c r="CV84" s="3754"/>
      <c r="CW84" s="3755"/>
      <c r="CX84" s="3753">
        <f>+CS84+1</f>
        <v>2014</v>
      </c>
      <c r="CY84" s="3754"/>
      <c r="CZ84" s="3754"/>
      <c r="DA84" s="3754"/>
      <c r="DB84" s="3755"/>
      <c r="DC84" s="3753">
        <f>+CX84+1</f>
        <v>2015</v>
      </c>
      <c r="DD84" s="3754"/>
      <c r="DE84" s="3754"/>
      <c r="DF84" s="3754"/>
      <c r="DG84" s="3755"/>
      <c r="DH84" s="3753">
        <f>+DC84+1</f>
        <v>2016</v>
      </c>
      <c r="DI84" s="3754"/>
      <c r="DJ84" s="3754"/>
      <c r="DK84" s="3754"/>
      <c r="DL84" s="3755"/>
      <c r="DM84" s="3753">
        <f>+DH84+1</f>
        <v>2017</v>
      </c>
      <c r="DN84" s="3754"/>
      <c r="DO84" s="3754"/>
      <c r="DP84" s="3754"/>
      <c r="DQ84" s="3755"/>
      <c r="DR84" s="3753">
        <f>+DM84+1</f>
        <v>2018</v>
      </c>
      <c r="DS84" s="3754"/>
      <c r="DT84" s="3754"/>
      <c r="DU84" s="3754"/>
      <c r="DV84" s="3755"/>
      <c r="DW84" s="3753">
        <f>+DR84+1</f>
        <v>2019</v>
      </c>
      <c r="DX84" s="3754"/>
      <c r="DY84" s="3754"/>
      <c r="DZ84" s="3754"/>
      <c r="EA84" s="3755"/>
    </row>
    <row r="85" spans="1:145" ht="12.75" customHeight="1">
      <c r="B85" s="1"/>
      <c r="C85" s="774"/>
      <c r="D85" s="3751"/>
      <c r="E85" s="3751"/>
      <c r="F85" s="3751"/>
      <c r="G85" s="1252" t="s">
        <v>1486</v>
      </c>
      <c r="H85" s="1253" t="s">
        <v>1732</v>
      </c>
      <c r="I85" s="1252" t="s">
        <v>2022</v>
      </c>
      <c r="J85" s="1253" t="s">
        <v>584</v>
      </c>
      <c r="K85" s="1252" t="s">
        <v>2023</v>
      </c>
      <c r="L85" s="1252" t="s">
        <v>1486</v>
      </c>
      <c r="M85" s="1253" t="s">
        <v>1732</v>
      </c>
      <c r="N85" s="1252" t="s">
        <v>2022</v>
      </c>
      <c r="O85" s="1253" t="s">
        <v>584</v>
      </c>
      <c r="P85" s="1252" t="s">
        <v>2023</v>
      </c>
      <c r="Q85" s="1252" t="s">
        <v>1486</v>
      </c>
      <c r="R85" s="1253" t="s">
        <v>1732</v>
      </c>
      <c r="S85" s="1252" t="s">
        <v>2022</v>
      </c>
      <c r="T85" s="1253" t="s">
        <v>584</v>
      </c>
      <c r="U85" s="1252" t="s">
        <v>2023</v>
      </c>
      <c r="V85" s="1252" t="s">
        <v>1486</v>
      </c>
      <c r="W85" s="1253" t="s">
        <v>1732</v>
      </c>
      <c r="X85" s="1252" t="s">
        <v>2022</v>
      </c>
      <c r="Y85" s="1253" t="s">
        <v>584</v>
      </c>
      <c r="Z85" s="1252" t="s">
        <v>2023</v>
      </c>
      <c r="AA85" s="1252" t="s">
        <v>1486</v>
      </c>
      <c r="AB85" s="1253" t="s">
        <v>1732</v>
      </c>
      <c r="AC85" s="1252" t="s">
        <v>2022</v>
      </c>
      <c r="AD85" s="1253" t="s">
        <v>584</v>
      </c>
      <c r="AE85" s="1252" t="s">
        <v>2023</v>
      </c>
      <c r="AF85" s="1252" t="s">
        <v>1486</v>
      </c>
      <c r="AG85" s="1253" t="s">
        <v>1732</v>
      </c>
      <c r="AH85" s="1252" t="s">
        <v>2022</v>
      </c>
      <c r="AI85" s="1253" t="s">
        <v>584</v>
      </c>
      <c r="AJ85" s="1252" t="s">
        <v>2023</v>
      </c>
      <c r="AK85" s="1252" t="s">
        <v>1486</v>
      </c>
      <c r="AL85" s="1253" t="s">
        <v>1732</v>
      </c>
      <c r="AM85" s="1252" t="s">
        <v>2022</v>
      </c>
      <c r="AN85" s="1253" t="s">
        <v>584</v>
      </c>
      <c r="AO85" s="1252" t="s">
        <v>2023</v>
      </c>
      <c r="AP85" s="1252" t="s">
        <v>1486</v>
      </c>
      <c r="AQ85" s="1253" t="s">
        <v>1732</v>
      </c>
      <c r="AR85" s="1252" t="s">
        <v>2022</v>
      </c>
      <c r="AS85" s="1253" t="s">
        <v>584</v>
      </c>
      <c r="AT85" s="1252" t="s">
        <v>2023</v>
      </c>
      <c r="AU85" s="1252" t="s">
        <v>1486</v>
      </c>
      <c r="AV85" s="1253" t="s">
        <v>1732</v>
      </c>
      <c r="AW85" s="1252" t="s">
        <v>2022</v>
      </c>
      <c r="AX85" s="1253" t="s">
        <v>584</v>
      </c>
      <c r="AY85" s="1252" t="s">
        <v>2023</v>
      </c>
      <c r="AZ85" s="1252" t="s">
        <v>1486</v>
      </c>
      <c r="BA85" s="1253" t="s">
        <v>1732</v>
      </c>
      <c r="BB85" s="1252" t="s">
        <v>2022</v>
      </c>
      <c r="BC85" s="1253" t="s">
        <v>584</v>
      </c>
      <c r="BD85" s="1252" t="s">
        <v>2023</v>
      </c>
      <c r="BE85" s="1252" t="s">
        <v>1486</v>
      </c>
      <c r="BF85" s="1253" t="s">
        <v>1732</v>
      </c>
      <c r="BG85" s="1252" t="s">
        <v>2022</v>
      </c>
      <c r="BH85" s="1253" t="s">
        <v>584</v>
      </c>
      <c r="BI85" s="1252" t="s">
        <v>2023</v>
      </c>
      <c r="BJ85" s="1252" t="s">
        <v>1486</v>
      </c>
      <c r="BK85" s="1253" t="s">
        <v>1732</v>
      </c>
      <c r="BL85" s="1252" t="s">
        <v>2022</v>
      </c>
      <c r="BM85" s="1253" t="s">
        <v>584</v>
      </c>
      <c r="BN85" s="1252" t="s">
        <v>2023</v>
      </c>
      <c r="BO85" s="1252" t="s">
        <v>1486</v>
      </c>
      <c r="BP85" s="1253" t="s">
        <v>1732</v>
      </c>
      <c r="BQ85" s="1252" t="s">
        <v>2022</v>
      </c>
      <c r="BR85" s="1253" t="s">
        <v>584</v>
      </c>
      <c r="BS85" s="1252" t="s">
        <v>2023</v>
      </c>
      <c r="BT85" s="1252" t="s">
        <v>1486</v>
      </c>
      <c r="BU85" s="1253" t="s">
        <v>1732</v>
      </c>
      <c r="BV85" s="1252" t="s">
        <v>2022</v>
      </c>
      <c r="BW85" s="1253" t="s">
        <v>584</v>
      </c>
      <c r="BX85" s="1252" t="s">
        <v>2023</v>
      </c>
      <c r="BY85" s="1252" t="s">
        <v>1486</v>
      </c>
      <c r="BZ85" s="1253" t="s">
        <v>1732</v>
      </c>
      <c r="CA85" s="1252" t="s">
        <v>2022</v>
      </c>
      <c r="CB85" s="1253" t="s">
        <v>584</v>
      </c>
      <c r="CC85" s="1252" t="s">
        <v>2023</v>
      </c>
      <c r="CD85" s="1252" t="s">
        <v>1486</v>
      </c>
      <c r="CE85" s="1253" t="s">
        <v>1732</v>
      </c>
      <c r="CF85" s="1252" t="s">
        <v>2022</v>
      </c>
      <c r="CG85" s="1253" t="s">
        <v>584</v>
      </c>
      <c r="CH85" s="1252" t="s">
        <v>2023</v>
      </c>
      <c r="CI85" s="1252" t="s">
        <v>1486</v>
      </c>
      <c r="CJ85" s="1253" t="s">
        <v>1732</v>
      </c>
      <c r="CK85" s="1252" t="s">
        <v>2022</v>
      </c>
      <c r="CL85" s="1253" t="s">
        <v>584</v>
      </c>
      <c r="CM85" s="1252" t="s">
        <v>2023</v>
      </c>
      <c r="CN85" s="1252" t="s">
        <v>1486</v>
      </c>
      <c r="CO85" s="1253" t="s">
        <v>1732</v>
      </c>
      <c r="CP85" s="1252" t="s">
        <v>2022</v>
      </c>
      <c r="CQ85" s="1253" t="s">
        <v>584</v>
      </c>
      <c r="CR85" s="1252" t="s">
        <v>2023</v>
      </c>
      <c r="CS85" s="1252" t="s">
        <v>1486</v>
      </c>
      <c r="CT85" s="1253" t="s">
        <v>1732</v>
      </c>
      <c r="CU85" s="1252" t="s">
        <v>2022</v>
      </c>
      <c r="CV85" s="1253" t="s">
        <v>584</v>
      </c>
      <c r="CW85" s="1252" t="s">
        <v>2023</v>
      </c>
      <c r="CX85" s="1252" t="s">
        <v>1486</v>
      </c>
      <c r="CY85" s="1253" t="s">
        <v>1732</v>
      </c>
      <c r="CZ85" s="1252" t="s">
        <v>2022</v>
      </c>
      <c r="DA85" s="1253" t="s">
        <v>584</v>
      </c>
      <c r="DB85" s="1252" t="s">
        <v>2023</v>
      </c>
      <c r="DC85" s="1252" t="s">
        <v>1486</v>
      </c>
      <c r="DD85" s="1253" t="s">
        <v>1732</v>
      </c>
      <c r="DE85" s="1252" t="s">
        <v>2022</v>
      </c>
      <c r="DF85" s="1253" t="s">
        <v>584</v>
      </c>
      <c r="DG85" s="1252" t="s">
        <v>2023</v>
      </c>
      <c r="DH85" s="1252" t="s">
        <v>1486</v>
      </c>
      <c r="DI85" s="1253" t="s">
        <v>1732</v>
      </c>
      <c r="DJ85" s="1252" t="s">
        <v>2022</v>
      </c>
      <c r="DK85" s="1253" t="s">
        <v>584</v>
      </c>
      <c r="DL85" s="1252" t="s">
        <v>2023</v>
      </c>
      <c r="DM85" s="1252" t="s">
        <v>1486</v>
      </c>
      <c r="DN85" s="1253" t="s">
        <v>1732</v>
      </c>
      <c r="DO85" s="1252" t="s">
        <v>2022</v>
      </c>
      <c r="DP85" s="1253" t="s">
        <v>584</v>
      </c>
      <c r="DQ85" s="1252" t="s">
        <v>2023</v>
      </c>
      <c r="DR85" s="1252" t="s">
        <v>1486</v>
      </c>
      <c r="DS85" s="1253" t="s">
        <v>1732</v>
      </c>
      <c r="DT85" s="1252" t="s">
        <v>2022</v>
      </c>
      <c r="DU85" s="1253" t="s">
        <v>584</v>
      </c>
      <c r="DV85" s="1252" t="s">
        <v>2023</v>
      </c>
      <c r="DW85" s="1252" t="s">
        <v>1486</v>
      </c>
      <c r="DX85" s="1253" t="s">
        <v>1732</v>
      </c>
      <c r="DY85" s="1252" t="s">
        <v>2022</v>
      </c>
      <c r="DZ85" s="1253" t="s">
        <v>584</v>
      </c>
      <c r="EA85" s="1252" t="s">
        <v>2023</v>
      </c>
    </row>
    <row r="86" spans="1:145" s="1295" customFormat="1">
      <c r="A86" s="1458" t="s">
        <v>282</v>
      </c>
      <c r="C86" s="1296" t="s">
        <v>1767</v>
      </c>
      <c r="D86" s="1297"/>
      <c r="E86" s="1297" t="s">
        <v>1450</v>
      </c>
      <c r="F86" s="1298" t="s">
        <v>171</v>
      </c>
      <c r="G86" s="1237"/>
      <c r="H86" s="1238"/>
      <c r="I86" s="1239"/>
      <c r="J86" s="1228">
        <f ca="1">OFFSET('VVP2'!$G$277,0,(COLUMN()-6)/5)</f>
        <v>0.71213000000000004</v>
      </c>
      <c r="K86" s="1240"/>
      <c r="L86" s="1299">
        <f ca="1">OFFSET('VVP2'!$G$87,0,(COLUMN()-7)/5)</f>
        <v>30.042044526544419</v>
      </c>
      <c r="M86" s="1228">
        <f ca="1">+J86*(1+L86/100)</f>
        <v>0.92606841168688081</v>
      </c>
      <c r="N86" s="1299">
        <f ca="1">+O86/M86*100-100</f>
        <v>15.58001401325231</v>
      </c>
      <c r="O86" s="1228">
        <f ca="1">OFFSET('VVP2'!$G$277,0,(COLUMN()-6)/5)</f>
        <v>1.0703499999999999</v>
      </c>
      <c r="P86" s="1221">
        <f ca="1">(O86/J86-1)*100</f>
        <v>50.302613286899842</v>
      </c>
      <c r="Q86" s="1299">
        <f ca="1">OFFSET('VVP2'!$G$87,0,(COLUMN()-7)/5)</f>
        <v>20.449733998793395</v>
      </c>
      <c r="R86" s="1228">
        <f ca="1">+O86*(1+Q86/100)</f>
        <v>1.289233727856085</v>
      </c>
      <c r="S86" s="1299">
        <f ca="1">+T86/R86*100-100</f>
        <v>4.8204038415330785</v>
      </c>
      <c r="T86" s="1228">
        <f ca="1">OFFSET('VVP2'!$G$277,0,(COLUMN()-6)/5)</f>
        <v>1.35138</v>
      </c>
      <c r="U86" s="1221">
        <f ca="1">(T86/O86-1)*100</f>
        <v>26.25589760358762</v>
      </c>
      <c r="V86" s="1299">
        <f ca="1">OFFSET('VVP2'!$G$87,0,(COLUMN()-7)/5)</f>
        <v>12.01938838700276</v>
      </c>
      <c r="W86" s="1228">
        <f ca="1">+T86*(1+V86/100)</f>
        <v>1.5138076107842779</v>
      </c>
      <c r="X86" s="1299">
        <f ca="1">+Y86/W86*100-100</f>
        <v>-4.4977717313102232</v>
      </c>
      <c r="Y86" s="1228">
        <f ca="1">OFFSET('VVP2'!$G$277,0,(COLUMN()-6)/5)</f>
        <v>1.4457200000000001</v>
      </c>
      <c r="Z86" s="1221">
        <f ca="1">(Y86/T86-1)*100</f>
        <v>6.9810120025455502</v>
      </c>
      <c r="AA86" s="1299">
        <f ca="1">OFFSET('VVP2'!$G$87,0,(COLUMN()-7)/5)</f>
        <v>0.29612316447333864</v>
      </c>
      <c r="AB86" s="1228">
        <f ca="1">+Y86*(1+AA86/100)</f>
        <v>1.4500011118134242</v>
      </c>
      <c r="AC86" s="1299">
        <f ca="1">+AD86/AB86*100-100</f>
        <v>-1.3669721803616426</v>
      </c>
      <c r="AD86" s="1228">
        <f ca="1">OFFSET('VVP2'!$G$277,0,(COLUMN()-6)/5)</f>
        <v>1.43018</v>
      </c>
      <c r="AE86" s="1221">
        <f ca="1">(AD86/Y86-1)*100</f>
        <v>-1.0748969371662587</v>
      </c>
      <c r="AF86" s="1299">
        <f ca="1">OFFSET('VVP2'!$G$87,0,(COLUMN()-7)/5)</f>
        <v>-5.9564482595109824</v>
      </c>
      <c r="AG86" s="1228">
        <f ca="1">+AD86*(1+AF86/100)</f>
        <v>1.3449920682821259</v>
      </c>
      <c r="AH86" s="1299">
        <f ca="1">+AI86/AG86*100-100</f>
        <v>4.0370447527787547</v>
      </c>
      <c r="AI86" s="1228">
        <f ca="1">OFFSET('VVP2'!$G$277,0,(COLUMN()-6)/5)</f>
        <v>1.3992899999999999</v>
      </c>
      <c r="AJ86" s="1221">
        <f ca="1">(AI86/AD86-1)*100</f>
        <v>-2.1598679886447925</v>
      </c>
      <c r="AK86" s="1299">
        <f ca="1">OFFSET('VVP2'!$G$87,0,(COLUMN()-7)/5)</f>
        <v>8.5309251693644441</v>
      </c>
      <c r="AL86" s="1228">
        <f ca="1">+AI86*(1+AK86/100)</f>
        <v>1.5186623828023997</v>
      </c>
      <c r="AM86" s="1299">
        <f ca="1">+AN86/AL86*100-100</f>
        <v>-0.46833205872100336</v>
      </c>
      <c r="AN86" s="1228">
        <f ca="1">OFFSET('VVP2'!$G$277,0,(COLUMN()-6)/5)</f>
        <v>1.5115499999999999</v>
      </c>
      <c r="AO86" s="1221">
        <f ca="1">(AN86/AI86-1)*100</f>
        <v>8.0226400531698161</v>
      </c>
      <c r="AP86" s="1299">
        <f ca="1">OFFSET('VVP2'!$G$87,0,(COLUMN()-7)/5)</f>
        <v>16.465248700064894</v>
      </c>
      <c r="AQ86" s="1228">
        <f ca="1">+AN86*(1+AP86/100)</f>
        <v>1.7604304667258308</v>
      </c>
      <c r="AR86" s="1299">
        <f ca="1">+AS86/AQ86*100-100</f>
        <v>-1.4934112549601366</v>
      </c>
      <c r="AS86" s="1228">
        <f ca="1">OFFSET('VVP2'!$G$277,0,(COLUMN()-6)/5)</f>
        <v>1.73414</v>
      </c>
      <c r="AT86" s="1221">
        <f ca="1">(AS86/AN86-1)*100</f>
        <v>14.72594356786081</v>
      </c>
      <c r="AU86" s="1299">
        <f ca="1">OFFSET('VVP2'!$G$87,0,(COLUMN()-7)/5)</f>
        <v>5.8212341739244833</v>
      </c>
      <c r="AV86" s="1228">
        <f ca="1">+AS86*(1+AU86/100)</f>
        <v>1.8350883503036941</v>
      </c>
      <c r="AW86" s="1299">
        <f ca="1">+AX86/AV86*100-100</f>
        <v>-0.31379144784725099</v>
      </c>
      <c r="AX86" s="1228">
        <f ca="1">OFFSET('VVP2'!$G$277,0,(COLUMN()-6)/5)</f>
        <v>1.8293299999999999</v>
      </c>
      <c r="AY86" s="1221">
        <f ca="1">(AX86/AS86-1)*100</f>
        <v>5.4891761910802916</v>
      </c>
      <c r="AZ86" s="1299">
        <f ca="1">OFFSET('VVP2'!$G$87,0,(COLUMN()-7)/5)</f>
        <v>11.831940763563198</v>
      </c>
      <c r="BA86" s="1228">
        <f ca="1">+AX86*(1+AZ86/100)</f>
        <v>2.0457752419700905</v>
      </c>
      <c r="BB86" s="1299">
        <f ca="1">+BC86/BA86*100-100</f>
        <v>8.9489184478353394</v>
      </c>
      <c r="BC86" s="1228">
        <f ca="1">OFFSET('VVP2'!$G$277,0,(COLUMN()-6)/5)</f>
        <v>2.22885</v>
      </c>
      <c r="BD86" s="1221">
        <f ca="1">(BC86/AX86-1)*100</f>
        <v>21.839689941125997</v>
      </c>
      <c r="BE86" s="1299">
        <f ca="1">OFFSET('VVP2'!$G$87,0,(COLUMN()-7)/5)</f>
        <v>7.9162320586463775</v>
      </c>
      <c r="BF86" s="1228">
        <f ca="1">+BC86*(1+BE86/100)</f>
        <v>2.4052909382391396</v>
      </c>
      <c r="BG86" s="1299">
        <f ca="1">+BH86/BF86*100-100</f>
        <v>1.7843605145031063</v>
      </c>
      <c r="BH86" s="1228">
        <f ca="1">OFFSET('VVP2'!$G$277,0,(COLUMN()-6)/5)</f>
        <v>2.44821</v>
      </c>
      <c r="BI86" s="1221">
        <f ca="1">(BH86/BC86-1)*100</f>
        <v>9.8418466922403969</v>
      </c>
      <c r="BJ86" s="1299">
        <f ca="1">OFFSET('VVP2'!$G$87,0,(COLUMN()-7)/5)</f>
        <v>10.105503182112097</v>
      </c>
      <c r="BK86" s="1228">
        <f ca="1">+BH86*(1+BJ86/100)</f>
        <v>2.6956139394547867</v>
      </c>
      <c r="BL86" s="1299">
        <f ca="1">+BM86/BK86*100-100</f>
        <v>6.9785980029195827</v>
      </c>
      <c r="BM86" s="1228">
        <f ca="1">OFFSET('VVP2'!$G$277,0,(COLUMN()-6)/5)</f>
        <v>2.8837299999999999</v>
      </c>
      <c r="BN86" s="1221">
        <f ca="1">(BM86/BH86-1)*100</f>
        <v>17.789323628283515</v>
      </c>
      <c r="BO86" s="1299">
        <f ca="1">OFFSET('VVP2'!$G$87,0,(COLUMN()-7)/5)</f>
        <v>0.53968342281691672</v>
      </c>
      <c r="BP86" s="1228">
        <f ca="1">+BM86*(1+BO86/100)</f>
        <v>2.8992930127687981</v>
      </c>
      <c r="BQ86" s="1299">
        <f ca="1">+BR86/BP86*100-100</f>
        <v>6.572532903434336</v>
      </c>
      <c r="BR86" s="1228">
        <f ca="1">OFFSET('VVP2'!$G$277,0,(COLUMN()-6)/5)</f>
        <v>3.0898499999999998</v>
      </c>
      <c r="BS86" s="1221">
        <f ca="1">(BR86/BM86-1)*100</f>
        <v>7.1476871967902644</v>
      </c>
      <c r="BT86" s="1299">
        <f ca="1">OFFSET('VVP2'!$G$87,0,(COLUMN()-7)/5)</f>
        <v>3.888166409956062</v>
      </c>
      <c r="BU86" s="1228">
        <f ca="1">+BR86*(1+BT86/100)</f>
        <v>3.209988509818027</v>
      </c>
      <c r="BV86" s="1299">
        <f ca="1">+BW86/BU86*100-100</f>
        <v>7.364558765831049</v>
      </c>
      <c r="BW86" s="1228">
        <f ca="1">OFFSET('VVP2'!$G$277,0,(COLUMN()-6)/5)</f>
        <v>3.4463900000000001</v>
      </c>
      <c r="BX86" s="1221">
        <f ca="1">(BW86/BR86-1)*100</f>
        <v>11.539071475961627</v>
      </c>
      <c r="BY86" s="1299">
        <f ca="1">OFFSET('VVP2'!$G$87,0,(COLUMN()-7)/5)</f>
        <v>-12.394204476852233</v>
      </c>
      <c r="BZ86" s="1228">
        <f ca="1">+BW86*(1+BY86/100)</f>
        <v>3.0192373763302123</v>
      </c>
      <c r="CA86" s="1299">
        <f ca="1">+CB86/BZ86*100-100</f>
        <v>-2.8228113827142352</v>
      </c>
      <c r="CB86" s="1228">
        <f ca="1">OFFSET('VVP2'!$G$277,0,(COLUMN()-6)/5)</f>
        <v>2.9340100000000002</v>
      </c>
      <c r="CC86" s="1221">
        <f ca="1">(CB86/BW86-1)*100</f>
        <v>-14.867150844797017</v>
      </c>
      <c r="CD86" s="1299">
        <f ca="1">OFFSET('VVP2'!$G$87,0,(COLUMN()-7)/5)</f>
        <v>15.624218839727867</v>
      </c>
      <c r="CE86" s="1228">
        <f ca="1">+CB86*(1+CD86/100)</f>
        <v>3.3924261431794998</v>
      </c>
      <c r="CF86" s="1299">
        <f ca="1">+CG86/CE86*100-100</f>
        <v>0.89740662097266011</v>
      </c>
      <c r="CG86" s="1228">
        <f ca="1">OFFSET('VVP2'!$G$277,0,(COLUMN()-6)/5)</f>
        <v>3.4228700000000001</v>
      </c>
      <c r="CH86" s="1221">
        <f ca="1">(CG86/CB86-1)*100</f>
        <v>16.661838235043504</v>
      </c>
      <c r="CI86" s="1299">
        <f ca="1">OFFSET('VVP2'!$G$87,0,(COLUMN()-7)/5)</f>
        <v>14.826154659686154</v>
      </c>
      <c r="CJ86" s="1228">
        <f ca="1">+CG86*(1+CI86/100)</f>
        <v>3.9303499999999993</v>
      </c>
      <c r="CK86" s="1299">
        <f ca="1">+CL86/CJ86*100-100</f>
        <v>2.6142709936774366</v>
      </c>
      <c r="CL86" s="1228">
        <f ca="1">OFFSET('VVP2'!$G$277,0,(COLUMN()-6)/5)</f>
        <v>4.0331000000000001</v>
      </c>
      <c r="CM86" s="1221">
        <f ca="1">(CL86/CG86-1)*100</f>
        <v>17.828021514109516</v>
      </c>
      <c r="CN86" s="1299">
        <f ca="1">OFFSET('VVP2'!$G$87,0,(COLUMN()-7)/5)</f>
        <v>16.130370068823385</v>
      </c>
      <c r="CO86" s="1228">
        <f ca="1">+CL86*(1+CN86/100)</f>
        <v>4.6836539552457159</v>
      </c>
      <c r="CP86" s="1299">
        <f ca="1">+CQ86/CO86*100-100</f>
        <v>2.3327095852569784</v>
      </c>
      <c r="CQ86" s="1228">
        <f ca="1">OFFSET('VVP2'!$G$277,0,(COLUMN()-6)/5)</f>
        <v>4.79291</v>
      </c>
      <c r="CR86" s="1221">
        <f ca="1">(CQ86/CL86-1)*100</f>
        <v>18.839354342813209</v>
      </c>
      <c r="CS86" s="1299">
        <f ca="1">OFFSET('VVP2'!$G$87,0,(COLUMN()-7)/5)</f>
        <v>12.494933538986007</v>
      </c>
      <c r="CT86" s="1228">
        <f ca="1">+CQ86*(1+CS86/100)</f>
        <v>5.3917809190834145</v>
      </c>
      <c r="CU86" s="1299">
        <f ca="1">+CV86/CT86*100-100</f>
        <v>-2.9135439792355555E-2</v>
      </c>
      <c r="CV86" s="1228">
        <f ca="1">OFFSET('VVP2'!$G$277,0,(COLUMN()-6)/5)</f>
        <v>5.3902099999999997</v>
      </c>
      <c r="CW86" s="1221">
        <f ca="1">(CV86/CQ86-1)*100</f>
        <v>12.462157645355321</v>
      </c>
      <c r="CX86" s="1299">
        <f ca="1">OFFSET('VVP2'!$G$87,0,(COLUMN()-7)/5)</f>
        <v>9.7412866335322423</v>
      </c>
      <c r="CY86" s="1228">
        <f ca="1">+CV86*(1+CX86/100)</f>
        <v>5.9152858062493179</v>
      </c>
      <c r="CZ86" s="1299">
        <f ca="1">+DA86/CY86*100-100</f>
        <v>-0.11589983094434331</v>
      </c>
      <c r="DA86" s="1228">
        <f ca="1">OFFSET('VVP2'!$G$277,0,(COLUMN()-6)/5)</f>
        <v>5.9084300000000001</v>
      </c>
      <c r="DB86" s="1221">
        <f ca="1">(DA86/CV86-1)*100</f>
        <v>9.6140966678478268</v>
      </c>
      <c r="DC86" s="1299">
        <f ca="1">OFFSET('VVP2'!$G$87,0,(COLUMN()-7)/5)</f>
        <v>1.3292350066195668</v>
      </c>
      <c r="DD86" s="1228">
        <f ca="1">+DA86*(1+DC86/100)</f>
        <v>5.9869669199016124</v>
      </c>
      <c r="DE86" s="1299">
        <f ca="1">+DF86/DD86*100-100</f>
        <v>1.4498673745772805</v>
      </c>
      <c r="DF86" s="1228">
        <f ca="1">OFFSET('VVP2'!$G$277,0,(COLUMN()-6)/5)</f>
        <v>6.0737700000000006</v>
      </c>
      <c r="DG86" s="1221">
        <f ca="1">(DF86/DA86-1)*100</f>
        <v>2.7983745258892911</v>
      </c>
      <c r="DH86" s="1299">
        <f ca="1">OFFSET('VVP2'!$G$87,0,(COLUMN()-7)/5)</f>
        <v>11.121385987403954</v>
      </c>
      <c r="DI86" s="1228">
        <f ca="1">+DF86*(1+DH86/100)</f>
        <v>6.7492574056871453</v>
      </c>
      <c r="DJ86" s="1299">
        <f ca="1">+DK86/DI86*100-100</f>
        <v>1.7477862707304013</v>
      </c>
      <c r="DK86" s="1228">
        <f ca="1">OFFSET('VVP2'!$G$277,0,(COLUMN()-6)/5)</f>
        <v>6.8672200000000005</v>
      </c>
      <c r="DL86" s="1221">
        <f ca="1">(DK86/DF86-1)*100</f>
        <v>13.063550315537142</v>
      </c>
      <c r="DM86" s="1299">
        <f ca="1">OFFSET('VVP2'!$G$87,0,(COLUMN()-7)/5)</f>
        <v>16.52066600259743</v>
      </c>
      <c r="DN86" s="1228">
        <f ca="1">+DK86*(1+DM86/100)</f>
        <v>8.0017304798635713</v>
      </c>
      <c r="DO86" s="1299">
        <f ca="1">+DP86/DN86*100-100</f>
        <v>3.4797412989243242</v>
      </c>
      <c r="DP86" s="1228">
        <f ca="1">OFFSET('VVP2'!$G$277,0,(COLUMN()-6)/5)</f>
        <v>8.28017</v>
      </c>
      <c r="DQ86" s="1221">
        <f ca="1">(DP86/DK86-1)*100</f>
        <v>20.575283739271487</v>
      </c>
      <c r="DR86" s="3349">
        <v>6.5</v>
      </c>
      <c r="DS86" s="1228">
        <f ca="1">+DP86*(1+DR86/100)</f>
        <v>8.8183810499999993</v>
      </c>
      <c r="DT86" s="3350">
        <v>2.5</v>
      </c>
      <c r="DU86" s="2241">
        <f ca="1">+DS86*(1+DT86/100)</f>
        <v>9.0388405762499993</v>
      </c>
      <c r="DV86" s="2248">
        <f ca="1">(DU86/DP86-1)*100</f>
        <v>9.1624999999999837</v>
      </c>
      <c r="DW86" s="3349">
        <v>4.5</v>
      </c>
      <c r="DX86" s="1228">
        <f ca="1">+DU86*(1+DW86/100)</f>
        <v>9.4455884021812491</v>
      </c>
      <c r="DY86" s="3350">
        <v>2.1</v>
      </c>
      <c r="DZ86" s="2241">
        <f ca="1">+DX86*(1+DY86/100)</f>
        <v>9.6439457586270549</v>
      </c>
      <c r="EA86" s="2248">
        <f ca="1">(DZ86/DU86-1)*100</f>
        <v>6.6945000000000032</v>
      </c>
      <c r="EB86"/>
      <c r="EC86"/>
      <c r="ED86"/>
      <c r="EE86"/>
      <c r="EF86"/>
      <c r="EG86"/>
      <c r="EH86"/>
      <c r="EI86"/>
      <c r="EJ86"/>
      <c r="EK86"/>
      <c r="EL86"/>
      <c r="EM86"/>
      <c r="EN86"/>
      <c r="EO86"/>
    </row>
    <row r="87" spans="1:145" ht="12.75" customHeight="1">
      <c r="A87" s="1456" t="s">
        <v>282</v>
      </c>
      <c r="B87" s="1"/>
      <c r="C87" s="1081" t="s">
        <v>1767</v>
      </c>
      <c r="D87" s="1077"/>
      <c r="E87" s="1078" t="s">
        <v>1451</v>
      </c>
      <c r="F87" s="1077" t="s">
        <v>169</v>
      </c>
      <c r="G87" s="1383"/>
      <c r="H87" s="1384"/>
      <c r="I87" s="1385"/>
      <c r="J87" s="1351">
        <f ca="1">OFFSET('VVP2'!$G$278,0,(COLUMN()-6)/5)</f>
        <v>2.17198</v>
      </c>
      <c r="K87" s="1382"/>
      <c r="L87" s="1359">
        <f ca="1">OFFSET('VVP2'!$G$88,0,(COLUMN()-7)/5)</f>
        <v>17.060452746044842</v>
      </c>
      <c r="M87" s="1351">
        <f ca="1">+J87*(1+L87/100)</f>
        <v>2.5425296215535447</v>
      </c>
      <c r="N87" s="1360">
        <f ca="1">+O87/M87*100-100</f>
        <v>18.142183065879422</v>
      </c>
      <c r="O87" s="1351">
        <f ca="1">OFFSET('VVP2'!$G$278,0,(COLUMN()-6)/5)</f>
        <v>3.0038</v>
      </c>
      <c r="P87" s="1358">
        <f ca="1">(O87/J87-1)*100</f>
        <v>38.297774380979568</v>
      </c>
      <c r="Q87" s="1359">
        <f ca="1">OFFSET('VVP2'!$G$88,0,(COLUMN()-7)/5)</f>
        <v>18.457542209611468</v>
      </c>
      <c r="R87" s="1351">
        <f ca="1">+O87*(1+Q87/100)</f>
        <v>3.5582276528923091</v>
      </c>
      <c r="S87" s="1360">
        <f ca="1">+T87/R87*100-100</f>
        <v>10.186316966343384</v>
      </c>
      <c r="T87" s="1351">
        <f ca="1">OFFSET('VVP2'!$G$278,0,(COLUMN()-6)/5)</f>
        <v>3.9206799999999999</v>
      </c>
      <c r="U87" s="1358">
        <f ca="1">(T87/O87-1)*100</f>
        <v>30.524002929622473</v>
      </c>
      <c r="V87" s="1359">
        <f ca="1">OFFSET('VVP2'!$G$88,0,(COLUMN()-7)/5)</f>
        <v>2.8415978608505199</v>
      </c>
      <c r="W87" s="1351">
        <f ca="1">+T87*(1+V87/100)</f>
        <v>4.0320899590107944</v>
      </c>
      <c r="X87" s="1360">
        <f ca="1">+Y87/W87*100-100</f>
        <v>-9.4987949898011834</v>
      </c>
      <c r="Y87" s="1351">
        <f ca="1">OFFSET('VVP2'!$G$278,0,(COLUMN()-6)/5)</f>
        <v>3.6490900000000002</v>
      </c>
      <c r="Z87" s="1358">
        <f ca="1">(Y87/T87-1)*100</f>
        <v>-6.9271146841874298</v>
      </c>
      <c r="AA87" s="1359">
        <f ca="1">OFFSET('VVP2'!$G$88,0,(COLUMN()-7)/5)</f>
        <v>-21.073299254007182</v>
      </c>
      <c r="AB87" s="1351">
        <f ca="1">+Y87*(1+AA87/100)</f>
        <v>2.8801063442519492</v>
      </c>
      <c r="AC87" s="1360">
        <f ca="1">+AD87/AB87*100-100</f>
        <v>-6.5881714621628618</v>
      </c>
      <c r="AD87" s="1351">
        <f ca="1">OFFSET('VVP2'!$G$278,0,(COLUMN()-6)/5)</f>
        <v>2.6903600000000001</v>
      </c>
      <c r="AE87" s="1358">
        <f ca="1">(AD87/Y87-1)*100</f>
        <v>-26.273125628581372</v>
      </c>
      <c r="AF87" s="1359">
        <f ca="1">OFFSET('VVP2'!$G$88,0,(COLUMN()-7)/5)</f>
        <v>14.963488353992327</v>
      </c>
      <c r="AG87" s="1351">
        <f ca="1">+AD87*(1+AF87/100)</f>
        <v>3.0929317052804679</v>
      </c>
      <c r="AH87" s="1360">
        <f ca="1">+AI87/AG87*100-100</f>
        <v>21.359614685046054</v>
      </c>
      <c r="AI87" s="1351">
        <f ca="1">OFFSET('VVP2'!$G$278,0,(COLUMN()-6)/5)</f>
        <v>3.7535700000000003</v>
      </c>
      <c r="AJ87" s="1358">
        <f ca="1">(AI87/AD87-1)*100</f>
        <v>39.51924649489289</v>
      </c>
      <c r="AK87" s="1359">
        <f ca="1">OFFSET('VVP2'!$G$88,0,(COLUMN()-7)/5)</f>
        <v>24.555580437611724</v>
      </c>
      <c r="AL87" s="1351">
        <f ca="1">+AI87*(1+AK87/100)</f>
        <v>4.675280900632063</v>
      </c>
      <c r="AM87" s="1360">
        <f ca="1">+AN87/AL87*100-100</f>
        <v>1.3862076043211715</v>
      </c>
      <c r="AN87" s="1351">
        <f ca="1">OFFSET('VVP2'!$G$278,0,(COLUMN()-6)/5)</f>
        <v>4.7400900000000004</v>
      </c>
      <c r="AO87" s="1358">
        <f ca="1">(AN87/AI87-1)*100</f>
        <v>26.282179365244286</v>
      </c>
      <c r="AP87" s="1359">
        <f ca="1">OFFSET('VVP2'!$G$88,0,(COLUMN()-7)/5)</f>
        <v>19.123618880461013</v>
      </c>
      <c r="AQ87" s="1351">
        <f ca="1">+AN87*(1+AP87/100)</f>
        <v>5.6465667461908451</v>
      </c>
      <c r="AR87" s="1360">
        <f ca="1">+AS87/AQ87*100-100</f>
        <v>-3.2528924999381701</v>
      </c>
      <c r="AS87" s="1351">
        <f ca="1">OFFSET('VVP2'!$G$278,0,(COLUMN()-6)/5)</f>
        <v>5.4628900000000007</v>
      </c>
      <c r="AT87" s="1358">
        <f ca="1">(AS87/AN87-1)*100</f>
        <v>15.248655616243578</v>
      </c>
      <c r="AU87" s="1359">
        <f ca="1">OFFSET('VVP2'!$G$88,0,(COLUMN()-7)/5)</f>
        <v>9.070494733340384</v>
      </c>
      <c r="AV87" s="1351">
        <f ca="1">+AS87*(1+AU87/100)</f>
        <v>5.9584011497381795</v>
      </c>
      <c r="AW87" s="1360">
        <f ca="1">+AX87/AV87*100-100</f>
        <v>-1.5430506846995371</v>
      </c>
      <c r="AX87" s="1351">
        <f ca="1">OFFSET('VVP2'!$G$278,0,(COLUMN()-6)/5)</f>
        <v>5.86646</v>
      </c>
      <c r="AY87" s="1358">
        <f ca="1">(AX87/AS87-1)*100</f>
        <v>7.3874817175524132</v>
      </c>
      <c r="AZ87" s="1359">
        <f ca="1">OFFSET('VVP2'!$G$88,0,(COLUMN()-7)/5)</f>
        <v>2.0751227870710709</v>
      </c>
      <c r="BA87" s="1351">
        <f ca="1">+AX87*(1+AZ87/100)</f>
        <v>5.9881962482544093</v>
      </c>
      <c r="BB87" s="1360">
        <f ca="1">+BC87/BA87*100-100</f>
        <v>6.9787918501737778</v>
      </c>
      <c r="BC87" s="1351">
        <f ca="1">OFFSET('VVP2'!$G$278,0,(COLUMN()-6)/5)</f>
        <v>6.4061000000000003</v>
      </c>
      <c r="BD87" s="1358">
        <f ca="1">(BC87/AX87-1)*100</f>
        <v>9.1987331371900627</v>
      </c>
      <c r="BE87" s="1359">
        <f ca="1">OFFSET('VVP2'!$G$88,0,(COLUMN()-7)/5)</f>
        <v>24.932621816523003</v>
      </c>
      <c r="BF87" s="1351">
        <f ca="1">+BC87*(1+BE87/100)</f>
        <v>8.0033086861882801</v>
      </c>
      <c r="BG87" s="1360">
        <f ca="1">+BH87/BF87*100-100</f>
        <v>10.703339673628179</v>
      </c>
      <c r="BH87" s="1351">
        <f ca="1">OFFSET('VVP2'!$G$278,0,(COLUMN()-6)/5)</f>
        <v>8.8599300000000003</v>
      </c>
      <c r="BI87" s="1358">
        <f ca="1">(BH87/BC87-1)*100</f>
        <v>38.304584692714762</v>
      </c>
      <c r="BJ87" s="1359">
        <f ca="1">OFFSET('VVP2'!$G$88,0,(COLUMN()-7)/5)</f>
        <v>13.346098666827677</v>
      </c>
      <c r="BK87" s="1351">
        <f ca="1">+BH87*(1+BJ87/100)</f>
        <v>10.042384999611865</v>
      </c>
      <c r="BL87" s="1360">
        <f ca="1">+BM87/BK87*100-100</f>
        <v>4.6481488252658494</v>
      </c>
      <c r="BM87" s="1351">
        <f ca="1">OFFSET('VVP2'!$G$278,0,(COLUMN()-6)/5)</f>
        <v>10.509169999999999</v>
      </c>
      <c r="BN87" s="1358">
        <f ca="1">(BM87/BH87-1)*100</f>
        <v>18.614594020494501</v>
      </c>
      <c r="BO87" s="1359">
        <f ca="1">OFFSET('VVP2'!$G$88,0,(COLUMN()-7)/5)</f>
        <v>3.8977400227105274</v>
      </c>
      <c r="BP87" s="1351">
        <f ca="1">+BM87*(1+BO87/100)</f>
        <v>10.918790125144687</v>
      </c>
      <c r="BQ87" s="1360">
        <f ca="1">+BR87/BP87*100-100</f>
        <v>5.6392683419872469</v>
      </c>
      <c r="BR87" s="1351">
        <f ca="1">OFFSET('VVP2'!$G$278,0,(COLUMN()-6)/5)</f>
        <v>11.53453</v>
      </c>
      <c r="BS87" s="1358">
        <f ca="1">(BR87/BM87-1)*100</f>
        <v>9.7568123838514431</v>
      </c>
      <c r="BT87" s="1359">
        <f ca="1">OFFSET('VVP2'!$G$88,0,(COLUMN()-7)/5)</f>
        <v>16.083772104719209</v>
      </c>
      <c r="BU87" s="1351">
        <f ca="1">+BR87*(1+BT87/100)</f>
        <v>13.389717518550469</v>
      </c>
      <c r="BV87" s="1360">
        <f ca="1">+BW87/BU87*100-100</f>
        <v>13.788360201712436</v>
      </c>
      <c r="BW87" s="1351">
        <f ca="1">OFFSET('VVP2'!$G$278,0,(COLUMN()-6)/5)</f>
        <v>15.235940000000001</v>
      </c>
      <c r="BX87" s="1358">
        <f ca="1">(BW87/BR87-1)*100</f>
        <v>32.089820738252882</v>
      </c>
      <c r="BY87" s="1359">
        <f ca="1">OFFSET('VVP2'!$G$88,0,(COLUMN()-7)/5)</f>
        <v>-12.877782521492176</v>
      </c>
      <c r="BZ87" s="1351">
        <f ca="1">+BW87*(1+BY87/100)</f>
        <v>13.273888781694966</v>
      </c>
      <c r="CA87" s="1360">
        <f ca="1">+CB87/BZ87*100-100</f>
        <v>-16.710768171825265</v>
      </c>
      <c r="CB87" s="1351">
        <f ca="1">OFFSET('VVP2'!$G$278,0,(COLUMN()-6)/5)</f>
        <v>11.055719999999999</v>
      </c>
      <c r="CC87" s="1358">
        <f ca="1">(CB87/BW87-1)*100</f>
        <v>-27.436574310479045</v>
      </c>
      <c r="CD87" s="1359">
        <f ca="1">OFFSET('VVP2'!$G$88,0,(COLUMN()-7)/5)</f>
        <v>19.822587575658581</v>
      </c>
      <c r="CE87" s="1351">
        <f ca="1">+CB87*(1+CD87/100)</f>
        <v>13.247249779119599</v>
      </c>
      <c r="CF87" s="1360">
        <f ca="1">+CG87/CE87*100-100</f>
        <v>12.408237545813392</v>
      </c>
      <c r="CG87" s="1351">
        <f ca="1">OFFSET('VVP2'!$G$278,0,(COLUMN()-6)/5)</f>
        <v>14.891</v>
      </c>
      <c r="CH87" s="1358">
        <f ca="1">(CG87/CB87-1)*100</f>
        <v>34.690458875586593</v>
      </c>
      <c r="CI87" s="1359">
        <f ca="1">OFFSET('VVP2'!$G$88,0,(COLUMN()-7)/5)</f>
        <v>15.537371566718129</v>
      </c>
      <c r="CJ87" s="1351">
        <f ca="1">+CG87*(1+CI87/100)</f>
        <v>17.204669999999997</v>
      </c>
      <c r="CK87" s="1360">
        <f ca="1">+CL87/CJ87*100-100</f>
        <v>12.887663640162856</v>
      </c>
      <c r="CL87" s="1351">
        <f ca="1">OFFSET('VVP2'!$G$278,0,(COLUMN()-6)/5)</f>
        <v>19.421950000000002</v>
      </c>
      <c r="CM87" s="1358">
        <f ca="1">(CL87/CG87-1)*100</f>
        <v>30.427439392921919</v>
      </c>
      <c r="CN87" s="1359">
        <f ca="1">OFFSET('VVP2'!$G$88,0,(COLUMN()-7)/5)</f>
        <v>11.611556629682539</v>
      </c>
      <c r="CO87" s="1351">
        <f ca="1">+CL87*(1+CN87/100)</f>
        <v>21.677140722838629</v>
      </c>
      <c r="CP87" s="1360">
        <f ca="1">+CQ87/CO87*100-100</f>
        <v>3.4599548286881117</v>
      </c>
      <c r="CQ87" s="1351">
        <f ca="1">OFFSET('VVP2'!$G$278,0,(COLUMN()-6)/5)</f>
        <v>22.427160000000001</v>
      </c>
      <c r="CR87" s="1358">
        <f ca="1">(CQ87/CL87-1)*100</f>
        <v>15.473266072665194</v>
      </c>
      <c r="CS87" s="1359">
        <f ca="1">OFFSET('VVP2'!$G$88,0,(COLUMN()-7)/5)</f>
        <v>9.2966504186976717</v>
      </c>
      <c r="CT87" s="1351">
        <f ca="1">+CQ87*(1+CS87/100)</f>
        <v>24.512134664041998</v>
      </c>
      <c r="CU87" s="1360">
        <f ca="1">+CV87/CT87*100-100</f>
        <v>-2.0988570399652104</v>
      </c>
      <c r="CV87" s="1351">
        <f ca="1">OFFSET('VVP2'!$G$278,0,(COLUMN()-6)/5)</f>
        <v>23.99766</v>
      </c>
      <c r="CW87" s="1358">
        <f ca="1">(CV87/CQ87-1)*100</f>
        <v>7.0026699769386802</v>
      </c>
      <c r="CX87" s="1359">
        <f ca="1">OFFSET('VVP2'!$G$88,0,(COLUMN()-7)/5)</f>
        <v>1.814930544636395</v>
      </c>
      <c r="CY87" s="1351">
        <f ca="1">+CV87*(1+CX87/100)</f>
        <v>24.433200861337991</v>
      </c>
      <c r="CZ87" s="1360">
        <f ca="1">+DA87/CY87*100-100</f>
        <v>-2.7978358841214828</v>
      </c>
      <c r="DA87" s="1351">
        <f ca="1">OFFSET('VVP2'!$G$278,0,(COLUMN()-6)/5)</f>
        <v>23.749599999999997</v>
      </c>
      <c r="DB87" s="1358">
        <f ca="1">(DA87/CV87-1)*100</f>
        <v>-1.0336841175348055</v>
      </c>
      <c r="DC87" s="1359">
        <f ca="1">OFFSET('VVP2'!$G$88,0,(COLUMN()-7)/5)</f>
        <v>-0.78339648707045351</v>
      </c>
      <c r="DD87" s="1351">
        <f ca="1">+DA87*(1+DC87/100)</f>
        <v>23.563546467906711</v>
      </c>
      <c r="DE87" s="1360">
        <f ca="1">+DF87/DD87*100-100</f>
        <v>-5.3224435872370037</v>
      </c>
      <c r="DF87" s="1351">
        <f ca="1">OFFSET('VVP2'!$G$278,0,(COLUMN()-6)/5)</f>
        <v>22.30939</v>
      </c>
      <c r="DG87" s="1358">
        <f ca="1">(DF87/DA87-1)*100</f>
        <v>-6.0641442382187378</v>
      </c>
      <c r="DH87" s="1359">
        <f ca="1">OFFSET('VVP2'!$G$88,0,(COLUMN()-7)/5)</f>
        <v>1.3673353587009052</v>
      </c>
      <c r="DI87" s="1351">
        <f ca="1">+DF87*(1+DH87/100)</f>
        <v>22.614434177780485</v>
      </c>
      <c r="DJ87" s="1360">
        <f ca="1">+DK87/DI87*100-100</f>
        <v>-3.0623104356106978</v>
      </c>
      <c r="DK87" s="1351">
        <f ca="1">OFFSET('VVP2'!$G$278,0,(COLUMN()-6)/5)</f>
        <v>21.92191</v>
      </c>
      <c r="DL87" s="1358">
        <f ca="1">(DK87/DF87-1)*100</f>
        <v>-1.7368471302890875</v>
      </c>
      <c r="DM87" s="1359">
        <f ca="1">OFFSET('VVP2'!$G$88,0,(COLUMN()-7)/5)</f>
        <v>12.210331962525656</v>
      </c>
      <c r="DN87" s="1351">
        <f ca="1">+DK87*(1+DM87/100)</f>
        <v>24.59864798352611</v>
      </c>
      <c r="DO87" s="1360">
        <f ca="1">+DP87/DN87*100-100</f>
        <v>4.6924205641176542</v>
      </c>
      <c r="DP87" s="1351">
        <f ca="1">OFFSET('VVP2'!$G$278,0,(COLUMN()-6)/5)</f>
        <v>25.75292</v>
      </c>
      <c r="DQ87" s="1358">
        <f ca="1">(DP87/DK87-1)*100</f>
        <v>17.475712654599885</v>
      </c>
      <c r="DR87" s="3349">
        <v>5.2</v>
      </c>
      <c r="DS87" s="2243">
        <f ca="1">+DP87*(1+DR87/100)</f>
        <v>27.092071839999999</v>
      </c>
      <c r="DT87" s="3350">
        <v>2.2999999999999998</v>
      </c>
      <c r="DU87" s="2243">
        <f ca="1">+DS87*(1+DT87/100)</f>
        <v>27.715189492319997</v>
      </c>
      <c r="DV87" s="2245">
        <f ca="1">(DU87/DP87-1)*100</f>
        <v>7.619599999999993</v>
      </c>
      <c r="DW87" s="3349">
        <v>4.4000000000000004</v>
      </c>
      <c r="DX87" s="2243">
        <f ca="1">+DU87*(1+DW87/100)</f>
        <v>28.934657829982079</v>
      </c>
      <c r="DY87" s="3350">
        <v>2</v>
      </c>
      <c r="DZ87" s="2243">
        <f ca="1">+DX87*(1+DY87/100)</f>
        <v>29.51335098658172</v>
      </c>
      <c r="EA87" s="2245">
        <f ca="1">(DZ87/DU87-1)*100</f>
        <v>6.4880000000000049</v>
      </c>
    </row>
    <row r="88" spans="1:145" s="28" customFormat="1">
      <c r="A88" s="1457" t="s">
        <v>1940</v>
      </c>
      <c r="C88" s="176" t="s">
        <v>1769</v>
      </c>
      <c r="D88" s="1257"/>
      <c r="E88" s="1257" t="s">
        <v>1358</v>
      </c>
      <c r="F88" s="1200" t="s">
        <v>168</v>
      </c>
      <c r="G88" s="1258"/>
      <c r="H88" s="1258"/>
      <c r="I88" s="1258"/>
      <c r="J88" s="1259">
        <f ca="1">OFFSET('VVP2'!$G$279,0,(COLUMN()-6)/5)</f>
        <v>2.8841000000000001</v>
      </c>
      <c r="K88" s="1259"/>
      <c r="L88" s="1259">
        <f ca="1">OFFSET('VVP2'!$G$89,0,(COLUMN()-7)/5)</f>
        <v>19.044528323428999</v>
      </c>
      <c r="M88" s="1259">
        <f ca="1">+J88*(1+L88/100)</f>
        <v>3.433363241376016</v>
      </c>
      <c r="N88" s="1259">
        <f ca="1">+O88/M88*100-100</f>
        <v>18.663820678850371</v>
      </c>
      <c r="O88" s="1259">
        <f ca="1">OFFSET('VVP2'!$G$279,0,(COLUMN()-6)/5)</f>
        <v>4.07416</v>
      </c>
      <c r="P88" s="1259">
        <f ca="1">(O88/J88-1)*100</f>
        <v>41.262785617697027</v>
      </c>
      <c r="Q88" s="1259">
        <f ca="1">OFFSET('VVP2'!$G$89,0,(COLUMN()-7)/5)</f>
        <v>18.838320999906678</v>
      </c>
      <c r="R88" s="1259">
        <f ca="1">+O88*(1+Q88/100)</f>
        <v>4.8416633388497976</v>
      </c>
      <c r="S88" s="1259">
        <f ca="1">+T88/R88*100-100</f>
        <v>8.8892314692092356</v>
      </c>
      <c r="T88" s="1259">
        <f ca="1">OFFSET('VVP2'!$G$279,0,(COLUMN()-6)/5)</f>
        <v>5.2720500000000001</v>
      </c>
      <c r="U88" s="1259">
        <f ca="1">(T88/O88-1)*100</f>
        <v>29.402134427710248</v>
      </c>
      <c r="V88" s="1259">
        <f ca="1">OFFSET('VVP2'!$G$89,0,(COLUMN()-7)/5)</f>
        <v>4.6592149170669783</v>
      </c>
      <c r="W88" s="1259">
        <f ca="1">+T88*(1+V88/100)</f>
        <v>5.5176861400352299</v>
      </c>
      <c r="X88" s="1259">
        <f ca="1">+Y88/W88*100-100</f>
        <v>-7.6640122200305001</v>
      </c>
      <c r="Y88" s="1259">
        <f ca="1">OFFSET('VVP2'!$G$279,0,(COLUMN()-6)/5)</f>
        <v>5.0948100000000007</v>
      </c>
      <c r="Z88" s="1259">
        <f ca="1">(Y88/T88-1)*100</f>
        <v>-3.3618801035650181</v>
      </c>
      <c r="AA88" s="1259">
        <f ca="1">OFFSET('VVP2'!$G$89,0,(COLUMN()-7)/5)</f>
        <v>-16.372062303186162</v>
      </c>
      <c r="AB88" s="1259">
        <f ca="1">+Y88*(1+AA88/100)</f>
        <v>4.2606845325710418</v>
      </c>
      <c r="AC88" s="1259">
        <f ca="1">+AD88/AB88*100-100</f>
        <v>-3.2892492156999396</v>
      </c>
      <c r="AD88" s="1259">
        <f ca="1">OFFSET('VVP2'!$G$279,0,(COLUMN()-6)/5)</f>
        <v>4.1205400000000001</v>
      </c>
      <c r="AE88" s="1259">
        <f ca="1">(AD88/Y88-1)*100</f>
        <v>-19.122793587984642</v>
      </c>
      <c r="AF88" s="1259">
        <f ca="1">OFFSET('VVP2'!$G$89,0,(COLUMN()-7)/5)</f>
        <v>9.5572088492080773</v>
      </c>
      <c r="AG88" s="1259">
        <f ca="1">+AD88*(1+AF88/100)</f>
        <v>4.5143486135151587</v>
      </c>
      <c r="AH88" s="1259">
        <f ca="1">+AI88/AG88*100-100</f>
        <v>14.143820983901904</v>
      </c>
      <c r="AI88" s="1259">
        <f ca="1">OFFSET('VVP2'!$G$279,0,(COLUMN()-6)/5)</f>
        <v>5.1528499999999999</v>
      </c>
      <c r="AJ88" s="1259">
        <f ca="1">(AI88/AD88-1)*100</f>
        <v>25.052784343799605</v>
      </c>
      <c r="AK88" s="1259">
        <f ca="1">OFFSET('VVP2'!$G$89,0,(COLUMN()-7)/5)</f>
        <v>21.209135528019061</v>
      </c>
      <c r="AL88" s="1259">
        <f ca="1">+AI88*(1+AK88/100)</f>
        <v>6.2457249400555304</v>
      </c>
      <c r="AM88" s="1259">
        <f ca="1">+AN88/AL88*100-100</f>
        <v>9.4705738745147983E-2</v>
      </c>
      <c r="AN88" s="1259">
        <f ca="1">OFFSET('VVP2'!$G$279,0,(COLUMN()-6)/5)</f>
        <v>6.2516400000000001</v>
      </c>
      <c r="AO88" s="1259">
        <f ca="1">(AN88/AI88-1)*100</f>
        <v>21.323927535247478</v>
      </c>
      <c r="AP88" s="1259">
        <f ca="1">OFFSET('VVP2'!$G$89,0,(COLUMN()-7)/5)</f>
        <v>18.611044650627086</v>
      </c>
      <c r="AQ88" s="1259">
        <f ca="1">+AN88*(1+AP88/100)</f>
        <v>7.4151355117964632</v>
      </c>
      <c r="AR88" s="1259">
        <f ca="1">+AS88/AQ88*100-100</f>
        <v>-2.9413557102157739</v>
      </c>
      <c r="AS88" s="1259">
        <f ca="1">OFFSET('VVP2'!$G$279,0,(COLUMN()-6)/5)</f>
        <v>7.1970299999999998</v>
      </c>
      <c r="AT88" s="1259">
        <f ca="1">(AS88/AN88-1)*100</f>
        <v>15.122271915849272</v>
      </c>
      <c r="AU88" s="1259">
        <f ca="1">OFFSET('VVP2'!$G$89,0,(COLUMN()-7)/5)</f>
        <v>8.4262028762699828</v>
      </c>
      <c r="AV88" s="1259">
        <f ca="1">+AS88*(1+AU88/100)</f>
        <v>7.8034663488660136</v>
      </c>
      <c r="AW88" s="1259">
        <f ca="1">+AX88/AV88*100-100</f>
        <v>-1.3798527994121628</v>
      </c>
      <c r="AX88" s="1259">
        <f ca="1">OFFSET('VVP2'!$G$279,0,(COLUMN()-6)/5)</f>
        <v>7.6957899999999997</v>
      </c>
      <c r="AY88" s="1259">
        <f ca="1">(AX88/AS88-1)*100</f>
        <v>6.9300808805854652</v>
      </c>
      <c r="AZ88" s="1259">
        <f ca="1">OFFSET('VVP2'!$G$89,0,(COLUMN()-7)/5)</f>
        <v>3.994045959034831</v>
      </c>
      <c r="BA88" s="1259">
        <f ca="1">+AX88*(1+AZ88/100)</f>
        <v>8.0031633895108065</v>
      </c>
      <c r="BB88" s="1259">
        <f ca="1">+BC88/BA88*100-100</f>
        <v>7.8943360236434188</v>
      </c>
      <c r="BC88" s="1259">
        <f ca="1">OFFSET('VVP2'!$G$279,0,(COLUMN()-6)/5)</f>
        <v>8.6349599999999995</v>
      </c>
      <c r="BD88" s="1259">
        <f ca="1">(BC88/AX88-1)*100</f>
        <v>12.203685391623221</v>
      </c>
      <c r="BE88" s="1259">
        <f ca="1">OFFSET('VVP2'!$G$89,0,(COLUMN()-7)/5)</f>
        <v>20.540314154987939</v>
      </c>
      <c r="BF88" s="1259">
        <f ca="1">+BC88*(1+BE88/100)</f>
        <v>10.408607911157546</v>
      </c>
      <c r="BG88" s="1259">
        <f ca="1">+BH88/BF88*100-100</f>
        <v>8.642194004427779</v>
      </c>
      <c r="BH88" s="1259">
        <f ca="1">OFFSET('VVP2'!$G$279,0,(COLUMN()-6)/5)</f>
        <v>11.30814</v>
      </c>
      <c r="BI88" s="1259">
        <f ca="1">(BH88/BC88-1)*100</f>
        <v>30.957641957808725</v>
      </c>
      <c r="BJ88" s="1259">
        <f ca="1">OFFSET('VVP2'!$G$89,0,(COLUMN()-7)/5)</f>
        <v>12.644517254648502</v>
      </c>
      <c r="BK88" s="1259">
        <f ca="1">+BH88*(1+BJ88/100)</f>
        <v>12.737999713479809</v>
      </c>
      <c r="BL88" s="1259">
        <f ca="1">+BM88/BK88*100-100</f>
        <v>5.141311832713825</v>
      </c>
      <c r="BM88" s="1259">
        <f ca="1">OFFSET('VVP2'!$G$279,0,(COLUMN()-6)/5)</f>
        <v>13.392899999999999</v>
      </c>
      <c r="BN88" s="1259">
        <f ca="1">(BM88/BH88-1)*100</f>
        <v>18.435923149165113</v>
      </c>
      <c r="BO88" s="1259">
        <f ca="1">OFFSET('VVP2'!$G$89,0,(COLUMN()-7)/5)</f>
        <v>3.1746642424419269</v>
      </c>
      <c r="BP88" s="1259">
        <f ca="1">+BM88*(1+BO88/100)</f>
        <v>13.818079607326004</v>
      </c>
      <c r="BQ88" s="1259">
        <f ca="1">+BR88/BP88*100-100</f>
        <v>5.8351841615278346</v>
      </c>
      <c r="BR88" s="1259">
        <f ca="1">OFFSET('VVP2'!$G$279,0,(COLUMN()-6)/5)</f>
        <v>14.62439</v>
      </c>
      <c r="BS88" s="1259">
        <f ca="1">(BR88/BM88-1)*100</f>
        <v>9.1950959090264295</v>
      </c>
      <c r="BT88" s="1259">
        <f ca="1">OFFSET('VVP2'!$G$89,0,(COLUMN()-7)/5)</f>
        <v>13.507146939638858</v>
      </c>
      <c r="BU88" s="1259">
        <f ca="1">+BR88*(1+BT88/100)</f>
        <v>16.599727846325852</v>
      </c>
      <c r="BV88" s="1259">
        <f ca="1">+BW88/BU88*100-100</f>
        <v>12.546001795656593</v>
      </c>
      <c r="BW88" s="1259">
        <f ca="1">OFFSET('VVP2'!$G$279,0,(COLUMN()-6)/5)</f>
        <v>18.68233</v>
      </c>
      <c r="BX88" s="1259">
        <f ca="1">(BW88/BR88-1)*100</f>
        <v>27.74775563288452</v>
      </c>
      <c r="BY88" s="1259">
        <f ca="1">OFFSET('VVP2'!$G$89,0,(COLUMN()-7)/5)</f>
        <v>-12.788626994744856</v>
      </c>
      <c r="BZ88" s="1259">
        <f ca="1">+BW88*(1+BY88/100)</f>
        <v>16.293116502372683</v>
      </c>
      <c r="CA88" s="1259">
        <f ca="1">+CB88/BZ88*100-100</f>
        <v>-14.137175671930251</v>
      </c>
      <c r="CB88" s="1259">
        <f ca="1">OFFSET('VVP2'!$G$279,0,(COLUMN()-6)/5)</f>
        <v>13.98973</v>
      </c>
      <c r="CC88" s="1259">
        <f ca="1">(CB88/BW88-1)*100</f>
        <v>-25.117852002400131</v>
      </c>
      <c r="CD88" s="1259">
        <f ca="1">OFFSET('VVP2'!$G$89,0,(COLUMN()-7)/5)</f>
        <v>18.942229444272328</v>
      </c>
      <c r="CE88" s="1259">
        <f ca="1">+CB88*(1+CD88/100)</f>
        <v>16.639696755234198</v>
      </c>
      <c r="CF88" s="1259">
        <f ca="1">+CG88/CE88*100-100</f>
        <v>10.061380741443912</v>
      </c>
      <c r="CG88" s="1259">
        <f ca="1">OFFSET('VVP2'!$G$279,0,(COLUMN()-6)/5)</f>
        <v>18.313880000000001</v>
      </c>
      <c r="CH88" s="1259">
        <f ca="1">(CG88/CB88-1)*100</f>
        <v>30.909460011022372</v>
      </c>
      <c r="CI88" s="1259">
        <f ca="1">OFFSET('VVP2'!$G$89,0,(COLUMN()-7)/5)</f>
        <v>15.404381813138457</v>
      </c>
      <c r="CJ88" s="1259">
        <f ca="1">+CG88*(1+CI88/100)</f>
        <v>21.135020000000001</v>
      </c>
      <c r="CK88" s="1259">
        <f ca="1">+CL88/CJ88*100-100</f>
        <v>10.977183839901741</v>
      </c>
      <c r="CL88" s="1259">
        <f ca="1">OFFSET('VVP2'!$G$279,0,(COLUMN()-6)/5)</f>
        <v>23.45505</v>
      </c>
      <c r="CM88" s="1259">
        <f ca="1">(CL88/CG88-1)*100</f>
        <v>28.072532964068774</v>
      </c>
      <c r="CN88" s="1259">
        <f ca="1">OFFSET('VVP2'!$G$89,0,(COLUMN()-7)/5)</f>
        <v>12.388585390503515</v>
      </c>
      <c r="CO88" s="1259">
        <f ca="1">+CL88*(1+CN88/100)</f>
        <v>26.360798897635295</v>
      </c>
      <c r="CP88" s="1259">
        <f ca="1">+CQ88/CO88*100-100</f>
        <v>3.259655011600529</v>
      </c>
      <c r="CQ88" s="1259">
        <f ca="1">OFFSET('VVP2'!$G$279,0,(COLUMN()-6)/5)</f>
        <v>27.22007</v>
      </c>
      <c r="CR88" s="1259">
        <f ca="1">(CQ88/CL88-1)*100</f>
        <v>16.052065546651995</v>
      </c>
      <c r="CS88" s="1259">
        <f ca="1">OFFSET('VVP2'!$G$89,0,(COLUMN()-7)/5)</f>
        <v>9.8597881982962718</v>
      </c>
      <c r="CT88" s="1259">
        <f ca="1">+CQ88*(1+CS88/100)</f>
        <v>29.903911249427985</v>
      </c>
      <c r="CU88" s="1259">
        <f ca="1">+CV88/CT88*100-100</f>
        <v>-1.7256647303548078</v>
      </c>
      <c r="CV88" s="1259">
        <f ca="1">OFFSET('VVP2'!$G$279,0,(COLUMN()-6)/5)</f>
        <v>29.387869999999999</v>
      </c>
      <c r="CW88" s="1259">
        <f ca="1">(CV88/CQ88-1)*100</f>
        <v>7.9639765805157747</v>
      </c>
      <c r="CX88" s="1259">
        <f ca="1">OFFSET('VVP2'!$G$89,0,(COLUMN()-7)/5)</f>
        <v>3.2687395240077022</v>
      </c>
      <c r="CY88" s="1259">
        <f ca="1">+CV88*(1+CX88/100)</f>
        <v>30.348482921954002</v>
      </c>
      <c r="CZ88" s="1259">
        <f ca="1">+DA88/CY88*100-100</f>
        <v>-2.2751151144181989</v>
      </c>
      <c r="DA88" s="1259">
        <f ca="1">OFFSET('VVP2'!$G$279,0,(COLUMN()-6)/5)</f>
        <v>29.65802</v>
      </c>
      <c r="DB88" s="1259">
        <f ca="1">(DA88/CV88-1)*100</f>
        <v>0.91925682262783415</v>
      </c>
      <c r="DC88" s="1259">
        <f ca="1">OFFSET('VVP2'!$G$89,0,(COLUMN()-7)/5)</f>
        <v>-0.36250801068858918</v>
      </c>
      <c r="DD88" s="1259">
        <f ca="1">+DA88*(1+DC88/100)</f>
        <v>29.550507301688377</v>
      </c>
      <c r="DE88" s="1259">
        <f ca="1">+DF88/DD88*100-100</f>
        <v>-3.9503460626602447</v>
      </c>
      <c r="DF88" s="1259">
        <f ca="1">OFFSET('VVP2'!$G$279,0,(COLUMN()-6)/5)</f>
        <v>28.38316</v>
      </c>
      <c r="DG88" s="1259">
        <f ca="1">(DF88/DA88-1)*100</f>
        <v>-4.2985337524217737</v>
      </c>
      <c r="DH88" s="3335">
        <f ca="1">IF(UPPER($F$2)="Y",(DI88/DF88-1)*100,OFFSET('VVP2'!$G$89,0,(COLUMN()-7)/5))</f>
        <v>3.4546244444509711</v>
      </c>
      <c r="DI88" s="3348">
        <f ca="1">IF(UPPER($F$2)="Y",+DI86+DI87,DF88*(1+DH88/100))</f>
        <v>29.363691583467631</v>
      </c>
      <c r="DJ88" s="1259">
        <f ca="1">+DK88/DI88*100-100</f>
        <v>-1.956707595277706</v>
      </c>
      <c r="DK88" s="1259">
        <f ca="1">+DK86+DK87</f>
        <v>28.78913</v>
      </c>
      <c r="DL88" s="1259">
        <f ca="1">(DK88/DF88-1)*100</f>
        <v>1.4303199502803787</v>
      </c>
      <c r="DM88" s="3335">
        <f ca="1">IF(UPPER($F$2)="Y",(DN88/DK88-1)*100,OFFSET('VVP2'!$G$89,0,(COLUMN()-7)/5))</f>
        <v>13.238498222730865</v>
      </c>
      <c r="DN88" s="3348">
        <f ca="1">IF(UPPER($F$2)="Y",+DN86+DN87,DK88*(1+DM88/100))</f>
        <v>32.600378463389681</v>
      </c>
      <c r="DO88" s="1259">
        <f ca="1">+DP88/DN88*100-100</f>
        <v>4.3947696442213413</v>
      </c>
      <c r="DP88" s="1259">
        <f ca="1">+DP86+DP87</f>
        <v>34.033090000000001</v>
      </c>
      <c r="DQ88" s="1259">
        <f ca="1">(DP88/DK88-1)*100</f>
        <v>18.215069368195568</v>
      </c>
      <c r="DR88" s="3734">
        <f ca="1">IF(UPPER($F$2)="Y",(DS88/DP88-1)*100,OFFSET('VVP2'!$G$89,0,(COLUMN()-7)/5))</f>
        <v>5.5162869137066251</v>
      </c>
      <c r="DS88" s="3348">
        <f ca="1">IF(UPPER($F$2)="Y",+DS86+DS87,DP88*(1+DR88/100))</f>
        <v>35.910452890000002</v>
      </c>
      <c r="DT88" s="1259">
        <f ca="1">+DU88/DS88*100-100</f>
        <v>2.3491131709032516</v>
      </c>
      <c r="DU88" s="1259">
        <f ca="1">+DU86+DU87</f>
        <v>36.754030068569996</v>
      </c>
      <c r="DV88" s="1259">
        <f ca="1">(DU88/DP88-1)*100</f>
        <v>7.9949839070445616</v>
      </c>
      <c r="DW88" s="3335">
        <f ca="1">IF(UPPER($F$2)="Y",(DX88/DU88-1)*100,OFFSET('VVP2'!$G$89,0,(COLUMN()-7)/5))</f>
        <v>4.424592787673598</v>
      </c>
      <c r="DX88" s="3348">
        <f ca="1">IF(UPPER($F$2)="Y",+DX86+DX87,DU88*(1+DW88/100))</f>
        <v>38.38024623216333</v>
      </c>
      <c r="DY88" s="1259">
        <f ca="1">+DZ88/DX88*100-100</f>
        <v>2.0246105466469544</v>
      </c>
      <c r="DZ88" s="1259">
        <f ca="1">+DZ86+DZ87</f>
        <v>39.157296745208775</v>
      </c>
      <c r="EA88" s="1259">
        <f ca="1">(DZ88/DU88-1)*100</f>
        <v>6.5387841065459584</v>
      </c>
      <c r="EB88"/>
      <c r="EC88"/>
      <c r="ED88"/>
      <c r="EE88"/>
      <c r="EF88"/>
      <c r="EG88"/>
      <c r="EH88"/>
      <c r="EI88"/>
      <c r="EJ88"/>
      <c r="EK88"/>
      <c r="EL88"/>
      <c r="EM88"/>
      <c r="EN88"/>
      <c r="EO88"/>
    </row>
    <row r="89" spans="1:145" s="2842" customFormat="1">
      <c r="A89" s="2841"/>
      <c r="C89" s="2843"/>
      <c r="D89" s="1782"/>
      <c r="E89" s="1782" t="s">
        <v>758</v>
      </c>
      <c r="F89" s="2844"/>
      <c r="G89" s="2845"/>
      <c r="H89" s="2845"/>
      <c r="I89" s="2845"/>
      <c r="J89" s="1232"/>
      <c r="K89" s="2845"/>
      <c r="L89" s="2847">
        <f ca="1">OFFSET('Q1'!$N185,0,(COLUMN()-12)*4/5)</f>
        <v>18.967519551278087</v>
      </c>
      <c r="M89" s="2846"/>
      <c r="N89" s="1232"/>
      <c r="O89" s="1232"/>
      <c r="P89" s="1232"/>
      <c r="Q89" s="2847">
        <f ca="1">OFFSET('Q1'!$N185,0,(COLUMN()-12)*4/5)</f>
        <v>17.876596031923242</v>
      </c>
      <c r="R89" s="1232"/>
      <c r="S89" s="1232"/>
      <c r="T89" s="1232"/>
      <c r="U89" s="1232"/>
      <c r="V89" s="2847">
        <f ca="1">OFFSET('Q1'!$N185,0,(COLUMN()-12)*4/5)</f>
        <v>5.3000903024029213</v>
      </c>
      <c r="W89" s="1232"/>
      <c r="X89" s="1232"/>
      <c r="Y89" s="1232"/>
      <c r="Z89" s="1232"/>
      <c r="AA89" s="2847">
        <f ca="1">OFFSET('Q1'!$N185,0,(COLUMN()-12)*4/5)</f>
        <v>-16.795860228323306</v>
      </c>
      <c r="AB89" s="1232"/>
      <c r="AC89" s="1232"/>
      <c r="AD89" s="1232"/>
      <c r="AE89" s="1232"/>
      <c r="AF89" s="2847">
        <f ca="1">OFFSET('Q1'!$N185,0,(COLUMN()-12)*4/5)</f>
        <v>10.505437487744899</v>
      </c>
      <c r="AG89" s="1232"/>
      <c r="AH89" s="1232"/>
      <c r="AI89" s="1232"/>
      <c r="AJ89" s="1232"/>
      <c r="AK89" s="2847">
        <f ca="1">OFFSET('Q1'!$N185,0,(COLUMN()-12)*4/5)</f>
        <v>20.872006260464431</v>
      </c>
      <c r="AL89" s="1232"/>
      <c r="AM89" s="1232"/>
      <c r="AN89" s="1232"/>
      <c r="AO89" s="1232"/>
      <c r="AP89" s="2847">
        <f ca="1">OFFSET('Q1'!$N185,0,(COLUMN()-12)*4/5)</f>
        <v>18.388057229539228</v>
      </c>
      <c r="AQ89" s="1232"/>
      <c r="AR89" s="1232"/>
      <c r="AS89" s="1232"/>
      <c r="AT89" s="1232"/>
      <c r="AU89" s="2847">
        <f ca="1">OFFSET('Q1'!$N185,0,(COLUMN()-12)*4/5)</f>
        <v>7.9731525699641992</v>
      </c>
      <c r="AV89" s="1232"/>
      <c r="AW89" s="1232"/>
      <c r="AX89" s="1232"/>
      <c r="AY89" s="1232"/>
      <c r="AZ89" s="2847">
        <f ca="1">OFFSET('Q1'!$N185,0,(COLUMN()-12)*4/5)</f>
        <v>3.9552996952251931</v>
      </c>
      <c r="BA89" s="1232"/>
      <c r="BB89" s="1232"/>
      <c r="BC89" s="1232"/>
      <c r="BD89" s="1232"/>
      <c r="BE89" s="2847">
        <f ca="1">OFFSET('Q1'!$N185,0,(COLUMN()-12)*4/5)</f>
        <v>30.842309058513962</v>
      </c>
      <c r="BF89" s="1232"/>
      <c r="BG89" s="1232"/>
      <c r="BH89" s="1232"/>
      <c r="BI89" s="1232"/>
      <c r="BJ89" s="2847">
        <f ca="1">OFFSET('Q1'!$N185,0,(COLUMN()-12)*4/5)</f>
        <v>12.650062043086294</v>
      </c>
      <c r="BK89" s="1232"/>
      <c r="BL89" s="1232"/>
      <c r="BM89" s="1232"/>
      <c r="BN89" s="1232"/>
      <c r="BO89" s="2847">
        <f ca="1">OFFSET('Q1'!$N185,0,(COLUMN()-12)*4/5)</f>
        <v>3.1758249779364434</v>
      </c>
      <c r="BP89" s="1232"/>
      <c r="BQ89" s="1232"/>
      <c r="BR89" s="1232"/>
      <c r="BS89" s="1232"/>
      <c r="BT89" s="2847">
        <f ca="1">OFFSET('Q1'!$N185,0,(COLUMN()-12)*4/5)</f>
        <v>13.671239396219633</v>
      </c>
      <c r="BU89" s="1232"/>
      <c r="BV89" s="1232"/>
      <c r="BW89" s="1232"/>
      <c r="BX89" s="1232"/>
      <c r="BY89" s="2847">
        <f ca="1">OFFSET('Q1'!$N185,0,(COLUMN()-12)*4/5)</f>
        <v>-12.914724120762244</v>
      </c>
      <c r="BZ89" s="1232"/>
      <c r="CA89" s="1232"/>
      <c r="CB89" s="1232"/>
      <c r="CC89" s="1232"/>
      <c r="CD89" s="2847">
        <f ca="1">OFFSET('Q1'!$N185,0,(COLUMN()-12)*4/5)</f>
        <v>19.073792538884348</v>
      </c>
      <c r="CE89" s="1232"/>
      <c r="CF89" s="1232"/>
      <c r="CG89" s="1232"/>
      <c r="CH89" s="1232"/>
      <c r="CI89" s="2847">
        <f ca="1">OFFSET('Q1'!$N185,0,(COLUMN()-12)*4/5)</f>
        <v>15.295510596040955</v>
      </c>
      <c r="CJ89" s="1232"/>
      <c r="CK89" s="1232"/>
      <c r="CL89" s="1232"/>
      <c r="CM89" s="1232"/>
      <c r="CN89" s="2847">
        <f ca="1">OFFSET('Q1'!$N185,0,(COLUMN()-12)*4/5)</f>
        <v>12.41026174938122</v>
      </c>
      <c r="CO89" s="1232"/>
      <c r="CP89" s="1232"/>
      <c r="CQ89" s="1232"/>
      <c r="CR89" s="1232"/>
      <c r="CS89" s="2847">
        <f ca="1">OFFSET('Q1'!$N185,0,(COLUMN()-12)*4/5)</f>
        <v>9.8420009009274594</v>
      </c>
      <c r="CT89" s="1232"/>
      <c r="CU89" s="1232"/>
      <c r="CV89" s="1232"/>
      <c r="CW89" s="1232"/>
      <c r="CX89" s="2847">
        <f ca="1">OFFSET('Q1'!$N185,0,(COLUMN()-12)*4/5)</f>
        <v>3.3245052910762638</v>
      </c>
      <c r="CY89" s="1232"/>
      <c r="CZ89" s="1232"/>
      <c r="DA89" s="1232"/>
      <c r="DB89" s="1232"/>
      <c r="DC89" s="2847">
        <f ca="1">OFFSET('Q1'!$N185,0,(COLUMN()-12)*4/5)</f>
        <v>-0.44957990986146967</v>
      </c>
      <c r="DD89" s="1232"/>
      <c r="DE89" s="1232"/>
      <c r="DF89" s="1232"/>
      <c r="DG89" s="1232"/>
      <c r="DH89" s="2847">
        <f ca="1">OFFSET('Q1'!$N185,0,(COLUMN()-12)*4/5)</f>
        <v>3.4813487198786817</v>
      </c>
      <c r="DI89" s="1232"/>
      <c r="DJ89" s="1232"/>
      <c r="DK89" s="1232"/>
      <c r="DL89" s="1232"/>
      <c r="DM89" s="2865">
        <f ca="1">OFFSET('Q1'!$N185,0,(COLUMN()-12)*4/5)</f>
        <v>13.302438462314001</v>
      </c>
      <c r="DN89" s="1232"/>
      <c r="DO89" s="1232"/>
      <c r="DP89" s="1232"/>
      <c r="DQ89" s="1232"/>
      <c r="DR89" s="3735">
        <f ca="1">OFFSET('Q1'!$N185,0,(COLUMN()-12)*4/5)</f>
        <v>5.5193063496132453</v>
      </c>
      <c r="DS89" s="1232"/>
      <c r="DT89" s="1232"/>
      <c r="DU89" s="1232"/>
      <c r="DV89" s="1232"/>
      <c r="DW89" s="2847">
        <f ca="1">OFFSET('Q1'!$N185,0,(COLUMN()-12)*4/5)</f>
        <v>4.4173824453026782</v>
      </c>
      <c r="DX89" s="1232"/>
      <c r="DY89" s="1232"/>
      <c r="DZ89" s="1232"/>
      <c r="EA89" s="1232"/>
      <c r="EB89"/>
      <c r="EC89"/>
      <c r="ED89"/>
      <c r="EE89"/>
      <c r="EF89"/>
      <c r="EG89"/>
      <c r="EH89"/>
      <c r="EI89"/>
      <c r="EJ89"/>
      <c r="EK89"/>
      <c r="EL89"/>
      <c r="EM89"/>
      <c r="EN89"/>
      <c r="EO89"/>
    </row>
    <row r="90" spans="1:145">
      <c r="BZ90" s="1444"/>
      <c r="CB90" s="3108"/>
      <c r="CD90" s="3194">
        <f ca="1">CD87/CD86</f>
        <v>1.2687090330081321</v>
      </c>
      <c r="CE90" s="3194">
        <f ca="1">CE87/CE86</f>
        <v>3.9049486178949842</v>
      </c>
      <c r="CF90" s="3194"/>
      <c r="CG90" s="3194">
        <f ca="1">CG87/CG86</f>
        <v>4.3504427571014963</v>
      </c>
      <c r="CH90" s="3194"/>
      <c r="CI90" s="3194">
        <f ca="1">CI87/CI86</f>
        <v>1.0479704227668585</v>
      </c>
      <c r="CJ90" s="3194">
        <f ca="1">CJ87/CJ86</f>
        <v>4.3773887821695263</v>
      </c>
      <c r="CK90" s="3194"/>
      <c r="CL90" s="3194">
        <f ca="1">CL87/CL86</f>
        <v>4.8156380947658137</v>
      </c>
      <c r="CM90" s="3194"/>
      <c r="CN90" s="3194">
        <f ca="1">CN87/CN86</f>
        <v>0.719856803045408</v>
      </c>
      <c r="CO90" s="3194">
        <f ca="1">CO87/CO86</f>
        <v>4.6282541216692845</v>
      </c>
      <c r="CP90" s="3194"/>
      <c r="CQ90" s="3194">
        <f ca="1">CQ87/CQ86</f>
        <v>4.6792366224277107</v>
      </c>
      <c r="CR90" s="3194"/>
      <c r="CS90" s="3194">
        <f ca="1">CS87/CS86</f>
        <v>0.74403360287517917</v>
      </c>
      <c r="CT90" s="3194">
        <f ca="1">CT87/CT86</f>
        <v>4.5462037556616792</v>
      </c>
      <c r="CU90" s="3194"/>
      <c r="CV90" s="3194">
        <f ca="1">CV87/CV86</f>
        <v>4.4520825719220589</v>
      </c>
      <c r="CW90" s="3194"/>
      <c r="CX90" s="3194">
        <f ca="1">CX87/CX86</f>
        <v>0.18631322667263425</v>
      </c>
      <c r="CY90" s="3194">
        <f ca="1">CY87/CY86</f>
        <v>4.1305190757689276</v>
      </c>
      <c r="CZ90" s="3194"/>
      <c r="DA90" s="3194">
        <f ca="1">DA87/DA86</f>
        <v>4.0196126551385047</v>
      </c>
      <c r="DC90" s="3194">
        <f ca="1">DC87/DC86</f>
        <v>-0.58935890430898441</v>
      </c>
      <c r="DD90" s="3194">
        <f ca="1">DD87/DD86</f>
        <v>3.9358070260214411</v>
      </c>
      <c r="DE90" s="3194"/>
      <c r="DF90" s="3194">
        <f ca="1">DF87/DF86</f>
        <v>3.6730712555793188</v>
      </c>
      <c r="DH90" s="3194">
        <f ca="1">DH87/DH86</f>
        <v>0.12294648888632628</v>
      </c>
      <c r="DI90" s="3194">
        <f ca="1">DI87/DI86</f>
        <v>3.3506551637406541</v>
      </c>
      <c r="DJ90" s="3194"/>
      <c r="DK90" s="3194">
        <f ca="1">DK87/DK86</f>
        <v>3.1922539251691369</v>
      </c>
      <c r="DM90" s="3194">
        <f ca="1">DM87/DM86</f>
        <v>0.7390944142691287</v>
      </c>
      <c r="DN90" s="3194">
        <f ca="1">DN87/DN86</f>
        <v>3.0741660251402911</v>
      </c>
      <c r="DO90" s="3194"/>
      <c r="DP90" s="3194">
        <f ca="1">DP87/DP86</f>
        <v>3.1101921820445715</v>
      </c>
      <c r="DR90" s="3194">
        <f>DR87/DR86</f>
        <v>0.8</v>
      </c>
      <c r="DS90" s="3194">
        <f ca="1">DS87/DS86</f>
        <v>3.0722273948459056</v>
      </c>
      <c r="DT90" s="3194"/>
      <c r="DU90" s="3194">
        <f ca="1">DU87/DU86</f>
        <v>3.0662328048071816</v>
      </c>
      <c r="DW90" s="3194">
        <f>DW87/DW86</f>
        <v>0.97777777777777786</v>
      </c>
      <c r="DX90" s="3194">
        <f ca="1">DX87/DX86</f>
        <v>3.063298610735596</v>
      </c>
      <c r="DY90" s="3194"/>
      <c r="DZ90" s="3194">
        <f ca="1">DZ87/DZ86</f>
        <v>3.0602983182667072</v>
      </c>
    </row>
    <row r="92" spans="1:145">
      <c r="D92" s="3751"/>
      <c r="E92" s="3751" t="s">
        <v>456</v>
      </c>
      <c r="F92" s="3751"/>
      <c r="G92" s="3753">
        <f>+InputY!$G$3</f>
        <v>1995</v>
      </c>
      <c r="H92" s="3754"/>
      <c r="I92" s="3754"/>
      <c r="J92" s="3754"/>
      <c r="K92" s="3755"/>
      <c r="L92" s="3753">
        <f>+G92+1</f>
        <v>1996</v>
      </c>
      <c r="M92" s="3754"/>
      <c r="N92" s="3754"/>
      <c r="O92" s="3754"/>
      <c r="P92" s="3755"/>
      <c r="Q92" s="3753">
        <f>+L92+1</f>
        <v>1997</v>
      </c>
      <c r="R92" s="3754"/>
      <c r="S92" s="3754"/>
      <c r="T92" s="3754"/>
      <c r="U92" s="3755"/>
      <c r="V92" s="3753">
        <f>+Q92+1</f>
        <v>1998</v>
      </c>
      <c r="W92" s="3754"/>
      <c r="X92" s="3754"/>
      <c r="Y92" s="3754"/>
      <c r="Z92" s="3755"/>
      <c r="AA92" s="3753">
        <f>+V92+1</f>
        <v>1999</v>
      </c>
      <c r="AB92" s="3754"/>
      <c r="AC92" s="3754"/>
      <c r="AD92" s="3754"/>
      <c r="AE92" s="3755"/>
      <c r="AF92" s="3753">
        <f>+AA92+1</f>
        <v>2000</v>
      </c>
      <c r="AG92" s="3754"/>
      <c r="AH92" s="3754"/>
      <c r="AI92" s="3754"/>
      <c r="AJ92" s="3755"/>
      <c r="AK92" s="3753">
        <f>+AF92+1</f>
        <v>2001</v>
      </c>
      <c r="AL92" s="3754"/>
      <c r="AM92" s="3754"/>
      <c r="AN92" s="3754"/>
      <c r="AO92" s="3755"/>
      <c r="AP92" s="3753">
        <f>+AK92+1</f>
        <v>2002</v>
      </c>
      <c r="AQ92" s="3754"/>
      <c r="AR92" s="3754"/>
      <c r="AS92" s="3754"/>
      <c r="AT92" s="3755"/>
      <c r="AU92" s="3753">
        <f>+AP92+1</f>
        <v>2003</v>
      </c>
      <c r="AV92" s="3754"/>
      <c r="AW92" s="3754"/>
      <c r="AX92" s="3754"/>
      <c r="AY92" s="3755"/>
      <c r="AZ92" s="3753">
        <f>+AU92+1</f>
        <v>2004</v>
      </c>
      <c r="BA92" s="3754"/>
      <c r="BB92" s="3754"/>
      <c r="BC92" s="3754"/>
      <c r="BD92" s="3755"/>
      <c r="BE92" s="3753">
        <f>+AZ92+1</f>
        <v>2005</v>
      </c>
      <c r="BF92" s="3754"/>
      <c r="BG92" s="3754"/>
      <c r="BH92" s="3754"/>
      <c r="BI92" s="3755"/>
      <c r="BJ92" s="3753">
        <f>+BE92+1</f>
        <v>2006</v>
      </c>
      <c r="BK92" s="3754"/>
      <c r="BL92" s="3754"/>
      <c r="BM92" s="3754"/>
      <c r="BN92" s="3755"/>
      <c r="BO92" s="3753">
        <f>+BJ92+1</f>
        <v>2007</v>
      </c>
      <c r="BP92" s="3754"/>
      <c r="BQ92" s="3754"/>
      <c r="BR92" s="3754"/>
      <c r="BS92" s="3755"/>
      <c r="BT92" s="3753">
        <f>+BO92+1</f>
        <v>2008</v>
      </c>
      <c r="BU92" s="3754"/>
      <c r="BV92" s="3754"/>
      <c r="BW92" s="3754"/>
      <c r="BX92" s="3755"/>
      <c r="BY92" s="3753">
        <f>+BT92+1</f>
        <v>2009</v>
      </c>
      <c r="BZ92" s="3754"/>
      <c r="CA92" s="3754"/>
      <c r="CB92" s="3754"/>
      <c r="CC92" s="3755"/>
      <c r="CD92" s="3753">
        <f>+BY92+1</f>
        <v>2010</v>
      </c>
      <c r="CE92" s="3754"/>
      <c r="CF92" s="3754"/>
      <c r="CG92" s="3754"/>
      <c r="CH92" s="3755"/>
      <c r="CI92" s="3753">
        <f>+CD92+1</f>
        <v>2011</v>
      </c>
      <c r="CJ92" s="3754"/>
      <c r="CK92" s="3754"/>
      <c r="CL92" s="3754"/>
      <c r="CM92" s="3755"/>
      <c r="CN92" s="3753">
        <f>+CI92+1</f>
        <v>2012</v>
      </c>
      <c r="CO92" s="3754"/>
      <c r="CP92" s="3754"/>
      <c r="CQ92" s="3754"/>
      <c r="CR92" s="3755"/>
      <c r="CS92" s="3753">
        <f>+CN92+1</f>
        <v>2013</v>
      </c>
      <c r="CT92" s="3754"/>
      <c r="CU92" s="3754"/>
      <c r="CV92" s="3754"/>
      <c r="CW92" s="3755"/>
      <c r="CX92" s="3753">
        <f>+CS92+1</f>
        <v>2014</v>
      </c>
      <c r="CY92" s="3754"/>
      <c r="CZ92" s="3754"/>
      <c r="DA92" s="3754"/>
      <c r="DB92" s="3755"/>
      <c r="DC92" s="3753">
        <f>+CX92+1</f>
        <v>2015</v>
      </c>
      <c r="DD92" s="3754"/>
      <c r="DE92" s="3754"/>
      <c r="DF92" s="3754"/>
      <c r="DG92" s="3755"/>
      <c r="DH92" s="3753">
        <f>+DC92+1</f>
        <v>2016</v>
      </c>
      <c r="DI92" s="3754"/>
      <c r="DJ92" s="3754"/>
      <c r="DK92" s="3754"/>
      <c r="DL92" s="3755"/>
      <c r="DM92" s="3753">
        <f>+DH92+1</f>
        <v>2017</v>
      </c>
      <c r="DN92" s="3754"/>
      <c r="DO92" s="3754"/>
      <c r="DP92" s="3754"/>
      <c r="DQ92" s="3755"/>
      <c r="DR92" s="3753">
        <f>+DM92+1</f>
        <v>2018</v>
      </c>
      <c r="DS92" s="3754"/>
      <c r="DT92" s="3754"/>
      <c r="DU92" s="3754"/>
      <c r="DV92" s="3755"/>
      <c r="DW92" s="3753">
        <f>+DR92+1</f>
        <v>2019</v>
      </c>
      <c r="DX92" s="3754"/>
      <c r="DY92" s="3754"/>
      <c r="DZ92" s="3754"/>
      <c r="EA92" s="3755"/>
    </row>
    <row r="93" spans="1:145">
      <c r="C93" s="3"/>
      <c r="D93" s="3751"/>
      <c r="E93" s="3751" t="s">
        <v>1587</v>
      </c>
      <c r="F93" s="3751"/>
      <c r="G93" s="1256" t="s">
        <v>1486</v>
      </c>
      <c r="H93" s="1253" t="s">
        <v>1732</v>
      </c>
      <c r="I93" s="1252" t="s">
        <v>2022</v>
      </c>
      <c r="J93" s="1253" t="s">
        <v>584</v>
      </c>
      <c r="K93" s="1252" t="s">
        <v>2023</v>
      </c>
      <c r="L93" s="1252" t="s">
        <v>1486</v>
      </c>
      <c r="M93" s="1253" t="s">
        <v>1732</v>
      </c>
      <c r="N93" s="1252" t="s">
        <v>2022</v>
      </c>
      <c r="O93" s="1253" t="s">
        <v>584</v>
      </c>
      <c r="P93" s="1252" t="s">
        <v>2023</v>
      </c>
      <c r="Q93" s="1252" t="s">
        <v>1486</v>
      </c>
      <c r="R93" s="1253" t="s">
        <v>1732</v>
      </c>
      <c r="S93" s="1252" t="s">
        <v>2022</v>
      </c>
      <c r="T93" s="1253" t="s">
        <v>584</v>
      </c>
      <c r="U93" s="1252" t="s">
        <v>2023</v>
      </c>
      <c r="V93" s="1252" t="s">
        <v>1486</v>
      </c>
      <c r="W93" s="1253" t="s">
        <v>1732</v>
      </c>
      <c r="X93" s="1252" t="s">
        <v>2022</v>
      </c>
      <c r="Y93" s="1253" t="s">
        <v>584</v>
      </c>
      <c r="Z93" s="1252" t="s">
        <v>2023</v>
      </c>
      <c r="AA93" s="1252" t="s">
        <v>1486</v>
      </c>
      <c r="AB93" s="1253" t="s">
        <v>1732</v>
      </c>
      <c r="AC93" s="1252" t="s">
        <v>2022</v>
      </c>
      <c r="AD93" s="1253" t="s">
        <v>584</v>
      </c>
      <c r="AE93" s="1252" t="s">
        <v>2023</v>
      </c>
      <c r="AF93" s="1252" t="s">
        <v>1486</v>
      </c>
      <c r="AG93" s="1253" t="s">
        <v>1732</v>
      </c>
      <c r="AH93" s="1252" t="s">
        <v>2022</v>
      </c>
      <c r="AI93" s="1253" t="s">
        <v>584</v>
      </c>
      <c r="AJ93" s="1252" t="s">
        <v>2023</v>
      </c>
      <c r="AK93" s="1252" t="s">
        <v>1486</v>
      </c>
      <c r="AL93" s="1253" t="s">
        <v>1732</v>
      </c>
      <c r="AM93" s="1252" t="s">
        <v>2022</v>
      </c>
      <c r="AN93" s="1253" t="s">
        <v>584</v>
      </c>
      <c r="AO93" s="1252" t="s">
        <v>2023</v>
      </c>
      <c r="AP93" s="1252" t="s">
        <v>1486</v>
      </c>
      <c r="AQ93" s="1253" t="s">
        <v>1732</v>
      </c>
      <c r="AR93" s="1252" t="s">
        <v>2022</v>
      </c>
      <c r="AS93" s="1253" t="s">
        <v>584</v>
      </c>
      <c r="AT93" s="1252" t="s">
        <v>2023</v>
      </c>
      <c r="AU93" s="1252" t="s">
        <v>1486</v>
      </c>
      <c r="AV93" s="1253" t="s">
        <v>1732</v>
      </c>
      <c r="AW93" s="1252" t="s">
        <v>2022</v>
      </c>
      <c r="AX93" s="1253" t="s">
        <v>584</v>
      </c>
      <c r="AY93" s="1252" t="s">
        <v>2023</v>
      </c>
      <c r="AZ93" s="1252" t="s">
        <v>1486</v>
      </c>
      <c r="BA93" s="1253" t="s">
        <v>1732</v>
      </c>
      <c r="BB93" s="1252" t="s">
        <v>2022</v>
      </c>
      <c r="BC93" s="1253" t="s">
        <v>584</v>
      </c>
      <c r="BD93" s="1252" t="s">
        <v>2023</v>
      </c>
      <c r="BE93" s="1252" t="s">
        <v>1486</v>
      </c>
      <c r="BF93" s="1253" t="s">
        <v>1732</v>
      </c>
      <c r="BG93" s="1252" t="s">
        <v>2022</v>
      </c>
      <c r="BH93" s="1253" t="s">
        <v>584</v>
      </c>
      <c r="BI93" s="1252" t="s">
        <v>2023</v>
      </c>
      <c r="BJ93" s="1252" t="s">
        <v>1486</v>
      </c>
      <c r="BK93" s="1253" t="s">
        <v>1732</v>
      </c>
      <c r="BL93" s="1252" t="s">
        <v>2022</v>
      </c>
      <c r="BM93" s="1253" t="s">
        <v>584</v>
      </c>
      <c r="BN93" s="1252" t="s">
        <v>2023</v>
      </c>
      <c r="BO93" s="1252" t="s">
        <v>1486</v>
      </c>
      <c r="BP93" s="1253" t="s">
        <v>1732</v>
      </c>
      <c r="BQ93" s="1252" t="s">
        <v>2022</v>
      </c>
      <c r="BR93" s="1253" t="s">
        <v>584</v>
      </c>
      <c r="BS93" s="1252" t="s">
        <v>2023</v>
      </c>
      <c r="BT93" s="1252" t="s">
        <v>1486</v>
      </c>
      <c r="BU93" s="1253" t="s">
        <v>1732</v>
      </c>
      <c r="BV93" s="1252" t="s">
        <v>2022</v>
      </c>
      <c r="BW93" s="1253" t="s">
        <v>584</v>
      </c>
      <c r="BX93" s="1252" t="s">
        <v>2023</v>
      </c>
      <c r="BY93" s="1252" t="s">
        <v>1486</v>
      </c>
      <c r="BZ93" s="1253" t="s">
        <v>1732</v>
      </c>
      <c r="CA93" s="1252" t="s">
        <v>2022</v>
      </c>
      <c r="CB93" s="1253" t="s">
        <v>584</v>
      </c>
      <c r="CC93" s="1252" t="s">
        <v>2023</v>
      </c>
      <c r="CD93" s="1252" t="s">
        <v>1486</v>
      </c>
      <c r="CE93" s="1253" t="s">
        <v>1732</v>
      </c>
      <c r="CF93" s="1252" t="s">
        <v>2022</v>
      </c>
      <c r="CG93" s="1253" t="s">
        <v>584</v>
      </c>
      <c r="CH93" s="1252" t="s">
        <v>2023</v>
      </c>
      <c r="CI93" s="1252" t="s">
        <v>1486</v>
      </c>
      <c r="CJ93" s="1253" t="s">
        <v>1732</v>
      </c>
      <c r="CK93" s="1252" t="s">
        <v>2022</v>
      </c>
      <c r="CL93" s="1253" t="s">
        <v>584</v>
      </c>
      <c r="CM93" s="1252" t="s">
        <v>2023</v>
      </c>
      <c r="CN93" s="1252" t="s">
        <v>1486</v>
      </c>
      <c r="CO93" s="1253" t="s">
        <v>1732</v>
      </c>
      <c r="CP93" s="1252" t="s">
        <v>2022</v>
      </c>
      <c r="CQ93" s="1253" t="s">
        <v>584</v>
      </c>
      <c r="CR93" s="1252" t="s">
        <v>2023</v>
      </c>
      <c r="CS93" s="1252" t="s">
        <v>1486</v>
      </c>
      <c r="CT93" s="1253" t="s">
        <v>1732</v>
      </c>
      <c r="CU93" s="1252" t="s">
        <v>2022</v>
      </c>
      <c r="CV93" s="1253" t="s">
        <v>584</v>
      </c>
      <c r="CW93" s="1252" t="s">
        <v>2023</v>
      </c>
      <c r="CX93" s="1252" t="s">
        <v>1486</v>
      </c>
      <c r="CY93" s="1253" t="s">
        <v>1732</v>
      </c>
      <c r="CZ93" s="1252" t="s">
        <v>2022</v>
      </c>
      <c r="DA93" s="1253" t="s">
        <v>584</v>
      </c>
      <c r="DB93" s="1252" t="s">
        <v>2023</v>
      </c>
      <c r="DC93" s="1252" t="s">
        <v>1486</v>
      </c>
      <c r="DD93" s="1253" t="s">
        <v>1732</v>
      </c>
      <c r="DE93" s="1252" t="s">
        <v>2022</v>
      </c>
      <c r="DF93" s="1253" t="s">
        <v>584</v>
      </c>
      <c r="DG93" s="1252" t="s">
        <v>2023</v>
      </c>
      <c r="DH93" s="1252" t="s">
        <v>1486</v>
      </c>
      <c r="DI93" s="1253" t="s">
        <v>1732</v>
      </c>
      <c r="DJ93" s="1252" t="s">
        <v>2022</v>
      </c>
      <c r="DK93" s="1253" t="s">
        <v>584</v>
      </c>
      <c r="DL93" s="1252" t="s">
        <v>2023</v>
      </c>
      <c r="DM93" s="1252" t="s">
        <v>1486</v>
      </c>
      <c r="DN93" s="1253" t="s">
        <v>1732</v>
      </c>
      <c r="DO93" s="1252" t="s">
        <v>2022</v>
      </c>
      <c r="DP93" s="1253" t="s">
        <v>584</v>
      </c>
      <c r="DQ93" s="1252" t="s">
        <v>2023</v>
      </c>
      <c r="DR93" s="1252" t="s">
        <v>1486</v>
      </c>
      <c r="DS93" s="1253" t="s">
        <v>1732</v>
      </c>
      <c r="DT93" s="1252" t="s">
        <v>2022</v>
      </c>
      <c r="DU93" s="1253" t="s">
        <v>584</v>
      </c>
      <c r="DV93" s="1252" t="s">
        <v>2023</v>
      </c>
      <c r="DW93" s="1252" t="s">
        <v>1486</v>
      </c>
      <c r="DX93" s="1253" t="s">
        <v>1732</v>
      </c>
      <c r="DY93" s="1252" t="s">
        <v>2022</v>
      </c>
      <c r="DZ93" s="1253" t="s">
        <v>584</v>
      </c>
      <c r="EA93" s="1252" t="s">
        <v>2023</v>
      </c>
    </row>
    <row r="94" spans="1:145" s="1295" customFormat="1">
      <c r="A94" s="1458"/>
      <c r="C94" s="1296" t="s">
        <v>1767</v>
      </c>
      <c r="D94" s="1297"/>
      <c r="E94" s="1297" t="s">
        <v>624</v>
      </c>
      <c r="F94" s="1298" t="s">
        <v>622</v>
      </c>
      <c r="G94" s="1237"/>
      <c r="H94" s="1238"/>
      <c r="I94" s="1239"/>
      <c r="J94" s="1228" t="e">
        <f ca="1">OFFSET('VVP2'!$G$288,0,(COLUMN()-6)/5)</f>
        <v>#VALUE!</v>
      </c>
      <c r="K94" s="1240"/>
      <c r="L94" s="1237"/>
      <c r="M94" s="1238"/>
      <c r="N94" s="1239"/>
      <c r="O94" s="1228" t="e">
        <f ca="1">OFFSET('VVP2'!$G$288,0,(COLUMN()-6)/5)</f>
        <v>#VALUE!</v>
      </c>
      <c r="P94" s="1221" t="e">
        <f ca="1">(O94/J94-1)*100</f>
        <v>#VALUE!</v>
      </c>
      <c r="Q94" s="1237"/>
      <c r="R94" s="1238"/>
      <c r="S94" s="1239"/>
      <c r="T94" s="1228" t="e">
        <f ca="1">OFFSET('VVP2'!$G$288,0,(COLUMN()-6)/5)</f>
        <v>#VALUE!</v>
      </c>
      <c r="U94" s="1221" t="e">
        <f ca="1">(T94/O94-1)*100</f>
        <v>#VALUE!</v>
      </c>
      <c r="V94" s="1237"/>
      <c r="W94" s="1238"/>
      <c r="X94" s="1239"/>
      <c r="Y94" s="1228" t="e">
        <f ca="1">OFFSET('VVP2'!$G$288,0,(COLUMN()-6)/5)</f>
        <v>#VALUE!</v>
      </c>
      <c r="Z94" s="1221" t="e">
        <f ca="1">(Y94/T94-1)*100</f>
        <v>#VALUE!</v>
      </c>
      <c r="AA94" s="1237"/>
      <c r="AB94" s="1238"/>
      <c r="AC94" s="1239"/>
      <c r="AD94" s="1228">
        <f ca="1">OFFSET('VVP2'!$G$288,0,(COLUMN()-6)/5)</f>
        <v>2.3549475673088223</v>
      </c>
      <c r="AE94" s="1221" t="e">
        <f ca="1">(AD94/Y94-1)*100</f>
        <v>#VALUE!</v>
      </c>
      <c r="AF94" s="1237"/>
      <c r="AG94" s="1238"/>
      <c r="AH94" s="1239"/>
      <c r="AI94" s="1228">
        <f ca="1">OFFSET('VVP2'!$G$288,0,(COLUMN()-6)/5)</f>
        <v>3.0845246368679327</v>
      </c>
      <c r="AJ94" s="1221">
        <f ca="1">(AI94/AD94-1)*100</f>
        <v>30.980607793015679</v>
      </c>
      <c r="AK94" s="1237"/>
      <c r="AL94" s="1238"/>
      <c r="AM94" s="1239"/>
      <c r="AN94" s="1228">
        <f ca="1">OFFSET('VVP2'!$G$288,0,(COLUMN()-6)/5)</f>
        <v>3.6374833151743515</v>
      </c>
      <c r="AO94" s="1221">
        <f ca="1">(AN94/AI94-1)*100</f>
        <v>17.926868590937907</v>
      </c>
      <c r="AP94" s="1237"/>
      <c r="AQ94" s="1238"/>
      <c r="AR94" s="1239"/>
      <c r="AS94" s="1228">
        <f ca="1">OFFSET('VVP2'!$G$288,0,(COLUMN()-6)/5)</f>
        <v>3.8467760480538118</v>
      </c>
      <c r="AT94" s="1221">
        <f ca="1">(AS94/AN94-1)*100</f>
        <v>5.7537784986218865</v>
      </c>
      <c r="AU94" s="1237"/>
      <c r="AV94" s="1238"/>
      <c r="AW94" s="1239"/>
      <c r="AX94" s="1228">
        <f ca="1">OFFSET('VVP2'!$G$288,0,(COLUMN()-6)/5)</f>
        <v>3.8693433082694626</v>
      </c>
      <c r="AY94" s="1221">
        <f ca="1">(AX94/AS94-1)*100</f>
        <v>0.58665386114868934</v>
      </c>
      <c r="AZ94" s="1237"/>
      <c r="BA94" s="1238"/>
      <c r="BB94" s="1239"/>
      <c r="BC94" s="1228">
        <f ca="1">OFFSET('VVP2'!$G$288,0,(COLUMN()-6)/5)</f>
        <v>5.029789426923946</v>
      </c>
      <c r="BD94" s="1221">
        <f ca="1">(BC94/AX94-1)*100</f>
        <v>29.990776889050075</v>
      </c>
      <c r="BE94" s="1237"/>
      <c r="BF94" s="1238"/>
      <c r="BG94" s="1239"/>
      <c r="BH94" s="1228">
        <f ca="1">OFFSET('VVP2'!$G$288,0,(COLUMN()-6)/5)</f>
        <v>6.2371992973034072</v>
      </c>
      <c r="BI94" s="1221">
        <f ca="1">(BH94/BC94-1)*100</f>
        <v>24.005177312519699</v>
      </c>
      <c r="BJ94" s="1237"/>
      <c r="BK94" s="1238"/>
      <c r="BL94" s="1239"/>
      <c r="BM94" s="1228">
        <f ca="1">OFFSET('VVP2'!$G$288,0,(COLUMN()-6)/5)</f>
        <v>7.1744999999999992</v>
      </c>
      <c r="BN94" s="1221">
        <f ca="1">(BM94/BH94-1)*100</f>
        <v>15.027589435883915</v>
      </c>
      <c r="BO94" s="1237"/>
      <c r="BP94" s="1238"/>
      <c r="BQ94" s="1239"/>
      <c r="BR94" s="1228">
        <f ca="1">OFFSET('VVP2'!$G$288,0,(COLUMN()-6)/5)</f>
        <v>8.1109000000000009</v>
      </c>
      <c r="BS94" s="1221">
        <f ca="1">(BR94/BM94-1)*100</f>
        <v>13.051780611889363</v>
      </c>
      <c r="BT94" s="1308"/>
      <c r="BU94" s="1429"/>
      <c r="BV94" s="1054"/>
      <c r="BW94" s="1228">
        <f ca="1">OFFSET('VVP2'!$G$288,0,(COLUMN()-6)/5)</f>
        <v>9.7027000000000001</v>
      </c>
      <c r="BX94" s="1221">
        <f ca="1">(BW94/BR94-1)*100</f>
        <v>19.625442306032603</v>
      </c>
      <c r="BY94" s="1308"/>
      <c r="BZ94" s="1429"/>
      <c r="CA94" s="1054"/>
      <c r="CB94" s="1228">
        <f ca="1">OFFSET('VVP2'!$G$288,0,(COLUMN()-6)/5)</f>
        <v>7.5918999999999999</v>
      </c>
      <c r="CC94" s="1221">
        <f ca="1">(CB94/BW94-1)*100</f>
        <v>-21.754769291022093</v>
      </c>
      <c r="CD94" s="1308"/>
      <c r="CE94" s="1429"/>
      <c r="CF94" s="1054"/>
      <c r="CG94" s="1228">
        <f ca="1">OFFSET('VVP2'!$G$288,0,(COLUMN()-6)/5)</f>
        <v>9.553700000000001</v>
      </c>
      <c r="CH94" s="1221">
        <f ca="1">(CG94/CB94-1)*100</f>
        <v>25.840698639339308</v>
      </c>
      <c r="CI94" s="1308"/>
      <c r="CJ94" s="1429"/>
      <c r="CK94" s="1054"/>
      <c r="CL94" s="1228">
        <f ca="1">OFFSET('VVP2'!$G$288,0,(COLUMN()-6)/5)</f>
        <v>12.371499999999999</v>
      </c>
      <c r="CM94" s="1221">
        <f ca="1">(CL94/CG94-1)*100</f>
        <v>29.494332038895909</v>
      </c>
      <c r="CN94" s="1308"/>
      <c r="CO94" s="1429"/>
      <c r="CP94" s="1054"/>
      <c r="CQ94" s="1228">
        <f ca="1">OFFSET('VVP2'!$G$288,0,(COLUMN()-6)/5)</f>
        <v>13.9255</v>
      </c>
      <c r="CR94" s="1221">
        <f ca="1">(CQ94/CL94-1)*100</f>
        <v>12.561128399951492</v>
      </c>
      <c r="CS94" s="1308"/>
      <c r="CT94" s="1429"/>
      <c r="CU94" s="1054"/>
      <c r="CV94" s="1228">
        <f ca="1">OFFSET('VVP2'!$G$288,0,(COLUMN()-6)/5)</f>
        <v>13.612299999999999</v>
      </c>
      <c r="CW94" s="1221">
        <f ca="1">(CV94/CQ94-1)*100</f>
        <v>-2.2491113425011644</v>
      </c>
      <c r="CX94" s="1308"/>
      <c r="CY94" s="1429"/>
      <c r="CZ94" s="1054"/>
      <c r="DA94" s="1228">
        <f ca="1">OFFSET('VVP2'!$G$288,0,(COLUMN()-6)/5)</f>
        <v>13.358299999999998</v>
      </c>
      <c r="DB94" s="1221">
        <f ca="1">(DA94/CV94-1)*100</f>
        <v>-1.865959463132616</v>
      </c>
      <c r="DC94" s="1308"/>
      <c r="DD94" s="1429"/>
      <c r="DE94" s="1054"/>
      <c r="DF94" s="1228">
        <f ca="1">OFFSET('VVP2'!$G$288,0,(COLUMN()-6)/5)</f>
        <v>14.048900000000001</v>
      </c>
      <c r="DG94" s="1221">
        <f ca="1">(DF94/DA94-1)*100</f>
        <v>5.1698195129620039</v>
      </c>
      <c r="DH94" s="1308"/>
      <c r="DI94" s="1429"/>
      <c r="DJ94" s="1054"/>
      <c r="DK94" s="1210">
        <f ca="1">OFFSET('VVP2'!$G$288,0,(COLUMN()-6)/5)</f>
        <v>13.721000000000002</v>
      </c>
      <c r="DL94" s="1221">
        <f ca="1">(DK94/DF94-1)*100</f>
        <v>-2.3339905615386236</v>
      </c>
      <c r="DM94" s="1308"/>
      <c r="DN94" s="1429"/>
      <c r="DO94" s="1054"/>
      <c r="DP94" s="1210">
        <f ca="1">OFFSET('VVP2'!$G$288,0,(COLUMN()-6)/5)</f>
        <v>15.371</v>
      </c>
      <c r="DQ94" s="1221">
        <f ca="1">(DP94/DK94-1)*100</f>
        <v>12.025362582902099</v>
      </c>
      <c r="DR94" s="1308"/>
      <c r="DS94" s="1429"/>
      <c r="DT94" s="1054"/>
      <c r="DU94" s="1210">
        <f ca="1">+DU96-DU95</f>
        <v>17.659465447348634</v>
      </c>
      <c r="DV94" s="1430">
        <f ca="1">(DU94/DP94-1)*100</f>
        <v>14.888201466063578</v>
      </c>
      <c r="DW94" s="1308"/>
      <c r="DX94" s="1429"/>
      <c r="DY94" s="1054"/>
      <c r="DZ94" s="1210">
        <f ca="1">+DZ96-DZ95</f>
        <v>18.927709970692618</v>
      </c>
      <c r="EA94" s="1430">
        <f ca="1">(DZ94/DU94-1)*100</f>
        <v>7.1816699498930658</v>
      </c>
      <c r="EB94" s="3654"/>
      <c r="EC94"/>
      <c r="ED94"/>
      <c r="EE94"/>
      <c r="EF94"/>
      <c r="EG94"/>
      <c r="EH94"/>
      <c r="EI94"/>
      <c r="EJ94"/>
      <c r="EK94"/>
      <c r="EL94"/>
      <c r="EM94"/>
      <c r="EN94"/>
      <c r="EO94"/>
    </row>
    <row r="95" spans="1:145" s="1295" customFormat="1">
      <c r="A95" s="1458"/>
      <c r="C95" s="1301" t="s">
        <v>1767</v>
      </c>
      <c r="D95" s="1302"/>
      <c r="E95" s="1302" t="s">
        <v>625</v>
      </c>
      <c r="F95" s="1303" t="s">
        <v>623</v>
      </c>
      <c r="G95" s="1246"/>
      <c r="H95" s="1247"/>
      <c r="I95" s="1248"/>
      <c r="J95" s="1231" t="e">
        <f ca="1">OFFSET('VVP2'!$G$289,0,(COLUMN()-6)/5)</f>
        <v>#VALUE!</v>
      </c>
      <c r="K95" s="1249"/>
      <c r="L95" s="1246"/>
      <c r="M95" s="1247"/>
      <c r="N95" s="1248"/>
      <c r="O95" s="1231" t="e">
        <f ca="1">OFFSET('VVP2'!$G$289,0,(COLUMN()-6)/5)</f>
        <v>#VALUE!</v>
      </c>
      <c r="P95" s="1218" t="e">
        <f ca="1">(O95/J95-1)*100</f>
        <v>#VALUE!</v>
      </c>
      <c r="Q95" s="1246"/>
      <c r="R95" s="1247"/>
      <c r="S95" s="1248"/>
      <c r="T95" s="1231" t="e">
        <f ca="1">OFFSET('VVP2'!$G$289,0,(COLUMN()-6)/5)</f>
        <v>#VALUE!</v>
      </c>
      <c r="U95" s="1218" t="e">
        <f ca="1">(T95/O95-1)*100</f>
        <v>#VALUE!</v>
      </c>
      <c r="V95" s="1246"/>
      <c r="W95" s="1247"/>
      <c r="X95" s="1248"/>
      <c r="Y95" s="1231" t="e">
        <f ca="1">OFFSET('VVP2'!$G$289,0,(COLUMN()-6)/5)</f>
        <v>#VALUE!</v>
      </c>
      <c r="Z95" s="1218" t="e">
        <f ca="1">(Y95/T95-1)*100</f>
        <v>#VALUE!</v>
      </c>
      <c r="AA95" s="1246"/>
      <c r="AB95" s="1247"/>
      <c r="AC95" s="1248"/>
      <c r="AD95" s="1231">
        <f ca="1">OFFSET('VVP2'!$G$289,0,(COLUMN()-6)/5)</f>
        <v>0.83656273642823209</v>
      </c>
      <c r="AE95" s="1218" t="e">
        <f ca="1">(AD95/Y95-1)*100</f>
        <v>#VALUE!</v>
      </c>
      <c r="AF95" s="1246"/>
      <c r="AG95" s="1247"/>
      <c r="AH95" s="1248"/>
      <c r="AI95" s="1231">
        <f ca="1">OFFSET('VVP2'!$G$289,0,(COLUMN()-6)/5)</f>
        <v>1.0408745617298429</v>
      </c>
      <c r="AJ95" s="1218">
        <f ca="1">(AI95/AD95-1)*100</f>
        <v>24.42277385841205</v>
      </c>
      <c r="AK95" s="1246"/>
      <c r="AL95" s="1247"/>
      <c r="AM95" s="1248"/>
      <c r="AN95" s="1231">
        <f ca="1">OFFSET('VVP2'!$G$289,0,(COLUMN()-6)/5)</f>
        <v>1.3228155239153734</v>
      </c>
      <c r="AO95" s="1218">
        <f ca="1">(AN95/AI95-1)*100</f>
        <v>27.086929833021301</v>
      </c>
      <c r="AP95" s="1246"/>
      <c r="AQ95" s="1247"/>
      <c r="AR95" s="1248"/>
      <c r="AS95" s="1231">
        <f ca="1">OFFSET('VVP2'!$G$289,0,(COLUMN()-6)/5)</f>
        <v>1.7004605690360302</v>
      </c>
      <c r="AT95" s="1218">
        <f ca="1">(AS95/AN95-1)*100</f>
        <v>28.548579774969163</v>
      </c>
      <c r="AU95" s="1246"/>
      <c r="AV95" s="1247"/>
      <c r="AW95" s="1248"/>
      <c r="AX95" s="1231">
        <f ca="1">OFFSET('VVP2'!$G$289,0,(COLUMN()-6)/5)</f>
        <v>2.2887664661102876</v>
      </c>
      <c r="AY95" s="1218">
        <f ca="1">(AX95/AS95-1)*100</f>
        <v>34.596856156903463</v>
      </c>
      <c r="AZ95" s="1246"/>
      <c r="BA95" s="1247"/>
      <c r="BB95" s="1248"/>
      <c r="BC95" s="1231">
        <f ca="1">OFFSET('VVP2'!$G$289,0,(COLUMN()-6)/5)</f>
        <v>2.4482435284401056</v>
      </c>
      <c r="BD95" s="1218">
        <f ca="1">(BC95/AX95-1)*100</f>
        <v>6.9678171491583507</v>
      </c>
      <c r="BE95" s="1246"/>
      <c r="BF95" s="1247"/>
      <c r="BG95" s="1248"/>
      <c r="BH95" s="1231">
        <f ca="1">OFFSET('VVP2'!$G$289,0,(COLUMN()-6)/5)</f>
        <v>3.2526996335437048</v>
      </c>
      <c r="BI95" s="1218">
        <f ca="1">(BH95/BC95-1)*100</f>
        <v>32.858500216935418</v>
      </c>
      <c r="BJ95" s="1246"/>
      <c r="BK95" s="1247"/>
      <c r="BL95" s="1248"/>
      <c r="BM95" s="1231">
        <f ca="1">OFFSET('VVP2'!$G$289,0,(COLUMN()-6)/5)</f>
        <v>4.0882000000000005</v>
      </c>
      <c r="BN95" s="1218">
        <f ca="1">(BM95/BH95-1)*100</f>
        <v>25.686367036173174</v>
      </c>
      <c r="BO95" s="1246"/>
      <c r="BP95" s="1247"/>
      <c r="BQ95" s="1248"/>
      <c r="BR95" s="1231">
        <f ca="1">OFFSET('VVP2'!$G$289,0,(COLUMN()-6)/5)</f>
        <v>4.3986999999999998</v>
      </c>
      <c r="BS95" s="1218">
        <f ca="1">(BR95/BM95-1)*100</f>
        <v>7.5950295973778115</v>
      </c>
      <c r="BT95" s="1205"/>
      <c r="BU95" s="1408"/>
      <c r="BV95" s="881"/>
      <c r="BW95" s="1231">
        <f ca="1">OFFSET('VVP2'!$G$289,0,(COLUMN()-6)/5)</f>
        <v>6.3744000000000005</v>
      </c>
      <c r="BX95" s="1218">
        <f ca="1">(BW95/BR95-1)*100</f>
        <v>44.915543228681209</v>
      </c>
      <c r="BY95" s="1205"/>
      <c r="BZ95" s="1408"/>
      <c r="CA95" s="881"/>
      <c r="CB95" s="1231">
        <f ca="1">OFFSET('VVP2'!$G$289,0,(COLUMN()-6)/5)</f>
        <v>4.2051000000000016</v>
      </c>
      <c r="CC95" s="1218">
        <f ca="1">(CB95/BW95-1)*100</f>
        <v>-34.031438253012027</v>
      </c>
      <c r="CD95" s="1205"/>
      <c r="CE95" s="1408"/>
      <c r="CF95" s="881"/>
      <c r="CG95" s="1231">
        <f ca="1">OFFSET('VVP2'!$G$289,0,(COLUMN()-6)/5)</f>
        <v>6.0972999999999979</v>
      </c>
      <c r="CH95" s="1218">
        <f ca="1">(CG95/CB95-1)*100</f>
        <v>44.997740838505521</v>
      </c>
      <c r="CI95" s="1205"/>
      <c r="CJ95" s="1408"/>
      <c r="CK95" s="881"/>
      <c r="CL95" s="1231">
        <f ca="1">OFFSET('VVP2'!$G$289,0,(COLUMN()-6)/5)</f>
        <v>7.7796000000000012</v>
      </c>
      <c r="CM95" s="1218">
        <f ca="1">(CL95/CG95-1)*100</f>
        <v>27.590900890558178</v>
      </c>
      <c r="CN95" s="1205"/>
      <c r="CO95" s="1408"/>
      <c r="CP95" s="881"/>
      <c r="CQ95" s="1231">
        <f ca="1">OFFSET('VVP2'!$G$289,0,(COLUMN()-6)/5)</f>
        <v>9.1219000000000019</v>
      </c>
      <c r="CR95" s="1218">
        <f ca="1">(CQ95/CL95-1)*100</f>
        <v>17.254100467890375</v>
      </c>
      <c r="CS95" s="1205"/>
      <c r="CT95" s="1408"/>
      <c r="CU95" s="881"/>
      <c r="CV95" s="1231">
        <f ca="1">OFFSET('VVP2'!$G$289,0,(COLUMN()-6)/5)</f>
        <v>10.932100000000004</v>
      </c>
      <c r="CW95" s="1218">
        <f ca="1">(CV95/CQ95-1)*100</f>
        <v>19.844549929291055</v>
      </c>
      <c r="CX95" s="1205"/>
      <c r="CY95" s="1408"/>
      <c r="CZ95" s="881"/>
      <c r="DA95" s="1231">
        <f ca="1">OFFSET('VVP2'!$G$289,0,(COLUMN()-6)/5)</f>
        <v>11.002800000000001</v>
      </c>
      <c r="DB95" s="1218">
        <f ca="1">(DA95/CV95-1)*100</f>
        <v>0.64671929455453192</v>
      </c>
      <c r="DC95" s="1205"/>
      <c r="DD95" s="1408"/>
      <c r="DE95" s="881"/>
      <c r="DF95" s="1231">
        <f ca="1">OFFSET('VVP2'!$G$289,0,(COLUMN()-6)/5)</f>
        <v>8.8555000000000046</v>
      </c>
      <c r="DG95" s="1218">
        <f ca="1">(DF95/DA95-1)*100</f>
        <v>-19.515941396735336</v>
      </c>
      <c r="DH95" s="1205"/>
      <c r="DI95" s="1408"/>
      <c r="DJ95" s="881"/>
      <c r="DK95" s="1210">
        <f ca="1">OFFSET('VVP2'!$G$289,0,(COLUMN()-6)/5)</f>
        <v>8.8862000000000005</v>
      </c>
      <c r="DL95" s="1218">
        <f ca="1">(DK95/DF95-1)*100</f>
        <v>0.3466772062559631</v>
      </c>
      <c r="DM95" s="1205"/>
      <c r="DN95" s="1408"/>
      <c r="DO95" s="881"/>
      <c r="DP95" s="1210">
        <f ca="1">OFFSET('VVP2'!$G$289,0,(COLUMN()-6)/5)</f>
        <v>11.070200000000003</v>
      </c>
      <c r="DQ95" s="1218">
        <f ca="1">(DP95/DK95-1)*100</f>
        <v>24.577434673988918</v>
      </c>
      <c r="DR95" s="1205"/>
      <c r="DS95" s="1408"/>
      <c r="DT95" s="881"/>
      <c r="DU95" s="1210">
        <f ca="1">+DP95*(1+DV95/100)</f>
        <v>12.398624000000005</v>
      </c>
      <c r="DV95" s="2252">
        <v>12</v>
      </c>
      <c r="DW95" s="1205"/>
      <c r="DX95" s="1408"/>
      <c r="DY95" s="881"/>
      <c r="DZ95" s="1210">
        <f ca="1">+DU95*(1+EA95/100)</f>
        <v>13.080548320000005</v>
      </c>
      <c r="EA95" s="2252">
        <v>5.5</v>
      </c>
      <c r="EB95" s="3654"/>
      <c r="EC95"/>
      <c r="ED95"/>
      <c r="EE95"/>
      <c r="EF95"/>
      <c r="EG95"/>
      <c r="EH95"/>
      <c r="EI95"/>
      <c r="EJ95"/>
      <c r="EK95"/>
      <c r="EL95"/>
      <c r="EM95"/>
      <c r="EN95"/>
      <c r="EO95"/>
    </row>
    <row r="96" spans="1:145" s="28" customFormat="1">
      <c r="A96" s="1457"/>
      <c r="C96" s="176" t="s">
        <v>1769</v>
      </c>
      <c r="D96" s="1150"/>
      <c r="E96" s="1150" t="s">
        <v>1451</v>
      </c>
      <c r="F96" s="1140" t="s">
        <v>168</v>
      </c>
      <c r="G96" s="1233"/>
      <c r="H96" s="1233"/>
      <c r="I96" s="1233"/>
      <c r="J96" s="1234" t="e">
        <f ca="1">+J94+J95</f>
        <v>#VALUE!</v>
      </c>
      <c r="K96" s="1233"/>
      <c r="L96" s="1233"/>
      <c r="M96" s="1233"/>
      <c r="N96" s="1233"/>
      <c r="O96" s="1234" t="e">
        <f ca="1">+O94+O95</f>
        <v>#VALUE!</v>
      </c>
      <c r="P96" s="1234" t="e">
        <f ca="1">(O96/J96-1)*100</f>
        <v>#VALUE!</v>
      </c>
      <c r="Q96" s="1233"/>
      <c r="R96" s="1233"/>
      <c r="S96" s="1233"/>
      <c r="T96" s="1234" t="e">
        <f ca="1">+T94+T95</f>
        <v>#VALUE!</v>
      </c>
      <c r="U96" s="1234" t="e">
        <f ca="1">(T96/O96-1)*100</f>
        <v>#VALUE!</v>
      </c>
      <c r="V96" s="1233"/>
      <c r="W96" s="1233"/>
      <c r="X96" s="1233"/>
      <c r="Y96" s="1234" t="e">
        <f ca="1">+Y94+Y95</f>
        <v>#VALUE!</v>
      </c>
      <c r="Z96" s="1234" t="e">
        <f ca="1">(Y96/T96-1)*100</f>
        <v>#VALUE!</v>
      </c>
      <c r="AA96" s="1233"/>
      <c r="AB96" s="1233"/>
      <c r="AC96" s="1233"/>
      <c r="AD96" s="1234">
        <f ca="1">+AD94+AD95</f>
        <v>3.1915103037370542</v>
      </c>
      <c r="AE96" s="1234" t="e">
        <f ca="1">(AD96/Y96-1)*100</f>
        <v>#VALUE!</v>
      </c>
      <c r="AF96" s="1233"/>
      <c r="AG96" s="1233"/>
      <c r="AH96" s="1233"/>
      <c r="AI96" s="1234">
        <f ca="1">+AI94+AI95</f>
        <v>4.1253991985977754</v>
      </c>
      <c r="AJ96" s="1234">
        <f ca="1">(AI96/AD96-1)*100</f>
        <v>29.261660028707936</v>
      </c>
      <c r="AK96" s="1233"/>
      <c r="AL96" s="1233"/>
      <c r="AM96" s="1233"/>
      <c r="AN96" s="1234">
        <f ca="1">+AN94+AN95</f>
        <v>4.9602988390897247</v>
      </c>
      <c r="AO96" s="1234">
        <f ca="1">(AN96/AI96-1)*100</f>
        <v>20.238032740582579</v>
      </c>
      <c r="AP96" s="1233"/>
      <c r="AQ96" s="1233"/>
      <c r="AR96" s="1233"/>
      <c r="AS96" s="1234">
        <f ca="1">+AS94+AS95</f>
        <v>5.5472366170898422</v>
      </c>
      <c r="AT96" s="1234">
        <f ca="1">(AS96/AN96-1)*100</f>
        <v>11.832710024943328</v>
      </c>
      <c r="AU96" s="1233"/>
      <c r="AV96" s="1233"/>
      <c r="AW96" s="1233"/>
      <c r="AX96" s="1234">
        <f ca="1">+AX94+AX95</f>
        <v>6.1581097743797502</v>
      </c>
      <c r="AY96" s="1234">
        <f ca="1">(AX96/AS96-1)*100</f>
        <v>11.01220660766371</v>
      </c>
      <c r="AZ96" s="1233"/>
      <c r="BA96" s="1233"/>
      <c r="BB96" s="1233"/>
      <c r="BC96" s="1234">
        <f ca="1">+BC94+BC95</f>
        <v>7.4780329553640517</v>
      </c>
      <c r="BD96" s="1234">
        <f ca="1">(BC96/AX96-1)*100</f>
        <v>21.43390146235653</v>
      </c>
      <c r="BE96" s="1233"/>
      <c r="BF96" s="1233"/>
      <c r="BG96" s="1233"/>
      <c r="BH96" s="1234">
        <f ca="1">+BH94+BH95</f>
        <v>9.4898989308471116</v>
      </c>
      <c r="BI96" s="1234">
        <f ca="1">(BH96/BC96-1)*100</f>
        <v>26.903678915187612</v>
      </c>
      <c r="BJ96" s="1233"/>
      <c r="BK96" s="1233"/>
      <c r="BL96" s="1233"/>
      <c r="BM96" s="1234">
        <f ca="1">+BM94+BM95</f>
        <v>11.262699999999999</v>
      </c>
      <c r="BN96" s="1234">
        <f ca="1">(BM96/BH96-1)*100</f>
        <v>18.68092676298545</v>
      </c>
      <c r="BO96" s="1233"/>
      <c r="BP96" s="1233"/>
      <c r="BQ96" s="1233"/>
      <c r="BR96" s="1234">
        <f ca="1">+BR94+BR95</f>
        <v>12.509600000000001</v>
      </c>
      <c r="BS96" s="1234">
        <f ca="1">(BR96/BM96-1)*100</f>
        <v>11.071057561685937</v>
      </c>
      <c r="BT96" s="1404"/>
      <c r="BU96" s="1398"/>
      <c r="BV96" s="1398"/>
      <c r="BW96" s="1398">
        <f ca="1">+BR96*(1+BX96/100)</f>
        <v>16.523908215072485</v>
      </c>
      <c r="BX96" s="1405">
        <f ca="1">+BX87</f>
        <v>32.089820738252882</v>
      </c>
      <c r="BY96" s="1404"/>
      <c r="BZ96" s="1398"/>
      <c r="CA96" s="1398"/>
      <c r="CB96" s="1398">
        <f ca="1">+BW96*(1+CC96/100)</f>
        <v>11.99031385864877</v>
      </c>
      <c r="CC96" s="1405">
        <f ca="1">+CC87</f>
        <v>-27.436574310479045</v>
      </c>
      <c r="CD96" s="1404"/>
      <c r="CE96" s="1398"/>
      <c r="CF96" s="1398"/>
      <c r="CG96" s="1398">
        <f ca="1">+CB96*(1+CH96/100)</f>
        <v>16.149808756837082</v>
      </c>
      <c r="CH96" s="1405">
        <f ca="1">+CH87</f>
        <v>34.690458875586593</v>
      </c>
      <c r="CI96" s="1404"/>
      <c r="CJ96" s="1398"/>
      <c r="CK96" s="1398"/>
      <c r="CL96" s="1398">
        <f ca="1">+CG96*(1+CM96/100)</f>
        <v>21.063782028396481</v>
      </c>
      <c r="CM96" s="1405">
        <f ca="1">+CM87</f>
        <v>30.427439392921919</v>
      </c>
      <c r="CN96" s="1404"/>
      <c r="CO96" s="1398"/>
      <c r="CP96" s="1398"/>
      <c r="CQ96" s="1398">
        <f ca="1">+CL96*(1+CR96/100)</f>
        <v>24.323037066616504</v>
      </c>
      <c r="CR96" s="1405">
        <f ca="1">+CR87</f>
        <v>15.473266072665194</v>
      </c>
      <c r="CS96" s="1404"/>
      <c r="CT96" s="1398"/>
      <c r="CU96" s="1398"/>
      <c r="CV96" s="1398">
        <f ca="1">+CQ96*(1+CW96/100)</f>
        <v>26.026299080760126</v>
      </c>
      <c r="CW96" s="1405">
        <f ca="1">+CW87</f>
        <v>7.0026699769386802</v>
      </c>
      <c r="CX96" s="1404"/>
      <c r="CY96" s="1398"/>
      <c r="CZ96" s="1398"/>
      <c r="DA96" s="1398">
        <f ca="1">+CV96*(1+DB96/100)</f>
        <v>25.757269360780199</v>
      </c>
      <c r="DB96" s="1405">
        <f ca="1">+DB87</f>
        <v>-1.0336841175348055</v>
      </c>
      <c r="DC96" s="1404"/>
      <c r="DD96" s="1398"/>
      <c r="DE96" s="1398"/>
      <c r="DF96" s="1398">
        <f ca="1">+DA96*(1+DG96/100)</f>
        <v>24.195311394915965</v>
      </c>
      <c r="DG96" s="1405">
        <f ca="1">+DG87</f>
        <v>-6.0641442382187378</v>
      </c>
      <c r="DH96" s="1404"/>
      <c r="DI96" s="1398"/>
      <c r="DJ96" s="1398"/>
      <c r="DK96" s="1398">
        <f ca="1">+DF96*(1+DL96/100)</f>
        <v>23.775075823288859</v>
      </c>
      <c r="DL96" s="1405">
        <f ca="1">+DL87</f>
        <v>-1.7368471302890875</v>
      </c>
      <c r="DM96" s="1404"/>
      <c r="DN96" s="1398"/>
      <c r="DO96" s="1398"/>
      <c r="DP96" s="1398">
        <f ca="1">+DK96*(1+DQ96/100)</f>
        <v>27.929939757580069</v>
      </c>
      <c r="DQ96" s="1405">
        <f ca="1">+DQ87</f>
        <v>17.475712654599885</v>
      </c>
      <c r="DR96" s="1404"/>
      <c r="DS96" s="1398"/>
      <c r="DT96" s="1398"/>
      <c r="DU96" s="1398">
        <f ca="1">+DP96*(1+DV96/100)</f>
        <v>30.058089447348639</v>
      </c>
      <c r="DV96" s="1405">
        <f ca="1">+DV87</f>
        <v>7.619599999999993</v>
      </c>
      <c r="DW96" s="1404"/>
      <c r="DX96" s="1398"/>
      <c r="DY96" s="1398"/>
      <c r="DZ96" s="1398">
        <f ca="1">+DU96*(1+EA96/100)</f>
        <v>32.008258290692623</v>
      </c>
      <c r="EA96" s="1405">
        <f ca="1">+EA87</f>
        <v>6.4880000000000049</v>
      </c>
      <c r="EB96" s="3654"/>
      <c r="EC96"/>
      <c r="ED96"/>
      <c r="EE96"/>
      <c r="EF96"/>
      <c r="EG96"/>
      <c r="EH96"/>
      <c r="EI96"/>
      <c r="EJ96"/>
      <c r="EK96"/>
      <c r="EL96"/>
      <c r="EM96"/>
      <c r="EN96"/>
      <c r="EO96"/>
    </row>
    <row r="97" spans="1:145">
      <c r="BM97" s="1444"/>
      <c r="BR97" s="1444"/>
      <c r="CG97" s="3198">
        <f ca="1">CG95/CG96</f>
        <v>0.37754626644842981</v>
      </c>
      <c r="CH97" s="3194">
        <f ca="1">CH95/CH96</f>
        <v>1.2971215226608801</v>
      </c>
      <c r="CI97" s="3194"/>
      <c r="CJ97" s="3194"/>
      <c r="CK97" s="3194"/>
      <c r="CL97" s="1394">
        <f ca="1">CL94/CL96</f>
        <v>0.58733517007163039</v>
      </c>
      <c r="CM97" s="3194">
        <f ca="1">CM94/CM96</f>
        <v>0.96933335920987584</v>
      </c>
      <c r="CN97" s="3194"/>
      <c r="CO97" s="3194"/>
      <c r="CP97" s="3194"/>
      <c r="CQ97" s="1394">
        <f ca="1">CQ94/CQ96</f>
        <v>0.57252307603941544</v>
      </c>
      <c r="CR97" s="3194">
        <f ca="1">CR94/CR96</f>
        <v>0.81179554083554251</v>
      </c>
      <c r="CS97" s="3194"/>
      <c r="CT97" s="3194"/>
      <c r="CU97" s="3194"/>
      <c r="CV97" s="1394">
        <f ca="1">CV94/CV96</f>
        <v>0.52302096267167153</v>
      </c>
      <c r="CW97" s="3194">
        <f ca="1">CW94/CW96</f>
        <v>-0.32117911452459974</v>
      </c>
      <c r="DA97" s="1394">
        <f ca="1">DA94/DA96</f>
        <v>0.51862252216612181</v>
      </c>
      <c r="DB97" s="3194">
        <f ca="1">DB94/DB96</f>
        <v>1.8051544291719144</v>
      </c>
      <c r="DF97" s="1394">
        <f ca="1">DF94/DF96</f>
        <v>0.58064555445035615</v>
      </c>
      <c r="DG97" s="3194">
        <f ca="1">DG94/DG96</f>
        <v>-0.85252251758453723</v>
      </c>
      <c r="DK97" s="1394">
        <f ca="1">DK94/DK96</f>
        <v>0.57711698174941706</v>
      </c>
      <c r="DL97" s="3194">
        <f ca="1">DL94/DL96</f>
        <v>1.3438088596491191</v>
      </c>
      <c r="DM97">
        <v>6.7</v>
      </c>
      <c r="DP97" s="1394">
        <f ca="1">DP94/DP96</f>
        <v>0.55034132308962014</v>
      </c>
      <c r="DQ97" s="3194">
        <f ca="1">DQ94/DQ96</f>
        <v>0.68811858037370699</v>
      </c>
      <c r="DU97" s="1394">
        <f ca="1">DU94/DU96</f>
        <v>0.58751124146735612</v>
      </c>
      <c r="DV97" s="3194">
        <f ca="1">DV94/DV96</f>
        <v>1.9539347821491406</v>
      </c>
      <c r="DZ97" s="1394">
        <f ca="1">DZ94/DZ96</f>
        <v>0.59133832896482297</v>
      </c>
      <c r="EA97" s="3194">
        <f ca="1">EA94/EA96</f>
        <v>1.1069158369132337</v>
      </c>
    </row>
    <row r="98" spans="1:145">
      <c r="DM98">
        <v>11.74</v>
      </c>
    </row>
    <row r="99" spans="1:145">
      <c r="B99" s="1"/>
      <c r="C99" s="774"/>
      <c r="D99" s="3751"/>
      <c r="E99" s="3751" t="s">
        <v>1589</v>
      </c>
      <c r="F99" s="3751"/>
      <c r="G99" s="3753">
        <f>+InputY!$G$3</f>
        <v>1995</v>
      </c>
      <c r="H99" s="3754"/>
      <c r="I99" s="3754"/>
      <c r="J99" s="3754"/>
      <c r="K99" s="3755"/>
      <c r="L99" s="3753">
        <f>+G99+1</f>
        <v>1996</v>
      </c>
      <c r="M99" s="3754"/>
      <c r="N99" s="3754"/>
      <c r="O99" s="3754"/>
      <c r="P99" s="3755"/>
      <c r="Q99" s="3753">
        <f>+L99+1</f>
        <v>1997</v>
      </c>
      <c r="R99" s="3754"/>
      <c r="S99" s="3754"/>
      <c r="T99" s="3754"/>
      <c r="U99" s="3755"/>
      <c r="V99" s="3753">
        <f>+Q99+1</f>
        <v>1998</v>
      </c>
      <c r="W99" s="3754"/>
      <c r="X99" s="3754"/>
      <c r="Y99" s="3754"/>
      <c r="Z99" s="3755"/>
      <c r="AA99" s="3753">
        <f>+V99+1</f>
        <v>1999</v>
      </c>
      <c r="AB99" s="3754"/>
      <c r="AC99" s="3754"/>
      <c r="AD99" s="3754"/>
      <c r="AE99" s="3755"/>
      <c r="AF99" s="3753">
        <f>+AA99+1</f>
        <v>2000</v>
      </c>
      <c r="AG99" s="3754"/>
      <c r="AH99" s="3754"/>
      <c r="AI99" s="3754"/>
      <c r="AJ99" s="3755"/>
      <c r="AK99" s="3753">
        <f>+AF99+1</f>
        <v>2001</v>
      </c>
      <c r="AL99" s="3754"/>
      <c r="AM99" s="3754"/>
      <c r="AN99" s="3754"/>
      <c r="AO99" s="3755"/>
      <c r="AP99" s="3753">
        <f>+AK99+1</f>
        <v>2002</v>
      </c>
      <c r="AQ99" s="3754"/>
      <c r="AR99" s="3754"/>
      <c r="AS99" s="3754"/>
      <c r="AT99" s="3755"/>
      <c r="AU99" s="3753">
        <f>+AP99+1</f>
        <v>2003</v>
      </c>
      <c r="AV99" s="3754"/>
      <c r="AW99" s="3754"/>
      <c r="AX99" s="3754"/>
      <c r="AY99" s="3755"/>
      <c r="AZ99" s="3753">
        <f>+AU99+1</f>
        <v>2004</v>
      </c>
      <c r="BA99" s="3754"/>
      <c r="BB99" s="3754"/>
      <c r="BC99" s="3754"/>
      <c r="BD99" s="3755"/>
      <c r="BE99" s="3753">
        <f>+AZ99+1</f>
        <v>2005</v>
      </c>
      <c r="BF99" s="3754"/>
      <c r="BG99" s="3754"/>
      <c r="BH99" s="3754"/>
      <c r="BI99" s="3755"/>
      <c r="BJ99" s="3753">
        <f>+BE99+1</f>
        <v>2006</v>
      </c>
      <c r="BK99" s="3754"/>
      <c r="BL99" s="3754"/>
      <c r="BM99" s="3754"/>
      <c r="BN99" s="3755"/>
      <c r="BO99" s="3753">
        <f>+BJ99+1</f>
        <v>2007</v>
      </c>
      <c r="BP99" s="3754"/>
      <c r="BQ99" s="3754"/>
      <c r="BR99" s="3754"/>
      <c r="BS99" s="3755"/>
      <c r="BT99" s="3753">
        <f>+BO99+1</f>
        <v>2008</v>
      </c>
      <c r="BU99" s="3754"/>
      <c r="BV99" s="3754"/>
      <c r="BW99" s="3754"/>
      <c r="BX99" s="3755"/>
      <c r="BY99" s="3753">
        <f>+BT99+1</f>
        <v>2009</v>
      </c>
      <c r="BZ99" s="3754"/>
      <c r="CA99" s="3754"/>
      <c r="CB99" s="3754"/>
      <c r="CC99" s="3755"/>
      <c r="CD99" s="3753">
        <f>+BY99+1</f>
        <v>2010</v>
      </c>
      <c r="CE99" s="3754"/>
      <c r="CF99" s="3754"/>
      <c r="CG99" s="3754"/>
      <c r="CH99" s="3755"/>
      <c r="CI99" s="3753">
        <f>+CD99+1</f>
        <v>2011</v>
      </c>
      <c r="CJ99" s="3754"/>
      <c r="CK99" s="3754"/>
      <c r="CL99" s="3754"/>
      <c r="CM99" s="3755"/>
      <c r="CN99" s="3753">
        <f>+CI99+1</f>
        <v>2012</v>
      </c>
      <c r="CO99" s="3754"/>
      <c r="CP99" s="3754"/>
      <c r="CQ99" s="3754"/>
      <c r="CR99" s="3755"/>
      <c r="CS99" s="3753">
        <f>+CN99+1</f>
        <v>2013</v>
      </c>
      <c r="CT99" s="3754"/>
      <c r="CU99" s="3754"/>
      <c r="CV99" s="3754"/>
      <c r="CW99" s="3755"/>
      <c r="CX99" s="3753">
        <f>+CS99+1</f>
        <v>2014</v>
      </c>
      <c r="CY99" s="3754"/>
      <c r="CZ99" s="3754"/>
      <c r="DA99" s="3754"/>
      <c r="DB99" s="3755"/>
      <c r="DC99" s="3753">
        <f>+CX99+1</f>
        <v>2015</v>
      </c>
      <c r="DD99" s="3754"/>
      <c r="DE99" s="3754"/>
      <c r="DF99" s="3754"/>
      <c r="DG99" s="3755"/>
      <c r="DH99" s="3753">
        <f>+DC99+1</f>
        <v>2016</v>
      </c>
      <c r="DI99" s="3754"/>
      <c r="DJ99" s="3754"/>
      <c r="DK99" s="3754"/>
      <c r="DL99" s="3755"/>
      <c r="DM99" s="3753">
        <f>+DH99+1</f>
        <v>2017</v>
      </c>
      <c r="DN99" s="3754"/>
      <c r="DO99" s="3754"/>
      <c r="DP99" s="3754"/>
      <c r="DQ99" s="3755"/>
      <c r="DR99" s="3753">
        <f>+DM99+1</f>
        <v>2018</v>
      </c>
      <c r="DS99" s="3754"/>
      <c r="DT99" s="3754"/>
      <c r="DU99" s="3754"/>
      <c r="DV99" s="3755"/>
      <c r="DW99" s="3753">
        <f>+DR99+1</f>
        <v>2019</v>
      </c>
      <c r="DX99" s="3754"/>
      <c r="DY99" s="3754"/>
      <c r="DZ99" s="3754"/>
      <c r="EA99" s="3755"/>
    </row>
    <row r="100" spans="1:145">
      <c r="B100" s="1"/>
      <c r="C100" s="774"/>
      <c r="D100" s="3751"/>
      <c r="E100" s="3751"/>
      <c r="F100" s="3751"/>
      <c r="G100" s="1252" t="s">
        <v>1486</v>
      </c>
      <c r="H100" s="1253" t="s">
        <v>1732</v>
      </c>
      <c r="I100" s="1252" t="s">
        <v>2022</v>
      </c>
      <c r="J100" s="1253" t="s">
        <v>584</v>
      </c>
      <c r="K100" s="1252" t="s">
        <v>2023</v>
      </c>
      <c r="L100" s="1252" t="s">
        <v>1486</v>
      </c>
      <c r="M100" s="1253" t="s">
        <v>1732</v>
      </c>
      <c r="N100" s="1252" t="s">
        <v>2022</v>
      </c>
      <c r="O100" s="1253" t="s">
        <v>584</v>
      </c>
      <c r="P100" s="1252" t="s">
        <v>2023</v>
      </c>
      <c r="Q100" s="1252" t="s">
        <v>1486</v>
      </c>
      <c r="R100" s="1253" t="s">
        <v>1732</v>
      </c>
      <c r="S100" s="1252" t="s">
        <v>2022</v>
      </c>
      <c r="T100" s="1253" t="s">
        <v>584</v>
      </c>
      <c r="U100" s="1252" t="s">
        <v>2023</v>
      </c>
      <c r="V100" s="1252" t="s">
        <v>1486</v>
      </c>
      <c r="W100" s="1253" t="s">
        <v>1732</v>
      </c>
      <c r="X100" s="1252" t="s">
        <v>2022</v>
      </c>
      <c r="Y100" s="1253" t="s">
        <v>584</v>
      </c>
      <c r="Z100" s="1252" t="s">
        <v>2023</v>
      </c>
      <c r="AA100" s="1252" t="s">
        <v>1486</v>
      </c>
      <c r="AB100" s="1253" t="s">
        <v>1732</v>
      </c>
      <c r="AC100" s="1252" t="s">
        <v>2022</v>
      </c>
      <c r="AD100" s="1253" t="s">
        <v>584</v>
      </c>
      <c r="AE100" s="1252" t="s">
        <v>2023</v>
      </c>
      <c r="AF100" s="1252" t="s">
        <v>1486</v>
      </c>
      <c r="AG100" s="1253" t="s">
        <v>1732</v>
      </c>
      <c r="AH100" s="1252" t="s">
        <v>2022</v>
      </c>
      <c r="AI100" s="1253" t="s">
        <v>584</v>
      </c>
      <c r="AJ100" s="1252" t="s">
        <v>2023</v>
      </c>
      <c r="AK100" s="1252" t="s">
        <v>1486</v>
      </c>
      <c r="AL100" s="1253" t="s">
        <v>1732</v>
      </c>
      <c r="AM100" s="1252" t="s">
        <v>2022</v>
      </c>
      <c r="AN100" s="1253" t="s">
        <v>584</v>
      </c>
      <c r="AO100" s="1252" t="s">
        <v>2023</v>
      </c>
      <c r="AP100" s="1252" t="s">
        <v>1486</v>
      </c>
      <c r="AQ100" s="1253" t="s">
        <v>1732</v>
      </c>
      <c r="AR100" s="1252" t="s">
        <v>2022</v>
      </c>
      <c r="AS100" s="1253" t="s">
        <v>584</v>
      </c>
      <c r="AT100" s="1252" t="s">
        <v>2023</v>
      </c>
      <c r="AU100" s="1252" t="s">
        <v>1486</v>
      </c>
      <c r="AV100" s="1253" t="s">
        <v>1732</v>
      </c>
      <c r="AW100" s="1252" t="s">
        <v>2022</v>
      </c>
      <c r="AX100" s="1253" t="s">
        <v>584</v>
      </c>
      <c r="AY100" s="1252" t="s">
        <v>2023</v>
      </c>
      <c r="AZ100" s="1252" t="s">
        <v>1486</v>
      </c>
      <c r="BA100" s="1253" t="s">
        <v>1732</v>
      </c>
      <c r="BB100" s="1252" t="s">
        <v>2022</v>
      </c>
      <c r="BC100" s="1253" t="s">
        <v>584</v>
      </c>
      <c r="BD100" s="1252" t="s">
        <v>2023</v>
      </c>
      <c r="BE100" s="1252" t="s">
        <v>1486</v>
      </c>
      <c r="BF100" s="1253" t="s">
        <v>1732</v>
      </c>
      <c r="BG100" s="1252" t="s">
        <v>2022</v>
      </c>
      <c r="BH100" s="1253" t="s">
        <v>584</v>
      </c>
      <c r="BI100" s="1252" t="s">
        <v>2023</v>
      </c>
      <c r="BJ100" s="1252" t="s">
        <v>1486</v>
      </c>
      <c r="BK100" s="1253" t="s">
        <v>1732</v>
      </c>
      <c r="BL100" s="1252" t="s">
        <v>2022</v>
      </c>
      <c r="BM100" s="1253" t="s">
        <v>584</v>
      </c>
      <c r="BN100" s="1252" t="s">
        <v>2023</v>
      </c>
      <c r="BO100" s="1252" t="s">
        <v>1486</v>
      </c>
      <c r="BP100" s="1253" t="s">
        <v>1732</v>
      </c>
      <c r="BQ100" s="1252" t="s">
        <v>2022</v>
      </c>
      <c r="BR100" s="1253" t="s">
        <v>584</v>
      </c>
      <c r="BS100" s="1252" t="s">
        <v>2023</v>
      </c>
      <c r="BT100" s="1252" t="s">
        <v>1486</v>
      </c>
      <c r="BU100" s="1253" t="s">
        <v>1732</v>
      </c>
      <c r="BV100" s="1252" t="s">
        <v>2022</v>
      </c>
      <c r="BW100" s="1253" t="s">
        <v>584</v>
      </c>
      <c r="BX100" s="1252" t="s">
        <v>2023</v>
      </c>
      <c r="BY100" s="1252" t="s">
        <v>1486</v>
      </c>
      <c r="BZ100" s="1253" t="s">
        <v>1732</v>
      </c>
      <c r="CA100" s="1252" t="s">
        <v>2022</v>
      </c>
      <c r="CB100" s="1253" t="s">
        <v>584</v>
      </c>
      <c r="CC100" s="1252" t="s">
        <v>2023</v>
      </c>
      <c r="CD100" s="1252" t="s">
        <v>1486</v>
      </c>
      <c r="CE100" s="1253" t="s">
        <v>1732</v>
      </c>
      <c r="CF100" s="1252" t="s">
        <v>2022</v>
      </c>
      <c r="CG100" s="1253" t="s">
        <v>584</v>
      </c>
      <c r="CH100" s="1252" t="s">
        <v>2023</v>
      </c>
      <c r="CI100" s="1252" t="s">
        <v>1486</v>
      </c>
      <c r="CJ100" s="1253" t="s">
        <v>1732</v>
      </c>
      <c r="CK100" s="1252" t="s">
        <v>2022</v>
      </c>
      <c r="CL100" s="1253" t="s">
        <v>584</v>
      </c>
      <c r="CM100" s="1252" t="s">
        <v>2023</v>
      </c>
      <c r="CN100" s="1252" t="s">
        <v>1486</v>
      </c>
      <c r="CO100" s="1253" t="s">
        <v>1732</v>
      </c>
      <c r="CP100" s="1252" t="s">
        <v>2022</v>
      </c>
      <c r="CQ100" s="1253" t="s">
        <v>584</v>
      </c>
      <c r="CR100" s="1252" t="s">
        <v>2023</v>
      </c>
      <c r="CS100" s="1252" t="s">
        <v>1486</v>
      </c>
      <c r="CT100" s="1253" t="s">
        <v>1732</v>
      </c>
      <c r="CU100" s="1252" t="s">
        <v>2022</v>
      </c>
      <c r="CV100" s="1253" t="s">
        <v>584</v>
      </c>
      <c r="CW100" s="1252" t="s">
        <v>2023</v>
      </c>
      <c r="CX100" s="1252" t="s">
        <v>1486</v>
      </c>
      <c r="CY100" s="1253" t="s">
        <v>1732</v>
      </c>
      <c r="CZ100" s="1252" t="s">
        <v>2022</v>
      </c>
      <c r="DA100" s="1253" t="s">
        <v>584</v>
      </c>
      <c r="DB100" s="1252" t="s">
        <v>2023</v>
      </c>
      <c r="DC100" s="1252" t="s">
        <v>1486</v>
      </c>
      <c r="DD100" s="1253" t="s">
        <v>1732</v>
      </c>
      <c r="DE100" s="1252" t="s">
        <v>2022</v>
      </c>
      <c r="DF100" s="1253" t="s">
        <v>584</v>
      </c>
      <c r="DG100" s="1252" t="s">
        <v>2023</v>
      </c>
      <c r="DH100" s="1252" t="s">
        <v>1486</v>
      </c>
      <c r="DI100" s="1253" t="s">
        <v>1732</v>
      </c>
      <c r="DJ100" s="1252" t="s">
        <v>2022</v>
      </c>
      <c r="DK100" s="1253" t="s">
        <v>584</v>
      </c>
      <c r="DL100" s="1252" t="s">
        <v>2023</v>
      </c>
      <c r="DM100" s="1252" t="s">
        <v>1486</v>
      </c>
      <c r="DN100" s="1253" t="s">
        <v>1732</v>
      </c>
      <c r="DO100" s="1252" t="s">
        <v>2022</v>
      </c>
      <c r="DP100" s="1253" t="s">
        <v>584</v>
      </c>
      <c r="DQ100" s="1252" t="s">
        <v>2023</v>
      </c>
      <c r="DR100" s="1252" t="s">
        <v>1486</v>
      </c>
      <c r="DS100" s="1253" t="s">
        <v>1732</v>
      </c>
      <c r="DT100" s="1252" t="s">
        <v>2022</v>
      </c>
      <c r="DU100" s="1253" t="s">
        <v>584</v>
      </c>
      <c r="DV100" s="1252" t="s">
        <v>2023</v>
      </c>
      <c r="DW100" s="1252" t="s">
        <v>1486</v>
      </c>
      <c r="DX100" s="1253" t="s">
        <v>1732</v>
      </c>
      <c r="DY100" s="1252" t="s">
        <v>2022</v>
      </c>
      <c r="DZ100" s="1253" t="s">
        <v>584</v>
      </c>
      <c r="EA100" s="1252" t="s">
        <v>2023</v>
      </c>
    </row>
    <row r="101" spans="1:145" s="1295" customFormat="1">
      <c r="A101" s="1458" t="s">
        <v>282</v>
      </c>
      <c r="C101" s="1296" t="s">
        <v>1767</v>
      </c>
      <c r="D101" s="1297"/>
      <c r="E101" s="1297" t="s">
        <v>1453</v>
      </c>
      <c r="F101" s="1298" t="s">
        <v>172</v>
      </c>
      <c r="G101" s="1237"/>
      <c r="H101" s="1238"/>
      <c r="I101" s="1239"/>
      <c r="J101" s="1228">
        <f ca="1">OFFSET('VVP2'!$G$309,0,(COLUMN()-6)/5)</f>
        <v>0.61560000000000004</v>
      </c>
      <c r="K101" s="1240"/>
      <c r="L101" s="1299">
        <f ca="1">OFFSET('VVP2'!$G$109,0,(COLUMN()-7)/5)</f>
        <v>31.440306229910565</v>
      </c>
      <c r="M101" s="1228">
        <f ca="1">+J101*(1+L101/100)</f>
        <v>0.80914652515132945</v>
      </c>
      <c r="N101" s="1299">
        <f ca="1">+O101/M101*100-100</f>
        <v>0.87171786931314443</v>
      </c>
      <c r="O101" s="1228">
        <f ca="1">OFFSET('VVP2'!$G$309,0,(COLUMN()-6)/5)</f>
        <v>0.81620000000000004</v>
      </c>
      <c r="P101" s="1221">
        <f ca="1">(O101/J101-1)*100</f>
        <v>32.586094866796621</v>
      </c>
      <c r="Q101" s="1299">
        <f ca="1">OFFSET('VVP2'!$G$109,0,(COLUMN()-7)/5)</f>
        <v>25.934028418848797</v>
      </c>
      <c r="R101" s="1228">
        <f ca="1">+O101*(1+Q101/100)</f>
        <v>1.0278735399546439</v>
      </c>
      <c r="S101" s="1299">
        <f ca="1">+T101/R101*100-100</f>
        <v>4.8660129968481414</v>
      </c>
      <c r="T101" s="1228">
        <f ca="1">OFFSET('VVP2'!$G$309,0,(COLUMN()-6)/5)</f>
        <v>1.07789</v>
      </c>
      <c r="U101" s="1221">
        <f ca="1">(T101/O101-1)*100</f>
        <v>32.061994609164415</v>
      </c>
      <c r="V101" s="1299">
        <f ca="1">OFFSET('VVP2'!$G$109,0,(COLUMN()-7)/5)</f>
        <v>0.90039003070456758</v>
      </c>
      <c r="W101" s="1228">
        <f ca="1">+T101*(1+V101/100)</f>
        <v>1.0875952141019616</v>
      </c>
      <c r="X101" s="1299">
        <f ca="1">+Y101/W101*100-100</f>
        <v>-4.4626174768558258</v>
      </c>
      <c r="Y101" s="1228">
        <f ca="1">OFFSET('VVP2'!$G$309,0,(COLUMN()-6)/5)</f>
        <v>1.0390599999999999</v>
      </c>
      <c r="Z101" s="1221">
        <f ca="1">(Y101/T101-1)*100</f>
        <v>-3.6024084090213404</v>
      </c>
      <c r="AA101" s="1299">
        <f ca="1">OFFSET('VVP2'!$G$109,0,(COLUMN()-7)/5)</f>
        <v>-3.3336531739613262</v>
      </c>
      <c r="AB101" s="1228">
        <f ca="1">+Y101*(1+AA101/100)</f>
        <v>1.0044213433306373</v>
      </c>
      <c r="AC101" s="1299">
        <f ca="1">+AD101/AB101*100-100</f>
        <v>-6.0354495384992788</v>
      </c>
      <c r="AD101" s="1228">
        <f ca="1">OFFSET('VVP2'!$G$309,0,(COLUMN()-6)/5)</f>
        <v>0.94379999999999997</v>
      </c>
      <c r="AE101" s="1221">
        <f ca="1">(AD101/Y101-1)*100</f>
        <v>-9.1679017573575994</v>
      </c>
      <c r="AF101" s="1299">
        <f ca="1">OFFSET('VVP2'!$G$109,0,(COLUMN()-7)/5)</f>
        <v>-16.566412841564937</v>
      </c>
      <c r="AG101" s="1228">
        <f ca="1">+AD101*(1+AF101/100)</f>
        <v>0.78744619560131013</v>
      </c>
      <c r="AH101" s="1299">
        <f ca="1">+AI101/AG101*100-100</f>
        <v>3.6908940015255354</v>
      </c>
      <c r="AI101" s="1228">
        <f ca="1">OFFSET('VVP2'!$G$309,0,(COLUMN()-6)/5)</f>
        <v>0.81650999999999996</v>
      </c>
      <c r="AJ101" s="1221">
        <f ca="1">(AI101/AD101-1)*100</f>
        <v>-13.486967577876674</v>
      </c>
      <c r="AK101" s="1299">
        <f ca="1">OFFSET('VVP2'!$G$109,0,(COLUMN()-7)/5)</f>
        <v>-0.66215485857826772</v>
      </c>
      <c r="AL101" s="1228">
        <f ca="1">+AI101*(1+AK101/100)</f>
        <v>0.81110343936422258</v>
      </c>
      <c r="AM101" s="1299">
        <f ca="1">+AN101/AL101*100-100</f>
        <v>7.3796457678314766</v>
      </c>
      <c r="AN101" s="1228">
        <f ca="1">OFFSET('VVP2'!$G$309,0,(COLUMN()-6)/5)</f>
        <v>0.87096000000000007</v>
      </c>
      <c r="AO101" s="1221">
        <f ca="1">(AN101/AI101-1)*100</f>
        <v>6.6686262262556584</v>
      </c>
      <c r="AP101" s="1299">
        <f ca="1">OFFSET('VVP2'!$G$109,0,(COLUMN()-7)/5)</f>
        <v>18.174601273597691</v>
      </c>
      <c r="AQ101" s="1228">
        <f ca="1">+AN101*(1+AP101/100)</f>
        <v>1.0292535072525266</v>
      </c>
      <c r="AR101" s="1299">
        <f ca="1">+AS101/AQ101*100-100</f>
        <v>2.0574613152401611</v>
      </c>
      <c r="AS101" s="1228">
        <f ca="1">OFFSET('VVP2'!$G$309,0,(COLUMN()-6)/5)</f>
        <v>1.05043</v>
      </c>
      <c r="AT101" s="1221">
        <f ca="1">(AS101/AN101-1)*100</f>
        <v>20.605997979241273</v>
      </c>
      <c r="AU101" s="1299">
        <f ca="1">OFFSET('VVP2'!$G$109,0,(COLUMN()-7)/5)</f>
        <v>14.08194998219232</v>
      </c>
      <c r="AV101" s="1228">
        <f ca="1">+AS101*(1+AU101/100)</f>
        <v>1.1983510271979427</v>
      </c>
      <c r="AW101" s="1299">
        <f ca="1">+AX101/AV101*100-100</f>
        <v>-2.9725035811279668</v>
      </c>
      <c r="AX101" s="1228">
        <f ca="1">OFFSET('VVP2'!$G$309,0,(COLUMN()-6)/5)</f>
        <v>1.16273</v>
      </c>
      <c r="AY101" s="1221">
        <f ca="1">(AX101/AS101-1)*100</f>
        <v>10.690859933551033</v>
      </c>
      <c r="AZ101" s="1299">
        <f ca="1">OFFSET('VVP2'!$G$109,0,(COLUMN()-7)/5)</f>
        <v>18.351045509484052</v>
      </c>
      <c r="BA101" s="1228">
        <f ca="1">+AX101*(1+AZ101/100)</f>
        <v>1.376103111452424</v>
      </c>
      <c r="BB101" s="1299">
        <f ca="1">+BC101/BA101*100-100</f>
        <v>-2.4397235332887846</v>
      </c>
      <c r="BC101" s="1228">
        <f ca="1">OFFSET('VVP2'!$G$309,0,(COLUMN()-6)/5)</f>
        <v>1.34253</v>
      </c>
      <c r="BD101" s="1221">
        <f ca="1">(BC101/AX101-1)*100</f>
        <v>15.463607200295847</v>
      </c>
      <c r="BE101" s="1299">
        <f ca="1">OFFSET('VVP2'!$G$109,0,(COLUMN()-7)/5)</f>
        <v>23.434567705442344</v>
      </c>
      <c r="BF101" s="1228">
        <f ca="1">+BC101*(1+BE101/100)</f>
        <v>1.6571461018158751</v>
      </c>
      <c r="BG101" s="1299">
        <f ca="1">+BH101/BF101*100-100</f>
        <v>0.84264737845525417</v>
      </c>
      <c r="BH101" s="1228">
        <f ca="1">OFFSET('VVP2'!$G$309,0,(COLUMN()-6)/5)</f>
        <v>1.6711099999999999</v>
      </c>
      <c r="BI101" s="1221">
        <f ca="1">(BH101/BC101-1)*100</f>
        <v>24.474685854319823</v>
      </c>
      <c r="BJ101" s="1299">
        <f ca="1">OFFSET('VVP2'!$G$109,0,(COLUMN()-7)/5)</f>
        <v>16.218227371035752</v>
      </c>
      <c r="BK101" s="1228">
        <f ca="1">+BH101*(1+BJ101/100)</f>
        <v>1.9421344194201153</v>
      </c>
      <c r="BL101" s="1299">
        <f ca="1">+BM101/BK101*100-100</f>
        <v>4.8459869532607343</v>
      </c>
      <c r="BM101" s="1228">
        <f ca="1">OFFSET('VVP2'!$G$309,0,(COLUMN()-6)/5)</f>
        <v>2.0362499999999999</v>
      </c>
      <c r="BN101" s="1221">
        <f ca="1">(BM101/BH101-1)*100</f>
        <v>21.850147506747007</v>
      </c>
      <c r="BO101" s="1299">
        <f ca="1">OFFSET('VVP2'!$G$109,0,(COLUMN()-7)/5)</f>
        <v>17.647438171089558</v>
      </c>
      <c r="BP101" s="1228">
        <f ca="1">+BM101*(1+BO101/100)</f>
        <v>2.3955959597588108</v>
      </c>
      <c r="BQ101" s="1299">
        <f ca="1">+BR101/BP101*100-100</f>
        <v>4.0972702362994227</v>
      </c>
      <c r="BR101" s="1228">
        <f ca="1">OFFSET('VVP2'!$G$309,0,(COLUMN()-6)/5)</f>
        <v>2.4937499999999999</v>
      </c>
      <c r="BS101" s="1221">
        <f ca="1">(BR101/BM101-1)*100</f>
        <v>22.467771639042368</v>
      </c>
      <c r="BT101" s="1299">
        <f ca="1">OFFSET('VVP2'!$G$109,0,(COLUMN()-7)/5)</f>
        <v>8.946288596017272</v>
      </c>
      <c r="BU101" s="1228">
        <f ca="1">+BR101*(1+BT101/100)</f>
        <v>2.7168480718631804</v>
      </c>
      <c r="BV101" s="1299">
        <f ca="1">+BW101/BU101*100-100</f>
        <v>5.3890362752751457</v>
      </c>
      <c r="BW101" s="1228">
        <f ca="1">OFFSET('VVP2'!$G$309,0,(COLUMN()-6)/5)</f>
        <v>2.8632600000000004</v>
      </c>
      <c r="BX101" s="1221">
        <f ca="1">(BW101/BR101-1)*100</f>
        <v>14.817443609022574</v>
      </c>
      <c r="BY101" s="1299">
        <f ca="1">OFFSET('VVP2'!$G$109,0,(COLUMN()-7)/5)</f>
        <v>-17.304879407441486</v>
      </c>
      <c r="BZ101" s="1228">
        <f ca="1">+BW101*(1+BY101/100)</f>
        <v>2.367776309878491</v>
      </c>
      <c r="CA101" s="1299">
        <f ca="1">+CB101/BZ101*100-100</f>
        <v>-6.2732408149701371</v>
      </c>
      <c r="CB101" s="1228">
        <f ca="1">OFFSET('VVP2'!$G$309,0,(COLUMN()-6)/5)</f>
        <v>2.2192399999999997</v>
      </c>
      <c r="CC101" s="1221">
        <f ca="1">(CB101/BW101-1)*100</f>
        <v>-22.492543464442647</v>
      </c>
      <c r="CD101" s="1299">
        <f ca="1">OFFSET('VVP2'!$G$109,0,(COLUMN()-7)/5)</f>
        <v>-1.0430247718373753E-2</v>
      </c>
      <c r="CE101" s="1228">
        <f ca="1">+CB101*(1+CD101/100)</f>
        <v>2.2190085277705345</v>
      </c>
      <c r="CF101" s="1299">
        <f ca="1">+CG101/CE101*100-100</f>
        <v>3.6841441214109523</v>
      </c>
      <c r="CG101" s="1228">
        <f ca="1">OFFSET('VVP2'!$G$309,0,(COLUMN()-6)/5)</f>
        <v>2.3007600000000004</v>
      </c>
      <c r="CH101" s="1221">
        <f ca="1">(CG101/CB101-1)*100</f>
        <v>3.6733296083344191</v>
      </c>
      <c r="CI101" s="1299">
        <f ca="1">OFFSET('VVP2'!$G$109,0,(COLUMN()-7)/5)</f>
        <v>17.106086684399923</v>
      </c>
      <c r="CJ101" s="1228">
        <f ca="1">+CG101*(1+CI101/100)</f>
        <v>2.6943299999999999</v>
      </c>
      <c r="CK101" s="1299">
        <f ca="1">+CL101/CJ101*100-100</f>
        <v>2.650009464319524</v>
      </c>
      <c r="CL101" s="1228">
        <f ca="1">OFFSET('VVP2'!$G$309,0,(COLUMN()-6)/5)</f>
        <v>2.76573</v>
      </c>
      <c r="CM101" s="1221">
        <f ca="1">(CL101/CG101-1)*100</f>
        <v>20.20940906483073</v>
      </c>
      <c r="CN101" s="1299">
        <f ca="1">OFFSET('VVP2'!$G$109,0,(COLUMN()-7)/5)</f>
        <v>21.155166590580965</v>
      </c>
      <c r="CO101" s="1228">
        <f ca="1">+CL101*(1+CN101/100)</f>
        <v>3.3508247889456748</v>
      </c>
      <c r="CP101" s="1299">
        <f ca="1">+CQ101/CO101*100-100</f>
        <v>1.5749916626028835</v>
      </c>
      <c r="CQ101" s="1228">
        <f ca="1">OFFSET('VVP2'!$G$309,0,(COLUMN()-6)/5)</f>
        <v>3.4036</v>
      </c>
      <c r="CR101" s="1221">
        <f ca="1">(CQ101/CL101-1)*100</f>
        <v>23.063350363195244</v>
      </c>
      <c r="CS101" s="1299">
        <f ca="1">OFFSET('VVP2'!$G$109,0,(COLUMN()-7)/5)</f>
        <v>18.897044407411023</v>
      </c>
      <c r="CT101" s="1228">
        <f ca="1">+CQ101*(1+CS101/100)</f>
        <v>4.0467798034506419</v>
      </c>
      <c r="CU101" s="1299">
        <f ca="1">+CV101/CT101*100-100</f>
        <v>-0.33977147555489751</v>
      </c>
      <c r="CV101" s="1228">
        <f ca="1">OFFSET('VVP2'!$G$309,0,(COLUMN()-6)/5)</f>
        <v>4.0330300000000001</v>
      </c>
      <c r="CW101" s="1221">
        <f ca="1">(CV101/CQ101-1)*100</f>
        <v>18.493066165236804</v>
      </c>
      <c r="CX101" s="1299">
        <f ca="1">OFFSET('VVP2'!$G$109,0,(COLUMN()-7)/5)</f>
        <v>5.0226992821770677</v>
      </c>
      <c r="CY101" s="1228">
        <f ca="1">+CV101*(1+CX101/100)</f>
        <v>4.2355969688599862</v>
      </c>
      <c r="CZ101" s="1299">
        <f ca="1">+DA101/CY101*100-100</f>
        <v>-0.55427768582772785</v>
      </c>
      <c r="DA101" s="1228">
        <f ca="1">OFFSET('VVP2'!$G$309,0,(COLUMN()-6)/5)</f>
        <v>4.2121199999999996</v>
      </c>
      <c r="DB101" s="1221">
        <f ca="1">(DA101/CV101-1)*100</f>
        <v>4.4405818950020048</v>
      </c>
      <c r="DC101" s="1299">
        <f ca="1">OFFSET('VVP2'!$G$109,0,(COLUMN()-7)/5)</f>
        <v>-0.2087769741813128</v>
      </c>
      <c r="DD101" s="1228">
        <f ca="1">+DA101*(1+DC101/100)</f>
        <v>4.2033260633151137</v>
      </c>
      <c r="DE101" s="1299">
        <f ca="1">+DF101/DD101*100-100</f>
        <v>1.4998583439697342</v>
      </c>
      <c r="DF101" s="1228">
        <f ca="1">OFFSET('VVP2'!$G$309,0,(COLUMN()-6)/5)</f>
        <v>4.2663700000000002</v>
      </c>
      <c r="DG101" s="1221">
        <f ca="1">(DF101/DA101-1)*100</f>
        <v>1.2879500109208797</v>
      </c>
      <c r="DH101" s="1299">
        <f ca="1">OFFSET('VVP2'!$G$109,0,(COLUMN()-7)/5)</f>
        <v>6.5903564992710661</v>
      </c>
      <c r="DI101" s="1228">
        <f ca="1">+DF101*(1+DH101/100)</f>
        <v>4.5475389925779508</v>
      </c>
      <c r="DJ101" s="1299">
        <f ca="1">+DK101/DI101*100-100</f>
        <v>1.128984435446128</v>
      </c>
      <c r="DK101" s="1228">
        <f ca="1">OFFSET('VVP2'!$G$309,0,(COLUMN()-6)/5)</f>
        <v>4.5988800000000003</v>
      </c>
      <c r="DL101" s="1221">
        <f ca="1">(DK101/DF101-1)*100</f>
        <v>7.7937450338343872</v>
      </c>
      <c r="DM101" s="1299">
        <f ca="1">OFFSET('VVP2'!$G$109,0,(COLUMN()-7)/5)</f>
        <v>13.143267030777173</v>
      </c>
      <c r="DN101" s="1228">
        <f ca="1">+DK101*(1+DM101/100)</f>
        <v>5.2033230788250053</v>
      </c>
      <c r="DO101" s="1299">
        <f ca="1">+DP101/DN101*100-100</f>
        <v>3.3203189299944285</v>
      </c>
      <c r="DP101" s="1228">
        <f ca="1">OFFSET('VVP2'!$G$309,0,(COLUMN()-6)/5)</f>
        <v>5.3760900000000005</v>
      </c>
      <c r="DQ101" s="1221">
        <f ca="1">(DP101/DK101-1)*100</f>
        <v>16.899984344014207</v>
      </c>
      <c r="DR101" s="3352">
        <v>6.5</v>
      </c>
      <c r="DS101" s="1228">
        <f ca="1">+DP101*(1+DR101/100)</f>
        <v>5.72553585</v>
      </c>
      <c r="DT101" s="2244">
        <v>3</v>
      </c>
      <c r="DU101" s="2241">
        <f ca="1">+DS101*(1+DT101/100)</f>
        <v>5.8973019254999999</v>
      </c>
      <c r="DV101" s="2248">
        <f ca="1">(DU101/DP101-1)*100</f>
        <v>9.6949999999999861</v>
      </c>
      <c r="DW101" s="3352">
        <v>4.9000000000000004</v>
      </c>
      <c r="DX101" s="1228">
        <f ca="1">+DU101*(1+DW101/100)</f>
        <v>6.1862697198494994</v>
      </c>
      <c r="DY101" s="2244">
        <v>2</v>
      </c>
      <c r="DZ101" s="2241">
        <f ca="1">+DX101*(1+DY101/100)</f>
        <v>6.3099951142464894</v>
      </c>
      <c r="EA101" s="2248">
        <f ca="1">(DZ101/DU101-1)*100</f>
        <v>6.9979999999999931</v>
      </c>
      <c r="EB101"/>
      <c r="EC101"/>
      <c r="ED101"/>
      <c r="EE101"/>
      <c r="EF101"/>
      <c r="EG101"/>
      <c r="EH101"/>
      <c r="EI101"/>
      <c r="EJ101"/>
      <c r="EK101"/>
      <c r="EL101"/>
      <c r="EM101"/>
      <c r="EN101"/>
      <c r="EO101"/>
    </row>
    <row r="102" spans="1:145">
      <c r="A102" s="1456" t="s">
        <v>282</v>
      </c>
      <c r="B102" s="1"/>
      <c r="C102" s="1081" t="s">
        <v>1767</v>
      </c>
      <c r="D102" s="1077"/>
      <c r="E102" s="1078" t="s">
        <v>1454</v>
      </c>
      <c r="F102" s="1077" t="s">
        <v>173</v>
      </c>
      <c r="G102" s="1383"/>
      <c r="H102" s="1384"/>
      <c r="I102" s="1385"/>
      <c r="J102" s="1351">
        <f ca="1">OFFSET('VVP2'!$G$310,0,(COLUMN()-6)/5)</f>
        <v>3.0936900000000001</v>
      </c>
      <c r="K102" s="1382"/>
      <c r="L102" s="1359">
        <f ca="1">OFFSET('VVP2'!$G$110,0,(COLUMN()-7)/5)</f>
        <v>21.934509533001133</v>
      </c>
      <c r="M102" s="1351">
        <f ca="1">+J102*(1+L102/100)</f>
        <v>3.7722757279715027</v>
      </c>
      <c r="N102" s="1360">
        <f ca="1">+O102/M102*100-100</f>
        <v>10.297610780359975</v>
      </c>
      <c r="O102" s="1351">
        <f ca="1">OFFSET('VVP2'!$G$310,0,(COLUMN()-6)/5)</f>
        <v>4.1607299999999992</v>
      </c>
      <c r="P102" s="1358">
        <f ca="1">(O102/J102-1)*100</f>
        <v>34.490850731650525</v>
      </c>
      <c r="Q102" s="1359">
        <f ca="1">OFFSET('VVP2'!$G$110,0,(COLUMN()-7)/5)</f>
        <v>24.812977829645622</v>
      </c>
      <c r="R102" s="1351">
        <f ca="1">+O102*(1+Q102/100)</f>
        <v>5.1931310124514134</v>
      </c>
      <c r="S102" s="1360">
        <f ca="1">+T102/R102*100-100</f>
        <v>3.5115422104959464</v>
      </c>
      <c r="T102" s="1351">
        <f ca="1">OFFSET('VVP2'!$G$310,0,(COLUMN()-6)/5)</f>
        <v>5.3754900000000001</v>
      </c>
      <c r="U102" s="1358">
        <f ca="1">(T102/O102-1)*100</f>
        <v>29.195838230310578</v>
      </c>
      <c r="V102" s="1359">
        <f ca="1">OFFSET('VVP2'!$G$110,0,(COLUMN()-7)/5)</f>
        <v>7.035922349131285</v>
      </c>
      <c r="W102" s="1351">
        <f ca="1">+T102*(1+V102/100)</f>
        <v>5.7537053022853177</v>
      </c>
      <c r="X102" s="1360">
        <f ca="1">+Y102/W102*100-100</f>
        <v>-3.7046614500859789</v>
      </c>
      <c r="Y102" s="1351">
        <f ca="1">OFFSET('VVP2'!$G$310,0,(COLUMN()-6)/5)</f>
        <v>5.5405500000000005</v>
      </c>
      <c r="Z102" s="1358">
        <f ca="1">(Y102/T102-1)*100</f>
        <v>3.0706037961190535</v>
      </c>
      <c r="AA102" s="1359">
        <f ca="1">OFFSET('VVP2'!$G$110,0,(COLUMN()-7)/5)</f>
        <v>-13.797267175959703</v>
      </c>
      <c r="AB102" s="1351">
        <f ca="1">+Y102*(1+AA102/100)</f>
        <v>4.7761055134823653</v>
      </c>
      <c r="AC102" s="1360">
        <f ca="1">+AD102/AB102*100-100</f>
        <v>-6.9134886687545816</v>
      </c>
      <c r="AD102" s="1351">
        <f ca="1">OFFSET('VVP2'!$G$310,0,(COLUMN()-6)/5)</f>
        <v>4.4459099999999996</v>
      </c>
      <c r="AE102" s="1358">
        <f ca="1">(AD102/Y102-1)*100</f>
        <v>-19.756883341906505</v>
      </c>
      <c r="AF102" s="1359">
        <f ca="1">OFFSET('VVP2'!$G$110,0,(COLUMN()-7)/5)</f>
        <v>8.7392145036833124</v>
      </c>
      <c r="AG102" s="1351">
        <f ca="1">+AD102*(1+AF102/100)</f>
        <v>4.834447611540706</v>
      </c>
      <c r="AH102" s="1360">
        <f ca="1">+AI102/AG102*100-100</f>
        <v>6.7937935179035236</v>
      </c>
      <c r="AI102" s="1351">
        <f ca="1">OFFSET('VVP2'!$G$310,0,(COLUMN()-6)/5)</f>
        <v>5.16289</v>
      </c>
      <c r="AJ102" s="1358">
        <f ca="1">(AI102/AD102-1)*100</f>
        <v>16.126732210053738</v>
      </c>
      <c r="AK102" s="1359">
        <f ca="1">OFFSET('VVP2'!$G$110,0,(COLUMN()-7)/5)</f>
        <v>19.991382139484081</v>
      </c>
      <c r="AL102" s="1351">
        <f ca="1">+AI102*(1+AK102/100)</f>
        <v>6.1950230693412101</v>
      </c>
      <c r="AM102" s="1360">
        <f ca="1">+AN102/AL102*100-100</f>
        <v>-0.62345319636263241</v>
      </c>
      <c r="AN102" s="1351">
        <f ca="1">OFFSET('VVP2'!$G$310,0,(COLUMN()-6)/5)</f>
        <v>6.1563999999999997</v>
      </c>
      <c r="AO102" s="1358">
        <f ca="1">(AN102/AI102-1)*100</f>
        <v>19.243292032175763</v>
      </c>
      <c r="AP102" s="1359">
        <f ca="1">OFFSET('VVP2'!$G$110,0,(COLUMN()-7)/5)</f>
        <v>18.631991762337073</v>
      </c>
      <c r="AQ102" s="1351">
        <f ca="1">+AN102*(1+AP102/100)</f>
        <v>7.3034599408565191</v>
      </c>
      <c r="AR102" s="1360">
        <f ca="1">+AS102/AQ102*100-100</f>
        <v>-4.0260361970580618</v>
      </c>
      <c r="AS102" s="1351">
        <f ca="1">OFFSET('VVP2'!$G$310,0,(COLUMN()-6)/5)</f>
        <v>7.0094200000000004</v>
      </c>
      <c r="AT102" s="1358">
        <f ca="1">(AS102/AN102-1)*100</f>
        <v>13.855824832694452</v>
      </c>
      <c r="AU102" s="1359">
        <f ca="1">OFFSET('VVP2'!$G$110,0,(COLUMN()-7)/5)</f>
        <v>8.1657816106154524</v>
      </c>
      <c r="AV102" s="1351">
        <f ca="1">+AS102*(1+AU102/100)</f>
        <v>7.5817939293708019</v>
      </c>
      <c r="AW102" s="1360">
        <f ca="1">+AX102/AV102*100-100</f>
        <v>-1.1106069375561418</v>
      </c>
      <c r="AX102" s="1351">
        <f ca="1">OFFSET('VVP2'!$G$310,0,(COLUMN()-6)/5)</f>
        <v>7.4975899999999998</v>
      </c>
      <c r="AY102" s="1358">
        <f ca="1">(AX102/AS102-1)*100</f>
        <v>6.9644849359861372</v>
      </c>
      <c r="AZ102" s="1359">
        <f ca="1">OFFSET('VVP2'!$G$110,0,(COLUMN()-7)/5)</f>
        <v>14.698705559009673</v>
      </c>
      <c r="BA102" s="1351">
        <f ca="1">+AX102*(1+AZ102/100)</f>
        <v>8.5996386781217531</v>
      </c>
      <c r="BB102" s="1360">
        <f ca="1">+BC102/BA102*100-100</f>
        <v>-0.27650787447905145</v>
      </c>
      <c r="BC102" s="1351">
        <f ca="1">OFFSET('VVP2'!$G$310,0,(COLUMN()-6)/5)</f>
        <v>8.5758600000000005</v>
      </c>
      <c r="BD102" s="1358">
        <f ca="1">(BC102/AX102-1)*100</f>
        <v>14.381554606213465</v>
      </c>
      <c r="BE102" s="1359">
        <f ca="1">OFFSET('VVP2'!$G$110,0,(COLUMN()-7)/5)</f>
        <v>19.856034065376925</v>
      </c>
      <c r="BF102" s="1351">
        <f ca="1">+BC102*(1+BE102/100)</f>
        <v>10.278685682999035</v>
      </c>
      <c r="BG102" s="1360">
        <f ca="1">+BH102/BF102*100-100</f>
        <v>8.5353745027154844</v>
      </c>
      <c r="BH102" s="1351">
        <f ca="1">OFFSET('VVP2'!$G$310,0,(COLUMN()-6)/5)</f>
        <v>11.15601</v>
      </c>
      <c r="BI102" s="1358">
        <f ca="1">(BH102/BC102-1)*100</f>
        <v>30.086195436959095</v>
      </c>
      <c r="BJ102" s="1359">
        <f ca="1">OFFSET('VVP2'!$G$110,0,(COLUMN()-7)/5)</f>
        <v>13.965064977148401</v>
      </c>
      <c r="BK102" s="1351">
        <f ca="1">+BH102*(1+BJ102/100)</f>
        <v>12.713954045357173</v>
      </c>
      <c r="BL102" s="1360">
        <f ca="1">+BM102/BK102*100-100</f>
        <v>8.7628596946963881</v>
      </c>
      <c r="BM102" s="1351">
        <f ca="1">OFFSET('VVP2'!$G$310,0,(COLUMN()-6)/5)</f>
        <v>13.828059999999999</v>
      </c>
      <c r="BN102" s="1358">
        <f ca="1">(BM102/BH102-1)*100</f>
        <v>23.951663722065497</v>
      </c>
      <c r="BO102" s="1359">
        <f ca="1">OFFSET('VVP2'!$G$110,0,(COLUMN()-7)/5)</f>
        <v>9.8019689881788441</v>
      </c>
      <c r="BP102" s="1351">
        <f ca="1">+BM102*(1+BO102/100)</f>
        <v>15.183482152866763</v>
      </c>
      <c r="BQ102" s="1360">
        <f ca="1">+BR102/BP102*100-100</f>
        <v>4.9967974374705051</v>
      </c>
      <c r="BR102" s="1351">
        <f ca="1">OFFSET('VVP2'!$G$310,0,(COLUMN()-6)/5)</f>
        <v>15.942170000000001</v>
      </c>
      <c r="BS102" s="1358">
        <f ca="1">(BR102/BM102-1)*100</f>
        <v>15.288550960872339</v>
      </c>
      <c r="BT102" s="1359">
        <f ca="1">OFFSET('VVP2'!$G$110,0,(COLUMN()-7)/5)</f>
        <v>12.694478099170659</v>
      </c>
      <c r="BU102" s="1351">
        <f ca="1">+BR102*(1+BT102/100)</f>
        <v>17.965945279182556</v>
      </c>
      <c r="BV102" s="1360">
        <f ca="1">+BW102/BU102*100-100</f>
        <v>9.1090933173091742</v>
      </c>
      <c r="BW102" s="1351">
        <f ca="1">OFFSET('VVP2'!$G$310,0,(COLUMN()-6)/5)</f>
        <v>19.60248</v>
      </c>
      <c r="BX102" s="1358">
        <f ca="1">(BW102/BR102-1)*100</f>
        <v>22.959923272678683</v>
      </c>
      <c r="BY102" s="1359">
        <f ca="1">OFFSET('VVP2'!$G$110,0,(COLUMN()-7)/5)</f>
        <v>-29.558551744036432</v>
      </c>
      <c r="BZ102" s="1351">
        <f ca="1">+BW102*(1+BY102/100)</f>
        <v>13.808270806085607</v>
      </c>
      <c r="CA102" s="1360">
        <f ca="1">+CB102/BZ102*100-100</f>
        <v>-11.48022680281565</v>
      </c>
      <c r="CB102" s="1351">
        <f ca="1">OFFSET('VVP2'!$G$310,0,(COLUMN()-6)/5)</f>
        <v>12.223049999999999</v>
      </c>
      <c r="CC102" s="1358">
        <f ca="1">(CB102/BW102-1)*100</f>
        <v>-37.645389767009071</v>
      </c>
      <c r="CD102" s="1359">
        <f ca="1">OFFSET('VVP2'!$G$110,0,(COLUMN()-7)/5)</f>
        <v>22.063277686755555</v>
      </c>
      <c r="CE102" s="1351">
        <f ca="1">+CB102*(1+CD102/100)</f>
        <v>14.919855463290974</v>
      </c>
      <c r="CF102" s="1360">
        <f ca="1">+CG102/CE102*100-100</f>
        <v>10.854492127578624</v>
      </c>
      <c r="CG102" s="1351">
        <f ca="1">OFFSET('VVP2'!$G$310,0,(COLUMN()-6)/5)</f>
        <v>16.539330000000003</v>
      </c>
      <c r="CH102" s="1358">
        <f ca="1">(CG102/CB102-1)*100</f>
        <v>35.31262655392888</v>
      </c>
      <c r="CI102" s="1359">
        <f ca="1">OFFSET('VVP2'!$G$110,0,(COLUMN()-7)/5)</f>
        <v>14.714804045871244</v>
      </c>
      <c r="CJ102" s="1351">
        <f ca="1">+CG102*(1+CI102/100)</f>
        <v>18.97306</v>
      </c>
      <c r="CK102" s="1360">
        <f ca="1">+CL102/CJ102*100-100</f>
        <v>13.249944921905055</v>
      </c>
      <c r="CL102" s="1351">
        <f ca="1">OFFSET('VVP2'!$G$310,0,(COLUMN()-6)/5)</f>
        <v>21.486979999999999</v>
      </c>
      <c r="CM102" s="1358">
        <f ca="1">(CL102/CG102-1)*100</f>
        <v>29.914452399220504</v>
      </c>
      <c r="CN102" s="1359">
        <f ca="1">OFFSET('VVP2'!$G$110,0,(COLUMN()-7)/5)</f>
        <v>4.7772473180393682</v>
      </c>
      <c r="CO102" s="1351">
        <f ca="1">+CL102*(1+CN102/100)</f>
        <v>22.513466175777655</v>
      </c>
      <c r="CP102" s="1360">
        <f ca="1">+CQ102/CO102*100-100</f>
        <v>4.5134490455121892</v>
      </c>
      <c r="CQ102" s="1351">
        <f ca="1">OFFSET('VVP2'!$G$310,0,(COLUMN()-6)/5)</f>
        <v>23.529599999999999</v>
      </c>
      <c r="CR102" s="1358">
        <f ca="1">(CQ102/CL102-1)*100</f>
        <v>9.5063149870293628</v>
      </c>
      <c r="CS102" s="1359">
        <f ca="1">OFFSET('VVP2'!$G$110,0,(COLUMN()-7)/5)</f>
        <v>7.697496661124914</v>
      </c>
      <c r="CT102" s="1351">
        <f ca="1">+CQ102*(1+CS102/100)</f>
        <v>25.340790174376046</v>
      </c>
      <c r="CU102" s="1360">
        <f ca="1">+CV102/CT102*100-100</f>
        <v>-1.6700354308760836</v>
      </c>
      <c r="CV102" s="1351">
        <f ca="1">OFFSET('VVP2'!$G$310,0,(COLUMN()-6)/5)</f>
        <v>24.917590000000001</v>
      </c>
      <c r="CW102" s="1358">
        <f ca="1">(CV102/CQ102-1)*100</f>
        <v>5.8989103087175421</v>
      </c>
      <c r="CX102" s="1359">
        <f ca="1">OFFSET('VVP2'!$G$110,0,(COLUMN()-7)/5)</f>
        <v>2.7845828543830997</v>
      </c>
      <c r="CY102" s="1351">
        <f ca="1">+CV102*(1+CX102/100)</f>
        <v>25.611440938865478</v>
      </c>
      <c r="CZ102" s="1360">
        <f ca="1">+DA102/CY102*100-100</f>
        <v>-3.6119050898916498</v>
      </c>
      <c r="DA102" s="1351">
        <f ca="1">OFFSET('VVP2'!$G$310,0,(COLUMN()-6)/5)</f>
        <v>24.68638</v>
      </c>
      <c r="DB102" s="1358">
        <f ca="1">(DA102/CV102-1)*100</f>
        <v>-0.92789872535827822</v>
      </c>
      <c r="DC102" s="1359">
        <f ca="1">OFFSET('VVP2'!$G$110,0,(COLUMN()-7)/5)</f>
        <v>7.2942455275508689</v>
      </c>
      <c r="DD102" s="1351">
        <f ca="1">+DA102*(1+DC102/100)</f>
        <v>26.487065169064213</v>
      </c>
      <c r="DE102" s="1360">
        <f ca="1">+DF102/DD102*100-100</f>
        <v>-8.2711510508267168</v>
      </c>
      <c r="DF102" s="1351">
        <f ca="1">OFFSET('VVP2'!$G$310,0,(COLUMN()-6)/5)</f>
        <v>24.296279999999999</v>
      </c>
      <c r="DG102" s="1358">
        <f ca="1">(DF102/DA102-1)*100</f>
        <v>-1.5802235888777605</v>
      </c>
      <c r="DH102" s="1359">
        <f ca="1">OFFSET('VVP2'!$G$110,0,(COLUMN()-7)/5)</f>
        <v>2.9900046588454465</v>
      </c>
      <c r="DI102" s="1351">
        <f ca="1">+DF102*(1+DH102/100)</f>
        <v>25.022739903926134</v>
      </c>
      <c r="DJ102" s="1360">
        <f ca="1">+DK102/DI102*100-100</f>
        <v>-5.324716274244139</v>
      </c>
      <c r="DK102" s="1351">
        <f ca="1">OFFSET('VVP2'!$G$310,0,(COLUMN()-6)/5)</f>
        <v>23.690349999999999</v>
      </c>
      <c r="DL102" s="1358">
        <f ca="1">(DK102/DF102-1)*100</f>
        <v>-2.4939208800688895</v>
      </c>
      <c r="DM102" s="1359">
        <f ca="1">OFFSET('VVP2'!$G$110,0,(COLUMN()-7)/5)</f>
        <v>12.748093204046373</v>
      </c>
      <c r="DN102" s="1351">
        <f ca="1">+DK102*(1+DM102/100)</f>
        <v>26.710417898364799</v>
      </c>
      <c r="DO102" s="1360">
        <f ca="1">+DP102/DN102*100-100</f>
        <v>4.1311674936495422</v>
      </c>
      <c r="DP102" s="1351">
        <f ca="1">OFFSET('VVP2'!$G$310,0,(COLUMN()-6)/5)</f>
        <v>27.813869999999998</v>
      </c>
      <c r="DQ102" s="1358">
        <f ca="1">(DP102/DK102-1)*100</f>
        <v>17.405905780201646</v>
      </c>
      <c r="DR102" s="3352">
        <v>6.5</v>
      </c>
      <c r="DS102" s="2243">
        <f ca="1">+DP102*(1+DR102/100)</f>
        <v>29.621771549999995</v>
      </c>
      <c r="DT102" s="2244">
        <v>2.5</v>
      </c>
      <c r="DU102" s="2243">
        <f ca="1">+DS102*(1+DT102/100)</f>
        <v>30.362315838749993</v>
      </c>
      <c r="DV102" s="2245">
        <f ca="1">(DU102/DP102-1)*100</f>
        <v>9.1624999999999837</v>
      </c>
      <c r="DW102" s="3352">
        <v>5.2</v>
      </c>
      <c r="DX102" s="2243">
        <f ca="1">+DU102*(1+DW102/100)</f>
        <v>31.941156262364995</v>
      </c>
      <c r="DY102" s="2244">
        <v>1.5</v>
      </c>
      <c r="DZ102" s="2243">
        <f ca="1">+DX102*(1+DY102/100)</f>
        <v>32.420273606300469</v>
      </c>
      <c r="EA102" s="2245">
        <f ca="1">(DZ102/DU102-1)*100</f>
        <v>6.7780000000000173</v>
      </c>
    </row>
    <row r="103" spans="1:145" s="28" customFormat="1">
      <c r="A103" s="1457" t="s">
        <v>1940</v>
      </c>
      <c r="C103" s="176" t="s">
        <v>1769</v>
      </c>
      <c r="D103" s="1257"/>
      <c r="E103" s="1257" t="s">
        <v>1455</v>
      </c>
      <c r="F103" s="1200" t="s">
        <v>170</v>
      </c>
      <c r="G103" s="1258"/>
      <c r="H103" s="1258"/>
      <c r="I103" s="1258"/>
      <c r="J103" s="1259">
        <f ca="1">OFFSET('VVP2'!$G$311,0,(COLUMN()-6)/5)</f>
        <v>3.7092899999999998</v>
      </c>
      <c r="K103" s="1259"/>
      <c r="L103" s="1259">
        <f ca="1">OFFSET('VVP2'!$G$111,0,(COLUMN()-7)/5)</f>
        <v>23.166175697902137</v>
      </c>
      <c r="M103" s="1259">
        <f ca="1">+J103*(1+L103/100)</f>
        <v>4.5685906385447135</v>
      </c>
      <c r="N103" s="1259">
        <f ca="1">+O103/M103*100-100</f>
        <v>8.9381910913638478</v>
      </c>
      <c r="O103" s="1259">
        <f ca="1">OFFSET('VVP2'!$G$311,0,(COLUMN()-6)/5)</f>
        <v>4.9769399999999999</v>
      </c>
      <c r="P103" s="1259">
        <f ca="1">(O103/J103-1)*100</f>
        <v>34.175003841705553</v>
      </c>
      <c r="Q103" s="1259">
        <f ca="1">OFFSET('VVP2'!$G$111,0,(COLUMN()-7)/5)</f>
        <v>24.966294345254948</v>
      </c>
      <c r="R103" s="1259">
        <f ca="1">+O103*(1+Q103/100)</f>
        <v>6.2194974897867317</v>
      </c>
      <c r="S103" s="1259">
        <f ca="1">+T103/R103*100-100</f>
        <v>3.7604727809173539</v>
      </c>
      <c r="T103" s="1259">
        <f ca="1">OFFSET('VVP2'!$G$311,0,(COLUMN()-6)/5)</f>
        <v>6.4533800000000001</v>
      </c>
      <c r="U103" s="1259">
        <f ca="1">(T103/O103-1)*100</f>
        <v>29.665617829429337</v>
      </c>
      <c r="V103" s="1259">
        <f ca="1">OFFSET('VVP2'!$G$111,0,(COLUMN()-7)/5)</f>
        <v>6.1402011527074141</v>
      </c>
      <c r="W103" s="1259">
        <f ca="1">+T103*(1+V103/100)</f>
        <v>6.8496305131485897</v>
      </c>
      <c r="X103" s="1259">
        <f ca="1">+Y103/W103*100-100</f>
        <v>-3.9421179380443476</v>
      </c>
      <c r="Y103" s="1259">
        <f ca="1">OFFSET('VVP2'!$G$311,0,(COLUMN()-6)/5)</f>
        <v>6.5796099999999997</v>
      </c>
      <c r="Z103" s="1259">
        <f ca="1">(Y103/T103-1)*100</f>
        <v>1.9560292435901738</v>
      </c>
      <c r="AA103" s="1259">
        <f ca="1">OFFSET('VVP2'!$G$111,0,(COLUMN()-7)/5)</f>
        <v>-12.351269284311128</v>
      </c>
      <c r="AB103" s="1259">
        <f ca="1">+Y103*(1+AA103/100)</f>
        <v>5.766944651042536</v>
      </c>
      <c r="AC103" s="1259">
        <f ca="1">+AD103/AB103*100-100</f>
        <v>-6.5413260204316401</v>
      </c>
      <c r="AD103" s="1259">
        <f ca="1">OFFSET('VVP2'!$G$311,0,(COLUMN()-6)/5)</f>
        <v>5.38971</v>
      </c>
      <c r="AE103" s="1259">
        <f ca="1">(AD103/Y103-1)*100</f>
        <v>-18.084658513194551</v>
      </c>
      <c r="AF103" s="1259">
        <f ca="1">OFFSET('VVP2'!$G$111,0,(COLUMN()-7)/5)</f>
        <v>4.9760726387508836</v>
      </c>
      <c r="AG103" s="1259">
        <f ca="1">+AD103*(1+AF103/100)</f>
        <v>5.6579058846180201</v>
      </c>
      <c r="AH103" s="1259">
        <f ca="1">+AI103/AG103*100-100</f>
        <v>5.6822103785080031</v>
      </c>
      <c r="AI103" s="1259">
        <f ca="1">OFFSET('VVP2'!$G$311,0,(COLUMN()-6)/5)</f>
        <v>5.9794</v>
      </c>
      <c r="AJ103" s="1259">
        <f ca="1">(AI103/AD103-1)*100</f>
        <v>10.941033933180089</v>
      </c>
      <c r="AK103" s="1259">
        <f ca="1">OFFSET('VVP2'!$G$111,0,(COLUMN()-7)/5)</f>
        <v>17.576290385742467</v>
      </c>
      <c r="AL103" s="1259">
        <f ca="1">+AI103*(1+AK103/100)</f>
        <v>7.030356707325085</v>
      </c>
      <c r="AM103" s="1259">
        <f ca="1">+AN103/AL103*100-100</f>
        <v>-4.262525288315544E-2</v>
      </c>
      <c r="AN103" s="1259">
        <f ca="1">OFFSET('VVP2'!$G$311,0,(COLUMN()-6)/5)</f>
        <v>7.0273599999999998</v>
      </c>
      <c r="AO103" s="1259">
        <f ca="1">(AN103/AI103-1)*100</f>
        <v>17.526173194634922</v>
      </c>
      <c r="AP103" s="1259">
        <f ca="1">OFFSET('VVP2'!$G$111,0,(COLUMN()-7)/5)</f>
        <v>18.582320452280499</v>
      </c>
      <c r="AQ103" s="1259">
        <f ca="1">+AN103*(1+AP103/100)</f>
        <v>8.3332065545353782</v>
      </c>
      <c r="AR103" s="1259">
        <f ca="1">+AS103/AQ103*100-100</f>
        <v>-3.2803285595579297</v>
      </c>
      <c r="AS103" s="1259">
        <f ca="1">OFFSET('VVP2'!$G$311,0,(COLUMN()-6)/5)</f>
        <v>8.0598500000000008</v>
      </c>
      <c r="AT103" s="1259">
        <f ca="1">(AS103/AN103-1)*100</f>
        <v>14.692430727897833</v>
      </c>
      <c r="AU103" s="1259">
        <f ca="1">OFFSET('VVP2'!$G$111,0,(COLUMN()-7)/5)</f>
        <v>8.8562930633370165</v>
      </c>
      <c r="AV103" s="1259">
        <f ca="1">+AS103*(1+AU103/100)</f>
        <v>8.7736539364653687</v>
      </c>
      <c r="AW103" s="1259">
        <f ca="1">+AX103/AV103*100-100</f>
        <v>-1.2917529832619152</v>
      </c>
      <c r="AX103" s="1259">
        <f ca="1">OFFSET('VVP2'!$G$311,0,(COLUMN()-6)/5)</f>
        <v>8.6603200000000005</v>
      </c>
      <c r="AY103" s="1259">
        <f ca="1">(AX103/AS103-1)*100</f>
        <v>7.4501386502230149</v>
      </c>
      <c r="AZ103" s="1259">
        <f ca="1">OFFSET('VVP2'!$G$111,0,(COLUMN()-7)/5)</f>
        <v>15.140289710799216</v>
      </c>
      <c r="BA103" s="1259">
        <f ca="1">+AX103*(1+AZ103/100)</f>
        <v>9.9715175378822867</v>
      </c>
      <c r="BB103" s="1259">
        <f ca="1">+BC103/BA103*100-100</f>
        <v>-0.53279290419391145</v>
      </c>
      <c r="BC103" s="1259">
        <f ca="1">OFFSET('VVP2'!$G$311,0,(COLUMN()-6)/5)</f>
        <v>9.9183899999999987</v>
      </c>
      <c r="BD103" s="1259">
        <f ca="1">(BC103/AX103-1)*100</f>
        <v>14.526830417351766</v>
      </c>
      <c r="BE103" s="1259">
        <f ca="1">OFFSET('VVP2'!$G$111,0,(COLUMN()-7)/5)</f>
        <v>20.340344313524227</v>
      </c>
      <c r="BF103" s="1259">
        <f ca="1">+BC103*(1+BE103/100)</f>
        <v>11.935824676358154</v>
      </c>
      <c r="BG103" s="1259">
        <f ca="1">+BH103/BF103*100-100</f>
        <v>7.4673962445785236</v>
      </c>
      <c r="BH103" s="1259">
        <f ca="1">OFFSET('VVP2'!$G$311,0,(COLUMN()-6)/5)</f>
        <v>12.827120000000001</v>
      </c>
      <c r="BI103" s="1259">
        <f ca="1">(BH103/BC103-1)*100</f>
        <v>29.326634665505203</v>
      </c>
      <c r="BJ103" s="1259">
        <f ca="1">OFFSET('VVP2'!$G$111,0,(COLUMN()-7)/5)</f>
        <v>14.258666950116105</v>
      </c>
      <c r="BK103" s="1259">
        <f ca="1">+BH103*(1+BJ103/100)</f>
        <v>14.656096320091734</v>
      </c>
      <c r="BL103" s="1259">
        <f ca="1">+BM103/BK103*100-100</f>
        <v>8.2437618689224195</v>
      </c>
      <c r="BM103" s="1259">
        <f ca="1">OFFSET('VVP2'!$G$311,0,(COLUMN()-6)/5)</f>
        <v>15.86431</v>
      </c>
      <c r="BN103" s="1259">
        <f ca="1">(BM103/BH103-1)*100</f>
        <v>23.677879368088849</v>
      </c>
      <c r="BO103" s="1259">
        <f ca="1">OFFSET('VVP2'!$G$111,0,(COLUMN()-7)/5)</f>
        <v>10.808883185624163</v>
      </c>
      <c r="BP103" s="1259">
        <f ca="1">+BM103*(1+BO103/100)</f>
        <v>17.579064736105291</v>
      </c>
      <c r="BQ103" s="1259">
        <f ca="1">+BR103/BP103*100-100</f>
        <v>4.8742938077634506</v>
      </c>
      <c r="BR103" s="1259">
        <f ca="1">OFFSET('VVP2'!$G$311,0,(COLUMN()-6)/5)</f>
        <v>18.435919999999999</v>
      </c>
      <c r="BS103" s="1259">
        <f ca="1">(BR103/BM103-1)*100</f>
        <v>16.210033717192871</v>
      </c>
      <c r="BT103" s="1259">
        <f ca="1">OFFSET('VVP2'!$G$111,0,(COLUMN()-7)/5)</f>
        <v>12.187524486682811</v>
      </c>
      <c r="BU103" s="1259">
        <f ca="1">+BR103*(1+BT103/100)</f>
        <v>20.682802264345252</v>
      </c>
      <c r="BV103" s="1259">
        <f ca="1">+BW103/BU103*100-100</f>
        <v>8.6204360166820493</v>
      </c>
      <c r="BW103" s="1259">
        <f ca="1">OFFSET('VVP2'!$G$311,0,(COLUMN()-6)/5)</f>
        <v>22.46575</v>
      </c>
      <c r="BX103" s="1259">
        <f ca="1">(BW103/BR103-1)*100</f>
        <v>21.858578253756811</v>
      </c>
      <c r="BY103" s="1259">
        <f ca="1">OFFSET('VVP2'!$G$111,0,(COLUMN()-7)/5)</f>
        <v>-27.996827041084281</v>
      </c>
      <c r="BZ103" s="3127">
        <f ca="1">+BW103*(1+BY103/100)</f>
        <v>16.176052829017607</v>
      </c>
      <c r="CA103" s="1259">
        <f ca="1">+CB103/BZ103*100-100</f>
        <v>-10.718145194898582</v>
      </c>
      <c r="CB103" s="1259">
        <f ca="1">OFFSET('VVP2'!$G$311,0,(COLUMN()-6)/5)</f>
        <v>14.44228</v>
      </c>
      <c r="CC103" s="1259">
        <f ca="1">(CB103/BW103-1)*100</f>
        <v>-35.714231663754823</v>
      </c>
      <c r="CD103" s="1259">
        <f ca="1">OFFSET('VVP2'!$G$111,0,(COLUMN()-7)/5)</f>
        <v>18.671378225417847</v>
      </c>
      <c r="CE103" s="3127">
        <f ca="1">+CB103*(1+CD103/100)</f>
        <v>17.138852723173876</v>
      </c>
      <c r="CF103" s="1259">
        <f ca="1">+CG103/CE103*100-100</f>
        <v>9.9262027879254617</v>
      </c>
      <c r="CG103" s="1259">
        <f ca="1">OFFSET('VVP2'!$G$311,0,(COLUMN()-6)/5)</f>
        <v>18.84009</v>
      </c>
      <c r="CH103" s="1259">
        <f ca="1">(CG103/CB103-1)*100</f>
        <v>30.450939879298833</v>
      </c>
      <c r="CI103" s="1259">
        <f ca="1">OFFSET('VVP2'!$G$111,0,(COLUMN()-7)/5)</f>
        <v>15.006828523642945</v>
      </c>
      <c r="CJ103" s="3127">
        <f ca="1">+CG103*(1+CI103/100)</f>
        <v>21.667390000000001</v>
      </c>
      <c r="CK103" s="1259">
        <f ca="1">+CL103/CJ103*100-100</f>
        <v>11.931847813696066</v>
      </c>
      <c r="CL103" s="1259">
        <f ca="1">OFFSET('VVP2'!$G$311,0,(COLUMN()-6)/5)</f>
        <v>24.25271</v>
      </c>
      <c r="CM103" s="1259">
        <f ca="1">(CL103/CG103-1)*100</f>
        <v>28.729268278442397</v>
      </c>
      <c r="CN103" s="1259">
        <f ca="1">OFFSET('VVP2'!$G$111,0,(COLUMN()-7)/5)</f>
        <v>6.6449627758580876</v>
      </c>
      <c r="CO103" s="3127">
        <f ca="1">+CL103*(1+CN103/100)</f>
        <v>25.864293551636813</v>
      </c>
      <c r="CP103" s="1259">
        <f ca="1">+CQ103/CO103*100-100</f>
        <v>4.132788108939252</v>
      </c>
      <c r="CQ103" s="1259">
        <f ca="1">OFFSET('VVP2'!$G$311,0,(COLUMN()-6)/5)</f>
        <v>26.933209999999999</v>
      </c>
      <c r="CR103" s="1259">
        <f ca="1">(CQ103/CL103-1)*100</f>
        <v>11.052373116241432</v>
      </c>
      <c r="CS103" s="1259">
        <f ca="1">OFFSET('VVP2'!$G$111,0,(COLUMN()-7)/5)</f>
        <v>9.1127519671375001</v>
      </c>
      <c r="CT103" s="3127">
        <f ca="1">+CQ103*(1+CS103/100)</f>
        <v>29.387566624088272</v>
      </c>
      <c r="CU103" s="1259">
        <f ca="1">+CV103/CT103*100-100</f>
        <v>-1.4868417983614819</v>
      </c>
      <c r="CV103" s="1259">
        <f ca="1">OFFSET('VVP2'!$G$311,0,(COLUMN()-6)/5)</f>
        <v>28.950620000000001</v>
      </c>
      <c r="CW103" s="1259">
        <f ca="1">(CV103/CQ103-1)*100</f>
        <v>7.4904179635476131</v>
      </c>
      <c r="CX103" s="1259">
        <f ca="1">OFFSET('VVP2'!$G$111,0,(COLUMN()-7)/5)</f>
        <v>3.0964332515761805</v>
      </c>
      <c r="CY103" s="3127">
        <f ca="1">+CV103*(1+CX103/100)</f>
        <v>29.847056624217466</v>
      </c>
      <c r="CZ103" s="1259">
        <f ca="1">+DA103/CY103*100-100</f>
        <v>-3.1780575088527314</v>
      </c>
      <c r="DA103" s="1259">
        <f ca="1">OFFSET('VVP2'!$G$311,0,(COLUMN()-6)/5)</f>
        <v>28.898499999999999</v>
      </c>
      <c r="DB103" s="1259">
        <f ca="1">(DA103/CV103-1)*100</f>
        <v>-0.18003068673486666</v>
      </c>
      <c r="DC103" s="1259">
        <f ca="1">OFFSET('VVP2'!$G$111,0,(COLUMN()-7)/5)</f>
        <v>6.2006079962821703</v>
      </c>
      <c r="DD103" s="3127">
        <f ca="1">+DA103*(1+DC103/100)</f>
        <v>30.6903827018056</v>
      </c>
      <c r="DE103" s="1259">
        <f ca="1">+DF103/DD103*100-100</f>
        <v>-6.9328972612662199</v>
      </c>
      <c r="DF103" s="1259">
        <f ca="1">OFFSET('VVP2'!$G$311,0,(COLUMN()-6)/5)</f>
        <v>28.562650000000001</v>
      </c>
      <c r="DG103" s="1259">
        <f ca="1">(DF103/DA103-1)*100</f>
        <v>-1.1621710469401414</v>
      </c>
      <c r="DH103" s="3403">
        <f ca="1">IF(UPPER($F$2)="Y",(DI103/DF103-1)*100,OFFSET('VVP2'!$G$111,0,(COLUMN()-7)/5))</f>
        <v>3.5277850497208219</v>
      </c>
      <c r="DI103" s="3348">
        <f ca="1">IF(UPPER($F$2)="Y",+DI101+DI102,DF103*(1+DH103/100))</f>
        <v>29.570278896504085</v>
      </c>
      <c r="DJ103" s="1259">
        <f ca="1">+DK103/DI103*100-100</f>
        <v>-4.3322178359823909</v>
      </c>
      <c r="DK103" s="1259">
        <f ca="1">+DK101+DK102</f>
        <v>28.28923</v>
      </c>
      <c r="DL103" s="1259">
        <f ca="1">(DK103/DF103-1)*100</f>
        <v>-0.95726411940069145</v>
      </c>
      <c r="DM103" s="3403">
        <f ca="1">IF(UPPER($F$2)="Y",(DN103/DK103-1)*100,OFFSET('VVP2'!$G$111,0,(COLUMN()-7)/5))</f>
        <v>12.812335214460791</v>
      </c>
      <c r="DN103" s="3348">
        <f ca="1">IF(UPPER($F$2)="Y",+DN101+DN102,DK103*(1+DM103/100))</f>
        <v>31.913740977189804</v>
      </c>
      <c r="DO103" s="1259">
        <f ca="1">+DP103/DN103*100-100</f>
        <v>3.9989640315824033</v>
      </c>
      <c r="DP103" s="1259">
        <f ca="1">+DP101+DP102</f>
        <v>33.189959999999999</v>
      </c>
      <c r="DQ103" s="1259">
        <f ca="1">(DP103/DK103-1)*100</f>
        <v>17.323659922875233</v>
      </c>
      <c r="DR103" s="3348">
        <f ca="1">IF(UPPER($F$2)="Y",(DS103/DP103-1)*100,OFFSET('VVP2'!$G$111,0,(COLUMN()-7)/5))</f>
        <v>6.4999999999999725</v>
      </c>
      <c r="DS103" s="3348">
        <f ca="1">IF(UPPER($F$2)="Y",+DS101+DS102,DP103*(1+DR103/100))</f>
        <v>35.347307399999991</v>
      </c>
      <c r="DT103" s="1259">
        <f ca="1">+DU103/DS103*100-100</f>
        <v>2.5809897029101592</v>
      </c>
      <c r="DU103" s="1259">
        <f ca="1">+DU101+DU102</f>
        <v>36.259617764249995</v>
      </c>
      <c r="DV103" s="1259">
        <f ca="1">(DU103/DP103-1)*100</f>
        <v>9.2487540335993046</v>
      </c>
      <c r="DW103" s="3348">
        <f ca="1">IF(UPPER($F$2)="Y",(DX103/DU103-1)*100,OFFSET('VVP2'!$G$111,0,(COLUMN()-7)/5))</f>
        <v>5.1512076881462754</v>
      </c>
      <c r="DX103" s="3348">
        <f ca="1">IF(UPPER($F$2)="Y",+DX101+DX102,DU103*(1+DW103/100))</f>
        <v>38.127425982214497</v>
      </c>
      <c r="DY103" s="1259">
        <f ca="1">+DZ103/DX103*100-100</f>
        <v>1.581126243910802</v>
      </c>
      <c r="DZ103" s="1259">
        <f ca="1">+DZ101+DZ102</f>
        <v>38.73026872054696</v>
      </c>
      <c r="EA103" s="1259">
        <f ca="1">(DZ103/DU103-1)*100</f>
        <v>6.8137810286927225</v>
      </c>
      <c r="EB103"/>
      <c r="EC103"/>
      <c r="ED103"/>
      <c r="EE103"/>
      <c r="EF103"/>
      <c r="EG103"/>
      <c r="EH103"/>
      <c r="EI103"/>
      <c r="EJ103"/>
      <c r="EK103"/>
      <c r="EL103"/>
      <c r="EM103"/>
      <c r="EN103"/>
      <c r="EO103"/>
    </row>
    <row r="104" spans="1:145" s="2842" customFormat="1">
      <c r="A104" s="2841"/>
      <c r="C104" s="2843"/>
      <c r="D104" s="1782"/>
      <c r="E104" s="1782" t="s">
        <v>758</v>
      </c>
      <c r="F104" s="2844"/>
      <c r="G104" s="2845"/>
      <c r="H104" s="2845"/>
      <c r="I104" s="2845"/>
      <c r="J104" s="1232"/>
      <c r="K104" s="2845"/>
      <c r="L104" s="2847">
        <f ca="1">OFFSET('Q1'!$N242,0,(COLUMN()-12)*4/5)</f>
        <v>21.747467343786809</v>
      </c>
      <c r="M104" s="2846"/>
      <c r="N104" s="1232"/>
      <c r="O104" s="1232"/>
      <c r="P104" s="1232"/>
      <c r="Q104" s="2847">
        <f ca="1">OFFSET('Q1'!$N242,0,(COLUMN()-12)*4/5)</f>
        <v>25.646786894939112</v>
      </c>
      <c r="R104" s="1232"/>
      <c r="S104" s="1232"/>
      <c r="T104" s="1232"/>
      <c r="U104" s="1232"/>
      <c r="V104" s="2847">
        <f ca="1">OFFSET('Q1'!$N242,0,(COLUMN()-12)*4/5)</f>
        <v>6.5733463958895726</v>
      </c>
      <c r="W104" s="1232"/>
      <c r="X104" s="1232"/>
      <c r="Y104" s="1232"/>
      <c r="Z104" s="1232"/>
      <c r="AA104" s="2847">
        <f ca="1">OFFSET('Q1'!$N242,0,(COLUMN()-12)*4/5)</f>
        <v>-12.724798484215938</v>
      </c>
      <c r="AB104" s="1232"/>
      <c r="AC104" s="1232"/>
      <c r="AD104" s="1232"/>
      <c r="AE104" s="1232"/>
      <c r="AF104" s="2847">
        <f ca="1">OFFSET('Q1'!$N242,0,(COLUMN()-12)*4/5)</f>
        <v>4.5342274840970873</v>
      </c>
      <c r="AG104" s="1232"/>
      <c r="AH104" s="1232"/>
      <c r="AI104" s="1232"/>
      <c r="AJ104" s="1232"/>
      <c r="AK104" s="2847">
        <f ca="1">OFFSET('Q1'!$N242,0,(COLUMN()-12)*4/5)</f>
        <v>18.65658179002159</v>
      </c>
      <c r="AL104" s="1232"/>
      <c r="AM104" s="1232"/>
      <c r="AN104" s="1232"/>
      <c r="AO104" s="1232"/>
      <c r="AP104" s="2847">
        <f ca="1">OFFSET('Q1'!$N242,0,(COLUMN()-12)*4/5)</f>
        <v>18.53881752647662</v>
      </c>
      <c r="AQ104" s="1232"/>
      <c r="AR104" s="1232"/>
      <c r="AS104" s="1232"/>
      <c r="AT104" s="1232"/>
      <c r="AU104" s="2847">
        <f ca="1">OFFSET('Q1'!$N242,0,(COLUMN()-12)*4/5)</f>
        <v>8.3609142042006255</v>
      </c>
      <c r="AV104" s="1232"/>
      <c r="AW104" s="1232"/>
      <c r="AX104" s="1232"/>
      <c r="AY104" s="1232"/>
      <c r="AZ104" s="2847">
        <f ca="1">OFFSET('Q1'!$N242,0,(COLUMN()-12)*4/5)</f>
        <v>13.680703709370576</v>
      </c>
      <c r="BA104" s="1232"/>
      <c r="BB104" s="1232"/>
      <c r="BC104" s="1232"/>
      <c r="BD104" s="1232"/>
      <c r="BE104" s="2847">
        <f ca="1">OFFSET('Q1'!$N242,0,(COLUMN()-12)*4/5)</f>
        <v>36.59175157828443</v>
      </c>
      <c r="BF104" s="1232"/>
      <c r="BG104" s="1232"/>
      <c r="BH104" s="1232"/>
      <c r="BI104" s="1232"/>
      <c r="BJ104" s="2847">
        <f ca="1">OFFSET('Q1'!$N242,0,(COLUMN()-12)*4/5)</f>
        <v>14.208590374825889</v>
      </c>
      <c r="BK104" s="1232"/>
      <c r="BL104" s="1232"/>
      <c r="BM104" s="1232"/>
      <c r="BN104" s="1232"/>
      <c r="BO104" s="2847">
        <f ca="1">OFFSET('Q1'!$N242,0,(COLUMN()-12)*4/5)</f>
        <v>10.775491391860029</v>
      </c>
      <c r="BP104" s="1232"/>
      <c r="BQ104" s="1232"/>
      <c r="BR104" s="1232"/>
      <c r="BS104" s="1232"/>
      <c r="BT104" s="2847">
        <f ca="1">OFFSET('Q1'!$N242,0,(COLUMN()-12)*4/5)</f>
        <v>11.041484849099874</v>
      </c>
      <c r="BU104" s="1232"/>
      <c r="BV104" s="1232"/>
      <c r="BW104" s="1232"/>
      <c r="BX104" s="1232"/>
      <c r="BY104" s="2847">
        <f ca="1">OFFSET('Q1'!$N242,0,(COLUMN()-12)*4/5)</f>
        <v>-27.205556444058558</v>
      </c>
      <c r="BZ104" s="1232"/>
      <c r="CA104" s="1232"/>
      <c r="CB104" s="1232"/>
      <c r="CC104" s="1232"/>
      <c r="CD104" s="2847">
        <f ca="1">OFFSET('Q1'!$N242,0,(COLUMN()-12)*4/5)</f>
        <v>18.621278412122507</v>
      </c>
      <c r="CE104" s="1232"/>
      <c r="CF104" s="1232"/>
      <c r="CG104" s="1232"/>
      <c r="CH104" s="1232"/>
      <c r="CI104" s="2847">
        <f ca="1">OFFSET('Q1'!$N242,0,(COLUMN()-12)*4/5)</f>
        <v>15.30332536037082</v>
      </c>
      <c r="CJ104" s="1232"/>
      <c r="CK104" s="1232"/>
      <c r="CL104" s="1232"/>
      <c r="CM104" s="1232"/>
      <c r="CN104" s="2847">
        <f ca="1">OFFSET('Q1'!$N242,0,(COLUMN()-12)*4/5)</f>
        <v>4.6537029982881535</v>
      </c>
      <c r="CO104" s="1232"/>
      <c r="CP104" s="1232"/>
      <c r="CQ104" s="1232"/>
      <c r="CR104" s="1232"/>
      <c r="CS104" s="2847">
        <f ca="1">OFFSET('Q1'!$N242,0,(COLUMN()-12)*4/5)</f>
        <v>11.101999289570273</v>
      </c>
      <c r="CT104" s="1232"/>
      <c r="CU104" s="1232"/>
      <c r="CV104" s="1232"/>
      <c r="CW104" s="1232"/>
      <c r="CX104" s="2847">
        <f ca="1">OFFSET('Q1'!$N242,0,(COLUMN()-12)*4/5)</f>
        <v>2.7594563977469448</v>
      </c>
      <c r="CY104" s="1232"/>
      <c r="CZ104" s="1232"/>
      <c r="DA104" s="1232"/>
      <c r="DB104" s="1232"/>
      <c r="DC104" s="3351">
        <f ca="1">OFFSET('Q1'!$N242,0,(COLUMN()-12)*4/5)</f>
        <v>6.332921048790439</v>
      </c>
      <c r="DD104" s="1232"/>
      <c r="DE104" s="1232"/>
      <c r="DF104" s="1232"/>
      <c r="DG104" s="1232"/>
      <c r="DH104" s="2847">
        <f ca="1">OFFSET('Q1'!$N242,0,(COLUMN()-12)*4/5)</f>
        <v>2.6691953400162447</v>
      </c>
      <c r="DI104" s="1232"/>
      <c r="DJ104" s="1232"/>
      <c r="DK104" s="1232"/>
      <c r="DL104" s="1232"/>
      <c r="DM104" s="2847">
        <f ca="1">OFFSET('Q1'!$N242,0,(COLUMN()-12)*4/5)</f>
        <v>13.580611792522546</v>
      </c>
      <c r="DN104" s="1232"/>
      <c r="DO104" s="1232"/>
      <c r="DP104" s="1232"/>
      <c r="DQ104" s="1232"/>
      <c r="DR104" s="2847">
        <f ca="1">OFFSET('Q1'!$N242,0,(COLUMN()-12)*4/5)</f>
        <v>6.4978108278907172</v>
      </c>
      <c r="DS104" s="1232"/>
      <c r="DT104" s="1232"/>
      <c r="DU104" s="1232"/>
      <c r="DV104" s="1232"/>
      <c r="DW104" s="2847">
        <f ca="1">OFFSET('Q1'!$N242,0,(COLUMN()-12)*4/5)</f>
        <v>5.1689614157828316</v>
      </c>
      <c r="DX104" s="1232"/>
      <c r="DY104" s="1232"/>
      <c r="DZ104" s="1232"/>
      <c r="EA104" s="1232"/>
      <c r="EB104"/>
      <c r="EC104"/>
      <c r="ED104"/>
      <c r="EE104"/>
      <c r="EF104"/>
      <c r="EG104"/>
      <c r="EH104"/>
      <c r="EI104"/>
      <c r="EJ104"/>
      <c r="EK104"/>
      <c r="EL104"/>
      <c r="EM104"/>
      <c r="EN104"/>
      <c r="EO104"/>
    </row>
    <row r="105" spans="1:145">
      <c r="BZ105" s="3108">
        <f ca="1">BZ101+BZ102</f>
        <v>16.176047115964099</v>
      </c>
      <c r="CB105" s="3108">
        <f ca="1">CB101+CB102</f>
        <v>14.442289999999998</v>
      </c>
      <c r="CD105" s="3194">
        <f ca="1">CD102/CD101</f>
        <v>-2115.3167482196272</v>
      </c>
      <c r="CE105" s="3194">
        <f ca="1">CE102/CE101</f>
        <v>6.7236584612322954</v>
      </c>
      <c r="CG105" s="3194">
        <f ca="1">CG102/CG101</f>
        <v>7.1886376675533308</v>
      </c>
      <c r="CI105" s="3194">
        <f ca="1">CI102/CI101</f>
        <v>0.86020866825669517</v>
      </c>
      <c r="CJ105" s="3194">
        <f ca="1">CJ102/CJ101</f>
        <v>7.041847138249584</v>
      </c>
      <c r="CK105" s="3194"/>
      <c r="CL105" s="3194">
        <f ca="1">CL102/CL101</f>
        <v>7.7690085438564136</v>
      </c>
      <c r="CM105" s="3194"/>
      <c r="CN105" s="3194">
        <f ca="1">CN102/CN101</f>
        <v>0.225819413786435</v>
      </c>
      <c r="CO105" s="3194">
        <f ca="1">CO102/CO101</f>
        <v>6.7187834619253364</v>
      </c>
      <c r="CP105" s="3194"/>
      <c r="CQ105" s="3194">
        <f ca="1">CQ102/CQ101</f>
        <v>6.9131507815254434</v>
      </c>
      <c r="CR105" s="3194"/>
      <c r="CS105" s="3194">
        <f ca="1">CS102/CS101</f>
        <v>0.40733865546223291</v>
      </c>
      <c r="CT105" s="3194">
        <f ca="1">CT102/CT101</f>
        <v>6.2619641802028001</v>
      </c>
      <c r="CU105" s="3194"/>
      <c r="CV105" s="3194">
        <f ca="1">CV102/CV101</f>
        <v>6.1783795310225811</v>
      </c>
      <c r="CW105" s="3194"/>
      <c r="CX105" s="3194">
        <f ca="1">CX102/CX101</f>
        <v>0.55439967594001249</v>
      </c>
      <c r="CY105" s="3194">
        <f ca="1">CY102/CY101</f>
        <v>6.0467133977005405</v>
      </c>
      <c r="CZ105" s="3194"/>
      <c r="DA105" s="3194">
        <f ca="1">DA102/DA101</f>
        <v>5.8607969383588312</v>
      </c>
      <c r="DC105" s="3194">
        <f ca="1">DC102/DC101</f>
        <v>-34.93797894214218</v>
      </c>
      <c r="DD105" s="3194">
        <f ca="1">DD102/DD101</f>
        <v>6.3014538415737791</v>
      </c>
      <c r="DE105" s="3194"/>
      <c r="DF105" s="3194">
        <f ca="1">DF102/DF101</f>
        <v>5.6948365941069339</v>
      </c>
      <c r="DH105" s="3194">
        <f ca="1">DH102/DH101</f>
        <v>0.45369391764711958</v>
      </c>
      <c r="DI105" s="3194">
        <f ca="1">DI102/DI101</f>
        <v>5.5024794608173355</v>
      </c>
      <c r="DJ105" s="3194"/>
      <c r="DK105" s="3194">
        <f ca="1">DK102/DK101</f>
        <v>5.1513303239049497</v>
      </c>
      <c r="DM105" s="3194">
        <f ca="1">DM102/DM101</f>
        <v>0.96993336391892271</v>
      </c>
      <c r="DN105" s="3194">
        <f ca="1">DN102/DN101</f>
        <v>5.1333383481535506</v>
      </c>
      <c r="DO105" s="3194"/>
      <c r="DP105" s="3194">
        <f ca="1">DP102/DP101</f>
        <v>5.1736243254856218</v>
      </c>
      <c r="DR105" s="3194">
        <f>DR102/DR101</f>
        <v>1</v>
      </c>
      <c r="DS105" s="3194">
        <f ca="1">DS102/DS101</f>
        <v>5.1736243254856218</v>
      </c>
      <c r="DT105" s="3194"/>
      <c r="DU105" s="3194">
        <f ca="1">DU102/DU101</f>
        <v>5.1485096442939433</v>
      </c>
      <c r="DW105" s="3194">
        <f>DW102/DW101</f>
        <v>1.0612244897959184</v>
      </c>
      <c r="DX105" s="3194">
        <f ca="1">DX102/DX101</f>
        <v>5.1632336947542701</v>
      </c>
      <c r="DY105" s="3194"/>
      <c r="DZ105" s="3194">
        <f ca="1">DZ102/DZ101</f>
        <v>5.1379237256623371</v>
      </c>
    </row>
    <row r="107" spans="1:145">
      <c r="D107" s="3751"/>
      <c r="E107" s="3751" t="s">
        <v>626</v>
      </c>
      <c r="F107" s="3751"/>
      <c r="G107" s="3753">
        <f>+InputY!$G$3</f>
        <v>1995</v>
      </c>
      <c r="H107" s="3754"/>
      <c r="I107" s="3754"/>
      <c r="J107" s="3754"/>
      <c r="K107" s="3755"/>
      <c r="L107" s="3753">
        <f>+G107+1</f>
        <v>1996</v>
      </c>
      <c r="M107" s="3754"/>
      <c r="N107" s="3754"/>
      <c r="O107" s="3754"/>
      <c r="P107" s="3755"/>
      <c r="Q107" s="3753">
        <f>+L107+1</f>
        <v>1997</v>
      </c>
      <c r="R107" s="3754"/>
      <c r="S107" s="3754"/>
      <c r="T107" s="3754"/>
      <c r="U107" s="3755"/>
      <c r="V107" s="3753">
        <f>+Q107+1</f>
        <v>1998</v>
      </c>
      <c r="W107" s="3754"/>
      <c r="X107" s="3754"/>
      <c r="Y107" s="3754"/>
      <c r="Z107" s="3755"/>
      <c r="AA107" s="3753">
        <f>+V107+1</f>
        <v>1999</v>
      </c>
      <c r="AB107" s="3754"/>
      <c r="AC107" s="3754"/>
      <c r="AD107" s="3754"/>
      <c r="AE107" s="3755"/>
      <c r="AF107" s="3753">
        <f>+AA107+1</f>
        <v>2000</v>
      </c>
      <c r="AG107" s="3754"/>
      <c r="AH107" s="3754"/>
      <c r="AI107" s="3754"/>
      <c r="AJ107" s="3755"/>
      <c r="AK107" s="3753">
        <f>+AF107+1</f>
        <v>2001</v>
      </c>
      <c r="AL107" s="3754"/>
      <c r="AM107" s="3754"/>
      <c r="AN107" s="3754"/>
      <c r="AO107" s="3755"/>
      <c r="AP107" s="3753">
        <f>+AK107+1</f>
        <v>2002</v>
      </c>
      <c r="AQ107" s="3754"/>
      <c r="AR107" s="3754"/>
      <c r="AS107" s="3754"/>
      <c r="AT107" s="3755"/>
      <c r="AU107" s="3753">
        <f>+AP107+1</f>
        <v>2003</v>
      </c>
      <c r="AV107" s="3754"/>
      <c r="AW107" s="3754"/>
      <c r="AX107" s="3754"/>
      <c r="AY107" s="3755"/>
      <c r="AZ107" s="3753">
        <f>+AU107+1</f>
        <v>2004</v>
      </c>
      <c r="BA107" s="3754"/>
      <c r="BB107" s="3754"/>
      <c r="BC107" s="3754"/>
      <c r="BD107" s="3755"/>
      <c r="BE107" s="3753">
        <f>+AZ107+1</f>
        <v>2005</v>
      </c>
      <c r="BF107" s="3754"/>
      <c r="BG107" s="3754"/>
      <c r="BH107" s="3754"/>
      <c r="BI107" s="3755"/>
      <c r="BJ107" s="3753">
        <f>+BE107+1</f>
        <v>2006</v>
      </c>
      <c r="BK107" s="3754"/>
      <c r="BL107" s="3754"/>
      <c r="BM107" s="3754"/>
      <c r="BN107" s="3755"/>
      <c r="BO107" s="3753">
        <f>+BJ107+1</f>
        <v>2007</v>
      </c>
      <c r="BP107" s="3754"/>
      <c r="BQ107" s="3754"/>
      <c r="BR107" s="3754"/>
      <c r="BS107" s="3755"/>
      <c r="BT107" s="3753">
        <f>+BO107+1</f>
        <v>2008</v>
      </c>
      <c r="BU107" s="3754"/>
      <c r="BV107" s="3754"/>
      <c r="BW107" s="3754"/>
      <c r="BX107" s="3755"/>
      <c r="BY107" s="3753">
        <f>+BT107+1</f>
        <v>2009</v>
      </c>
      <c r="BZ107" s="3754"/>
      <c r="CA107" s="3754"/>
      <c r="CB107" s="3754"/>
      <c r="CC107" s="3755"/>
      <c r="CD107" s="3753">
        <f>+BY107+1</f>
        <v>2010</v>
      </c>
      <c r="CE107" s="3754"/>
      <c r="CF107" s="3754"/>
      <c r="CG107" s="3754"/>
      <c r="CH107" s="3755"/>
      <c r="CI107" s="3753">
        <f>+CD107+1</f>
        <v>2011</v>
      </c>
      <c r="CJ107" s="3754"/>
      <c r="CK107" s="3754"/>
      <c r="CL107" s="3754"/>
      <c r="CM107" s="3755"/>
      <c r="CN107" s="3753">
        <f>+CI107+1</f>
        <v>2012</v>
      </c>
      <c r="CO107" s="3754"/>
      <c r="CP107" s="3754"/>
      <c r="CQ107" s="3754"/>
      <c r="CR107" s="3755"/>
      <c r="CS107" s="3753">
        <f>+CN107+1</f>
        <v>2013</v>
      </c>
      <c r="CT107" s="3754"/>
      <c r="CU107" s="3754"/>
      <c r="CV107" s="3754"/>
      <c r="CW107" s="3755"/>
      <c r="CX107" s="3753">
        <f>+CS107+1</f>
        <v>2014</v>
      </c>
      <c r="CY107" s="3754"/>
      <c r="CZ107" s="3754"/>
      <c r="DA107" s="3754"/>
      <c r="DB107" s="3755"/>
      <c r="DC107" s="3753">
        <f>+CX107+1</f>
        <v>2015</v>
      </c>
      <c r="DD107" s="3754"/>
      <c r="DE107" s="3754"/>
      <c r="DF107" s="3754"/>
      <c r="DG107" s="3755"/>
      <c r="DH107" s="3753">
        <f>+DC107+1</f>
        <v>2016</v>
      </c>
      <c r="DI107" s="3754"/>
      <c r="DJ107" s="3754"/>
      <c r="DK107" s="3754"/>
      <c r="DL107" s="3755"/>
      <c r="DM107" s="3753">
        <f>+DH107+1</f>
        <v>2017</v>
      </c>
      <c r="DN107" s="3754"/>
      <c r="DO107" s="3754"/>
      <c r="DP107" s="3754"/>
      <c r="DQ107" s="3755"/>
      <c r="DR107" s="3753">
        <f>+DM107+1</f>
        <v>2018</v>
      </c>
      <c r="DS107" s="3754"/>
      <c r="DT107" s="3754"/>
      <c r="DU107" s="3754"/>
      <c r="DV107" s="3755"/>
      <c r="DW107" s="3753">
        <f>+DR107+1</f>
        <v>2019</v>
      </c>
      <c r="DX107" s="3754"/>
      <c r="DY107" s="3754"/>
      <c r="DZ107" s="3754"/>
      <c r="EA107" s="3755"/>
    </row>
    <row r="108" spans="1:145">
      <c r="C108" s="3"/>
      <c r="D108" s="3751"/>
      <c r="E108" s="3751" t="s">
        <v>1587</v>
      </c>
      <c r="F108" s="3751"/>
      <c r="G108" s="1256" t="s">
        <v>1486</v>
      </c>
      <c r="H108" s="1253" t="s">
        <v>1732</v>
      </c>
      <c r="I108" s="1252" t="s">
        <v>2022</v>
      </c>
      <c r="J108" s="1253" t="s">
        <v>584</v>
      </c>
      <c r="K108" s="1252" t="s">
        <v>2023</v>
      </c>
      <c r="L108" s="1252" t="s">
        <v>1486</v>
      </c>
      <c r="M108" s="1253" t="s">
        <v>1732</v>
      </c>
      <c r="N108" s="1252" t="s">
        <v>2022</v>
      </c>
      <c r="O108" s="1253" t="s">
        <v>584</v>
      </c>
      <c r="P108" s="1252" t="s">
        <v>2023</v>
      </c>
      <c r="Q108" s="1252" t="s">
        <v>1486</v>
      </c>
      <c r="R108" s="1253" t="s">
        <v>1732</v>
      </c>
      <c r="S108" s="1252" t="s">
        <v>2022</v>
      </c>
      <c r="T108" s="1253" t="s">
        <v>584</v>
      </c>
      <c r="U108" s="1252" t="s">
        <v>2023</v>
      </c>
      <c r="V108" s="1252" t="s">
        <v>1486</v>
      </c>
      <c r="W108" s="1253" t="s">
        <v>1732</v>
      </c>
      <c r="X108" s="1252" t="s">
        <v>2022</v>
      </c>
      <c r="Y108" s="1253" t="s">
        <v>584</v>
      </c>
      <c r="Z108" s="1252" t="s">
        <v>2023</v>
      </c>
      <c r="AA108" s="1252" t="s">
        <v>1486</v>
      </c>
      <c r="AB108" s="1253" t="s">
        <v>1732</v>
      </c>
      <c r="AC108" s="1252" t="s">
        <v>2022</v>
      </c>
      <c r="AD108" s="1253" t="s">
        <v>584</v>
      </c>
      <c r="AE108" s="1252" t="s">
        <v>2023</v>
      </c>
      <c r="AF108" s="1252" t="s">
        <v>1486</v>
      </c>
      <c r="AG108" s="1253" t="s">
        <v>1732</v>
      </c>
      <c r="AH108" s="1252" t="s">
        <v>2022</v>
      </c>
      <c r="AI108" s="1253" t="s">
        <v>584</v>
      </c>
      <c r="AJ108" s="1252" t="s">
        <v>2023</v>
      </c>
      <c r="AK108" s="1252" t="s">
        <v>1486</v>
      </c>
      <c r="AL108" s="1253" t="s">
        <v>1732</v>
      </c>
      <c r="AM108" s="1252" t="s">
        <v>2022</v>
      </c>
      <c r="AN108" s="1253" t="s">
        <v>584</v>
      </c>
      <c r="AO108" s="1252" t="s">
        <v>2023</v>
      </c>
      <c r="AP108" s="1252" t="s">
        <v>1486</v>
      </c>
      <c r="AQ108" s="1253" t="s">
        <v>1732</v>
      </c>
      <c r="AR108" s="1252" t="s">
        <v>2022</v>
      </c>
      <c r="AS108" s="1253" t="s">
        <v>584</v>
      </c>
      <c r="AT108" s="1252" t="s">
        <v>2023</v>
      </c>
      <c r="AU108" s="1252" t="s">
        <v>1486</v>
      </c>
      <c r="AV108" s="1253" t="s">
        <v>1732</v>
      </c>
      <c r="AW108" s="1252" t="s">
        <v>2022</v>
      </c>
      <c r="AX108" s="1253" t="s">
        <v>584</v>
      </c>
      <c r="AY108" s="1252" t="s">
        <v>2023</v>
      </c>
      <c r="AZ108" s="1252" t="s">
        <v>1486</v>
      </c>
      <c r="BA108" s="1253" t="s">
        <v>1732</v>
      </c>
      <c r="BB108" s="1252" t="s">
        <v>2022</v>
      </c>
      <c r="BC108" s="1253" t="s">
        <v>584</v>
      </c>
      <c r="BD108" s="1252" t="s">
        <v>2023</v>
      </c>
      <c r="BE108" s="1252" t="s">
        <v>1486</v>
      </c>
      <c r="BF108" s="1253" t="s">
        <v>1732</v>
      </c>
      <c r="BG108" s="1252" t="s">
        <v>2022</v>
      </c>
      <c r="BH108" s="1253" t="s">
        <v>584</v>
      </c>
      <c r="BI108" s="1252" t="s">
        <v>2023</v>
      </c>
      <c r="BJ108" s="1252" t="s">
        <v>1486</v>
      </c>
      <c r="BK108" s="1253" t="s">
        <v>1732</v>
      </c>
      <c r="BL108" s="1252" t="s">
        <v>2022</v>
      </c>
      <c r="BM108" s="1253" t="s">
        <v>584</v>
      </c>
      <c r="BN108" s="1252" t="s">
        <v>2023</v>
      </c>
      <c r="BO108" s="1252" t="s">
        <v>1486</v>
      </c>
      <c r="BP108" s="1253" t="s">
        <v>1732</v>
      </c>
      <c r="BQ108" s="1252" t="s">
        <v>2022</v>
      </c>
      <c r="BR108" s="1253" t="s">
        <v>584</v>
      </c>
      <c r="BS108" s="1252" t="s">
        <v>2023</v>
      </c>
      <c r="BT108" s="1252" t="s">
        <v>1486</v>
      </c>
      <c r="BU108" s="1253" t="s">
        <v>1732</v>
      </c>
      <c r="BV108" s="1252" t="s">
        <v>2022</v>
      </c>
      <c r="BW108" s="1253" t="s">
        <v>584</v>
      </c>
      <c r="BX108" s="1252" t="s">
        <v>2023</v>
      </c>
      <c r="BY108" s="1252" t="s">
        <v>1486</v>
      </c>
      <c r="BZ108" s="1253" t="s">
        <v>1732</v>
      </c>
      <c r="CA108" s="1252" t="s">
        <v>2022</v>
      </c>
      <c r="CB108" s="1253" t="s">
        <v>584</v>
      </c>
      <c r="CC108" s="1252" t="s">
        <v>2023</v>
      </c>
      <c r="CD108" s="1252" t="s">
        <v>1486</v>
      </c>
      <c r="CE108" s="1253" t="s">
        <v>1732</v>
      </c>
      <c r="CF108" s="1252" t="s">
        <v>2022</v>
      </c>
      <c r="CG108" s="1253" t="s">
        <v>584</v>
      </c>
      <c r="CH108" s="1252" t="s">
        <v>2023</v>
      </c>
      <c r="CI108" s="1252" t="s">
        <v>1486</v>
      </c>
      <c r="CJ108" s="1253" t="s">
        <v>1732</v>
      </c>
      <c r="CK108" s="1252" t="s">
        <v>2022</v>
      </c>
      <c r="CL108" s="1253" t="s">
        <v>584</v>
      </c>
      <c r="CM108" s="1252" t="s">
        <v>2023</v>
      </c>
      <c r="CN108" s="1252" t="s">
        <v>1486</v>
      </c>
      <c r="CO108" s="1253" t="s">
        <v>1732</v>
      </c>
      <c r="CP108" s="1252" t="s">
        <v>2022</v>
      </c>
      <c r="CQ108" s="1253" t="s">
        <v>584</v>
      </c>
      <c r="CR108" s="1252" t="s">
        <v>2023</v>
      </c>
      <c r="CS108" s="1252" t="s">
        <v>1486</v>
      </c>
      <c r="CT108" s="1253" t="s">
        <v>1732</v>
      </c>
      <c r="CU108" s="1252" t="s">
        <v>2022</v>
      </c>
      <c r="CV108" s="1253" t="s">
        <v>584</v>
      </c>
      <c r="CW108" s="1252" t="s">
        <v>2023</v>
      </c>
      <c r="CX108" s="1252" t="s">
        <v>1486</v>
      </c>
      <c r="CY108" s="1253" t="s">
        <v>1732</v>
      </c>
      <c r="CZ108" s="1252" t="s">
        <v>2022</v>
      </c>
      <c r="DA108" s="1253" t="s">
        <v>584</v>
      </c>
      <c r="DB108" s="1252" t="s">
        <v>2023</v>
      </c>
      <c r="DC108" s="1252" t="s">
        <v>1486</v>
      </c>
      <c r="DD108" s="1253" t="s">
        <v>1732</v>
      </c>
      <c r="DE108" s="1252" t="s">
        <v>2022</v>
      </c>
      <c r="DF108" s="1253" t="s">
        <v>584</v>
      </c>
      <c r="DG108" s="1252" t="s">
        <v>2023</v>
      </c>
      <c r="DH108" s="1252" t="s">
        <v>1486</v>
      </c>
      <c r="DI108" s="1253" t="s">
        <v>1732</v>
      </c>
      <c r="DJ108" s="1252" t="s">
        <v>2022</v>
      </c>
      <c r="DK108" s="1253" t="s">
        <v>584</v>
      </c>
      <c r="DL108" s="1252" t="s">
        <v>2023</v>
      </c>
      <c r="DM108" s="1252" t="s">
        <v>1486</v>
      </c>
      <c r="DN108" s="1253" t="s">
        <v>1732</v>
      </c>
      <c r="DO108" s="1252" t="s">
        <v>2022</v>
      </c>
      <c r="DP108" s="1253" t="s">
        <v>584</v>
      </c>
      <c r="DQ108" s="1252" t="s">
        <v>2023</v>
      </c>
      <c r="DR108" s="1252" t="s">
        <v>1486</v>
      </c>
      <c r="DS108" s="1253" t="s">
        <v>1732</v>
      </c>
      <c r="DT108" s="1252" t="s">
        <v>2022</v>
      </c>
      <c r="DU108" s="1253" t="s">
        <v>584</v>
      </c>
      <c r="DV108" s="1252" t="s">
        <v>2023</v>
      </c>
      <c r="DW108" s="1252" t="s">
        <v>1486</v>
      </c>
      <c r="DX108" s="1253" t="s">
        <v>1732</v>
      </c>
      <c r="DY108" s="1252" t="s">
        <v>2022</v>
      </c>
      <c r="DZ108" s="1253" t="s">
        <v>584</v>
      </c>
      <c r="EA108" s="1252" t="s">
        <v>2023</v>
      </c>
    </row>
    <row r="109" spans="1:145" s="1295" customFormat="1">
      <c r="A109" s="1458"/>
      <c r="C109" s="1296" t="s">
        <v>1767</v>
      </c>
      <c r="D109" s="1297"/>
      <c r="E109" s="1297" t="s">
        <v>402</v>
      </c>
      <c r="F109" s="1298" t="s">
        <v>144</v>
      </c>
      <c r="G109" s="1237"/>
      <c r="H109" s="1238"/>
      <c r="I109" s="1239"/>
      <c r="J109" s="1228" t="e">
        <f ca="1">OFFSET('VVP2'!$G$320,0,(COLUMN()-6)/5)</f>
        <v>#VALUE!</v>
      </c>
      <c r="K109" s="1240"/>
      <c r="L109" s="1237"/>
      <c r="M109" s="1238"/>
      <c r="N109" s="1239"/>
      <c r="O109" s="1228" t="e">
        <f ca="1">OFFSET('VVP2'!$G$320,0,(COLUMN()-6)/5)</f>
        <v>#VALUE!</v>
      </c>
      <c r="P109" s="1221" t="e">
        <f ca="1">(O109/J109-1)*100</f>
        <v>#VALUE!</v>
      </c>
      <c r="Q109" s="1237"/>
      <c r="R109" s="1238"/>
      <c r="S109" s="1239"/>
      <c r="T109" s="1228" t="e">
        <f ca="1">OFFSET('VVP2'!$G$320,0,(COLUMN()-6)/5)</f>
        <v>#VALUE!</v>
      </c>
      <c r="U109" s="1221" t="e">
        <f ca="1">(T109/O109-1)*100</f>
        <v>#VALUE!</v>
      </c>
      <c r="V109" s="1237"/>
      <c r="W109" s="1238"/>
      <c r="X109" s="1239"/>
      <c r="Y109" s="1228" t="e">
        <f ca="1">OFFSET('VVP2'!$G$320,0,(COLUMN()-6)/5)</f>
        <v>#VALUE!</v>
      </c>
      <c r="Z109" s="1221" t="e">
        <f ca="1">(Y109/T109-1)*100</f>
        <v>#VALUE!</v>
      </c>
      <c r="AA109" s="1237"/>
      <c r="AB109" s="1238"/>
      <c r="AC109" s="1239"/>
      <c r="AD109" s="1228">
        <f ca="1">OFFSET('VVP2'!$G$320,0,(COLUMN()-6)/5)</f>
        <v>3.2407852567684778</v>
      </c>
      <c r="AE109" s="1221" t="e">
        <f ca="1">(AD109/Y109-1)*100</f>
        <v>#VALUE!</v>
      </c>
      <c r="AF109" s="1237"/>
      <c r="AG109" s="1238"/>
      <c r="AH109" s="1239"/>
      <c r="AI109" s="1228">
        <f ca="1">OFFSET('VVP2'!$G$320,0,(COLUMN()-6)/5)</f>
        <v>3.3351650053206674</v>
      </c>
      <c r="AJ109" s="1221">
        <f ca="1">(AI109/AD109-1)*100</f>
        <v>2.9122493801486682</v>
      </c>
      <c r="AK109" s="1237"/>
      <c r="AL109" s="1238"/>
      <c r="AM109" s="1239"/>
      <c r="AN109" s="1228">
        <f ca="1">OFFSET('VVP2'!$G$320,0,(COLUMN()-6)/5)</f>
        <v>3.848407547340623</v>
      </c>
      <c r="AO109" s="1221">
        <f ca="1">(AN109/AI109-1)*100</f>
        <v>15.388820079401388</v>
      </c>
      <c r="AP109" s="1237"/>
      <c r="AQ109" s="1238"/>
      <c r="AR109" s="1239"/>
      <c r="AS109" s="1228">
        <f ca="1">OFFSET('VVP2'!$G$320,0,(COLUMN()-6)/5)</f>
        <v>4.5366989492076</v>
      </c>
      <c r="AT109" s="1221">
        <f ca="1">(AS109/AN109-1)*100</f>
        <v>17.88509645613312</v>
      </c>
      <c r="AU109" s="1237"/>
      <c r="AV109" s="1238"/>
      <c r="AW109" s="1239"/>
      <c r="AX109" s="1228">
        <f ca="1">OFFSET('VVP2'!$G$320,0,(COLUMN()-6)/5)</f>
        <v>4.7863298730296568</v>
      </c>
      <c r="AY109" s="1221">
        <f ca="1">(AX109/AS109-1)*100</f>
        <v>5.5024793713865039</v>
      </c>
      <c r="AZ109" s="1237"/>
      <c r="BA109" s="1238"/>
      <c r="BB109" s="1239"/>
      <c r="BC109" s="1228">
        <f ca="1">OFFSET('VVP2'!$G$320,0,(COLUMN()-6)/5)</f>
        <v>6.3279125068471966</v>
      </c>
      <c r="BD109" s="1221">
        <f ca="1">(BC109/AX109-1)*100</f>
        <v>32.208031512916733</v>
      </c>
      <c r="BE109" s="1237"/>
      <c r="BF109" s="1238"/>
      <c r="BG109" s="1239"/>
      <c r="BH109" s="1228">
        <f ca="1">OFFSET('VVP2'!$G$320,0,(COLUMN()-6)/5)</f>
        <v>7.4370991621200488</v>
      </c>
      <c r="BI109" s="1221">
        <f ca="1">(BH109/BC109-1)*100</f>
        <v>17.528476477395081</v>
      </c>
      <c r="BJ109" s="1237"/>
      <c r="BK109" s="1238"/>
      <c r="BL109" s="1239"/>
      <c r="BM109" s="1228">
        <f ca="1">OFFSET('VVP2'!$G$320,0,(COLUMN()-6)/5)</f>
        <v>9.6872999999999987</v>
      </c>
      <c r="BN109" s="1221">
        <f ca="1">(BM109/BH109-1)*100</f>
        <v>30.256431826821295</v>
      </c>
      <c r="BO109" s="1237"/>
      <c r="BP109" s="1238"/>
      <c r="BQ109" s="1239"/>
      <c r="BR109" s="1228">
        <f ca="1">OFFSET('VVP2'!$G$320,0,(COLUMN()-6)/5)</f>
        <v>12.179600000000002</v>
      </c>
      <c r="BS109" s="1221">
        <f ca="1">(BR109/BM109-1)*100</f>
        <v>25.727498890299707</v>
      </c>
      <c r="BT109" s="1308"/>
      <c r="BU109" s="1429"/>
      <c r="BV109" s="1054"/>
      <c r="BW109" s="1228">
        <f ca="1">OFFSET('VVP2'!$G$320,0,(COLUMN()-6)/5)</f>
        <v>12.173700000000002</v>
      </c>
      <c r="BX109" s="1221">
        <f ca="1">(BW109/BR109-1)*100</f>
        <v>-4.8441656540443301E-2</v>
      </c>
      <c r="BY109" s="1308"/>
      <c r="BZ109" s="1429"/>
      <c r="CA109" s="1054"/>
      <c r="CB109" s="1228">
        <f ca="1">OFFSET('VVP2'!$G$320,0,(COLUMN()-6)/5)</f>
        <v>7.7571000000000003</v>
      </c>
      <c r="CC109" s="1221">
        <f ca="1">(CB109/BW109-1)*100</f>
        <v>-36.279849183074994</v>
      </c>
      <c r="CD109" s="1308"/>
      <c r="CE109" s="1429"/>
      <c r="CF109" s="1054"/>
      <c r="CG109" s="1228">
        <f ca="1">OFFSET('VVP2'!$G$320,0,(COLUMN()-6)/5)</f>
        <v>9.9933999999999994</v>
      </c>
      <c r="CH109" s="1221">
        <f ca="1">(CG109/CB109-1)*100</f>
        <v>28.829072720475413</v>
      </c>
      <c r="CI109" s="1308"/>
      <c r="CJ109" s="1429"/>
      <c r="CK109" s="1054"/>
      <c r="CL109" s="1228">
        <f ca="1">OFFSET('VVP2'!$G$320,0,(COLUMN()-6)/5)</f>
        <v>12.954800000000001</v>
      </c>
      <c r="CM109" s="1221">
        <f ca="1">(CL109/CG109-1)*100</f>
        <v>29.633558148377936</v>
      </c>
      <c r="CN109" s="1308"/>
      <c r="CO109" s="1429"/>
      <c r="CP109" s="1054"/>
      <c r="CQ109" s="1228">
        <f ca="1">OFFSET('VVP2'!$G$320,0,(COLUMN()-6)/5)</f>
        <v>14.3413</v>
      </c>
      <c r="CR109" s="1221">
        <f ca="1">(CQ109/CL109-1)*100</f>
        <v>10.702596720906543</v>
      </c>
      <c r="CS109" s="1308"/>
      <c r="CT109" s="1429"/>
      <c r="CU109" s="1054"/>
      <c r="CV109" s="1228">
        <f ca="1">OFFSET('VVP2'!$G$320,0,(COLUMN()-6)/5)</f>
        <v>15.8088</v>
      </c>
      <c r="CW109" s="1221">
        <f ca="1">(CV109/CQ109-1)*100</f>
        <v>10.232684624127518</v>
      </c>
      <c r="CX109" s="1308"/>
      <c r="CY109" s="1429"/>
      <c r="CZ109" s="1054"/>
      <c r="DA109" s="1228">
        <f ca="1">OFFSET('VVP2'!$G$320,0,(COLUMN()-6)/5)</f>
        <v>16.982299999999999</v>
      </c>
      <c r="DB109" s="1221">
        <f ca="1">(DA109/CV109-1)*100</f>
        <v>7.4230808157481842</v>
      </c>
      <c r="DC109" s="1308"/>
      <c r="DD109" s="1429"/>
      <c r="DE109" s="1054"/>
      <c r="DF109" s="1228">
        <f ca="1">OFFSET('VVP2'!$G$320,0,(COLUMN()-6)/5)</f>
        <v>17.198700000000002</v>
      </c>
      <c r="DG109" s="1221">
        <f ca="1">(DF109/DA109-1)*100</f>
        <v>1.2742679142401458</v>
      </c>
      <c r="DH109" s="1308"/>
      <c r="DI109" s="1429"/>
      <c r="DJ109" s="1054"/>
      <c r="DK109" s="1210">
        <f ca="1">+DK111-DK110</f>
        <v>18.023064064265412</v>
      </c>
      <c r="DL109" s="1430">
        <f ca="1">(DK109/DF109-1)*100</f>
        <v>4.7931766021002131</v>
      </c>
      <c r="DM109" s="1308"/>
      <c r="DN109" s="1429"/>
      <c r="DO109" s="1054"/>
      <c r="DP109" s="1210">
        <f ca="1">+DP111-DP110</f>
        <v>22.376997958939242</v>
      </c>
      <c r="DQ109" s="1430">
        <f ca="1">(DP109/DK109-1)*100</f>
        <v>24.157567654139545</v>
      </c>
      <c r="DR109" s="1308"/>
      <c r="DS109" s="1429"/>
      <c r="DT109" s="1054"/>
      <c r="DU109" s="1210">
        <f ca="1">+DU111-DU110</f>
        <v>24.180418396693291</v>
      </c>
      <c r="DV109" s="1430">
        <f ca="1">(DU109/DP109-1)*100</f>
        <v>8.0592599644654825</v>
      </c>
      <c r="DW109" s="1308"/>
      <c r="DX109" s="1429"/>
      <c r="DY109" s="1054"/>
      <c r="DZ109" s="1210">
        <f ca="1">+DZ111-DZ110</f>
        <v>25.797734643149585</v>
      </c>
      <c r="EA109" s="1430">
        <f ca="1">(DZ109/DU109-1)*100</f>
        <v>6.6885370630206387</v>
      </c>
      <c r="EB109"/>
      <c r="EC109"/>
      <c r="ED109"/>
      <c r="EE109"/>
      <c r="EF109"/>
      <c r="EG109"/>
      <c r="EH109"/>
      <c r="EI109"/>
      <c r="EJ109"/>
      <c r="EK109"/>
      <c r="EL109"/>
      <c r="EM109"/>
      <c r="EN109"/>
      <c r="EO109"/>
    </row>
    <row r="110" spans="1:145" s="1295" customFormat="1">
      <c r="A110" s="1458"/>
      <c r="C110" s="1301" t="s">
        <v>1767</v>
      </c>
      <c r="D110" s="1302"/>
      <c r="E110" s="1302" t="s">
        <v>142</v>
      </c>
      <c r="F110" s="1303" t="s">
        <v>146</v>
      </c>
      <c r="G110" s="1246"/>
      <c r="H110" s="1247"/>
      <c r="I110" s="1248"/>
      <c r="J110" s="1231" t="e">
        <f ca="1">OFFSET('VVP2'!$G$321,0,(COLUMN()-6)/5)</f>
        <v>#VALUE!</v>
      </c>
      <c r="K110" s="1249"/>
      <c r="L110" s="1246"/>
      <c r="M110" s="1247"/>
      <c r="N110" s="1248"/>
      <c r="O110" s="1231" t="e">
        <f ca="1">OFFSET('VVP2'!$G$321,0,(COLUMN()-6)/5)</f>
        <v>#VALUE!</v>
      </c>
      <c r="P110" s="1218" t="e">
        <f ca="1">(O110/J110-1)*100</f>
        <v>#VALUE!</v>
      </c>
      <c r="Q110" s="1246"/>
      <c r="R110" s="1247"/>
      <c r="S110" s="1248"/>
      <c r="T110" s="1231" t="e">
        <f ca="1">OFFSET('VVP2'!$G$321,0,(COLUMN()-6)/5)</f>
        <v>#VALUE!</v>
      </c>
      <c r="U110" s="1218" t="e">
        <f ca="1">(T110/O110-1)*100</f>
        <v>#VALUE!</v>
      </c>
      <c r="V110" s="1246"/>
      <c r="W110" s="1247"/>
      <c r="X110" s="1248"/>
      <c r="Y110" s="1231" t="e">
        <f ca="1">OFFSET('VVP2'!$G$321,0,(COLUMN()-6)/5)</f>
        <v>#VALUE!</v>
      </c>
      <c r="Z110" s="1218" t="e">
        <f ca="1">(Y110/T110-1)*100</f>
        <v>#VALUE!</v>
      </c>
      <c r="AA110" s="1246"/>
      <c r="AB110" s="1247"/>
      <c r="AC110" s="1248"/>
      <c r="AD110" s="1231">
        <f ca="1">OFFSET('VVP2'!$G$321,0,(COLUMN()-6)/5)</f>
        <v>2.1305551120253718</v>
      </c>
      <c r="AE110" s="1218" t="e">
        <f ca="1">(AD110/Y110-1)*100</f>
        <v>#VALUE!</v>
      </c>
      <c r="AF110" s="1246"/>
      <c r="AG110" s="1247"/>
      <c r="AH110" s="1248"/>
      <c r="AI110" s="1231">
        <f ca="1">OFFSET('VVP2'!$G$321,0,(COLUMN()-6)/5)</f>
        <v>2.7447367761346153</v>
      </c>
      <c r="AJ110" s="1218">
        <f ca="1">(AI110/AD110-1)*100</f>
        <v>28.827307054516105</v>
      </c>
      <c r="AK110" s="1246"/>
      <c r="AL110" s="1247"/>
      <c r="AM110" s="1248"/>
      <c r="AN110" s="1231">
        <f ca="1">OFFSET('VVP2'!$G$321,0,(COLUMN()-6)/5)</f>
        <v>3.1762097607172723</v>
      </c>
      <c r="AO110" s="1218">
        <f ca="1">(AN110/AI110-1)*100</f>
        <v>15.720013238948759</v>
      </c>
      <c r="AP110" s="1246"/>
      <c r="AQ110" s="1247"/>
      <c r="AR110" s="1248"/>
      <c r="AS110" s="1231">
        <f ca="1">OFFSET('VVP2'!$G$321,0,(COLUMN()-6)/5)</f>
        <v>3.4369902993290085</v>
      </c>
      <c r="AT110" s="1218">
        <f ca="1">(AS110/AN110-1)*100</f>
        <v>8.2104318750297232</v>
      </c>
      <c r="AU110" s="1246"/>
      <c r="AV110" s="1247"/>
      <c r="AW110" s="1248"/>
      <c r="AX110" s="1231">
        <f ca="1">OFFSET('VVP2'!$G$321,0,(COLUMN()-6)/5)</f>
        <v>3.7393452129381379</v>
      </c>
      <c r="AY110" s="1218">
        <f ca="1">(AX110/AS110-1)*100</f>
        <v>8.7970837062925966</v>
      </c>
      <c r="AZ110" s="1246"/>
      <c r="BA110" s="1247"/>
      <c r="BB110" s="1248"/>
      <c r="BC110" s="1231">
        <f ca="1">OFFSET('VVP2'!$G$321,0,(COLUMN()-6)/5)</f>
        <v>3.6305645494656513</v>
      </c>
      <c r="BD110" s="1218">
        <f ca="1">(BC110/AX110-1)*100</f>
        <v>-2.9090832024843638</v>
      </c>
      <c r="BE110" s="1246"/>
      <c r="BF110" s="1247"/>
      <c r="BG110" s="1248"/>
      <c r="BH110" s="1231">
        <f ca="1">OFFSET('VVP2'!$G$321,0,(COLUMN()-6)/5)</f>
        <v>5.0605994298617372</v>
      </c>
      <c r="BI110" s="1218">
        <f ca="1">(BH110/BC110-1)*100</f>
        <v>39.388774415443436</v>
      </c>
      <c r="BJ110" s="1246"/>
      <c r="BK110" s="1247"/>
      <c r="BL110" s="1248"/>
      <c r="BM110" s="1231">
        <f ca="1">OFFSET('VVP2'!$G$321,0,(COLUMN()-6)/5)</f>
        <v>5.7422000000000004</v>
      </c>
      <c r="BN110" s="1218">
        <f ca="1">(BM110/BH110-1)*100</f>
        <v>13.468771428859871</v>
      </c>
      <c r="BO110" s="1246"/>
      <c r="BP110" s="1247"/>
      <c r="BQ110" s="1248"/>
      <c r="BR110" s="1231">
        <f ca="1">OFFSET('VVP2'!$G$321,0,(COLUMN()-6)/5)</f>
        <v>5.6330999999999989</v>
      </c>
      <c r="BS110" s="1218">
        <f ca="1">(BR110/BM110-1)*100</f>
        <v>-1.8999686531294913</v>
      </c>
      <c r="BT110" s="1205"/>
      <c r="BU110" s="1408"/>
      <c r="BV110" s="881"/>
      <c r="BW110" s="1231">
        <f ca="1">OFFSET('VVP2'!$G$321,0,(COLUMN()-6)/5)</f>
        <v>8.9702000000000002</v>
      </c>
      <c r="BX110" s="1218">
        <f ca="1">(BW110/BR110-1)*100</f>
        <v>59.240915304184227</v>
      </c>
      <c r="BY110" s="1205"/>
      <c r="BZ110" s="1408"/>
      <c r="CA110" s="881"/>
      <c r="CB110" s="1231">
        <f ca="1">OFFSET('VVP2'!$G$321,0,(COLUMN()-6)/5)</f>
        <v>5.3657999999999983</v>
      </c>
      <c r="CC110" s="1218">
        <f ca="1">(CB110/BW110-1)*100</f>
        <v>-40.181935742792817</v>
      </c>
      <c r="CD110" s="1205"/>
      <c r="CE110" s="1408"/>
      <c r="CF110" s="881"/>
      <c r="CG110" s="1231">
        <f ca="1">OFFSET('VVP2'!$G$321,0,(COLUMN()-6)/5)</f>
        <v>7.6598000000000006</v>
      </c>
      <c r="CH110" s="1218">
        <f ca="1">(CG110/CB110-1)*100</f>
        <v>42.752245704275268</v>
      </c>
      <c r="CI110" s="1205"/>
      <c r="CJ110" s="1408"/>
      <c r="CK110" s="881"/>
      <c r="CL110" s="1231">
        <f ca="1">OFFSET('VVP2'!$G$321,0,(COLUMN()-6)/5)</f>
        <v>9.8710000000000022</v>
      </c>
      <c r="CM110" s="1218">
        <f ca="1">(CL110/CG110-1)*100</f>
        <v>28.867594454163314</v>
      </c>
      <c r="CN110" s="1205"/>
      <c r="CO110" s="1408"/>
      <c r="CP110" s="881"/>
      <c r="CQ110" s="1231">
        <f ca="1">OFFSET('VVP2'!$G$321,0,(COLUMN()-6)/5)</f>
        <v>10.537599999999999</v>
      </c>
      <c r="CR110" s="1218">
        <f ca="1">(CQ110/CL110-1)*100</f>
        <v>6.7531151858980509</v>
      </c>
      <c r="CS110" s="1205"/>
      <c r="CT110" s="1408"/>
      <c r="CU110" s="881"/>
      <c r="CV110" s="1231">
        <f ca="1">OFFSET('VVP2'!$G$321,0,(COLUMN()-6)/5)</f>
        <v>10.398899999999999</v>
      </c>
      <c r="CW110" s="1218">
        <f ca="1">(CV110/CQ110-1)*100</f>
        <v>-1.3162389918007888</v>
      </c>
      <c r="CX110" s="1205"/>
      <c r="CY110" s="1408"/>
      <c r="CZ110" s="881"/>
      <c r="DA110" s="1231">
        <f ca="1">OFFSET('VVP2'!$G$321,0,(COLUMN()-6)/5)</f>
        <v>8.9072000000000013</v>
      </c>
      <c r="DB110" s="1218">
        <f ca="1">(DA110/CV110-1)*100</f>
        <v>-14.344786467799464</v>
      </c>
      <c r="DC110" s="1205"/>
      <c r="DD110" s="1408"/>
      <c r="DE110" s="881"/>
      <c r="DF110" s="1231">
        <f ca="1">OFFSET('VVP2'!$G$321,0,(COLUMN()-6)/5)</f>
        <v>8.2009000000000007</v>
      </c>
      <c r="DG110" s="1218">
        <f ca="1">(DF110/DA110-1)*100</f>
        <v>-7.9295401472965761</v>
      </c>
      <c r="DH110" s="1205"/>
      <c r="DI110" s="1408"/>
      <c r="DJ110" s="881"/>
      <c r="DK110" s="1210">
        <f ca="1">+DF110*(1+DL110/100)</f>
        <v>8.4469270000000005</v>
      </c>
      <c r="DL110" s="2252">
        <v>3</v>
      </c>
      <c r="DM110" s="1205"/>
      <c r="DN110" s="1408"/>
      <c r="DO110" s="881"/>
      <c r="DP110" s="1210">
        <f ca="1">+DK110*(1+DQ110/100)</f>
        <v>8.7003348100000011</v>
      </c>
      <c r="DQ110" s="2252">
        <v>3</v>
      </c>
      <c r="DR110" s="1205"/>
      <c r="DS110" s="1408"/>
      <c r="DT110" s="881"/>
      <c r="DU110" s="1210">
        <f ca="1">+DP110*(1+DV110/100)</f>
        <v>9.7443749872000023</v>
      </c>
      <c r="DV110" s="2252">
        <v>12</v>
      </c>
      <c r="DW110" s="1205"/>
      <c r="DX110" s="1408"/>
      <c r="DY110" s="881"/>
      <c r="DZ110" s="1210">
        <f ca="1">+DU110*(1+EA110/100)</f>
        <v>10.426481236304003</v>
      </c>
      <c r="EA110" s="2252">
        <v>7</v>
      </c>
      <c r="EB110"/>
      <c r="EC110"/>
      <c r="ED110"/>
      <c r="EE110"/>
      <c r="EF110"/>
      <c r="EG110"/>
      <c r="EH110"/>
      <c r="EI110"/>
      <c r="EJ110"/>
      <c r="EK110"/>
      <c r="EL110"/>
      <c r="EM110"/>
      <c r="EN110"/>
      <c r="EO110"/>
    </row>
    <row r="111" spans="1:145" s="28" customFormat="1">
      <c r="A111" s="1457"/>
      <c r="C111" s="176" t="s">
        <v>1769</v>
      </c>
      <c r="D111" s="1150"/>
      <c r="E111" s="1150" t="s">
        <v>1496</v>
      </c>
      <c r="F111" s="1140" t="s">
        <v>1122</v>
      </c>
      <c r="G111" s="1233"/>
      <c r="H111" s="1233"/>
      <c r="I111" s="1233"/>
      <c r="J111" s="1234" t="e">
        <f ca="1">+J109+J110</f>
        <v>#VALUE!</v>
      </c>
      <c r="K111" s="1233"/>
      <c r="L111" s="1233"/>
      <c r="M111" s="1233"/>
      <c r="N111" s="1233"/>
      <c r="O111" s="1234" t="e">
        <f ca="1">+O109+O110</f>
        <v>#VALUE!</v>
      </c>
      <c r="P111" s="1234" t="e">
        <f ca="1">(O111/J111-1)*100</f>
        <v>#VALUE!</v>
      </c>
      <c r="Q111" s="1233"/>
      <c r="R111" s="1233"/>
      <c r="S111" s="1233"/>
      <c r="T111" s="1234" t="e">
        <f ca="1">+T109+T110</f>
        <v>#VALUE!</v>
      </c>
      <c r="U111" s="1234" t="e">
        <f ca="1">(T111/O111-1)*100</f>
        <v>#VALUE!</v>
      </c>
      <c r="V111" s="1233"/>
      <c r="W111" s="1233"/>
      <c r="X111" s="1233"/>
      <c r="Y111" s="1234" t="e">
        <f ca="1">+Y109+Y110</f>
        <v>#VALUE!</v>
      </c>
      <c r="Z111" s="1234" t="e">
        <f ca="1">(Y111/T111-1)*100</f>
        <v>#VALUE!</v>
      </c>
      <c r="AA111" s="1233"/>
      <c r="AB111" s="1233"/>
      <c r="AC111" s="1233"/>
      <c r="AD111" s="1234">
        <f ca="1">+AD109+AD110</f>
        <v>5.3713403687938497</v>
      </c>
      <c r="AE111" s="1234" t="e">
        <f ca="1">(AD111/Y111-1)*100</f>
        <v>#VALUE!</v>
      </c>
      <c r="AF111" s="1233"/>
      <c r="AG111" s="1233"/>
      <c r="AH111" s="1233"/>
      <c r="AI111" s="1234">
        <f ca="1">+AI109+AI110</f>
        <v>6.0799017814552823</v>
      </c>
      <c r="AJ111" s="1234">
        <f ca="1">(AI111/AD111-1)*100</f>
        <v>13.191519509320205</v>
      </c>
      <c r="AK111" s="1233"/>
      <c r="AL111" s="1233"/>
      <c r="AM111" s="1233"/>
      <c r="AN111" s="1234">
        <f ca="1">+AN109+AN110</f>
        <v>7.0246173080578949</v>
      </c>
      <c r="AO111" s="1234">
        <f ca="1">(AN111/AI111-1)*100</f>
        <v>15.538335331076446</v>
      </c>
      <c r="AP111" s="1233"/>
      <c r="AQ111" s="1233"/>
      <c r="AR111" s="1233"/>
      <c r="AS111" s="1234">
        <f ca="1">+AS109+AS110</f>
        <v>7.9736892485366084</v>
      </c>
      <c r="AT111" s="1234">
        <f ca="1">(AS111/AN111-1)*100</f>
        <v>13.510656863684778</v>
      </c>
      <c r="AU111" s="1233"/>
      <c r="AV111" s="1233"/>
      <c r="AW111" s="1233"/>
      <c r="AX111" s="1234">
        <f ca="1">+AX109+AX110</f>
        <v>8.5256750859677943</v>
      </c>
      <c r="AY111" s="1234">
        <f ca="1">(AX111/AS111-1)*100</f>
        <v>6.9225902869551881</v>
      </c>
      <c r="AZ111" s="1233"/>
      <c r="BA111" s="1233"/>
      <c r="BB111" s="1233"/>
      <c r="BC111" s="1234">
        <f ca="1">+BC109+BC110</f>
        <v>9.958477056312848</v>
      </c>
      <c r="BD111" s="1234">
        <f ca="1">(BC111/AX111-1)*100</f>
        <v>16.805730407240937</v>
      </c>
      <c r="BE111" s="1233"/>
      <c r="BF111" s="1233"/>
      <c r="BG111" s="1233"/>
      <c r="BH111" s="1234">
        <f ca="1">+BH109+BH110</f>
        <v>12.497698591981786</v>
      </c>
      <c r="BI111" s="1234">
        <f ca="1">(BH111/BC111-1)*100</f>
        <v>25.498090936096318</v>
      </c>
      <c r="BJ111" s="1233"/>
      <c r="BK111" s="1233"/>
      <c r="BL111" s="1233"/>
      <c r="BM111" s="1234">
        <f ca="1">+BM109+BM110</f>
        <v>15.429499999999999</v>
      </c>
      <c r="BN111" s="1234">
        <f ca="1">(BM111/BH111-1)*100</f>
        <v>23.458730312948852</v>
      </c>
      <c r="BO111" s="1233"/>
      <c r="BP111" s="1233"/>
      <c r="BQ111" s="1233"/>
      <c r="BR111" s="1234">
        <f ca="1">+BR109+BR110</f>
        <v>17.8127</v>
      </c>
      <c r="BS111" s="1234">
        <f ca="1">(BR111/BM111-1)*100</f>
        <v>15.445737062121268</v>
      </c>
      <c r="BT111" s="1404"/>
      <c r="BU111" s="1398"/>
      <c r="BV111" s="1398"/>
      <c r="BW111" s="1398">
        <f ca="1">+BR111*(1+BX111/100)</f>
        <v>21.902482252792435</v>
      </c>
      <c r="BX111" s="1405">
        <f ca="1">+BX102</f>
        <v>22.959923272678683</v>
      </c>
      <c r="BY111" s="1404"/>
      <c r="BZ111" s="1398"/>
      <c r="CA111" s="1398"/>
      <c r="CB111" s="1398">
        <f ca="1">+BW111*(1+CC111/100)</f>
        <v>13.657207440078736</v>
      </c>
      <c r="CC111" s="1405">
        <f ca="1">+CC102</f>
        <v>-37.645389767009071</v>
      </c>
      <c r="CD111" s="1404"/>
      <c r="CE111" s="1398"/>
      <c r="CF111" s="1398"/>
      <c r="CG111" s="1398">
        <f ca="1">+CB111*(1+CH111/100)</f>
        <v>18.479926101089131</v>
      </c>
      <c r="CH111" s="1405">
        <f ca="1">+CH102</f>
        <v>35.31262655392888</v>
      </c>
      <c r="CI111" s="1404"/>
      <c r="CJ111" s="1398"/>
      <c r="CK111" s="1398"/>
      <c r="CL111" s="1398">
        <f ca="1">+CG111*(1+CM111/100)</f>
        <v>24.008094798010564</v>
      </c>
      <c r="CM111" s="1405">
        <f ca="1">+CM102</f>
        <v>29.914452399220504</v>
      </c>
      <c r="CN111" s="1404"/>
      <c r="CO111" s="1398"/>
      <c r="CP111" s="1398"/>
      <c r="CQ111" s="1398">
        <f ca="1">+CL111*(1+CR111/100)</f>
        <v>26.29037991189406</v>
      </c>
      <c r="CR111" s="1405">
        <f ca="1">+CR102</f>
        <v>9.5063149870293628</v>
      </c>
      <c r="CS111" s="1404"/>
      <c r="CT111" s="1398"/>
      <c r="CU111" s="1398"/>
      <c r="CV111" s="1398">
        <f ca="1">+CQ111*(1+CW111/100)</f>
        <v>27.841225842717787</v>
      </c>
      <c r="CW111" s="1405">
        <f ca="1">+CW102</f>
        <v>5.8989103087175421</v>
      </c>
      <c r="CX111" s="1404"/>
      <c r="CY111" s="1398"/>
      <c r="CZ111" s="1398"/>
      <c r="DA111" s="1398">
        <f ca="1">+CV111*(1+DB111/100)</f>
        <v>27.582887462999089</v>
      </c>
      <c r="DB111" s="1405">
        <f ca="1">+DB102</f>
        <v>-0.92789872535827822</v>
      </c>
      <c r="DC111" s="1404"/>
      <c r="DD111" s="1398"/>
      <c r="DE111" s="1398"/>
      <c r="DF111" s="1398">
        <f ca="1">+DA111*(1+DG111/100)</f>
        <v>27.147016168815171</v>
      </c>
      <c r="DG111" s="1405">
        <f ca="1">+DG102</f>
        <v>-1.5802235888777605</v>
      </c>
      <c r="DH111" s="1404"/>
      <c r="DI111" s="1398"/>
      <c r="DJ111" s="1398"/>
      <c r="DK111" s="1398">
        <f ca="1">+DF111*(1+DL111/100)</f>
        <v>26.469991064265411</v>
      </c>
      <c r="DL111" s="1405">
        <f ca="1">+DL102</f>
        <v>-2.4939208800688895</v>
      </c>
      <c r="DM111" s="1404"/>
      <c r="DN111" s="1398"/>
      <c r="DO111" s="1398"/>
      <c r="DP111" s="1398">
        <f ca="1">+DK111*(1+DQ111/100)</f>
        <v>31.077332768939243</v>
      </c>
      <c r="DQ111" s="1405">
        <f ca="1">+DQ102</f>
        <v>17.405905780201646</v>
      </c>
      <c r="DR111" s="1404"/>
      <c r="DS111" s="1398"/>
      <c r="DT111" s="1398"/>
      <c r="DU111" s="1398">
        <f ca="1">+DP111*(1+DV111/100)</f>
        <v>33.924793383893295</v>
      </c>
      <c r="DV111" s="1405">
        <f ca="1">+DV102</f>
        <v>9.1624999999999837</v>
      </c>
      <c r="DW111" s="1404"/>
      <c r="DX111" s="1398"/>
      <c r="DY111" s="1398"/>
      <c r="DZ111" s="1398">
        <f ca="1">+DU111*(1+EA111/100)</f>
        <v>36.224215879453588</v>
      </c>
      <c r="EA111" s="1405">
        <f ca="1">+EA102</f>
        <v>6.7780000000000173</v>
      </c>
      <c r="EB111"/>
      <c r="EC111"/>
      <c r="ED111"/>
      <c r="EE111"/>
      <c r="EF111"/>
      <c r="EG111"/>
      <c r="EH111"/>
      <c r="EI111"/>
      <c r="EJ111"/>
      <c r="EK111"/>
      <c r="EL111"/>
      <c r="EM111"/>
      <c r="EN111"/>
      <c r="EO111"/>
    </row>
    <row r="112" spans="1:145">
      <c r="CG112" s="3198">
        <f ca="1">CG110/CG111</f>
        <v>0.41449299949032609</v>
      </c>
      <c r="CH112" s="3194">
        <f ca="1">CH110/CH111</f>
        <v>1.2106787253274609</v>
      </c>
      <c r="CI112" s="3194"/>
      <c r="CJ112" s="3194"/>
      <c r="CK112" s="3194"/>
      <c r="CL112" s="1394">
        <f ca="1">CL109/CL111</f>
        <v>0.53960133484117623</v>
      </c>
      <c r="CM112" s="3194">
        <f ca="1">CM109/CM111</f>
        <v>0.99061008214043433</v>
      </c>
      <c r="CN112" s="3194"/>
      <c r="CO112" s="3194"/>
      <c r="CP112" s="3194"/>
      <c r="CQ112" s="1394">
        <f ca="1">CQ109/CQ111</f>
        <v>0.54549611105132167</v>
      </c>
      <c r="CR112" s="3194">
        <f ca="1">CR109/CR111</f>
        <v>1.1258407422339165</v>
      </c>
      <c r="CS112" s="3194"/>
      <c r="CT112" s="3194"/>
      <c r="CU112" s="3194"/>
      <c r="CV112" s="1394">
        <f ca="1">CV109/CV111</f>
        <v>0.56781982551012511</v>
      </c>
      <c r="CW112" s="3194">
        <f ca="1">CW109/CW111</f>
        <v>1.7346737089739146</v>
      </c>
      <c r="CX112" s="3194"/>
      <c r="CY112" s="3194"/>
      <c r="CZ112" s="3194"/>
      <c r="DA112" s="1394">
        <f ca="1">DA109/DA111</f>
        <v>0.61568245974178049</v>
      </c>
      <c r="DB112" s="3194">
        <f ca="1">DB109/DB111</f>
        <v>-7.9998825441666606</v>
      </c>
      <c r="DC112" s="3194"/>
      <c r="DD112" s="3194"/>
      <c r="DE112" s="3194"/>
      <c r="DF112" s="1394">
        <f ca="1">DF109/DF111</f>
        <v>0.63353924029989028</v>
      </c>
      <c r="DG112" s="3194">
        <f ca="1">DG109/DG111</f>
        <v>-0.80638456684797533</v>
      </c>
      <c r="DH112" s="3194"/>
      <c r="DI112" s="3194"/>
      <c r="DJ112" s="3194"/>
      <c r="DK112" s="1394">
        <f ca="1">DK109/DK111</f>
        <v>0.68088666975776269</v>
      </c>
      <c r="DL112" s="3194">
        <f ca="1">DL109/DL111</f>
        <v>-1.9219441323927693</v>
      </c>
      <c r="DM112" s="3194"/>
      <c r="DN112" s="3194"/>
      <c r="DO112" s="3194"/>
      <c r="DP112" s="1394">
        <f ca="1">DP109/DP111</f>
        <v>0.72004242208663105</v>
      </c>
      <c r="DQ112" s="3194">
        <f ca="1">DQ109/DQ111</f>
        <v>1.3878948880452737</v>
      </c>
      <c r="DR112" s="3194"/>
      <c r="DS112" s="3194"/>
      <c r="DT112" s="3194"/>
      <c r="DU112" s="1394">
        <f ca="1">DU109/DU111</f>
        <v>0.71276538439210047</v>
      </c>
      <c r="DV112" s="3194">
        <f ca="1">DV109/DV111</f>
        <v>0.87959181058286462</v>
      </c>
      <c r="DW112" s="3194"/>
      <c r="DX112" s="3194"/>
      <c r="DY112" s="3194"/>
      <c r="DZ112" s="1394">
        <f ca="1">DZ109/DZ111</f>
        <v>0.7121682006588882</v>
      </c>
      <c r="EA112" s="3194">
        <f ca="1">EA109/EA111</f>
        <v>0.98680098303638564</v>
      </c>
    </row>
    <row r="113" spans="1:145">
      <c r="DF113">
        <f ca="1">(DF88-DF103)/DF17</f>
        <v>-4.7957856722797296E-3</v>
      </c>
    </row>
    <row r="114" spans="1:145">
      <c r="B114" s="1"/>
      <c r="C114" s="774"/>
      <c r="D114" s="3751"/>
      <c r="E114" s="3751" t="s">
        <v>167</v>
      </c>
      <c r="F114" s="3751"/>
      <c r="G114" s="3753">
        <f>+InputY!$G$3</f>
        <v>1995</v>
      </c>
      <c r="H114" s="3754"/>
      <c r="I114" s="3754"/>
      <c r="J114" s="3754"/>
      <c r="K114" s="3755"/>
      <c r="L114" s="3753">
        <f>+G114+1</f>
        <v>1996</v>
      </c>
      <c r="M114" s="3754"/>
      <c r="N114" s="3754"/>
      <c r="O114" s="3754"/>
      <c r="P114" s="3755"/>
      <c r="Q114" s="3753">
        <f>+L114+1</f>
        <v>1997</v>
      </c>
      <c r="R114" s="3754"/>
      <c r="S114" s="3754"/>
      <c r="T114" s="3754"/>
      <c r="U114" s="3755"/>
      <c r="V114" s="3753">
        <f>+Q114+1</f>
        <v>1998</v>
      </c>
      <c r="W114" s="3754"/>
      <c r="X114" s="3754"/>
      <c r="Y114" s="3754"/>
      <c r="Z114" s="3755"/>
      <c r="AA114" s="3753">
        <f>+V114+1</f>
        <v>1999</v>
      </c>
      <c r="AB114" s="3754"/>
      <c r="AC114" s="3754"/>
      <c r="AD114" s="3754"/>
      <c r="AE114" s="3755"/>
      <c r="AF114" s="3753">
        <f>+AA114+1</f>
        <v>2000</v>
      </c>
      <c r="AG114" s="3754"/>
      <c r="AH114" s="3754"/>
      <c r="AI114" s="3754"/>
      <c r="AJ114" s="3755"/>
      <c r="AK114" s="3753">
        <f>+AF114+1</f>
        <v>2001</v>
      </c>
      <c r="AL114" s="3754"/>
      <c r="AM114" s="3754"/>
      <c r="AN114" s="3754"/>
      <c r="AO114" s="3755"/>
      <c r="AP114" s="3753">
        <f>+AK114+1</f>
        <v>2002</v>
      </c>
      <c r="AQ114" s="3754"/>
      <c r="AR114" s="3754"/>
      <c r="AS114" s="3754"/>
      <c r="AT114" s="3755"/>
      <c r="AU114" s="3753">
        <f>+AP114+1</f>
        <v>2003</v>
      </c>
      <c r="AV114" s="3754"/>
      <c r="AW114" s="3754"/>
      <c r="AX114" s="3754"/>
      <c r="AY114" s="3755"/>
      <c r="AZ114" s="3753">
        <f>+AU114+1</f>
        <v>2004</v>
      </c>
      <c r="BA114" s="3754"/>
      <c r="BB114" s="3754"/>
      <c r="BC114" s="3754"/>
      <c r="BD114" s="3755"/>
      <c r="BE114" s="3753">
        <f>+AZ114+1</f>
        <v>2005</v>
      </c>
      <c r="BF114" s="3754"/>
      <c r="BG114" s="3754"/>
      <c r="BH114" s="3754"/>
      <c r="BI114" s="3755"/>
      <c r="BJ114" s="3753">
        <f>+BE114+1</f>
        <v>2006</v>
      </c>
      <c r="BK114" s="3754"/>
      <c r="BL114" s="3754"/>
      <c r="BM114" s="3754"/>
      <c r="BN114" s="3755"/>
      <c r="BO114" s="3753">
        <f>+BJ114+1</f>
        <v>2007</v>
      </c>
      <c r="BP114" s="3754"/>
      <c r="BQ114" s="3754"/>
      <c r="BR114" s="3754"/>
      <c r="BS114" s="3755"/>
      <c r="BT114" s="3753">
        <f>+BO114+1</f>
        <v>2008</v>
      </c>
      <c r="BU114" s="3754"/>
      <c r="BV114" s="3754"/>
      <c r="BW114" s="3754"/>
      <c r="BX114" s="3755"/>
      <c r="BY114" s="3753">
        <f>+BT114+1</f>
        <v>2009</v>
      </c>
      <c r="BZ114" s="3754"/>
      <c r="CA114" s="3754"/>
      <c r="CB114" s="3754"/>
      <c r="CC114" s="3755"/>
      <c r="CD114" s="3753">
        <f>+BY114+1</f>
        <v>2010</v>
      </c>
      <c r="CE114" s="3754"/>
      <c r="CF114" s="3754"/>
      <c r="CG114" s="3754"/>
      <c r="CH114" s="3755"/>
      <c r="CI114" s="3753">
        <f>+CD114+1</f>
        <v>2011</v>
      </c>
      <c r="CJ114" s="3754"/>
      <c r="CK114" s="3754"/>
      <c r="CL114" s="3754"/>
      <c r="CM114" s="3755"/>
      <c r="CN114" s="3753">
        <f>+CI114+1</f>
        <v>2012</v>
      </c>
      <c r="CO114" s="3754"/>
      <c r="CP114" s="3754"/>
      <c r="CQ114" s="3754"/>
      <c r="CR114" s="3755"/>
      <c r="CS114" s="3753">
        <f>+CN114+1</f>
        <v>2013</v>
      </c>
      <c r="CT114" s="3754"/>
      <c r="CU114" s="3754"/>
      <c r="CV114" s="3754"/>
      <c r="CW114" s="3755"/>
      <c r="CX114" s="3753">
        <f>+CS114+1</f>
        <v>2014</v>
      </c>
      <c r="CY114" s="3754"/>
      <c r="CZ114" s="3754"/>
      <c r="DA114" s="3754"/>
      <c r="DB114" s="3755"/>
      <c r="DC114" s="3753">
        <f>+CX114+1</f>
        <v>2015</v>
      </c>
      <c r="DD114" s="3754"/>
      <c r="DE114" s="3754"/>
      <c r="DF114" s="3754"/>
      <c r="DG114" s="3755"/>
      <c r="DH114" s="3753">
        <f>+DC114+1</f>
        <v>2016</v>
      </c>
      <c r="DI114" s="3754"/>
      <c r="DJ114" s="3754"/>
      <c r="DK114" s="3754"/>
      <c r="DL114" s="3755"/>
      <c r="DM114" s="3753">
        <f>+DH114+1</f>
        <v>2017</v>
      </c>
      <c r="DN114" s="3754"/>
      <c r="DO114" s="3754"/>
      <c r="DP114" s="3754"/>
      <c r="DQ114" s="3755"/>
      <c r="DR114" s="3753">
        <f>+DM114+1</f>
        <v>2018</v>
      </c>
      <c r="DS114" s="3754"/>
      <c r="DT114" s="3754"/>
      <c r="DU114" s="3754"/>
      <c r="DV114" s="3755"/>
      <c r="DW114" s="3753">
        <f>+DR114+1</f>
        <v>2019</v>
      </c>
      <c r="DX114" s="3754"/>
      <c r="DY114" s="3754"/>
      <c r="DZ114" s="3754"/>
      <c r="EA114" s="3755"/>
    </row>
    <row r="115" spans="1:145">
      <c r="B115" s="1"/>
      <c r="C115" s="774"/>
      <c r="D115" s="3751"/>
      <c r="E115" s="3751"/>
      <c r="F115" s="3751"/>
      <c r="G115" s="1252" t="s">
        <v>1486</v>
      </c>
      <c r="H115" s="1253" t="s">
        <v>1732</v>
      </c>
      <c r="I115" s="1252" t="s">
        <v>2022</v>
      </c>
      <c r="J115" s="1253" t="s">
        <v>584</v>
      </c>
      <c r="K115" s="1252" t="s">
        <v>2023</v>
      </c>
      <c r="L115" s="1252" t="s">
        <v>1486</v>
      </c>
      <c r="M115" s="1253" t="s">
        <v>1732</v>
      </c>
      <c r="N115" s="1252" t="s">
        <v>2022</v>
      </c>
      <c r="O115" s="1253" t="s">
        <v>584</v>
      </c>
      <c r="P115" s="1252" t="s">
        <v>2023</v>
      </c>
      <c r="Q115" s="1252" t="s">
        <v>1486</v>
      </c>
      <c r="R115" s="1253" t="s">
        <v>1732</v>
      </c>
      <c r="S115" s="1252" t="s">
        <v>2022</v>
      </c>
      <c r="T115" s="1253" t="s">
        <v>584</v>
      </c>
      <c r="U115" s="1252" t="s">
        <v>2023</v>
      </c>
      <c r="V115" s="1252" t="s">
        <v>1486</v>
      </c>
      <c r="W115" s="1253" t="s">
        <v>1732</v>
      </c>
      <c r="X115" s="1252" t="s">
        <v>2022</v>
      </c>
      <c r="Y115" s="1253" t="s">
        <v>584</v>
      </c>
      <c r="Z115" s="1252" t="s">
        <v>2023</v>
      </c>
      <c r="AA115" s="1252" t="s">
        <v>1486</v>
      </c>
      <c r="AB115" s="1253" t="s">
        <v>1732</v>
      </c>
      <c r="AC115" s="1252" t="s">
        <v>2022</v>
      </c>
      <c r="AD115" s="1253" t="s">
        <v>584</v>
      </c>
      <c r="AE115" s="1252" t="s">
        <v>2023</v>
      </c>
      <c r="AF115" s="1252" t="s">
        <v>1486</v>
      </c>
      <c r="AG115" s="1253" t="s">
        <v>1732</v>
      </c>
      <c r="AH115" s="1252" t="s">
        <v>2022</v>
      </c>
      <c r="AI115" s="1253" t="s">
        <v>584</v>
      </c>
      <c r="AJ115" s="1252" t="s">
        <v>2023</v>
      </c>
      <c r="AK115" s="1252" t="s">
        <v>1486</v>
      </c>
      <c r="AL115" s="1253" t="s">
        <v>1732</v>
      </c>
      <c r="AM115" s="1252" t="s">
        <v>2022</v>
      </c>
      <c r="AN115" s="1253" t="s">
        <v>584</v>
      </c>
      <c r="AO115" s="1252" t="s">
        <v>2023</v>
      </c>
      <c r="AP115" s="1252" t="s">
        <v>1486</v>
      </c>
      <c r="AQ115" s="1253" t="s">
        <v>1732</v>
      </c>
      <c r="AR115" s="1252" t="s">
        <v>2022</v>
      </c>
      <c r="AS115" s="1253" t="s">
        <v>584</v>
      </c>
      <c r="AT115" s="1252" t="s">
        <v>2023</v>
      </c>
      <c r="AU115" s="1252" t="s">
        <v>1486</v>
      </c>
      <c r="AV115" s="1253" t="s">
        <v>1732</v>
      </c>
      <c r="AW115" s="1252" t="s">
        <v>2022</v>
      </c>
      <c r="AX115" s="1253" t="s">
        <v>584</v>
      </c>
      <c r="AY115" s="1252" t="s">
        <v>2023</v>
      </c>
      <c r="AZ115" s="1252" t="s">
        <v>1486</v>
      </c>
      <c r="BA115" s="1253" t="s">
        <v>1732</v>
      </c>
      <c r="BB115" s="1252" t="s">
        <v>2022</v>
      </c>
      <c r="BC115" s="1253" t="s">
        <v>584</v>
      </c>
      <c r="BD115" s="1252" t="s">
        <v>2023</v>
      </c>
      <c r="BE115" s="1252" t="s">
        <v>1486</v>
      </c>
      <c r="BF115" s="1253" t="s">
        <v>1732</v>
      </c>
      <c r="BG115" s="1252" t="s">
        <v>2022</v>
      </c>
      <c r="BH115" s="1253" t="s">
        <v>584</v>
      </c>
      <c r="BI115" s="1252" t="s">
        <v>2023</v>
      </c>
      <c r="BJ115" s="1252" t="s">
        <v>1486</v>
      </c>
      <c r="BK115" s="1253" t="s">
        <v>1732</v>
      </c>
      <c r="BL115" s="1252" t="s">
        <v>2022</v>
      </c>
      <c r="BM115" s="1253" t="s">
        <v>584</v>
      </c>
      <c r="BN115" s="1252" t="s">
        <v>2023</v>
      </c>
      <c r="BO115" s="1252" t="s">
        <v>1486</v>
      </c>
      <c r="BP115" s="1253" t="s">
        <v>1732</v>
      </c>
      <c r="BQ115" s="1252" t="s">
        <v>2022</v>
      </c>
      <c r="BR115" s="1253" t="s">
        <v>584</v>
      </c>
      <c r="BS115" s="1252" t="s">
        <v>2023</v>
      </c>
      <c r="BT115" s="1252" t="s">
        <v>1486</v>
      </c>
      <c r="BU115" s="1253" t="s">
        <v>1732</v>
      </c>
      <c r="BV115" s="1252" t="s">
        <v>2022</v>
      </c>
      <c r="BW115" s="1253" t="s">
        <v>584</v>
      </c>
      <c r="BX115" s="1252" t="s">
        <v>2023</v>
      </c>
      <c r="BY115" s="1252" t="s">
        <v>1486</v>
      </c>
      <c r="BZ115" s="1253" t="s">
        <v>1732</v>
      </c>
      <c r="CA115" s="1252" t="s">
        <v>2022</v>
      </c>
      <c r="CB115" s="1253" t="s">
        <v>584</v>
      </c>
      <c r="CC115" s="1252" t="s">
        <v>2023</v>
      </c>
      <c r="CD115" s="1252" t="s">
        <v>1486</v>
      </c>
      <c r="CE115" s="1253" t="s">
        <v>1732</v>
      </c>
      <c r="CF115" s="1252" t="s">
        <v>2022</v>
      </c>
      <c r="CG115" s="1253" t="s">
        <v>584</v>
      </c>
      <c r="CH115" s="1252" t="s">
        <v>2023</v>
      </c>
      <c r="CI115" s="1252" t="s">
        <v>1486</v>
      </c>
      <c r="CJ115" s="1253" t="s">
        <v>1732</v>
      </c>
      <c r="CK115" s="1252" t="s">
        <v>2022</v>
      </c>
      <c r="CL115" s="1253" t="s">
        <v>584</v>
      </c>
      <c r="CM115" s="1252" t="s">
        <v>2023</v>
      </c>
      <c r="CN115" s="1252" t="s">
        <v>1486</v>
      </c>
      <c r="CO115" s="1253" t="s">
        <v>1732</v>
      </c>
      <c r="CP115" s="1252" t="s">
        <v>2022</v>
      </c>
      <c r="CQ115" s="1253" t="s">
        <v>584</v>
      </c>
      <c r="CR115" s="1252" t="s">
        <v>2023</v>
      </c>
      <c r="CS115" s="1252" t="s">
        <v>1486</v>
      </c>
      <c r="CT115" s="1253" t="s">
        <v>1732</v>
      </c>
      <c r="CU115" s="1252" t="s">
        <v>2022</v>
      </c>
      <c r="CV115" s="1253" t="s">
        <v>584</v>
      </c>
      <c r="CW115" s="1252" t="s">
        <v>2023</v>
      </c>
      <c r="CX115" s="1252" t="s">
        <v>1486</v>
      </c>
      <c r="CY115" s="1253" t="s">
        <v>1732</v>
      </c>
      <c r="CZ115" s="1252" t="s">
        <v>2022</v>
      </c>
      <c r="DA115" s="1253" t="s">
        <v>584</v>
      </c>
      <c r="DB115" s="1252" t="s">
        <v>2023</v>
      </c>
      <c r="DC115" s="1252" t="s">
        <v>1486</v>
      </c>
      <c r="DD115" s="1253" t="s">
        <v>1732</v>
      </c>
      <c r="DE115" s="1252" t="s">
        <v>2022</v>
      </c>
      <c r="DF115" s="1253" t="s">
        <v>584</v>
      </c>
      <c r="DG115" s="1252" t="s">
        <v>2023</v>
      </c>
      <c r="DH115" s="1252" t="s">
        <v>1486</v>
      </c>
      <c r="DI115" s="1253" t="s">
        <v>1732</v>
      </c>
      <c r="DJ115" s="1252" t="s">
        <v>2022</v>
      </c>
      <c r="DK115" s="1253" t="s">
        <v>584</v>
      </c>
      <c r="DL115" s="1252" t="s">
        <v>2023</v>
      </c>
      <c r="DM115" s="1252" t="s">
        <v>1486</v>
      </c>
      <c r="DN115" s="1253" t="s">
        <v>1732</v>
      </c>
      <c r="DO115" s="1252" t="s">
        <v>2022</v>
      </c>
      <c r="DP115" s="1253" t="s">
        <v>584</v>
      </c>
      <c r="DQ115" s="1252" t="s">
        <v>2023</v>
      </c>
      <c r="DR115" s="1252" t="s">
        <v>1486</v>
      </c>
      <c r="DS115" s="1253" t="s">
        <v>1732</v>
      </c>
      <c r="DT115" s="1252" t="s">
        <v>2022</v>
      </c>
      <c r="DU115" s="1253" t="s">
        <v>584</v>
      </c>
      <c r="DV115" s="1252" t="s">
        <v>2023</v>
      </c>
      <c r="DW115" s="1252" t="s">
        <v>1486</v>
      </c>
      <c r="DX115" s="1253" t="s">
        <v>1732</v>
      </c>
      <c r="DY115" s="1252" t="s">
        <v>2022</v>
      </c>
      <c r="DZ115" s="1253" t="s">
        <v>584</v>
      </c>
      <c r="EA115" s="1252" t="s">
        <v>2023</v>
      </c>
    </row>
    <row r="116" spans="1:145">
      <c r="B116" s="1"/>
      <c r="C116" s="1090" t="s">
        <v>1767</v>
      </c>
      <c r="D116" s="996"/>
      <c r="E116" s="996" t="s">
        <v>1166</v>
      </c>
      <c r="F116" s="1091" t="s">
        <v>281</v>
      </c>
      <c r="G116" s="1308"/>
      <c r="H116" s="1309"/>
      <c r="I116" s="1054"/>
      <c r="J116" s="1352">
        <f ca="1">OFFSET('VVP2'!$G$341,0,(COLUMN()-6)/5)</f>
        <v>7.7645299999999997</v>
      </c>
      <c r="K116" s="1380"/>
      <c r="L116" s="1871">
        <f ca="1">+L17</f>
        <v>5.2391782869028569</v>
      </c>
      <c r="M116" s="1352">
        <f ca="1">+J116*(1+L116/100)</f>
        <v>8.1713275698400576</v>
      </c>
      <c r="N116" s="1362">
        <f ca="1">+O116/M116*100-100</f>
        <v>18.880927449958307</v>
      </c>
      <c r="O116" s="1352">
        <f ca="1">OFFSET('VVP2'!$G$341,0,(COLUMN()-6)/5)</f>
        <v>9.7141500000000001</v>
      </c>
      <c r="P116" s="1310">
        <f ca="1">(O116/J116-1)*100</f>
        <v>25.109311188185245</v>
      </c>
      <c r="Q116" s="1361">
        <f ca="1">+Q17</f>
        <v>8.1402408090708978</v>
      </c>
      <c r="R116" s="1352">
        <f ca="1">+O116*(1+Q116/100)</f>
        <v>10.50490520255436</v>
      </c>
      <c r="S116" s="1362">
        <f ca="1">+T116/R116*100-100</f>
        <v>11.608241806400343</v>
      </c>
      <c r="T116" s="1352">
        <f ca="1">OFFSET('VVP2'!$G$341,0,(COLUMN()-6)/5)</f>
        <v>11.72434</v>
      </c>
      <c r="U116" s="1310">
        <f ca="1">(T116/O116-1)*100</f>
        <v>20.693421452211467</v>
      </c>
      <c r="V116" s="1361">
        <f ca="1">+V17</f>
        <v>7.6233287300721653</v>
      </c>
      <c r="W116" s="1352">
        <f ca="1">+T116*(1+V116/100)</f>
        <v>12.618124979631343</v>
      </c>
      <c r="X116" s="1362">
        <f ca="1">+Y116/W116*100-100</f>
        <v>3.2004360475153248</v>
      </c>
      <c r="Y116" s="1352">
        <f ca="1">OFFSET('VVP2'!$G$341,0,(COLUMN()-6)/5)</f>
        <v>13.02196</v>
      </c>
      <c r="Z116" s="1310">
        <f ca="1">(Y116/T116-1)*100</f>
        <v>11.067744538285318</v>
      </c>
      <c r="AA116" s="1361">
        <f ca="1">+AA17</f>
        <v>-1.0214983734837313</v>
      </c>
      <c r="AB116" s="1352">
        <f ca="1">+Y116*(1+AA116/100)</f>
        <v>12.888940890404298</v>
      </c>
      <c r="AC116" s="1362">
        <f ca="1">+AD116/AB116*100-100</f>
        <v>-1.3721910272392392</v>
      </c>
      <c r="AD116" s="1352">
        <f ca="1">OFFSET('VVP2'!$G$341,0,(COLUMN()-6)/5)</f>
        <v>12.71208</v>
      </c>
      <c r="AE116" s="1310">
        <f ca="1">(AD116/Y116-1)*100</f>
        <v>-2.3796724916986367</v>
      </c>
      <c r="AF116" s="1361">
        <f ca="1">+AF17</f>
        <v>3.6213874204480856</v>
      </c>
      <c r="AG116" s="1352">
        <f ca="1">+AD116*(1+AF116/100)</f>
        <v>13.172433665997298</v>
      </c>
      <c r="AH116" s="1362">
        <f ca="1">+AI116/AG116*100-100</f>
        <v>1.4860301366177424</v>
      </c>
      <c r="AI116" s="1352">
        <f ca="1">OFFSET('VVP2'!$G$341,0,(COLUMN()-6)/5)</f>
        <v>13.368180000000001</v>
      </c>
      <c r="AJ116" s="1310">
        <f ca="1">(AI116/AD116-1)*100</f>
        <v>5.1612324654973785</v>
      </c>
      <c r="AK116" s="1361">
        <f ca="1">+AK17</f>
        <v>6.6996058629840372</v>
      </c>
      <c r="AL116" s="1352">
        <f ca="1">+AI116*(1+AK116/100)</f>
        <v>14.263795371054259</v>
      </c>
      <c r="AM116" s="1362">
        <f ca="1">+AN116/AL116*100-100</f>
        <v>-0.48567277679011056</v>
      </c>
      <c r="AN116" s="1352">
        <f ca="1">OFFSET('VVP2'!$G$341,0,(COLUMN()-6)/5)</f>
        <v>14.194520000000001</v>
      </c>
      <c r="AO116" s="1310">
        <f ca="1">(AN116/AI116-1)*100</f>
        <v>6.18139492436518</v>
      </c>
      <c r="AP116" s="1361">
        <f ca="1">+AP17</f>
        <v>6.8379975004915217</v>
      </c>
      <c r="AQ116" s="1352">
        <f ca="1">+AN116*(1+AP116/100)</f>
        <v>15.165140922806771</v>
      </c>
      <c r="AR116" s="1362">
        <f ca="1">+AS116/AQ116*100-100</f>
        <v>0.24417232508233155</v>
      </c>
      <c r="AS116" s="1352">
        <f ca="1">OFFSET('VVP2'!$G$341,0,(COLUMN()-6)/5)</f>
        <v>15.202170000000001</v>
      </c>
      <c r="AT116" s="1310">
        <f ca="1">(AS116/AN116-1)*100</f>
        <v>7.0988663230598936</v>
      </c>
      <c r="AU116" s="1361">
        <f ca="1">+AU17</f>
        <v>10.275887367570679</v>
      </c>
      <c r="AV116" s="1352">
        <f ca="1">+AS116*(1+AU116/100)</f>
        <v>16.764327866626619</v>
      </c>
      <c r="AW116" s="1362">
        <f ca="1">+AX116/AV116*100-100</f>
        <v>-0.57173700842147923</v>
      </c>
      <c r="AX116" s="1352">
        <f ca="1">OFFSET('VVP2'!$G$341,0,(COLUMN()-6)/5)</f>
        <v>16.668479999999999</v>
      </c>
      <c r="AY116" s="1310">
        <f ca="1">(AX116/AS116-1)*100</f>
        <v>9.645399308125068</v>
      </c>
      <c r="AZ116" s="1361">
        <f ca="1">+AZ17</f>
        <v>7.4482608885224399</v>
      </c>
      <c r="BA116" s="1352">
        <f ca="1">+AX116*(1+AZ116/100)</f>
        <v>17.909991876551185</v>
      </c>
      <c r="BB116" s="1362">
        <f ca="1">+BC116/BA116*100-100</f>
        <v>1.8298619324216219</v>
      </c>
      <c r="BC116" s="1352">
        <f ca="1">OFFSET('VVP2'!$G$341,0,(COLUMN()-6)/5)</f>
        <v>18.237719999999999</v>
      </c>
      <c r="BD116" s="1310">
        <f ca="1">(BC116/AX116-1)*100</f>
        <v>9.4144157115705784</v>
      </c>
      <c r="BE116" s="1361">
        <f ca="1">+BE17</f>
        <v>7.7273873836427809</v>
      </c>
      <c r="BF116" s="1352">
        <f ca="1">+BC116*(1+BE116/100)</f>
        <v>19.647019274344096</v>
      </c>
      <c r="BG116" s="1362">
        <f ca="1">+BH116/BF116*100-100</f>
        <v>6.8984038073691494</v>
      </c>
      <c r="BH116" s="1352">
        <f ca="1">OFFSET('VVP2'!$G$341,0,(COLUMN()-6)/5)</f>
        <v>21.00235</v>
      </c>
      <c r="BI116" s="1310">
        <f ca="1">(BH116/BC116-1)*100</f>
        <v>15.158857576495311</v>
      </c>
      <c r="BJ116" s="1361">
        <f ca="1">+BJ17</f>
        <v>7.4064505195753805</v>
      </c>
      <c r="BK116" s="1352">
        <f ca="1">+BH116*(1+BJ116/100)</f>
        <v>22.557878660698041</v>
      </c>
      <c r="BL116" s="1362">
        <f ca="1">+BM116/BK116*100-100</f>
        <v>6.7439911446659266</v>
      </c>
      <c r="BM116" s="1352">
        <f ca="1">OFFSET('VVP2'!$G$341,0,(COLUMN()-6)/5)</f>
        <v>24.079180000000001</v>
      </c>
      <c r="BN116" s="1310">
        <f ca="1">(BM116/BH116-1)*100</f>
        <v>14.649932031415535</v>
      </c>
      <c r="BO116" s="1361">
        <f ca="1">+BO17</f>
        <v>11.0869627998611</v>
      </c>
      <c r="BP116" s="1352">
        <f ca="1">+BM116*(1+BO116/100)</f>
        <v>26.748829729111595</v>
      </c>
      <c r="BQ116" s="1362">
        <f ca="1">+BR116/BP116*100-100</f>
        <v>8.5679646328382404</v>
      </c>
      <c r="BR116" s="1352">
        <f ca="1">OFFSET('VVP2'!$G$341,0,(COLUMN()-6)/5)</f>
        <v>29.040659999999999</v>
      </c>
      <c r="BS116" s="1310">
        <f ca="1">(BR116/BM116-1)*100</f>
        <v>20.604854484247383</v>
      </c>
      <c r="BT116" s="1361">
        <f ca="1">+BT17</f>
        <v>2.6280823574654777</v>
      </c>
      <c r="BU116" s="1352">
        <f ca="1">+BR116*(1+BT116/100)</f>
        <v>29.803872461951531</v>
      </c>
      <c r="BV116" s="1362">
        <f ca="1">+BW116/BU116*100-100</f>
        <v>9.7048044402317117</v>
      </c>
      <c r="BW116" s="1352">
        <f ca="1">OFFSET('VVP2'!$G$341,0,(COLUMN()-6)/5)</f>
        <v>32.696280000000002</v>
      </c>
      <c r="BX116" s="1310">
        <f ca="1">(BW116/BR116-1)*100</f>
        <v>12.587937051017439</v>
      </c>
      <c r="BY116" s="1361">
        <f ca="1">+BY17</f>
        <v>-14.814172950076221</v>
      </c>
      <c r="BZ116" s="1352">
        <f ca="1">+BW116*(1+BY116/100)</f>
        <v>27.85259653255882</v>
      </c>
      <c r="CA116" s="1362">
        <f ca="1">+CB116/BZ116*100-100</f>
        <v>-3.295120192783358</v>
      </c>
      <c r="CB116" s="1352">
        <f ca="1">OFFSET('VVP2'!$G$341,0,(COLUMN()-6)/5)</f>
        <v>26.934819999999998</v>
      </c>
      <c r="CC116" s="1310">
        <f ca="1">(CB116/BW116-1)*100</f>
        <v>-17.621148338587766</v>
      </c>
      <c r="CD116" s="1361">
        <f ca="1">+CD17</f>
        <v>1.639826991162785</v>
      </c>
      <c r="CE116" s="1352">
        <f ca="1">+CB116*(1+CD116/100)</f>
        <v>27.376504448381109</v>
      </c>
      <c r="CF116" s="1362">
        <f ca="1">+CG116/CE116*100-100</f>
        <v>2.3785197005215224</v>
      </c>
      <c r="CG116" s="1352">
        <f ca="1">OFFSET('VVP2'!$G$341,0,(COLUMN()-6)/5)</f>
        <v>28.027660000000001</v>
      </c>
      <c r="CH116" s="1310">
        <f ca="1">(CG116/CB116-1)*100</f>
        <v>4.0573502997235611</v>
      </c>
      <c r="CI116" s="1361">
        <f ca="1">+CI17</f>
        <v>6.0431373864246796</v>
      </c>
      <c r="CJ116" s="1352">
        <f ca="1">+CG116*(1+CI116/100)</f>
        <v>29.721409999999995</v>
      </c>
      <c r="CK116" s="1362">
        <f ca="1">+CL116/CJ116*100-100</f>
        <v>5.2282512841753004</v>
      </c>
      <c r="CL116" s="1352">
        <f ca="1">OFFSET('VVP2'!$G$341,0,(COLUMN()-6)/5)</f>
        <v>31.275320000000001</v>
      </c>
      <c r="CM116" s="1310">
        <f ca="1">(CL116/CG116-1)*100</f>
        <v>11.587339078610203</v>
      </c>
      <c r="CN116" s="1361">
        <f ca="1">+CN17</f>
        <v>3.8269382239940919</v>
      </c>
      <c r="CO116" s="1352">
        <f ca="1">+CL116*(1+CN116/100)</f>
        <v>32.472207175756466</v>
      </c>
      <c r="CP116" s="1362">
        <f ca="1">+CQ116/CO116*100-100</f>
        <v>2.6985317613326743</v>
      </c>
      <c r="CQ116" s="1352">
        <f ca="1">OFFSET('VVP2'!$G$341,0,(COLUMN()-6)/5)</f>
        <v>33.348480000000002</v>
      </c>
      <c r="CR116" s="1310">
        <f ca="1">(CQ116/CL116-1)*100</f>
        <v>6.6287411287878184</v>
      </c>
      <c r="CS116" s="1361">
        <f ca="1">+CS17</f>
        <v>3.498577230569011</v>
      </c>
      <c r="CT116" s="1352">
        <f ca="1">+CQ116*(1+CS116/100)</f>
        <v>34.515202328020862</v>
      </c>
      <c r="CU116" s="1362">
        <f ca="1">+CV116/CT116*100-100</f>
        <v>1.2876867061512769</v>
      </c>
      <c r="CV116" s="1352">
        <f ca="1">OFFSET('VVP2'!$G$341,0,(COLUMN()-6)/5)</f>
        <v>34.959650000000003</v>
      </c>
      <c r="CW116" s="1310">
        <f ca="1">(CV116/CQ116-1)*100</f>
        <v>4.8313146506227644</v>
      </c>
      <c r="CX116" s="1361">
        <f ca="1">+CX17</f>
        <v>3.5375855747539431</v>
      </c>
      <c r="CY116" s="1352">
        <f ca="1">+CV116*(1+CX116/100)</f>
        <v>36.196377535384471</v>
      </c>
      <c r="CZ116" s="1362">
        <f ca="1">+DA116/CY116*100-100</f>
        <v>1.027457690350289</v>
      </c>
      <c r="DA116" s="1352">
        <f ca="1">OFFSET('VVP2'!$G$341,0,(COLUMN()-6)/5)</f>
        <v>36.568280000000001</v>
      </c>
      <c r="DB116" s="1310">
        <f ca="1">(DA116/CV116-1)*100</f>
        <v>4.6013904601447608</v>
      </c>
      <c r="DC116" s="1361">
        <f ca="1">+DC17</f>
        <v>2.0346676424249033</v>
      </c>
      <c r="DD116" s="1352">
        <f ca="1">+DA116*(1+DC116/100)</f>
        <v>37.312322960551342</v>
      </c>
      <c r="DE116" s="1362">
        <f ca="1">+DF116/DD116*100-100</f>
        <v>0.30629837646263525</v>
      </c>
      <c r="DF116" s="1352">
        <f ca="1">OFFSET('VVP2'!$G$341,0,(COLUMN()-6)/5)</f>
        <v>37.426610000000004</v>
      </c>
      <c r="DG116" s="1310">
        <f ca="1">(DF116/DA116-1)*100</f>
        <v>2.3471981728427016</v>
      </c>
      <c r="DH116" s="1361">
        <f ca="1">+DH17</f>
        <v>2.3448829366414126</v>
      </c>
      <c r="DI116" s="1352">
        <f ca="1">+DF116*(1+DH116/100)</f>
        <v>38.304220191653336</v>
      </c>
      <c r="DJ116" s="1362">
        <f ca="1">+DK116/DI116*100-100</f>
        <v>0.95054750240288399</v>
      </c>
      <c r="DK116" s="1352">
        <f ca="1">OFFSET('VVP2'!$G$341,0,(COLUMN()-6)/5)</f>
        <v>38.668320000000001</v>
      </c>
      <c r="DL116" s="1310">
        <f ca="1">(DK116/DF116-1)*100</f>
        <v>3.3177196652328211</v>
      </c>
      <c r="DM116" s="1361">
        <f ca="1">+DM17</f>
        <v>4.565211033661698</v>
      </c>
      <c r="DN116" s="1352">
        <f ca="1">+DK116*(1+DM116/100)</f>
        <v>40.433610411171614</v>
      </c>
      <c r="DO116" s="1362">
        <f ca="1">+DP116/DN116*100-100</f>
        <v>3.3288753280726695</v>
      </c>
      <c r="DP116" s="1352">
        <f ca="1">OFFSET('VVP2'!$G$341,0,(COLUMN()-6)/5)</f>
        <v>41.779594892398123</v>
      </c>
      <c r="DQ116" s="1310">
        <f ca="1">(DP116/DK116-1)*100</f>
        <v>8.0460565455083621</v>
      </c>
      <c r="DR116" s="1406">
        <f ca="1">+DR17</f>
        <v>3.1205873424164476</v>
      </c>
      <c r="DS116" s="785">
        <f ca="1">+DP116*(1+DR116/100)</f>
        <v>43.083363642323164</v>
      </c>
      <c r="DT116" s="1407">
        <f ca="1">+DT17</f>
        <v>2.6186320478604159</v>
      </c>
      <c r="DU116" s="785">
        <f ca="1">+DS116*(1+DT116/100)</f>
        <v>44.211558409957277</v>
      </c>
      <c r="DV116" s="1310">
        <f ca="1">(DU116/DP116-1)*100</f>
        <v>5.8209360905068452</v>
      </c>
      <c r="DW116" s="1406">
        <f ca="1">+DW17</f>
        <v>2.6426635456776815</v>
      </c>
      <c r="DX116" s="785">
        <f ca="1">+DU116*(1+DW116/100)</f>
        <v>45.379921147033215</v>
      </c>
      <c r="DY116" s="1407">
        <f ca="1">+DY17</f>
        <v>2.8566130444941109</v>
      </c>
      <c r="DZ116" s="785">
        <f ca="1">+DX116*(1+DY116/100)</f>
        <v>46.676249894100508</v>
      </c>
      <c r="EA116" s="1310">
        <f ca="1">(DZ116/DU116-1)*100</f>
        <v>5.5747672617397104</v>
      </c>
    </row>
    <row r="117" spans="1:145">
      <c r="B117" s="1"/>
      <c r="C117" s="1080" t="s">
        <v>401</v>
      </c>
      <c r="D117" s="1044"/>
      <c r="E117" s="1044" t="s">
        <v>1766</v>
      </c>
      <c r="F117" s="3" t="s">
        <v>174</v>
      </c>
      <c r="G117" s="1205"/>
      <c r="H117" s="1306"/>
      <c r="I117" s="881"/>
      <c r="J117" s="1353">
        <f ca="1">OFFSET(Sector1!$G$8,0,(COLUMN()-6)/5)</f>
        <v>0.89854000000000001</v>
      </c>
      <c r="K117" s="1381"/>
      <c r="L117" s="1205"/>
      <c r="M117" s="1306"/>
      <c r="N117" s="881"/>
      <c r="O117" s="1353">
        <f ca="1">OFFSET(Sector1!$G$8,0,(COLUMN()-6)/5)</f>
        <v>1.06829</v>
      </c>
      <c r="P117" s="1307">
        <f ca="1">(O117/J117-1)*100</f>
        <v>18.891757740334313</v>
      </c>
      <c r="Q117" s="1205"/>
      <c r="R117" s="1306"/>
      <c r="S117" s="881"/>
      <c r="T117" s="1353">
        <f ca="1">OFFSET(Sector1!$G$8,0,(COLUMN()-6)/5)</f>
        <v>1.5122899999999999</v>
      </c>
      <c r="U117" s="1307">
        <f ca="1">(T117/O117-1)*100</f>
        <v>41.561748214436143</v>
      </c>
      <c r="V117" s="1205"/>
      <c r="W117" s="1306"/>
      <c r="X117" s="881"/>
      <c r="Y117" s="1353">
        <f ca="1">OFFSET(Sector1!$G$8,0,(COLUMN()-6)/5)</f>
        <v>1.7178800000000001</v>
      </c>
      <c r="Z117" s="1307">
        <f ca="1">(Y117/T117-1)*100</f>
        <v>13.594614789491445</v>
      </c>
      <c r="AA117" s="1205"/>
      <c r="AB117" s="1306"/>
      <c r="AC117" s="881"/>
      <c r="AD117" s="1353">
        <f ca="1">OFFSET(Sector1!$G$8,0,(COLUMN()-6)/5)</f>
        <v>1.65448</v>
      </c>
      <c r="AE117" s="1307">
        <f ca="1">(AD117/Y117-1)*100</f>
        <v>-3.690595385009432</v>
      </c>
      <c r="AF117" s="1205"/>
      <c r="AG117" s="1306"/>
      <c r="AH117" s="881"/>
      <c r="AI117" s="1353">
        <f ca="1">OFFSET(Sector1!$G$8,0,(COLUMN()-6)/5)</f>
        <v>1.58941</v>
      </c>
      <c r="AJ117" s="1307">
        <f ca="1">(AI117/AD117-1)*100</f>
        <v>-3.9329577873410404</v>
      </c>
      <c r="AK117" s="1205"/>
      <c r="AL117" s="1306"/>
      <c r="AM117" s="881"/>
      <c r="AN117" s="1353">
        <f ca="1">OFFSET(Sector1!$G$8,0,(COLUMN()-6)/5)</f>
        <v>1.6358499999999998</v>
      </c>
      <c r="AO117" s="1307">
        <f ca="1">(AN117/AI117-1)*100</f>
        <v>2.9218389213607532</v>
      </c>
      <c r="AP117" s="1205"/>
      <c r="AQ117" s="1306"/>
      <c r="AR117" s="881"/>
      <c r="AS117" s="1353">
        <f ca="1">OFFSET(Sector1!$G$8,0,(COLUMN()-6)/5)</f>
        <v>1.7799700000000001</v>
      </c>
      <c r="AT117" s="1307">
        <f ca="1">(AS117/AN117-1)*100</f>
        <v>8.8100987254332797</v>
      </c>
      <c r="AU117" s="1205"/>
      <c r="AV117" s="1306"/>
      <c r="AW117" s="881"/>
      <c r="AX117" s="1353">
        <f ca="1">OFFSET(Sector1!$G$8,0,(COLUMN()-6)/5)</f>
        <v>1.8392200000000001</v>
      </c>
      <c r="AY117" s="1307">
        <f ca="1">(AX117/AS117-1)*100</f>
        <v>3.3287077872099058</v>
      </c>
      <c r="AZ117" s="1205"/>
      <c r="BA117" s="1306"/>
      <c r="BB117" s="881"/>
      <c r="BC117" s="1353">
        <f ca="1">OFFSET(Sector1!$G$8,0,(COLUMN()-6)/5)</f>
        <v>1.9280999999999999</v>
      </c>
      <c r="BD117" s="1307">
        <f ca="1">(BC117/AX117-1)*100</f>
        <v>4.8324833353269314</v>
      </c>
      <c r="BE117" s="1205"/>
      <c r="BF117" s="1306"/>
      <c r="BG117" s="881"/>
      <c r="BH117" s="1353">
        <f ca="1">OFFSET(Sector1!$G$8,0,(COLUMN()-6)/5)</f>
        <v>2.2637700000000001</v>
      </c>
      <c r="BI117" s="1307">
        <f ca="1">(BH117/BC117-1)*100</f>
        <v>17.409366734090568</v>
      </c>
      <c r="BJ117" s="1205"/>
      <c r="BK117" s="1306"/>
      <c r="BL117" s="881"/>
      <c r="BM117" s="1353">
        <f ca="1">OFFSET(Sector1!$G$8,0,(COLUMN()-6)/5)</f>
        <v>2.61253</v>
      </c>
      <c r="BN117" s="1307">
        <f ca="1">(BM117/BH117-1)*100</f>
        <v>15.406158752876831</v>
      </c>
      <c r="BO117" s="1205"/>
      <c r="BP117" s="1306"/>
      <c r="BQ117" s="881"/>
      <c r="BR117" s="1353">
        <f ca="1">OFFSET(Sector1!$G$8,0,(COLUMN()-6)/5)</f>
        <v>3.2654899999999998</v>
      </c>
      <c r="BS117" s="1307">
        <f ca="1">(BR117/BM117-1)*100</f>
        <v>24.993397205008172</v>
      </c>
      <c r="BT117" s="1205"/>
      <c r="BU117" s="1306"/>
      <c r="BV117" s="881"/>
      <c r="BW117" s="1353">
        <f ca="1">OFFSET(Sector1!$G$8,0,(COLUMN()-6)/5)</f>
        <v>3.7011799999999999</v>
      </c>
      <c r="BX117" s="1307">
        <f ca="1">(BW117/BR117-1)*100</f>
        <v>13.342254914270146</v>
      </c>
      <c r="BY117" s="1205"/>
      <c r="BZ117" s="1306"/>
      <c r="CA117" s="881"/>
      <c r="CB117" s="1353">
        <f ca="1">OFFSET(Sector1!$G$8,0,(COLUMN()-6)/5)</f>
        <v>2.9961599999999997</v>
      </c>
      <c r="CC117" s="1307">
        <f ca="1">(CB117/BW117-1)*100</f>
        <v>-19.048519661297213</v>
      </c>
      <c r="CD117" s="1205"/>
      <c r="CE117" s="1306"/>
      <c r="CF117" s="881"/>
      <c r="CG117" s="1353">
        <f ca="1">OFFSET(Sector1!$G$8,0,(COLUMN()-6)/5)</f>
        <v>3.1924800000000002</v>
      </c>
      <c r="CH117" s="1307">
        <f ca="1">(CG117/CB117-1)*100</f>
        <v>6.5523870554309749</v>
      </c>
      <c r="CI117" s="1205"/>
      <c r="CJ117" s="1306"/>
      <c r="CK117" s="881"/>
      <c r="CL117" s="1353">
        <f ca="1">OFFSET(Sector1!$G$8,0,(COLUMN()-6)/5)</f>
        <v>3.5021399999999998</v>
      </c>
      <c r="CM117" s="1307">
        <f ca="1">(CL117/CG117-1)*100</f>
        <v>9.6996692226732684</v>
      </c>
      <c r="CN117" s="1205"/>
      <c r="CO117" s="1306"/>
      <c r="CP117" s="881"/>
      <c r="CQ117" s="1353">
        <f ca="1">OFFSET(Sector1!$G$8,0,(COLUMN()-6)/5)</f>
        <v>3.5937899999999998</v>
      </c>
      <c r="CR117" s="1307">
        <f ca="1">(CQ117/CL117-1)*100</f>
        <v>2.6169713375250536</v>
      </c>
      <c r="CS117" s="1205"/>
      <c r="CT117" s="1306"/>
      <c r="CU117" s="881"/>
      <c r="CV117" s="1353">
        <f ca="1">OFFSET(Sector1!$G$8,0,(COLUMN()-6)/5)</f>
        <v>3.7091500000000002</v>
      </c>
      <c r="CW117" s="1307">
        <f ca="1">(CV117/CQ117-1)*100</f>
        <v>3.2099816628128108</v>
      </c>
      <c r="CX117" s="1205"/>
      <c r="CY117" s="1306"/>
      <c r="CZ117" s="881"/>
      <c r="DA117" s="1353">
        <f ca="1">OFFSET(Sector1!$G$8,0,(COLUMN()-6)/5)</f>
        <v>3.9403299999999999</v>
      </c>
      <c r="DB117" s="1307">
        <f ca="1">(DA117/CV117-1)*100</f>
        <v>6.2326948222638512</v>
      </c>
      <c r="DC117" s="1205"/>
      <c r="DD117" s="1306"/>
      <c r="DE117" s="881"/>
      <c r="DF117" s="1353">
        <f ca="1">OFFSET(Sector1!$G$8,0,(COLUMN()-6)/5)</f>
        <v>4.2110900000000004</v>
      </c>
      <c r="DG117" s="1307">
        <f ca="1">(DF117/DA117-1)*100</f>
        <v>6.8715056860719992</v>
      </c>
      <c r="DH117" s="1205"/>
      <c r="DI117" s="1306"/>
      <c r="DJ117" s="881"/>
      <c r="DK117" s="1353">
        <f ca="1">OFFSET(Sector1!$G$8,0,(COLUMN()-6)/5)</f>
        <v>4.4171499999999995</v>
      </c>
      <c r="DL117" s="1307">
        <f ca="1">(DK117/DF117-1)*100</f>
        <v>4.8932699134903057</v>
      </c>
      <c r="DM117" s="1205"/>
      <c r="DN117" s="1306"/>
      <c r="DO117" s="881"/>
      <c r="DP117" s="1353">
        <f ca="1">OFFSET(Sector1!$G$8,0,(COLUMN()-6)/5)</f>
        <v>4.8132999999999999</v>
      </c>
      <c r="DQ117" s="1307">
        <f ca="1">(DP117/DK117-1)*100</f>
        <v>8.9684525089707368</v>
      </c>
      <c r="DR117" s="1205"/>
      <c r="DS117" s="1408"/>
      <c r="DT117" s="881"/>
      <c r="DU117" s="799">
        <f ca="1">OFFSET(Sector1!$G$8,0,(COLUMN()-6)/5)</f>
        <v>5.123979558019216</v>
      </c>
      <c r="DV117" s="1307">
        <f ca="1">(DU117/DP117-1)*100</f>
        <v>6.4546061541814526</v>
      </c>
      <c r="DW117" s="1205"/>
      <c r="DX117" s="1408"/>
      <c r="DY117" s="881"/>
      <c r="DZ117" s="799">
        <f ca="1">OFFSET(Sector1!$G$8,0,(COLUMN()-6)/5)</f>
        <v>5.4109224132682927</v>
      </c>
      <c r="EA117" s="1307">
        <f ca="1">(DZ117/DU117-1)*100</f>
        <v>5.600000000000005</v>
      </c>
    </row>
    <row r="118" spans="1:145">
      <c r="B118" s="1"/>
      <c r="C118" s="1081" t="s">
        <v>1767</v>
      </c>
      <c r="D118" s="1077"/>
      <c r="E118" s="1078" t="s">
        <v>1768</v>
      </c>
      <c r="F118" s="1077" t="s">
        <v>460</v>
      </c>
      <c r="G118" s="1383"/>
      <c r="H118" s="1386"/>
      <c r="I118" s="1385"/>
      <c r="J118" s="1351">
        <f ca="1">OFFSET(Sector1!$G$45,0,(COLUMN()-6)/5)</f>
        <v>6.9860000000000005E-2</v>
      </c>
      <c r="K118" s="1387"/>
      <c r="L118" s="1205"/>
      <c r="M118" s="1306"/>
      <c r="N118" s="881"/>
      <c r="O118" s="1351">
        <f ca="1">OFFSET(Sector1!$G$45,0,(COLUMN()-6)/5)</f>
        <v>8.7959999999999997E-2</v>
      </c>
      <c r="P118" s="1358">
        <f ca="1">(O118/J118-1)*100</f>
        <v>25.908960778700241</v>
      </c>
      <c r="Q118" s="1205"/>
      <c r="R118" s="1306"/>
      <c r="S118" s="881"/>
      <c r="T118" s="1351">
        <f ca="1">OFFSET(Sector1!$G$45,0,(COLUMN()-6)/5)</f>
        <v>6.3109999999999999E-2</v>
      </c>
      <c r="U118" s="1358">
        <f ca="1">(T118/O118-1)*100</f>
        <v>-28.251477944520232</v>
      </c>
      <c r="V118" s="1205"/>
      <c r="W118" s="1306"/>
      <c r="X118" s="881"/>
      <c r="Y118" s="1351">
        <f ca="1">OFFSET(Sector1!$G$45,0,(COLUMN()-6)/5)</f>
        <v>0.10904999999999999</v>
      </c>
      <c r="Z118" s="1358">
        <f ca="1">(Y118/T118-1)*100</f>
        <v>72.793535097448881</v>
      </c>
      <c r="AA118" s="1205"/>
      <c r="AB118" s="1306"/>
      <c r="AC118" s="881"/>
      <c r="AD118" s="1351">
        <f ca="1">OFFSET(Sector1!$G$45,0,(COLUMN()-6)/5)</f>
        <v>0.11612</v>
      </c>
      <c r="AE118" s="1358">
        <f ca="1">(AD118/Y118-1)*100</f>
        <v>6.483264557542423</v>
      </c>
      <c r="AF118" s="1205"/>
      <c r="AG118" s="1306"/>
      <c r="AH118" s="881"/>
      <c r="AI118" s="1351">
        <f ca="1">OFFSET(Sector1!$G$45,0,(COLUMN()-6)/5)</f>
        <v>0.10212</v>
      </c>
      <c r="AJ118" s="1358">
        <f ca="1">(AI118/AD118-1)*100</f>
        <v>-12.056493282810887</v>
      </c>
      <c r="AK118" s="1205"/>
      <c r="AL118" s="1306"/>
      <c r="AM118" s="881"/>
      <c r="AN118" s="1351">
        <f ca="1">OFFSET(Sector1!$G$45,0,(COLUMN()-6)/5)</f>
        <v>7.5840000000000005E-2</v>
      </c>
      <c r="AO118" s="1358">
        <f ca="1">(AN118/AI118-1)*100</f>
        <v>-25.734430082256164</v>
      </c>
      <c r="AP118" s="1205"/>
      <c r="AQ118" s="1306"/>
      <c r="AR118" s="881"/>
      <c r="AS118" s="1351">
        <f ca="1">OFFSET(Sector1!$G$45,0,(COLUMN()-6)/5)</f>
        <v>0.10173</v>
      </c>
      <c r="AT118" s="1358">
        <f ca="1">(AS118/AN118-1)*100</f>
        <v>34.137658227848092</v>
      </c>
      <c r="AU118" s="1205"/>
      <c r="AV118" s="1306"/>
      <c r="AW118" s="881"/>
      <c r="AX118" s="1351">
        <f ca="1">OFFSET(Sector1!$G$45,0,(COLUMN()-6)/5)</f>
        <v>0.10779000000000001</v>
      </c>
      <c r="AY118" s="1358">
        <f ca="1">(AX118/AS118-1)*100</f>
        <v>5.9569448540253811</v>
      </c>
      <c r="AZ118" s="1205"/>
      <c r="BA118" s="1306"/>
      <c r="BB118" s="881"/>
      <c r="BC118" s="1351">
        <f ca="1">OFFSET(Sector1!$G$45,0,(COLUMN()-6)/5)</f>
        <v>0.18997</v>
      </c>
      <c r="BD118" s="1358">
        <f ca="1">(BC118/AX118-1)*100</f>
        <v>76.240838667779926</v>
      </c>
      <c r="BE118" s="1205"/>
      <c r="BF118" s="1306"/>
      <c r="BG118" s="881"/>
      <c r="BH118" s="1351">
        <f ca="1">OFFSET(Sector1!$G$45,0,(COLUMN()-6)/5)</f>
        <v>0.27112999999999998</v>
      </c>
      <c r="BI118" s="1358">
        <f ca="1">(BH118/BC118-1)*100</f>
        <v>42.722535137126918</v>
      </c>
      <c r="BJ118" s="1205"/>
      <c r="BK118" s="1306"/>
      <c r="BL118" s="881"/>
      <c r="BM118" s="1351">
        <f ca="1">OFFSET(Sector1!$G$45,0,(COLUMN()-6)/5)</f>
        <v>0.26702999999999999</v>
      </c>
      <c r="BN118" s="1358">
        <f ca="1">(BM118/BH118-1)*100</f>
        <v>-1.5121897244864013</v>
      </c>
      <c r="BO118" s="1205"/>
      <c r="BP118" s="1306"/>
      <c r="BQ118" s="881"/>
      <c r="BR118" s="1351">
        <f ca="1">OFFSET(Sector1!$G$45,0,(COLUMN()-6)/5)</f>
        <v>0.30131999999999998</v>
      </c>
      <c r="BS118" s="1358">
        <f ca="1">(BR118/BM118-1)*100</f>
        <v>12.841253791708795</v>
      </c>
      <c r="BT118" s="1205"/>
      <c r="BU118" s="1306"/>
      <c r="BV118" s="881"/>
      <c r="BW118" s="1351">
        <f ca="1">OFFSET(Sector1!$G$45,0,(COLUMN()-6)/5)</f>
        <v>0.35411000000000004</v>
      </c>
      <c r="BX118" s="1358">
        <f ca="1">(BW118/BR118-1)*100</f>
        <v>17.51958051241207</v>
      </c>
      <c r="BY118" s="1205"/>
      <c r="BZ118" s="1306"/>
      <c r="CA118" s="881"/>
      <c r="CB118" s="1351">
        <f ca="1">OFFSET(Sector1!$G$45,0,(COLUMN()-6)/5)</f>
        <v>0.36169999999999997</v>
      </c>
      <c r="CC118" s="1358">
        <f ca="1">(CB118/BW118-1)*100</f>
        <v>2.1434017678122474</v>
      </c>
      <c r="CD118" s="1205"/>
      <c r="CE118" s="1306"/>
      <c r="CF118" s="881"/>
      <c r="CG118" s="1351">
        <f ca="1">OFFSET(Sector1!$G$45,0,(COLUMN()-6)/5)</f>
        <v>0.37457000000000001</v>
      </c>
      <c r="CH118" s="1358">
        <f ca="1">(CG118/CB118-1)*100</f>
        <v>3.5581974011611894</v>
      </c>
      <c r="CI118" s="1205"/>
      <c r="CJ118" s="1306"/>
      <c r="CK118" s="881"/>
      <c r="CL118" s="1351">
        <f ca="1">OFFSET(Sector1!$G$45,0,(COLUMN()-6)/5)</f>
        <v>0.38688</v>
      </c>
      <c r="CM118" s="1358">
        <f ca="1">(CL118/CG118-1)*100</f>
        <v>3.2864351122620539</v>
      </c>
      <c r="CN118" s="1205"/>
      <c r="CO118" s="1306"/>
      <c r="CP118" s="881"/>
      <c r="CQ118" s="1351">
        <f ca="1">OFFSET(Sector1!$G$45,0,(COLUMN()-6)/5)</f>
        <v>0.41048000000000001</v>
      </c>
      <c r="CR118" s="1358">
        <f ca="1">(CQ118/CL118-1)*100</f>
        <v>6.1000827129859436</v>
      </c>
      <c r="CS118" s="1205"/>
      <c r="CT118" s="1306"/>
      <c r="CU118" s="881"/>
      <c r="CV118" s="1351">
        <f ca="1">OFFSET(Sector1!$G$45,0,(COLUMN()-6)/5)</f>
        <v>0.43957999999999997</v>
      </c>
      <c r="CW118" s="1358">
        <f ca="1">(CV118/CQ118-1)*100</f>
        <v>7.0892613525628478</v>
      </c>
      <c r="CX118" s="1205"/>
      <c r="CY118" s="1306"/>
      <c r="CZ118" s="881"/>
      <c r="DA118" s="1351">
        <f ca="1">OFFSET(Sector1!$G$45,0,(COLUMN()-6)/5)</f>
        <v>0.43972</v>
      </c>
      <c r="DB118" s="1358">
        <f ca="1">(DA118/CV118-1)*100</f>
        <v>3.1848582738080999E-2</v>
      </c>
      <c r="DC118" s="1205"/>
      <c r="DD118" s="1306"/>
      <c r="DE118" s="881"/>
      <c r="DF118" s="1351">
        <f ca="1">OFFSET(Sector1!$G$45,0,(COLUMN()-6)/5)</f>
        <v>0.49363000000000001</v>
      </c>
      <c r="DG118" s="1358">
        <f ca="1">(DF118/DA118-1)*100</f>
        <v>12.260074592922777</v>
      </c>
      <c r="DH118" s="1205"/>
      <c r="DI118" s="1306"/>
      <c r="DJ118" s="881"/>
      <c r="DK118" s="1351">
        <f ca="1">OFFSET(Sector1!$G$45,0,(COLUMN()-6)/5)</f>
        <v>0.53820000000000001</v>
      </c>
      <c r="DL118" s="1358">
        <f ca="1">(DK118/DF118-1)*100</f>
        <v>9.0290298401636946</v>
      </c>
      <c r="DM118" s="1205"/>
      <c r="DN118" s="1306"/>
      <c r="DO118" s="881"/>
      <c r="DP118" s="1351">
        <f ca="1">OFFSET(Sector1!$G$45,0,(COLUMN()-6)/5)</f>
        <v>0.54600000000000004</v>
      </c>
      <c r="DQ118" s="1358">
        <f ca="1">(DP118/DK118-1)*100</f>
        <v>1.449275362318847</v>
      </c>
      <c r="DR118" s="1205"/>
      <c r="DS118" s="1408"/>
      <c r="DT118" s="881"/>
      <c r="DU118" s="1064">
        <f ca="1">OFFSET(Sector1!$G$45,0,(COLUMN()-6)/5)</f>
        <v>0.56565600000000005</v>
      </c>
      <c r="DV118" s="1358">
        <f ca="1">(DU118/DP118-1)*100</f>
        <v>3.6000000000000032</v>
      </c>
      <c r="DW118" s="1205"/>
      <c r="DX118" s="1408"/>
      <c r="DY118" s="881"/>
      <c r="DZ118" s="1064">
        <f ca="1">OFFSET(Sector1!$G$45,0,(COLUMN()-6)/5)</f>
        <v>0.58601961600000008</v>
      </c>
      <c r="EA118" s="1358">
        <f ca="1">(DZ118/DU118-1)*100</f>
        <v>3.6000000000000032</v>
      </c>
    </row>
    <row r="119" spans="1:145" s="28" customFormat="1">
      <c r="A119" s="1457"/>
      <c r="C119" s="176" t="s">
        <v>1769</v>
      </c>
      <c r="D119" s="1257"/>
      <c r="E119" s="1354" t="s">
        <v>1373</v>
      </c>
      <c r="F119" s="1200" t="s">
        <v>463</v>
      </c>
      <c r="G119" s="1258"/>
      <c r="H119" s="1259"/>
      <c r="I119" s="1258"/>
      <c r="J119" s="1259">
        <f ca="1">OFFSET(Sector1!$G$88,0,(COLUMN()-6)/5)</f>
        <v>6.9358399999999998</v>
      </c>
      <c r="K119" s="1258"/>
      <c r="L119" s="1259">
        <f ca="1">OFFSET('VVP2'!$G$162,0,(COLUMN()-7)/5)</f>
        <v>5.2391881530884588</v>
      </c>
      <c r="M119" s="1259">
        <f ca="1">+J119*(1+L119/100)</f>
        <v>7.2992217075971704</v>
      </c>
      <c r="N119" s="1259">
        <f ca="1">+O119/M119*100-100</f>
        <v>19.653989834418681</v>
      </c>
      <c r="O119" s="1259">
        <f ca="1">OFFSET(Sector1!$G$88,0,(COLUMN()-6)/5)</f>
        <v>8.7338100000000001</v>
      </c>
      <c r="P119" s="1259">
        <f ca="1">(O119/J119-1)*100</f>
        <v>25.922887494521206</v>
      </c>
      <c r="Q119" s="1259">
        <f ca="1">OFFSET('VVP2'!$G$162,0,(COLUMN()-7)/5)</f>
        <v>8.1402411461800597</v>
      </c>
      <c r="R119" s="1259">
        <f ca="1">+O119*(1+Q119/100)</f>
        <v>9.4447631952491893</v>
      </c>
      <c r="S119" s="1259">
        <f ca="1">+T119/R119*100-100</f>
        <v>8.7920341419306567</v>
      </c>
      <c r="T119" s="1259">
        <f ca="1">OFFSET(Sector1!$G$88,0,(COLUMN()-6)/5)</f>
        <v>10.27515</v>
      </c>
      <c r="U119" s="1259">
        <f ca="1">(T119/O119-1)*100</f>
        <v>17.647968068918374</v>
      </c>
      <c r="V119" s="1259">
        <f ca="1">OFFSET('VVP2'!$G$162,0,(COLUMN()-7)/5)</f>
        <v>7.6233192651531168</v>
      </c>
      <c r="W119" s="1259">
        <f ca="1">+T119*(1+V119/100)</f>
        <v>11.05845748947338</v>
      </c>
      <c r="X119" s="1259">
        <f ca="1">+Y119/W119*100-100</f>
        <v>3.2072511999456879</v>
      </c>
      <c r="Y119" s="1259">
        <f ca="1">OFFSET(Sector1!$G$88,0,(COLUMN()-6)/5)</f>
        <v>11.413129999999999</v>
      </c>
      <c r="Z119" s="1259">
        <f ca="1">(Y119/T119-1)*100</f>
        <v>11.075069463706111</v>
      </c>
      <c r="AA119" s="1259">
        <f ca="1">OFFSET('VVP2'!$G$162,0,(COLUMN()-7)/5)</f>
        <v>-1.0215048374722313</v>
      </c>
      <c r="AB119" s="1259">
        <f ca="1">+Y119*(1+AA119/100)</f>
        <v>11.296544324943005</v>
      </c>
      <c r="AC119" s="1259">
        <f ca="1">+AD119/AB119*100-100</f>
        <v>-1.0873619525555682</v>
      </c>
      <c r="AD119" s="1259">
        <f ca="1">OFFSET(Sector1!$G$88,0,(COLUMN()-6)/5)</f>
        <v>11.17371</v>
      </c>
      <c r="AE119" s="1259">
        <f ca="1">(AD119/Y119-1)*100</f>
        <v>-2.0977593350816059</v>
      </c>
      <c r="AF119" s="1259">
        <f ca="1">OFFSET('VVP2'!$G$162,0,(COLUMN()-7)/5)</f>
        <v>3.621382754134439</v>
      </c>
      <c r="AG119" s="1259">
        <f ca="1">+AD119*(1+AF119/100)</f>
        <v>11.578352806936994</v>
      </c>
      <c r="AH119" s="1259">
        <f ca="1">+AI119/AG119*100-100</f>
        <v>2.6129553841349917</v>
      </c>
      <c r="AI119" s="1259">
        <f ca="1">OFFSET(Sector1!$G$88,0,(COLUMN()-6)/5)</f>
        <v>11.880889999999999</v>
      </c>
      <c r="AJ119" s="1259">
        <f ca="1">(AI119/AD119-1)*100</f>
        <v>6.3289632539237139</v>
      </c>
      <c r="AK119" s="1259">
        <f ca="1">OFFSET('VVP2'!$G$162,0,(COLUMN()-7)/5)</f>
        <v>6.699598703270504</v>
      </c>
      <c r="AL119" s="1259">
        <f ca="1">+AI119*(1+AK119/100)</f>
        <v>12.676861952376994</v>
      </c>
      <c r="AM119" s="1259">
        <f ca="1">+AN119/AL119*100-100</f>
        <v>-0.33408861385487398</v>
      </c>
      <c r="AN119" s="1259">
        <f ca="1">OFFSET(Sector1!$G$88,0,(COLUMN()-6)/5)</f>
        <v>12.634510000000001</v>
      </c>
      <c r="AO119" s="1259">
        <f ca="1">(AN119/AI119-1)*100</f>
        <v>6.3431274929740322</v>
      </c>
      <c r="AP119" s="1259">
        <f ca="1">OFFSET('VVP2'!$G$162,0,(COLUMN()-7)/5)</f>
        <v>6.838005539912495</v>
      </c>
      <c r="AQ119" s="1259">
        <f ca="1">+AN119*(1+AP119/100)</f>
        <v>13.498458493740799</v>
      </c>
      <c r="AR119" s="1259">
        <f ca="1">+AS119/AQ119*100-100</f>
        <v>0.18862528836909576</v>
      </c>
      <c r="AS119" s="1259">
        <f ca="1">OFFSET(Sector1!$G$88,0,(COLUMN()-6)/5)</f>
        <v>13.52392</v>
      </c>
      <c r="AT119" s="1259">
        <f ca="1">(AS119/AN119-1)*100</f>
        <v>7.0395290359499541</v>
      </c>
      <c r="AU119" s="1259">
        <f ca="1">OFFSET('VVP2'!$G$162,0,(COLUMN()-7)/5)</f>
        <v>10.27589025957476</v>
      </c>
      <c r="AV119" s="1259">
        <f ca="1">+AS119*(1+AU119/100)</f>
        <v>14.913623177992683</v>
      </c>
      <c r="AW119" s="1259">
        <f ca="1">+AX119/AV119*100-100</f>
        <v>0.15715042366028342</v>
      </c>
      <c r="AX119" s="1259">
        <f ca="1">OFFSET(Sector1!$G$88,0,(COLUMN()-6)/5)</f>
        <v>14.937059999999999</v>
      </c>
      <c r="AY119" s="1259">
        <f ca="1">(AX119/AS119-1)*100</f>
        <v>10.449189288312844</v>
      </c>
      <c r="AZ119" s="1259">
        <f ca="1">OFFSET('VVP2'!$G$162,0,(COLUMN()-7)/5)</f>
        <v>7.453317138876292</v>
      </c>
      <c r="BA119" s="1259">
        <f ca="1">+AX119*(1+AZ119/100)</f>
        <v>16.050366453024235</v>
      </c>
      <c r="BB119" s="1259">
        <f ca="1">+BC119/BA119*100-100</f>
        <v>2.7988990051446336</v>
      </c>
      <c r="BC119" s="1259">
        <f ca="1">OFFSET(Sector1!$G$88,0,(COLUMN()-6)/5)</f>
        <v>16.499599999999997</v>
      </c>
      <c r="BD119" s="1259">
        <f ca="1">(BC119/AX119-1)*100</f>
        <v>10.46082696327122</v>
      </c>
      <c r="BE119" s="1259">
        <f ca="1">OFFSET('VVP2'!$G$162,0,(COLUMN()-7)/5)</f>
        <v>7.7273983463585827</v>
      </c>
      <c r="BF119" s="1259">
        <f ca="1">+BC119*(1+BE119/100)</f>
        <v>17.774589817555778</v>
      </c>
      <c r="BG119" s="1259">
        <f ca="1">+BH119/BF119*100-100</f>
        <v>6.9487971037413416</v>
      </c>
      <c r="BH119" s="1259">
        <f ca="1">OFFSET(Sector1!$G$88,0,(COLUMN()-6)/5)</f>
        <v>19.009709999999998</v>
      </c>
      <c r="BI119" s="1259">
        <f ca="1">(BH119/BC119-1)*100</f>
        <v>15.213156682586249</v>
      </c>
      <c r="BJ119" s="1259">
        <f ca="1">OFFSET('VVP2'!$G$162,0,(COLUMN()-7)/5)</f>
        <v>7.4064276711415244</v>
      </c>
      <c r="BK119" s="1259">
        <f ca="1">+BH119*(1+BJ119/100)</f>
        <v>20.417650421643756</v>
      </c>
      <c r="BL119" s="1259">
        <f ca="1">+BM119/BK119*100-100</f>
        <v>6.4455485875161429</v>
      </c>
      <c r="BM119" s="1259">
        <f ca="1">OFFSET(Sector1!$G$88,0,(COLUMN()-6)/5)</f>
        <v>21.73368</v>
      </c>
      <c r="BN119" s="1259">
        <f ca="1">(BM119/BH119-1)*100</f>
        <v>14.329361152800345</v>
      </c>
      <c r="BO119" s="1259">
        <f ca="1">OFFSET('VVP2'!$G$162,0,(COLUMN()-7)/5)</f>
        <v>11.08697831258878</v>
      </c>
      <c r="BP119" s="1259">
        <f ca="1">+BM119*(1+BO119/100)</f>
        <v>24.143288388127445</v>
      </c>
      <c r="BQ119" s="1259">
        <f ca="1">+BR119/BP119*100-100</f>
        <v>8.0072423474145182</v>
      </c>
      <c r="BR119" s="1259">
        <f ca="1">OFFSET(Sector1!$G$88,0,(COLUMN()-6)/5)</f>
        <v>26.076499999999999</v>
      </c>
      <c r="BS119" s="1259">
        <f ca="1">(BR119/BM119-1)*100</f>
        <v>19.981981882497578</v>
      </c>
      <c r="BT119" s="1259">
        <f ca="1">OFFSET('VVP2'!$G$162,0,(COLUMN()-7)/5)</f>
        <v>2.6280569755420702</v>
      </c>
      <c r="BU119" s="1259">
        <f ca="1">+BR119*(1+BT119/100)</f>
        <v>26.761805277227229</v>
      </c>
      <c r="BV119" s="1259">
        <f ca="1">+BW119/BU119*100-100</f>
        <v>9.6682742287737398</v>
      </c>
      <c r="BW119" s="1259">
        <f ca="1">OFFSET(Sector1!$G$88,0,(COLUMN()-6)/5)</f>
        <v>29.349209999999999</v>
      </c>
      <c r="BX119" s="1259">
        <f ca="1">(BW119/BR119-1)*100</f>
        <v>12.550418959599629</v>
      </c>
      <c r="BY119" s="1259">
        <f ca="1">OFFSET('VVP2'!$G$162,0,(COLUMN()-7)/5)</f>
        <v>-14.814140636349926</v>
      </c>
      <c r="BZ119" s="1259">
        <f ca="1">+BW119*(1+BY119/100)</f>
        <v>25.001376754942324</v>
      </c>
      <c r="CA119" s="1259">
        <f ca="1">+CB119/BZ119*100-100</f>
        <v>-2.8039126077476766</v>
      </c>
      <c r="CB119" s="1259">
        <f ca="1">OFFSET(Sector1!$G$88,0,(COLUMN()-6)/5)</f>
        <v>24.300360000000001</v>
      </c>
      <c r="CC119" s="1259">
        <f ca="1">(CB119/BW119-1)*100</f>
        <v>-17.202677687065503</v>
      </c>
      <c r="CD119" s="1259">
        <f ca="1">OFFSET('VVP2'!$G$162,0,(COLUMN()-7)/5)</f>
        <v>1.6397996535100656</v>
      </c>
      <c r="CE119" s="1259">
        <f ca="1">+CB119*(1+CD119/100)</f>
        <v>24.6988372190817</v>
      </c>
      <c r="CF119" s="1259">
        <f ca="1">+CG119/CE119*100-100</f>
        <v>2.0685701775611705</v>
      </c>
      <c r="CG119" s="1259">
        <f ca="1">OFFSET(Sector1!$G$88,0,(COLUMN()-6)/5)</f>
        <v>25.20975</v>
      </c>
      <c r="CH119" s="1259">
        <f ca="1">(CG119/CB119-1)*100</f>
        <v>3.7422902376754941</v>
      </c>
      <c r="CI119" s="1259">
        <f ca="1">OFFSET('VVP2'!$G$162,0,(COLUMN()-7)/5)</f>
        <v>6.0431380715794569</v>
      </c>
      <c r="CJ119" s="1259">
        <f ca="1">+CG119*(1+CI119/100)</f>
        <v>26.733210000000003</v>
      </c>
      <c r="CK119" s="1259">
        <f ca="1">+CL119/CJ119*100-100</f>
        <v>5.3373687634219635</v>
      </c>
      <c r="CL119" s="1259">
        <f ca="1">OFFSET(Sector1!$G$88,0,(COLUMN()-6)/5)</f>
        <v>28.160060000000001</v>
      </c>
      <c r="CM119" s="1259">
        <f ca="1">(CL119/CG119-1)*100</f>
        <v>11.703051398764375</v>
      </c>
      <c r="CN119" s="1259">
        <f ca="1">OFFSET('VVP2'!$G$162,0,(COLUMN()-7)/5)</f>
        <v>3.8269627927211225</v>
      </c>
      <c r="CO119" s="1259">
        <f ca="1">+CL119*(1+CN119/100)</f>
        <v>29.237735018607946</v>
      </c>
      <c r="CP119" s="1259">
        <f ca="1">+CQ119/CO119*100-100</f>
        <v>3.1720137719348145</v>
      </c>
      <c r="CQ119" s="1259">
        <f ca="1">OFFSET(Sector1!$G$88,0,(COLUMN()-6)/5)</f>
        <v>30.16516</v>
      </c>
      <c r="CR119" s="1259">
        <f ca="1">(CQ119/CL119-1)*100</f>
        <v>7.1203683514878824</v>
      </c>
      <c r="CS119" s="1259">
        <f ca="1">OFFSET('VVP2'!$G$162,0,(COLUMN()-7)/5)</f>
        <v>3.4985596052496959</v>
      </c>
      <c r="CT119" s="1259">
        <f ca="1">+CQ119*(1+CS119/100)</f>
        <v>31.220506102618938</v>
      </c>
      <c r="CU119" s="1259">
        <f ca="1">+CV119/CT119*100-100</f>
        <v>1.5040560067720179</v>
      </c>
      <c r="CV119" s="1259">
        <f ca="1">OFFSET(Sector1!$G$88,0,(COLUMN()-6)/5)</f>
        <v>31.690080000000002</v>
      </c>
      <c r="CW119" s="1259">
        <f ca="1">(CV119/CQ119-1)*100</f>
        <v>5.0552359079149678</v>
      </c>
      <c r="CX119" s="1259">
        <f ca="1">OFFSET('VVP2'!$G$162,0,(COLUMN()-7)/5)</f>
        <v>3.5376044083425873</v>
      </c>
      <c r="CY119" s="1259">
        <f ca="1">+CV119*(1+CX119/100)</f>
        <v>32.811149667087292</v>
      </c>
      <c r="CZ119" s="1259">
        <f ca="1">+DA119/CY119*100-100</f>
        <v>0.7818389038956326</v>
      </c>
      <c r="DA119" s="1259">
        <f ca="1">OFFSET(Sector1!$G$88,0,(COLUMN()-6)/5)</f>
        <v>33.067680000000003</v>
      </c>
      <c r="DB119" s="1259">
        <f ca="1">(DA119/CV119-1)*100</f>
        <v>4.3471016797685724</v>
      </c>
      <c r="DC119" s="1259">
        <f ca="1">OFFSET('VVP2'!$G$162,0,(COLUMN()-7)/5)</f>
        <v>2.0346555108811559</v>
      </c>
      <c r="DD119" s="1259">
        <f ca="1">+DA119*(1+DC119/100)</f>
        <v>33.74049337344055</v>
      </c>
      <c r="DE119" s="1259">
        <f ca="1">+DF119/DD119*100-100</f>
        <v>-9.289542121877048E-2</v>
      </c>
      <c r="DF119" s="1259">
        <f ca="1">OFFSET(Sector1!$G$88,0,(COLUMN()-6)/5)</f>
        <v>33.709150000000001</v>
      </c>
      <c r="DG119" s="1259">
        <f ca="1">(DF119/DA119-1)*100</f>
        <v>1.9398699878552028</v>
      </c>
      <c r="DH119" s="1259">
        <f ca="1">OFFSET('VVP2'!$G$162,0,(COLUMN()-7)/5)</f>
        <v>2.3448710805274331</v>
      </c>
      <c r="DI119" s="1259">
        <f ca="1">+DF119*(1+DH119/100)</f>
        <v>34.499586109841616</v>
      </c>
      <c r="DJ119" s="1259">
        <f ca="1">+DK119/DI119*100-100</f>
        <v>0.8399633816932095</v>
      </c>
      <c r="DK119" s="1259">
        <f ca="1">OFFSET(Sector1!$G$88,0,(COLUMN()-6)/5)</f>
        <v>34.789370000000005</v>
      </c>
      <c r="DL119" s="1259">
        <f ca="1">(DK119/DF119-1)*100</f>
        <v>3.2045305206449992</v>
      </c>
      <c r="DM119" s="1259">
        <f ca="1">OFFSET('VVP2'!$G$162,0,(COLUMN()-7)/5)</f>
        <v>3.8289231668718005</v>
      </c>
      <c r="DN119" s="1259">
        <f ca="1">+DK119*(1+DM119/100)</f>
        <v>36.121428247538752</v>
      </c>
      <c r="DO119" s="1259">
        <f ca="1">+DP119/DN119*100-100</f>
        <v>4.0649050264541984</v>
      </c>
      <c r="DP119" s="1259">
        <f ca="1">OFFSET(Sector1!$G$88,0,(COLUMN()-6)/5)</f>
        <v>37.589730000000003</v>
      </c>
      <c r="DQ119" s="1259">
        <f ca="1">(DP119/DK119-1)*100</f>
        <v>8.0494702835952392</v>
      </c>
      <c r="DR119" s="1420">
        <f ca="1">(DS119/DP119-1)*100</f>
        <v>2.7976519649474341</v>
      </c>
      <c r="DS119" s="1398">
        <f ca="1">+DU119/(1+DT119/100)</f>
        <v>38.641359819963441</v>
      </c>
      <c r="DT119" s="1409">
        <f ca="1">+DT116</f>
        <v>2.6186320478604159</v>
      </c>
      <c r="DU119" s="1398">
        <f ca="1">+DU116-DU117+DU118</f>
        <v>39.653234851938059</v>
      </c>
      <c r="DV119" s="1405">
        <f ca="1">(DU119/DP119-1)*100</f>
        <v>5.4895442237495651</v>
      </c>
      <c r="DW119" s="1420">
        <f ca="1">(DX119/DU119-1)*100</f>
        <v>2.6121057128520642</v>
      </c>
      <c r="DX119" s="1398">
        <f ca="1">+DZ119/(1+DY119/100)</f>
        <v>40.689019264836176</v>
      </c>
      <c r="DY119" s="1409">
        <f ca="1">+DY116</f>
        <v>2.8566130444941109</v>
      </c>
      <c r="DZ119" s="1398">
        <f ca="1">+DZ116-DZ117+DZ118</f>
        <v>41.851347096832214</v>
      </c>
      <c r="EA119" s="1405">
        <f ca="1">(DZ119/DU119-1)*100</f>
        <v>5.543336509875485</v>
      </c>
      <c r="EB119"/>
      <c r="EC119"/>
      <c r="ED119"/>
      <c r="EE119"/>
      <c r="EF119"/>
      <c r="EG119"/>
      <c r="EH119"/>
      <c r="EI119"/>
      <c r="EJ119"/>
      <c r="EK119"/>
      <c r="EL119"/>
      <c r="EM119"/>
      <c r="EN119"/>
      <c r="EO119"/>
    </row>
    <row r="121" spans="1:145">
      <c r="E121" t="s">
        <v>2456</v>
      </c>
      <c r="CX121" s="3265"/>
    </row>
    <row r="122" spans="1:145">
      <c r="E122" t="s">
        <v>2457</v>
      </c>
      <c r="CY122" s="3194">
        <f ca="1">(CY87-CV87)*0.6</f>
        <v>0.26132451680279445</v>
      </c>
      <c r="DA122" s="3194">
        <f ca="1">(DA87-CV87)*0.6</f>
        <v>-0.14883600000000144</v>
      </c>
      <c r="DD122" s="3194">
        <f ca="1">(DD87-DA87)*0.6</f>
        <v>-0.11163211925597168</v>
      </c>
      <c r="DF122" s="3194">
        <f ca="1">(DF87-DA87)*0.6</f>
        <v>-0.86412599999999806</v>
      </c>
      <c r="DI122" s="3194">
        <f ca="1">(DI87-DF87)*0.6</f>
        <v>0.18302650666829051</v>
      </c>
      <c r="DK122" s="3194">
        <f ca="1">(DK87-DF87)*0.6</f>
        <v>-0.23248800000000003</v>
      </c>
      <c r="DN122" s="3194">
        <f ca="1">(DN87-DK87)*0.6</f>
        <v>1.6060427901156658</v>
      </c>
      <c r="DP122" s="3194">
        <f ca="1">(DP87-DK87)*0.6</f>
        <v>2.2986059999999995</v>
      </c>
      <c r="DS122" s="3194">
        <f ca="1">(DS87-DP87)*0.6</f>
        <v>0.80349110399999968</v>
      </c>
      <c r="DU122" s="3194">
        <f ca="1">(DU87-DP87)*0.6</f>
        <v>1.1773616953919983</v>
      </c>
      <c r="DX122" s="3194">
        <f ca="1">(DX87-DU87)*0.6</f>
        <v>0.73168100259724933</v>
      </c>
      <c r="DZ122" s="3194">
        <f ca="1">(DZ87-DU87)*0.6</f>
        <v>1.078896896557034</v>
      </c>
    </row>
    <row r="123" spans="1:145">
      <c r="E123" t="s">
        <v>2460</v>
      </c>
      <c r="CY123" s="3194">
        <f ca="1">(CY35-CV35)*0.28</f>
        <v>0.24302460345380883</v>
      </c>
      <c r="DA123" s="3194">
        <f ca="1">(DA35-CV35)*0.28</f>
        <v>0.25063080000000071</v>
      </c>
      <c r="DD123" s="3194">
        <f ca="1">(DD35-DA35)*0.28</f>
        <v>0.25360105191665483</v>
      </c>
      <c r="DF123" s="3194">
        <f ca="1">(DF35-DA35)*0.28</f>
        <v>0.19510959999999972</v>
      </c>
      <c r="DI123" s="3194">
        <f ca="1">(DI35-DF35)*0.28</f>
        <v>0.32438332692605659</v>
      </c>
      <c r="DK123" s="3194">
        <f ca="1">(DK35-DF35)*0.28</f>
        <v>0.38911600000000041</v>
      </c>
      <c r="DN123" s="3194">
        <f ca="1">(DN35-DK35)*0.28</f>
        <v>0.27087938573163456</v>
      </c>
      <c r="DP123" s="3194">
        <f ca="1">(DP35-DK35)*0.28</f>
        <v>0.5423739999999998</v>
      </c>
      <c r="DS123" s="3194">
        <f ca="1">(DS35-DP35)*0.28</f>
        <v>0.26264382199999958</v>
      </c>
      <c r="DU123" s="3194">
        <f ca="1">(DU35-DP35)*0.28</f>
        <v>0.46457940057199998</v>
      </c>
      <c r="DX123" s="3194">
        <f ca="1">(DX35-DU35)*0.28</f>
        <v>0.26296672381887537</v>
      </c>
      <c r="DZ123" s="3194">
        <f ca="1">(DZ35-DU35)*0.28</f>
        <v>0.4440631409554745</v>
      </c>
    </row>
    <row r="124" spans="1:145">
      <c r="E124" t="s">
        <v>2458</v>
      </c>
      <c r="CY124" s="3194">
        <f ca="1">(CY65-CV65)*0.5</f>
        <v>0.18594652993444427</v>
      </c>
      <c r="DA124" s="3194">
        <f ca="1">(DA65-CV65)*0.5</f>
        <v>0.22530500000000053</v>
      </c>
      <c r="DD124" s="3194">
        <f ca="1">(DD65-DA65)*0.5</f>
        <v>0.16684454891510558</v>
      </c>
      <c r="DF124" s="3194">
        <f ca="1">(DF65-DA65)*0.5</f>
        <v>0.20986499999999975</v>
      </c>
      <c r="DI124" s="3194">
        <f ca="1">(DI65-DF65)*0.5</f>
        <v>-1.6989234189748625E-2</v>
      </c>
      <c r="DK124" s="3194">
        <f ca="1">(DK65-DF65)*0.5</f>
        <v>-5.5149999999999366E-3</v>
      </c>
      <c r="DN124" s="3194">
        <f ca="1">(DN65-DK65)*0.5</f>
        <v>0.27028674735890545</v>
      </c>
      <c r="DP124" s="3194">
        <f ca="1">(DP65-DK65)*0.5</f>
        <v>0.28310000000000013</v>
      </c>
      <c r="DS124" s="3194">
        <f ca="1">(DS65-DP65)*0.5</f>
        <v>0.26643930499999957</v>
      </c>
      <c r="DU124" s="3194">
        <f ca="1">(DU65-DP65)*0.5</f>
        <v>0.36606418647499872</v>
      </c>
      <c r="DX124" s="3194">
        <f ca="1">(DX65-DU65)*0.5</f>
        <v>0.17934456987877478</v>
      </c>
      <c r="DZ124" s="3194">
        <f ca="1">(DZ65-DU65)*0.5</f>
        <v>0.28594125053411101</v>
      </c>
    </row>
    <row r="125" spans="1:145">
      <c r="E125" t="s">
        <v>2459</v>
      </c>
      <c r="CY125" s="3194">
        <f ca="1">SUM(CY122:CY124)</f>
        <v>0.69029565019104755</v>
      </c>
      <c r="DA125" s="3194">
        <f ca="1">SUM(DA122:DA124)</f>
        <v>0.32709979999999983</v>
      </c>
      <c r="DD125" s="3194">
        <f ca="1">SUM(DD122:DD124)</f>
        <v>0.30881348157578875</v>
      </c>
      <c r="DF125" s="3194">
        <f ca="1">SUM(DF122:DF124)</f>
        <v>-0.45915139999999854</v>
      </c>
      <c r="DI125" s="3194">
        <f ca="1">SUM(DI122:DI124)</f>
        <v>0.49042059940459848</v>
      </c>
      <c r="DK125" s="3194">
        <f ca="1">SUM(DK122:DK124)</f>
        <v>0.15111300000000044</v>
      </c>
      <c r="DN125" s="3194">
        <f ca="1">SUM(DN122:DN124)</f>
        <v>2.1472089232062057</v>
      </c>
      <c r="DP125" s="3194">
        <f ca="1">SUM(DP122:DP124)</f>
        <v>3.1240799999999993</v>
      </c>
      <c r="DS125" s="3194">
        <f ca="1">SUM(DS122:DS124)</f>
        <v>1.3325742309999988</v>
      </c>
      <c r="DU125" s="3194">
        <f ca="1">SUM(DU122:DU124)</f>
        <v>2.0080052824389969</v>
      </c>
      <c r="DX125" s="3194">
        <f ca="1">SUM(DX122:DX124)</f>
        <v>1.1739922962948994</v>
      </c>
      <c r="DZ125" s="3194">
        <f ca="1">SUM(DZ122:DZ124)</f>
        <v>1.8089012880466195</v>
      </c>
    </row>
    <row r="126" spans="1:145">
      <c r="E126" t="s">
        <v>2461</v>
      </c>
      <c r="CY126" s="3194">
        <f ca="1">CY102-CV102</f>
        <v>0.69385093886547722</v>
      </c>
      <c r="DA126" s="3194">
        <f ca="1">DA102-CV102</f>
        <v>-0.2312100000000008</v>
      </c>
      <c r="DD126" s="3194">
        <f ca="1">DD102-DA102</f>
        <v>1.8006851690642129</v>
      </c>
      <c r="DF126" s="3194">
        <f ca="1">DF102-DA102</f>
        <v>-0.39010000000000034</v>
      </c>
      <c r="DI126" s="3194">
        <f ca="1">DI102-DF102</f>
        <v>0.72645990392613413</v>
      </c>
      <c r="DK126" s="3194">
        <f ca="1">DK102-DF102</f>
        <v>-0.60593000000000075</v>
      </c>
      <c r="DN126" s="3194">
        <f ca="1">DN102-DK102</f>
        <v>3.0200678983648004</v>
      </c>
      <c r="DP126" s="3194">
        <f ca="1">DP102-DK102</f>
        <v>4.1235199999999992</v>
      </c>
      <c r="DS126" s="3194">
        <f ca="1">DS102-DP102</f>
        <v>1.8079015499999969</v>
      </c>
      <c r="DU126" s="3194">
        <f ca="1">DU102-DP102</f>
        <v>2.5484458387499949</v>
      </c>
      <c r="DX126" s="3194">
        <f ca="1">DX102-DU102</f>
        <v>1.5788404236150022</v>
      </c>
      <c r="DZ126" s="3194">
        <f ca="1">DZ102-DU102</f>
        <v>2.0579577675504765</v>
      </c>
    </row>
  </sheetData>
  <protectedRanges>
    <protectedRange sqref="F2:F3" name="Range1"/>
  </protectedRanges>
  <mergeCells count="374">
    <mergeCell ref="DW84:EA84"/>
    <mergeCell ref="DW92:EA92"/>
    <mergeCell ref="DW99:EA99"/>
    <mergeCell ref="DW107:EA107"/>
    <mergeCell ref="DW114:EA114"/>
    <mergeCell ref="DW4:EA4"/>
    <mergeCell ref="DW5:EA5"/>
    <mergeCell ref="DW20:EA20"/>
    <mergeCell ref="DW33:EA33"/>
    <mergeCell ref="DW39:EA39"/>
    <mergeCell ref="DW45:EA45"/>
    <mergeCell ref="DW54:EA54"/>
    <mergeCell ref="DW69:EA69"/>
    <mergeCell ref="DW79:EA79"/>
    <mergeCell ref="DM107:DQ107"/>
    <mergeCell ref="DM114:DQ114"/>
    <mergeCell ref="DM54:DQ54"/>
    <mergeCell ref="DM69:DQ69"/>
    <mergeCell ref="DM79:DQ79"/>
    <mergeCell ref="DM84:DQ84"/>
    <mergeCell ref="DM92:DQ92"/>
    <mergeCell ref="DM99:DQ99"/>
    <mergeCell ref="DM4:DQ4"/>
    <mergeCell ref="DM5:DQ5"/>
    <mergeCell ref="DM20:DQ20"/>
    <mergeCell ref="DM33:DQ33"/>
    <mergeCell ref="DM39:DQ39"/>
    <mergeCell ref="DM45:DQ45"/>
    <mergeCell ref="DC4:DG4"/>
    <mergeCell ref="DC5:DG5"/>
    <mergeCell ref="DC20:DG20"/>
    <mergeCell ref="DC33:DG33"/>
    <mergeCell ref="DC39:DG39"/>
    <mergeCell ref="DC45:DG45"/>
    <mergeCell ref="DH107:DL107"/>
    <mergeCell ref="DH114:DL114"/>
    <mergeCell ref="DH54:DL54"/>
    <mergeCell ref="DH69:DL69"/>
    <mergeCell ref="DH79:DL79"/>
    <mergeCell ref="DH84:DL84"/>
    <mergeCell ref="DH92:DL92"/>
    <mergeCell ref="DH99:DL99"/>
    <mergeCell ref="DH4:DL4"/>
    <mergeCell ref="DH5:DL5"/>
    <mergeCell ref="DH20:DL20"/>
    <mergeCell ref="DH33:DL33"/>
    <mergeCell ref="DH39:DL39"/>
    <mergeCell ref="DH45:DL45"/>
    <mergeCell ref="DC107:DG107"/>
    <mergeCell ref="DC114:DG114"/>
    <mergeCell ref="CN114:CR114"/>
    <mergeCell ref="CS114:CW114"/>
    <mergeCell ref="CS107:CW107"/>
    <mergeCell ref="CN107:CR107"/>
    <mergeCell ref="DC54:DG54"/>
    <mergeCell ref="DC69:DG69"/>
    <mergeCell ref="DC79:DG79"/>
    <mergeCell ref="DC84:DG84"/>
    <mergeCell ref="DC92:DG92"/>
    <mergeCell ref="DC99:DG99"/>
    <mergeCell ref="CX107:DB107"/>
    <mergeCell ref="CX114:DB114"/>
    <mergeCell ref="CX54:DB54"/>
    <mergeCell ref="CX69:DB69"/>
    <mergeCell ref="CX79:DB79"/>
    <mergeCell ref="CX84:DB84"/>
    <mergeCell ref="CX92:DB92"/>
    <mergeCell ref="CX99:DB99"/>
    <mergeCell ref="CS69:CW69"/>
    <mergeCell ref="CN79:CR79"/>
    <mergeCell ref="CS92:CW92"/>
    <mergeCell ref="CN84:CR84"/>
    <mergeCell ref="CS54:CW54"/>
    <mergeCell ref="CN54:CR54"/>
    <mergeCell ref="BJ20:BN20"/>
    <mergeCell ref="CN5:CR5"/>
    <mergeCell ref="CD20:CH20"/>
    <mergeCell ref="CI5:CM5"/>
    <mergeCell ref="CI20:CM20"/>
    <mergeCell ref="CS4:CW4"/>
    <mergeCell ref="CD4:CH4"/>
    <mergeCell ref="CD5:CH5"/>
    <mergeCell ref="CN4:CR4"/>
    <mergeCell ref="CS5:CW5"/>
    <mergeCell ref="CN20:CR20"/>
    <mergeCell ref="CI4:CM4"/>
    <mergeCell ref="CS20:CW20"/>
    <mergeCell ref="BY4:CC4"/>
    <mergeCell ref="BY5:CC5"/>
    <mergeCell ref="D4:F4"/>
    <mergeCell ref="D33:D34"/>
    <mergeCell ref="G4:K4"/>
    <mergeCell ref="L4:P4"/>
    <mergeCell ref="AU4:AY4"/>
    <mergeCell ref="Q4:U4"/>
    <mergeCell ref="V4:Z4"/>
    <mergeCell ref="AA4:AE4"/>
    <mergeCell ref="AF4:AJ4"/>
    <mergeCell ref="AK4:AO4"/>
    <mergeCell ref="L20:P20"/>
    <mergeCell ref="AU20:AY20"/>
    <mergeCell ref="AP20:AT20"/>
    <mergeCell ref="AK20:AO20"/>
    <mergeCell ref="AF20:AJ20"/>
    <mergeCell ref="G20:K20"/>
    <mergeCell ref="L5:P5"/>
    <mergeCell ref="G5:K5"/>
    <mergeCell ref="AP4:AT4"/>
    <mergeCell ref="AU39:AY39"/>
    <mergeCell ref="AP39:AT39"/>
    <mergeCell ref="AZ39:BD39"/>
    <mergeCell ref="AU54:AY54"/>
    <mergeCell ref="BE45:BI45"/>
    <mergeCell ref="AZ45:BD45"/>
    <mergeCell ref="AZ54:BD54"/>
    <mergeCell ref="BE54:BI54"/>
    <mergeCell ref="AU45:AY45"/>
    <mergeCell ref="AP54:AT54"/>
    <mergeCell ref="AP45:AT45"/>
    <mergeCell ref="AF79:AJ79"/>
    <mergeCell ref="AA69:AE69"/>
    <mergeCell ref="AP79:AT79"/>
    <mergeCell ref="L79:P79"/>
    <mergeCell ref="L69:P69"/>
    <mergeCell ref="AK69:AO69"/>
    <mergeCell ref="AP69:AT69"/>
    <mergeCell ref="V79:Z79"/>
    <mergeCell ref="AK79:AO79"/>
    <mergeCell ref="AF69:AJ69"/>
    <mergeCell ref="AA79:AE79"/>
    <mergeCell ref="AF39:AJ39"/>
    <mergeCell ref="V39:Z39"/>
    <mergeCell ref="AF54:AJ54"/>
    <mergeCell ref="G69:K69"/>
    <mergeCell ref="G33:K33"/>
    <mergeCell ref="AK54:AO54"/>
    <mergeCell ref="AF45:AJ45"/>
    <mergeCell ref="AK45:AO45"/>
    <mergeCell ref="V54:Z54"/>
    <mergeCell ref="AA54:AE54"/>
    <mergeCell ref="V45:Z45"/>
    <mergeCell ref="AA45:AE45"/>
    <mergeCell ref="AK39:AO39"/>
    <mergeCell ref="V33:Z33"/>
    <mergeCell ref="V84:Z84"/>
    <mergeCell ref="AA84:AE84"/>
    <mergeCell ref="AA33:AE33"/>
    <mergeCell ref="V69:Z69"/>
    <mergeCell ref="E45:F46"/>
    <mergeCell ref="L33:P33"/>
    <mergeCell ref="L45:P45"/>
    <mergeCell ref="L54:P54"/>
    <mergeCell ref="G45:K45"/>
    <mergeCell ref="G84:K84"/>
    <mergeCell ref="G39:K39"/>
    <mergeCell ref="L39:P39"/>
    <mergeCell ref="Q69:U69"/>
    <mergeCell ref="Q54:U54"/>
    <mergeCell ref="Q45:U45"/>
    <mergeCell ref="G79:K79"/>
    <mergeCell ref="Q79:U79"/>
    <mergeCell ref="G54:K54"/>
    <mergeCell ref="L84:P84"/>
    <mergeCell ref="Q84:U84"/>
    <mergeCell ref="Q39:U39"/>
    <mergeCell ref="D84:D85"/>
    <mergeCell ref="E92:F93"/>
    <mergeCell ref="E84:F85"/>
    <mergeCell ref="E5:F6"/>
    <mergeCell ref="E33:F34"/>
    <mergeCell ref="E39:F40"/>
    <mergeCell ref="D114:D115"/>
    <mergeCell ref="E114:F115"/>
    <mergeCell ref="D107:D108"/>
    <mergeCell ref="D92:D93"/>
    <mergeCell ref="D99:D100"/>
    <mergeCell ref="E99:F100"/>
    <mergeCell ref="D79:D80"/>
    <mergeCell ref="E79:F80"/>
    <mergeCell ref="D39:D40"/>
    <mergeCell ref="D69:D70"/>
    <mergeCell ref="D45:D46"/>
    <mergeCell ref="D54:D55"/>
    <mergeCell ref="E69:F70"/>
    <mergeCell ref="E54:F55"/>
    <mergeCell ref="L92:P92"/>
    <mergeCell ref="E107:F108"/>
    <mergeCell ref="G114:K114"/>
    <mergeCell ref="Q114:U114"/>
    <mergeCell ref="AA92:AE92"/>
    <mergeCell ref="Q92:U92"/>
    <mergeCell ref="AA114:AE114"/>
    <mergeCell ref="V92:Z92"/>
    <mergeCell ref="V114:Z114"/>
    <mergeCell ref="V99:Z99"/>
    <mergeCell ref="V107:Z107"/>
    <mergeCell ref="AA99:AE99"/>
    <mergeCell ref="AA107:AE107"/>
    <mergeCell ref="L114:P114"/>
    <mergeCell ref="Q107:U107"/>
    <mergeCell ref="L107:P107"/>
    <mergeCell ref="G107:K107"/>
    <mergeCell ref="Q99:U99"/>
    <mergeCell ref="L99:P99"/>
    <mergeCell ref="G99:K99"/>
    <mergeCell ref="G92:K92"/>
    <mergeCell ref="AF107:AJ107"/>
    <mergeCell ref="AF114:AJ114"/>
    <mergeCell ref="AU107:AY107"/>
    <mergeCell ref="AF99:AJ99"/>
    <mergeCell ref="BO84:BS84"/>
    <mergeCell ref="AK84:AO84"/>
    <mergeCell ref="AF92:AJ92"/>
    <mergeCell ref="BO92:BS92"/>
    <mergeCell ref="BJ84:BN84"/>
    <mergeCell ref="AZ114:BD114"/>
    <mergeCell ref="AZ107:BD107"/>
    <mergeCell ref="BE84:BI84"/>
    <mergeCell ref="BO114:BS114"/>
    <mergeCell ref="BJ114:BN114"/>
    <mergeCell ref="BE107:BI107"/>
    <mergeCell ref="BE114:BI114"/>
    <mergeCell ref="AK92:AO92"/>
    <mergeCell ref="AP84:AT84"/>
    <mergeCell ref="AK114:AO114"/>
    <mergeCell ref="AK99:AO99"/>
    <mergeCell ref="AP92:AT92"/>
    <mergeCell ref="AU114:AY114"/>
    <mergeCell ref="AP99:AT99"/>
    <mergeCell ref="AK107:AO107"/>
    <mergeCell ref="AP107:AT107"/>
    <mergeCell ref="AU99:AY99"/>
    <mergeCell ref="AU92:AY92"/>
    <mergeCell ref="AP114:AT114"/>
    <mergeCell ref="BY99:CC99"/>
    <mergeCell ref="BT99:BX99"/>
    <mergeCell ref="BE69:BI69"/>
    <mergeCell ref="AZ69:BD69"/>
    <mergeCell ref="BY84:CC84"/>
    <mergeCell ref="BY92:CC92"/>
    <mergeCell ref="BY114:CC114"/>
    <mergeCell ref="BY107:CC107"/>
    <mergeCell ref="BO99:BS99"/>
    <mergeCell ref="BT107:BX107"/>
    <mergeCell ref="BJ107:BN107"/>
    <mergeCell ref="BO107:BS107"/>
    <mergeCell ref="BT114:BX114"/>
    <mergeCell ref="AZ99:BD99"/>
    <mergeCell ref="BE99:BI99"/>
    <mergeCell ref="BJ99:BN99"/>
    <mergeCell ref="BT92:BX92"/>
    <mergeCell ref="BT84:BX84"/>
    <mergeCell ref="AZ79:BD79"/>
    <mergeCell ref="BJ92:BN92"/>
    <mergeCell ref="AZ92:BD92"/>
    <mergeCell ref="BE92:BI92"/>
    <mergeCell ref="BY69:CC69"/>
    <mergeCell ref="BY79:CC79"/>
    <mergeCell ref="CD79:CH79"/>
    <mergeCell ref="CI79:CM79"/>
    <mergeCell ref="CI84:CM84"/>
    <mergeCell ref="BO20:BS20"/>
    <mergeCell ref="BY20:CC20"/>
    <mergeCell ref="BO45:BS45"/>
    <mergeCell ref="BT33:BX33"/>
    <mergeCell ref="BY39:CC39"/>
    <mergeCell ref="BT20:BX20"/>
    <mergeCell ref="BO33:BS33"/>
    <mergeCell ref="BO39:BS39"/>
    <mergeCell ref="BY33:CC33"/>
    <mergeCell ref="BT39:BX39"/>
    <mergeCell ref="BT45:BX45"/>
    <mergeCell ref="BT54:BX54"/>
    <mergeCell ref="BY54:CC54"/>
    <mergeCell ref="BO54:BS54"/>
    <mergeCell ref="CD84:CH84"/>
    <mergeCell ref="BY45:CC45"/>
    <mergeCell ref="BE39:BI39"/>
    <mergeCell ref="CD114:CH114"/>
    <mergeCell ref="CI99:CM99"/>
    <mergeCell ref="CI107:CM107"/>
    <mergeCell ref="CI114:CM114"/>
    <mergeCell ref="CD107:CH107"/>
    <mergeCell ref="CD99:CH99"/>
    <mergeCell ref="CD69:CH69"/>
    <mergeCell ref="CI69:CM69"/>
    <mergeCell ref="CD54:CH54"/>
    <mergeCell ref="CI54:CM54"/>
    <mergeCell ref="CI92:CM92"/>
    <mergeCell ref="CD92:CH92"/>
    <mergeCell ref="CX33:DB33"/>
    <mergeCell ref="CX39:DB39"/>
    <mergeCell ref="CX45:DB45"/>
    <mergeCell ref="CD33:CH33"/>
    <mergeCell ref="CD39:CH39"/>
    <mergeCell ref="CD45:CH45"/>
    <mergeCell ref="CI33:CM33"/>
    <mergeCell ref="CI39:CM39"/>
    <mergeCell ref="CI45:CM45"/>
    <mergeCell ref="CS33:CW33"/>
    <mergeCell ref="CN33:CR33"/>
    <mergeCell ref="CN39:CR39"/>
    <mergeCell ref="CS39:CW39"/>
    <mergeCell ref="CS45:CW45"/>
    <mergeCell ref="CN45:CR45"/>
    <mergeCell ref="CS99:CW99"/>
    <mergeCell ref="CN92:CR92"/>
    <mergeCell ref="CN99:CR99"/>
    <mergeCell ref="BJ45:BN45"/>
    <mergeCell ref="BO79:BS79"/>
    <mergeCell ref="BT79:BX79"/>
    <mergeCell ref="BO69:BS69"/>
    <mergeCell ref="BT69:BX69"/>
    <mergeCell ref="CS79:CW79"/>
    <mergeCell ref="CS84:CW84"/>
    <mergeCell ref="CN69:CR69"/>
    <mergeCell ref="AU84:AY84"/>
    <mergeCell ref="AZ84:BD84"/>
    <mergeCell ref="BJ39:BN39"/>
    <mergeCell ref="BJ54:BN54"/>
    <mergeCell ref="AF5:AJ5"/>
    <mergeCell ref="AA5:AE5"/>
    <mergeCell ref="V5:Z5"/>
    <mergeCell ref="Q5:U5"/>
    <mergeCell ref="AU33:AY33"/>
    <mergeCell ref="AK33:AO33"/>
    <mergeCell ref="AF33:AJ33"/>
    <mergeCell ref="AP33:AT33"/>
    <mergeCell ref="AP5:AT5"/>
    <mergeCell ref="AU69:AY69"/>
    <mergeCell ref="BJ69:BN69"/>
    <mergeCell ref="BJ79:BN79"/>
    <mergeCell ref="AU79:AY79"/>
    <mergeCell ref="AF84:AJ84"/>
    <mergeCell ref="AA20:AE20"/>
    <mergeCell ref="Q20:U20"/>
    <mergeCell ref="V20:Z20"/>
    <mergeCell ref="AA39:AE39"/>
    <mergeCell ref="Q33:U33"/>
    <mergeCell ref="BE79:BI79"/>
    <mergeCell ref="AZ4:BD4"/>
    <mergeCell ref="AK5:AO5"/>
    <mergeCell ref="DR4:DV4"/>
    <mergeCell ref="DR5:DV5"/>
    <mergeCell ref="DR20:DV20"/>
    <mergeCell ref="DR33:DV33"/>
    <mergeCell ref="BT5:BX5"/>
    <mergeCell ref="BE5:BI5"/>
    <mergeCell ref="AU5:AY5"/>
    <mergeCell ref="BT4:BX4"/>
    <mergeCell ref="BJ4:BN4"/>
    <mergeCell ref="BE4:BI4"/>
    <mergeCell ref="BO5:BS5"/>
    <mergeCell ref="BO4:BS4"/>
    <mergeCell ref="AZ20:BD20"/>
    <mergeCell ref="BJ5:BN5"/>
    <mergeCell ref="BE33:BI33"/>
    <mergeCell ref="AZ33:BD33"/>
    <mergeCell ref="BE20:BI20"/>
    <mergeCell ref="AZ5:BD5"/>
    <mergeCell ref="BJ33:BN33"/>
    <mergeCell ref="CX4:DB4"/>
    <mergeCell ref="CX5:DB5"/>
    <mergeCell ref="CX20:DB20"/>
    <mergeCell ref="DR39:DV39"/>
    <mergeCell ref="DR45:DV45"/>
    <mergeCell ref="DR107:DV107"/>
    <mergeCell ref="DR114:DV114"/>
    <mergeCell ref="DR54:DV54"/>
    <mergeCell ref="DR69:DV69"/>
    <mergeCell ref="DR79:DV79"/>
    <mergeCell ref="DR84:DV84"/>
    <mergeCell ref="DR92:DV92"/>
    <mergeCell ref="DR99:DV99"/>
  </mergeCells>
  <phoneticPr fontId="60" type="noConversion"/>
  <conditionalFormatting sqref="O75 T75 Y75 AD75 AI75 AN75 AS75 AX75 BC75 J75 CB75 BH75 BW75 BM75 CV75 BR75 CG75">
    <cfRule type="cellIs" dxfId="69" priority="31" stopIfTrue="1" operator="notEqual">
      <formula>0</formula>
    </cfRule>
  </conditionalFormatting>
  <conditionalFormatting sqref="F3">
    <cfRule type="cellIs" dxfId="68" priority="32" stopIfTrue="1" operator="notEqual">
      <formula>$F$2</formula>
    </cfRule>
  </conditionalFormatting>
  <conditionalFormatting sqref="D4">
    <cfRule type="cellIs" dxfId="67" priority="33" stopIfTrue="1" operator="notEqual">
      <formula>"ok"</formula>
    </cfRule>
  </conditionalFormatting>
  <conditionalFormatting sqref="M16 O16 R16 T16 W16 Y16 AB16 AD16 AG16 AI16 AL16 AN16 AQ16 AS16 AV16 AX16 BA16 BC16 BF16 BH16 BK16 BM16 BP16 BR16 BU16 BW16 BZ16 CB16 CE16 CG16 CJ16 CL16">
    <cfRule type="cellIs" dxfId="66" priority="34" stopIfTrue="1" operator="notBetween">
      <formula>-0.1</formula>
      <formula>0.1</formula>
    </cfRule>
  </conditionalFormatting>
  <conditionalFormatting sqref="DA75">
    <cfRule type="cellIs" dxfId="65" priority="29" stopIfTrue="1" operator="notEqual">
      <formula>0</formula>
    </cfRule>
  </conditionalFormatting>
  <conditionalFormatting sqref="CL75">
    <cfRule type="cellIs" dxfId="64" priority="28" stopIfTrue="1" operator="notEqual">
      <formula>0</formula>
    </cfRule>
  </conditionalFormatting>
  <conditionalFormatting sqref="CO16 CQ16">
    <cfRule type="cellIs" dxfId="63" priority="27" stopIfTrue="1" operator="notBetween">
      <formula>-0.1</formula>
      <formula>0.1</formula>
    </cfRule>
  </conditionalFormatting>
  <conditionalFormatting sqref="DF75 DK75 DP75">
    <cfRule type="cellIs" dxfId="62" priority="24" stopIfTrue="1" operator="notEqual">
      <formula>0</formula>
    </cfRule>
  </conditionalFormatting>
  <conditionalFormatting sqref="CT16 CV16">
    <cfRule type="cellIs" dxfId="61" priority="23" stopIfTrue="1" operator="notBetween">
      <formula>-0.1</formula>
      <formula>0.1</formula>
    </cfRule>
  </conditionalFormatting>
  <conditionalFormatting sqref="CQ75">
    <cfRule type="cellIs" dxfId="60" priority="21" stopIfTrue="1" operator="notEqual">
      <formula>0</formula>
    </cfRule>
  </conditionalFormatting>
  <conditionalFormatting sqref="CY16 DA16">
    <cfRule type="cellIs" dxfId="59" priority="20" stopIfTrue="1" operator="notBetween">
      <formula>-0.1</formula>
      <formula>0.1</formula>
    </cfRule>
  </conditionalFormatting>
  <conditionalFormatting sqref="DD16 DF16">
    <cfRule type="cellIs" dxfId="58" priority="19" stopIfTrue="1" operator="notBetween">
      <formula>-0.1</formula>
      <formula>0.1</formula>
    </cfRule>
  </conditionalFormatting>
  <conditionalFormatting sqref="DU75">
    <cfRule type="cellIs" dxfId="57" priority="16" stopIfTrue="1" operator="notEqual">
      <formula>0</formula>
    </cfRule>
  </conditionalFormatting>
  <conditionalFormatting sqref="DC4">
    <cfRule type="cellIs" dxfId="56" priority="6" stopIfTrue="1" operator="notEqual">
      <formula>"ok"</formula>
    </cfRule>
  </conditionalFormatting>
  <conditionalFormatting sqref="DH4 DM4 DR4">
    <cfRule type="cellIs" dxfId="55" priority="5" stopIfTrue="1" operator="notEqual">
      <formula>"ok"</formula>
    </cfRule>
  </conditionalFormatting>
  <conditionalFormatting sqref="G4 L4 Q4 V4 AA4 AF4 AK4 AP4 AU4 AZ4 BE4 BJ4 BO4 BT4 BY4 CD4 CI4 CN4 CS4 CX4">
    <cfRule type="cellIs" dxfId="54" priority="4" stopIfTrue="1" operator="notEqual">
      <formula>"ok"</formula>
    </cfRule>
  </conditionalFormatting>
  <conditionalFormatting sqref="DI16 DK16">
    <cfRule type="cellIs" dxfId="53" priority="3" stopIfTrue="1" operator="notBetween">
      <formula>-0.1</formula>
      <formula>0.1</formula>
    </cfRule>
  </conditionalFormatting>
  <conditionalFormatting sqref="DZ75">
    <cfRule type="cellIs" dxfId="52" priority="2" stopIfTrue="1" operator="notEqual">
      <formula>0</formula>
    </cfRule>
  </conditionalFormatting>
  <conditionalFormatting sqref="DW4">
    <cfRule type="cellIs" dxfId="51" priority="1" stopIfTrue="1" operator="notEqual">
      <formula>"ok"</formula>
    </cfRule>
  </conditionalFormatting>
  <dataValidations count="1">
    <dataValidation type="list" allowBlank="1" showInputMessage="1" showErrorMessage="1" sqref="F2:F3">
      <formula1>$B$2:$B$3</formula1>
    </dataValidation>
  </dataValidations>
  <hyperlinks>
    <hyperlink ref="E52" location="Sector1!C399" display="Follow this link to the detailed breakdown of nominal government consumption in the sector sheet"/>
  </hyperlinks>
  <printOptions horizontalCentered="1" verticalCentered="1"/>
  <pageMargins left="0.27559055118110237" right="0.31496062992125984" top="0.98425196850393704" bottom="0.98425196850393704" header="0.51181102362204722" footer="0.51181102362204722"/>
  <pageSetup paperSize="9" scale="10" orientation="landscape" r:id="rId1"/>
  <headerFooter alignWithMargins="0"/>
  <ignoredErrors>
    <ignoredError sqref="J13" 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enableFormatConditionsCalculation="0">
    <tabColor indexed="44"/>
    <pageSetUpPr fitToPage="1"/>
  </sheetPr>
  <dimension ref="A1:CP1057"/>
  <sheetViews>
    <sheetView showGridLines="0" workbookViewId="0">
      <pane xSplit="6" ySplit="6" topLeftCell="X313" activePane="bottomRight" state="frozen"/>
      <selection pane="topRight" activeCell="G1" sqref="G1"/>
      <selection pane="bottomLeft" activeCell="A7" sqref="A7"/>
      <selection pane="bottomRight" activeCell="AD341" sqref="AC341:AD341"/>
    </sheetView>
  </sheetViews>
  <sheetFormatPr defaultRowHeight="12.75"/>
  <cols>
    <col min="1" max="2" width="3.7109375" style="665" customWidth="1"/>
    <col min="3" max="3" width="4.28515625" style="694" customWidth="1"/>
    <col min="4" max="4" width="4.28515625" style="546" customWidth="1"/>
    <col min="5" max="5" width="42" customWidth="1"/>
    <col min="6" max="6" width="10.42578125" style="546" customWidth="1"/>
    <col min="7" max="16" width="9.28515625" hidden="1" customWidth="1"/>
    <col min="17" max="19" width="9.28515625" style="557" hidden="1" customWidth="1"/>
    <col min="20" max="21" width="11.5703125" style="557" hidden="1" customWidth="1"/>
    <col min="22" max="23" width="10.5703125" style="557" hidden="1" customWidth="1"/>
    <col min="24" max="25" width="12.140625" style="557" bestFit="1" customWidth="1"/>
    <col min="26" max="26" width="12.5703125" style="557" bestFit="1" customWidth="1"/>
    <col min="27" max="27" width="12.85546875" style="557" bestFit="1" customWidth="1"/>
    <col min="28" max="28" width="11.28515625" bestFit="1" customWidth="1"/>
    <col min="29" max="29" width="17.42578125" bestFit="1" customWidth="1"/>
    <col min="30" max="30" width="12.5703125" bestFit="1" customWidth="1"/>
    <col min="31" max="31" width="12.42578125" style="3649" customWidth="1"/>
  </cols>
  <sheetData>
    <row r="1" spans="1:94" s="699" customFormat="1">
      <c r="A1" s="1918" t="s">
        <v>750</v>
      </c>
      <c r="B1" s="663"/>
      <c r="C1" s="694"/>
      <c r="D1" s="670"/>
      <c r="F1" s="694"/>
      <c r="Q1" s="843"/>
      <c r="R1" s="843"/>
      <c r="S1" s="843"/>
      <c r="T1" s="843"/>
      <c r="U1" s="843"/>
      <c r="V1" s="843"/>
      <c r="W1" s="843"/>
      <c r="X1" s="843"/>
      <c r="Y1" s="843"/>
      <c r="Z1" s="843"/>
      <c r="AA1" s="843"/>
      <c r="AB1"/>
      <c r="AC1"/>
      <c r="AD1"/>
      <c r="AE1" s="3649"/>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row>
    <row r="2" spans="1:94" s="699" customFormat="1" ht="22.5" customHeight="1">
      <c r="A2" s="574"/>
      <c r="B2" s="574"/>
      <c r="C2" s="3751" t="s">
        <v>738</v>
      </c>
      <c r="D2" s="3751"/>
      <c r="E2" s="3751"/>
      <c r="F2">
        <v>0.05</v>
      </c>
      <c r="G2" s="1977" t="str">
        <f t="shared" ref="G2:X2" si="0">IF(+G24+G30+G55+G73+G84+G95+G106+G194+G207+G213+G232+G251+G269+G280+G301+G312&lt;$F$2,"ok","Not ok")</f>
        <v>ok</v>
      </c>
      <c r="H2" s="1977" t="str">
        <f t="shared" ca="1" si="0"/>
        <v>Not ok</v>
      </c>
      <c r="I2" s="1977" t="str">
        <f t="shared" ca="1" si="0"/>
        <v>ok</v>
      </c>
      <c r="J2" s="1977" t="str">
        <f t="shared" ca="1" si="0"/>
        <v>Not ok</v>
      </c>
      <c r="K2" s="1977" t="str">
        <f t="shared" ca="1" si="0"/>
        <v>Not ok</v>
      </c>
      <c r="L2" s="1977" t="str">
        <f t="shared" ca="1" si="0"/>
        <v>Not ok</v>
      </c>
      <c r="M2" s="1977" t="str">
        <f t="shared" ca="1" si="0"/>
        <v>Not ok</v>
      </c>
      <c r="N2" s="1977" t="str">
        <f t="shared" ca="1" si="0"/>
        <v>Not ok</v>
      </c>
      <c r="O2" s="1977" t="str">
        <f t="shared" ca="1" si="0"/>
        <v>ok</v>
      </c>
      <c r="P2" s="1977" t="str">
        <f t="shared" ca="1" si="0"/>
        <v>Not ok</v>
      </c>
      <c r="Q2" s="1977" t="str">
        <f t="shared" ca="1" si="0"/>
        <v>ok</v>
      </c>
      <c r="R2" s="1977" t="str">
        <f t="shared" ca="1" si="0"/>
        <v>ok</v>
      </c>
      <c r="S2" s="1977" t="str">
        <f t="shared" ca="1" si="0"/>
        <v>ok</v>
      </c>
      <c r="T2" s="1977" t="str">
        <f t="shared" ca="1" si="0"/>
        <v>ok</v>
      </c>
      <c r="U2" s="1977" t="str">
        <f t="shared" ca="1" si="0"/>
        <v>ok</v>
      </c>
      <c r="V2" s="1977" t="str">
        <f t="shared" ca="1" si="0"/>
        <v>ok</v>
      </c>
      <c r="W2" s="1977" t="str">
        <f ca="1">IF(+W24+W30+W55+W73+W84+W95+W106+W194+W207+W213+W232+W251+W269+W280+W301+W312&lt;$F$2,"ok","Not ok")</f>
        <v>ok</v>
      </c>
      <c r="X2" s="1977" t="str">
        <f t="shared" ca="1" si="0"/>
        <v>ok</v>
      </c>
      <c r="Y2" s="1977" t="str">
        <f t="shared" ref="Y2:AD2" ca="1" si="1">IF(+Y24+Y30+Y55+Y73+Y84+Y95+Y106+Y194+Y207+Y213+Y232+Y251+Y269+Y280+Y301+Y312&lt;$F$2,"ok","Not ok")</f>
        <v>ok</v>
      </c>
      <c r="Z2" s="1977" t="str">
        <f t="shared" ca="1" si="1"/>
        <v>ok</v>
      </c>
      <c r="AA2" s="1977" t="str">
        <f t="shared" ca="1" si="1"/>
        <v>ok</v>
      </c>
      <c r="AB2" s="1977" t="str">
        <f t="shared" ca="1" si="1"/>
        <v>ok</v>
      </c>
      <c r="AC2" s="1977" t="str">
        <f t="shared" ca="1" si="1"/>
        <v>ok</v>
      </c>
      <c r="AD2" s="1977" t="str">
        <f t="shared" ca="1" si="1"/>
        <v>ok</v>
      </c>
      <c r="AE2" s="1977" t="str">
        <f t="shared" ref="AE2" ca="1" si="2">IF(+AE24+AE30+AE55+AE73+AE84+AE95+AE106+AE194+AE207+AE213+AE232+AE251+AE269+AE280+AE301+AE312&lt;$F$2,"ok","Not ok")</f>
        <v>ok</v>
      </c>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row>
    <row r="3" spans="1:94" ht="12.75" customHeight="1">
      <c r="T3" s="217"/>
      <c r="U3" s="217"/>
      <c r="V3" s="217"/>
      <c r="W3" s="217"/>
      <c r="X3" s="217"/>
      <c r="Y3" s="217"/>
      <c r="Z3" s="217"/>
      <c r="AA3" s="217"/>
    </row>
    <row r="4" spans="1:94" s="217" customFormat="1" ht="22.5" customHeight="1">
      <c r="A4" s="1130"/>
      <c r="B4" s="665"/>
      <c r="C4" s="3751" t="s">
        <v>279</v>
      </c>
      <c r="D4" s="3751"/>
      <c r="E4" s="3751"/>
      <c r="F4" s="3751"/>
      <c r="Q4" s="557"/>
      <c r="R4" s="557"/>
      <c r="S4" s="557"/>
      <c r="AB4"/>
      <c r="AC4"/>
      <c r="AD4"/>
      <c r="AE4" s="3649"/>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row>
    <row r="5" spans="1:94">
      <c r="T5" s="217"/>
      <c r="U5" s="217"/>
      <c r="V5" s="217"/>
      <c r="W5" s="217"/>
      <c r="X5" s="217"/>
      <c r="Y5" s="217"/>
      <c r="Z5" s="217"/>
      <c r="AA5" s="217"/>
    </row>
    <row r="6" spans="1:94">
      <c r="A6" s="1130"/>
      <c r="D6" s="1175"/>
      <c r="E6" s="1129" t="s">
        <v>575</v>
      </c>
      <c r="F6" s="1176"/>
      <c r="G6" s="707">
        <f>+InputY!$G$3</f>
        <v>1995</v>
      </c>
      <c r="H6" s="707">
        <f>+G6+1</f>
        <v>1996</v>
      </c>
      <c r="I6" s="707">
        <f t="shared" ref="I6:O6" si="3">+H6+1</f>
        <v>1997</v>
      </c>
      <c r="J6" s="707">
        <f t="shared" si="3"/>
        <v>1998</v>
      </c>
      <c r="K6" s="707">
        <f t="shared" si="3"/>
        <v>1999</v>
      </c>
      <c r="L6" s="707">
        <f t="shared" si="3"/>
        <v>2000</v>
      </c>
      <c r="M6" s="707">
        <f t="shared" si="3"/>
        <v>2001</v>
      </c>
      <c r="N6" s="707">
        <f t="shared" si="3"/>
        <v>2002</v>
      </c>
      <c r="O6" s="707">
        <f t="shared" si="3"/>
        <v>2003</v>
      </c>
      <c r="P6" s="707">
        <f t="shared" ref="P6:V6" si="4">+O6+1</f>
        <v>2004</v>
      </c>
      <c r="Q6" s="707">
        <f t="shared" si="4"/>
        <v>2005</v>
      </c>
      <c r="R6" s="707">
        <f t="shared" si="4"/>
        <v>2006</v>
      </c>
      <c r="S6" s="707">
        <f>+R6+1</f>
        <v>2007</v>
      </c>
      <c r="T6" s="707">
        <f t="shared" si="4"/>
        <v>2008</v>
      </c>
      <c r="U6" s="707">
        <f t="shared" si="4"/>
        <v>2009</v>
      </c>
      <c r="V6" s="707">
        <f t="shared" si="4"/>
        <v>2010</v>
      </c>
      <c r="W6" s="707">
        <f t="shared" ref="W6:AE6" si="5">+V6+1</f>
        <v>2011</v>
      </c>
      <c r="X6" s="707">
        <f t="shared" si="5"/>
        <v>2012</v>
      </c>
      <c r="Y6" s="707">
        <f t="shared" si="5"/>
        <v>2013</v>
      </c>
      <c r="Z6" s="707">
        <f t="shared" si="5"/>
        <v>2014</v>
      </c>
      <c r="AA6" s="707">
        <f t="shared" si="5"/>
        <v>2015</v>
      </c>
      <c r="AB6" s="707">
        <f t="shared" si="5"/>
        <v>2016</v>
      </c>
      <c r="AC6" s="707">
        <f t="shared" si="5"/>
        <v>2017</v>
      </c>
      <c r="AD6" s="707">
        <f t="shared" si="5"/>
        <v>2018</v>
      </c>
      <c r="AE6" s="707">
        <f t="shared" si="5"/>
        <v>2019</v>
      </c>
    </row>
    <row r="7" spans="1:94">
      <c r="A7" s="664">
        <f>+ROW(InputY!A19)</f>
        <v>19</v>
      </c>
      <c r="B7" s="665" t="s">
        <v>245</v>
      </c>
      <c r="C7" s="1082"/>
      <c r="D7" s="1086"/>
      <c r="E7" s="1087" t="s">
        <v>821</v>
      </c>
      <c r="F7" s="1089" t="s">
        <v>1017</v>
      </c>
      <c r="G7" s="1088">
        <f>+InputY!G19/1000</f>
        <v>8.6943311199494193</v>
      </c>
      <c r="H7" s="1088">
        <f>+InputY!H19/1000</f>
        <v>9.2573963830362906</v>
      </c>
      <c r="I7" s="1088">
        <f>+InputY!I19/1000</f>
        <v>9.7777647186781778</v>
      </c>
      <c r="J7" s="1088">
        <f>+InputY!J19/1000</f>
        <v>10.242725056307531</v>
      </c>
      <c r="K7" s="1088">
        <f>+InputY!K19/1000</f>
        <v>10.75122399026877</v>
      </c>
      <c r="L7" s="1088">
        <f>+InputY!L19/1000</f>
        <v>11.501958970631552</v>
      </c>
      <c r="M7" s="1088">
        <f>+InputY!M19/1000</f>
        <v>11.985963469608585</v>
      </c>
      <c r="N7" s="1088">
        <f>+InputY!N19/1000</f>
        <v>12.72480286303646</v>
      </c>
      <c r="O7" s="1088">
        <f>+InputY!O19/1000</f>
        <v>14.1518131829006</v>
      </c>
      <c r="P7" s="1088">
        <f>+InputY!P19/1000</f>
        <v>15.80466</v>
      </c>
      <c r="Q7" s="1088">
        <f>+InputY!Q19/1000</f>
        <v>17.638660000000002</v>
      </c>
      <c r="R7" s="1088">
        <f>+InputY!R19/1000</f>
        <v>19.24344</v>
      </c>
      <c r="S7" s="1088">
        <f>+InputY!S19/1000</f>
        <v>21.633119999999998</v>
      </c>
      <c r="T7" s="1088">
        <f>+InputY!T19/1000</f>
        <v>22.466799999999999</v>
      </c>
      <c r="U7" s="1088">
        <f>+InputY!U19/1000</f>
        <v>18.568369999999998</v>
      </c>
      <c r="V7" s="1088">
        <f>+InputY!V19/1000</f>
        <v>17.945540000000001</v>
      </c>
      <c r="W7" s="1088">
        <f>+InputY!W19/1000</f>
        <v>18.770810000000001</v>
      </c>
      <c r="X7" s="1088">
        <f>+InputY!X19/1000</f>
        <v>19.351680000000002</v>
      </c>
      <c r="Y7" s="1088">
        <f>+InputY!Y19/1000</f>
        <v>20.186400000000003</v>
      </c>
      <c r="Z7" s="1088">
        <f>+InputY!Z19/1000</f>
        <v>20.987099999999998</v>
      </c>
      <c r="AA7" s="1088">
        <f>+InputY!AA19/1000</f>
        <v>21.821650000000002</v>
      </c>
      <c r="AB7" s="1088">
        <f>+InputY!AB19/1000</f>
        <v>22.898630000000001</v>
      </c>
      <c r="AC7" s="1088">
        <f>+InputY!AC19/1000</f>
        <v>23.78961</v>
      </c>
      <c r="AD7" s="1343">
        <f ca="1">+AC7*(1+AD10/100)</f>
        <v>24.622246349999998</v>
      </c>
      <c r="AE7" s="1343">
        <f ca="1">+AD7*(1+AE10/100)</f>
        <v>25.434780479549996</v>
      </c>
    </row>
    <row r="8" spans="1:94">
      <c r="AB8" s="557"/>
      <c r="AC8" s="557"/>
      <c r="AD8" s="557"/>
      <c r="AE8" s="557"/>
    </row>
    <row r="9" spans="1:94" s="699" customFormat="1" ht="12.75" customHeight="1">
      <c r="A9" s="664"/>
      <c r="B9" s="664"/>
      <c r="C9" s="774"/>
      <c r="D9" s="1092"/>
      <c r="E9" s="1093" t="s">
        <v>916</v>
      </c>
      <c r="F9" s="1094"/>
      <c r="G9" s="896">
        <f>+InputY!$G$3</f>
        <v>1995</v>
      </c>
      <c r="H9" s="896">
        <f>+G9+1</f>
        <v>1996</v>
      </c>
      <c r="I9" s="896">
        <f t="shared" ref="I9:O9" si="6">+H9+1</f>
        <v>1997</v>
      </c>
      <c r="J9" s="896">
        <f t="shared" si="6"/>
        <v>1998</v>
      </c>
      <c r="K9" s="896">
        <f t="shared" si="6"/>
        <v>1999</v>
      </c>
      <c r="L9" s="896">
        <f t="shared" si="6"/>
        <v>2000</v>
      </c>
      <c r="M9" s="896">
        <f t="shared" si="6"/>
        <v>2001</v>
      </c>
      <c r="N9" s="896">
        <f t="shared" si="6"/>
        <v>2002</v>
      </c>
      <c r="O9" s="896">
        <f t="shared" si="6"/>
        <v>2003</v>
      </c>
      <c r="P9" s="896">
        <f t="shared" ref="P9:V9" si="7">+O9+1</f>
        <v>2004</v>
      </c>
      <c r="Q9" s="896">
        <f t="shared" si="7"/>
        <v>2005</v>
      </c>
      <c r="R9" s="896">
        <f t="shared" si="7"/>
        <v>2006</v>
      </c>
      <c r="S9" s="896">
        <f>+R9+1</f>
        <v>2007</v>
      </c>
      <c r="T9" s="896">
        <f t="shared" si="7"/>
        <v>2008</v>
      </c>
      <c r="U9" s="896">
        <f t="shared" si="7"/>
        <v>2009</v>
      </c>
      <c r="V9" s="896">
        <f t="shared" si="7"/>
        <v>2010</v>
      </c>
      <c r="W9" s="896">
        <f t="shared" ref="W9:AE9" si="8">+V9+1</f>
        <v>2011</v>
      </c>
      <c r="X9" s="896">
        <f t="shared" si="8"/>
        <v>2012</v>
      </c>
      <c r="Y9" s="896">
        <f t="shared" si="8"/>
        <v>2013</v>
      </c>
      <c r="Z9" s="896">
        <f t="shared" si="8"/>
        <v>2014</v>
      </c>
      <c r="AA9" s="896">
        <f t="shared" si="8"/>
        <v>2015</v>
      </c>
      <c r="AB9" s="896">
        <f t="shared" si="8"/>
        <v>2016</v>
      </c>
      <c r="AC9" s="896">
        <f t="shared" si="8"/>
        <v>2017</v>
      </c>
      <c r="AD9" s="896">
        <f t="shared" si="8"/>
        <v>2018</v>
      </c>
      <c r="AE9" s="896">
        <f t="shared" si="8"/>
        <v>2019</v>
      </c>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row>
    <row r="10" spans="1:94" s="699" customFormat="1" ht="12.75" customHeight="1">
      <c r="A10" s="664"/>
      <c r="B10" s="664"/>
      <c r="C10" s="798"/>
      <c r="D10" s="833"/>
      <c r="E10" s="834" t="s">
        <v>821</v>
      </c>
      <c r="F10" s="1114" t="s">
        <v>1017</v>
      </c>
      <c r="G10" s="1115"/>
      <c r="H10" s="1115">
        <f>+(H7/G7-1)*100</f>
        <v>6.4762344028386432</v>
      </c>
      <c r="I10" s="1115">
        <f t="shared" ref="I10:AB10" si="9">+(I7/H7-1)*100</f>
        <v>5.6211089393928937</v>
      </c>
      <c r="J10" s="1115">
        <f t="shared" si="9"/>
        <v>4.7552825314067348</v>
      </c>
      <c r="K10" s="1115">
        <f t="shared" si="9"/>
        <v>4.9644887582733777</v>
      </c>
      <c r="L10" s="1115">
        <f t="shared" si="9"/>
        <v>6.98278615571859</v>
      </c>
      <c r="M10" s="1115">
        <f t="shared" si="9"/>
        <v>4.2080179577484333</v>
      </c>
      <c r="N10" s="1115">
        <f t="shared" si="9"/>
        <v>6.1642052831319294</v>
      </c>
      <c r="O10" s="1115">
        <f t="shared" si="9"/>
        <v>11.214400216834619</v>
      </c>
      <c r="P10" s="1115">
        <f t="shared" si="9"/>
        <v>11.679399634080156</v>
      </c>
      <c r="Q10" s="1115">
        <f t="shared" si="9"/>
        <v>11.604172440280291</v>
      </c>
      <c r="R10" s="1115">
        <f t="shared" si="9"/>
        <v>9.0980834144997367</v>
      </c>
      <c r="S10" s="1115">
        <f t="shared" si="9"/>
        <v>12.41815392674075</v>
      </c>
      <c r="T10" s="1115">
        <f t="shared" si="9"/>
        <v>3.853720591389509</v>
      </c>
      <c r="U10" s="1115">
        <f t="shared" si="9"/>
        <v>-17.351959335552912</v>
      </c>
      <c r="V10" s="1115">
        <f t="shared" si="9"/>
        <v>-3.3542524195715462</v>
      </c>
      <c r="W10" s="1115">
        <f t="shared" si="9"/>
        <v>4.5987470981647682</v>
      </c>
      <c r="X10" s="1115">
        <f t="shared" si="9"/>
        <v>3.0945388078617908</v>
      </c>
      <c r="Y10" s="1115">
        <f t="shared" si="9"/>
        <v>4.3134239507887751</v>
      </c>
      <c r="Z10" s="1115">
        <f t="shared" si="9"/>
        <v>3.9665319224824414</v>
      </c>
      <c r="AA10" s="1115">
        <f t="shared" si="9"/>
        <v>3.9764903202443636</v>
      </c>
      <c r="AB10" s="1115">
        <f t="shared" si="9"/>
        <v>4.9353738145373915</v>
      </c>
      <c r="AC10" s="1115">
        <f>+(AC7/AB7-1)*100</f>
        <v>3.8909751369404999</v>
      </c>
      <c r="AD10" s="1427">
        <f ca="1">OFFSET('VVP1'!$G$35,0,5*(COLUMN()-7))</f>
        <v>3.5</v>
      </c>
      <c r="AE10" s="1427">
        <f ca="1">OFFSET('VVP1'!$G$35,0,5*(COLUMN()-7))</f>
        <v>3.3</v>
      </c>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row>
    <row r="11" spans="1:94">
      <c r="AB11" s="557"/>
      <c r="AC11" s="557"/>
      <c r="AD11" s="557"/>
      <c r="AE11" s="557"/>
    </row>
    <row r="12" spans="1:94">
      <c r="A12" s="1130"/>
      <c r="D12" s="1175"/>
      <c r="E12" s="1129" t="s">
        <v>1574</v>
      </c>
      <c r="F12" s="1176"/>
      <c r="G12" s="707">
        <f>+InputY!$G$3</f>
        <v>1995</v>
      </c>
      <c r="H12" s="707">
        <f>+G12+1</f>
        <v>1996</v>
      </c>
      <c r="I12" s="707">
        <f t="shared" ref="I12:O12" si="10">+H12+1</f>
        <v>1997</v>
      </c>
      <c r="J12" s="707">
        <f t="shared" si="10"/>
        <v>1998</v>
      </c>
      <c r="K12" s="707">
        <f t="shared" si="10"/>
        <v>1999</v>
      </c>
      <c r="L12" s="707">
        <f t="shared" si="10"/>
        <v>2000</v>
      </c>
      <c r="M12" s="707">
        <f t="shared" si="10"/>
        <v>2001</v>
      </c>
      <c r="N12" s="707">
        <f t="shared" si="10"/>
        <v>2002</v>
      </c>
      <c r="O12" s="707">
        <f t="shared" si="10"/>
        <v>2003</v>
      </c>
      <c r="P12" s="707">
        <f t="shared" ref="P12:V12" si="11">+O12+1</f>
        <v>2004</v>
      </c>
      <c r="Q12" s="707">
        <f t="shared" si="11"/>
        <v>2005</v>
      </c>
      <c r="R12" s="707">
        <f t="shared" si="11"/>
        <v>2006</v>
      </c>
      <c r="S12" s="707">
        <f>+R12+1</f>
        <v>2007</v>
      </c>
      <c r="T12" s="707">
        <f t="shared" si="11"/>
        <v>2008</v>
      </c>
      <c r="U12" s="707">
        <f t="shared" si="11"/>
        <v>2009</v>
      </c>
      <c r="V12" s="707">
        <f t="shared" si="11"/>
        <v>2010</v>
      </c>
      <c r="W12" s="707">
        <f t="shared" ref="W12:AE12" si="12">+V12+1</f>
        <v>2011</v>
      </c>
      <c r="X12" s="707">
        <f t="shared" si="12"/>
        <v>2012</v>
      </c>
      <c r="Y12" s="707">
        <f t="shared" si="12"/>
        <v>2013</v>
      </c>
      <c r="Z12" s="707">
        <f t="shared" si="12"/>
        <v>2014</v>
      </c>
      <c r="AA12" s="707">
        <f t="shared" si="12"/>
        <v>2015</v>
      </c>
      <c r="AB12" s="707">
        <f t="shared" si="12"/>
        <v>2016</v>
      </c>
      <c r="AC12" s="707">
        <f t="shared" si="12"/>
        <v>2017</v>
      </c>
      <c r="AD12" s="707">
        <f t="shared" si="12"/>
        <v>2018</v>
      </c>
      <c r="AE12" s="707">
        <f t="shared" si="12"/>
        <v>2019</v>
      </c>
    </row>
    <row r="13" spans="1:94">
      <c r="A13" s="664">
        <f>+ROW(InputY!A22)</f>
        <v>22</v>
      </c>
      <c r="B13" s="665" t="s">
        <v>246</v>
      </c>
      <c r="C13" s="1082" t="s">
        <v>1769</v>
      </c>
      <c r="D13" s="1086"/>
      <c r="E13" s="1087" t="s">
        <v>821</v>
      </c>
      <c r="F13" s="1089" t="s">
        <v>533</v>
      </c>
      <c r="G13" s="1088">
        <f>+InputY!G22/1000</f>
        <v>4.6696599057177908</v>
      </c>
      <c r="H13" s="1088">
        <f>+InputY!H22/1000</f>
        <v>4.6368703517540855</v>
      </c>
      <c r="I13" s="1088">
        <f>+InputY!I22/1000</f>
        <v>4.7952674096872592</v>
      </c>
      <c r="J13" s="1088">
        <f>+InputY!J22/1000</f>
        <v>5.03578041451786</v>
      </c>
      <c r="K13" s="1088">
        <f>+InputY!K22/1000</f>
        <v>4.8132083975837627</v>
      </c>
      <c r="L13" s="1088">
        <f>+InputY!L22/1000</f>
        <v>4.8239639312963334</v>
      </c>
      <c r="M13" s="1088">
        <f>+InputY!M22/1000</f>
        <v>4.8895965698279795</v>
      </c>
      <c r="N13" s="1088">
        <f>+InputY!N22/1000</f>
        <v>5.0098510133738872</v>
      </c>
      <c r="O13" s="1088">
        <f>+InputY!O22/1000</f>
        <v>5.1560925064067895</v>
      </c>
      <c r="P13" s="1088">
        <f>+InputY!P22/1000</f>
        <v>5.3929600000000004</v>
      </c>
      <c r="Q13" s="1088">
        <f>+InputY!Q22/1000</f>
        <v>5.5848100000000001</v>
      </c>
      <c r="R13" s="1088">
        <f>+InputY!R22/1000</f>
        <v>5.7023000000000001</v>
      </c>
      <c r="S13" s="1088">
        <f>+InputY!S22/1000</f>
        <v>5.80783</v>
      </c>
      <c r="T13" s="1088">
        <f>+InputY!T22/1000</f>
        <v>5.8215300000000001</v>
      </c>
      <c r="U13" s="1088">
        <f>+InputY!U22/1000</f>
        <v>5.7450100000000006</v>
      </c>
      <c r="V13" s="1088">
        <f>+InputY!V22/1000</f>
        <v>5.5633800000000004</v>
      </c>
      <c r="W13" s="1088">
        <f>+InputY!W22/1000</f>
        <v>5.5435799999999995</v>
      </c>
      <c r="X13" s="1088">
        <f>+InputY!X22/1000</f>
        <v>5.6148299999999995</v>
      </c>
      <c r="Y13" s="1088">
        <f>+InputY!Y22/1000</f>
        <v>5.6554099999999998</v>
      </c>
      <c r="Z13" s="1088">
        <f>+InputY!Z22/1000</f>
        <v>5.6716600000000001</v>
      </c>
      <c r="AA13" s="1088">
        <f>+InputY!AA22/1000</f>
        <v>5.6809799999999999</v>
      </c>
      <c r="AB13" s="1088">
        <f>+InputY!AB22/1000</f>
        <v>5.7543999999999995</v>
      </c>
      <c r="AC13" s="1088">
        <f>+InputY!AC22/1000</f>
        <v>5.8210899999999999</v>
      </c>
      <c r="AD13" s="1343">
        <f ca="1">+AC13*(1+AD16/100)</f>
        <v>5.9165558759999994</v>
      </c>
      <c r="AE13" s="1343">
        <f ca="1">+AD13*(1+AE16/100)</f>
        <v>6.0076708364903997</v>
      </c>
    </row>
    <row r="14" spans="1:94">
      <c r="AB14" s="557"/>
      <c r="AC14" s="557"/>
      <c r="AD14" s="557"/>
      <c r="AE14" s="557"/>
    </row>
    <row r="15" spans="1:94" s="699" customFormat="1" ht="12.75" customHeight="1">
      <c r="A15" s="664"/>
      <c r="B15" s="664"/>
      <c r="C15" s="774"/>
      <c r="D15" s="1092"/>
      <c r="E15" s="1093" t="s">
        <v>240</v>
      </c>
      <c r="F15" s="1094"/>
      <c r="G15" s="896">
        <f>+InputY!$G$3</f>
        <v>1995</v>
      </c>
      <c r="H15" s="896">
        <f>+G15+1</f>
        <v>1996</v>
      </c>
      <c r="I15" s="896">
        <f t="shared" ref="I15:O15" si="13">+H15+1</f>
        <v>1997</v>
      </c>
      <c r="J15" s="896">
        <f t="shared" si="13"/>
        <v>1998</v>
      </c>
      <c r="K15" s="896">
        <f t="shared" si="13"/>
        <v>1999</v>
      </c>
      <c r="L15" s="896">
        <f t="shared" si="13"/>
        <v>2000</v>
      </c>
      <c r="M15" s="896">
        <f t="shared" si="13"/>
        <v>2001</v>
      </c>
      <c r="N15" s="896">
        <f t="shared" si="13"/>
        <v>2002</v>
      </c>
      <c r="O15" s="896">
        <f t="shared" si="13"/>
        <v>2003</v>
      </c>
      <c r="P15" s="896">
        <f t="shared" ref="P15:V15" si="14">+O15+1</f>
        <v>2004</v>
      </c>
      <c r="Q15" s="896">
        <f t="shared" si="14"/>
        <v>2005</v>
      </c>
      <c r="R15" s="896">
        <f t="shared" si="14"/>
        <v>2006</v>
      </c>
      <c r="S15" s="896">
        <f>+R15+1</f>
        <v>2007</v>
      </c>
      <c r="T15" s="896">
        <f t="shared" si="14"/>
        <v>2008</v>
      </c>
      <c r="U15" s="896">
        <f t="shared" si="14"/>
        <v>2009</v>
      </c>
      <c r="V15" s="896">
        <f t="shared" si="14"/>
        <v>2010</v>
      </c>
      <c r="W15" s="896">
        <f t="shared" ref="W15:AE15" si="15">+V15+1</f>
        <v>2011</v>
      </c>
      <c r="X15" s="896">
        <f t="shared" si="15"/>
        <v>2012</v>
      </c>
      <c r="Y15" s="896">
        <f t="shared" si="15"/>
        <v>2013</v>
      </c>
      <c r="Z15" s="896">
        <f t="shared" si="15"/>
        <v>2014</v>
      </c>
      <c r="AA15" s="896">
        <f t="shared" si="15"/>
        <v>2015</v>
      </c>
      <c r="AB15" s="896">
        <f t="shared" si="15"/>
        <v>2016</v>
      </c>
      <c r="AC15" s="896">
        <f t="shared" si="15"/>
        <v>2017</v>
      </c>
      <c r="AD15" s="896">
        <f t="shared" si="15"/>
        <v>2018</v>
      </c>
      <c r="AE15" s="896">
        <f t="shared" si="15"/>
        <v>2019</v>
      </c>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row>
    <row r="16" spans="1:94" s="699" customFormat="1" ht="12.75" customHeight="1">
      <c r="A16" s="664"/>
      <c r="B16" s="664"/>
      <c r="C16" s="798" t="s">
        <v>1769</v>
      </c>
      <c r="D16" s="833"/>
      <c r="E16" s="834" t="s">
        <v>821</v>
      </c>
      <c r="F16" s="1114" t="s">
        <v>533</v>
      </c>
      <c r="G16" s="1115"/>
      <c r="H16" s="1115">
        <f>(H13/G13-1)*100</f>
        <v>-0.70218291322577953</v>
      </c>
      <c r="I16" s="1115">
        <f t="shared" ref="I16:AC16" si="16">(I13/H13-1)*100</f>
        <v>3.4160337882479963</v>
      </c>
      <c r="J16" s="1115">
        <f t="shared" si="16"/>
        <v>5.0156327954667068</v>
      </c>
      <c r="K16" s="1115">
        <f t="shared" si="16"/>
        <v>-4.4198117990299046</v>
      </c>
      <c r="L16" s="1115">
        <f t="shared" si="16"/>
        <v>0.22345871660096606</v>
      </c>
      <c r="M16" s="1115">
        <f t="shared" si="16"/>
        <v>1.3605540892593027</v>
      </c>
      <c r="N16" s="1115">
        <f t="shared" si="16"/>
        <v>2.4593939771627937</v>
      </c>
      <c r="O16" s="1115">
        <f t="shared" si="16"/>
        <v>2.919078684026899</v>
      </c>
      <c r="P16" s="1115">
        <f t="shared" si="16"/>
        <v>4.5939341332392081</v>
      </c>
      <c r="Q16" s="1115">
        <f t="shared" si="16"/>
        <v>3.5574155936628493</v>
      </c>
      <c r="R16" s="1115">
        <f t="shared" si="16"/>
        <v>2.1037421147720448</v>
      </c>
      <c r="S16" s="1115">
        <f t="shared" si="16"/>
        <v>1.8506567525384376</v>
      </c>
      <c r="T16" s="1115">
        <f t="shared" si="16"/>
        <v>0.23588844714808044</v>
      </c>
      <c r="U16" s="1115">
        <f t="shared" si="16"/>
        <v>-1.3144310859859787</v>
      </c>
      <c r="V16" s="1115">
        <f t="shared" si="16"/>
        <v>-3.1615262636618624</v>
      </c>
      <c r="W16" s="1115">
        <f t="shared" si="16"/>
        <v>-0.35589875219742551</v>
      </c>
      <c r="X16" s="1115">
        <f t="shared" si="16"/>
        <v>1.2852705291526378</v>
      </c>
      <c r="Y16" s="1115">
        <f t="shared" si="16"/>
        <v>0.72272891610254408</v>
      </c>
      <c r="Z16" s="1115">
        <f t="shared" si="16"/>
        <v>0.28733548938097986</v>
      </c>
      <c r="AA16" s="1115">
        <f t="shared" si="16"/>
        <v>0.16432578821721222</v>
      </c>
      <c r="AB16" s="1115">
        <f t="shared" si="16"/>
        <v>1.2923826522888593</v>
      </c>
      <c r="AC16" s="1115">
        <f t="shared" si="16"/>
        <v>1.1589392464896431</v>
      </c>
      <c r="AD16" s="1427">
        <f ca="1">OFFSET('VVP1'!$G$50,0,5*(COLUMN()-7))</f>
        <v>1.64</v>
      </c>
      <c r="AE16" s="1427">
        <f ca="1">OFFSET('VVP1'!$G$50,0,5*(COLUMN()-7))</f>
        <v>1.54</v>
      </c>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row>
    <row r="17" spans="1:94">
      <c r="AB17" s="557"/>
      <c r="AC17" s="557"/>
      <c r="AD17" s="557"/>
      <c r="AE17" s="557"/>
    </row>
    <row r="18" spans="1:94">
      <c r="A18" s="1130"/>
      <c r="D18" s="1126"/>
      <c r="E18" s="1127" t="s">
        <v>489</v>
      </c>
      <c r="F18" s="1128"/>
      <c r="G18" s="707">
        <f>+InputY!$G$3</f>
        <v>1995</v>
      </c>
      <c r="H18" s="707">
        <f>+G18+1</f>
        <v>1996</v>
      </c>
      <c r="I18" s="707">
        <f t="shared" ref="I18:O18" si="17">+H18+1</f>
        <v>1997</v>
      </c>
      <c r="J18" s="707">
        <f t="shared" si="17"/>
        <v>1998</v>
      </c>
      <c r="K18" s="707">
        <f t="shared" si="17"/>
        <v>1999</v>
      </c>
      <c r="L18" s="707">
        <f t="shared" si="17"/>
        <v>2000</v>
      </c>
      <c r="M18" s="707">
        <f t="shared" si="17"/>
        <v>2001</v>
      </c>
      <c r="N18" s="707">
        <f t="shared" si="17"/>
        <v>2002</v>
      </c>
      <c r="O18" s="707">
        <f t="shared" si="17"/>
        <v>2003</v>
      </c>
      <c r="P18" s="707">
        <f t="shared" ref="P18:V18" si="18">+O18+1</f>
        <v>2004</v>
      </c>
      <c r="Q18" s="707">
        <f t="shared" si="18"/>
        <v>2005</v>
      </c>
      <c r="R18" s="707">
        <f t="shared" si="18"/>
        <v>2006</v>
      </c>
      <c r="S18" s="707">
        <f>+R18+1</f>
        <v>2007</v>
      </c>
      <c r="T18" s="707">
        <f t="shared" si="18"/>
        <v>2008</v>
      </c>
      <c r="U18" s="707">
        <f t="shared" si="18"/>
        <v>2009</v>
      </c>
      <c r="V18" s="707">
        <f t="shared" si="18"/>
        <v>2010</v>
      </c>
      <c r="W18" s="707">
        <f t="shared" ref="W18:AE18" si="19">+V18+1</f>
        <v>2011</v>
      </c>
      <c r="X18" s="707">
        <f t="shared" si="19"/>
        <v>2012</v>
      </c>
      <c r="Y18" s="707">
        <f t="shared" si="19"/>
        <v>2013</v>
      </c>
      <c r="Z18" s="707">
        <f t="shared" si="19"/>
        <v>2014</v>
      </c>
      <c r="AA18" s="707">
        <f t="shared" si="19"/>
        <v>2015</v>
      </c>
      <c r="AB18" s="707">
        <f t="shared" si="19"/>
        <v>2016</v>
      </c>
      <c r="AC18" s="707">
        <f t="shared" si="19"/>
        <v>2017</v>
      </c>
      <c r="AD18" s="707">
        <f t="shared" si="19"/>
        <v>2018</v>
      </c>
      <c r="AE18" s="707">
        <f t="shared" si="19"/>
        <v>2019</v>
      </c>
    </row>
    <row r="19" spans="1:94">
      <c r="A19" s="664"/>
      <c r="B19" s="664"/>
      <c r="C19" s="1079" t="s">
        <v>1767</v>
      </c>
      <c r="D19" s="1058" t="s">
        <v>687</v>
      </c>
      <c r="E19" s="1059" t="s">
        <v>644</v>
      </c>
      <c r="F19" s="1069" t="s">
        <v>2051</v>
      </c>
      <c r="G19" s="1054"/>
      <c r="H19" s="1054"/>
      <c r="I19" s="1054"/>
      <c r="J19" s="1054"/>
      <c r="K19" s="1054"/>
      <c r="L19" s="1054"/>
      <c r="M19" s="1054"/>
      <c r="N19" s="1054"/>
      <c r="O19" s="1054"/>
      <c r="P19" s="1054"/>
      <c r="Q19" s="1054"/>
      <c r="R19" s="1054"/>
      <c r="S19" s="1054"/>
      <c r="T19" s="1339"/>
      <c r="U19" s="1339"/>
      <c r="V19" s="1339"/>
      <c r="W19" s="1339"/>
      <c r="X19" s="1339"/>
      <c r="Y19" s="1339"/>
      <c r="Z19" s="1339"/>
      <c r="AA19" s="1339"/>
      <c r="AB19" s="1339"/>
      <c r="AC19" s="1339"/>
      <c r="AD19" s="1339"/>
      <c r="AE19" s="1339"/>
    </row>
    <row r="20" spans="1:94" ht="12.75" customHeight="1">
      <c r="A20" s="664"/>
      <c r="B20" s="664"/>
      <c r="C20" s="1080" t="s">
        <v>1767</v>
      </c>
      <c r="D20" s="1070" t="s">
        <v>1447</v>
      </c>
      <c r="E20" s="1" t="s">
        <v>644</v>
      </c>
      <c r="F20" s="1070" t="s">
        <v>2052</v>
      </c>
      <c r="G20" s="881"/>
      <c r="H20" s="881"/>
      <c r="I20" s="881"/>
      <c r="J20" s="881"/>
      <c r="K20" s="881"/>
      <c r="L20" s="881"/>
      <c r="M20" s="881"/>
      <c r="N20" s="881"/>
      <c r="O20" s="881"/>
      <c r="P20" s="881"/>
      <c r="Q20" s="881"/>
      <c r="R20" s="881"/>
      <c r="S20" s="881"/>
      <c r="T20" s="935"/>
      <c r="U20" s="935"/>
      <c r="V20" s="935"/>
      <c r="W20" s="935"/>
      <c r="X20" s="935"/>
      <c r="Y20" s="935"/>
      <c r="Z20" s="935"/>
      <c r="AA20" s="935"/>
      <c r="AB20" s="935"/>
      <c r="AC20" s="935"/>
      <c r="AD20" s="935"/>
      <c r="AE20" s="935"/>
    </row>
    <row r="21" spans="1:94">
      <c r="A21" s="664">
        <f>+ROW(InputY!A26)</f>
        <v>26</v>
      </c>
      <c r="C21" s="1080" t="s">
        <v>1769</v>
      </c>
      <c r="D21" s="1227"/>
      <c r="E21" s="1203" t="s">
        <v>644</v>
      </c>
      <c r="F21" s="1227" t="s">
        <v>2053</v>
      </c>
      <c r="G21" s="1350">
        <f>+InputY!G26/1000</f>
        <v>1.3115943202225908</v>
      </c>
      <c r="H21" s="1350">
        <f>+InputY!H26/1000</f>
        <v>1.3420618084337053</v>
      </c>
      <c r="I21" s="1350">
        <f>+InputY!I26/1000</f>
        <v>1.6852078551433667</v>
      </c>
      <c r="J21" s="1350">
        <f>+InputY!J26/1000</f>
        <v>2.1726808052469688</v>
      </c>
      <c r="K21" s="1350">
        <f>+InputY!K26/1000</f>
        <v>1.966098130141837</v>
      </c>
      <c r="L21" s="1350">
        <f>+InputY!L26/1000</f>
        <v>1.5593823777062492</v>
      </c>
      <c r="M21" s="1350">
        <f>+InputY!M26/1000</f>
        <v>1.7347496857093734</v>
      </c>
      <c r="N21" s="1350">
        <f>+InputY!N26/1000</f>
        <v>1.996798901676716</v>
      </c>
      <c r="O21" s="1350">
        <f>+InputY!O26/1000</f>
        <v>2.4058783630839802</v>
      </c>
      <c r="P21" s="1350">
        <f>+InputY!P26/1000</f>
        <v>2.3543799999999999</v>
      </c>
      <c r="Q21" s="1350">
        <f>+InputY!Q26/1000</f>
        <v>2.6811400000000001</v>
      </c>
      <c r="R21" s="1350">
        <f>+InputY!R26/1000</f>
        <v>3.27664</v>
      </c>
      <c r="S21" s="1350">
        <f>+InputY!S26/1000</f>
        <v>4.0243099999999998</v>
      </c>
      <c r="T21" s="1350">
        <f>+InputY!T26/1000</f>
        <v>3.8657499999999998</v>
      </c>
      <c r="U21" s="1350">
        <f>+InputY!U26/1000</f>
        <v>2.1477399999999998</v>
      </c>
      <c r="V21" s="1350">
        <f>+InputY!V26/1000</f>
        <v>2.18391</v>
      </c>
      <c r="W21" s="1350">
        <f>+InputY!W26/1000</f>
        <v>2.5793200000000001</v>
      </c>
      <c r="X21" s="1350">
        <f>+InputY!X26/1000</f>
        <v>2.4279299999999999</v>
      </c>
      <c r="Y21" s="1350">
        <f>+InputY!Y26/1000</f>
        <v>2.6005400000000001</v>
      </c>
      <c r="Z21" s="1350">
        <f>+InputY!Z26/1000</f>
        <v>2.76186</v>
      </c>
      <c r="AA21" s="1350">
        <f>+InputY!AA26/1000</f>
        <v>2.64608</v>
      </c>
      <c r="AB21" s="1350">
        <f>+InputY!AB26/1000</f>
        <v>2.3484400000000001</v>
      </c>
      <c r="AC21" s="1350">
        <f>+InputY!AC26/1000</f>
        <v>2.54996</v>
      </c>
      <c r="AD21" s="937">
        <f t="shared" ref="AD21:AE22" ca="1" si="20">+AC21*(1+AD35/100)</f>
        <v>2.7157073999999999</v>
      </c>
      <c r="AE21" s="937">
        <f t="shared" ca="1" si="20"/>
        <v>2.8487770625999995</v>
      </c>
    </row>
    <row r="22" spans="1:94">
      <c r="A22" s="664">
        <f>+ROW(InputY!A27)</f>
        <v>27</v>
      </c>
      <c r="B22" s="664" t="s">
        <v>2115</v>
      </c>
      <c r="C22" s="1080" t="s">
        <v>1767</v>
      </c>
      <c r="D22" s="3"/>
      <c r="E22" s="1" t="s">
        <v>1443</v>
      </c>
      <c r="F22" s="3" t="s">
        <v>2054</v>
      </c>
      <c r="G22" s="1062">
        <f>+InputY!G27/1000</f>
        <v>0.32495167570905742</v>
      </c>
      <c r="H22" s="1062">
        <f>+InputY!H27/1000</f>
        <v>0.32860923241274653</v>
      </c>
      <c r="I22" s="1062">
        <f>+InputY!I27/1000</f>
        <v>0.29151257971117422</v>
      </c>
      <c r="J22" s="1062">
        <f>+InputY!J27/1000</f>
        <v>0.27287298039364449</v>
      </c>
      <c r="K22" s="1062">
        <f>+InputY!K27/1000</f>
        <v>0.28873456250519625</v>
      </c>
      <c r="L22" s="1062">
        <f>+InputY!L27/1000</f>
        <v>0.31569161835579745</v>
      </c>
      <c r="M22" s="1062">
        <f>+InputY!M27/1000</f>
        <v>0.3044567459039032</v>
      </c>
      <c r="N22" s="1062">
        <f>+InputY!N27/1000</f>
        <v>0.27315841585327905</v>
      </c>
      <c r="O22" s="1062">
        <f>+InputY!O27/1000</f>
        <v>0.31246553385853276</v>
      </c>
      <c r="P22" s="1062">
        <f>+InputY!P27/1000</f>
        <v>0.52055999999999991</v>
      </c>
      <c r="Q22" s="1062">
        <f>+InputY!Q27/1000</f>
        <v>0.52045000000000008</v>
      </c>
      <c r="R22" s="1062">
        <f>+InputY!R27/1000</f>
        <v>0.63063999999999998</v>
      </c>
      <c r="S22" s="1062">
        <f>+InputY!S27/1000</f>
        <v>0.72447000000000006</v>
      </c>
      <c r="T22" s="1062">
        <f>+InputY!T27/1000</f>
        <v>0.90061999999999998</v>
      </c>
      <c r="U22" s="1062">
        <f>+InputY!U27/1000</f>
        <v>0.83604000000000001</v>
      </c>
      <c r="V22" s="1062">
        <f>+InputY!V27/1000</f>
        <v>0.58810000000000007</v>
      </c>
      <c r="W22" s="1062">
        <f>+InputY!W27/1000</f>
        <v>0.59386000000000005</v>
      </c>
      <c r="X22" s="1062">
        <f>+InputY!X27/1000</f>
        <v>0.60724999999999996</v>
      </c>
      <c r="Y22" s="1062">
        <f>+InputY!Y27/1000</f>
        <v>0.67723</v>
      </c>
      <c r="Z22" s="1062">
        <f>+InputY!Z27/1000</f>
        <v>0.79179999999999995</v>
      </c>
      <c r="AA22" s="1062">
        <f>+InputY!AA27/1000</f>
        <v>0.90967999999999993</v>
      </c>
      <c r="AB22" s="1062">
        <f>+InputY!AB27/1000</f>
        <v>0.97132000000000007</v>
      </c>
      <c r="AC22" s="1062">
        <f>+InputY!AC27/1000</f>
        <v>0.92654999999999998</v>
      </c>
      <c r="AD22" s="937">
        <f t="shared" ca="1" si="20"/>
        <v>0.95897924999999995</v>
      </c>
      <c r="AE22" s="937">
        <f t="shared" ca="1" si="20"/>
        <v>0.97624087649999991</v>
      </c>
    </row>
    <row r="23" spans="1:94" s="1" customFormat="1">
      <c r="A23" s="664">
        <f>+ROW(InputY!A28)</f>
        <v>28</v>
      </c>
      <c r="B23" s="903" t="s">
        <v>247</v>
      </c>
      <c r="C23" s="1080" t="s">
        <v>1769</v>
      </c>
      <c r="D23" s="3051"/>
      <c r="E23" s="3052" t="s">
        <v>1444</v>
      </c>
      <c r="F23" s="3053" t="s">
        <v>1306</v>
      </c>
      <c r="G23" s="1978">
        <f>+InputY!G28/1000</f>
        <v>1.6190095588807722</v>
      </c>
      <c r="H23" s="1978">
        <f>+InputY!H28/1000</f>
        <v>1.6529379548483158</v>
      </c>
      <c r="I23" s="1978">
        <f>+InputY!I28/1000</f>
        <v>1.9593138492375815</v>
      </c>
      <c r="J23" s="1978">
        <f>+InputY!J28/1000</f>
        <v>2.4245674102883901</v>
      </c>
      <c r="K23" s="1978">
        <f>+InputY!K28/1000</f>
        <v>2.2358684505520268</v>
      </c>
      <c r="L23" s="1978">
        <f>+InputY!L28/1000</f>
        <v>1.8605336857733581</v>
      </c>
      <c r="M23" s="1978">
        <f>+InputY!M28/1000</f>
        <v>2.0229319395980099</v>
      </c>
      <c r="N23" s="1978">
        <f>+InputY!N28/1000</f>
        <v>2.2515572021803245</v>
      </c>
      <c r="O23" s="1978">
        <f>+InputY!O28/1000</f>
        <v>2.6961932741995072</v>
      </c>
      <c r="P23" s="1978">
        <f>+InputY!P28/1000</f>
        <v>2.8533895999999999</v>
      </c>
      <c r="Q23" s="1978">
        <f>+InputY!Q28/1000</f>
        <v>3.1764906599999998</v>
      </c>
      <c r="R23" s="1978">
        <f>+InputY!R28/1000</f>
        <v>3.8765144100000004</v>
      </c>
      <c r="S23" s="1978">
        <f>+InputY!S28/1000</f>
        <v>4.7097032799999994</v>
      </c>
      <c r="T23" s="1978">
        <f>+InputY!T28/1000</f>
        <v>4.73909643</v>
      </c>
      <c r="U23" s="1978">
        <f>+InputY!U28/1000</f>
        <v>2.9853189599999999</v>
      </c>
      <c r="V23" s="1978">
        <f>+InputY!V28/1000</f>
        <v>2.7720100000000003</v>
      </c>
      <c r="W23" s="1978">
        <f>+InputY!W28/1000</f>
        <v>3.1731799999999999</v>
      </c>
      <c r="X23" s="1978">
        <f>+InputY!X28/1000</f>
        <v>3.0351158200000001</v>
      </c>
      <c r="Y23" s="1978">
        <f>+InputY!Y28/1000</f>
        <v>3.2775326599999999</v>
      </c>
      <c r="Z23" s="1978">
        <f>+InputY!Z28/1000</f>
        <v>3.5532021599999997</v>
      </c>
      <c r="AA23" s="1978">
        <f>+InputY!AA28/1000</f>
        <v>3.55615389</v>
      </c>
      <c r="AB23" s="1978">
        <f>+InputY!AB28/1000</f>
        <v>3.32091745</v>
      </c>
      <c r="AC23" s="1978">
        <f>+InputY!AC28/1000</f>
        <v>3.47156603</v>
      </c>
      <c r="AD23" s="3054">
        <f ca="1">IF(UPPER('VVP1'!$F$2)="Y",+AC23*(1+AD37/100),+AD21+AD22)</f>
        <v>3.6686017493853877</v>
      </c>
      <c r="AE23" s="3054">
        <f ca="1">IF(UPPER('VVP1'!$F$2)="Y",+AD23*(1+AE37/100),+AE21+AE22)</f>
        <v>3.81775834549742</v>
      </c>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row>
    <row r="24" spans="1:94" s="699" customFormat="1" ht="12.75" customHeight="1">
      <c r="A24" s="664"/>
      <c r="B24" s="664"/>
      <c r="C24" s="782"/>
      <c r="D24" s="1973"/>
      <c r="E24" s="1973" t="s">
        <v>737</v>
      </c>
      <c r="F24" s="1973"/>
      <c r="G24" s="1002"/>
      <c r="H24" s="1002">
        <f ca="1">ABS(IF('VVP1'!$F$2="Y",OFFSET('VVP1'!$G$60,0,5*(COLUMN()-7)+1)-OFFSET('VVP1'!$G$58,0,5*(COLUMN()-7)+1)-OFFSET('VVP1'!$G$59,0,5*(COLUMN()-7)+1),ABS(H23-H21-H22)))</f>
        <v>5.5511151231257827E-17</v>
      </c>
      <c r="I24" s="1002">
        <f ca="1">ABS(IF('VVP1'!$F$2="Y",OFFSET('VVP1'!$G$60,0,5*(COLUMN()-7)+1)-OFFSET('VVP1'!$G$58,0,5*(COLUMN()-7)+1)-OFFSET('VVP1'!$G$59,0,5*(COLUMN()-7)+1),ABS(I23-I21-I22)))</f>
        <v>5.5511151231257827E-17</v>
      </c>
      <c r="J24" s="1002">
        <f ca="1">ABS(IF('VVP1'!$F$2="Y",OFFSET('VVP1'!$G$60,0,5*(COLUMN()-7)+1)-OFFSET('VVP1'!$G$58,0,5*(COLUMN()-7)+1)-OFFSET('VVP1'!$G$59,0,5*(COLUMN()-7)+1),ABS(J23-J21-J22)))</f>
        <v>1.1102230246251565E-16</v>
      </c>
      <c r="K24" s="1002">
        <f ca="1">ABS(IF('VVP1'!$F$2="Y",OFFSET('VVP1'!$G$60,0,5*(COLUMN()-7)+1)-OFFSET('VVP1'!$G$58,0,5*(COLUMN()-7)+1)-OFFSET('VVP1'!$G$59,0,5*(COLUMN()-7)+1),ABS(K23-K21-K22)))</f>
        <v>2.7755575615628914E-17</v>
      </c>
      <c r="L24" s="1002">
        <f ca="1">ABS(IF('VVP1'!$F$2="Y",OFFSET('VVP1'!$G$60,0,5*(COLUMN()-7)+1)-OFFSET('VVP1'!$G$58,0,5*(COLUMN()-7)+1)-OFFSET('VVP1'!$G$59,0,5*(COLUMN()-7)+1),ABS(L23-L21-L22)))</f>
        <v>5.5511151231257827E-17</v>
      </c>
      <c r="M24" s="1002">
        <f ca="1">ABS(IF('VVP1'!$F$2="Y",OFFSET('VVP1'!$G$60,0,5*(COLUMN()-7)+1)-OFFSET('VVP1'!$G$58,0,5*(COLUMN()-7)+1)-OFFSET('VVP1'!$G$59,0,5*(COLUMN()-7)+1),ABS(M23-M21-M22)))</f>
        <v>8.3266726846886741E-17</v>
      </c>
      <c r="N24" s="1002">
        <f ca="1">ABS(IF('VVP1'!$F$2="Y",OFFSET('VVP1'!$G$60,0,5*(COLUMN()-7)+1)-OFFSET('VVP1'!$G$58,0,5*(COLUMN()-7)+1)-OFFSET('VVP1'!$G$59,0,5*(COLUMN()-7)+1),ABS(N23-N21-N22)))</f>
        <v>5.5511151231257827E-17</v>
      </c>
      <c r="O24" s="1002">
        <f ca="1">ABS(IF('VVP1'!$F$2="Y",OFFSET('VVP1'!$G$60,0,5*(COLUMN()-7)+1)-OFFSET('VVP1'!$G$58,0,5*(COLUMN()-7)+1)-OFFSET('VVP1'!$G$59,0,5*(COLUMN()-7)+1),ABS(O23-O21-O22)))</f>
        <v>0</v>
      </c>
      <c r="P24" s="1002">
        <f ca="1">ABS(IF('VVP1'!$F$2="Y",OFFSET('VVP1'!$G$60,0,5*(COLUMN()-7)+1)-OFFSET('VVP1'!$G$58,0,5*(COLUMN()-7)+1)-OFFSET('VVP1'!$G$59,0,5*(COLUMN()-7)+1),ABS(P23-P21-P22)))</f>
        <v>5.5511151231257827E-17</v>
      </c>
      <c r="Q24" s="1002">
        <f ca="1">ABS(IF('VVP1'!$F$2="Y",OFFSET('VVP1'!$G$60,0,5*(COLUMN()-7)+1)-OFFSET('VVP1'!$G$58,0,5*(COLUMN()-7)+1)-OFFSET('VVP1'!$G$59,0,5*(COLUMN()-7)+1),ABS(Q23-Q21-Q22)))</f>
        <v>1.6653345369377348E-16</v>
      </c>
      <c r="R24" s="1002">
        <f ca="1">ABS(IF('VVP1'!$F$2="Y",OFFSET('VVP1'!$G$60,0,5*(COLUMN()-7)+1)-OFFSET('VVP1'!$G$58,0,5*(COLUMN()-7)+1)-OFFSET('VVP1'!$G$59,0,5*(COLUMN()-7)+1),ABS(R23-R21-R22)))</f>
        <v>0</v>
      </c>
      <c r="S24" s="1002">
        <f ca="1">ABS(IF('VVP1'!$F$2="Y",OFFSET('VVP1'!$G$60,0,5*(COLUMN()-7)+1)-OFFSET('VVP1'!$G$58,0,5*(COLUMN()-7)+1)-OFFSET('VVP1'!$G$59,0,5*(COLUMN()-7)+1),ABS(S23-S21-S22)))</f>
        <v>4.4408920985006262E-16</v>
      </c>
      <c r="T24" s="2906">
        <f ca="1">ABS(IF('VVP1'!$F$2="Y",OFFSET('VVP1'!$G$60,0,5*(COLUMN()-7)+1)-OFFSET('VVP1'!$G$58,0,5*(COLUMN()-7)+1)-OFFSET('VVP1'!$G$59,0,5*(COLUMN()-7)+1),ABS(T23-T21-T22)))</f>
        <v>2.2204460492503131E-16</v>
      </c>
      <c r="U24" s="2906">
        <f ca="1">ABS(IF('VVP1'!$F$2="Y",OFFSET('VVP1'!$G$60,0,5*(COLUMN()-7)+1)-OFFSET('VVP1'!$G$58,0,5*(COLUMN()-7)+1)-OFFSET('VVP1'!$G$59,0,5*(COLUMN()-7)+1),ABS(U23-U21-U22)))</f>
        <v>2.2204460492503131E-16</v>
      </c>
      <c r="V24" s="2906">
        <f ca="1">ABS(IF('VVP1'!$F$2="Y",OFFSET('VVP1'!$G$60,0,5*(COLUMN()-7)+1)-OFFSET('VVP1'!$G$58,0,5*(COLUMN()-7)+1)-OFFSET('VVP1'!$G$59,0,5*(COLUMN()-7)+1),ABS(V23-V21-V22)))</f>
        <v>0</v>
      </c>
      <c r="W24" s="2906">
        <f ca="1">ABS(IF('VVP1'!$F$2="Y",OFFSET('VVP1'!$G$60,0,5*(COLUMN()-7)+1)-OFFSET('VVP1'!$G$58,0,5*(COLUMN()-7)+1)-OFFSET('VVP1'!$G$59,0,5*(COLUMN()-7)+1),ABS(W23-W21-W22)))</f>
        <v>1.1102230246251565E-16</v>
      </c>
      <c r="X24" s="2906">
        <f ca="1">ABS(IF('VVP1'!$F$2="Y",OFFSET('VVP1'!$G$60,0,5*(COLUMN()-7)+1)-OFFSET('VVP1'!$G$58,0,5*(COLUMN()-7)+1)-OFFSET('VVP1'!$G$59,0,5*(COLUMN()-7)+1),ABS(X23-X21-X22)))</f>
        <v>0</v>
      </c>
      <c r="Y24" s="2906">
        <f ca="1">ABS(IF('VVP1'!$F$2="Y",OFFSET('VVP1'!$G$60,0,5*(COLUMN()-7)+1)-OFFSET('VVP1'!$G$58,0,5*(COLUMN()-7)+1)-OFFSET('VVP1'!$G$59,0,5*(COLUMN()-7)+1),ABS(Y23-Y21-Y22)))</f>
        <v>0</v>
      </c>
      <c r="Z24" s="2906">
        <f ca="1">ABS(IF('VVP1'!$F$2="Y",OFFSET('VVP1'!$G$60,0,5*(COLUMN()-7)+1)-OFFSET('VVP1'!$G$58,0,5*(COLUMN()-7)+1)-OFFSET('VVP1'!$G$59,0,5*(COLUMN()-7)+1),ABS(Z23-Z21-Z22)))</f>
        <v>0</v>
      </c>
      <c r="AA24" s="2906">
        <f ca="1">ABS(IF('VVP1'!$F$2="Y",OFFSET('VVP1'!$G$60,0,5*(COLUMN()-7)+1)-OFFSET('VVP1'!$G$58,0,5*(COLUMN()-7)+1)-OFFSET('VVP1'!$G$59,0,5*(COLUMN()-7)+1),ABS(AA23-AA21-AA22)))</f>
        <v>0</v>
      </c>
      <c r="AB24" s="2906">
        <f ca="1">ABS(IF('VVP1'!$F$2="Y",OFFSET('VVP1'!$G$60,0,5*(COLUMN()-7)+1)-OFFSET('VVP1'!$G$58,0,5*(COLUMN()-7)+1)-OFFSET('VVP1'!$G$59,0,5*(COLUMN()-7)+1),ABS(AB23-AB21-AB22)))</f>
        <v>0</v>
      </c>
      <c r="AC24" s="2906">
        <f ca="1">ABS(IF('VVP1'!$F$2="Y",OFFSET('VVP1'!$G$60,0,5*(COLUMN()-7)+1)-OFFSET('VVP1'!$G$58,0,5*(COLUMN()-7)+1)-OFFSET('VVP1'!$G$59,0,5*(COLUMN()-7)+1),ABS(AC23-AC21-AC22)))</f>
        <v>0</v>
      </c>
      <c r="AD24" s="2906">
        <f ca="1">ABS(IF('VVP1'!$F$2="Y",OFFSET('VVP1'!$G$60,0,5*(COLUMN()-7)+1)-OFFSET('VVP1'!$G$58,0,5*(COLUMN()-7)+1)-OFFSET('VVP1'!$G$59,0,5*(COLUMN()-7)+1),ABS(AD23-AD21-AD22)))</f>
        <v>4.4408920985006262E-16</v>
      </c>
      <c r="AE24" s="2906">
        <f ca="1">ABS(IF('VVP1'!$F$2="Y",OFFSET('VVP1'!$G$60,0,5*(COLUMN()-7)+1)-OFFSET('VVP1'!$G$58,0,5*(COLUMN()-7)+1)-OFFSET('VVP1'!$G$59,0,5*(COLUMN()-7)+1),ABS(AE23-AE21-AE22)))</f>
        <v>2.2204460492503131E-16</v>
      </c>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row>
    <row r="25" spans="1:94" s="1" customFormat="1">
      <c r="A25" s="664"/>
      <c r="B25" s="903"/>
      <c r="C25" s="1080" t="s">
        <v>1767</v>
      </c>
      <c r="D25" s="3" t="s">
        <v>687</v>
      </c>
      <c r="E25" s="29" t="s">
        <v>1445</v>
      </c>
      <c r="F25" s="3" t="s">
        <v>2055</v>
      </c>
      <c r="G25" s="881"/>
      <c r="H25" s="881"/>
      <c r="I25" s="881"/>
      <c r="J25" s="881"/>
      <c r="K25" s="881"/>
      <c r="L25" s="881"/>
      <c r="M25" s="881"/>
      <c r="N25" s="881"/>
      <c r="O25" s="881"/>
      <c r="P25" s="881"/>
      <c r="Q25" s="881"/>
      <c r="R25" s="881"/>
      <c r="S25" s="881"/>
      <c r="T25" s="935"/>
      <c r="U25" s="935"/>
      <c r="V25" s="935"/>
      <c r="W25" s="935"/>
      <c r="X25" s="935"/>
      <c r="Y25" s="935"/>
      <c r="Z25" s="935"/>
      <c r="AA25" s="935"/>
      <c r="AB25" s="935"/>
      <c r="AC25" s="935"/>
      <c r="AD25" s="935"/>
      <c r="AE25" s="93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row>
    <row r="26" spans="1:94">
      <c r="A26" s="664"/>
      <c r="C26" s="1080" t="s">
        <v>1767</v>
      </c>
      <c r="D26" s="1070" t="s">
        <v>1447</v>
      </c>
      <c r="E26" s="1" t="s">
        <v>1445</v>
      </c>
      <c r="F26" s="3" t="s">
        <v>2056</v>
      </c>
      <c r="G26" s="881"/>
      <c r="H26" s="881"/>
      <c r="I26" s="881"/>
      <c r="J26" s="881"/>
      <c r="K26" s="881"/>
      <c r="L26" s="881"/>
      <c r="M26" s="881"/>
      <c r="N26" s="881"/>
      <c r="O26" s="881"/>
      <c r="P26" s="881"/>
      <c r="Q26" s="881"/>
      <c r="R26" s="881"/>
      <c r="S26" s="881"/>
      <c r="T26" s="935"/>
      <c r="U26" s="935"/>
      <c r="V26" s="935"/>
      <c r="W26" s="935"/>
      <c r="X26" s="935"/>
      <c r="Y26" s="935"/>
      <c r="Z26" s="935"/>
      <c r="AA26" s="935"/>
      <c r="AB26" s="935"/>
      <c r="AC26" s="935"/>
      <c r="AD26" s="935"/>
      <c r="AE26" s="935"/>
    </row>
    <row r="27" spans="1:94">
      <c r="A27" s="664">
        <f>+ROW(InputY!A32)</f>
        <v>32</v>
      </c>
      <c r="B27" s="665" t="s">
        <v>248</v>
      </c>
      <c r="C27" s="1081" t="s">
        <v>1769</v>
      </c>
      <c r="D27" s="1178"/>
      <c r="E27" s="1179" t="s">
        <v>1445</v>
      </c>
      <c r="F27" s="1178" t="s">
        <v>2057</v>
      </c>
      <c r="G27" s="1180">
        <f>+InputY!G32/1000</f>
        <v>0.3815659260843095</v>
      </c>
      <c r="H27" s="1180">
        <f>+InputY!H32/1000</f>
        <v>0.58096263770138623</v>
      </c>
      <c r="I27" s="1180">
        <f>+InputY!I32/1000</f>
        <v>0.79030878799724424</v>
      </c>
      <c r="J27" s="1180">
        <f>+InputY!J32/1000</f>
        <v>0.94076973320196788</v>
      </c>
      <c r="K27" s="1180">
        <f>+InputY!K32/1000</f>
        <v>0.90611563093673042</v>
      </c>
      <c r="L27" s="1180">
        <f>+InputY!L32/1000</f>
        <v>0.8851872596014283</v>
      </c>
      <c r="M27" s="1180">
        <f>+InputY!M32/1000</f>
        <v>1.0908286114701735</v>
      </c>
      <c r="N27" s="1180">
        <f>+InputY!N32/1000</f>
        <v>1.2016812946178161</v>
      </c>
      <c r="O27" s="1180">
        <f>+InputY!O32/1000</f>
        <v>1.2830974019518255</v>
      </c>
      <c r="P27" s="1180">
        <f>+InputY!P32/1000</f>
        <v>1.6984300000000001</v>
      </c>
      <c r="Q27" s="1180">
        <f>+InputY!Q32/1000</f>
        <v>1.9031</v>
      </c>
      <c r="R27" s="1180">
        <f>+InputY!R32/1000</f>
        <v>2.2276199999999999</v>
      </c>
      <c r="S27" s="1180">
        <f>+InputY!S32/1000</f>
        <v>2.74457</v>
      </c>
      <c r="T27" s="1180">
        <f>+InputY!T32/1000</f>
        <v>2.2654099999999997</v>
      </c>
      <c r="U27" s="1180">
        <f>+InputY!U32/1000</f>
        <v>1.1356300000000001</v>
      </c>
      <c r="V27" s="1180">
        <f>+InputY!V32/1000</f>
        <v>1.3708499999999999</v>
      </c>
      <c r="W27" s="1180">
        <f>+InputY!W32/1000</f>
        <v>1.8692</v>
      </c>
      <c r="X27" s="1180">
        <f>+InputY!X32/1000</f>
        <v>1.9083800000000002</v>
      </c>
      <c r="Y27" s="1180">
        <f>+InputY!Y32/1000</f>
        <v>2.1440399999999999</v>
      </c>
      <c r="Z27" s="1180">
        <f>+InputY!Z32/1000</f>
        <v>2.1395</v>
      </c>
      <c r="AA27" s="1180">
        <f>+InputY!AA32/1000</f>
        <v>2.42591</v>
      </c>
      <c r="AB27" s="1180">
        <f>+InputY!AB32/1000</f>
        <v>2.64364</v>
      </c>
      <c r="AC27" s="1180">
        <f>+InputY!AC32/1000</f>
        <v>2.8781099999999999</v>
      </c>
      <c r="AD27" s="1342">
        <f t="shared" ref="AD27:AE28" ca="1" si="21">+AC27*(1+AD40/100)</f>
        <v>3.1227493499999999</v>
      </c>
      <c r="AE27" s="1342">
        <f t="shared" ca="1" si="21"/>
        <v>3.2539048227</v>
      </c>
    </row>
    <row r="28" spans="1:94">
      <c r="A28" s="664">
        <f>+ROW(InputY!A36)</f>
        <v>36</v>
      </c>
      <c r="B28" s="664" t="s">
        <v>249</v>
      </c>
      <c r="C28" s="1082" t="s">
        <v>1769</v>
      </c>
      <c r="D28" s="1181"/>
      <c r="E28" s="1182" t="s">
        <v>1446</v>
      </c>
      <c r="F28" s="1181" t="s">
        <v>743</v>
      </c>
      <c r="G28" s="1183">
        <f>InputY!G36/1000</f>
        <v>0.17870962891620323</v>
      </c>
      <c r="H28" s="1183">
        <f>InputY!H36/1000</f>
        <v>0.19122122870124314</v>
      </c>
      <c r="I28" s="1183">
        <f>InputY!I36/1000</f>
        <v>0.21354097521811696</v>
      </c>
      <c r="J28" s="1183">
        <f>InputY!J36/1000</f>
        <v>0.22079562606606054</v>
      </c>
      <c r="K28" s="1183">
        <f>InputY!K36/1000</f>
        <v>0.21328139893084769</v>
      </c>
      <c r="L28" s="1183">
        <f>InputY!L36/1000</f>
        <v>0.31682018300097692</v>
      </c>
      <c r="M28" s="1183">
        <f>InputY!M36/1000</f>
        <v>0.30222830848678722</v>
      </c>
      <c r="N28" s="1183">
        <f>InputY!N36/1000</f>
        <v>0.32762564906547426</v>
      </c>
      <c r="O28" s="1183">
        <f>InputY!O36/1000</f>
        <v>0.33537245623674344</v>
      </c>
      <c r="P28" s="1183">
        <f>InputY!P36/1000</f>
        <v>0.35443999999999998</v>
      </c>
      <c r="Q28" s="1183">
        <f>InputY!Q36/1000</f>
        <v>0.38112000000000001</v>
      </c>
      <c r="R28" s="1183">
        <f>InputY!R36/1000</f>
        <v>0.42629</v>
      </c>
      <c r="S28" s="1183">
        <f>InputY!S36/1000</f>
        <v>0.52798</v>
      </c>
      <c r="T28" s="1183">
        <f>InputY!T36/1000</f>
        <v>0.63348000000000004</v>
      </c>
      <c r="U28" s="1183">
        <f>InputY!U36/1000</f>
        <v>0.53010999999999997</v>
      </c>
      <c r="V28" s="1183">
        <f>InputY!V36/1000</f>
        <v>0.58343999999999996</v>
      </c>
      <c r="W28" s="1183">
        <f>InputY!W36/1000</f>
        <v>0.63612000000000002</v>
      </c>
      <c r="X28" s="1183">
        <f>InputY!X36/1000</f>
        <v>0.63763000000000003</v>
      </c>
      <c r="Y28" s="1183">
        <f>InputY!Y36/1000</f>
        <v>0.61253000000000002</v>
      </c>
      <c r="Z28" s="1183">
        <f>InputY!Z36/1000</f>
        <v>0.68237999999999999</v>
      </c>
      <c r="AA28" s="1183">
        <f>InputY!AA36/1000</f>
        <v>0.72344000000000008</v>
      </c>
      <c r="AB28" s="1183">
        <f>InputY!AB36/1000</f>
        <v>0.73787000000000003</v>
      </c>
      <c r="AC28" s="1183">
        <f>InputY!AC36/1000</f>
        <v>0.85201000000000005</v>
      </c>
      <c r="AD28" s="1343">
        <f t="shared" ca="1" si="21"/>
        <v>0.90483462000000014</v>
      </c>
      <c r="AE28" s="1343">
        <f t="shared" ca="1" si="21"/>
        <v>0.94555217790000012</v>
      </c>
    </row>
    <row r="29" spans="1:94">
      <c r="A29" s="664">
        <f>+ROW(InputY!A38)</f>
        <v>38</v>
      </c>
      <c r="B29" s="665" t="s">
        <v>250</v>
      </c>
      <c r="C29" s="1083" t="s">
        <v>1448</v>
      </c>
      <c r="D29" s="1176"/>
      <c r="E29" s="1462" t="s">
        <v>376</v>
      </c>
      <c r="F29" s="1459" t="s">
        <v>850</v>
      </c>
      <c r="G29" s="1184">
        <f>InputY!G38/1000</f>
        <v>1.865646436592058</v>
      </c>
      <c r="H29" s="1184">
        <f>InputY!H38/1000</f>
        <v>2.2584049991717587</v>
      </c>
      <c r="I29" s="1184">
        <f>InputY!I38/1000</f>
        <v>2.8351920988674078</v>
      </c>
      <c r="J29" s="1184">
        <f>InputY!J38/1000</f>
        <v>3.4334187190510512</v>
      </c>
      <c r="K29" s="1184">
        <f>InputY!K38/1000</f>
        <v>3.2293318550454053</v>
      </c>
      <c r="L29" s="1184">
        <f>InputY!L38/1000</f>
        <v>2.9589150459905524</v>
      </c>
      <c r="M29" s="1184">
        <f>InputY!M38/1000</f>
        <v>3.3490744830283035</v>
      </c>
      <c r="N29" s="1184">
        <f>InputY!N38/1000</f>
        <v>3.7071301482966423</v>
      </c>
      <c r="O29" s="1184">
        <f>InputY!O38/1000</f>
        <v>4.2073312057982788</v>
      </c>
      <c r="P29" s="1184">
        <f>InputY!P38/1000</f>
        <v>4.8688700000000003</v>
      </c>
      <c r="Q29" s="1184">
        <f>InputY!Q38/1000</f>
        <v>5.4274300000000002</v>
      </c>
      <c r="R29" s="1184">
        <f>InputY!R38/1000</f>
        <v>6.49085</v>
      </c>
      <c r="S29" s="1184">
        <f>InputY!S38/1000</f>
        <v>7.9405400000000004</v>
      </c>
      <c r="T29" s="1184">
        <f>InputY!T38/1000</f>
        <v>7.6232100000000003</v>
      </c>
      <c r="U29" s="1184">
        <f>InputY!U38/1000</f>
        <v>4.6575800000000003</v>
      </c>
      <c r="V29" s="1184">
        <f>InputY!V38/1000</f>
        <v>4.7263000000000002</v>
      </c>
      <c r="W29" s="1184">
        <f>InputY!W38/1000</f>
        <v>5.67849</v>
      </c>
      <c r="X29" s="1184">
        <f>InputY!X38/1000</f>
        <v>5.5775100000000002</v>
      </c>
      <c r="Y29" s="1184">
        <f>InputY!Y38/1000</f>
        <v>6.0404200000000001</v>
      </c>
      <c r="Z29" s="1184">
        <f>InputY!Z38/1000</f>
        <v>6.3878599999999999</v>
      </c>
      <c r="AA29" s="1184">
        <f>InputY!AA38/1000</f>
        <v>6.6961700000000004</v>
      </c>
      <c r="AB29" s="1184">
        <f>InputY!AB38/1000</f>
        <v>6.6646400000000003</v>
      </c>
      <c r="AC29" s="1184">
        <f>InputY!AC38/1000</f>
        <v>7.1514100000000003</v>
      </c>
      <c r="AD29" s="1464">
        <f ca="1">IF(UPPER('VVP1'!$F$2)="Y",+AC29*(1+AD42/100),+AD27+AD28+AD23)</f>
        <v>7.6349943683294992</v>
      </c>
      <c r="AE29" s="1464">
        <f ca="1">IF(UPPER('VVP1'!$F$2)="Y",+AD29*(1+AE42/100),+AE27+AE28+AE23)</f>
        <v>7.9529721587317974</v>
      </c>
    </row>
    <row r="30" spans="1:94" s="699" customFormat="1" ht="12.75" customHeight="1">
      <c r="A30" s="664"/>
      <c r="B30" s="664"/>
      <c r="C30" s="774"/>
      <c r="D30" s="1973"/>
      <c r="E30" s="1973" t="s">
        <v>737</v>
      </c>
      <c r="F30" s="1973"/>
      <c r="G30" s="1002"/>
      <c r="H30" s="1002">
        <f ca="1">ABS(IF('VVP1'!$F$2="Y",OFFSET('VVP1'!$G$65,0,5*(COLUMN()-7)+1)-OFFSET('VVP1'!$G$60,0,5*(COLUMN()-7)+1)-OFFSET('VVP1'!$G$63,0,5*(COLUMN()-7)+1)-OFFSET('VVP1'!$G$64,0,5*(COLUMN()-7)+1),ABS(H29-H23-H27-H28)))</f>
        <v>9.7144514654701197E-17</v>
      </c>
      <c r="I30" s="1002">
        <f ca="1">ABS(IF('VVP1'!$F$2="Y",OFFSET('VVP1'!$G$65,0,5*(COLUMN()-7)+1)-OFFSET('VVP1'!$G$60,0,5*(COLUMN()-7)+1)-OFFSET('VVP1'!$G$63,0,5*(COLUMN()-7)+1)-OFFSET('VVP1'!$G$64,0,5*(COLUMN()-7)+1),ABS(I29-I23-I27-I28)))</f>
        <v>1.2490009027033011E-16</v>
      </c>
      <c r="J30" s="1002">
        <f ca="1">ABS(IF('VVP1'!$F$2="Y",OFFSET('VVP1'!$G$65,0,5*(COLUMN()-7)+1)-OFFSET('VVP1'!$G$60,0,5*(COLUMN()-7)+1)-OFFSET('VVP1'!$G$63,0,5*(COLUMN()-7)+1)-OFFSET('VVP1'!$G$64,0,5*(COLUMN()-7)+1),ABS(J29-J23-J27-J28)))</f>
        <v>1.9428902930940239E-16</v>
      </c>
      <c r="K30" s="1002">
        <f ca="1">ABS(IF('VVP1'!$F$2="Y",OFFSET('VVP1'!$G$65,0,5*(COLUMN()-7)+1)-OFFSET('VVP1'!$G$60,0,5*(COLUMN()-7)+1)-OFFSET('VVP1'!$G$63,0,5*(COLUMN()-7)+1)-OFFSET('VVP1'!$G$64,0,5*(COLUMN()-7)+1),ABS(K29-K23-K27-K28)))</f>
        <v>2.0816681711721685E-16</v>
      </c>
      <c r="L30" s="1002">
        <f ca="1">ABS(IF('VVP1'!$F$2="Y",OFFSET('VVP1'!$G$65,0,5*(COLUMN()-7)+1)-OFFSET('VVP1'!$G$60,0,5*(COLUMN()-7)+1)-OFFSET('VVP1'!$G$63,0,5*(COLUMN()-7)+1)-OFFSET('VVP1'!$G$64,0,5*(COLUMN()-7)+1),ABS(L29-L23-L27-L28)))</f>
        <v>2.2204460492503131E-16</v>
      </c>
      <c r="M30" s="1002">
        <f ca="1">ABS(IF('VVP1'!$F$2="Y",OFFSET('VVP1'!$G$65,0,5*(COLUMN()-7)+1)-OFFSET('VVP1'!$G$60,0,5*(COLUMN()-7)+1)-OFFSET('VVP1'!$G$63,0,5*(COLUMN()-7)+1)-OFFSET('VVP1'!$G$64,0,5*(COLUMN()-7)+1),ABS(M29-M23-M27-M28)))</f>
        <v>1.3877787807814457E-16</v>
      </c>
      <c r="N30" s="1002">
        <f ca="1">ABS(IF('VVP1'!$F$2="Y",OFFSET('VVP1'!$G$65,0,5*(COLUMN()-7)+1)-OFFSET('VVP1'!$G$60,0,5*(COLUMN()-7)+1)-OFFSET('VVP1'!$G$63,0,5*(COLUMN()-7)+1)-OFFSET('VVP1'!$G$64,0,5*(COLUMN()-7)+1),ABS(N29-N23-N27-N28)))</f>
        <v>2.4980018054066022E-16</v>
      </c>
      <c r="O30" s="1002">
        <f ca="1">ABS(IF('VVP1'!$F$2="Y",OFFSET('VVP1'!$G$65,0,5*(COLUMN()-7)+1)-OFFSET('VVP1'!$G$60,0,5*(COLUMN()-7)+1)-OFFSET('VVP1'!$G$63,0,5*(COLUMN()-7)+1)-OFFSET('VVP1'!$G$64,0,5*(COLUMN()-7)+1),ABS(O29-O23-O27-O28)))</f>
        <v>5.5511151231257827E-17</v>
      </c>
      <c r="P30" s="1002">
        <f ca="1">ABS(IF('VVP1'!$F$2="Y",OFFSET('VVP1'!$G$65,0,5*(COLUMN()-7)+1)-OFFSET('VVP1'!$G$60,0,5*(COLUMN()-7)+1)-OFFSET('VVP1'!$G$63,0,5*(COLUMN()-7)+1)-OFFSET('VVP1'!$G$64,0,5*(COLUMN()-7)+1),ABS(P29-P23-P27-P28)))</f>
        <v>1.9428902930940239E-16</v>
      </c>
      <c r="Q30" s="1002">
        <f ca="1">ABS(IF('VVP1'!$F$2="Y",OFFSET('VVP1'!$G$65,0,5*(COLUMN()-7)+1)-OFFSET('VVP1'!$G$60,0,5*(COLUMN()-7)+1)-OFFSET('VVP1'!$G$63,0,5*(COLUMN()-7)+1)-OFFSET('VVP1'!$G$64,0,5*(COLUMN()-7)+1),ABS(Q29-Q23-Q27-Q28)))</f>
        <v>3.8857805861880479E-16</v>
      </c>
      <c r="R30" s="1002">
        <f ca="1">ABS(IF('VVP1'!$F$2="Y",OFFSET('VVP1'!$G$65,0,5*(COLUMN()-7)+1)-OFFSET('VVP1'!$G$60,0,5*(COLUMN()-7)+1)-OFFSET('VVP1'!$G$63,0,5*(COLUMN()-7)+1)-OFFSET('VVP1'!$G$64,0,5*(COLUMN()-7)+1),ABS(R29-R23-R27-R28)))</f>
        <v>3.8857805861880479E-16</v>
      </c>
      <c r="S30" s="1002">
        <f ca="1">ABS(IF('VVP1'!$F$2="Y",OFFSET('VVP1'!$G$65,0,5*(COLUMN()-7)+1)-OFFSET('VVP1'!$G$60,0,5*(COLUMN()-7)+1)-OFFSET('VVP1'!$G$63,0,5*(COLUMN()-7)+1)-OFFSET('VVP1'!$G$64,0,5*(COLUMN()-7)+1),ABS(S29-S23-S27-S28)))</f>
        <v>2.2204460492503131E-16</v>
      </c>
      <c r="T30" s="2906">
        <f ca="1">ABS(IF('VVP1'!$F$2="Y",OFFSET('VVP1'!$G$65,0,5*(COLUMN()-7)+1)-OFFSET('VVP1'!$G$60,0,5*(COLUMN()-7)+1)-OFFSET('VVP1'!$G$63,0,5*(COLUMN()-7)+1)-OFFSET('VVP1'!$G$64,0,5*(COLUMN()-7)+1),ABS(T29-T23-T27-T28)))</f>
        <v>6.6613381477509392E-16</v>
      </c>
      <c r="U30" s="2906">
        <f ca="1">ABS(IF('VVP1'!$F$2="Y",OFFSET('VVP1'!$G$65,0,5*(COLUMN()-7)+1)-OFFSET('VVP1'!$G$60,0,5*(COLUMN()-7)+1)-OFFSET('VVP1'!$G$63,0,5*(COLUMN()-7)+1)-OFFSET('VVP1'!$G$64,0,5*(COLUMN()-7)+1),ABS(U29-U23-U27-U28)))</f>
        <v>1.1102230246251565E-16</v>
      </c>
      <c r="V30" s="2906">
        <f ca="1">ABS(IF('VVP1'!$F$2="Y",OFFSET('VVP1'!$G$65,0,5*(COLUMN()-7)+1)-OFFSET('VVP1'!$G$60,0,5*(COLUMN()-7)+1)-OFFSET('VVP1'!$G$63,0,5*(COLUMN()-7)+1)-OFFSET('VVP1'!$G$64,0,5*(COLUMN()-7)+1),ABS(V29-V23-V27-V28)))</f>
        <v>5.5511151231257827E-16</v>
      </c>
      <c r="W30" s="2906">
        <f ca="1">ABS(IF('VVP1'!$F$2="Y",OFFSET('VVP1'!$G$65,0,5*(COLUMN()-7)+1)-OFFSET('VVP1'!$G$60,0,5*(COLUMN()-7)+1)-OFFSET('VVP1'!$G$63,0,5*(COLUMN()-7)+1)-OFFSET('VVP1'!$G$64,0,5*(COLUMN()-7)+1),ABS(W29-W23-W27-W28)))</f>
        <v>1.1102230246251565E-16</v>
      </c>
      <c r="X30" s="2906">
        <f ca="1">ABS(IF('VVP1'!$F$2="Y",OFFSET('VVP1'!$G$65,0,5*(COLUMN()-7)+1)-OFFSET('VVP1'!$G$60,0,5*(COLUMN()-7)+1)-OFFSET('VVP1'!$G$63,0,5*(COLUMN()-7)+1)-OFFSET('VVP1'!$G$64,0,5*(COLUMN()-7)+1),ABS(X29-X23-X27-X28)))</f>
        <v>2.2204460492503131E-16</v>
      </c>
      <c r="Y30" s="2906">
        <f ca="1">ABS(IF('VVP1'!$F$2="Y",OFFSET('VVP1'!$G$65,0,5*(COLUMN()-7)+1)-OFFSET('VVP1'!$G$60,0,5*(COLUMN()-7)+1)-OFFSET('VVP1'!$G$63,0,5*(COLUMN()-7)+1)-OFFSET('VVP1'!$G$64,0,5*(COLUMN()-7)+1),ABS(Y29-Y23-Y27-Y28)))</f>
        <v>4.4408920985006262E-16</v>
      </c>
      <c r="Z30" s="2906">
        <f ca="1">ABS(IF('VVP1'!$F$2="Y",OFFSET('VVP1'!$G$65,0,5*(COLUMN()-7)+1)-OFFSET('VVP1'!$G$60,0,5*(COLUMN()-7)+1)-OFFSET('VVP1'!$G$63,0,5*(COLUMN()-7)+1)-OFFSET('VVP1'!$G$64,0,5*(COLUMN()-7)+1),ABS(Z29-Z23-Z27-Z28)))</f>
        <v>0</v>
      </c>
      <c r="AA30" s="2906">
        <f ca="1">ABS(IF('VVP1'!$F$2="Y",OFFSET('VVP1'!$G$65,0,5*(COLUMN()-7)+1)-OFFSET('VVP1'!$G$60,0,5*(COLUMN()-7)+1)-OFFSET('VVP1'!$G$63,0,5*(COLUMN()-7)+1)-OFFSET('VVP1'!$G$64,0,5*(COLUMN()-7)+1),ABS(AA29-AA23-AA27-AA28)))</f>
        <v>1.1102230246251565E-16</v>
      </c>
      <c r="AB30" s="2906">
        <f ca="1">ABS(IF('VVP1'!$F$2="Y",OFFSET('VVP1'!$G$65,0,5*(COLUMN()-7)+1)-OFFSET('VVP1'!$G$60,0,5*(COLUMN()-7)+1)-OFFSET('VVP1'!$G$63,0,5*(COLUMN()-7)+1)-OFFSET('VVP1'!$G$64,0,5*(COLUMN()-7)+1),ABS(AB29-AB23-AB27-AB28)))</f>
        <v>2.2204460492503131E-16</v>
      </c>
      <c r="AC30" s="2906">
        <f ca="1">ABS(IF('VVP1'!$F$2="Y",OFFSET('VVP1'!$G$65,0,5*(COLUMN()-7)+1)-OFFSET('VVP1'!$G$60,0,5*(COLUMN()-7)+1)-OFFSET('VVP1'!$G$63,0,5*(COLUMN()-7)+1)-OFFSET('VVP1'!$G$64,0,5*(COLUMN()-7)+1),ABS(AC29-AC23-AC27-AC28)))</f>
        <v>0</v>
      </c>
      <c r="AD30" s="2906">
        <f ca="1">ABS(IF('VVP1'!$F$2="Y",OFFSET('VVP1'!$G$65,0,5*(COLUMN()-7)+1)-OFFSET('VVP1'!$G$60,0,5*(COLUMN()-7)+1)-OFFSET('VVP1'!$G$63,0,5*(COLUMN()-7)+1)-OFFSET('VVP1'!$G$64,0,5*(COLUMN()-7)+1),ABS(AD29-AD23-AD27-AD28)))</f>
        <v>1.1102230246251565E-16</v>
      </c>
      <c r="AE30" s="2906">
        <f ca="1">ABS(IF('VVP1'!$F$2="Y",OFFSET('VVP1'!$G$65,0,5*(COLUMN()-7)+1)-OFFSET('VVP1'!$G$60,0,5*(COLUMN()-7)+1)-OFFSET('VVP1'!$G$63,0,5*(COLUMN()-7)+1)-OFFSET('VVP1'!$G$64,0,5*(COLUMN()-7)+1),ABS(AE29-AE23-AE27-AE28)))</f>
        <v>8.8817841970012523E-16</v>
      </c>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row>
    <row r="31" spans="1:94">
      <c r="AB31" s="557"/>
      <c r="AC31" s="557"/>
      <c r="AD31" s="557"/>
      <c r="AE31" s="557"/>
    </row>
    <row r="32" spans="1:94" s="699" customFormat="1" ht="12.75" customHeight="1">
      <c r="A32" s="664"/>
      <c r="B32" s="664"/>
      <c r="C32" s="774"/>
      <c r="D32" s="1092"/>
      <c r="E32" s="1093" t="s">
        <v>1586</v>
      </c>
      <c r="F32" s="744"/>
      <c r="G32" s="745">
        <f>+InputY!$G$3</f>
        <v>1995</v>
      </c>
      <c r="H32" s="745">
        <f>+G32+1</f>
        <v>1996</v>
      </c>
      <c r="I32" s="745">
        <f t="shared" ref="I32:O32" si="22">+H32+1</f>
        <v>1997</v>
      </c>
      <c r="J32" s="745">
        <f t="shared" si="22"/>
        <v>1998</v>
      </c>
      <c r="K32" s="745">
        <f t="shared" si="22"/>
        <v>1999</v>
      </c>
      <c r="L32" s="745">
        <f t="shared" si="22"/>
        <v>2000</v>
      </c>
      <c r="M32" s="745">
        <f t="shared" si="22"/>
        <v>2001</v>
      </c>
      <c r="N32" s="745">
        <f t="shared" si="22"/>
        <v>2002</v>
      </c>
      <c r="O32" s="745">
        <f t="shared" si="22"/>
        <v>2003</v>
      </c>
      <c r="P32" s="745">
        <f t="shared" ref="P32:V32" si="23">+O32+1</f>
        <v>2004</v>
      </c>
      <c r="Q32" s="745">
        <f t="shared" si="23"/>
        <v>2005</v>
      </c>
      <c r="R32" s="745">
        <f t="shared" si="23"/>
        <v>2006</v>
      </c>
      <c r="S32" s="745">
        <f>+R32+1</f>
        <v>2007</v>
      </c>
      <c r="T32" s="745">
        <f t="shared" si="23"/>
        <v>2008</v>
      </c>
      <c r="U32" s="745">
        <f t="shared" si="23"/>
        <v>2009</v>
      </c>
      <c r="V32" s="745">
        <f t="shared" si="23"/>
        <v>2010</v>
      </c>
      <c r="W32" s="745">
        <f t="shared" ref="W32:AE32" si="24">+V32+1</f>
        <v>2011</v>
      </c>
      <c r="X32" s="745">
        <f t="shared" si="24"/>
        <v>2012</v>
      </c>
      <c r="Y32" s="745">
        <f t="shared" si="24"/>
        <v>2013</v>
      </c>
      <c r="Z32" s="745">
        <f t="shared" si="24"/>
        <v>2014</v>
      </c>
      <c r="AA32" s="745">
        <f t="shared" si="24"/>
        <v>2015</v>
      </c>
      <c r="AB32" s="745">
        <f t="shared" si="24"/>
        <v>2016</v>
      </c>
      <c r="AC32" s="745">
        <f t="shared" si="24"/>
        <v>2017</v>
      </c>
      <c r="AD32" s="745">
        <f t="shared" si="24"/>
        <v>2018</v>
      </c>
      <c r="AE32" s="745">
        <f t="shared" si="24"/>
        <v>2019</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row>
    <row r="33" spans="1:94" s="699" customFormat="1" ht="12.75" customHeight="1">
      <c r="A33" s="664"/>
      <c r="B33" s="664"/>
      <c r="C33" s="794" t="s">
        <v>1767</v>
      </c>
      <c r="D33" s="689" t="s">
        <v>687</v>
      </c>
      <c r="E33" s="738" t="s">
        <v>644</v>
      </c>
      <c r="F33" s="704" t="s">
        <v>2051</v>
      </c>
      <c r="G33" s="881"/>
      <c r="H33" s="881"/>
      <c r="I33" s="881"/>
      <c r="J33" s="881"/>
      <c r="K33" s="881"/>
      <c r="L33" s="881"/>
      <c r="M33" s="881"/>
      <c r="N33" s="881"/>
      <c r="O33" s="881"/>
      <c r="P33" s="881"/>
      <c r="Q33" s="881"/>
      <c r="R33" s="881"/>
      <c r="S33" s="881"/>
      <c r="T33" s="935"/>
      <c r="U33" s="935"/>
      <c r="V33" s="935"/>
      <c r="W33" s="935"/>
      <c r="X33" s="935"/>
      <c r="Y33" s="935"/>
      <c r="Z33" s="935"/>
      <c r="AA33" s="935"/>
      <c r="AB33" s="935"/>
      <c r="AC33" s="935"/>
      <c r="AD33" s="935"/>
      <c r="AE33" s="935"/>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row>
    <row r="34" spans="1:94">
      <c r="A34" s="664"/>
      <c r="B34" s="664"/>
      <c r="C34" s="1100" t="s">
        <v>1767</v>
      </c>
      <c r="D34" s="1070" t="s">
        <v>1447</v>
      </c>
      <c r="E34" s="1" t="s">
        <v>644</v>
      </c>
      <c r="F34" s="1070" t="s">
        <v>2052</v>
      </c>
      <c r="G34" s="881"/>
      <c r="H34" s="881"/>
      <c r="I34" s="881"/>
      <c r="J34" s="881"/>
      <c r="K34" s="881"/>
      <c r="L34" s="881"/>
      <c r="M34" s="881"/>
      <c r="N34" s="881"/>
      <c r="O34" s="881"/>
      <c r="P34" s="881"/>
      <c r="Q34" s="881"/>
      <c r="R34" s="881"/>
      <c r="S34" s="881"/>
      <c r="T34" s="935"/>
      <c r="U34" s="935"/>
      <c r="V34" s="935"/>
      <c r="W34" s="935"/>
      <c r="X34" s="935"/>
      <c r="Y34" s="935"/>
      <c r="Z34" s="935"/>
      <c r="AA34" s="935"/>
      <c r="AB34" s="935"/>
      <c r="AC34" s="935"/>
      <c r="AD34" s="935"/>
      <c r="AE34" s="935"/>
    </row>
    <row r="35" spans="1:94">
      <c r="A35" s="1130"/>
      <c r="C35" s="1100" t="s">
        <v>1769</v>
      </c>
      <c r="D35" s="1111"/>
      <c r="E35" s="1112" t="s">
        <v>644</v>
      </c>
      <c r="F35" s="1111" t="s">
        <v>2053</v>
      </c>
      <c r="G35" s="1113"/>
      <c r="H35" s="1113">
        <f>(H21/G21-1)*100</f>
        <v>2.322935357477296</v>
      </c>
      <c r="I35" s="1113">
        <f t="shared" ref="I35:T35" si="25">(I21/H21-1)*100</f>
        <v>25.568572516800891</v>
      </c>
      <c r="J35" s="1113">
        <f t="shared" si="25"/>
        <v>28.92657713502831</v>
      </c>
      <c r="K35" s="1113">
        <f t="shared" si="25"/>
        <v>-9.5081925797033779</v>
      </c>
      <c r="L35" s="1113">
        <f t="shared" si="25"/>
        <v>-20.686442156691676</v>
      </c>
      <c r="M35" s="1113">
        <f t="shared" si="25"/>
        <v>11.24594650486419</v>
      </c>
      <c r="N35" s="1113">
        <f t="shared" si="25"/>
        <v>15.105880584736099</v>
      </c>
      <c r="O35" s="1113">
        <f t="shared" si="25"/>
        <v>20.486763141934784</v>
      </c>
      <c r="P35" s="1113">
        <f t="shared" si="25"/>
        <v>-2.1405223087823555</v>
      </c>
      <c r="Q35" s="1113">
        <f t="shared" si="25"/>
        <v>13.878813105785825</v>
      </c>
      <c r="R35" s="1113">
        <f t="shared" si="25"/>
        <v>22.210701418053503</v>
      </c>
      <c r="S35" s="1113">
        <f t="shared" si="25"/>
        <v>22.818191806240542</v>
      </c>
      <c r="T35" s="1113">
        <f t="shared" si="25"/>
        <v>-3.9400543198709892</v>
      </c>
      <c r="U35" s="1113">
        <f t="shared" ref="U35:AC35" si="26">(U21/T21-1)*100</f>
        <v>-44.441828881846988</v>
      </c>
      <c r="V35" s="1113">
        <f t="shared" si="26"/>
        <v>1.684095840278621</v>
      </c>
      <c r="W35" s="1113">
        <f t="shared" si="26"/>
        <v>18.105599589726683</v>
      </c>
      <c r="X35" s="1113">
        <f t="shared" si="26"/>
        <v>-5.8693764247941367</v>
      </c>
      <c r="Y35" s="1113">
        <f t="shared" si="26"/>
        <v>7.1093482925784546</v>
      </c>
      <c r="Z35" s="1113">
        <f t="shared" si="26"/>
        <v>6.2033270013151176</v>
      </c>
      <c r="AA35" s="1113">
        <f t="shared" si="26"/>
        <v>-4.1921024237289384</v>
      </c>
      <c r="AB35" s="1113">
        <f t="shared" si="26"/>
        <v>-11.24833716289757</v>
      </c>
      <c r="AC35" s="1113">
        <f t="shared" si="26"/>
        <v>8.5810154826182483</v>
      </c>
      <c r="AD35" s="1423">
        <f ca="1">OFFSET('VVP1'!$G$58,0,5*(COLUMN()-7))</f>
        <v>6.5</v>
      </c>
      <c r="AE35" s="1423">
        <f ca="1">OFFSET('VVP1'!$G$58,0,5*(COLUMN()-7))</f>
        <v>4.9000000000000004</v>
      </c>
    </row>
    <row r="36" spans="1:94">
      <c r="A36" s="664"/>
      <c r="B36" s="664"/>
      <c r="C36" s="1100" t="s">
        <v>1767</v>
      </c>
      <c r="D36" s="3"/>
      <c r="E36" s="1" t="s">
        <v>1443</v>
      </c>
      <c r="F36" s="3" t="s">
        <v>2054</v>
      </c>
      <c r="G36" s="1062"/>
      <c r="H36" s="1062">
        <f>(H22/G22-1)*100</f>
        <v>1.1255694237329861</v>
      </c>
      <c r="I36" s="1062">
        <f t="shared" ref="I36:AC36" si="27">(I22/H22-1)*100</f>
        <v>-11.288986748545582</v>
      </c>
      <c r="J36" s="1062">
        <f t="shared" si="27"/>
        <v>-6.394097755917616</v>
      </c>
      <c r="K36" s="1062">
        <f t="shared" si="27"/>
        <v>5.8128078817734075</v>
      </c>
      <c r="L36" s="1062">
        <f t="shared" si="27"/>
        <v>9.3362760650159693</v>
      </c>
      <c r="M36" s="1062">
        <f t="shared" si="27"/>
        <v>-3.5588123974935826</v>
      </c>
      <c r="N36" s="1062">
        <f t="shared" si="27"/>
        <v>-10.280057995661219</v>
      </c>
      <c r="O36" s="1062">
        <f t="shared" si="27"/>
        <v>14.389861605569809</v>
      </c>
      <c r="P36" s="1062">
        <f t="shared" si="27"/>
        <v>66.597574321806931</v>
      </c>
      <c r="Q36" s="1062">
        <f t="shared" si="27"/>
        <v>-2.1131089595782804E-2</v>
      </c>
      <c r="R36" s="1062">
        <f t="shared" si="27"/>
        <v>21.172062638101629</v>
      </c>
      <c r="S36" s="1062">
        <f t="shared" si="27"/>
        <v>14.878536090320949</v>
      </c>
      <c r="T36" s="1062">
        <f t="shared" si="27"/>
        <v>24.314326335113922</v>
      </c>
      <c r="U36" s="1062">
        <f t="shared" si="27"/>
        <v>-7.1706157980058194</v>
      </c>
      <c r="V36" s="1062">
        <f t="shared" si="27"/>
        <v>-29.656475766709722</v>
      </c>
      <c r="W36" s="1062">
        <f t="shared" si="27"/>
        <v>0.97942526781158445</v>
      </c>
      <c r="X36" s="1062">
        <f t="shared" si="27"/>
        <v>2.2547401744518636</v>
      </c>
      <c r="Y36" s="1062">
        <f t="shared" si="27"/>
        <v>11.5240839851791</v>
      </c>
      <c r="Z36" s="1062">
        <f t="shared" si="27"/>
        <v>16.917443113860877</v>
      </c>
      <c r="AA36" s="1062">
        <f t="shared" si="27"/>
        <v>14.887597878252091</v>
      </c>
      <c r="AB36" s="1062">
        <f t="shared" si="27"/>
        <v>6.7760091460733696</v>
      </c>
      <c r="AC36" s="1062">
        <f t="shared" si="27"/>
        <v>-4.6091916155335149</v>
      </c>
      <c r="AD36" s="1423">
        <f ca="1">OFFSET('VVP1'!$G$59,0,5*(COLUMN()-7))</f>
        <v>3.5</v>
      </c>
      <c r="AE36" s="1423">
        <f ca="1">OFFSET('VVP1'!$G$59,0,5*(COLUMN()-7))</f>
        <v>1.8</v>
      </c>
    </row>
    <row r="37" spans="1:94">
      <c r="A37" s="1130"/>
      <c r="C37" s="979" t="s">
        <v>1769</v>
      </c>
      <c r="D37" s="1101"/>
      <c r="E37" s="1469" t="s">
        <v>1444</v>
      </c>
      <c r="F37" s="1101" t="s">
        <v>1306</v>
      </c>
      <c r="G37" s="1103"/>
      <c r="H37" s="1103">
        <f>(H23/G23-1)*100</f>
        <v>2.0956266614632346</v>
      </c>
      <c r="I37" s="1103">
        <f t="shared" ref="I37:AC37" si="28">(I23/H23-1)*100</f>
        <v>18.53523258332952</v>
      </c>
      <c r="J37" s="1103">
        <f t="shared" si="28"/>
        <v>23.745739419534573</v>
      </c>
      <c r="K37" s="1103">
        <f t="shared" si="28"/>
        <v>-7.7827887538057139</v>
      </c>
      <c r="L37" s="1103">
        <f t="shared" si="28"/>
        <v>-16.786978888941341</v>
      </c>
      <c r="M37" s="1103">
        <f t="shared" si="28"/>
        <v>8.7285844414662463</v>
      </c>
      <c r="N37" s="1103">
        <f t="shared" si="28"/>
        <v>11.30167842560963</v>
      </c>
      <c r="O37" s="1103">
        <f t="shared" si="28"/>
        <v>19.747935854732603</v>
      </c>
      <c r="P37" s="1103">
        <f t="shared" si="28"/>
        <v>5.8303062805155959</v>
      </c>
      <c r="Q37" s="1103">
        <f t="shared" si="28"/>
        <v>11.323411986922505</v>
      </c>
      <c r="R37" s="1103">
        <f t="shared" si="28"/>
        <v>22.037645468789147</v>
      </c>
      <c r="S37" s="1103">
        <f t="shared" si="28"/>
        <v>21.493248363805218</v>
      </c>
      <c r="T37" s="1103">
        <f t="shared" si="28"/>
        <v>0.62409770324216574</v>
      </c>
      <c r="U37" s="1103">
        <f t="shared" si="28"/>
        <v>-37.006579121244009</v>
      </c>
      <c r="V37" s="1103">
        <f t="shared" si="28"/>
        <v>-7.1452653086020561</v>
      </c>
      <c r="W37" s="1103">
        <f t="shared" si="28"/>
        <v>14.472170013816665</v>
      </c>
      <c r="X37" s="1103">
        <f t="shared" si="28"/>
        <v>-4.3509722108421078</v>
      </c>
      <c r="Y37" s="1103">
        <f t="shared" si="28"/>
        <v>7.9870704901139344</v>
      </c>
      <c r="Z37" s="1103">
        <f t="shared" si="28"/>
        <v>8.41088491243287</v>
      </c>
      <c r="AA37" s="1103">
        <f t="shared" si="28"/>
        <v>8.3072391242722254E-2</v>
      </c>
      <c r="AB37" s="1103">
        <f t="shared" si="28"/>
        <v>-6.6149117073220909</v>
      </c>
      <c r="AC37" s="1103">
        <f t="shared" si="28"/>
        <v>4.5363542535512336</v>
      </c>
      <c r="AD37" s="1465">
        <f ca="1">IF(UPPER('VVP1'!$F$2)="Y",OFFSET('VVP1'!$G$60,0,5*(COLUMN()-7)),('VVP2'!AD23/'VVP2'!AC23-1)*100)</f>
        <v>5.6757013314071347</v>
      </c>
      <c r="AE37" s="1465">
        <f ca="1">IF(UPPER('VVP1'!$F$2)="Y",OFFSET('VVP1'!$G$60,0,5*(COLUMN()-7)),('VVP2'!AE23/'VVP2'!AD23-1)*100)</f>
        <v>4.065761461761852</v>
      </c>
    </row>
    <row r="38" spans="1:94">
      <c r="A38" s="1130"/>
      <c r="C38" s="1104" t="s">
        <v>1767</v>
      </c>
      <c r="D38" s="1105" t="s">
        <v>687</v>
      </c>
      <c r="E38" s="1106" t="s">
        <v>1445</v>
      </c>
      <c r="F38" s="1105" t="s">
        <v>2055</v>
      </c>
      <c r="G38" s="987"/>
      <c r="H38" s="987"/>
      <c r="I38" s="987"/>
      <c r="J38" s="987"/>
      <c r="K38" s="987"/>
      <c r="L38" s="987"/>
      <c r="M38" s="987"/>
      <c r="N38" s="987"/>
      <c r="O38" s="987"/>
      <c r="P38" s="987"/>
      <c r="Q38" s="987"/>
      <c r="R38" s="987"/>
      <c r="S38" s="987"/>
      <c r="T38" s="988"/>
      <c r="U38" s="988"/>
      <c r="V38" s="988"/>
      <c r="W38" s="988"/>
      <c r="X38" s="988"/>
      <c r="Y38" s="988"/>
      <c r="Z38" s="988"/>
      <c r="AA38" s="988"/>
      <c r="AB38" s="988"/>
      <c r="AC38" s="988"/>
      <c r="AD38" s="988"/>
      <c r="AE38" s="988"/>
    </row>
    <row r="39" spans="1:94">
      <c r="A39" s="1130"/>
      <c r="C39" s="1100" t="s">
        <v>1767</v>
      </c>
      <c r="D39" s="1070" t="s">
        <v>1447</v>
      </c>
      <c r="E39" s="1" t="s">
        <v>1445</v>
      </c>
      <c r="F39" s="3" t="s">
        <v>2056</v>
      </c>
      <c r="G39" s="881"/>
      <c r="H39" s="881"/>
      <c r="I39" s="881"/>
      <c r="J39" s="881"/>
      <c r="K39" s="881"/>
      <c r="L39" s="881"/>
      <c r="M39" s="881"/>
      <c r="N39" s="881"/>
      <c r="O39" s="881"/>
      <c r="P39" s="881"/>
      <c r="Q39" s="881"/>
      <c r="R39" s="881"/>
      <c r="S39" s="881"/>
      <c r="T39" s="935"/>
      <c r="U39" s="935"/>
      <c r="V39" s="935"/>
      <c r="W39" s="935"/>
      <c r="X39" s="935"/>
      <c r="Y39" s="935"/>
      <c r="Z39" s="935"/>
      <c r="AA39" s="935"/>
      <c r="AB39" s="935"/>
      <c r="AC39" s="935"/>
      <c r="AD39" s="935"/>
      <c r="AE39" s="935"/>
    </row>
    <row r="40" spans="1:94">
      <c r="A40" s="1130"/>
      <c r="C40" s="979" t="s">
        <v>1769</v>
      </c>
      <c r="D40" s="1101"/>
      <c r="E40" s="1102" t="s">
        <v>1445</v>
      </c>
      <c r="F40" s="1101" t="s">
        <v>2057</v>
      </c>
      <c r="G40" s="1103"/>
      <c r="H40" s="1103">
        <f>(H27/G27-1)*100</f>
        <v>52.257473213952196</v>
      </c>
      <c r="I40" s="1103">
        <f t="shared" ref="I40:AC40" si="29">(I27/H27-1)*100</f>
        <v>36.034356894988747</v>
      </c>
      <c r="J40" s="1103">
        <f t="shared" si="29"/>
        <v>19.038247769712036</v>
      </c>
      <c r="K40" s="1103">
        <f t="shared" si="29"/>
        <v>-3.6835902604232529</v>
      </c>
      <c r="L40" s="1103">
        <f t="shared" si="29"/>
        <v>-2.309679981313939</v>
      </c>
      <c r="M40" s="1103">
        <f t="shared" si="29"/>
        <v>23.231395350328366</v>
      </c>
      <c r="N40" s="1103">
        <f t="shared" si="29"/>
        <v>10.162245652709823</v>
      </c>
      <c r="O40" s="1103">
        <f t="shared" si="29"/>
        <v>6.7751830455098361</v>
      </c>
      <c r="P40" s="1103">
        <f t="shared" si="29"/>
        <v>32.369529968370124</v>
      </c>
      <c r="Q40" s="1103">
        <f t="shared" si="29"/>
        <v>12.050540793556387</v>
      </c>
      <c r="R40" s="1103">
        <f t="shared" si="29"/>
        <v>17.052178025327102</v>
      </c>
      <c r="S40" s="1103">
        <f t="shared" si="29"/>
        <v>23.206381698853495</v>
      </c>
      <c r="T40" s="1103">
        <f t="shared" si="29"/>
        <v>-17.458472547612203</v>
      </c>
      <c r="U40" s="1103">
        <f t="shared" si="29"/>
        <v>-49.870884299089333</v>
      </c>
      <c r="V40" s="1103">
        <f t="shared" si="29"/>
        <v>20.712732139869484</v>
      </c>
      <c r="W40" s="1103">
        <f t="shared" si="29"/>
        <v>36.353357405988994</v>
      </c>
      <c r="X40" s="1103">
        <f t="shared" si="29"/>
        <v>2.0960838861545206</v>
      </c>
      <c r="Y40" s="1103">
        <f t="shared" si="29"/>
        <v>12.348693656399657</v>
      </c>
      <c r="Z40" s="1103">
        <f t="shared" si="29"/>
        <v>-0.21174978078767337</v>
      </c>
      <c r="AA40" s="1103">
        <f t="shared" si="29"/>
        <v>13.386772610423003</v>
      </c>
      <c r="AB40" s="1103">
        <f t="shared" si="29"/>
        <v>8.9751886920784294</v>
      </c>
      <c r="AC40" s="1103">
        <f t="shared" si="29"/>
        <v>8.8692106338230658</v>
      </c>
      <c r="AD40" s="1424">
        <f ca="1">OFFSET('VVP1'!$G$63,0,5*(COLUMN()-7))</f>
        <v>8.5</v>
      </c>
      <c r="AE40" s="1424">
        <f ca="1">OFFSET('VVP1'!$G$63,0,5*(COLUMN()-7))</f>
        <v>4.2</v>
      </c>
    </row>
    <row r="41" spans="1:94">
      <c r="A41" s="664"/>
      <c r="B41" s="664"/>
      <c r="C41" s="1107" t="s">
        <v>1769</v>
      </c>
      <c r="D41" s="1108"/>
      <c r="E41" s="1109" t="s">
        <v>1446</v>
      </c>
      <c r="F41" s="1108" t="s">
        <v>743</v>
      </c>
      <c r="G41" s="1110"/>
      <c r="H41" s="1110">
        <f>(H28/G28-1)*100</f>
        <v>7.0010775921349966</v>
      </c>
      <c r="I41" s="1110">
        <f t="shared" ref="I41:AC41" si="30">(I28/H28-1)*100</f>
        <v>11.672211641179953</v>
      </c>
      <c r="J41" s="1110">
        <f t="shared" si="30"/>
        <v>3.3973109097837018</v>
      </c>
      <c r="K41" s="1110">
        <f t="shared" si="30"/>
        <v>-3.4032499959780194</v>
      </c>
      <c r="L41" s="1110">
        <f t="shared" si="30"/>
        <v>48.545623101290538</v>
      </c>
      <c r="M41" s="1110">
        <f t="shared" si="30"/>
        <v>-4.6057275694915916</v>
      </c>
      <c r="N41" s="1110">
        <f t="shared" si="30"/>
        <v>8.4033625790541642</v>
      </c>
      <c r="O41" s="1110">
        <f t="shared" si="30"/>
        <v>2.3645301255766471</v>
      </c>
      <c r="P41" s="1110">
        <f t="shared" si="30"/>
        <v>5.6854829335765578</v>
      </c>
      <c r="Q41" s="1110">
        <f t="shared" si="30"/>
        <v>7.527367114321204</v>
      </c>
      <c r="R41" s="1110">
        <f t="shared" si="30"/>
        <v>11.851910159529799</v>
      </c>
      <c r="S41" s="1110">
        <f t="shared" si="30"/>
        <v>23.854652935794874</v>
      </c>
      <c r="T41" s="1110">
        <f t="shared" si="30"/>
        <v>19.981817493086872</v>
      </c>
      <c r="U41" s="1110">
        <f t="shared" si="30"/>
        <v>-16.317800088400592</v>
      </c>
      <c r="V41" s="1110">
        <f t="shared" si="30"/>
        <v>10.060176189847381</v>
      </c>
      <c r="W41" s="1110">
        <f t="shared" si="30"/>
        <v>9.0292060880296177</v>
      </c>
      <c r="X41" s="1110">
        <f t="shared" si="30"/>
        <v>0.23737659561089419</v>
      </c>
      <c r="Y41" s="1110">
        <f t="shared" si="30"/>
        <v>-3.9364521744585379</v>
      </c>
      <c r="Z41" s="1110">
        <f t="shared" si="30"/>
        <v>11.403523092746482</v>
      </c>
      <c r="AA41" s="1110">
        <f t="shared" si="30"/>
        <v>6.0171751809842133</v>
      </c>
      <c r="AB41" s="1110">
        <f t="shared" si="30"/>
        <v>1.9946367355965888</v>
      </c>
      <c r="AC41" s="1110">
        <f t="shared" si="30"/>
        <v>15.468849526339334</v>
      </c>
      <c r="AD41" s="1425">
        <f ca="1">OFFSET('VVP1'!$G$64,0,5*(COLUMN()-7))</f>
        <v>6.2</v>
      </c>
      <c r="AE41" s="1425">
        <f ca="1">OFFSET('VVP1'!$G$64,0,5*(COLUMN()-7))</f>
        <v>4.5</v>
      </c>
    </row>
    <row r="42" spans="1:94">
      <c r="A42" s="1130"/>
      <c r="C42" s="1083" t="s">
        <v>1448</v>
      </c>
      <c r="D42" s="1097"/>
      <c r="E42" s="1470" t="s">
        <v>376</v>
      </c>
      <c r="F42" s="1097" t="s">
        <v>850</v>
      </c>
      <c r="G42" s="1099"/>
      <c r="H42" s="1099">
        <f>(H29/G29-1)*100</f>
        <v>21.052143368447961</v>
      </c>
      <c r="I42" s="1099">
        <f t="shared" ref="I42:AC42" si="31">(I29/H29-1)*100</f>
        <v>25.539577706707984</v>
      </c>
      <c r="J42" s="1099">
        <f t="shared" si="31"/>
        <v>21.100038350932927</v>
      </c>
      <c r="K42" s="1099">
        <f t="shared" si="31"/>
        <v>-5.9441297641102402</v>
      </c>
      <c r="L42" s="1099">
        <f t="shared" si="31"/>
        <v>-8.3737695967158743</v>
      </c>
      <c r="M42" s="1099">
        <f t="shared" si="31"/>
        <v>13.18589520055442</v>
      </c>
      <c r="N42" s="1099">
        <f t="shared" si="31"/>
        <v>10.691182506773567</v>
      </c>
      <c r="O42" s="1099">
        <f t="shared" si="31"/>
        <v>13.492945688229208</v>
      </c>
      <c r="P42" s="1099">
        <f t="shared" si="31"/>
        <v>15.723477944641729</v>
      </c>
      <c r="Q42" s="1099">
        <f t="shared" si="31"/>
        <v>11.472066413767458</v>
      </c>
      <c r="R42" s="1099">
        <f t="shared" si="31"/>
        <v>19.593435567110017</v>
      </c>
      <c r="S42" s="1099">
        <f t="shared" si="31"/>
        <v>22.334362987898349</v>
      </c>
      <c r="T42" s="1099">
        <f t="shared" si="31"/>
        <v>-3.9963277056724089</v>
      </c>
      <c r="U42" s="1099">
        <f>(U29/T29-1)*100</f>
        <v>-38.902640751074678</v>
      </c>
      <c r="V42" s="1099">
        <f t="shared" si="31"/>
        <v>1.4754443294586528</v>
      </c>
      <c r="W42" s="1099">
        <f t="shared" si="31"/>
        <v>20.146626325032258</v>
      </c>
      <c r="X42" s="1099">
        <f t="shared" si="31"/>
        <v>-1.7782896509459301</v>
      </c>
      <c r="Y42" s="1099">
        <f t="shared" si="31"/>
        <v>8.2995817129866154</v>
      </c>
      <c r="Z42" s="1099">
        <f t="shared" si="31"/>
        <v>5.75191791299281</v>
      </c>
      <c r="AA42" s="1099">
        <f t="shared" si="31"/>
        <v>4.8264990153196852</v>
      </c>
      <c r="AB42" s="1099">
        <f t="shared" si="31"/>
        <v>-0.47086618171282568</v>
      </c>
      <c r="AC42" s="1099">
        <f t="shared" si="31"/>
        <v>7.3037703461852344</v>
      </c>
      <c r="AD42" s="1466">
        <f ca="1">IF(UPPER('VVP1'!$F$2)="Y",OFFSET('VVP1'!$G$65,0,5*(COLUMN()-7)),('VVP2'!AD29/'VVP2'!AC29-1)*100)</f>
        <v>6.762084236947663</v>
      </c>
      <c r="AE42" s="1466">
        <f ca="1">IF(UPPER('VVP1'!$F$2)="Y",OFFSET('VVP1'!$G$65,0,5*(COLUMN()-7)),('VVP2'!AE29/'VVP2'!AD29-1)*100)</f>
        <v>4.1647416495982359</v>
      </c>
    </row>
    <row r="43" spans="1:94">
      <c r="AB43" s="557"/>
      <c r="AC43" s="557"/>
      <c r="AD43" s="557"/>
      <c r="AE43" s="557"/>
    </row>
    <row r="44" spans="1:94">
      <c r="A44" s="1130"/>
      <c r="D44" s="1175"/>
      <c r="E44" s="1129" t="s">
        <v>498</v>
      </c>
      <c r="F44" s="1176"/>
      <c r="G44" s="707">
        <f>+InputY!$G$3</f>
        <v>1995</v>
      </c>
      <c r="H44" s="707">
        <f>+G44+1</f>
        <v>1996</v>
      </c>
      <c r="I44" s="707">
        <f t="shared" ref="I44:O44" si="32">+H44+1</f>
        <v>1997</v>
      </c>
      <c r="J44" s="707">
        <f t="shared" si="32"/>
        <v>1998</v>
      </c>
      <c r="K44" s="707">
        <f t="shared" si="32"/>
        <v>1999</v>
      </c>
      <c r="L44" s="707">
        <f t="shared" si="32"/>
        <v>2000</v>
      </c>
      <c r="M44" s="707">
        <f t="shared" si="32"/>
        <v>2001</v>
      </c>
      <c r="N44" s="707">
        <f t="shared" si="32"/>
        <v>2002</v>
      </c>
      <c r="O44" s="707">
        <f t="shared" si="32"/>
        <v>2003</v>
      </c>
      <c r="P44" s="707">
        <f t="shared" ref="P44:V44" si="33">+O44+1</f>
        <v>2004</v>
      </c>
      <c r="Q44" s="707">
        <f t="shared" si="33"/>
        <v>2005</v>
      </c>
      <c r="R44" s="707">
        <f t="shared" si="33"/>
        <v>2006</v>
      </c>
      <c r="S44" s="707">
        <f>+R44+1</f>
        <v>2007</v>
      </c>
      <c r="T44" s="707">
        <f t="shared" si="33"/>
        <v>2008</v>
      </c>
      <c r="U44" s="707">
        <f t="shared" si="33"/>
        <v>2009</v>
      </c>
      <c r="V44" s="707">
        <f t="shared" si="33"/>
        <v>2010</v>
      </c>
      <c r="W44" s="707">
        <f t="shared" ref="W44:AE44" si="34">+V44+1</f>
        <v>2011</v>
      </c>
      <c r="X44" s="707">
        <f t="shared" si="34"/>
        <v>2012</v>
      </c>
      <c r="Y44" s="707">
        <f t="shared" si="34"/>
        <v>2013</v>
      </c>
      <c r="Z44" s="707">
        <f t="shared" si="34"/>
        <v>2014</v>
      </c>
      <c r="AA44" s="707">
        <f t="shared" si="34"/>
        <v>2015</v>
      </c>
      <c r="AB44" s="707">
        <f t="shared" si="34"/>
        <v>2016</v>
      </c>
      <c r="AC44" s="707">
        <f t="shared" si="34"/>
        <v>2017</v>
      </c>
      <c r="AD44" s="707">
        <f t="shared" si="34"/>
        <v>2018</v>
      </c>
      <c r="AE44" s="707">
        <f t="shared" si="34"/>
        <v>2019</v>
      </c>
    </row>
    <row r="45" spans="1:94">
      <c r="A45" s="664">
        <f>+ROW(InputY!A216)</f>
        <v>216</v>
      </c>
      <c r="B45" s="665" t="s">
        <v>257</v>
      </c>
      <c r="C45" s="1082" t="s">
        <v>1767</v>
      </c>
      <c r="D45" s="1086" t="s">
        <v>687</v>
      </c>
      <c r="E45" s="1087" t="s">
        <v>376</v>
      </c>
      <c r="F45" s="1089" t="s">
        <v>1855</v>
      </c>
      <c r="G45" s="1088">
        <f>+InputY!G216/1000</f>
        <v>0.25110055607043558</v>
      </c>
      <c r="H45" s="1088">
        <f>+InputY!H216/1000</f>
        <v>0.23111677479147361</v>
      </c>
      <c r="I45" s="1088">
        <f>+InputY!I216/1000</f>
        <v>0.26558155699721964</v>
      </c>
      <c r="J45" s="1088">
        <f>+InputY!J216/1000</f>
        <v>0.3295875810936052</v>
      </c>
      <c r="K45" s="1088">
        <f>+InputY!K216/1000</f>
        <v>0.32611214087117701</v>
      </c>
      <c r="L45" s="1088">
        <f>+InputY!L216/1000</f>
        <v>0.31858202038924932</v>
      </c>
      <c r="M45" s="1088">
        <f>+InputY!M216/1000</f>
        <v>0.31742354031510661</v>
      </c>
      <c r="N45" s="1088">
        <f>+InputY!N216/1000</f>
        <v>0.43703660797034294</v>
      </c>
      <c r="O45" s="1088">
        <f>+InputY!O216/1000</f>
        <v>0.49582947173308622</v>
      </c>
      <c r="P45" s="1088">
        <f>+InputY!P216/1000</f>
        <v>0.6345574606116775</v>
      </c>
      <c r="Q45" s="1088">
        <f>+InputY!Q216/1000</f>
        <v>0.8365380365115147</v>
      </c>
      <c r="R45" s="1088">
        <f>+InputY!R216/1000</f>
        <v>1.0698689956331877</v>
      </c>
      <c r="S45" s="1088">
        <f>+InputY!S216/1000</f>
        <v>1.5041622811214235</v>
      </c>
      <c r="T45" s="1088">
        <f>+InputY!T216/1000</f>
        <v>1.5750922310971023</v>
      </c>
      <c r="U45" s="1088">
        <f>+InputY!U216/1000</f>
        <v>1.1511947639518221</v>
      </c>
      <c r="V45" s="1088">
        <f>+InputY!V216/1000</f>
        <v>1.391</v>
      </c>
      <c r="W45" s="1088">
        <f>+InputY!W216/1000</f>
        <v>1.4527488286660053</v>
      </c>
      <c r="X45" s="1088">
        <f>+InputY!X216/1000</f>
        <v>1.2777767070749897</v>
      </c>
      <c r="Y45" s="1088">
        <f>+InputY!Y216/1000</f>
        <v>1.224955783681605</v>
      </c>
      <c r="Z45" s="1088">
        <f>+InputY!Z216/1000</f>
        <v>1.1868310777684246</v>
      </c>
      <c r="AA45" s="1088">
        <f>+InputY!AA216/1000</f>
        <v>1.2569245113991625</v>
      </c>
      <c r="AB45" s="1088">
        <f>+InputY!AB216/1000</f>
        <v>1.0515189619667233</v>
      </c>
      <c r="AC45" s="1343">
        <f ca="1">+AB45*(1+AC48/100)</f>
        <v>1.0830645308257252</v>
      </c>
      <c r="AD45" s="1343">
        <f ca="1">+AC45*(1+AD48/100)</f>
        <v>1.1517308220800762</v>
      </c>
      <c r="AE45" s="1343">
        <f ca="1">+AD45*(1+AE48/100)</f>
        <v>1.2035587090736795</v>
      </c>
    </row>
    <row r="46" spans="1:94">
      <c r="H46" s="1444"/>
      <c r="AB46" s="557"/>
      <c r="AC46" s="557"/>
      <c r="AD46" s="557"/>
      <c r="AE46" s="557"/>
    </row>
    <row r="47" spans="1:94" s="699" customFormat="1" ht="12.75" customHeight="1">
      <c r="A47" s="664"/>
      <c r="B47" s="664"/>
      <c r="C47" s="774"/>
      <c r="D47" s="1092"/>
      <c r="E47" s="1093" t="s">
        <v>1587</v>
      </c>
      <c r="F47" s="1094"/>
      <c r="G47" s="896">
        <f>+InputY!$G$3</f>
        <v>1995</v>
      </c>
      <c r="H47" s="896">
        <f>+G47+1</f>
        <v>1996</v>
      </c>
      <c r="I47" s="896">
        <f t="shared" ref="I47:O47" si="35">+H47+1</f>
        <v>1997</v>
      </c>
      <c r="J47" s="896">
        <f t="shared" si="35"/>
        <v>1998</v>
      </c>
      <c r="K47" s="896">
        <f t="shared" si="35"/>
        <v>1999</v>
      </c>
      <c r="L47" s="896">
        <f t="shared" si="35"/>
        <v>2000</v>
      </c>
      <c r="M47" s="896">
        <f t="shared" si="35"/>
        <v>2001</v>
      </c>
      <c r="N47" s="896">
        <f t="shared" si="35"/>
        <v>2002</v>
      </c>
      <c r="O47" s="896">
        <f t="shared" si="35"/>
        <v>2003</v>
      </c>
      <c r="P47" s="896">
        <f t="shared" ref="P47:V47" si="36">+O47+1</f>
        <v>2004</v>
      </c>
      <c r="Q47" s="896">
        <f t="shared" si="36"/>
        <v>2005</v>
      </c>
      <c r="R47" s="896">
        <f t="shared" si="36"/>
        <v>2006</v>
      </c>
      <c r="S47" s="896">
        <f>+R47+1</f>
        <v>2007</v>
      </c>
      <c r="T47" s="896">
        <f t="shared" si="36"/>
        <v>2008</v>
      </c>
      <c r="U47" s="896">
        <f t="shared" si="36"/>
        <v>2009</v>
      </c>
      <c r="V47" s="896">
        <f t="shared" si="36"/>
        <v>2010</v>
      </c>
      <c r="W47" s="896">
        <f t="shared" ref="W47:AE47" si="37">+V47+1</f>
        <v>2011</v>
      </c>
      <c r="X47" s="896">
        <f t="shared" si="37"/>
        <v>2012</v>
      </c>
      <c r="Y47" s="896">
        <f t="shared" si="37"/>
        <v>2013</v>
      </c>
      <c r="Z47" s="896">
        <f t="shared" si="37"/>
        <v>2014</v>
      </c>
      <c r="AA47" s="896">
        <f t="shared" si="37"/>
        <v>2015</v>
      </c>
      <c r="AB47" s="896">
        <f t="shared" si="37"/>
        <v>2016</v>
      </c>
      <c r="AC47" s="896">
        <f t="shared" si="37"/>
        <v>2017</v>
      </c>
      <c r="AD47" s="896">
        <f t="shared" si="37"/>
        <v>2018</v>
      </c>
      <c r="AE47" s="896">
        <f t="shared" si="37"/>
        <v>2019</v>
      </c>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row>
    <row r="48" spans="1:94" s="699" customFormat="1" ht="12.75" customHeight="1">
      <c r="A48" s="664"/>
      <c r="B48" s="664"/>
      <c r="C48" s="798" t="s">
        <v>1767</v>
      </c>
      <c r="D48" s="833" t="s">
        <v>687</v>
      </c>
      <c r="E48" s="834" t="s">
        <v>376</v>
      </c>
      <c r="F48" s="1114" t="s">
        <v>1855</v>
      </c>
      <c r="G48" s="1427">
        <f ca="1">OFFSET('VVP1'!$G$71,0,5*(COLUMN()-7))</f>
        <v>0</v>
      </c>
      <c r="H48" s="1427" t="e">
        <f ca="1">OFFSET('VVP1'!$G$71,0,5*(COLUMN()-7))</f>
        <v>#VALUE!</v>
      </c>
      <c r="I48" s="1427" t="e">
        <f ca="1">OFFSET('VVP1'!$G$71,0,5*(COLUMN()-7))</f>
        <v>#VALUE!</v>
      </c>
      <c r="J48" s="1427" t="e">
        <f ca="1">OFFSET('VVP1'!$G$71,0,5*(COLUMN()-7))</f>
        <v>#VALUE!</v>
      </c>
      <c r="K48" s="1427" t="e">
        <f ca="1">OFFSET('VVP1'!$G$71,0,5*(COLUMN()-7))</f>
        <v>#VALUE!</v>
      </c>
      <c r="L48" s="1427">
        <f ca="1">OFFSET('VVP1'!$G$71,0,5*(COLUMN()-7))</f>
        <v>-20.109579787634924</v>
      </c>
      <c r="M48" s="1427">
        <f ca="1">OFFSET('VVP1'!$G$71,0,5*(COLUMN()-7))</f>
        <v>6.8912200808358692</v>
      </c>
      <c r="N48" s="1427">
        <f ca="1">OFFSET('VVP1'!$G$71,0,5*(COLUMN()-7))</f>
        <v>49.52151328165364</v>
      </c>
      <c r="O48" s="1427">
        <f ca="1">OFFSET('VVP1'!$G$71,0,5*(COLUMN()-7))</f>
        <v>21.599324453991819</v>
      </c>
      <c r="P48" s="1427">
        <f ca="1">OFFSET('VVP1'!$G$71,0,5*(COLUMN()-7))</f>
        <v>37.283482198854891</v>
      </c>
      <c r="Q48" s="1427">
        <f ca="1">OFFSET('VVP1'!$G$71,0,5*(COLUMN()-7))</f>
        <v>23.296353434007266</v>
      </c>
      <c r="R48" s="1427">
        <f ca="1">OFFSET('VVP1'!$G$71,0,5*(COLUMN()-7))</f>
        <v>45.491152394296442</v>
      </c>
      <c r="S48" s="1427">
        <f ca="1">OFFSET('VVP1'!$G$71,0,5*(COLUMN()-7))</f>
        <v>63.54997432790892</v>
      </c>
      <c r="T48" s="1427">
        <f ca="1">OFFSET('VVP1'!$G$71,0,5*(COLUMN()-7))</f>
        <v>19.785433622793079</v>
      </c>
      <c r="U48" s="1427">
        <f ca="1">OFFSET('VVP1'!$G$71,0,5*(COLUMN()-7))</f>
        <v>-27.622237744881282</v>
      </c>
      <c r="V48" s="1427">
        <f ca="1">OFFSET('VVP1'!$G$71,0,5*(COLUMN()-7))</f>
        <v>14.11073646558869</v>
      </c>
      <c r="W48" s="1427">
        <f ca="1">OFFSET('VVP1'!$G$71,0,5*(COLUMN()-7))</f>
        <v>3.7544103234667059</v>
      </c>
      <c r="X48" s="1427">
        <f ca="1">OFFSET('VVP1'!$G$71,0,5*(COLUMN()-7))</f>
        <v>-12.52337447152383</v>
      </c>
      <c r="Y48" s="1427">
        <f ca="1">OFFSET('VVP1'!$G$71,0,5*(COLUMN()-7))</f>
        <v>-3.6784613622074303</v>
      </c>
      <c r="Z48" s="1427">
        <f ca="1">OFFSET('VVP1'!$G$71,0,5*(COLUMN()-7))</f>
        <v>-4.4133698202302512</v>
      </c>
      <c r="AA48" s="1427">
        <f ca="1">OFFSET('VVP1'!$G$71,0,5*(COLUMN()-7))</f>
        <v>4.5211434202917067</v>
      </c>
      <c r="AB48" s="1427">
        <f ca="1">OFFSET('VVP1'!$G$71,0,5*(COLUMN()-7))</f>
        <v>-15.22488565071013</v>
      </c>
      <c r="AC48" s="1427">
        <f ca="1">OFFSET('VVP1'!$G$71,0,5*(COLUMN()-7))</f>
        <v>3</v>
      </c>
      <c r="AD48" s="1427">
        <f ca="1">OFFSET('VVP1'!$G$71,0,5*(COLUMN()-7))</f>
        <v>6.34</v>
      </c>
      <c r="AE48" s="1427">
        <f ca="1">OFFSET('VVP1'!$G$71,0,5*(COLUMN()-7))</f>
        <v>4.5</v>
      </c>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row>
    <row r="49" spans="1:94">
      <c r="AB49" s="557"/>
      <c r="AC49" s="557"/>
      <c r="AD49" s="557"/>
      <c r="AE49" s="557"/>
    </row>
    <row r="50" spans="1:94">
      <c r="A50" s="1130"/>
      <c r="D50" s="1175"/>
      <c r="E50" s="1129" t="s">
        <v>1941</v>
      </c>
      <c r="F50" s="1176"/>
      <c r="G50" s="707">
        <f>+InputY!$G$3</f>
        <v>1995</v>
      </c>
      <c r="H50" s="707">
        <f>+G50+1</f>
        <v>1996</v>
      </c>
      <c r="I50" s="707">
        <f t="shared" ref="I50:O50" si="38">+H50+1</f>
        <v>1997</v>
      </c>
      <c r="J50" s="707">
        <f t="shared" si="38"/>
        <v>1998</v>
      </c>
      <c r="K50" s="707">
        <f t="shared" si="38"/>
        <v>1999</v>
      </c>
      <c r="L50" s="707">
        <f t="shared" si="38"/>
        <v>2000</v>
      </c>
      <c r="M50" s="707">
        <f t="shared" si="38"/>
        <v>2001</v>
      </c>
      <c r="N50" s="707">
        <f t="shared" si="38"/>
        <v>2002</v>
      </c>
      <c r="O50" s="707">
        <f t="shared" si="38"/>
        <v>2003</v>
      </c>
      <c r="P50" s="707">
        <f t="shared" ref="P50:V50" si="39">+O50+1</f>
        <v>2004</v>
      </c>
      <c r="Q50" s="707">
        <f t="shared" si="39"/>
        <v>2005</v>
      </c>
      <c r="R50" s="707">
        <f t="shared" si="39"/>
        <v>2006</v>
      </c>
      <c r="S50" s="707">
        <f>+R50+1</f>
        <v>2007</v>
      </c>
      <c r="T50" s="707">
        <f t="shared" si="39"/>
        <v>2008</v>
      </c>
      <c r="U50" s="707">
        <f t="shared" si="39"/>
        <v>2009</v>
      </c>
      <c r="V50" s="707">
        <f t="shared" si="39"/>
        <v>2010</v>
      </c>
      <c r="W50" s="707">
        <f t="shared" ref="W50:AE50" si="40">+V50+1</f>
        <v>2011</v>
      </c>
      <c r="X50" s="707">
        <f t="shared" si="40"/>
        <v>2012</v>
      </c>
      <c r="Y50" s="707">
        <f t="shared" si="40"/>
        <v>2013</v>
      </c>
      <c r="Z50" s="707">
        <f t="shared" si="40"/>
        <v>2014</v>
      </c>
      <c r="AA50" s="707">
        <f t="shared" si="40"/>
        <v>2015</v>
      </c>
      <c r="AB50" s="707">
        <f t="shared" si="40"/>
        <v>2016</v>
      </c>
      <c r="AC50" s="707">
        <f t="shared" si="40"/>
        <v>2017</v>
      </c>
      <c r="AD50" s="707">
        <f t="shared" si="40"/>
        <v>2018</v>
      </c>
      <c r="AE50" s="707">
        <f t="shared" si="40"/>
        <v>2019</v>
      </c>
    </row>
    <row r="51" spans="1:94">
      <c r="A51" s="664"/>
      <c r="C51" s="1079" t="s">
        <v>1767</v>
      </c>
      <c r="D51" s="1058" t="s">
        <v>685</v>
      </c>
      <c r="E51" s="1038" t="s">
        <v>821</v>
      </c>
      <c r="F51" s="1058" t="s">
        <v>1017</v>
      </c>
      <c r="G51" s="1084">
        <f t="shared" ref="G51:O51" si="41">+G7</f>
        <v>8.6943311199494193</v>
      </c>
      <c r="H51" s="1084">
        <f t="shared" si="41"/>
        <v>9.2573963830362906</v>
      </c>
      <c r="I51" s="1084">
        <f t="shared" si="41"/>
        <v>9.7777647186781778</v>
      </c>
      <c r="J51" s="1084">
        <f t="shared" si="41"/>
        <v>10.242725056307531</v>
      </c>
      <c r="K51" s="1084">
        <f t="shared" si="41"/>
        <v>10.75122399026877</v>
      </c>
      <c r="L51" s="1084">
        <f t="shared" si="41"/>
        <v>11.501958970631552</v>
      </c>
      <c r="M51" s="1084">
        <f t="shared" si="41"/>
        <v>11.985963469608585</v>
      </c>
      <c r="N51" s="1084">
        <f t="shared" si="41"/>
        <v>12.72480286303646</v>
      </c>
      <c r="O51" s="1084">
        <f t="shared" si="41"/>
        <v>14.1518131829006</v>
      </c>
      <c r="P51" s="1084">
        <f t="shared" ref="P51:V51" si="42">+P7</f>
        <v>15.80466</v>
      </c>
      <c r="Q51" s="1084">
        <f t="shared" si="42"/>
        <v>17.638660000000002</v>
      </c>
      <c r="R51" s="1084">
        <f t="shared" si="42"/>
        <v>19.24344</v>
      </c>
      <c r="S51" s="1084">
        <f>+S7</f>
        <v>21.633119999999998</v>
      </c>
      <c r="T51" s="1084">
        <f t="shared" si="42"/>
        <v>22.466799999999999</v>
      </c>
      <c r="U51" s="1084">
        <f t="shared" si="42"/>
        <v>18.568369999999998</v>
      </c>
      <c r="V51" s="1084">
        <f t="shared" si="42"/>
        <v>17.945540000000001</v>
      </c>
      <c r="W51" s="1084">
        <f t="shared" ref="W51:AB51" si="43">+W7</f>
        <v>18.770810000000001</v>
      </c>
      <c r="X51" s="1084">
        <f t="shared" si="43"/>
        <v>19.351680000000002</v>
      </c>
      <c r="Y51" s="1084">
        <f t="shared" si="43"/>
        <v>20.186400000000003</v>
      </c>
      <c r="Z51" s="1084">
        <f t="shared" si="43"/>
        <v>20.987099999999998</v>
      </c>
      <c r="AA51" s="1084">
        <f t="shared" si="43"/>
        <v>21.821650000000002</v>
      </c>
      <c r="AB51" s="1084">
        <f t="shared" si="43"/>
        <v>22.898630000000001</v>
      </c>
      <c r="AC51" s="1084">
        <f>+AC7</f>
        <v>23.78961</v>
      </c>
      <c r="AD51" s="1084">
        <f ca="1">+AD7</f>
        <v>24.622246349999998</v>
      </c>
      <c r="AE51" s="1084">
        <f ca="1">+AE7</f>
        <v>25.434780479549996</v>
      </c>
    </row>
    <row r="52" spans="1:94">
      <c r="A52" s="664"/>
      <c r="C52" s="1080" t="s">
        <v>1767</v>
      </c>
      <c r="D52" s="3" t="s">
        <v>687</v>
      </c>
      <c r="E52" s="29" t="s">
        <v>821</v>
      </c>
      <c r="F52" s="3" t="s">
        <v>533</v>
      </c>
      <c r="G52" s="1062">
        <f t="shared" ref="G52:O52" si="44">+G13</f>
        <v>4.6696599057177908</v>
      </c>
      <c r="H52" s="1062">
        <f t="shared" si="44"/>
        <v>4.6368703517540855</v>
      </c>
      <c r="I52" s="1062">
        <f t="shared" si="44"/>
        <v>4.7952674096872592</v>
      </c>
      <c r="J52" s="1062">
        <f t="shared" si="44"/>
        <v>5.03578041451786</v>
      </c>
      <c r="K52" s="1062">
        <f t="shared" si="44"/>
        <v>4.8132083975837627</v>
      </c>
      <c r="L52" s="1062">
        <f t="shared" si="44"/>
        <v>4.8239639312963334</v>
      </c>
      <c r="M52" s="1062">
        <f t="shared" si="44"/>
        <v>4.8895965698279795</v>
      </c>
      <c r="N52" s="1062">
        <f t="shared" si="44"/>
        <v>5.0098510133738872</v>
      </c>
      <c r="O52" s="1062">
        <f t="shared" si="44"/>
        <v>5.1560925064067895</v>
      </c>
      <c r="P52" s="1062">
        <f t="shared" ref="P52:V52" si="45">+P13</f>
        <v>5.3929600000000004</v>
      </c>
      <c r="Q52" s="1062">
        <f t="shared" si="45"/>
        <v>5.5848100000000001</v>
      </c>
      <c r="R52" s="1062">
        <f t="shared" si="45"/>
        <v>5.7023000000000001</v>
      </c>
      <c r="S52" s="1062">
        <f>+S13</f>
        <v>5.80783</v>
      </c>
      <c r="T52" s="1062">
        <f t="shared" si="45"/>
        <v>5.8215300000000001</v>
      </c>
      <c r="U52" s="1062">
        <f t="shared" si="45"/>
        <v>5.7450100000000006</v>
      </c>
      <c r="V52" s="1062">
        <f t="shared" si="45"/>
        <v>5.5633800000000004</v>
      </c>
      <c r="W52" s="1062">
        <f t="shared" ref="W52:AB52" si="46">+W13</f>
        <v>5.5435799999999995</v>
      </c>
      <c r="X52" s="1062">
        <f t="shared" si="46"/>
        <v>5.6148299999999995</v>
      </c>
      <c r="Y52" s="1062">
        <f t="shared" si="46"/>
        <v>5.6554099999999998</v>
      </c>
      <c r="Z52" s="1062">
        <f t="shared" si="46"/>
        <v>5.6716600000000001</v>
      </c>
      <c r="AA52" s="1062">
        <f t="shared" si="46"/>
        <v>5.6809799999999999</v>
      </c>
      <c r="AB52" s="1062">
        <f t="shared" si="46"/>
        <v>5.7543999999999995</v>
      </c>
      <c r="AC52" s="1062">
        <f>+AC13</f>
        <v>5.8210899999999999</v>
      </c>
      <c r="AD52" s="1062">
        <f ca="1">+AD13</f>
        <v>5.9165558759999994</v>
      </c>
      <c r="AE52" s="1062">
        <f ca="1">+AE13</f>
        <v>6.0076708364903997</v>
      </c>
    </row>
    <row r="53" spans="1:94">
      <c r="A53" s="664"/>
      <c r="C53" s="1081" t="s">
        <v>1767</v>
      </c>
      <c r="D53" s="1077"/>
      <c r="E53" s="1039" t="s">
        <v>376</v>
      </c>
      <c r="F53" s="1077" t="s">
        <v>850</v>
      </c>
      <c r="G53" s="1062">
        <f t="shared" ref="G53:O53" si="47">+G29</f>
        <v>1.865646436592058</v>
      </c>
      <c r="H53" s="1062">
        <f t="shared" si="47"/>
        <v>2.2584049991717587</v>
      </c>
      <c r="I53" s="1062">
        <f t="shared" si="47"/>
        <v>2.8351920988674078</v>
      </c>
      <c r="J53" s="1062">
        <f t="shared" si="47"/>
        <v>3.4334187190510512</v>
      </c>
      <c r="K53" s="1062">
        <f t="shared" si="47"/>
        <v>3.2293318550454053</v>
      </c>
      <c r="L53" s="1062">
        <f t="shared" si="47"/>
        <v>2.9589150459905524</v>
      </c>
      <c r="M53" s="1062">
        <f t="shared" si="47"/>
        <v>3.3490744830283035</v>
      </c>
      <c r="N53" s="1062">
        <f t="shared" si="47"/>
        <v>3.7071301482966423</v>
      </c>
      <c r="O53" s="1062">
        <f t="shared" si="47"/>
        <v>4.2073312057982788</v>
      </c>
      <c r="P53" s="1062">
        <f t="shared" ref="P53:V53" si="48">+P29</f>
        <v>4.8688700000000003</v>
      </c>
      <c r="Q53" s="1062">
        <f t="shared" si="48"/>
        <v>5.4274300000000002</v>
      </c>
      <c r="R53" s="1062">
        <f t="shared" si="48"/>
        <v>6.49085</v>
      </c>
      <c r="S53" s="1062">
        <f>+S29</f>
        <v>7.9405400000000004</v>
      </c>
      <c r="T53" s="1062">
        <f t="shared" si="48"/>
        <v>7.6232100000000003</v>
      </c>
      <c r="U53" s="1062">
        <f t="shared" si="48"/>
        <v>4.6575800000000003</v>
      </c>
      <c r="V53" s="1062">
        <f t="shared" si="48"/>
        <v>4.7263000000000002</v>
      </c>
      <c r="W53" s="1062">
        <f t="shared" ref="W53:AB53" si="49">+W29</f>
        <v>5.67849</v>
      </c>
      <c r="X53" s="1062">
        <f t="shared" si="49"/>
        <v>5.5775100000000002</v>
      </c>
      <c r="Y53" s="1062">
        <f t="shared" si="49"/>
        <v>6.0404200000000001</v>
      </c>
      <c r="Z53" s="1062">
        <f t="shared" si="49"/>
        <v>6.3878599999999999</v>
      </c>
      <c r="AA53" s="1062">
        <f t="shared" si="49"/>
        <v>6.6961700000000004</v>
      </c>
      <c r="AB53" s="1062">
        <f t="shared" si="49"/>
        <v>6.6646400000000003</v>
      </c>
      <c r="AC53" s="1062">
        <f>+AC29</f>
        <v>7.1514100000000003</v>
      </c>
      <c r="AD53" s="1062">
        <f ca="1">+AD29</f>
        <v>7.6349943683294992</v>
      </c>
      <c r="AE53" s="1062">
        <f ca="1">+AE29</f>
        <v>7.9529721587317974</v>
      </c>
    </row>
    <row r="54" spans="1:94">
      <c r="A54" s="664">
        <f>+ROW(InputY!A41)</f>
        <v>41</v>
      </c>
      <c r="B54" s="664"/>
      <c r="C54" s="694" t="s">
        <v>1769</v>
      </c>
      <c r="D54" s="1177"/>
      <c r="E54" s="1461" t="s">
        <v>1941</v>
      </c>
      <c r="F54" s="1460" t="s">
        <v>46</v>
      </c>
      <c r="G54" s="1184">
        <f>+InputY!G41/1000</f>
        <v>14.579253810129012</v>
      </c>
      <c r="H54" s="1184">
        <f>+InputY!H41/1000</f>
        <v>15.684726189883465</v>
      </c>
      <c r="I54" s="1184">
        <f>+InputY!I41/1000</f>
        <v>17.07736127695404</v>
      </c>
      <c r="J54" s="1184">
        <f>+InputY!J41/1000</f>
        <v>18.477134009203066</v>
      </c>
      <c r="K54" s="1184">
        <f>+InputY!K41/1000</f>
        <v>18.555156347933963</v>
      </c>
      <c r="L54" s="1184">
        <f>+InputY!L41/1000</f>
        <v>19.017219898719677</v>
      </c>
      <c r="M54" s="1184">
        <f>+InputY!M41/1000</f>
        <v>20.004497742649203</v>
      </c>
      <c r="N54" s="1184">
        <f>+InputY!N41/1000</f>
        <v>21.261742027629673</v>
      </c>
      <c r="O54" s="1184">
        <f>+InputY!O41/1000</f>
        <v>23.392936699256751</v>
      </c>
      <c r="P54" s="1184">
        <f>+InputY!P41/1000</f>
        <v>26.01232113</v>
      </c>
      <c r="Q54" s="1184">
        <f>+InputY!Q41/1000</f>
        <v>28.649446560000001</v>
      </c>
      <c r="R54" s="1184">
        <f>+InputY!R41/1000</f>
        <v>31.567883179999999</v>
      </c>
      <c r="S54" s="1184">
        <f>+InputY!S41/1000</f>
        <v>35.646567750000003</v>
      </c>
      <c r="T54" s="1184">
        <f>+InputY!T41/1000</f>
        <v>36.085323389999999</v>
      </c>
      <c r="U54" s="1184">
        <f>+InputY!U41/1000</f>
        <v>28.962535029999998</v>
      </c>
      <c r="V54" s="1184">
        <f>+InputY!V41/1000</f>
        <v>28.235220000000002</v>
      </c>
      <c r="W54" s="1184">
        <f>+InputY!W41/1000</f>
        <v>29.99288</v>
      </c>
      <c r="X54" s="1184">
        <f>+InputY!X41/1000</f>
        <v>30.548781930000001</v>
      </c>
      <c r="Y54" s="1184">
        <f>+InputY!Y41/1000</f>
        <v>31.886627019999999</v>
      </c>
      <c r="Z54" s="1184">
        <f>+InputY!Z41/1000</f>
        <v>33.058580730000003</v>
      </c>
      <c r="AA54" s="1184">
        <f>+InputY!AA41/1000</f>
        <v>34.213353669999996</v>
      </c>
      <c r="AB54" s="1184">
        <f>+InputY!AB41/1000</f>
        <v>35.322718180000003</v>
      </c>
      <c r="AC54" s="1184">
        <f>+InputY!AC41/1000</f>
        <v>36.759275770000002</v>
      </c>
      <c r="AD54" s="1464">
        <f ca="1">IF(UPPER('VVP1'!$F$2)="Y",+AC54*(1+AD61/100),+AD52+AD53+AD51)</f>
        <v>38.159328363100862</v>
      </c>
      <c r="AE54" s="1464">
        <f ca="1">IF(UPPER('VVP1'!$F$2)="Y",+AD54*(1+AE61/100),+AE52+AE53+AE51)</f>
        <v>39.372112970748816</v>
      </c>
    </row>
    <row r="55" spans="1:94" s="699" customFormat="1" ht="12.75" customHeight="1">
      <c r="A55" s="664"/>
      <c r="B55" s="664"/>
      <c r="C55" s="774"/>
      <c r="D55" s="1973"/>
      <c r="E55" s="1973" t="s">
        <v>737</v>
      </c>
      <c r="F55" s="1973"/>
      <c r="G55" s="1002"/>
      <c r="H55" s="1002">
        <f ca="1">ABS(IF('VVP1'!$F$2="Y",OFFSET('VVP1'!$G$10,0,5*(COLUMN()-7)+1)-OFFSET('VVP1'!$G$7,0,5*(COLUMN()-7)+1)-OFFSET('VVP1'!$G$8,0,5*(COLUMN()-7)+1)-OFFSET('VVP1'!$G$9,0,5*(COLUMN()-7)+1),ABS(H54-H51-H52-H53)))</f>
        <v>3.8001651733166053E-3</v>
      </c>
      <c r="I55" s="1002">
        <f ca="1">ABS(IF('VVP1'!$F$2="Y",OFFSET('VVP1'!$G$10,0,5*(COLUMN()-7)+1)-OFFSET('VVP1'!$G$7,0,5*(COLUMN()-7)+1)-OFFSET('VVP1'!$G$8,0,5*(COLUMN()-7)+1)-OFFSET('VVP1'!$G$9,0,5*(COLUMN()-7)+1),ABS(I54-I51-I52-I53)))</f>
        <v>2.2122257829342296E-3</v>
      </c>
      <c r="J55" s="1002">
        <f ca="1">ABS(IF('VVP1'!$F$2="Y",OFFSET('VVP1'!$G$10,0,5*(COLUMN()-7)+1)-OFFSET('VVP1'!$G$7,0,5*(COLUMN()-7)+1)-OFFSET('VVP1'!$G$8,0,5*(COLUMN()-7)+1)-OFFSET('VVP1'!$G$9,0,5*(COLUMN()-7)+1),ABS(J54-J51-J52-J53)))</f>
        <v>8.1449165506120025E-4</v>
      </c>
      <c r="K55" s="1002">
        <f ca="1">ABS(IF('VVP1'!$F$2="Y",OFFSET('VVP1'!$G$10,0,5*(COLUMN()-7)+1)-OFFSET('VVP1'!$G$7,0,5*(COLUMN()-7)+1)-OFFSET('VVP1'!$G$8,0,5*(COLUMN()-7)+1)-OFFSET('VVP1'!$G$9,0,5*(COLUMN()-7)+1),ABS(K54-K51-K52-K53)))</f>
        <v>6.8925093440075358E-4</v>
      </c>
      <c r="L55" s="1002">
        <f ca="1">ABS(IF('VVP1'!$F$2="Y",OFFSET('VVP1'!$G$10,0,5*(COLUMN()-7)+1)-OFFSET('VVP1'!$G$7,0,5*(COLUMN()-7)+1)-OFFSET('VVP1'!$G$8,0,5*(COLUMN()-7)+1)-OFFSET('VVP1'!$G$9,0,5*(COLUMN()-7)+1),ABS(L54-L51-L52-L53)))</f>
        <v>2.4343308552676746E-4</v>
      </c>
      <c r="M55" s="1002">
        <f ca="1">ABS(IF('VVP1'!$F$2="Y",OFFSET('VVP1'!$G$10,0,5*(COLUMN()-7)+1)-OFFSET('VVP1'!$G$7,0,5*(COLUMN()-7)+1)-OFFSET('VVP1'!$G$8,0,5*(COLUMN()-7)+1)-OFFSET('VVP1'!$G$9,0,5*(COLUMN()-7)+1),ABS(M54-M51-M52-M53)))</f>
        <v>4.1677593105706734E-3</v>
      </c>
      <c r="N55" s="1002">
        <f ca="1">ABS(IF('VVP1'!$F$2="Y",OFFSET('VVP1'!$G$10,0,5*(COLUMN()-7)+1)-OFFSET('VVP1'!$G$7,0,5*(COLUMN()-7)+1)-OFFSET('VVP1'!$G$8,0,5*(COLUMN()-7)+1)-OFFSET('VVP1'!$G$9,0,5*(COLUMN()-7)+1),ABS(N54-N51-N52-N53)))</f>
        <v>2.3191715707708838E-3</v>
      </c>
      <c r="O55" s="1002">
        <f ca="1">ABS(IF('VVP1'!$F$2="Y",OFFSET('VVP1'!$G$10,0,5*(COLUMN()-7)+1)-OFFSET('VVP1'!$G$7,0,5*(COLUMN()-7)+1)-OFFSET('VVP1'!$G$8,0,5*(COLUMN()-7)+1)-OFFSET('VVP1'!$G$9,0,5*(COLUMN()-7)+1),ABS(O54-O51-O52-O53)))</f>
        <v>3.7856923590497971E-3</v>
      </c>
      <c r="P55" s="1002">
        <f ca="1">ABS(IF('VVP1'!$F$2="Y",OFFSET('VVP1'!$G$10,0,5*(COLUMN()-7)+1)-OFFSET('VVP1'!$G$7,0,5*(COLUMN()-7)+1)-OFFSET('VVP1'!$G$8,0,5*(COLUMN()-7)+1)-OFFSET('VVP1'!$G$9,0,5*(COLUMN()-7)+1),ABS(P54-P51-P52-P53)))</f>
        <v>9.3645241084061581E-4</v>
      </c>
      <c r="Q55" s="1002">
        <f ca="1">ABS(IF('VVP1'!$F$2="Y",OFFSET('VVP1'!$G$10,0,5*(COLUMN()-7)+1)-OFFSET('VVP1'!$G$7,0,5*(COLUMN()-7)+1)-OFFSET('VVP1'!$G$8,0,5*(COLUMN()-7)+1)-OFFSET('VVP1'!$G$9,0,5*(COLUMN()-7)+1),ABS(Q54-Q51-Q52-Q53)))</f>
        <v>4.1298300414993605E-6</v>
      </c>
      <c r="R55" s="1002">
        <f ca="1">ABS(IF('VVP1'!$F$2="Y",OFFSET('VVP1'!$G$10,0,5*(COLUMN()-7)+1)-OFFSET('VVP1'!$G$7,0,5*(COLUMN()-7)+1)-OFFSET('VVP1'!$G$8,0,5*(COLUMN()-7)+1)-OFFSET('VVP1'!$G$9,0,5*(COLUMN()-7)+1),ABS(R54-R51-R52-R53)))</f>
        <v>6.7089530491060145E-6</v>
      </c>
      <c r="S55" s="1002">
        <f ca="1">ABS(IF('VVP1'!$F$2="Y",OFFSET('VVP1'!$G$10,0,5*(COLUMN()-7)+1)-OFFSET('VVP1'!$G$7,0,5*(COLUMN()-7)+1)-OFFSET('VVP1'!$G$8,0,5*(COLUMN()-7)+1)-OFFSET('VVP1'!$G$9,0,5*(COLUMN()-7)+1),ABS(S54-S51-S52-S53)))</f>
        <v>9.8619028499058459E-8</v>
      </c>
      <c r="T55" s="2906">
        <f ca="1">ABS(IF('VVP1'!$F$2="Y",OFFSET('VVP1'!$G$10,0,5*(COLUMN()-7)+1)-OFFSET('VVP1'!$G$7,0,5*(COLUMN()-7)+1)-OFFSET('VVP1'!$G$8,0,5*(COLUMN()-7)+1)-OFFSET('VVP1'!$G$9,0,5*(COLUMN()-7)+1),ABS(T54-T51-T52-T53)))</f>
        <v>1.2036373444601622E-6</v>
      </c>
      <c r="U55" s="2906">
        <f ca="1">ABS(IF('VVP1'!$F$2="Y",OFFSET('VVP1'!$G$10,0,5*(COLUMN()-7)+1)-OFFSET('VVP1'!$G$7,0,5*(COLUMN()-7)+1)-OFFSET('VVP1'!$G$8,0,5*(COLUMN()-7)+1)-OFFSET('VVP1'!$G$9,0,5*(COLUMN()-7)+1),ABS(U54-U51-U52-U53)))</f>
        <v>4.3809192069588221E-6</v>
      </c>
      <c r="V55" s="2906">
        <f ca="1">ABS(IF('VVP1'!$F$2="Y",OFFSET('VVP1'!$G$10,0,5*(COLUMN()-7)+1)-OFFSET('VVP1'!$G$7,0,5*(COLUMN()-7)+1)-OFFSET('VVP1'!$G$8,0,5*(COLUMN()-7)+1)-OFFSET('VVP1'!$G$9,0,5*(COLUMN()-7)+1),ABS(V54-V51-V52-V53)))</f>
        <v>1.1641128022432667E-5</v>
      </c>
      <c r="W55" s="2906">
        <f ca="1">ABS(IF('VVP1'!$F$2="Y",OFFSET('VVP1'!$G$10,0,5*(COLUMN()-7)+1)-OFFSET('VVP1'!$G$7,0,5*(COLUMN()-7)+1)-OFFSET('VVP1'!$G$8,0,5*(COLUMN()-7)+1)-OFFSET('VVP1'!$G$9,0,5*(COLUMN()-7)+1),ABS(W54-W51-W52-W53)))</f>
        <v>6.2172489379008766E-15</v>
      </c>
      <c r="X55" s="2906">
        <f ca="1">ABS(IF('VVP1'!$F$2="Y",OFFSET('VVP1'!$G$10,0,5*(COLUMN()-7)+1)-OFFSET('VVP1'!$G$7,0,5*(COLUMN()-7)+1)-OFFSET('VVP1'!$G$8,0,5*(COLUMN()-7)+1)-OFFSET('VVP1'!$G$9,0,5*(COLUMN()-7)+1),ABS(X54-X51-X52-X53)))</f>
        <v>4.540159770805019E-6</v>
      </c>
      <c r="Y55" s="2906">
        <f ca="1">ABS(IF('VVP1'!$F$2="Y",OFFSET('VVP1'!$G$10,0,5*(COLUMN()-7)+1)-OFFSET('VVP1'!$G$7,0,5*(COLUMN()-7)+1)-OFFSET('VVP1'!$G$8,0,5*(COLUMN()-7)+1)-OFFSET('VVP1'!$G$9,0,5*(COLUMN()-7)+1),ABS(Y54-Y51-Y52-Y53)))</f>
        <v>2.0104454501179703E-6</v>
      </c>
      <c r="Z55" s="2906">
        <f ca="1">ABS(IF('VVP1'!$F$2="Y",OFFSET('VVP1'!$G$10,0,5*(COLUMN()-7)+1)-OFFSET('VVP1'!$G$7,0,5*(COLUMN()-7)+1)-OFFSET('VVP1'!$G$8,0,5*(COLUMN()-7)+1)-OFFSET('VVP1'!$G$9,0,5*(COLUMN()-7)+1),ABS(Z54-Z51-Z52-Z53)))</f>
        <v>1.1017852363792713E-5</v>
      </c>
      <c r="AA55" s="2906">
        <f ca="1">ABS(IF('VVP1'!$F$2="Y",OFFSET('VVP1'!$G$10,0,5*(COLUMN()-7)+1)-OFFSET('VVP1'!$G$7,0,5*(COLUMN()-7)+1)-OFFSET('VVP1'!$G$8,0,5*(COLUMN()-7)+1)-OFFSET('VVP1'!$G$9,0,5*(COLUMN()-7)+1),ABS(AA54-AA51-AA52-AA53)))</f>
        <v>7.281131204628366E-6</v>
      </c>
      <c r="AB55" s="2906">
        <f ca="1">ABS(IF('VVP1'!$F$2="Y",OFFSET('VVP1'!$G$10,0,5*(COLUMN()-7)+1)-OFFSET('VVP1'!$G$7,0,5*(COLUMN()-7)+1)-OFFSET('VVP1'!$G$8,0,5*(COLUMN()-7)+1)-OFFSET('VVP1'!$G$9,0,5*(COLUMN()-7)+1),ABS(AB54-AB51-AB52-AB53)))</f>
        <v>2.0932363877790294E-6</v>
      </c>
      <c r="AC55" s="2906">
        <f ca="1">ABS(IF('VVP1'!$F$2="Y",OFFSET('VVP1'!$G$10,0,5*(COLUMN()-7)+1)-OFFSET('VVP1'!$G$7,0,5*(COLUMN()-7)+1)-OFFSET('VVP1'!$G$8,0,5*(COLUMN()-7)+1)-OFFSET('VVP1'!$G$9,0,5*(COLUMN()-7)+1),ABS(AC54-AC51-AC52-AC53)))</f>
        <v>8.8817841970012523E-16</v>
      </c>
      <c r="AD55" s="2906">
        <f ca="1">ABS(IF('VVP1'!$F$2="Y",OFFSET('VVP1'!$G$10,0,5*(COLUMN()-7)+1)-OFFSET('VVP1'!$G$7,0,5*(COLUMN()-7)+1)-OFFSET('VVP1'!$G$8,0,5*(COLUMN()-7)+1)-OFFSET('VVP1'!$G$9,0,5*(COLUMN()-7)+1),ABS(AD54-AD51-AD52-AD53)))</f>
        <v>3.5527136788005009E-15</v>
      </c>
      <c r="AE55" s="2906">
        <f ca="1">ABS(IF('VVP1'!$F$2="Y",OFFSET('VVP1'!$G$10,0,5*(COLUMN()-7)+1)-OFFSET('VVP1'!$G$7,0,5*(COLUMN()-7)+1)-OFFSET('VVP1'!$G$8,0,5*(COLUMN()-7)+1)-OFFSET('VVP1'!$G$9,0,5*(COLUMN()-7)+1),ABS(AE54-AE51-AE52-AE53)))</f>
        <v>5.3290705182007514E-15</v>
      </c>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row>
    <row r="56" spans="1:94">
      <c r="AB56" s="557"/>
      <c r="AC56" s="557"/>
      <c r="AD56" s="557"/>
      <c r="AE56" s="557"/>
    </row>
    <row r="57" spans="1:94" s="699" customFormat="1" ht="12.75" customHeight="1">
      <c r="A57" s="664"/>
      <c r="B57" s="664"/>
      <c r="C57" s="774"/>
      <c r="D57" s="1092"/>
      <c r="E57" s="1093" t="s">
        <v>1941</v>
      </c>
      <c r="F57" s="1094"/>
      <c r="G57" s="896">
        <f>+InputY!$G$3</f>
        <v>1995</v>
      </c>
      <c r="H57" s="896">
        <f>+G57+1</f>
        <v>1996</v>
      </c>
      <c r="I57" s="896">
        <f t="shared" ref="I57:O57" si="50">+H57+1</f>
        <v>1997</v>
      </c>
      <c r="J57" s="896">
        <f t="shared" si="50"/>
        <v>1998</v>
      </c>
      <c r="K57" s="896">
        <f t="shared" si="50"/>
        <v>1999</v>
      </c>
      <c r="L57" s="896">
        <f t="shared" si="50"/>
        <v>2000</v>
      </c>
      <c r="M57" s="896">
        <f t="shared" si="50"/>
        <v>2001</v>
      </c>
      <c r="N57" s="896">
        <f t="shared" si="50"/>
        <v>2002</v>
      </c>
      <c r="O57" s="896">
        <f t="shared" si="50"/>
        <v>2003</v>
      </c>
      <c r="P57" s="896">
        <f t="shared" ref="P57:V57" si="51">+O57+1</f>
        <v>2004</v>
      </c>
      <c r="Q57" s="896">
        <f t="shared" si="51"/>
        <v>2005</v>
      </c>
      <c r="R57" s="896">
        <f t="shared" si="51"/>
        <v>2006</v>
      </c>
      <c r="S57" s="896">
        <f>+R57+1</f>
        <v>2007</v>
      </c>
      <c r="T57" s="896">
        <f t="shared" si="51"/>
        <v>2008</v>
      </c>
      <c r="U57" s="896">
        <f t="shared" si="51"/>
        <v>2009</v>
      </c>
      <c r="V57" s="896">
        <f t="shared" si="51"/>
        <v>2010</v>
      </c>
      <c r="W57" s="896">
        <f t="shared" ref="W57:AE57" si="52">+V57+1</f>
        <v>2011</v>
      </c>
      <c r="X57" s="896">
        <f t="shared" si="52"/>
        <v>2012</v>
      </c>
      <c r="Y57" s="896">
        <f t="shared" si="52"/>
        <v>2013</v>
      </c>
      <c r="Z57" s="896">
        <f t="shared" si="52"/>
        <v>2014</v>
      </c>
      <c r="AA57" s="896">
        <f t="shared" si="52"/>
        <v>2015</v>
      </c>
      <c r="AB57" s="896">
        <f t="shared" si="52"/>
        <v>2016</v>
      </c>
      <c r="AC57" s="896">
        <f t="shared" si="52"/>
        <v>2017</v>
      </c>
      <c r="AD57" s="896">
        <f t="shared" si="52"/>
        <v>2018</v>
      </c>
      <c r="AE57" s="896">
        <f t="shared" si="52"/>
        <v>2019</v>
      </c>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row>
    <row r="58" spans="1:94" s="699" customFormat="1" ht="12.75" customHeight="1">
      <c r="A58" s="664"/>
      <c r="B58" s="664"/>
      <c r="C58" s="794" t="s">
        <v>1767</v>
      </c>
      <c r="D58" s="689" t="s">
        <v>685</v>
      </c>
      <c r="E58" s="738" t="s">
        <v>821</v>
      </c>
      <c r="F58" s="733" t="s">
        <v>1017</v>
      </c>
      <c r="G58" s="1095"/>
      <c r="H58" s="1095">
        <f>+(H51/G51-1)*100</f>
        <v>6.4762344028386432</v>
      </c>
      <c r="I58" s="1095">
        <f t="shared" ref="I58:S58" si="53">+(I51/H51-1)*100</f>
        <v>5.6211089393928937</v>
      </c>
      <c r="J58" s="1095">
        <f t="shared" si="53"/>
        <v>4.7552825314067348</v>
      </c>
      <c r="K58" s="1095">
        <f t="shared" si="53"/>
        <v>4.9644887582733777</v>
      </c>
      <c r="L58" s="1095">
        <f t="shared" si="53"/>
        <v>6.98278615571859</v>
      </c>
      <c r="M58" s="1095">
        <f t="shared" si="53"/>
        <v>4.2080179577484333</v>
      </c>
      <c r="N58" s="1095">
        <f t="shared" si="53"/>
        <v>6.1642052831319294</v>
      </c>
      <c r="O58" s="1095">
        <f t="shared" si="53"/>
        <v>11.214400216834619</v>
      </c>
      <c r="P58" s="1095">
        <f t="shared" si="53"/>
        <v>11.679399634080156</v>
      </c>
      <c r="Q58" s="1095">
        <f t="shared" si="53"/>
        <v>11.604172440280291</v>
      </c>
      <c r="R58" s="1095">
        <f t="shared" si="53"/>
        <v>9.0980834144997367</v>
      </c>
      <c r="S58" s="1095">
        <f t="shared" si="53"/>
        <v>12.41815392674075</v>
      </c>
      <c r="T58" s="1095">
        <f t="shared" ref="T58:AE60" si="54">+(T51/S51-1)*100</f>
        <v>3.853720591389509</v>
      </c>
      <c r="U58" s="1095">
        <f t="shared" si="54"/>
        <v>-17.351959335552912</v>
      </c>
      <c r="V58" s="1095">
        <f t="shared" si="54"/>
        <v>-3.3542524195715462</v>
      </c>
      <c r="W58" s="1095">
        <f t="shared" si="54"/>
        <v>4.5987470981647682</v>
      </c>
      <c r="X58" s="1095">
        <f t="shared" si="54"/>
        <v>3.0945388078617908</v>
      </c>
      <c r="Y58" s="1095">
        <f t="shared" si="54"/>
        <v>4.3134239507887751</v>
      </c>
      <c r="Z58" s="1095">
        <f t="shared" si="54"/>
        <v>3.9665319224824414</v>
      </c>
      <c r="AA58" s="1095">
        <f t="shared" si="54"/>
        <v>3.9764903202443636</v>
      </c>
      <c r="AB58" s="1095">
        <f t="shared" si="54"/>
        <v>4.9353738145373915</v>
      </c>
      <c r="AC58" s="1095">
        <f t="shared" si="54"/>
        <v>3.8909751369404999</v>
      </c>
      <c r="AD58" s="1095">
        <f t="shared" ca="1" si="54"/>
        <v>3.499999999999992</v>
      </c>
      <c r="AE58" s="1095">
        <f t="shared" ca="1" si="54"/>
        <v>3.2999999999999918</v>
      </c>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row>
    <row r="59" spans="1:94" s="699" customFormat="1" ht="12.75" customHeight="1">
      <c r="A59" s="664"/>
      <c r="B59" s="664"/>
      <c r="C59" s="795" t="s">
        <v>1767</v>
      </c>
      <c r="D59" s="674" t="s">
        <v>687</v>
      </c>
      <c r="E59" s="783" t="s">
        <v>821</v>
      </c>
      <c r="F59" s="704" t="s">
        <v>533</v>
      </c>
      <c r="G59" s="1044"/>
      <c r="H59" s="1044">
        <f>+(H52/G52-1)*100</f>
        <v>-0.70218291322577953</v>
      </c>
      <c r="I59" s="1044">
        <f t="shared" ref="I59:S59" si="55">+(I52/H52-1)*100</f>
        <v>3.4160337882479963</v>
      </c>
      <c r="J59" s="1044">
        <f t="shared" si="55"/>
        <v>5.0156327954667068</v>
      </c>
      <c r="K59" s="1044">
        <f t="shared" si="55"/>
        <v>-4.4198117990299046</v>
      </c>
      <c r="L59" s="1044">
        <f t="shared" si="55"/>
        <v>0.22345871660096606</v>
      </c>
      <c r="M59" s="1044">
        <f t="shared" si="55"/>
        <v>1.3605540892593027</v>
      </c>
      <c r="N59" s="1044">
        <f t="shared" si="55"/>
        <v>2.4593939771627937</v>
      </c>
      <c r="O59" s="1044">
        <f t="shared" si="55"/>
        <v>2.919078684026899</v>
      </c>
      <c r="P59" s="1044">
        <f t="shared" si="55"/>
        <v>4.5939341332392081</v>
      </c>
      <c r="Q59" s="1044">
        <f t="shared" si="55"/>
        <v>3.5574155936628493</v>
      </c>
      <c r="R59" s="1044">
        <f t="shared" si="55"/>
        <v>2.1037421147720448</v>
      </c>
      <c r="S59" s="1044">
        <f t="shared" si="55"/>
        <v>1.8506567525384376</v>
      </c>
      <c r="T59" s="1044">
        <f t="shared" si="54"/>
        <v>0.23588844714808044</v>
      </c>
      <c r="U59" s="1044">
        <f t="shared" si="54"/>
        <v>-1.3144310859859787</v>
      </c>
      <c r="V59" s="1044">
        <f t="shared" si="54"/>
        <v>-3.1615262636618624</v>
      </c>
      <c r="W59" s="1044">
        <f t="shared" si="54"/>
        <v>-0.35589875219742551</v>
      </c>
      <c r="X59" s="1044">
        <f t="shared" si="54"/>
        <v>1.2852705291526378</v>
      </c>
      <c r="Y59" s="1044">
        <f t="shared" si="54"/>
        <v>0.72272891610254408</v>
      </c>
      <c r="Z59" s="1044">
        <f t="shared" si="54"/>
        <v>0.28733548938097986</v>
      </c>
      <c r="AA59" s="1044">
        <f t="shared" si="54"/>
        <v>0.16432578821721222</v>
      </c>
      <c r="AB59" s="1044">
        <f t="shared" si="54"/>
        <v>1.2923826522888593</v>
      </c>
      <c r="AC59" s="1044">
        <f t="shared" si="54"/>
        <v>1.1589392464896431</v>
      </c>
      <c r="AD59" s="1044">
        <f t="shared" ca="1" si="54"/>
        <v>1.639999999999997</v>
      </c>
      <c r="AE59" s="1044">
        <f t="shared" ca="1" si="54"/>
        <v>1.540000000000008</v>
      </c>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row>
    <row r="60" spans="1:94" s="699" customFormat="1" ht="12.75" customHeight="1">
      <c r="A60" s="664"/>
      <c r="B60" s="664"/>
      <c r="C60" s="796" t="s">
        <v>1767</v>
      </c>
      <c r="D60" s="691" t="s">
        <v>1706</v>
      </c>
      <c r="E60" s="797" t="s">
        <v>376</v>
      </c>
      <c r="F60" s="736" t="s">
        <v>850</v>
      </c>
      <c r="G60" s="1096"/>
      <c r="H60" s="1096">
        <f>+(H53/G53-1)*100</f>
        <v>21.052143368447961</v>
      </c>
      <c r="I60" s="1096">
        <f t="shared" ref="I60:S60" si="56">+(I53/H53-1)*100</f>
        <v>25.539577706707984</v>
      </c>
      <c r="J60" s="1096">
        <f t="shared" si="56"/>
        <v>21.100038350932927</v>
      </c>
      <c r="K60" s="1096">
        <f t="shared" si="56"/>
        <v>-5.9441297641102402</v>
      </c>
      <c r="L60" s="1096">
        <f t="shared" si="56"/>
        <v>-8.3737695967158743</v>
      </c>
      <c r="M60" s="1096">
        <f t="shared" si="56"/>
        <v>13.18589520055442</v>
      </c>
      <c r="N60" s="1096">
        <f t="shared" si="56"/>
        <v>10.691182506773567</v>
      </c>
      <c r="O60" s="1096">
        <f t="shared" si="56"/>
        <v>13.492945688229208</v>
      </c>
      <c r="P60" s="1096">
        <f t="shared" si="56"/>
        <v>15.723477944641729</v>
      </c>
      <c r="Q60" s="1096">
        <f t="shared" si="56"/>
        <v>11.472066413767458</v>
      </c>
      <c r="R60" s="1096">
        <f t="shared" si="56"/>
        <v>19.593435567110017</v>
      </c>
      <c r="S60" s="1096">
        <f t="shared" si="56"/>
        <v>22.334362987898349</v>
      </c>
      <c r="T60" s="1096">
        <f t="shared" si="54"/>
        <v>-3.9963277056724089</v>
      </c>
      <c r="U60" s="1096">
        <f t="shared" si="54"/>
        <v>-38.902640751074678</v>
      </c>
      <c r="V60" s="1096">
        <f t="shared" si="54"/>
        <v>1.4754443294586528</v>
      </c>
      <c r="W60" s="1096">
        <f t="shared" si="54"/>
        <v>20.146626325032258</v>
      </c>
      <c r="X60" s="1096">
        <f t="shared" si="54"/>
        <v>-1.7782896509459301</v>
      </c>
      <c r="Y60" s="1096">
        <f t="shared" si="54"/>
        <v>8.2995817129866154</v>
      </c>
      <c r="Z60" s="1096">
        <f t="shared" si="54"/>
        <v>5.75191791299281</v>
      </c>
      <c r="AA60" s="1096">
        <f t="shared" si="54"/>
        <v>4.8264990153196852</v>
      </c>
      <c r="AB60" s="1096">
        <f t="shared" si="54"/>
        <v>-0.47086618171282568</v>
      </c>
      <c r="AC60" s="1096">
        <f t="shared" si="54"/>
        <v>7.3037703461852344</v>
      </c>
      <c r="AD60" s="1096">
        <f t="shared" ca="1" si="54"/>
        <v>6.762084236947663</v>
      </c>
      <c r="AE60" s="1096">
        <f t="shared" ca="1" si="54"/>
        <v>4.1647416495982359</v>
      </c>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row>
    <row r="61" spans="1:94" s="699" customFormat="1" ht="12.75" customHeight="1">
      <c r="A61" s="664"/>
      <c r="B61" s="664"/>
      <c r="C61" s="774" t="s">
        <v>1769</v>
      </c>
      <c r="D61" s="717"/>
      <c r="E61" s="1468" t="s">
        <v>1941</v>
      </c>
      <c r="F61" s="723" t="s">
        <v>46</v>
      </c>
      <c r="G61" s="721"/>
      <c r="H61" s="721">
        <f>+(H54/G54-1)*100</f>
        <v>7.5825031524344499</v>
      </c>
      <c r="I61" s="721">
        <f t="shared" ref="I61:AB61" si="57">+(I54/H54-1)*100</f>
        <v>8.8789250778812843</v>
      </c>
      <c r="J61" s="721">
        <f t="shared" si="57"/>
        <v>8.1966570218200197</v>
      </c>
      <c r="K61" s="721">
        <f t="shared" si="57"/>
        <v>0.42226428997069743</v>
      </c>
      <c r="L61" s="721">
        <f t="shared" si="57"/>
        <v>2.490216423518099</v>
      </c>
      <c r="M61" s="721">
        <f t="shared" si="57"/>
        <v>5.1914940732004311</v>
      </c>
      <c r="N61" s="721">
        <f t="shared" si="57"/>
        <v>6.2848080524413819</v>
      </c>
      <c r="O61" s="721">
        <f t="shared" si="57"/>
        <v>10.023612688262261</v>
      </c>
      <c r="P61" s="721">
        <f t="shared" si="57"/>
        <v>11.197330478077493</v>
      </c>
      <c r="Q61" s="721">
        <f t="shared" si="57"/>
        <v>10.137985829179264</v>
      </c>
      <c r="R61" s="721">
        <f t="shared" si="57"/>
        <v>10.186712032597111</v>
      </c>
      <c r="S61" s="721">
        <f t="shared" si="57"/>
        <v>12.920361326552543</v>
      </c>
      <c r="T61" s="721">
        <f t="shared" si="57"/>
        <v>1.2308496096373744</v>
      </c>
      <c r="U61" s="721">
        <f t="shared" si="57"/>
        <v>-19.738740548391142</v>
      </c>
      <c r="V61" s="721">
        <f t="shared" si="57"/>
        <v>-2.5112271051088153</v>
      </c>
      <c r="W61" s="721">
        <f t="shared" si="57"/>
        <v>6.2250621741215317</v>
      </c>
      <c r="X61" s="721">
        <f t="shared" si="57"/>
        <v>1.8534463179261218</v>
      </c>
      <c r="Y61" s="721">
        <f t="shared" si="57"/>
        <v>4.3793729421538252</v>
      </c>
      <c r="Z61" s="721">
        <f t="shared" si="57"/>
        <v>3.6753768570909839</v>
      </c>
      <c r="AA61" s="721">
        <f t="shared" si="57"/>
        <v>3.4931110607300253</v>
      </c>
      <c r="AB61" s="721">
        <f t="shared" si="57"/>
        <v>3.2424898204958863</v>
      </c>
      <c r="AC61" s="1463">
        <f ca="1">IF(UPPER('VVP1'!$F$2)="Y",OFFSET('VVP1'!$G$10,0,5*(COLUMN()-7)),('VVP2'!AC54/'VVP2'!AB54-1)*100)</f>
        <v>4.066932975258819</v>
      </c>
      <c r="AD61" s="1463">
        <f ca="1">IF(UPPER('VVP1'!$F$2)="Y",OFFSET('VVP1'!$G$10,0,5*(COLUMN()-7)),('VVP2'!AD54/'VVP2'!AC54-1)*100)</f>
        <v>3.8087055954553639</v>
      </c>
      <c r="AE61" s="1463">
        <f ca="1">IF(UPPER('VVP1'!$F$2)="Y",OFFSET('VVP1'!$G$10,0,5*(COLUMN()-7)),('VVP2'!AE54/'VVP2'!AD54-1)*100)</f>
        <v>3.1782126669207544</v>
      </c>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row>
    <row r="62" spans="1:94">
      <c r="AB62" s="557"/>
      <c r="AC62" s="557"/>
      <c r="AD62" s="557"/>
      <c r="AE62" s="557"/>
    </row>
    <row r="63" spans="1:94">
      <c r="A63" s="1130"/>
      <c r="D63" s="1175"/>
      <c r="E63" s="1129" t="s">
        <v>499</v>
      </c>
      <c r="F63" s="1176"/>
      <c r="G63" s="707">
        <f>+InputY!$G$3</f>
        <v>1995</v>
      </c>
      <c r="H63" s="707">
        <f>+G63+1</f>
        <v>1996</v>
      </c>
      <c r="I63" s="707">
        <f t="shared" ref="I63:O63" si="58">+H63+1</f>
        <v>1997</v>
      </c>
      <c r="J63" s="707">
        <f t="shared" si="58"/>
        <v>1998</v>
      </c>
      <c r="K63" s="707">
        <f t="shared" si="58"/>
        <v>1999</v>
      </c>
      <c r="L63" s="707">
        <f t="shared" si="58"/>
        <v>2000</v>
      </c>
      <c r="M63" s="707">
        <f t="shared" si="58"/>
        <v>2001</v>
      </c>
      <c r="N63" s="707">
        <f t="shared" si="58"/>
        <v>2002</v>
      </c>
      <c r="O63" s="707">
        <f t="shared" si="58"/>
        <v>2003</v>
      </c>
      <c r="P63" s="707">
        <f t="shared" ref="P63:V63" si="59">+O63+1</f>
        <v>2004</v>
      </c>
      <c r="Q63" s="707">
        <f t="shared" si="59"/>
        <v>2005</v>
      </c>
      <c r="R63" s="707">
        <f t="shared" si="59"/>
        <v>2006</v>
      </c>
      <c r="S63" s="707">
        <f>+R63+1</f>
        <v>2007</v>
      </c>
      <c r="T63" s="707">
        <f t="shared" si="59"/>
        <v>2008</v>
      </c>
      <c r="U63" s="707">
        <f t="shared" si="59"/>
        <v>2009</v>
      </c>
      <c r="V63" s="707">
        <f t="shared" si="59"/>
        <v>2010</v>
      </c>
      <c r="W63" s="707">
        <f t="shared" ref="W63:AE63" si="60">+V63+1</f>
        <v>2011</v>
      </c>
      <c r="X63" s="707">
        <f t="shared" si="60"/>
        <v>2012</v>
      </c>
      <c r="Y63" s="707">
        <f t="shared" si="60"/>
        <v>2013</v>
      </c>
      <c r="Z63" s="707">
        <f t="shared" si="60"/>
        <v>2014</v>
      </c>
      <c r="AA63" s="707">
        <f t="shared" si="60"/>
        <v>2015</v>
      </c>
      <c r="AB63" s="707">
        <f t="shared" si="60"/>
        <v>2016</v>
      </c>
      <c r="AC63" s="707">
        <f t="shared" si="60"/>
        <v>2017</v>
      </c>
      <c r="AD63" s="707">
        <f t="shared" si="60"/>
        <v>2018</v>
      </c>
      <c r="AE63" s="707">
        <f t="shared" si="60"/>
        <v>2019</v>
      </c>
    </row>
    <row r="64" spans="1:94">
      <c r="A64" s="664">
        <f>+ROW(InputY!A39)</f>
        <v>39</v>
      </c>
      <c r="B64" s="665" t="s">
        <v>251</v>
      </c>
      <c r="C64" s="1082"/>
      <c r="D64" s="1086"/>
      <c r="E64" s="1087" t="s">
        <v>1449</v>
      </c>
      <c r="F64" s="1089" t="s">
        <v>1992</v>
      </c>
      <c r="G64" s="1088">
        <f>+InputY!G39/1000</f>
        <v>-2.5132466412478337E-3</v>
      </c>
      <c r="H64" s="1088">
        <f>+InputY!H39/1000</f>
        <v>-2.5216880485268633E-3</v>
      </c>
      <c r="I64" s="1088">
        <f>+InputY!I39/1000</f>
        <v>-4.1039829462738306E-4</v>
      </c>
      <c r="J64" s="1088">
        <f>+InputY!J39/1000</f>
        <v>-7.69705232235702E-4</v>
      </c>
      <c r="K64" s="1088">
        <f>+InputY!K39/1000</f>
        <v>-1.8790728925476604E-3</v>
      </c>
      <c r="L64" s="1088">
        <f>+InputY!L39/1000</f>
        <v>-2.2338725355285963E-3</v>
      </c>
      <c r="M64" s="1088">
        <f>+InputY!M39/1000</f>
        <v>-1.7207965060658582E-3</v>
      </c>
      <c r="N64" s="1088">
        <f>+InputY!N39/1000</f>
        <v>-1.9326654072790298E-4</v>
      </c>
      <c r="O64" s="1088">
        <f>+InputY!O39/1000</f>
        <v>3.7629396707105722E-4</v>
      </c>
      <c r="P64" s="1088">
        <f>+InputY!P39/1000</f>
        <v>1.30522E-2</v>
      </c>
      <c r="Q64" s="1088">
        <f>+InputY!Q39/1000</f>
        <v>0.12232888</v>
      </c>
      <c r="R64" s="1088">
        <f>+InputY!R39/1000</f>
        <v>-0.16091435999999998</v>
      </c>
      <c r="S64" s="1088">
        <f>+InputY!S39/1000</f>
        <v>-0.62409140000000007</v>
      </c>
      <c r="T64" s="1088">
        <f>+InputY!T39/1000</f>
        <v>-1.0151909299999999</v>
      </c>
      <c r="U64" s="1088">
        <f>+InputY!U39/1000</f>
        <v>1.7763466699999999</v>
      </c>
      <c r="V64" s="1088">
        <f>+InputY!V39/1000</f>
        <v>0.31864999999999999</v>
      </c>
      <c r="W64" s="1088">
        <f>+InputY!W39/1000</f>
        <v>0.26089999999999997</v>
      </c>
      <c r="X64" s="1088">
        <f>+InputY!X39/1000</f>
        <v>8.7174920000000003E-2</v>
      </c>
      <c r="Y64" s="1088">
        <f>+InputY!Y39/1000</f>
        <v>2.482939E-2</v>
      </c>
      <c r="Z64" s="1088">
        <f>+InputY!Z39/1000</f>
        <v>1.8889160000000002E-2</v>
      </c>
      <c r="AA64" s="1088">
        <f>+InputY!AA39/1000</f>
        <v>0.51474562999999995</v>
      </c>
      <c r="AB64" s="1088">
        <f>+InputY!AB39/1000</f>
        <v>0.10346545</v>
      </c>
      <c r="AC64" s="1088">
        <f>+InputY!AC39/1000</f>
        <v>0.14906469999999999</v>
      </c>
      <c r="AD64" s="1343">
        <f ca="1">IF(AC64&lt;0,+AC64*(1-AD67/100),+AC64*(1+AD67/100))</f>
        <v>0.14906469999999999</v>
      </c>
      <c r="AE64" s="1343">
        <f ca="1">IF(AD64&lt;0,+AD64*(1-AE67/100),+AD64*(1+AE67/100))</f>
        <v>0.14906469999999999</v>
      </c>
    </row>
    <row r="65" spans="1:94">
      <c r="AB65" s="557"/>
      <c r="AC65" s="557"/>
      <c r="AD65" s="557"/>
      <c r="AE65" s="557"/>
    </row>
    <row r="66" spans="1:94" s="699" customFormat="1" ht="12.75" customHeight="1">
      <c r="A66" s="664"/>
      <c r="B66" s="664"/>
      <c r="C66" s="774"/>
      <c r="D66" s="1092"/>
      <c r="E66" s="1093" t="s">
        <v>636</v>
      </c>
      <c r="F66" s="1094"/>
      <c r="G66" s="896">
        <f>+InputY!$G$3</f>
        <v>1995</v>
      </c>
      <c r="H66" s="896">
        <f>+G66+1</f>
        <v>1996</v>
      </c>
      <c r="I66" s="896">
        <f t="shared" ref="I66:O66" si="61">+H66+1</f>
        <v>1997</v>
      </c>
      <c r="J66" s="896">
        <f t="shared" si="61"/>
        <v>1998</v>
      </c>
      <c r="K66" s="896">
        <f t="shared" si="61"/>
        <v>1999</v>
      </c>
      <c r="L66" s="896">
        <f t="shared" si="61"/>
        <v>2000</v>
      </c>
      <c r="M66" s="896">
        <f t="shared" si="61"/>
        <v>2001</v>
      </c>
      <c r="N66" s="896">
        <f t="shared" si="61"/>
        <v>2002</v>
      </c>
      <c r="O66" s="896">
        <f t="shared" si="61"/>
        <v>2003</v>
      </c>
      <c r="P66" s="896">
        <f t="shared" ref="P66:V66" si="62">+O66+1</f>
        <v>2004</v>
      </c>
      <c r="Q66" s="896">
        <f t="shared" si="62"/>
        <v>2005</v>
      </c>
      <c r="R66" s="896">
        <f t="shared" si="62"/>
        <v>2006</v>
      </c>
      <c r="S66" s="896">
        <f>+R66+1</f>
        <v>2007</v>
      </c>
      <c r="T66" s="896">
        <f t="shared" si="62"/>
        <v>2008</v>
      </c>
      <c r="U66" s="896">
        <f t="shared" si="62"/>
        <v>2009</v>
      </c>
      <c r="V66" s="896">
        <f t="shared" si="62"/>
        <v>2010</v>
      </c>
      <c r="W66" s="896">
        <f t="shared" ref="W66:AE66" si="63">+V66+1</f>
        <v>2011</v>
      </c>
      <c r="X66" s="896">
        <f t="shared" si="63"/>
        <v>2012</v>
      </c>
      <c r="Y66" s="896">
        <f t="shared" si="63"/>
        <v>2013</v>
      </c>
      <c r="Z66" s="896">
        <f t="shared" si="63"/>
        <v>2014</v>
      </c>
      <c r="AA66" s="896">
        <f t="shared" si="63"/>
        <v>2015</v>
      </c>
      <c r="AB66" s="896">
        <f t="shared" si="63"/>
        <v>2016</v>
      </c>
      <c r="AC66" s="896">
        <f t="shared" si="63"/>
        <v>2017</v>
      </c>
      <c r="AD66" s="896">
        <f t="shared" si="63"/>
        <v>2018</v>
      </c>
      <c r="AE66" s="896">
        <f t="shared" si="63"/>
        <v>2019</v>
      </c>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row>
    <row r="67" spans="1:94" s="699" customFormat="1" ht="12.75" customHeight="1">
      <c r="A67" s="664"/>
      <c r="B67" s="664"/>
      <c r="C67" s="798"/>
      <c r="D67" s="833"/>
      <c r="E67" s="834" t="s">
        <v>1449</v>
      </c>
      <c r="F67" s="1114" t="s">
        <v>1992</v>
      </c>
      <c r="G67" s="1115"/>
      <c r="H67" s="1115">
        <f>+(H64/G64-1)*100</f>
        <v>0.33587659645049062</v>
      </c>
      <c r="I67" s="1115">
        <f t="shared" ref="I67:AC67" si="64">+(I64/H64-1)*100</f>
        <v>-83.725255196925247</v>
      </c>
      <c r="J67" s="1115">
        <f t="shared" si="64"/>
        <v>87.550787201625184</v>
      </c>
      <c r="K67" s="1115">
        <f t="shared" si="64"/>
        <v>144.12889686220086</v>
      </c>
      <c r="L67" s="1115">
        <f t="shared" si="64"/>
        <v>18.881632766246547</v>
      </c>
      <c r="M67" s="1115">
        <f t="shared" si="64"/>
        <v>-22.968008304078559</v>
      </c>
      <c r="N67" s="1115">
        <f t="shared" si="64"/>
        <v>-88.768774224806208</v>
      </c>
      <c r="O67" s="1115">
        <f t="shared" si="64"/>
        <v>-294.70207603127523</v>
      </c>
      <c r="P67" s="1115">
        <f t="shared" si="64"/>
        <v>3368.6179269877307</v>
      </c>
      <c r="Q67" s="1115">
        <f t="shared" si="64"/>
        <v>837.2280535082208</v>
      </c>
      <c r="R67" s="1115">
        <f t="shared" si="64"/>
        <v>-231.54241255212992</v>
      </c>
      <c r="S67" s="1115">
        <f>+(S64/R64-1)*100</f>
        <v>287.84071228944401</v>
      </c>
      <c r="T67" s="1115">
        <f t="shared" si="64"/>
        <v>62.667027618070016</v>
      </c>
      <c r="U67" s="1115">
        <f t="shared" si="64"/>
        <v>-274.9766095723491</v>
      </c>
      <c r="V67" s="1115">
        <f t="shared" si="64"/>
        <v>-82.061497038750886</v>
      </c>
      <c r="W67" s="1115">
        <f t="shared" si="64"/>
        <v>-18.123332810293434</v>
      </c>
      <c r="X67" s="1115">
        <f t="shared" si="64"/>
        <v>-66.586845534687612</v>
      </c>
      <c r="Y67" s="1115">
        <f t="shared" si="64"/>
        <v>-71.517736982150367</v>
      </c>
      <c r="Z67" s="1115">
        <f t="shared" si="64"/>
        <v>-23.924188230157885</v>
      </c>
      <c r="AA67" s="1115">
        <f t="shared" si="64"/>
        <v>2625.0848105474242</v>
      </c>
      <c r="AB67" s="1115">
        <f t="shared" si="64"/>
        <v>-79.899693368936425</v>
      </c>
      <c r="AC67" s="1115">
        <f t="shared" si="64"/>
        <v>44.071958320386173</v>
      </c>
      <c r="AD67" s="1427">
        <f ca="1">OFFSET('VVP1'!$G$81,0,5*(COLUMN()-7))</f>
        <v>0</v>
      </c>
      <c r="AE67" s="1427">
        <f ca="1">OFFSET('VVP1'!$G$81,0,5*(COLUMN()-7))</f>
        <v>0</v>
      </c>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row>
    <row r="68" spans="1:94">
      <c r="AB68" s="557"/>
      <c r="AC68" s="557"/>
      <c r="AD68" s="557"/>
      <c r="AE68" s="557"/>
    </row>
    <row r="69" spans="1:94">
      <c r="A69" s="1130"/>
      <c r="D69" s="1175"/>
      <c r="E69" s="1129" t="s">
        <v>1942</v>
      </c>
      <c r="F69" s="1176"/>
      <c r="G69" s="707">
        <f>+InputY!$G$3</f>
        <v>1995</v>
      </c>
      <c r="H69" s="707">
        <f>+G69+1</f>
        <v>1996</v>
      </c>
      <c r="I69" s="707">
        <f t="shared" ref="I69:O69" si="65">+H69+1</f>
        <v>1997</v>
      </c>
      <c r="J69" s="707">
        <f t="shared" si="65"/>
        <v>1998</v>
      </c>
      <c r="K69" s="707">
        <f t="shared" si="65"/>
        <v>1999</v>
      </c>
      <c r="L69" s="707">
        <f t="shared" si="65"/>
        <v>2000</v>
      </c>
      <c r="M69" s="707">
        <f t="shared" si="65"/>
        <v>2001</v>
      </c>
      <c r="N69" s="707">
        <f t="shared" si="65"/>
        <v>2002</v>
      </c>
      <c r="O69" s="707">
        <f t="shared" si="65"/>
        <v>2003</v>
      </c>
      <c r="P69" s="707">
        <f t="shared" ref="P69:V69" si="66">+O69+1</f>
        <v>2004</v>
      </c>
      <c r="Q69" s="707">
        <f t="shared" si="66"/>
        <v>2005</v>
      </c>
      <c r="R69" s="707">
        <f t="shared" si="66"/>
        <v>2006</v>
      </c>
      <c r="S69" s="707">
        <f>+R69+1</f>
        <v>2007</v>
      </c>
      <c r="T69" s="707">
        <f t="shared" si="66"/>
        <v>2008</v>
      </c>
      <c r="U69" s="707">
        <f t="shared" si="66"/>
        <v>2009</v>
      </c>
      <c r="V69" s="707">
        <f t="shared" si="66"/>
        <v>2010</v>
      </c>
      <c r="W69" s="707">
        <f t="shared" ref="W69:AE69" si="67">+V69+1</f>
        <v>2011</v>
      </c>
      <c r="X69" s="707">
        <f t="shared" si="67"/>
        <v>2012</v>
      </c>
      <c r="Y69" s="707">
        <f t="shared" si="67"/>
        <v>2013</v>
      </c>
      <c r="Z69" s="707">
        <f t="shared" si="67"/>
        <v>2014</v>
      </c>
      <c r="AA69" s="707">
        <f t="shared" si="67"/>
        <v>2015</v>
      </c>
      <c r="AB69" s="707">
        <f t="shared" si="67"/>
        <v>2016</v>
      </c>
      <c r="AC69" s="707">
        <f t="shared" si="67"/>
        <v>2017</v>
      </c>
      <c r="AD69" s="707">
        <f t="shared" si="67"/>
        <v>2018</v>
      </c>
      <c r="AE69" s="707">
        <f t="shared" si="67"/>
        <v>2019</v>
      </c>
    </row>
    <row r="70" spans="1:94">
      <c r="A70" s="664"/>
      <c r="C70" s="1079" t="s">
        <v>1767</v>
      </c>
      <c r="D70" s="1058"/>
      <c r="E70" s="1038" t="s">
        <v>1941</v>
      </c>
      <c r="F70" s="1058"/>
      <c r="G70" s="1084">
        <f>+G54</f>
        <v>14.579253810129012</v>
      </c>
      <c r="H70" s="1084">
        <f t="shared" ref="H70:O70" si="68">+H54</f>
        <v>15.684726189883465</v>
      </c>
      <c r="I70" s="1084">
        <f t="shared" si="68"/>
        <v>17.07736127695404</v>
      </c>
      <c r="J70" s="1084">
        <f t="shared" si="68"/>
        <v>18.477134009203066</v>
      </c>
      <c r="K70" s="1084">
        <f t="shared" si="68"/>
        <v>18.555156347933963</v>
      </c>
      <c r="L70" s="1084">
        <f t="shared" si="68"/>
        <v>19.017219898719677</v>
      </c>
      <c r="M70" s="1084">
        <f t="shared" si="68"/>
        <v>20.004497742649203</v>
      </c>
      <c r="N70" s="1084">
        <f t="shared" si="68"/>
        <v>21.261742027629673</v>
      </c>
      <c r="O70" s="1084">
        <f t="shared" si="68"/>
        <v>23.392936699256751</v>
      </c>
      <c r="P70" s="1084">
        <f t="shared" ref="P70:V70" si="69">+P54</f>
        <v>26.01232113</v>
      </c>
      <c r="Q70" s="1084">
        <f t="shared" si="69"/>
        <v>28.649446560000001</v>
      </c>
      <c r="R70" s="1084">
        <f t="shared" si="69"/>
        <v>31.567883179999999</v>
      </c>
      <c r="S70" s="1084">
        <f>+S54</f>
        <v>35.646567750000003</v>
      </c>
      <c r="T70" s="1084">
        <f t="shared" si="69"/>
        <v>36.085323389999999</v>
      </c>
      <c r="U70" s="1084">
        <f t="shared" si="69"/>
        <v>28.962535029999998</v>
      </c>
      <c r="V70" s="1084">
        <f t="shared" si="69"/>
        <v>28.235220000000002</v>
      </c>
      <c r="W70" s="1084">
        <f t="shared" ref="W70:AB70" si="70">+W54</f>
        <v>29.99288</v>
      </c>
      <c r="X70" s="1084">
        <f t="shared" si="70"/>
        <v>30.548781930000001</v>
      </c>
      <c r="Y70" s="1084">
        <f t="shared" si="70"/>
        <v>31.886627019999999</v>
      </c>
      <c r="Z70" s="1084">
        <f t="shared" si="70"/>
        <v>33.058580730000003</v>
      </c>
      <c r="AA70" s="1084">
        <f t="shared" si="70"/>
        <v>34.213353669999996</v>
      </c>
      <c r="AB70" s="1084">
        <f t="shared" si="70"/>
        <v>35.322718180000003</v>
      </c>
      <c r="AC70" s="1084">
        <f>+AC54</f>
        <v>36.759275770000002</v>
      </c>
      <c r="AD70" s="1084">
        <f ca="1">+AD54</f>
        <v>38.159328363100862</v>
      </c>
      <c r="AE70" s="1084">
        <f ca="1">+AE54</f>
        <v>39.372112970748816</v>
      </c>
    </row>
    <row r="71" spans="1:94">
      <c r="A71" s="664"/>
      <c r="C71" s="1081" t="s">
        <v>1767</v>
      </c>
      <c r="D71" s="1077"/>
      <c r="E71" s="1039" t="s">
        <v>1449</v>
      </c>
      <c r="F71" s="1077" t="s">
        <v>1992</v>
      </c>
      <c r="G71" s="1062">
        <f>+G64</f>
        <v>-2.5132466412478337E-3</v>
      </c>
      <c r="H71" s="1062">
        <f t="shared" ref="H71:O71" si="71">+H64</f>
        <v>-2.5216880485268633E-3</v>
      </c>
      <c r="I71" s="1062">
        <f t="shared" si="71"/>
        <v>-4.1039829462738306E-4</v>
      </c>
      <c r="J71" s="1062">
        <f t="shared" si="71"/>
        <v>-7.69705232235702E-4</v>
      </c>
      <c r="K71" s="1062">
        <f t="shared" si="71"/>
        <v>-1.8790728925476604E-3</v>
      </c>
      <c r="L71" s="1062">
        <f t="shared" si="71"/>
        <v>-2.2338725355285963E-3</v>
      </c>
      <c r="M71" s="1062">
        <f t="shared" si="71"/>
        <v>-1.7207965060658582E-3</v>
      </c>
      <c r="N71" s="1062">
        <f t="shared" si="71"/>
        <v>-1.9326654072790298E-4</v>
      </c>
      <c r="O71" s="1062">
        <f t="shared" si="71"/>
        <v>3.7629396707105722E-4</v>
      </c>
      <c r="P71" s="1062">
        <f t="shared" ref="P71:V71" si="72">+P64</f>
        <v>1.30522E-2</v>
      </c>
      <c r="Q71" s="1062">
        <f t="shared" si="72"/>
        <v>0.12232888</v>
      </c>
      <c r="R71" s="1062">
        <f t="shared" si="72"/>
        <v>-0.16091435999999998</v>
      </c>
      <c r="S71" s="1062">
        <f>+S64</f>
        <v>-0.62409140000000007</v>
      </c>
      <c r="T71" s="1062">
        <f t="shared" si="72"/>
        <v>-1.0151909299999999</v>
      </c>
      <c r="U71" s="1062">
        <f t="shared" si="72"/>
        <v>1.7763466699999999</v>
      </c>
      <c r="V71" s="1062">
        <f t="shared" si="72"/>
        <v>0.31864999999999999</v>
      </c>
      <c r="W71" s="1062">
        <f t="shared" ref="W71:AB71" si="73">+W64</f>
        <v>0.26089999999999997</v>
      </c>
      <c r="X71" s="1062">
        <f t="shared" si="73"/>
        <v>8.7174920000000003E-2</v>
      </c>
      <c r="Y71" s="1062">
        <f t="shared" si="73"/>
        <v>2.482939E-2</v>
      </c>
      <c r="Z71" s="1062">
        <f t="shared" si="73"/>
        <v>1.8889160000000002E-2</v>
      </c>
      <c r="AA71" s="1062">
        <f t="shared" si="73"/>
        <v>0.51474562999999995</v>
      </c>
      <c r="AB71" s="1062">
        <f t="shared" si="73"/>
        <v>0.10346545</v>
      </c>
      <c r="AC71" s="1062">
        <f>+AC64</f>
        <v>0.14906469999999999</v>
      </c>
      <c r="AD71" s="1062">
        <f ca="1">+AD64</f>
        <v>0.14906469999999999</v>
      </c>
      <c r="AE71" s="1062">
        <f ca="1">+AE64</f>
        <v>0.14906469999999999</v>
      </c>
    </row>
    <row r="72" spans="1:94">
      <c r="A72" s="664">
        <f>+ROW(InputY!A42)</f>
        <v>42</v>
      </c>
      <c r="B72" s="664"/>
      <c r="C72" s="694" t="s">
        <v>1769</v>
      </c>
      <c r="D72" s="1177"/>
      <c r="E72" s="1461" t="s">
        <v>1942</v>
      </c>
      <c r="F72" s="1460" t="s">
        <v>47</v>
      </c>
      <c r="G72" s="1184">
        <f>+InputY!G42/1000</f>
        <v>13.836275402676117</v>
      </c>
      <c r="H72" s="1184">
        <f>+InputY!H42/1000</f>
        <v>15.044402112619391</v>
      </c>
      <c r="I72" s="1184">
        <f>+InputY!I42/1000</f>
        <v>16.904520540333646</v>
      </c>
      <c r="J72" s="1184">
        <f>+InputY!J42/1000</f>
        <v>18.287507990920549</v>
      </c>
      <c r="K72" s="1184">
        <f>+InputY!K42/1000</f>
        <v>18.187110671109533</v>
      </c>
      <c r="L72" s="1184">
        <f>+InputY!L42/1000</f>
        <v>18.575447364388694</v>
      </c>
      <c r="M72" s="1184">
        <f>+InputY!M42/1000</f>
        <v>19.65684720975181</v>
      </c>
      <c r="N72" s="1184">
        <f>+InputY!N42/1000</f>
        <v>21.1194781462228</v>
      </c>
      <c r="O72" s="1184">
        <f>+InputY!O42/1000</f>
        <v>23.318488136288344</v>
      </c>
      <c r="P72" s="1184">
        <f>+InputY!P42/1000</f>
        <v>26.40723272</v>
      </c>
      <c r="Q72" s="1184">
        <f>+InputY!Q42/1000</f>
        <v>28.643457320000003</v>
      </c>
      <c r="R72" s="1184">
        <f>+InputY!R42/1000</f>
        <v>31.129453789999999</v>
      </c>
      <c r="S72" s="1184">
        <f>+InputY!S42/1000</f>
        <v>35.771466449999998</v>
      </c>
      <c r="T72" s="1184">
        <f>+InputY!T42/1000</f>
        <v>36.898166749999994</v>
      </c>
      <c r="U72" s="1184">
        <f>+InputY!U42/1000</f>
        <v>28.05370173</v>
      </c>
      <c r="V72" s="1184">
        <f>+InputY!V42/1000</f>
        <v>28.55387</v>
      </c>
      <c r="W72" s="1184">
        <f>+InputY!W42/1000</f>
        <v>30.253779999999999</v>
      </c>
      <c r="X72" s="1184">
        <f>+InputY!X42/1000</f>
        <v>30.162026480000002</v>
      </c>
      <c r="Y72" s="1184">
        <f>+InputY!Y42/1000</f>
        <v>31.017061699999999</v>
      </c>
      <c r="Z72" s="1184">
        <f>+InputY!Z42/1000</f>
        <v>32.070553260000004</v>
      </c>
      <c r="AA72" s="1184">
        <f>+InputY!AA42/1000</f>
        <v>34.438025119999999</v>
      </c>
      <c r="AB72" s="1184">
        <f>+InputY!AB42/1000</f>
        <v>35.266515149999996</v>
      </c>
      <c r="AC72" s="1464">
        <f ca="1">IF(UPPER('VVP1'!$F$2)="Y",+AB72*(1+AC78/100),+AC70+AC71)</f>
        <v>36.725054851007108</v>
      </c>
      <c r="AD72" s="1464">
        <f ca="1">IF(UPPER('VVP1'!$F$2)="Y",+AC72*(1+AD78/100),+AD70+AD71)</f>
        <v>38.14587641386899</v>
      </c>
      <c r="AE72" s="1464">
        <f ca="1">IF(UPPER('VVP1'!$F$2)="Y",+AD72*(1+AE78/100),+AE70+AE71)</f>
        <v>39.376147701025829</v>
      </c>
    </row>
    <row r="73" spans="1:94" s="699" customFormat="1" ht="12.75" customHeight="1">
      <c r="A73" s="664"/>
      <c r="B73" s="664"/>
      <c r="C73" s="774"/>
      <c r="D73" s="1973"/>
      <c r="E73" s="1973" t="s">
        <v>737</v>
      </c>
      <c r="F73" s="1973"/>
      <c r="G73" s="1002"/>
      <c r="H73" s="1002">
        <f ca="1">ABS(IF('VVP1'!$F$2="Y",OFFSET('VVP1'!$G$12,0,5*(COLUMN()-7)+1)-OFFSET('VVP1'!$G$7,0,5*(COLUMN()-7)+1)-OFFSET('VVP1'!$G$8,0,5*(COLUMN()-7)+1)-OFFSET('VVP1'!$G$9,0,5*(COLUMN()-7)+1)-OFFSET('VVP1'!$G$11,0,5*(COLUMN()-7)+1),ABS(H72-H70-H71)))</f>
        <v>3.8001651733166053E-3</v>
      </c>
      <c r="I73" s="1002">
        <f ca="1">ABS(IF('VVP1'!$F$2="Y",OFFSET('VVP1'!$G$12,0,5*(COLUMN()-7)+1)-OFFSET('VVP1'!$G$7,0,5*(COLUMN()-7)+1)-OFFSET('VVP1'!$G$8,0,5*(COLUMN()-7)+1)-OFFSET('VVP1'!$G$9,0,5*(COLUMN()-7)+1)-OFFSET('VVP1'!$G$11,0,5*(COLUMN()-7)+1),ABS(I72-I70-I71)))</f>
        <v>2.2122257829342296E-3</v>
      </c>
      <c r="J73" s="1002">
        <f ca="1">ABS(IF('VVP1'!$F$2="Y",OFFSET('VVP1'!$G$12,0,5*(COLUMN()-7)+1)-OFFSET('VVP1'!$G$7,0,5*(COLUMN()-7)+1)-OFFSET('VVP1'!$G$8,0,5*(COLUMN()-7)+1)-OFFSET('VVP1'!$G$9,0,5*(COLUMN()-7)+1)-OFFSET('VVP1'!$G$11,0,5*(COLUMN()-7)+1),ABS(J72-J70-J71)))</f>
        <v>8.1449165506120025E-4</v>
      </c>
      <c r="K73" s="1002">
        <f ca="1">ABS(IF('VVP1'!$F$2="Y",OFFSET('VVP1'!$G$12,0,5*(COLUMN()-7)+1)-OFFSET('VVP1'!$G$7,0,5*(COLUMN()-7)+1)-OFFSET('VVP1'!$G$8,0,5*(COLUMN()-7)+1)-OFFSET('VVP1'!$G$9,0,5*(COLUMN()-7)+1)-OFFSET('VVP1'!$G$11,0,5*(COLUMN()-7)+1),ABS(K72-K70-K71)))</f>
        <v>6.8925093440075358E-4</v>
      </c>
      <c r="L73" s="1002">
        <f ca="1">ABS(IF('VVP1'!$F$2="Y",OFFSET('VVP1'!$G$12,0,5*(COLUMN()-7)+1)-OFFSET('VVP1'!$G$7,0,5*(COLUMN()-7)+1)-OFFSET('VVP1'!$G$8,0,5*(COLUMN()-7)+1)-OFFSET('VVP1'!$G$9,0,5*(COLUMN()-7)+1)-OFFSET('VVP1'!$G$11,0,5*(COLUMN()-7)+1),ABS(L72-L70-L71)))</f>
        <v>2.4343308552676746E-4</v>
      </c>
      <c r="M73" s="1002">
        <f ca="1">ABS(IF('VVP1'!$F$2="Y",OFFSET('VVP1'!$G$12,0,5*(COLUMN()-7)+1)-OFFSET('VVP1'!$G$7,0,5*(COLUMN()-7)+1)-OFFSET('VVP1'!$G$8,0,5*(COLUMN()-7)+1)-OFFSET('VVP1'!$G$9,0,5*(COLUMN()-7)+1)-OFFSET('VVP1'!$G$11,0,5*(COLUMN()-7)+1),ABS(M72-M70-M71)))</f>
        <v>4.1677593105706734E-3</v>
      </c>
      <c r="N73" s="1002">
        <f ca="1">ABS(IF('VVP1'!$F$2="Y",OFFSET('VVP1'!$G$12,0,5*(COLUMN()-7)+1)-OFFSET('VVP1'!$G$7,0,5*(COLUMN()-7)+1)-OFFSET('VVP1'!$G$8,0,5*(COLUMN()-7)+1)-OFFSET('VVP1'!$G$9,0,5*(COLUMN()-7)+1)-OFFSET('VVP1'!$G$11,0,5*(COLUMN()-7)+1),ABS(N72-N70-N71)))</f>
        <v>2.3191715707708838E-3</v>
      </c>
      <c r="O73" s="1002">
        <f ca="1">ABS(IF('VVP1'!$F$2="Y",OFFSET('VVP1'!$G$12,0,5*(COLUMN()-7)+1)-OFFSET('VVP1'!$G$7,0,5*(COLUMN()-7)+1)-OFFSET('VVP1'!$G$8,0,5*(COLUMN()-7)+1)-OFFSET('VVP1'!$G$9,0,5*(COLUMN()-7)+1)-OFFSET('VVP1'!$G$11,0,5*(COLUMN()-7)+1),ABS(O72-O70-O71)))</f>
        <v>3.7856923590497971E-3</v>
      </c>
      <c r="P73" s="1002">
        <f ca="1">ABS(IF('VVP1'!$F$2="Y",OFFSET('VVP1'!$G$12,0,5*(COLUMN()-7)+1)-OFFSET('VVP1'!$G$7,0,5*(COLUMN()-7)+1)-OFFSET('VVP1'!$G$8,0,5*(COLUMN()-7)+1)-OFFSET('VVP1'!$G$9,0,5*(COLUMN()-7)+1)-OFFSET('VVP1'!$G$11,0,5*(COLUMN()-7)+1),ABS(P72-P70-P71)))</f>
        <v>9.3645241084061581E-4</v>
      </c>
      <c r="Q73" s="1002">
        <f ca="1">ABS(IF('VVP1'!$F$2="Y",OFFSET('VVP1'!$G$12,0,5*(COLUMN()-7)+1)-OFFSET('VVP1'!$G$7,0,5*(COLUMN()-7)+1)-OFFSET('VVP1'!$G$8,0,5*(COLUMN()-7)+1)-OFFSET('VVP1'!$G$9,0,5*(COLUMN()-7)+1)-OFFSET('VVP1'!$G$11,0,5*(COLUMN()-7)+1),ABS(Q72-Q70-Q71)))</f>
        <v>4.1298300414993605E-6</v>
      </c>
      <c r="R73" s="1002">
        <f ca="1">ABS(IF('VVP1'!$F$2="Y",OFFSET('VVP1'!$G$12,0,5*(COLUMN()-7)+1)-OFFSET('VVP1'!$G$7,0,5*(COLUMN()-7)+1)-OFFSET('VVP1'!$G$8,0,5*(COLUMN()-7)+1)-OFFSET('VVP1'!$G$9,0,5*(COLUMN()-7)+1)-OFFSET('VVP1'!$G$11,0,5*(COLUMN()-7)+1),ABS(R72-R70-R71)))</f>
        <v>6.7089530491060145E-6</v>
      </c>
      <c r="S73" s="1002">
        <f ca="1">ABS(IF('VVP1'!$F$2="Y",OFFSET('VVP1'!$G$12,0,5*(COLUMN()-7)+1)-OFFSET('VVP1'!$G$7,0,5*(COLUMN()-7)+1)-OFFSET('VVP1'!$G$8,0,5*(COLUMN()-7)+1)-OFFSET('VVP1'!$G$9,0,5*(COLUMN()-7)+1)-OFFSET('VVP1'!$G$11,0,5*(COLUMN()-7)+1),ABS(S72-S70-S71)))</f>
        <v>9.8619028499058459E-8</v>
      </c>
      <c r="T73" s="2906">
        <f ca="1">ABS(IF('VVP1'!$F$2="Y",OFFSET('VVP1'!$G$12,0,5*(COLUMN()-7)+1)-OFFSET('VVP1'!$G$7,0,5*(COLUMN()-7)+1)-OFFSET('VVP1'!$G$8,0,5*(COLUMN()-7)+1)-OFFSET('VVP1'!$G$9,0,5*(COLUMN()-7)+1)-OFFSET('VVP1'!$G$11,0,5*(COLUMN()-7)+1),ABS(T72-T70-T71)))</f>
        <v>1.2036373453483407E-6</v>
      </c>
      <c r="U73" s="2906">
        <f ca="1">ABS(IF('VVP1'!$F$2="Y",OFFSET('VVP1'!$G$12,0,5*(COLUMN()-7)+1)-OFFSET('VVP1'!$G$7,0,5*(COLUMN()-7)+1)-OFFSET('VVP1'!$G$8,0,5*(COLUMN()-7)+1)-OFFSET('VVP1'!$G$9,0,5*(COLUMN()-7)+1)-OFFSET('VVP1'!$G$11,0,5*(COLUMN()-7)+1),ABS(U72-U70-U71)))</f>
        <v>4.3809192069588221E-6</v>
      </c>
      <c r="V73" s="2906">
        <f ca="1">ABS(IF('VVP1'!$F$2="Y",OFFSET('VVP1'!$G$12,0,5*(COLUMN()-7)+1)-OFFSET('VVP1'!$G$7,0,5*(COLUMN()-7)+1)-OFFSET('VVP1'!$G$8,0,5*(COLUMN()-7)+1)-OFFSET('VVP1'!$G$9,0,5*(COLUMN()-7)+1)-OFFSET('VVP1'!$G$11,0,5*(COLUMN()-7)+1),ABS(V72-V70-V71)))</f>
        <v>1.1641128022432667E-5</v>
      </c>
      <c r="W73" s="2906">
        <f ca="1">ABS(IF('VVP1'!$F$2="Y",OFFSET('VVP1'!$G$12,0,5*(COLUMN()-7)+1)-OFFSET('VVP1'!$G$7,0,5*(COLUMN()-7)+1)-OFFSET('VVP1'!$G$8,0,5*(COLUMN()-7)+1)-OFFSET('VVP1'!$G$9,0,5*(COLUMN()-7)+1)-OFFSET('VVP1'!$G$11,0,5*(COLUMN()-7)+1),ABS(W72-W70-W71)))</f>
        <v>6.2172489379008766E-15</v>
      </c>
      <c r="X73" s="2906">
        <f ca="1">ABS(IF('VVP1'!$F$2="Y",OFFSET('VVP1'!$G$12,0,5*(COLUMN()-7)+1)-OFFSET('VVP1'!$G$7,0,5*(COLUMN()-7)+1)-OFFSET('VVP1'!$G$8,0,5*(COLUMN()-7)+1)-OFFSET('VVP1'!$G$9,0,5*(COLUMN()-7)+1)-OFFSET('VVP1'!$G$11,0,5*(COLUMN()-7)+1),ABS(X72-X70-X71)))</f>
        <v>4.540159770805019E-6</v>
      </c>
      <c r="Y73" s="2906">
        <f ca="1">ABS(IF('VVP1'!$F$2="Y",OFFSET('VVP1'!$G$12,0,5*(COLUMN()-7)+1)-OFFSET('VVP1'!$G$7,0,5*(COLUMN()-7)+1)-OFFSET('VVP1'!$G$8,0,5*(COLUMN()-7)+1)-OFFSET('VVP1'!$G$9,0,5*(COLUMN()-7)+1)-OFFSET('VVP1'!$G$11,0,5*(COLUMN()-7)+1),ABS(Y72-Y70-Y71)))</f>
        <v>2.0104454501179703E-6</v>
      </c>
      <c r="Z73" s="2906">
        <f ca="1">ABS(IF('VVP1'!$F$2="Y",OFFSET('VVP1'!$G$12,0,5*(COLUMN()-7)+1)-OFFSET('VVP1'!$G$7,0,5*(COLUMN()-7)+1)-OFFSET('VVP1'!$G$8,0,5*(COLUMN()-7)+1)-OFFSET('VVP1'!$G$9,0,5*(COLUMN()-7)+1)-OFFSET('VVP1'!$G$11,0,5*(COLUMN()-7)+1),ABS(Z72-Z70-Z71)))</f>
        <v>1.1017852363792713E-5</v>
      </c>
      <c r="AA73" s="2906">
        <f ca="1">ABS(IF('VVP1'!$F$2="Y",OFFSET('VVP1'!$G$12,0,5*(COLUMN()-7)+1)-OFFSET('VVP1'!$G$7,0,5*(COLUMN()-7)+1)-OFFSET('VVP1'!$G$8,0,5*(COLUMN()-7)+1)-OFFSET('VVP1'!$G$9,0,5*(COLUMN()-7)+1)-OFFSET('VVP1'!$G$11,0,5*(COLUMN()-7)+1),ABS(AA72-AA70-AA71)))</f>
        <v>7.2811312037401876E-6</v>
      </c>
      <c r="AB73" s="2906">
        <f ca="1">ABS(IF('VVP1'!$F$2="Y",OFFSET('VVP1'!$G$12,0,5*(COLUMN()-7)+1)-OFFSET('VVP1'!$G$7,0,5*(COLUMN()-7)+1)-OFFSET('VVP1'!$G$8,0,5*(COLUMN()-7)+1)-OFFSET('VVP1'!$G$9,0,5*(COLUMN()-7)+1)-OFFSET('VVP1'!$G$11,0,5*(COLUMN()-7)+1),ABS(AB72-AB70-AB71)))</f>
        <v>2.0932363877790294E-6</v>
      </c>
      <c r="AC73" s="2906">
        <f ca="1">ABS(IF('VVP1'!$F$2="Y",OFFSET('VVP1'!$G$12,0,5*(COLUMN()-7)+1)-OFFSET('VVP1'!$G$7,0,5*(COLUMN()-7)+1)-OFFSET('VVP1'!$G$8,0,5*(COLUMN()-7)+1)-OFFSET('VVP1'!$G$9,0,5*(COLUMN()-7)+1)-OFFSET('VVP1'!$G$11,0,5*(COLUMN()-7)+1),ABS(AC72-AC70-AC71)))</f>
        <v>2.4424906541753444E-15</v>
      </c>
      <c r="AD73" s="2906">
        <f ca="1">ABS(IF('VVP1'!$F$2="Y",OFFSET('VVP1'!$G$12,0,5*(COLUMN()-7)+1)-OFFSET('VVP1'!$G$7,0,5*(COLUMN()-7)+1)-OFFSET('VVP1'!$G$8,0,5*(COLUMN()-7)+1)-OFFSET('VVP1'!$G$9,0,5*(COLUMN()-7)+1)-OFFSET('VVP1'!$G$11,0,5*(COLUMN()-7)+1),ABS(AD72-AD70-AD71)))</f>
        <v>5.1070259132757201E-15</v>
      </c>
      <c r="AE73" s="2906">
        <f ca="1">ABS(IF('VVP1'!$F$2="Y",OFFSET('VVP1'!$G$12,0,5*(COLUMN()-7)+1)-OFFSET('VVP1'!$G$7,0,5*(COLUMN()-7)+1)-OFFSET('VVP1'!$G$8,0,5*(COLUMN()-7)+1)-OFFSET('VVP1'!$G$9,0,5*(COLUMN()-7)+1)-OFFSET('VVP1'!$G$11,0,5*(COLUMN()-7)+1),ABS(AE72-AE70-AE71)))</f>
        <v>6.8833827526759706E-15</v>
      </c>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row>
    <row r="74" spans="1:94">
      <c r="R74" s="3056"/>
      <c r="S74" s="3056"/>
      <c r="V74" s="1693">
        <f t="shared" ref="V74:AC74" si="74">SUM(V64,V29,V13,V7)-V72</f>
        <v>0</v>
      </c>
      <c r="W74" s="1693">
        <f t="shared" si="74"/>
        <v>0</v>
      </c>
      <c r="X74" s="1693">
        <f t="shared" si="74"/>
        <v>0.46916844000000069</v>
      </c>
      <c r="Y74" s="1693">
        <f t="shared" si="74"/>
        <v>0.88999769000000128</v>
      </c>
      <c r="Z74" s="1693">
        <f t="shared" si="74"/>
        <v>0.99495589999999368</v>
      </c>
      <c r="AA74" s="1693">
        <f t="shared" si="74"/>
        <v>0.27552050999999977</v>
      </c>
      <c r="AB74" s="1693">
        <f t="shared" si="74"/>
        <v>0.15462030000000482</v>
      </c>
      <c r="AC74" s="1693">
        <f t="shared" ca="1" si="74"/>
        <v>0.18611984899289524</v>
      </c>
      <c r="AD74" s="557"/>
      <c r="AE74" s="557"/>
    </row>
    <row r="75" spans="1:94" s="699" customFormat="1" ht="12.75" customHeight="1">
      <c r="A75" s="664"/>
      <c r="B75" s="664"/>
      <c r="C75" s="774"/>
      <c r="D75" s="1092"/>
      <c r="E75" s="1093" t="s">
        <v>1942</v>
      </c>
      <c r="F75" s="1094"/>
      <c r="G75" s="896">
        <f>+InputY!$G$3</f>
        <v>1995</v>
      </c>
      <c r="H75" s="896">
        <f>+G75+1</f>
        <v>1996</v>
      </c>
      <c r="I75" s="896">
        <f t="shared" ref="I75:O75" si="75">+H75+1</f>
        <v>1997</v>
      </c>
      <c r="J75" s="896">
        <f t="shared" si="75"/>
        <v>1998</v>
      </c>
      <c r="K75" s="896">
        <f t="shared" si="75"/>
        <v>1999</v>
      </c>
      <c r="L75" s="896">
        <f t="shared" si="75"/>
        <v>2000</v>
      </c>
      <c r="M75" s="896">
        <f t="shared" si="75"/>
        <v>2001</v>
      </c>
      <c r="N75" s="896">
        <f t="shared" si="75"/>
        <v>2002</v>
      </c>
      <c r="O75" s="896">
        <f t="shared" si="75"/>
        <v>2003</v>
      </c>
      <c r="P75" s="896">
        <f t="shared" ref="P75:V75" si="76">+O75+1</f>
        <v>2004</v>
      </c>
      <c r="Q75" s="896">
        <f t="shared" si="76"/>
        <v>2005</v>
      </c>
      <c r="R75" s="896">
        <f t="shared" si="76"/>
        <v>2006</v>
      </c>
      <c r="S75" s="896">
        <f>+R75+1</f>
        <v>2007</v>
      </c>
      <c r="T75" s="896">
        <f t="shared" si="76"/>
        <v>2008</v>
      </c>
      <c r="U75" s="896">
        <f t="shared" si="76"/>
        <v>2009</v>
      </c>
      <c r="V75" s="896">
        <f t="shared" si="76"/>
        <v>2010</v>
      </c>
      <c r="W75" s="896">
        <f t="shared" ref="W75:AE75" si="77">+V75+1</f>
        <v>2011</v>
      </c>
      <c r="X75" s="896">
        <f t="shared" si="77"/>
        <v>2012</v>
      </c>
      <c r="Y75" s="896">
        <f t="shared" si="77"/>
        <v>2013</v>
      </c>
      <c r="Z75" s="896">
        <f t="shared" si="77"/>
        <v>2014</v>
      </c>
      <c r="AA75" s="896">
        <f t="shared" si="77"/>
        <v>2015</v>
      </c>
      <c r="AB75" s="896">
        <f t="shared" si="77"/>
        <v>2016</v>
      </c>
      <c r="AC75" s="896">
        <f t="shared" si="77"/>
        <v>2017</v>
      </c>
      <c r="AD75" s="896">
        <f t="shared" si="77"/>
        <v>2018</v>
      </c>
      <c r="AE75" s="896">
        <f t="shared" si="77"/>
        <v>2019</v>
      </c>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row>
    <row r="76" spans="1:94" s="699" customFormat="1" ht="12.75" customHeight="1">
      <c r="A76" s="664"/>
      <c r="B76" s="664"/>
      <c r="C76" s="794" t="s">
        <v>1767</v>
      </c>
      <c r="D76" s="689"/>
      <c r="E76" s="738" t="s">
        <v>1941</v>
      </c>
      <c r="F76" s="733" t="s">
        <v>46</v>
      </c>
      <c r="G76" s="1095"/>
      <c r="H76" s="1095">
        <f>+(H70/G70-1)*100</f>
        <v>7.5825031524344499</v>
      </c>
      <c r="I76" s="1095">
        <f t="shared" ref="I76:S76" si="78">+(I70/H70-1)*100</f>
        <v>8.8789250778812843</v>
      </c>
      <c r="J76" s="1095">
        <f t="shared" si="78"/>
        <v>8.1966570218200197</v>
      </c>
      <c r="K76" s="1095">
        <f t="shared" si="78"/>
        <v>0.42226428997069743</v>
      </c>
      <c r="L76" s="1095">
        <f t="shared" si="78"/>
        <v>2.490216423518099</v>
      </c>
      <c r="M76" s="1095">
        <f t="shared" si="78"/>
        <v>5.1914940732004311</v>
      </c>
      <c r="N76" s="1095">
        <f t="shared" si="78"/>
        <v>6.2848080524413819</v>
      </c>
      <c r="O76" s="1095">
        <f t="shared" si="78"/>
        <v>10.023612688262261</v>
      </c>
      <c r="P76" s="1095">
        <f t="shared" si="78"/>
        <v>11.197330478077493</v>
      </c>
      <c r="Q76" s="1095">
        <f t="shared" si="78"/>
        <v>10.137985829179264</v>
      </c>
      <c r="R76" s="1095">
        <f t="shared" si="78"/>
        <v>10.186712032597111</v>
      </c>
      <c r="S76" s="1095">
        <f t="shared" si="78"/>
        <v>12.920361326552543</v>
      </c>
      <c r="T76" s="1095">
        <f t="shared" ref="T76:AE77" si="79">+(T70/S70-1)*100</f>
        <v>1.2308496096373744</v>
      </c>
      <c r="U76" s="1095">
        <f t="shared" si="79"/>
        <v>-19.738740548391142</v>
      </c>
      <c r="V76" s="1095">
        <f t="shared" si="79"/>
        <v>-2.5112271051088153</v>
      </c>
      <c r="W76" s="1095">
        <f t="shared" si="79"/>
        <v>6.2250621741215317</v>
      </c>
      <c r="X76" s="1095">
        <f t="shared" si="79"/>
        <v>1.8534463179261218</v>
      </c>
      <c r="Y76" s="1095">
        <f t="shared" si="79"/>
        <v>4.3793729421538252</v>
      </c>
      <c r="Z76" s="1095">
        <f t="shared" si="79"/>
        <v>3.6753768570909839</v>
      </c>
      <c r="AA76" s="1095">
        <f t="shared" si="79"/>
        <v>3.4931110607300253</v>
      </c>
      <c r="AB76" s="1095">
        <f t="shared" si="79"/>
        <v>3.2424898204958863</v>
      </c>
      <c r="AC76" s="1095">
        <f t="shared" si="79"/>
        <v>4.0669508577439784</v>
      </c>
      <c r="AD76" s="1095">
        <f t="shared" ca="1" si="79"/>
        <v>3.8087055954553639</v>
      </c>
      <c r="AE76" s="1095">
        <f t="shared" ca="1" si="79"/>
        <v>3.1782126669207544</v>
      </c>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row>
    <row r="77" spans="1:94" s="699" customFormat="1" ht="12.75" customHeight="1">
      <c r="A77" s="664"/>
      <c r="B77" s="664"/>
      <c r="C77" s="796" t="s">
        <v>1767</v>
      </c>
      <c r="D77" s="691"/>
      <c r="E77" s="797" t="s">
        <v>1449</v>
      </c>
      <c r="F77" s="736" t="s">
        <v>1992</v>
      </c>
      <c r="G77" s="1096"/>
      <c r="H77" s="1096">
        <f>+(H71/G71-1)*100</f>
        <v>0.33587659645049062</v>
      </c>
      <c r="I77" s="1096">
        <f t="shared" ref="I77:S77" si="80">+(I71/H71-1)*100</f>
        <v>-83.725255196925247</v>
      </c>
      <c r="J77" s="1096">
        <f t="shared" si="80"/>
        <v>87.550787201625184</v>
      </c>
      <c r="K77" s="1096">
        <f t="shared" si="80"/>
        <v>144.12889686220086</v>
      </c>
      <c r="L77" s="1096">
        <f t="shared" si="80"/>
        <v>18.881632766246547</v>
      </c>
      <c r="M77" s="1096">
        <f t="shared" si="80"/>
        <v>-22.968008304078559</v>
      </c>
      <c r="N77" s="1096">
        <f t="shared" si="80"/>
        <v>-88.768774224806208</v>
      </c>
      <c r="O77" s="1096">
        <f t="shared" si="80"/>
        <v>-294.70207603127523</v>
      </c>
      <c r="P77" s="1096">
        <f t="shared" si="80"/>
        <v>3368.6179269877307</v>
      </c>
      <c r="Q77" s="1096">
        <f t="shared" si="80"/>
        <v>837.2280535082208</v>
      </c>
      <c r="R77" s="1096">
        <f t="shared" si="80"/>
        <v>-231.54241255212992</v>
      </c>
      <c r="S77" s="1096">
        <f t="shared" si="80"/>
        <v>287.84071228944401</v>
      </c>
      <c r="T77" s="1096">
        <f t="shared" si="79"/>
        <v>62.667027618070016</v>
      </c>
      <c r="U77" s="1096">
        <f t="shared" si="79"/>
        <v>-274.9766095723491</v>
      </c>
      <c r="V77" s="1096">
        <f t="shared" si="79"/>
        <v>-82.061497038750886</v>
      </c>
      <c r="W77" s="1096">
        <f t="shared" si="79"/>
        <v>-18.123332810293434</v>
      </c>
      <c r="X77" s="1096">
        <f t="shared" si="79"/>
        <v>-66.586845534687612</v>
      </c>
      <c r="Y77" s="1096">
        <f t="shared" si="79"/>
        <v>-71.517736982150367</v>
      </c>
      <c r="Z77" s="1096">
        <f t="shared" si="79"/>
        <v>-23.924188230157885</v>
      </c>
      <c r="AA77" s="1096">
        <f t="shared" si="79"/>
        <v>2625.0848105474242</v>
      </c>
      <c r="AB77" s="1096">
        <f t="shared" si="79"/>
        <v>-79.899693368936425</v>
      </c>
      <c r="AC77" s="1096">
        <f t="shared" si="79"/>
        <v>44.071958320386173</v>
      </c>
      <c r="AD77" s="1096">
        <f t="shared" ca="1" si="79"/>
        <v>0</v>
      </c>
      <c r="AE77" s="1096">
        <f t="shared" ca="1" si="79"/>
        <v>0</v>
      </c>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row>
    <row r="78" spans="1:94" s="699" customFormat="1" ht="12.75" customHeight="1">
      <c r="A78" s="664"/>
      <c r="B78" s="664"/>
      <c r="C78" s="774" t="s">
        <v>1769</v>
      </c>
      <c r="D78" s="717"/>
      <c r="E78" s="1468" t="s">
        <v>1942</v>
      </c>
      <c r="F78" s="723" t="s">
        <v>47</v>
      </c>
      <c r="G78" s="721"/>
      <c r="H78" s="721">
        <f>+(H72/G72-1)*100</f>
        <v>8.7315890641321392</v>
      </c>
      <c r="I78" s="721">
        <f t="shared" ref="I78:AB78" si="81">+(I72/H72-1)*100</f>
        <v>12.364189774972644</v>
      </c>
      <c r="J78" s="721">
        <f t="shared" si="81"/>
        <v>8.1811693344814973</v>
      </c>
      <c r="K78" s="721">
        <f t="shared" si="81"/>
        <v>-0.54899399010986949</v>
      </c>
      <c r="L78" s="721">
        <f t="shared" si="81"/>
        <v>2.1352302754501729</v>
      </c>
      <c r="M78" s="721">
        <f t="shared" si="81"/>
        <v>5.8216624566269415</v>
      </c>
      <c r="N78" s="721">
        <f t="shared" si="81"/>
        <v>7.440821617341431</v>
      </c>
      <c r="O78" s="721">
        <f t="shared" si="81"/>
        <v>10.412236395428343</v>
      </c>
      <c r="P78" s="721">
        <f t="shared" si="81"/>
        <v>13.245904132630869</v>
      </c>
      <c r="Q78" s="721">
        <f t="shared" si="81"/>
        <v>8.4682277151530538</v>
      </c>
      <c r="R78" s="721">
        <f t="shared" si="81"/>
        <v>8.6791075610281645</v>
      </c>
      <c r="S78" s="721">
        <f t="shared" si="81"/>
        <v>14.911963092301983</v>
      </c>
      <c r="T78" s="721">
        <f t="shared" si="81"/>
        <v>3.1497179506880357</v>
      </c>
      <c r="U78" s="721">
        <f t="shared" si="81"/>
        <v>-23.969930755435144</v>
      </c>
      <c r="V78" s="721">
        <f t="shared" si="81"/>
        <v>1.7828958003967443</v>
      </c>
      <c r="W78" s="721">
        <f t="shared" si="81"/>
        <v>5.9533436273261797</v>
      </c>
      <c r="X78" s="721">
        <f t="shared" si="81"/>
        <v>-0.30327952407929182</v>
      </c>
      <c r="Y78" s="721">
        <f t="shared" si="81"/>
        <v>2.8348069403326015</v>
      </c>
      <c r="Z78" s="721">
        <f t="shared" si="81"/>
        <v>3.3964905192808814</v>
      </c>
      <c r="AA78" s="721">
        <f t="shared" si="81"/>
        <v>7.3820736449621061</v>
      </c>
      <c r="AB78" s="721">
        <f t="shared" si="81"/>
        <v>2.4057419875649355</v>
      </c>
      <c r="AC78" s="1463">
        <f ca="1">IF(UPPER('VVP1'!$F$2)="Y",OFFSET('VVP1'!$G$12,0,5*(COLUMN()-7)),('VVP2'!AC72/'VVP2'!AB72-1)*100)</f>
        <v>4.1357636126038155</v>
      </c>
      <c r="AD78" s="1463">
        <f ca="1">IF(UPPER('VVP1'!$F$2)="Y",OFFSET('VVP1'!$G$12,0,5*(COLUMN()-7)),('VVP2'!AD72/'VVP2'!AC72-1)*100)</f>
        <v>3.8688071906934685</v>
      </c>
      <c r="AE78" s="1463">
        <f ca="1">IF(UPPER('VVP1'!$F$2)="Y",OFFSET('VVP1'!$G$12,0,5*(COLUMN()-7)),('VVP2'!AE72/'VVP2'!AD72-1)*100)</f>
        <v>3.2251750459442619</v>
      </c>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row>
    <row r="79" spans="1:94">
      <c r="AB79" s="557"/>
      <c r="AC79" s="557"/>
      <c r="AD79" s="557"/>
      <c r="AE79" s="557"/>
    </row>
    <row r="80" spans="1:94">
      <c r="A80" s="1130"/>
      <c r="D80" s="1173"/>
      <c r="E80" s="1174" t="s">
        <v>1519</v>
      </c>
      <c r="F80" s="1170"/>
      <c r="G80" s="1168">
        <f>+InputY!$G$3</f>
        <v>1995</v>
      </c>
      <c r="H80" s="1168">
        <f>+G80+1</f>
        <v>1996</v>
      </c>
      <c r="I80" s="1168">
        <f t="shared" ref="I80:O80" si="82">+H80+1</f>
        <v>1997</v>
      </c>
      <c r="J80" s="1168">
        <f t="shared" si="82"/>
        <v>1998</v>
      </c>
      <c r="K80" s="1168">
        <f t="shared" si="82"/>
        <v>1999</v>
      </c>
      <c r="L80" s="1168">
        <f t="shared" si="82"/>
        <v>2000</v>
      </c>
      <c r="M80" s="1168">
        <f t="shared" si="82"/>
        <v>2001</v>
      </c>
      <c r="N80" s="1168">
        <f t="shared" si="82"/>
        <v>2002</v>
      </c>
      <c r="O80" s="1168">
        <f t="shared" si="82"/>
        <v>2003</v>
      </c>
      <c r="P80" s="1168">
        <f t="shared" ref="P80:V80" si="83">+O80+1</f>
        <v>2004</v>
      </c>
      <c r="Q80" s="1168">
        <f t="shared" si="83"/>
        <v>2005</v>
      </c>
      <c r="R80" s="1168">
        <f t="shared" si="83"/>
        <v>2006</v>
      </c>
      <c r="S80" s="1168">
        <f>+R80+1</f>
        <v>2007</v>
      </c>
      <c r="T80" s="1125">
        <f t="shared" si="83"/>
        <v>2008</v>
      </c>
      <c r="U80" s="1125">
        <f t="shared" si="83"/>
        <v>2009</v>
      </c>
      <c r="V80" s="1125">
        <f t="shared" si="83"/>
        <v>2010</v>
      </c>
      <c r="W80" s="1125">
        <f t="shared" ref="W80:AE80" si="84">+V80+1</f>
        <v>2011</v>
      </c>
      <c r="X80" s="1125">
        <f t="shared" si="84"/>
        <v>2012</v>
      </c>
      <c r="Y80" s="1125">
        <f t="shared" si="84"/>
        <v>2013</v>
      </c>
      <c r="Z80" s="1125">
        <f t="shared" si="84"/>
        <v>2014</v>
      </c>
      <c r="AA80" s="1125">
        <f t="shared" si="84"/>
        <v>2015</v>
      </c>
      <c r="AB80" s="1125">
        <f t="shared" si="84"/>
        <v>2016</v>
      </c>
      <c r="AC80" s="1125">
        <f t="shared" si="84"/>
        <v>2017</v>
      </c>
      <c r="AD80" s="1125">
        <f t="shared" si="84"/>
        <v>2018</v>
      </c>
      <c r="AE80" s="1125">
        <f t="shared" si="84"/>
        <v>2019</v>
      </c>
    </row>
    <row r="81" spans="1:94">
      <c r="A81" s="664">
        <f>+ROW(InputY!A46)</f>
        <v>46</v>
      </c>
      <c r="B81" s="665" t="s">
        <v>252</v>
      </c>
      <c r="C81" s="1079" t="s">
        <v>1767</v>
      </c>
      <c r="D81" s="1058"/>
      <c r="E81" s="1038" t="s">
        <v>1450</v>
      </c>
      <c r="F81" s="1058" t="s">
        <v>1995</v>
      </c>
      <c r="G81" s="1084">
        <f>+InputY!G46/1000</f>
        <v>1.0998281060419637</v>
      </c>
      <c r="H81" s="1084">
        <f>+InputY!H46/1000</f>
        <v>1.4302389553745405</v>
      </c>
      <c r="I81" s="1084">
        <f>+InputY!I46/1000</f>
        <v>1.7227190172957554</v>
      </c>
      <c r="J81" s="1084">
        <f>+InputY!J46/1000</f>
        <v>1.9297793068012896</v>
      </c>
      <c r="K81" s="1084">
        <f>+InputY!K46/1000</f>
        <v>1.9354938303519413</v>
      </c>
      <c r="L81" s="1084">
        <f>+InputY!L46/1000</f>
        <v>1.8202071417810006</v>
      </c>
      <c r="M81" s="1084">
        <f>+InputY!M46/1000</f>
        <v>1.9754876509737651</v>
      </c>
      <c r="N81" s="1084">
        <f>+InputY!N46/1000</f>
        <v>2.3007566057456654</v>
      </c>
      <c r="O81" s="1084">
        <f>+InputY!O46/1000</f>
        <v>2.434689035538157</v>
      </c>
      <c r="P81" s="1084">
        <f>+InputY!P46/1000</f>
        <v>2.7227600000000001</v>
      </c>
      <c r="Q81" s="1084">
        <f>+InputY!Q46/1000</f>
        <v>2.9383000000000004</v>
      </c>
      <c r="R81" s="1084">
        <f>+InputY!R46/1000</f>
        <v>3.2352300000000001</v>
      </c>
      <c r="S81" s="1084">
        <f>+InputY!S46/1000</f>
        <v>3.2526899999999999</v>
      </c>
      <c r="T81" s="1084">
        <f>+InputY!T46/1000</f>
        <v>3.3791599999999997</v>
      </c>
      <c r="U81" s="1084">
        <f>+InputY!U46/1000</f>
        <v>2.96034</v>
      </c>
      <c r="V81" s="1084">
        <f>+InputY!V46/1000</f>
        <v>3.4228700000000001</v>
      </c>
      <c r="W81" s="1084">
        <f>+InputY!W46/1000</f>
        <v>3.9303499999999998</v>
      </c>
      <c r="X81" s="1084">
        <f>+InputY!X46/1000</f>
        <v>4.56433</v>
      </c>
      <c r="Y81" s="1084">
        <f>+InputY!Y46/1000</f>
        <v>5.1346400000000001</v>
      </c>
      <c r="Z81" s="1084">
        <f>+InputY!Z46/1000</f>
        <v>5.6348199999999995</v>
      </c>
      <c r="AA81" s="1084">
        <f>+InputY!AA46/1000</f>
        <v>5.7097199999999999</v>
      </c>
      <c r="AB81" s="1084">
        <f>+InputY!AB46/1000</f>
        <v>6.3447200000000006</v>
      </c>
      <c r="AC81" s="1084">
        <f>+InputY!AC46/1000</f>
        <v>7.3929099999999996</v>
      </c>
      <c r="AD81" s="1416">
        <f ca="1">+AC81*(1+AD87/100)</f>
        <v>7.873449149999999</v>
      </c>
      <c r="AE81" s="1416">
        <f t="shared" ref="AD81:AE82" ca="1" si="85">+AD81*(1+AE87/100)</f>
        <v>8.227754361749998</v>
      </c>
    </row>
    <row r="82" spans="1:94">
      <c r="A82" s="664">
        <f>+ROW(InputY!A45)</f>
        <v>45</v>
      </c>
      <c r="B82" s="665" t="s">
        <v>253</v>
      </c>
      <c r="C82" s="1081" t="s">
        <v>1767</v>
      </c>
      <c r="D82" s="1077"/>
      <c r="E82" s="1078" t="s">
        <v>1451</v>
      </c>
      <c r="F82" s="1077" t="s">
        <v>1332</v>
      </c>
      <c r="G82" s="1085">
        <f>+InputY!G45/1000</f>
        <v>3.9073501199141121</v>
      </c>
      <c r="H82" s="1085">
        <f>+InputY!H45/1000</f>
        <v>4.5739617407445854</v>
      </c>
      <c r="I82" s="1085">
        <f>+InputY!I45/1000</f>
        <v>5.4182026596939963</v>
      </c>
      <c r="J82" s="1085">
        <f>+InputY!J45/1000</f>
        <v>5.5721661905684066</v>
      </c>
      <c r="K82" s="1085">
        <f>+InputY!K45/1000</f>
        <v>4.3979269342993144</v>
      </c>
      <c r="L82" s="1085">
        <f>+InputY!L45/1000</f>
        <v>5.0560102189302842</v>
      </c>
      <c r="M82" s="1085">
        <f>+InputY!M45/1000</f>
        <v>6.2975428751735789</v>
      </c>
      <c r="N82" s="1085">
        <f>+InputY!N45/1000</f>
        <v>7.5018609734554005</v>
      </c>
      <c r="O82" s="1085">
        <f>+InputY!O45/1000</f>
        <v>8.1823168779551896</v>
      </c>
      <c r="P82" s="1085">
        <f>+InputY!P45/1000</f>
        <v>8.3521099999999997</v>
      </c>
      <c r="Q82" s="1085">
        <f>+InputY!Q45/1000</f>
        <v>10.43451</v>
      </c>
      <c r="R82" s="1085">
        <f>+InputY!R45/1000</f>
        <v>11.827110000000001</v>
      </c>
      <c r="S82" s="1085">
        <f>+InputY!S45/1000</f>
        <v>12.2881</v>
      </c>
      <c r="T82" s="1085">
        <f>+InputY!T45/1000</f>
        <v>14.26449</v>
      </c>
      <c r="U82" s="1085">
        <f>+InputY!U45/1000</f>
        <v>12.42754</v>
      </c>
      <c r="V82" s="1085">
        <f>+InputY!V45/1000</f>
        <v>14.891</v>
      </c>
      <c r="W82" s="1085">
        <f>+InputY!W45/1000</f>
        <v>17.204669999999997</v>
      </c>
      <c r="X82" s="1085">
        <f>+InputY!X45/1000</f>
        <v>19.202400000000001</v>
      </c>
      <c r="Y82" s="1085">
        <f>+InputY!Y45/1000</f>
        <v>20.987580000000001</v>
      </c>
      <c r="Z82" s="1085">
        <f>+InputY!Z45/1000</f>
        <v>21.368490000000001</v>
      </c>
      <c r="AA82" s="1085">
        <f>+InputY!AA45/1000</f>
        <v>21.201090000000001</v>
      </c>
      <c r="AB82" s="1085">
        <f>+InputY!AB45/1000</f>
        <v>21.49098</v>
      </c>
      <c r="AC82" s="1085">
        <f>+InputY!AC45/1000</f>
        <v>24.115099999999998</v>
      </c>
      <c r="AD82" s="1342">
        <f t="shared" ca="1" si="85"/>
        <v>25.369085200000001</v>
      </c>
      <c r="AE82" s="1342">
        <f t="shared" ca="1" si="85"/>
        <v>26.485324948800002</v>
      </c>
    </row>
    <row r="83" spans="1:94">
      <c r="A83" s="664">
        <f>+ROW(InputY!A47)</f>
        <v>47</v>
      </c>
      <c r="B83" s="664"/>
      <c r="C83" s="694" t="s">
        <v>1769</v>
      </c>
      <c r="D83" s="1171"/>
      <c r="E83" s="1461" t="s">
        <v>1452</v>
      </c>
      <c r="F83" s="1460" t="s">
        <v>1590</v>
      </c>
      <c r="G83" s="1172">
        <f>+InputY!G47/1000</f>
        <v>5.0488624980055201</v>
      </c>
      <c r="H83" s="1172">
        <f>+InputY!H47/1000</f>
        <v>6.0103945464491666</v>
      </c>
      <c r="I83" s="1172">
        <f>+InputY!I47/1000</f>
        <v>7.1426519644701454</v>
      </c>
      <c r="J83" s="1172">
        <f>+InputY!J47/1000</f>
        <v>7.475443470272916</v>
      </c>
      <c r="K83" s="1172">
        <f>+InputY!K47/1000</f>
        <v>6.2515592078803728</v>
      </c>
      <c r="L83" s="1172">
        <f>+InputY!L47/1000</f>
        <v>6.8490337777093986</v>
      </c>
      <c r="M83" s="1172">
        <f>+InputY!M47/1000</f>
        <v>8.3016546339835884</v>
      </c>
      <c r="N83" s="1172">
        <f>+InputY!N47/1000</f>
        <v>9.8466792846551261</v>
      </c>
      <c r="O83" s="1172">
        <f>+InputY!O47/1000</f>
        <v>10.676380457755817</v>
      </c>
      <c r="P83" s="1172">
        <f>+InputY!P47/1000</f>
        <v>11.102799999999998</v>
      </c>
      <c r="Q83" s="1172">
        <f>+InputY!Q47/1000</f>
        <v>13.38335</v>
      </c>
      <c r="R83" s="1172">
        <f>+InputY!R47/1000</f>
        <v>15.075610000000001</v>
      </c>
      <c r="S83" s="1172">
        <f>+InputY!S47/1000</f>
        <v>15.554209999999999</v>
      </c>
      <c r="T83" s="1172">
        <f>+InputY!T47/1000</f>
        <v>17.655139999999999</v>
      </c>
      <c r="U83" s="1172">
        <f>+InputY!U47/1000</f>
        <v>15.397290000000002</v>
      </c>
      <c r="V83" s="1172">
        <f>+InputY!V47/1000</f>
        <v>18.313880000000001</v>
      </c>
      <c r="W83" s="1172">
        <f>+InputY!W47/1000</f>
        <v>21.135020000000001</v>
      </c>
      <c r="X83" s="1172">
        <f>+InputY!X47/1000</f>
        <v>23.753349999999998</v>
      </c>
      <c r="Y83" s="1172">
        <f>+InputY!Y47/1000</f>
        <v>26.095380000000002</v>
      </c>
      <c r="Z83" s="1172">
        <f>+InputY!Z47/1000</f>
        <v>26.948370000000001</v>
      </c>
      <c r="AA83" s="1172">
        <f>+InputY!AA47/1000</f>
        <v>26.850680000000001</v>
      </c>
      <c r="AB83" s="1172">
        <f>+InputY!AB47/1000</f>
        <v>27.778269999999999</v>
      </c>
      <c r="AC83" s="1172">
        <f>+InputY!AC47/1000</f>
        <v>31.455689999999997</v>
      </c>
      <c r="AD83" s="1467">
        <f ca="1">IF(UPPER('VVP1'!$F$2)="Y",+AC83*(1+AD89/100),+AD81+AD82)</f>
        <v>33.190876111086119</v>
      </c>
      <c r="AE83" s="1467">
        <f ca="1">IF(UPPER('VVP1'!$F$2)="Y",+AD83*(1+AE89/100),+AE81+AE82)</f>
        <v>34.659437221662913</v>
      </c>
    </row>
    <row r="84" spans="1:94" s="699" customFormat="1" ht="12.75" customHeight="1">
      <c r="A84" s="664"/>
      <c r="B84" s="664"/>
      <c r="C84" s="774"/>
      <c r="D84" s="1973"/>
      <c r="E84" s="1973" t="s">
        <v>737</v>
      </c>
      <c r="F84" s="1973"/>
      <c r="G84" s="1002"/>
      <c r="H84" s="1002">
        <f ca="1">ABS(IF('VVP1'!$F$2="Y",OFFSET('VVP1'!$G$88,0,5*(COLUMN()-7)+1)-OFFSET('VVP1'!$G$86,0,5*(COLUMN()-7)+1)-OFFSET('VVP1'!$G$87,0,5*(COLUMN()-7)+1),ABS(H83-H81-H82)))</f>
        <v>3.5234791864409587E-2</v>
      </c>
      <c r="I84" s="1002">
        <f ca="1">ABS(IF('VVP1'!$F$2="Y",OFFSET('VVP1'!$G$88,0,5*(COLUMN()-7)+1)-OFFSET('VVP1'!$G$86,0,5*(COLUMN()-7)+1)-OFFSET('VVP1'!$G$87,0,5*(COLUMN()-7)+1),ABS(I83-I81-I82)))</f>
        <v>5.798041898596562E-3</v>
      </c>
      <c r="J84" s="1002">
        <f ca="1">ABS(IF('VVP1'!$F$2="Y",OFFSET('VVP1'!$G$88,0,5*(COLUMN()-7)+1)-OFFSET('VVP1'!$G$86,0,5*(COLUMN()-7)+1)-OFFSET('VVP1'!$G$87,0,5*(COLUMN()-7)+1),ABS(J83-J81-J82)))</f>
        <v>2.8211429759842588E-2</v>
      </c>
      <c r="K84" s="1002">
        <f ca="1">ABS(IF('VVP1'!$F$2="Y",OFFSET('VVP1'!$G$88,0,5*(COLUMN()-7)+1)-OFFSET('VVP1'!$G$86,0,5*(COLUMN()-7)+1)-OFFSET('VVP1'!$G$87,0,5*(COLUMN()-7)+1),ABS(K83-K81-K82)))</f>
        <v>6.9422923494331545E-2</v>
      </c>
      <c r="L84" s="1002">
        <f ca="1">ABS(IF('VVP1'!$F$2="Y",OFFSET('VVP1'!$G$88,0,5*(COLUMN()-7)+1)-OFFSET('VVP1'!$G$86,0,5*(COLUMN()-7)+1)-OFFSET('VVP1'!$G$87,0,5*(COLUMN()-7)+1),ABS(L83-L81-L82)))</f>
        <v>7.642483995256466E-2</v>
      </c>
      <c r="M84" s="1002">
        <f ca="1">ABS(IF('VVP1'!$F$2="Y",OFFSET('VVP1'!$G$88,0,5*(COLUMN()-7)+1)-OFFSET('VVP1'!$G$86,0,5*(COLUMN()-7)+1)-OFFSET('VVP1'!$G$87,0,5*(COLUMN()-7)+1),ABS(M83-M81-M82)))</f>
        <v>5.1781656621067818E-2</v>
      </c>
      <c r="N84" s="1002">
        <f ca="1">ABS(IF('VVP1'!$F$2="Y",OFFSET('VVP1'!$G$88,0,5*(COLUMN()-7)+1)-OFFSET('VVP1'!$G$86,0,5*(COLUMN()-7)+1)-OFFSET('VVP1'!$G$87,0,5*(COLUMN()-7)+1),ABS(N83-N81-N82)))</f>
        <v>8.1382988797873423E-3</v>
      </c>
      <c r="O84" s="1002">
        <f ca="1">ABS(IF('VVP1'!$F$2="Y",OFFSET('VVP1'!$G$88,0,5*(COLUMN()-7)+1)-OFFSET('VVP1'!$G$86,0,5*(COLUMN()-7)+1)-OFFSET('VVP1'!$G$87,0,5*(COLUMN()-7)+1),ABS(O83-O81-O82)))</f>
        <v>9.9768488241398501E-3</v>
      </c>
      <c r="P84" s="1002">
        <f ca="1">ABS(IF('VVP1'!$F$2="Y",OFFSET('VVP1'!$G$88,0,5*(COLUMN()-7)+1)-OFFSET('VVP1'!$G$86,0,5*(COLUMN()-7)+1)-OFFSET('VVP1'!$G$87,0,5*(COLUMN()-7)+1),ABS(P83-P81-P82)))</f>
        <v>3.0808100713693776E-2</v>
      </c>
      <c r="Q84" s="1002">
        <f ca="1">ABS(IF('VVP1'!$F$2="Y",OFFSET('VVP1'!$G$88,0,5*(COLUMN()-7)+1)-OFFSET('VVP1'!$G$86,0,5*(COLUMN()-7)+1)-OFFSET('VVP1'!$G$87,0,5*(COLUMN()-7)+1),ABS(Q83-Q81-Q82)))</f>
        <v>8.2867301252065317E-6</v>
      </c>
      <c r="R84" s="1002">
        <f ca="1">ABS(IF('VVP1'!$F$2="Y",OFFSET('VVP1'!$G$88,0,5*(COLUMN()-7)+1)-OFFSET('VVP1'!$G$86,0,5*(COLUMN()-7)+1)-OFFSET('VVP1'!$G$87,0,5*(COLUMN()-7)+1),ABS(R83-R81-R82)))</f>
        <v>7.7441315582404968E-7</v>
      </c>
      <c r="S84" s="1002">
        <f ca="1">ABS(IF('VVP1'!$F$2="Y",OFFSET('VVP1'!$G$88,0,5*(COLUMN()-7)+1)-OFFSET('VVP1'!$G$86,0,5*(COLUMN()-7)+1)-OFFSET('VVP1'!$G$87,0,5*(COLUMN()-7)+1),ABS(S83-S81-S82)))</f>
        <v>3.5305874810376281E-6</v>
      </c>
      <c r="T84" s="2906">
        <f ca="1">ABS(IF('VVP1'!$F$2="Y",OFFSET('VVP1'!$G$88,0,5*(COLUMN()-7)+1)-OFFSET('VVP1'!$G$86,0,5*(COLUMN()-7)+1)-OFFSET('VVP1'!$G$87,0,5*(COLUMN()-7)+1),ABS(T83-T81-T82)))</f>
        <v>2.1817957355452222E-5</v>
      </c>
      <c r="U84" s="2906">
        <f ca="1">ABS(IF('VVP1'!$F$2="Y",OFFSET('VVP1'!$G$88,0,5*(COLUMN()-7)+1)-OFFSET('VVP1'!$G$86,0,5*(COLUMN()-7)+1)-OFFSET('VVP1'!$G$87,0,5*(COLUMN()-7)+1),ABS(U83-U81-U82)))</f>
        <v>9.6556524944446664E-6</v>
      </c>
      <c r="V84" s="2906">
        <f ca="1">ABS(IF('VVP1'!$F$2="Y",OFFSET('VVP1'!$G$88,0,5*(COLUMN()-7)+1)-OFFSET('VVP1'!$G$86,0,5*(COLUMN()-7)+1)-OFFSET('VVP1'!$G$87,0,5*(COLUMN()-7)+1),ABS(V83-V81-V82)))</f>
        <v>2.083293509969053E-5</v>
      </c>
      <c r="W84" s="2906">
        <f ca="1">ABS(IF('VVP1'!$F$2="Y",OFFSET('VVP1'!$G$88,0,5*(COLUMN()-7)+1)-OFFSET('VVP1'!$G$86,0,5*(COLUMN()-7)+1)-OFFSET('VVP1'!$G$87,0,5*(COLUMN()-7)+1),ABS(W83-W81-W82)))</f>
        <v>3.5527136788005009E-15</v>
      </c>
      <c r="X84" s="2906">
        <f ca="1">ABS(IF('VVP1'!$F$2="Y",OFFSET('VVP1'!$G$88,0,5*(COLUMN()-7)+1)-OFFSET('VVP1'!$G$86,0,5*(COLUMN()-7)+1)-OFFSET('VVP1'!$G$87,0,5*(COLUMN()-7)+1),ABS(X83-X81-X82)))</f>
        <v>4.2195509486475657E-6</v>
      </c>
      <c r="Y84" s="2906">
        <f ca="1">ABS(IF('VVP1'!$F$2="Y",OFFSET('VVP1'!$G$88,0,5*(COLUMN()-7)+1)-OFFSET('VVP1'!$G$86,0,5*(COLUMN()-7)+1)-OFFSET('VVP1'!$G$87,0,5*(COLUMN()-7)+1),ABS(Y83-Y81-Y82)))</f>
        <v>4.3336974293595176E-6</v>
      </c>
      <c r="Z84" s="2906">
        <f ca="1">ABS(IF('VVP1'!$F$2="Y",OFFSET('VVP1'!$G$88,0,5*(COLUMN()-7)+1)-OFFSET('VVP1'!$G$86,0,5*(COLUMN()-7)+1)-OFFSET('VVP1'!$G$87,0,5*(COLUMN()-7)+1),ABS(Z83-Z81-Z82)))</f>
        <v>3.7456333075169823E-6</v>
      </c>
      <c r="AA84" s="2906">
        <f ca="1">ABS(IF('VVP1'!$F$2="Y",OFFSET('VVP1'!$G$88,0,5*(COLUMN()-7)+1)-OFFSET('VVP1'!$G$86,0,5*(COLUMN()-7)+1)-OFFSET('VVP1'!$G$87,0,5*(COLUMN()-7)+1),ABS(AA83-AA81-AA82)))</f>
        <v>6.0861199457917792E-6</v>
      </c>
      <c r="AB84" s="2906">
        <f ca="1">ABS(IF('VVP1'!$F$2="Y",OFFSET('VVP1'!$G$88,0,5*(COLUMN()-7)+1)-OFFSET('VVP1'!$G$86,0,5*(COLUMN()-7)+1)-OFFSET('VVP1'!$G$87,0,5*(COLUMN()-7)+1),ABS(AB83-AB81-AB82)))</f>
        <v>0</v>
      </c>
      <c r="AC84" s="2906">
        <f ca="1">ABS(IF('VVP1'!$F$2="Y",OFFSET('VVP1'!$G$88,0,5*(COLUMN()-7)+1)-OFFSET('VVP1'!$G$86,0,5*(COLUMN()-7)+1)-OFFSET('VVP1'!$G$87,0,5*(COLUMN()-7)+1),ABS(AC83-AC81-AC82)))</f>
        <v>0</v>
      </c>
      <c r="AD84" s="2906">
        <f ca="1">ABS(IF('VVP1'!$F$2="Y",OFFSET('VVP1'!$G$88,0,5*(COLUMN()-7)+1)-OFFSET('VVP1'!$G$86,0,5*(COLUMN()-7)+1)-OFFSET('VVP1'!$G$87,0,5*(COLUMN()-7)+1),ABS(AD83-AD81-AD82)))</f>
        <v>3.5527136788005009E-15</v>
      </c>
      <c r="AE84" s="2906">
        <f ca="1">ABS(IF('VVP1'!$F$2="Y",OFFSET('VVP1'!$G$88,0,5*(COLUMN()-7)+1)-OFFSET('VVP1'!$G$86,0,5*(COLUMN()-7)+1)-OFFSET('VVP1'!$G$87,0,5*(COLUMN()-7)+1),ABS(AE83-AE81-AE82)))</f>
        <v>0</v>
      </c>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row>
    <row r="85" spans="1:94">
      <c r="AB85" s="557"/>
      <c r="AC85" s="557"/>
      <c r="AD85" s="557"/>
      <c r="AE85" s="557"/>
    </row>
    <row r="86" spans="1:94">
      <c r="A86" s="1130"/>
      <c r="D86" s="1116"/>
      <c r="E86" s="927" t="s">
        <v>1519</v>
      </c>
      <c r="F86" s="1108"/>
      <c r="G86" s="896">
        <f>+InputY!$G$3</f>
        <v>1995</v>
      </c>
      <c r="H86" s="896">
        <f>+G86+1</f>
        <v>1996</v>
      </c>
      <c r="I86" s="896">
        <f t="shared" ref="I86:O86" si="86">+H86+1</f>
        <v>1997</v>
      </c>
      <c r="J86" s="896">
        <f t="shared" si="86"/>
        <v>1998</v>
      </c>
      <c r="K86" s="896">
        <f t="shared" si="86"/>
        <v>1999</v>
      </c>
      <c r="L86" s="896">
        <f t="shared" si="86"/>
        <v>2000</v>
      </c>
      <c r="M86" s="896">
        <f t="shared" si="86"/>
        <v>2001</v>
      </c>
      <c r="N86" s="896">
        <f t="shared" si="86"/>
        <v>2002</v>
      </c>
      <c r="O86" s="896">
        <f t="shared" si="86"/>
        <v>2003</v>
      </c>
      <c r="P86" s="896">
        <f t="shared" ref="P86:V86" si="87">+O86+1</f>
        <v>2004</v>
      </c>
      <c r="Q86" s="896">
        <f t="shared" si="87"/>
        <v>2005</v>
      </c>
      <c r="R86" s="896">
        <f t="shared" si="87"/>
        <v>2006</v>
      </c>
      <c r="S86" s="896">
        <f>+R86+1</f>
        <v>2007</v>
      </c>
      <c r="T86" s="896">
        <f t="shared" si="87"/>
        <v>2008</v>
      </c>
      <c r="U86" s="896">
        <f t="shared" si="87"/>
        <v>2009</v>
      </c>
      <c r="V86" s="896">
        <f t="shared" si="87"/>
        <v>2010</v>
      </c>
      <c r="W86" s="896">
        <f t="shared" ref="W86:AE86" si="88">+V86+1</f>
        <v>2011</v>
      </c>
      <c r="X86" s="896">
        <f t="shared" si="88"/>
        <v>2012</v>
      </c>
      <c r="Y86" s="896">
        <f t="shared" si="88"/>
        <v>2013</v>
      </c>
      <c r="Z86" s="896">
        <f t="shared" si="88"/>
        <v>2014</v>
      </c>
      <c r="AA86" s="896">
        <f t="shared" si="88"/>
        <v>2015</v>
      </c>
      <c r="AB86" s="896">
        <f t="shared" si="88"/>
        <v>2016</v>
      </c>
      <c r="AC86" s="896">
        <f t="shared" si="88"/>
        <v>2017</v>
      </c>
      <c r="AD86" s="896">
        <f t="shared" si="88"/>
        <v>2018</v>
      </c>
      <c r="AE86" s="896">
        <f t="shared" si="88"/>
        <v>2019</v>
      </c>
    </row>
    <row r="87" spans="1:94" s="699" customFormat="1" ht="12.75" customHeight="1">
      <c r="A87" s="664"/>
      <c r="B87" s="664"/>
      <c r="C87" s="794" t="s">
        <v>1767</v>
      </c>
      <c r="D87" s="689"/>
      <c r="E87" s="738" t="s">
        <v>1450</v>
      </c>
      <c r="F87" s="733" t="s">
        <v>1995</v>
      </c>
      <c r="G87" s="1095"/>
      <c r="H87" s="1095">
        <f>+(H81/G81-1)*100</f>
        <v>30.042044526544419</v>
      </c>
      <c r="I87" s="1095">
        <f t="shared" ref="I87:AB87" si="89">+(I81/H81-1)*100</f>
        <v>20.449733998793395</v>
      </c>
      <c r="J87" s="1095">
        <f t="shared" si="89"/>
        <v>12.01938838700276</v>
      </c>
      <c r="K87" s="1095">
        <f t="shared" si="89"/>
        <v>0.29612316447333864</v>
      </c>
      <c r="L87" s="1095">
        <f t="shared" si="89"/>
        <v>-5.9564482595109824</v>
      </c>
      <c r="M87" s="1095">
        <f t="shared" si="89"/>
        <v>8.5309251693644441</v>
      </c>
      <c r="N87" s="1095">
        <f t="shared" si="89"/>
        <v>16.465248700064894</v>
      </c>
      <c r="O87" s="1095">
        <f t="shared" si="89"/>
        <v>5.8212341739244833</v>
      </c>
      <c r="P87" s="1095">
        <f t="shared" si="89"/>
        <v>11.831940763563198</v>
      </c>
      <c r="Q87" s="1095">
        <f t="shared" si="89"/>
        <v>7.9162320586463775</v>
      </c>
      <c r="R87" s="1095">
        <f t="shared" si="89"/>
        <v>10.105503182112097</v>
      </c>
      <c r="S87" s="1095">
        <f t="shared" si="89"/>
        <v>0.53968342281691672</v>
      </c>
      <c r="T87" s="1095">
        <f t="shared" si="89"/>
        <v>3.888166409956062</v>
      </c>
      <c r="U87" s="1095">
        <f t="shared" si="89"/>
        <v>-12.394204476852233</v>
      </c>
      <c r="V87" s="1095">
        <f t="shared" si="89"/>
        <v>15.624218839727867</v>
      </c>
      <c r="W87" s="1095">
        <f t="shared" si="89"/>
        <v>14.826154659686154</v>
      </c>
      <c r="X87" s="1095">
        <f t="shared" si="89"/>
        <v>16.130370068823385</v>
      </c>
      <c r="Y87" s="1095">
        <f t="shared" si="89"/>
        <v>12.494933538986007</v>
      </c>
      <c r="Z87" s="1095">
        <f t="shared" si="89"/>
        <v>9.7412866335322423</v>
      </c>
      <c r="AA87" s="1095">
        <f t="shared" si="89"/>
        <v>1.3292350066195668</v>
      </c>
      <c r="AB87" s="1095">
        <f t="shared" si="89"/>
        <v>11.121385987403954</v>
      </c>
      <c r="AC87" s="1095">
        <f>+(AC81/AB81-1)*100</f>
        <v>16.52066600259743</v>
      </c>
      <c r="AD87" s="1421">
        <f ca="1">OFFSET('VVP1'!$G$86,0,5*(COLUMN()-7))</f>
        <v>6.5</v>
      </c>
      <c r="AE87" s="1421">
        <f ca="1">OFFSET('VVP1'!$G$86,0,5*(COLUMN()-7))</f>
        <v>4.5</v>
      </c>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row>
    <row r="88" spans="1:94">
      <c r="A88" s="1130"/>
      <c r="C88" s="979" t="s">
        <v>1767</v>
      </c>
      <c r="D88" s="1121"/>
      <c r="E88" s="1122" t="s">
        <v>1451</v>
      </c>
      <c r="F88" s="1121" t="s">
        <v>1332</v>
      </c>
      <c r="G88" s="1123"/>
      <c r="H88" s="1123">
        <f>+(H82/G82-1)*100</f>
        <v>17.060452746044842</v>
      </c>
      <c r="I88" s="1123">
        <f t="shared" ref="I88:AC88" si="90">+(I82/H82-1)*100</f>
        <v>18.457542209611468</v>
      </c>
      <c r="J88" s="1123">
        <f t="shared" si="90"/>
        <v>2.8415978608505199</v>
      </c>
      <c r="K88" s="1123">
        <f t="shared" si="90"/>
        <v>-21.073299254007182</v>
      </c>
      <c r="L88" s="1123">
        <f t="shared" si="90"/>
        <v>14.963488353992327</v>
      </c>
      <c r="M88" s="1123">
        <f t="shared" si="90"/>
        <v>24.555580437611724</v>
      </c>
      <c r="N88" s="1123">
        <f t="shared" si="90"/>
        <v>19.123618880461013</v>
      </c>
      <c r="O88" s="1123">
        <f t="shared" si="90"/>
        <v>9.070494733340384</v>
      </c>
      <c r="P88" s="1123">
        <f t="shared" si="90"/>
        <v>2.0751227870710709</v>
      </c>
      <c r="Q88" s="1123">
        <f t="shared" si="90"/>
        <v>24.932621816523003</v>
      </c>
      <c r="R88" s="1123">
        <f t="shared" si="90"/>
        <v>13.346098666827677</v>
      </c>
      <c r="S88" s="1123">
        <f t="shared" si="90"/>
        <v>3.8977400227105274</v>
      </c>
      <c r="T88" s="1123">
        <f t="shared" si="90"/>
        <v>16.083772104719209</v>
      </c>
      <c r="U88" s="1123">
        <f t="shared" si="90"/>
        <v>-12.877782521492176</v>
      </c>
      <c r="V88" s="1123">
        <f t="shared" si="90"/>
        <v>19.822587575658581</v>
      </c>
      <c r="W88" s="1123">
        <f t="shared" si="90"/>
        <v>15.537371566718129</v>
      </c>
      <c r="X88" s="1123">
        <f t="shared" si="90"/>
        <v>11.611556629682539</v>
      </c>
      <c r="Y88" s="1123">
        <f t="shared" si="90"/>
        <v>9.2966504186976717</v>
      </c>
      <c r="Z88" s="1123">
        <f t="shared" si="90"/>
        <v>1.814930544636395</v>
      </c>
      <c r="AA88" s="1123">
        <f t="shared" si="90"/>
        <v>-0.78339648707045351</v>
      </c>
      <c r="AB88" s="1123">
        <f t="shared" si="90"/>
        <v>1.3673353587009052</v>
      </c>
      <c r="AC88" s="1123">
        <f t="shared" si="90"/>
        <v>12.210331962525656</v>
      </c>
      <c r="AD88" s="1424">
        <f ca="1">OFFSET('VVP1'!$G$87,0,5*(COLUMN()-7))</f>
        <v>5.2</v>
      </c>
      <c r="AE88" s="1424">
        <f ca="1">OFFSET('VVP1'!$G$87,0,5*(COLUMN()-7))</f>
        <v>4.4000000000000004</v>
      </c>
    </row>
    <row r="89" spans="1:94">
      <c r="A89" s="664"/>
      <c r="B89" s="664"/>
      <c r="C89" s="694" t="s">
        <v>1769</v>
      </c>
      <c r="D89" s="1097"/>
      <c r="E89" s="1470" t="s">
        <v>1452</v>
      </c>
      <c r="F89" s="1475" t="s">
        <v>1590</v>
      </c>
      <c r="G89" s="1099"/>
      <c r="H89" s="1099">
        <f>+(H83/G83-1)*100</f>
        <v>19.044528323428999</v>
      </c>
      <c r="I89" s="1099">
        <f t="shared" ref="I89:AA89" si="91">+(I83/H83-1)*100</f>
        <v>18.838320999906678</v>
      </c>
      <c r="J89" s="1099">
        <f t="shared" si="91"/>
        <v>4.6592149170669783</v>
      </c>
      <c r="K89" s="1099">
        <f t="shared" si="91"/>
        <v>-16.372062303186162</v>
      </c>
      <c r="L89" s="1099">
        <f t="shared" si="91"/>
        <v>9.5572088492080773</v>
      </c>
      <c r="M89" s="1099">
        <f t="shared" si="91"/>
        <v>21.209135528019061</v>
      </c>
      <c r="N89" s="1099">
        <f t="shared" si="91"/>
        <v>18.611044650627086</v>
      </c>
      <c r="O89" s="1099">
        <f t="shared" si="91"/>
        <v>8.4262028762699828</v>
      </c>
      <c r="P89" s="1099">
        <f t="shared" si="91"/>
        <v>3.994045959034831</v>
      </c>
      <c r="Q89" s="1099">
        <f t="shared" si="91"/>
        <v>20.540314154987939</v>
      </c>
      <c r="R89" s="1099">
        <f t="shared" si="91"/>
        <v>12.644517254648502</v>
      </c>
      <c r="S89" s="1099">
        <f t="shared" si="91"/>
        <v>3.1746642424419269</v>
      </c>
      <c r="T89" s="1099">
        <f t="shared" si="91"/>
        <v>13.507146939638858</v>
      </c>
      <c r="U89" s="1099">
        <f t="shared" si="91"/>
        <v>-12.788626994744856</v>
      </c>
      <c r="V89" s="1099">
        <f t="shared" si="91"/>
        <v>18.942229444272328</v>
      </c>
      <c r="W89" s="1099">
        <f t="shared" si="91"/>
        <v>15.404381813138457</v>
      </c>
      <c r="X89" s="1099">
        <f t="shared" si="91"/>
        <v>12.388585390503515</v>
      </c>
      <c r="Y89" s="1099">
        <f t="shared" si="91"/>
        <v>9.8597881982962718</v>
      </c>
      <c r="Z89" s="1099">
        <f t="shared" si="91"/>
        <v>3.2687395240077022</v>
      </c>
      <c r="AA89" s="1099">
        <f t="shared" si="91"/>
        <v>-0.36250801068858918</v>
      </c>
      <c r="AB89" s="1099">
        <f>+(AB83/AA83-1)*100</f>
        <v>3.4546238679988628</v>
      </c>
      <c r="AC89" s="1099">
        <f>+(AC83/AB83-1)*100</f>
        <v>13.238477414180206</v>
      </c>
      <c r="AD89" s="1466">
        <f ca="1">IF(UPPER('VVP1'!$F$2)="Y",OFFSET('VVP1'!$G$88,0,5*(COLUMN()-7)),('VVP2'!AD83/'VVP2'!AC83-1)*100)</f>
        <v>5.5162869137066251</v>
      </c>
      <c r="AE89" s="1466">
        <f ca="1">IF(UPPER('VVP1'!$F$2)="Y",OFFSET('VVP1'!$G$88,0,5*(COLUMN()-7)),('VVP2'!AE83/'VVP2'!AD83-1)*100)</f>
        <v>4.424592787673598</v>
      </c>
    </row>
    <row r="90" spans="1:94">
      <c r="AB90" s="557"/>
      <c r="AC90" s="557"/>
      <c r="AD90" s="557"/>
      <c r="AE90" s="557"/>
    </row>
    <row r="91" spans="1:94">
      <c r="A91" s="1130"/>
      <c r="D91" s="1175"/>
      <c r="E91" s="1129" t="s">
        <v>1359</v>
      </c>
      <c r="F91" s="1176"/>
      <c r="G91" s="707">
        <f>+InputY!$G$3</f>
        <v>1995</v>
      </c>
      <c r="H91" s="707">
        <f>+G91+1</f>
        <v>1996</v>
      </c>
      <c r="I91" s="707">
        <f t="shared" ref="I91:O91" si="92">+H91+1</f>
        <v>1997</v>
      </c>
      <c r="J91" s="707">
        <f t="shared" si="92"/>
        <v>1998</v>
      </c>
      <c r="K91" s="707">
        <f t="shared" si="92"/>
        <v>1999</v>
      </c>
      <c r="L91" s="707">
        <f t="shared" si="92"/>
        <v>2000</v>
      </c>
      <c r="M91" s="707">
        <f t="shared" si="92"/>
        <v>2001</v>
      </c>
      <c r="N91" s="707">
        <f t="shared" si="92"/>
        <v>2002</v>
      </c>
      <c r="O91" s="707">
        <f t="shared" si="92"/>
        <v>2003</v>
      </c>
      <c r="P91" s="707">
        <f t="shared" ref="P91:V91" si="93">+O91+1</f>
        <v>2004</v>
      </c>
      <c r="Q91" s="707">
        <f t="shared" si="93"/>
        <v>2005</v>
      </c>
      <c r="R91" s="707">
        <f t="shared" si="93"/>
        <v>2006</v>
      </c>
      <c r="S91" s="707">
        <f>+R91+1</f>
        <v>2007</v>
      </c>
      <c r="T91" s="707">
        <f t="shared" si="93"/>
        <v>2008</v>
      </c>
      <c r="U91" s="707">
        <f t="shared" si="93"/>
        <v>2009</v>
      </c>
      <c r="V91" s="707">
        <f t="shared" si="93"/>
        <v>2010</v>
      </c>
      <c r="W91" s="707">
        <f t="shared" ref="W91:AE91" si="94">+V91+1</f>
        <v>2011</v>
      </c>
      <c r="X91" s="707">
        <f t="shared" si="94"/>
        <v>2012</v>
      </c>
      <c r="Y91" s="707">
        <f t="shared" si="94"/>
        <v>2013</v>
      </c>
      <c r="Z91" s="707">
        <f t="shared" si="94"/>
        <v>2014</v>
      </c>
      <c r="AA91" s="707">
        <f t="shared" si="94"/>
        <v>2015</v>
      </c>
      <c r="AB91" s="707">
        <f t="shared" si="94"/>
        <v>2016</v>
      </c>
      <c r="AC91" s="707">
        <f t="shared" si="94"/>
        <v>2017</v>
      </c>
      <c r="AD91" s="707">
        <f t="shared" si="94"/>
        <v>2018</v>
      </c>
      <c r="AE91" s="707">
        <f t="shared" si="94"/>
        <v>2019</v>
      </c>
    </row>
    <row r="92" spans="1:94">
      <c r="A92" s="664"/>
      <c r="C92" s="1079" t="s">
        <v>1767</v>
      </c>
      <c r="D92" s="1058"/>
      <c r="E92" s="1038" t="s">
        <v>1942</v>
      </c>
      <c r="F92" s="1058"/>
      <c r="G92" s="1084">
        <f>+G72</f>
        <v>13.836275402676117</v>
      </c>
      <c r="H92" s="1084">
        <f t="shared" ref="H92:O92" si="95">+H72</f>
        <v>15.044402112619391</v>
      </c>
      <c r="I92" s="1084">
        <f t="shared" si="95"/>
        <v>16.904520540333646</v>
      </c>
      <c r="J92" s="1084">
        <f t="shared" si="95"/>
        <v>18.287507990920549</v>
      </c>
      <c r="K92" s="1084">
        <f t="shared" si="95"/>
        <v>18.187110671109533</v>
      </c>
      <c r="L92" s="1084">
        <f t="shared" si="95"/>
        <v>18.575447364388694</v>
      </c>
      <c r="M92" s="1084">
        <f t="shared" si="95"/>
        <v>19.65684720975181</v>
      </c>
      <c r="N92" s="1084">
        <f t="shared" si="95"/>
        <v>21.1194781462228</v>
      </c>
      <c r="O92" s="1084">
        <f t="shared" si="95"/>
        <v>23.318488136288344</v>
      </c>
      <c r="P92" s="1084">
        <f t="shared" ref="P92:V92" si="96">+P72</f>
        <v>26.40723272</v>
      </c>
      <c r="Q92" s="1084">
        <f t="shared" si="96"/>
        <v>28.643457320000003</v>
      </c>
      <c r="R92" s="1084">
        <f t="shared" si="96"/>
        <v>31.129453789999999</v>
      </c>
      <c r="S92" s="1084">
        <f>+S72</f>
        <v>35.771466449999998</v>
      </c>
      <c r="T92" s="1084">
        <f>+T72</f>
        <v>36.898166749999994</v>
      </c>
      <c r="U92" s="1084">
        <f t="shared" si="96"/>
        <v>28.05370173</v>
      </c>
      <c r="V92" s="1084">
        <f t="shared" si="96"/>
        <v>28.55387</v>
      </c>
      <c r="W92" s="1084">
        <f t="shared" ref="W92:AA92" si="97">+W72</f>
        <v>30.253779999999999</v>
      </c>
      <c r="X92" s="1084">
        <f t="shared" si="97"/>
        <v>30.162026480000002</v>
      </c>
      <c r="Y92" s="1084">
        <f t="shared" si="97"/>
        <v>31.017061699999999</v>
      </c>
      <c r="Z92" s="1084">
        <f t="shared" si="97"/>
        <v>32.070553260000004</v>
      </c>
      <c r="AA92" s="1084">
        <f t="shared" si="97"/>
        <v>34.438025119999999</v>
      </c>
      <c r="AB92" s="1084">
        <f t="shared" ref="AB92" si="98">+AB72</f>
        <v>35.266515149999996</v>
      </c>
      <c r="AC92" s="1084">
        <f ca="1">+AC72</f>
        <v>36.725054851007108</v>
      </c>
      <c r="AD92" s="1084">
        <f ca="1">+AD72</f>
        <v>38.14587641386899</v>
      </c>
      <c r="AE92" s="1084">
        <f ca="1">+AE72</f>
        <v>39.376147701025829</v>
      </c>
    </row>
    <row r="93" spans="1:94" ht="12.75" customHeight="1">
      <c r="A93" s="664"/>
      <c r="C93" s="1081" t="s">
        <v>1767</v>
      </c>
      <c r="D93" s="1077"/>
      <c r="E93" s="1039" t="s">
        <v>1452</v>
      </c>
      <c r="F93" s="1077" t="s">
        <v>1590</v>
      </c>
      <c r="G93" s="1085">
        <f>+G83</f>
        <v>5.0488624980055201</v>
      </c>
      <c r="H93" s="1085">
        <f t="shared" ref="H93:O93" si="99">+H83</f>
        <v>6.0103945464491666</v>
      </c>
      <c r="I93" s="1085">
        <f t="shared" si="99"/>
        <v>7.1426519644701454</v>
      </c>
      <c r="J93" s="1085">
        <f t="shared" si="99"/>
        <v>7.475443470272916</v>
      </c>
      <c r="K93" s="1085">
        <f t="shared" si="99"/>
        <v>6.2515592078803728</v>
      </c>
      <c r="L93" s="1085">
        <f t="shared" si="99"/>
        <v>6.8490337777093986</v>
      </c>
      <c r="M93" s="1085">
        <f t="shared" si="99"/>
        <v>8.3016546339835884</v>
      </c>
      <c r="N93" s="1085">
        <f t="shared" si="99"/>
        <v>9.8466792846551261</v>
      </c>
      <c r="O93" s="1085">
        <f t="shared" si="99"/>
        <v>10.676380457755817</v>
      </c>
      <c r="P93" s="1085">
        <f t="shared" ref="P93:V93" si="100">+P83</f>
        <v>11.102799999999998</v>
      </c>
      <c r="Q93" s="1085">
        <f t="shared" si="100"/>
        <v>13.38335</v>
      </c>
      <c r="R93" s="1085">
        <f t="shared" si="100"/>
        <v>15.075610000000001</v>
      </c>
      <c r="S93" s="1085">
        <f>+S83</f>
        <v>15.554209999999999</v>
      </c>
      <c r="T93" s="1085">
        <f>+T83</f>
        <v>17.655139999999999</v>
      </c>
      <c r="U93" s="1085">
        <f t="shared" si="100"/>
        <v>15.397290000000002</v>
      </c>
      <c r="V93" s="1085">
        <f t="shared" si="100"/>
        <v>18.313880000000001</v>
      </c>
      <c r="W93" s="1085">
        <f t="shared" ref="W93:AA93" si="101">+W83</f>
        <v>21.135020000000001</v>
      </c>
      <c r="X93" s="1085">
        <f t="shared" si="101"/>
        <v>23.753349999999998</v>
      </c>
      <c r="Y93" s="1085">
        <f t="shared" si="101"/>
        <v>26.095380000000002</v>
      </c>
      <c r="Z93" s="1085">
        <f t="shared" si="101"/>
        <v>26.948370000000001</v>
      </c>
      <c r="AA93" s="1085">
        <f t="shared" si="101"/>
        <v>26.850680000000001</v>
      </c>
      <c r="AB93" s="1085">
        <f t="shared" ref="AB93" si="102">+AB83</f>
        <v>27.778269999999999</v>
      </c>
      <c r="AC93" s="1085">
        <f>+AC83</f>
        <v>31.455689999999997</v>
      </c>
      <c r="AD93" s="1085">
        <f ca="1">+AD83</f>
        <v>33.190876111086119</v>
      </c>
      <c r="AE93" s="1085">
        <f ca="1">+AE83</f>
        <v>34.659437221662913</v>
      </c>
    </row>
    <row r="94" spans="1:94">
      <c r="A94" s="664">
        <f>+ROW(InputY!A43)</f>
        <v>43</v>
      </c>
      <c r="B94" s="664"/>
      <c r="C94" s="694" t="s">
        <v>1769</v>
      </c>
      <c r="D94" s="1177"/>
      <c r="E94" s="1461" t="s">
        <v>1359</v>
      </c>
      <c r="F94" s="1460"/>
      <c r="G94" s="1184">
        <f>+InputY!G43/1000</f>
        <v>18.697227895180973</v>
      </c>
      <c r="H94" s="1184">
        <f>+InputY!H43/1000</f>
        <v>20.908572512990041</v>
      </c>
      <c r="I94" s="1184">
        <f>+InputY!I43/1000</f>
        <v>23.919420909441602</v>
      </c>
      <c r="J94" s="1184">
        <f>+InputY!J43/1000</f>
        <v>25.607469229881275</v>
      </c>
      <c r="K94" s="1184">
        <f>+InputY!K43/1000</f>
        <v>24.298456251731583</v>
      </c>
      <c r="L94" s="1184">
        <f>+InputY!L43/1000</f>
        <v>25.286247982793554</v>
      </c>
      <c r="M94" s="1184">
        <f>+InputY!M43/1000</f>
        <v>27.906859620407776</v>
      </c>
      <c r="N94" s="1184">
        <f>+InputY!N43/1000</f>
        <v>30.979501856890789</v>
      </c>
      <c r="O94" s="1184">
        <f>+InputY!O43/1000</f>
        <v>34.001155724657146</v>
      </c>
      <c r="P94" s="1184">
        <f>+InputY!P43/1000</f>
        <v>37.481002539999999</v>
      </c>
      <c r="Q94" s="1184">
        <f>+InputY!Q43/1000</f>
        <v>42.042632760000004</v>
      </c>
      <c r="R94" s="1184">
        <f>+InputY!R43/1000</f>
        <v>46.248838550000002</v>
      </c>
      <c r="S94" s="1184">
        <f>+InputY!S43/1000</f>
        <v>51.325337930000003</v>
      </c>
      <c r="T94" s="1184">
        <f>+InputY!T43/1000</f>
        <v>54.579444009999996</v>
      </c>
      <c r="U94" s="1184">
        <f>+InputY!U43/1000</f>
        <v>43.563655220000001</v>
      </c>
      <c r="V94" s="1184">
        <f>+InputY!V43/1000</f>
        <v>46.867750000000001</v>
      </c>
      <c r="W94" s="1184">
        <f>+InputY!W43/1000</f>
        <v>51.388800000000003</v>
      </c>
      <c r="X94" s="1184">
        <f>+InputY!X43/1000</f>
        <v>53.987926030000004</v>
      </c>
      <c r="Y94" s="1184">
        <f>+InputY!Y43/1000</f>
        <v>57.230938850000001</v>
      </c>
      <c r="Z94" s="1184">
        <f>+InputY!Z43/1000</f>
        <v>59.141162659999999</v>
      </c>
      <c r="AA94" s="1184">
        <f>+InputY!AA43/1000</f>
        <v>61.432050349999997</v>
      </c>
      <c r="AB94" s="1184">
        <f>+InputY!AB43/1000</f>
        <v>63.187093279999999</v>
      </c>
      <c r="AC94" s="1184">
        <f>+InputY!AC43/1000</f>
        <v>68.004727410000001</v>
      </c>
      <c r="AD94" s="1464">
        <f ca="1">IF(UPPER('VVP1'!$F$2)="Y",+AC94*(1+AD100/100),+AD92+AD93)</f>
        <v>71.144298205388168</v>
      </c>
      <c r="AE94" s="1464">
        <f ca="1">IF(UPPER('VVP1'!$F$2)="Y",+AD94*(1+AE100/100),+AE92+AE93)</f>
        <v>73.828566437201914</v>
      </c>
    </row>
    <row r="95" spans="1:94" s="699" customFormat="1" ht="12.75" customHeight="1">
      <c r="A95" s="664"/>
      <c r="B95" s="664"/>
      <c r="C95" s="774"/>
      <c r="D95" s="1973"/>
      <c r="E95" s="1973" t="s">
        <v>737</v>
      </c>
      <c r="F95" s="1973"/>
      <c r="G95" s="1002"/>
      <c r="H95" s="1002">
        <f ca="1">ABS(IF('VVP1'!$F$2="Y",OFFSET('VVP1'!$G$14,0,5*(COLUMN()-7)+1)-OFFSET('VVP1'!$G$88,0,5*(COLUMN()-7)+1)-OFFSET('VVP1'!$G$12,0,5*(COLUMN()-7)+1),ABS(H94-H92-H93)))</f>
        <v>5.7740803415034847E-2</v>
      </c>
      <c r="I95" s="1002">
        <f ca="1">ABS(IF('VVP1'!$F$2="Y",OFFSET('VVP1'!$G$14,0,5*(COLUMN()-7)+1)-OFFSET('VVP1'!$G$88,0,5*(COLUMN()-7)+1)-OFFSET('VVP1'!$G$12,0,5*(COLUMN()-7)+1),ABS(I94-I92-I93)))</f>
        <v>3.5326052647979722E-2</v>
      </c>
      <c r="J95" s="1002">
        <f ca="1">ABS(IF('VVP1'!$F$2="Y",OFFSET('VVP1'!$G$14,0,5*(COLUMN()-7)+1)-OFFSET('VVP1'!$G$88,0,5*(COLUMN()-7)+1)-OFFSET('VVP1'!$G$12,0,5*(COLUMN()-7)+1),ABS(J94-J92-J93)))</f>
        <v>1.8627520452564994E-2</v>
      </c>
      <c r="K95" s="1002">
        <f ca="1">ABS(IF('VVP1'!$F$2="Y",OFFSET('VVP1'!$G$14,0,5*(COLUMN()-7)+1)-OFFSET('VVP1'!$G$88,0,5*(COLUMN()-7)+1)-OFFSET('VVP1'!$G$12,0,5*(COLUMN()-7)+1),ABS(K94-K92-K93)))</f>
        <v>8.8233825819441947E-2</v>
      </c>
      <c r="L95" s="1002">
        <f ca="1">ABS(IF('VVP1'!$F$2="Y",OFFSET('VVP1'!$G$14,0,5*(COLUMN()-7)+1)-OFFSET('VVP1'!$G$88,0,5*(COLUMN()-7)+1)-OFFSET('VVP1'!$G$12,0,5*(COLUMN()-7)+1),ABS(L94-L92-L93)))</f>
        <v>4.3541774628888419E-2</v>
      </c>
      <c r="M95" s="1002">
        <f ca="1">ABS(IF('VVP1'!$F$2="Y",OFFSET('VVP1'!$G$14,0,5*(COLUMN()-7)+1)-OFFSET('VVP1'!$G$88,0,5*(COLUMN()-7)+1)-OFFSET('VVP1'!$G$12,0,5*(COLUMN()-7)+1),ABS(M94-M92-M93)))</f>
        <v>8.5896822027496711E-2</v>
      </c>
      <c r="N95" s="1002">
        <f ca="1">ABS(IF('VVP1'!$F$2="Y",OFFSET('VVP1'!$G$14,0,5*(COLUMN()-7)+1)-OFFSET('VVP1'!$G$88,0,5*(COLUMN()-7)+1)-OFFSET('VVP1'!$G$12,0,5*(COLUMN()-7)+1),ABS(N94-N92-N93)))</f>
        <v>5.9198380269467776E-2</v>
      </c>
      <c r="O95" s="1002">
        <f ca="1">ABS(IF('VVP1'!$F$2="Y",OFFSET('VVP1'!$G$14,0,5*(COLUMN()-7)+1)-OFFSET('VVP1'!$G$88,0,5*(COLUMN()-7)+1)-OFFSET('VVP1'!$G$12,0,5*(COLUMN()-7)+1),ABS(O94-O92-O93)))</f>
        <v>1.0248853838415783E-2</v>
      </c>
      <c r="P95" s="1002">
        <f ca="1">ABS(IF('VVP1'!$F$2="Y",OFFSET('VVP1'!$G$14,0,5*(COLUMN()-7)+1)-OFFSET('VVP1'!$G$88,0,5*(COLUMN()-7)+1)-OFFSET('VVP1'!$G$12,0,5*(COLUMN()-7)+1),ABS(P94-P92-P93)))</f>
        <v>5.0749745714636418E-2</v>
      </c>
      <c r="Q95" s="1002">
        <f ca="1">ABS(IF('VVP1'!$F$2="Y",OFFSET('VVP1'!$G$14,0,5*(COLUMN()-7)+1)-OFFSET('VVP1'!$G$88,0,5*(COLUMN()-7)+1)-OFFSET('VVP1'!$G$12,0,5*(COLUMN()-7)+1),ABS(Q94-Q92-Q93)))</f>
        <v>2.2222224060897133E-9</v>
      </c>
      <c r="R95" s="1002">
        <f ca="1">ABS(IF('VVP1'!$F$2="Y",OFFSET('VVP1'!$G$14,0,5*(COLUMN()-7)+1)-OFFSET('VVP1'!$G$88,0,5*(COLUMN()-7)+1)-OFFSET('VVP1'!$G$12,0,5*(COLUMN()-7)+1),ABS(R94-R92-R93)))</f>
        <v>1.3067588966464427E-7</v>
      </c>
      <c r="S95" s="1002">
        <f ca="1">ABS(IF('VVP1'!$F$2="Y",OFFSET('VVP1'!$G$14,0,5*(COLUMN()-7)+1)-OFFSET('VVP1'!$G$88,0,5*(COLUMN()-7)+1)-OFFSET('VVP1'!$G$12,0,5*(COLUMN()-7)+1),ABS(S94-S92-S93)))</f>
        <v>1.3402754461822042E-9</v>
      </c>
      <c r="T95" s="2906">
        <f ca="1">ABS(IF('VVP1'!$F$2="Y",OFFSET('VVP1'!$G$14,0,5*(COLUMN()-7)+1)-OFFSET('VVP1'!$G$88,0,5*(COLUMN()-7)+1)-OFFSET('VVP1'!$G$12,0,5*(COLUMN()-7)+1),ABS(T94-T92-T93)))</f>
        <v>3.1785784671001238E-7</v>
      </c>
      <c r="U95" s="2906">
        <f ca="1">ABS(IF('VVP1'!$F$2="Y",OFFSET('VVP1'!$G$14,0,5*(COLUMN()-7)+1)-OFFSET('VVP1'!$G$88,0,5*(COLUMN()-7)+1)-OFFSET('VVP1'!$G$12,0,5*(COLUMN()-7)+1),ABS(U94-U92-U93)))</f>
        <v>3.8090388443379197E-7</v>
      </c>
      <c r="V95" s="2906">
        <f ca="1">ABS(IF('VVP1'!$F$2="Y",OFFSET('VVP1'!$G$14,0,5*(COLUMN()-7)+1)-OFFSET('VVP1'!$G$88,0,5*(COLUMN()-7)+1)-OFFSET('VVP1'!$G$12,0,5*(COLUMN()-7)+1),ABS(V94-V92-V93)))</f>
        <v>5.2468962508100958E-9</v>
      </c>
      <c r="W95" s="2906">
        <f ca="1">ABS(IF('VVP1'!$F$2="Y",OFFSET('VVP1'!$G$14,0,5*(COLUMN()-7)+1)-OFFSET('VVP1'!$G$88,0,5*(COLUMN()-7)+1)-OFFSET('VVP1'!$G$12,0,5*(COLUMN()-7)+1),ABS(W94-W92-W93)))</f>
        <v>7.1054273576010019E-15</v>
      </c>
      <c r="X95" s="2906">
        <f ca="1">ABS(IF('VVP1'!$F$2="Y",OFFSET('VVP1'!$G$14,0,5*(COLUMN()-7)+1)-OFFSET('VVP1'!$G$88,0,5*(COLUMN()-7)+1)-OFFSET('VVP1'!$G$12,0,5*(COLUMN()-7)+1),ABS(X94-X92-X93)))</f>
        <v>5.4355651357695933E-7</v>
      </c>
      <c r="Y95" s="2906">
        <f ca="1">ABS(IF('VVP1'!$F$2="Y",OFFSET('VVP1'!$G$14,0,5*(COLUMN()-7)+1)-OFFSET('VVP1'!$G$88,0,5*(COLUMN()-7)+1)-OFFSET('VVP1'!$G$12,0,5*(COLUMN()-7)+1),ABS(Y94-Y92-Y93)))</f>
        <v>3.2750103429179944E-7</v>
      </c>
      <c r="Z95" s="2906">
        <f ca="1">ABS(IF('VVP1'!$F$2="Y",OFFSET('VVP1'!$G$14,0,5*(COLUMN()-7)+1)-OFFSET('VVP1'!$G$88,0,5*(COLUMN()-7)+1)-OFFSET('VVP1'!$G$12,0,5*(COLUMN()-7)+1),ABS(Z94-Z92-Z93)))</f>
        <v>1.4790870750402973E-9</v>
      </c>
      <c r="AA95" s="2906">
        <f ca="1">ABS(IF('VVP1'!$F$2="Y",OFFSET('VVP1'!$G$14,0,5*(COLUMN()-7)+1)-OFFSET('VVP1'!$G$88,0,5*(COLUMN()-7)+1)-OFFSET('VVP1'!$G$12,0,5*(COLUMN()-7)+1),ABS(AA94-AA92-AA93)))</f>
        <v>2.1567601038441353E-9</v>
      </c>
      <c r="AB95" s="2906">
        <f ca="1">ABS(IF('VVP1'!$F$2="Y",OFFSET('VVP1'!$G$14,0,5*(COLUMN()-7)+1)-OFFSET('VVP1'!$G$88,0,5*(COLUMN()-7)+1)-OFFSET('VVP1'!$G$12,0,5*(COLUMN()-7)+1),ABS(AB94-AB92-AB93)))</f>
        <v>1.5968394961873855E-7</v>
      </c>
      <c r="AC95" s="2906">
        <f ca="1">ABS(IF('VVP1'!$F$2="Y",OFFSET('VVP1'!$G$14,0,5*(COLUMN()-7)+1)-OFFSET('VVP1'!$G$88,0,5*(COLUMN()-7)+1)-OFFSET('VVP1'!$G$12,0,5*(COLUMN()-7)+1),ABS(AC94-AC92-AC93)))</f>
        <v>5.9906007123800009E-6</v>
      </c>
      <c r="AD95" s="2906">
        <f ca="1">ABS(IF('VVP1'!$F$2="Y",OFFSET('VVP1'!$G$14,0,5*(COLUMN()-7)+1)-OFFSET('VVP1'!$G$88,0,5*(COLUMN()-7)+1)-OFFSET('VVP1'!$G$12,0,5*(COLUMN()-7)+1),ABS(AD94-AD92-AD93)))</f>
        <v>6.5988554354134976E-6</v>
      </c>
      <c r="AE95" s="2906">
        <f ca="1">ABS(IF('VVP1'!$F$2="Y",OFFSET('VVP1'!$G$14,0,5*(COLUMN()-7)+1)-OFFSET('VVP1'!$G$88,0,5*(COLUMN()-7)+1)-OFFSET('VVP1'!$G$12,0,5*(COLUMN()-7)+1),ABS(AE94-AE92-AE93)))</f>
        <v>7.0527012496768293E-6</v>
      </c>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row>
    <row r="96" spans="1:94">
      <c r="AB96" s="557"/>
      <c r="AC96" s="557"/>
      <c r="AD96" s="557"/>
      <c r="AE96" s="557"/>
    </row>
    <row r="97" spans="1:94" s="699" customFormat="1" ht="12.75" customHeight="1">
      <c r="A97" s="664"/>
      <c r="B97" s="664"/>
      <c r="C97" s="774"/>
      <c r="D97" s="1092"/>
      <c r="E97" s="1093" t="s">
        <v>1359</v>
      </c>
      <c r="F97" s="1094"/>
      <c r="G97" s="896">
        <f>+InputY!$G$3</f>
        <v>1995</v>
      </c>
      <c r="H97" s="896">
        <f>+G97+1</f>
        <v>1996</v>
      </c>
      <c r="I97" s="896">
        <f t="shared" ref="I97:O97" si="103">+H97+1</f>
        <v>1997</v>
      </c>
      <c r="J97" s="896">
        <f t="shared" si="103"/>
        <v>1998</v>
      </c>
      <c r="K97" s="896">
        <f t="shared" si="103"/>
        <v>1999</v>
      </c>
      <c r="L97" s="896">
        <f t="shared" si="103"/>
        <v>2000</v>
      </c>
      <c r="M97" s="896">
        <f t="shared" si="103"/>
        <v>2001</v>
      </c>
      <c r="N97" s="896">
        <f t="shared" si="103"/>
        <v>2002</v>
      </c>
      <c r="O97" s="896">
        <f t="shared" si="103"/>
        <v>2003</v>
      </c>
      <c r="P97" s="896">
        <f t="shared" ref="P97:V97" si="104">+O97+1</f>
        <v>2004</v>
      </c>
      <c r="Q97" s="896">
        <f t="shared" si="104"/>
        <v>2005</v>
      </c>
      <c r="R97" s="896">
        <f t="shared" si="104"/>
        <v>2006</v>
      </c>
      <c r="S97" s="896">
        <f>+R97+1</f>
        <v>2007</v>
      </c>
      <c r="T97" s="896">
        <f t="shared" si="104"/>
        <v>2008</v>
      </c>
      <c r="U97" s="896">
        <f t="shared" si="104"/>
        <v>2009</v>
      </c>
      <c r="V97" s="896">
        <f t="shared" si="104"/>
        <v>2010</v>
      </c>
      <c r="W97" s="896">
        <f t="shared" ref="W97:AE97" si="105">+V97+1</f>
        <v>2011</v>
      </c>
      <c r="X97" s="896">
        <f t="shared" si="105"/>
        <v>2012</v>
      </c>
      <c r="Y97" s="896">
        <f t="shared" si="105"/>
        <v>2013</v>
      </c>
      <c r="Z97" s="896">
        <f t="shared" si="105"/>
        <v>2014</v>
      </c>
      <c r="AA97" s="896">
        <f t="shared" si="105"/>
        <v>2015</v>
      </c>
      <c r="AB97" s="896">
        <f t="shared" si="105"/>
        <v>2016</v>
      </c>
      <c r="AC97" s="896">
        <f t="shared" si="105"/>
        <v>2017</v>
      </c>
      <c r="AD97" s="896">
        <f t="shared" si="105"/>
        <v>2018</v>
      </c>
      <c r="AE97" s="896">
        <f t="shared" si="105"/>
        <v>2019</v>
      </c>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row>
    <row r="98" spans="1:94" s="699" customFormat="1" ht="12.75" customHeight="1">
      <c r="A98" s="664"/>
      <c r="B98" s="664"/>
      <c r="C98" s="794" t="s">
        <v>1767</v>
      </c>
      <c r="D98" s="689"/>
      <c r="E98" s="738" t="s">
        <v>1942</v>
      </c>
      <c r="F98" s="733" t="s">
        <v>47</v>
      </c>
      <c r="G98" s="1095"/>
      <c r="H98" s="1095">
        <f>+(H92/G92-1)*100</f>
        <v>8.7315890641321392</v>
      </c>
      <c r="I98" s="1095">
        <f t="shared" ref="I98:T98" si="106">+(I92/H92-1)*100</f>
        <v>12.364189774972644</v>
      </c>
      <c r="J98" s="1095">
        <f t="shared" si="106"/>
        <v>8.1811693344814973</v>
      </c>
      <c r="K98" s="1095">
        <f t="shared" si="106"/>
        <v>-0.54899399010986949</v>
      </c>
      <c r="L98" s="1095">
        <f t="shared" si="106"/>
        <v>2.1352302754501729</v>
      </c>
      <c r="M98" s="1095">
        <f t="shared" si="106"/>
        <v>5.8216624566269415</v>
      </c>
      <c r="N98" s="1095">
        <f t="shared" si="106"/>
        <v>7.440821617341431</v>
      </c>
      <c r="O98" s="1095">
        <f t="shared" si="106"/>
        <v>10.412236395428343</v>
      </c>
      <c r="P98" s="1095">
        <f t="shared" si="106"/>
        <v>13.245904132630869</v>
      </c>
      <c r="Q98" s="1095">
        <f t="shared" si="106"/>
        <v>8.4682277151530538</v>
      </c>
      <c r="R98" s="1095">
        <f t="shared" si="106"/>
        <v>8.6791075610281645</v>
      </c>
      <c r="S98" s="1095">
        <f t="shared" si="106"/>
        <v>14.911963092301983</v>
      </c>
      <c r="T98" s="1095">
        <f t="shared" si="106"/>
        <v>3.1497179506880357</v>
      </c>
      <c r="U98" s="1095">
        <f t="shared" ref="U98:AE99" si="107">+(U92/T92-1)*100</f>
        <v>-23.969930755435144</v>
      </c>
      <c r="V98" s="1095">
        <f t="shared" si="107"/>
        <v>1.7828958003967443</v>
      </c>
      <c r="W98" s="1095">
        <f t="shared" si="107"/>
        <v>5.9533436273261797</v>
      </c>
      <c r="X98" s="1095">
        <f t="shared" si="107"/>
        <v>-0.30327952407929182</v>
      </c>
      <c r="Y98" s="1095">
        <f t="shared" si="107"/>
        <v>2.8348069403326015</v>
      </c>
      <c r="Z98" s="1095">
        <f t="shared" si="107"/>
        <v>3.3964905192808814</v>
      </c>
      <c r="AA98" s="1095">
        <f t="shared" si="107"/>
        <v>7.3820736449621061</v>
      </c>
      <c r="AB98" s="1095">
        <f t="shared" si="107"/>
        <v>2.4057419875649355</v>
      </c>
      <c r="AC98" s="1095">
        <f t="shared" ca="1" si="107"/>
        <v>4.1357636126038155</v>
      </c>
      <c r="AD98" s="1095">
        <f t="shared" ca="1" si="107"/>
        <v>3.8688071906934685</v>
      </c>
      <c r="AE98" s="1095">
        <f t="shared" ca="1" si="107"/>
        <v>3.2251750459442619</v>
      </c>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row>
    <row r="99" spans="1:94" s="699" customFormat="1" ht="12.75" customHeight="1">
      <c r="A99" s="664"/>
      <c r="B99" s="664"/>
      <c r="C99" s="796" t="s">
        <v>1767</v>
      </c>
      <c r="D99" s="691"/>
      <c r="E99" s="797" t="s">
        <v>1452</v>
      </c>
      <c r="F99" s="736" t="s">
        <v>1590</v>
      </c>
      <c r="G99" s="1096"/>
      <c r="H99" s="1096">
        <f>+(H93/G93-1)*100</f>
        <v>19.044528323428999</v>
      </c>
      <c r="I99" s="1096">
        <f t="shared" ref="I99:T99" si="108">+(I93/H93-1)*100</f>
        <v>18.838320999906678</v>
      </c>
      <c r="J99" s="1096">
        <f t="shared" si="108"/>
        <v>4.6592149170669783</v>
      </c>
      <c r="K99" s="1096">
        <f t="shared" si="108"/>
        <v>-16.372062303186162</v>
      </c>
      <c r="L99" s="1096">
        <f t="shared" si="108"/>
        <v>9.5572088492080773</v>
      </c>
      <c r="M99" s="1096">
        <f t="shared" si="108"/>
        <v>21.209135528019061</v>
      </c>
      <c r="N99" s="1096">
        <f t="shared" si="108"/>
        <v>18.611044650627086</v>
      </c>
      <c r="O99" s="1096">
        <f t="shared" si="108"/>
        <v>8.4262028762699828</v>
      </c>
      <c r="P99" s="1096">
        <f t="shared" si="108"/>
        <v>3.994045959034831</v>
      </c>
      <c r="Q99" s="1096">
        <f t="shared" si="108"/>
        <v>20.540314154987939</v>
      </c>
      <c r="R99" s="1096">
        <f t="shared" si="108"/>
        <v>12.644517254648502</v>
      </c>
      <c r="S99" s="1096">
        <f t="shared" si="108"/>
        <v>3.1746642424419269</v>
      </c>
      <c r="T99" s="1096">
        <f t="shared" si="108"/>
        <v>13.507146939638858</v>
      </c>
      <c r="U99" s="1096">
        <f t="shared" si="107"/>
        <v>-12.788626994744856</v>
      </c>
      <c r="V99" s="1096">
        <f t="shared" si="107"/>
        <v>18.942229444272328</v>
      </c>
      <c r="W99" s="1096">
        <f t="shared" si="107"/>
        <v>15.404381813138457</v>
      </c>
      <c r="X99" s="1096">
        <f t="shared" si="107"/>
        <v>12.388585390503515</v>
      </c>
      <c r="Y99" s="1096">
        <f t="shared" si="107"/>
        <v>9.8597881982962718</v>
      </c>
      <c r="Z99" s="1096">
        <f t="shared" si="107"/>
        <v>3.2687395240077022</v>
      </c>
      <c r="AA99" s="1096">
        <f t="shared" si="107"/>
        <v>-0.36250801068858918</v>
      </c>
      <c r="AB99" s="1096">
        <f t="shared" si="107"/>
        <v>3.4546238679988628</v>
      </c>
      <c r="AC99" s="1096">
        <f t="shared" si="107"/>
        <v>13.238477414180206</v>
      </c>
      <c r="AD99" s="1096">
        <f t="shared" ca="1" si="107"/>
        <v>5.5162869137066251</v>
      </c>
      <c r="AE99" s="1096">
        <f t="shared" ca="1" si="107"/>
        <v>4.424592787673598</v>
      </c>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row>
    <row r="100" spans="1:94" s="699" customFormat="1" ht="12.75" customHeight="1">
      <c r="A100" s="664"/>
      <c r="B100" s="664"/>
      <c r="C100" s="774" t="s">
        <v>1769</v>
      </c>
      <c r="D100" s="717"/>
      <c r="E100" s="1468" t="s">
        <v>1359</v>
      </c>
      <c r="F100" s="723" t="s">
        <v>48</v>
      </c>
      <c r="G100" s="1099"/>
      <c r="H100" s="1099">
        <f>+(H94/G94-1)*100</f>
        <v>11.827125551478247</v>
      </c>
      <c r="I100" s="1099">
        <f>+(I94/H94-1)*100</f>
        <v>14.400066740955108</v>
      </c>
      <c r="J100" s="1099">
        <f t="shared" ref="J100:AC100" si="109">+(J94/I94-1)*100</f>
        <v>7.0572290476035748</v>
      </c>
      <c r="K100" s="1099">
        <f t="shared" si="109"/>
        <v>-5.1118404805977846</v>
      </c>
      <c r="L100" s="1099">
        <f t="shared" si="109"/>
        <v>4.0652448074415259</v>
      </c>
      <c r="M100" s="1099">
        <f t="shared" si="109"/>
        <v>10.363782081855156</v>
      </c>
      <c r="N100" s="1099">
        <f t="shared" si="109"/>
        <v>11.010347557114763</v>
      </c>
      <c r="O100" s="1099">
        <f t="shared" si="109"/>
        <v>9.7537199975804345</v>
      </c>
      <c r="P100" s="1099">
        <f t="shared" si="109"/>
        <v>10.234495684566735</v>
      </c>
      <c r="Q100" s="1099">
        <f t="shared" si="109"/>
        <v>12.170512822147161</v>
      </c>
      <c r="R100" s="1099">
        <f t="shared" si="109"/>
        <v>10.004620343381166</v>
      </c>
      <c r="S100" s="1099">
        <f t="shared" si="109"/>
        <v>10.976490522052252</v>
      </c>
      <c r="T100" s="1099">
        <f t="shared" si="109"/>
        <v>6.3401551967141367</v>
      </c>
      <c r="U100" s="1099">
        <f t="shared" si="109"/>
        <v>-20.183035920962645</v>
      </c>
      <c r="V100" s="1099">
        <f t="shared" si="109"/>
        <v>7.5845214624761237</v>
      </c>
      <c r="W100" s="1099">
        <f t="shared" si="109"/>
        <v>9.6463986429901283</v>
      </c>
      <c r="X100" s="1099">
        <f t="shared" si="109"/>
        <v>5.0577675096519004</v>
      </c>
      <c r="Y100" s="1099">
        <f t="shared" si="109"/>
        <v>6.0069223963111984</v>
      </c>
      <c r="Z100" s="1099">
        <f t="shared" si="109"/>
        <v>3.3377467649213566</v>
      </c>
      <c r="AA100" s="1099">
        <f t="shared" si="109"/>
        <v>3.8735925824965767</v>
      </c>
      <c r="AB100" s="1099">
        <f t="shared" si="109"/>
        <v>2.8568848345463138</v>
      </c>
      <c r="AC100" s="1099">
        <f t="shared" si="109"/>
        <v>7.6243958693458014</v>
      </c>
      <c r="AD100" s="1466">
        <f ca="1">IF(UPPER('VVP1'!$F$2)="Y",OFFSET('VVP1'!$G$14,0,5*(COLUMN()-7)),('VVP2'!AD94/'VVP2'!AC94-1)*100)</f>
        <v>4.6166949195453943</v>
      </c>
      <c r="AE100" s="1466">
        <f ca="1">IF(UPPER('VVP1'!$F$2)="Y",OFFSET('VVP1'!$G$14,0,5*(COLUMN()-7)),('VVP2'!AE94/'VVP2'!AD94-1)*100)</f>
        <v>3.7729913703898887</v>
      </c>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row>
    <row r="101" spans="1:94">
      <c r="AB101" s="557"/>
      <c r="AC101" s="557"/>
      <c r="AD101" s="557"/>
      <c r="AE101" s="557"/>
    </row>
    <row r="102" spans="1:94">
      <c r="A102" s="1130"/>
      <c r="D102" s="1173"/>
      <c r="E102" s="1174" t="s">
        <v>739</v>
      </c>
      <c r="F102" s="1170"/>
      <c r="G102" s="1168">
        <f>+InputY!$G$3</f>
        <v>1995</v>
      </c>
      <c r="H102" s="1168">
        <f>+G102+1</f>
        <v>1996</v>
      </c>
      <c r="I102" s="1168">
        <f t="shared" ref="I102:O102" si="110">+H102+1</f>
        <v>1997</v>
      </c>
      <c r="J102" s="1168">
        <f t="shared" si="110"/>
        <v>1998</v>
      </c>
      <c r="K102" s="1168">
        <f t="shared" si="110"/>
        <v>1999</v>
      </c>
      <c r="L102" s="1168">
        <f t="shared" si="110"/>
        <v>2000</v>
      </c>
      <c r="M102" s="1168">
        <f t="shared" si="110"/>
        <v>2001</v>
      </c>
      <c r="N102" s="1168">
        <f t="shared" si="110"/>
        <v>2002</v>
      </c>
      <c r="O102" s="1168">
        <f t="shared" si="110"/>
        <v>2003</v>
      </c>
      <c r="P102" s="1168">
        <f t="shared" ref="P102:V102" si="111">+O102+1</f>
        <v>2004</v>
      </c>
      <c r="Q102" s="1168">
        <f t="shared" si="111"/>
        <v>2005</v>
      </c>
      <c r="R102" s="1168">
        <f t="shared" si="111"/>
        <v>2006</v>
      </c>
      <c r="S102" s="1168">
        <f>+R102+1</f>
        <v>2007</v>
      </c>
      <c r="T102" s="1125">
        <f t="shared" si="111"/>
        <v>2008</v>
      </c>
      <c r="U102" s="1125">
        <f t="shared" si="111"/>
        <v>2009</v>
      </c>
      <c r="V102" s="1125">
        <f t="shared" si="111"/>
        <v>2010</v>
      </c>
      <c r="W102" s="1125">
        <f t="shared" ref="W102:AE102" si="112">+V102+1</f>
        <v>2011</v>
      </c>
      <c r="X102" s="1125">
        <f t="shared" si="112"/>
        <v>2012</v>
      </c>
      <c r="Y102" s="1125">
        <f t="shared" si="112"/>
        <v>2013</v>
      </c>
      <c r="Z102" s="1125">
        <f t="shared" si="112"/>
        <v>2014</v>
      </c>
      <c r="AA102" s="1125">
        <f t="shared" si="112"/>
        <v>2015</v>
      </c>
      <c r="AB102" s="1125">
        <f t="shared" si="112"/>
        <v>2016</v>
      </c>
      <c r="AC102" s="1125">
        <f t="shared" si="112"/>
        <v>2017</v>
      </c>
      <c r="AD102" s="1125">
        <f t="shared" si="112"/>
        <v>2018</v>
      </c>
      <c r="AE102" s="1125">
        <f t="shared" si="112"/>
        <v>2019</v>
      </c>
    </row>
    <row r="103" spans="1:94">
      <c r="A103" s="664">
        <f>+ROW(InputY!A50)</f>
        <v>50</v>
      </c>
      <c r="B103" s="665" t="s">
        <v>254</v>
      </c>
      <c r="C103" s="1079" t="s">
        <v>1769</v>
      </c>
      <c r="D103" s="1058"/>
      <c r="E103" s="1038" t="s">
        <v>1453</v>
      </c>
      <c r="F103" s="1058" t="s">
        <v>1703</v>
      </c>
      <c r="G103" s="1084">
        <f>+InputY!G50/1000</f>
        <v>0.7087974246077573</v>
      </c>
      <c r="H103" s="1084">
        <f>+InputY!H50/1000</f>
        <v>0.93164550545415559</v>
      </c>
      <c r="I103" s="1084">
        <f>+InputY!I50/1000</f>
        <v>1.1732587156015639</v>
      </c>
      <c r="J103" s="1084">
        <f>+InputY!J50/1000</f>
        <v>1.1838226201112128</v>
      </c>
      <c r="K103" s="1084">
        <f>+InputY!K50/1000</f>
        <v>1.1443580797618031</v>
      </c>
      <c r="L103" s="1084">
        <f>+InputY!L50/1000</f>
        <v>0.95477899588265791</v>
      </c>
      <c r="M103" s="1084">
        <f>+InputY!M50/1000</f>
        <v>0.94845688037273612</v>
      </c>
      <c r="N103" s="1084">
        <f>+InputY!N50/1000</f>
        <v>1.1208351366324842</v>
      </c>
      <c r="O103" s="1084">
        <f>+InputY!O50/1000</f>
        <v>1.2786705799559077</v>
      </c>
      <c r="P103" s="1084">
        <f>+InputY!P50/1000</f>
        <v>1.51332</v>
      </c>
      <c r="Q103" s="1084">
        <f>+InputY!Q50/1000</f>
        <v>1.8679600000000001</v>
      </c>
      <c r="R103" s="1084">
        <f>+InputY!R50/1000</f>
        <v>2.1709099999999997</v>
      </c>
      <c r="S103" s="1084">
        <f>+InputY!S50/1000</f>
        <v>2.55402</v>
      </c>
      <c r="T103" s="1084">
        <f>+InputY!T50/1000</f>
        <v>2.7825100000000003</v>
      </c>
      <c r="U103" s="1084">
        <f>+InputY!U50/1000</f>
        <v>2.3010000000000002</v>
      </c>
      <c r="V103" s="1084">
        <f>+InputY!V50/1000</f>
        <v>2.3007600000000004</v>
      </c>
      <c r="W103" s="1084">
        <f>+InputY!W50/1000</f>
        <v>2.6943299999999999</v>
      </c>
      <c r="X103" s="1084">
        <f>+InputY!X50/1000</f>
        <v>3.2643200000000001</v>
      </c>
      <c r="Y103" s="1084">
        <f>+InputY!Y50/1000</f>
        <v>3.8811799999999996</v>
      </c>
      <c r="Z103" s="1084">
        <f>+InputY!Z50/1000</f>
        <v>4.0761199999999995</v>
      </c>
      <c r="AA103" s="1084">
        <f>+InputY!AA50/1000</f>
        <v>4.0676100000000002</v>
      </c>
      <c r="AB103" s="1084">
        <f>+InputY!AB50/1000</f>
        <v>4.33568</v>
      </c>
      <c r="AC103" s="1084">
        <f>+InputY!AC50/1000</f>
        <v>4.9055299999999997</v>
      </c>
      <c r="AD103" s="1416">
        <f ca="1">+AC103*(1+AD109/100)</f>
        <v>5.2243894499999994</v>
      </c>
      <c r="AE103" s="1416">
        <f t="shared" ref="AD103:AE104" ca="1" si="113">+AD103*(1+AE109/100)</f>
        <v>5.4803845330499987</v>
      </c>
    </row>
    <row r="104" spans="1:94">
      <c r="A104" s="664">
        <f>+ROW(InputY!A49)</f>
        <v>49</v>
      </c>
      <c r="B104" s="665" t="s">
        <v>255</v>
      </c>
      <c r="C104" s="1081" t="s">
        <v>1767</v>
      </c>
      <c r="D104" s="1077"/>
      <c r="E104" s="1078" t="s">
        <v>1454</v>
      </c>
      <c r="F104" s="1077" t="s">
        <v>1521</v>
      </c>
      <c r="G104" s="1085">
        <f>+InputY!G49/1000</f>
        <v>4.2202361070355128</v>
      </c>
      <c r="H104" s="1085">
        <f>+InputY!H49/1000</f>
        <v>5.1459241982483732</v>
      </c>
      <c r="I104" s="1085">
        <f>+InputY!I49/1000</f>
        <v>6.4227812286901109</v>
      </c>
      <c r="J104" s="1085">
        <f>+InputY!J49/1000</f>
        <v>6.8746831285953274</v>
      </c>
      <c r="K104" s="1085">
        <f>+InputY!K49/1000</f>
        <v>5.9261647298424043</v>
      </c>
      <c r="L104" s="1085">
        <f>+InputY!L49/1000</f>
        <v>6.4440649774249561</v>
      </c>
      <c r="M104" s="1085">
        <f>+InputY!M49/1000</f>
        <v>7.7323226323786374</v>
      </c>
      <c r="N104" s="1085">
        <f>+InputY!N49/1000</f>
        <v>9.1730083482807512</v>
      </c>
      <c r="O104" s="1085">
        <f>+InputY!O49/1000</f>
        <v>9.9220561771248814</v>
      </c>
      <c r="P104" s="1085">
        <f>+InputY!P49/1000</f>
        <v>11.380469999999999</v>
      </c>
      <c r="Q104" s="1085">
        <f>+InputY!Q49/1000</f>
        <v>13.640180000000001</v>
      </c>
      <c r="R104" s="1085">
        <f>+InputY!R49/1000</f>
        <v>15.54504</v>
      </c>
      <c r="S104" s="1085">
        <f>+InputY!S49/1000</f>
        <v>17.068759999999997</v>
      </c>
      <c r="T104" s="1085">
        <f>+InputY!T49/1000</f>
        <v>19.23555</v>
      </c>
      <c r="U104" s="1085">
        <f>+InputY!U49/1000</f>
        <v>13.549799999999999</v>
      </c>
      <c r="V104" s="1085">
        <f>+InputY!V49/1000</f>
        <v>16.539330000000003</v>
      </c>
      <c r="W104" s="1085">
        <f>+InputY!W49/1000</f>
        <v>18.97306</v>
      </c>
      <c r="X104" s="1085">
        <f>+InputY!X49/1000</f>
        <v>19.879450000000002</v>
      </c>
      <c r="Y104" s="1085">
        <f>+InputY!Y49/1000</f>
        <v>21.409669999999998</v>
      </c>
      <c r="Z104" s="1085">
        <f>+InputY!Z49/1000</f>
        <v>22.005839999999999</v>
      </c>
      <c r="AA104" s="1085">
        <f>+InputY!AA49/1000</f>
        <v>23.611000000000001</v>
      </c>
      <c r="AB104" s="1085">
        <f>+InputY!AB49/1000</f>
        <v>24.316970000000001</v>
      </c>
      <c r="AC104" s="1085">
        <f>+InputY!AC49/1000</f>
        <v>27.416919999999998</v>
      </c>
      <c r="AD104" s="1342">
        <f t="shared" ca="1" si="113"/>
        <v>29.199019799999995</v>
      </c>
      <c r="AE104" s="1342">
        <f t="shared" ca="1" si="113"/>
        <v>30.717368829599994</v>
      </c>
    </row>
    <row r="105" spans="1:94">
      <c r="A105" s="664">
        <f>+ROW(InputY!A51)</f>
        <v>51</v>
      </c>
      <c r="B105" s="664"/>
      <c r="C105" s="694" t="s">
        <v>1769</v>
      </c>
      <c r="D105" s="1171"/>
      <c r="E105" s="1461" t="s">
        <v>1455</v>
      </c>
      <c r="F105" s="1460" t="s">
        <v>1591</v>
      </c>
      <c r="G105" s="1172">
        <f>+InputY!G51/1000</f>
        <v>4.9107185321392937</v>
      </c>
      <c r="H105" s="1172">
        <f>+InputY!H51/1000</f>
        <v>6.0483442153241231</v>
      </c>
      <c r="I105" s="1172">
        <f>+InputY!I51/1000</f>
        <v>7.558391635136144</v>
      </c>
      <c r="J105" s="1172">
        <f>+InputY!J51/1000</f>
        <v>8.0224920854429147</v>
      </c>
      <c r="K105" s="1172">
        <f>+InputY!K51/1000</f>
        <v>7.0316124846573125</v>
      </c>
      <c r="L105" s="1172">
        <f>+InputY!L51/1000</f>
        <v>7.3815106295693358</v>
      </c>
      <c r="M105" s="1172">
        <f>+InputY!M51/1000</f>
        <v>8.6789063726768898</v>
      </c>
      <c r="N105" s="1172">
        <f>+InputY!N51/1000</f>
        <v>10.291648566601102</v>
      </c>
      <c r="O105" s="1172">
        <f>+InputY!O51/1000</f>
        <v>11.203107124708019</v>
      </c>
      <c r="P105" s="1172">
        <f>+InputY!P51/1000</f>
        <v>12.899290000000001</v>
      </c>
      <c r="Q105" s="1172">
        <f>+InputY!Q51/1000</f>
        <v>15.52305</v>
      </c>
      <c r="R105" s="1172">
        <f>+InputY!R51/1000</f>
        <v>17.736429999999999</v>
      </c>
      <c r="S105" s="1172">
        <f>+InputY!S51/1000</f>
        <v>19.65354</v>
      </c>
      <c r="T105" s="1172">
        <f>+InputY!T51/1000</f>
        <v>22.048819999999999</v>
      </c>
      <c r="U105" s="1172">
        <f>+InputY!U51/1000</f>
        <v>15.87585</v>
      </c>
      <c r="V105" s="1172">
        <f>+InputY!V51/1000</f>
        <v>18.84009</v>
      </c>
      <c r="W105" s="1172">
        <f>+InputY!W51/1000</f>
        <v>21.667390000000001</v>
      </c>
      <c r="X105" s="1172">
        <f>+InputY!X51/1000</f>
        <v>23.10718</v>
      </c>
      <c r="Y105" s="1172">
        <f>+InputY!Y51/1000</f>
        <v>25.212880000000002</v>
      </c>
      <c r="Z105" s="1172">
        <f>+InputY!Z51/1000</f>
        <v>25.993580000000001</v>
      </c>
      <c r="AA105" s="1172">
        <f>+InputY!AA51/1000</f>
        <v>27.605340000000002</v>
      </c>
      <c r="AB105" s="1172">
        <f>+InputY!AB51/1000</f>
        <v>28.5792</v>
      </c>
      <c r="AC105" s="1172">
        <f>+InputY!AC51/1000</f>
        <v>32.240859999999998</v>
      </c>
      <c r="AD105" s="1467">
        <f ca="1">IF(UPPER('VVP1'!$F$2)="Y",+AC105*(1+AD111/100),+AD103+AD104)</f>
        <v>34.336515899999988</v>
      </c>
      <c r="AE105" s="1467">
        <f ca="1">IF(UPPER('VVP1'!$F$2)="Y",+AD105*(1+AE111/100),+AE103+AE104)</f>
        <v>36.105261146882356</v>
      </c>
    </row>
    <row r="106" spans="1:94" s="699" customFormat="1" ht="12.75" customHeight="1">
      <c r="A106" s="664"/>
      <c r="B106" s="664"/>
      <c r="C106" s="774"/>
      <c r="D106" s="1973"/>
      <c r="E106" s="1973" t="s">
        <v>737</v>
      </c>
      <c r="F106" s="1973"/>
      <c r="G106" s="1002"/>
      <c r="H106" s="1002">
        <f ca="1">ABS(IF('VVP1'!$F$2="Y",OFFSET('VVP1'!$G$103,0,5*(COLUMN()-7)+1)-OFFSET('VVP1'!$G$102,0,5*(COLUMN()-7)+1)-OFFSET('VVP1'!$G$101,0,5*(COLUMN()-7)+1),ABS(H105-H104-H103)))</f>
        <v>1.2831614578118655E-2</v>
      </c>
      <c r="I106" s="1002">
        <f ca="1">ABS(IF('VVP1'!$F$2="Y",OFFSET('VVP1'!$G$103,0,5*(COLUMN()-7)+1)-OFFSET('VVP1'!$G$102,0,5*(COLUMN()-7)+1)-OFFSET('VVP1'!$G$101,0,5*(COLUMN()-7)+1),ABS(I105-I104-I103)))</f>
        <v>1.5070626193256498E-3</v>
      </c>
      <c r="J106" s="1002">
        <f ca="1">ABS(IF('VVP1'!$F$2="Y",OFFSET('VVP1'!$G$103,0,5*(COLUMN()-7)+1)-OFFSET('VVP1'!$G$102,0,5*(COLUMN()-7)+1)-OFFSET('VVP1'!$G$101,0,5*(COLUMN()-7)+1),ABS(J105-J104-J103)))</f>
        <v>8.3299967613104098E-3</v>
      </c>
      <c r="K106" s="1002">
        <f ca="1">ABS(IF('VVP1'!$F$2="Y",OFFSET('VVP1'!$G$103,0,5*(COLUMN()-7)+1)-OFFSET('VVP1'!$G$102,0,5*(COLUMN()-7)+1)-OFFSET('VVP1'!$G$101,0,5*(COLUMN()-7)+1),ABS(K105-K104-K103)))</f>
        <v>1.3582205770466649E-2</v>
      </c>
      <c r="L106" s="1002">
        <f ca="1">ABS(IF('VVP1'!$F$2="Y",OFFSET('VVP1'!$G$103,0,5*(COLUMN()-7)+1)-OFFSET('VVP1'!$G$102,0,5*(COLUMN()-7)+1)-OFFSET('VVP1'!$G$101,0,5*(COLUMN()-7)+1),ABS(L105-L104-L103)))</f>
        <v>3.601207747600399E-2</v>
      </c>
      <c r="M106" s="1002">
        <f ca="1">ABS(IF('VVP1'!$F$2="Y",OFFSET('VVP1'!$G$103,0,5*(COLUMN()-7)+1)-OFFSET('VVP1'!$G$102,0,5*(COLUMN()-7)+1)-OFFSET('VVP1'!$G$101,0,5*(COLUMN()-7)+1),ABS(M105-M104-M103)))</f>
        <v>2.4230198619652366E-2</v>
      </c>
      <c r="N106" s="1002">
        <f ca="1">ABS(IF('VVP1'!$F$2="Y",OFFSET('VVP1'!$G$103,0,5*(COLUMN()-7)+1)-OFFSET('VVP1'!$G$102,0,5*(COLUMN()-7)+1)-OFFSET('VVP1'!$G$101,0,5*(COLUMN()-7)+1),ABS(N105-N104-N103)))</f>
        <v>4.9310642633249024E-4</v>
      </c>
      <c r="O106" s="1002">
        <f ca="1">ABS(IF('VVP1'!$F$2="Y",OFFSET('VVP1'!$G$103,0,5*(COLUMN()-7)+1)-OFFSET('VVP1'!$G$102,0,5*(COLUMN()-7)+1)-OFFSET('VVP1'!$G$101,0,5*(COLUMN()-7)+1),ABS(O105-O104-O103)))</f>
        <v>6.4910201033758774E-3</v>
      </c>
      <c r="P106" s="1002">
        <f ca="1">ABS(IF('VVP1'!$F$2="Y",OFFSET('VVP1'!$G$103,0,5*(COLUMN()-7)+1)-OFFSET('VVP1'!$G$102,0,5*(COLUMN()-7)+1)-OFFSET('VVP1'!$G$101,0,5*(COLUMN()-7)+1),ABS(P105-P104-P103)))</f>
        <v>4.224251691890446E-3</v>
      </c>
      <c r="Q106" s="1002">
        <f ca="1">ABS(IF('VVP1'!$F$2="Y",OFFSET('VVP1'!$G$103,0,5*(COLUMN()-7)+1)-OFFSET('VVP1'!$G$102,0,5*(COLUMN()-7)+1)-OFFSET('VVP1'!$G$101,0,5*(COLUMN()-7)+1),ABS(Q105-Q104-Q103)))</f>
        <v>7.1084567558887812E-6</v>
      </c>
      <c r="R106" s="1002">
        <f ca="1">ABS(IF('VVP1'!$F$2="Y",OFFSET('VVP1'!$G$103,0,5*(COLUMN()-7)+1)-OFFSET('VVP1'!$G$102,0,5*(COLUMN()-7)+1)-OFFSET('VVP1'!$G$101,0,5*(COLUMN()-7)+1),ABS(R105-R104-R103)))</f>
        <v>7.8553144455817403E-6</v>
      </c>
      <c r="S106" s="1002">
        <f ca="1">ABS(IF('VVP1'!$F$2="Y",OFFSET('VVP1'!$G$103,0,5*(COLUMN()-7)+1)-OFFSET('VVP1'!$G$102,0,5*(COLUMN()-7)+1)-OFFSET('VVP1'!$G$101,0,5*(COLUMN()-7)+1),ABS(S105-S104-S103)))</f>
        <v>1.3376520282104565E-5</v>
      </c>
      <c r="T106" s="2906">
        <f ca="1">ABS(IF('VVP1'!$F$2="Y",OFFSET('VVP1'!$G$103,0,5*(COLUMN()-7)+1)-OFFSET('VVP1'!$G$102,0,5*(COLUMN()-7)+1)-OFFSET('VVP1'!$G$101,0,5*(COLUMN()-7)+1),ABS(T105-T104-T103)))</f>
        <v>8.9132995158003325E-6</v>
      </c>
      <c r="U106" s="2906">
        <f ca="1">ABS(IF('VVP1'!$F$2="Y",OFFSET('VVP1'!$G$103,0,5*(COLUMN()-7)+1)-OFFSET('VVP1'!$G$102,0,5*(COLUMN()-7)+1)-OFFSET('VVP1'!$G$101,0,5*(COLUMN()-7)+1),ABS(U105-U104-U103)))</f>
        <v>5.7130535084937151E-6</v>
      </c>
      <c r="V106" s="2906">
        <f ca="1">ABS(IF('VVP1'!$F$2="Y",OFFSET('VVP1'!$G$103,0,5*(COLUMN()-7)+1)-OFFSET('VVP1'!$G$102,0,5*(COLUMN()-7)+1)-OFFSET('VVP1'!$G$101,0,5*(COLUMN()-7)+1),ABS(V105-V104-V103)))</f>
        <v>1.1267887631838391E-5</v>
      </c>
      <c r="W106" s="2906">
        <f ca="1">ABS(IF('VVP1'!$F$2="Y",OFFSET('VVP1'!$G$103,0,5*(COLUMN()-7)+1)-OFFSET('VVP1'!$G$102,0,5*(COLUMN()-7)+1)-OFFSET('VVP1'!$G$101,0,5*(COLUMN()-7)+1),ABS(W105-W104-W103)))</f>
        <v>8.8817841970012523E-16</v>
      </c>
      <c r="X106" s="2906">
        <f ca="1">ABS(IF('VVP1'!$F$2="Y",OFFSET('VVP1'!$G$103,0,5*(COLUMN()-7)+1)-OFFSET('VVP1'!$G$102,0,5*(COLUMN()-7)+1)-OFFSET('VVP1'!$G$101,0,5*(COLUMN()-7)+1),ABS(X105-X104-X103)))</f>
        <v>2.5869134829825668E-6</v>
      </c>
      <c r="Y106" s="2906">
        <f ca="1">ABS(IF('VVP1'!$F$2="Y",OFFSET('VVP1'!$G$103,0,5*(COLUMN()-7)+1)-OFFSET('VVP1'!$G$102,0,5*(COLUMN()-7)+1)-OFFSET('VVP1'!$G$101,0,5*(COLUMN()-7)+1),ABS(Y105-Y104-Y103)))</f>
        <v>3.3537384158677241E-6</v>
      </c>
      <c r="Z106" s="2906">
        <f ca="1">ABS(IF('VVP1'!$F$2="Y",OFFSET('VVP1'!$G$103,0,5*(COLUMN()-7)+1)-OFFSET('VVP1'!$G$102,0,5*(COLUMN()-7)+1)-OFFSET('VVP1'!$G$101,0,5*(COLUMN()-7)+1),ABS(Z105-Z104-Z103)))</f>
        <v>1.871649200158032E-5</v>
      </c>
      <c r="AA106" s="2906">
        <f ca="1">ABS(IF('VVP1'!$F$2="Y",OFFSET('VVP1'!$G$103,0,5*(COLUMN()-7)+1)-OFFSET('VVP1'!$G$102,0,5*(COLUMN()-7)+1)-OFFSET('VVP1'!$G$101,0,5*(COLUMN()-7)+1),ABS(AA105-AA104-AA103)))</f>
        <v>8.530573726517332E-6</v>
      </c>
      <c r="AB106" s="2906">
        <f ca="1">ABS(IF('VVP1'!$F$2="Y",OFFSET('VVP1'!$G$103,0,5*(COLUMN()-7)+1)-OFFSET('VVP1'!$G$102,0,5*(COLUMN()-7)+1)-OFFSET('VVP1'!$G$101,0,5*(COLUMN()-7)+1),ABS(AB105-AB104-AB103)))</f>
        <v>8.8817841970012523E-16</v>
      </c>
      <c r="AC106" s="2906">
        <f ca="1">ABS(IF('VVP1'!$F$2="Y",OFFSET('VVP1'!$G$103,0,5*(COLUMN()-7)+1)-OFFSET('VVP1'!$G$102,0,5*(COLUMN()-7)+1)-OFFSET('VVP1'!$G$101,0,5*(COLUMN()-7)+1),ABS(AC105-AC104-AC103)))</f>
        <v>8.8817841970012523E-16</v>
      </c>
      <c r="AD106" s="2906">
        <f ca="1">ABS(IF('VVP1'!$F$2="Y",OFFSET('VVP1'!$G$103,0,5*(COLUMN()-7)+1)-OFFSET('VVP1'!$G$102,0,5*(COLUMN()-7)+1)-OFFSET('VVP1'!$G$101,0,5*(COLUMN()-7)+1),ABS(AD105-AD104-AD103)))</f>
        <v>3.5527136788005009E-15</v>
      </c>
      <c r="AE106" s="2906">
        <f ca="1">ABS(IF('VVP1'!$F$2="Y",OFFSET('VVP1'!$G$103,0,5*(COLUMN()-7)+1)-OFFSET('VVP1'!$G$102,0,5*(COLUMN()-7)+1)-OFFSET('VVP1'!$G$101,0,5*(COLUMN()-7)+1),ABS(AE105-AE104-AE103)))</f>
        <v>2.6645352591003757E-15</v>
      </c>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row>
    <row r="107" spans="1:94">
      <c r="AB107" s="557"/>
      <c r="AC107" s="557"/>
      <c r="AD107" s="557"/>
      <c r="AE107" s="557"/>
    </row>
    <row r="108" spans="1:94">
      <c r="A108" s="1130"/>
      <c r="D108" s="1117"/>
      <c r="E108" s="930" t="s">
        <v>739</v>
      </c>
      <c r="F108" s="1118"/>
      <c r="G108" s="896">
        <f>+InputY!$G$3</f>
        <v>1995</v>
      </c>
      <c r="H108" s="896">
        <f>+G108+1</f>
        <v>1996</v>
      </c>
      <c r="I108" s="896">
        <f t="shared" ref="I108:O108" si="114">+H108+1</f>
        <v>1997</v>
      </c>
      <c r="J108" s="896">
        <f t="shared" si="114"/>
        <v>1998</v>
      </c>
      <c r="K108" s="896">
        <f t="shared" si="114"/>
        <v>1999</v>
      </c>
      <c r="L108" s="896">
        <f t="shared" si="114"/>
        <v>2000</v>
      </c>
      <c r="M108" s="896">
        <f t="shared" si="114"/>
        <v>2001</v>
      </c>
      <c r="N108" s="896">
        <f t="shared" si="114"/>
        <v>2002</v>
      </c>
      <c r="O108" s="896">
        <f t="shared" si="114"/>
        <v>2003</v>
      </c>
      <c r="P108" s="896">
        <f t="shared" ref="P108:V108" si="115">+O108+1</f>
        <v>2004</v>
      </c>
      <c r="Q108" s="896">
        <f t="shared" si="115"/>
        <v>2005</v>
      </c>
      <c r="R108" s="896">
        <f t="shared" si="115"/>
        <v>2006</v>
      </c>
      <c r="S108" s="896">
        <f>+R108+1</f>
        <v>2007</v>
      </c>
      <c r="T108" s="896">
        <f t="shared" si="115"/>
        <v>2008</v>
      </c>
      <c r="U108" s="896">
        <f t="shared" si="115"/>
        <v>2009</v>
      </c>
      <c r="V108" s="896">
        <f t="shared" si="115"/>
        <v>2010</v>
      </c>
      <c r="W108" s="896">
        <f t="shared" ref="W108:AE108" si="116">+V108+1</f>
        <v>2011</v>
      </c>
      <c r="X108" s="896">
        <f t="shared" si="116"/>
        <v>2012</v>
      </c>
      <c r="Y108" s="896">
        <f t="shared" si="116"/>
        <v>2013</v>
      </c>
      <c r="Z108" s="896">
        <f t="shared" si="116"/>
        <v>2014</v>
      </c>
      <c r="AA108" s="896">
        <f t="shared" si="116"/>
        <v>2015</v>
      </c>
      <c r="AB108" s="896">
        <f t="shared" si="116"/>
        <v>2016</v>
      </c>
      <c r="AC108" s="896">
        <f t="shared" si="116"/>
        <v>2017</v>
      </c>
      <c r="AD108" s="896">
        <f t="shared" si="116"/>
        <v>2018</v>
      </c>
      <c r="AE108" s="896">
        <f t="shared" si="116"/>
        <v>2019</v>
      </c>
    </row>
    <row r="109" spans="1:94" s="699" customFormat="1" ht="12.75" customHeight="1">
      <c r="A109" s="664"/>
      <c r="B109" s="664"/>
      <c r="C109" s="794" t="s">
        <v>1767</v>
      </c>
      <c r="D109" s="689"/>
      <c r="E109" s="738" t="s">
        <v>1453</v>
      </c>
      <c r="F109" s="733" t="s">
        <v>1703</v>
      </c>
      <c r="G109" s="1095"/>
      <c r="H109" s="1095">
        <f>+(H103/G103-1)*100</f>
        <v>31.440306229910565</v>
      </c>
      <c r="I109" s="1095">
        <f t="shared" ref="I109:AC109" si="117">+(I103/H103-1)*100</f>
        <v>25.934028418848797</v>
      </c>
      <c r="J109" s="1095">
        <f t="shared" si="117"/>
        <v>0.90039003070456758</v>
      </c>
      <c r="K109" s="1095">
        <f t="shared" si="117"/>
        <v>-3.3336531739613262</v>
      </c>
      <c r="L109" s="1095">
        <f t="shared" si="117"/>
        <v>-16.566412841564937</v>
      </c>
      <c r="M109" s="1095">
        <f t="shared" si="117"/>
        <v>-0.66215485857826772</v>
      </c>
      <c r="N109" s="1095">
        <f t="shared" si="117"/>
        <v>18.174601273597691</v>
      </c>
      <c r="O109" s="1095">
        <f t="shared" si="117"/>
        <v>14.08194998219232</v>
      </c>
      <c r="P109" s="1095">
        <f t="shared" si="117"/>
        <v>18.351045509484052</v>
      </c>
      <c r="Q109" s="1095">
        <f t="shared" si="117"/>
        <v>23.434567705442344</v>
      </c>
      <c r="R109" s="1095">
        <f t="shared" si="117"/>
        <v>16.218227371035752</v>
      </c>
      <c r="S109" s="1095">
        <f t="shared" si="117"/>
        <v>17.647438171089558</v>
      </c>
      <c r="T109" s="1095">
        <f t="shared" si="117"/>
        <v>8.946288596017272</v>
      </c>
      <c r="U109" s="1095">
        <f t="shared" si="117"/>
        <v>-17.304879407441486</v>
      </c>
      <c r="V109" s="1095">
        <f t="shared" si="117"/>
        <v>-1.0430247718373753E-2</v>
      </c>
      <c r="W109" s="1095">
        <f t="shared" si="117"/>
        <v>17.106086684399923</v>
      </c>
      <c r="X109" s="1095">
        <f t="shared" si="117"/>
        <v>21.155166590580965</v>
      </c>
      <c r="Y109" s="1095">
        <f t="shared" si="117"/>
        <v>18.897044407411023</v>
      </c>
      <c r="Z109" s="1095">
        <f t="shared" si="117"/>
        <v>5.0226992821770677</v>
      </c>
      <c r="AA109" s="1095">
        <f t="shared" si="117"/>
        <v>-0.2087769741813128</v>
      </c>
      <c r="AB109" s="1095">
        <f t="shared" si="117"/>
        <v>6.5903564992710661</v>
      </c>
      <c r="AC109" s="1095">
        <f t="shared" si="117"/>
        <v>13.143267030777173</v>
      </c>
      <c r="AD109" s="1421">
        <f ca="1">OFFSET('VVP1'!$G$101,0,5*(COLUMN()-7))</f>
        <v>6.5</v>
      </c>
      <c r="AE109" s="1421">
        <f ca="1">OFFSET('VVP1'!$G$101,0,5*(COLUMN()-7))</f>
        <v>4.9000000000000004</v>
      </c>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row>
    <row r="110" spans="1:94">
      <c r="A110" s="1130"/>
      <c r="C110" s="979" t="s">
        <v>1767</v>
      </c>
      <c r="D110" s="1121"/>
      <c r="E110" s="1122" t="s">
        <v>1454</v>
      </c>
      <c r="F110" s="1121" t="s">
        <v>1521</v>
      </c>
      <c r="G110" s="1123"/>
      <c r="H110" s="1123">
        <f>+(H104/G104-1)*100</f>
        <v>21.934509533001133</v>
      </c>
      <c r="I110" s="1123">
        <f t="shared" ref="I110:AC110" si="118">+(I104/H104-1)*100</f>
        <v>24.812977829645622</v>
      </c>
      <c r="J110" s="1123">
        <f t="shared" si="118"/>
        <v>7.035922349131285</v>
      </c>
      <c r="K110" s="1123">
        <f t="shared" si="118"/>
        <v>-13.797267175959703</v>
      </c>
      <c r="L110" s="1123">
        <f t="shared" si="118"/>
        <v>8.7392145036833124</v>
      </c>
      <c r="M110" s="1123">
        <f t="shared" si="118"/>
        <v>19.991382139484081</v>
      </c>
      <c r="N110" s="1123">
        <f t="shared" si="118"/>
        <v>18.631991762337073</v>
      </c>
      <c r="O110" s="1123">
        <f t="shared" si="118"/>
        <v>8.1657816106154524</v>
      </c>
      <c r="P110" s="1123">
        <f t="shared" si="118"/>
        <v>14.698705559009673</v>
      </c>
      <c r="Q110" s="1123">
        <f t="shared" si="118"/>
        <v>19.856034065376925</v>
      </c>
      <c r="R110" s="1123">
        <f t="shared" si="118"/>
        <v>13.965064977148401</v>
      </c>
      <c r="S110" s="1123">
        <f t="shared" si="118"/>
        <v>9.8019689881788441</v>
      </c>
      <c r="T110" s="1123">
        <f t="shared" si="118"/>
        <v>12.694478099170659</v>
      </c>
      <c r="U110" s="1123">
        <f t="shared" si="118"/>
        <v>-29.558551744036432</v>
      </c>
      <c r="V110" s="1123">
        <f t="shared" si="118"/>
        <v>22.063277686755555</v>
      </c>
      <c r="W110" s="1123">
        <f t="shared" si="118"/>
        <v>14.714804045871244</v>
      </c>
      <c r="X110" s="1123">
        <f t="shared" si="118"/>
        <v>4.7772473180393682</v>
      </c>
      <c r="Y110" s="1123">
        <f t="shared" si="118"/>
        <v>7.697496661124914</v>
      </c>
      <c r="Z110" s="1123">
        <f t="shared" si="118"/>
        <v>2.7845828543830997</v>
      </c>
      <c r="AA110" s="1123">
        <f t="shared" si="118"/>
        <v>7.2942455275508689</v>
      </c>
      <c r="AB110" s="1123">
        <f t="shared" si="118"/>
        <v>2.9900046588454465</v>
      </c>
      <c r="AC110" s="1123">
        <f t="shared" si="118"/>
        <v>12.748093204046373</v>
      </c>
      <c r="AD110" s="1424">
        <f ca="1">OFFSET('VVP1'!$G$102,0,5*(COLUMN()-7))</f>
        <v>6.5</v>
      </c>
      <c r="AE110" s="1424">
        <f ca="1">OFFSET('VVP1'!$G$102,0,5*(COLUMN()-7))</f>
        <v>5.2</v>
      </c>
    </row>
    <row r="111" spans="1:94">
      <c r="A111" s="664"/>
      <c r="B111" s="664"/>
      <c r="C111" s="694" t="s">
        <v>1769</v>
      </c>
      <c r="D111" s="1097"/>
      <c r="E111" s="1470" t="s">
        <v>1455</v>
      </c>
      <c r="F111" s="1475" t="s">
        <v>1591</v>
      </c>
      <c r="G111" s="1099"/>
      <c r="H111" s="1099">
        <f>+(H105/G105-1)*100</f>
        <v>23.166175697902137</v>
      </c>
      <c r="I111" s="1099">
        <f t="shared" ref="I111:AC111" si="119">+(I105/H105-1)*100</f>
        <v>24.966294345254948</v>
      </c>
      <c r="J111" s="1099">
        <f t="shared" si="119"/>
        <v>6.1402011527074141</v>
      </c>
      <c r="K111" s="1099">
        <f t="shared" si="119"/>
        <v>-12.351269284311128</v>
      </c>
      <c r="L111" s="1099">
        <f t="shared" si="119"/>
        <v>4.9760726387508836</v>
      </c>
      <c r="M111" s="1099">
        <f t="shared" si="119"/>
        <v>17.576290385742467</v>
      </c>
      <c r="N111" s="1099">
        <f t="shared" si="119"/>
        <v>18.582320452280499</v>
      </c>
      <c r="O111" s="1099">
        <f t="shared" si="119"/>
        <v>8.8562930633370165</v>
      </c>
      <c r="P111" s="1099">
        <f t="shared" si="119"/>
        <v>15.140289710799216</v>
      </c>
      <c r="Q111" s="1099">
        <f t="shared" si="119"/>
        <v>20.340344313524227</v>
      </c>
      <c r="R111" s="1099">
        <f t="shared" si="119"/>
        <v>14.258666950116105</v>
      </c>
      <c r="S111" s="1099">
        <f t="shared" si="119"/>
        <v>10.808883185624163</v>
      </c>
      <c r="T111" s="1099">
        <f t="shared" si="119"/>
        <v>12.187524486682811</v>
      </c>
      <c r="U111" s="1099">
        <f t="shared" si="119"/>
        <v>-27.996827041084281</v>
      </c>
      <c r="V111" s="1099">
        <f t="shared" si="119"/>
        <v>18.671378225417847</v>
      </c>
      <c r="W111" s="1099">
        <f t="shared" si="119"/>
        <v>15.006828523642945</v>
      </c>
      <c r="X111" s="1099">
        <f t="shared" si="119"/>
        <v>6.6449627758580876</v>
      </c>
      <c r="Y111" s="1099">
        <f t="shared" si="119"/>
        <v>9.1127519671375001</v>
      </c>
      <c r="Z111" s="1099">
        <f t="shared" si="119"/>
        <v>3.0964332515761805</v>
      </c>
      <c r="AA111" s="1099">
        <f t="shared" si="119"/>
        <v>6.2006079962821703</v>
      </c>
      <c r="AB111" s="1099">
        <f t="shared" si="119"/>
        <v>3.5277957090910528</v>
      </c>
      <c r="AC111" s="1099">
        <f t="shared" si="119"/>
        <v>12.812325047587048</v>
      </c>
      <c r="AD111" s="1466">
        <f ca="1">IF(UPPER('VVP1'!$F$2)="Y",OFFSET('VVP1'!$G$103,0,5*(COLUMN()-7)),('VVP2'!AD105/'VVP2'!AC105-1)*100)</f>
        <v>6.4999999999999725</v>
      </c>
      <c r="AE111" s="1466">
        <f ca="1">IF(UPPER('VVP1'!$F$2)="Y",OFFSET('VVP1'!$G$103,0,5*(COLUMN()-7)),('VVP2'!AE105/'VVP2'!AD105-1)*100)</f>
        <v>5.1512076881462754</v>
      </c>
    </row>
    <row r="112" spans="1:94">
      <c r="H112" s="3265">
        <f>H100-H111</f>
        <v>-11.33905014642389</v>
      </c>
      <c r="I112" s="3265">
        <f t="shared" ref="I112:AC112" si="120">I100-I111</f>
        <v>-10.56622760429984</v>
      </c>
      <c r="J112" s="3265">
        <f t="shared" si="120"/>
        <v>0.91702789489616077</v>
      </c>
      <c r="K112" s="3265">
        <f t="shared" si="120"/>
        <v>7.2394288037133432</v>
      </c>
      <c r="L112" s="3265">
        <f t="shared" si="120"/>
        <v>-0.91082783130935763</v>
      </c>
      <c r="M112" s="3265">
        <f t="shared" si="120"/>
        <v>-7.2125083038873115</v>
      </c>
      <c r="N112" s="3265">
        <f t="shared" si="120"/>
        <v>-7.5719728951657359</v>
      </c>
      <c r="O112" s="3265">
        <f t="shared" si="120"/>
        <v>0.89742693424341802</v>
      </c>
      <c r="P112" s="3265">
        <f t="shared" si="120"/>
        <v>-4.9057940262324813</v>
      </c>
      <c r="Q112" s="3265">
        <f t="shared" si="120"/>
        <v>-8.1698314913770655</v>
      </c>
      <c r="R112" s="3265">
        <f t="shared" si="120"/>
        <v>-4.2540466067349385</v>
      </c>
      <c r="S112" s="3265">
        <f t="shared" si="120"/>
        <v>0.16760733642808923</v>
      </c>
      <c r="T112" s="3265">
        <f t="shared" si="120"/>
        <v>-5.8473692899686744</v>
      </c>
      <c r="U112" s="3265">
        <f t="shared" si="120"/>
        <v>7.8137911201216355</v>
      </c>
      <c r="V112" s="3265">
        <f t="shared" si="120"/>
        <v>-11.086856762941723</v>
      </c>
      <c r="W112" s="3265">
        <f t="shared" si="120"/>
        <v>-5.3604298806528163</v>
      </c>
      <c r="X112" s="3265">
        <f t="shared" si="120"/>
        <v>-1.5871952662061872</v>
      </c>
      <c r="Y112" s="3265">
        <f t="shared" si="120"/>
        <v>-3.1058295708263017</v>
      </c>
      <c r="Z112" s="3265">
        <f t="shared" si="120"/>
        <v>0.24131351334517603</v>
      </c>
      <c r="AA112" s="3265">
        <f t="shared" si="120"/>
        <v>-2.3270154137855936</v>
      </c>
      <c r="AB112" s="3265">
        <f t="shared" si="120"/>
        <v>-0.67091087454473897</v>
      </c>
      <c r="AC112" s="3265">
        <f t="shared" si="120"/>
        <v>-5.1879291782412471</v>
      </c>
      <c r="AD112" s="3265">
        <f ca="1">AD100-AD111</f>
        <v>-1.8833050804545781</v>
      </c>
      <c r="AE112" s="3265">
        <f ca="1">AE100-AE111</f>
        <v>-1.3782163177563866</v>
      </c>
    </row>
    <row r="113" spans="1:94">
      <c r="A113" s="1130"/>
      <c r="D113" s="1169"/>
      <c r="E113" s="1166" t="s">
        <v>95</v>
      </c>
      <c r="F113" s="1170"/>
      <c r="G113" s="1168">
        <f>+InputY!$G$3</f>
        <v>1995</v>
      </c>
      <c r="H113" s="1168">
        <f>+G113+1</f>
        <v>1996</v>
      </c>
      <c r="I113" s="1168">
        <f t="shared" ref="I113:O113" si="121">+H113+1</f>
        <v>1997</v>
      </c>
      <c r="J113" s="1168">
        <f t="shared" si="121"/>
        <v>1998</v>
      </c>
      <c r="K113" s="1168">
        <f t="shared" si="121"/>
        <v>1999</v>
      </c>
      <c r="L113" s="1168">
        <f t="shared" si="121"/>
        <v>2000</v>
      </c>
      <c r="M113" s="1168">
        <f t="shared" si="121"/>
        <v>2001</v>
      </c>
      <c r="N113" s="1168">
        <f t="shared" si="121"/>
        <v>2002</v>
      </c>
      <c r="O113" s="1168">
        <f t="shared" si="121"/>
        <v>2003</v>
      </c>
      <c r="P113" s="1168">
        <f t="shared" ref="P113:V113" si="122">+O113+1</f>
        <v>2004</v>
      </c>
      <c r="Q113" s="1168">
        <f t="shared" si="122"/>
        <v>2005</v>
      </c>
      <c r="R113" s="1168">
        <f t="shared" si="122"/>
        <v>2006</v>
      </c>
      <c r="S113" s="1168">
        <f>+R113+1</f>
        <v>2007</v>
      </c>
      <c r="T113" s="1125">
        <f t="shared" si="122"/>
        <v>2008</v>
      </c>
      <c r="U113" s="1125">
        <f t="shared" si="122"/>
        <v>2009</v>
      </c>
      <c r="V113" s="1125">
        <f t="shared" si="122"/>
        <v>2010</v>
      </c>
      <c r="W113" s="1125">
        <f t="shared" ref="W113:AE113" si="123">+V113+1</f>
        <v>2011</v>
      </c>
      <c r="X113" s="1125">
        <f t="shared" si="123"/>
        <v>2012</v>
      </c>
      <c r="Y113" s="1125">
        <f t="shared" si="123"/>
        <v>2013</v>
      </c>
      <c r="Z113" s="1125">
        <f t="shared" si="123"/>
        <v>2014</v>
      </c>
      <c r="AA113" s="1125">
        <f t="shared" si="123"/>
        <v>2015</v>
      </c>
      <c r="AB113" s="1125">
        <f t="shared" si="123"/>
        <v>2016</v>
      </c>
      <c r="AC113" s="1125">
        <f t="shared" si="123"/>
        <v>2017</v>
      </c>
      <c r="AD113" s="1125">
        <f t="shared" si="123"/>
        <v>2018</v>
      </c>
      <c r="AE113" s="1125">
        <f t="shared" si="123"/>
        <v>2019</v>
      </c>
    </row>
    <row r="114" spans="1:94">
      <c r="A114" s="664"/>
      <c r="B114" s="664"/>
      <c r="C114" s="1090"/>
      <c r="D114" s="1091"/>
      <c r="E114" s="1038" t="s">
        <v>1618</v>
      </c>
      <c r="F114" s="176" t="s">
        <v>786</v>
      </c>
      <c r="G114" s="1044">
        <f t="shared" ref="G114:V114" si="124">+G82-G104</f>
        <v>-0.3128859871214007</v>
      </c>
      <c r="H114" s="1044">
        <f t="shared" si="124"/>
        <v>-0.57196245750378782</v>
      </c>
      <c r="I114" s="1044">
        <f t="shared" si="124"/>
        <v>-1.0045785689961146</v>
      </c>
      <c r="J114" s="1044">
        <f t="shared" si="124"/>
        <v>-1.3025169380269208</v>
      </c>
      <c r="K114" s="1044">
        <f t="shared" si="124"/>
        <v>-1.5282377955430899</v>
      </c>
      <c r="L114" s="1044">
        <f t="shared" si="124"/>
        <v>-1.3880547584946719</v>
      </c>
      <c r="M114" s="1044">
        <f t="shared" si="124"/>
        <v>-1.4347797572050585</v>
      </c>
      <c r="N114" s="1044">
        <f t="shared" si="124"/>
        <v>-1.6711473748253507</v>
      </c>
      <c r="O114" s="1044">
        <f t="shared" si="124"/>
        <v>-1.7397392991696918</v>
      </c>
      <c r="P114" s="1044">
        <f t="shared" si="124"/>
        <v>-3.0283599999999993</v>
      </c>
      <c r="Q114" s="1044">
        <f t="shared" si="124"/>
        <v>-3.2056700000000014</v>
      </c>
      <c r="R114" s="1044">
        <f t="shared" si="124"/>
        <v>-3.7179299999999991</v>
      </c>
      <c r="S114" s="1044">
        <f>+S82-S104</f>
        <v>-4.7806599999999975</v>
      </c>
      <c r="T114" s="1044">
        <f t="shared" si="124"/>
        <v>-4.9710599999999996</v>
      </c>
      <c r="U114" s="1044">
        <f t="shared" si="124"/>
        <v>-1.1222599999999989</v>
      </c>
      <c r="V114" s="1044">
        <f t="shared" si="124"/>
        <v>-1.6483300000000032</v>
      </c>
      <c r="W114" s="1044">
        <f t="shared" ref="W114:Y115" si="125">+W82-W104</f>
        <v>-1.7683900000000037</v>
      </c>
      <c r="X114" s="1044">
        <f>+X82-X104</f>
        <v>-0.67705000000000126</v>
      </c>
      <c r="Y114" s="1044">
        <f t="shared" si="125"/>
        <v>-0.42208999999999719</v>
      </c>
      <c r="Z114" s="1044">
        <f t="shared" ref="Z114:AB115" si="126">+Z82-Z104</f>
        <v>-0.63734999999999786</v>
      </c>
      <c r="AA114" s="1044">
        <f t="shared" si="126"/>
        <v>-2.40991</v>
      </c>
      <c r="AB114" s="1044">
        <f t="shared" si="126"/>
        <v>-2.8259900000000009</v>
      </c>
      <c r="AC114" s="1044">
        <f t="shared" ref="AC114:AE115" si="127">+AC82-AC104</f>
        <v>-3.3018199999999993</v>
      </c>
      <c r="AD114" s="1044">
        <f t="shared" ca="1" si="127"/>
        <v>-3.8299345999999943</v>
      </c>
      <c r="AE114" s="1044">
        <f t="shared" ca="1" si="127"/>
        <v>-4.2320438807999921</v>
      </c>
    </row>
    <row r="115" spans="1:94">
      <c r="A115" s="1130"/>
      <c r="C115" s="1081"/>
      <c r="D115" s="1077"/>
      <c r="E115" s="1078" t="s">
        <v>1619</v>
      </c>
      <c r="F115" s="1077" t="s">
        <v>1621</v>
      </c>
      <c r="G115" s="1085">
        <f t="shared" ref="G115:V115" si="128">+G83-G105</f>
        <v>0.13814396586622646</v>
      </c>
      <c r="H115" s="1085">
        <f t="shared" si="128"/>
        <v>-3.7949668874956544E-2</v>
      </c>
      <c r="I115" s="1085">
        <f t="shared" si="128"/>
        <v>-0.4157396706659986</v>
      </c>
      <c r="J115" s="1085">
        <f t="shared" si="128"/>
        <v>-0.5470486151699987</v>
      </c>
      <c r="K115" s="1085">
        <f t="shared" si="128"/>
        <v>-0.7800532767769397</v>
      </c>
      <c r="L115" s="1085">
        <f t="shared" si="128"/>
        <v>-0.53247685185993721</v>
      </c>
      <c r="M115" s="1085">
        <f t="shared" si="128"/>
        <v>-0.37725173869330142</v>
      </c>
      <c r="N115" s="1085">
        <f t="shared" si="128"/>
        <v>-0.44496928194597629</v>
      </c>
      <c r="O115" s="1085">
        <f t="shared" si="128"/>
        <v>-0.52672666695220194</v>
      </c>
      <c r="P115" s="1085">
        <f t="shared" si="128"/>
        <v>-1.7964900000000021</v>
      </c>
      <c r="Q115" s="1085">
        <f t="shared" si="128"/>
        <v>-2.1396999999999995</v>
      </c>
      <c r="R115" s="1085">
        <f t="shared" si="128"/>
        <v>-2.6608199999999975</v>
      </c>
      <c r="S115" s="1085">
        <f>+S83-S105</f>
        <v>-4.0993300000000001</v>
      </c>
      <c r="T115" s="1085">
        <f t="shared" si="128"/>
        <v>-4.3936799999999998</v>
      </c>
      <c r="U115" s="1085">
        <f t="shared" si="128"/>
        <v>-0.4785599999999981</v>
      </c>
      <c r="V115" s="1085">
        <f t="shared" si="128"/>
        <v>-0.52620999999999896</v>
      </c>
      <c r="W115" s="1085">
        <f t="shared" si="125"/>
        <v>-0.53237000000000023</v>
      </c>
      <c r="X115" s="1085">
        <f>+X83-X105</f>
        <v>0.64616999999999791</v>
      </c>
      <c r="Y115" s="1085">
        <f t="shared" si="125"/>
        <v>0.88250000000000028</v>
      </c>
      <c r="Z115" s="1085">
        <f t="shared" si="126"/>
        <v>0.95478999999999914</v>
      </c>
      <c r="AA115" s="1085">
        <f t="shared" si="126"/>
        <v>-0.75466000000000122</v>
      </c>
      <c r="AB115" s="1085">
        <f t="shared" si="126"/>
        <v>-0.80093000000000103</v>
      </c>
      <c r="AC115" s="1085">
        <f t="shared" si="127"/>
        <v>-0.78517000000000081</v>
      </c>
      <c r="AD115" s="1085">
        <f t="shared" ca="1" si="127"/>
        <v>-1.1456397889138685</v>
      </c>
      <c r="AE115" s="1085">
        <f t="shared" ca="1" si="127"/>
        <v>-1.4458239252194431</v>
      </c>
    </row>
    <row r="116" spans="1:94">
      <c r="AB116" s="557"/>
      <c r="AC116" s="557"/>
      <c r="AD116" s="557"/>
      <c r="AE116" s="557"/>
    </row>
    <row r="117" spans="1:94">
      <c r="A117" s="1130"/>
      <c r="D117" s="1117"/>
      <c r="E117" s="930" t="s">
        <v>95</v>
      </c>
      <c r="F117" s="1118"/>
      <c r="G117" s="896">
        <f>+InputY!$G$3</f>
        <v>1995</v>
      </c>
      <c r="H117" s="896">
        <f>+G117+1</f>
        <v>1996</v>
      </c>
      <c r="I117" s="896">
        <f t="shared" ref="I117:O117" si="129">+H117+1</f>
        <v>1997</v>
      </c>
      <c r="J117" s="896">
        <f t="shared" si="129"/>
        <v>1998</v>
      </c>
      <c r="K117" s="896">
        <f t="shared" si="129"/>
        <v>1999</v>
      </c>
      <c r="L117" s="896">
        <f t="shared" si="129"/>
        <v>2000</v>
      </c>
      <c r="M117" s="896">
        <f t="shared" si="129"/>
        <v>2001</v>
      </c>
      <c r="N117" s="896">
        <f t="shared" si="129"/>
        <v>2002</v>
      </c>
      <c r="O117" s="896">
        <f t="shared" si="129"/>
        <v>2003</v>
      </c>
      <c r="P117" s="896">
        <f t="shared" ref="P117:V117" si="130">+O117+1</f>
        <v>2004</v>
      </c>
      <c r="Q117" s="896">
        <f t="shared" si="130"/>
        <v>2005</v>
      </c>
      <c r="R117" s="896">
        <f t="shared" si="130"/>
        <v>2006</v>
      </c>
      <c r="S117" s="896">
        <f>+R117+1</f>
        <v>2007</v>
      </c>
      <c r="T117" s="896">
        <f t="shared" si="130"/>
        <v>2008</v>
      </c>
      <c r="U117" s="896">
        <f t="shared" si="130"/>
        <v>2009</v>
      </c>
      <c r="V117" s="896">
        <f t="shared" si="130"/>
        <v>2010</v>
      </c>
      <c r="W117" s="896">
        <f t="shared" ref="W117:AE117" si="131">+V117+1</f>
        <v>2011</v>
      </c>
      <c r="X117" s="896">
        <f t="shared" si="131"/>
        <v>2012</v>
      </c>
      <c r="Y117" s="896">
        <f t="shared" si="131"/>
        <v>2013</v>
      </c>
      <c r="Z117" s="896">
        <f t="shared" si="131"/>
        <v>2014</v>
      </c>
      <c r="AA117" s="896">
        <f t="shared" si="131"/>
        <v>2015</v>
      </c>
      <c r="AB117" s="896">
        <f t="shared" si="131"/>
        <v>2016</v>
      </c>
      <c r="AC117" s="896">
        <f t="shared" si="131"/>
        <v>2017</v>
      </c>
      <c r="AD117" s="896">
        <f t="shared" si="131"/>
        <v>2018</v>
      </c>
      <c r="AE117" s="896">
        <f t="shared" si="131"/>
        <v>2019</v>
      </c>
    </row>
    <row r="118" spans="1:94">
      <c r="A118" s="664"/>
      <c r="B118" s="664"/>
      <c r="C118" s="1119"/>
      <c r="D118" s="1120"/>
      <c r="E118" s="1106" t="s">
        <v>1618</v>
      </c>
      <c r="F118" s="1120" t="s">
        <v>786</v>
      </c>
      <c r="G118" s="1095"/>
      <c r="H118" s="1095">
        <f>+(H114/G114-1)*100</f>
        <v>82.802196661451859</v>
      </c>
      <c r="I118" s="1095">
        <f t="shared" ref="I118:S118" si="132">+(I114/H114-1)*100</f>
        <v>75.637151672574916</v>
      </c>
      <c r="J118" s="1095">
        <f t="shared" si="132"/>
        <v>29.658045495489603</v>
      </c>
      <c r="K118" s="1095">
        <f t="shared" si="132"/>
        <v>17.329590957803266</v>
      </c>
      <c r="L118" s="1095">
        <f t="shared" si="132"/>
        <v>-9.1728550005270133</v>
      </c>
      <c r="M118" s="1095">
        <f t="shared" si="132"/>
        <v>3.3662215719111321</v>
      </c>
      <c r="N118" s="1095">
        <f t="shared" si="132"/>
        <v>16.474139423372879</v>
      </c>
      <c r="O118" s="1095">
        <f t="shared" si="132"/>
        <v>4.104480872102001</v>
      </c>
      <c r="P118" s="1095">
        <f t="shared" si="132"/>
        <v>74.069758695760598</v>
      </c>
      <c r="Q118" s="1095">
        <f t="shared" si="132"/>
        <v>5.8549842158792886</v>
      </c>
      <c r="R118" s="1095">
        <f t="shared" si="132"/>
        <v>15.979810772786895</v>
      </c>
      <c r="S118" s="1095">
        <f t="shared" si="132"/>
        <v>28.583916319026947</v>
      </c>
      <c r="T118" s="1095">
        <f t="shared" ref="T118:AE119" si="133">+(T114/S114-1)*100</f>
        <v>3.9827136838846977</v>
      </c>
      <c r="U118" s="1095">
        <f t="shared" si="133"/>
        <v>-77.424130869472535</v>
      </c>
      <c r="V118" s="1095">
        <f t="shared" si="133"/>
        <v>46.87594675030784</v>
      </c>
      <c r="W118" s="1095">
        <f t="shared" si="133"/>
        <v>7.283735659728352</v>
      </c>
      <c r="X118" s="1095">
        <f t="shared" si="133"/>
        <v>-61.713762235705929</v>
      </c>
      <c r="Y118" s="1095">
        <f t="shared" si="133"/>
        <v>-37.657484676169204</v>
      </c>
      <c r="Z118" s="1095">
        <f t="shared" si="133"/>
        <v>50.998602193845421</v>
      </c>
      <c r="AA118" s="1095">
        <f t="shared" si="133"/>
        <v>278.11406605475923</v>
      </c>
      <c r="AB118" s="1095">
        <f t="shared" si="133"/>
        <v>17.26537505550003</v>
      </c>
      <c r="AC118" s="1095">
        <f t="shared" si="133"/>
        <v>16.837639199006315</v>
      </c>
      <c r="AD118" s="1095">
        <f t="shared" ca="1" si="133"/>
        <v>15.994651434663165</v>
      </c>
      <c r="AE118" s="1095">
        <f t="shared" ca="1" si="133"/>
        <v>10.499116115455287</v>
      </c>
    </row>
    <row r="119" spans="1:94" ht="12.75" customHeight="1">
      <c r="A119" s="1130"/>
      <c r="C119" s="979"/>
      <c r="D119" s="1121"/>
      <c r="E119" s="1122" t="s">
        <v>1619</v>
      </c>
      <c r="F119" s="1121" t="s">
        <v>1621</v>
      </c>
      <c r="G119" s="1124"/>
      <c r="H119" s="1124">
        <f>+(H115/G115-1)*100</f>
        <v>-127.47110135212536</v>
      </c>
      <c r="I119" s="1124">
        <f t="shared" ref="I119:S119" si="134">+(I115/H115-1)*100</f>
        <v>995.50276192357069</v>
      </c>
      <c r="J119" s="1124">
        <f t="shared" si="134"/>
        <v>31.584415385149157</v>
      </c>
      <c r="K119" s="1124">
        <f t="shared" si="134"/>
        <v>42.593044776200252</v>
      </c>
      <c r="L119" s="1124">
        <f t="shared" si="134"/>
        <v>-31.73839945137469</v>
      </c>
      <c r="M119" s="1124">
        <f t="shared" si="134"/>
        <v>-29.151523230434485</v>
      </c>
      <c r="N119" s="1124">
        <f t="shared" si="134"/>
        <v>17.950226945866497</v>
      </c>
      <c r="O119" s="1124">
        <f t="shared" si="134"/>
        <v>18.373714394098741</v>
      </c>
      <c r="P119" s="1124">
        <f t="shared" si="134"/>
        <v>241.06684030163703</v>
      </c>
      <c r="Q119" s="1124">
        <f t="shared" si="134"/>
        <v>19.104475950325185</v>
      </c>
      <c r="R119" s="1124">
        <f t="shared" si="134"/>
        <v>24.354816095714259</v>
      </c>
      <c r="S119" s="1124">
        <f t="shared" si="134"/>
        <v>54.062657376297672</v>
      </c>
      <c r="T119" s="1124">
        <f t="shared" si="133"/>
        <v>7.1804416819333916</v>
      </c>
      <c r="U119" s="1124">
        <f t="shared" si="133"/>
        <v>-89.107991478669405</v>
      </c>
      <c r="V119" s="1124">
        <f t="shared" si="133"/>
        <v>9.956954195921309</v>
      </c>
      <c r="W119" s="1124">
        <f t="shared" si="133"/>
        <v>1.1706352976950773</v>
      </c>
      <c r="X119" s="1124">
        <f t="shared" si="133"/>
        <v>-221.37611059977039</v>
      </c>
      <c r="Y119" s="1124">
        <f t="shared" si="133"/>
        <v>36.57396660321637</v>
      </c>
      <c r="Z119" s="1124">
        <f t="shared" si="133"/>
        <v>8.1915014164304587</v>
      </c>
      <c r="AA119" s="1124">
        <f t="shared" si="133"/>
        <v>-179.03936991380323</v>
      </c>
      <c r="AB119" s="1124">
        <f t="shared" si="133"/>
        <v>6.1312379084620616</v>
      </c>
      <c r="AC119" s="1124">
        <f t="shared" si="133"/>
        <v>-1.9677125341790447</v>
      </c>
      <c r="AD119" s="1124">
        <f t="shared" ca="1" si="133"/>
        <v>45.909776088473485</v>
      </c>
      <c r="AE119" s="1124">
        <f t="shared" ca="1" si="133"/>
        <v>26.20231413140479</v>
      </c>
    </row>
    <row r="120" spans="1:94">
      <c r="T120">
        <f>T125/O125-1</f>
        <v>0.41737637508315051</v>
      </c>
      <c r="U120">
        <f>(1+T120)/(1+Labour1!T28)-1</f>
        <v>0.41737637508315051</v>
      </c>
      <c r="AA120">
        <f>AA125/V125-1</f>
        <v>0.20385112421086871</v>
      </c>
      <c r="AB120" s="557"/>
      <c r="AC120" s="557"/>
      <c r="AD120" s="557"/>
      <c r="AE120" s="557"/>
    </row>
    <row r="121" spans="1:94">
      <c r="A121" s="1130"/>
      <c r="D121" s="1175"/>
      <c r="E121" s="1129" t="s">
        <v>1178</v>
      </c>
      <c r="F121" s="1176"/>
      <c r="G121" s="707">
        <f>+InputY!$G$3</f>
        <v>1995</v>
      </c>
      <c r="H121" s="707">
        <f>+G121+1</f>
        <v>1996</v>
      </c>
      <c r="I121" s="707">
        <f t="shared" ref="I121:O121" si="135">+H121+1</f>
        <v>1997</v>
      </c>
      <c r="J121" s="707">
        <f t="shared" si="135"/>
        <v>1998</v>
      </c>
      <c r="K121" s="707">
        <f t="shared" si="135"/>
        <v>1999</v>
      </c>
      <c r="L121" s="707">
        <f t="shared" si="135"/>
        <v>2000</v>
      </c>
      <c r="M121" s="707">
        <f t="shared" si="135"/>
        <v>2001</v>
      </c>
      <c r="N121" s="707">
        <f t="shared" si="135"/>
        <v>2002</v>
      </c>
      <c r="O121" s="707">
        <f t="shared" si="135"/>
        <v>2003</v>
      </c>
      <c r="P121" s="707">
        <f t="shared" ref="P121:V121" si="136">+O121+1</f>
        <v>2004</v>
      </c>
      <c r="Q121" s="707">
        <f t="shared" si="136"/>
        <v>2005</v>
      </c>
      <c r="R121" s="707">
        <f t="shared" si="136"/>
        <v>2006</v>
      </c>
      <c r="S121" s="707">
        <f>+R121+1</f>
        <v>2007</v>
      </c>
      <c r="T121" s="707">
        <f t="shared" si="136"/>
        <v>2008</v>
      </c>
      <c r="U121" s="707">
        <f t="shared" si="136"/>
        <v>2009</v>
      </c>
      <c r="V121" s="707">
        <f t="shared" si="136"/>
        <v>2010</v>
      </c>
      <c r="W121" s="707">
        <f t="shared" ref="W121:AE121" si="137">+V121+1</f>
        <v>2011</v>
      </c>
      <c r="X121" s="707">
        <f t="shared" si="137"/>
        <v>2012</v>
      </c>
      <c r="Y121" s="707">
        <f t="shared" si="137"/>
        <v>2013</v>
      </c>
      <c r="Z121" s="707">
        <f t="shared" si="137"/>
        <v>2014</v>
      </c>
      <c r="AA121" s="707">
        <f t="shared" si="137"/>
        <v>2015</v>
      </c>
      <c r="AB121" s="707">
        <f t="shared" si="137"/>
        <v>2016</v>
      </c>
      <c r="AC121" s="707">
        <f t="shared" si="137"/>
        <v>2017</v>
      </c>
      <c r="AD121" s="707">
        <f t="shared" si="137"/>
        <v>2018</v>
      </c>
      <c r="AE121" s="707">
        <f t="shared" si="137"/>
        <v>2019</v>
      </c>
    </row>
    <row r="122" spans="1:94">
      <c r="A122" s="664"/>
      <c r="C122" s="1079" t="s">
        <v>1767</v>
      </c>
      <c r="D122" s="1058"/>
      <c r="E122" s="1038" t="s">
        <v>1359</v>
      </c>
      <c r="F122" s="1058"/>
      <c r="G122" s="1084">
        <f>+G94</f>
        <v>18.697227895180973</v>
      </c>
      <c r="H122" s="1084">
        <f t="shared" ref="H122:O122" si="138">+H94</f>
        <v>20.908572512990041</v>
      </c>
      <c r="I122" s="1084">
        <f t="shared" si="138"/>
        <v>23.919420909441602</v>
      </c>
      <c r="J122" s="1084">
        <f t="shared" si="138"/>
        <v>25.607469229881275</v>
      </c>
      <c r="K122" s="1084">
        <f t="shared" si="138"/>
        <v>24.298456251731583</v>
      </c>
      <c r="L122" s="1084">
        <f t="shared" si="138"/>
        <v>25.286247982793554</v>
      </c>
      <c r="M122" s="1084">
        <f t="shared" si="138"/>
        <v>27.906859620407776</v>
      </c>
      <c r="N122" s="1084">
        <f t="shared" si="138"/>
        <v>30.979501856890789</v>
      </c>
      <c r="O122" s="1084">
        <f t="shared" si="138"/>
        <v>34.001155724657146</v>
      </c>
      <c r="P122" s="1084">
        <f t="shared" ref="P122:U122" si="139">+P94</f>
        <v>37.481002539999999</v>
      </c>
      <c r="Q122" s="1084">
        <f t="shared" si="139"/>
        <v>42.042632760000004</v>
      </c>
      <c r="R122" s="1084">
        <f>+R94</f>
        <v>46.248838550000002</v>
      </c>
      <c r="S122" s="1084">
        <f>+S94</f>
        <v>51.325337930000003</v>
      </c>
      <c r="T122" s="1084">
        <f>+T94</f>
        <v>54.579444009999996</v>
      </c>
      <c r="U122" s="1084">
        <f t="shared" si="139"/>
        <v>43.563655220000001</v>
      </c>
      <c r="V122" s="1084">
        <f t="shared" ref="V122:AA122" si="140">+V94</f>
        <v>46.867750000000001</v>
      </c>
      <c r="W122" s="1084">
        <f t="shared" si="140"/>
        <v>51.388800000000003</v>
      </c>
      <c r="X122" s="1084">
        <f t="shared" si="140"/>
        <v>53.987926030000004</v>
      </c>
      <c r="Y122" s="1084">
        <f t="shared" si="140"/>
        <v>57.230938850000001</v>
      </c>
      <c r="Z122" s="1084">
        <f t="shared" si="140"/>
        <v>59.141162659999999</v>
      </c>
      <c r="AA122" s="1084">
        <f t="shared" si="140"/>
        <v>61.432050349999997</v>
      </c>
      <c r="AB122" s="1084">
        <f>+AB94</f>
        <v>63.187093279999999</v>
      </c>
      <c r="AC122" s="1084">
        <f>+AC94</f>
        <v>68.004727410000001</v>
      </c>
      <c r="AD122" s="1084">
        <f ca="1">+AD94</f>
        <v>71.144298205388168</v>
      </c>
      <c r="AE122" s="1084">
        <f ca="1">+AE94</f>
        <v>73.828566437201914</v>
      </c>
    </row>
    <row r="123" spans="1:94" ht="12.75" customHeight="1">
      <c r="A123" s="664"/>
      <c r="C123" s="1081" t="s">
        <v>401</v>
      </c>
      <c r="D123" s="1077"/>
      <c r="E123" s="1039" t="s">
        <v>1455</v>
      </c>
      <c r="F123" s="1077" t="s">
        <v>1591</v>
      </c>
      <c r="G123" s="1085">
        <f>+G105</f>
        <v>4.9107185321392937</v>
      </c>
      <c r="H123" s="1085">
        <f t="shared" ref="H123:O123" si="141">+H105</f>
        <v>6.0483442153241231</v>
      </c>
      <c r="I123" s="1085">
        <f t="shared" si="141"/>
        <v>7.558391635136144</v>
      </c>
      <c r="J123" s="1085">
        <f t="shared" si="141"/>
        <v>8.0224920854429147</v>
      </c>
      <c r="K123" s="1085">
        <f t="shared" si="141"/>
        <v>7.0316124846573125</v>
      </c>
      <c r="L123" s="1085">
        <f t="shared" si="141"/>
        <v>7.3815106295693358</v>
      </c>
      <c r="M123" s="1085">
        <f t="shared" si="141"/>
        <v>8.6789063726768898</v>
      </c>
      <c r="N123" s="1085">
        <f t="shared" si="141"/>
        <v>10.291648566601102</v>
      </c>
      <c r="O123" s="1085">
        <f t="shared" si="141"/>
        <v>11.203107124708019</v>
      </c>
      <c r="P123" s="1085">
        <f t="shared" ref="P123:U123" si="142">+P105</f>
        <v>12.899290000000001</v>
      </c>
      <c r="Q123" s="1085">
        <f t="shared" si="142"/>
        <v>15.52305</v>
      </c>
      <c r="R123" s="1085">
        <f>+R105</f>
        <v>17.736429999999999</v>
      </c>
      <c r="S123" s="1085">
        <f>+S105</f>
        <v>19.65354</v>
      </c>
      <c r="T123" s="1085">
        <f>+T105</f>
        <v>22.048819999999999</v>
      </c>
      <c r="U123" s="1085">
        <f t="shared" si="142"/>
        <v>15.87585</v>
      </c>
      <c r="V123" s="1085">
        <f t="shared" ref="V123:AA123" si="143">+V105</f>
        <v>18.84009</v>
      </c>
      <c r="W123" s="1085">
        <f t="shared" si="143"/>
        <v>21.667390000000001</v>
      </c>
      <c r="X123" s="1085">
        <f t="shared" si="143"/>
        <v>23.10718</v>
      </c>
      <c r="Y123" s="1085">
        <f t="shared" si="143"/>
        <v>25.212880000000002</v>
      </c>
      <c r="Z123" s="1085">
        <f t="shared" si="143"/>
        <v>25.993580000000001</v>
      </c>
      <c r="AA123" s="1085">
        <f t="shared" si="143"/>
        <v>27.605340000000002</v>
      </c>
      <c r="AB123" s="1085">
        <f>+AB105</f>
        <v>28.5792</v>
      </c>
      <c r="AC123" s="1085">
        <f>+AC105</f>
        <v>32.240859999999998</v>
      </c>
      <c r="AD123" s="1085">
        <f ca="1">+AD105</f>
        <v>34.336515899999988</v>
      </c>
      <c r="AE123" s="1085">
        <f ca="1">+AE105</f>
        <v>36.105261146882356</v>
      </c>
    </row>
    <row r="124" spans="1:94">
      <c r="A124" s="664"/>
      <c r="B124" s="664"/>
      <c r="C124" s="1082"/>
      <c r="D124" s="1086"/>
      <c r="E124" s="1087" t="s">
        <v>1812</v>
      </c>
      <c r="F124" s="1089"/>
      <c r="G124" s="3060" t="str">
        <f>IF(UPPER('VVP1'!$F$2)="Y","n.a.",'VVP2'!G125-'VVP2'!G122+'VVP2'!G123)</f>
        <v>n.a.</v>
      </c>
      <c r="H124" s="3060" t="str">
        <f>IF(UPPER('VVP1'!$F$2)="Y","n.a.",'VVP2'!H125-'VVP2'!H122+'VVP2'!H123)</f>
        <v>n.a.</v>
      </c>
      <c r="I124" s="3060" t="str">
        <f>IF(UPPER('VVP1'!$F$2)="Y","n.a.",'VVP2'!I125-'VVP2'!I122+'VVP2'!I123)</f>
        <v>n.a.</v>
      </c>
      <c r="J124" s="3060" t="str">
        <f>IF(UPPER('VVP1'!$F$2)="Y","n.a.",'VVP2'!J125-'VVP2'!J122+'VVP2'!J123)</f>
        <v>n.a.</v>
      </c>
      <c r="K124" s="3060" t="str">
        <f>IF(UPPER('VVP1'!$F$2)="Y","n.a.",'VVP2'!K125-'VVP2'!K122+'VVP2'!K123)</f>
        <v>n.a.</v>
      </c>
      <c r="L124" s="3060" t="str">
        <f>IF(UPPER('VVP1'!$F$2)="Y","n.a.",'VVP2'!L125-'VVP2'!L122+'VVP2'!L123)</f>
        <v>n.a.</v>
      </c>
      <c r="M124" s="3060" t="str">
        <f>IF(UPPER('VVP1'!$F$2)="Y","n.a.",'VVP2'!M125-'VVP2'!M122+'VVP2'!M123)</f>
        <v>n.a.</v>
      </c>
      <c r="N124" s="3060" t="str">
        <f>IF(UPPER('VVP1'!$F$2)="Y","n.a.",'VVP2'!N125-'VVP2'!N122+'VVP2'!N123)</f>
        <v>n.a.</v>
      </c>
      <c r="O124" s="3060" t="str">
        <f>IF(UPPER('VVP1'!$F$2)="Y","n.a.",'VVP2'!O125-'VVP2'!O122+'VVP2'!O123)</f>
        <v>n.a.</v>
      </c>
      <c r="P124" s="3060" t="str">
        <f>IF(UPPER('VVP1'!$F$2)="Y","n.a.",'VVP2'!P125-'VVP2'!P122+'VVP2'!P123)</f>
        <v>n.a.</v>
      </c>
      <c r="Q124" s="3060" t="str">
        <f>IF(UPPER('VVP1'!$F$2)="Y","n.a.",'VVP2'!Q125-'VVP2'!Q122+'VVP2'!Q123)</f>
        <v>n.a.</v>
      </c>
      <c r="R124" s="3060" t="str">
        <f>IF(UPPER('VVP1'!$F$2)="Y","n.a.",'VVP2'!R125-'VVP2'!R122+'VVP2'!R123)</f>
        <v>n.a.</v>
      </c>
      <c r="S124" s="3060" t="str">
        <f>IF(UPPER('VVP1'!$F$2)="Y","n.a.",'VVP2'!S125-'VVP2'!S122+'VVP2'!S123)</f>
        <v>n.a.</v>
      </c>
      <c r="T124" s="3060" t="str">
        <f>IF(UPPER('VVP1'!$F$2)="Y","n.a.",'VVP2'!T125-'VVP2'!T122+'VVP2'!T123)</f>
        <v>n.a.</v>
      </c>
      <c r="U124" s="3060" t="str">
        <f>IF(UPPER('VVP1'!$F$2)="Y","n.a.",'VVP2'!U125-'VVP2'!U122+'VVP2'!U123)</f>
        <v>n.a.</v>
      </c>
      <c r="V124" s="3060" t="str">
        <f>IF(UPPER('VVP1'!$F$2)="Y","n.a.",'VVP2'!V125-'VVP2'!V122+'VVP2'!V123)</f>
        <v>n.a.</v>
      </c>
      <c r="W124" s="3060" t="str">
        <f>IF(UPPER('VVP1'!$F$2)="Y","n.a.",'VVP2'!W125-'VVP2'!W122+'VVP2'!W123)</f>
        <v>n.a.</v>
      </c>
      <c r="X124" s="3060" t="str">
        <f>IF(UPPER('VVP1'!$F$2)="Y","n.a.",'VVP2'!X125-'VVP2'!X122+'VVP2'!X123)</f>
        <v>n.a.</v>
      </c>
      <c r="Y124" s="3060" t="str">
        <f>IF(UPPER('VVP1'!$F$2)="Y","n.a.",'VVP2'!Y125-'VVP2'!Y122+'VVP2'!Y123)</f>
        <v>n.a.</v>
      </c>
      <c r="Z124" s="3060" t="str">
        <f>IF(UPPER('VVP1'!$F$2)="Y","n.a.",'VVP2'!Z125-'VVP2'!Z122+'VVP2'!Z123)</f>
        <v>n.a.</v>
      </c>
      <c r="AA124" s="3060" t="str">
        <f>IF(UPPER('VVP1'!$F$2)="Y","n.a.",'VVP2'!AA125-'VVP2'!AA122+'VVP2'!AA123)</f>
        <v>n.a.</v>
      </c>
      <c r="AB124" s="3060" t="str">
        <f>IF(UPPER('VVP1'!$F$2)="Y","n.a.",'VVP2'!AB125-'VVP2'!AB122+'VVP2'!AB123)</f>
        <v>n.a.</v>
      </c>
      <c r="AC124" s="3060" t="str">
        <f>IF(UPPER('VVP1'!$F$2)="Y","n.a.",'VVP2'!AC125-'VVP2'!AC122+'VVP2'!AC123)</f>
        <v>n.a.</v>
      </c>
      <c r="AD124" s="1398" t="str">
        <f>IF(UPPER('VVP1'!$F$2)="Y","n.a.",AC124*(1+AD130/100))</f>
        <v>n.a.</v>
      </c>
      <c r="AE124" s="1398" t="str">
        <f>IF(UPPER('VVP1'!$F$2)="Y","n.a.",AD124*(1+AE130/100))</f>
        <v>n.a.</v>
      </c>
    </row>
    <row r="125" spans="1:94">
      <c r="A125" s="664">
        <f>+ROW(InputY!A55)</f>
        <v>55</v>
      </c>
      <c r="B125" s="664" t="s">
        <v>256</v>
      </c>
      <c r="C125" s="694" t="s">
        <v>1769</v>
      </c>
      <c r="D125" s="1177"/>
      <c r="E125" s="1461" t="s">
        <v>1620</v>
      </c>
      <c r="F125" s="1460" t="s">
        <v>787</v>
      </c>
      <c r="G125" s="1184">
        <f>+InputY!G55/1000</f>
        <v>14.462380875625723</v>
      </c>
      <c r="H125" s="1184">
        <f>+InputY!H55/1000</f>
        <v>15.220090794230698</v>
      </c>
      <c r="I125" s="1184">
        <f>+InputY!I55/1000</f>
        <v>16.459042836240307</v>
      </c>
      <c r="J125" s="1184">
        <f>+InputY!J55/1000</f>
        <v>17.713769777470301</v>
      </c>
      <c r="K125" s="1184">
        <f>+InputY!K55/1000</f>
        <v>17.532823907310789</v>
      </c>
      <c r="L125" s="1184">
        <f>+InputY!L55/1000</f>
        <v>18.167755386739458</v>
      </c>
      <c r="M125" s="1184">
        <f>+InputY!M55/1000</f>
        <v>19.384923391802051</v>
      </c>
      <c r="N125" s="1184">
        <f>+InputY!N55/1000</f>
        <v>20.710463968805673</v>
      </c>
      <c r="O125" s="1184">
        <f>+InputY!O55/1000</f>
        <v>22.838647919541451</v>
      </c>
      <c r="P125" s="1184">
        <f>+InputY!P55/1000</f>
        <v>24.539729999999999</v>
      </c>
      <c r="Q125" s="1184">
        <f>+InputY!Q55/1000</f>
        <v>26.43601</v>
      </c>
      <c r="R125" s="1184">
        <f>+InputY!R55/1000</f>
        <v>28.393979999999999</v>
      </c>
      <c r="S125" s="1184">
        <f>+InputY!S55/1000</f>
        <v>31.542009999999998</v>
      </c>
      <c r="T125" s="1184">
        <f>+InputY!T55/1000</f>
        <v>32.370959999999997</v>
      </c>
      <c r="U125" s="1184">
        <f>+InputY!U55/1000</f>
        <v>27.575470000000003</v>
      </c>
      <c r="V125" s="1184">
        <f>+InputY!V55/1000</f>
        <v>28.027660000000001</v>
      </c>
      <c r="W125" s="1184">
        <f>+InputY!W55/1000</f>
        <v>29.721409999999999</v>
      </c>
      <c r="X125" s="1184">
        <f>+InputY!X55/1000</f>
        <v>30.858830000000001</v>
      </c>
      <c r="Y125" s="1184">
        <f>+InputY!Y55/1000</f>
        <v>31.93845</v>
      </c>
      <c r="Z125" s="1184">
        <f>+InputY!Z55/1000</f>
        <v>33.068300000000001</v>
      </c>
      <c r="AA125" s="1184">
        <f>+InputY!AA55/1000</f>
        <v>33.741129999999998</v>
      </c>
      <c r="AB125" s="1184">
        <f>+InputY!AB55/1000</f>
        <v>34.532319999999999</v>
      </c>
      <c r="AC125" s="1184">
        <f>+InputY!AC55/1000</f>
        <v>35.85454</v>
      </c>
      <c r="AD125" s="1464">
        <f ca="1">IF(UPPER('VVP1'!$F$2)="Y",+AC125*(1+AD131/100),+AD122-AD123+AD124)</f>
        <v>36.973412236921639</v>
      </c>
      <c r="AE125" s="1464">
        <f ca="1">IF(UPPER('VVP1'!$F$2)="Y",+AD125*(1+AE131/100),+AE122-AE123+AE124)</f>
        <v>37.950495123699902</v>
      </c>
    </row>
    <row r="126" spans="1:94">
      <c r="AB126" s="557"/>
      <c r="AC126" s="557"/>
      <c r="AD126" s="557"/>
      <c r="AE126" s="557"/>
    </row>
    <row r="127" spans="1:94" s="699" customFormat="1" ht="12.75" customHeight="1">
      <c r="A127" s="664"/>
      <c r="B127" s="664"/>
      <c r="C127" s="774"/>
      <c r="D127" s="1092"/>
      <c r="E127" s="1093" t="s">
        <v>1178</v>
      </c>
      <c r="F127" s="1094"/>
      <c r="G127" s="896">
        <f>+InputY!$G$3</f>
        <v>1995</v>
      </c>
      <c r="H127" s="896">
        <f>+G127+1</f>
        <v>1996</v>
      </c>
      <c r="I127" s="896">
        <f t="shared" ref="I127:O127" si="144">+H127+1</f>
        <v>1997</v>
      </c>
      <c r="J127" s="896">
        <f t="shared" si="144"/>
        <v>1998</v>
      </c>
      <c r="K127" s="896">
        <f t="shared" si="144"/>
        <v>1999</v>
      </c>
      <c r="L127" s="896">
        <f t="shared" si="144"/>
        <v>2000</v>
      </c>
      <c r="M127" s="896">
        <f t="shared" si="144"/>
        <v>2001</v>
      </c>
      <c r="N127" s="896">
        <f t="shared" si="144"/>
        <v>2002</v>
      </c>
      <c r="O127" s="896">
        <f t="shared" si="144"/>
        <v>2003</v>
      </c>
      <c r="P127" s="896">
        <f t="shared" ref="P127:V127" si="145">+O127+1</f>
        <v>2004</v>
      </c>
      <c r="Q127" s="896">
        <f t="shared" si="145"/>
        <v>2005</v>
      </c>
      <c r="R127" s="896">
        <f t="shared" si="145"/>
        <v>2006</v>
      </c>
      <c r="S127" s="896">
        <f>+R127+1</f>
        <v>2007</v>
      </c>
      <c r="T127" s="896">
        <f t="shared" si="145"/>
        <v>2008</v>
      </c>
      <c r="U127" s="896">
        <f t="shared" si="145"/>
        <v>2009</v>
      </c>
      <c r="V127" s="896">
        <f t="shared" si="145"/>
        <v>2010</v>
      </c>
      <c r="W127" s="896">
        <f t="shared" ref="W127:AE127" si="146">+V127+1</f>
        <v>2011</v>
      </c>
      <c r="X127" s="896">
        <f t="shared" si="146"/>
        <v>2012</v>
      </c>
      <c r="Y127" s="896">
        <f t="shared" si="146"/>
        <v>2013</v>
      </c>
      <c r="Z127" s="896">
        <f t="shared" si="146"/>
        <v>2014</v>
      </c>
      <c r="AA127" s="896">
        <f t="shared" si="146"/>
        <v>2015</v>
      </c>
      <c r="AB127" s="896">
        <f t="shared" si="146"/>
        <v>2016</v>
      </c>
      <c r="AC127" s="896">
        <f t="shared" si="146"/>
        <v>2017</v>
      </c>
      <c r="AD127" s="896">
        <f t="shared" si="146"/>
        <v>2018</v>
      </c>
      <c r="AE127" s="896">
        <f t="shared" si="146"/>
        <v>2019</v>
      </c>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row>
    <row r="128" spans="1:94" s="699" customFormat="1" ht="12.75" customHeight="1">
      <c r="A128" s="664"/>
      <c r="B128" s="664"/>
      <c r="C128" s="794"/>
      <c r="D128" s="689"/>
      <c r="E128" s="738" t="s">
        <v>1359</v>
      </c>
      <c r="F128" s="733"/>
      <c r="G128" s="1095"/>
      <c r="H128" s="1095">
        <f>+(H122/G122-1)*100</f>
        <v>11.827125551478247</v>
      </c>
      <c r="I128" s="1095">
        <f t="shared" ref="I128:T128" si="147">+(I122/H122-1)*100</f>
        <v>14.400066740955108</v>
      </c>
      <c r="J128" s="1095">
        <f t="shared" si="147"/>
        <v>7.0572290476035748</v>
      </c>
      <c r="K128" s="1095">
        <f t="shared" si="147"/>
        <v>-5.1118404805977846</v>
      </c>
      <c r="L128" s="1095">
        <f t="shared" si="147"/>
        <v>4.0652448074415259</v>
      </c>
      <c r="M128" s="1095">
        <f t="shared" si="147"/>
        <v>10.363782081855156</v>
      </c>
      <c r="N128" s="1095">
        <f t="shared" si="147"/>
        <v>11.010347557114763</v>
      </c>
      <c r="O128" s="1095">
        <f t="shared" si="147"/>
        <v>9.7537199975804345</v>
      </c>
      <c r="P128" s="1095">
        <f t="shared" si="147"/>
        <v>10.234495684566735</v>
      </c>
      <c r="Q128" s="1095">
        <f t="shared" si="147"/>
        <v>12.170512822147161</v>
      </c>
      <c r="R128" s="1095">
        <f t="shared" si="147"/>
        <v>10.004620343381166</v>
      </c>
      <c r="S128" s="1095">
        <f t="shared" si="147"/>
        <v>10.976490522052252</v>
      </c>
      <c r="T128" s="1095">
        <f t="shared" si="147"/>
        <v>6.3401551967141367</v>
      </c>
      <c r="U128" s="1095">
        <f t="shared" ref="U128:AE129" si="148">+(U122/T122-1)*100</f>
        <v>-20.183035920962645</v>
      </c>
      <c r="V128" s="1095">
        <f t="shared" si="148"/>
        <v>7.5845214624761237</v>
      </c>
      <c r="W128" s="1095">
        <f t="shared" si="148"/>
        <v>9.6463986429901283</v>
      </c>
      <c r="X128" s="1095">
        <f t="shared" si="148"/>
        <v>5.0577675096519004</v>
      </c>
      <c r="Y128" s="1095">
        <f t="shared" si="148"/>
        <v>6.0069223963111984</v>
      </c>
      <c r="Z128" s="1095">
        <f t="shared" si="148"/>
        <v>3.3377467649213566</v>
      </c>
      <c r="AA128" s="1095">
        <f t="shared" si="148"/>
        <v>3.8735925824965767</v>
      </c>
      <c r="AB128" s="1095">
        <f t="shared" si="148"/>
        <v>2.8568848345463138</v>
      </c>
      <c r="AC128" s="1095">
        <f t="shared" si="148"/>
        <v>7.6243958693458014</v>
      </c>
      <c r="AD128" s="1095">
        <f t="shared" ca="1" si="148"/>
        <v>4.6166949195453943</v>
      </c>
      <c r="AE128" s="1095">
        <f t="shared" ca="1" si="148"/>
        <v>3.7729913703898887</v>
      </c>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row>
    <row r="129" spans="1:94" ht="12.75" customHeight="1">
      <c r="A129" s="1130"/>
      <c r="C129" s="979"/>
      <c r="D129" s="1121"/>
      <c r="E129" s="1122" t="s">
        <v>1455</v>
      </c>
      <c r="F129" s="1121" t="s">
        <v>1591</v>
      </c>
      <c r="G129" s="1124"/>
      <c r="H129" s="1124">
        <f>+(H123/G123-1)*100</f>
        <v>23.166175697902137</v>
      </c>
      <c r="I129" s="1124">
        <f t="shared" ref="I129:T129" si="149">+(I123/H123-1)*100</f>
        <v>24.966294345254948</v>
      </c>
      <c r="J129" s="1124">
        <f t="shared" si="149"/>
        <v>6.1402011527074141</v>
      </c>
      <c r="K129" s="1124">
        <f t="shared" si="149"/>
        <v>-12.351269284311128</v>
      </c>
      <c r="L129" s="1124">
        <f t="shared" si="149"/>
        <v>4.9760726387508836</v>
      </c>
      <c r="M129" s="1124">
        <f t="shared" si="149"/>
        <v>17.576290385742467</v>
      </c>
      <c r="N129" s="1124">
        <f t="shared" si="149"/>
        <v>18.582320452280499</v>
      </c>
      <c r="O129" s="1124">
        <f t="shared" si="149"/>
        <v>8.8562930633370165</v>
      </c>
      <c r="P129" s="1124">
        <f t="shared" si="149"/>
        <v>15.140289710799216</v>
      </c>
      <c r="Q129" s="1124">
        <f t="shared" si="149"/>
        <v>20.340344313524227</v>
      </c>
      <c r="R129" s="1124">
        <f t="shared" si="149"/>
        <v>14.258666950116105</v>
      </c>
      <c r="S129" s="1124">
        <f t="shared" si="149"/>
        <v>10.808883185624163</v>
      </c>
      <c r="T129" s="1124">
        <f t="shared" si="149"/>
        <v>12.187524486682811</v>
      </c>
      <c r="U129" s="1124">
        <f t="shared" si="148"/>
        <v>-27.996827041084281</v>
      </c>
      <c r="V129" s="1124">
        <f t="shared" si="148"/>
        <v>18.671378225417847</v>
      </c>
      <c r="W129" s="1124">
        <f t="shared" si="148"/>
        <v>15.006828523642945</v>
      </c>
      <c r="X129" s="1124">
        <f t="shared" si="148"/>
        <v>6.6449627758580876</v>
      </c>
      <c r="Y129" s="1124">
        <f t="shared" si="148"/>
        <v>9.1127519671375001</v>
      </c>
      <c r="Z129" s="1124">
        <f t="shared" si="148"/>
        <v>3.0964332515761805</v>
      </c>
      <c r="AA129" s="1124">
        <f t="shared" si="148"/>
        <v>6.2006079962821703</v>
      </c>
      <c r="AB129" s="1124">
        <f t="shared" si="148"/>
        <v>3.5277957090910528</v>
      </c>
      <c r="AC129" s="1124">
        <f t="shared" si="148"/>
        <v>12.812325047587048</v>
      </c>
      <c r="AD129" s="1124">
        <f t="shared" ca="1" si="148"/>
        <v>6.4999999999999725</v>
      </c>
      <c r="AE129" s="1124">
        <f t="shared" ca="1" si="148"/>
        <v>5.1512076881462754</v>
      </c>
    </row>
    <row r="130" spans="1:94" s="699" customFormat="1" ht="12.75" customHeight="1">
      <c r="A130" s="664"/>
      <c r="B130" s="664"/>
      <c r="C130" s="798"/>
      <c r="D130" s="833"/>
      <c r="E130" s="834" t="s">
        <v>1812</v>
      </c>
      <c r="F130" s="1114" t="s">
        <v>1992</v>
      </c>
      <c r="G130" s="1115"/>
      <c r="H130" s="3061" t="str">
        <f>IF(UPPER('VVP1'!$F$2)="Y","n.a.",H124/G124*100-100)</f>
        <v>n.a.</v>
      </c>
      <c r="I130" s="3061" t="str">
        <f>IF(UPPER('VVP1'!$F$2)="Y","n.a.",I124/H124*100-100)</f>
        <v>n.a.</v>
      </c>
      <c r="J130" s="3061" t="str">
        <f>IF(UPPER('VVP1'!$F$2)="Y","n.a.",J124/I124*100-100)</f>
        <v>n.a.</v>
      </c>
      <c r="K130" s="3061" t="str">
        <f>IF(UPPER('VVP1'!$F$2)="Y","n.a.",K124/J124*100-100)</f>
        <v>n.a.</v>
      </c>
      <c r="L130" s="3061" t="str">
        <f>IF(UPPER('VVP1'!$F$2)="Y","n.a.",L124/K124*100-100)</f>
        <v>n.a.</v>
      </c>
      <c r="M130" s="3061" t="str">
        <f>IF(UPPER('VVP1'!$F$2)="Y","n.a.",M124/L124*100-100)</f>
        <v>n.a.</v>
      </c>
      <c r="N130" s="3061" t="str">
        <f>IF(UPPER('VVP1'!$F$2)="Y","n.a.",N124/M124*100-100)</f>
        <v>n.a.</v>
      </c>
      <c r="O130" s="3061" t="str">
        <f>IF(UPPER('VVP1'!$F$2)="Y","n.a.",O124/N124*100-100)</f>
        <v>n.a.</v>
      </c>
      <c r="P130" s="3061" t="str">
        <f>IF(UPPER('VVP1'!$F$2)="Y","n.a.",P124/O124*100-100)</f>
        <v>n.a.</v>
      </c>
      <c r="Q130" s="3061" t="str">
        <f>IF(UPPER('VVP1'!$F$2)="Y","n.a.",Q124/P124*100-100)</f>
        <v>n.a.</v>
      </c>
      <c r="R130" s="3061" t="str">
        <f>IF(UPPER('VVP1'!$F$2)="Y","n.a.",R124/Q124*100-100)</f>
        <v>n.a.</v>
      </c>
      <c r="S130" s="3061" t="str">
        <f>IF(UPPER('VVP1'!$F$2)="Y","n.a.",S124/R124*100-100)</f>
        <v>n.a.</v>
      </c>
      <c r="T130" s="3061" t="str">
        <f>IF(UPPER('VVP1'!$F$2)="Y","n.a.",T124/S124*100-100)</f>
        <v>n.a.</v>
      </c>
      <c r="U130" s="3061" t="str">
        <f>IF(UPPER('VVP1'!$F$2)="Y","n.a.",U124/T124*100-100)</f>
        <v>n.a.</v>
      </c>
      <c r="V130" s="3061" t="str">
        <f>IF(UPPER('VVP1'!$F$2)="Y","n.a.",V124/U124*100-100)</f>
        <v>n.a.</v>
      </c>
      <c r="W130" s="3061" t="str">
        <f>IF(UPPER('VVP1'!$F$2)="Y","n.a.",W124/V124*100-100)</f>
        <v>n.a.</v>
      </c>
      <c r="X130" s="3061" t="str">
        <f>IF(UPPER('VVP1'!$F$2)="Y","n.a.",X124/W124*100-100)</f>
        <v>n.a.</v>
      </c>
      <c r="Y130" s="3061" t="str">
        <f>IF(UPPER('VVP1'!$F$2)="Y","n.a.",Y124/X124*100-100)</f>
        <v>n.a.</v>
      </c>
      <c r="Z130" s="3061" t="str">
        <f>IF(UPPER('VVP1'!$F$2)="Y","n.a.",Z124/Y124*100-100)</f>
        <v>n.a.</v>
      </c>
      <c r="AA130" s="3061" t="str">
        <f>IF(UPPER('VVP1'!$F$2)="Y","n.a.",AA124/Z124*100-100)</f>
        <v>n.a.</v>
      </c>
      <c r="AB130" s="3061" t="str">
        <f>IF(UPPER('VVP1'!$F$2)="Y","n.a.",AB124/AA124*100-100)</f>
        <v>n.a.</v>
      </c>
      <c r="AC130" s="1427">
        <f ca="1">OFFSET('VVP1'!$G$81,0,5*(COLUMN()-7))</f>
        <v>0</v>
      </c>
      <c r="AD130" s="1427">
        <f ca="1">OFFSET('VVP1'!$G$81,0,5*(COLUMN()-7))</f>
        <v>0</v>
      </c>
      <c r="AE130" s="1427">
        <f ca="1">OFFSET('VVP1'!$G$81,0,5*(COLUMN()-7))</f>
        <v>0</v>
      </c>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row>
    <row r="131" spans="1:94" s="699" customFormat="1" ht="12.75" customHeight="1">
      <c r="A131" s="664"/>
      <c r="B131" s="664"/>
      <c r="C131" s="774"/>
      <c r="D131" s="717"/>
      <c r="E131" s="1099" t="s">
        <v>1620</v>
      </c>
      <c r="F131" s="1099" t="s">
        <v>787</v>
      </c>
      <c r="G131" s="1099"/>
      <c r="H131" s="1099">
        <f>+(H125/G125-1)*100</f>
        <v>5.2391782869028569</v>
      </c>
      <c r="I131" s="1099">
        <f>+(I125/H125-1)*100</f>
        <v>8.1402408090708978</v>
      </c>
      <c r="J131" s="1099">
        <f t="shared" ref="J131:AC131" si="150">+(J125/I125-1)*100</f>
        <v>7.6233287300721653</v>
      </c>
      <c r="K131" s="1099">
        <f t="shared" si="150"/>
        <v>-1.0214983734837313</v>
      </c>
      <c r="L131" s="1099">
        <f t="shared" si="150"/>
        <v>3.6213874204480856</v>
      </c>
      <c r="M131" s="1099">
        <f t="shared" si="150"/>
        <v>6.6996058629840372</v>
      </c>
      <c r="N131" s="1099">
        <f t="shared" si="150"/>
        <v>6.8379975004915217</v>
      </c>
      <c r="O131" s="1099">
        <f t="shared" si="150"/>
        <v>10.275887367570679</v>
      </c>
      <c r="P131" s="1099">
        <f t="shared" si="150"/>
        <v>7.4482608885224399</v>
      </c>
      <c r="Q131" s="1099">
        <f t="shared" si="150"/>
        <v>7.7273873836427809</v>
      </c>
      <c r="R131" s="1099">
        <f t="shared" si="150"/>
        <v>7.4064505195753805</v>
      </c>
      <c r="S131" s="1099">
        <f t="shared" si="150"/>
        <v>11.0869627998611</v>
      </c>
      <c r="T131" s="1099">
        <f t="shared" si="150"/>
        <v>2.6280823574654777</v>
      </c>
      <c r="U131" s="1099">
        <f t="shared" si="150"/>
        <v>-14.814172950076221</v>
      </c>
      <c r="V131" s="1099">
        <f t="shared" si="150"/>
        <v>1.639826991162785</v>
      </c>
      <c r="W131" s="1099">
        <f t="shared" si="150"/>
        <v>6.0431373864246796</v>
      </c>
      <c r="X131" s="1099">
        <f t="shared" si="150"/>
        <v>3.8269382239940919</v>
      </c>
      <c r="Y131" s="1099">
        <f t="shared" si="150"/>
        <v>3.498577230569011</v>
      </c>
      <c r="Z131" s="3397">
        <f t="shared" si="150"/>
        <v>3.5375855747539431</v>
      </c>
      <c r="AA131" s="3397">
        <f t="shared" si="150"/>
        <v>2.0346676424249033</v>
      </c>
      <c r="AB131" s="3747">
        <f t="shared" si="150"/>
        <v>2.3448829366414126</v>
      </c>
      <c r="AC131" s="3747">
        <f t="shared" si="150"/>
        <v>3.8289347486644365</v>
      </c>
      <c r="AD131" s="1466">
        <f ca="1">IF(UPPER('VVP1'!$F$2)="Y",OFFSET('VVP1'!$G$17,0,5*(COLUMN()-7)),('VVP2'!AD125/'VVP2'!AC125-1)*100)</f>
        <v>3.1205873424164476</v>
      </c>
      <c r="AE131" s="1466">
        <f ca="1">IF(UPPER('VVP1'!$F$2)="Y",OFFSET('VVP1'!$G$17,0,5*(COLUMN()-7)),('VVP2'!AE125/'VVP2'!AD125-1)*100)</f>
        <v>2.6426635456776815</v>
      </c>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row>
    <row r="132" spans="1:94">
      <c r="AB132" s="557"/>
      <c r="AC132" s="557"/>
      <c r="AD132" s="557"/>
      <c r="AE132" s="557"/>
    </row>
    <row r="133" spans="1:94">
      <c r="A133" s="1130"/>
      <c r="D133" s="1477"/>
      <c r="E133" s="1511" t="s">
        <v>1070</v>
      </c>
      <c r="F133" s="1512"/>
      <c r="G133" s="817">
        <f>+InputY!$G$3</f>
        <v>1995</v>
      </c>
      <c r="H133" s="817">
        <f>+G133+1</f>
        <v>1996</v>
      </c>
      <c r="I133" s="817">
        <f t="shared" ref="I133:O133" si="151">+H133+1</f>
        <v>1997</v>
      </c>
      <c r="J133" s="817">
        <f t="shared" si="151"/>
        <v>1998</v>
      </c>
      <c r="K133" s="817">
        <f t="shared" si="151"/>
        <v>1999</v>
      </c>
      <c r="L133" s="817">
        <f t="shared" si="151"/>
        <v>2000</v>
      </c>
      <c r="M133" s="817">
        <f t="shared" si="151"/>
        <v>2001</v>
      </c>
      <c r="N133" s="817">
        <f t="shared" si="151"/>
        <v>2002</v>
      </c>
      <c r="O133" s="817">
        <f t="shared" si="151"/>
        <v>2003</v>
      </c>
      <c r="P133" s="817">
        <f t="shared" ref="P133:V133" si="152">+O133+1</f>
        <v>2004</v>
      </c>
      <c r="Q133" s="817">
        <f t="shared" si="152"/>
        <v>2005</v>
      </c>
      <c r="R133" s="817">
        <f t="shared" si="152"/>
        <v>2006</v>
      </c>
      <c r="S133" s="817">
        <f>+R133+1</f>
        <v>2007</v>
      </c>
      <c r="T133" s="817">
        <f t="shared" si="152"/>
        <v>2008</v>
      </c>
      <c r="U133" s="817">
        <f t="shared" si="152"/>
        <v>2009</v>
      </c>
      <c r="V133" s="817">
        <f t="shared" si="152"/>
        <v>2010</v>
      </c>
      <c r="W133" s="817">
        <f t="shared" ref="W133:AE133" si="153">+V133+1</f>
        <v>2011</v>
      </c>
      <c r="X133" s="817">
        <f t="shared" si="153"/>
        <v>2012</v>
      </c>
      <c r="Y133" s="817">
        <f t="shared" si="153"/>
        <v>2013</v>
      </c>
      <c r="Z133" s="817">
        <f t="shared" si="153"/>
        <v>2014</v>
      </c>
      <c r="AA133" s="817">
        <f t="shared" si="153"/>
        <v>2015</v>
      </c>
      <c r="AB133" s="817">
        <f t="shared" si="153"/>
        <v>2016</v>
      </c>
      <c r="AC133" s="817">
        <f t="shared" si="153"/>
        <v>2017</v>
      </c>
      <c r="AD133" s="817">
        <f t="shared" si="153"/>
        <v>2018</v>
      </c>
      <c r="AE133" s="817">
        <f t="shared" si="153"/>
        <v>2019</v>
      </c>
    </row>
    <row r="134" spans="1:94">
      <c r="A134" s="664"/>
      <c r="C134" s="1479"/>
      <c r="D134" s="1963" t="s">
        <v>685</v>
      </c>
      <c r="E134" s="1" t="s">
        <v>821</v>
      </c>
      <c r="F134" s="1481" t="s">
        <v>1017</v>
      </c>
      <c r="G134" s="1062"/>
      <c r="H134" s="1062">
        <f ca="1">IF(UPPER('VVP1'!$F$2)="Y",(OFFSET('VVP1'!$M7,0,5*(COLUMN()-8))-OFFSET('VVP1'!$J7,0,5*(COLUMN()-8)))/OFFSET('VVP1'!$J$17,0,5*(COLUMN()-8))*100,(H7-G7)/G$125*100)</f>
        <v>4.1383599330262353</v>
      </c>
      <c r="I134" s="1062">
        <f ca="1">IF(UPPER('VVP1'!$F$2)="Y",(OFFSET('VVP1'!$M7,0,5*(COLUMN()-8))-OFFSET('VVP1'!$J7,0,5*(COLUMN()-8)))/OFFSET('VVP1'!$J$17,0,5*(COLUMN()-8))*100,(I7-H7)/H$125*100)</f>
        <v>3.6066547319100932</v>
      </c>
      <c r="J134" s="1062">
        <f ca="1">IF(UPPER('VVP1'!$F$2)="Y",(OFFSET('VVP1'!$M7,0,5*(COLUMN()-8))-OFFSET('VVP1'!$J7,0,5*(COLUMN()-8)))/OFFSET('VVP1'!$J$17,0,5*(COLUMN()-8))*100,(J7-I7)/I$125*100)</f>
        <v>2.9171376517814478</v>
      </c>
      <c r="K134" s="1062">
        <f ca="1">IF(UPPER('VVP1'!$F$2)="Y",(OFFSET('VVP1'!$M7,0,5*(COLUMN()-8))-OFFSET('VVP1'!$J7,0,5*(COLUMN()-8)))/OFFSET('VVP1'!$J$17,0,5*(COLUMN()-8))*100,(K7-J7)/J$125*100)</f>
        <v>3.0374552623936131</v>
      </c>
      <c r="L134" s="1062">
        <f ca="1">IF(UPPER('VVP1'!$F$2)="Y",(OFFSET('VVP1'!$M7,0,5*(COLUMN()-8))-OFFSET('VVP1'!$J7,0,5*(COLUMN()-8)))/OFFSET('VVP1'!$J$17,0,5*(COLUMN()-8))*100,(L7-K7)/K$125*100)</f>
        <v>4.5372169233459694</v>
      </c>
      <c r="M134" s="1062">
        <f ca="1">IF(UPPER('VVP1'!$F$2)="Y",(OFFSET('VVP1'!$M7,0,5*(COLUMN()-8))-OFFSET('VVP1'!$J7,0,5*(COLUMN()-8)))/OFFSET('VVP1'!$J$17,0,5*(COLUMN()-8))*100,(M7-L7)/L$125*100)</f>
        <v>2.7360215980615159</v>
      </c>
      <c r="N134" s="1062">
        <f ca="1">IF(UPPER('VVP1'!$F$2)="Y",(OFFSET('VVP1'!$M7,0,5*(COLUMN()-8))-OFFSET('VVP1'!$J7,0,5*(COLUMN()-8)))/OFFSET('VVP1'!$J$17,0,5*(COLUMN()-8))*100,(N7-M7)/M$125*100)</f>
        <v>4.025229715094861</v>
      </c>
      <c r="O134" s="1062">
        <f ca="1">IF(UPPER('VVP1'!$F$2)="Y",(OFFSET('VVP1'!$M7,0,5*(COLUMN()-8))-OFFSET('VVP1'!$J7,0,5*(COLUMN()-8)))/OFFSET('VVP1'!$J$17,0,5*(COLUMN()-8))*100,(O7-N7)/N$125*100)</f>
        <v>7.2310900992097835</v>
      </c>
      <c r="P134" s="1062">
        <f ca="1">IF(UPPER('VVP1'!$F$2)="Y",(OFFSET('VVP1'!$M7,0,5*(COLUMN()-8))-OFFSET('VVP1'!$J7,0,5*(COLUMN()-8)))/OFFSET('VVP1'!$J$17,0,5*(COLUMN()-8))*100,(P7-O7)/O$125*100)</f>
        <v>7.5253723484101833</v>
      </c>
      <c r="Q134" s="1062">
        <f ca="1">IF(UPPER('VVP1'!$F$2)="Y",(OFFSET('VVP1'!$M7,0,5*(COLUMN()-8))-OFFSET('VVP1'!$J7,0,5*(COLUMN()-8)))/OFFSET('VVP1'!$J$17,0,5*(COLUMN()-8))*100,(Q7-P7)/P$125*100)</f>
        <v>7.564702960473543</v>
      </c>
      <c r="R134" s="1062">
        <f ca="1">IF(UPPER('VVP1'!$F$2)="Y",(OFFSET('VVP1'!$M7,0,5*(COLUMN()-8))-OFFSET('VVP1'!$J7,0,5*(COLUMN()-8)))/OFFSET('VVP1'!$J$17,0,5*(COLUMN()-8))*100,(R7-Q7)/Q$125*100)</f>
        <v>5.8841032011095482</v>
      </c>
      <c r="S134" s="1062">
        <f ca="1">IF(UPPER('VVP1'!$F$2)="Y",(OFFSET('VVP1'!$M7,0,5*(COLUMN()-8))-OFFSET('VVP1'!$J7,0,5*(COLUMN()-8)))/OFFSET('VVP1'!$J$17,0,5*(COLUMN()-8))*100,(S7-R7)/R$125*100)</f>
        <v>7.9987599452772411</v>
      </c>
      <c r="T134" s="1062">
        <f ca="1">IF(UPPER('VVP1'!$F$2)="Y",(OFFSET('VVP1'!$M7,0,5*(COLUMN()-8))-OFFSET('VVP1'!$J7,0,5*(COLUMN()-8)))/OFFSET('VVP1'!$J$17,0,5*(COLUMN()-8))*100,(T7-S7)/S$125*100)</f>
        <v>2.4497388450059732</v>
      </c>
      <c r="U134" s="1062">
        <f ca="1">IF(UPPER('VVP1'!$F$2)="Y",(OFFSET('VVP1'!$M7,0,5*(COLUMN()-8))-OFFSET('VVP1'!$J7,0,5*(COLUMN()-8)))/OFFSET('VVP1'!$J$17,0,5*(COLUMN()-8))*100,(U7-T7)/T$125*100)</f>
        <v>-11.283150792692734</v>
      </c>
      <c r="V134" s="1062">
        <f ca="1">IF(UPPER('VVP1'!$F$2)="Y",(OFFSET('VVP1'!$M7,0,5*(COLUMN()-8))-OFFSET('VVP1'!$J7,0,5*(COLUMN()-8)))/OFFSET('VVP1'!$J$17,0,5*(COLUMN()-8))*100,(V7-U7)/U$125*100)</f>
        <v>-2.2833464738686966</v>
      </c>
      <c r="W134" s="1062">
        <f ca="1">IF(UPPER('VVP1'!$F$2)="Y",(OFFSET('VVP1'!$M7,0,5*(COLUMN()-8))-OFFSET('VVP1'!$J7,0,5*(COLUMN()-8)))/OFFSET('VVP1'!$J$17,0,5*(COLUMN()-8))*100,(W7-V7)/V$125*100)</f>
        <v>2.9444841274654974</v>
      </c>
      <c r="X134" s="1062">
        <f ca="1">IF(UPPER('VVP1'!$F$2)="Y",(OFFSET('VVP1'!$M7,0,5*(COLUMN()-8))-OFFSET('VVP1'!$J7,0,5*(COLUMN()-8)))/OFFSET('VVP1'!$J$17,0,5*(COLUMN()-8))*100,(X7-W7)/W$125*100)</f>
        <v>1.933767657054497</v>
      </c>
      <c r="Y134" s="1062">
        <f ca="1">IF(UPPER('VVP1'!$F$2)="Y",(OFFSET('VVP1'!$M7,0,5*(COLUMN()-8))-OFFSET('VVP1'!$J7,0,5*(COLUMN()-8)))/OFFSET('VVP1'!$J$17,0,5*(COLUMN()-8))*100,(Y7-X7)/X$125*100)</f>
        <v>2.6864840775891077</v>
      </c>
      <c r="Z134" s="1062">
        <f ca="1">IF(UPPER('VVP1'!$F$2)="Y",(OFFSET('VVP1'!$M7,0,5*(COLUMN()-8))-OFFSET('VVP1'!$J7,0,5*(COLUMN()-8)))/OFFSET('VVP1'!$J$17,0,5*(COLUMN()-8))*100,(Z7-Y7)/Y$125*100)</f>
        <v>2.4827050966901307</v>
      </c>
      <c r="AA134" s="1062">
        <f ca="1">IF(UPPER('VVP1'!$F$2)="Y",(OFFSET('VVP1'!$M7,0,5*(COLUMN()-8))-OFFSET('VVP1'!$J7,0,5*(COLUMN()-8)))/OFFSET('VVP1'!$J$17,0,5*(COLUMN()-8))*100,(AA7-Z7)/Z$125*100)</f>
        <v>2.4767860084189945</v>
      </c>
      <c r="AB134" s="1062">
        <f ca="1">IF(UPPER('VVP1'!$F$2)="Y",(OFFSET('VVP1'!$M7,0,5*(COLUMN()-8))-OFFSET('VVP1'!$J7,0,5*(COLUMN()-8)))/OFFSET('VVP1'!$J$17,0,5*(COLUMN()-8))*100,(AB7-AA7)/AA$125*100)</f>
        <v>3.0954229674522304</v>
      </c>
      <c r="AC134" s="1062">
        <f ca="1">IF(UPPER('VVP1'!$F$2)="Y",(OFFSET('VVP1'!$M7,0,5*(COLUMN()-8))-OFFSET('VVP1'!$J7,0,5*(COLUMN()-8)))/OFFSET('VVP1'!$J$17,0,5*(COLUMN()-8))*100,(AC7-AB7)/AB$125*100)</f>
        <v>2.5018577937003226</v>
      </c>
      <c r="AD134" s="1062">
        <f ca="1">IF(UPPER('VVP1'!$F$2)="Y",(OFFSET('VVP1'!$M7,0,5*(COLUMN()-8))-OFFSET('VVP1'!$J7,0,5*(COLUMN()-8)))/OFFSET('VVP1'!$J$17,0,5*(COLUMN()-8))*100,(AD7-AC7)/AC$125*100)</f>
        <v>2.2451477866547527</v>
      </c>
      <c r="AE134" s="1062">
        <f ca="1">IF(UPPER('VVP1'!$F$2)="Y",(OFFSET('VVP1'!$M7,0,5*(COLUMN()-8))-OFFSET('VVP1'!$J7,0,5*(COLUMN()-8)))/OFFSET('VVP1'!$J$17,0,5*(COLUMN()-8))*100,(AE7-AD7)/AD$125*100)</f>
        <v>2.1242564265053807</v>
      </c>
    </row>
    <row r="135" spans="1:94">
      <c r="A135" s="664"/>
      <c r="C135" s="1480"/>
      <c r="D135" s="1070" t="s">
        <v>687</v>
      </c>
      <c r="E135" s="1" t="s">
        <v>821</v>
      </c>
      <c r="F135" s="1481" t="s">
        <v>533</v>
      </c>
      <c r="G135" s="542"/>
      <c r="H135" s="542">
        <f ca="1">IF(UPPER('VVP1'!$F$2)="Y",(OFFSET('VVP1'!$M8,0,5*(COLUMN()-8))-OFFSET('VVP1'!$J8,0,5*(COLUMN()-8)))/OFFSET('VVP1'!$J$17,0,5*(COLUMN()-8))*100,(H13-G13)/G$125*100)</f>
        <v>-0.16842919596012002</v>
      </c>
      <c r="I135" s="542">
        <f ca="1">IF(UPPER('VVP1'!$F$2)="Y",(OFFSET('VVP1'!$M8,0,5*(COLUMN()-8))-OFFSET('VVP1'!$J8,0,5*(COLUMN()-8)))/OFFSET('VVP1'!$J$17,0,5*(COLUMN()-8))*100,(I13-H13)/H$125*100)</f>
        <v>0.82236385226781072</v>
      </c>
      <c r="J135" s="542">
        <f ca="1">IF(UPPER('VVP1'!$F$2)="Y",(OFFSET('VVP1'!$M8,0,5*(COLUMN()-8))-OFFSET('VVP1'!$J8,0,5*(COLUMN()-8)))/OFFSET('VVP1'!$J$17,0,5*(COLUMN()-8))*100,(J13-I13)/I$125*100)</f>
        <v>1.2115884201591725</v>
      </c>
      <c r="K135" s="542">
        <f ca="1">IF(UPPER('VVP1'!$F$2)="Y",(OFFSET('VVP1'!$M8,0,5*(COLUMN()-8))-OFFSET('VVP1'!$J8,0,5*(COLUMN()-8)))/OFFSET('VVP1'!$J$17,0,5*(COLUMN()-8))*100,(K13-J13)/J$125*100)</f>
        <v>-1.1439785619274152</v>
      </c>
      <c r="L135" s="542">
        <f ca="1">IF(UPPER('VVP1'!$F$2)="Y",(OFFSET('VVP1'!$M8,0,5*(COLUMN()-8))-OFFSET('VVP1'!$J8,0,5*(COLUMN()-8)))/OFFSET('VVP1'!$J$17,0,5*(COLUMN()-8))*100,(L13-K13)/K$125*100)</f>
        <v>5.2878627128147664E-2</v>
      </c>
      <c r="M135" s="542">
        <f ca="1">IF(UPPER('VVP1'!$F$2)="Y",(OFFSET('VVP1'!$M8,0,5*(COLUMN()-8))-OFFSET('VVP1'!$J8,0,5*(COLUMN()-8)))/OFFSET('VVP1'!$J$17,0,5*(COLUMN()-8))*100,(M13-L13)/L$125*100)</f>
        <v>0.30483105174849651</v>
      </c>
      <c r="N135" s="542">
        <f ca="1">IF(UPPER('VVP1'!$F$2)="Y",(OFFSET('VVP1'!$M8,0,5*(COLUMN()-8))-OFFSET('VVP1'!$J8,0,5*(COLUMN()-8)))/OFFSET('VVP1'!$J$17,0,5*(COLUMN()-8))*100,(N13-M13)/M$125*100)</f>
        <v>0.52004037183473018</v>
      </c>
      <c r="O135" s="542">
        <f ca="1">IF(UPPER('VVP1'!$F$2)="Y",(OFFSET('VVP1'!$M8,0,5*(COLUMN()-8))-OFFSET('VVP1'!$J8,0,5*(COLUMN()-8)))/OFFSET('VVP1'!$J$17,0,5*(COLUMN()-8))*100,(O13-N13)/N$125*100)</f>
        <v>0.60023052235130747</v>
      </c>
      <c r="P135" s="542">
        <f ca="1">IF(UPPER('VVP1'!$F$2)="Y",(OFFSET('VVP1'!$M8,0,5*(COLUMN()-8))-OFFSET('VVP1'!$J8,0,5*(COLUMN()-8)))/OFFSET('VVP1'!$J$17,0,5*(COLUMN()-8))*100,(P13-O13)/O$125*100)</f>
        <v>0.89823047290342184</v>
      </c>
      <c r="Q135" s="542">
        <f ca="1">IF(UPPER('VVP1'!$F$2)="Y",(OFFSET('VVP1'!$M8,0,5*(COLUMN()-8))-OFFSET('VVP1'!$J8,0,5*(COLUMN()-8)))/OFFSET('VVP1'!$J$17,0,5*(COLUMN()-8))*100,(Q13-P13)/P$125*100)</f>
        <v>0.6818237495417484</v>
      </c>
      <c r="R135" s="542">
        <f ca="1">IF(UPPER('VVP1'!$F$2)="Y",(OFFSET('VVP1'!$M8,0,5*(COLUMN()-8))-OFFSET('VVP1'!$J8,0,5*(COLUMN()-8)))/OFFSET('VVP1'!$J$17,0,5*(COLUMN()-8))*100,(R13-Q13)/Q$125*100)</f>
        <v>0.38928997908668406</v>
      </c>
      <c r="S135" s="542">
        <f ca="1">IF(UPPER('VVP1'!$F$2)="Y",(OFFSET('VVP1'!$M8,0,5*(COLUMN()-8))-OFFSET('VVP1'!$J8,0,5*(COLUMN()-8)))/OFFSET('VVP1'!$J$17,0,5*(COLUMN()-8))*100,(S13-R13)/R$125*100)</f>
        <v>0.35396552846964913</v>
      </c>
      <c r="T135" s="542">
        <f ca="1">IF(UPPER('VVP1'!$F$2)="Y",(OFFSET('VVP1'!$M8,0,5*(COLUMN()-8))-OFFSET('VVP1'!$J8,0,5*(COLUMN()-8)))/OFFSET('VVP1'!$J$17,0,5*(COLUMN()-8))*100,(T13-S13)/S$125*100)</f>
        <v>4.1156318784191064E-2</v>
      </c>
      <c r="U135" s="542">
        <f ca="1">IF(UPPER('VVP1'!$F$2)="Y",(OFFSET('VVP1'!$M8,0,5*(COLUMN()-8))-OFFSET('VVP1'!$J8,0,5*(COLUMN()-8)))/OFFSET('VVP1'!$J$17,0,5*(COLUMN()-8))*100,(U13-T13)/T$125*100)</f>
        <v>-0.24525974115047039</v>
      </c>
      <c r="V135" s="542">
        <f ca="1">IF(UPPER('VVP1'!$F$2)="Y",(OFFSET('VVP1'!$M8,0,5*(COLUMN()-8))-OFFSET('VVP1'!$J8,0,5*(COLUMN()-8)))/OFFSET('VVP1'!$J$17,0,5*(COLUMN()-8))*100,(V13-U13)/U$125*100)</f>
        <v>-0.67137603921916222</v>
      </c>
      <c r="W135" s="542">
        <f ca="1">IF(UPPER('VVP1'!$F$2)="Y",(OFFSET('VVP1'!$M8,0,5*(COLUMN()-8))-OFFSET('VVP1'!$J8,0,5*(COLUMN()-8)))/OFFSET('VVP1'!$J$17,0,5*(COLUMN()-8))*100,(W13-V13)/V$125*100)</f>
        <v>-7.0644499041307512E-2</v>
      </c>
      <c r="X135" s="542">
        <f ca="1">IF(UPPER('VVP1'!$F$2)="Y",(OFFSET('VVP1'!$M8,0,5*(COLUMN()-8))-OFFSET('VVP1'!$J8,0,5*(COLUMN()-8)))/OFFSET('VVP1'!$J$17,0,5*(COLUMN()-8))*100,(X13-W13)/W$125*100)</f>
        <v>0.23577722985146193</v>
      </c>
      <c r="Y135" s="542">
        <f ca="1">IF(UPPER('VVP1'!$F$2)="Y",(OFFSET('VVP1'!$M8,0,5*(COLUMN()-8))-OFFSET('VVP1'!$J8,0,5*(COLUMN()-8)))/OFFSET('VVP1'!$J$17,0,5*(COLUMN()-8))*100,(Y13-X13)/X$125*100)</f>
        <v>0.12636261192536491</v>
      </c>
      <c r="Z135" s="542">
        <f ca="1">IF(UPPER('VVP1'!$F$2)="Y",(OFFSET('VVP1'!$M8,0,5*(COLUMN()-8))-OFFSET('VVP1'!$J8,0,5*(COLUMN()-8)))/OFFSET('VVP1'!$J$17,0,5*(COLUMN()-8))*100,(Z13-Y13)/Y$125*100)</f>
        <v>4.7974411398629797E-2</v>
      </c>
      <c r="AA135" s="542">
        <f ca="1">IF(UPPER('VVP1'!$F$2)="Y",(OFFSET('VVP1'!$M8,0,5*(COLUMN()-8))-OFFSET('VVP1'!$J8,0,5*(COLUMN()-8)))/OFFSET('VVP1'!$J$17,0,5*(COLUMN()-8))*100,(AA13-Z13)/Z$125*100)</f>
        <v>2.7291541722860111E-2</v>
      </c>
      <c r="AB135" s="542">
        <f ca="1">IF(UPPER('VVP1'!$F$2)="Y",(OFFSET('VVP1'!$M8,0,5*(COLUMN()-8))-OFFSET('VVP1'!$J8,0,5*(COLUMN()-8)))/OFFSET('VVP1'!$J$17,0,5*(COLUMN()-8))*100,(AB13-AA13)/AA$125*100)</f>
        <v>0.22199260963135678</v>
      </c>
      <c r="AC135" s="542">
        <f ca="1">IF(UPPER('VVP1'!$F$2)="Y",(OFFSET('VVP1'!$M8,0,5*(COLUMN()-8))-OFFSET('VVP1'!$J8,0,5*(COLUMN()-8)))/OFFSET('VVP1'!$J$17,0,5*(COLUMN()-8))*100,(AC13-AB13)/AB$125*100)</f>
        <v>0.19891552353062456</v>
      </c>
      <c r="AD135" s="542">
        <f ca="1">IF(UPPER('VVP1'!$F$2)="Y",(OFFSET('VVP1'!$M8,0,5*(COLUMN()-8))-OFFSET('VVP1'!$J8,0,5*(COLUMN()-8)))/OFFSET('VVP1'!$J$17,0,5*(COLUMN()-8))*100,(AD13-AC13)/AC$125*100)</f>
        <v>0.27116591314917959</v>
      </c>
      <c r="AE135" s="542">
        <f ca="1">IF(UPPER('VVP1'!$F$2)="Y",(OFFSET('VVP1'!$M8,0,5*(COLUMN()-8))-OFFSET('VVP1'!$J8,0,5*(COLUMN()-8)))/OFFSET('VVP1'!$J$17,0,5*(COLUMN()-8))*100,(AE13-AD13)/AD$125*100)</f>
        <v>0.25420713640065562</v>
      </c>
    </row>
    <row r="136" spans="1:94">
      <c r="A136" s="664"/>
      <c r="C136" s="1480"/>
      <c r="D136" s="1964"/>
      <c r="E136" s="113" t="s">
        <v>376</v>
      </c>
      <c r="F136" s="1513" t="s">
        <v>850</v>
      </c>
      <c r="G136" s="1523"/>
      <c r="H136" s="1523">
        <f ca="1">IF(UPPER('VVP1'!$F$2)="Y",(OFFSET('VVP1'!$M9,0,5*(COLUMN()-8))-OFFSET('VVP1'!$J9,0,5*(COLUMN()-8)))/OFFSET('VVP1'!$J$17,0,5*(COLUMN()-8))*100,(H29-G29)/G$125*100)</f>
        <v>4.2872241666257933</v>
      </c>
      <c r="I136" s="1523">
        <f ca="1">IF(UPPER('VVP1'!$F$2)="Y",(OFFSET('VVP1'!$M9,0,5*(COLUMN()-8))-OFFSET('VVP1'!$J9,0,5*(COLUMN()-8)))/OFFSET('VVP1'!$J$17,0,5*(COLUMN()-8))*100,(I29-H29)/H$125*100)</f>
        <v>5.2551720431819753</v>
      </c>
      <c r="J136" s="1523">
        <f ca="1">IF(UPPER('VVP1'!$F$2)="Y",(OFFSET('VVP1'!$M9,0,5*(COLUMN()-8))-OFFSET('VVP1'!$J9,0,5*(COLUMN()-8)))/OFFSET('VVP1'!$J$17,0,5*(COLUMN()-8))*100,(J29-I29)/I$125*100)</f>
        <v>4.7200698362673137</v>
      </c>
      <c r="K136" s="1523">
        <f ca="1">IF(UPPER('VVP1'!$F$2)="Y",(OFFSET('VVP1'!$M9,0,5*(COLUMN()-8))-OFFSET('VVP1'!$J9,0,5*(COLUMN()-8)))/OFFSET('VVP1'!$J$17,0,5*(COLUMN()-8))*100,(K29-J29)/J$125*100)</f>
        <v>-1.4196800100178606</v>
      </c>
      <c r="L136" s="1523">
        <f ca="1">IF(UPPER('VVP1'!$F$2)="Y",(OFFSET('VVP1'!$M9,0,5*(COLUMN()-8))-OFFSET('VVP1'!$J9,0,5*(COLUMN()-8)))/OFFSET('VVP1'!$J$17,0,5*(COLUMN()-8))*100,(L29-K29)/K$125*100)</f>
        <v>-1.8380545733749503</v>
      </c>
      <c r="M136" s="1523">
        <f ca="1">IF(UPPER('VVP1'!$F$2)="Y",(OFFSET('VVP1'!$M9,0,5*(COLUMN()-8))-OFFSET('VVP1'!$J9,0,5*(COLUMN()-8)))/OFFSET('VVP1'!$J$17,0,5*(COLUMN()-8))*100,(M29-L29)/L$125*100)</f>
        <v>2.5218276833724187</v>
      </c>
      <c r="N136" s="1523">
        <f ca="1">IF(UPPER('VVP1'!$F$2)="Y",(OFFSET('VVP1'!$M9,0,5*(COLUMN()-8))-OFFSET('VVP1'!$J9,0,5*(COLUMN()-8)))/OFFSET('VVP1'!$J$17,0,5*(COLUMN()-8))*100,(N29-M29)/M$125*100)</f>
        <v>2.1933218669616785</v>
      </c>
      <c r="O136" s="1523">
        <f ca="1">IF(UPPER('VVP1'!$F$2)="Y",(OFFSET('VVP1'!$M9,0,5*(COLUMN()-8))-OFFSET('VVP1'!$J9,0,5*(COLUMN()-8)))/OFFSET('VVP1'!$J$17,0,5*(COLUMN()-8))*100,(O29-N29)/N$125*100)</f>
        <v>2.792197287663555</v>
      </c>
      <c r="P136" s="1523">
        <f ca="1">IF(UPPER('VVP1'!$F$2)="Y",(OFFSET('VVP1'!$M9,0,5*(COLUMN()-8))-OFFSET('VVP1'!$J9,0,5*(COLUMN()-8)))/OFFSET('VVP1'!$J$17,0,5*(COLUMN()-8))*100,(P29-O29)/O$125*100)</f>
        <v>3.3867328271737018</v>
      </c>
      <c r="Q136" s="1523">
        <f ca="1">IF(UPPER('VVP1'!$F$2)="Y",(OFFSET('VVP1'!$M9,0,5*(COLUMN()-8))-OFFSET('VVP1'!$J9,0,5*(COLUMN()-8)))/OFFSET('VVP1'!$J$17,0,5*(COLUMN()-8))*100,(Q29-P29)/P$125*100)</f>
        <v>2.6268277692547608</v>
      </c>
      <c r="R136" s="1523">
        <f ca="1">IF(UPPER('VVP1'!$F$2)="Y",(OFFSET('VVP1'!$M9,0,5*(COLUMN()-8))-OFFSET('VVP1'!$J9,0,5*(COLUMN()-8)))/OFFSET('VVP1'!$J$17,0,5*(COLUMN()-8))*100,(R29-Q29)/Q$125*100)</f>
        <v>4.5819066711864522</v>
      </c>
      <c r="S136" s="1523">
        <f ca="1">IF(UPPER('VVP1'!$F$2)="Y",(OFFSET('VVP1'!$M9,0,5*(COLUMN()-8))-OFFSET('VVP1'!$J9,0,5*(COLUMN()-8)))/OFFSET('VVP1'!$J$17,0,5*(COLUMN()-8))*100,(S29-R29)/R$125*100)</f>
        <v>5.7905291914903483</v>
      </c>
      <c r="T136" s="1523">
        <f ca="1">IF(UPPER('VVP1'!$F$2)="Y",(OFFSET('VVP1'!$M9,0,5*(COLUMN()-8))-OFFSET('VVP1'!$J9,0,5*(COLUMN()-8)))/OFFSET('VVP1'!$J$17,0,5*(COLUMN()-8))*100,(T29-S29)/S$125*100)</f>
        <v>-1.1419921186788604</v>
      </c>
      <c r="U136" s="1523">
        <f ca="1">IF(UPPER('VVP1'!$F$2)="Y",(OFFSET('VVP1'!$M9,0,5*(COLUMN()-8))-OFFSET('VVP1'!$J9,0,5*(COLUMN()-8)))/OFFSET('VVP1'!$J$17,0,5*(COLUMN()-8))*100,(U29-T29)/T$125*100)</f>
        <v>-10.129306133876364</v>
      </c>
      <c r="V136" s="1523">
        <f ca="1">IF(UPPER('VVP1'!$F$2)="Y",(OFFSET('VVP1'!$M9,0,5*(COLUMN()-8))-OFFSET('VVP1'!$J9,0,5*(COLUMN()-8)))/OFFSET('VVP1'!$J$17,0,5*(COLUMN()-8))*100,(V29-U29)/U$125*100)</f>
        <v>0.26351222899382509</v>
      </c>
      <c r="W136" s="1523">
        <f ca="1">IF(UPPER('VVP1'!$F$2)="Y",(OFFSET('VVP1'!$M9,0,5*(COLUMN()-8))-OFFSET('VVP1'!$J9,0,5*(COLUMN()-8)))/OFFSET('VVP1'!$J$17,0,5*(COLUMN()-8))*100,(W29-V29)/V$125*100)</f>
        <v>3.397322502128254</v>
      </c>
      <c r="X136" s="1523">
        <f ca="1">IF(UPPER('VVP1'!$F$2)="Y",(OFFSET('VVP1'!$M9,0,5*(COLUMN()-8))-OFFSET('VVP1'!$J9,0,5*(COLUMN()-8)))/OFFSET('VVP1'!$J$17,0,5*(COLUMN()-8))*100,(X29-W29)/W$125*100)</f>
        <v>-0.32870928527605825</v>
      </c>
      <c r="Y136" s="1523">
        <f ca="1">IF(UPPER('VVP1'!$F$2)="Y",(OFFSET('VVP1'!$M9,0,5*(COLUMN()-8))-OFFSET('VVP1'!$J9,0,5*(COLUMN()-8)))/OFFSET('VVP1'!$J$17,0,5*(COLUMN()-8))*100,(Y29-X29)/X$125*100)</f>
        <v>1.4404922785751533</v>
      </c>
      <c r="Z136" s="1523">
        <f ca="1">IF(UPPER('VVP1'!$F$2)="Y",(OFFSET('VVP1'!$M9,0,5*(COLUMN()-8))-OFFSET('VVP1'!$J9,0,5*(COLUMN()-8)))/OFFSET('VVP1'!$J$17,0,5*(COLUMN()-8))*100,(Z29-Y29)/Y$125*100)</f>
        <v>1.0620226431963415</v>
      </c>
      <c r="AA136" s="1523">
        <f ca="1">IF(UPPER('VVP1'!$F$2)="Y",(OFFSET('VVP1'!$M9,0,5*(COLUMN()-8))-OFFSET('VVP1'!$J9,0,5*(COLUMN()-8)))/OFFSET('VVP1'!$J$17,0,5*(COLUMN()-8))*100,(AA29-Z29)/Z$125*100)</f>
        <v>0.91142762758598306</v>
      </c>
      <c r="AB136" s="1523">
        <f ca="1">IF(UPPER('VVP1'!$F$2)="Y",(OFFSET('VVP1'!$M9,0,5*(COLUMN()-8))-OFFSET('VVP1'!$J9,0,5*(COLUMN()-8)))/OFFSET('VVP1'!$J$17,0,5*(COLUMN()-8))*100,(AB29-AA29)/AA$125*100)</f>
        <v>-9.215898451947481E-2</v>
      </c>
      <c r="AC136" s="1523">
        <f ca="1">IF(UPPER('VVP1'!$F$2)="Y",(OFFSET('VVP1'!$M9,0,5*(COLUMN()-8))-OFFSET('VVP1'!$J9,0,5*(COLUMN()-8)))/OFFSET('VVP1'!$J$17,0,5*(COLUMN()-8))*100,(AC29-AB29)/AB$125*100)</f>
        <v>1.3815246451376217</v>
      </c>
      <c r="AD136" s="1523">
        <f ca="1">IF(UPPER('VVP1'!$F$2)="Y",(OFFSET('VVP1'!$M9,0,5*(COLUMN()-8))-OFFSET('VVP1'!$J9,0,5*(COLUMN()-8)))/OFFSET('VVP1'!$J$17,0,5*(COLUMN()-8))*100,(AD29-AC29)/AC$125*100)</f>
        <v>1.2744205439365495</v>
      </c>
      <c r="AE136" s="1523">
        <f ca="1">IF(UPPER('VVP1'!$F$2)="Y",(OFFSET('VVP1'!$M9,0,5*(COLUMN()-8))-OFFSET('VVP1'!$J9,0,5*(COLUMN()-8)))/OFFSET('VVP1'!$J$17,0,5*(COLUMN()-8))*100,(AE29-AD29)/AD$125*100)</f>
        <v>0.81064573940295304</v>
      </c>
    </row>
    <row r="137" spans="1:94">
      <c r="A137" s="664"/>
      <c r="C137" s="1480"/>
      <c r="D137" s="1445"/>
      <c r="E137" s="50" t="s">
        <v>1343</v>
      </c>
      <c r="F137" s="30"/>
      <c r="G137" s="1524"/>
      <c r="H137" s="1524">
        <f ca="1">IF(UPPER('VVP1'!$F$2)="Y",(OFFSET('VVP1'!$M10,0,5*(COLUMN()-8))-OFFSET('VVP1'!$J10,0,5*(COLUMN()-8)))/OFFSET('VVP1'!$J$17,0,5*(COLUMN()-8))*100,(H54-G54)/G$125*100)</f>
        <v>8.2082122738956862</v>
      </c>
      <c r="I137" s="1524">
        <f ca="1">IF(UPPER('VVP1'!$F$2)="Y",(OFFSET('VVP1'!$M10,0,5*(COLUMN()-8))-OFFSET('VVP1'!$J10,0,5*(COLUMN()-8)))/OFFSET('VVP1'!$J$17,0,5*(COLUMN()-8))*100,(I54-H54)/H$125*100)</f>
        <v>9.6614173967330697</v>
      </c>
      <c r="J137" s="1524">
        <f ca="1">IF(UPPER('VVP1'!$F$2)="Y",(OFFSET('VVP1'!$M10,0,5*(COLUMN()-8))-OFFSET('VVP1'!$J10,0,5*(COLUMN()-8)))/OFFSET('VVP1'!$J$17,0,5*(COLUMN()-8))*100,(J54-I54)/I$125*100)</f>
        <v>8.8418488932368344</v>
      </c>
      <c r="K137" s="1524">
        <f ca="1">IF(UPPER('VVP1'!$F$2)="Y",(OFFSET('VVP1'!$M10,0,5*(COLUMN()-8))-OFFSET('VVP1'!$J10,0,5*(COLUMN()-8)))/OFFSET('VVP1'!$J$17,0,5*(COLUMN()-8))*100,(K54-J54)/J$125*100)</f>
        <v>0.46850370126390778</v>
      </c>
      <c r="L137" s="1524">
        <f ca="1">IF(UPPER('VVP1'!$F$2)="Y",(OFFSET('VVP1'!$M10,0,5*(COLUMN()-8))-OFFSET('VVP1'!$J10,0,5*(COLUMN()-8)))/OFFSET('VVP1'!$J$17,0,5*(COLUMN()-8))*100,(L54-K54)/K$125*100)</f>
        <v>2.7539559515606666</v>
      </c>
      <c r="M137" s="1524">
        <f ca="1">IF(UPPER('VVP1'!$F$2)="Y",(OFFSET('VVP1'!$M10,0,5*(COLUMN()-8))-OFFSET('VVP1'!$J10,0,5*(COLUMN()-8)))/OFFSET('VVP1'!$J$17,0,5*(COLUMN()-8))*100,(M54-L54)/L$125*100)</f>
        <v>5.5315036186964663</v>
      </c>
      <c r="N137" s="1524">
        <f ca="1">IF(UPPER('VVP1'!$F$2)="Y",(OFFSET('VVP1'!$M10,0,5*(COLUMN()-8))-OFFSET('VVP1'!$J10,0,5*(COLUMN()-8)))/OFFSET('VVP1'!$J$17,0,5*(COLUMN()-8))*100,(N54-M54)/M$125*100)</f>
        <v>6.7222534544508479</v>
      </c>
      <c r="O137" s="1524">
        <f ca="1">IF(UPPER('VVP1'!$F$2)="Y",(OFFSET('VVP1'!$M10,0,5*(COLUMN()-8))-OFFSET('VVP1'!$J10,0,5*(COLUMN()-8)))/OFFSET('VVP1'!$J$17,0,5*(COLUMN()-8))*100,(O54-N54)/N$125*100)</f>
        <v>10.598615593574646</v>
      </c>
      <c r="P137" s="1524">
        <f ca="1">IF(UPPER('VVP1'!$F$2)="Y",(OFFSET('VVP1'!$M10,0,5*(COLUMN()-8))-OFFSET('VVP1'!$J10,0,5*(COLUMN()-8)))/OFFSET('VVP1'!$J$17,0,5*(COLUMN()-8))*100,(P54-O54)/O$125*100)</f>
        <v>11.815953751702724</v>
      </c>
      <c r="Q137" s="1524">
        <f ca="1">IF(UPPER('VVP1'!$F$2)="Y",(OFFSET('VVP1'!$M10,0,5*(COLUMN()-8))-OFFSET('VVP1'!$J10,0,5*(COLUMN()-8)))/OFFSET('VVP1'!$J$17,0,5*(COLUMN()-8))*100,(Q54-P54)/P$125*100)</f>
        <v>10.873331834827438</v>
      </c>
      <c r="R137" s="1524">
        <f ca="1">IF(UPPER('VVP1'!$F$2)="Y",(OFFSET('VVP1'!$M10,0,5*(COLUMN()-8))-OFFSET('VVP1'!$J10,0,5*(COLUMN()-8)))/OFFSET('VVP1'!$J$17,0,5*(COLUMN()-8))*100,(R54-Q54)/Q$125*100)</f>
        <v>10.855331795203485</v>
      </c>
      <c r="S137" s="1524">
        <f ca="1">IF(UPPER('VVP1'!$F$2)="Y",(OFFSET('VVP1'!$M10,0,5*(COLUMN()-8))-OFFSET('VVP1'!$J10,0,5*(COLUMN()-8)))/OFFSET('VVP1'!$J$17,0,5*(COLUMN()-8))*100,(S54-R54)/R$125*100)</f>
        <v>14.143255074798653</v>
      </c>
      <c r="T137" s="1524">
        <f ca="1">IF(UPPER('VVP1'!$F$2)="Y",(OFFSET('VVP1'!$M10,0,5*(COLUMN()-8))-OFFSET('VVP1'!$J10,0,5*(COLUMN()-8)))/OFFSET('VVP1'!$J$17,0,5*(COLUMN()-8))*100,(T54-S54)/S$125*100)</f>
        <v>1.3489071897737965</v>
      </c>
      <c r="U137" s="1524">
        <f ca="1">IF(UPPER('VVP1'!$F$2)="Y",(OFFSET('VVP1'!$M10,0,5*(COLUMN()-8))-OFFSET('VVP1'!$J10,0,5*(COLUMN()-8)))/OFFSET('VVP1'!$J$17,0,5*(COLUMN()-8))*100,(U54-T54)/T$125*100)</f>
        <v>-21.657703268888838</v>
      </c>
      <c r="V137" s="1524">
        <f ca="1">IF(UPPER('VVP1'!$F$2)="Y",(OFFSET('VVP1'!$M10,0,5*(COLUMN()-8))-OFFSET('VVP1'!$J10,0,5*(COLUMN()-8)))/OFFSET('VVP1'!$J$17,0,5*(COLUMN()-8))*100,(V54-U54)/U$125*100)</f>
        <v>-2.6912535037183738</v>
      </c>
      <c r="W137" s="1524">
        <f ca="1">IF(UPPER('VVP1'!$F$2)="Y",(OFFSET('VVP1'!$M10,0,5*(COLUMN()-8))-OFFSET('VVP1'!$J10,0,5*(COLUMN()-8)))/OFFSET('VVP1'!$J$17,0,5*(COLUMN()-8))*100,(W54-V54)/V$125*100)</f>
        <v>6.2711621305524528</v>
      </c>
      <c r="X137" s="1524">
        <f ca="1">IF(UPPER('VVP1'!$F$2)="Y",(OFFSET('VVP1'!$M10,0,5*(COLUMN()-8))-OFFSET('VVP1'!$J10,0,5*(COLUMN()-8)))/OFFSET('VVP1'!$J$17,0,5*(COLUMN()-8))*100,(X54-W54)/W$125*100)</f>
        <v>1.8408210848806765</v>
      </c>
      <c r="Y137" s="1524">
        <f ca="1">IF(UPPER('VVP1'!$F$2)="Y",(OFFSET('VVP1'!$M10,0,5*(COLUMN()-8))-OFFSET('VVP1'!$J10,0,5*(COLUMN()-8)))/OFFSET('VVP1'!$J$17,0,5*(COLUMN()-8))*100,(Y54-X54)/X$125*100)</f>
        <v>4.2533449966865806</v>
      </c>
      <c r="Z137" s="1524">
        <f ca="1">IF(UPPER('VVP1'!$F$2)="Y",(OFFSET('VVP1'!$M10,0,5*(COLUMN()-8))-OFFSET('VVP1'!$J10,0,5*(COLUMN()-8)))/OFFSET('VVP1'!$J$17,0,5*(COLUMN()-8))*100,(Z54-Y54)/Y$125*100)</f>
        <v>3.5927336671966179</v>
      </c>
      <c r="AA137" s="1524">
        <f ca="1">IF(UPPER('VVP1'!$F$2)="Y",(OFFSET('VVP1'!$M10,0,5*(COLUMN()-8))-OFFSET('VVP1'!$J10,0,5*(COLUMN()-8)))/OFFSET('VVP1'!$J$17,0,5*(COLUMN()-8))*100,(AA54-Z54)/Z$125*100)</f>
        <v>3.4154852666704851</v>
      </c>
      <c r="AB137" s="1524">
        <f ca="1">IF(UPPER('VVP1'!$F$2)="Y",(OFFSET('VVP1'!$M10,0,5*(COLUMN()-8))-OFFSET('VVP1'!$J10,0,5*(COLUMN()-8)))/OFFSET('VVP1'!$J$17,0,5*(COLUMN()-8))*100,(AB54-AA54)/AA$125*100)</f>
        <v>3.2252509996547198</v>
      </c>
      <c r="AC137" s="1524">
        <f ca="1">IF(UPPER('VVP1'!$F$2)="Y",(OFFSET('VVP1'!$M10,0,5*(COLUMN()-8))-OFFSET('VVP1'!$J10,0,5*(COLUMN()-8)))/OFFSET('VVP1'!$J$17,0,5*(COLUMN()-8))*100,(AC54-AB54)/AB$125*100)</f>
        <v>4.0822979623685622</v>
      </c>
      <c r="AD137" s="1524">
        <f ca="1">IF(UPPER('VVP1'!$F$2)="Y",(OFFSET('VVP1'!$M10,0,5*(COLUMN()-8))-OFFSET('VVP1'!$J10,0,5*(COLUMN()-8)))/OFFSET('VVP1'!$J$17,0,5*(COLUMN()-8))*100,(AD54-AC54)/AC$125*100)</f>
        <v>3.7907342437404736</v>
      </c>
      <c r="AE137" s="1524">
        <f ca="1">IF(UPPER('VVP1'!$F$2)="Y",(OFFSET('VVP1'!$M10,0,5*(COLUMN()-8))-OFFSET('VVP1'!$J10,0,5*(COLUMN()-8)))/OFFSET('VVP1'!$J$17,0,5*(COLUMN()-8))*100,(AE54-AD54)/AD$125*100)</f>
        <v>3.1891093023089798</v>
      </c>
    </row>
    <row r="138" spans="1:94">
      <c r="A138" s="664"/>
      <c r="C138" s="1480"/>
      <c r="D138" s="1964"/>
      <c r="E138" s="113" t="s">
        <v>1272</v>
      </c>
      <c r="F138" s="1482" t="s">
        <v>1992</v>
      </c>
      <c r="G138" s="1523"/>
      <c r="H138" s="1523">
        <f ca="1">IF(UPPER('VVP1'!$F$2)="Y",(OFFSET('VVP1'!$M11,0,5*(COLUMN()-8))-OFFSET('VVP1'!$J11,0,5*(COLUMN()-8)))/OFFSET('VVP1'!$J$17,0,5*(COLUMN()-8))*100,(H64-G64)/G$125*100)</f>
        <v>1.4513428074752475</v>
      </c>
      <c r="I138" s="1523">
        <f ca="1">IF(UPPER('VVP1'!$F$2)="Y",(OFFSET('VVP1'!$M11,0,5*(COLUMN()-8))-OFFSET('VVP1'!$J11,0,5*(COLUMN()-8)))/OFFSET('VVP1'!$J$17,0,5*(COLUMN()-8))*100,(I64-H64)/H$125*100)</f>
        <v>3.8518325888653013</v>
      </c>
      <c r="J138" s="1523">
        <f ca="1">IF(UPPER('VVP1'!$F$2)="Y",(OFFSET('VVP1'!$M11,0,5*(COLUMN()-8))-OFFSET('VVP1'!$J11,0,5*(COLUMN()-8)))/OFFSET('VVP1'!$J$17,0,5*(COLUMN()-8))*100,(J64-I64)/I$125*100)</f>
        <v>0.1636449464963908</v>
      </c>
      <c r="K138" s="1523">
        <f ca="1">IF(UPPER('VVP1'!$F$2)="Y",(OFFSET('VVP1'!$M11,0,5*(COLUMN()-8))-OFFSET('VVP1'!$J11,0,5*(COLUMN()-8)))/OFFSET('VVP1'!$J$17,0,5*(COLUMN()-8))*100,(K64-J64)/J$125*100)</f>
        <v>-1.0800950873552702</v>
      </c>
      <c r="L138" s="1523">
        <f ca="1">IF(UPPER('VVP1'!$F$2)="Y",(OFFSET('VVP1'!$M11,0,5*(COLUMN()-8))-OFFSET('VVP1'!$J11,0,5*(COLUMN()-8)))/OFFSET('VVP1'!$J$17,0,5*(COLUMN()-8))*100,(L64-K64)/K$125*100)</f>
        <v>-0.40554328888543595</v>
      </c>
      <c r="M138" s="1523">
        <f ca="1">IF(UPPER('VVP1'!$F$2)="Y",(OFFSET('VVP1'!$M11,0,5*(COLUMN()-8))-OFFSET('VVP1'!$J11,0,5*(COLUMN()-8)))/OFFSET('VVP1'!$J$17,0,5*(COLUMN()-8))*100,(M64-L64)/L$125*100)</f>
        <v>0.6501102377115151</v>
      </c>
      <c r="N138" s="1523">
        <f ca="1">IF(UPPER('VVP1'!$F$2)="Y",(OFFSET('VVP1'!$M11,0,5*(COLUMN()-8))-OFFSET('VVP1'!$J11,0,5*(COLUMN()-8)))/OFFSET('VVP1'!$J$17,0,5*(COLUMN()-8))*100,(N64-M64)/M$125*100)</f>
        <v>1.1252035507024927</v>
      </c>
      <c r="O138" s="1523">
        <f ca="1">IF(UPPER('VVP1'!$F$2)="Y",(OFFSET('VVP1'!$M11,0,5*(COLUMN()-8))-OFFSET('VVP1'!$J11,0,5*(COLUMN()-8)))/OFFSET('VVP1'!$J$17,0,5*(COLUMN()-8))*100,(O64-N64)/N$125*100)</f>
        <v>0.40458840247042593</v>
      </c>
      <c r="P138" s="1523">
        <f ca="1">IF(UPPER('VVP1'!$F$2)="Y",(OFFSET('VVP1'!$M11,0,5*(COLUMN()-8))-OFFSET('VVP1'!$J11,0,5*(COLUMN()-8)))/OFFSET('VVP1'!$J$17,0,5*(COLUMN()-8))*100,(P64-O64)/O$125*100)</f>
        <v>2.1964233559087751</v>
      </c>
      <c r="Q138" s="1523">
        <f ca="1">IF(UPPER('VVP1'!$F$2)="Y",(OFFSET('VVP1'!$M11,0,5*(COLUMN()-8))-OFFSET('VVP1'!$J11,0,5*(COLUMN()-8)))/OFFSET('VVP1'!$J$17,0,5*(COLUMN()-8))*100,(Q64-P64)/P$125*100)</f>
        <v>-1.8091709559490972</v>
      </c>
      <c r="R138" s="1523">
        <f ca="1">IF(UPPER('VVP1'!$F$2)="Y",(OFFSET('VVP1'!$M11,0,5*(COLUMN()-8))-OFFSET('VVP1'!$J11,0,5*(COLUMN()-8)))/OFFSET('VVP1'!$J$17,0,5*(COLUMN()-8))*100,(R64-Q64)/Q$125*100)</f>
        <v>-1.548513963512715</v>
      </c>
      <c r="S138" s="1523">
        <f ca="1">IF(UPPER('VVP1'!$F$2)="Y",(OFFSET('VVP1'!$M11,0,5*(COLUMN()-8))-OFFSET('VVP1'!$J11,0,5*(COLUMN()-8)))/OFFSET('VVP1'!$J$17,0,5*(COLUMN()-8))*100,(S64-R64)/R$125*100)</f>
        <v>2.2992180093849104</v>
      </c>
      <c r="T138" s="1523">
        <f ca="1">IF(UPPER('VVP1'!$F$2)="Y",(OFFSET('VVP1'!$M11,0,5*(COLUMN()-8))-OFFSET('VVP1'!$J11,0,5*(COLUMN()-8)))/OFFSET('VVP1'!$J$17,0,5*(COLUMN()-8))*100,(T64-S64)/S$125*100)</f>
        <v>2.2142051004570154</v>
      </c>
      <c r="U138" s="1523">
        <f ca="1">IF(UPPER('VVP1'!$F$2)="Y",(OFFSET('VVP1'!$M11,0,5*(COLUMN()-8))-OFFSET('VVP1'!$J11,0,5*(COLUMN()-8)))/OFFSET('VVP1'!$J$17,0,5*(COLUMN()-8))*100,(U64-T64)/T$125*100)</f>
        <v>-5.085878670088305</v>
      </c>
      <c r="V138" s="1523">
        <f ca="1">IF(UPPER('VVP1'!$F$2)="Y",(OFFSET('VVP1'!$M11,0,5*(COLUMN()-8))-OFFSET('VVP1'!$J11,0,5*(COLUMN()-8)))/OFFSET('VVP1'!$J$17,0,5*(COLUMN()-8))*100,(V64-U64)/U$125*100)</f>
        <v>4.5041049338341725</v>
      </c>
      <c r="W138" s="1523">
        <f ca="1">IF(UPPER('VVP1'!$F$2)="Y",(OFFSET('VVP1'!$M11,0,5*(COLUMN()-8))-OFFSET('VVP1'!$J11,0,5*(COLUMN()-8)))/OFFSET('VVP1'!$J$17,0,5*(COLUMN()-8))*100,(W64-V64)/V$125*100)</f>
        <v>-0.20604645553711376</v>
      </c>
      <c r="X138" s="1523">
        <f ca="1">IF(UPPER('VVP1'!$F$2)="Y",(OFFSET('VVP1'!$M11,0,5*(COLUMN()-8))-OFFSET('VVP1'!$J11,0,5*(COLUMN()-8)))/OFFSET('VVP1'!$J$17,0,5*(COLUMN()-8))*100,(X64-W64)/W$125*100)</f>
        <v>-2.151835588016207</v>
      </c>
      <c r="Y138" s="1523">
        <f ca="1">IF(UPPER('VVP1'!$F$2)="Y",(OFFSET('VVP1'!$M11,0,5*(COLUMN()-8))-OFFSET('VVP1'!$J11,0,5*(COLUMN()-8)))/OFFSET('VVP1'!$J$17,0,5*(COLUMN()-8))*100,(Y64-X64)/X$125*100)</f>
        <v>-1.442923607568708</v>
      </c>
      <c r="Z138" s="1523">
        <f ca="1">IF(UPPER('VVP1'!$F$2)="Y",(OFFSET('VVP1'!$M11,0,5*(COLUMN()-8))-OFFSET('VVP1'!$J11,0,5*(COLUMN()-8)))/OFFSET('VVP1'!$J$17,0,5*(COLUMN()-8))*100,(Z64-Y64)/Y$125*100)</f>
        <v>-0.23872302156008876</v>
      </c>
      <c r="AA138" s="1523">
        <f ca="1">IF(UPPER('VVP1'!$F$2)="Y",(OFFSET('VVP1'!$M11,0,5*(COLUMN()-8))-OFFSET('VVP1'!$J11,0,5*(COLUMN()-8)))/OFFSET('VVP1'!$J$17,0,5*(COLUMN()-8))*100,(AA64-Z64)/Z$125*100)</f>
        <v>3.8132633497471562</v>
      </c>
      <c r="AB138" s="1523">
        <f ca="1">IF(UPPER('VVP1'!$F$2)="Y",(OFFSET('VVP1'!$M11,0,5*(COLUMN()-8))-OFFSET('VVP1'!$J11,0,5*(COLUMN()-8)))/OFFSET('VVP1'!$J$17,0,5*(COLUMN()-8))*100,(AB64-AA64)/AA$125*100)</f>
        <v>-0.80797158913461642</v>
      </c>
      <c r="AC138" s="1523">
        <f ca="1">IF(UPPER('VVP1'!$F$2)="Y",(OFFSET('VVP1'!$M11,0,5*(COLUMN()-8))-OFFSET('VVP1'!$J11,0,5*(COLUMN()-8)))/OFFSET('VVP1'!$J$17,0,5*(COLUMN()-8))*100,(AC64-AB64)/AB$125*100)</f>
        <v>0</v>
      </c>
      <c r="AD138" s="1523">
        <f ca="1">IF(UPPER('VVP1'!$F$2)="Y",(OFFSET('VVP1'!$M11,0,5*(COLUMN()-8))-OFFSET('VVP1'!$J11,0,5*(COLUMN()-8)))/OFFSET('VVP1'!$J$17,0,5*(COLUMN()-8))*100,(AD64-AC64)/AC$125*100)</f>
        <v>0</v>
      </c>
      <c r="AE138" s="1523">
        <f ca="1">IF(UPPER('VVP1'!$F$2)="Y",(OFFSET('VVP1'!$M11,0,5*(COLUMN()-8))-OFFSET('VVP1'!$J11,0,5*(COLUMN()-8)))/OFFSET('VVP1'!$J$17,0,5*(COLUMN()-8))*100,(AE64-AD64)/AD$125*100)</f>
        <v>0</v>
      </c>
    </row>
    <row r="139" spans="1:94">
      <c r="A139" s="664"/>
      <c r="C139" s="1480"/>
      <c r="D139" s="1445"/>
      <c r="E139" s="50" t="s">
        <v>1071</v>
      </c>
      <c r="F139" s="1483"/>
      <c r="G139" s="1524"/>
      <c r="H139" s="1524">
        <f ca="1">IF(UPPER('VVP1'!$F$2)="Y",(OFFSET('VVP1'!$M12,0,5*(COLUMN()-8))-OFFSET('VVP1'!$J12,0,5*(COLUMN()-8)))/OFFSET('VVP1'!$J$17,0,5*(COLUMN()-8))*100,(H72-G72)/G$125*100)</f>
        <v>9.6595550813709377</v>
      </c>
      <c r="I139" s="1524">
        <f ca="1">IF(UPPER('VVP1'!$F$2)="Y",(OFFSET('VVP1'!$M12,0,5*(COLUMN()-8))-OFFSET('VVP1'!$J12,0,5*(COLUMN()-8)))/OFFSET('VVP1'!$J$17,0,5*(COLUMN()-8))*100,(I72-H72)/H$125*100)</f>
        <v>13.513249985598369</v>
      </c>
      <c r="J139" s="1524">
        <f ca="1">IF(UPPER('VVP1'!$F$2)="Y",(OFFSET('VVP1'!$M12,0,5*(COLUMN()-8))-OFFSET('VVP1'!$J12,0,5*(COLUMN()-8)))/OFFSET('VVP1'!$J$17,0,5*(COLUMN()-8))*100,(J72-I72)/I$125*100)</f>
        <v>9.00549383973323</v>
      </c>
      <c r="K139" s="1524">
        <f ca="1">IF(UPPER('VVP1'!$F$2)="Y",(OFFSET('VVP1'!$M12,0,5*(COLUMN()-8))-OFFSET('VVP1'!$J12,0,5*(COLUMN()-8)))/OFFSET('VVP1'!$J$17,0,5*(COLUMN()-8))*100,(K72-J72)/J$125*100)</f>
        <v>-0.61159138609136254</v>
      </c>
      <c r="L139" s="1524">
        <f ca="1">IF(UPPER('VVP1'!$F$2)="Y",(OFFSET('VVP1'!$M12,0,5*(COLUMN()-8))-OFFSET('VVP1'!$J12,0,5*(COLUMN()-8)))/OFFSET('VVP1'!$J$17,0,5*(COLUMN()-8))*100,(L72-K72)/K$125*100)</f>
        <v>2.3484126626752246</v>
      </c>
      <c r="M139" s="1524">
        <f ca="1">IF(UPPER('VVP1'!$F$2)="Y",(OFFSET('VVP1'!$M12,0,5*(COLUMN()-8))-OFFSET('VVP1'!$J12,0,5*(COLUMN()-8)))/OFFSET('VVP1'!$J$17,0,5*(COLUMN()-8))*100,(M72-L72)/L$125*100)</f>
        <v>6.1816138564079841</v>
      </c>
      <c r="N139" s="1524">
        <f ca="1">IF(UPPER('VVP1'!$F$2)="Y",(OFFSET('VVP1'!$M12,0,5*(COLUMN()-8))-OFFSET('VVP1'!$J12,0,5*(COLUMN()-8)))/OFFSET('VVP1'!$J$17,0,5*(COLUMN()-8))*100,(N72-M72)/M$125*100)</f>
        <v>7.8474570051533421</v>
      </c>
      <c r="O139" s="1524">
        <f ca="1">IF(UPPER('VVP1'!$F$2)="Y",(OFFSET('VVP1'!$M12,0,5*(COLUMN()-8))-OFFSET('VVP1'!$J12,0,5*(COLUMN()-8)))/OFFSET('VVP1'!$J$17,0,5*(COLUMN()-8))*100,(O72-N72)/N$125*100)</f>
        <v>11.003203996045062</v>
      </c>
      <c r="P139" s="1524">
        <f ca="1">IF(UPPER('VVP1'!$F$2)="Y",(OFFSET('VVP1'!$M12,0,5*(COLUMN()-8))-OFFSET('VVP1'!$J12,0,5*(COLUMN()-8)))/OFFSET('VVP1'!$J$17,0,5*(COLUMN()-8))*100,(P72-O72)/O$125*100)</f>
        <v>14.012377107611499</v>
      </c>
      <c r="Q139" s="1524">
        <f ca="1">IF(UPPER('VVP1'!$F$2)="Y",(OFFSET('VVP1'!$M12,0,5*(COLUMN()-8))-OFFSET('VVP1'!$J12,0,5*(COLUMN()-8)))/OFFSET('VVP1'!$J$17,0,5*(COLUMN()-8))*100,(Q72-P72)/P$125*100)</f>
        <v>9.0641608788783419</v>
      </c>
      <c r="R139" s="1524">
        <f ca="1">IF(UPPER('VVP1'!$F$2)="Y",(OFFSET('VVP1'!$M12,0,5*(COLUMN()-8))-OFFSET('VVP1'!$J12,0,5*(COLUMN()-8)))/OFFSET('VVP1'!$J$17,0,5*(COLUMN()-8))*100,(R72-Q72)/Q$125*100)</f>
        <v>9.3068178316907648</v>
      </c>
      <c r="S139" s="1524">
        <f ca="1">IF(UPPER('VVP1'!$F$2)="Y",(OFFSET('VVP1'!$M12,0,5*(COLUMN()-8))-OFFSET('VVP1'!$J12,0,5*(COLUMN()-8)))/OFFSET('VVP1'!$J$17,0,5*(COLUMN()-8))*100,(S72-R72)/R$125*100)</f>
        <v>16.442473084183558</v>
      </c>
      <c r="T139" s="1524">
        <f ca="1">IF(UPPER('VVP1'!$F$2)="Y",(OFFSET('VVP1'!$M12,0,5*(COLUMN()-8))-OFFSET('VVP1'!$J12,0,5*(COLUMN()-8)))/OFFSET('VVP1'!$J$17,0,5*(COLUMN()-8))*100,(T72-S72)/S$125*100)</f>
        <v>3.5631122902308099</v>
      </c>
      <c r="U139" s="1524">
        <f ca="1">IF(UPPER('VVP1'!$F$2)="Y",(OFFSET('VVP1'!$M12,0,5*(COLUMN()-8))-OFFSET('VVP1'!$J12,0,5*(COLUMN()-8)))/OFFSET('VVP1'!$J$17,0,5*(COLUMN()-8))*100,(U72-T72)/T$125*100)</f>
        <v>-26.743581938977144</v>
      </c>
      <c r="V139" s="1524">
        <f ca="1">IF(UPPER('VVP1'!$F$2)="Y",(OFFSET('VVP1'!$M12,0,5*(COLUMN()-8))-OFFSET('VVP1'!$J12,0,5*(COLUMN()-8)))/OFFSET('VVP1'!$J$17,0,5*(COLUMN()-8))*100,(V72-U72)/U$125*100)</f>
        <v>1.8128514301158054</v>
      </c>
      <c r="W139" s="1524">
        <f ca="1">IF(UPPER('VVP1'!$F$2)="Y",(OFFSET('VVP1'!$M12,0,5*(COLUMN()-8))-OFFSET('VVP1'!$J12,0,5*(COLUMN()-8)))/OFFSET('VVP1'!$J$17,0,5*(COLUMN()-8))*100,(W72-V72)/V$125*100)</f>
        <v>6.065115675015333</v>
      </c>
      <c r="X139" s="1524">
        <f ca="1">IF(UPPER('VVP1'!$F$2)="Y",(OFFSET('VVP1'!$M12,0,5*(COLUMN()-8))-OFFSET('VVP1'!$J12,0,5*(COLUMN()-8)))/OFFSET('VVP1'!$J$17,0,5*(COLUMN()-8))*100,(X72-W72)/W$125*100)</f>
        <v>-0.31101450313552992</v>
      </c>
      <c r="Y139" s="1524">
        <f ca="1">IF(UPPER('VVP1'!$F$2)="Y",(OFFSET('VVP1'!$M12,0,5*(COLUMN()-8))-OFFSET('VVP1'!$J12,0,5*(COLUMN()-8)))/OFFSET('VVP1'!$J$17,0,5*(COLUMN()-8))*100,(Y72-X72)/X$125*100)</f>
        <v>2.8104213891178689</v>
      </c>
      <c r="Z139" s="1524">
        <f ca="1">IF(UPPER('VVP1'!$F$2)="Y",(OFFSET('VVP1'!$M12,0,5*(COLUMN()-8))-OFFSET('VVP1'!$J12,0,5*(COLUMN()-8)))/OFFSET('VVP1'!$J$17,0,5*(COLUMN()-8))*100,(Z72-Y72)/Y$125*100)</f>
        <v>3.3540106456365328</v>
      </c>
      <c r="AA139" s="1524">
        <f ca="1">IF(UPPER('VVP1'!$F$2)="Y",(OFFSET('VVP1'!$M12,0,5*(COLUMN()-8))-OFFSET('VVP1'!$J12,0,5*(COLUMN()-8)))/OFFSET('VVP1'!$J$17,0,5*(COLUMN()-8))*100,(AA72-Z72)/Z$125*100)</f>
        <v>7.2287486164176418</v>
      </c>
      <c r="AB139" s="1524">
        <f ca="1">IF(UPPER('VVP1'!$F$2)="Y",(OFFSET('VVP1'!$M12,0,5*(COLUMN()-8))-OFFSET('VVP1'!$J12,0,5*(COLUMN()-8)))/OFFSET('VVP1'!$J$17,0,5*(COLUMN()-8))*100,(AB72-AA72)/AA$125*100)</f>
        <v>2.4172794105201034</v>
      </c>
      <c r="AC139" s="1524">
        <f ca="1">IF(UPPER('VVP1'!$F$2)="Y",(OFFSET('VVP1'!$M12,0,5*(COLUMN()-8))-OFFSET('VVP1'!$J12,0,5*(COLUMN()-8)))/OFFSET('VVP1'!$J$17,0,5*(COLUMN()-8))*100,(AC72-AB72)/AB$125*100)</f>
        <v>4.0822979623685622</v>
      </c>
      <c r="AD139" s="1524">
        <f ca="1">IF(UPPER('VVP1'!$F$2)="Y",(OFFSET('VVP1'!$M12,0,5*(COLUMN()-8))-OFFSET('VVP1'!$J12,0,5*(COLUMN()-8)))/OFFSET('VVP1'!$J$17,0,5*(COLUMN()-8))*100,(AD72-AC72)/AC$125*100)</f>
        <v>3.7907342437404736</v>
      </c>
      <c r="AE139" s="1524">
        <f ca="1">IF(UPPER('VVP1'!$F$2)="Y",(OFFSET('VVP1'!$M12,0,5*(COLUMN()-8))-OFFSET('VVP1'!$J12,0,5*(COLUMN()-8)))/OFFSET('VVP1'!$J$17,0,5*(COLUMN()-8))*100,(AE72-AD72)/AD$125*100)</f>
        <v>3.1891093023089798</v>
      </c>
    </row>
    <row r="140" spans="1:94">
      <c r="A140" s="664"/>
      <c r="C140" s="1480"/>
      <c r="D140" s="1964"/>
      <c r="E140" s="113" t="s">
        <v>1358</v>
      </c>
      <c r="F140" s="1482" t="s">
        <v>1590</v>
      </c>
      <c r="G140" s="1523"/>
      <c r="H140" s="1523">
        <f ca="1">IF(UPPER('VVP1'!$F$2)="Y",(OFFSET('VVP1'!$M13,0,5*(COLUMN()-8))-OFFSET('VVP1'!$J13,0,5*(COLUMN()-8)))/OFFSET('VVP1'!$J$17,0,5*(COLUMN()-8))*100,(H83-G83)/G$125*100)</f>
        <v>7.0740050122288913</v>
      </c>
      <c r="I140" s="1523">
        <f ca="1">IF(UPPER('VVP1'!$F$2)="Y",(OFFSET('VVP1'!$M13,0,5*(COLUMN()-8))-OFFSET('VVP1'!$J13,0,5*(COLUMN()-8)))/OFFSET('VVP1'!$J$17,0,5*(COLUMN()-8))*100,(I83-H83)/H$125*100)</f>
        <v>7.9008800445720686</v>
      </c>
      <c r="J140" s="1523">
        <f ca="1">IF(UPPER('VVP1'!$F$2)="Y",(OFFSET('VVP1'!$M13,0,5*(COLUMN()-8))-OFFSET('VVP1'!$J13,0,5*(COLUMN()-8)))/OFFSET('VVP1'!$J$17,0,5*(COLUMN()-8))*100,(J83-I83)/I$125*100)</f>
        <v>2.0950956730633008</v>
      </c>
      <c r="K140" s="1523">
        <f ca="1">IF(UPPER('VVP1'!$F$2)="Y",(OFFSET('VVP1'!$M13,0,5*(COLUMN()-8))-OFFSET('VVP1'!$J13,0,5*(COLUMN()-8)))/OFFSET('VVP1'!$J$17,0,5*(COLUMN()-8))*100,(K83-J83)/J$125*100)</f>
        <v>-6.405529332212347</v>
      </c>
      <c r="L140" s="1523">
        <f ca="1">IF(UPPER('VVP1'!$F$2)="Y",(OFFSET('VVP1'!$M13,0,5*(COLUMN()-8))-OFFSET('VVP1'!$J13,0,5*(COLUMN()-8)))/OFFSET('VVP1'!$J$17,0,5*(COLUMN()-8))*100,(L83-K83)/K$125*100)</f>
        <v>3.0979085524568646</v>
      </c>
      <c r="M140" s="1523">
        <f ca="1">IF(UPPER('VVP1'!$F$2)="Y",(OFFSET('VVP1'!$M13,0,5*(COLUMN()-8))-OFFSET('VVP1'!$J13,0,5*(COLUMN()-8)))/OFFSET('VVP1'!$J$17,0,5*(COLUMN()-8))*100,(M83-L83)/L$125*100)</f>
        <v>8.1751961752125588</v>
      </c>
      <c r="N140" s="1523">
        <f ca="1">IF(UPPER('VVP1'!$F$2)="Y",(OFFSET('VVP1'!$M13,0,5*(COLUMN()-8))-OFFSET('VVP1'!$J13,0,5*(COLUMN()-8)))/OFFSET('VVP1'!$J$17,0,5*(COLUMN()-8))*100,(N83-M83)/M$125*100)</f>
        <v>8.1967936344199241</v>
      </c>
      <c r="O140" s="1523">
        <f ca="1">IF(UPPER('VVP1'!$F$2)="Y",(OFFSET('VVP1'!$M13,0,5*(COLUMN()-8))-OFFSET('VVP1'!$J13,0,5*(COLUMN()-8)))/OFFSET('VVP1'!$J$17,0,5*(COLUMN()-8))*100,(O83-N83)/N$125*100)</f>
        <v>3.9891433187894481</v>
      </c>
      <c r="P140" s="1523">
        <f ca="1">IF(UPPER('VVP1'!$F$2)="Y",(OFFSET('VVP1'!$M13,0,5*(COLUMN()-8))-OFFSET('VVP1'!$J13,0,5*(COLUMN()-8)))/OFFSET('VVP1'!$J$17,0,5*(COLUMN()-8))*100,(P83-O83)/O$125*100)</f>
        <v>1.8440397055448778</v>
      </c>
      <c r="Q140" s="1523">
        <f ca="1">IF(UPPER('VVP1'!$F$2)="Y",(OFFSET('VVP1'!$M13,0,5*(COLUMN()-8))-OFFSET('VVP1'!$J13,0,5*(COLUMN()-8)))/OFFSET('VVP1'!$J$17,0,5*(COLUMN()-8))*100,(Q83-P83)/P$125*100)</f>
        <v>9.7251625266620305</v>
      </c>
      <c r="R140" s="1523">
        <f ca="1">IF(UPPER('VVP1'!$F$2)="Y",(OFFSET('VVP1'!$M13,0,5*(COLUMN()-8))-OFFSET('VVP1'!$J13,0,5*(COLUMN()-8)))/OFFSET('VVP1'!$J$17,0,5*(COLUMN()-8))*100,(R83-Q83)/Q$125*100)</f>
        <v>6.8080939203460993</v>
      </c>
      <c r="S140" s="1523">
        <f ca="1">IF(UPPER('VVP1'!$F$2)="Y",(OFFSET('VVP1'!$M13,0,5*(COLUMN()-8))-OFFSET('VVP1'!$J13,0,5*(COLUMN()-8)))/OFFSET('VVP1'!$J$17,0,5*(COLUMN()-8))*100,(S83-R83)/R$125*100)</f>
        <v>1.7657561732833282</v>
      </c>
      <c r="T140" s="1523">
        <f ca="1">IF(UPPER('VVP1'!$F$2)="Y",(OFFSET('VVP1'!$M13,0,5*(COLUMN()-8))-OFFSET('VVP1'!$J13,0,5*(COLUMN()-8)))/OFFSET('VVP1'!$J$17,0,5*(COLUMN()-8))*100,(T83-S83)/S$125*100)</f>
        <v>6.8019729796976094</v>
      </c>
      <c r="U140" s="1523">
        <f ca="1">IF(UPPER('VVP1'!$F$2)="Y",(OFFSET('VVP1'!$M13,0,5*(COLUMN()-8))-OFFSET('VVP1'!$J13,0,5*(COLUMN()-8)))/OFFSET('VVP1'!$J$17,0,5*(COLUMN()-8))*100,(U83-T83)/T$125*100)</f>
        <v>-7.3072945840545671</v>
      </c>
      <c r="V140" s="1523">
        <f ca="1">IF(UPPER('VVP1'!$F$2)="Y",(OFFSET('VVP1'!$M13,0,5*(COLUMN()-8))-OFFSET('VVP1'!$J13,0,5*(COLUMN()-8)))/OFFSET('VVP1'!$J$17,0,5*(COLUMN()-8))*100,(V83-U83)/U$125*100)</f>
        <v>9.8384424148154626</v>
      </c>
      <c r="W140" s="1523">
        <f ca="1">IF(UPPER('VVP1'!$F$2)="Y",(OFFSET('VVP1'!$M13,0,5*(COLUMN()-8))-OFFSET('VVP1'!$J13,0,5*(COLUMN()-8)))/OFFSET('VVP1'!$J$17,0,5*(COLUMN()-8))*100,(W83-V83)/V$125*100)</f>
        <v>10.065556667948734</v>
      </c>
      <c r="X140" s="1523">
        <f ca="1">IF(UPPER('VVP1'!$F$2)="Y",(OFFSET('VVP1'!$M13,0,5*(COLUMN()-8))-OFFSET('VVP1'!$J13,0,5*(COLUMN()-8)))/OFFSET('VVP1'!$J$17,0,5*(COLUMN()-8))*100,(X83-W83)/W$125*100)</f>
        <v>9.2908686390268578</v>
      </c>
      <c r="Y140" s="1523">
        <f ca="1">IF(UPPER('VVP1'!$F$2)="Y",(OFFSET('VVP1'!$M13,0,5*(COLUMN()-8))-OFFSET('VVP1'!$J13,0,5*(COLUMN()-8)))/OFFSET('VVP1'!$J$17,0,5*(COLUMN()-8))*100,(Y83-X83)/X$125*100)</f>
        <v>8.0478667976111193</v>
      </c>
      <c r="Z140" s="1523">
        <f ca="1">IF(UPPER('VVP1'!$F$2)="Y",(OFFSET('VVP1'!$M13,0,5*(COLUMN()-8))-OFFSET('VVP1'!$J13,0,5*(COLUMN()-8)))/OFFSET('VVP1'!$J$17,0,5*(COLUMN()-8))*100,(Z83-Y83)/Y$125*100)</f>
        <v>2.7477761417920439</v>
      </c>
      <c r="AA140" s="1523">
        <f ca="1">IF(UPPER('VVP1'!$F$2)="Y",(OFFSET('VVP1'!$M13,0,5*(COLUMN()-8))-OFFSET('VVP1'!$J13,0,5*(COLUMN()-8)))/OFFSET('VVP1'!$J$17,0,5*(COLUMN()-8))*100,(AA83-Z83)/Z$125*100)</f>
        <v>-0.2940053464686429</v>
      </c>
      <c r="AB140" s="1523">
        <f ca="1">IF(UPPER('VVP1'!$F$2)="Y",(OFFSET('VVP1'!$M13,0,5*(COLUMN()-8))-OFFSET('VVP1'!$J13,0,5*(COLUMN()-8)))/OFFSET('VVP1'!$J$17,0,5*(COLUMN()-8))*100,(AB83-AA83)/AA$125*100)</f>
        <v>2.6198777283123023</v>
      </c>
      <c r="AC140" s="1523">
        <f ca="1">IF(UPPER('VVP1'!$F$2)="Y",(OFFSET('VVP1'!$M13,0,5*(COLUMN()-8))-OFFSET('VVP1'!$J13,0,5*(COLUMN()-8)))/OFFSET('VVP1'!$J$17,0,5*(COLUMN()-8))*100,(AC83-AB83)/AB$125*100)</f>
        <v>9.8562401283246217</v>
      </c>
      <c r="AD140" s="1523">
        <f ca="1">IF(UPPER('VVP1'!$F$2)="Y",(OFFSET('VVP1'!$M13,0,5*(COLUMN()-8))-OFFSET('VVP1'!$J13,0,5*(COLUMN()-8)))/OFFSET('VVP1'!$J$17,0,5*(COLUMN()-8))*100,(AD83-AC83)/AC$125*100)</f>
        <v>4.4934914995070203</v>
      </c>
      <c r="AE140" s="1523">
        <f ca="1">IF(UPPER('VVP1'!$F$2)="Y",(OFFSET('VVP1'!$M13,0,5*(COLUMN()-8))-OFFSET('VVP1'!$J13,0,5*(COLUMN()-8)))/OFFSET('VVP1'!$J$17,0,5*(COLUMN()-8))*100,(AE83-AD83)/AD$125*100)</f>
        <v>3.6782595394688311</v>
      </c>
    </row>
    <row r="141" spans="1:94">
      <c r="A141" s="664"/>
      <c r="C141" s="1480"/>
      <c r="D141" s="1445"/>
      <c r="E141" s="50" t="s">
        <v>1359</v>
      </c>
      <c r="F141" s="1483"/>
      <c r="G141" s="1524"/>
      <c r="H141" s="1524">
        <f ca="1">IF(UPPER('VVP1'!$F$2)="Y",(OFFSET('VVP1'!$M14,0,5*(COLUMN()-8))-OFFSET('VVP1'!$J14,0,5*(COLUMN()-8)))/OFFSET('VVP1'!$J$17,0,5*(COLUMN()-8))*100,(H94-G94)/G$125*100)</f>
        <v>17.477208497495941</v>
      </c>
      <c r="I141" s="1524">
        <f ca="1">IF(UPPER('VVP1'!$F$2)="Y",(OFFSET('VVP1'!$M14,0,5*(COLUMN()-8))-OFFSET('VVP1'!$J14,0,5*(COLUMN()-8)))/OFFSET('VVP1'!$J$17,0,5*(COLUMN()-8))*100,(I94-H94)/H$125*100)</f>
        <v>21.777785652617911</v>
      </c>
      <c r="J141" s="1524">
        <f ca="1">IF(UPPER('VVP1'!$F$2)="Y",(OFFSET('VVP1'!$M14,0,5*(COLUMN()-8))-OFFSET('VVP1'!$J14,0,5*(COLUMN()-8)))/OFFSET('VVP1'!$J$17,0,5*(COLUMN()-8))*100,(J94-I94)/I$125*100)</f>
        <v>10.941710459028352</v>
      </c>
      <c r="K141" s="1524">
        <f ca="1">IF(UPPER('VVP1'!$F$2)="Y",(OFFSET('VVP1'!$M14,0,5*(COLUMN()-8))-OFFSET('VVP1'!$J14,0,5*(COLUMN()-8)))/OFFSET('VVP1'!$J$17,0,5*(COLUMN()-8))*100,(K94-J94)/J$125*100)</f>
        <v>-7.6946978712011314</v>
      </c>
      <c r="L141" s="1524">
        <f ca="1">IF(UPPER('VVP1'!$F$2)="Y",(OFFSET('VVP1'!$M14,0,5*(COLUMN()-8))-OFFSET('VVP1'!$J14,0,5*(COLUMN()-8)))/OFFSET('VVP1'!$J$17,0,5*(COLUMN()-8))*100,(L94-K94)/K$125*100)</f>
        <v>5.7888440330256721</v>
      </c>
      <c r="M141" s="1524">
        <f ca="1">IF(UPPER('VVP1'!$F$2)="Y",(OFFSET('VVP1'!$M14,0,5*(COLUMN()-8))-OFFSET('VVP1'!$J14,0,5*(COLUMN()-8)))/OFFSET('VVP1'!$J$17,0,5*(COLUMN()-8))*100,(M94-L94)/L$125*100)</f>
        <v>14.999356900584745</v>
      </c>
      <c r="N141" s="1524">
        <f ca="1">IF(UPPER('VVP1'!$F$2)="Y",(OFFSET('VVP1'!$M14,0,5*(COLUMN()-8))-OFFSET('VVP1'!$J14,0,5*(COLUMN()-8)))/OFFSET('VVP1'!$J$17,0,5*(COLUMN()-8))*100,(N94-M94)/M$125*100)</f>
        <v>16.461301587893256</v>
      </c>
      <c r="O141" s="1524">
        <f ca="1">IF(UPPER('VVP1'!$F$2)="Y",(OFFSET('VVP1'!$M14,0,5*(COLUMN()-8))-OFFSET('VVP1'!$J14,0,5*(COLUMN()-8)))/OFFSET('VVP1'!$J$17,0,5*(COLUMN()-8))*100,(O94-N94)/N$125*100)</f>
        <v>14.924930269515208</v>
      </c>
      <c r="P141" s="1524">
        <f ca="1">IF(UPPER('VVP1'!$F$2)="Y",(OFFSET('VVP1'!$M14,0,5*(COLUMN()-8))-OFFSET('VVP1'!$J14,0,5*(COLUMN()-8)))/OFFSET('VVP1'!$J$17,0,5*(COLUMN()-8))*100,(P94-O94)/O$125*100)</f>
        <v>15.551951464698474</v>
      </c>
      <c r="Q141" s="1524">
        <f ca="1">IF(UPPER('VVP1'!$F$2)="Y",(OFFSET('VVP1'!$M14,0,5*(COLUMN()-8))-OFFSET('VVP1'!$J14,0,5*(COLUMN()-8)))/OFFSET('VVP1'!$J$17,0,5*(COLUMN()-8))*100,(Q94-P94)/P$125*100)</f>
        <v>18.789323417725132</v>
      </c>
      <c r="R141" s="1524">
        <f ca="1">IF(UPPER('VVP1'!$F$2)="Y",(OFFSET('VVP1'!$M14,0,5*(COLUMN()-8))-OFFSET('VVP1'!$J14,0,5*(COLUMN()-8)))/OFFSET('VVP1'!$J$17,0,5*(COLUMN()-8))*100,(R94-Q94)/Q$125*100)</f>
        <v>16.114911129840358</v>
      </c>
      <c r="S141" s="1524">
        <f ca="1">IF(UPPER('VVP1'!$F$2)="Y",(OFFSET('VVP1'!$M14,0,5*(COLUMN()-8))-OFFSET('VVP1'!$J14,0,5*(COLUMN()-8)))/OFFSET('VVP1'!$J$17,0,5*(COLUMN()-8))*100,(S94-R94)/R$125*100)</f>
        <v>18.208229251900768</v>
      </c>
      <c r="T141" s="1524">
        <f ca="1">IF(UPPER('VVP1'!$F$2)="Y",(OFFSET('VVP1'!$M14,0,5*(COLUMN()-8))-OFFSET('VVP1'!$J14,0,5*(COLUMN()-8)))/OFFSET('VVP1'!$J$17,0,5*(COLUMN()-8))*100,(T94-S94)/S$125*100)</f>
        <v>10.365084175401474</v>
      </c>
      <c r="U141" s="1524">
        <f ca="1">IF(UPPER('VVP1'!$F$2)="Y",(OFFSET('VVP1'!$M14,0,5*(COLUMN()-8))-OFFSET('VVP1'!$J14,0,5*(COLUMN()-8)))/OFFSET('VVP1'!$J$17,0,5*(COLUMN()-8))*100,(U94-T94)/T$125*100)</f>
        <v>-34.050877688007922</v>
      </c>
      <c r="V141" s="1524">
        <f ca="1">IF(UPPER('VVP1'!$F$2)="Y",(OFFSET('VVP1'!$M14,0,5*(COLUMN()-8))-OFFSET('VVP1'!$J14,0,5*(COLUMN()-8)))/OFFSET('VVP1'!$J$17,0,5*(COLUMN()-8))*100,(V94-U94)/U$125*100)</f>
        <v>11.651293864411235</v>
      </c>
      <c r="W141" s="1524">
        <f ca="1">IF(UPPER('VVP1'!$F$2)="Y",(OFFSET('VVP1'!$M14,0,5*(COLUMN()-8))-OFFSET('VVP1'!$J14,0,5*(COLUMN()-8)))/OFFSET('VVP1'!$J$17,0,5*(COLUMN()-8))*100,(W94-V94)/V$125*100)</f>
        <v>16.130672342964093</v>
      </c>
      <c r="X141" s="1524">
        <f ca="1">IF(UPPER('VVP1'!$F$2)="Y",(OFFSET('VVP1'!$M14,0,5*(COLUMN()-8))-OFFSET('VVP1'!$J14,0,5*(COLUMN()-8)))/OFFSET('VVP1'!$J$17,0,5*(COLUMN()-8))*100,(X94-W94)/W$125*100)</f>
        <v>8.9798558738639969</v>
      </c>
      <c r="Y141" s="1524">
        <f ca="1">IF(UPPER('VVP1'!$F$2)="Y",(OFFSET('VVP1'!$M14,0,5*(COLUMN()-8))-OFFSET('VVP1'!$J14,0,5*(COLUMN()-8)))/OFFSET('VVP1'!$J$17,0,5*(COLUMN()-8))*100,(Y94-X94)/X$125*100)</f>
        <v>10.858287204672132</v>
      </c>
      <c r="Z141" s="1524">
        <f ca="1">IF(UPPER('VVP1'!$F$2)="Y",(OFFSET('VVP1'!$M14,0,5*(COLUMN()-8))-OFFSET('VVP1'!$J14,0,5*(COLUMN()-8)))/OFFSET('VVP1'!$J$17,0,5*(COLUMN()-8))*100,(Z94-Y94)/Y$125*100)</f>
        <v>6.1017867831977357</v>
      </c>
      <c r="AA141" s="1524">
        <f ca="1">IF(UPPER('VVP1'!$F$2)="Y",(OFFSET('VVP1'!$M14,0,5*(COLUMN()-8))-OFFSET('VVP1'!$J14,0,5*(COLUMN()-8)))/OFFSET('VVP1'!$J$17,0,5*(COLUMN()-8))*100,(AA94-Z94)/Z$125*100)</f>
        <v>6.9347432640511002</v>
      </c>
      <c r="AB141" s="1524">
        <f ca="1">IF(UPPER('VVP1'!$F$2)="Y",(OFFSET('VVP1'!$M14,0,5*(COLUMN()-8))-OFFSET('VVP1'!$J14,0,5*(COLUMN()-8)))/OFFSET('VVP1'!$J$17,0,5*(COLUMN()-8))*100,(AB94-AA94)/AA$125*100)</f>
        <v>5.0371571493366138</v>
      </c>
      <c r="AC141" s="1524">
        <f ca="1">IF(UPPER('VVP1'!$F$2)="Y",(OFFSET('VVP1'!$M14,0,5*(COLUMN()-8))-OFFSET('VVP1'!$J14,0,5*(COLUMN()-8)))/OFFSET('VVP1'!$J$17,0,5*(COLUMN()-8))*100,(AC94-AB94)/AB$125*100)</f>
        <v>13.938538090693168</v>
      </c>
      <c r="AD141" s="1524">
        <f ca="1">IF(UPPER('VVP1'!$F$2)="Y",(OFFSET('VVP1'!$M14,0,5*(COLUMN()-8))-OFFSET('VVP1'!$J14,0,5*(COLUMN()-8)))/OFFSET('VVP1'!$J$17,0,5*(COLUMN()-8))*100,(AD94-AC94)/AC$125*100)</f>
        <v>8.2842257432474931</v>
      </c>
      <c r="AE141" s="1524">
        <f ca="1">IF(UPPER('VVP1'!$F$2)="Y",(OFFSET('VVP1'!$M14,0,5*(COLUMN()-8))-OFFSET('VVP1'!$J14,0,5*(COLUMN()-8)))/OFFSET('VVP1'!$J$17,0,5*(COLUMN()-8))*100,(AE94-AD94)/AD$125*100)</f>
        <v>6.8673688417778429</v>
      </c>
    </row>
    <row r="142" spans="1:94">
      <c r="A142" s="664"/>
      <c r="C142" s="1480"/>
      <c r="D142" s="1070"/>
      <c r="E142" s="1" t="s">
        <v>1455</v>
      </c>
      <c r="F142" s="1481" t="s">
        <v>1591</v>
      </c>
      <c r="G142" s="542"/>
      <c r="H142" s="542">
        <f ca="1">IF(UPPER('VVP1'!$F$2)="Y",-(OFFSET('VVP1'!$M15,0,5*(COLUMN()-8))-OFFSET('VVP1'!$J15,0,5*(COLUMN()-8)))/OFFSET('VVP1'!$J$17,0,5*(COLUMN()-8))*100,-(H105-G105)/G$125*100)</f>
        <v>-11.067001332272703</v>
      </c>
      <c r="I142" s="542">
        <f ca="1">IF(UPPER('VVP1'!$F$2)="Y",-(OFFSET('VVP1'!$M15,0,5*(COLUMN()-8))-OFFSET('VVP1'!$J15,0,5*(COLUMN()-8)))/OFFSET('VVP1'!$J$17,0,5*(COLUMN()-8))*100,-(I105-H105)/H$125*100)</f>
        <v>-12.791211683850175</v>
      </c>
      <c r="J142" s="542">
        <f ca="1">IF(UPPER('VVP1'!$F$2)="Y",-(OFFSET('VVP1'!$M15,0,5*(COLUMN()-8))-OFFSET('VVP1'!$J15,0,5*(COLUMN()-8)))/OFFSET('VVP1'!$J$17,0,5*(COLUMN()-8))*100,-(J105-I105)/I$125*100)</f>
        <v>-3.379725538056638</v>
      </c>
      <c r="K142" s="542">
        <f ca="1">IF(UPPER('VVP1'!$F$2)="Y",-(OFFSET('VVP1'!$M15,0,5*(COLUMN()-8))-OFFSET('VVP1'!$J15,0,5*(COLUMN()-8)))/OFFSET('VVP1'!$J$17,0,5*(COLUMN()-8))*100,-(K105-J105)/J$125*100)</f>
        <v>6.2407298821180817</v>
      </c>
      <c r="L142" s="542">
        <f ca="1">IF(UPPER('VVP1'!$F$2)="Y",-(OFFSET('VVP1'!$M15,0,5*(COLUMN()-8))-OFFSET('VVP1'!$J15,0,5*(COLUMN()-8)))/OFFSET('VVP1'!$J$17,0,5*(COLUMN()-8))*100,-(L105-K105)/K$125*100)</f>
        <v>-2.1097718439312851</v>
      </c>
      <c r="M142" s="542">
        <f ca="1">IF(UPPER('VVP1'!$F$2)="Y",-(OFFSET('VVP1'!$M15,0,5*(COLUMN()-8))-OFFSET('VVP1'!$J15,0,5*(COLUMN()-8)))/OFFSET('VVP1'!$J$17,0,5*(COLUMN()-8))*100,-(M105-L105)/L$125*100)</f>
        <v>-7.8616289377094333</v>
      </c>
      <c r="N142" s="542">
        <f ca="1">IF(UPPER('VVP1'!$F$2)="Y",-(OFFSET('VVP1'!$M15,0,5*(COLUMN()-8))-OFFSET('VVP1'!$J15,0,5*(COLUMN()-8)))/OFFSET('VVP1'!$J$17,0,5*(COLUMN()-8))*100,-(N105-M105)/M$125*100)</f>
        <v>-9.1996527852676824</v>
      </c>
      <c r="O142" s="542">
        <f ca="1">IF(UPPER('VVP1'!$F$2)="Y",-(OFFSET('VVP1'!$M15,0,5*(COLUMN()-8))-OFFSET('VVP1'!$J15,0,5*(COLUMN()-8)))/OFFSET('VVP1'!$J$17,0,5*(COLUMN()-8))*100,-(O105-N105)/N$125*100)</f>
        <v>-4.6954081980754587</v>
      </c>
      <c r="P142" s="542">
        <f ca="1">IF(UPPER('VVP1'!$F$2)="Y",-(OFFSET('VVP1'!$M15,0,5*(COLUMN()-8))-OFFSET('VVP1'!$J15,0,5*(COLUMN()-8)))/OFFSET('VVP1'!$J$17,0,5*(COLUMN()-8))*100,-(P105-O105)/O$125*100)</f>
        <v>-7.8663293706581898</v>
      </c>
      <c r="Q142" s="542">
        <f ca="1">IF(UPPER('VVP1'!$F$2)="Y",-(OFFSET('VVP1'!$M15,0,5*(COLUMN()-8))-OFFSET('VVP1'!$J15,0,5*(COLUMN()-8)))/OFFSET('VVP1'!$J$17,0,5*(COLUMN()-8))*100,-(Q105-P105)/P$125*100)</f>
        <v>-11.06187986413957</v>
      </c>
      <c r="R142" s="542">
        <f ca="1">IF(UPPER('VVP1'!$F$2)="Y",-(OFFSET('VVP1'!$M15,0,5*(COLUMN()-8))-OFFSET('VVP1'!$J15,0,5*(COLUMN()-8)))/OFFSET('VVP1'!$J$17,0,5*(COLUMN()-8))*100,-(R105-Q105)/Q$125*100)</f>
        <v>-8.7084365325391371</v>
      </c>
      <c r="S142" s="542">
        <f ca="1">IF(UPPER('VVP1'!$F$2)="Y",-(OFFSET('VVP1'!$M15,0,5*(COLUMN()-8))-OFFSET('VVP1'!$J15,0,5*(COLUMN()-8)))/OFFSET('VVP1'!$J$17,0,5*(COLUMN()-8))*100,-(S105-R105)/R$125*100)</f>
        <v>-7.1213169888064769</v>
      </c>
      <c r="T142" s="542">
        <f ca="1">IF(UPPER('VVP1'!$F$2)="Y",-(OFFSET('VVP1'!$M15,0,5*(COLUMN()-8))-OFFSET('VVP1'!$J15,0,5*(COLUMN()-8)))/OFFSET('VVP1'!$J$17,0,5*(COLUMN()-8))*100,-(T105-S105)/S$125*100)</f>
        <v>-7.7370220385667992</v>
      </c>
      <c r="U142" s="542">
        <f ca="1">IF(UPPER('VVP1'!$F$2)="Y",-(OFFSET('VVP1'!$M15,0,5*(COLUMN()-8))-OFFSET('VVP1'!$J15,0,5*(COLUMN()-8)))/OFFSET('VVP1'!$J$17,0,5*(COLUMN()-8))*100,-(U105-T105)/T$125*100)</f>
        <v>19.236736322855055</v>
      </c>
      <c r="V142" s="542">
        <f ca="1">IF(UPPER('VVP1'!$F$2)="Y",-(OFFSET('VVP1'!$M15,0,5*(COLUMN()-8))-OFFSET('VVP1'!$J15,0,5*(COLUMN()-8)))/OFFSET('VVP1'!$J$17,0,5*(COLUMN()-8))*100,-(V105-U105)/U$125*100)</f>
        <v>-10.011474823941189</v>
      </c>
      <c r="W142" s="542">
        <f ca="1">IF(UPPER('VVP1'!$F$2)="Y",-(OFFSET('VVP1'!$M15,0,5*(COLUMN()-8))-OFFSET('VVP1'!$J15,0,5*(COLUMN()-8)))/OFFSET('VVP1'!$J$17,0,5*(COLUMN()-8))*100,-(W105-V105)/V$125*100)</f>
        <v>-10.087534956539365</v>
      </c>
      <c r="X142" s="542">
        <f ca="1">IF(UPPER('VVP1'!$F$2)="Y",-(OFFSET('VVP1'!$M15,0,5*(COLUMN()-8))-OFFSET('VVP1'!$J15,0,5*(COLUMN()-8)))/OFFSET('VVP1'!$J$17,0,5*(COLUMN()-8))*100,-(X105-W105)/W$125*100)</f>
        <v>-5.1528922857921584</v>
      </c>
      <c r="Y142" s="542">
        <f ca="1">IF(UPPER('VVP1'!$F$2)="Y",-(OFFSET('VVP1'!$M15,0,5*(COLUMN()-8))-OFFSET('VVP1'!$J15,0,5*(COLUMN()-8)))/OFFSET('VVP1'!$J$17,0,5*(COLUMN()-8))*100,-(Y105-X105)/X$125*100)</f>
        <v>-7.3597256129462965</v>
      </c>
      <c r="Z142" s="542">
        <f ca="1">IF(UPPER('VVP1'!$F$2)="Y",-(OFFSET('VVP1'!$M15,0,5*(COLUMN()-8))-OFFSET('VVP1'!$J15,0,5*(COLUMN()-8)))/OFFSET('VVP1'!$J$17,0,5*(COLUMN()-8))*100,-(Z105-Y105)/Y$125*100)</f>
        <v>-2.5642036582673589</v>
      </c>
      <c r="AA142" s="542">
        <f ca="1">IF(UPPER('VVP1'!$F$2)="Y",-(OFFSET('VVP1'!$M15,0,5*(COLUMN()-8))-OFFSET('VVP1'!$J15,0,5*(COLUMN()-8)))/OFFSET('VVP1'!$J$17,0,5*(COLUMN()-8))*100,-(AA105-Z105)/Z$125*100)</f>
        <v>-4.9001011308314242</v>
      </c>
      <c r="AB142" s="542">
        <f ca="1">IF(UPPER('VVP1'!$F$2)="Y",-(OFFSET('VVP1'!$M15,0,5*(COLUMN()-8))-OFFSET('VVP1'!$J15,0,5*(COLUMN()-8)))/OFFSET('VVP1'!$J$17,0,5*(COLUMN()-8))*100,-(AB105-AA105)/AA$125*100)</f>
        <v>-2.6922874957221463</v>
      </c>
      <c r="AC142" s="542">
        <f ca="1">IF(UPPER('VVP1'!$F$2)="Y",-(OFFSET('VVP1'!$M15,0,5*(COLUMN()-8))-OFFSET('VVP1'!$J15,0,5*(COLUMN()-8)))/OFFSET('VVP1'!$J$17,0,5*(COLUMN()-8))*100,-(AC105-AB105)/AB$125*100)</f>
        <v>-9.3733270570314602</v>
      </c>
      <c r="AD142" s="542">
        <f ca="1">IF(UPPER('VVP1'!$F$2)="Y",-(OFFSET('VVP1'!$M15,0,5*(COLUMN()-8))-OFFSET('VVP1'!$J15,0,5*(COLUMN()-8)))/OFFSET('VVP1'!$J$17,0,5*(COLUMN()-8))*100,-(AD105-AC105)/AC$125*100)</f>
        <v>-5.1636384008310534</v>
      </c>
      <c r="AE142" s="542">
        <f ca="1">IF(UPPER('VVP1'!$F$2)="Y",-(OFFSET('VVP1'!$M15,0,5*(COLUMN()-8))-OFFSET('VVP1'!$J15,0,5*(COLUMN()-8)))/OFFSET('VVP1'!$J$17,0,5*(COLUMN()-8))*100,-(AE105-AD105)/AD$125*100)</f>
        <v>-4.224705296100157</v>
      </c>
    </row>
    <row r="143" spans="1:94">
      <c r="A143" s="664"/>
      <c r="C143" s="1484"/>
      <c r="D143" s="1965"/>
      <c r="E143" s="1485" t="s">
        <v>572</v>
      </c>
      <c r="F143" s="1522" t="s">
        <v>573</v>
      </c>
      <c r="G143" s="1525"/>
      <c r="H143" s="1525">
        <f ca="1">+H140+H142</f>
        <v>-3.9929963200438117</v>
      </c>
      <c r="I143" s="1525">
        <f t="shared" ref="I143:S143" ca="1" si="154">+I140+I142</f>
        <v>-4.8903316392781067</v>
      </c>
      <c r="J143" s="1525">
        <f t="shared" ca="1" si="154"/>
        <v>-1.2846298649933372</v>
      </c>
      <c r="K143" s="1525">
        <f t="shared" ca="1" si="154"/>
        <v>-0.16479945009426533</v>
      </c>
      <c r="L143" s="1525">
        <f t="shared" ca="1" si="154"/>
        <v>0.98813670852557944</v>
      </c>
      <c r="M143" s="1525">
        <f t="shared" ca="1" si="154"/>
        <v>0.31356723750312554</v>
      </c>
      <c r="N143" s="1525">
        <f t="shared" ca="1" si="154"/>
        <v>-1.0028591508477582</v>
      </c>
      <c r="O143" s="1525">
        <f t="shared" ca="1" si="154"/>
        <v>-0.70626487928601067</v>
      </c>
      <c r="P143" s="1525">
        <f t="shared" ca="1" si="154"/>
        <v>-6.0222896651133118</v>
      </c>
      <c r="Q143" s="1525">
        <f t="shared" ca="1" si="154"/>
        <v>-1.3367173374775394</v>
      </c>
      <c r="R143" s="1525">
        <f t="shared" ca="1" si="154"/>
        <v>-1.9003426121930378</v>
      </c>
      <c r="S143" s="1525">
        <f t="shared" ca="1" si="154"/>
        <v>-5.3555608155231482</v>
      </c>
      <c r="T143" s="1525">
        <f t="shared" ref="T143:Y143" ca="1" si="155">+T140+T142</f>
        <v>-0.93504905886918976</v>
      </c>
      <c r="U143" s="1525">
        <f t="shared" ca="1" si="155"/>
        <v>11.929441738800488</v>
      </c>
      <c r="V143" s="1525">
        <f t="shared" ca="1" si="155"/>
        <v>-0.17303240912572626</v>
      </c>
      <c r="W143" s="1525">
        <f t="shared" ca="1" si="155"/>
        <v>-2.1978288590631223E-2</v>
      </c>
      <c r="X143" s="1525">
        <f ca="1">+X140+X142</f>
        <v>4.1379763532346994</v>
      </c>
      <c r="Y143" s="1525">
        <f t="shared" ca="1" si="155"/>
        <v>0.68814118466482288</v>
      </c>
      <c r="Z143" s="1525">
        <f t="shared" ref="Z143:AE143" ca="1" si="156">+Z140+Z142</f>
        <v>0.18357248352468503</v>
      </c>
      <c r="AA143" s="1525">
        <f t="shared" ca="1" si="156"/>
        <v>-5.1941064773000667</v>
      </c>
      <c r="AB143" s="1525">
        <f t="shared" ca="1" si="156"/>
        <v>-7.2409767409844061E-2</v>
      </c>
      <c r="AC143" s="1525">
        <f t="shared" ca="1" si="156"/>
        <v>0.48291307129316152</v>
      </c>
      <c r="AD143" s="1525">
        <f t="shared" ca="1" si="156"/>
        <v>-0.6701469013240331</v>
      </c>
      <c r="AE143" s="1525">
        <f t="shared" ca="1" si="156"/>
        <v>-0.54644575663132589</v>
      </c>
    </row>
    <row r="144" spans="1:94">
      <c r="A144" s="664"/>
      <c r="C144" s="546"/>
      <c r="D144" s="1966"/>
      <c r="E144" s="45" t="s">
        <v>1166</v>
      </c>
      <c r="F144" s="1476" t="s">
        <v>787</v>
      </c>
      <c r="G144" s="1524"/>
      <c r="H144" s="1524">
        <f ca="1">IF(UPPER('VVP1'!$F$2)="Y",(OFFSET('VVP1'!$M17,0,5*(COLUMN()-8))-OFFSET('VVP1'!$J17,0,5*(COLUMN()-8)))/OFFSET('VVP1'!$J$17,0,5*(COLUMN()-8))*100,(H125-G125)/G$125*100)</f>
        <v>5.2391782869028507</v>
      </c>
      <c r="I144" s="1524">
        <f ca="1">IF(UPPER('VVP1'!$F$2)="Y",(OFFSET('VVP1'!$M17,0,5*(COLUMN()-8))-OFFSET('VVP1'!$J17,0,5*(COLUMN()-8)))/OFFSET('VVP1'!$J$17,0,5*(COLUMN()-8))*100,(I125-H125)/H$125*100)</f>
        <v>8.1402408090708889</v>
      </c>
      <c r="J144" s="1524">
        <f ca="1">IF(UPPER('VVP1'!$F$2)="Y",(OFFSET('VVP1'!$M17,0,5*(COLUMN()-8))-OFFSET('VVP1'!$J17,0,5*(COLUMN()-8)))/OFFSET('VVP1'!$J$17,0,5*(COLUMN()-8))*100,(J125-I125)/I$125*100)</f>
        <v>7.6233287300721679</v>
      </c>
      <c r="K144" s="1524">
        <f ca="1">IF(UPPER('VVP1'!$F$2)="Y",(OFFSET('VVP1'!$M17,0,5*(COLUMN()-8))-OFFSET('VVP1'!$J17,0,5*(COLUMN()-8)))/OFFSET('VVP1'!$J$17,0,5*(COLUMN()-8))*100,(K125-J125)/J$125*100)</f>
        <v>-1.0214983734837328</v>
      </c>
      <c r="L144" s="1524">
        <f ca="1">IF(UPPER('VVP1'!$F$2)="Y",(OFFSET('VVP1'!$M17,0,5*(COLUMN()-8))-OFFSET('VVP1'!$J17,0,5*(COLUMN()-8)))/OFFSET('VVP1'!$J$17,0,5*(COLUMN()-8))*100,(L125-K125)/K$125*100)</f>
        <v>3.6213874204480918</v>
      </c>
      <c r="M144" s="1524">
        <f ca="1">IF(UPPER('VVP1'!$F$2)="Y",(OFFSET('VVP1'!$M17,0,5*(COLUMN()-8))-OFFSET('VVP1'!$J17,0,5*(COLUMN()-8)))/OFFSET('VVP1'!$J$17,0,5*(COLUMN()-8))*100,(M125-L125)/L$125*100)</f>
        <v>6.6996058629840318</v>
      </c>
      <c r="N144" s="1524">
        <f ca="1">IF(UPPER('VVP1'!$F$2)="Y",(OFFSET('VVP1'!$M17,0,5*(COLUMN()-8))-OFFSET('VVP1'!$J17,0,5*(COLUMN()-8)))/OFFSET('VVP1'!$J$17,0,5*(COLUMN()-8))*100,(N125-M125)/M$125*100)</f>
        <v>6.837997500491527</v>
      </c>
      <c r="O144" s="1524">
        <f ca="1">IF(UPPER('VVP1'!$F$2)="Y",(OFFSET('VVP1'!$M17,0,5*(COLUMN()-8))-OFFSET('VVP1'!$J17,0,5*(COLUMN()-8)))/OFFSET('VVP1'!$J$17,0,5*(COLUMN()-8))*100,(O125-N125)/N$125*100)</f>
        <v>10.275887367570672</v>
      </c>
      <c r="P144" s="1524">
        <f ca="1">IF(UPPER('VVP1'!$F$2)="Y",(OFFSET('VVP1'!$M17,0,5*(COLUMN()-8))-OFFSET('VVP1'!$J17,0,5*(COLUMN()-8)))/OFFSET('VVP1'!$J$17,0,5*(COLUMN()-8))*100,(P125-O125)/O$125*100)</f>
        <v>7.4482608885224471</v>
      </c>
      <c r="Q144" s="1524">
        <f ca="1">IF(UPPER('VVP1'!$F$2)="Y",(OFFSET('VVP1'!$M17,0,5*(COLUMN()-8))-OFFSET('VVP1'!$J17,0,5*(COLUMN()-8)))/OFFSET('VVP1'!$J$17,0,5*(COLUMN()-8))*100,(Q125-P125)/P$125*100)</f>
        <v>7.7273873836427835</v>
      </c>
      <c r="R144" s="1524">
        <f ca="1">IF(UPPER('VVP1'!$F$2)="Y",(OFFSET('VVP1'!$M17,0,5*(COLUMN()-8))-OFFSET('VVP1'!$J17,0,5*(COLUMN()-8)))/OFFSET('VVP1'!$J$17,0,5*(COLUMN()-8))*100,(R125-Q125)/Q$125*100)</f>
        <v>7.4064505195753858</v>
      </c>
      <c r="S144" s="1524">
        <f ca="1">IF(UPPER('VVP1'!$F$2)="Y",(OFFSET('VVP1'!$M17,0,5*(COLUMN()-8))-OFFSET('VVP1'!$J17,0,5*(COLUMN()-8)))/OFFSET('VVP1'!$J$17,0,5*(COLUMN()-8))*100,(S125-R125)/R$125*100)</f>
        <v>11.0869627998611</v>
      </c>
      <c r="T144" s="1524">
        <f ca="1">IF(UPPER('VVP1'!$F$2)="Y",(OFFSET('VVP1'!$M17,0,5*(COLUMN()-8))-OFFSET('VVP1'!$J17,0,5*(COLUMN()-8)))/OFFSET('VVP1'!$J$17,0,5*(COLUMN()-8))*100,(T125-S125)/S$125*100)</f>
        <v>2.6280823574654724</v>
      </c>
      <c r="U144" s="1524">
        <f ca="1">IF(UPPER('VVP1'!$F$2)="Y",(OFFSET('VVP1'!$M17,0,5*(COLUMN()-8))-OFFSET('VVP1'!$J17,0,5*(COLUMN()-8)))/OFFSET('VVP1'!$J$17,0,5*(COLUMN()-8))*100,(U125-T125)/T$125*100)</f>
        <v>-14.814172950076221</v>
      </c>
      <c r="V144" s="1524">
        <f ca="1">IF(UPPER('VVP1'!$F$2)="Y",(OFFSET('VVP1'!$M17,0,5*(COLUMN()-8))-OFFSET('VVP1'!$J17,0,5*(COLUMN()-8)))/OFFSET('VVP1'!$J$17,0,5*(COLUMN()-8))*100,(V125-U125)/U$125*100)</f>
        <v>1.639826991162779</v>
      </c>
      <c r="W144" s="1524">
        <f ca="1">IF(UPPER('VVP1'!$F$2)="Y",(OFFSET('VVP1'!$M17,0,5*(COLUMN()-8))-OFFSET('VVP1'!$J17,0,5*(COLUMN()-8)))/OFFSET('VVP1'!$J$17,0,5*(COLUMN()-8))*100,(W125-V125)/V$125*100)</f>
        <v>6.0431373864246751</v>
      </c>
      <c r="X144" s="1524">
        <f ca="1">IF(UPPER('VVP1'!$F$2)="Y",(OFFSET('VVP1'!$M17,0,5*(COLUMN()-8))-OFFSET('VVP1'!$J17,0,5*(COLUMN()-8)))/OFFSET('VVP1'!$J$17,0,5*(COLUMN()-8))*100,(X125-W125)/W$125*100)</f>
        <v>3.8269382239940808</v>
      </c>
      <c r="Y144" s="1524">
        <f ca="1">IF(UPPER('VVP1'!$F$2)="Y",(OFFSET('VVP1'!$M17,0,5*(COLUMN()-8))-OFFSET('VVP1'!$J17,0,5*(COLUMN()-8)))/OFFSET('VVP1'!$J$17,0,5*(COLUMN()-8))*100,(Y125-X125)/X$125*100)</f>
        <v>3.4985772305690102</v>
      </c>
      <c r="Z144" s="1524">
        <f ca="1">IF(UPPER('VVP1'!$F$2)="Y",(OFFSET('VVP1'!$M17,0,5*(COLUMN()-8))-OFFSET('VVP1'!$J17,0,5*(COLUMN()-8)))/OFFSET('VVP1'!$J$17,0,5*(COLUMN()-8))*100,(Z125-Y125)/Y$125*100)</f>
        <v>3.5375855747539444</v>
      </c>
      <c r="AA144" s="1524">
        <f ca="1">IF(UPPER('VVP1'!$F$2)="Y",(OFFSET('VVP1'!$M17,0,5*(COLUMN()-8))-OFFSET('VVP1'!$J17,0,5*(COLUMN()-8)))/OFFSET('VVP1'!$J$17,0,5*(COLUMN()-8))*100,(AA125-Z125)/Z$125*100)</f>
        <v>2.0346676424249104</v>
      </c>
      <c r="AB144" s="1524">
        <f ca="1">IF(UPPER('VVP1'!$F$2)="Y",(OFFSET('VVP1'!$M17,0,5*(COLUMN()-8))-OFFSET('VVP1'!$J17,0,5*(COLUMN()-8)))/OFFSET('VVP1'!$J$17,0,5*(COLUMN()-8))*100,(AB125-AA125)/AA$125*100)</f>
        <v>2.3448829366414214</v>
      </c>
      <c r="AC144" s="1524">
        <f ca="1">IF(UPPER('VVP1'!$F$2)="Y",(OFFSET('VVP1'!$M17,0,5*(COLUMN()-8))-OFFSET('VVP1'!$J17,0,5*(COLUMN()-8)))/OFFSET('VVP1'!$J$17,0,5*(COLUMN()-8))*100,(AC125-AB125)/AB$125*100)</f>
        <v>4.5652110336616962</v>
      </c>
      <c r="AD144" s="1524">
        <f ca="1">IF(UPPER('VVP1'!$F$2)="Y",(OFFSET('VVP1'!$M17,0,5*(COLUMN()-8))-OFFSET('VVP1'!$J17,0,5*(COLUMN()-8)))/OFFSET('VVP1'!$J$17,0,5*(COLUMN()-8))*100,(AD125-AC125)/AC$125*100)</f>
        <v>3.1205873424164392</v>
      </c>
      <c r="AE144" s="1524">
        <f ca="1">IF(UPPER('VVP1'!$F$2)="Y",(OFFSET('VVP1'!$M17,0,5*(COLUMN()-8))-OFFSET('VVP1'!$J17,0,5*(COLUMN()-8)))/OFFSET('VVP1'!$J$17,0,5*(COLUMN()-8))*100,(AE125-AD125)/AD$125*100)</f>
        <v>2.6426635456776859</v>
      </c>
    </row>
    <row r="145" spans="1:31">
      <c r="AB145" s="557"/>
      <c r="AC145" s="557"/>
      <c r="AD145" s="557"/>
      <c r="AE145" s="557"/>
    </row>
    <row r="146" spans="1:31">
      <c r="A146" s="1130"/>
      <c r="D146" s="1477"/>
      <c r="E146" s="1511" t="s">
        <v>1263</v>
      </c>
      <c r="F146" s="1512"/>
      <c r="G146" s="817">
        <f>+InputY!$G$3</f>
        <v>1995</v>
      </c>
      <c r="H146" s="817">
        <f>+G146+1</f>
        <v>1996</v>
      </c>
      <c r="I146" s="817">
        <f t="shared" ref="I146:O146" si="157">+H146+1</f>
        <v>1997</v>
      </c>
      <c r="J146" s="817">
        <f t="shared" si="157"/>
        <v>1998</v>
      </c>
      <c r="K146" s="817">
        <f t="shared" si="157"/>
        <v>1999</v>
      </c>
      <c r="L146" s="817">
        <f t="shared" si="157"/>
        <v>2000</v>
      </c>
      <c r="M146" s="817">
        <f t="shared" si="157"/>
        <v>2001</v>
      </c>
      <c r="N146" s="817">
        <f t="shared" si="157"/>
        <v>2002</v>
      </c>
      <c r="O146" s="817">
        <f t="shared" si="157"/>
        <v>2003</v>
      </c>
      <c r="P146" s="817">
        <f t="shared" ref="P146:U146" si="158">+O146+1</f>
        <v>2004</v>
      </c>
      <c r="Q146" s="817">
        <f t="shared" si="158"/>
        <v>2005</v>
      </c>
      <c r="R146" s="817">
        <f>+Q146+1</f>
        <v>2006</v>
      </c>
      <c r="S146" s="817">
        <f>+R146+1</f>
        <v>2007</v>
      </c>
      <c r="T146" s="817">
        <f t="shared" si="158"/>
        <v>2008</v>
      </c>
      <c r="U146" s="817">
        <f t="shared" si="158"/>
        <v>2009</v>
      </c>
      <c r="V146" s="817">
        <f t="shared" ref="V146:AE146" si="159">+U146+1</f>
        <v>2010</v>
      </c>
      <c r="W146" s="817">
        <f t="shared" si="159"/>
        <v>2011</v>
      </c>
      <c r="X146" s="817">
        <f t="shared" si="159"/>
        <v>2012</v>
      </c>
      <c r="Y146" s="817">
        <f t="shared" si="159"/>
        <v>2013</v>
      </c>
      <c r="Z146" s="817">
        <f t="shared" si="159"/>
        <v>2014</v>
      </c>
      <c r="AA146" s="817">
        <f t="shared" si="159"/>
        <v>2015</v>
      </c>
      <c r="AB146" s="817">
        <f t="shared" si="159"/>
        <v>2016</v>
      </c>
      <c r="AC146" s="817">
        <f t="shared" si="159"/>
        <v>2017</v>
      </c>
      <c r="AD146" s="817">
        <f t="shared" si="159"/>
        <v>2018</v>
      </c>
      <c r="AE146" s="817">
        <f t="shared" si="159"/>
        <v>2019</v>
      </c>
    </row>
    <row r="147" spans="1:31">
      <c r="A147" s="664"/>
      <c r="C147" s="1479"/>
      <c r="D147" s="1963" t="s">
        <v>685</v>
      </c>
      <c r="E147" s="23" t="s">
        <v>821</v>
      </c>
      <c r="F147" s="1494" t="s">
        <v>1017</v>
      </c>
      <c r="G147" s="1967"/>
      <c r="H147" s="1967">
        <f ca="1">(H7-OFFSET('Q1'!$N$23,0,4*(COLUMN()-8)))/H7</f>
        <v>0.22775786195857478</v>
      </c>
      <c r="I147" s="1967">
        <f ca="1">(I7-OFFSET('Q1'!$N$23,0,4*(COLUMN()-8)))/I7</f>
        <v>0.22503898519076915</v>
      </c>
      <c r="J147" s="1967">
        <f ca="1">(J7-OFFSET('Q1'!$N$23,0,4*(COLUMN()-8)))/J7</f>
        <v>0.22514456882185199</v>
      </c>
      <c r="K147" s="1967">
        <f ca="1">(K7-OFFSET('Q1'!$N$23,0,4*(COLUMN()-8)))/K7</f>
        <v>0.22505428881729833</v>
      </c>
      <c r="L147" s="1967">
        <f ca="1">(L7-OFFSET('Q1'!$N$23,0,4*(COLUMN()-8)))/L7</f>
        <v>0.22779805986825252</v>
      </c>
      <c r="M147" s="1967">
        <f ca="1">(M7-OFFSET('Q1'!$N$23,0,4*(COLUMN()-8)))/M7</f>
        <v>0.22516139533309734</v>
      </c>
      <c r="N147" s="1967">
        <f ca="1">(N7-OFFSET('Q1'!$N$23,0,4*(COLUMN()-8)))/N7</f>
        <v>0.22515145773550471</v>
      </c>
      <c r="O147" s="1967">
        <f ca="1">(O7-OFFSET('Q1'!$N$23,0,4*(COLUMN()-8)))/O7</f>
        <v>0.22505771054632684</v>
      </c>
      <c r="P147" s="1967">
        <f ca="1">(P7-OFFSET('Q1'!$N$23,0,4*(COLUMN()-8)))/P7</f>
        <v>0.22750146530321388</v>
      </c>
      <c r="Q147" s="1967">
        <f ca="1">(Q7-OFFSET('Q1'!$N$23,0,4*(COLUMN()-8)))/Q7</f>
        <v>-3.707764648789137E-4</v>
      </c>
      <c r="R147" s="1967">
        <f ca="1">(R7-OFFSET('Q1'!$N$23,0,4*(COLUMN()-8)))/R7</f>
        <v>-3.4089539084489797E-4</v>
      </c>
      <c r="S147" s="1967">
        <f ca="1">(S7-OFFSET('Q1'!$N$23,0,4*(COLUMN()-8)))/S7</f>
        <v>-3.0416324598576565E-4</v>
      </c>
      <c r="T147" s="1967">
        <f ca="1">(T7-OFFSET('Q1'!$N$23,0,4*(COLUMN()-8)))/T7</f>
        <v>1.4821870493348852E-3</v>
      </c>
      <c r="U147" s="1967">
        <f ca="1">(U7-OFFSET('Q1'!$N$23,0,4*(COLUMN()-8)))/U7</f>
        <v>-5.8863540526184492E-4</v>
      </c>
      <c r="V147" s="1967">
        <f ca="1">(V7-OFFSET('Q1'!$N$23,0,4*(COLUMN()-8)))/V7</f>
        <v>-3.822676832235804E-4</v>
      </c>
      <c r="W147" s="1967">
        <f ca="1">(W7-OFFSET('Q1'!$N$23,0,4*(COLUMN()-8)))/W7</f>
        <v>-1.6296579636147889E-3</v>
      </c>
      <c r="X147" s="1967">
        <f ca="1">(X7-OFFSET('Q1'!$N$23,0,4*(COLUMN()-8)))/X7</f>
        <v>3.9107715712538632E-3</v>
      </c>
      <c r="Y147" s="1967">
        <f ca="1">(Y7-OFFSET('Q1'!$N$23,0,4*(COLUMN()-8)))/Y7</f>
        <v>-1.5208259025876803E-3</v>
      </c>
      <c r="Z147" s="1967">
        <f ca="1">(Z7-OFFSET('Q1'!$N$23,0,4*(COLUMN()-8)))/Z7</f>
        <v>-5.4319081721637837E-4</v>
      </c>
      <c r="AA147" s="1967">
        <f ca="1">(AA7-OFFSET('Q1'!$N$23,0,4*(COLUMN()-8)))/AA7</f>
        <v>-8.0882976310222741E-4</v>
      </c>
      <c r="AB147" s="1967">
        <f ca="1">(AB7-OFFSET('Q1'!$N$23,0,4*(COLUMN()-8)))/AB7</f>
        <v>1.7612407379830523E-3</v>
      </c>
      <c r="AC147" s="1967">
        <f ca="1">(AC7-OFFSET('Q1'!$N$23,0,4*(COLUMN()-8)))/AC7</f>
        <v>-4.7878044238649695E-4</v>
      </c>
      <c r="AD147" s="1967">
        <f ca="1">(AD7-OFFSET('Q1'!$N$23,0,4*(COLUMN()-8)))/AD7</f>
        <v>-5.5748852809827201E-4</v>
      </c>
      <c r="AE147" s="1967">
        <f ca="1">(AE7-OFFSET('Q1'!$N$23,0,4*(COLUMN()-8)))/AE7</f>
        <v>-2.1931804007442159E-4</v>
      </c>
    </row>
    <row r="148" spans="1:31">
      <c r="A148" s="664"/>
      <c r="C148" s="1480"/>
      <c r="D148" s="1070" t="s">
        <v>687</v>
      </c>
      <c r="E148" s="1" t="s">
        <v>821</v>
      </c>
      <c r="F148" s="1481" t="s">
        <v>533</v>
      </c>
      <c r="G148" s="1968"/>
      <c r="H148" s="1968">
        <f ca="1">(H13-OFFSET('Q1'!$N$42,0,4*(COLUMN()-8)))/H13</f>
        <v>0.29486140667706051</v>
      </c>
      <c r="I148" s="1968">
        <f ca="1">(I13-OFFSET('Q1'!$N$42,0,4*(COLUMN()-8)))/I13</f>
        <v>0.29676691668794053</v>
      </c>
      <c r="J148" s="1968">
        <f ca="1">(J13-OFFSET('Q1'!$N$42,0,4*(COLUMN()-8)))/J13</f>
        <v>0.29791113844373474</v>
      </c>
      <c r="K148" s="1968">
        <f ca="1">(K13-OFFSET('Q1'!$N$42,0,4*(COLUMN()-8)))/K13</f>
        <v>0.29677070323286336</v>
      </c>
      <c r="L148" s="1968">
        <f ca="1">(L13-OFFSET('Q1'!$N$42,0,4*(COLUMN()-8)))/L13</f>
        <v>0.29493448539042472</v>
      </c>
      <c r="M148" s="1968">
        <f ca="1">(M13-OFFSET('Q1'!$N$42,0,4*(COLUMN()-8)))/M13</f>
        <v>0.29794224438057543</v>
      </c>
      <c r="N148" s="1968">
        <f ca="1">(N13-OFFSET('Q1'!$N$42,0,4*(COLUMN()-8)))/N13</f>
        <v>0.29791938568255089</v>
      </c>
      <c r="O148" s="1968">
        <f ca="1">(O13-OFFSET('Q1'!$N$42,0,4*(COLUMN()-8)))/O13</f>
        <v>0.29676286033354221</v>
      </c>
      <c r="P148" s="1968">
        <f ca="1">(P13-OFFSET('Q1'!$N$42,0,4*(COLUMN()-8)))/P13</f>
        <v>0.29641093001925234</v>
      </c>
      <c r="Q148" s="1968">
        <f ca="1">(Q13-OFFSET('Q1'!$N$42,0,4*(COLUMN()-8)))/Q13</f>
        <v>1.4503626801993648E-4</v>
      </c>
      <c r="R148" s="1968">
        <f ca="1">(R13-OFFSET('Q1'!$N$42,0,4*(COLUMN()-8)))/R13</f>
        <v>1.4029426722549004E-4</v>
      </c>
      <c r="S148" s="1968">
        <f ca="1">(S13-OFFSET('Q1'!$N$42,0,4*(COLUMN()-8)))/S13</f>
        <v>1.4291051907505288E-4</v>
      </c>
      <c r="T148" s="1968">
        <f ca="1">(T13-OFFSET('Q1'!$N$42,0,4*(COLUMN()-8)))/T13</f>
        <v>-5.1017516013837617E-4</v>
      </c>
      <c r="U148" s="1968">
        <f ca="1">(U13-OFFSET('Q1'!$N$42,0,4*(COLUMN()-8)))/U13</f>
        <v>1.409919216853077E-4</v>
      </c>
      <c r="V148" s="1968">
        <f ca="1">(V13-OFFSET('Q1'!$N$42,0,4*(COLUMN()-8)))/V13</f>
        <v>-3.2713925707040983E-4</v>
      </c>
      <c r="W148" s="1968">
        <f ca="1">(W13-OFFSET('Q1'!$N$42,0,4*(COLUMN()-8)))/W13</f>
        <v>1.9481995389244528E-4</v>
      </c>
      <c r="X148" s="1968">
        <f ca="1">(X13-OFFSET('Q1'!$N$42,0,4*(COLUMN()-8)))/X13</f>
        <v>-1.9056676693706429E-4</v>
      </c>
      <c r="Y148" s="1968">
        <f ca="1">(Y13-OFFSET('Q1'!$N$42,0,4*(COLUMN()-8)))/Y13</f>
        <v>1.9627224197694493E-4</v>
      </c>
      <c r="Z148" s="1968">
        <f ca="1">(Z13-OFFSET('Q1'!$N$42,0,4*(COLUMN()-8)))/Z13</f>
        <v>-1.1284174298172878E-4</v>
      </c>
      <c r="AA148" s="1968">
        <f ca="1">(AA13-OFFSET('Q1'!$N$42,0,4*(COLUMN()-8)))/AA13</f>
        <v>2.2531323820896957E-4</v>
      </c>
      <c r="AB148" s="1968">
        <f ca="1">(AB13-OFFSET('Q1'!$N$42,0,4*(COLUMN()-8)))/AB13</f>
        <v>-1.7378006395220201E-5</v>
      </c>
      <c r="AC148" s="1968">
        <f ca="1">(AC13-OFFSET('Q1'!$N$42,0,4*(COLUMN()-8)))/AC13</f>
        <v>-1.0479137068830742E-4</v>
      </c>
      <c r="AD148" s="1968">
        <f ca="1">(AD13-OFFSET('Q1'!$N$42,0,4*(COLUMN()-8)))/AD13</f>
        <v>5.4554561820877698E-8</v>
      </c>
      <c r="AE148" s="1968">
        <f ca="1">(AE13-OFFSET('Q1'!$N$42,0,4*(COLUMN()-8)))/AE13</f>
        <v>1.2430490488684837E-5</v>
      </c>
    </row>
    <row r="149" spans="1:31">
      <c r="A149" s="664"/>
      <c r="C149" s="1480"/>
      <c r="D149" s="1964"/>
      <c r="E149" s="113" t="s">
        <v>376</v>
      </c>
      <c r="F149" s="1513" t="s">
        <v>850</v>
      </c>
      <c r="G149" s="1969"/>
      <c r="H149" s="1969">
        <f ca="1">(H29-OFFSET('Q1'!$N$72,0,4*(COLUMN()-8)))/H29</f>
        <v>0.11422688545170717</v>
      </c>
      <c r="I149" s="1969">
        <f ca="1">(I29-OFFSET('Q1'!$N$72,0,4*(COLUMN()-8)))/I29</f>
        <v>0.11618249734410632</v>
      </c>
      <c r="J149" s="1969">
        <f ca="1">(J29-OFFSET('Q1'!$N$72,0,4*(COLUMN()-8)))/J29</f>
        <v>0.11165064596379408</v>
      </c>
      <c r="K149" s="1969">
        <f ca="1">(K29-OFFSET('Q1'!$N$72,0,4*(COLUMN()-8)))/K29</f>
        <v>0.11664658120775989</v>
      </c>
      <c r="L149" s="1969">
        <f ca="1">(L29-OFFSET('Q1'!$N$72,0,4*(COLUMN()-8)))/L29</f>
        <v>0.11095161994455185</v>
      </c>
      <c r="M149" s="1969">
        <f ca="1">(M29-OFFSET('Q1'!$N$72,0,4*(COLUMN()-8)))/M29</f>
        <v>0.107507636379959</v>
      </c>
      <c r="N149" s="1969">
        <f ca="1">(N29-OFFSET('Q1'!$N$72,0,4*(COLUMN()-8)))/N29</f>
        <v>0.1096782251491729</v>
      </c>
      <c r="O149" s="1969">
        <f ca="1">(O29-OFFSET('Q1'!$N$72,0,4*(COLUMN()-8)))/O29</f>
        <v>0.11605043670082267</v>
      </c>
      <c r="P149" s="1969">
        <f ca="1">(P29-OFFSET('Q1'!$N$72,0,4*(COLUMN()-8)))/P29</f>
        <v>0.12576913115013275</v>
      </c>
      <c r="Q149" s="1969">
        <f ca="1">(Q29-OFFSET('Q1'!$N$72,0,4*(COLUMN()-8)))/Q29</f>
        <v>-4.9194554328663327E-4</v>
      </c>
      <c r="R149" s="1969">
        <f ca="1">(R29-OFFSET('Q1'!$N$72,0,4*(COLUMN()-8)))/R29</f>
        <v>-3.9286071932031618E-4</v>
      </c>
      <c r="S149" s="1969">
        <f ca="1">(S29-OFFSET('Q1'!$N$72,0,4*(COLUMN()-8)))/S29</f>
        <v>-3.3498981177598281E-4</v>
      </c>
      <c r="T149" s="1969">
        <f ca="1">(T29-OFFSET('Q1'!$N$72,0,4*(COLUMN()-8)))/T29</f>
        <v>-3.3962071096033724E-3</v>
      </c>
      <c r="U149" s="1969">
        <f ca="1">(U29-OFFSET('Q1'!$N$72,0,4*(COLUMN()-8)))/U29</f>
        <v>1.9924510153342292E-3</v>
      </c>
      <c r="V149" s="1969">
        <f ca="1">(V29-OFFSET('Q1'!$N$72,0,4*(COLUMN()-8)))/V29</f>
        <v>4.7605949685802533E-3</v>
      </c>
      <c r="W149" s="1969">
        <f ca="1">(W29-OFFSET('Q1'!$N$72,0,4*(COLUMN()-8)))/W29</f>
        <v>-1.4264355488878585E-4</v>
      </c>
      <c r="X149" s="1969">
        <f ca="1">(X29-OFFSET('Q1'!$N$72,0,4*(COLUMN()-8)))/X29</f>
        <v>-1.7194052543160316E-3</v>
      </c>
      <c r="Y149" s="1969">
        <f ca="1">(Y29-OFFSET('Q1'!$N$72,0,4*(COLUMN()-8)))/Y29</f>
        <v>-1.1257495339728263E-4</v>
      </c>
      <c r="Z149" s="1969">
        <f ca="1">(Z29-OFFSET('Q1'!$N$72,0,4*(COLUMN()-8)))/Z29</f>
        <v>1.9192656069481006E-3</v>
      </c>
      <c r="AA149" s="1969">
        <f ca="1">(AA29-OFFSET('Q1'!$N$72,0,4*(COLUMN()-8)))/AA29</f>
        <v>-4.9281902938536723E-5</v>
      </c>
      <c r="AB149" s="1969">
        <f ca="1">(AB29-OFFSET('Q1'!$N$72,0,4*(COLUMN()-8)))/AB29</f>
        <v>-3.6251020310174562E-3</v>
      </c>
      <c r="AC149" s="1969">
        <f ca="1">(AC29-OFFSET('Q1'!$N$72,0,4*(COLUMN()-8)))/AC29</f>
        <v>1.70735561238967E-3</v>
      </c>
      <c r="AD149" s="1969">
        <f ca="1">(AD29-OFFSET('Q1'!$N$72,0,4*(COLUMN()-8)))/AD29</f>
        <v>1.6865526297482657E-3</v>
      </c>
      <c r="AE149" s="1969">
        <f ca="1">(AE29-OFFSET('Q1'!$N$72,0,4*(COLUMN()-8)))/AE29</f>
        <v>1.7726874439810269E-3</v>
      </c>
    </row>
    <row r="150" spans="1:31">
      <c r="A150" s="664"/>
      <c r="C150" s="1480"/>
      <c r="D150" s="1445"/>
      <c r="E150" s="50" t="s">
        <v>1343</v>
      </c>
      <c r="F150" s="30"/>
      <c r="G150" s="1970"/>
      <c r="H150" s="1970">
        <f ca="1">(H54-OFFSET('Q1'!$N$106,0,4*(COLUMN()-8)))/H54</f>
        <v>0.20820917799460198</v>
      </c>
      <c r="I150" s="1970">
        <f ca="1">(I54-OFFSET('Q1'!$N$106,0,4*(COLUMN()-8)))/I54</f>
        <v>0.21209317195264116</v>
      </c>
      <c r="J150" s="1970">
        <f ca="1">(J54-OFFSET('Q1'!$N$106,0,4*(COLUMN()-8)))/J54</f>
        <v>0.21404089117975983</v>
      </c>
      <c r="K150" s="1970">
        <f ca="1">(K54-OFFSET('Q1'!$N$106,0,4*(COLUMN()-8)))/K54</f>
        <v>0.21482497160197145</v>
      </c>
      <c r="L150" s="1970">
        <f ca="1">(L54-OFFSET('Q1'!$N$106,0,4*(COLUMN()-8)))/L54</f>
        <v>0.21578104728764438</v>
      </c>
      <c r="M150" s="1970">
        <f ca="1">(M54-OFFSET('Q1'!$N$106,0,4*(COLUMN()-8)))/M54</f>
        <v>0.21472710750022558</v>
      </c>
      <c r="N150" s="1970">
        <f ca="1">(N54-OFFSET('Q1'!$N$106,0,4*(COLUMN()-8)))/N54</f>
        <v>0.21560270566272757</v>
      </c>
      <c r="O150" s="1970">
        <f ca="1">(O54-OFFSET('Q1'!$N$106,0,4*(COLUMN()-8)))/O54</f>
        <v>0.21720547225945186</v>
      </c>
      <c r="P150" s="1970">
        <f ca="1">(P54-OFFSET('Q1'!$N$106,0,4*(COLUMN()-8)))/P54</f>
        <v>0.22113752358395045</v>
      </c>
      <c r="Q150" s="1970">
        <f ca="1">(Q54-OFFSET('Q1'!$N$106,0,4*(COLUMN()-8)))/Q54</f>
        <v>-3.4393125114527679E-4</v>
      </c>
      <c r="R150" s="1970">
        <f ca="1">(R54-OFFSET('Q1'!$N$106,0,4*(COLUMN()-8)))/R54</f>
        <v>3.8958323337280856E-3</v>
      </c>
      <c r="S150" s="1970">
        <f ca="1">(S54-OFFSET('Q1'!$N$106,0,4*(COLUMN()-8)))/S54</f>
        <v>7.2003496044862666E-3</v>
      </c>
      <c r="T150" s="1970">
        <f ca="1">(T54-OFFSET('Q1'!$N$106,0,4*(COLUMN()-8)))/T54</f>
        <v>4.9389439599532275E-3</v>
      </c>
      <c r="U150" s="1970">
        <f ca="1">(U54-OFFSET('Q1'!$N$106,0,4*(COLUMN()-8)))/U54</f>
        <v>-3.1989499504815323E-4</v>
      </c>
      <c r="V150" s="1970">
        <f ca="1">(V54-OFFSET('Q1'!$N$106,0,4*(COLUMN()-8)))/V54</f>
        <v>4.8945961816504913E-4</v>
      </c>
      <c r="W150" s="1970">
        <f ca="1">(W54-OFFSET('Q1'!$N$106,0,4*(COLUMN()-8)))/W54</f>
        <v>-1.0109065884969927E-3</v>
      </c>
      <c r="X150" s="1970">
        <f ca="1">(X54-OFFSET('Q1'!$N$106,0,4*(COLUMN()-8)))/X54</f>
        <v>2.2842786386671923E-3</v>
      </c>
      <c r="Y150" s="1970">
        <f ca="1">(Y54-OFFSET('Q1'!$N$106,0,4*(COLUMN()-8)))/Y54</f>
        <v>-8.1140535760558616E-4</v>
      </c>
      <c r="Z150" s="1970">
        <f ca="1">(Z54-OFFSET('Q1'!$N$106,0,4*(COLUMN()-8)))/Z54</f>
        <v>3.6845895168561557E-4</v>
      </c>
      <c r="AA150" s="1970">
        <f ca="1">(AA54-OFFSET('Q1'!$N$106,0,4*(COLUMN()-8)))/AA54</f>
        <v>-6.2733692250818596E-5</v>
      </c>
      <c r="AB150" s="1970">
        <f ca="1">(AB54-OFFSET('Q1'!$N$106,0,4*(COLUMN()-8)))/AB54</f>
        <v>5.9786395521393542E-4</v>
      </c>
      <c r="AC150" s="1970">
        <f ca="1">(AC54-OFFSET('Q1'!$N$106,0,4*(COLUMN()-8)))/AC54</f>
        <v>-7.1389600176611809E-5</v>
      </c>
      <c r="AD150" s="1970">
        <f ca="1">(AD54-OFFSET('Q1'!$N$106,0,4*(COLUMN()-8)))/AD54</f>
        <v>-4.0141452055681781E-4</v>
      </c>
      <c r="AE150" s="1970">
        <f ca="1">(AE54-OFFSET('Q1'!$N$106,0,4*(COLUMN()-8)))/AE54</f>
        <v>-3.7376703799222715E-4</v>
      </c>
    </row>
    <row r="151" spans="1:31">
      <c r="A151" s="664"/>
      <c r="C151" s="1480"/>
      <c r="D151" s="1964"/>
      <c r="E151" s="113" t="s">
        <v>1272</v>
      </c>
      <c r="F151" s="1482" t="s">
        <v>1992</v>
      </c>
      <c r="G151" s="1969"/>
      <c r="H151" s="1969">
        <f ca="1">(H64-OFFSET('Q1'!$N$125,0,4*(COLUMN()-8)))/H64</f>
        <v>-115.24134909597653</v>
      </c>
      <c r="I151" s="1969">
        <f ca="1">(I64-OFFSET('Q1'!$N$125,0,4*(COLUMN()-8)))/I64</f>
        <v>-97.657521537826781</v>
      </c>
      <c r="J151" s="1969">
        <f ca="1">(J64-OFFSET('Q1'!$N$125,0,4*(COLUMN()-8)))/J64</f>
        <v>-108.98487196466922</v>
      </c>
      <c r="K151" s="1969">
        <f ca="1">(K64-OFFSET('Q1'!$N$125,0,4*(COLUMN()-8)))/K64</f>
        <v>-108.73999679055804</v>
      </c>
      <c r="L151" s="1969">
        <f ca="1">(L64-OFFSET('Q1'!$N$125,0,4*(COLUMN()-8)))/L64</f>
        <v>-112.02826286803366</v>
      </c>
      <c r="M151" s="1969">
        <f ca="1">(M64-OFFSET('Q1'!$N$125,0,4*(COLUMN()-8)))/M64</f>
        <v>-106.31177287227868</v>
      </c>
      <c r="N151" s="1969">
        <f ca="1">(N64-OFFSET('Q1'!$N$125,0,4*(COLUMN()-8)))/N64</f>
        <v>-109.7430147462501</v>
      </c>
      <c r="O151" s="1969">
        <f ca="1">(O64-OFFSET('Q1'!$N$125,0,4*(COLUMN()-8)))/O64</f>
        <v>-112.98727723167237</v>
      </c>
      <c r="P151" s="1969">
        <f ca="1">(P64-OFFSET('Q1'!$N$125,0,4*(COLUMN()-8)))/P64</f>
        <v>-29.783304861598076</v>
      </c>
      <c r="Q151" s="1969">
        <f ca="1">(Q64-OFFSET('Q1'!$N$125,0,4*(COLUMN()-8)))/Q64</f>
        <v>2.1910515325571547</v>
      </c>
      <c r="R151" s="1969">
        <f ca="1">(R64-OFFSET('Q1'!$N$125,0,4*(COLUMN()-8)))/R64</f>
        <v>-2.370737080270525</v>
      </c>
      <c r="S151" s="1969">
        <f ca="1">(S64-OFFSET('Q1'!$N$125,0,4*(COLUMN()-8)))/S64</f>
        <v>0.69539718060527655</v>
      </c>
      <c r="T151" s="1969">
        <f ca="1">(T64-OFFSET('Q1'!$N$125,0,4*(COLUMN()-8)))/T64</f>
        <v>1.3662365265615604</v>
      </c>
      <c r="U151" s="1969">
        <f ca="1">(U64-OFFSET('Q1'!$N$125,0,4*(COLUMN()-8)))/U64</f>
        <v>1.567907164202357</v>
      </c>
      <c r="V151" s="1969">
        <f ca="1">(V64-OFFSET('Q1'!$N$125,0,4*(COLUMN()-8)))/V64</f>
        <v>-8.6144672838538203E-2</v>
      </c>
      <c r="W151" s="1969">
        <f ca="1">(W64-OFFSET('Q1'!$N$125,0,4*(COLUMN()-8)))/W64</f>
        <v>-2.1847451130701141E-2</v>
      </c>
      <c r="X151" s="1969">
        <f ca="1">(X64-OFFSET('Q1'!$N$125,0,4*(COLUMN()-8)))/X64</f>
        <v>4.7419019139908594</v>
      </c>
      <c r="Y151" s="1969">
        <f ca="1">(Y64-OFFSET('Q1'!$N$125,0,4*(COLUMN()-8)))/Y64</f>
        <v>32.184817669705119</v>
      </c>
      <c r="Z151" s="1969">
        <f ca="1">(Z64-OFFSET('Q1'!$N$125,0,4*(COLUMN()-8)))/Z64</f>
        <v>48.196381416643206</v>
      </c>
      <c r="AA151" s="1969">
        <f ca="1">(AA64-OFFSET('Q1'!$N$125,0,4*(COLUMN()-8)))/AA64</f>
        <v>0.71636476059058518</v>
      </c>
      <c r="AB151" s="1969">
        <f ca="1">(AB64-OFFSET('Q1'!$N$125,0,4*(COLUMN()-8)))/AB64</f>
        <v>2.399500992843504</v>
      </c>
      <c r="AC151" s="1969">
        <f ca="1">(AC64-OFFSET('Q1'!$N$125,0,4*(COLUMN()-8)))/AC64</f>
        <v>3.3358984387316384</v>
      </c>
      <c r="AD151" s="1969">
        <f ca="1">(AD64-OFFSET('Q1'!$N$125,0,4*(COLUMN()-8)))/AD64</f>
        <v>3.3647005954124247</v>
      </c>
      <c r="AE151" s="1969">
        <f ca="1">(AE64-OFFSET('Q1'!$N$125,0,4*(COLUMN()-8)))/AE64</f>
        <v>2.9176012567502965</v>
      </c>
    </row>
    <row r="152" spans="1:31">
      <c r="A152" s="664"/>
      <c r="C152" s="1480"/>
      <c r="D152" s="1445"/>
      <c r="E152" s="50" t="s">
        <v>1071</v>
      </c>
      <c r="F152" s="1483"/>
      <c r="G152" s="1970"/>
      <c r="H152" s="1970">
        <f ca="1">(H72-OFFSET('Q1'!$N$145,0,4*(COLUMN()-8)))/H72</f>
        <v>0.19399270696931567</v>
      </c>
      <c r="I152" s="1970">
        <f ca="1">(I72-OFFSET('Q1'!$N$145,0,4*(COLUMN()-8)))/I72</f>
        <v>0.2064323478122384</v>
      </c>
      <c r="J152" s="1970">
        <f ca="1">(J72-OFFSET('Q1'!$N$145,0,4*(COLUMN()-8)))/J72</f>
        <v>0.21052032594186934</v>
      </c>
      <c r="K152" s="1970">
        <f ca="1">(K72-OFFSET('Q1'!$N$145,0,4*(COLUMN()-8)))/K72</f>
        <v>0.21027390117348005</v>
      </c>
      <c r="L152" s="1970">
        <f ca="1">(L72-OFFSET('Q1'!$N$145,0,4*(COLUMN()-8)))/L72</f>
        <v>0.21072299080008747</v>
      </c>
      <c r="M152" s="1970">
        <f ca="1">(M72-OFFSET('Q1'!$N$145,0,4*(COLUMN()-8)))/M72</f>
        <v>0.21023305945750345</v>
      </c>
      <c r="N152" s="1970">
        <f ca="1">(N72-OFFSET('Q1'!$N$145,0,4*(COLUMN()-8)))/N72</f>
        <v>0.21133231206383007</v>
      </c>
      <c r="O152" s="1970">
        <f ca="1">(O72-OFFSET('Q1'!$N$145,0,4*(COLUMN()-8)))/O72</f>
        <v>0.21286682681024269</v>
      </c>
      <c r="P152" s="1970">
        <f ca="1">(P72-OFFSET('Q1'!$N$145,0,4*(COLUMN()-8)))/P72</f>
        <v>0.21757001487296015</v>
      </c>
      <c r="Q152" s="1970">
        <f ca="1">(Q72-OFFSET('Q1'!$N$145,0,4*(COLUMN()-8)))/Q72</f>
        <v>4.5335770242138779E-3</v>
      </c>
      <c r="R152" s="1970">
        <f ca="1">(R72-OFFSET('Q1'!$N$145,0,4*(COLUMN()-8)))/R72</f>
        <v>7.2906447871213869E-3</v>
      </c>
      <c r="S152" s="1970">
        <f ca="1">(S72-OFFSET('Q1'!$N$145,0,4*(COLUMN()-8)))/S72</f>
        <v>1.5981073932181358E-2</v>
      </c>
      <c r="T152" s="1970">
        <f ca="1">(T72-OFFSET('Q1'!$N$145,0,4*(COLUMN()-8)))/T72</f>
        <v>1.6783130560273741E-2</v>
      </c>
      <c r="U152" s="1970">
        <f ca="1">(U72-OFFSET('Q1'!$N$145,0,4*(COLUMN()-8)))/U72</f>
        <v>3.2331465869618664E-3</v>
      </c>
      <c r="V152" s="1970">
        <f ca="1">(V72-OFFSET('Q1'!$N$145,0,4*(COLUMN()-8)))/V72</f>
        <v>-4.7734335135642174E-4</v>
      </c>
      <c r="W152" s="1970">
        <f ca="1">(W72-OFFSET('Q1'!$N$145,0,4*(COLUMN()-8)))/W72</f>
        <v>-1.1905950264727452E-3</v>
      </c>
      <c r="X152" s="1970">
        <f ca="1">(X72-OFFSET('Q1'!$N$145,0,4*(COLUMN()-8)))/X72</f>
        <v>3.0589721834904936E-4</v>
      </c>
      <c r="Y152" s="1970">
        <f ca="1">(Y72-OFFSET('Q1'!$N$145,0,4*(COLUMN()-8)))/Y72</f>
        <v>-3.905537577081388E-3</v>
      </c>
      <c r="Z152" s="1970">
        <f ca="1">(Z72-OFFSET('Q1'!$N$145,0,4*(COLUMN()-8)))/Z72</f>
        <v>-2.6300369474825816E-3</v>
      </c>
      <c r="AA152" s="1970">
        <f ca="1">(AA72-OFFSET('Q1'!$N$145,0,4*(COLUMN()-8)))/AA72</f>
        <v>2.2221111615241033E-3</v>
      </c>
      <c r="AB152" s="1970">
        <f ca="1">(AB72-OFFSET('Q1'!$N$145,0,4*(COLUMN()-8)))/AB72</f>
        <v>3.1110289614197833E-3</v>
      </c>
      <c r="AC152" s="1970">
        <f ca="1">(AC72-OFFSET('Q1'!$N$145,0,4*(COLUMN()-8)))/AC72</f>
        <v>8.477995533846797E-3</v>
      </c>
      <c r="AD152" s="1970">
        <f ca="1">(AD72-OFFSET('Q1'!$N$145,0,4*(COLUMN()-8)))/AD72</f>
        <v>8.4864671505039246E-3</v>
      </c>
      <c r="AE152" s="1970">
        <f ca="1">(AE72-OFFSET('Q1'!$N$145,0,4*(COLUMN()-8)))/AE72</f>
        <v>6.988123632073755E-3</v>
      </c>
    </row>
    <row r="153" spans="1:31">
      <c r="A153" s="664"/>
      <c r="C153" s="1480"/>
      <c r="D153" s="1964"/>
      <c r="E153" s="113" t="s">
        <v>1358</v>
      </c>
      <c r="F153" s="1482" t="s">
        <v>1590</v>
      </c>
      <c r="G153" s="1969"/>
      <c r="H153" s="1969">
        <f ca="1">(H83-OFFSET('Q1'!$N$172,0,4*(COLUMN()-8)))/H83</f>
        <v>7.1990198335925945E-2</v>
      </c>
      <c r="I153" s="1969">
        <f ca="1">(I83-OFFSET('Q1'!$N$172,0,4*(COLUMN()-8)))/I83</f>
        <v>7.9500319560159571E-2</v>
      </c>
      <c r="J153" s="1969">
        <f ca="1">(J83-OFFSET('Q1'!$N$172,0,4*(COLUMN()-8)))/J83</f>
        <v>7.3863686532948725E-2</v>
      </c>
      <c r="K153" s="1969">
        <f ca="1">(K83-OFFSET('Q1'!$N$172,0,4*(COLUMN()-8)))/K83</f>
        <v>7.8557030155321242E-2</v>
      </c>
      <c r="L153" s="1969">
        <f ca="1">(L83-OFFSET('Q1'!$N$172,0,4*(COLUMN()-8)))/L83</f>
        <v>7.0581848768692931E-2</v>
      </c>
      <c r="M153" s="1969">
        <f ca="1">(M83-OFFSET('Q1'!$N$172,0,4*(COLUMN()-8)))/M83</f>
        <v>7.3166918443611492E-2</v>
      </c>
      <c r="N153" s="1969">
        <f ca="1">(N83-OFFSET('Q1'!$N$172,0,4*(COLUMN()-8)))/N83</f>
        <v>7.4909354143793794E-2</v>
      </c>
      <c r="O153" s="1969">
        <f ca="1">(O83-OFFSET('Q1'!$N$172,0,4*(COLUMN()-8)))/O83</f>
        <v>7.8774772182494651E-2</v>
      </c>
      <c r="P153" s="1969">
        <f ca="1">(P83-OFFSET('Q1'!$N$172,0,4*(COLUMN()-8)))/P83</f>
        <v>7.9118003714414964E-2</v>
      </c>
      <c r="Q153" s="1969">
        <f ca="1">(Q83-OFFSET('Q1'!$N$172,0,4*(COLUMN()-8)))/Q83</f>
        <v>4.1469437771555698E-4</v>
      </c>
      <c r="R153" s="1969">
        <f ca="1">(R83-OFFSET('Q1'!$N$172,0,4*(COLUMN()-8)))/R83</f>
        <v>3.6549101495733931E-4</v>
      </c>
      <c r="S153" s="1969">
        <f ca="1">(S83-OFFSET('Q1'!$N$172,0,4*(COLUMN()-8)))/S83</f>
        <v>3.5424492790050012E-4</v>
      </c>
      <c r="T153" s="1969">
        <f ca="1">(T83-OFFSET('Q1'!$N$172,0,4*(COLUMN()-8)))/T83</f>
        <v>-1.0909004403251812E-3</v>
      </c>
      <c r="U153" s="1969">
        <f ca="1">(U83-OFFSET('Q1'!$N$172,0,4*(COLUMN()-8)))/U83</f>
        <v>3.5655625113261948E-4</v>
      </c>
      <c r="V153" s="1969">
        <f ca="1">(V83-OFFSET('Q1'!$N$172,0,4*(COLUMN()-8)))/V83</f>
        <v>-7.4915856170288807E-4</v>
      </c>
      <c r="W153" s="1969">
        <f ca="1">(W83-OFFSET('Q1'!$N$172,0,4*(COLUMN()-8)))/W83</f>
        <v>1.9493712331478019E-4</v>
      </c>
      <c r="X153" s="1969">
        <f ca="1">(X83-OFFSET('Q1'!$N$172,0,4*(COLUMN()-8)))/X83</f>
        <v>2.1049662467865424E-6</v>
      </c>
      <c r="Y153" s="1969">
        <f ca="1">(Y83-OFFSET('Q1'!$N$172,0,4*(COLUMN()-8)))/Y83</f>
        <v>1.6401370664084576E-4</v>
      </c>
      <c r="Z153" s="1969">
        <f ca="1">(Z83-OFFSET('Q1'!$N$172,0,4*(COLUMN()-8)))/Z83</f>
        <v>-3.7590399716198772E-4</v>
      </c>
      <c r="AA153" s="1969">
        <f ca="1">(AA83-OFFSET('Q1'!$N$172,0,4*(COLUMN()-8)))/AA83</f>
        <v>4.9831140216938642E-4</v>
      </c>
      <c r="AB153" s="1969">
        <f ca="1">(AB83-OFFSET('Q1'!$N$172,0,4*(COLUMN()-8)))/AB83</f>
        <v>2.4011574514885842E-4</v>
      </c>
      <c r="AC153" s="1969">
        <f ca="1">(AC83-OFFSET('Q1'!$N$172,0,4*(COLUMN()-8)))/AC83</f>
        <v>-3.2458356500845217E-4</v>
      </c>
      <c r="AD153" s="1969">
        <f ca="1">(AD83-OFFSET('Q1'!$N$172,0,4*(COLUMN()-8)))/AD83</f>
        <v>-3.5320868113251859E-4</v>
      </c>
      <c r="AE153" s="1969">
        <f ca="1">(AE83-OFFSET('Q1'!$N$172,0,4*(COLUMN()-8)))/AE83</f>
        <v>-2.8413597580630553E-4</v>
      </c>
    </row>
    <row r="154" spans="1:31">
      <c r="A154" s="664"/>
      <c r="C154" s="1480"/>
      <c r="D154" s="1445"/>
      <c r="E154" s="50" t="s">
        <v>1359</v>
      </c>
      <c r="F154" s="1483"/>
      <c r="G154" s="1970"/>
      <c r="H154" s="1970">
        <f ca="1">(H94-OFFSET('Q1'!$N$202,0,4*(COLUMN()-8)))/H94</f>
        <v>0.15786711120715491</v>
      </c>
      <c r="I154" s="1970">
        <f ca="1">(I94-OFFSET('Q1'!$N$202,0,4*(COLUMN()-8)))/I94</f>
        <v>0.16715035224374636</v>
      </c>
      <c r="J154" s="1970">
        <f ca="1">(J94-OFFSET('Q1'!$N$202,0,4*(COLUMN()-8)))/J94</f>
        <v>0.1686009540638882</v>
      </c>
      <c r="K154" s="1970">
        <f ca="1">(K94-OFFSET('Q1'!$N$202,0,4*(COLUMN()-8)))/K94</f>
        <v>0.17440177795413664</v>
      </c>
      <c r="L154" s="1970">
        <f ca="1">(L94-OFFSET('Q1'!$N$202,0,4*(COLUMN()-8)))/L94</f>
        <v>0.17146419361654139</v>
      </c>
      <c r="M154" s="1970">
        <f ca="1">(M94-OFFSET('Q1'!$N$202,0,4*(COLUMN()-8)))/M94</f>
        <v>0.16960094219349142</v>
      </c>
      <c r="N154" s="1970">
        <f ca="1">(N94-OFFSET('Q1'!$N$202,0,4*(COLUMN()-8)))/N94</f>
        <v>0.16947085935930692</v>
      </c>
      <c r="O154" s="1970">
        <f ca="1">(O94-OFFSET('Q1'!$N$202,0,4*(COLUMN()-8)))/O94</f>
        <v>0.17140058975516798</v>
      </c>
      <c r="P154" s="1970">
        <f ca="1">(P94-OFFSET('Q1'!$N$202,0,4*(COLUMN()-8)))/P94</f>
        <v>0.17671452779437433</v>
      </c>
      <c r="Q154" s="1970">
        <f ca="1">(Q94-OFFSET('Q1'!$N$202,0,4*(COLUMN()-8)))/Q94</f>
        <v>0.14728800784460552</v>
      </c>
      <c r="R154" s="1970">
        <f ca="1">(R94-OFFSET('Q1'!$N$202,0,4*(COLUMN()-8)))/R94</f>
        <v>2.8722569942244598E-3</v>
      </c>
      <c r="S154" s="1970">
        <f ca="1">(S94-OFFSET('Q1'!$N$202,0,4*(COLUMN()-8)))/S94</f>
        <v>1.7289302628854728E-3</v>
      </c>
      <c r="T154" s="1970">
        <f ca="1">(T94-OFFSET('Q1'!$N$202,0,4*(COLUMN()-8)))/T94</f>
        <v>4.3577580225335156E-3</v>
      </c>
      <c r="U154" s="1970">
        <f ca="1">(U94-OFFSET('Q1'!$N$202,0,4*(COLUMN()-8)))/U94</f>
        <v>2.2738041493480512E-3</v>
      </c>
      <c r="V154" s="1970">
        <f ca="1">(V94-OFFSET('Q1'!$N$202,0,4*(COLUMN()-8)))/V94</f>
        <v>-1.3474083991655917E-3</v>
      </c>
      <c r="W154" s="1970">
        <f ca="1">(W94-OFFSET('Q1'!$N$202,0,4*(COLUMN()-8)))/W94</f>
        <v>-1.1383803474688905E-3</v>
      </c>
      <c r="X154" s="1970">
        <f ca="1">(X94-OFFSET('Q1'!$N$202,0,4*(COLUMN()-8)))/X94</f>
        <v>2.6992337123493445E-3</v>
      </c>
      <c r="Y154" s="1970">
        <f ca="1">(Y94-OFFSET('Q1'!$N$202,0,4*(COLUMN()-8)))/Y94</f>
        <v>1.0106220719458981E-3</v>
      </c>
      <c r="Z154" s="1970">
        <f ca="1">(Z94-OFFSET('Q1'!$N$202,0,4*(COLUMN()-8)))/Z94</f>
        <v>1.0341808860204916E-3</v>
      </c>
      <c r="AA154" s="1970">
        <f ca="1">(AA94-OFFSET('Q1'!$N$202,0,4*(COLUMN()-8)))/AA94</f>
        <v>1.4691085432735852E-3</v>
      </c>
      <c r="AB154" s="1970">
        <f ca="1">(AB94-OFFSET('Q1'!$N$202,0,4*(COLUMN()-8)))/AB94</f>
        <v>3.630381903840432E-3</v>
      </c>
      <c r="AC154" s="1970">
        <f ca="1">(AC94-OFFSET('Q1'!$N$202,0,4*(COLUMN()-8)))/AC94</f>
        <v>2.5332665325073509E-4</v>
      </c>
      <c r="AD154" s="1970">
        <f ca="1">(AD94-OFFSET('Q1'!$N$202,0,4*(COLUMN()-8)))/AD94</f>
        <v>1.5882624728104093E-3</v>
      </c>
      <c r="AE154" s="1970">
        <f ca="1">(AE94-OFFSET('Q1'!$N$202,0,4*(COLUMN()-8)))/AE94</f>
        <v>6.9792972261739628E-4</v>
      </c>
    </row>
    <row r="155" spans="1:31">
      <c r="A155" s="664"/>
      <c r="C155" s="1484"/>
      <c r="D155" s="1964"/>
      <c r="E155" s="113" t="s">
        <v>1455</v>
      </c>
      <c r="F155" s="1482" t="s">
        <v>1591</v>
      </c>
      <c r="G155" s="1969"/>
      <c r="H155" s="1969">
        <f ca="1">(H105-OFFSET('Q1'!$N$229,0,4*(COLUMN()-8)))/H105</f>
        <v>0.10918660991918898</v>
      </c>
      <c r="I155" s="1969">
        <f ca="1">(I105-OFFSET('Q1'!$N$229,0,4*(COLUMN()-8)))/I105</f>
        <v>0.10433576691160071</v>
      </c>
      <c r="J155" s="1969">
        <f ca="1">(J105-OFFSET('Q1'!$N$229,0,4*(COLUMN()-8)))/J105</f>
        <v>0.10068067018258207</v>
      </c>
      <c r="K155" s="1969">
        <f ca="1">(K105-OFFSET('Q1'!$N$229,0,4*(COLUMN()-8)))/K105</f>
        <v>0.1045132645280185</v>
      </c>
      <c r="L155" s="1969">
        <f ca="1">(L105-OFFSET('Q1'!$N$229,0,4*(COLUMN()-8)))/L105</f>
        <v>0.10828237557570093</v>
      </c>
      <c r="M155" s="1969">
        <f ca="1">(M105-OFFSET('Q1'!$N$229,0,4*(COLUMN()-8)))/M105</f>
        <v>0.10008927064315597</v>
      </c>
      <c r="N155" s="1969">
        <f ca="1">(N105-OFFSET('Q1'!$N$229,0,4*(COLUMN()-8)))/N105</f>
        <v>0.10041941049486415</v>
      </c>
      <c r="O155" s="1969">
        <f ca="1">(O105-OFFSET('Q1'!$N$229,0,4*(COLUMN()-8)))/O105</f>
        <v>0.1045131858163424</v>
      </c>
      <c r="P155" s="1969">
        <f ca="1">(P105-OFFSET('Q1'!$N$229,0,4*(COLUMN()-8)))/P105</f>
        <v>0.11586490311468611</v>
      </c>
      <c r="Q155" s="1969">
        <f ca="1">(Q105-OFFSET('Q1'!$N$229,0,4*(COLUMN()-8)))/Q105</f>
        <v>-3.5334550877565984E-3</v>
      </c>
      <c r="R155" s="1969">
        <f ca="1">(R105-OFFSET('Q1'!$N$229,0,4*(COLUMN()-8)))/R105</f>
        <v>-3.0936327096267196E-3</v>
      </c>
      <c r="S155" s="1969">
        <f ca="1">(S105-OFFSET('Q1'!$N$229,0,4*(COLUMN()-8)))/S105</f>
        <v>-2.7913546363656579E-3</v>
      </c>
      <c r="T155" s="1969">
        <f ca="1">(T105-OFFSET('Q1'!$N$229,0,4*(COLUMN()-8)))/T105</f>
        <v>7.4525530164426049E-3</v>
      </c>
      <c r="U155" s="1969">
        <f ca="1">(U105-OFFSET('Q1'!$N$229,0,4*(COLUMN()-8)))/U105</f>
        <v>-3.4549331216912381E-3</v>
      </c>
      <c r="V155" s="1969">
        <f ca="1">(V105-OFFSET('Q1'!$N$229,0,4*(COLUMN()-8)))/V105</f>
        <v>-3.0313018674540063E-3</v>
      </c>
      <c r="W155" s="1969">
        <f ca="1">(W105-OFFSET('Q1'!$N$229,0,4*(COLUMN()-8)))/W105</f>
        <v>-5.6171970874201579E-3</v>
      </c>
      <c r="X155" s="1969">
        <f ca="1">(X105-OFFSET('Q1'!$N$229,0,4*(COLUMN()-8)))/X105</f>
        <v>1.3159546080482301E-2</v>
      </c>
      <c r="Y155" s="1969">
        <f ca="1">(Y105-OFFSET('Q1'!$N$229,0,4*(COLUMN()-8)))/Y105</f>
        <v>-4.8316574703088097E-3</v>
      </c>
      <c r="Z155" s="1969">
        <f ca="1">(Z105-OFFSET('Q1'!$N$229,0,4*(COLUMN()-8)))/Z105</f>
        <v>-1.5473051422696651E-3</v>
      </c>
      <c r="AA155" s="1969">
        <f ca="1">(AA105-OFFSET('Q1'!$N$229,0,4*(COLUMN()-8)))/AA105</f>
        <v>-2.7951113806242841E-3</v>
      </c>
      <c r="AB155" s="1969">
        <f ca="1">(AB105-OFFSET('Q1'!$N$229,0,4*(COLUMN()-8)))/AB105</f>
        <v>5.5214981525025797E-3</v>
      </c>
      <c r="AC155" s="1969">
        <f ca="1">(AC105-OFFSET('Q1'!$N$229,0,4*(COLUMN()-8)))/AC105</f>
        <v>-1.2512073189114834E-3</v>
      </c>
      <c r="AD155" s="1969">
        <f ca="1">(AD105-OFFSET('Q1'!$N$229,0,4*(COLUMN()-8)))/AD105</f>
        <v>-1.2306259929263695E-3</v>
      </c>
      <c r="AE155" s="1969">
        <f ca="1">(AE105-OFFSET('Q1'!$N$229,0,4*(COLUMN()-8)))/AE105</f>
        <v>-1.3996737502090838E-3</v>
      </c>
    </row>
    <row r="156" spans="1:31">
      <c r="A156" s="664"/>
      <c r="C156" s="546"/>
      <c r="D156" s="1966"/>
      <c r="E156" s="45" t="s">
        <v>1166</v>
      </c>
      <c r="F156" s="1476" t="s">
        <v>787</v>
      </c>
      <c r="G156" s="1970"/>
      <c r="H156" s="1970">
        <f ca="1">(H125-OFFSET('Q1'!$N$259,0,4*(COLUMN()-8)))/H125</f>
        <v>0.20738971145669885</v>
      </c>
      <c r="I156" s="1970">
        <f ca="1">(I125-OFFSET('Q1'!$N$259,0,4*(COLUMN()-8)))/I125</f>
        <v>0.20692289258344915</v>
      </c>
      <c r="J156" s="1970">
        <f ca="1">(J125-OFFSET('Q1'!$N$259,0,4*(COLUMN()-8)))/J125</f>
        <v>0.20623561655638742</v>
      </c>
      <c r="K156" s="1970">
        <f ca="1">(K125-OFFSET('Q1'!$N$259,0,4*(COLUMN()-8)))/K125</f>
        <v>0.20687621141472703</v>
      </c>
      <c r="L156" s="1970">
        <f ca="1">(L125-OFFSET('Q1'!$N$259,0,4*(COLUMN()-8)))/L125</f>
        <v>0.20710988841052402</v>
      </c>
      <c r="M156" s="1970">
        <f ca="1">(M125-OFFSET('Q1'!$N$259,0,4*(COLUMN()-8)))/M125</f>
        <v>0.20590015590682556</v>
      </c>
      <c r="N156" s="1970">
        <f ca="1">(N125-OFFSET('Q1'!$N$259,0,4*(COLUMN()-8)))/N125</f>
        <v>0.20608974318153933</v>
      </c>
      <c r="O156" s="1970">
        <f ca="1">(O125-OFFSET('Q1'!$N$259,0,4*(COLUMN()-8)))/O125</f>
        <v>0.20684561786894018</v>
      </c>
      <c r="P156" s="1970">
        <f ca="1">(P125-OFFSET('Q1'!$N$259,0,4*(COLUMN()-8)))/P125</f>
        <v>0.2094089042684214</v>
      </c>
      <c r="Q156" s="1970">
        <f ca="1">(Q125-OFFSET('Q1'!$N$259,0,4*(COLUMN()-8)))/Q125</f>
        <v>-5.5568143604128027E-4</v>
      </c>
      <c r="R156" s="1970">
        <f ca="1">(R125-OFFSET('Q1'!$N$259,0,4*(COLUMN()-8)))/R125</f>
        <v>-8.8469457258197489E-4</v>
      </c>
      <c r="S156" s="1970">
        <f ca="1">(S125-OFFSET('Q1'!$N$259,0,4*(COLUMN()-8)))/S125</f>
        <v>-7.6057296285180593E-4</v>
      </c>
      <c r="T156" s="1970">
        <f ca="1">(T125-OFFSET('Q1'!$N$259,0,4*(COLUMN()-8)))/T125</f>
        <v>-1.1071651875634032E-3</v>
      </c>
      <c r="U156" s="1970">
        <f ca="1">(U125-OFFSET('Q1'!$N$259,0,4*(COLUMN()-8)))/U125</f>
        <v>2.9627781502920315E-4</v>
      </c>
      <c r="V156" s="1970">
        <f ca="1">(V125-OFFSET('Q1'!$N$259,0,4*(COLUMN()-8)))/V125</f>
        <v>-1.3343960930025983E-4</v>
      </c>
      <c r="W156" s="1970">
        <f ca="1">(W125-OFFSET('Q1'!$N$259,0,4*(COLUMN()-8)))/W125</f>
        <v>2.7253081196274234E-5</v>
      </c>
      <c r="X156" s="1970">
        <f ca="1">(X125-OFFSET('Q1'!$N$259,0,4*(COLUMN()-8)))/X125</f>
        <v>9.1707948745932492E-5</v>
      </c>
      <c r="Y156" s="1970">
        <f ca="1">(Y125-OFFSET('Q1'!$N$259,0,4*(COLUMN()-8)))/Y125</f>
        <v>1.4089600465918904E-5</v>
      </c>
      <c r="Z156" s="1970">
        <f ca="1">(Z125-OFFSET('Q1'!$N$259,0,4*(COLUMN()-8)))/Z125</f>
        <v>-6.3504927679942976E-5</v>
      </c>
      <c r="AA156" s="1970">
        <f ca="1">(AA125-OFFSET('Q1'!$N$259,0,4*(COLUMN()-8)))/AA125</f>
        <v>6.8166063200002746E-6</v>
      </c>
      <c r="AB156" s="1970">
        <f ca="1">(AB125-OFFSET('Q1'!$N$259,0,4*(COLUMN()-8)))/AB125</f>
        <v>8.4558465808148332E-5</v>
      </c>
      <c r="AC156" s="1970">
        <f ca="1">(AC125-OFFSET('Q1'!$N$259,0,4*(COLUMN()-8)))/AC125</f>
        <v>-3.5141993175816431E-5</v>
      </c>
      <c r="AD156" s="1970">
        <f ca="1">(AD125-OFFSET('Q1'!$N$259,0,4*(COLUMN()-8)))/AD125</f>
        <v>-2.9446107689074582E-5</v>
      </c>
      <c r="AE156" s="1970">
        <f ca="1">(AE125-OFFSET('Q1'!$N$259,0,4*(COLUMN()-8)))/AE125</f>
        <v>-3.2327508665917307E-5</v>
      </c>
    </row>
    <row r="157" spans="1:31">
      <c r="AB157" s="557"/>
      <c r="AC157" s="557"/>
      <c r="AD157" s="557"/>
      <c r="AE157" s="557"/>
    </row>
    <row r="158" spans="1:31">
      <c r="A158" s="1130"/>
      <c r="D158" s="1165"/>
      <c r="E158" s="1166" t="s">
        <v>462</v>
      </c>
      <c r="F158" s="1167"/>
      <c r="G158" s="1168">
        <f>+InputY!$G$3</f>
        <v>1995</v>
      </c>
      <c r="H158" s="1168">
        <f>+G158+1</f>
        <v>1996</v>
      </c>
      <c r="I158" s="1168">
        <f t="shared" ref="I158:O158" si="160">+H158+1</f>
        <v>1997</v>
      </c>
      <c r="J158" s="1168">
        <f t="shared" si="160"/>
        <v>1998</v>
      </c>
      <c r="K158" s="1168">
        <f t="shared" si="160"/>
        <v>1999</v>
      </c>
      <c r="L158" s="1168">
        <f t="shared" si="160"/>
        <v>2000</v>
      </c>
      <c r="M158" s="1168">
        <f t="shared" si="160"/>
        <v>2001</v>
      </c>
      <c r="N158" s="1168">
        <f t="shared" si="160"/>
        <v>2002</v>
      </c>
      <c r="O158" s="1168">
        <f t="shared" si="160"/>
        <v>2003</v>
      </c>
      <c r="P158" s="1168">
        <f t="shared" ref="P158:V158" si="161">+O158+1</f>
        <v>2004</v>
      </c>
      <c r="Q158" s="1168">
        <f t="shared" si="161"/>
        <v>2005</v>
      </c>
      <c r="R158" s="1168">
        <f t="shared" si="161"/>
        <v>2006</v>
      </c>
      <c r="S158" s="1168">
        <f>+R158+1</f>
        <v>2007</v>
      </c>
      <c r="T158" s="1125">
        <f t="shared" si="161"/>
        <v>2008</v>
      </c>
      <c r="U158" s="1125">
        <f t="shared" si="161"/>
        <v>2009</v>
      </c>
      <c r="V158" s="1125">
        <f t="shared" si="161"/>
        <v>2010</v>
      </c>
      <c r="W158" s="1125">
        <f t="shared" ref="W158:AE158" si="162">+V158+1</f>
        <v>2011</v>
      </c>
      <c r="X158" s="1125">
        <f t="shared" si="162"/>
        <v>2012</v>
      </c>
      <c r="Y158" s="1125">
        <f t="shared" si="162"/>
        <v>2013</v>
      </c>
      <c r="Z158" s="1125">
        <f t="shared" si="162"/>
        <v>2014</v>
      </c>
      <c r="AA158" s="1125">
        <f t="shared" si="162"/>
        <v>2015</v>
      </c>
      <c r="AB158" s="1125">
        <f t="shared" si="162"/>
        <v>2016</v>
      </c>
      <c r="AC158" s="1125">
        <f t="shared" si="162"/>
        <v>2017</v>
      </c>
      <c r="AD158" s="1125">
        <f t="shared" si="162"/>
        <v>2018</v>
      </c>
      <c r="AE158" s="1125">
        <f t="shared" si="162"/>
        <v>2019</v>
      </c>
    </row>
    <row r="159" spans="1:31">
      <c r="A159" s="664">
        <f>+ROW(InputY!A53)</f>
        <v>53</v>
      </c>
      <c r="B159" s="665" t="s">
        <v>258</v>
      </c>
      <c r="C159" s="1082"/>
      <c r="D159" s="1086"/>
      <c r="E159" s="1087" t="s">
        <v>461</v>
      </c>
      <c r="F159" s="1086" t="s">
        <v>465</v>
      </c>
      <c r="G159" s="1088">
        <f>+InputY!G53/1000</f>
        <v>13.007718594954577</v>
      </c>
      <c r="H159" s="1088">
        <f>+InputY!H53/1000</f>
        <v>13.68921744656852</v>
      </c>
      <c r="I159" s="1088">
        <f>+InputY!I53/1000</f>
        <v>14.80355275774415</v>
      </c>
      <c r="J159" s="1088">
        <f>+InputY!J53/1000</f>
        <v>15.932074847052366</v>
      </c>
      <c r="K159" s="1088">
        <f>+InputY!K53/1000</f>
        <v>15.76932793178003</v>
      </c>
      <c r="L159" s="1088">
        <f>+InputY!L53/1000</f>
        <v>16.340395653944416</v>
      </c>
      <c r="M159" s="1088">
        <f>+InputY!M53/1000</f>
        <v>17.435136589285346</v>
      </c>
      <c r="N159" s="1088">
        <f>+InputY!N53/1000</f>
        <v>18.627352195151989</v>
      </c>
      <c r="O159" s="1088">
        <f>+InputY!O53/1000</f>
        <v>20.541478464990298</v>
      </c>
      <c r="P159" s="1088">
        <f>+InputY!P53/1000</f>
        <v>22.072500000000002</v>
      </c>
      <c r="Q159" s="1088">
        <f>+InputY!Q53/1000</f>
        <v>23.778130000000001</v>
      </c>
      <c r="R159" s="1088">
        <f>+InputY!R53/1000</f>
        <v>25.539240000000003</v>
      </c>
      <c r="S159" s="1088">
        <f>+InputY!S53/1000</f>
        <v>28.37077</v>
      </c>
      <c r="T159" s="1088">
        <f>+InputY!T53/1000</f>
        <v>29.11637</v>
      </c>
      <c r="U159" s="1088">
        <f>+InputY!U53/1000</f>
        <v>24.80303</v>
      </c>
      <c r="V159" s="1088">
        <f>+InputY!V53/1000</f>
        <v>25.20975</v>
      </c>
      <c r="W159" s="1088">
        <f>+InputY!W53/1000</f>
        <v>26.73321</v>
      </c>
      <c r="X159" s="1088">
        <f>+InputY!X53/1000</f>
        <v>27.75628</v>
      </c>
      <c r="Y159" s="1088">
        <f>+InputY!Y53/1000</f>
        <v>28.727349999999998</v>
      </c>
      <c r="Z159" s="1088">
        <f>+InputY!Z53/1000</f>
        <v>29.74361</v>
      </c>
      <c r="AA159" s="1088">
        <f>+InputY!AA53/1000</f>
        <v>30.348790000000001</v>
      </c>
      <c r="AB159" s="1088">
        <f>+InputY!AB53/1000</f>
        <v>31.06043</v>
      </c>
      <c r="AC159" s="1088">
        <f>+InputY!AC53/1000</f>
        <v>32.24971</v>
      </c>
      <c r="AD159" s="1343">
        <f ca="1">+AC159*(1+AD162/100)</f>
        <v>33.151944645504848</v>
      </c>
      <c r="AE159" s="1343">
        <f ca="1">+AD159*(1+AE162/100)</f>
        <v>34.017908485511633</v>
      </c>
    </row>
    <row r="160" spans="1:31">
      <c r="AB160" s="557"/>
      <c r="AC160" s="557"/>
      <c r="AD160" s="557"/>
      <c r="AE160" s="557"/>
    </row>
    <row r="161" spans="1:94" s="699" customFormat="1" ht="12.75" customHeight="1">
      <c r="A161" s="664"/>
      <c r="B161" s="664"/>
      <c r="C161" s="774"/>
      <c r="D161" s="1092"/>
      <c r="E161" s="1093" t="s">
        <v>462</v>
      </c>
      <c r="F161" s="1094"/>
      <c r="G161" s="896">
        <f>+InputY!$G$3</f>
        <v>1995</v>
      </c>
      <c r="H161" s="896">
        <f>+G161+1</f>
        <v>1996</v>
      </c>
      <c r="I161" s="896">
        <f t="shared" ref="I161:O161" si="163">+H161+1</f>
        <v>1997</v>
      </c>
      <c r="J161" s="896">
        <f t="shared" si="163"/>
        <v>1998</v>
      </c>
      <c r="K161" s="896">
        <f t="shared" si="163"/>
        <v>1999</v>
      </c>
      <c r="L161" s="896">
        <f t="shared" si="163"/>
        <v>2000</v>
      </c>
      <c r="M161" s="896">
        <f t="shared" si="163"/>
        <v>2001</v>
      </c>
      <c r="N161" s="896">
        <f t="shared" si="163"/>
        <v>2002</v>
      </c>
      <c r="O161" s="896">
        <f t="shared" si="163"/>
        <v>2003</v>
      </c>
      <c r="P161" s="896">
        <f t="shared" ref="P161:V161" si="164">+O161+1</f>
        <v>2004</v>
      </c>
      <c r="Q161" s="896">
        <f t="shared" si="164"/>
        <v>2005</v>
      </c>
      <c r="R161" s="896">
        <f t="shared" si="164"/>
        <v>2006</v>
      </c>
      <c r="S161" s="896">
        <f>+R161+1</f>
        <v>2007</v>
      </c>
      <c r="T161" s="896">
        <f t="shared" si="164"/>
        <v>2008</v>
      </c>
      <c r="U161" s="896">
        <f t="shared" si="164"/>
        <v>2009</v>
      </c>
      <c r="V161" s="896">
        <f t="shared" si="164"/>
        <v>2010</v>
      </c>
      <c r="W161" s="896">
        <f t="shared" ref="W161:AE161" si="165">+V161+1</f>
        <v>2011</v>
      </c>
      <c r="X161" s="896">
        <f t="shared" si="165"/>
        <v>2012</v>
      </c>
      <c r="Y161" s="896">
        <f t="shared" si="165"/>
        <v>2013</v>
      </c>
      <c r="Z161" s="896">
        <f t="shared" si="165"/>
        <v>2014</v>
      </c>
      <c r="AA161" s="896">
        <f t="shared" si="165"/>
        <v>2015</v>
      </c>
      <c r="AB161" s="896">
        <f t="shared" si="165"/>
        <v>2016</v>
      </c>
      <c r="AC161" s="896">
        <f t="shared" si="165"/>
        <v>2017</v>
      </c>
      <c r="AD161" s="896">
        <f t="shared" si="165"/>
        <v>2018</v>
      </c>
      <c r="AE161" s="896">
        <f t="shared" si="165"/>
        <v>2019</v>
      </c>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row>
    <row r="162" spans="1:94" s="699" customFormat="1" ht="12.75" customHeight="1">
      <c r="A162" s="664"/>
      <c r="B162" s="664"/>
      <c r="C162" s="798"/>
      <c r="D162" s="833"/>
      <c r="E162" s="834" t="s">
        <v>461</v>
      </c>
      <c r="F162" s="835" t="s">
        <v>465</v>
      </c>
      <c r="G162" s="1115"/>
      <c r="H162" s="1115">
        <f t="shared" ref="H162:AC162" si="166">+(H159/G159-1)*100</f>
        <v>5.2391881530884588</v>
      </c>
      <c r="I162" s="1115">
        <f t="shared" si="166"/>
        <v>8.1402411461800597</v>
      </c>
      <c r="J162" s="1115">
        <f t="shared" si="166"/>
        <v>7.6233192651531168</v>
      </c>
      <c r="K162" s="1115">
        <f t="shared" si="166"/>
        <v>-1.0215048374722313</v>
      </c>
      <c r="L162" s="1115">
        <f t="shared" si="166"/>
        <v>3.621382754134439</v>
      </c>
      <c r="M162" s="1115">
        <f t="shared" si="166"/>
        <v>6.699598703270504</v>
      </c>
      <c r="N162" s="1115">
        <f t="shared" si="166"/>
        <v>6.838005539912495</v>
      </c>
      <c r="O162" s="1115">
        <f t="shared" si="166"/>
        <v>10.27589025957476</v>
      </c>
      <c r="P162" s="1115">
        <f t="shared" si="166"/>
        <v>7.453317138876292</v>
      </c>
      <c r="Q162" s="1115">
        <f t="shared" si="166"/>
        <v>7.7273983463585827</v>
      </c>
      <c r="R162" s="1115">
        <f t="shared" si="166"/>
        <v>7.4064276711415244</v>
      </c>
      <c r="S162" s="1115">
        <f t="shared" si="166"/>
        <v>11.08697831258878</v>
      </c>
      <c r="T162" s="1115">
        <f t="shared" si="166"/>
        <v>2.6280569755420702</v>
      </c>
      <c r="U162" s="1115">
        <f t="shared" si="166"/>
        <v>-14.814140636349926</v>
      </c>
      <c r="V162" s="1115">
        <f t="shared" si="166"/>
        <v>1.6397996535100656</v>
      </c>
      <c r="W162" s="1115">
        <f t="shared" si="166"/>
        <v>6.0431380715794569</v>
      </c>
      <c r="X162" s="1115">
        <f t="shared" si="166"/>
        <v>3.8269627927211225</v>
      </c>
      <c r="Y162" s="1115">
        <f t="shared" si="166"/>
        <v>3.4985596052496959</v>
      </c>
      <c r="Z162" s="1115">
        <f t="shared" si="166"/>
        <v>3.5376044083425873</v>
      </c>
      <c r="AA162" s="1115">
        <f t="shared" si="166"/>
        <v>2.0346555108811559</v>
      </c>
      <c r="AB162" s="1115">
        <f t="shared" si="166"/>
        <v>2.3448710805274331</v>
      </c>
      <c r="AC162" s="1115">
        <f t="shared" si="166"/>
        <v>3.8289231668718005</v>
      </c>
      <c r="AD162" s="1427">
        <f ca="1">OFFSET('VVP1'!$G$119,0,5*(COLUMN()-7))</f>
        <v>2.7976519649474341</v>
      </c>
      <c r="AE162" s="1427">
        <f ca="1">OFFSET('VVP1'!$G$119,0,5*(COLUMN()-7))</f>
        <v>2.6121057128520642</v>
      </c>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row>
    <row r="163" spans="1:94">
      <c r="AB163" s="557"/>
      <c r="AC163" s="557"/>
      <c r="AD163" s="557"/>
      <c r="AE163" s="557"/>
    </row>
    <row r="164" spans="1:94">
      <c r="A164" s="664"/>
      <c r="D164" s="1477"/>
      <c r="E164" s="1511" t="s">
        <v>1206</v>
      </c>
      <c r="F164" s="1512"/>
      <c r="G164" s="817">
        <f>+InputY!$G$3</f>
        <v>1995</v>
      </c>
      <c r="H164" s="817">
        <f>+G164+1</f>
        <v>1996</v>
      </c>
      <c r="I164" s="817">
        <f t="shared" ref="I164:O164" si="167">+H164+1</f>
        <v>1997</v>
      </c>
      <c r="J164" s="817">
        <f t="shared" si="167"/>
        <v>1998</v>
      </c>
      <c r="K164" s="817">
        <f t="shared" si="167"/>
        <v>1999</v>
      </c>
      <c r="L164" s="817">
        <f t="shared" si="167"/>
        <v>2000</v>
      </c>
      <c r="M164" s="817">
        <f t="shared" si="167"/>
        <v>2001</v>
      </c>
      <c r="N164" s="817">
        <f t="shared" si="167"/>
        <v>2002</v>
      </c>
      <c r="O164" s="817">
        <f t="shared" si="167"/>
        <v>2003</v>
      </c>
      <c r="P164" s="817">
        <f t="shared" ref="P164:U164" si="168">+O164+1</f>
        <v>2004</v>
      </c>
      <c r="Q164" s="817">
        <f t="shared" si="168"/>
        <v>2005</v>
      </c>
      <c r="R164" s="817">
        <f>+Q164+1</f>
        <v>2006</v>
      </c>
      <c r="S164" s="817">
        <f>+R164+1</f>
        <v>2007</v>
      </c>
      <c r="T164" s="817">
        <f t="shared" si="168"/>
        <v>2008</v>
      </c>
      <c r="U164" s="817">
        <f t="shared" si="168"/>
        <v>2009</v>
      </c>
      <c r="V164" s="817">
        <f t="shared" ref="V164:AE164" si="169">+U164+1</f>
        <v>2010</v>
      </c>
      <c r="W164" s="817">
        <f t="shared" si="169"/>
        <v>2011</v>
      </c>
      <c r="X164" s="817">
        <f t="shared" si="169"/>
        <v>2012</v>
      </c>
      <c r="Y164" s="817">
        <f t="shared" si="169"/>
        <v>2013</v>
      </c>
      <c r="Z164" s="817">
        <f t="shared" si="169"/>
        <v>2014</v>
      </c>
      <c r="AA164" s="817">
        <f t="shared" si="169"/>
        <v>2015</v>
      </c>
      <c r="AB164" s="817">
        <f t="shared" si="169"/>
        <v>2016</v>
      </c>
      <c r="AC164" s="817">
        <f t="shared" si="169"/>
        <v>2017</v>
      </c>
      <c r="AD164" s="817">
        <f t="shared" si="169"/>
        <v>2018</v>
      </c>
      <c r="AE164" s="817">
        <f t="shared" si="169"/>
        <v>2019</v>
      </c>
    </row>
    <row r="165" spans="1:94">
      <c r="A165" s="664"/>
      <c r="B165" s="665">
        <v>1</v>
      </c>
      <c r="C165" s="1479"/>
      <c r="D165" s="23"/>
      <c r="E165" s="23" t="str">
        <f>+Transfer!B101</f>
        <v>VOL. PRIVATE CONSUMPTION EXPEND.</v>
      </c>
      <c r="F165" s="1494"/>
      <c r="G165" s="1905"/>
      <c r="H165" s="1905">
        <f ca="1">IF(UPPER('VVP1'!$F$3)="Y",OFFSET('VVP1'!$H7,0,5*(COLUMN()-7)),H7)</f>
        <v>5.2829141985078021</v>
      </c>
      <c r="I165" s="1905">
        <f ca="1">IF(UPPER('VVP1'!$F$3)="Y",OFFSET('VVP1'!$H7,0,5*(COLUMN()-7)),I7)</f>
        <v>6.5832158506398439</v>
      </c>
      <c r="J165" s="1905">
        <f ca="1">IF(UPPER('VVP1'!$F$3)="Y",OFFSET('VVP1'!$H7,0,5*(COLUMN()-7)),J7)</f>
        <v>7.5343351365628726</v>
      </c>
      <c r="K165" s="1905">
        <f ca="1">IF(UPPER('VVP1'!$F$3)="Y",OFFSET('VVP1'!$H7,0,5*(COLUMN()-7)),K7)</f>
        <v>8.3628462092867917</v>
      </c>
      <c r="L165" s="1905">
        <f ca="1">IF(UPPER('VVP1'!$F$3)="Y",OFFSET('VVP1'!$H7,0,5*(COLUMN()-7)),L7)</f>
        <v>8.8367246450692782</v>
      </c>
      <c r="M165" s="1905">
        <f ca="1">IF(UPPER('VVP1'!$F$3)="Y",OFFSET('VVP1'!$H7,0,5*(COLUMN()-7)),M7)</f>
        <v>9.057646292067739</v>
      </c>
      <c r="N165" s="1905">
        <f ca="1">IF(UPPER('VVP1'!$F$3)="Y",OFFSET('VVP1'!$H7,0,5*(COLUMN()-7)),N7)</f>
        <v>9.8403920369550839</v>
      </c>
      <c r="O165" s="1905">
        <f ca="1">IF(UPPER('VVP1'!$F$3)="Y",OFFSET('VVP1'!$H7,0,5*(COLUMN()-7)),O7)</f>
        <v>10.90170260973504</v>
      </c>
      <c r="P165" s="1905">
        <f ca="1">IF(UPPER('VVP1'!$F$3)="Y",OFFSET('VVP1'!$H7,0,5*(COLUMN()-7)),P7)</f>
        <v>11.994345184820281</v>
      </c>
      <c r="Q165" s="1905">
        <f ca="1">IF(UPPER('VVP1'!$F$3)="Y",OFFSET('VVP1'!$H7,0,5*(COLUMN()-7)),Q7)</f>
        <v>13.268709344762875</v>
      </c>
      <c r="R165" s="1905">
        <f ca="1">IF(UPPER('VVP1'!$F$3)="Y",OFFSET('VVP1'!$H7,0,5*(COLUMN()-7)),R7)</f>
        <v>14.818879948658232</v>
      </c>
      <c r="S165" s="1905">
        <f ca="1">IF(UPPER('VVP1'!$F$3)="Y",OFFSET('VVP1'!$H7,0,5*(COLUMN()-7)),S7)</f>
        <v>17.435875804991209</v>
      </c>
      <c r="T165" s="1905">
        <f ca="1">IF(UPPER('VVP1'!$F$3)="Y",OFFSET('VVP1'!$H7,0,5*(COLUMN()-7)),T7)</f>
        <v>19.172030328866111</v>
      </c>
      <c r="U165" s="1905">
        <f ca="1">IF(UPPER('VVP1'!$F$3)="Y",OFFSET('VVP1'!$H7,0,5*(COLUMN()-7)),U7)</f>
        <v>17.571659423998966</v>
      </c>
      <c r="V165" s="1905">
        <f ca="1">IF(UPPER('VVP1'!$F$3)="Y",OFFSET('VVP1'!$H7,0,5*(COLUMN()-7)),V7)</f>
        <v>17.72037473728712</v>
      </c>
      <c r="W165" s="1905">
        <f ca="1">IF(UPPER('VVP1'!$F$3)="Y",OFFSET('VVP1'!$H7,0,5*(COLUMN()-7)),W7)</f>
        <v>18.770809999999997</v>
      </c>
      <c r="X165" s="1905">
        <f ca="1">IF(UPPER('VVP1'!$F$3)="Y",OFFSET('VVP1'!$H7,0,5*(COLUMN()-7)),X7)</f>
        <v>20.148642022800296</v>
      </c>
      <c r="Y165" s="1905">
        <f ca="1">IF(UPPER('VVP1'!$F$3)="Y",OFFSET('VVP1'!$H7,0,5*(COLUMN()-7)),Y7)</f>
        <v>21.665981605317988</v>
      </c>
      <c r="Z165" s="1905">
        <f ca="1">IF(UPPER('VVP1'!$F$3)="Y",OFFSET('VVP1'!$H7,0,5*(COLUMN()-7)),Z7)</f>
        <v>22.74965501233503</v>
      </c>
      <c r="AA165" s="1905">
        <f ca="1">IF(UPPER('VVP1'!$F$3)="Y",OFFSET('VVP1'!$H7,0,5*(COLUMN()-7)),AA7)</f>
        <v>23.682538042559482</v>
      </c>
      <c r="AB165" s="1905">
        <f ca="1">IF(UPPER('VVP1'!$F$3)="Y",OFFSET('VVP1'!$H7,0,5*(COLUMN()-7)),AB7)</f>
        <v>24.632151881878773</v>
      </c>
      <c r="AC165" s="1905">
        <f ca="1">IF(UPPER('VVP1'!$F$3)="Y",OFFSET('VVP1'!$H7,0,5*(COLUMN()-7)),AC7)</f>
        <v>25.830766377612981</v>
      </c>
      <c r="AD165" s="1905">
        <f ca="1">IF(UPPER('VVP1'!$F$3)="Y",OFFSET('VVP1'!$H7,0,5*(COLUMN()-7)),AD7)</f>
        <v>27.738403649999995</v>
      </c>
      <c r="AE165" s="1905">
        <f ca="1">IF(UPPER('VVP1'!$F$3)="Y",OFFSET('VVP1'!$H7,0,5*(COLUMN()-7)),AE7)</f>
        <v>29.398769015681694</v>
      </c>
    </row>
    <row r="166" spans="1:94">
      <c r="A166" s="664"/>
      <c r="B166" s="665">
        <v>2</v>
      </c>
      <c r="C166" s="1480"/>
      <c r="D166" s="1"/>
      <c r="E166" s="1" t="str">
        <f>+Transfer!B102</f>
        <v xml:space="preserve">VOL. GOVERNMENT CONSUMPTION EXPEND. </v>
      </c>
      <c r="F166" s="1481"/>
      <c r="G166" s="1062"/>
      <c r="H166" s="1062">
        <f ca="1">IF(UPPER('VVP1'!$F$3)="Y",OFFSET('VVP1'!$H8,0,5*(COLUMN()-7)),H13)</f>
        <v>1.8493622645509178</v>
      </c>
      <c r="I166" s="1062">
        <f ca="1">IF(UPPER('VVP1'!$F$3)="Y",OFFSET('VVP1'!$H8,0,5*(COLUMN()-7)),I13)</f>
        <v>2.4184356581550737</v>
      </c>
      <c r="J166" s="1062">
        <f ca="1">IF(UPPER('VVP1'!$F$3)="Y",OFFSET('VVP1'!$H8,0,5*(COLUMN()-7)),J13)</f>
        <v>2.9742107457800899</v>
      </c>
      <c r="K166" s="1062">
        <f ca="1">IF(UPPER('VVP1'!$F$3)="Y",OFFSET('VVP1'!$H8,0,5*(COLUMN()-7)),K13)</f>
        <v>3.2215015692572364</v>
      </c>
      <c r="L166" s="1062">
        <f ca="1">IF(UPPER('VVP1'!$F$3)="Y",OFFSET('VVP1'!$H8,0,5*(COLUMN()-7)),L13)</f>
        <v>3.0148719733834319</v>
      </c>
      <c r="M166" s="1062">
        <f ca="1">IF(UPPER('VVP1'!$F$3)="Y",OFFSET('VVP1'!$H8,0,5*(COLUMN()-7)),M13)</f>
        <v>3.0358803636936322</v>
      </c>
      <c r="N166" s="1062">
        <f ca="1">IF(UPPER('VVP1'!$F$3)="Y",OFFSET('VVP1'!$H8,0,5*(COLUMN()-7)),N13)</f>
        <v>3.0752572345881553</v>
      </c>
      <c r="O166" s="1062">
        <f ca="1">IF(UPPER('VVP1'!$F$3)="Y",OFFSET('VVP1'!$H8,0,5*(COLUMN()-7)),O13)</f>
        <v>3.217168064399734</v>
      </c>
      <c r="P166" s="1062">
        <f ca="1">IF(UPPER('VVP1'!$F$3)="Y",OFFSET('VVP1'!$H8,0,5*(COLUMN()-7)),P13)</f>
        <v>3.4088313667298125</v>
      </c>
      <c r="Q166" s="1062">
        <f ca="1">IF(UPPER('VVP1'!$F$3)="Y",OFFSET('VVP1'!$H8,0,5*(COLUMN()-7)),Q13)</f>
        <v>3.6198391063349251</v>
      </c>
      <c r="R166" s="1062">
        <f ca="1">IF(UPPER('VVP1'!$F$3)="Y",OFFSET('VVP1'!$H8,0,5*(COLUMN()-7)),R13)</f>
        <v>3.9681700439227119</v>
      </c>
      <c r="S166" s="1062">
        <f ca="1">IF(UPPER('VVP1'!$F$3)="Y",OFFSET('VVP1'!$H8,0,5*(COLUMN()-7)),S13)</f>
        <v>4.6907319967381582</v>
      </c>
      <c r="T166" s="1062">
        <f ca="1">IF(UPPER('VVP1'!$F$3)="Y",OFFSET('VVP1'!$H8,0,5*(COLUMN()-7)),T13)</f>
        <v>5.0787820666066326</v>
      </c>
      <c r="U166" s="1062">
        <f ca="1">IF(UPPER('VVP1'!$F$3)="Y",OFFSET('VVP1'!$H8,0,5*(COLUMN()-7)),U13)</f>
        <v>6.0206091883061674</v>
      </c>
      <c r="V166" s="1062">
        <f ca="1">IF(UPPER('VVP1'!$F$3)="Y",OFFSET('VVP1'!$H8,0,5*(COLUMN()-7)),V13)</f>
        <v>5.5389960723131892</v>
      </c>
      <c r="W166" s="1062">
        <f ca="1">IF(UPPER('VVP1'!$F$3)="Y",OFFSET('VVP1'!$H8,0,5*(COLUMN()-7)),W13)</f>
        <v>5.5435799999999995</v>
      </c>
      <c r="X166" s="1062">
        <f ca="1">IF(UPPER('VVP1'!$F$3)="Y",OFFSET('VVP1'!$H8,0,5*(COLUMN()-7)),X13)</f>
        <v>5.8110600831231798</v>
      </c>
      <c r="Y166" s="1062">
        <f ca="1">IF(UPPER('VVP1'!$F$3)="Y",OFFSET('VVP1'!$H8,0,5*(COLUMN()-7)),Y13)</f>
        <v>5.872820010365408</v>
      </c>
      <c r="Z166" s="1062">
        <f ca="1">IF(UPPER('VVP1'!$F$3)="Y",OFFSET('VVP1'!$H8,0,5*(COLUMN()-7)),Z13)</f>
        <v>5.8537416863145211</v>
      </c>
      <c r="AA166" s="1062">
        <f ca="1">IF(UPPER('VVP1'!$F$3)="Y",OFFSET('VVP1'!$H8,0,5*(COLUMN()-7)),AA13)</f>
        <v>6.0833100473935326</v>
      </c>
      <c r="AB166" s="1062">
        <f ca="1">IF(UPPER('VVP1'!$F$3)="Y",OFFSET('VVP1'!$H8,0,5*(COLUMN()-7)),AB13)</f>
        <v>6.5118543082355504</v>
      </c>
      <c r="AC166" s="1062">
        <f ca="1">IF(UPPER('VVP1'!$F$3)="Y",OFFSET('VVP1'!$H8,0,5*(COLUMN()-7)),AC13)</f>
        <v>6.7137872911684973</v>
      </c>
      <c r="AD166" s="1062">
        <f ca="1">IF(UPPER('VVP1'!$F$3)="Y",OFFSET('VVP1'!$H8,0,5*(COLUMN()-7)),AD13)</f>
        <v>7.0213420200000005</v>
      </c>
      <c r="AE166" s="1062">
        <f ca="1">IF(UPPER('VVP1'!$F$3)="Y",OFFSET('VVP1'!$H8,0,5*(COLUMN()-7)),AE13)</f>
        <v>7.4103718321800569</v>
      </c>
    </row>
    <row r="167" spans="1:94">
      <c r="A167" s="664"/>
      <c r="B167" s="665">
        <v>3</v>
      </c>
      <c r="C167" s="1480"/>
      <c r="D167" s="1"/>
      <c r="E167" s="1" t="str">
        <f>+Transfer!B103</f>
        <v>VOL. G.F.C.F. TOTAL</v>
      </c>
      <c r="F167" s="3"/>
      <c r="G167" s="1062"/>
      <c r="H167" s="1062">
        <f ca="1">IF(UPPER('VVP1'!$F$3)="Y",OFFSET('VVP1'!$H9,0,5*(COLUMN()-7)),H29)</f>
        <v>1.9141128065849096</v>
      </c>
      <c r="I167" s="1062">
        <f ca="1">IF(UPPER('VVP1'!$F$3)="Y",OFFSET('VVP1'!$H9,0,5*(COLUMN()-7)),I29)</f>
        <v>2.5093352950327619</v>
      </c>
      <c r="J167" s="1062">
        <f ca="1">IF(UPPER('VVP1'!$F$3)="Y",OFFSET('VVP1'!$H9,0,5*(COLUMN()-7)),J29)</f>
        <v>3.1761270358414233</v>
      </c>
      <c r="K167" s="1062">
        <f ca="1">IF(UPPER('VVP1'!$F$3)="Y",OFFSET('VVP1'!$H9,0,5*(COLUMN()-7)),K29)</f>
        <v>2.9252598369674785</v>
      </c>
      <c r="L167" s="1062">
        <f ca="1">IF(UPPER('VVP1'!$F$3)="Y",OFFSET('VVP1'!$H9,0,5*(COLUMN()-7)),L29)</f>
        <v>2.5566650321889179</v>
      </c>
      <c r="M167" s="1062">
        <f ca="1">IF(UPPER('VVP1'!$F$3)="Y",OFFSET('VVP1'!$H9,0,5*(COLUMN()-7)),M29)</f>
        <v>2.8938124640030551</v>
      </c>
      <c r="N167" s="1062">
        <f ca="1">IF(UPPER('VVP1'!$F$3)="Y",OFFSET('VVP1'!$H9,0,5*(COLUMN()-7)),N29)</f>
        <v>3.223371511070249</v>
      </c>
      <c r="O167" s="1062">
        <f ca="1">IF(UPPER('VVP1'!$F$3)="Y",OFFSET('VVP1'!$H9,0,5*(COLUMN()-7)),O29)</f>
        <v>3.5703745784060028</v>
      </c>
      <c r="P167" s="1062">
        <f ca="1">IF(UPPER('VVP1'!$F$3)="Y",OFFSET('VVP1'!$H9,0,5*(COLUMN()-7)),P29)</f>
        <v>4.1547968839508833</v>
      </c>
      <c r="Q167" s="1062">
        <f ca="1">IF(UPPER('VVP1'!$F$3)="Y",OFFSET('VVP1'!$H9,0,5*(COLUMN()-7)),Q29)</f>
        <v>4.6550734934389295</v>
      </c>
      <c r="R167" s="1062">
        <f ca="1">IF(UPPER('VVP1'!$F$3)="Y",OFFSET('VVP1'!$H9,0,5*(COLUMN()-7)),R29)</f>
        <v>5.8736880757559282</v>
      </c>
      <c r="S167" s="1062">
        <f ca="1">IF(UPPER('VVP1'!$F$3)="Y",OFFSET('VVP1'!$H9,0,5*(COLUMN()-7)),S29)</f>
        <v>7.6372119469715054</v>
      </c>
      <c r="T167" s="1062">
        <f ca="1">IF(UPPER('VVP1'!$F$3)="Y",OFFSET('VVP1'!$H9,0,5*(COLUMN()-7)),T29)</f>
        <v>7.9670279515876752</v>
      </c>
      <c r="U167" s="1062">
        <f ca="1">IF(UPPER('VVP1'!$F$3)="Y",OFFSET('VVP1'!$H9,0,5*(COLUMN()-7)),U29)</f>
        <v>5.2014137044106095</v>
      </c>
      <c r="V167" s="1062">
        <f ca="1">IF(UPPER('VVP1'!$F$3)="Y",OFFSET('VVP1'!$H9,0,5*(COLUMN()-7)),V29)</f>
        <v>4.8814965445574749</v>
      </c>
      <c r="W167" s="1062">
        <f ca="1">IF(UPPER('VVP1'!$F$3)="Y",OFFSET('VVP1'!$H9,0,5*(COLUMN()-7)),W29)</f>
        <v>5.67849</v>
      </c>
      <c r="X167" s="1062">
        <f ca="1">IF(UPPER('VVP1'!$F$3)="Y",OFFSET('VVP1'!$H9,0,5*(COLUMN()-7)),X29)</f>
        <v>5.6783051191601999</v>
      </c>
      <c r="Y167" s="1062">
        <f ca="1">IF(UPPER('VVP1'!$F$3)="Y",OFFSET('VVP1'!$H9,0,5*(COLUMN()-7)),Y29)</f>
        <v>6.2684122794221793</v>
      </c>
      <c r="Z167" s="1062">
        <f ca="1">IF(UPPER('VVP1'!$F$3)="Y",OFFSET('VVP1'!$H9,0,5*(COLUMN()-7)),Z29)</f>
        <v>6.82615939898219</v>
      </c>
      <c r="AA167" s="1062">
        <f ca="1">IF(UPPER('VVP1'!$F$3)="Y",OFFSET('VVP1'!$H9,0,5*(COLUMN()-7)),AA29)</f>
        <v>7.238783406852999</v>
      </c>
      <c r="AB167" s="1062">
        <f ca="1">IF(UPPER('VVP1'!$F$3)="Y",OFFSET('VVP1'!$H9,0,5*(COLUMN()-7)),AB29)</f>
        <v>7.2907280162839356</v>
      </c>
      <c r="AC167" s="1062">
        <f ca="1">IF(UPPER('VVP1'!$F$3)="Y",OFFSET('VVP1'!$H9,0,5*(COLUMN()-7)),AC29)</f>
        <v>7.8484123706606796</v>
      </c>
      <c r="AD167" s="1062">
        <f ca="1">IF(UPPER('VVP1'!$F$3)="Y",OFFSET('VVP1'!$H9,0,5*(COLUMN()-7)),AD29)</f>
        <v>8.4064658956084077</v>
      </c>
      <c r="AE167" s="1062">
        <f ca="1">IF(UPPER('VVP1'!$F$3)="Y",OFFSET('VVP1'!$H9,0,5*(COLUMN()-7)),AE29)</f>
        <v>8.9639536658038441</v>
      </c>
    </row>
    <row r="168" spans="1:94">
      <c r="A168" s="664"/>
      <c r="B168" s="665">
        <v>4</v>
      </c>
      <c r="C168" s="1480"/>
      <c r="D168" s="1"/>
      <c r="E168" s="1" t="str">
        <f>+Transfer!B104</f>
        <v>VOL. G.F.C.F. CONSTRUCTION</v>
      </c>
      <c r="F168" s="1481"/>
      <c r="G168" s="1062"/>
      <c r="H168" s="1062">
        <f ca="1">IF(UPPER('VVP1'!$F$3)="Y",OFFSET('VVP1'!$H60,0,5*(COLUMN()-7)),H23)</f>
        <v>0.94836631144804184</v>
      </c>
      <c r="I168" s="1062">
        <f ca="1">IF(UPPER('VVP1'!$F$3)="Y",OFFSET('VVP1'!$H60,0,5*(COLUMN()-7)),I23)</f>
        <v>1.2798727897825861</v>
      </c>
      <c r="J168" s="1062">
        <f ca="1">IF(UPPER('VVP1'!$F$3)="Y",OFFSET('VVP1'!$H60,0,5*(COLUMN()-7)),J23)</f>
        <v>1.714537017361053</v>
      </c>
      <c r="K168" s="1062">
        <f ca="1">IF(UPPER('VVP1'!$F$3)="Y",OFFSET('VVP1'!$H60,0,5*(COLUMN()-7)),K23)</f>
        <v>1.6287551914803153</v>
      </c>
      <c r="L168" s="1062">
        <f ca="1">IF(UPPER('VVP1'!$F$3)="Y",OFFSET('VVP1'!$H60,0,5*(COLUMN()-7)),L23)</f>
        <v>1.3697749616074744</v>
      </c>
      <c r="M168" s="1062">
        <f ca="1">IF(UPPER('VVP1'!$F$3)="Y",OFFSET('VVP1'!$H60,0,5*(COLUMN()-7)),M23)</f>
        <v>1.5041154058552249</v>
      </c>
      <c r="N168" s="1062">
        <f ca="1">IF(UPPER('VVP1'!$F$3)="Y",OFFSET('VVP1'!$H60,0,5*(COLUMN()-7)),N23)</f>
        <v>1.6660919247678432</v>
      </c>
      <c r="O168" s="1062">
        <f ca="1">IF(UPPER('VVP1'!$F$3)="Y",OFFSET('VVP1'!$H60,0,5*(COLUMN()-7)),O23)</f>
        <v>1.9956464806861207</v>
      </c>
      <c r="P168" s="1062">
        <f ca="1">IF(UPPER('VVP1'!$F$3)="Y",OFFSET('VVP1'!$H60,0,5*(COLUMN()-7)),P23)</f>
        <v>2.1411369917112415</v>
      </c>
      <c r="Q168" s="1062">
        <f ca="1">IF(UPPER('VVP1'!$F$3)="Y",OFFSET('VVP1'!$H60,0,5*(COLUMN()-7)),Q23)</f>
        <v>2.5356244876680534</v>
      </c>
      <c r="R168" s="1062">
        <f ca="1">IF(UPPER('VVP1'!$F$3)="Y",OFFSET('VVP1'!$H60,0,5*(COLUMN()-7)),R23)</f>
        <v>3.3263801105327335</v>
      </c>
      <c r="S168" s="1062">
        <f ca="1">IF(UPPER('VVP1'!$F$3)="Y",OFFSET('VVP1'!$H60,0,5*(COLUMN()-7)),S23)</f>
        <v>4.4348680427096738</v>
      </c>
      <c r="T168" s="1062">
        <f ca="1">IF(UPPER('VVP1'!$F$3)="Y",OFFSET('VVP1'!$H60,0,5*(COLUMN()-7)),T23)</f>
        <v>5.0604864912023997</v>
      </c>
      <c r="U168" s="1062">
        <f ca="1">IF(UPPER('VVP1'!$F$3)="Y",OFFSET('VVP1'!$H60,0,5*(COLUMN()-7)),U23)</f>
        <v>3.4934135415330312</v>
      </c>
      <c r="V168" s="1062">
        <f ca="1">IF(UPPER('VVP1'!$F$3)="Y",OFFSET('VVP1'!$H60,0,5*(COLUMN()-7)),V23)</f>
        <v>2.8941149448023289</v>
      </c>
      <c r="W168" s="1062">
        <f ca="1">IF(UPPER('VVP1'!$F$3)="Y",OFFSET('VVP1'!$H60,0,5*(COLUMN()-7)),W23)</f>
        <v>3.1731799999999999</v>
      </c>
      <c r="X168" s="1062">
        <f ca="1">IF(UPPER('VVP1'!$F$3)="Y",OFFSET('VVP1'!$H60,0,5*(COLUMN()-7)),X23)</f>
        <v>3.1538449575737935</v>
      </c>
      <c r="Y168" s="1062">
        <f ca="1">IF(UPPER('VVP1'!$F$3)="Y",OFFSET('VVP1'!$H60,0,5*(COLUMN()-7)),Y23)</f>
        <v>3.527430054263589</v>
      </c>
      <c r="Z168" s="1062">
        <f ca="1">IF(UPPER('VVP1'!$F$3)="Y",OFFSET('VVP1'!$H60,0,5*(COLUMN()-7)),Z23)</f>
        <v>3.9826039490647931</v>
      </c>
      <c r="AA168" s="1062">
        <f ca="1">IF(UPPER('VVP1'!$F$3)="Y",OFFSET('VVP1'!$H60,0,5*(COLUMN()-7)),AA23)</f>
        <v>4.0795361517932864</v>
      </c>
      <c r="AB168" s="1062">
        <f ca="1">IF(UPPER('VVP1'!$F$3)="Y",OFFSET('VVP1'!$H60,0,5*(COLUMN()-7)),AB23)</f>
        <v>3.8266968006577176</v>
      </c>
      <c r="AC168" s="1062">
        <f ca="1">IF(UPPER('VVP1'!$F$3)="Y",OFFSET('VVP1'!$H60,0,5*(COLUMN()-7)),AC23)</f>
        <v>3.9568473536919488</v>
      </c>
      <c r="AD168" s="1062">
        <f ca="1">IF(UPPER('VVP1'!$F$3)="Y",OFFSET('VVP1'!$H60,0,5*(COLUMN()-7)),AD23)</f>
        <v>4.3305056999999998</v>
      </c>
      <c r="AE168" s="1062">
        <f ca="1">IF(UPPER('VVP1'!$F$3)="Y",OFFSET('VVP1'!$H60,0,5*(COLUMN()-7)),AE23)</f>
        <v>4.6552906650010488</v>
      </c>
    </row>
    <row r="169" spans="1:94">
      <c r="A169" s="664"/>
      <c r="B169" s="665">
        <v>5</v>
      </c>
      <c r="C169" s="1480"/>
      <c r="D169" s="1"/>
      <c r="E169" s="1" t="str">
        <f>+Transfer!B105</f>
        <v>VOL. G.F.C.F. EQUIPMENT</v>
      </c>
      <c r="F169" s="1481"/>
      <c r="G169" s="1062"/>
      <c r="H169" s="1062">
        <f ca="1">IF(UPPER('VVP1'!$F$3)="Y",OFFSET('VVP1'!$H63,0,5*(COLUMN()-7)),H27)</f>
        <v>0.88278882969449479</v>
      </c>
      <c r="I169" s="1062">
        <f ca="1">IF(UPPER('VVP1'!$F$3)="Y",OFFSET('VVP1'!$H63,0,5*(COLUMN()-7)),I27)</f>
        <v>1.1264188888332649</v>
      </c>
      <c r="J169" s="1062">
        <f ca="1">IF(UPPER('VVP1'!$F$3)="Y",OFFSET('VVP1'!$H63,0,5*(COLUMN()-7)),J27)</f>
        <v>1.3480010215689961</v>
      </c>
      <c r="K169" s="1062">
        <f ca="1">IF(UPPER('VVP1'!$F$3)="Y",OFFSET('VVP1'!$H63,0,5*(COLUMN()-7)),K27)</f>
        <v>1.2018361607304386</v>
      </c>
      <c r="L169" s="1062">
        <f ca="1">IF(UPPER('VVP1'!$F$3)="Y",OFFSET('VVP1'!$H63,0,5*(COLUMN()-7)),L27)</f>
        <v>1.0324889922774931</v>
      </c>
      <c r="M169" s="1062">
        <f ca="1">IF(UPPER('VVP1'!$F$3)="Y",OFFSET('VVP1'!$H63,0,5*(COLUMN()-7)),M27)</f>
        <v>1.2167744745496072</v>
      </c>
      <c r="N169" s="1062">
        <f ca="1">IF(UPPER('VVP1'!$F$3)="Y",OFFSET('VVP1'!$H63,0,5*(COLUMN()-7)),N27)</f>
        <v>1.3268932326623246</v>
      </c>
      <c r="O169" s="1062">
        <f ca="1">IF(UPPER('VVP1'!$F$3)="Y",OFFSET('VVP1'!$H63,0,5*(COLUMN()-7)),O27)</f>
        <v>1.3629638565393241</v>
      </c>
      <c r="P169" s="1062">
        <f ca="1">IF(UPPER('VVP1'!$F$3)="Y",OFFSET('VVP1'!$H63,0,5*(COLUMN()-7)),P27)</f>
        <v>1.7695291135701687</v>
      </c>
      <c r="Q169" s="1062">
        <f ca="1">IF(UPPER('VVP1'!$F$3)="Y",OFFSET('VVP1'!$H63,0,5*(COLUMN()-7)),Q27)</f>
        <v>1.8353766531443743</v>
      </c>
      <c r="R169" s="1062">
        <f ca="1">IF(UPPER('VVP1'!$F$3)="Y",OFFSET('VVP1'!$H63,0,5*(COLUMN()-7)),R27)</f>
        <v>2.1736472407125218</v>
      </c>
      <c r="S169" s="1062">
        <f ca="1">IF(UPPER('VVP1'!$F$3)="Y",OFFSET('VVP1'!$H63,0,5*(COLUMN()-7)),S27)</f>
        <v>2.662489908512224</v>
      </c>
      <c r="T169" s="1062">
        <f ca="1">IF(UPPER('VVP1'!$F$3)="Y",OFFSET('VVP1'!$H63,0,5*(COLUMN()-7)),T27)</f>
        <v>2.2436685616690411</v>
      </c>
      <c r="U169" s="1062">
        <f ca="1">IF(UPPER('VVP1'!$F$3)="Y",OFFSET('VVP1'!$H63,0,5*(COLUMN()-7)),U27)</f>
        <v>1.1576266559695598</v>
      </c>
      <c r="V169" s="1062">
        <f ca="1">IF(UPPER('VVP1'!$F$3)="Y",OFFSET('VVP1'!$H63,0,5*(COLUMN()-7)),V27)</f>
        <v>1.3861684457085492</v>
      </c>
      <c r="W169" s="1062">
        <f ca="1">IF(UPPER('VVP1'!$F$3)="Y",OFFSET('VVP1'!$H63,0,5*(COLUMN()-7)),W27)</f>
        <v>1.8692</v>
      </c>
      <c r="X169" s="1062">
        <f ca="1">IF(UPPER('VVP1'!$F$3)="Y",OFFSET('VVP1'!$H63,0,5*(COLUMN()-7)),X27)</f>
        <v>1.9205090147656754</v>
      </c>
      <c r="Y169" s="1062">
        <f ca="1">IF(UPPER('VVP1'!$F$3)="Y",OFFSET('VVP1'!$H63,0,5*(COLUMN()-7)),Y27)</f>
        <v>2.1835867401670521</v>
      </c>
      <c r="Z169" s="1062">
        <f ca="1">IF(UPPER('VVP1'!$F$3)="Y",OFFSET('VVP1'!$H63,0,5*(COLUMN()-7)),Z27)</f>
        <v>2.1843149031734481</v>
      </c>
      <c r="AA169" s="1062">
        <f ca="1">IF(UPPER('VVP1'!$F$3)="Y",OFFSET('VVP1'!$H63,0,5*(COLUMN()-7)),AA27)</f>
        <v>2.4625906209394719</v>
      </c>
      <c r="AB169" s="1062">
        <f ca="1">IF(UPPER('VVP1'!$F$3)="Y",OFFSET('VVP1'!$H63,0,5*(COLUMN()-7)),AB27)</f>
        <v>2.696198733506189</v>
      </c>
      <c r="AC169" s="1062">
        <f ca="1">IF(UPPER('VVP1'!$F$3)="Y",OFFSET('VVP1'!$H63,0,5*(COLUMN()-7)),AC27)</f>
        <v>2.9204492360154943</v>
      </c>
      <c r="AD169" s="1062">
        <f ca="1">IF(UPPER('VVP1'!$F$3)="Y",OFFSET('VVP1'!$H63,0,5*(COLUMN()-7)),AD27)</f>
        <v>3.1030891499999997</v>
      </c>
      <c r="AE169" s="1062">
        <f ca="1">IF(UPPER('VVP1'!$F$3)="Y",OFFSET('VVP1'!$H63,0,5*(COLUMN()-7)),AE27)</f>
        <v>3.2819201777144995</v>
      </c>
    </row>
    <row r="170" spans="1:94">
      <c r="A170" s="664"/>
      <c r="B170" s="665">
        <v>6</v>
      </c>
      <c r="C170" s="1480"/>
      <c r="D170" s="1"/>
      <c r="E170" s="1" t="str">
        <f>+Transfer!B106</f>
        <v>VOL. G.F.C.F. OTHER</v>
      </c>
      <c r="F170" s="1481"/>
      <c r="G170" s="1062"/>
      <c r="H170" s="1062">
        <f ca="1">IF(UPPER('VVP1'!$F$3)="Y",OFFSET('VVP1'!$H64,0,5*(COLUMN()-7)),H28)</f>
        <v>7.7597181469816298E-2</v>
      </c>
      <c r="I170" s="1062">
        <f ca="1">IF(UPPER('VVP1'!$F$3)="Y",OFFSET('VVP1'!$H64,0,5*(COLUMN()-7)),I28)</f>
        <v>0.10167754869929434</v>
      </c>
      <c r="J170" s="1062">
        <f ca="1">IF(UPPER('VVP1'!$F$3)="Y",OFFSET('VVP1'!$H64,0,5*(COLUMN()-7)),J28)</f>
        <v>0.10843275995109017</v>
      </c>
      <c r="K170" s="1062">
        <f ca="1">IF(UPPER('VVP1'!$F$3)="Y",OFFSET('VVP1'!$H64,0,5*(COLUMN()-7)),K28)</f>
        <v>9.2771518703862701E-2</v>
      </c>
      <c r="L170" s="1062">
        <f ca="1">IF(UPPER('VVP1'!$F$3)="Y",OFFSET('VVP1'!$H64,0,5*(COLUMN()-7)),L28)</f>
        <v>0.12929411034736327</v>
      </c>
      <c r="M170" s="1062">
        <f ca="1">IF(UPPER('VVP1'!$F$3)="Y",OFFSET('VVP1'!$H64,0,5*(COLUMN()-7)),M28)</f>
        <v>0.17745242557523175</v>
      </c>
      <c r="N170" s="1062">
        <f ca="1">IF(UPPER('VVP1'!$F$3)="Y",OFFSET('VVP1'!$H64,0,5*(COLUMN()-7)),N28)</f>
        <v>0.22850344798038827</v>
      </c>
      <c r="O170" s="1062">
        <f ca="1">IF(UPPER('VVP1'!$F$3)="Y",OFFSET('VVP1'!$H64,0,5*(COLUMN()-7)),O28)</f>
        <v>0.20769763162479499</v>
      </c>
      <c r="P170" s="1062">
        <f ca="1">IF(UPPER('VVP1'!$F$3)="Y",OFFSET('VVP1'!$H64,0,5*(COLUMN()-7)),P28)</f>
        <v>0.24249534059109143</v>
      </c>
      <c r="Q170" s="1062">
        <f ca="1">IF(UPPER('VVP1'!$F$3)="Y",OFFSET('VVP1'!$H64,0,5*(COLUMN()-7)),Q28)</f>
        <v>0.27989373659857814</v>
      </c>
      <c r="R170" s="1062">
        <f ca="1">IF(UPPER('VVP1'!$F$3)="Y",OFFSET('VVP1'!$H64,0,5*(COLUMN()-7)),R28)</f>
        <v>0.3676572286943745</v>
      </c>
      <c r="S170" s="1062">
        <f ca="1">IF(UPPER('VVP1'!$F$3)="Y",OFFSET('VVP1'!$H64,0,5*(COLUMN()-7)),S28)</f>
        <v>0.53456906753618427</v>
      </c>
      <c r="T170" s="1062">
        <f ca="1">IF(UPPER('VVP1'!$F$3)="Y",OFFSET('VVP1'!$H64,0,5*(COLUMN()-7)),T28)</f>
        <v>0.66151975074813429</v>
      </c>
      <c r="U170" s="1062">
        <f ca="1">IF(UPPER('VVP1'!$F$3)="Y",OFFSET('VVP1'!$H64,0,5*(COLUMN()-7)),U28)</f>
        <v>0.55091339489802349</v>
      </c>
      <c r="V170" s="1062">
        <f ca="1">IF(UPPER('VVP1'!$F$3)="Y",OFFSET('VVP1'!$H64,0,5*(COLUMN()-7)),V28)</f>
        <v>0.60025719492180862</v>
      </c>
      <c r="W170" s="1062">
        <f ca="1">IF(UPPER('VVP1'!$F$3)="Y",OFFSET('VVP1'!$H64,0,5*(COLUMN()-7)),W28)</f>
        <v>0.63611999999999991</v>
      </c>
      <c r="X170" s="1062">
        <f ca="1">IF(UPPER('VVP1'!$F$3)="Y",OFFSET('VVP1'!$H64,0,5*(COLUMN()-7)),X28)</f>
        <v>0.60415071621706606</v>
      </c>
      <c r="Y170" s="1062">
        <f ca="1">IF(UPPER('VVP1'!$F$3)="Y",OFFSET('VVP1'!$H64,0,5*(COLUMN()-7)),Y28)</f>
        <v>0.55517045559336919</v>
      </c>
      <c r="Z170" s="1062">
        <f ca="1">IF(UPPER('VVP1'!$F$3)="Y",OFFSET('VVP1'!$H64,0,5*(COLUMN()-7)),Z28)</f>
        <v>0.65985420763064662</v>
      </c>
      <c r="AA170" s="1062">
        <f ca="1">IF(UPPER('VVP1'!$F$3)="Y",OFFSET('VVP1'!$H64,0,5*(COLUMN()-7)),AA28)</f>
        <v>0.69705232509745307</v>
      </c>
      <c r="AB170" s="1062">
        <f ca="1">IF(UPPER('VVP1'!$F$3)="Y",OFFSET('VVP1'!$H64,0,5*(COLUMN()-7)),AB28)</f>
        <v>0.76834599745659626</v>
      </c>
      <c r="AC170" s="1062">
        <f ca="1">IF(UPPER('VVP1'!$F$3)="Y",OFFSET('VVP1'!$H64,0,5*(COLUMN()-7)),AC28)</f>
        <v>0.9774669050103677</v>
      </c>
      <c r="AD170" s="1062">
        <f ca="1">IF(UPPER('VVP1'!$F$3)="Y",OFFSET('VVP1'!$H64,0,5*(COLUMN()-7)),AD28)</f>
        <v>0.97967375999999995</v>
      </c>
      <c r="AE170" s="1062">
        <f ca="1">IF(UPPER('VVP1'!$F$3)="Y",OFFSET('VVP1'!$H64,0,5*(COLUMN()-7)),AE28)</f>
        <v>1.0339966699919998</v>
      </c>
    </row>
    <row r="171" spans="1:94">
      <c r="A171" s="664"/>
      <c r="B171" s="665">
        <v>7</v>
      </c>
      <c r="C171" s="1480"/>
      <c r="D171" s="1"/>
      <c r="E171" s="1" t="str">
        <f>+Transfer!B107</f>
        <v>VOL. CHANGE IN INVENTORIES</v>
      </c>
      <c r="F171" s="1481"/>
      <c r="G171" s="1062"/>
      <c r="H171" s="1062">
        <f ca="1">IF(UPPER('VVP1'!$F$3)="Y",OFFSET('VVP1'!$H11,0,5*(COLUMN()-7)),H64)</f>
        <v>0.29714994768925784</v>
      </c>
      <c r="I171" s="1062">
        <f ca="1">IF(UPPER('VVP1'!$F$3)="Y",OFFSET('VVP1'!$H11,0,5*(COLUMN()-7)),I64)</f>
        <v>0.42085279543125864</v>
      </c>
      <c r="J171" s="1062">
        <f ca="1">IF(UPPER('VVP1'!$F$3)="Y",OFFSET('VVP1'!$H11,0,5*(COLUMN()-7)),J64)</f>
        <v>0.27764628992005491</v>
      </c>
      <c r="K171" s="1062">
        <f ca="1">IF(UPPER('VVP1'!$F$3)="Y",OFFSET('VVP1'!$H11,0,5*(COLUMN()-7)),K64)</f>
        <v>-8.1809550237368356E-2</v>
      </c>
      <c r="L171" s="1062">
        <f ca="1">IF(UPPER('VVP1'!$F$3)="Y",OFFSET('VVP1'!$H11,0,5*(COLUMN()-7)),L64)</f>
        <v>-0.12871298731774772</v>
      </c>
      <c r="M171" s="1062">
        <f ca="1">IF(UPPER('VVP1'!$F$3)="Y",OFFSET('VVP1'!$H11,0,5*(COLUMN()-7)),M64)</f>
        <v>3.7927906775703235E-2</v>
      </c>
      <c r="N171" s="1062">
        <f ca="1">IF(UPPER('VVP1'!$F$3)="Y",OFFSET('VVP1'!$H11,0,5*(COLUMN()-7)),N64)</f>
        <v>-5.2552756954824531E-2</v>
      </c>
      <c r="O171" s="1062">
        <f ca="1">IF(UPPER('VVP1'!$F$3)="Y",OFFSET('VVP1'!$H11,0,5*(COLUMN()-7)),O64)</f>
        <v>5.2266216743838356E-2</v>
      </c>
      <c r="P171" s="1062">
        <f ca="1">IF(UPPER('VVP1'!$F$3)="Y",OFFSET('VVP1'!$H11,0,5*(COLUMN()-7)),P64)</f>
        <v>0.40974038779498301</v>
      </c>
      <c r="Q171" s="1062">
        <f ca="1">IF(UPPER('VVP1'!$F$3)="Y",OFFSET('VVP1'!$H11,0,5*(COLUMN()-7)),Q64)</f>
        <v>-0.36936153326731969</v>
      </c>
      <c r="R171" s="1062">
        <f ca="1">IF(UPPER('VVP1'!$F$3)="Y",OFFSET('VVP1'!$H11,0,5*(COLUMN()-7)),R64)</f>
        <v>-0.18476432241581264</v>
      </c>
      <c r="S171" s="1062">
        <f ca="1">IF(UPPER('VVP1'!$F$3)="Y",OFFSET('VVP1'!$H11,0,5*(COLUMN()-7)),S64)</f>
        <v>0.74597284307220946</v>
      </c>
      <c r="T171" s="1062">
        <f ca="1">IF(UPPER('VVP1'!$F$3)="Y",OFFSET('VVP1'!$H11,0,5*(COLUMN()-7)),T64)</f>
        <v>1.6690997749263801</v>
      </c>
      <c r="U171" s="1062">
        <f ca="1">IF(UPPER('VVP1'!$F$3)="Y",OFFSET('VVP1'!$H11,0,5*(COLUMN()-7)),U64)</f>
        <v>-1.0581531304323484</v>
      </c>
      <c r="V171" s="1062">
        <f ca="1">IF(UPPER('VVP1'!$F$3)="Y",OFFSET('VVP1'!$H11,0,5*(COLUMN()-7)),V64)</f>
        <v>-0.26519744346064655</v>
      </c>
      <c r="W171" s="1062">
        <f ca="1">IF(UPPER('VVP1'!$F$3)="Y",OFFSET('VVP1'!$H11,0,5*(COLUMN()-7)),W64)</f>
        <v>0.26090000000000657</v>
      </c>
      <c r="X171" s="1062">
        <f ca="1">IF(UPPER('VVP1'!$F$3)="Y",OFFSET('VVP1'!$H11,0,5*(COLUMN()-7)),X64)</f>
        <v>0.33770653397404971</v>
      </c>
      <c r="Y171" s="1062">
        <f ca="1">IF(UPPER('VVP1'!$F$3)="Y",OFFSET('VVP1'!$H11,0,5*(COLUMN()-7)),Y64)</f>
        <v>0.19162690931467097</v>
      </c>
      <c r="Z171" s="1062">
        <f ca="1">IF(UPPER('VVP1'!$F$3)="Y",OFFSET('VVP1'!$H11,0,5*(COLUMN()-7)),Z64)</f>
        <v>0.26539326719316847</v>
      </c>
      <c r="AA171" s="1062">
        <f ca="1">IF(UPPER('VVP1'!$F$3)="Y",OFFSET('VVP1'!$H11,0,5*(COLUMN()-7)),AA64)</f>
        <v>1.4475648188729195</v>
      </c>
      <c r="AB171" s="1062">
        <f ca="1">IF(UPPER('VVP1'!$F$3)="Y",OFFSET('VVP1'!$H11,0,5*(COLUMN()-7)),AB64)</f>
        <v>7.6073624423784736E-2</v>
      </c>
      <c r="AC171" s="1062">
        <f ca="1">IF(UPPER('VVP1'!$F$3)="Y",OFFSET('VVP1'!$H11,0,5*(COLUMN()-7)),AC64)</f>
        <v>-0.64598</v>
      </c>
      <c r="AD171" s="1062">
        <f ca="1">IF(UPPER('VVP1'!$F$3)="Y",OFFSET('VVP1'!$H11,0,5*(COLUMN()-7)),AD64)</f>
        <v>-0.64598</v>
      </c>
      <c r="AE171" s="1062">
        <f ca="1">IF(UPPER('VVP1'!$F$3)="Y",OFFSET('VVP1'!$H11,0,5*(COLUMN()-7)),AE64)</f>
        <v>-0.64598</v>
      </c>
    </row>
    <row r="172" spans="1:94">
      <c r="A172" s="664"/>
      <c r="B172" s="665">
        <v>8</v>
      </c>
      <c r="C172" s="1480"/>
      <c r="D172" s="1"/>
      <c r="E172" s="1" t="str">
        <f>+Transfer!B108</f>
        <v>VOL. EXPORTS OF GOODS (FOB)</v>
      </c>
      <c r="F172" s="1481"/>
      <c r="G172" s="1062"/>
      <c r="H172" s="1062">
        <f ca="1">IF(UPPER('VVP1'!$F$3)="Y",OFFSET('VVP1'!$H87,0,5*(COLUMN()-7)),H82)</f>
        <v>2.5425296215535447</v>
      </c>
      <c r="I172" s="1062">
        <f ca="1">IF(UPPER('VVP1'!$F$3)="Y",OFFSET('VVP1'!$H87,0,5*(COLUMN()-7)),I82)</f>
        <v>3.5582276528923091</v>
      </c>
      <c r="J172" s="1062">
        <f ca="1">IF(UPPER('VVP1'!$F$3)="Y",OFFSET('VVP1'!$H87,0,5*(COLUMN()-7)),J82)</f>
        <v>4.0320899590107944</v>
      </c>
      <c r="K172" s="1062">
        <f ca="1">IF(UPPER('VVP1'!$F$3)="Y",OFFSET('VVP1'!$H87,0,5*(COLUMN()-7)),K82)</f>
        <v>2.8801063442519492</v>
      </c>
      <c r="L172" s="1062">
        <f ca="1">IF(UPPER('VVP1'!$F$3)="Y",OFFSET('VVP1'!$H87,0,5*(COLUMN()-7)),L82)</f>
        <v>3.0929317052804679</v>
      </c>
      <c r="M172" s="1062">
        <f ca="1">IF(UPPER('VVP1'!$F$3)="Y",OFFSET('VVP1'!$H87,0,5*(COLUMN()-7)),M82)</f>
        <v>4.675280900632063</v>
      </c>
      <c r="N172" s="1062">
        <f ca="1">IF(UPPER('VVP1'!$F$3)="Y",OFFSET('VVP1'!$H87,0,5*(COLUMN()-7)),N82)</f>
        <v>5.6465667461908451</v>
      </c>
      <c r="O172" s="1062">
        <f ca="1">IF(UPPER('VVP1'!$F$3)="Y",OFFSET('VVP1'!$H87,0,5*(COLUMN()-7)),O82)</f>
        <v>5.9584011497381795</v>
      </c>
      <c r="P172" s="1062">
        <f ca="1">IF(UPPER('VVP1'!$F$3)="Y",OFFSET('VVP1'!$H87,0,5*(COLUMN()-7)),P82)</f>
        <v>5.9881962482544093</v>
      </c>
      <c r="Q172" s="1062">
        <f ca="1">IF(UPPER('VVP1'!$F$3)="Y",OFFSET('VVP1'!$H87,0,5*(COLUMN()-7)),Q82)</f>
        <v>8.0033086861882801</v>
      </c>
      <c r="R172" s="1062">
        <f ca="1">IF(UPPER('VVP1'!$F$3)="Y",OFFSET('VVP1'!$H87,0,5*(COLUMN()-7)),R82)</f>
        <v>10.042384999611865</v>
      </c>
      <c r="S172" s="1062">
        <f ca="1">IF(UPPER('VVP1'!$F$3)="Y",OFFSET('VVP1'!$H87,0,5*(COLUMN()-7)),S82)</f>
        <v>10.918790125144687</v>
      </c>
      <c r="T172" s="1062">
        <f ca="1">IF(UPPER('VVP1'!$F$3)="Y",OFFSET('VVP1'!$H87,0,5*(COLUMN()-7)),T82)</f>
        <v>13.389717518550469</v>
      </c>
      <c r="U172" s="1062">
        <f ca="1">IF(UPPER('VVP1'!$F$3)="Y",OFFSET('VVP1'!$H87,0,5*(COLUMN()-7)),U82)</f>
        <v>13.273888781694966</v>
      </c>
      <c r="V172" s="1062">
        <f ca="1">IF(UPPER('VVP1'!$F$3)="Y",OFFSET('VVP1'!$H87,0,5*(COLUMN()-7)),V82)</f>
        <v>13.247249779119599</v>
      </c>
      <c r="W172" s="1062">
        <f ca="1">IF(UPPER('VVP1'!$F$3)="Y",OFFSET('VVP1'!$H87,0,5*(COLUMN()-7)),W82)</f>
        <v>17.204669999999997</v>
      </c>
      <c r="X172" s="1062">
        <f ca="1">IF(UPPER('VVP1'!$F$3)="Y",OFFSET('VVP1'!$H87,0,5*(COLUMN()-7)),X82)</f>
        <v>21.677140722838629</v>
      </c>
      <c r="Y172" s="1062">
        <f ca="1">IF(UPPER('VVP1'!$F$3)="Y",OFFSET('VVP1'!$H87,0,5*(COLUMN()-7)),Y82)</f>
        <v>24.512134664041998</v>
      </c>
      <c r="Z172" s="1062">
        <f ca="1">IF(UPPER('VVP1'!$F$3)="Y",OFFSET('VVP1'!$H87,0,5*(COLUMN()-7)),Z82)</f>
        <v>24.433200861337991</v>
      </c>
      <c r="AA172" s="1062">
        <f ca="1">IF(UPPER('VVP1'!$F$3)="Y",OFFSET('VVP1'!$H87,0,5*(COLUMN()-7)),AA82)</f>
        <v>23.563546467906711</v>
      </c>
      <c r="AB172" s="1062">
        <f ca="1">IF(UPPER('VVP1'!$F$3)="Y",OFFSET('VVP1'!$H87,0,5*(COLUMN()-7)),AB82)</f>
        <v>22.614434177780485</v>
      </c>
      <c r="AC172" s="1062">
        <f ca="1">IF(UPPER('VVP1'!$F$3)="Y",OFFSET('VVP1'!$H87,0,5*(COLUMN()-7)),AC82)</f>
        <v>24.59864798352611</v>
      </c>
      <c r="AD172" s="1062">
        <f ca="1">IF(UPPER('VVP1'!$F$3)="Y",OFFSET('VVP1'!$H87,0,5*(COLUMN()-7)),AD82)</f>
        <v>27.092071839999999</v>
      </c>
      <c r="AE172" s="1062">
        <f ca="1">IF(UPPER('VVP1'!$F$3)="Y",OFFSET('VVP1'!$H87,0,5*(COLUMN()-7)),AE82)</f>
        <v>28.934657829982079</v>
      </c>
    </row>
    <row r="173" spans="1:94">
      <c r="A173" s="664"/>
      <c r="B173" s="665">
        <v>9</v>
      </c>
      <c r="C173" s="1480"/>
      <c r="D173" s="1"/>
      <c r="E173" s="1" t="str">
        <f>+Transfer!B109</f>
        <v>VOL. EXPORTS OF SERVICES</v>
      </c>
      <c r="F173" s="1481"/>
      <c r="G173" s="1062"/>
      <c r="H173" s="1062">
        <f ca="1">IF(UPPER('VVP1'!$F$3)="Y",OFFSET('VVP1'!$H86,0,5*(COLUMN()-7)),H81)</f>
        <v>0.92606841168688081</v>
      </c>
      <c r="I173" s="1062">
        <f ca="1">IF(UPPER('VVP1'!$F$3)="Y",OFFSET('VVP1'!$H86,0,5*(COLUMN()-7)),I81)</f>
        <v>1.289233727856085</v>
      </c>
      <c r="J173" s="1062">
        <f ca="1">IF(UPPER('VVP1'!$F$3)="Y",OFFSET('VVP1'!$H86,0,5*(COLUMN()-7)),J81)</f>
        <v>1.5138076107842779</v>
      </c>
      <c r="K173" s="1062">
        <f ca="1">IF(UPPER('VVP1'!$F$3)="Y",OFFSET('VVP1'!$H86,0,5*(COLUMN()-7)),K81)</f>
        <v>1.4500011118134242</v>
      </c>
      <c r="L173" s="1062">
        <f ca="1">IF(UPPER('VVP1'!$F$3)="Y",OFFSET('VVP1'!$H86,0,5*(COLUMN()-7)),L81)</f>
        <v>1.3449920682821259</v>
      </c>
      <c r="M173" s="1062">
        <f ca="1">IF(UPPER('VVP1'!$F$3)="Y",OFFSET('VVP1'!$H86,0,5*(COLUMN()-7)),M81)</f>
        <v>1.5186623828023997</v>
      </c>
      <c r="N173" s="1062">
        <f ca="1">IF(UPPER('VVP1'!$F$3)="Y",OFFSET('VVP1'!$H86,0,5*(COLUMN()-7)),N81)</f>
        <v>1.7604304667258308</v>
      </c>
      <c r="O173" s="1062">
        <f ca="1">IF(UPPER('VVP1'!$F$3)="Y",OFFSET('VVP1'!$H86,0,5*(COLUMN()-7)),O81)</f>
        <v>1.8350883503036941</v>
      </c>
      <c r="P173" s="1062">
        <f ca="1">IF(UPPER('VVP1'!$F$3)="Y",OFFSET('VVP1'!$H86,0,5*(COLUMN()-7)),P81)</f>
        <v>2.0457752419700905</v>
      </c>
      <c r="Q173" s="1062">
        <f ca="1">IF(UPPER('VVP1'!$F$3)="Y",OFFSET('VVP1'!$H86,0,5*(COLUMN()-7)),Q81)</f>
        <v>2.4052909382391396</v>
      </c>
      <c r="R173" s="1062">
        <f ca="1">IF(UPPER('VVP1'!$F$3)="Y",OFFSET('VVP1'!$H86,0,5*(COLUMN()-7)),R81)</f>
        <v>2.6956139394547867</v>
      </c>
      <c r="S173" s="1062">
        <f ca="1">IF(UPPER('VVP1'!$F$3)="Y",OFFSET('VVP1'!$H86,0,5*(COLUMN()-7)),S81)</f>
        <v>2.8992930127687981</v>
      </c>
      <c r="T173" s="1062">
        <f ca="1">IF(UPPER('VVP1'!$F$3)="Y",OFFSET('VVP1'!$H86,0,5*(COLUMN()-7)),T81)</f>
        <v>3.209988509818027</v>
      </c>
      <c r="U173" s="1062">
        <f ca="1">IF(UPPER('VVP1'!$F$3)="Y",OFFSET('VVP1'!$H86,0,5*(COLUMN()-7)),U81)</f>
        <v>3.0192373763302123</v>
      </c>
      <c r="V173" s="1062">
        <f ca="1">IF(UPPER('VVP1'!$F$3)="Y",OFFSET('VVP1'!$H86,0,5*(COLUMN()-7)),V81)</f>
        <v>3.3924261431794998</v>
      </c>
      <c r="W173" s="1062">
        <f ca="1">IF(UPPER('VVP1'!$F$3)="Y",OFFSET('VVP1'!$H86,0,5*(COLUMN()-7)),W81)</f>
        <v>3.9303499999999993</v>
      </c>
      <c r="X173" s="1062">
        <f ca="1">IF(UPPER('VVP1'!$F$3)="Y",OFFSET('VVP1'!$H86,0,5*(COLUMN()-7)),X81)</f>
        <v>4.6836539552457159</v>
      </c>
      <c r="Y173" s="1062">
        <f ca="1">IF(UPPER('VVP1'!$F$3)="Y",OFFSET('VVP1'!$H86,0,5*(COLUMN()-7)),Y81)</f>
        <v>5.3917809190834145</v>
      </c>
      <c r="Z173" s="1062">
        <f ca="1">IF(UPPER('VVP1'!$F$3)="Y",OFFSET('VVP1'!$H86,0,5*(COLUMN()-7)),Z81)</f>
        <v>5.9152858062493179</v>
      </c>
      <c r="AA173" s="1062">
        <f ca="1">IF(UPPER('VVP1'!$F$3)="Y",OFFSET('VVP1'!$H86,0,5*(COLUMN()-7)),AA81)</f>
        <v>5.9869669199016124</v>
      </c>
      <c r="AB173" s="1062">
        <f ca="1">IF(UPPER('VVP1'!$F$3)="Y",OFFSET('VVP1'!$H86,0,5*(COLUMN()-7)),AB81)</f>
        <v>6.7492574056871453</v>
      </c>
      <c r="AC173" s="1062">
        <f ca="1">IF(UPPER('VVP1'!$F$3)="Y",OFFSET('VVP1'!$H86,0,5*(COLUMN()-7)),AC81)</f>
        <v>8.0017304798635713</v>
      </c>
      <c r="AD173" s="1062">
        <f ca="1">IF(UPPER('VVP1'!$F$3)="Y",OFFSET('VVP1'!$H86,0,5*(COLUMN()-7)),AD81)</f>
        <v>8.8183810499999993</v>
      </c>
      <c r="AE173" s="1062">
        <f ca="1">IF(UPPER('VVP1'!$F$3)="Y",OFFSET('VVP1'!$H86,0,5*(COLUMN()-7)),AE81)</f>
        <v>9.4455884021812491</v>
      </c>
    </row>
    <row r="174" spans="1:94">
      <c r="A174" s="664"/>
      <c r="B174" s="665">
        <v>10</v>
      </c>
      <c r="C174" s="1480"/>
      <c r="D174" s="1"/>
      <c r="E174" s="1" t="str">
        <f>+Transfer!B110</f>
        <v>VOL. IMPORTS OF GOODS (FOB)</v>
      </c>
      <c r="F174" s="1481"/>
      <c r="G174" s="1062"/>
      <c r="H174" s="1062">
        <f ca="1">IF(UPPER('VVP1'!$F$3)="Y",OFFSET('VVP1'!$H102,0,5*(COLUMN()-7)),H104)</f>
        <v>3.7722757279715027</v>
      </c>
      <c r="I174" s="1062">
        <f ca="1">IF(UPPER('VVP1'!$F$3)="Y",OFFSET('VVP1'!$H102,0,5*(COLUMN()-7)),I104)</f>
        <v>5.1931310124514134</v>
      </c>
      <c r="J174" s="1062">
        <f ca="1">IF(UPPER('VVP1'!$F$3)="Y",OFFSET('VVP1'!$H102,0,5*(COLUMN()-7)),J104)</f>
        <v>5.7537053022853177</v>
      </c>
      <c r="K174" s="1062">
        <f ca="1">IF(UPPER('VVP1'!$F$3)="Y",OFFSET('VVP1'!$H102,0,5*(COLUMN()-7)),K104)</f>
        <v>4.7761055134823653</v>
      </c>
      <c r="L174" s="1062">
        <f ca="1">IF(UPPER('VVP1'!$F$3)="Y",OFFSET('VVP1'!$H102,0,5*(COLUMN()-7)),L104)</f>
        <v>4.834447611540706</v>
      </c>
      <c r="M174" s="1062">
        <f ca="1">IF(UPPER('VVP1'!$F$3)="Y",OFFSET('VVP1'!$H102,0,5*(COLUMN()-7)),M104)</f>
        <v>6.1950230693412101</v>
      </c>
      <c r="N174" s="1062">
        <f ca="1">IF(UPPER('VVP1'!$F$3)="Y",OFFSET('VVP1'!$H102,0,5*(COLUMN()-7)),N104)</f>
        <v>7.3034599408565191</v>
      </c>
      <c r="O174" s="1062">
        <f ca="1">IF(UPPER('VVP1'!$F$3)="Y",OFFSET('VVP1'!$H102,0,5*(COLUMN()-7)),O104)</f>
        <v>7.5817939293708019</v>
      </c>
      <c r="P174" s="1062">
        <f ca="1">IF(UPPER('VVP1'!$F$3)="Y",OFFSET('VVP1'!$H102,0,5*(COLUMN()-7)),P104)</f>
        <v>8.5996386781217531</v>
      </c>
      <c r="Q174" s="1062">
        <f ca="1">IF(UPPER('VVP1'!$F$3)="Y",OFFSET('VVP1'!$H102,0,5*(COLUMN()-7)),Q104)</f>
        <v>10.278685682999035</v>
      </c>
      <c r="R174" s="1062">
        <f ca="1">IF(UPPER('VVP1'!$F$3)="Y",OFFSET('VVP1'!$H102,0,5*(COLUMN()-7)),R104)</f>
        <v>12.713954045357173</v>
      </c>
      <c r="S174" s="1062">
        <f ca="1">IF(UPPER('VVP1'!$F$3)="Y",OFFSET('VVP1'!$H102,0,5*(COLUMN()-7)),S104)</f>
        <v>15.183482152866763</v>
      </c>
      <c r="T174" s="1062">
        <f ca="1">IF(UPPER('VVP1'!$F$3)="Y",OFFSET('VVP1'!$H102,0,5*(COLUMN()-7)),T104)</f>
        <v>17.965945279182556</v>
      </c>
      <c r="U174" s="1062">
        <f ca="1">IF(UPPER('VVP1'!$F$3)="Y",OFFSET('VVP1'!$H102,0,5*(COLUMN()-7)),U104)</f>
        <v>13.808270806085607</v>
      </c>
      <c r="V174" s="1062">
        <f ca="1">IF(UPPER('VVP1'!$F$3)="Y",OFFSET('VVP1'!$H102,0,5*(COLUMN()-7)),V104)</f>
        <v>14.919855463290974</v>
      </c>
      <c r="W174" s="1062">
        <f ca="1">IF(UPPER('VVP1'!$F$3)="Y",OFFSET('VVP1'!$H102,0,5*(COLUMN()-7)),W104)</f>
        <v>18.97306</v>
      </c>
      <c r="X174" s="1062">
        <f ca="1">IF(UPPER('VVP1'!$F$3)="Y",OFFSET('VVP1'!$H102,0,5*(COLUMN()-7)),X104)</f>
        <v>22.513466175777655</v>
      </c>
      <c r="Y174" s="1062">
        <f ca="1">IF(UPPER('VVP1'!$F$3)="Y",OFFSET('VVP1'!$H102,0,5*(COLUMN()-7)),Y104)</f>
        <v>25.340790174376046</v>
      </c>
      <c r="Z174" s="1062">
        <f ca="1">IF(UPPER('VVP1'!$F$3)="Y",OFFSET('VVP1'!$H102,0,5*(COLUMN()-7)),Z104)</f>
        <v>25.611440938865478</v>
      </c>
      <c r="AA174" s="1062">
        <f ca="1">IF(UPPER('VVP1'!$F$3)="Y",OFFSET('VVP1'!$H102,0,5*(COLUMN()-7)),AA104)</f>
        <v>26.487065169064213</v>
      </c>
      <c r="AB174" s="1062">
        <f ca="1">IF(UPPER('VVP1'!$F$3)="Y",OFFSET('VVP1'!$H102,0,5*(COLUMN()-7)),AB104)</f>
        <v>25.022739903926134</v>
      </c>
      <c r="AC174" s="1062">
        <f ca="1">IF(UPPER('VVP1'!$F$3)="Y",OFFSET('VVP1'!$H102,0,5*(COLUMN()-7)),AC104)</f>
        <v>26.710417898364799</v>
      </c>
      <c r="AD174" s="1062">
        <f ca="1">IF(UPPER('VVP1'!$F$3)="Y",OFFSET('VVP1'!$H102,0,5*(COLUMN()-7)),AD104)</f>
        <v>29.621771549999995</v>
      </c>
      <c r="AE174" s="1062">
        <f ca="1">IF(UPPER('VVP1'!$F$3)="Y",OFFSET('VVP1'!$H102,0,5*(COLUMN()-7)),AE104)</f>
        <v>31.941156262364995</v>
      </c>
    </row>
    <row r="175" spans="1:94">
      <c r="A175" s="664"/>
      <c r="B175" s="665">
        <v>11</v>
      </c>
      <c r="C175" s="1480"/>
      <c r="D175" s="1"/>
      <c r="E175" s="1" t="str">
        <f>+Transfer!B111</f>
        <v>VOL. IMPORTS OF SERVICES</v>
      </c>
      <c r="F175" s="1481"/>
      <c r="G175" s="1062"/>
      <c r="H175" s="1062">
        <f ca="1">IF(UPPER('VVP1'!$F$3)="Y",OFFSET('VVP1'!$H101,0,5*(COLUMN()-7)),H103)</f>
        <v>0.80914652515132945</v>
      </c>
      <c r="I175" s="1062">
        <f ca="1">IF(UPPER('VVP1'!$F$3)="Y",OFFSET('VVP1'!$H101,0,5*(COLUMN()-7)),I103)</f>
        <v>1.0278735399546439</v>
      </c>
      <c r="J175" s="1062">
        <f ca="1">IF(UPPER('VVP1'!$F$3)="Y",OFFSET('VVP1'!$H101,0,5*(COLUMN()-7)),J103)</f>
        <v>1.0875952141019616</v>
      </c>
      <c r="K175" s="1062">
        <f ca="1">IF(UPPER('VVP1'!$F$3)="Y",OFFSET('VVP1'!$H101,0,5*(COLUMN()-7)),K103)</f>
        <v>1.0044213433306373</v>
      </c>
      <c r="L175" s="1062">
        <f ca="1">IF(UPPER('VVP1'!$F$3)="Y",OFFSET('VVP1'!$H101,0,5*(COLUMN()-7)),L103)</f>
        <v>0.78744619560131013</v>
      </c>
      <c r="M175" s="1062">
        <f ca="1">IF(UPPER('VVP1'!$F$3)="Y",OFFSET('VVP1'!$H101,0,5*(COLUMN()-7)),M103)</f>
        <v>0.81110343936422258</v>
      </c>
      <c r="N175" s="1062">
        <f ca="1">IF(UPPER('VVP1'!$F$3)="Y",OFFSET('VVP1'!$H101,0,5*(COLUMN()-7)),N103)</f>
        <v>1.0292535072525266</v>
      </c>
      <c r="O175" s="1062">
        <f ca="1">IF(UPPER('VVP1'!$F$3)="Y",OFFSET('VVP1'!$H101,0,5*(COLUMN()-7)),O103)</f>
        <v>1.1983510271979427</v>
      </c>
      <c r="P175" s="1062">
        <f ca="1">IF(UPPER('VVP1'!$F$3)="Y",OFFSET('VVP1'!$H101,0,5*(COLUMN()-7)),P103)</f>
        <v>1.376103111452424</v>
      </c>
      <c r="Q175" s="1062">
        <f ca="1">IF(UPPER('VVP1'!$F$3)="Y",OFFSET('VVP1'!$H101,0,5*(COLUMN()-7)),Q103)</f>
        <v>1.6571461018158751</v>
      </c>
      <c r="R175" s="1062">
        <f ca="1">IF(UPPER('VVP1'!$F$3)="Y",OFFSET('VVP1'!$H101,0,5*(COLUMN()-7)),R103)</f>
        <v>1.9421344194201153</v>
      </c>
      <c r="S175" s="1062">
        <f ca="1">IF(UPPER('VVP1'!$F$3)="Y",OFFSET('VVP1'!$H101,0,5*(COLUMN()-7)),S103)</f>
        <v>2.3955959597588108</v>
      </c>
      <c r="T175" s="1062">
        <f ca="1">IF(UPPER('VVP1'!$F$3)="Y",OFFSET('VVP1'!$H101,0,5*(COLUMN()-7)),T103)</f>
        <v>2.7168480718631804</v>
      </c>
      <c r="U175" s="1062">
        <f ca="1">IF(UPPER('VVP1'!$F$3)="Y",OFFSET('VVP1'!$H101,0,5*(COLUMN()-7)),U103)</f>
        <v>2.367776309878491</v>
      </c>
      <c r="V175" s="1062">
        <f ca="1">IF(UPPER('VVP1'!$F$3)="Y",OFFSET('VVP1'!$H101,0,5*(COLUMN()-7)),V103)</f>
        <v>2.2190085277705345</v>
      </c>
      <c r="W175" s="1062">
        <f ca="1">IF(UPPER('VVP1'!$F$3)="Y",OFFSET('VVP1'!$H101,0,5*(COLUMN()-7)),W103)</f>
        <v>2.6943299999999999</v>
      </c>
      <c r="X175" s="1062">
        <f ca="1">IF(UPPER('VVP1'!$F$3)="Y",OFFSET('VVP1'!$H101,0,5*(COLUMN()-7)),X103)</f>
        <v>3.3508247889456748</v>
      </c>
      <c r="Y175" s="1062">
        <f ca="1">IF(UPPER('VVP1'!$F$3)="Y",OFFSET('VVP1'!$H101,0,5*(COLUMN()-7)),Y103)</f>
        <v>4.0467798034506419</v>
      </c>
      <c r="Z175" s="1062">
        <f ca="1">IF(UPPER('VVP1'!$F$3)="Y",OFFSET('VVP1'!$H101,0,5*(COLUMN()-7)),Z103)</f>
        <v>4.2355969688599862</v>
      </c>
      <c r="AA175" s="1062">
        <f ca="1">IF(UPPER('VVP1'!$F$3)="Y",OFFSET('VVP1'!$H101,0,5*(COLUMN()-7)),AA103)</f>
        <v>4.2033260633151137</v>
      </c>
      <c r="AB175" s="1062">
        <f ca="1">IF(UPPER('VVP1'!$F$3)="Y",OFFSET('VVP1'!$H101,0,5*(COLUMN()-7)),AB103)</f>
        <v>4.5475389925779508</v>
      </c>
      <c r="AC175" s="1062">
        <f ca="1">IF(UPPER('VVP1'!$F$3)="Y",OFFSET('VVP1'!$H101,0,5*(COLUMN()-7)),AC103)</f>
        <v>5.2033230788250053</v>
      </c>
      <c r="AD175" s="1062">
        <f ca="1">IF(UPPER('VVP1'!$F$3)="Y",OFFSET('VVP1'!$H101,0,5*(COLUMN()-7)),AD103)</f>
        <v>5.72553585</v>
      </c>
      <c r="AE175" s="1062">
        <f ca="1">IF(UPPER('VVP1'!$F$3)="Y",OFFSET('VVP1'!$H101,0,5*(COLUMN()-7)),AE103)</f>
        <v>6.1862697198494994</v>
      </c>
    </row>
    <row r="176" spans="1:94">
      <c r="A176" s="664"/>
      <c r="B176" s="665">
        <v>12</v>
      </c>
      <c r="C176" s="1480"/>
      <c r="D176" s="1"/>
      <c r="E176" s="1" t="str">
        <f>+Transfer!B112</f>
        <v>VOL. GROSS DOMESTIC PRODUCT</v>
      </c>
      <c r="F176" s="1481"/>
      <c r="G176" s="1062"/>
      <c r="H176" s="1062">
        <f ca="1">IF(UPPER('VVP1'!$F$3)="Y",OFFSET('VVP1'!$H17,0,5*(COLUMN()-7)),H125)</f>
        <v>8.1713275698400576</v>
      </c>
      <c r="I176" s="1062">
        <f ca="1">IF(UPPER('VVP1'!$F$3)="Y",OFFSET('VVP1'!$H17,0,5*(COLUMN()-7)),I125)</f>
        <v>10.50490520255436</v>
      </c>
      <c r="J176" s="1062">
        <f ca="1">IF(UPPER('VVP1'!$F$3)="Y",OFFSET('VVP1'!$H17,0,5*(COLUMN()-7)),J125)</f>
        <v>12.618124979631343</v>
      </c>
      <c r="K176" s="1062">
        <f ca="1">IF(UPPER('VVP1'!$F$3)="Y",OFFSET('VVP1'!$H17,0,5*(COLUMN()-7)),K125)</f>
        <v>12.888940890404298</v>
      </c>
      <c r="L176" s="1062">
        <f ca="1">IF(UPPER('VVP1'!$F$3)="Y",OFFSET('VVP1'!$H17,0,5*(COLUMN()-7)),L125)</f>
        <v>13.172433665997298</v>
      </c>
      <c r="M176" s="1062">
        <f ca="1">IF(UPPER('VVP1'!$F$3)="Y",OFFSET('VVP1'!$H17,0,5*(COLUMN()-7)),M125)</f>
        <v>14.263795371054259</v>
      </c>
      <c r="N176" s="1062">
        <f ca="1">IF(UPPER('VVP1'!$F$3)="Y",OFFSET('VVP1'!$H17,0,5*(COLUMN()-7)),N125)</f>
        <v>15.165140922806771</v>
      </c>
      <c r="O176" s="1062">
        <f ca="1">IF(UPPER('VVP1'!$F$3)="Y",OFFSET('VVP1'!$H17,0,5*(COLUMN()-7)),O125)</f>
        <v>16.764327866626619</v>
      </c>
      <c r="P176" s="1062">
        <f ca="1">IF(UPPER('VVP1'!$F$3)="Y",OFFSET('VVP1'!$H17,0,5*(COLUMN()-7)),P125)</f>
        <v>17.909991876551185</v>
      </c>
      <c r="Q176" s="1062">
        <f ca="1">IF(UPPER('VVP1'!$F$3)="Y",OFFSET('VVP1'!$H17,0,5*(COLUMN()-7)),Q125)</f>
        <v>19.647019274344096</v>
      </c>
      <c r="R176" s="1062">
        <f ca="1">IF(UPPER('VVP1'!$F$3)="Y",OFFSET('VVP1'!$H17,0,5*(COLUMN()-7)),R125)</f>
        <v>22.557878660698041</v>
      </c>
      <c r="S176" s="1062">
        <f ca="1">IF(UPPER('VVP1'!$F$3)="Y",OFFSET('VVP1'!$H17,0,5*(COLUMN()-7)),S125)</f>
        <v>26.748829729111595</v>
      </c>
      <c r="T176" s="1062">
        <f ca="1">IF(UPPER('VVP1'!$F$3)="Y",OFFSET('VVP1'!$H17,0,5*(COLUMN()-7)),T125)</f>
        <v>29.803872461951531</v>
      </c>
      <c r="U176" s="1062">
        <f ca="1">IF(UPPER('VVP1'!$F$3)="Y",OFFSET('VVP1'!$H17,0,5*(COLUMN()-7)),U125)</f>
        <v>27.85259653255882</v>
      </c>
      <c r="V176" s="1062">
        <f ca="1">IF(UPPER('VVP1'!$F$3)="Y",OFFSET('VVP1'!$H17,0,5*(COLUMN()-7)),V125)</f>
        <v>27.376504448381109</v>
      </c>
      <c r="W176" s="1062">
        <f ca="1">IF(UPPER('VVP1'!$F$3)="Y",OFFSET('VVP1'!$H17,0,5*(COLUMN()-7)),W125)</f>
        <v>29.721409999999995</v>
      </c>
      <c r="X176" s="1062">
        <f ca="1">IF(UPPER('VVP1'!$F$3)="Y",OFFSET('VVP1'!$H17,0,5*(COLUMN()-7)),X125)</f>
        <v>32.472207175756466</v>
      </c>
      <c r="Y176" s="1062">
        <f ca="1">IF(UPPER('VVP1'!$F$3)="Y",OFFSET('VVP1'!$H17,0,5*(COLUMN()-7)),Y125)</f>
        <v>34.515202328020862</v>
      </c>
      <c r="Z176" s="1062">
        <f ca="1">IF(UPPER('VVP1'!$F$3)="Y",OFFSET('VVP1'!$H17,0,5*(COLUMN()-7)),Z125)</f>
        <v>36.196377535384471</v>
      </c>
      <c r="AA176" s="1062">
        <f ca="1">IF(UPPER('VVP1'!$F$3)="Y",OFFSET('VVP1'!$H17,0,5*(COLUMN()-7)),AA125)</f>
        <v>37.312322960551342</v>
      </c>
      <c r="AB176" s="1062">
        <f ca="1">IF(UPPER('VVP1'!$F$3)="Y",OFFSET('VVP1'!$H17,0,5*(COLUMN()-7)),AB125)</f>
        <v>38.304220191653336</v>
      </c>
      <c r="AC176" s="1062">
        <f ca="1">IF(UPPER('VVP1'!$F$3)="Y",OFFSET('VVP1'!$H17,0,5*(COLUMN()-7)),AC125)</f>
        <v>40.433610411171614</v>
      </c>
      <c r="AD176" s="1062">
        <f ca="1">IF(UPPER('VVP1'!$F$3)="Y",OFFSET('VVP1'!$H17,0,5*(COLUMN()-7)),AD125)</f>
        <v>43.083363642323164</v>
      </c>
      <c r="AE176" s="1062">
        <f ca="1">IF(UPPER('VVP1'!$F$3)="Y",OFFSET('VVP1'!$H17,0,5*(COLUMN()-7)),AE125)</f>
        <v>45.379921147033215</v>
      </c>
    </row>
    <row r="177" spans="1:94">
      <c r="A177" s="664"/>
      <c r="B177" s="665">
        <v>28</v>
      </c>
      <c r="C177" s="1480"/>
      <c r="D177" s="1"/>
      <c r="E177" s="1" t="str">
        <f>+Transfer!B128</f>
        <v xml:space="preserve">VOL. FIXED INVESTMENT GOVERNMENT  </v>
      </c>
      <c r="F177" s="1481"/>
      <c r="G177" s="1062"/>
      <c r="H177" s="1062" t="e">
        <f ca="1">IF(UPPER('VVP1'!$F$3)="Y",OFFSET('VVP1'!$H71,0,5*(COLUMN()-7)),H45)</f>
        <v>#VALUE!</v>
      </c>
      <c r="I177" s="1062" t="e">
        <f ca="1">IF(UPPER('VVP1'!$F$3)="Y",OFFSET('VVP1'!$H71,0,5*(COLUMN()-7)),I45)</f>
        <v>#VALUE!</v>
      </c>
      <c r="J177" s="1062" t="e">
        <f ca="1">IF(UPPER('VVP1'!$F$3)="Y",OFFSET('VVP1'!$H71,0,5*(COLUMN()-7)),J45)</f>
        <v>#VALUE!</v>
      </c>
      <c r="K177" s="1062" t="e">
        <f ca="1">IF(UPPER('VVP1'!$F$3)="Y",OFFSET('VVP1'!$H71,0,5*(COLUMN()-7)),K45)</f>
        <v>#VALUE!</v>
      </c>
      <c r="L177" s="1062">
        <f ca="1">IF(UPPER('VVP1'!$F$3)="Y",OFFSET('VVP1'!$H71,0,5*(COLUMN()-7)),L45)</f>
        <v>0.34685224839400425</v>
      </c>
      <c r="M177" s="1062">
        <f ca="1">IF(UPPER('VVP1'!$F$3)="Y",OFFSET('VVP1'!$H71,0,5*(COLUMN()-7)),M45)</f>
        <v>0.34628479657387584</v>
      </c>
      <c r="N177" s="1062">
        <f ca="1">IF(UPPER('VVP1'!$F$3)="Y",OFFSET('VVP1'!$H71,0,5*(COLUMN()-7)),N45)</f>
        <v>0.48359743040685232</v>
      </c>
      <c r="O177" s="1062">
        <f ca="1">IF(UPPER('VVP1'!$F$3)="Y",OFFSET('VVP1'!$H71,0,5*(COLUMN()-7)),O45)</f>
        <v>0.54923982869379029</v>
      </c>
      <c r="P177" s="1062">
        <f ca="1">IF(UPPER('VVP1'!$F$3)="Y",OFFSET('VVP1'!$H71,0,5*(COLUMN()-7)),P45)</f>
        <v>0.70425053533190574</v>
      </c>
      <c r="Q177" s="1956">
        <f ca="1">IF(UPPER('VVP1'!$F$3)="Y",OFFSET('VVP1'!$H71,0,5*(COLUMN()-7)),Q45)</f>
        <v>0.81100642398286948</v>
      </c>
      <c r="R177" s="1956">
        <f ca="1">IF(UPPER('VVP1'!$F$3)="Y",OFFSET('VVP1'!$H71,0,5*(COLUMN()-7)),R45)</f>
        <v>1.1020663811563167</v>
      </c>
      <c r="S177" s="1956">
        <f ca="1">IF(UPPER('VVP1'!$F$3)="Y",OFFSET('VVP1'!$H71,0,5*(COLUMN()-7)),S45)</f>
        <v>1.6834689507494647</v>
      </c>
      <c r="T177" s="1956">
        <f ca="1">IF(UPPER('VVP1'!$F$3)="Y",OFFSET('VVP1'!$H71,0,5*(COLUMN()-7)),T45)</f>
        <v>1.8834582441113492</v>
      </c>
      <c r="U177" s="1956">
        <f ca="1">IF(UPPER('VVP1'!$F$3)="Y",OFFSET('VVP1'!$H71,0,5*(COLUMN()-7)),U45)</f>
        <v>1.2732334047109208</v>
      </c>
      <c r="V177" s="1956">
        <f ca="1">IF(UPPER('VVP1'!$F$3)="Y",OFFSET('VVP1'!$H71,0,5*(COLUMN()-7)),V45)</f>
        <v>1.3570048780487807</v>
      </c>
      <c r="W177" s="1956">
        <f ca="1">IF(UPPER('VVP1'!$F$3)="Y",OFFSET('VVP1'!$H71,0,5*(COLUMN()-7)),W45)</f>
        <v>1.4431512195121954</v>
      </c>
      <c r="X177" s="1956">
        <f ca="1">IF(UPPER('VVP1'!$F$3)="Y",OFFSET('VVP1'!$H71,0,5*(COLUMN()-7)),X45)</f>
        <v>1.2939804878048782</v>
      </c>
      <c r="Y177" s="1956">
        <f ca="1">IF(UPPER('VVP1'!$F$3)="Y",OFFSET('VVP1'!$H71,0,5*(COLUMN()-7)),Y45)</f>
        <v>1.2775414634146343</v>
      </c>
      <c r="Z177" s="1956">
        <f ca="1">IF(UPPER('VVP1'!$F$3)="Y",OFFSET('VVP1'!$H71,0,5*(COLUMN()-7)),Z45)</f>
        <v>1.2516878048780489</v>
      </c>
      <c r="AA177" s="1956">
        <f ca="1">IF(UPPER('VVP1'!$F$3)="Y",OFFSET('VVP1'!$H71,0,5*(COLUMN()-7)),AA45)</f>
        <v>1.3409853658536586</v>
      </c>
      <c r="AB177" s="1956">
        <f ca="1">IF(UPPER('VVP1'!$F$3)="Y",OFFSET('VVP1'!$H71,0,5*(COLUMN()-7)),AB45)</f>
        <v>1.1652424242424242</v>
      </c>
      <c r="AC177" s="1956">
        <f ca="1">IF(UPPER('VVP1'!$F$3)="Y",OFFSET('VVP1'!$H71,0,5*(COLUMN()-7)),AC45)</f>
        <v>1.1881976999999999</v>
      </c>
      <c r="AD177" s="1956">
        <f ca="1">IF(UPPER('VVP1'!$F$3)="Y",OFFSET('VVP1'!$H71,0,5*(COLUMN()-7)),AD45)</f>
        <v>1.3153341409813797</v>
      </c>
      <c r="AE177" s="1956">
        <f ca="1">IF(UPPER('VVP1'!$F$3)="Y",OFFSET('VVP1'!$H71,0,5*(COLUMN()-7)),AE45)</f>
        <v>1.4157599026453078</v>
      </c>
    </row>
    <row r="178" spans="1:94">
      <c r="A178" s="664"/>
      <c r="B178" s="665">
        <v>31</v>
      </c>
      <c r="C178" s="1480"/>
      <c r="D178" s="1"/>
      <c r="E178" s="1" t="str">
        <f>+Transfer!B131</f>
        <v>VOL. FIXED INVESTMENT HOUSING</v>
      </c>
      <c r="F178" s="1481"/>
      <c r="G178" s="1062"/>
      <c r="H178" s="1062">
        <f ca="1">IF(UPPER('VVP1'!$F$3)="Y",OFFSET('VVP1'!$H59,0,5*(COLUMN()-7)),H22)</f>
        <v>0.17832482912181075</v>
      </c>
      <c r="I178" s="1062">
        <f ca="1">IF(UPPER('VVP1'!$F$3)="Y",OFFSET('VVP1'!$H59,0,5*(COLUMN()-7)),I22)</f>
        <v>0.18278017170329669</v>
      </c>
      <c r="J178" s="1062">
        <f ca="1">IF(UPPER('VVP1'!$F$3)="Y",OFFSET('VVP1'!$H59,0,5*(COLUMN()-7)),J22)</f>
        <v>0.18995445742391637</v>
      </c>
      <c r="K178" s="1062">
        <f ca="1">IF(UPPER('VVP1'!$F$3)="Y",OFFSET('VVP1'!$H59,0,5*(COLUMN()-7)),K22)</f>
        <v>0.20994319211822662</v>
      </c>
      <c r="L178" s="1062">
        <f ca="1">IF(UPPER('VVP1'!$F$3)="Y",OFFSET('VVP1'!$H59,0,5*(COLUMN()-7)),L22)</f>
        <v>0.23297373703933605</v>
      </c>
      <c r="M178" s="1062">
        <f ca="1">IF(UPPER('VVP1'!$F$3)="Y",OFFSET('VVP1'!$H59,0,5*(COLUMN()-7)),M22)</f>
        <v>0.2262220937591993</v>
      </c>
      <c r="N178" s="1062">
        <f ca="1">IF(UPPER('VVP1'!$F$3)="Y",OFFSET('VVP1'!$H59,0,5*(COLUMN()-7)),N22)</f>
        <v>0.20058687433910022</v>
      </c>
      <c r="O178" s="1062">
        <f ca="1">IF(UPPER('VVP1'!$F$3)="Y",OFFSET('VVP1'!$H59,0,5*(COLUMN()-7)),O22)</f>
        <v>0.23057564403834707</v>
      </c>
      <c r="P178" s="1062">
        <f ca="1">IF(UPPER('VVP1'!$F$3)="Y",OFFSET('VVP1'!$H59,0,5*(COLUMN()-7)),P22)</f>
        <v>0.38885539822452958</v>
      </c>
      <c r="Q178" s="1062">
        <f ca="1">IF(UPPER('VVP1'!$F$3)="Y",OFFSET('VVP1'!$H59,0,5*(COLUMN()-7)),Q22)</f>
        <v>0.41865151567542663</v>
      </c>
      <c r="R178" s="1062">
        <f ca="1">IF(UPPER('VVP1'!$F$3)="Y",OFFSET('VVP1'!$H59,0,5*(COLUMN()-7)),R22)</f>
        <v>0.55030292247093859</v>
      </c>
      <c r="S178" s="1062">
        <f ca="1">IF(UPPER('VVP1'!$F$3)="Y",OFFSET('VVP1'!$H59,0,5*(COLUMN()-7)),S22)</f>
        <v>0.69978260259419001</v>
      </c>
      <c r="T178" s="1062">
        <f ca="1">IF(UPPER('VVP1'!$F$3)="Y",OFFSET('VVP1'!$H59,0,5*(COLUMN()-7)),T22)</f>
        <v>1.009917155713832</v>
      </c>
      <c r="U178" s="1062">
        <f ca="1">IF(UPPER('VVP1'!$F$3)="Y",OFFSET('VVP1'!$H59,0,5*(COLUMN()-7)),U22)</f>
        <v>1.0269807603650818</v>
      </c>
      <c r="V178" s="1062">
        <f ca="1">IF(UPPER('VVP1'!$F$3)="Y",OFFSET('VVP1'!$H59,0,5*(COLUMN()-7)),V22)</f>
        <v>0.61767241758767533</v>
      </c>
      <c r="W178" s="1062">
        <f ca="1">IF(UPPER('VVP1'!$F$3)="Y",OFFSET('VVP1'!$H59,0,5*(COLUMN()-7)),W22)</f>
        <v>0.59385999999999994</v>
      </c>
      <c r="X178" s="1062">
        <f ca="1">IF(UPPER('VVP1'!$F$3)="Y",OFFSET('VVP1'!$H59,0,5*(COLUMN()-7)),X22)</f>
        <v>0.63016528727309451</v>
      </c>
      <c r="Y178" s="1062">
        <f ca="1">IF(UPPER('VVP1'!$F$3)="Y",OFFSET('VVP1'!$H59,0,5*(COLUMN()-7)),Y22)</f>
        <v>0.72428201103334722</v>
      </c>
      <c r="Z178" s="1062">
        <f ca="1">IF(UPPER('VVP1'!$F$3)="Y",OFFSET('VVP1'!$H59,0,5*(COLUMN()-7)),Z22)</f>
        <v>0.8849715104174356</v>
      </c>
      <c r="AA178" s="1062">
        <f ca="1">IF(UPPER('VVP1'!$F$3)="Y",OFFSET('VVP1'!$H59,0,5*(COLUMN()-7)),AA22)</f>
        <v>1.0493143864612278</v>
      </c>
      <c r="AB178" s="1062">
        <f ca="1">IF(UPPER('VVP1'!$F$3)="Y",OFFSET('VVP1'!$H59,0,5*(COLUMN()-7)),AB22)</f>
        <v>1.1247678027438224</v>
      </c>
      <c r="AC178" s="1062">
        <f ca="1">IF(UPPER('VVP1'!$F$3)="Y",OFFSET('VVP1'!$H59,0,5*(COLUMN()-7)),AC22)</f>
        <v>1.1071820347568258</v>
      </c>
      <c r="AD178" s="1062">
        <f ca="1">IF(UPPER('VVP1'!$F$3)="Y",OFFSET('VVP1'!$H59,0,5*(COLUMN()-7)),AD22)</f>
        <v>1.16537895</v>
      </c>
      <c r="AE178" s="1062">
        <f ca="1">IF(UPPER('VVP1'!$F$3)="Y",OFFSET('VVP1'!$H59,0,5*(COLUMN()-7)),AE22)</f>
        <v>1.2255055115462998</v>
      </c>
    </row>
    <row r="179" spans="1:94">
      <c r="A179" s="664"/>
      <c r="B179" s="665">
        <v>58</v>
      </c>
      <c r="C179" s="1484"/>
      <c r="D179" s="113"/>
      <c r="E179" s="113" t="str">
        <f>+Transfer!B158</f>
        <v>VOL GROSS VALUE ADDED</v>
      </c>
      <c r="F179" s="1482"/>
      <c r="G179" s="1514"/>
      <c r="H179" s="1514">
        <f ca="1">IF(UPPER('VVP1'!$F$3)="Y",OFFSET('VVP1'!$H119,0,5*(COLUMN()-7)),H159)</f>
        <v>7.2992217075971704</v>
      </c>
      <c r="I179" s="1514">
        <f ca="1">IF(UPPER('VVP1'!$F$3)="Y",OFFSET('VVP1'!$H119,0,5*(COLUMN()-7)),I159)</f>
        <v>9.4447631952491893</v>
      </c>
      <c r="J179" s="1514">
        <f ca="1">IF(UPPER('VVP1'!$F$3)="Y",OFFSET('VVP1'!$H119,0,5*(COLUMN()-7)),J159)</f>
        <v>11.05845748947338</v>
      </c>
      <c r="K179" s="1514">
        <f ca="1">IF(UPPER('VVP1'!$F$3)="Y",OFFSET('VVP1'!$H119,0,5*(COLUMN()-7)),K159)</f>
        <v>11.296544324943005</v>
      </c>
      <c r="L179" s="1514">
        <f ca="1">IF(UPPER('VVP1'!$F$3)="Y",OFFSET('VVP1'!$H119,0,5*(COLUMN()-7)),L159)</f>
        <v>11.578352806936994</v>
      </c>
      <c r="M179" s="1514">
        <f ca="1">IF(UPPER('VVP1'!$F$3)="Y",OFFSET('VVP1'!$H119,0,5*(COLUMN()-7)),M159)</f>
        <v>12.676861952376994</v>
      </c>
      <c r="N179" s="1514">
        <f ca="1">IF(UPPER('VVP1'!$F$3)="Y",OFFSET('VVP1'!$H119,0,5*(COLUMN()-7)),N159)</f>
        <v>13.498458493740799</v>
      </c>
      <c r="O179" s="1514">
        <f ca="1">IF(UPPER('VVP1'!$F$3)="Y",OFFSET('VVP1'!$H119,0,5*(COLUMN()-7)),O159)</f>
        <v>14.913623177992683</v>
      </c>
      <c r="P179" s="1514">
        <f ca="1">IF(UPPER('VVP1'!$F$3)="Y",OFFSET('VVP1'!$H119,0,5*(COLUMN()-7)),P159)</f>
        <v>16.050366453024235</v>
      </c>
      <c r="Q179" s="1514">
        <f ca="1">IF(UPPER('VVP1'!$F$3)="Y",OFFSET('VVP1'!$H119,0,5*(COLUMN()-7)),Q159)</f>
        <v>17.774589817555778</v>
      </c>
      <c r="R179" s="1514">
        <f ca="1">IF(UPPER('VVP1'!$F$3)="Y",OFFSET('VVP1'!$H119,0,5*(COLUMN()-7)),R159)</f>
        <v>20.417650421643756</v>
      </c>
      <c r="S179" s="1514">
        <f ca="1">IF(UPPER('VVP1'!$F$3)="Y",OFFSET('VVP1'!$H119,0,5*(COLUMN()-7)),S159)</f>
        <v>24.143288388127445</v>
      </c>
      <c r="T179" s="1514">
        <f ca="1">IF(UPPER('VVP1'!$F$3)="Y",OFFSET('VVP1'!$H119,0,5*(COLUMN()-7)),T159)</f>
        <v>26.761805277227229</v>
      </c>
      <c r="U179" s="1514">
        <f ca="1">IF(UPPER('VVP1'!$F$3)="Y",OFFSET('VVP1'!$H119,0,5*(COLUMN()-7)),U159)</f>
        <v>25.001376754942324</v>
      </c>
      <c r="V179" s="1514">
        <f ca="1">IF(UPPER('VVP1'!$F$3)="Y",OFFSET('VVP1'!$H119,0,5*(COLUMN()-7)),V159)</f>
        <v>24.6988372190817</v>
      </c>
      <c r="W179" s="1514">
        <f ca="1">IF(UPPER('VVP1'!$F$3)="Y",OFFSET('VVP1'!$H119,0,5*(COLUMN()-7)),W159)</f>
        <v>26.733210000000003</v>
      </c>
      <c r="X179" s="1514">
        <f ca="1">IF(UPPER('VVP1'!$F$3)="Y",OFFSET('VVP1'!$H119,0,5*(COLUMN()-7)),X159)</f>
        <v>29.237735018607946</v>
      </c>
      <c r="Y179" s="1514">
        <f ca="1">IF(UPPER('VVP1'!$F$3)="Y",OFFSET('VVP1'!$H119,0,5*(COLUMN()-7)),Y159)</f>
        <v>31.220506102618938</v>
      </c>
      <c r="Z179" s="1514">
        <f ca="1">IF(UPPER('VVP1'!$F$3)="Y",OFFSET('VVP1'!$H119,0,5*(COLUMN()-7)),Z159)</f>
        <v>32.811149667087292</v>
      </c>
      <c r="AA179" s="1514">
        <f ca="1">IF(UPPER('VVP1'!$F$3)="Y",OFFSET('VVP1'!$H119,0,5*(COLUMN()-7)),AA159)</f>
        <v>33.74049337344055</v>
      </c>
      <c r="AB179" s="1514">
        <f ca="1">IF(UPPER('VVP1'!$F$3)="Y",OFFSET('VVP1'!$H119,0,5*(COLUMN()-7)),AB159)</f>
        <v>34.499586109841616</v>
      </c>
      <c r="AC179" s="1514">
        <f ca="1">IF(UPPER('VVP1'!$F$3)="Y",OFFSET('VVP1'!$H119,0,5*(COLUMN()-7)),AC159)</f>
        <v>36.121428247538752</v>
      </c>
      <c r="AD179" s="1514">
        <f ca="1">IF(UPPER('VVP1'!$F$3)="Y",OFFSET('VVP1'!$H119,0,5*(COLUMN()-7)),AD159)</f>
        <v>38.641359819963441</v>
      </c>
      <c r="AE179" s="1514">
        <f ca="1">IF(UPPER('VVP1'!$F$3)="Y",OFFSET('VVP1'!$H119,0,5*(COLUMN()-7)),AE159)</f>
        <v>40.689019264836176</v>
      </c>
    </row>
    <row r="180" spans="1:94">
      <c r="AB180" s="557"/>
      <c r="AC180" s="557"/>
      <c r="AD180" s="557"/>
      <c r="AE180" s="557"/>
    </row>
    <row r="181" spans="1:94">
      <c r="AB181" s="557"/>
      <c r="AC181" s="557"/>
      <c r="AD181" s="557"/>
      <c r="AE181" s="557"/>
    </row>
    <row r="182" spans="1:94" s="217" customFormat="1" ht="22.5" customHeight="1">
      <c r="A182" s="665"/>
      <c r="B182" s="665"/>
      <c r="C182" s="3751" t="s">
        <v>1384</v>
      </c>
      <c r="D182" s="3751"/>
      <c r="E182" s="3751"/>
      <c r="F182" s="3751"/>
      <c r="Q182" s="557"/>
      <c r="R182" s="557"/>
      <c r="S182" s="557"/>
      <c r="T182" s="557"/>
      <c r="U182" s="557"/>
      <c r="V182" s="557"/>
      <c r="W182" s="557"/>
      <c r="X182" s="557"/>
      <c r="Y182" s="557"/>
      <c r="Z182" s="557"/>
      <c r="AA182" s="557"/>
      <c r="AB182" s="557"/>
      <c r="AC182" s="557"/>
      <c r="AD182" s="557"/>
      <c r="AE182" s="557"/>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row>
    <row r="183" spans="1:94">
      <c r="AB183" s="557"/>
      <c r="AC183" s="557"/>
      <c r="AD183" s="557"/>
      <c r="AE183" s="557"/>
    </row>
    <row r="184" spans="1:94">
      <c r="A184" s="1130"/>
      <c r="B184" s="1130"/>
      <c r="D184" s="1074"/>
      <c r="E184" s="1075" t="s">
        <v>1273</v>
      </c>
      <c r="F184" s="1076"/>
      <c r="G184" s="698">
        <f>+InputY!$G$3</f>
        <v>1995</v>
      </c>
      <c r="H184" s="698">
        <f>+G184+1</f>
        <v>1996</v>
      </c>
      <c r="I184" s="698">
        <f t="shared" ref="I184:O184" si="170">+H184+1</f>
        <v>1997</v>
      </c>
      <c r="J184" s="698">
        <f t="shared" si="170"/>
        <v>1998</v>
      </c>
      <c r="K184" s="698">
        <f t="shared" si="170"/>
        <v>1999</v>
      </c>
      <c r="L184" s="698">
        <f t="shared" si="170"/>
        <v>2000</v>
      </c>
      <c r="M184" s="698">
        <f t="shared" si="170"/>
        <v>2001</v>
      </c>
      <c r="N184" s="698">
        <f t="shared" si="170"/>
        <v>2002</v>
      </c>
      <c r="O184" s="698">
        <f t="shared" si="170"/>
        <v>2003</v>
      </c>
      <c r="P184" s="698">
        <f t="shared" ref="P184:V184" si="171">+O184+1</f>
        <v>2004</v>
      </c>
      <c r="Q184" s="698">
        <f t="shared" si="171"/>
        <v>2005</v>
      </c>
      <c r="R184" s="698">
        <f t="shared" si="171"/>
        <v>2006</v>
      </c>
      <c r="S184" s="698">
        <f>+R184+1</f>
        <v>2007</v>
      </c>
      <c r="T184" s="698">
        <f t="shared" si="171"/>
        <v>2008</v>
      </c>
      <c r="U184" s="698">
        <f t="shared" si="171"/>
        <v>2009</v>
      </c>
      <c r="V184" s="698">
        <f t="shared" si="171"/>
        <v>2010</v>
      </c>
      <c r="W184" s="698">
        <f t="shared" ref="W184:AE184" si="172">+V184+1</f>
        <v>2011</v>
      </c>
      <c r="X184" s="698">
        <f t="shared" si="172"/>
        <v>2012</v>
      </c>
      <c r="Y184" s="698">
        <f t="shared" si="172"/>
        <v>2013</v>
      </c>
      <c r="Z184" s="698">
        <f t="shared" si="172"/>
        <v>2014</v>
      </c>
      <c r="AA184" s="698">
        <f t="shared" si="172"/>
        <v>2015</v>
      </c>
      <c r="AB184" s="698">
        <f t="shared" si="172"/>
        <v>2016</v>
      </c>
      <c r="AC184" s="698">
        <f t="shared" si="172"/>
        <v>2017</v>
      </c>
      <c r="AD184" s="698">
        <f t="shared" si="172"/>
        <v>2018</v>
      </c>
      <c r="AE184" s="698">
        <f t="shared" si="172"/>
        <v>2019</v>
      </c>
    </row>
    <row r="185" spans="1:94">
      <c r="A185" s="664">
        <f>+ROW(InputY!A60)</f>
        <v>60</v>
      </c>
      <c r="B185" s="1130" t="s">
        <v>746</v>
      </c>
      <c r="C185" s="1082" t="s">
        <v>1769</v>
      </c>
      <c r="D185" s="1086"/>
      <c r="E185" s="1087" t="s">
        <v>821</v>
      </c>
      <c r="F185" s="1086" t="s">
        <v>1895</v>
      </c>
      <c r="G185" s="1088">
        <f>+InputY!G60/1000</f>
        <v>4.9615900000000002</v>
      </c>
      <c r="H185" s="1088">
        <f>+InputY!H60/1000</f>
        <v>6.2328599999999996</v>
      </c>
      <c r="I185" s="1088">
        <f>+InputY!I60/1000</f>
        <v>7.1923199999999996</v>
      </c>
      <c r="J185" s="1088">
        <f>+InputY!J60/1000</f>
        <v>7.9673100000000003</v>
      </c>
      <c r="K185" s="1088">
        <f>+InputY!K60/1000</f>
        <v>8.2599499999999999</v>
      </c>
      <c r="L185" s="1088">
        <f>+InputY!L60/1000</f>
        <v>8.691889999999999</v>
      </c>
      <c r="M185" s="1088">
        <f>+InputY!M60/1000</f>
        <v>9.2690300000000008</v>
      </c>
      <c r="N185" s="1088">
        <f>+InputY!N60/1000</f>
        <v>9.8024199999999997</v>
      </c>
      <c r="O185" s="1088">
        <f>+InputY!O60/1000</f>
        <v>10.739979999999999</v>
      </c>
      <c r="P185" s="1088">
        <f>+InputY!P60/1000</f>
        <v>11.88908</v>
      </c>
      <c r="Q185" s="1088">
        <f>+InputY!Q60/1000</f>
        <v>13.583080000000001</v>
      </c>
      <c r="R185" s="1088">
        <f>+InputY!R60/1000</f>
        <v>15.509840000000001</v>
      </c>
      <c r="S185" s="1088">
        <f>+InputY!S60/1000</f>
        <v>18.460609999999999</v>
      </c>
      <c r="T185" s="1088">
        <f>+InputY!T60/1000</f>
        <v>21.260830000000002</v>
      </c>
      <c r="U185" s="1088">
        <f>+InputY!U60/1000</f>
        <v>18.33539</v>
      </c>
      <c r="V185" s="1088">
        <f>+InputY!V60/1000</f>
        <v>17.945540000000001</v>
      </c>
      <c r="W185" s="1088">
        <f>+InputY!W60/1000</f>
        <v>19.543849999999999</v>
      </c>
      <c r="X185" s="1088">
        <f>+InputY!X60/1000</f>
        <v>20.77008</v>
      </c>
      <c r="Y185" s="1088">
        <f>+InputY!Y60/1000</f>
        <v>21.881709999999998</v>
      </c>
      <c r="Z185" s="1088">
        <f>+InputY!Z60/1000</f>
        <v>22.776820000000001</v>
      </c>
      <c r="AA185" s="1088">
        <f>+InputY!AA60/1000</f>
        <v>23.47364</v>
      </c>
      <c r="AB185" s="1088">
        <f>+InputY!AB60/1000</f>
        <v>24.863340000000001</v>
      </c>
      <c r="AC185" s="1088">
        <f>+InputY!AC60/1000</f>
        <v>26.80039</v>
      </c>
      <c r="AD185" s="1340">
        <f ca="1">+AC185*(1+AD188/100)</f>
        <v>28.459602144899996</v>
      </c>
      <c r="AE185" s="1340">
        <f ca="1">+AD185*(1+AE188/100)</f>
        <v>30.045541934026691</v>
      </c>
    </row>
    <row r="186" spans="1:94">
      <c r="AB186" s="557"/>
      <c r="AC186" s="557"/>
      <c r="AD186" s="557"/>
      <c r="AE186" s="557"/>
    </row>
    <row r="187" spans="1:94" s="699" customFormat="1" ht="12.75" customHeight="1">
      <c r="A187" s="664"/>
      <c r="B187" s="664"/>
      <c r="C187" s="774"/>
      <c r="D187" s="1092"/>
      <c r="E187" s="1093" t="s">
        <v>1273</v>
      </c>
      <c r="F187" s="1094"/>
      <c r="G187" s="896">
        <f>+InputY!$G$3</f>
        <v>1995</v>
      </c>
      <c r="H187" s="896">
        <f>+G187+1</f>
        <v>1996</v>
      </c>
      <c r="I187" s="896">
        <f t="shared" ref="I187:O187" si="173">+H187+1</f>
        <v>1997</v>
      </c>
      <c r="J187" s="896">
        <f t="shared" si="173"/>
        <v>1998</v>
      </c>
      <c r="K187" s="896">
        <f t="shared" si="173"/>
        <v>1999</v>
      </c>
      <c r="L187" s="896">
        <f t="shared" si="173"/>
        <v>2000</v>
      </c>
      <c r="M187" s="896">
        <f t="shared" si="173"/>
        <v>2001</v>
      </c>
      <c r="N187" s="896">
        <f t="shared" si="173"/>
        <v>2002</v>
      </c>
      <c r="O187" s="896">
        <f t="shared" si="173"/>
        <v>2003</v>
      </c>
      <c r="P187" s="896">
        <f t="shared" ref="P187:V187" si="174">+O187+1</f>
        <v>2004</v>
      </c>
      <c r="Q187" s="896">
        <f t="shared" si="174"/>
        <v>2005</v>
      </c>
      <c r="R187" s="896">
        <f t="shared" si="174"/>
        <v>2006</v>
      </c>
      <c r="S187" s="896">
        <f>+R187+1</f>
        <v>2007</v>
      </c>
      <c r="T187" s="896">
        <f t="shared" si="174"/>
        <v>2008</v>
      </c>
      <c r="U187" s="896">
        <f t="shared" si="174"/>
        <v>2009</v>
      </c>
      <c r="V187" s="896">
        <f t="shared" si="174"/>
        <v>2010</v>
      </c>
      <c r="W187" s="896">
        <f t="shared" ref="W187:AE187" si="175">+V187+1</f>
        <v>2011</v>
      </c>
      <c r="X187" s="896">
        <f t="shared" si="175"/>
        <v>2012</v>
      </c>
      <c r="Y187" s="896">
        <f t="shared" si="175"/>
        <v>2013</v>
      </c>
      <c r="Z187" s="896">
        <f t="shared" si="175"/>
        <v>2014</v>
      </c>
      <c r="AA187" s="896">
        <f t="shared" si="175"/>
        <v>2015</v>
      </c>
      <c r="AB187" s="896">
        <f t="shared" si="175"/>
        <v>2016</v>
      </c>
      <c r="AC187" s="896">
        <f t="shared" si="175"/>
        <v>2017</v>
      </c>
      <c r="AD187" s="896">
        <f t="shared" si="175"/>
        <v>2018</v>
      </c>
      <c r="AE187" s="896">
        <f t="shared" si="175"/>
        <v>2019</v>
      </c>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row>
    <row r="188" spans="1:94" s="699" customFormat="1" ht="12.75" customHeight="1">
      <c r="A188" s="664"/>
      <c r="B188" s="664"/>
      <c r="C188" s="798" t="s">
        <v>1769</v>
      </c>
      <c r="D188" s="833" t="s">
        <v>685</v>
      </c>
      <c r="E188" s="834" t="s">
        <v>821</v>
      </c>
      <c r="F188" s="835" t="s">
        <v>1895</v>
      </c>
      <c r="G188" s="1115"/>
      <c r="H188" s="1115">
        <f>+(H185/G185-1)*100</f>
        <v>25.622229970634393</v>
      </c>
      <c r="I188" s="1115">
        <f t="shared" ref="I188:AC188" si="176">+(I185/H185-1)*100</f>
        <v>15.393575341015197</v>
      </c>
      <c r="J188" s="1115">
        <f t="shared" si="176"/>
        <v>10.775243593166062</v>
      </c>
      <c r="K188" s="1115">
        <f t="shared" si="176"/>
        <v>3.6730088323411403</v>
      </c>
      <c r="L188" s="1115">
        <f t="shared" si="176"/>
        <v>5.2293294753600117</v>
      </c>
      <c r="M188" s="1115">
        <f t="shared" si="176"/>
        <v>6.639982788553489</v>
      </c>
      <c r="N188" s="1115">
        <f t="shared" si="176"/>
        <v>5.75453957965395</v>
      </c>
      <c r="O188" s="1115">
        <f t="shared" si="176"/>
        <v>9.5645769105996195</v>
      </c>
      <c r="P188" s="1115">
        <f>+(P185/O185-1)*100</f>
        <v>10.699275045204937</v>
      </c>
      <c r="Q188" s="1115">
        <f t="shared" si="176"/>
        <v>14.248369091637048</v>
      </c>
      <c r="R188" s="1115">
        <f t="shared" si="176"/>
        <v>14.18500075093425</v>
      </c>
      <c r="S188" s="1115">
        <f t="shared" si="176"/>
        <v>19.025147906103477</v>
      </c>
      <c r="T188" s="1115">
        <f t="shared" si="176"/>
        <v>15.168621188573962</v>
      </c>
      <c r="U188" s="1115">
        <f t="shared" si="176"/>
        <v>-13.759763847413298</v>
      </c>
      <c r="V188" s="1115">
        <f t="shared" si="176"/>
        <v>-2.1262160226752647</v>
      </c>
      <c r="W188" s="1115">
        <f t="shared" si="176"/>
        <v>8.9064469500499612</v>
      </c>
      <c r="X188" s="1115">
        <f t="shared" si="176"/>
        <v>6.2742499558684717</v>
      </c>
      <c r="Y188" s="1115">
        <f t="shared" si="176"/>
        <v>5.3520737522436024</v>
      </c>
      <c r="Z188" s="1115">
        <f t="shared" si="176"/>
        <v>4.0906766427303953</v>
      </c>
      <c r="AA188" s="1115">
        <f t="shared" si="176"/>
        <v>3.0593383975462629</v>
      </c>
      <c r="AB188" s="1115">
        <f t="shared" si="176"/>
        <v>5.9202577870326012</v>
      </c>
      <c r="AC188" s="1115">
        <f t="shared" si="176"/>
        <v>7.790787561124124</v>
      </c>
      <c r="AD188" s="1427">
        <f ca="1">OFFSET('VVP1'!$K$35,0,5*(COLUMN()-7))</f>
        <v>6.190999999999991</v>
      </c>
      <c r="AE188" s="1427">
        <f ca="1">OFFSET('VVP1'!$K$35,0,5*(COLUMN()-7))</f>
        <v>5.5725999999999942</v>
      </c>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row>
    <row r="189" spans="1:94">
      <c r="AB189" s="557"/>
      <c r="AC189" s="557"/>
      <c r="AD189" s="557"/>
      <c r="AE189" s="557"/>
    </row>
    <row r="190" spans="1:94" s="699" customFormat="1" ht="12.75" customHeight="1">
      <c r="A190" s="664"/>
      <c r="B190" s="664"/>
      <c r="C190" s="774"/>
      <c r="D190" s="775"/>
      <c r="E190" s="776" t="s">
        <v>1274</v>
      </c>
      <c r="F190" s="777"/>
      <c r="G190" s="778">
        <f>+InputY!$G$3</f>
        <v>1995</v>
      </c>
      <c r="H190" s="778">
        <f>+G190+1</f>
        <v>1996</v>
      </c>
      <c r="I190" s="778">
        <f t="shared" ref="I190:Q190" si="177">+H190+1</f>
        <v>1997</v>
      </c>
      <c r="J190" s="778">
        <f t="shared" si="177"/>
        <v>1998</v>
      </c>
      <c r="K190" s="778">
        <f t="shared" si="177"/>
        <v>1999</v>
      </c>
      <c r="L190" s="778">
        <f t="shared" si="177"/>
        <v>2000</v>
      </c>
      <c r="M190" s="778">
        <f t="shared" si="177"/>
        <v>2001</v>
      </c>
      <c r="N190" s="778">
        <f t="shared" si="177"/>
        <v>2002</v>
      </c>
      <c r="O190" s="778">
        <f t="shared" si="177"/>
        <v>2003</v>
      </c>
      <c r="P190" s="778">
        <f>+O190+1</f>
        <v>2004</v>
      </c>
      <c r="Q190" s="778">
        <f t="shared" si="177"/>
        <v>2005</v>
      </c>
      <c r="R190" s="778">
        <f t="shared" ref="R190:AE190" si="178">+Q190+1</f>
        <v>2006</v>
      </c>
      <c r="S190" s="778">
        <f t="shared" si="178"/>
        <v>2007</v>
      </c>
      <c r="T190" s="778">
        <f t="shared" si="178"/>
        <v>2008</v>
      </c>
      <c r="U190" s="778">
        <f t="shared" si="178"/>
        <v>2009</v>
      </c>
      <c r="V190" s="778">
        <f t="shared" si="178"/>
        <v>2010</v>
      </c>
      <c r="W190" s="778">
        <f>+V190+1</f>
        <v>2011</v>
      </c>
      <c r="X190" s="778">
        <f t="shared" si="178"/>
        <v>2012</v>
      </c>
      <c r="Y190" s="778">
        <f t="shared" si="178"/>
        <v>2013</v>
      </c>
      <c r="Z190" s="778">
        <f t="shared" si="178"/>
        <v>2014</v>
      </c>
      <c r="AA190" s="778">
        <f t="shared" si="178"/>
        <v>2015</v>
      </c>
      <c r="AB190" s="778">
        <f t="shared" si="178"/>
        <v>2016</v>
      </c>
      <c r="AC190" s="778">
        <f t="shared" si="178"/>
        <v>2017</v>
      </c>
      <c r="AD190" s="778">
        <f t="shared" si="178"/>
        <v>2018</v>
      </c>
      <c r="AE190" s="778">
        <f t="shared" si="178"/>
        <v>2019</v>
      </c>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row>
    <row r="191" spans="1:94" s="699" customFormat="1" ht="12.75" customHeight="1">
      <c r="A191" s="664">
        <f>+ROW(InputY!A61)</f>
        <v>61</v>
      </c>
      <c r="B191" s="664">
        <v>119</v>
      </c>
      <c r="C191" s="779" t="s">
        <v>1767</v>
      </c>
      <c r="D191" s="668"/>
      <c r="E191" s="700" t="s">
        <v>1741</v>
      </c>
      <c r="F191" s="701" t="s">
        <v>744</v>
      </c>
      <c r="G191" s="780">
        <f>+InputY!G65/1000</f>
        <v>0.79224000000000006</v>
      </c>
      <c r="H191" s="780">
        <f>+InputY!H65/1000</f>
        <v>1.0240100000000001</v>
      </c>
      <c r="I191" s="780">
        <f>+InputY!I65/1000</f>
        <v>1.35297</v>
      </c>
      <c r="J191" s="780">
        <f>+InputY!J65/1000</f>
        <v>1.66221</v>
      </c>
      <c r="K191" s="780">
        <f>+InputY!K65/1000</f>
        <v>1.7330999999999999</v>
      </c>
      <c r="L191" s="780">
        <f>+InputY!L65/1000</f>
        <v>1.46346</v>
      </c>
      <c r="M191" s="780">
        <f>+InputY!M65/1000</f>
        <v>1.5200199999999999</v>
      </c>
      <c r="N191" s="780">
        <f>+InputY!N65/1000</f>
        <v>1.6473100000000001</v>
      </c>
      <c r="O191" s="780">
        <f>+InputY!O65/1000</f>
        <v>1.7149700000000001</v>
      </c>
      <c r="P191" s="780">
        <f>+InputY!P65/1000</f>
        <v>1.8429800000000001</v>
      </c>
      <c r="Q191" s="780">
        <f>+InputY!Q65/1000</f>
        <v>2.1234000000000002</v>
      </c>
      <c r="R191" s="780">
        <f>+InputY!R65/1000</f>
        <v>2.4421900000000001</v>
      </c>
      <c r="S191" s="780">
        <f>+InputY!S65/1000</f>
        <v>2.7316700000000003</v>
      </c>
      <c r="T191" s="780">
        <f>+InputY!T65/1000</f>
        <v>3.3761199999999998</v>
      </c>
      <c r="U191" s="780">
        <f>+InputY!U65/1000</f>
        <v>3.3891499999999999</v>
      </c>
      <c r="V191" s="780">
        <f>+InputY!V65/1000</f>
        <v>3.1927500000000002</v>
      </c>
      <c r="W191" s="780">
        <f>+InputY!W65/1000</f>
        <v>3.33344</v>
      </c>
      <c r="X191" s="780">
        <f>+InputY!X65/1000</f>
        <v>3.2970000000000002</v>
      </c>
      <c r="Y191" s="780">
        <f>+InputY!Y65/1000</f>
        <v>3.3099499999999997</v>
      </c>
      <c r="Z191" s="780">
        <f>+InputY!Z65/1000</f>
        <v>3.3924000000000003</v>
      </c>
      <c r="AA191" s="780">
        <f>+InputY!AA65/1000</f>
        <v>3.6384699999999999</v>
      </c>
      <c r="AB191" s="780">
        <f>+InputY!AB65/1000</f>
        <v>3.7765200000000001</v>
      </c>
      <c r="AC191" s="780">
        <f>+InputY!AC65/1000</f>
        <v>3.9208400000000001</v>
      </c>
      <c r="AD191" s="781">
        <f t="shared" ref="AD191:AE193" ca="1" si="179">+AC191*(1+AD197/100)</f>
        <v>4.161412395588</v>
      </c>
      <c r="AE191" s="781">
        <f t="shared" ca="1" si="179"/>
        <v>4.3792999700392308</v>
      </c>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row>
    <row r="192" spans="1:94" s="699" customFormat="1" ht="12.75" customHeight="1">
      <c r="A192" s="664">
        <f>+ROW(InputY!A62)</f>
        <v>62</v>
      </c>
      <c r="B192" s="664">
        <v>118</v>
      </c>
      <c r="C192" s="782" t="s">
        <v>1767</v>
      </c>
      <c r="D192" s="674"/>
      <c r="E192" s="783" t="s">
        <v>1742</v>
      </c>
      <c r="F192" s="704" t="s">
        <v>745</v>
      </c>
      <c r="G192" s="1133">
        <f>+InputY!G62/1000</f>
        <v>1.0702</v>
      </c>
      <c r="H192" s="1133">
        <f>+InputY!H62/1000</f>
        <v>1.31453</v>
      </c>
      <c r="I192" s="1133">
        <f>+InputY!I62/1000</f>
        <v>1.4791800000000002</v>
      </c>
      <c r="J192" s="1133">
        <f>+InputY!J62/1000</f>
        <v>1.7082599999999999</v>
      </c>
      <c r="K192" s="1133">
        <f>+InputY!K62/1000</f>
        <v>1.27505</v>
      </c>
      <c r="L192" s="1133">
        <f>+InputY!L62/1000</f>
        <v>1.5316700000000001</v>
      </c>
      <c r="M192" s="1133">
        <f>+InputY!M62/1000</f>
        <v>1.4814200000000002</v>
      </c>
      <c r="N192" s="1133">
        <f>+InputY!N62/1000</f>
        <v>1.47861</v>
      </c>
      <c r="O192" s="1133">
        <f>+InputY!O62/1000</f>
        <v>1.5441400000000001</v>
      </c>
      <c r="P192" s="1133">
        <f>+InputY!P62/1000</f>
        <v>1.6525099999999999</v>
      </c>
      <c r="Q192" s="1133">
        <f>+InputY!Q62/1000</f>
        <v>1.76301</v>
      </c>
      <c r="R192" s="1133">
        <f>+InputY!R62/1000</f>
        <v>2.1633200000000001</v>
      </c>
      <c r="S192" s="1133">
        <f>+InputY!S62/1000</f>
        <v>2.3351599999999997</v>
      </c>
      <c r="T192" s="1133">
        <f>+InputY!T62/1000</f>
        <v>2.7246799999999998</v>
      </c>
      <c r="U192" s="1133">
        <f>+InputY!U62/1000</f>
        <v>2.3306799999999996</v>
      </c>
      <c r="V192" s="1133">
        <f>+InputY!V62/1000</f>
        <v>2.3706300000000002</v>
      </c>
      <c r="W192" s="1133">
        <f>+InputY!W62/1000</f>
        <v>2.40388</v>
      </c>
      <c r="X192" s="1133">
        <f>+InputY!X62/1000</f>
        <v>2.5336799999999999</v>
      </c>
      <c r="Y192" s="1133">
        <f>+InputY!Y62/1000</f>
        <v>2.5270100000000002</v>
      </c>
      <c r="Z192" s="1133">
        <f>+InputY!Z62/1000</f>
        <v>2.68093</v>
      </c>
      <c r="AA192" s="1133">
        <f>+InputY!AA62/1000</f>
        <v>2.7902900000000002</v>
      </c>
      <c r="AB192" s="1133">
        <f>+InputY!AB62/1000</f>
        <v>2.8603499999999999</v>
      </c>
      <c r="AC192" s="1133">
        <f>+InputY!AC62/1000</f>
        <v>2.9872100000000001</v>
      </c>
      <c r="AD192" s="1428">
        <f t="shared" ca="1" si="179"/>
        <v>3.1365705000000004</v>
      </c>
      <c r="AE192" s="1428">
        <f t="shared" ca="1" si="179"/>
        <v>3.2933990250000007</v>
      </c>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row>
    <row r="193" spans="1:94" s="699" customFormat="1" ht="12.75" customHeight="1">
      <c r="A193" s="664">
        <f>+ROW(InputY!A63)</f>
        <v>63</v>
      </c>
      <c r="B193" s="664">
        <v>37</v>
      </c>
      <c r="C193" s="784" t="s">
        <v>1767</v>
      </c>
      <c r="D193" s="752"/>
      <c r="E193" s="753" t="s">
        <v>821</v>
      </c>
      <c r="F193" s="754" t="s">
        <v>1897</v>
      </c>
      <c r="G193" s="785">
        <f>+InputY!G63/1000</f>
        <v>1.8624400000000001</v>
      </c>
      <c r="H193" s="785">
        <f>+InputY!H63/1000</f>
        <v>2.3385500000000001</v>
      </c>
      <c r="I193" s="785">
        <f>+InputY!I63/1000</f>
        <v>2.83216</v>
      </c>
      <c r="J193" s="785">
        <f>+InputY!J63/1000</f>
        <v>3.3704699999999996</v>
      </c>
      <c r="K193" s="785">
        <f>+InputY!K63/1000</f>
        <v>3.0081500000000001</v>
      </c>
      <c r="L193" s="785">
        <f>+InputY!L63/1000</f>
        <v>2.9951300000000001</v>
      </c>
      <c r="M193" s="785">
        <f>+InputY!M63/1000</f>
        <v>3.0014400000000001</v>
      </c>
      <c r="N193" s="785">
        <f>+InputY!N63/1000</f>
        <v>3.1259200000000003</v>
      </c>
      <c r="O193" s="785">
        <f>+InputY!O63/1000</f>
        <v>3.2591100000000002</v>
      </c>
      <c r="P193" s="785">
        <f>+InputY!P63/1000</f>
        <v>3.4954899999999998</v>
      </c>
      <c r="Q193" s="785">
        <f>+InputY!Q63/1000</f>
        <v>3.8864099999999997</v>
      </c>
      <c r="R193" s="785">
        <f>+InputY!R63/1000</f>
        <v>4.6055000000000001</v>
      </c>
      <c r="S193" s="785">
        <f>+InputY!S63/1000</f>
        <v>5.0668299999999995</v>
      </c>
      <c r="T193" s="785">
        <f>+InputY!T63/1000</f>
        <v>6.1008000000000004</v>
      </c>
      <c r="U193" s="785">
        <f>+InputY!U63/1000</f>
        <v>5.71983</v>
      </c>
      <c r="V193" s="785">
        <f>+InputY!V63/1000</f>
        <v>5.5633800000000004</v>
      </c>
      <c r="W193" s="785">
        <f>+InputY!W63/1000</f>
        <v>5.7373199999999995</v>
      </c>
      <c r="X193" s="785">
        <f>+InputY!X63/1000</f>
        <v>5.8306800000000001</v>
      </c>
      <c r="Y193" s="785">
        <f>+InputY!Y63/1000</f>
        <v>5.83697</v>
      </c>
      <c r="Z193" s="785">
        <f>+InputY!Z63/1000</f>
        <v>6.0733300000000003</v>
      </c>
      <c r="AA193" s="785">
        <f>+InputY!AA63/1000</f>
        <v>6.4287700000000001</v>
      </c>
      <c r="AB193" s="785">
        <f>+InputY!AB63/1000</f>
        <v>6.63687</v>
      </c>
      <c r="AC193" s="785">
        <f>+InputY!AC63/1000</f>
        <v>6.9080500000000002</v>
      </c>
      <c r="AD193" s="781">
        <f t="shared" ca="1" si="179"/>
        <v>7.2979828955879995</v>
      </c>
      <c r="AE193" s="781">
        <f t="shared" ca="1" si="179"/>
        <v>7.6726989950392293</v>
      </c>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row>
    <row r="194" spans="1:94" s="699" customFormat="1" ht="12.75" customHeight="1">
      <c r="A194" s="664"/>
      <c r="B194" s="664"/>
      <c r="C194" s="774"/>
      <c r="D194" s="1973"/>
      <c r="E194" s="1973" t="s">
        <v>737</v>
      </c>
      <c r="F194" s="1973"/>
      <c r="G194" s="1002">
        <f t="shared" ref="G194:S194" si="180">ABS(G193-G191-G192)</f>
        <v>0</v>
      </c>
      <c r="H194" s="1002">
        <f t="shared" si="180"/>
        <v>1.0000000000065512E-5</v>
      </c>
      <c r="I194" s="1002">
        <f t="shared" si="180"/>
        <v>9.9999999998434674E-6</v>
      </c>
      <c r="J194" s="1002">
        <f t="shared" si="180"/>
        <v>2.2204460492503131E-16</v>
      </c>
      <c r="K194" s="1002">
        <f t="shared" si="180"/>
        <v>2.2204460492503131E-16</v>
      </c>
      <c r="L194" s="1002">
        <f t="shared" si="180"/>
        <v>0</v>
      </c>
      <c r="M194" s="1002">
        <f t="shared" si="180"/>
        <v>0</v>
      </c>
      <c r="N194" s="1002">
        <f t="shared" si="180"/>
        <v>2.2204460492503131E-16</v>
      </c>
      <c r="O194" s="1002">
        <f t="shared" si="180"/>
        <v>0</v>
      </c>
      <c r="P194" s="1002">
        <f t="shared" si="180"/>
        <v>2.2204460492503131E-16</v>
      </c>
      <c r="Q194" s="1002">
        <f t="shared" si="180"/>
        <v>4.4408920985006262E-16</v>
      </c>
      <c r="R194" s="1002">
        <f t="shared" si="180"/>
        <v>1.0000000000065512E-5</v>
      </c>
      <c r="S194" s="1002">
        <f t="shared" si="180"/>
        <v>4.4408920985006262E-16</v>
      </c>
      <c r="T194" s="2906">
        <f t="shared" ref="T194:Y194" si="181">ABS(T193-T191-T192)</f>
        <v>8.8817841970012523E-16</v>
      </c>
      <c r="U194" s="2906">
        <f t="shared" si="181"/>
        <v>4.4408920985006262E-16</v>
      </c>
      <c r="V194" s="2906">
        <f t="shared" si="181"/>
        <v>0</v>
      </c>
      <c r="W194" s="3125">
        <f t="shared" si="181"/>
        <v>4.4408920985006262E-16</v>
      </c>
      <c r="X194" s="3125">
        <f t="shared" si="181"/>
        <v>0</v>
      </c>
      <c r="Y194" s="3125">
        <f t="shared" si="181"/>
        <v>1.0000000000065512E-5</v>
      </c>
      <c r="Z194" s="3125">
        <f t="shared" ref="Z194:AE194" si="182">ABS(Z193-Z191-Z192)</f>
        <v>0</v>
      </c>
      <c r="AA194" s="3125">
        <f t="shared" si="182"/>
        <v>1.0000000000065512E-5</v>
      </c>
      <c r="AB194" s="3125">
        <f t="shared" si="182"/>
        <v>0</v>
      </c>
      <c r="AC194" s="3125">
        <f t="shared" si="182"/>
        <v>0</v>
      </c>
      <c r="AD194" s="3125">
        <f t="shared" ca="1" si="182"/>
        <v>8.8817841970012523E-16</v>
      </c>
      <c r="AE194" s="3125">
        <f t="shared" ca="1" si="182"/>
        <v>2.2204460492503131E-15</v>
      </c>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row>
    <row r="195" spans="1:94">
      <c r="AB195" s="557"/>
      <c r="AC195" s="557"/>
      <c r="AD195" s="557"/>
      <c r="AE195" s="557"/>
    </row>
    <row r="196" spans="1:94" s="699" customFormat="1" ht="12.75" customHeight="1">
      <c r="A196" s="664"/>
      <c r="B196" s="664"/>
      <c r="C196" s="774"/>
      <c r="D196" s="1092"/>
      <c r="E196" s="1093" t="s">
        <v>1274</v>
      </c>
      <c r="F196" s="1094"/>
      <c r="G196" s="896">
        <f>+InputY!$G$3</f>
        <v>1995</v>
      </c>
      <c r="H196" s="896">
        <f>+G196+1</f>
        <v>1996</v>
      </c>
      <c r="I196" s="896">
        <f t="shared" ref="I196:Q196" si="183">+H196+1</f>
        <v>1997</v>
      </c>
      <c r="J196" s="896">
        <f t="shared" si="183"/>
        <v>1998</v>
      </c>
      <c r="K196" s="896">
        <f t="shared" si="183"/>
        <v>1999</v>
      </c>
      <c r="L196" s="896">
        <f t="shared" si="183"/>
        <v>2000</v>
      </c>
      <c r="M196" s="896">
        <f t="shared" si="183"/>
        <v>2001</v>
      </c>
      <c r="N196" s="896">
        <f t="shared" si="183"/>
        <v>2002</v>
      </c>
      <c r="O196" s="896">
        <f t="shared" si="183"/>
        <v>2003</v>
      </c>
      <c r="P196" s="896">
        <f>+O196+1</f>
        <v>2004</v>
      </c>
      <c r="Q196" s="896">
        <f t="shared" si="183"/>
        <v>2005</v>
      </c>
      <c r="R196" s="896">
        <f t="shared" ref="R196:AE196" si="184">+Q196+1</f>
        <v>2006</v>
      </c>
      <c r="S196" s="896">
        <f t="shared" si="184"/>
        <v>2007</v>
      </c>
      <c r="T196" s="896">
        <f t="shared" si="184"/>
        <v>2008</v>
      </c>
      <c r="U196" s="896">
        <f t="shared" si="184"/>
        <v>2009</v>
      </c>
      <c r="V196" s="896">
        <f t="shared" si="184"/>
        <v>2010</v>
      </c>
      <c r="W196" s="896">
        <f>+V196+1</f>
        <v>2011</v>
      </c>
      <c r="X196" s="896">
        <f t="shared" si="184"/>
        <v>2012</v>
      </c>
      <c r="Y196" s="896">
        <f t="shared" si="184"/>
        <v>2013</v>
      </c>
      <c r="Z196" s="896">
        <f t="shared" si="184"/>
        <v>2014</v>
      </c>
      <c r="AA196" s="896">
        <f t="shared" si="184"/>
        <v>2015</v>
      </c>
      <c r="AB196" s="896">
        <f t="shared" si="184"/>
        <v>2016</v>
      </c>
      <c r="AC196" s="896">
        <f t="shared" si="184"/>
        <v>2017</v>
      </c>
      <c r="AD196" s="896">
        <f t="shared" si="184"/>
        <v>2018</v>
      </c>
      <c r="AE196" s="896">
        <f t="shared" si="184"/>
        <v>2019</v>
      </c>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row>
    <row r="197" spans="1:94" s="699" customFormat="1" ht="12.75" customHeight="1">
      <c r="A197" s="664"/>
      <c r="B197" s="664"/>
      <c r="C197" s="794" t="s">
        <v>1767</v>
      </c>
      <c r="D197" s="689"/>
      <c r="E197" s="738" t="s">
        <v>1741</v>
      </c>
      <c r="F197" s="733" t="s">
        <v>744</v>
      </c>
      <c r="G197" s="1095"/>
      <c r="H197" s="1095">
        <f>(H191/G191-1)*100</f>
        <v>29.255023730182785</v>
      </c>
      <c r="I197" s="1095">
        <f t="shared" ref="I197:AC197" si="185">(I191/H191-1)*100</f>
        <v>32.124686282360514</v>
      </c>
      <c r="J197" s="1095">
        <f t="shared" si="185"/>
        <v>22.856382624891893</v>
      </c>
      <c r="K197" s="1095">
        <f t="shared" si="185"/>
        <v>4.2648040861263059</v>
      </c>
      <c r="L197" s="1095">
        <f t="shared" si="185"/>
        <v>-15.558248225722693</v>
      </c>
      <c r="M197" s="1095">
        <f t="shared" si="185"/>
        <v>3.8648135241140746</v>
      </c>
      <c r="N197" s="1095">
        <f t="shared" si="185"/>
        <v>8.3742319180010849</v>
      </c>
      <c r="O197" s="1095">
        <f t="shared" si="185"/>
        <v>4.1073022078418786</v>
      </c>
      <c r="P197" s="1095">
        <f t="shared" si="185"/>
        <v>7.4642705120206099</v>
      </c>
      <c r="Q197" s="1095">
        <f t="shared" si="185"/>
        <v>15.21557477563511</v>
      </c>
      <c r="R197" s="1095">
        <f t="shared" si="185"/>
        <v>15.013186399171129</v>
      </c>
      <c r="S197" s="1095">
        <f t="shared" si="185"/>
        <v>11.853295607630866</v>
      </c>
      <c r="T197" s="1095">
        <f t="shared" si="185"/>
        <v>23.591795495063451</v>
      </c>
      <c r="U197" s="1095">
        <f t="shared" si="185"/>
        <v>0.38594599718020373</v>
      </c>
      <c r="V197" s="1095">
        <f t="shared" si="185"/>
        <v>-5.7949633388902688</v>
      </c>
      <c r="W197" s="1095">
        <f t="shared" si="185"/>
        <v>4.4065460809646684</v>
      </c>
      <c r="X197" s="1095">
        <f t="shared" si="185"/>
        <v>-1.0931650187193998</v>
      </c>
      <c r="Y197" s="1095">
        <f t="shared" si="185"/>
        <v>0.39278131634818969</v>
      </c>
      <c r="Z197" s="1095">
        <f t="shared" si="185"/>
        <v>2.4909741839000743</v>
      </c>
      <c r="AA197" s="1095">
        <f t="shared" si="185"/>
        <v>7.2535667963683492</v>
      </c>
      <c r="AB197" s="1095">
        <f t="shared" si="185"/>
        <v>3.7941772228436754</v>
      </c>
      <c r="AC197" s="1095">
        <f t="shared" si="185"/>
        <v>3.8215076313643292</v>
      </c>
      <c r="AD197" s="1421">
        <f ca="1">OFFSET('VVP1'!$K$47,0,5*(COLUMN()-7))</f>
        <v>6.1357361072627299</v>
      </c>
      <c r="AE197" s="1421">
        <f ca="1">OFFSET('VVP1'!$K$47,0,5*(COLUMN()-7))</f>
        <v>5.2359043934756073</v>
      </c>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row>
    <row r="198" spans="1:94" s="699" customFormat="1" ht="12.75" customHeight="1">
      <c r="A198" s="664"/>
      <c r="B198" s="664"/>
      <c r="C198" s="796" t="s">
        <v>1767</v>
      </c>
      <c r="D198" s="691"/>
      <c r="E198" s="797" t="s">
        <v>1742</v>
      </c>
      <c r="F198" s="736" t="s">
        <v>745</v>
      </c>
      <c r="G198" s="1096"/>
      <c r="H198" s="1096">
        <f>(H192/G192-1)*100</f>
        <v>22.830312091197904</v>
      </c>
      <c r="I198" s="1096">
        <f t="shared" ref="I198:AC198" si="186">(I192/H192-1)*100</f>
        <v>12.525389302640511</v>
      </c>
      <c r="J198" s="1096">
        <f t="shared" si="186"/>
        <v>15.486958990792177</v>
      </c>
      <c r="K198" s="1096">
        <f t="shared" si="186"/>
        <v>-25.359722758830618</v>
      </c>
      <c r="L198" s="1096">
        <f t="shared" si="186"/>
        <v>20.126269558056542</v>
      </c>
      <c r="M198" s="1096">
        <f t="shared" si="186"/>
        <v>-3.2807327949231802</v>
      </c>
      <c r="N198" s="1096">
        <f t="shared" si="186"/>
        <v>-0.18968287183919186</v>
      </c>
      <c r="O198" s="1096">
        <f t="shared" si="186"/>
        <v>4.4318650624573186</v>
      </c>
      <c r="P198" s="1096">
        <f t="shared" si="186"/>
        <v>7.0181460230289927</v>
      </c>
      <c r="Q198" s="1096">
        <f t="shared" si="186"/>
        <v>6.6867976593182554</v>
      </c>
      <c r="R198" s="1096">
        <f t="shared" si="186"/>
        <v>22.706053851084242</v>
      </c>
      <c r="S198" s="1096">
        <f t="shared" si="186"/>
        <v>7.9433463380359504</v>
      </c>
      <c r="T198" s="1096">
        <f t="shared" si="186"/>
        <v>16.680655715240068</v>
      </c>
      <c r="U198" s="1096">
        <f t="shared" si="186"/>
        <v>-14.460413699957432</v>
      </c>
      <c r="V198" s="1096">
        <f t="shared" si="186"/>
        <v>1.7140920246451863</v>
      </c>
      <c r="W198" s="1096">
        <f t="shared" si="186"/>
        <v>1.4025807485773756</v>
      </c>
      <c r="X198" s="1096">
        <f t="shared" si="186"/>
        <v>5.3996039735760393</v>
      </c>
      <c r="Y198" s="1096">
        <f t="shared" si="186"/>
        <v>-0.26325344952794483</v>
      </c>
      <c r="Z198" s="1096">
        <f t="shared" si="186"/>
        <v>6.090992912572557</v>
      </c>
      <c r="AA198" s="1096">
        <f t="shared" si="186"/>
        <v>4.0791814780691826</v>
      </c>
      <c r="AB198" s="1096">
        <f t="shared" si="186"/>
        <v>2.5108501266893235</v>
      </c>
      <c r="AC198" s="1096">
        <f t="shared" si="186"/>
        <v>4.4351215760309204</v>
      </c>
      <c r="AD198" s="1422">
        <f ca="1">OFFSET('VVP1'!$K$48,0,5*(COLUMN()-7))</f>
        <v>5</v>
      </c>
      <c r="AE198" s="1422">
        <f ca="1">OFFSET('VVP1'!$K$48,0,5*(COLUMN()-7))</f>
        <v>5</v>
      </c>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row>
    <row r="199" spans="1:94" s="699" customFormat="1" ht="12.75" customHeight="1">
      <c r="A199" s="664"/>
      <c r="B199" s="664"/>
      <c r="C199" s="774" t="s">
        <v>1767</v>
      </c>
      <c r="D199" s="717" t="s">
        <v>685</v>
      </c>
      <c r="E199" s="722" t="s">
        <v>821</v>
      </c>
      <c r="F199" s="723" t="s">
        <v>1897</v>
      </c>
      <c r="G199" s="721"/>
      <c r="H199" s="721">
        <f>(H193/G193-1)*100</f>
        <v>25.563776551190909</v>
      </c>
      <c r="I199" s="721">
        <f t="shared" ref="I199:AC199" si="187">(I193/H193-1)*100</f>
        <v>21.107523893010626</v>
      </c>
      <c r="J199" s="721">
        <f t="shared" si="187"/>
        <v>19.007047624427976</v>
      </c>
      <c r="K199" s="721">
        <f t="shared" si="187"/>
        <v>-10.74983607627421</v>
      </c>
      <c r="L199" s="721">
        <f t="shared" si="187"/>
        <v>-0.43282416102921051</v>
      </c>
      <c r="M199" s="721">
        <f t="shared" si="187"/>
        <v>0.21067532961842605</v>
      </c>
      <c r="N199" s="721">
        <f t="shared" si="187"/>
        <v>4.1473426088810772</v>
      </c>
      <c r="O199" s="721">
        <f t="shared" si="187"/>
        <v>4.260825612939545</v>
      </c>
      <c r="P199" s="721">
        <f t="shared" si="187"/>
        <v>7.2529003316856411</v>
      </c>
      <c r="Q199" s="721">
        <f t="shared" si="187"/>
        <v>11.183553664865297</v>
      </c>
      <c r="R199" s="721">
        <f t="shared" si="187"/>
        <v>18.502679851070791</v>
      </c>
      <c r="S199" s="721">
        <f t="shared" si="187"/>
        <v>10.016936271848852</v>
      </c>
      <c r="T199" s="721">
        <f t="shared" si="187"/>
        <v>20.406644785793105</v>
      </c>
      <c r="U199" s="721">
        <f t="shared" si="187"/>
        <v>-6.244590873328093</v>
      </c>
      <c r="V199" s="721">
        <f t="shared" si="187"/>
        <v>-2.7352211516775804</v>
      </c>
      <c r="W199" s="721">
        <f t="shared" si="187"/>
        <v>3.1265166140008294</v>
      </c>
      <c r="X199" s="721">
        <f t="shared" si="187"/>
        <v>1.6272405931689438</v>
      </c>
      <c r="Y199" s="721">
        <f t="shared" si="187"/>
        <v>0.10787764034383418</v>
      </c>
      <c r="Z199" s="721">
        <f t="shared" si="187"/>
        <v>4.0493612268009072</v>
      </c>
      <c r="AA199" s="721">
        <f t="shared" si="187"/>
        <v>5.8524730255065993</v>
      </c>
      <c r="AB199" s="721">
        <f t="shared" si="187"/>
        <v>3.2370111234341969</v>
      </c>
      <c r="AC199" s="721">
        <f t="shared" si="187"/>
        <v>4.0859622080890556</v>
      </c>
      <c r="AD199" s="1410">
        <f ca="1">OFFSET('VVP1'!$K$50,0,5*(COLUMN()-7))</f>
        <v>5.6446159999999912</v>
      </c>
      <c r="AE199" s="1410">
        <f ca="1">OFFSET('VVP1'!$K$50,0,5*(COLUMN()-7))</f>
        <v>5.1345160000000112</v>
      </c>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row>
    <row r="200" spans="1:94">
      <c r="AB200" s="557"/>
      <c r="AC200" s="557"/>
      <c r="AD200" s="557"/>
      <c r="AE200" s="557"/>
    </row>
    <row r="201" spans="1:94">
      <c r="A201" s="1130"/>
      <c r="B201" s="1130"/>
      <c r="D201" s="695"/>
      <c r="E201" s="696" t="s">
        <v>1275</v>
      </c>
      <c r="F201" s="697"/>
      <c r="G201" s="698">
        <f>+InputY!$G$3</f>
        <v>1995</v>
      </c>
      <c r="H201" s="698">
        <f>+G201+1</f>
        <v>1996</v>
      </c>
      <c r="I201" s="698">
        <f t="shared" ref="I201:Q201" si="188">+H201+1</f>
        <v>1997</v>
      </c>
      <c r="J201" s="698">
        <f t="shared" si="188"/>
        <v>1998</v>
      </c>
      <c r="K201" s="698">
        <f t="shared" si="188"/>
        <v>1999</v>
      </c>
      <c r="L201" s="698">
        <f t="shared" si="188"/>
        <v>2000</v>
      </c>
      <c r="M201" s="698">
        <f t="shared" si="188"/>
        <v>2001</v>
      </c>
      <c r="N201" s="698">
        <f t="shared" si="188"/>
        <v>2002</v>
      </c>
      <c r="O201" s="698">
        <f t="shared" si="188"/>
        <v>2003</v>
      </c>
      <c r="P201" s="698">
        <f>+O201+1</f>
        <v>2004</v>
      </c>
      <c r="Q201" s="698">
        <f t="shared" si="188"/>
        <v>2005</v>
      </c>
      <c r="R201" s="698">
        <f t="shared" ref="R201:AE201" si="189">+Q201+1</f>
        <v>2006</v>
      </c>
      <c r="S201" s="698">
        <f t="shared" si="189"/>
        <v>2007</v>
      </c>
      <c r="T201" s="698">
        <f t="shared" si="189"/>
        <v>2008</v>
      </c>
      <c r="U201" s="698">
        <f t="shared" si="189"/>
        <v>2009</v>
      </c>
      <c r="V201" s="698">
        <f t="shared" si="189"/>
        <v>2010</v>
      </c>
      <c r="W201" s="698">
        <f t="shared" si="189"/>
        <v>2011</v>
      </c>
      <c r="X201" s="698">
        <f t="shared" si="189"/>
        <v>2012</v>
      </c>
      <c r="Y201" s="698">
        <f t="shared" si="189"/>
        <v>2013</v>
      </c>
      <c r="Z201" s="698">
        <f t="shared" si="189"/>
        <v>2014</v>
      </c>
      <c r="AA201" s="698">
        <f t="shared" si="189"/>
        <v>2015</v>
      </c>
      <c r="AB201" s="698">
        <f t="shared" si="189"/>
        <v>2016</v>
      </c>
      <c r="AC201" s="698">
        <f t="shared" si="189"/>
        <v>2017</v>
      </c>
      <c r="AD201" s="698">
        <f t="shared" si="189"/>
        <v>2018</v>
      </c>
      <c r="AE201" s="698">
        <f t="shared" si="189"/>
        <v>2019</v>
      </c>
    </row>
    <row r="202" spans="1:94">
      <c r="A202" s="664"/>
      <c r="B202" s="664"/>
      <c r="C202" s="1079" t="s">
        <v>1767</v>
      </c>
      <c r="D202" s="1058" t="s">
        <v>687</v>
      </c>
      <c r="E202" s="1059" t="s">
        <v>644</v>
      </c>
      <c r="F202" s="1069" t="s">
        <v>1515</v>
      </c>
      <c r="G202" s="1054"/>
      <c r="H202" s="1054"/>
      <c r="I202" s="1054"/>
      <c r="J202" s="1054"/>
      <c r="K202" s="1054"/>
      <c r="L202" s="1054"/>
      <c r="M202" s="1054"/>
      <c r="N202" s="1054"/>
      <c r="O202" s="1054"/>
      <c r="P202" s="1054"/>
      <c r="Q202" s="1054"/>
      <c r="R202" s="1054"/>
      <c r="S202" s="1054"/>
      <c r="T202" s="1339"/>
      <c r="U202" s="1339"/>
      <c r="V202" s="1339"/>
      <c r="W202" s="1339"/>
      <c r="X202" s="1339"/>
      <c r="Y202" s="1339"/>
      <c r="Z202" s="1339"/>
      <c r="AA202" s="1339"/>
      <c r="AB202" s="1339"/>
      <c r="AC202" s="1339"/>
      <c r="AD202" s="1339"/>
      <c r="AE202" s="1339"/>
    </row>
    <row r="203" spans="1:94">
      <c r="A203" s="664"/>
      <c r="B203" s="664"/>
      <c r="C203" s="1080" t="s">
        <v>1767</v>
      </c>
      <c r="D203" s="1070" t="s">
        <v>1447</v>
      </c>
      <c r="E203" s="1" t="s">
        <v>644</v>
      </c>
      <c r="F203" s="1070" t="s">
        <v>98</v>
      </c>
      <c r="G203" s="881"/>
      <c r="H203" s="881"/>
      <c r="I203" s="881"/>
      <c r="J203" s="881"/>
      <c r="K203" s="881"/>
      <c r="L203" s="881"/>
      <c r="M203" s="881"/>
      <c r="N203" s="881"/>
      <c r="O203" s="881"/>
      <c r="P203" s="881"/>
      <c r="Q203" s="881"/>
      <c r="R203" s="881"/>
      <c r="S203" s="881"/>
      <c r="T203" s="935"/>
      <c r="U203" s="935"/>
      <c r="V203" s="935"/>
      <c r="W203" s="935"/>
      <c r="X203" s="935"/>
      <c r="Y203" s="935"/>
      <c r="Z203" s="935"/>
      <c r="AA203" s="935"/>
      <c r="AB203" s="935"/>
      <c r="AC203" s="935"/>
      <c r="AD203" s="935"/>
      <c r="AE203" s="935"/>
    </row>
    <row r="204" spans="1:94">
      <c r="A204" s="664">
        <f>+ROW(InputY!A68)</f>
        <v>68</v>
      </c>
      <c r="B204" s="1130"/>
      <c r="C204" s="1080" t="s">
        <v>1769</v>
      </c>
      <c r="D204" s="1071"/>
      <c r="E204" s="1067" t="s">
        <v>644</v>
      </c>
      <c r="F204" s="1071" t="s">
        <v>1517</v>
      </c>
      <c r="G204" s="1068">
        <f>+InputY!G68/1000</f>
        <v>0.7525599999999999</v>
      </c>
      <c r="H204" s="1068">
        <f>+InputY!H68/1000</f>
        <v>0.87370000000000003</v>
      </c>
      <c r="I204" s="1068">
        <f>+InputY!I68/1000</f>
        <v>1.18252</v>
      </c>
      <c r="J204" s="1068">
        <f>+InputY!J68/1000</f>
        <v>1.56789</v>
      </c>
      <c r="K204" s="1068">
        <f>+InputY!K68/1000</f>
        <v>1.4333</v>
      </c>
      <c r="L204" s="1068">
        <f>+InputY!L68/1000</f>
        <v>1.1487100000000001</v>
      </c>
      <c r="M204" s="1068">
        <f>+InputY!M68/1000</f>
        <v>1.27318</v>
      </c>
      <c r="N204" s="1068">
        <f>+InputY!N68/1000</f>
        <v>1.46495</v>
      </c>
      <c r="O204" s="1068">
        <f>+InputY!O68/1000</f>
        <v>1.7906099999999998</v>
      </c>
      <c r="P204" s="1068">
        <f>+InputY!P68/1000</f>
        <v>1.85897</v>
      </c>
      <c r="Q204" s="1068">
        <f>+InputY!Q68/1000</f>
        <v>2.2715500000000004</v>
      </c>
      <c r="R204" s="1068">
        <f>+InputY!R68/1000</f>
        <v>3.04115</v>
      </c>
      <c r="S204" s="1068">
        <f>+InputY!S68/1000</f>
        <v>4.21671</v>
      </c>
      <c r="T204" s="1068">
        <f>+InputY!T68/1000</f>
        <v>4.4393700000000003</v>
      </c>
      <c r="U204" s="1068">
        <f>+InputY!U68/1000</f>
        <v>2.23874</v>
      </c>
      <c r="V204" s="1068">
        <f>+InputY!V68/1000</f>
        <v>2.18391</v>
      </c>
      <c r="W204" s="1068">
        <f>+InputY!W68/1000</f>
        <v>2.6810399999999999</v>
      </c>
      <c r="X204" s="1068">
        <f>+InputY!X68/1000</f>
        <v>2.6170900000000001</v>
      </c>
      <c r="Y204" s="1068">
        <f>+InputY!Y68/1000</f>
        <v>2.9166999999999996</v>
      </c>
      <c r="Z204" s="1068">
        <f>+InputY!Z68/1000</f>
        <v>3.1628099999999999</v>
      </c>
      <c r="AA204" s="1068">
        <f>+InputY!AA68/1000</f>
        <v>3.0443699999999998</v>
      </c>
      <c r="AB204" s="1068">
        <f>+InputY!AB68/1000</f>
        <v>2.62446</v>
      </c>
      <c r="AC204" s="1068">
        <f>+InputY!AC68/1000</f>
        <v>2.9719499999999996</v>
      </c>
      <c r="AD204" s="939">
        <f t="shared" ref="AD204:AE206" ca="1" si="190">+AC204*(1+AD218/100)</f>
        <v>3.2695759327499996</v>
      </c>
      <c r="AE204" s="939">
        <f t="shared" ca="1" si="190"/>
        <v>3.5429680635187557</v>
      </c>
    </row>
    <row r="205" spans="1:94">
      <c r="A205" s="664">
        <f>+ROW(InputY!A70)</f>
        <v>70</v>
      </c>
      <c r="B205" s="664">
        <v>33</v>
      </c>
      <c r="C205" s="1080" t="s">
        <v>1767</v>
      </c>
      <c r="D205" s="3"/>
      <c r="E205" s="1" t="s">
        <v>1443</v>
      </c>
      <c r="F205" s="3" t="s">
        <v>1518</v>
      </c>
      <c r="G205" s="1062">
        <f>+InputY!G70/1000</f>
        <v>0.17634</v>
      </c>
      <c r="H205" s="1062">
        <f>+InputY!H70/1000</f>
        <v>0.20604</v>
      </c>
      <c r="I205" s="1062">
        <f>+InputY!I70/1000</f>
        <v>0.20293</v>
      </c>
      <c r="J205" s="1062">
        <f>+InputY!J70/1000</f>
        <v>0.19841</v>
      </c>
      <c r="K205" s="1062">
        <f>+InputY!K70/1000</f>
        <v>0.21308000000000002</v>
      </c>
      <c r="L205" s="1062">
        <f>+InputY!L70/1000</f>
        <v>0.23457</v>
      </c>
      <c r="M205" s="1062">
        <f>+InputY!M70/1000</f>
        <v>0.22356999999999999</v>
      </c>
      <c r="N205" s="1062">
        <f>+InputY!N70/1000</f>
        <v>0.20157</v>
      </c>
      <c r="O205" s="1062">
        <f>+InputY!O70/1000</f>
        <v>0.23341000000000001</v>
      </c>
      <c r="P205" s="1062">
        <f>+InputY!P70/1000</f>
        <v>0.41874</v>
      </c>
      <c r="Q205" s="1062">
        <f>+InputY!Q70/1000</f>
        <v>0.45415</v>
      </c>
      <c r="R205" s="1062">
        <f>+InputY!R70/1000</f>
        <v>0.60914999999999997</v>
      </c>
      <c r="S205" s="1062">
        <f>+InputY!S70/1000</f>
        <v>0.81238999999999995</v>
      </c>
      <c r="T205" s="1062">
        <f>+InputY!T70/1000</f>
        <v>1.1063099999999999</v>
      </c>
      <c r="U205" s="1062">
        <f>+InputY!U70/1000</f>
        <v>0.87808000000000008</v>
      </c>
      <c r="V205" s="1062">
        <f>+InputY!V70/1000</f>
        <v>0.58810000000000007</v>
      </c>
      <c r="W205" s="1062">
        <f>+InputY!W70/1000</f>
        <v>0.61626999999999998</v>
      </c>
      <c r="X205" s="1062">
        <f>+InputY!X70/1000</f>
        <v>0.64944000000000002</v>
      </c>
      <c r="Y205" s="1062">
        <f>+InputY!Y70/1000</f>
        <v>0.75691999999999993</v>
      </c>
      <c r="Z205" s="1062">
        <f>+InputY!Z70/1000</f>
        <v>0.91334000000000004</v>
      </c>
      <c r="AA205" s="1062">
        <f>+InputY!AA70/1000</f>
        <v>1.05339</v>
      </c>
      <c r="AB205" s="1062">
        <f>+InputY!AB70/1000</f>
        <v>1.1606800000000002</v>
      </c>
      <c r="AC205" s="1062">
        <f>+InputY!AC70/1000</f>
        <v>1.1259700000000001</v>
      </c>
      <c r="AD205" s="939">
        <f t="shared" ca="1" si="190"/>
        <v>1.2038364553499998</v>
      </c>
      <c r="AE205" s="939">
        <f t="shared" ca="1" si="190"/>
        <v>1.2659471934273276</v>
      </c>
    </row>
    <row r="206" spans="1:94" s="699" customFormat="1" ht="12.75" customHeight="1">
      <c r="A206" s="664">
        <f>+ROW(InputY!A74)</f>
        <v>74</v>
      </c>
      <c r="B206" s="664">
        <v>39</v>
      </c>
      <c r="C206" s="782" t="s">
        <v>1769</v>
      </c>
      <c r="D206" s="746"/>
      <c r="E206" s="747" t="s">
        <v>1444</v>
      </c>
      <c r="F206" s="748" t="s">
        <v>1900</v>
      </c>
      <c r="G206" s="799">
        <f>+InputY!G74/1000</f>
        <v>0.92889999999999995</v>
      </c>
      <c r="H206" s="799">
        <f>+InputY!H74/1000</f>
        <v>1.0797399999999999</v>
      </c>
      <c r="I206" s="799">
        <f>+InputY!I74/1000</f>
        <v>1.3854500000000001</v>
      </c>
      <c r="J206" s="799">
        <f>+InputY!J74/1000</f>
        <v>1.7663</v>
      </c>
      <c r="K206" s="799">
        <f>+InputY!K74/1000</f>
        <v>1.6463800000000002</v>
      </c>
      <c r="L206" s="799">
        <f>+InputY!L74/1000</f>
        <v>1.3832800000000001</v>
      </c>
      <c r="M206" s="799">
        <f>+InputY!M74/1000</f>
        <v>1.49675</v>
      </c>
      <c r="N206" s="799">
        <f>+InputY!N74/1000</f>
        <v>1.66652</v>
      </c>
      <c r="O206" s="799">
        <f>+InputY!O74/1000</f>
        <v>2.0240200000000002</v>
      </c>
      <c r="P206" s="799">
        <f>+InputY!P74/1000</f>
        <v>2.2777099999999999</v>
      </c>
      <c r="Q206" s="799">
        <f>+InputY!Q74/1000</f>
        <v>2.7256999999999998</v>
      </c>
      <c r="R206" s="2878">
        <f>+InputY!R74/1000</f>
        <v>3.6503000000000001</v>
      </c>
      <c r="S206" s="2878">
        <f>+InputY!S74/1000</f>
        <v>5.0291000000000006</v>
      </c>
      <c r="T206" s="2878">
        <f>+InputY!T74/1000</f>
        <v>5.5456799999999999</v>
      </c>
      <c r="U206" s="2878">
        <f>+InputY!U74/1000</f>
        <v>3.1168200000000001</v>
      </c>
      <c r="V206" s="2878">
        <f>+InputY!V74/1000</f>
        <v>2.7720100000000003</v>
      </c>
      <c r="W206" s="2878">
        <f>+InputY!W74/1000</f>
        <v>3.29731</v>
      </c>
      <c r="X206" s="2878">
        <f>+InputY!X74/1000</f>
        <v>3.2665300000000004</v>
      </c>
      <c r="Y206" s="2878">
        <f>+InputY!Y74/1000</f>
        <v>3.6736200000000001</v>
      </c>
      <c r="Z206" s="2878">
        <f>+InputY!Z74/1000</f>
        <v>4.0761500000000002</v>
      </c>
      <c r="AA206" s="2878">
        <f>+InputY!AA74/1000</f>
        <v>4.0977600000000001</v>
      </c>
      <c r="AB206" s="2878">
        <f>+InputY!AB74/1000</f>
        <v>3.7851399999999997</v>
      </c>
      <c r="AC206" s="2878">
        <f>+InputY!AC74/1000</f>
        <v>4.0979200000000002</v>
      </c>
      <c r="AD206" s="2876">
        <f t="shared" ca="1" si="190"/>
        <v>4.473412388099999</v>
      </c>
      <c r="AE206" s="2876">
        <f t="shared" ca="1" si="190"/>
        <v>4.8089152569460829</v>
      </c>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row>
    <row r="207" spans="1:94" s="699" customFormat="1" ht="12.75" customHeight="1">
      <c r="A207" s="664"/>
      <c r="B207" s="664"/>
      <c r="C207" s="782"/>
      <c r="D207" s="1973"/>
      <c r="E207" s="1973" t="s">
        <v>737</v>
      </c>
      <c r="F207" s="1973"/>
      <c r="G207" s="1002">
        <f t="shared" ref="G207:Y207" si="191">ABS(G206-G204-G205)</f>
        <v>5.5511151231257827E-17</v>
      </c>
      <c r="H207" s="1002">
        <f t="shared" si="191"/>
        <v>1.1102230246251565E-16</v>
      </c>
      <c r="I207" s="1002">
        <f t="shared" si="191"/>
        <v>5.5511151231257827E-17</v>
      </c>
      <c r="J207" s="1002">
        <f t="shared" si="191"/>
        <v>2.7755575615628914E-17</v>
      </c>
      <c r="K207" s="1002">
        <f t="shared" si="191"/>
        <v>1.3877787807814457E-16</v>
      </c>
      <c r="L207" s="1002">
        <f t="shared" si="191"/>
        <v>5.5511151231257827E-17</v>
      </c>
      <c r="M207" s="1002">
        <f t="shared" si="191"/>
        <v>5.5511151231257827E-17</v>
      </c>
      <c r="N207" s="1002">
        <f t="shared" si="191"/>
        <v>2.7755575615628914E-17</v>
      </c>
      <c r="O207" s="1002">
        <f t="shared" si="191"/>
        <v>3.3306690738754696E-16</v>
      </c>
      <c r="P207" s="1002">
        <f t="shared" si="191"/>
        <v>1.1102230246251565E-16</v>
      </c>
      <c r="Q207" s="1002">
        <f t="shared" si="191"/>
        <v>6.106226635438361E-16</v>
      </c>
      <c r="R207" s="1002">
        <f t="shared" si="191"/>
        <v>1.1102230246251565E-16</v>
      </c>
      <c r="S207" s="1002">
        <f t="shared" si="191"/>
        <v>6.6613381477509392E-16</v>
      </c>
      <c r="T207" s="2906">
        <f t="shared" si="191"/>
        <v>2.2204460492503131E-16</v>
      </c>
      <c r="U207" s="2906">
        <f t="shared" si="191"/>
        <v>1.1102230246251565E-16</v>
      </c>
      <c r="V207" s="2906">
        <f t="shared" si="191"/>
        <v>2.2204460492503131E-16</v>
      </c>
      <c r="W207" s="2906">
        <f t="shared" si="191"/>
        <v>1.1102230246251565E-16</v>
      </c>
      <c r="X207" s="2906">
        <f t="shared" si="191"/>
        <v>2.2204460492503131E-16</v>
      </c>
      <c r="Y207" s="2906">
        <f t="shared" si="191"/>
        <v>5.5511151231257827E-16</v>
      </c>
      <c r="Z207" s="2906">
        <f t="shared" ref="Z207:AE207" si="192">ABS(Z206-Z204-Z205)</f>
        <v>2.2204460492503131E-16</v>
      </c>
      <c r="AA207" s="2906">
        <f t="shared" si="192"/>
        <v>2.2204460492503131E-16</v>
      </c>
      <c r="AB207" s="2906">
        <f t="shared" si="192"/>
        <v>4.4408920985006262E-16</v>
      </c>
      <c r="AC207" s="2906">
        <f t="shared" si="192"/>
        <v>4.4408920985006262E-16</v>
      </c>
      <c r="AD207" s="2906">
        <f t="shared" ca="1" si="192"/>
        <v>4.4408920985006262E-16</v>
      </c>
      <c r="AE207" s="2906">
        <f t="shared" ca="1" si="192"/>
        <v>4.4408920985006262E-16</v>
      </c>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row>
    <row r="208" spans="1:94">
      <c r="A208" s="1130"/>
      <c r="B208" s="1130"/>
      <c r="C208" s="1080" t="s">
        <v>1767</v>
      </c>
      <c r="D208" s="1070" t="s">
        <v>687</v>
      </c>
      <c r="E208" s="1" t="s">
        <v>1445</v>
      </c>
      <c r="F208" s="3" t="s">
        <v>469</v>
      </c>
      <c r="G208" s="881"/>
      <c r="H208" s="881"/>
      <c r="I208" s="881"/>
      <c r="J208" s="881"/>
      <c r="K208" s="881"/>
      <c r="L208" s="881"/>
      <c r="M208" s="881"/>
      <c r="N208" s="881"/>
      <c r="O208" s="881"/>
      <c r="P208" s="881"/>
      <c r="Q208" s="881"/>
      <c r="R208" s="881"/>
      <c r="S208" s="881"/>
      <c r="T208" s="935"/>
      <c r="U208" s="935"/>
      <c r="V208" s="935"/>
      <c r="W208" s="935"/>
      <c r="X208" s="935"/>
      <c r="Y208" s="935"/>
      <c r="Z208" s="935"/>
      <c r="AA208" s="935"/>
      <c r="AB208" s="935"/>
      <c r="AC208" s="935"/>
      <c r="AD208" s="935"/>
      <c r="AE208" s="935"/>
    </row>
    <row r="209" spans="1:94">
      <c r="A209" s="1130"/>
      <c r="B209" s="1130"/>
      <c r="C209" s="1080" t="s">
        <v>1767</v>
      </c>
      <c r="D209" s="1070" t="s">
        <v>1447</v>
      </c>
      <c r="E209" s="1" t="s">
        <v>1445</v>
      </c>
      <c r="F209" s="3" t="s">
        <v>99</v>
      </c>
      <c r="G209" s="881"/>
      <c r="H209" s="881"/>
      <c r="I209" s="881"/>
      <c r="J209" s="881"/>
      <c r="K209" s="881"/>
      <c r="L209" s="881"/>
      <c r="M209" s="881"/>
      <c r="N209" s="881"/>
      <c r="O209" s="881"/>
      <c r="P209" s="881"/>
      <c r="Q209" s="881"/>
      <c r="R209" s="881"/>
      <c r="S209" s="881"/>
      <c r="T209" s="935"/>
      <c r="U209" s="935"/>
      <c r="V209" s="935"/>
      <c r="W209" s="935"/>
      <c r="X209" s="935"/>
      <c r="Y209" s="935"/>
      <c r="Z209" s="935"/>
      <c r="AA209" s="935"/>
      <c r="AB209" s="935"/>
      <c r="AC209" s="935"/>
      <c r="AD209" s="935"/>
      <c r="AE209" s="935"/>
    </row>
    <row r="210" spans="1:94">
      <c r="A210" s="664">
        <f>+ROW(InputY!A73)</f>
        <v>73</v>
      </c>
      <c r="B210" s="1130">
        <v>40</v>
      </c>
      <c r="C210" s="1081" t="s">
        <v>1769</v>
      </c>
      <c r="D210" s="1072"/>
      <c r="E210" s="1063" t="s">
        <v>1445</v>
      </c>
      <c r="F210" s="1072" t="s">
        <v>471</v>
      </c>
      <c r="G210" s="1064">
        <f>+InputY!G73/1000</f>
        <v>0.57979999999999998</v>
      </c>
      <c r="H210" s="1064">
        <f>+InputY!H73/1000</f>
        <v>0.82804</v>
      </c>
      <c r="I210" s="1064">
        <f>+InputY!I73/1000</f>
        <v>1.1324100000000001</v>
      </c>
      <c r="J210" s="1064">
        <f>+InputY!J73/1000</f>
        <v>1.2478</v>
      </c>
      <c r="K210" s="1064">
        <f>+InputY!K73/1000</f>
        <v>1.0569000000000002</v>
      </c>
      <c r="L210" s="1064">
        <f>+InputY!L73/1000</f>
        <v>0.98738999999999999</v>
      </c>
      <c r="M210" s="1064">
        <f>+InputY!M73/1000</f>
        <v>1.2044900000000001</v>
      </c>
      <c r="N210" s="1064">
        <f>+InputY!N73/1000</f>
        <v>1.2764800000000001</v>
      </c>
      <c r="O210" s="1064">
        <f>+InputY!O73/1000</f>
        <v>1.3368100000000001</v>
      </c>
      <c r="P210" s="1064">
        <f>+InputY!P73/1000</f>
        <v>1.6379900000000001</v>
      </c>
      <c r="Q210" s="1064">
        <f>+InputY!Q73/1000</f>
        <v>1.8569899999999999</v>
      </c>
      <c r="R210" s="1064">
        <f>+InputY!R73/1000</f>
        <v>2.161</v>
      </c>
      <c r="S210" s="1064">
        <f>+InputY!S73/1000</f>
        <v>2.7182300000000001</v>
      </c>
      <c r="T210" s="1064">
        <f>+InputY!T73/1000</f>
        <v>2.3092899999999998</v>
      </c>
      <c r="U210" s="1064">
        <f>+InputY!U73/1000</f>
        <v>1.14832</v>
      </c>
      <c r="V210" s="1064">
        <f>+InputY!V73/1000</f>
        <v>1.3708499999999999</v>
      </c>
      <c r="W210" s="1064">
        <f>+InputY!W73/1000</f>
        <v>1.8810799999999999</v>
      </c>
      <c r="X210" s="1064">
        <f>+InputY!X73/1000</f>
        <v>1.9435799999999999</v>
      </c>
      <c r="Y210" s="1064">
        <f>+InputY!Y73/1000</f>
        <v>2.1889499999999997</v>
      </c>
      <c r="Z210" s="1064">
        <f>+InputY!Z73/1000</f>
        <v>2.1718500000000001</v>
      </c>
      <c r="AA210" s="1064">
        <f>+InputY!AA73/1000</f>
        <v>2.4741399999999998</v>
      </c>
      <c r="AB210" s="1064">
        <f>+InputY!AB73/1000</f>
        <v>2.6825300000000003</v>
      </c>
      <c r="AC210" s="1064">
        <f>+InputY!AC73/1000</f>
        <v>2.8599899999999998</v>
      </c>
      <c r="AD210" s="940">
        <f t="shared" ref="AD210:AE212" ca="1" si="193">+AC210*(1+AD223/100)</f>
        <v>3.149635487249999</v>
      </c>
      <c r="AE210" s="940">
        <f t="shared" ca="1" si="193"/>
        <v>3.3311489803802168</v>
      </c>
    </row>
    <row r="211" spans="1:94">
      <c r="A211" s="664">
        <f>+ROW(InputY!A77)</f>
        <v>77</v>
      </c>
      <c r="B211" s="664">
        <v>41</v>
      </c>
      <c r="C211" s="1082" t="s">
        <v>1769</v>
      </c>
      <c r="D211" s="1065"/>
      <c r="E211" s="1037" t="s">
        <v>1446</v>
      </c>
      <c r="F211" s="1065" t="s">
        <v>1534</v>
      </c>
      <c r="G211" s="1066">
        <f>+InputY!G77/1000</f>
        <v>7.2520000000000001E-2</v>
      </c>
      <c r="H211" s="1066">
        <f>+InputY!H77/1000</f>
        <v>9.1049999999999992E-2</v>
      </c>
      <c r="I211" s="1066">
        <f>+InputY!I77/1000</f>
        <v>0.10487</v>
      </c>
      <c r="J211" s="1066">
        <f>+InputY!J77/1000</f>
        <v>9.6039999999999986E-2</v>
      </c>
      <c r="K211" s="1066">
        <f>+InputY!K77/1000</f>
        <v>8.7039999999999992E-2</v>
      </c>
      <c r="L211" s="1066">
        <f>+InputY!L77/1000</f>
        <v>0.18602000000000002</v>
      </c>
      <c r="M211" s="1066">
        <f>+InputY!M77/1000</f>
        <v>0.21079000000000001</v>
      </c>
      <c r="N211" s="1066">
        <f>+InputY!N77/1000</f>
        <v>0.20289999999999997</v>
      </c>
      <c r="O211" s="1066">
        <f>+InputY!O77/1000</f>
        <v>0.22945000000000002</v>
      </c>
      <c r="P211" s="1066">
        <f>+InputY!P77/1000</f>
        <v>0.26030000000000003</v>
      </c>
      <c r="Q211" s="1066">
        <f>+InputY!Q77/1000</f>
        <v>0.32870000000000005</v>
      </c>
      <c r="R211" s="1066">
        <f>+InputY!R77/1000</f>
        <v>0.43160999999999999</v>
      </c>
      <c r="S211" s="1066">
        <f>+InputY!S77/1000</f>
        <v>0.5513499999999999</v>
      </c>
      <c r="T211" s="1066">
        <f>+InputY!T77/1000</f>
        <v>0.65833999999999993</v>
      </c>
      <c r="U211" s="1066">
        <f>+InputY!U77/1000</f>
        <v>0.54539000000000004</v>
      </c>
      <c r="V211" s="1066">
        <f>+InputY!V77/1000</f>
        <v>0.58343999999999996</v>
      </c>
      <c r="W211" s="1066">
        <f>+InputY!W77/1000</f>
        <v>0.60272000000000003</v>
      </c>
      <c r="X211" s="1066">
        <f>+InputY!X77/1000</f>
        <v>0.57791999999999999</v>
      </c>
      <c r="Y211" s="1066">
        <f>+InputY!Y77/1000</f>
        <v>0.59230999999999989</v>
      </c>
      <c r="Z211" s="1066">
        <f>+InputY!Z77/1000</f>
        <v>0.65749000000000002</v>
      </c>
      <c r="AA211" s="1066">
        <f>+InputY!AA77/1000</f>
        <v>0.75331999999999999</v>
      </c>
      <c r="AB211" s="1066">
        <f>+InputY!AB77/1000</f>
        <v>0.84651999999999994</v>
      </c>
      <c r="AC211" s="1066">
        <f>+InputY!AC77/1000</f>
        <v>0.92247999999999986</v>
      </c>
      <c r="AD211" s="1340">
        <f t="shared" ca="1" si="193"/>
        <v>0.98947049759999994</v>
      </c>
      <c r="AE211" s="1340">
        <f t="shared" ca="1" si="193"/>
        <v>1.0443366366919198</v>
      </c>
    </row>
    <row r="212" spans="1:94">
      <c r="A212" s="664">
        <f>+ROW(InputY!A78)</f>
        <v>78</v>
      </c>
      <c r="B212" s="1130">
        <v>38</v>
      </c>
      <c r="C212" s="1083" t="s">
        <v>1448</v>
      </c>
      <c r="D212" s="1055"/>
      <c r="E212" s="1056" t="s">
        <v>376</v>
      </c>
      <c r="F212" s="1055" t="s">
        <v>1884</v>
      </c>
      <c r="G212" s="1057">
        <f>+InputY!G78/1000</f>
        <v>1.5812299999999999</v>
      </c>
      <c r="H212" s="1057">
        <f>+InputY!H78/1000</f>
        <v>1.99884</v>
      </c>
      <c r="I212" s="1057">
        <f>+InputY!I78/1000</f>
        <v>2.6227300000000002</v>
      </c>
      <c r="J212" s="1057">
        <f>+InputY!J78/1000</f>
        <v>3.1101300000000003</v>
      </c>
      <c r="K212" s="1057">
        <f>+InputY!K78/1000</f>
        <v>2.7903200000000004</v>
      </c>
      <c r="L212" s="1057">
        <f>+InputY!L78/1000</f>
        <v>2.5566900000000001</v>
      </c>
      <c r="M212" s="1057">
        <f>+InputY!M78/1000</f>
        <v>2.9120400000000002</v>
      </c>
      <c r="N212" s="1057">
        <f>+InputY!N78/1000</f>
        <v>3.1459000000000001</v>
      </c>
      <c r="O212" s="1057">
        <f>+InputY!O78/1000</f>
        <v>3.5902800000000004</v>
      </c>
      <c r="P212" s="1057">
        <f>+InputY!P78/1000</f>
        <v>4.1760000000000002</v>
      </c>
      <c r="Q212" s="1057">
        <f>+InputY!Q78/1000</f>
        <v>4.9113800000000003</v>
      </c>
      <c r="R212" s="1057">
        <f>+InputY!R78/1000</f>
        <v>6.2428999999999997</v>
      </c>
      <c r="S212" s="1057">
        <f>+InputY!S78/1000</f>
        <v>8.2986699999999995</v>
      </c>
      <c r="T212" s="1057">
        <f>+InputY!T78/1000</f>
        <v>8.5133200000000002</v>
      </c>
      <c r="U212" s="1057">
        <f>+InputY!U78/1000</f>
        <v>4.8105200000000004</v>
      </c>
      <c r="V212" s="1057">
        <f>+InputY!V78/1000</f>
        <v>4.7263000000000002</v>
      </c>
      <c r="W212" s="1057">
        <f>+InputY!W78/1000</f>
        <v>5.78111</v>
      </c>
      <c r="X212" s="1057">
        <f>+InputY!X78/1000</f>
        <v>5.78803</v>
      </c>
      <c r="Y212" s="1057">
        <f>+InputY!Y78/1000</f>
        <v>6.4548800000000002</v>
      </c>
      <c r="Z212" s="1057">
        <f>+InputY!Z78/1000</f>
        <v>6.9054899999999995</v>
      </c>
      <c r="AA212" s="1057">
        <f>+InputY!AA78/1000</f>
        <v>7.3252199999999998</v>
      </c>
      <c r="AB212" s="3725">
        <f>+InputY!AB78/1000</f>
        <v>7.3141999999999996</v>
      </c>
      <c r="AC212" s="3725">
        <f>+InputY!AC78/1000</f>
        <v>7.8803900000000002</v>
      </c>
      <c r="AD212" s="997">
        <f t="shared" ca="1" si="193"/>
        <v>8.6125183729499977</v>
      </c>
      <c r="AE212" s="997">
        <f t="shared" ca="1" si="193"/>
        <v>9.1844008740182197</v>
      </c>
    </row>
    <row r="213" spans="1:94" s="699" customFormat="1" ht="12.75" customHeight="1">
      <c r="A213" s="664"/>
      <c r="B213" s="664"/>
      <c r="C213" s="774"/>
      <c r="D213" s="1973"/>
      <c r="E213" s="1973" t="s">
        <v>737</v>
      </c>
      <c r="F213" s="1973"/>
      <c r="G213" s="1002">
        <f>ABS(G212-G211-G210-G206)</f>
        <v>1.0000000000065512E-5</v>
      </c>
      <c r="H213" s="1002">
        <f t="shared" ref="H213:Y213" si="194">ABS(H212-H211-H210-H206)</f>
        <v>9.9999999998434674E-6</v>
      </c>
      <c r="I213" s="1002">
        <f t="shared" si="194"/>
        <v>0</v>
      </c>
      <c r="J213" s="1002">
        <f t="shared" si="194"/>
        <v>9.9999999996214228E-6</v>
      </c>
      <c r="K213" s="1002">
        <f t="shared" si="194"/>
        <v>0</v>
      </c>
      <c r="L213" s="1002">
        <f t="shared" si="194"/>
        <v>0</v>
      </c>
      <c r="M213" s="1002">
        <f t="shared" si="194"/>
        <v>1.0000000000287557E-5</v>
      </c>
      <c r="N213" s="1002">
        <f t="shared" si="194"/>
        <v>0</v>
      </c>
      <c r="O213" s="1002">
        <f t="shared" si="194"/>
        <v>0</v>
      </c>
      <c r="P213" s="1002">
        <f t="shared" si="194"/>
        <v>0</v>
      </c>
      <c r="Q213" s="1002">
        <f t="shared" si="194"/>
        <v>9.9999999996214228E-6</v>
      </c>
      <c r="R213" s="1002">
        <f t="shared" si="194"/>
        <v>1.0000000000509601E-5</v>
      </c>
      <c r="S213" s="1002">
        <f t="shared" si="194"/>
        <v>1.000000000139778E-5</v>
      </c>
      <c r="T213" s="2906">
        <f t="shared" si="194"/>
        <v>1.0000000000509601E-5</v>
      </c>
      <c r="U213" s="2906">
        <f t="shared" si="194"/>
        <v>1.0000000000065512E-5</v>
      </c>
      <c r="V213" s="2906">
        <f t="shared" si="194"/>
        <v>4.4408920985006262E-16</v>
      </c>
      <c r="W213" s="2906">
        <f t="shared" si="194"/>
        <v>4.4408920985006262E-16</v>
      </c>
      <c r="X213" s="2906">
        <f t="shared" si="194"/>
        <v>0</v>
      </c>
      <c r="Y213" s="2906">
        <f t="shared" si="194"/>
        <v>0</v>
      </c>
      <c r="Z213" s="2906">
        <f t="shared" ref="Z213:AE213" si="195">ABS(Z212-Z211-Z210-Z206)</f>
        <v>8.8817841970012523E-16</v>
      </c>
      <c r="AA213" s="2906">
        <f t="shared" si="195"/>
        <v>8.8817841970012523E-16</v>
      </c>
      <c r="AB213" s="2906">
        <f t="shared" si="195"/>
        <v>9.9999999996214228E-6</v>
      </c>
      <c r="AC213" s="2906">
        <f t="shared" si="195"/>
        <v>0</v>
      </c>
      <c r="AD213" s="2906">
        <f t="shared" ca="1" si="195"/>
        <v>8.8817841970012523E-16</v>
      </c>
      <c r="AE213" s="2906">
        <f t="shared" ca="1" si="195"/>
        <v>0</v>
      </c>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row>
    <row r="214" spans="1:94">
      <c r="AB214" s="557"/>
      <c r="AC214" s="557"/>
      <c r="AD214" s="557"/>
      <c r="AE214" s="557"/>
    </row>
    <row r="215" spans="1:94" s="699" customFormat="1" ht="12.75" customHeight="1">
      <c r="A215" s="664"/>
      <c r="B215" s="664"/>
      <c r="C215" s="774"/>
      <c r="D215" s="1092"/>
      <c r="E215" s="1093" t="s">
        <v>1275</v>
      </c>
      <c r="F215" s="744"/>
      <c r="G215" s="745">
        <f>+InputY!$G$3</f>
        <v>1995</v>
      </c>
      <c r="H215" s="745">
        <f>+G215+1</f>
        <v>1996</v>
      </c>
      <c r="I215" s="745">
        <f t="shared" ref="I215:O215" si="196">+H215+1</f>
        <v>1997</v>
      </c>
      <c r="J215" s="745">
        <f t="shared" si="196"/>
        <v>1998</v>
      </c>
      <c r="K215" s="745">
        <f t="shared" si="196"/>
        <v>1999</v>
      </c>
      <c r="L215" s="745">
        <f t="shared" si="196"/>
        <v>2000</v>
      </c>
      <c r="M215" s="745">
        <f t="shared" si="196"/>
        <v>2001</v>
      </c>
      <c r="N215" s="745">
        <f t="shared" si="196"/>
        <v>2002</v>
      </c>
      <c r="O215" s="745">
        <f t="shared" si="196"/>
        <v>2003</v>
      </c>
      <c r="P215" s="745">
        <f t="shared" ref="P215:V215" si="197">+O215+1</f>
        <v>2004</v>
      </c>
      <c r="Q215" s="745">
        <f t="shared" si="197"/>
        <v>2005</v>
      </c>
      <c r="R215" s="745">
        <f t="shared" si="197"/>
        <v>2006</v>
      </c>
      <c r="S215" s="745">
        <f>+R215+1</f>
        <v>2007</v>
      </c>
      <c r="T215" s="745">
        <f t="shared" si="197"/>
        <v>2008</v>
      </c>
      <c r="U215" s="745">
        <f t="shared" si="197"/>
        <v>2009</v>
      </c>
      <c r="V215" s="745">
        <f t="shared" si="197"/>
        <v>2010</v>
      </c>
      <c r="W215" s="745">
        <f t="shared" ref="W215:AE215" si="198">+V215+1</f>
        <v>2011</v>
      </c>
      <c r="X215" s="745">
        <f t="shared" si="198"/>
        <v>2012</v>
      </c>
      <c r="Y215" s="745">
        <f t="shared" si="198"/>
        <v>2013</v>
      </c>
      <c r="Z215" s="745">
        <f t="shared" si="198"/>
        <v>2014</v>
      </c>
      <c r="AA215" s="745">
        <f t="shared" si="198"/>
        <v>2015</v>
      </c>
      <c r="AB215" s="745">
        <f t="shared" si="198"/>
        <v>2016</v>
      </c>
      <c r="AC215" s="745">
        <f t="shared" si="198"/>
        <v>2017</v>
      </c>
      <c r="AD215" s="745">
        <f t="shared" si="198"/>
        <v>2018</v>
      </c>
      <c r="AE215" s="745">
        <f t="shared" si="198"/>
        <v>2019</v>
      </c>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row>
    <row r="216" spans="1:94" s="699" customFormat="1" ht="12.75" customHeight="1">
      <c r="A216" s="664"/>
      <c r="B216" s="664"/>
      <c r="C216" s="794" t="s">
        <v>1767</v>
      </c>
      <c r="D216" s="689" t="s">
        <v>687</v>
      </c>
      <c r="E216" s="738" t="s">
        <v>644</v>
      </c>
      <c r="F216" s="981" t="s">
        <v>1515</v>
      </c>
      <c r="G216" s="881"/>
      <c r="H216" s="881"/>
      <c r="I216" s="881"/>
      <c r="J216" s="881"/>
      <c r="K216" s="881"/>
      <c r="L216" s="881"/>
      <c r="M216" s="881"/>
      <c r="N216" s="881"/>
      <c r="O216" s="881"/>
      <c r="P216" s="881"/>
      <c r="Q216" s="881"/>
      <c r="R216" s="881"/>
      <c r="S216" s="881"/>
      <c r="T216" s="935"/>
      <c r="U216" s="935"/>
      <c r="V216" s="935"/>
      <c r="W216" s="935"/>
      <c r="X216" s="935"/>
      <c r="Y216" s="935"/>
      <c r="Z216" s="935"/>
      <c r="AA216" s="935"/>
      <c r="AB216" s="935"/>
      <c r="AC216" s="935"/>
      <c r="AD216" s="935"/>
      <c r="AE216" s="935"/>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row>
    <row r="217" spans="1:94">
      <c r="A217" s="664"/>
      <c r="B217" s="664"/>
      <c r="C217" s="1100" t="s">
        <v>1767</v>
      </c>
      <c r="D217" s="1070" t="s">
        <v>1447</v>
      </c>
      <c r="E217" s="1" t="s">
        <v>644</v>
      </c>
      <c r="F217" s="674" t="s">
        <v>98</v>
      </c>
      <c r="G217" s="881"/>
      <c r="H217" s="881"/>
      <c r="I217" s="881"/>
      <c r="J217" s="881"/>
      <c r="K217" s="881"/>
      <c r="L217" s="881"/>
      <c r="M217" s="881"/>
      <c r="N217" s="881"/>
      <c r="O217" s="881"/>
      <c r="P217" s="881"/>
      <c r="Q217" s="881"/>
      <c r="R217" s="881"/>
      <c r="S217" s="881"/>
      <c r="T217" s="935"/>
      <c r="U217" s="935"/>
      <c r="V217" s="935"/>
      <c r="W217" s="935"/>
      <c r="X217" s="935"/>
      <c r="Y217" s="935"/>
      <c r="Z217" s="935"/>
      <c r="AA217" s="935"/>
      <c r="AB217" s="935"/>
      <c r="AC217" s="935"/>
      <c r="AD217" s="935"/>
      <c r="AE217" s="935"/>
    </row>
    <row r="218" spans="1:94">
      <c r="A218" s="1130"/>
      <c r="B218" s="1130"/>
      <c r="C218" s="1100" t="s">
        <v>1769</v>
      </c>
      <c r="D218" s="1111"/>
      <c r="E218" s="1112" t="s">
        <v>644</v>
      </c>
      <c r="F218" s="1111" t="s">
        <v>1517</v>
      </c>
      <c r="G218" s="1113"/>
      <c r="H218" s="1113">
        <f>(H204/G204-1)*100</f>
        <v>16.097055384288318</v>
      </c>
      <c r="I218" s="1113">
        <f t="shared" ref="I218:AC218" si="199">(I204/H204-1)*100</f>
        <v>35.346228682614168</v>
      </c>
      <c r="J218" s="1113">
        <f t="shared" si="199"/>
        <v>32.588877989378616</v>
      </c>
      <c r="K218" s="1113">
        <f t="shared" si="199"/>
        <v>-8.5841481226361473</v>
      </c>
      <c r="L218" s="1113">
        <f t="shared" si="199"/>
        <v>-19.855578036698518</v>
      </c>
      <c r="M218" s="1113">
        <f t="shared" si="199"/>
        <v>10.835633014424872</v>
      </c>
      <c r="N218" s="1113">
        <f t="shared" si="199"/>
        <v>15.062284987197415</v>
      </c>
      <c r="O218" s="1113">
        <f t="shared" si="199"/>
        <v>22.230110242670385</v>
      </c>
      <c r="P218" s="1113">
        <f t="shared" si="199"/>
        <v>3.8176934117423844</v>
      </c>
      <c r="Q218" s="1113">
        <f t="shared" si="199"/>
        <v>22.194010661818119</v>
      </c>
      <c r="R218" s="1113">
        <f t="shared" si="199"/>
        <v>33.879949814003638</v>
      </c>
      <c r="S218" s="1113">
        <f t="shared" si="199"/>
        <v>38.655114019367673</v>
      </c>
      <c r="T218" s="1113">
        <f t="shared" si="199"/>
        <v>5.2804200431141979</v>
      </c>
      <c r="U218" s="1113">
        <f t="shared" si="199"/>
        <v>-49.570772429421297</v>
      </c>
      <c r="V218" s="1113">
        <f t="shared" si="199"/>
        <v>-2.4491455014874375</v>
      </c>
      <c r="W218" s="1113">
        <f t="shared" si="199"/>
        <v>22.76330068546779</v>
      </c>
      <c r="X218" s="1113">
        <f t="shared" si="199"/>
        <v>-2.3852684033061733</v>
      </c>
      <c r="Y218" s="1113">
        <f t="shared" si="199"/>
        <v>11.448211563224774</v>
      </c>
      <c r="Z218" s="1113">
        <f t="shared" si="199"/>
        <v>8.4379607090204765</v>
      </c>
      <c r="AA218" s="1113">
        <f t="shared" si="199"/>
        <v>-3.7447712635283237</v>
      </c>
      <c r="AB218" s="1113">
        <f t="shared" si="199"/>
        <v>-13.793001507701097</v>
      </c>
      <c r="AC218" s="1113">
        <f t="shared" si="199"/>
        <v>13.240438032966772</v>
      </c>
      <c r="AD218" s="1423">
        <f ca="1">OFFSET('VVP1'!$K$58,0,5*(COLUMN()-7))</f>
        <v>10.014499999999993</v>
      </c>
      <c r="AE218" s="1423">
        <f ca="1">OFFSET('VVP1'!$K$58,0,5*(COLUMN()-7))</f>
        <v>8.361699999999983</v>
      </c>
    </row>
    <row r="219" spans="1:94">
      <c r="A219" s="664"/>
      <c r="B219" s="664"/>
      <c r="C219" s="1100" t="s">
        <v>1767</v>
      </c>
      <c r="D219" s="3"/>
      <c r="E219" s="1" t="s">
        <v>1443</v>
      </c>
      <c r="F219" s="3" t="s">
        <v>1518</v>
      </c>
      <c r="G219" s="1062"/>
      <c r="H219" s="1062">
        <f>(H205/G205-1)*100</f>
        <v>16.842463422932962</v>
      </c>
      <c r="I219" s="1062">
        <f t="shared" ref="I219:AC219" si="200">(I205/H205-1)*100</f>
        <v>-1.5094156474470988</v>
      </c>
      <c r="J219" s="1062">
        <f t="shared" si="200"/>
        <v>-2.2273690435125393</v>
      </c>
      <c r="K219" s="1062">
        <f t="shared" si="200"/>
        <v>7.3937805554155522</v>
      </c>
      <c r="L219" s="1062">
        <f t="shared" si="200"/>
        <v>10.085413929040721</v>
      </c>
      <c r="M219" s="1062">
        <f t="shared" si="200"/>
        <v>-4.6894317261371938</v>
      </c>
      <c r="N219" s="1062">
        <f t="shared" si="200"/>
        <v>-9.8403184684886185</v>
      </c>
      <c r="O219" s="1062">
        <f t="shared" si="200"/>
        <v>15.796001389095604</v>
      </c>
      <c r="P219" s="1062">
        <f t="shared" si="200"/>
        <v>79.401053939419896</v>
      </c>
      <c r="Q219" s="1062">
        <f t="shared" si="200"/>
        <v>8.4563213449873498</v>
      </c>
      <c r="R219" s="1062">
        <f t="shared" si="200"/>
        <v>34.129692832764505</v>
      </c>
      <c r="S219" s="1062">
        <f t="shared" si="200"/>
        <v>33.36452433719117</v>
      </c>
      <c r="T219" s="1062">
        <f t="shared" si="200"/>
        <v>36.17966740112508</v>
      </c>
      <c r="U219" s="1062">
        <f t="shared" si="200"/>
        <v>-20.629841545317305</v>
      </c>
      <c r="V219" s="1062">
        <f t="shared" si="200"/>
        <v>-33.024325801749264</v>
      </c>
      <c r="W219" s="1062">
        <f t="shared" si="200"/>
        <v>4.7900017003910778</v>
      </c>
      <c r="X219" s="1062">
        <f t="shared" si="200"/>
        <v>5.3823810991935339</v>
      </c>
      <c r="Y219" s="1062">
        <f t="shared" si="200"/>
        <v>16.549642769154961</v>
      </c>
      <c r="Z219" s="1062">
        <f t="shared" si="200"/>
        <v>20.665327907837039</v>
      </c>
      <c r="AA219" s="1062">
        <f t="shared" si="200"/>
        <v>15.333829680075329</v>
      </c>
      <c r="AB219" s="1062">
        <f t="shared" si="200"/>
        <v>10.18521155507457</v>
      </c>
      <c r="AC219" s="1062">
        <f t="shared" si="200"/>
        <v>-2.9904883344246458</v>
      </c>
      <c r="AD219" s="1423">
        <f ca="1">OFFSET('VVP1'!$K$59,0,5*(COLUMN()-7))</f>
        <v>6.9154999999999633</v>
      </c>
      <c r="AE219" s="1423">
        <f ca="1">OFFSET('VVP1'!$K$59,0,5*(COLUMN()-7))</f>
        <v>5.1593999999999918</v>
      </c>
    </row>
    <row r="220" spans="1:94">
      <c r="A220" s="1130"/>
      <c r="B220" s="1130"/>
      <c r="C220" s="979" t="s">
        <v>1769</v>
      </c>
      <c r="D220" s="1101"/>
      <c r="E220" s="1102" t="s">
        <v>1444</v>
      </c>
      <c r="F220" s="1101" t="s">
        <v>1900</v>
      </c>
      <c r="G220" s="1103"/>
      <c r="H220" s="1103">
        <f>(H206/G206-1)*100</f>
        <v>16.238561739692116</v>
      </c>
      <c r="I220" s="1103">
        <f t="shared" ref="I220:AC220" si="201">(I206/H206-1)*100</f>
        <v>28.313297645729541</v>
      </c>
      <c r="J220" s="1103">
        <f t="shared" si="201"/>
        <v>27.489263416218556</v>
      </c>
      <c r="K220" s="1103">
        <f t="shared" si="201"/>
        <v>-6.7893336352827793</v>
      </c>
      <c r="L220" s="1103">
        <f t="shared" si="201"/>
        <v>-15.980514826467774</v>
      </c>
      <c r="M220" s="1103">
        <f t="shared" si="201"/>
        <v>8.2029668613729623</v>
      </c>
      <c r="N220" s="1103">
        <f t="shared" si="201"/>
        <v>11.342575580424242</v>
      </c>
      <c r="O220" s="1103">
        <f t="shared" si="201"/>
        <v>21.451887766123434</v>
      </c>
      <c r="P220" s="1103">
        <f t="shared" si="201"/>
        <v>12.533967055661499</v>
      </c>
      <c r="Q220" s="1103">
        <f t="shared" si="201"/>
        <v>19.66843891452379</v>
      </c>
      <c r="R220" s="1103">
        <f t="shared" si="201"/>
        <v>33.921561433760147</v>
      </c>
      <c r="S220" s="1103">
        <f t="shared" si="201"/>
        <v>37.772237898254943</v>
      </c>
      <c r="T220" s="1103">
        <f t="shared" si="201"/>
        <v>10.271818019128665</v>
      </c>
      <c r="U220" s="1103">
        <f t="shared" si="201"/>
        <v>-43.797334141169344</v>
      </c>
      <c r="V220" s="1103">
        <f t="shared" si="201"/>
        <v>-11.062878189950009</v>
      </c>
      <c r="W220" s="1103">
        <f t="shared" si="201"/>
        <v>18.950148087488849</v>
      </c>
      <c r="X220" s="1103">
        <f t="shared" si="201"/>
        <v>-0.93348820705361213</v>
      </c>
      <c r="Y220" s="1103">
        <f t="shared" si="201"/>
        <v>12.462460164149714</v>
      </c>
      <c r="Z220" s="1103">
        <f t="shared" si="201"/>
        <v>10.957311861324804</v>
      </c>
      <c r="AA220" s="1103">
        <f t="shared" si="201"/>
        <v>0.53015713356967531</v>
      </c>
      <c r="AB220" s="1103">
        <f t="shared" si="201"/>
        <v>-7.6290461129983278</v>
      </c>
      <c r="AC220" s="1103">
        <f t="shared" si="201"/>
        <v>8.263366744691103</v>
      </c>
      <c r="AD220" s="1424">
        <f ca="1">OFFSET('VVP1'!$K$60,0,5*(COLUMN()-7))</f>
        <v>9.1629994753435575</v>
      </c>
      <c r="AE220" s="1424">
        <f ca="1">OFFSET('VVP1'!$K$60,0,5*(COLUMN()-7))</f>
        <v>7.4999315899999752</v>
      </c>
    </row>
    <row r="221" spans="1:94">
      <c r="A221" s="1130"/>
      <c r="B221" s="1130"/>
      <c r="C221" s="1104" t="s">
        <v>1767</v>
      </c>
      <c r="D221" s="1105" t="s">
        <v>687</v>
      </c>
      <c r="E221" s="1106" t="s">
        <v>1445</v>
      </c>
      <c r="F221" s="1105" t="s">
        <v>469</v>
      </c>
      <c r="G221" s="987"/>
      <c r="H221" s="987"/>
      <c r="I221" s="987"/>
      <c r="J221" s="987"/>
      <c r="K221" s="987"/>
      <c r="L221" s="987"/>
      <c r="M221" s="987"/>
      <c r="N221" s="987"/>
      <c r="O221" s="987"/>
      <c r="P221" s="987"/>
      <c r="Q221" s="987"/>
      <c r="R221" s="987"/>
      <c r="S221" s="987"/>
      <c r="T221" s="988"/>
      <c r="U221" s="988"/>
      <c r="V221" s="988"/>
      <c r="W221" s="988"/>
      <c r="X221" s="988"/>
      <c r="Y221" s="988"/>
      <c r="Z221" s="988"/>
      <c r="AA221" s="988"/>
      <c r="AB221" s="988"/>
      <c r="AC221" s="988"/>
      <c r="AD221" s="988"/>
      <c r="AE221" s="988"/>
      <c r="AI221">
        <v>-16.072636794203021</v>
      </c>
    </row>
    <row r="222" spans="1:94">
      <c r="A222" s="1130"/>
      <c r="B222" s="1130"/>
      <c r="C222" s="1100" t="s">
        <v>1767</v>
      </c>
      <c r="D222" s="1070" t="s">
        <v>1447</v>
      </c>
      <c r="E222" s="1" t="s">
        <v>1445</v>
      </c>
      <c r="F222" s="3" t="s">
        <v>99</v>
      </c>
      <c r="G222" s="881"/>
      <c r="H222" s="881"/>
      <c r="I222" s="881"/>
      <c r="J222" s="881"/>
      <c r="K222" s="881"/>
      <c r="L222" s="881"/>
      <c r="M222" s="881"/>
      <c r="N222" s="881"/>
      <c r="O222" s="881"/>
      <c r="P222" s="881"/>
      <c r="Q222" s="881"/>
      <c r="R222" s="881"/>
      <c r="S222" s="881"/>
      <c r="T222" s="935"/>
      <c r="U222" s="935"/>
      <c r="V222" s="935"/>
      <c r="W222" s="935"/>
      <c r="X222" s="935"/>
      <c r="Y222" s="935"/>
      <c r="Z222" s="935"/>
      <c r="AA222" s="935"/>
      <c r="AB222" s="935"/>
      <c r="AC222" s="935"/>
      <c r="AD222" s="935"/>
      <c r="AE222" s="935"/>
    </row>
    <row r="223" spans="1:94">
      <c r="A223" s="1130"/>
      <c r="B223" s="1130"/>
      <c r="C223" s="979" t="s">
        <v>1769</v>
      </c>
      <c r="D223" s="1101"/>
      <c r="E223" s="1102" t="s">
        <v>1445</v>
      </c>
      <c r="F223" s="1101" t="s">
        <v>471</v>
      </c>
      <c r="G223" s="1103"/>
      <c r="H223" s="1103">
        <f>(H210/G210-1)*100</f>
        <v>42.814763711624693</v>
      </c>
      <c r="I223" s="1103">
        <f t="shared" ref="I223:AC223" si="202">(I210/H210-1)*100</f>
        <v>36.757886092459316</v>
      </c>
      <c r="J223" s="1103">
        <f t="shared" si="202"/>
        <v>10.18977225563178</v>
      </c>
      <c r="K223" s="1103">
        <f t="shared" si="202"/>
        <v>-15.298926109953504</v>
      </c>
      <c r="L223" s="1103">
        <f t="shared" si="202"/>
        <v>-6.5767811524269248</v>
      </c>
      <c r="M223" s="1103">
        <f t="shared" si="202"/>
        <v>21.987259340280939</v>
      </c>
      <c r="N223" s="1103">
        <f t="shared" si="202"/>
        <v>5.9768034603857156</v>
      </c>
      <c r="O223" s="1103">
        <f t="shared" si="202"/>
        <v>4.7262785159187803</v>
      </c>
      <c r="P223" s="1103">
        <f t="shared" si="202"/>
        <v>22.529753667312491</v>
      </c>
      <c r="Q223" s="1103">
        <f t="shared" si="202"/>
        <v>13.370044994169671</v>
      </c>
      <c r="R223" s="1103">
        <f t="shared" si="202"/>
        <v>16.371116699605292</v>
      </c>
      <c r="S223" s="1103">
        <f t="shared" si="202"/>
        <v>25.785747339194831</v>
      </c>
      <c r="T223" s="1103">
        <f t="shared" si="202"/>
        <v>-15.044348712213473</v>
      </c>
      <c r="U223" s="1103">
        <f t="shared" si="202"/>
        <v>-50.273893707589764</v>
      </c>
      <c r="V223" s="1103">
        <f t="shared" si="202"/>
        <v>19.37874460080813</v>
      </c>
      <c r="W223" s="1103">
        <f t="shared" si="202"/>
        <v>37.219973009446683</v>
      </c>
      <c r="X223" s="1103">
        <f t="shared" si="202"/>
        <v>3.3225593807812537</v>
      </c>
      <c r="Y223" s="1103">
        <f t="shared" si="202"/>
        <v>12.624641126169234</v>
      </c>
      <c r="Z223" s="1103">
        <f t="shared" si="202"/>
        <v>-0.78119646405809817</v>
      </c>
      <c r="AA223" s="1103">
        <f t="shared" si="202"/>
        <v>13.918548702718869</v>
      </c>
      <c r="AB223" s="1103">
        <f t="shared" si="202"/>
        <v>8.4227246639236419</v>
      </c>
      <c r="AC223" s="1103">
        <f t="shared" si="202"/>
        <v>6.6153966591240065</v>
      </c>
      <c r="AD223" s="1424">
        <f ca="1">OFFSET('VVP1'!$K$63,0,5*(COLUMN()-7))</f>
        <v>10.127499999999978</v>
      </c>
      <c r="AE223" s="1424">
        <f ca="1">OFFSET('VVP1'!$K$63,0,5*(COLUMN()-7))</f>
        <v>5.763000000000007</v>
      </c>
    </row>
    <row r="224" spans="1:94">
      <c r="A224" s="664"/>
      <c r="B224" s="664"/>
      <c r="C224" s="1107" t="s">
        <v>1769</v>
      </c>
      <c r="D224" s="1108"/>
      <c r="E224" s="1109" t="s">
        <v>1446</v>
      </c>
      <c r="F224" s="1108" t="s">
        <v>1534</v>
      </c>
      <c r="G224" s="1110"/>
      <c r="H224" s="1110">
        <f>(H211/G211-1)*100</f>
        <v>25.551571980143393</v>
      </c>
      <c r="I224" s="1110">
        <f t="shared" ref="I224:AC224" si="203">(I211/H211-1)*100</f>
        <v>15.178473366282287</v>
      </c>
      <c r="J224" s="1110">
        <f t="shared" si="203"/>
        <v>-8.4199485076761889</v>
      </c>
      <c r="K224" s="1110">
        <f t="shared" si="203"/>
        <v>-9.3710953769262755</v>
      </c>
      <c r="L224" s="1110">
        <f t="shared" si="203"/>
        <v>113.71783088235298</v>
      </c>
      <c r="M224" s="1110">
        <f t="shared" si="203"/>
        <v>13.315772497580891</v>
      </c>
      <c r="N224" s="1110">
        <f t="shared" si="203"/>
        <v>-3.7430618150766315</v>
      </c>
      <c r="O224" s="1110">
        <f t="shared" si="203"/>
        <v>13.085263676688053</v>
      </c>
      <c r="P224" s="1110">
        <f t="shared" si="203"/>
        <v>13.445195031597311</v>
      </c>
      <c r="Q224" s="1110">
        <f t="shared" si="203"/>
        <v>26.277372262773735</v>
      </c>
      <c r="R224" s="1110">
        <f t="shared" si="203"/>
        <v>31.308183754183116</v>
      </c>
      <c r="S224" s="1110">
        <f t="shared" si="203"/>
        <v>27.742638029702714</v>
      </c>
      <c r="T224" s="1110">
        <f t="shared" si="203"/>
        <v>19.405096581119086</v>
      </c>
      <c r="U224" s="1110">
        <f t="shared" si="203"/>
        <v>-17.156788285688229</v>
      </c>
      <c r="V224" s="1110">
        <f t="shared" si="203"/>
        <v>6.9766589046370342</v>
      </c>
      <c r="W224" s="1110">
        <f t="shared" si="203"/>
        <v>3.3045385986562481</v>
      </c>
      <c r="X224" s="1110">
        <f t="shared" si="203"/>
        <v>-4.1146801168038261</v>
      </c>
      <c r="Y224" s="1110">
        <f t="shared" si="203"/>
        <v>2.4899640088593467</v>
      </c>
      <c r="Z224" s="1110">
        <f t="shared" si="203"/>
        <v>11.004372710236222</v>
      </c>
      <c r="AA224" s="1110">
        <f t="shared" si="203"/>
        <v>14.575126617895329</v>
      </c>
      <c r="AB224" s="1110">
        <f t="shared" si="203"/>
        <v>12.371900387617462</v>
      </c>
      <c r="AC224" s="1110">
        <f t="shared" si="203"/>
        <v>8.9732079572839361</v>
      </c>
      <c r="AD224" s="1425">
        <f ca="1">OFFSET('VVP1'!$K$64,0,5*(COLUMN()-7))</f>
        <v>7.2620000000000129</v>
      </c>
      <c r="AE224" s="1425">
        <f ca="1">OFFSET('VVP1'!$K$64,0,5*(COLUMN()-7))</f>
        <v>5.5449999999999777</v>
      </c>
    </row>
    <row r="225" spans="1:94" ht="12.75" customHeight="1">
      <c r="A225" s="1130"/>
      <c r="B225" s="1130"/>
      <c r="C225" s="1083" t="s">
        <v>1448</v>
      </c>
      <c r="D225" s="1097"/>
      <c r="E225" s="1098" t="s">
        <v>376</v>
      </c>
      <c r="F225" s="1097" t="s">
        <v>1884</v>
      </c>
      <c r="G225" s="1099"/>
      <c r="H225" s="1099">
        <f>(H212/G212-1)*100</f>
        <v>26.410452622325664</v>
      </c>
      <c r="I225" s="1099">
        <f t="shared" ref="I225:AC225" si="204">(I212/H212-1)*100</f>
        <v>31.212603309919771</v>
      </c>
      <c r="J225" s="1099">
        <f t="shared" si="204"/>
        <v>18.583689514361001</v>
      </c>
      <c r="K225" s="1099">
        <f t="shared" si="204"/>
        <v>-10.282849913026137</v>
      </c>
      <c r="L225" s="1099">
        <f t="shared" si="204"/>
        <v>-8.3728747957223622</v>
      </c>
      <c r="M225" s="1099">
        <f t="shared" si="204"/>
        <v>13.898830128017092</v>
      </c>
      <c r="N225" s="1099">
        <f t="shared" si="204"/>
        <v>8.0307962802708808</v>
      </c>
      <c r="O225" s="1099">
        <f t="shared" si="204"/>
        <v>14.125687402651078</v>
      </c>
      <c r="P225" s="1099">
        <f t="shared" si="204"/>
        <v>16.314047929409405</v>
      </c>
      <c r="Q225" s="1099">
        <f t="shared" si="204"/>
        <v>17.609674329501914</v>
      </c>
      <c r="R225" s="1099">
        <f t="shared" si="204"/>
        <v>27.110913836844208</v>
      </c>
      <c r="S225" s="1099">
        <f t="shared" si="204"/>
        <v>32.929728171202477</v>
      </c>
      <c r="T225" s="1099">
        <f t="shared" si="204"/>
        <v>2.5865590510286696</v>
      </c>
      <c r="U225" s="1099">
        <f t="shared" si="204"/>
        <v>-43.49419497916206</v>
      </c>
      <c r="V225" s="1099">
        <f t="shared" si="204"/>
        <v>-1.750746281067328</v>
      </c>
      <c r="W225" s="1099">
        <f t="shared" si="204"/>
        <v>22.317880794701985</v>
      </c>
      <c r="X225" s="1099">
        <f t="shared" si="204"/>
        <v>0.11970019598313009</v>
      </c>
      <c r="Y225" s="1099">
        <f t="shared" si="204"/>
        <v>11.521191147938081</v>
      </c>
      <c r="Z225" s="1099">
        <f t="shared" si="204"/>
        <v>6.9809198621817892</v>
      </c>
      <c r="AA225" s="1099">
        <f t="shared" si="204"/>
        <v>6.0782073393778058</v>
      </c>
      <c r="AB225" s="1099">
        <f t="shared" si="204"/>
        <v>-0.15043916769735821</v>
      </c>
      <c r="AC225" s="1099">
        <f t="shared" si="204"/>
        <v>7.7409696207377587</v>
      </c>
      <c r="AD225" s="1426">
        <f ca="1">OFFSET('VVP1'!$K$65,0,5*(COLUMN()-7))</f>
        <v>9.2905093903981495</v>
      </c>
      <c r="AE225" s="1426">
        <f ca="1">OFFSET('VVP1'!$K$65,0,5*(COLUMN()-7))</f>
        <v>6.6401309849669188</v>
      </c>
    </row>
    <row r="226" spans="1:94">
      <c r="AB226" s="557"/>
      <c r="AC226" s="557"/>
      <c r="AD226" s="557"/>
      <c r="AE226" s="557"/>
    </row>
    <row r="227" spans="1:94">
      <c r="A227" s="1130"/>
      <c r="B227" s="1130"/>
      <c r="D227" s="1074"/>
      <c r="E227" s="1075" t="s">
        <v>1276</v>
      </c>
      <c r="F227" s="1076"/>
      <c r="G227" s="698">
        <f>+InputY!$G$3</f>
        <v>1995</v>
      </c>
      <c r="H227" s="698">
        <f>+G227+1</f>
        <v>1996</v>
      </c>
      <c r="I227" s="698">
        <f t="shared" ref="I227:O227" si="205">+H227+1</f>
        <v>1997</v>
      </c>
      <c r="J227" s="698">
        <f t="shared" si="205"/>
        <v>1998</v>
      </c>
      <c r="K227" s="698">
        <f t="shared" si="205"/>
        <v>1999</v>
      </c>
      <c r="L227" s="698">
        <f t="shared" si="205"/>
        <v>2000</v>
      </c>
      <c r="M227" s="698">
        <f t="shared" si="205"/>
        <v>2001</v>
      </c>
      <c r="N227" s="698">
        <f t="shared" si="205"/>
        <v>2002</v>
      </c>
      <c r="O227" s="698">
        <f t="shared" si="205"/>
        <v>2003</v>
      </c>
      <c r="P227" s="698">
        <f t="shared" ref="P227:V227" si="206">+O227+1</f>
        <v>2004</v>
      </c>
      <c r="Q227" s="698">
        <f t="shared" si="206"/>
        <v>2005</v>
      </c>
      <c r="R227" s="698">
        <f t="shared" si="206"/>
        <v>2006</v>
      </c>
      <c r="S227" s="698">
        <f>+R227+1</f>
        <v>2007</v>
      </c>
      <c r="T227" s="698">
        <f t="shared" si="206"/>
        <v>2008</v>
      </c>
      <c r="U227" s="698">
        <f t="shared" si="206"/>
        <v>2009</v>
      </c>
      <c r="V227" s="698">
        <f t="shared" si="206"/>
        <v>2010</v>
      </c>
      <c r="W227" s="698">
        <f t="shared" ref="W227:AE227" si="207">+V227+1</f>
        <v>2011</v>
      </c>
      <c r="X227" s="698">
        <f t="shared" si="207"/>
        <v>2012</v>
      </c>
      <c r="Y227" s="698">
        <f t="shared" si="207"/>
        <v>2013</v>
      </c>
      <c r="Z227" s="698">
        <f t="shared" si="207"/>
        <v>2014</v>
      </c>
      <c r="AA227" s="698">
        <f t="shared" si="207"/>
        <v>2015</v>
      </c>
      <c r="AB227" s="698">
        <f t="shared" si="207"/>
        <v>2016</v>
      </c>
      <c r="AC227" s="698">
        <f t="shared" si="207"/>
        <v>2017</v>
      </c>
      <c r="AD227" s="698">
        <f t="shared" si="207"/>
        <v>2018</v>
      </c>
      <c r="AE227" s="698">
        <f t="shared" si="207"/>
        <v>2019</v>
      </c>
    </row>
    <row r="228" spans="1:94">
      <c r="A228" s="664">
        <f>+ROW(InputY!A206)</f>
        <v>206</v>
      </c>
      <c r="B228" s="1130" t="s">
        <v>675</v>
      </c>
      <c r="C228" s="1079" t="s">
        <v>1767</v>
      </c>
      <c r="D228" s="1058" t="s">
        <v>685</v>
      </c>
      <c r="E228" s="1038" t="s">
        <v>376</v>
      </c>
      <c r="F228" s="1058" t="s">
        <v>428</v>
      </c>
      <c r="G228" s="1084">
        <f>+InputY!G206/1000</f>
        <v>0.29872000000000004</v>
      </c>
      <c r="H228" s="1084">
        <f>+InputY!H206/1000</f>
        <v>0.31448999999999999</v>
      </c>
      <c r="I228" s="1084">
        <f>+InputY!I206/1000</f>
        <v>0.42637000000000003</v>
      </c>
      <c r="J228" s="1084">
        <f>+InputY!J206/1000</f>
        <v>0.58422000000000007</v>
      </c>
      <c r="K228" s="1084">
        <f>+InputY!K206/1000</f>
        <v>0.43416000000000005</v>
      </c>
      <c r="L228" s="1084">
        <f>+InputY!L206/1000</f>
        <v>0.48319000000000001</v>
      </c>
      <c r="M228" s="1084">
        <f>+InputY!M206/1000</f>
        <v>0.53537000000000001</v>
      </c>
      <c r="N228" s="1084">
        <f>+InputY!N206/1000</f>
        <v>0.53712000000000004</v>
      </c>
      <c r="O228" s="1084">
        <f>+InputY!O206/1000</f>
        <v>0.68988000000000005</v>
      </c>
      <c r="P228" s="1084">
        <f>+InputY!P206/1000</f>
        <v>0.79324000000000006</v>
      </c>
      <c r="Q228" s="1084">
        <f>+InputY!Q206/1000</f>
        <v>0.83965000000000001</v>
      </c>
      <c r="R228" s="1084">
        <f>+InputY!R206/1000</f>
        <v>0.87766999999999995</v>
      </c>
      <c r="S228" s="1084">
        <f>+InputY!S206/1000</f>
        <v>1.0825199999999999</v>
      </c>
      <c r="T228" s="1084">
        <f>+InputY!T206/1000</f>
        <v>1.27919</v>
      </c>
      <c r="U228" s="3160">
        <f>+InputY!U206/1000</f>
        <v>0.95716000000000001</v>
      </c>
      <c r="V228" s="3160">
        <f>+InputY!V206/1000</f>
        <v>0.92220000000000002</v>
      </c>
      <c r="W228" s="3160">
        <f>+InputY!W206/1000</f>
        <v>1.04375</v>
      </c>
      <c r="X228" s="3160">
        <f>+InputY!X206/1000</f>
        <v>1.00299</v>
      </c>
      <c r="Y228" s="3160">
        <f>+InputY!Y206/1000</f>
        <v>1.2413599999999998</v>
      </c>
      <c r="Z228" s="3160">
        <f>+InputY!Z206/1000</f>
        <v>1.37171</v>
      </c>
      <c r="AA228" s="3160">
        <f>+InputY!AA206/1000</f>
        <v>1.56351</v>
      </c>
      <c r="AB228" s="3160">
        <f>+InputY!AB206/1000</f>
        <v>1.7422800000000001</v>
      </c>
      <c r="AC228" s="3717">
        <f t="shared" ref="AC228:AE229" ca="1" si="208">+AB228*(1+AC235/100)</f>
        <v>1.8032598</v>
      </c>
      <c r="AD228" s="3717">
        <f t="shared" ca="1" si="208"/>
        <v>1.8663738929999998</v>
      </c>
      <c r="AE228" s="3717">
        <f t="shared" ca="1" si="208"/>
        <v>1.9316969792549996</v>
      </c>
    </row>
    <row r="229" spans="1:94">
      <c r="A229" s="664">
        <f>+ROW(InputY!A171)</f>
        <v>171</v>
      </c>
      <c r="B229" s="664">
        <v>126</v>
      </c>
      <c r="C229" s="1080" t="s">
        <v>1767</v>
      </c>
      <c r="D229" s="3" t="s">
        <v>687</v>
      </c>
      <c r="E229" s="29" t="s">
        <v>376</v>
      </c>
      <c r="F229" s="3" t="s">
        <v>1176</v>
      </c>
      <c r="G229" s="1062">
        <f>+InputY!G171/1000</f>
        <v>0.25098999999999999</v>
      </c>
      <c r="H229" s="1062">
        <f>+InputY!H171/1000</f>
        <v>0.23119000000000001</v>
      </c>
      <c r="I229" s="1062">
        <f>+InputY!I171/1000</f>
        <v>0.26547000000000004</v>
      </c>
      <c r="J229" s="1062">
        <f>+InputY!J171/1000</f>
        <v>0.32951999999999998</v>
      </c>
      <c r="K229" s="1062">
        <f>+InputY!K171/1000</f>
        <v>0.32613999999999999</v>
      </c>
      <c r="L229" s="1062">
        <f>+InputY!L171/1000</f>
        <v>0.32395999999999997</v>
      </c>
      <c r="M229" s="1062">
        <f>+InputY!M171/1000</f>
        <v>0.32343</v>
      </c>
      <c r="N229" s="1062">
        <f>+InputY!N171/1000</f>
        <v>0.45168000000000003</v>
      </c>
      <c r="O229" s="1062">
        <f>+InputY!O171/1000</f>
        <v>0.51299000000000006</v>
      </c>
      <c r="P229" s="1062">
        <f>+InputY!P171/1000</f>
        <v>0.65776999999999997</v>
      </c>
      <c r="Q229" s="1062">
        <f>+InputY!Q171/1000</f>
        <v>0.75748000000000004</v>
      </c>
      <c r="R229" s="1062">
        <f>+InputY!R171/1000</f>
        <v>1.0293299999999999</v>
      </c>
      <c r="S229" s="1062">
        <f>+InputY!S171/1000</f>
        <v>1.57236</v>
      </c>
      <c r="T229" s="1062">
        <f>+InputY!T171/1000</f>
        <v>1.75915</v>
      </c>
      <c r="U229" s="1062">
        <f>+InputY!U171/1000</f>
        <v>1.1892</v>
      </c>
      <c r="V229" s="1956">
        <f>+InputY!V171/1000</f>
        <v>1.39093</v>
      </c>
      <c r="W229" s="1062">
        <f>+InputY!W171/1000</f>
        <v>1.47923</v>
      </c>
      <c r="X229" s="1062">
        <f>+InputY!X171/1000</f>
        <v>1.32633</v>
      </c>
      <c r="Y229" s="1956">
        <f>+InputY!Y171/1000</f>
        <v>1.30948</v>
      </c>
      <c r="Z229" s="1956">
        <f>+InputY!Z171/1000</f>
        <v>1.28298</v>
      </c>
      <c r="AA229" s="1956">
        <f>+InputY!AA171/1000</f>
        <v>1.3745099999999999</v>
      </c>
      <c r="AB229" s="1956">
        <f>+InputY!AB171/1000</f>
        <v>1.1535899999999999</v>
      </c>
      <c r="AC229" s="3718">
        <f t="shared" ca="1" si="208"/>
        <v>1.2369138056999998</v>
      </c>
      <c r="AD229" s="3718">
        <f t="shared" ca="1" si="208"/>
        <v>1.3547941652108211</v>
      </c>
      <c r="AE229" s="3718">
        <f t="shared" ca="1" si="208"/>
        <v>1.4582326997246671</v>
      </c>
    </row>
    <row r="230" spans="1:94">
      <c r="A230" s="664">
        <f>+ROW(InputY!A133)</f>
        <v>133</v>
      </c>
      <c r="B230" s="1130" t="s">
        <v>676</v>
      </c>
      <c r="C230" s="1081" t="s">
        <v>1767</v>
      </c>
      <c r="D230" s="1077" t="s">
        <v>686</v>
      </c>
      <c r="E230" s="1039" t="s">
        <v>376</v>
      </c>
      <c r="F230" s="1077" t="s">
        <v>1558</v>
      </c>
      <c r="G230" s="1085">
        <f>+InputY!G133/1000</f>
        <v>1.0315099999999999</v>
      </c>
      <c r="H230" s="1085">
        <f>+InputY!H133/1000</f>
        <v>1.45316</v>
      </c>
      <c r="I230" s="1085">
        <f>+InputY!I133/1000</f>
        <v>1.9308800000000002</v>
      </c>
      <c r="J230" s="1085">
        <f>+InputY!J133/1000</f>
        <v>2.1963900000000001</v>
      </c>
      <c r="K230" s="1085">
        <f>+InputY!K133/1000</f>
        <v>2.0300199999999999</v>
      </c>
      <c r="L230" s="1085">
        <f>+InputY!L133/1000</f>
        <v>1.7495399999999999</v>
      </c>
      <c r="M230" s="1085">
        <f>+InputY!M133/1000</f>
        <v>2.0532399999999997</v>
      </c>
      <c r="N230" s="1085">
        <f>+InputY!N133/1000</f>
        <v>2.1570999999999998</v>
      </c>
      <c r="O230" s="1085">
        <f>+InputY!O133/1000</f>
        <v>2.38741</v>
      </c>
      <c r="P230" s="1085">
        <f>+InputY!P133/1000</f>
        <v>2.7249899999999996</v>
      </c>
      <c r="Q230" s="1085">
        <f>+InputY!Q133/1000</f>
        <v>3.3142499999999999</v>
      </c>
      <c r="R230" s="1085">
        <f>+InputY!R133/1000</f>
        <v>4.3358999999999996</v>
      </c>
      <c r="S230" s="1085">
        <f>+InputY!S133/1000</f>
        <v>5.6438000000000006</v>
      </c>
      <c r="T230" s="1085">
        <f>+InputY!T133/1000</f>
        <v>5.4749799999999995</v>
      </c>
      <c r="U230" s="3161">
        <f>+InputY!U133/1000</f>
        <v>2.6641699999999999</v>
      </c>
      <c r="V230" s="3161">
        <f>+InputY!V133/1000</f>
        <v>2.41317</v>
      </c>
      <c r="W230" s="3161">
        <f>+InputY!W133/1000</f>
        <v>3.25813</v>
      </c>
      <c r="X230" s="3161">
        <f>+InputY!X133/1000</f>
        <v>3.45871</v>
      </c>
      <c r="Y230" s="3714">
        <f>+InputY!Y133/1000</f>
        <v>3.9040300000000001</v>
      </c>
      <c r="Z230" s="3714">
        <f>+InputY!Z133/1000</f>
        <v>4.2507999999999999</v>
      </c>
      <c r="AA230" s="3714">
        <f>+InputY!AA133/1000</f>
        <v>4.3872</v>
      </c>
      <c r="AB230" s="3714">
        <f>+InputY!AB133/1000</f>
        <v>4.4183300000000001</v>
      </c>
      <c r="AC230" s="3719">
        <f ca="1">+AB230*(1+AC237/100)</f>
        <v>4.8402273491796706</v>
      </c>
      <c r="AD230" s="3719">
        <f ca="1">+AC230*(1+AD237/100)</f>
        <v>5.3913625170022881</v>
      </c>
      <c r="AE230" s="3719">
        <f ca="1">+AD230*(1+AE237/100)</f>
        <v>5.7944843096866441</v>
      </c>
      <c r="AF230" s="3654"/>
    </row>
    <row r="231" spans="1:94">
      <c r="A231" s="664"/>
      <c r="B231" s="664"/>
      <c r="C231" s="694" t="s">
        <v>1769</v>
      </c>
      <c r="D231" s="1055"/>
      <c r="E231" s="1056" t="s">
        <v>376</v>
      </c>
      <c r="F231" s="1055" t="s">
        <v>1884</v>
      </c>
      <c r="G231" s="1057">
        <f>+G212</f>
        <v>1.5812299999999999</v>
      </c>
      <c r="H231" s="1057">
        <f t="shared" ref="H231:R231" si="209">+H212</f>
        <v>1.99884</v>
      </c>
      <c r="I231" s="1057">
        <f t="shared" si="209"/>
        <v>2.6227300000000002</v>
      </c>
      <c r="J231" s="1057">
        <f t="shared" si="209"/>
        <v>3.1101300000000003</v>
      </c>
      <c r="K231" s="1057">
        <f t="shared" si="209"/>
        <v>2.7903200000000004</v>
      </c>
      <c r="L231" s="1057">
        <f t="shared" si="209"/>
        <v>2.5566900000000001</v>
      </c>
      <c r="M231" s="1057">
        <f t="shared" si="209"/>
        <v>2.9120400000000002</v>
      </c>
      <c r="N231" s="1057">
        <f t="shared" si="209"/>
        <v>3.1459000000000001</v>
      </c>
      <c r="O231" s="1057">
        <f t="shared" si="209"/>
        <v>3.5902800000000004</v>
      </c>
      <c r="P231" s="1057">
        <f t="shared" si="209"/>
        <v>4.1760000000000002</v>
      </c>
      <c r="Q231" s="1057">
        <f>+Q212</f>
        <v>4.9113800000000003</v>
      </c>
      <c r="R231" s="1057">
        <f t="shared" si="209"/>
        <v>6.2428999999999997</v>
      </c>
      <c r="S231" s="1057">
        <f t="shared" ref="S231:X231" si="210">+S212</f>
        <v>8.2986699999999995</v>
      </c>
      <c r="T231" s="1057">
        <f t="shared" si="210"/>
        <v>8.5133200000000002</v>
      </c>
      <c r="U231" s="1057">
        <f t="shared" si="210"/>
        <v>4.8105200000000004</v>
      </c>
      <c r="V231" s="1057">
        <f>+V212</f>
        <v>4.7263000000000002</v>
      </c>
      <c r="W231" s="1057">
        <f>+W212</f>
        <v>5.78111</v>
      </c>
      <c r="X231" s="3398">
        <f t="shared" si="210"/>
        <v>5.78803</v>
      </c>
      <c r="Y231" s="3713">
        <f t="shared" ref="Y231:AD231" si="211">+Y212</f>
        <v>6.4548800000000002</v>
      </c>
      <c r="Z231" s="3398">
        <f t="shared" si="211"/>
        <v>6.9054899999999995</v>
      </c>
      <c r="AA231" s="3704">
        <f t="shared" si="211"/>
        <v>7.3252199999999998</v>
      </c>
      <c r="AB231" s="3704">
        <f t="shared" si="211"/>
        <v>7.3141999999999996</v>
      </c>
      <c r="AC231" s="3724">
        <f t="shared" si="211"/>
        <v>7.8803900000000002</v>
      </c>
      <c r="AD231" s="2302">
        <f t="shared" ca="1" si="211"/>
        <v>8.6125183729499977</v>
      </c>
      <c r="AE231" s="2302">
        <f t="shared" ref="AE231" ca="1" si="212">+AE212</f>
        <v>9.1844008740182197</v>
      </c>
      <c r="AG231" s="3699"/>
      <c r="AH231" s="3699"/>
      <c r="AI231" s="3699"/>
      <c r="AJ231" s="3699"/>
    </row>
    <row r="232" spans="1:94" s="699" customFormat="1" ht="12.75" customHeight="1">
      <c r="A232" s="664"/>
      <c r="B232" s="664"/>
      <c r="C232" s="774"/>
      <c r="D232" s="1973"/>
      <c r="E232" s="1973" t="s">
        <v>737</v>
      </c>
      <c r="F232" s="1973"/>
      <c r="G232" s="1002">
        <f>ABS(G231-G230-G229-G228)</f>
        <v>9.9999999999544897E-6</v>
      </c>
      <c r="H232" s="1002">
        <f t="shared" ref="H232:Y232" si="213">ABS(H231-H230-H229-H228)</f>
        <v>5.5511151231257827E-17</v>
      </c>
      <c r="I232" s="1002">
        <f t="shared" si="213"/>
        <v>1.0000000000010001E-5</v>
      </c>
      <c r="J232" s="1002">
        <f t="shared" si="213"/>
        <v>1.1102230246251565E-16</v>
      </c>
      <c r="K232" s="1002">
        <f t="shared" si="213"/>
        <v>3.8857805861880479E-16</v>
      </c>
      <c r="L232" s="1002">
        <f t="shared" si="213"/>
        <v>2.7755575615628914E-16</v>
      </c>
      <c r="M232" s="1002">
        <f t="shared" si="213"/>
        <v>4.4408920985006262E-16</v>
      </c>
      <c r="N232" s="1002">
        <f t="shared" si="213"/>
        <v>2.2204460492503131E-16</v>
      </c>
      <c r="O232" s="1002">
        <f t="shared" si="213"/>
        <v>2.2204460492503131E-16</v>
      </c>
      <c r="P232" s="1002">
        <f t="shared" si="213"/>
        <v>5.5511151231257827E-16</v>
      </c>
      <c r="Q232" s="1002">
        <f t="shared" si="213"/>
        <v>3.3306690738754696E-16</v>
      </c>
      <c r="R232" s="1002">
        <f>ABS(R231-R230-R229-R228)</f>
        <v>2.2204460492503131E-16</v>
      </c>
      <c r="S232" s="1002">
        <f t="shared" si="213"/>
        <v>1.000000000095369E-5</v>
      </c>
      <c r="T232" s="2906">
        <f t="shared" si="213"/>
        <v>6.6613381477509392E-16</v>
      </c>
      <c r="U232" s="2906">
        <f>ABS(U231-U230-U229-U228)</f>
        <v>9.9999999996214228E-6</v>
      </c>
      <c r="V232" s="3192">
        <f>ABS(V231-V230-V229-V228)</f>
        <v>1.1102230246251565E-16</v>
      </c>
      <c r="W232" s="3146">
        <f t="shared" si="213"/>
        <v>0</v>
      </c>
      <c r="X232" s="3146">
        <f t="shared" si="213"/>
        <v>0</v>
      </c>
      <c r="Y232" s="3146">
        <f t="shared" si="213"/>
        <v>1.0000000000287557E-5</v>
      </c>
      <c r="Z232" s="3146">
        <f t="shared" ref="Z232:AE232" si="214">ABS(Z231-Z230-Z229-Z228)</f>
        <v>4.4408920985006262E-16</v>
      </c>
      <c r="AA232" s="3146">
        <f t="shared" si="214"/>
        <v>0</v>
      </c>
      <c r="AB232" s="3146">
        <f t="shared" si="214"/>
        <v>4.4408920985006262E-16</v>
      </c>
      <c r="AC232" s="3146">
        <f t="shared" ca="1" si="214"/>
        <v>1.0954879670066475E-5</v>
      </c>
      <c r="AD232" s="3146">
        <f t="shared" ca="1" si="214"/>
        <v>1.2202263111271705E-5</v>
      </c>
      <c r="AE232" s="3146">
        <f t="shared" ca="1" si="214"/>
        <v>1.3114648091061554E-5</v>
      </c>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row>
    <row r="233" spans="1:94">
      <c r="U233" s="3162"/>
      <c r="V233" s="3056"/>
      <c r="AB233" s="557"/>
      <c r="AC233" s="557"/>
      <c r="AD233" s="557"/>
      <c r="AE233" s="557"/>
    </row>
    <row r="234" spans="1:94" s="699" customFormat="1" ht="12.75" customHeight="1">
      <c r="A234" s="664"/>
      <c r="B234" s="664"/>
      <c r="C234" s="774"/>
      <c r="D234" s="1092"/>
      <c r="E234" s="1093" t="s">
        <v>1276</v>
      </c>
      <c r="F234" s="1094"/>
      <c r="G234" s="896">
        <f>+InputY!$G$3</f>
        <v>1995</v>
      </c>
      <c r="H234" s="896">
        <f>+G234+1</f>
        <v>1996</v>
      </c>
      <c r="I234" s="896">
        <f t="shared" ref="I234:O234" si="215">+H234+1</f>
        <v>1997</v>
      </c>
      <c r="J234" s="896">
        <f t="shared" si="215"/>
        <v>1998</v>
      </c>
      <c r="K234" s="896">
        <f t="shared" si="215"/>
        <v>1999</v>
      </c>
      <c r="L234" s="896">
        <f t="shared" si="215"/>
        <v>2000</v>
      </c>
      <c r="M234" s="896">
        <f t="shared" si="215"/>
        <v>2001</v>
      </c>
      <c r="N234" s="896">
        <f t="shared" si="215"/>
        <v>2002</v>
      </c>
      <c r="O234" s="896">
        <f t="shared" si="215"/>
        <v>2003</v>
      </c>
      <c r="P234" s="896">
        <f t="shared" ref="P234:V234" si="216">+O234+1</f>
        <v>2004</v>
      </c>
      <c r="Q234" s="896">
        <f t="shared" si="216"/>
        <v>2005</v>
      </c>
      <c r="R234" s="896">
        <f t="shared" si="216"/>
        <v>2006</v>
      </c>
      <c r="S234" s="896">
        <f>+R234+1</f>
        <v>2007</v>
      </c>
      <c r="T234" s="896">
        <f t="shared" si="216"/>
        <v>2008</v>
      </c>
      <c r="U234" s="896">
        <f t="shared" si="216"/>
        <v>2009</v>
      </c>
      <c r="V234" s="896">
        <f t="shared" si="216"/>
        <v>2010</v>
      </c>
      <c r="W234" s="896">
        <f t="shared" ref="W234:AE234" si="217">+V234+1</f>
        <v>2011</v>
      </c>
      <c r="X234" s="896">
        <f t="shared" si="217"/>
        <v>2012</v>
      </c>
      <c r="Y234" s="896">
        <f t="shared" si="217"/>
        <v>2013</v>
      </c>
      <c r="Z234" s="896">
        <f t="shared" si="217"/>
        <v>2014</v>
      </c>
      <c r="AA234" s="896">
        <f t="shared" si="217"/>
        <v>2015</v>
      </c>
      <c r="AB234" s="896">
        <f t="shared" si="217"/>
        <v>2016</v>
      </c>
      <c r="AC234" s="896">
        <f t="shared" si="217"/>
        <v>2017</v>
      </c>
      <c r="AD234" s="896">
        <f t="shared" si="217"/>
        <v>2018</v>
      </c>
      <c r="AE234" s="896">
        <f t="shared" si="217"/>
        <v>2019</v>
      </c>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row>
    <row r="235" spans="1:94" s="699" customFormat="1" ht="12.75" customHeight="1">
      <c r="A235" s="664"/>
      <c r="B235" s="664"/>
      <c r="C235" s="794" t="s">
        <v>1767</v>
      </c>
      <c r="D235" s="689" t="s">
        <v>685</v>
      </c>
      <c r="E235" s="738" t="s">
        <v>376</v>
      </c>
      <c r="F235" s="733" t="s">
        <v>428</v>
      </c>
      <c r="G235" s="1095"/>
      <c r="H235" s="1095">
        <f>+(H228/G228-1)*100</f>
        <v>5.2791912158542953</v>
      </c>
      <c r="I235" s="1095">
        <f t="shared" ref="I235:T235" si="218">+(I228/H228-1)*100</f>
        <v>35.575058030462039</v>
      </c>
      <c r="J235" s="1095">
        <f t="shared" si="218"/>
        <v>37.021835494992629</v>
      </c>
      <c r="K235" s="1095">
        <f t="shared" si="218"/>
        <v>-25.685529423847186</v>
      </c>
      <c r="L235" s="1095">
        <f t="shared" si="218"/>
        <v>11.293071678643818</v>
      </c>
      <c r="M235" s="1095">
        <f t="shared" si="218"/>
        <v>10.79906455017694</v>
      </c>
      <c r="N235" s="1095">
        <f t="shared" si="218"/>
        <v>0.32687673945122064</v>
      </c>
      <c r="O235" s="1095">
        <f t="shared" si="218"/>
        <v>28.440571939231461</v>
      </c>
      <c r="P235" s="1095">
        <f t="shared" si="218"/>
        <v>14.982315765060594</v>
      </c>
      <c r="Q235" s="1095">
        <f t="shared" si="218"/>
        <v>5.8506883162724899</v>
      </c>
      <c r="R235" s="1095">
        <f t="shared" si="218"/>
        <v>4.5280771750134008</v>
      </c>
      <c r="S235" s="1095">
        <f t="shared" si="218"/>
        <v>23.340207595109774</v>
      </c>
      <c r="T235" s="1095">
        <f t="shared" si="218"/>
        <v>18.167793666629727</v>
      </c>
      <c r="U235" s="1095">
        <f t="shared" ref="U235:AB235" si="219">+(U228/T228-1)*100</f>
        <v>-25.174524503787556</v>
      </c>
      <c r="V235" s="1095">
        <f t="shared" si="219"/>
        <v>-3.6524718960257441</v>
      </c>
      <c r="W235" s="1095">
        <f t="shared" si="219"/>
        <v>13.18043808284537</v>
      </c>
      <c r="X235" s="1095">
        <f t="shared" si="219"/>
        <v>-3.9051497005987978</v>
      </c>
      <c r="Y235" s="3708">
        <f t="shared" si="219"/>
        <v>23.765939839878737</v>
      </c>
      <c r="Z235" s="1095">
        <f t="shared" si="219"/>
        <v>10.500580009022386</v>
      </c>
      <c r="AA235" s="1095">
        <f t="shared" si="219"/>
        <v>13.982547331433025</v>
      </c>
      <c r="AB235" s="1095">
        <f t="shared" si="219"/>
        <v>11.433889134063758</v>
      </c>
      <c r="AC235" s="1421">
        <f ca="1">OFFSET('VVP1'!$K$72,0,5*(COLUMN()-7))</f>
        <v>3.5</v>
      </c>
      <c r="AD235" s="1421">
        <f ca="1">OFFSET('VVP1'!$K$72,0,5*(COLUMN()-7))</f>
        <v>3.5</v>
      </c>
      <c r="AE235" s="1421">
        <f ca="1">OFFSET('VVP1'!$K$72,0,5*(COLUMN()-7))</f>
        <v>3.5</v>
      </c>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row>
    <row r="236" spans="1:94" s="699" customFormat="1" ht="12.75" customHeight="1">
      <c r="A236" s="664"/>
      <c r="B236" s="664"/>
      <c r="C236" s="795" t="s">
        <v>1767</v>
      </c>
      <c r="D236" s="3" t="s">
        <v>687</v>
      </c>
      <c r="E236" s="29" t="s">
        <v>376</v>
      </c>
      <c r="F236" s="704" t="s">
        <v>1176</v>
      </c>
      <c r="G236" s="1044"/>
      <c r="H236" s="1044">
        <f>+(H229/G229-1)*100</f>
        <v>-7.8887605083867829</v>
      </c>
      <c r="I236" s="1044">
        <f t="shared" ref="I236:AB237" si="220">+(I229/H229-1)*100</f>
        <v>14.827630952895898</v>
      </c>
      <c r="J236" s="1044">
        <f t="shared" si="220"/>
        <v>24.127020002260124</v>
      </c>
      <c r="K236" s="1044">
        <f t="shared" si="220"/>
        <v>-1.0257344015537684</v>
      </c>
      <c r="L236" s="1044">
        <f t="shared" si="220"/>
        <v>-0.66842460293126127</v>
      </c>
      <c r="M236" s="1044">
        <f t="shared" si="220"/>
        <v>-0.16360044449931221</v>
      </c>
      <c r="N236" s="1044">
        <f t="shared" si="220"/>
        <v>39.653093405064467</v>
      </c>
      <c r="O236" s="1044">
        <f t="shared" si="220"/>
        <v>13.573769040028338</v>
      </c>
      <c r="P236" s="1044">
        <f t="shared" si="220"/>
        <v>28.222772373730454</v>
      </c>
      <c r="Q236" s="1044">
        <f t="shared" si="220"/>
        <v>15.158794107362761</v>
      </c>
      <c r="R236" s="1044">
        <f t="shared" si="220"/>
        <v>35.888736336272878</v>
      </c>
      <c r="S236" s="1044">
        <f t="shared" si="220"/>
        <v>52.75567602226694</v>
      </c>
      <c r="T236" s="1044">
        <f t="shared" si="220"/>
        <v>11.879595003688713</v>
      </c>
      <c r="U236" s="1044">
        <f t="shared" si="220"/>
        <v>-32.399170053719132</v>
      </c>
      <c r="V236" s="1044">
        <f t="shared" si="220"/>
        <v>16.963504877228374</v>
      </c>
      <c r="W236" s="1044">
        <f t="shared" si="220"/>
        <v>6.3482705815533613</v>
      </c>
      <c r="X236" s="1044">
        <f t="shared" si="220"/>
        <v>-10.336458833311923</v>
      </c>
      <c r="Y236" s="3709">
        <f t="shared" si="220"/>
        <v>-1.2704228962626241</v>
      </c>
      <c r="Z236" s="1044">
        <f t="shared" si="220"/>
        <v>-2.0237040657360095</v>
      </c>
      <c r="AA236" s="1044">
        <f t="shared" si="220"/>
        <v>7.1341720057989999</v>
      </c>
      <c r="AB236" s="1044">
        <f t="shared" si="220"/>
        <v>-16.072636794203021</v>
      </c>
      <c r="AC236" s="1410">
        <f ca="1">OFFSET('VVP1'!$K$71,0,5*(COLUMN()-7))</f>
        <v>7.2229999999999794</v>
      </c>
      <c r="AD236" s="1410">
        <f ca="1">OFFSET('VVP1'!$K$71,0,5*(COLUMN()-7))</f>
        <v>9.5302000000000007</v>
      </c>
      <c r="AE236" s="1410">
        <f ca="1">OFFSET('VVP1'!$K$71,0,5*(COLUMN()-7))</f>
        <v>7.6349999999999918</v>
      </c>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row>
    <row r="237" spans="1:94" s="699" customFormat="1" ht="12.75" customHeight="1">
      <c r="A237" s="664"/>
      <c r="B237" s="664"/>
      <c r="C237" s="796" t="s">
        <v>1767</v>
      </c>
      <c r="D237" s="691" t="s">
        <v>686</v>
      </c>
      <c r="E237" s="797" t="s">
        <v>376</v>
      </c>
      <c r="F237" s="736" t="s">
        <v>1558</v>
      </c>
      <c r="G237" s="1096"/>
      <c r="H237" s="1096">
        <f>+(H230/G230-1)*100</f>
        <v>40.876966776861124</v>
      </c>
      <c r="I237" s="1096">
        <f t="shared" ref="I237:S237" si="221">+(I230/H230-1)*100</f>
        <v>32.87456302127778</v>
      </c>
      <c r="J237" s="1096">
        <f t="shared" si="221"/>
        <v>13.750725058004631</v>
      </c>
      <c r="K237" s="1096">
        <f t="shared" si="221"/>
        <v>-7.5747021248503295</v>
      </c>
      <c r="L237" s="1096">
        <f t="shared" si="221"/>
        <v>-13.816612644210402</v>
      </c>
      <c r="M237" s="1096">
        <f t="shared" si="221"/>
        <v>17.358848611635057</v>
      </c>
      <c r="N237" s="1096">
        <f t="shared" si="221"/>
        <v>5.0583468079717919</v>
      </c>
      <c r="O237" s="1096">
        <f t="shared" si="221"/>
        <v>10.676834639098809</v>
      </c>
      <c r="P237" s="1096">
        <f t="shared" si="221"/>
        <v>14.140009466325409</v>
      </c>
      <c r="Q237" s="1096">
        <f t="shared" si="221"/>
        <v>21.62429953871392</v>
      </c>
      <c r="R237" s="1096">
        <f t="shared" si="221"/>
        <v>30.825978728219038</v>
      </c>
      <c r="S237" s="1096">
        <f t="shared" si="221"/>
        <v>30.164441061832626</v>
      </c>
      <c r="T237" s="1096">
        <f t="shared" si="220"/>
        <v>-2.9912470321414864</v>
      </c>
      <c r="U237" s="1096">
        <f t="shared" si="220"/>
        <v>-51.339182974184382</v>
      </c>
      <c r="V237" s="1096">
        <f t="shared" si="220"/>
        <v>-9.4213207115161559</v>
      </c>
      <c r="W237" s="1096">
        <f t="shared" si="220"/>
        <v>35.014524463672259</v>
      </c>
      <c r="X237" s="1096">
        <f t="shared" si="220"/>
        <v>6.156292106208161</v>
      </c>
      <c r="Y237" s="3710">
        <f t="shared" si="220"/>
        <v>12.87532056749483</v>
      </c>
      <c r="Z237" s="1096">
        <f t="shared" si="220"/>
        <v>8.8823600228481894</v>
      </c>
      <c r="AA237" s="1096">
        <f t="shared" si="220"/>
        <v>3.2088077538345638</v>
      </c>
      <c r="AB237" s="1096">
        <f t="shared" si="220"/>
        <v>0.7095641867250313</v>
      </c>
      <c r="AC237" s="1422">
        <f ca="1">OFFSET('VVP1'!$K$73,0,5*(COLUMN()-7))</f>
        <v>9.5487966987452424</v>
      </c>
      <c r="AD237" s="1422">
        <f ca="1">OFFSET('VVP1'!$K$73,0,5*(COLUMN()-7))</f>
        <v>11.38655538393305</v>
      </c>
      <c r="AE237" s="1422">
        <f ca="1">OFFSET('VVP1'!$K$73,0,5*(COLUMN()-7))</f>
        <v>7.4771783832577432</v>
      </c>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row>
    <row r="238" spans="1:94" s="699" customFormat="1" ht="12.75" customHeight="1">
      <c r="A238" s="664"/>
      <c r="B238" s="664"/>
      <c r="C238" s="774" t="s">
        <v>1769</v>
      </c>
      <c r="D238" s="717"/>
      <c r="E238" s="722" t="s">
        <v>376</v>
      </c>
      <c r="F238" s="723" t="s">
        <v>1884</v>
      </c>
      <c r="G238" s="721"/>
      <c r="H238" s="721">
        <f>+(H231/G231-1)*100</f>
        <v>26.410452622325664</v>
      </c>
      <c r="I238" s="721">
        <f t="shared" ref="I238:AB238" si="222">+(I231/H231-1)*100</f>
        <v>31.212603309919771</v>
      </c>
      <c r="J238" s="721">
        <f t="shared" si="222"/>
        <v>18.583689514361001</v>
      </c>
      <c r="K238" s="721">
        <f t="shared" si="222"/>
        <v>-10.282849913026137</v>
      </c>
      <c r="L238" s="721">
        <f t="shared" si="222"/>
        <v>-8.3728747957223622</v>
      </c>
      <c r="M238" s="721">
        <f t="shared" si="222"/>
        <v>13.898830128017092</v>
      </c>
      <c r="N238" s="721">
        <f t="shared" si="222"/>
        <v>8.0307962802708808</v>
      </c>
      <c r="O238" s="721">
        <f t="shared" si="222"/>
        <v>14.125687402651078</v>
      </c>
      <c r="P238" s="721">
        <f t="shared" si="222"/>
        <v>16.314047929409405</v>
      </c>
      <c r="Q238" s="721">
        <f t="shared" si="222"/>
        <v>17.609674329501914</v>
      </c>
      <c r="R238" s="721">
        <f t="shared" si="222"/>
        <v>27.110913836844208</v>
      </c>
      <c r="S238" s="721">
        <f t="shared" si="222"/>
        <v>32.929728171202477</v>
      </c>
      <c r="T238" s="721">
        <f t="shared" si="222"/>
        <v>2.5865590510286696</v>
      </c>
      <c r="U238" s="721">
        <f t="shared" si="222"/>
        <v>-43.49419497916206</v>
      </c>
      <c r="V238" s="721">
        <f t="shared" si="222"/>
        <v>-1.750746281067328</v>
      </c>
      <c r="W238" s="721">
        <f t="shared" si="222"/>
        <v>22.317880794701985</v>
      </c>
      <c r="X238" s="721">
        <f t="shared" si="222"/>
        <v>0.11970019598313009</v>
      </c>
      <c r="Y238" s="3711">
        <f t="shared" si="222"/>
        <v>11.521191147938081</v>
      </c>
      <c r="Z238" s="721">
        <f t="shared" si="222"/>
        <v>6.9809198621817892</v>
      </c>
      <c r="AA238" s="721">
        <f t="shared" si="222"/>
        <v>6.0782073393778058</v>
      </c>
      <c r="AB238" s="721">
        <f t="shared" si="222"/>
        <v>-0.15043916769735821</v>
      </c>
      <c r="AC238" s="1410">
        <f ca="1">OFFSET('VVP1'!$K$74,0,5*(COLUMN()-7))</f>
        <v>7.7411169247722622</v>
      </c>
      <c r="AD238" s="1410">
        <f ca="1">OFFSET('VVP1'!$K$74,0,5*(COLUMN()-7))</f>
        <v>9.2905093903981495</v>
      </c>
      <c r="AE238" s="1410">
        <f ca="1">OFFSET('VVP1'!$K$74,0,5*(COLUMN()-7))</f>
        <v>6.6401309849669188</v>
      </c>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row>
    <row r="239" spans="1:94">
      <c r="AB239" s="557"/>
      <c r="AC239" s="557"/>
      <c r="AD239" s="557"/>
      <c r="AE239" s="557"/>
    </row>
    <row r="240" spans="1:94" s="699" customFormat="1" ht="12.75" customHeight="1">
      <c r="A240" s="664"/>
      <c r="B240" s="664"/>
      <c r="C240" s="774"/>
      <c r="D240" s="982"/>
      <c r="E240" s="983" t="s">
        <v>1276</v>
      </c>
      <c r="F240" s="1876"/>
      <c r="G240" s="984">
        <f>+InputY!$G$3</f>
        <v>1995</v>
      </c>
      <c r="H240" s="984">
        <f>+G240+1</f>
        <v>1996</v>
      </c>
      <c r="I240" s="984">
        <f t="shared" ref="I240:O240" si="223">+H240+1</f>
        <v>1997</v>
      </c>
      <c r="J240" s="984">
        <f t="shared" si="223"/>
        <v>1998</v>
      </c>
      <c r="K240" s="984">
        <f t="shared" si="223"/>
        <v>1999</v>
      </c>
      <c r="L240" s="984">
        <f t="shared" si="223"/>
        <v>2000</v>
      </c>
      <c r="M240" s="984">
        <f t="shared" si="223"/>
        <v>2001</v>
      </c>
      <c r="N240" s="984">
        <f t="shared" si="223"/>
        <v>2002</v>
      </c>
      <c r="O240" s="984">
        <f t="shared" si="223"/>
        <v>2003</v>
      </c>
      <c r="P240" s="984">
        <f t="shared" ref="P240:U240" si="224">+O240+1</f>
        <v>2004</v>
      </c>
      <c r="Q240" s="984">
        <f t="shared" si="224"/>
        <v>2005</v>
      </c>
      <c r="R240" s="984">
        <f t="shared" si="224"/>
        <v>2006</v>
      </c>
      <c r="S240" s="984">
        <f>+R240+1</f>
        <v>2007</v>
      </c>
      <c r="T240" s="984">
        <f t="shared" si="224"/>
        <v>2008</v>
      </c>
      <c r="U240" s="984">
        <f t="shared" si="224"/>
        <v>2009</v>
      </c>
      <c r="V240" s="984">
        <f t="shared" ref="V240:AE240" si="225">+U240+1</f>
        <v>2010</v>
      </c>
      <c r="W240" s="984">
        <f t="shared" si="225"/>
        <v>2011</v>
      </c>
      <c r="X240" s="984">
        <f t="shared" si="225"/>
        <v>2012</v>
      </c>
      <c r="Y240" s="984">
        <f t="shared" si="225"/>
        <v>2013</v>
      </c>
      <c r="Z240" s="984">
        <f t="shared" si="225"/>
        <v>2014</v>
      </c>
      <c r="AA240" s="984">
        <f t="shared" si="225"/>
        <v>2015</v>
      </c>
      <c r="AB240" s="984">
        <f t="shared" si="225"/>
        <v>2016</v>
      </c>
      <c r="AC240" s="984">
        <f t="shared" si="225"/>
        <v>2017</v>
      </c>
      <c r="AD240" s="984">
        <f t="shared" si="225"/>
        <v>2018</v>
      </c>
      <c r="AE240" s="984">
        <f t="shared" si="225"/>
        <v>2019</v>
      </c>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row>
    <row r="241" spans="1:94" s="699" customFormat="1" ht="12.75" customHeight="1">
      <c r="A241" s="664"/>
      <c r="B241" s="664"/>
      <c r="C241" s="1873" t="s">
        <v>1767</v>
      </c>
      <c r="D241" s="863" t="s">
        <v>685</v>
      </c>
      <c r="E241" s="864" t="s">
        <v>376</v>
      </c>
      <c r="F241" s="865" t="s">
        <v>428</v>
      </c>
      <c r="G241" s="1877">
        <f t="shared" ref="G241:V241" si="226">+G228/G$341</f>
        <v>3.8472386609363356E-2</v>
      </c>
      <c r="H241" s="1877">
        <f t="shared" si="226"/>
        <v>3.2374422877966678E-2</v>
      </c>
      <c r="I241" s="1877">
        <f t="shared" si="226"/>
        <v>3.6366226158572684E-2</v>
      </c>
      <c r="J241" s="1877">
        <f t="shared" si="226"/>
        <v>4.486421398929194E-2</v>
      </c>
      <c r="K241" s="1877">
        <f t="shared" si="226"/>
        <v>3.4153340759340726E-2</v>
      </c>
      <c r="L241" s="1877">
        <f t="shared" si="226"/>
        <v>3.6144785602827009E-2</v>
      </c>
      <c r="M241" s="1877">
        <f t="shared" si="226"/>
        <v>3.7716668122627604E-2</v>
      </c>
      <c r="N241" s="1877">
        <f t="shared" si="226"/>
        <v>3.5331798026202836E-2</v>
      </c>
      <c r="O241" s="1877">
        <f t="shared" si="226"/>
        <v>4.1388296953291485E-2</v>
      </c>
      <c r="P241" s="1877">
        <f t="shared" si="226"/>
        <v>4.349447189670639E-2</v>
      </c>
      <c r="Q241" s="1877">
        <f t="shared" si="226"/>
        <v>3.9978859508578803E-2</v>
      </c>
      <c r="R241" s="1877">
        <f t="shared" si="226"/>
        <v>3.6449330915753773E-2</v>
      </c>
      <c r="S241" s="1877">
        <f>+S228/S$341</f>
        <v>3.7276012322034001E-2</v>
      </c>
      <c r="T241" s="1877">
        <f t="shared" si="226"/>
        <v>3.9123410981310412E-2</v>
      </c>
      <c r="U241" s="1877">
        <f t="shared" si="226"/>
        <v>3.5536157286367609E-2</v>
      </c>
      <c r="V241" s="1877">
        <f t="shared" si="226"/>
        <v>3.2903210614086228E-2</v>
      </c>
      <c r="W241" s="1877">
        <f>+W228/W$341</f>
        <v>3.3372959892976312E-2</v>
      </c>
      <c r="X241" s="1877">
        <f t="shared" ref="X241:Y244" si="227">+X228/X$341</f>
        <v>3.0076033450400139E-2</v>
      </c>
      <c r="Y241" s="1877">
        <f t="shared" si="227"/>
        <v>3.5508364643238699E-2</v>
      </c>
      <c r="Z241" s="1877">
        <f t="shared" ref="Z241:AA244" si="228">+Z228/Z$341</f>
        <v>3.7510924768679302E-2</v>
      </c>
      <c r="AA241" s="1877">
        <f t="shared" si="228"/>
        <v>4.1775357158983936E-2</v>
      </c>
      <c r="AB241" s="1877">
        <f t="shared" ref="AB241:AC244" si="229">+AB228/AB$341</f>
        <v>4.5057038940403929E-2</v>
      </c>
      <c r="AC241" s="1877">
        <f t="shared" ca="1" si="229"/>
        <v>4.3161256221948351E-2</v>
      </c>
      <c r="AD241" s="1877">
        <f t="shared" ref="AD241:AE244" ca="1" si="230">+AD228/AD$341</f>
        <v>4.2214614461083037E-2</v>
      </c>
      <c r="AE241" s="1877">
        <f t="shared" ca="1" si="230"/>
        <v>4.1385008085217875E-2</v>
      </c>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row>
    <row r="242" spans="1:94" s="699" customFormat="1" ht="12.75" customHeight="1">
      <c r="A242" s="664"/>
      <c r="B242" s="664"/>
      <c r="C242" s="1874" t="s">
        <v>1767</v>
      </c>
      <c r="D242" s="674" t="s">
        <v>687</v>
      </c>
      <c r="E242" s="783" t="s">
        <v>376</v>
      </c>
      <c r="F242" s="704" t="s">
        <v>1176</v>
      </c>
      <c r="G242" s="1502">
        <f t="shared" ref="G242:V242" si="231">+G229/G$341</f>
        <v>3.232520191177058E-2</v>
      </c>
      <c r="H242" s="1502">
        <f t="shared" si="231"/>
        <v>2.3799303078498892E-2</v>
      </c>
      <c r="I242" s="1502">
        <f t="shared" si="231"/>
        <v>2.2642639159219199E-2</v>
      </c>
      <c r="J242" s="1502">
        <f t="shared" si="231"/>
        <v>2.5304946413596721E-2</v>
      </c>
      <c r="K242" s="1502">
        <f t="shared" si="231"/>
        <v>2.5655911542406904E-2</v>
      </c>
      <c r="L242" s="1502">
        <f t="shared" si="231"/>
        <v>2.4233665315697421E-2</v>
      </c>
      <c r="M242" s="1502">
        <f t="shared" si="231"/>
        <v>2.2785553861631107E-2</v>
      </c>
      <c r="N242" s="1502">
        <f t="shared" si="231"/>
        <v>2.9711547759300152E-2</v>
      </c>
      <c r="O242" s="1502">
        <f t="shared" si="231"/>
        <v>3.0776051565589671E-2</v>
      </c>
      <c r="P242" s="1502">
        <f t="shared" si="231"/>
        <v>3.60664600618937E-2</v>
      </c>
      <c r="Q242" s="1502">
        <f t="shared" si="231"/>
        <v>3.6066440184074643E-2</v>
      </c>
      <c r="R242" s="1502">
        <f t="shared" si="231"/>
        <v>4.2747718153192914E-2</v>
      </c>
      <c r="S242" s="1502">
        <f>+S229/S$341</f>
        <v>5.4143397567410656E-2</v>
      </c>
      <c r="T242" s="1502">
        <f t="shared" si="231"/>
        <v>5.3802756766213156E-2</v>
      </c>
      <c r="U242" s="1502">
        <f t="shared" si="231"/>
        <v>4.4151028297200433E-2</v>
      </c>
      <c r="V242" s="1502">
        <f t="shared" si="231"/>
        <v>4.9627046995717801E-2</v>
      </c>
      <c r="W242" s="1502">
        <f>+W229/W$341</f>
        <v>4.7297038047892079E-2</v>
      </c>
      <c r="X242" s="1502">
        <f t="shared" si="227"/>
        <v>3.9771827681501525E-2</v>
      </c>
      <c r="Y242" s="1502">
        <f t="shared" si="227"/>
        <v>3.7456896736666412E-2</v>
      </c>
      <c r="Z242" s="1502">
        <f t="shared" si="228"/>
        <v>3.5084504931596455E-2</v>
      </c>
      <c r="AA242" s="1502">
        <f t="shared" si="228"/>
        <v>3.6725474201377034E-2</v>
      </c>
      <c r="AB242" s="1502">
        <f t="shared" si="229"/>
        <v>2.9832948522201117E-2</v>
      </c>
      <c r="AC242" s="1502">
        <f t="shared" ca="1" si="229"/>
        <v>2.9605691699156677E-2</v>
      </c>
      <c r="AD242" s="1502">
        <f t="shared" ca="1" si="230"/>
        <v>3.0643438366237185E-2</v>
      </c>
      <c r="AE242" s="1502">
        <f t="shared" ca="1" si="230"/>
        <v>3.1241427986033979E-2</v>
      </c>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row>
    <row r="243" spans="1:94" s="699" customFormat="1" ht="12.75" customHeight="1">
      <c r="A243" s="664"/>
      <c r="B243" s="664"/>
      <c r="C243" s="1875" t="s">
        <v>1767</v>
      </c>
      <c r="D243" s="868" t="s">
        <v>686</v>
      </c>
      <c r="E243" s="2848" t="s">
        <v>376</v>
      </c>
      <c r="F243" s="870" t="s">
        <v>1558</v>
      </c>
      <c r="G243" s="1878">
        <f t="shared" ref="G243:V243" si="232">+G230/G$341</f>
        <v>0.13284899407948711</v>
      </c>
      <c r="H243" s="1878">
        <f t="shared" si="232"/>
        <v>0.1495920898894911</v>
      </c>
      <c r="I243" s="1878">
        <f t="shared" si="232"/>
        <v>0.16468986740405006</v>
      </c>
      <c r="J243" s="1878">
        <f t="shared" si="232"/>
        <v>0.16866815748166944</v>
      </c>
      <c r="K243" s="1878">
        <f t="shared" si="232"/>
        <v>0.15969219828698372</v>
      </c>
      <c r="L243" s="1878">
        <f t="shared" si="232"/>
        <v>0.13087346220652324</v>
      </c>
      <c r="M243" s="1878">
        <f t="shared" si="232"/>
        <v>0.14465018894615667</v>
      </c>
      <c r="N243" s="1878">
        <f t="shared" si="232"/>
        <v>0.14189421641778771</v>
      </c>
      <c r="O243" s="1878">
        <f t="shared" si="232"/>
        <v>0.14322901668298491</v>
      </c>
      <c r="P243" s="1878">
        <f t="shared" si="232"/>
        <v>0.149415058461255</v>
      </c>
      <c r="Q243" s="1878">
        <f t="shared" si="232"/>
        <v>0.15780376957816625</v>
      </c>
      <c r="R243" s="1878">
        <f t="shared" si="232"/>
        <v>0.18006842425697217</v>
      </c>
      <c r="S243" s="1878">
        <f>+S230/S$341</f>
        <v>0.19434131317952144</v>
      </c>
      <c r="T243" s="1878">
        <f t="shared" si="232"/>
        <v>0.1674496303555022</v>
      </c>
      <c r="U243" s="1878">
        <f t="shared" si="232"/>
        <v>9.891174323793514E-2</v>
      </c>
      <c r="V243" s="1878">
        <f t="shared" si="232"/>
        <v>8.6099588763385887E-2</v>
      </c>
      <c r="W243" s="1878">
        <f>+W230/W$341</f>
        <v>0.10417575263818243</v>
      </c>
      <c r="X243" s="1878">
        <f t="shared" si="227"/>
        <v>0.10371417228011591</v>
      </c>
      <c r="Y243" s="1878">
        <f t="shared" si="227"/>
        <v>0.11167245667505252</v>
      </c>
      <c r="Z243" s="1878">
        <f t="shared" si="228"/>
        <v>0.1162428202803085</v>
      </c>
      <c r="AA243" s="1878">
        <f t="shared" si="228"/>
        <v>0.11722141011435445</v>
      </c>
      <c r="AB243" s="1878">
        <f t="shared" si="229"/>
        <v>0.11426226947537416</v>
      </c>
      <c r="AC243" s="1878">
        <f t="shared" ca="1" si="229"/>
        <v>0.11585146676614519</v>
      </c>
      <c r="AD243" s="1878">
        <f t="shared" ca="1" si="230"/>
        <v>0.12194463870760212</v>
      </c>
      <c r="AE243" s="1878">
        <f t="shared" ca="1" si="230"/>
        <v>0.12414202775144151</v>
      </c>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row>
    <row r="244" spans="1:94" s="699" customFormat="1" ht="12.75" customHeight="1">
      <c r="A244" s="664"/>
      <c r="B244" s="664"/>
      <c r="C244" s="774" t="s">
        <v>1769</v>
      </c>
      <c r="D244" s="806"/>
      <c r="E244" s="807" t="s">
        <v>376</v>
      </c>
      <c r="F244" s="808" t="s">
        <v>1884</v>
      </c>
      <c r="G244" s="841">
        <f t="shared" ref="G244:V244" si="233">+G231/G$341</f>
        <v>0.20364787050858196</v>
      </c>
      <c r="H244" s="841">
        <f t="shared" si="233"/>
        <v>0.20576581584595666</v>
      </c>
      <c r="I244" s="841">
        <f t="shared" si="233"/>
        <v>0.22369958564831796</v>
      </c>
      <c r="J244" s="841">
        <f t="shared" si="233"/>
        <v>0.23883731788455811</v>
      </c>
      <c r="K244" s="841">
        <f t="shared" si="233"/>
        <v>0.21950145058873138</v>
      </c>
      <c r="L244" s="841">
        <f t="shared" si="233"/>
        <v>0.19125191312504769</v>
      </c>
      <c r="M244" s="841">
        <f t="shared" si="233"/>
        <v>0.20515241093041539</v>
      </c>
      <c r="N244" s="841">
        <f t="shared" si="233"/>
        <v>0.20693756220329071</v>
      </c>
      <c r="O244" s="841">
        <f t="shared" si="233"/>
        <v>0.21539336520186608</v>
      </c>
      <c r="P244" s="841">
        <f t="shared" si="233"/>
        <v>0.22897599041985514</v>
      </c>
      <c r="Q244" s="841">
        <f t="shared" si="233"/>
        <v>0.23384906927081972</v>
      </c>
      <c r="R244" s="841">
        <f t="shared" si="233"/>
        <v>0.25926547332591887</v>
      </c>
      <c r="S244" s="841">
        <f>+S231/S$341</f>
        <v>0.28576037872417498</v>
      </c>
      <c r="T244" s="841">
        <f t="shared" si="233"/>
        <v>0.2603757981030258</v>
      </c>
      <c r="U244" s="841">
        <f t="shared" si="233"/>
        <v>0.17859855755486767</v>
      </c>
      <c r="V244" s="841">
        <f t="shared" si="233"/>
        <v>0.16862984637318992</v>
      </c>
      <c r="W244" s="841">
        <f>+W231/W$341</f>
        <v>0.18484575057905084</v>
      </c>
      <c r="X244" s="841">
        <f t="shared" si="227"/>
        <v>0.17356203341201756</v>
      </c>
      <c r="Y244" s="841">
        <f t="shared" si="227"/>
        <v>0.18463800409901127</v>
      </c>
      <c r="Z244" s="841">
        <f t="shared" si="228"/>
        <v>0.18883824998058424</v>
      </c>
      <c r="AA244" s="841">
        <f t="shared" si="228"/>
        <v>0.19572224147471542</v>
      </c>
      <c r="AB244" s="841">
        <f t="shared" si="229"/>
        <v>0.18915225693797919</v>
      </c>
      <c r="AC244" s="841">
        <f t="shared" ca="1" si="229"/>
        <v>0.18861815248079039</v>
      </c>
      <c r="AD244" s="841">
        <f t="shared" ca="1" si="230"/>
        <v>0.19480241553779512</v>
      </c>
      <c r="AE244" s="841">
        <f t="shared" ca="1" si="230"/>
        <v>0.19676818285221864</v>
      </c>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row>
    <row r="245" spans="1:94">
      <c r="AB245" s="557"/>
      <c r="AC245" s="557"/>
      <c r="AD245" s="557"/>
      <c r="AE245" s="557"/>
    </row>
    <row r="246" spans="1:94">
      <c r="A246" s="1130"/>
      <c r="B246" s="1130"/>
      <c r="D246" s="1074"/>
      <c r="E246" s="1075" t="s">
        <v>1941</v>
      </c>
      <c r="F246" s="1076"/>
      <c r="G246" s="698">
        <f>+InputY!$G$3</f>
        <v>1995</v>
      </c>
      <c r="H246" s="698">
        <f>+G246+1</f>
        <v>1996</v>
      </c>
      <c r="I246" s="698">
        <f t="shared" ref="I246:O246" si="234">+H246+1</f>
        <v>1997</v>
      </c>
      <c r="J246" s="698">
        <f t="shared" si="234"/>
        <v>1998</v>
      </c>
      <c r="K246" s="698">
        <f t="shared" si="234"/>
        <v>1999</v>
      </c>
      <c r="L246" s="698">
        <f t="shared" si="234"/>
        <v>2000</v>
      </c>
      <c r="M246" s="698">
        <f t="shared" si="234"/>
        <v>2001</v>
      </c>
      <c r="N246" s="698">
        <f t="shared" si="234"/>
        <v>2002</v>
      </c>
      <c r="O246" s="698">
        <f t="shared" si="234"/>
        <v>2003</v>
      </c>
      <c r="P246" s="698">
        <f t="shared" ref="P246:U246" si="235">+O246+1</f>
        <v>2004</v>
      </c>
      <c r="Q246" s="698">
        <f t="shared" si="235"/>
        <v>2005</v>
      </c>
      <c r="R246" s="698">
        <f t="shared" si="235"/>
        <v>2006</v>
      </c>
      <c r="S246" s="698">
        <f>+R246+1</f>
        <v>2007</v>
      </c>
      <c r="T246" s="698">
        <f t="shared" si="235"/>
        <v>2008</v>
      </c>
      <c r="U246" s="698">
        <f t="shared" si="235"/>
        <v>2009</v>
      </c>
      <c r="V246" s="698">
        <f t="shared" ref="V246:AE246" si="236">+U246+1</f>
        <v>2010</v>
      </c>
      <c r="W246" s="698">
        <f t="shared" si="236"/>
        <v>2011</v>
      </c>
      <c r="X246" s="698">
        <f t="shared" si="236"/>
        <v>2012</v>
      </c>
      <c r="Y246" s="698">
        <f t="shared" si="236"/>
        <v>2013</v>
      </c>
      <c r="Z246" s="698">
        <f t="shared" si="236"/>
        <v>2014</v>
      </c>
      <c r="AA246" s="698">
        <f t="shared" si="236"/>
        <v>2015</v>
      </c>
      <c r="AB246" s="698">
        <f t="shared" si="236"/>
        <v>2016</v>
      </c>
      <c r="AC246" s="698">
        <f t="shared" si="236"/>
        <v>2017</v>
      </c>
      <c r="AD246" s="698">
        <f t="shared" si="236"/>
        <v>2018</v>
      </c>
      <c r="AE246" s="698">
        <f t="shared" si="236"/>
        <v>2019</v>
      </c>
    </row>
    <row r="247" spans="1:94">
      <c r="A247" s="664"/>
      <c r="B247" s="1130"/>
      <c r="C247" s="1079" t="s">
        <v>1767</v>
      </c>
      <c r="D247" s="1058" t="s">
        <v>685</v>
      </c>
      <c r="E247" s="1038" t="s">
        <v>821</v>
      </c>
      <c r="F247" s="1058" t="s">
        <v>1895</v>
      </c>
      <c r="G247" s="1084">
        <f t="shared" ref="G247:R247" si="237">+G185</f>
        <v>4.9615900000000002</v>
      </c>
      <c r="H247" s="1084">
        <f t="shared" si="237"/>
        <v>6.2328599999999996</v>
      </c>
      <c r="I247" s="1084">
        <f t="shared" si="237"/>
        <v>7.1923199999999996</v>
      </c>
      <c r="J247" s="1084">
        <f t="shared" si="237"/>
        <v>7.9673100000000003</v>
      </c>
      <c r="K247" s="1084">
        <f t="shared" si="237"/>
        <v>8.2599499999999999</v>
      </c>
      <c r="L247" s="1084">
        <f t="shared" si="237"/>
        <v>8.691889999999999</v>
      </c>
      <c r="M247" s="1084">
        <f t="shared" si="237"/>
        <v>9.2690300000000008</v>
      </c>
      <c r="N247" s="1084">
        <f t="shared" si="237"/>
        <v>9.8024199999999997</v>
      </c>
      <c r="O247" s="1084">
        <f t="shared" si="237"/>
        <v>10.739979999999999</v>
      </c>
      <c r="P247" s="1084">
        <f t="shared" si="237"/>
        <v>11.88908</v>
      </c>
      <c r="Q247" s="1084">
        <f t="shared" si="237"/>
        <v>13.583080000000001</v>
      </c>
      <c r="R247" s="1084">
        <f t="shared" si="237"/>
        <v>15.509840000000001</v>
      </c>
      <c r="S247" s="1084">
        <f t="shared" ref="S247:AA247" si="238">+S185</f>
        <v>18.460609999999999</v>
      </c>
      <c r="T247" s="1084">
        <f t="shared" si="238"/>
        <v>21.260830000000002</v>
      </c>
      <c r="U247" s="1084">
        <f t="shared" si="238"/>
        <v>18.33539</v>
      </c>
      <c r="V247" s="1084">
        <f t="shared" si="238"/>
        <v>17.945540000000001</v>
      </c>
      <c r="W247" s="1084">
        <f t="shared" si="238"/>
        <v>19.543849999999999</v>
      </c>
      <c r="X247" s="1084">
        <f t="shared" si="238"/>
        <v>20.77008</v>
      </c>
      <c r="Y247" s="1084">
        <f t="shared" si="238"/>
        <v>21.881709999999998</v>
      </c>
      <c r="Z247" s="1084">
        <f t="shared" si="238"/>
        <v>22.776820000000001</v>
      </c>
      <c r="AA247" s="1084">
        <f t="shared" si="238"/>
        <v>23.47364</v>
      </c>
      <c r="AB247" s="1084">
        <f t="shared" ref="AB247:AC247" si="239">+AB185</f>
        <v>24.863340000000001</v>
      </c>
      <c r="AC247" s="1084">
        <f t="shared" si="239"/>
        <v>26.80039</v>
      </c>
      <c r="AD247" s="1341">
        <f ca="1">+AD185</f>
        <v>28.459602144899996</v>
      </c>
      <c r="AE247" s="1341">
        <f ca="1">+AE185</f>
        <v>30.045541934026691</v>
      </c>
    </row>
    <row r="248" spans="1:94">
      <c r="A248" s="664"/>
      <c r="B248" s="1196"/>
      <c r="C248" s="1080" t="s">
        <v>1767</v>
      </c>
      <c r="D248" s="3" t="s">
        <v>687</v>
      </c>
      <c r="E248" s="29" t="s">
        <v>821</v>
      </c>
      <c r="F248" s="3" t="s">
        <v>1897</v>
      </c>
      <c r="G248" s="1062">
        <f t="shared" ref="G248:R248" si="240">+G193</f>
        <v>1.8624400000000001</v>
      </c>
      <c r="H248" s="1062">
        <f t="shared" si="240"/>
        <v>2.3385500000000001</v>
      </c>
      <c r="I248" s="1062">
        <f t="shared" si="240"/>
        <v>2.83216</v>
      </c>
      <c r="J248" s="1062">
        <f t="shared" si="240"/>
        <v>3.3704699999999996</v>
      </c>
      <c r="K248" s="1062">
        <f t="shared" si="240"/>
        <v>3.0081500000000001</v>
      </c>
      <c r="L248" s="1062">
        <f t="shared" si="240"/>
        <v>2.9951300000000001</v>
      </c>
      <c r="M248" s="1062">
        <f t="shared" si="240"/>
        <v>3.0014400000000001</v>
      </c>
      <c r="N248" s="1062">
        <f t="shared" si="240"/>
        <v>3.1259200000000003</v>
      </c>
      <c r="O248" s="1062">
        <f t="shared" si="240"/>
        <v>3.2591100000000002</v>
      </c>
      <c r="P248" s="1062">
        <f t="shared" si="240"/>
        <v>3.4954899999999998</v>
      </c>
      <c r="Q248" s="1062">
        <f t="shared" si="240"/>
        <v>3.8864099999999997</v>
      </c>
      <c r="R248" s="1062">
        <f t="shared" si="240"/>
        <v>4.6055000000000001</v>
      </c>
      <c r="S248" s="1062">
        <f t="shared" ref="S248:Z248" si="241">+S193</f>
        <v>5.0668299999999995</v>
      </c>
      <c r="T248" s="1062">
        <f t="shared" si="241"/>
        <v>6.1008000000000004</v>
      </c>
      <c r="U248" s="1062">
        <f t="shared" si="241"/>
        <v>5.71983</v>
      </c>
      <c r="V248" s="1062">
        <f t="shared" si="241"/>
        <v>5.5633800000000004</v>
      </c>
      <c r="W248" s="1062">
        <f t="shared" si="241"/>
        <v>5.7373199999999995</v>
      </c>
      <c r="X248" s="1062">
        <f t="shared" si="241"/>
        <v>5.8306800000000001</v>
      </c>
      <c r="Y248" s="1062">
        <f t="shared" si="241"/>
        <v>5.83697</v>
      </c>
      <c r="Z248" s="1062">
        <f t="shared" si="241"/>
        <v>6.0733300000000003</v>
      </c>
      <c r="AA248" s="1062">
        <f>+AA193</f>
        <v>6.4287700000000001</v>
      </c>
      <c r="AB248" s="1062">
        <f>+AB193</f>
        <v>6.63687</v>
      </c>
      <c r="AC248" s="1062">
        <f>+AC193</f>
        <v>6.9080500000000002</v>
      </c>
      <c r="AD248" s="939">
        <f ca="1">+AD193</f>
        <v>7.2979828955879995</v>
      </c>
      <c r="AE248" s="939">
        <f ca="1">+AE193</f>
        <v>7.6726989950392293</v>
      </c>
    </row>
    <row r="249" spans="1:94">
      <c r="A249" s="664"/>
      <c r="B249" s="1130"/>
      <c r="C249" s="1081" t="s">
        <v>1767</v>
      </c>
      <c r="D249" s="1077"/>
      <c r="E249" s="1039" t="s">
        <v>376</v>
      </c>
      <c r="F249" s="1077" t="s">
        <v>1884</v>
      </c>
      <c r="G249" s="1085">
        <f t="shared" ref="G249:R249" si="242">+G212</f>
        <v>1.5812299999999999</v>
      </c>
      <c r="H249" s="1085">
        <f t="shared" si="242"/>
        <v>1.99884</v>
      </c>
      <c r="I249" s="1085">
        <f t="shared" si="242"/>
        <v>2.6227300000000002</v>
      </c>
      <c r="J249" s="1085">
        <f t="shared" si="242"/>
        <v>3.1101300000000003</v>
      </c>
      <c r="K249" s="1085">
        <f t="shared" si="242"/>
        <v>2.7903200000000004</v>
      </c>
      <c r="L249" s="1085">
        <f t="shared" si="242"/>
        <v>2.5566900000000001</v>
      </c>
      <c r="M249" s="1085">
        <f t="shared" si="242"/>
        <v>2.9120400000000002</v>
      </c>
      <c r="N249" s="1085">
        <f t="shared" si="242"/>
        <v>3.1459000000000001</v>
      </c>
      <c r="O249" s="1085">
        <f t="shared" si="242"/>
        <v>3.5902800000000004</v>
      </c>
      <c r="P249" s="1085">
        <f t="shared" si="242"/>
        <v>4.1760000000000002</v>
      </c>
      <c r="Q249" s="1085">
        <f t="shared" si="242"/>
        <v>4.9113800000000003</v>
      </c>
      <c r="R249" s="1085">
        <f t="shared" si="242"/>
        <v>6.2428999999999997</v>
      </c>
      <c r="S249" s="1085">
        <f t="shared" ref="S249:Z249" si="243">+S212</f>
        <v>8.2986699999999995</v>
      </c>
      <c r="T249" s="1085">
        <f t="shared" si="243"/>
        <v>8.5133200000000002</v>
      </c>
      <c r="U249" s="1085">
        <f t="shared" si="243"/>
        <v>4.8105200000000004</v>
      </c>
      <c r="V249" s="1085">
        <f t="shared" si="243"/>
        <v>4.7263000000000002</v>
      </c>
      <c r="W249" s="1085">
        <f t="shared" si="243"/>
        <v>5.78111</v>
      </c>
      <c r="X249" s="1085">
        <f t="shared" si="243"/>
        <v>5.78803</v>
      </c>
      <c r="Y249" s="1085">
        <f t="shared" si="243"/>
        <v>6.4548800000000002</v>
      </c>
      <c r="Z249" s="1085">
        <f t="shared" si="243"/>
        <v>6.9054899999999995</v>
      </c>
      <c r="AA249" s="1085">
        <f>+AA212</f>
        <v>7.3252199999999998</v>
      </c>
      <c r="AB249" s="1085">
        <f>+AB212</f>
        <v>7.3141999999999996</v>
      </c>
      <c r="AC249" s="1085">
        <f>+AC212</f>
        <v>7.8803900000000002</v>
      </c>
      <c r="AD249" s="940">
        <f ca="1">+AD212</f>
        <v>8.6125183729499977</v>
      </c>
      <c r="AE249" s="940">
        <f ca="1">+AE212</f>
        <v>9.1844008740182197</v>
      </c>
    </row>
    <row r="250" spans="1:94">
      <c r="A250" s="664">
        <f>+ROW(InputY!A81)</f>
        <v>81</v>
      </c>
      <c r="B250" s="664"/>
      <c r="C250" s="694" t="s">
        <v>1769</v>
      </c>
      <c r="D250" s="1055"/>
      <c r="E250" s="1056" t="s">
        <v>1941</v>
      </c>
      <c r="F250" s="1055"/>
      <c r="G250" s="1057">
        <f>+InputY!G81/1000</f>
        <v>8.4052600000000002</v>
      </c>
      <c r="H250" s="1057">
        <f>+InputY!H81/1000</f>
        <v>10.57025</v>
      </c>
      <c r="I250" s="1057">
        <f>+InputY!I81/1000</f>
        <v>12.647209999999999</v>
      </c>
      <c r="J250" s="1057">
        <f>+InputY!J81/1000</f>
        <v>14.44791</v>
      </c>
      <c r="K250" s="1057">
        <f>+InputY!K81/1000</f>
        <v>14.05842</v>
      </c>
      <c r="L250" s="1057">
        <f>+InputY!L81/1000</f>
        <v>14.243709999999998</v>
      </c>
      <c r="M250" s="1057">
        <f>+InputY!M81/1000</f>
        <v>15.182510000000001</v>
      </c>
      <c r="N250" s="1057">
        <f>+InputY!N81/1000</f>
        <v>16.07424</v>
      </c>
      <c r="O250" s="1057">
        <f>+InputY!O81/1000</f>
        <v>17.589369999999999</v>
      </c>
      <c r="P250" s="1057">
        <f>+InputY!P81/1000</f>
        <v>19.560569999999998</v>
      </c>
      <c r="Q250" s="1057">
        <f>+InputY!Q81/1000</f>
        <v>22.380869999999998</v>
      </c>
      <c r="R250" s="1057">
        <f>+InputY!R81/1000</f>
        <v>26.358240000000002</v>
      </c>
      <c r="S250" s="1057">
        <f>+InputY!S81/1000</f>
        <v>31.82611</v>
      </c>
      <c r="T250" s="1057">
        <f>+InputY!T81/1000</f>
        <v>35.874949999999998</v>
      </c>
      <c r="U250" s="1057">
        <f>+InputY!U81/1000</f>
        <v>28.865740000000002</v>
      </c>
      <c r="V250" s="1057">
        <f>+InputY!V81/1000</f>
        <v>28.235220000000002</v>
      </c>
      <c r="W250" s="1057">
        <f>+InputY!W81/1000</f>
        <v>31.062279999999998</v>
      </c>
      <c r="X250" s="1057">
        <f>+InputY!X81/1000</f>
        <v>32.38879</v>
      </c>
      <c r="Y250" s="1057">
        <f>+InputY!Y81/1000</f>
        <v>34.173559999999995</v>
      </c>
      <c r="Z250" s="1057">
        <f>+InputY!Z81/1000</f>
        <v>35.75564</v>
      </c>
      <c r="AA250" s="1057">
        <f>+InputY!AA81/1000</f>
        <v>37.227629999999998</v>
      </c>
      <c r="AB250" s="2302">
        <f>+AB247+AB248+AB249</f>
        <v>38.814410000000002</v>
      </c>
      <c r="AC250" s="2302">
        <f>+AC247+AC248+AC249</f>
        <v>41.588830000000002</v>
      </c>
      <c r="AD250" s="2302">
        <f ca="1">+AD247+AD248+AD249</f>
        <v>44.370103413437995</v>
      </c>
      <c r="AE250" s="2302">
        <f ca="1">+AE247+AE248+AE249</f>
        <v>46.902641803084137</v>
      </c>
    </row>
    <row r="251" spans="1:94" s="699" customFormat="1" ht="12.75" customHeight="1">
      <c r="A251" s="664"/>
      <c r="B251" s="664"/>
      <c r="C251" s="774"/>
      <c r="D251" s="1973"/>
      <c r="E251" s="1973" t="s">
        <v>737</v>
      </c>
      <c r="F251" s="1973"/>
      <c r="G251" s="1002">
        <f t="shared" ref="G251:Y251" si="244">ABS(G250-G249-G248-G247)</f>
        <v>0</v>
      </c>
      <c r="H251" s="1002">
        <f t="shared" si="244"/>
        <v>8.8817841970012523E-16</v>
      </c>
      <c r="I251" s="1002">
        <f t="shared" si="244"/>
        <v>8.8817841970012523E-16</v>
      </c>
      <c r="J251" s="1002">
        <f t="shared" si="244"/>
        <v>8.8817841970012523E-16</v>
      </c>
      <c r="K251" s="1002">
        <f t="shared" si="244"/>
        <v>0</v>
      </c>
      <c r="L251" s="1002">
        <f t="shared" si="244"/>
        <v>0</v>
      </c>
      <c r="M251" s="1002">
        <f t="shared" si="244"/>
        <v>1.7763568394002505E-15</v>
      </c>
      <c r="N251" s="1002">
        <f t="shared" si="244"/>
        <v>1.7763568394002505E-15</v>
      </c>
      <c r="O251" s="1002">
        <f t="shared" si="244"/>
        <v>0</v>
      </c>
      <c r="P251" s="1002">
        <f t="shared" si="244"/>
        <v>1.7763568394002505E-15</v>
      </c>
      <c r="Q251" s="1002">
        <f t="shared" si="244"/>
        <v>3.5527136788005009E-15</v>
      </c>
      <c r="R251" s="1002">
        <f t="shared" si="244"/>
        <v>3.5527136788005009E-15</v>
      </c>
      <c r="S251" s="1002">
        <f t="shared" si="244"/>
        <v>0</v>
      </c>
      <c r="T251" s="2906">
        <f t="shared" si="244"/>
        <v>3.5527136788005009E-15</v>
      </c>
      <c r="U251" s="2906">
        <f t="shared" si="244"/>
        <v>3.5527136788005009E-15</v>
      </c>
      <c r="V251" s="2906">
        <f t="shared" si="244"/>
        <v>0</v>
      </c>
      <c r="W251" s="2906">
        <f t="shared" si="244"/>
        <v>3.5527136788005009E-15</v>
      </c>
      <c r="X251" s="2906">
        <f t="shared" si="244"/>
        <v>0</v>
      </c>
      <c r="Y251" s="2906">
        <f t="shared" si="244"/>
        <v>3.5527136788005009E-15</v>
      </c>
      <c r="Z251" s="2906">
        <f t="shared" ref="Z251:AE251" si="245">ABS(Z250-Z249-Z248-Z247)</f>
        <v>0</v>
      </c>
      <c r="AA251" s="2906">
        <f t="shared" si="245"/>
        <v>3.5527136788005009E-15</v>
      </c>
      <c r="AB251" s="2906">
        <f t="shared" si="245"/>
        <v>0</v>
      </c>
      <c r="AC251" s="2906">
        <f t="shared" si="245"/>
        <v>3.5527136788005009E-15</v>
      </c>
      <c r="AD251" s="2906">
        <f t="shared" ca="1" si="245"/>
        <v>0</v>
      </c>
      <c r="AE251" s="2906">
        <f t="shared" ca="1" si="245"/>
        <v>7.1054273576010019E-15</v>
      </c>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row>
    <row r="252" spans="1:94">
      <c r="AB252" s="557"/>
      <c r="AC252" s="557"/>
      <c r="AD252" s="557"/>
      <c r="AE252" s="557"/>
    </row>
    <row r="253" spans="1:94" s="699" customFormat="1" ht="12.75" customHeight="1">
      <c r="A253" s="664"/>
      <c r="B253" s="664"/>
      <c r="C253" s="774"/>
      <c r="D253" s="1092"/>
      <c r="E253" s="1093"/>
      <c r="F253" s="1094"/>
      <c r="G253" s="896">
        <f>+InputY!$G$3</f>
        <v>1995</v>
      </c>
      <c r="H253" s="896">
        <f>+G253+1</f>
        <v>1996</v>
      </c>
      <c r="I253" s="896">
        <f t="shared" ref="I253:O253" si="246">+H253+1</f>
        <v>1997</v>
      </c>
      <c r="J253" s="896">
        <f t="shared" si="246"/>
        <v>1998</v>
      </c>
      <c r="K253" s="896">
        <f t="shared" si="246"/>
        <v>1999</v>
      </c>
      <c r="L253" s="896">
        <f t="shared" si="246"/>
        <v>2000</v>
      </c>
      <c r="M253" s="896">
        <f t="shared" si="246"/>
        <v>2001</v>
      </c>
      <c r="N253" s="896">
        <f t="shared" si="246"/>
        <v>2002</v>
      </c>
      <c r="O253" s="896">
        <f t="shared" si="246"/>
        <v>2003</v>
      </c>
      <c r="P253" s="896">
        <f t="shared" ref="P253:U253" si="247">+O253+1</f>
        <v>2004</v>
      </c>
      <c r="Q253" s="896">
        <f t="shared" si="247"/>
        <v>2005</v>
      </c>
      <c r="R253" s="896">
        <f t="shared" si="247"/>
        <v>2006</v>
      </c>
      <c r="S253" s="896">
        <f>+R253+1</f>
        <v>2007</v>
      </c>
      <c r="T253" s="896">
        <f t="shared" si="247"/>
        <v>2008</v>
      </c>
      <c r="U253" s="896">
        <f t="shared" si="247"/>
        <v>2009</v>
      </c>
      <c r="V253" s="896">
        <f t="shared" ref="V253:AE253" si="248">+U253+1</f>
        <v>2010</v>
      </c>
      <c r="W253" s="896">
        <f t="shared" si="248"/>
        <v>2011</v>
      </c>
      <c r="X253" s="896">
        <f t="shared" si="248"/>
        <v>2012</v>
      </c>
      <c r="Y253" s="896">
        <f t="shared" si="248"/>
        <v>2013</v>
      </c>
      <c r="Z253" s="896">
        <f t="shared" si="248"/>
        <v>2014</v>
      </c>
      <c r="AA253" s="896">
        <f t="shared" si="248"/>
        <v>2015</v>
      </c>
      <c r="AB253" s="896">
        <f t="shared" si="248"/>
        <v>2016</v>
      </c>
      <c r="AC253" s="896">
        <f t="shared" si="248"/>
        <v>2017</v>
      </c>
      <c r="AD253" s="896">
        <f t="shared" si="248"/>
        <v>2018</v>
      </c>
      <c r="AE253" s="896">
        <f t="shared" si="248"/>
        <v>2019</v>
      </c>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row>
    <row r="254" spans="1:94" s="699" customFormat="1" ht="12.75" customHeight="1">
      <c r="A254" s="664"/>
      <c r="B254" s="664"/>
      <c r="C254" s="794" t="s">
        <v>1767</v>
      </c>
      <c r="D254" s="689" t="s">
        <v>685</v>
      </c>
      <c r="E254" s="738" t="s">
        <v>821</v>
      </c>
      <c r="F254" s="733" t="s">
        <v>1895</v>
      </c>
      <c r="G254" s="1095"/>
      <c r="H254" s="1095">
        <f t="shared" ref="H254:AE254" si="249">+(H247/G247-1)*100</f>
        <v>25.622229970634393</v>
      </c>
      <c r="I254" s="1095">
        <f t="shared" si="249"/>
        <v>15.393575341015197</v>
      </c>
      <c r="J254" s="1095">
        <f t="shared" si="249"/>
        <v>10.775243593166062</v>
      </c>
      <c r="K254" s="1095">
        <f t="shared" si="249"/>
        <v>3.6730088323411403</v>
      </c>
      <c r="L254" s="1095">
        <f t="shared" si="249"/>
        <v>5.2293294753600117</v>
      </c>
      <c r="M254" s="1095">
        <f t="shared" si="249"/>
        <v>6.639982788553489</v>
      </c>
      <c r="N254" s="1095">
        <f t="shared" si="249"/>
        <v>5.75453957965395</v>
      </c>
      <c r="O254" s="1095">
        <f t="shared" si="249"/>
        <v>9.5645769105996195</v>
      </c>
      <c r="P254" s="1095">
        <f t="shared" si="249"/>
        <v>10.699275045204937</v>
      </c>
      <c r="Q254" s="1095">
        <f t="shared" si="249"/>
        <v>14.248369091637048</v>
      </c>
      <c r="R254" s="1095">
        <f t="shared" si="249"/>
        <v>14.18500075093425</v>
      </c>
      <c r="S254" s="1095">
        <f t="shared" si="249"/>
        <v>19.025147906103477</v>
      </c>
      <c r="T254" s="1095">
        <f t="shared" si="249"/>
        <v>15.168621188573962</v>
      </c>
      <c r="U254" s="1095">
        <f t="shared" si="249"/>
        <v>-13.759763847413298</v>
      </c>
      <c r="V254" s="1095">
        <f t="shared" si="249"/>
        <v>-2.1262160226752647</v>
      </c>
      <c r="W254" s="1095">
        <f t="shared" si="249"/>
        <v>8.9064469500499612</v>
      </c>
      <c r="X254" s="1095">
        <f t="shared" si="249"/>
        <v>6.2742499558684717</v>
      </c>
      <c r="Y254" s="1095">
        <f t="shared" si="249"/>
        <v>5.3520737522436024</v>
      </c>
      <c r="Z254" s="1095">
        <f t="shared" si="249"/>
        <v>4.0906766427303953</v>
      </c>
      <c r="AA254" s="1095">
        <f t="shared" si="249"/>
        <v>3.0593383975462629</v>
      </c>
      <c r="AB254" s="1095">
        <f t="shared" si="249"/>
        <v>5.9202577870326012</v>
      </c>
      <c r="AC254" s="1095">
        <f t="shared" si="249"/>
        <v>7.790787561124124</v>
      </c>
      <c r="AD254" s="1095">
        <f t="shared" ca="1" si="249"/>
        <v>6.190999999999991</v>
      </c>
      <c r="AE254" s="1095">
        <f t="shared" ca="1" si="249"/>
        <v>5.5725999999999942</v>
      </c>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row>
    <row r="255" spans="1:94" s="699" customFormat="1" ht="12.75" customHeight="1">
      <c r="A255" s="664"/>
      <c r="B255" s="664"/>
      <c r="C255" s="795" t="s">
        <v>1767</v>
      </c>
      <c r="D255" s="3" t="s">
        <v>687</v>
      </c>
      <c r="E255" s="29" t="s">
        <v>821</v>
      </c>
      <c r="F255" s="704" t="s">
        <v>1897</v>
      </c>
      <c r="G255" s="1044"/>
      <c r="H255" s="1044">
        <f t="shared" ref="H255:S255" si="250">+(H248/G248-1)*100</f>
        <v>25.563776551190909</v>
      </c>
      <c r="I255" s="1044">
        <f t="shared" si="250"/>
        <v>21.107523893010626</v>
      </c>
      <c r="J255" s="1044">
        <f t="shared" si="250"/>
        <v>19.007047624427976</v>
      </c>
      <c r="K255" s="1044">
        <f t="shared" si="250"/>
        <v>-10.74983607627421</v>
      </c>
      <c r="L255" s="1044">
        <f t="shared" si="250"/>
        <v>-0.43282416102921051</v>
      </c>
      <c r="M255" s="1044">
        <f t="shared" si="250"/>
        <v>0.21067532961842605</v>
      </c>
      <c r="N255" s="1044">
        <f t="shared" si="250"/>
        <v>4.1473426088810772</v>
      </c>
      <c r="O255" s="1044">
        <f t="shared" si="250"/>
        <v>4.260825612939545</v>
      </c>
      <c r="P255" s="1044">
        <f t="shared" si="250"/>
        <v>7.2529003316856411</v>
      </c>
      <c r="Q255" s="1044">
        <f t="shared" si="250"/>
        <v>11.183553664865297</v>
      </c>
      <c r="R255" s="1044">
        <f t="shared" si="250"/>
        <v>18.502679851070791</v>
      </c>
      <c r="S255" s="1044">
        <f t="shared" si="250"/>
        <v>10.016936271848852</v>
      </c>
      <c r="T255" s="1044">
        <f t="shared" ref="T255:AE257" si="251">+(T248/S248-1)*100</f>
        <v>20.406644785793105</v>
      </c>
      <c r="U255" s="1044">
        <f t="shared" si="251"/>
        <v>-6.244590873328093</v>
      </c>
      <c r="V255" s="1044">
        <f t="shared" si="251"/>
        <v>-2.7352211516775804</v>
      </c>
      <c r="W255" s="1044">
        <f t="shared" si="251"/>
        <v>3.1265166140008294</v>
      </c>
      <c r="X255" s="1044">
        <f t="shared" si="251"/>
        <v>1.6272405931689438</v>
      </c>
      <c r="Y255" s="1044">
        <f t="shared" si="251"/>
        <v>0.10787764034383418</v>
      </c>
      <c r="Z255" s="1044">
        <f t="shared" si="251"/>
        <v>4.0493612268009072</v>
      </c>
      <c r="AA255" s="1044">
        <f t="shared" si="251"/>
        <v>5.8524730255065993</v>
      </c>
      <c r="AB255" s="1044">
        <f t="shared" si="251"/>
        <v>3.2370111234341969</v>
      </c>
      <c r="AC255" s="1044">
        <f t="shared" si="251"/>
        <v>4.0859622080890556</v>
      </c>
      <c r="AD255" s="1044">
        <f t="shared" ca="1" si="251"/>
        <v>5.6446159999999912</v>
      </c>
      <c r="AE255" s="1044">
        <f t="shared" ca="1" si="251"/>
        <v>5.1345160000000112</v>
      </c>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row>
    <row r="256" spans="1:94" s="699" customFormat="1" ht="12.75" customHeight="1">
      <c r="A256" s="664"/>
      <c r="B256" s="664"/>
      <c r="C256" s="796" t="s">
        <v>1767</v>
      </c>
      <c r="D256" s="691"/>
      <c r="E256" s="797" t="s">
        <v>376</v>
      </c>
      <c r="F256" s="736" t="s">
        <v>1884</v>
      </c>
      <c r="G256" s="1096"/>
      <c r="H256" s="1096">
        <f t="shared" ref="H256:S256" si="252">+(H249/G249-1)*100</f>
        <v>26.410452622325664</v>
      </c>
      <c r="I256" s="1096">
        <f t="shared" si="252"/>
        <v>31.212603309919771</v>
      </c>
      <c r="J256" s="1096">
        <f t="shared" si="252"/>
        <v>18.583689514361001</v>
      </c>
      <c r="K256" s="1096">
        <f t="shared" si="252"/>
        <v>-10.282849913026137</v>
      </c>
      <c r="L256" s="1096">
        <f t="shared" si="252"/>
        <v>-8.3728747957223622</v>
      </c>
      <c r="M256" s="1096">
        <f t="shared" si="252"/>
        <v>13.898830128017092</v>
      </c>
      <c r="N256" s="1096">
        <f t="shared" si="252"/>
        <v>8.0307962802708808</v>
      </c>
      <c r="O256" s="1096">
        <f t="shared" si="252"/>
        <v>14.125687402651078</v>
      </c>
      <c r="P256" s="1096">
        <f t="shared" si="252"/>
        <v>16.314047929409405</v>
      </c>
      <c r="Q256" s="1096">
        <f t="shared" si="252"/>
        <v>17.609674329501914</v>
      </c>
      <c r="R256" s="1096">
        <f t="shared" si="252"/>
        <v>27.110913836844208</v>
      </c>
      <c r="S256" s="1096">
        <f t="shared" si="252"/>
        <v>32.929728171202477</v>
      </c>
      <c r="T256" s="1096">
        <f t="shared" si="251"/>
        <v>2.5865590510286696</v>
      </c>
      <c r="U256" s="1096">
        <f t="shared" si="251"/>
        <v>-43.49419497916206</v>
      </c>
      <c r="V256" s="1096">
        <f t="shared" si="251"/>
        <v>-1.750746281067328</v>
      </c>
      <c r="W256" s="1096">
        <f t="shared" si="251"/>
        <v>22.317880794701985</v>
      </c>
      <c r="X256" s="1096">
        <f t="shared" si="251"/>
        <v>0.11970019598313009</v>
      </c>
      <c r="Y256" s="1096">
        <f t="shared" si="251"/>
        <v>11.521191147938081</v>
      </c>
      <c r="Z256" s="1096">
        <f t="shared" si="251"/>
        <v>6.9809198621817892</v>
      </c>
      <c r="AA256" s="1096">
        <f t="shared" si="251"/>
        <v>6.0782073393778058</v>
      </c>
      <c r="AB256" s="1096">
        <f t="shared" si="251"/>
        <v>-0.15043916769735821</v>
      </c>
      <c r="AC256" s="1096">
        <f t="shared" si="251"/>
        <v>7.7409696207377587</v>
      </c>
      <c r="AD256" s="1096">
        <f t="shared" ca="1" si="251"/>
        <v>9.2905093903981495</v>
      </c>
      <c r="AE256" s="1096">
        <f t="shared" ca="1" si="251"/>
        <v>6.6401309849669188</v>
      </c>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row>
    <row r="257" spans="1:94" s="699" customFormat="1" ht="12.75" customHeight="1">
      <c r="A257" s="664"/>
      <c r="B257" s="664"/>
      <c r="C257" s="774" t="s">
        <v>1769</v>
      </c>
      <c r="D257" s="717"/>
      <c r="E257" s="722" t="s">
        <v>1941</v>
      </c>
      <c r="F257" s="723"/>
      <c r="G257" s="721"/>
      <c r="H257" s="721">
        <f t="shared" ref="H257:S257" si="253">+(H250/G250-1)*100</f>
        <v>25.757561336591593</v>
      </c>
      <c r="I257" s="721">
        <f t="shared" si="253"/>
        <v>19.649109529102905</v>
      </c>
      <c r="J257" s="721">
        <f t="shared" si="253"/>
        <v>14.237922830410831</v>
      </c>
      <c r="K257" s="721">
        <f t="shared" si="253"/>
        <v>-2.695822440754414</v>
      </c>
      <c r="L257" s="721">
        <f t="shared" si="253"/>
        <v>1.318000173561451</v>
      </c>
      <c r="M257" s="721">
        <f t="shared" si="253"/>
        <v>6.5909794568971281</v>
      </c>
      <c r="N257" s="721">
        <f t="shared" si="253"/>
        <v>5.8734030143895666</v>
      </c>
      <c r="O257" s="721">
        <f t="shared" si="253"/>
        <v>9.4258266642777357</v>
      </c>
      <c r="P257" s="721">
        <f t="shared" si="253"/>
        <v>11.206768633555386</v>
      </c>
      <c r="Q257" s="721">
        <f t="shared" si="253"/>
        <v>14.41829149150562</v>
      </c>
      <c r="R257" s="721">
        <f t="shared" si="253"/>
        <v>17.771293073057493</v>
      </c>
      <c r="S257" s="721">
        <f t="shared" si="253"/>
        <v>20.744442724552158</v>
      </c>
      <c r="T257" s="721">
        <f t="shared" si="251"/>
        <v>12.72175581621504</v>
      </c>
      <c r="U257" s="721">
        <f t="shared" si="251"/>
        <v>-19.537894826334245</v>
      </c>
      <c r="V257" s="721">
        <f t="shared" si="251"/>
        <v>-2.1843195428213558</v>
      </c>
      <c r="W257" s="721">
        <f t="shared" si="251"/>
        <v>10.012530449559076</v>
      </c>
      <c r="X257" s="721">
        <f t="shared" si="251"/>
        <v>4.2704849740585749</v>
      </c>
      <c r="Y257" s="721">
        <f t="shared" si="251"/>
        <v>5.5104559324383295</v>
      </c>
      <c r="Z257" s="721">
        <f t="shared" si="251"/>
        <v>4.6295440100475593</v>
      </c>
      <c r="AA257" s="721">
        <f t="shared" si="251"/>
        <v>4.116805069074414</v>
      </c>
      <c r="AB257" s="721">
        <f t="shared" si="251"/>
        <v>4.2623717921339788</v>
      </c>
      <c r="AC257" s="721">
        <f t="shared" si="251"/>
        <v>7.1479123346200435</v>
      </c>
      <c r="AD257" s="721">
        <f t="shared" ca="1" si="251"/>
        <v>6.6875490689158434</v>
      </c>
      <c r="AE257" s="721">
        <f t="shared" ca="1" si="251"/>
        <v>5.7077585915184859</v>
      </c>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row>
    <row r="258" spans="1:94">
      <c r="AB258" s="557"/>
      <c r="AC258" s="557"/>
      <c r="AD258" s="557"/>
      <c r="AE258" s="557"/>
    </row>
    <row r="259" spans="1:94">
      <c r="A259" s="1130"/>
      <c r="B259" s="1130"/>
      <c r="D259" s="1074"/>
      <c r="E259" s="1075" t="s">
        <v>2036</v>
      </c>
      <c r="F259" s="1076"/>
      <c r="G259" s="698">
        <f>+InputY!$G$3</f>
        <v>1995</v>
      </c>
      <c r="H259" s="698">
        <f>+G259+1</f>
        <v>1996</v>
      </c>
      <c r="I259" s="698">
        <f t="shared" ref="I259:O259" si="254">+H259+1</f>
        <v>1997</v>
      </c>
      <c r="J259" s="698">
        <f t="shared" si="254"/>
        <v>1998</v>
      </c>
      <c r="K259" s="698">
        <f t="shared" si="254"/>
        <v>1999</v>
      </c>
      <c r="L259" s="698">
        <f t="shared" si="254"/>
        <v>2000</v>
      </c>
      <c r="M259" s="698">
        <f t="shared" si="254"/>
        <v>2001</v>
      </c>
      <c r="N259" s="698">
        <f t="shared" si="254"/>
        <v>2002</v>
      </c>
      <c r="O259" s="698">
        <f t="shared" si="254"/>
        <v>2003</v>
      </c>
      <c r="P259" s="698">
        <f t="shared" ref="P259:V259" si="255">+O259+1</f>
        <v>2004</v>
      </c>
      <c r="Q259" s="698">
        <f t="shared" si="255"/>
        <v>2005</v>
      </c>
      <c r="R259" s="698">
        <f t="shared" si="255"/>
        <v>2006</v>
      </c>
      <c r="S259" s="698">
        <f>+R259+1</f>
        <v>2007</v>
      </c>
      <c r="T259" s="698">
        <f t="shared" si="255"/>
        <v>2008</v>
      </c>
      <c r="U259" s="698">
        <f t="shared" si="255"/>
        <v>2009</v>
      </c>
      <c r="V259" s="698">
        <f t="shared" si="255"/>
        <v>2010</v>
      </c>
      <c r="W259" s="698">
        <f t="shared" ref="W259:AE259" si="256">+V259+1</f>
        <v>2011</v>
      </c>
      <c r="X259" s="698">
        <f t="shared" si="256"/>
        <v>2012</v>
      </c>
      <c r="Y259" s="698">
        <f t="shared" si="256"/>
        <v>2013</v>
      </c>
      <c r="Z259" s="698">
        <f t="shared" si="256"/>
        <v>2014</v>
      </c>
      <c r="AA259" s="698">
        <f t="shared" si="256"/>
        <v>2015</v>
      </c>
      <c r="AB259" s="698">
        <f t="shared" si="256"/>
        <v>2016</v>
      </c>
      <c r="AC259" s="698">
        <f t="shared" si="256"/>
        <v>2017</v>
      </c>
      <c r="AD259" s="698">
        <f t="shared" si="256"/>
        <v>2018</v>
      </c>
      <c r="AE259" s="698">
        <f t="shared" si="256"/>
        <v>2019</v>
      </c>
    </row>
    <row r="260" spans="1:94">
      <c r="A260" s="664">
        <f>+ROW(InputY!A79)</f>
        <v>79</v>
      </c>
      <c r="B260" s="1130">
        <v>42</v>
      </c>
      <c r="C260" s="1082"/>
      <c r="D260" s="1086"/>
      <c r="E260" s="1087" t="s">
        <v>1449</v>
      </c>
      <c r="F260" s="1086" t="s">
        <v>1536</v>
      </c>
      <c r="G260" s="1088">
        <f>+InputY!G79/1000</f>
        <v>0.18446000000000001</v>
      </c>
      <c r="H260" s="1088">
        <f>+InputY!H79/1000</f>
        <v>4.6679999999999999E-2</v>
      </c>
      <c r="I260" s="1088">
        <f>+InputY!I79/1000</f>
        <v>0.25845999999999997</v>
      </c>
      <c r="J260" s="1088">
        <f>+InputY!J79/1000</f>
        <v>5.8840000000000003E-2</v>
      </c>
      <c r="K260" s="1088">
        <f>+InputY!K79/1000</f>
        <v>-7.7159999999999992E-2</v>
      </c>
      <c r="L260" s="1088">
        <f>+InputY!L79/1000</f>
        <v>-4.8979999999999996E-2</v>
      </c>
      <c r="M260" s="1088">
        <f>+InputY!M79/1000</f>
        <v>-0.21227000000000001</v>
      </c>
      <c r="N260" s="1088">
        <f>+InputY!N79/1000</f>
        <v>-9.2399999999999999E-3</v>
      </c>
      <c r="O260" s="1088">
        <f>+InputY!O79/1000</f>
        <v>4.3630000000000002E-2</v>
      </c>
      <c r="P260" s="1088">
        <f>+InputY!P79/1000</f>
        <v>-3.9409999999999994E-2</v>
      </c>
      <c r="Q260" s="1088">
        <f>+InputY!Q79/1000</f>
        <v>0.14046</v>
      </c>
      <c r="R260" s="1088">
        <f>+InputY!R79/1000</f>
        <v>0.19234000000000001</v>
      </c>
      <c r="S260" s="1088">
        <f>+InputY!S79/1000</f>
        <v>1.0260799999999999</v>
      </c>
      <c r="T260" s="1088">
        <f>+InputY!T79/1000</f>
        <v>0.60474000000000006</v>
      </c>
      <c r="U260" s="1088">
        <f>+InputY!U79/1000</f>
        <v>-1.47837</v>
      </c>
      <c r="V260" s="1088">
        <f>+InputY!V79/1000</f>
        <v>0.31864999999999999</v>
      </c>
      <c r="W260" s="1088">
        <f>+InputY!W79/1000</f>
        <v>1.0107000000000002</v>
      </c>
      <c r="X260" s="1088">
        <f>+InputY!X79/1000</f>
        <v>0.67282000000000008</v>
      </c>
      <c r="Y260" s="1088">
        <f>+InputY!Y79/1000</f>
        <v>0.34885000000000005</v>
      </c>
      <c r="Z260" s="1088">
        <f>+InputY!Z79/1000</f>
        <v>5.3120000000000001E-2</v>
      </c>
      <c r="AA260" s="1088">
        <f>+InputY!AA79/1000</f>
        <v>0.37847000000000003</v>
      </c>
      <c r="AB260" s="1088">
        <f>+InputY!AB79/1000</f>
        <v>-0.64598</v>
      </c>
      <c r="AC260" s="1340">
        <f ca="1">+AB260*(1+AC263/100)</f>
        <v>-0.64598</v>
      </c>
      <c r="AD260" s="1340">
        <f ca="1">+AC260*(1+AD263/100)</f>
        <v>-0.64598</v>
      </c>
      <c r="AE260" s="1340">
        <f ca="1">+AD260*(1+AE263/100)</f>
        <v>-0.64598</v>
      </c>
    </row>
    <row r="261" spans="1:94">
      <c r="AB261" s="557"/>
      <c r="AC261" s="557"/>
      <c r="AD261" s="557"/>
      <c r="AE261" s="557"/>
    </row>
    <row r="262" spans="1:94" s="699" customFormat="1" ht="12.75" customHeight="1">
      <c r="A262" s="664"/>
      <c r="B262" s="664"/>
      <c r="C262" s="774"/>
      <c r="D262" s="1092"/>
      <c r="E262" s="1093" t="s">
        <v>2036</v>
      </c>
      <c r="F262" s="1094"/>
      <c r="G262" s="896">
        <f>+InputY!$G$3</f>
        <v>1995</v>
      </c>
      <c r="H262" s="896">
        <f>+G262+1</f>
        <v>1996</v>
      </c>
      <c r="I262" s="896">
        <f t="shared" ref="I262:O262" si="257">+H262+1</f>
        <v>1997</v>
      </c>
      <c r="J262" s="896">
        <f t="shared" si="257"/>
        <v>1998</v>
      </c>
      <c r="K262" s="896">
        <f t="shared" si="257"/>
        <v>1999</v>
      </c>
      <c r="L262" s="896">
        <f t="shared" si="257"/>
        <v>2000</v>
      </c>
      <c r="M262" s="896">
        <f t="shared" si="257"/>
        <v>2001</v>
      </c>
      <c r="N262" s="896">
        <f t="shared" si="257"/>
        <v>2002</v>
      </c>
      <c r="O262" s="896">
        <f t="shared" si="257"/>
        <v>2003</v>
      </c>
      <c r="P262" s="896">
        <f t="shared" ref="P262:V262" si="258">+O262+1</f>
        <v>2004</v>
      </c>
      <c r="Q262" s="896">
        <f t="shared" si="258"/>
        <v>2005</v>
      </c>
      <c r="R262" s="896">
        <f t="shared" si="258"/>
        <v>2006</v>
      </c>
      <c r="S262" s="896">
        <f>+R262+1</f>
        <v>2007</v>
      </c>
      <c r="T262" s="896">
        <f t="shared" si="258"/>
        <v>2008</v>
      </c>
      <c r="U262" s="896">
        <f t="shared" si="258"/>
        <v>2009</v>
      </c>
      <c r="V262" s="896">
        <f t="shared" si="258"/>
        <v>2010</v>
      </c>
      <c r="W262" s="896">
        <f t="shared" ref="W262:AE262" si="259">+V262+1</f>
        <v>2011</v>
      </c>
      <c r="X262" s="896">
        <f t="shared" si="259"/>
        <v>2012</v>
      </c>
      <c r="Y262" s="896">
        <f t="shared" si="259"/>
        <v>2013</v>
      </c>
      <c r="Z262" s="896">
        <f t="shared" si="259"/>
        <v>2014</v>
      </c>
      <c r="AA262" s="896">
        <f t="shared" si="259"/>
        <v>2015</v>
      </c>
      <c r="AB262" s="896">
        <f t="shared" si="259"/>
        <v>2016</v>
      </c>
      <c r="AC262" s="896">
        <f t="shared" si="259"/>
        <v>2017</v>
      </c>
      <c r="AD262" s="896">
        <f t="shared" si="259"/>
        <v>2018</v>
      </c>
      <c r="AE262" s="896">
        <f t="shared" si="259"/>
        <v>2019</v>
      </c>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row>
    <row r="263" spans="1:94" s="699" customFormat="1" ht="12.75" customHeight="1">
      <c r="A263" s="664"/>
      <c r="B263" s="664"/>
      <c r="C263" s="798"/>
      <c r="D263" s="833"/>
      <c r="E263" s="834" t="s">
        <v>1449</v>
      </c>
      <c r="F263" s="835" t="s">
        <v>1536</v>
      </c>
      <c r="G263" s="1115"/>
      <c r="H263" s="1115">
        <f>+(H260/G260-1)*100</f>
        <v>-74.693700531280498</v>
      </c>
      <c r="I263" s="1115">
        <f t="shared" ref="I263:AB263" si="260">+(I260/H260-1)*100</f>
        <v>453.68466152527844</v>
      </c>
      <c r="J263" s="1115">
        <f t="shared" si="260"/>
        <v>-77.234388299930359</v>
      </c>
      <c r="K263" s="1115">
        <f t="shared" si="260"/>
        <v>-231.13528212100613</v>
      </c>
      <c r="L263" s="1115">
        <f t="shared" si="260"/>
        <v>-36.521513737687918</v>
      </c>
      <c r="M263" s="1115">
        <f t="shared" si="260"/>
        <v>333.38097182523489</v>
      </c>
      <c r="N263" s="1115">
        <f t="shared" si="260"/>
        <v>-95.647053281198467</v>
      </c>
      <c r="O263" s="1115">
        <f t="shared" si="260"/>
        <v>-572.1861471861472</v>
      </c>
      <c r="P263" s="1115">
        <f t="shared" si="260"/>
        <v>-190.32775613110243</v>
      </c>
      <c r="Q263" s="1115">
        <f t="shared" si="260"/>
        <v>-456.40700329865524</v>
      </c>
      <c r="R263" s="1115">
        <f t="shared" si="260"/>
        <v>36.935782429161335</v>
      </c>
      <c r="S263" s="1115">
        <f t="shared" si="260"/>
        <v>433.47197670791297</v>
      </c>
      <c r="T263" s="1115">
        <f t="shared" si="260"/>
        <v>-41.063075003898319</v>
      </c>
      <c r="U263" s="1115">
        <f t="shared" si="260"/>
        <v>-344.46373648179377</v>
      </c>
      <c r="V263" s="1115">
        <f t="shared" si="260"/>
        <v>-121.5541440911274</v>
      </c>
      <c r="W263" s="1115">
        <f t="shared" si="260"/>
        <v>217.18186097599252</v>
      </c>
      <c r="X263" s="1115">
        <f t="shared" si="260"/>
        <v>-33.430295834570103</v>
      </c>
      <c r="Y263" s="1115">
        <f t="shared" si="260"/>
        <v>-48.151065663921997</v>
      </c>
      <c r="Z263" s="1115">
        <f t="shared" si="260"/>
        <v>-84.772824996416801</v>
      </c>
      <c r="AA263" s="1115">
        <f t="shared" si="260"/>
        <v>612.48117469879526</v>
      </c>
      <c r="AB263" s="1115">
        <f t="shared" si="260"/>
        <v>-270.68195629772504</v>
      </c>
      <c r="AC263" s="1427">
        <f ca="1">OFFSET('VVP1'!$K$81,0,5*(COLUMN()-7))</f>
        <v>0</v>
      </c>
      <c r="AD263" s="1427">
        <f ca="1">OFFSET('VVP1'!$K$81,0,5*(COLUMN()-7))</f>
        <v>0</v>
      </c>
      <c r="AE263" s="1427">
        <f ca="1">OFFSET('VVP1'!$K$81,0,5*(COLUMN()-7))</f>
        <v>0</v>
      </c>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row>
    <row r="264" spans="1:94">
      <c r="AB264" s="557"/>
      <c r="AC264" s="557"/>
      <c r="AD264" s="557"/>
      <c r="AE264" s="557"/>
    </row>
    <row r="265" spans="1:94">
      <c r="A265" s="1130"/>
      <c r="B265" s="1130"/>
      <c r="D265" s="1074"/>
      <c r="E265" s="1075" t="s">
        <v>1942</v>
      </c>
      <c r="F265" s="1076"/>
      <c r="G265" s="698">
        <f>+InputY!$G$3</f>
        <v>1995</v>
      </c>
      <c r="H265" s="698">
        <f>+G265+1</f>
        <v>1996</v>
      </c>
      <c r="I265" s="698">
        <f t="shared" ref="I265:O265" si="261">+H265+1</f>
        <v>1997</v>
      </c>
      <c r="J265" s="698">
        <f t="shared" si="261"/>
        <v>1998</v>
      </c>
      <c r="K265" s="698">
        <f t="shared" si="261"/>
        <v>1999</v>
      </c>
      <c r="L265" s="698">
        <f t="shared" si="261"/>
        <v>2000</v>
      </c>
      <c r="M265" s="698">
        <f t="shared" si="261"/>
        <v>2001</v>
      </c>
      <c r="N265" s="698">
        <f t="shared" si="261"/>
        <v>2002</v>
      </c>
      <c r="O265" s="698">
        <f t="shared" si="261"/>
        <v>2003</v>
      </c>
      <c r="P265" s="698">
        <f t="shared" ref="P265:U265" si="262">+O265+1</f>
        <v>2004</v>
      </c>
      <c r="Q265" s="698">
        <f t="shared" si="262"/>
        <v>2005</v>
      </c>
      <c r="R265" s="698">
        <f t="shared" si="262"/>
        <v>2006</v>
      </c>
      <c r="S265" s="698">
        <f>+R265+1</f>
        <v>2007</v>
      </c>
      <c r="T265" s="698">
        <f t="shared" si="262"/>
        <v>2008</v>
      </c>
      <c r="U265" s="698">
        <f t="shared" si="262"/>
        <v>2009</v>
      </c>
      <c r="V265" s="698">
        <f t="shared" ref="V265:AE265" si="263">+U265+1</f>
        <v>2010</v>
      </c>
      <c r="W265" s="698">
        <f t="shared" si="263"/>
        <v>2011</v>
      </c>
      <c r="X265" s="698">
        <f t="shared" si="263"/>
        <v>2012</v>
      </c>
      <c r="Y265" s="698">
        <f t="shared" si="263"/>
        <v>2013</v>
      </c>
      <c r="Z265" s="698">
        <f t="shared" si="263"/>
        <v>2014</v>
      </c>
      <c r="AA265" s="698">
        <f t="shared" si="263"/>
        <v>2015</v>
      </c>
      <c r="AB265" s="698">
        <f t="shared" si="263"/>
        <v>2016</v>
      </c>
      <c r="AC265" s="698">
        <f t="shared" si="263"/>
        <v>2017</v>
      </c>
      <c r="AD265" s="698">
        <f t="shared" si="263"/>
        <v>2018</v>
      </c>
      <c r="AE265" s="698">
        <f t="shared" si="263"/>
        <v>2019</v>
      </c>
    </row>
    <row r="266" spans="1:94">
      <c r="A266" s="664"/>
      <c r="B266" s="1130"/>
      <c r="C266" s="1079" t="s">
        <v>1767</v>
      </c>
      <c r="D266" s="1058"/>
      <c r="E266" s="1038" t="s">
        <v>1941</v>
      </c>
      <c r="F266" s="1058"/>
      <c r="G266" s="1084">
        <f>+G250</f>
        <v>8.4052600000000002</v>
      </c>
      <c r="H266" s="1084">
        <f t="shared" ref="H266:R266" si="264">+H250</f>
        <v>10.57025</v>
      </c>
      <c r="I266" s="1084">
        <f t="shared" si="264"/>
        <v>12.647209999999999</v>
      </c>
      <c r="J266" s="1084">
        <f t="shared" si="264"/>
        <v>14.44791</v>
      </c>
      <c r="K266" s="1084">
        <f t="shared" si="264"/>
        <v>14.05842</v>
      </c>
      <c r="L266" s="1084">
        <f t="shared" si="264"/>
        <v>14.243709999999998</v>
      </c>
      <c r="M266" s="1084">
        <f t="shared" si="264"/>
        <v>15.182510000000001</v>
      </c>
      <c r="N266" s="1084">
        <f t="shared" si="264"/>
        <v>16.07424</v>
      </c>
      <c r="O266" s="1084">
        <f t="shared" si="264"/>
        <v>17.589369999999999</v>
      </c>
      <c r="P266" s="1084">
        <f t="shared" si="264"/>
        <v>19.560569999999998</v>
      </c>
      <c r="Q266" s="1084">
        <f t="shared" si="264"/>
        <v>22.380869999999998</v>
      </c>
      <c r="R266" s="1084">
        <f t="shared" si="264"/>
        <v>26.358240000000002</v>
      </c>
      <c r="S266" s="1084">
        <f t="shared" ref="S266:X266" si="265">+S250</f>
        <v>31.82611</v>
      </c>
      <c r="T266" s="1084">
        <f t="shared" si="265"/>
        <v>35.874949999999998</v>
      </c>
      <c r="U266" s="1084">
        <f t="shared" si="265"/>
        <v>28.865740000000002</v>
      </c>
      <c r="V266" s="1084">
        <f t="shared" si="265"/>
        <v>28.235220000000002</v>
      </c>
      <c r="W266" s="1084">
        <f t="shared" si="265"/>
        <v>31.062279999999998</v>
      </c>
      <c r="X266" s="1084">
        <f t="shared" si="265"/>
        <v>32.38879</v>
      </c>
      <c r="Y266" s="1084">
        <f t="shared" ref="Y266:AD266" si="266">+Y250</f>
        <v>34.173559999999995</v>
      </c>
      <c r="Z266" s="1084">
        <f t="shared" si="266"/>
        <v>35.75564</v>
      </c>
      <c r="AA266" s="1084">
        <f t="shared" si="266"/>
        <v>37.227629999999998</v>
      </c>
      <c r="AB266" s="1084">
        <f t="shared" ref="AB266:AC266" si="267">+AB250</f>
        <v>38.814410000000002</v>
      </c>
      <c r="AC266" s="1084">
        <f t="shared" si="267"/>
        <v>41.588830000000002</v>
      </c>
      <c r="AD266" s="1341">
        <f t="shared" ca="1" si="266"/>
        <v>44.370103413437995</v>
      </c>
      <c r="AE266" s="1341">
        <f t="shared" ref="AE266" ca="1" si="268">+AE250</f>
        <v>46.902641803084137</v>
      </c>
    </row>
    <row r="267" spans="1:94">
      <c r="A267" s="664"/>
      <c r="B267" s="1130"/>
      <c r="C267" s="1081" t="s">
        <v>1767</v>
      </c>
      <c r="D267" s="1077"/>
      <c r="E267" s="1039" t="s">
        <v>1449</v>
      </c>
      <c r="F267" s="1077" t="s">
        <v>1536</v>
      </c>
      <c r="G267" s="1085">
        <f>+G260</f>
        <v>0.18446000000000001</v>
      </c>
      <c r="H267" s="1085">
        <f t="shared" ref="H267:R267" si="269">+H260</f>
        <v>4.6679999999999999E-2</v>
      </c>
      <c r="I267" s="1085">
        <f t="shared" si="269"/>
        <v>0.25845999999999997</v>
      </c>
      <c r="J267" s="1085">
        <f t="shared" si="269"/>
        <v>5.8840000000000003E-2</v>
      </c>
      <c r="K267" s="1085">
        <f t="shared" si="269"/>
        <v>-7.7159999999999992E-2</v>
      </c>
      <c r="L267" s="1085">
        <f t="shared" si="269"/>
        <v>-4.8979999999999996E-2</v>
      </c>
      <c r="M267" s="1085">
        <f t="shared" si="269"/>
        <v>-0.21227000000000001</v>
      </c>
      <c r="N267" s="1085">
        <f t="shared" si="269"/>
        <v>-9.2399999999999999E-3</v>
      </c>
      <c r="O267" s="1085">
        <f t="shared" si="269"/>
        <v>4.3630000000000002E-2</v>
      </c>
      <c r="P267" s="1085">
        <f t="shared" si="269"/>
        <v>-3.9409999999999994E-2</v>
      </c>
      <c r="Q267" s="1085">
        <f t="shared" si="269"/>
        <v>0.14046</v>
      </c>
      <c r="R267" s="1085">
        <f t="shared" si="269"/>
        <v>0.19234000000000001</v>
      </c>
      <c r="S267" s="1085">
        <f t="shared" ref="S267:X267" si="270">+S260</f>
        <v>1.0260799999999999</v>
      </c>
      <c r="T267" s="1085">
        <f t="shared" si="270"/>
        <v>0.60474000000000006</v>
      </c>
      <c r="U267" s="1085">
        <f t="shared" si="270"/>
        <v>-1.47837</v>
      </c>
      <c r="V267" s="1085">
        <f t="shared" si="270"/>
        <v>0.31864999999999999</v>
      </c>
      <c r="W267" s="1085">
        <f t="shared" si="270"/>
        <v>1.0107000000000002</v>
      </c>
      <c r="X267" s="1085">
        <f t="shared" si="270"/>
        <v>0.67282000000000008</v>
      </c>
      <c r="Y267" s="1085">
        <f t="shared" ref="Y267:AD267" si="271">+Y260</f>
        <v>0.34885000000000005</v>
      </c>
      <c r="Z267" s="1085">
        <f t="shared" si="271"/>
        <v>5.3120000000000001E-2</v>
      </c>
      <c r="AA267" s="1085">
        <f t="shared" si="271"/>
        <v>0.37847000000000003</v>
      </c>
      <c r="AB267" s="1085">
        <f t="shared" ref="AB267:AC267" si="272">+AB260</f>
        <v>-0.64598</v>
      </c>
      <c r="AC267" s="1085">
        <f t="shared" ca="1" si="272"/>
        <v>-0.64598</v>
      </c>
      <c r="AD267" s="940">
        <f t="shared" ca="1" si="271"/>
        <v>-0.64598</v>
      </c>
      <c r="AE267" s="940">
        <f t="shared" ref="AE267" ca="1" si="273">+AE260</f>
        <v>-0.64598</v>
      </c>
    </row>
    <row r="268" spans="1:94">
      <c r="A268" s="664">
        <f>+ROW(InputY!A82)</f>
        <v>82</v>
      </c>
      <c r="B268" s="664"/>
      <c r="C268" s="694" t="s">
        <v>1769</v>
      </c>
      <c r="D268" s="1055"/>
      <c r="E268" s="1056" t="s">
        <v>1941</v>
      </c>
      <c r="F268" s="1055"/>
      <c r="G268" s="1057">
        <f>+InputY!G82/1000</f>
        <v>8.5897099999999984</v>
      </c>
      <c r="H268" s="1057">
        <f>+InputY!H82/1000</f>
        <v>10.61693</v>
      </c>
      <c r="I268" s="1057">
        <f>+InputY!I82/1000</f>
        <v>12.905670000000001</v>
      </c>
      <c r="J268" s="1057">
        <f>+InputY!J82/1000</f>
        <v>14.50676</v>
      </c>
      <c r="K268" s="1057">
        <f>+InputY!K82/1000</f>
        <v>13.981249999999999</v>
      </c>
      <c r="L268" s="1057">
        <f>+InputY!L82/1000</f>
        <v>14.19473</v>
      </c>
      <c r="M268" s="1057">
        <f>+InputY!M82/1000</f>
        <v>14.970229999999999</v>
      </c>
      <c r="N268" s="1057">
        <f>+InputY!N82/1000</f>
        <v>16.065000000000001</v>
      </c>
      <c r="O268" s="1057">
        <f>+InputY!O82/1000</f>
        <v>17.632999999999999</v>
      </c>
      <c r="P268" s="1057">
        <f>+InputY!P82/1000</f>
        <v>19.521159999999998</v>
      </c>
      <c r="Q268" s="1057">
        <f>+InputY!Q82/1000</f>
        <v>22.521330000000003</v>
      </c>
      <c r="R268" s="1057">
        <f>+InputY!R82/1000</f>
        <v>26.55058</v>
      </c>
      <c r="S268" s="1057">
        <f>+InputY!S82/1000</f>
        <v>32.852199999999996</v>
      </c>
      <c r="T268" s="1057">
        <f>+InputY!T82/1000</f>
        <v>36.479690000000005</v>
      </c>
      <c r="U268" s="1057">
        <f>+InputY!U82/1000</f>
        <v>27.387370000000001</v>
      </c>
      <c r="V268" s="1057">
        <f>+InputY!V82/1000</f>
        <v>28.55387</v>
      </c>
      <c r="W268" s="1057">
        <f>+InputY!W82/1000</f>
        <v>32.072980000000001</v>
      </c>
      <c r="X268" s="1057">
        <f>+InputY!X82/1000</f>
        <v>33.061620000000005</v>
      </c>
      <c r="Y268" s="1057">
        <f>+InputY!Y82/1000</f>
        <v>34.522400000000005</v>
      </c>
      <c r="Z268" s="1057">
        <f>+InputY!Z82/1000</f>
        <v>35.808759999999999</v>
      </c>
      <c r="AA268" s="1057">
        <f>+InputY!AA82/1000</f>
        <v>37.606099999999998</v>
      </c>
      <c r="AB268" s="1057">
        <f>+InputY!AB82/1000</f>
        <v>38.168430000000001</v>
      </c>
      <c r="AC268" s="2302">
        <f ca="1">+AC266+AC267</f>
        <v>40.94285</v>
      </c>
      <c r="AD268" s="2302">
        <f ca="1">+AD266+AD267</f>
        <v>43.724123413437994</v>
      </c>
      <c r="AE268" s="2302">
        <f ca="1">+AE266+AE267</f>
        <v>46.256661803084135</v>
      </c>
    </row>
    <row r="269" spans="1:94" s="699" customFormat="1" ht="12.75" customHeight="1">
      <c r="A269" s="664"/>
      <c r="B269" s="664"/>
      <c r="C269" s="774"/>
      <c r="D269" s="1973"/>
      <c r="E269" s="1973" t="s">
        <v>737</v>
      </c>
      <c r="F269" s="1973"/>
      <c r="G269" s="1002">
        <f>ABS(G268-G267-G266)</f>
        <v>1.000000000139778E-5</v>
      </c>
      <c r="H269" s="1002">
        <f t="shared" ref="H269:S269" si="274">ABS(H268-H267-H266)</f>
        <v>0</v>
      </c>
      <c r="I269" s="1002">
        <f t="shared" si="274"/>
        <v>1.7763568394002505E-15</v>
      </c>
      <c r="J269" s="1002">
        <f t="shared" si="274"/>
        <v>9.9999999996214228E-6</v>
      </c>
      <c r="K269" s="1002">
        <f t="shared" si="274"/>
        <v>1.000000000139778E-5</v>
      </c>
      <c r="L269" s="1002">
        <f t="shared" si="274"/>
        <v>1.7763568394002505E-15</v>
      </c>
      <c r="M269" s="1002">
        <f t="shared" si="274"/>
        <v>1.000000000139778E-5</v>
      </c>
      <c r="N269" s="1002">
        <f t="shared" si="274"/>
        <v>0</v>
      </c>
      <c r="O269" s="1002">
        <f t="shared" si="274"/>
        <v>0</v>
      </c>
      <c r="P269" s="1002">
        <f t="shared" si="274"/>
        <v>0</v>
      </c>
      <c r="Q269" s="1002">
        <f t="shared" si="274"/>
        <v>3.5527136788005009E-15</v>
      </c>
      <c r="R269" s="1002">
        <f t="shared" si="274"/>
        <v>3.5527136788005009E-15</v>
      </c>
      <c r="S269" s="1002">
        <f t="shared" si="274"/>
        <v>9.9999999960687092E-6</v>
      </c>
      <c r="T269" s="2906">
        <f t="shared" ref="T269:Y269" si="275">ABS(T268-T267-T266)</f>
        <v>7.1054273576010019E-15</v>
      </c>
      <c r="U269" s="2906">
        <f t="shared" si="275"/>
        <v>0</v>
      </c>
      <c r="V269" s="2906">
        <f t="shared" si="275"/>
        <v>3.5527136788005009E-15</v>
      </c>
      <c r="W269" s="2906">
        <f t="shared" si="275"/>
        <v>3.5527136788005009E-15</v>
      </c>
      <c r="X269" s="2906">
        <f t="shared" si="275"/>
        <v>1.0000000003174137E-5</v>
      </c>
      <c r="Y269" s="2906">
        <f t="shared" si="275"/>
        <v>9.9999999889632818E-6</v>
      </c>
      <c r="Z269" s="2906">
        <f t="shared" ref="Z269:AE269" si="276">ABS(Z268-Z267-Z266)</f>
        <v>0</v>
      </c>
      <c r="AA269" s="2906">
        <f t="shared" si="276"/>
        <v>0</v>
      </c>
      <c r="AB269" s="2906">
        <f t="shared" si="276"/>
        <v>0</v>
      </c>
      <c r="AC269" s="2906">
        <f t="shared" ca="1" si="276"/>
        <v>0</v>
      </c>
      <c r="AD269" s="2906">
        <f t="shared" ca="1" si="276"/>
        <v>0</v>
      </c>
      <c r="AE269" s="2906">
        <f t="shared" ca="1" si="276"/>
        <v>0</v>
      </c>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row>
    <row r="270" spans="1:94">
      <c r="AB270" s="557"/>
      <c r="AC270" s="557"/>
      <c r="AD270" s="557"/>
      <c r="AE270" s="557"/>
    </row>
    <row r="271" spans="1:94" s="699" customFormat="1" ht="12.75" customHeight="1">
      <c r="A271" s="664"/>
      <c r="B271" s="664"/>
      <c r="C271" s="774"/>
      <c r="D271" s="1092"/>
      <c r="E271" s="1093" t="s">
        <v>1942</v>
      </c>
      <c r="F271" s="1094"/>
      <c r="G271" s="896">
        <f>+InputY!$G$3</f>
        <v>1995</v>
      </c>
      <c r="H271" s="896">
        <f>+G271+1</f>
        <v>1996</v>
      </c>
      <c r="I271" s="896">
        <f t="shared" ref="I271:O271" si="277">+H271+1</f>
        <v>1997</v>
      </c>
      <c r="J271" s="896">
        <f t="shared" si="277"/>
        <v>1998</v>
      </c>
      <c r="K271" s="896">
        <f t="shared" si="277"/>
        <v>1999</v>
      </c>
      <c r="L271" s="896">
        <f t="shared" si="277"/>
        <v>2000</v>
      </c>
      <c r="M271" s="896">
        <f t="shared" si="277"/>
        <v>2001</v>
      </c>
      <c r="N271" s="896">
        <f t="shared" si="277"/>
        <v>2002</v>
      </c>
      <c r="O271" s="896">
        <f t="shared" si="277"/>
        <v>2003</v>
      </c>
      <c r="P271" s="896">
        <f t="shared" ref="P271:U271" si="278">+O271+1</f>
        <v>2004</v>
      </c>
      <c r="Q271" s="896">
        <f t="shared" si="278"/>
        <v>2005</v>
      </c>
      <c r="R271" s="896">
        <f t="shared" si="278"/>
        <v>2006</v>
      </c>
      <c r="S271" s="896">
        <f>+R271+1</f>
        <v>2007</v>
      </c>
      <c r="T271" s="896">
        <f t="shared" si="278"/>
        <v>2008</v>
      </c>
      <c r="U271" s="896">
        <f t="shared" si="278"/>
        <v>2009</v>
      </c>
      <c r="V271" s="896">
        <f t="shared" ref="V271:AE271" si="279">+U271+1</f>
        <v>2010</v>
      </c>
      <c r="W271" s="896">
        <f t="shared" si="279"/>
        <v>2011</v>
      </c>
      <c r="X271" s="896">
        <f t="shared" si="279"/>
        <v>2012</v>
      </c>
      <c r="Y271" s="896">
        <f t="shared" si="279"/>
        <v>2013</v>
      </c>
      <c r="Z271" s="896">
        <f t="shared" si="279"/>
        <v>2014</v>
      </c>
      <c r="AA271" s="896">
        <f t="shared" si="279"/>
        <v>2015</v>
      </c>
      <c r="AB271" s="896">
        <f t="shared" si="279"/>
        <v>2016</v>
      </c>
      <c r="AC271" s="896">
        <f t="shared" si="279"/>
        <v>2017</v>
      </c>
      <c r="AD271" s="896">
        <f t="shared" si="279"/>
        <v>2018</v>
      </c>
      <c r="AE271" s="896">
        <f t="shared" si="279"/>
        <v>2019</v>
      </c>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row>
    <row r="272" spans="1:94" s="699" customFormat="1" ht="12.75" customHeight="1">
      <c r="A272" s="664"/>
      <c r="B272" s="664"/>
      <c r="C272" s="794" t="s">
        <v>1767</v>
      </c>
      <c r="D272" s="689"/>
      <c r="E272" s="738" t="s">
        <v>1941</v>
      </c>
      <c r="F272" s="733"/>
      <c r="G272" s="1095"/>
      <c r="H272" s="1095">
        <f t="shared" ref="H272:AE272" si="280">+(H266/G266-1)*100</f>
        <v>25.757561336591593</v>
      </c>
      <c r="I272" s="1095">
        <f t="shared" si="280"/>
        <v>19.649109529102905</v>
      </c>
      <c r="J272" s="1095">
        <f t="shared" si="280"/>
        <v>14.237922830410831</v>
      </c>
      <c r="K272" s="1095">
        <f t="shared" si="280"/>
        <v>-2.695822440754414</v>
      </c>
      <c r="L272" s="1095">
        <f t="shared" si="280"/>
        <v>1.318000173561451</v>
      </c>
      <c r="M272" s="1095">
        <f t="shared" si="280"/>
        <v>6.5909794568971281</v>
      </c>
      <c r="N272" s="1095">
        <f t="shared" si="280"/>
        <v>5.8734030143895666</v>
      </c>
      <c r="O272" s="1095">
        <f t="shared" si="280"/>
        <v>9.4258266642777357</v>
      </c>
      <c r="P272" s="1095">
        <f t="shared" si="280"/>
        <v>11.206768633555386</v>
      </c>
      <c r="Q272" s="1095">
        <f t="shared" si="280"/>
        <v>14.41829149150562</v>
      </c>
      <c r="R272" s="1095">
        <f t="shared" si="280"/>
        <v>17.771293073057493</v>
      </c>
      <c r="S272" s="1095">
        <f t="shared" si="280"/>
        <v>20.744442724552158</v>
      </c>
      <c r="T272" s="1095">
        <f t="shared" si="280"/>
        <v>12.72175581621504</v>
      </c>
      <c r="U272" s="1095">
        <f t="shared" si="280"/>
        <v>-19.537894826334245</v>
      </c>
      <c r="V272" s="1095">
        <f t="shared" si="280"/>
        <v>-2.1843195428213558</v>
      </c>
      <c r="W272" s="1095">
        <f t="shared" si="280"/>
        <v>10.012530449559076</v>
      </c>
      <c r="X272" s="1095">
        <f t="shared" si="280"/>
        <v>4.2704849740585749</v>
      </c>
      <c r="Y272" s="1095">
        <f t="shared" si="280"/>
        <v>5.5104559324383295</v>
      </c>
      <c r="Z272" s="1095">
        <f t="shared" si="280"/>
        <v>4.6295440100475593</v>
      </c>
      <c r="AA272" s="1095">
        <f t="shared" si="280"/>
        <v>4.116805069074414</v>
      </c>
      <c r="AB272" s="1095">
        <f t="shared" si="280"/>
        <v>4.2623717921339788</v>
      </c>
      <c r="AC272" s="1095">
        <f t="shared" si="280"/>
        <v>7.1479123346200435</v>
      </c>
      <c r="AD272" s="1095">
        <f t="shared" ca="1" si="280"/>
        <v>6.6875490689158434</v>
      </c>
      <c r="AE272" s="1095">
        <f t="shared" ca="1" si="280"/>
        <v>5.7077585915184859</v>
      </c>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row>
    <row r="273" spans="1:94" s="699" customFormat="1" ht="12.75" customHeight="1">
      <c r="A273" s="664"/>
      <c r="B273" s="664"/>
      <c r="C273" s="796" t="s">
        <v>1767</v>
      </c>
      <c r="D273" s="691"/>
      <c r="E273" s="797" t="s">
        <v>1449</v>
      </c>
      <c r="F273" s="736" t="s">
        <v>1536</v>
      </c>
      <c r="G273" s="1096"/>
      <c r="H273" s="1096">
        <f t="shared" ref="H273:Q273" si="281">+(H267/G267-1)*100</f>
        <v>-74.693700531280498</v>
      </c>
      <c r="I273" s="1096">
        <f t="shared" si="281"/>
        <v>453.68466152527844</v>
      </c>
      <c r="J273" s="1096">
        <f t="shared" si="281"/>
        <v>-77.234388299930359</v>
      </c>
      <c r="K273" s="1096">
        <f t="shared" si="281"/>
        <v>-231.13528212100613</v>
      </c>
      <c r="L273" s="1096">
        <f t="shared" si="281"/>
        <v>-36.521513737687918</v>
      </c>
      <c r="M273" s="1096">
        <f t="shared" si="281"/>
        <v>333.38097182523489</v>
      </c>
      <c r="N273" s="1096">
        <f t="shared" si="281"/>
        <v>-95.647053281198467</v>
      </c>
      <c r="O273" s="1096">
        <f t="shared" si="281"/>
        <v>-572.1861471861472</v>
      </c>
      <c r="P273" s="1096">
        <f t="shared" si="281"/>
        <v>-190.32775613110243</v>
      </c>
      <c r="Q273" s="1096">
        <f t="shared" si="281"/>
        <v>-456.40700329865524</v>
      </c>
      <c r="R273" s="1096">
        <f t="shared" ref="R273:AE274" si="282">+(R267/Q267-1)*100</f>
        <v>36.935782429161335</v>
      </c>
      <c r="S273" s="1096">
        <f t="shared" si="282"/>
        <v>433.47197670791297</v>
      </c>
      <c r="T273" s="1096">
        <f t="shared" si="282"/>
        <v>-41.063075003898319</v>
      </c>
      <c r="U273" s="1096">
        <f t="shared" si="282"/>
        <v>-344.46373648179377</v>
      </c>
      <c r="V273" s="1096">
        <f t="shared" si="282"/>
        <v>-121.5541440911274</v>
      </c>
      <c r="W273" s="1096">
        <f t="shared" si="282"/>
        <v>217.18186097599252</v>
      </c>
      <c r="X273" s="1096">
        <f t="shared" si="282"/>
        <v>-33.430295834570103</v>
      </c>
      <c r="Y273" s="1096">
        <f t="shared" si="282"/>
        <v>-48.151065663921997</v>
      </c>
      <c r="Z273" s="1096">
        <f t="shared" si="282"/>
        <v>-84.772824996416801</v>
      </c>
      <c r="AA273" s="1096">
        <f t="shared" si="282"/>
        <v>612.48117469879526</v>
      </c>
      <c r="AB273" s="1096">
        <f t="shared" si="282"/>
        <v>-270.68195629772504</v>
      </c>
      <c r="AC273" s="1096">
        <f t="shared" ca="1" si="282"/>
        <v>0</v>
      </c>
      <c r="AD273" s="1096">
        <f t="shared" ca="1" si="282"/>
        <v>0</v>
      </c>
      <c r="AE273" s="1096">
        <f t="shared" ca="1" si="282"/>
        <v>0</v>
      </c>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row>
    <row r="274" spans="1:94" s="699" customFormat="1" ht="12.75" customHeight="1">
      <c r="A274" s="664"/>
      <c r="B274" s="664"/>
      <c r="C274" s="774" t="s">
        <v>1769</v>
      </c>
      <c r="D274" s="717"/>
      <c r="E274" s="722" t="s">
        <v>1941</v>
      </c>
      <c r="F274" s="723"/>
      <c r="G274" s="721"/>
      <c r="H274" s="721">
        <f t="shared" ref="H274:Q274" si="283">+(H268/G268-1)*100</f>
        <v>23.600563930563446</v>
      </c>
      <c r="I274" s="721">
        <f t="shared" si="283"/>
        <v>21.557455874720844</v>
      </c>
      <c r="J274" s="721">
        <f t="shared" si="283"/>
        <v>12.406097474985799</v>
      </c>
      <c r="K274" s="721">
        <f t="shared" si="283"/>
        <v>-3.622518053652235</v>
      </c>
      <c r="L274" s="721">
        <f t="shared" si="283"/>
        <v>1.5269021010281714</v>
      </c>
      <c r="M274" s="721">
        <f t="shared" si="283"/>
        <v>5.4632951806762087</v>
      </c>
      <c r="N274" s="721">
        <f t="shared" si="283"/>
        <v>7.312980495289656</v>
      </c>
      <c r="O274" s="721">
        <f t="shared" si="283"/>
        <v>9.7603485838779758</v>
      </c>
      <c r="P274" s="721">
        <f t="shared" si="283"/>
        <v>10.708104122951291</v>
      </c>
      <c r="Q274" s="721">
        <f t="shared" si="283"/>
        <v>15.368810050222459</v>
      </c>
      <c r="R274" s="721">
        <f t="shared" si="282"/>
        <v>17.890817282993488</v>
      </c>
      <c r="S274" s="721">
        <f t="shared" si="282"/>
        <v>23.734396762707235</v>
      </c>
      <c r="T274" s="721">
        <f t="shared" si="282"/>
        <v>11.041848034530432</v>
      </c>
      <c r="U274" s="721">
        <f t="shared" si="282"/>
        <v>-24.924334609203104</v>
      </c>
      <c r="V274" s="721">
        <f t="shared" si="282"/>
        <v>4.2592625724923616</v>
      </c>
      <c r="W274" s="721">
        <f t="shared" si="282"/>
        <v>12.324458996276167</v>
      </c>
      <c r="X274" s="721">
        <f t="shared" si="282"/>
        <v>3.0824700417610096</v>
      </c>
      <c r="Y274" s="721">
        <f t="shared" si="282"/>
        <v>4.4183557853486821</v>
      </c>
      <c r="Z274" s="721">
        <f t="shared" si="282"/>
        <v>3.7261604059972475</v>
      </c>
      <c r="AA274" s="721">
        <f t="shared" si="282"/>
        <v>5.0192746132510457</v>
      </c>
      <c r="AB274" s="721">
        <f t="shared" si="282"/>
        <v>1.4953159194917909</v>
      </c>
      <c r="AC274" s="721">
        <f t="shared" ca="1" si="282"/>
        <v>7.2688868785014238</v>
      </c>
      <c r="AD274" s="721">
        <f t="shared" ca="1" si="282"/>
        <v>6.7930625577799164</v>
      </c>
      <c r="AE274" s="721">
        <f t="shared" ca="1" si="282"/>
        <v>5.7920849909315786</v>
      </c>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row>
    <row r="275" spans="1:94">
      <c r="AB275" s="557"/>
      <c r="AC275" s="557"/>
      <c r="AD275" s="557"/>
      <c r="AE275" s="557"/>
    </row>
    <row r="276" spans="1:94">
      <c r="A276" s="1130"/>
      <c r="B276" s="1130"/>
      <c r="D276" s="1073"/>
      <c r="E276" s="901" t="s">
        <v>2037</v>
      </c>
      <c r="F276" s="1065"/>
      <c r="G276" s="778">
        <f>+InputY!$G$3</f>
        <v>1995</v>
      </c>
      <c r="H276" s="778">
        <f>+G276+1</f>
        <v>1996</v>
      </c>
      <c r="I276" s="778">
        <f t="shared" ref="I276:O276" si="284">+H276+1</f>
        <v>1997</v>
      </c>
      <c r="J276" s="778">
        <f t="shared" si="284"/>
        <v>1998</v>
      </c>
      <c r="K276" s="778">
        <f t="shared" si="284"/>
        <v>1999</v>
      </c>
      <c r="L276" s="778">
        <f t="shared" si="284"/>
        <v>2000</v>
      </c>
      <c r="M276" s="778">
        <f t="shared" si="284"/>
        <v>2001</v>
      </c>
      <c r="N276" s="778">
        <f t="shared" si="284"/>
        <v>2002</v>
      </c>
      <c r="O276" s="778">
        <f t="shared" si="284"/>
        <v>2003</v>
      </c>
      <c r="P276" s="778">
        <f t="shared" ref="P276:V276" si="285">+O276+1</f>
        <v>2004</v>
      </c>
      <c r="Q276" s="778">
        <f t="shared" si="285"/>
        <v>2005</v>
      </c>
      <c r="R276" s="778">
        <f t="shared" si="285"/>
        <v>2006</v>
      </c>
      <c r="S276" s="778">
        <f>+R276+1</f>
        <v>2007</v>
      </c>
      <c r="T276" s="778">
        <f t="shared" si="285"/>
        <v>2008</v>
      </c>
      <c r="U276" s="778">
        <f t="shared" si="285"/>
        <v>2009</v>
      </c>
      <c r="V276" s="778">
        <f t="shared" si="285"/>
        <v>2010</v>
      </c>
      <c r="W276" s="778">
        <f t="shared" ref="W276:AE276" si="286">+V276+1</f>
        <v>2011</v>
      </c>
      <c r="X276" s="778">
        <f t="shared" si="286"/>
        <v>2012</v>
      </c>
      <c r="Y276" s="778">
        <f t="shared" si="286"/>
        <v>2013</v>
      </c>
      <c r="Z276" s="778">
        <f t="shared" si="286"/>
        <v>2014</v>
      </c>
      <c r="AA276" s="778">
        <f t="shared" si="286"/>
        <v>2015</v>
      </c>
      <c r="AB276" s="778">
        <f t="shared" si="286"/>
        <v>2016</v>
      </c>
      <c r="AC276" s="778">
        <f t="shared" si="286"/>
        <v>2017</v>
      </c>
      <c r="AD276" s="778">
        <f t="shared" si="286"/>
        <v>2018</v>
      </c>
      <c r="AE276" s="778">
        <f t="shared" si="286"/>
        <v>2019</v>
      </c>
    </row>
    <row r="277" spans="1:94">
      <c r="A277" s="664">
        <f>+ROW(InputY!A88)</f>
        <v>88</v>
      </c>
      <c r="B277" s="665">
        <v>44</v>
      </c>
      <c r="C277" s="1079" t="s">
        <v>1767</v>
      </c>
      <c r="D277" s="1058"/>
      <c r="E277" s="1038" t="s">
        <v>1450</v>
      </c>
      <c r="F277" s="1058" t="s">
        <v>1539</v>
      </c>
      <c r="G277" s="1084">
        <f>+InputY!G88/1000</f>
        <v>0.71213000000000004</v>
      </c>
      <c r="H277" s="1084">
        <f>+InputY!H88/1000</f>
        <v>1.0703499999999999</v>
      </c>
      <c r="I277" s="1084">
        <f>+InputY!I88/1000</f>
        <v>1.35138</v>
      </c>
      <c r="J277" s="1084">
        <f>+InputY!J88/1000</f>
        <v>1.4457200000000001</v>
      </c>
      <c r="K277" s="1084">
        <f>+InputY!K88/1000</f>
        <v>1.43018</v>
      </c>
      <c r="L277" s="1084">
        <f>+InputY!L88/1000</f>
        <v>1.3992899999999999</v>
      </c>
      <c r="M277" s="1084">
        <f>+InputY!M88/1000</f>
        <v>1.5115499999999999</v>
      </c>
      <c r="N277" s="1084">
        <f>+InputY!N88/1000</f>
        <v>1.73414</v>
      </c>
      <c r="O277" s="1084">
        <f>+InputY!O88/1000</f>
        <v>1.8293299999999999</v>
      </c>
      <c r="P277" s="1084">
        <f>+InputY!P88/1000</f>
        <v>2.22885</v>
      </c>
      <c r="Q277" s="1084">
        <f>+InputY!Q88/1000</f>
        <v>2.44821</v>
      </c>
      <c r="R277" s="1084">
        <f>+InputY!R88/1000</f>
        <v>2.8837299999999999</v>
      </c>
      <c r="S277" s="1084">
        <f>+InputY!S88/1000</f>
        <v>3.0898499999999998</v>
      </c>
      <c r="T277" s="1084">
        <f>+InputY!T88/1000</f>
        <v>3.4463900000000001</v>
      </c>
      <c r="U277" s="1084">
        <f>+InputY!U88/1000</f>
        <v>2.9340100000000002</v>
      </c>
      <c r="V277" s="1084">
        <f>+InputY!V88/1000</f>
        <v>3.4228700000000001</v>
      </c>
      <c r="W277" s="1084">
        <f>+InputY!W88/1000</f>
        <v>4.0331000000000001</v>
      </c>
      <c r="X277" s="1084">
        <f>+InputY!X88/1000</f>
        <v>4.79291</v>
      </c>
      <c r="Y277" s="1084">
        <f>+InputY!Y88/1000</f>
        <v>5.3902099999999997</v>
      </c>
      <c r="Z277" s="1084">
        <f>+InputY!Z88/1000</f>
        <v>5.9084300000000001</v>
      </c>
      <c r="AA277" s="3160">
        <f>+InputY!AA88/1000</f>
        <v>6.0737700000000006</v>
      </c>
      <c r="AB277" s="3160">
        <f>+InputY!AB88/1000</f>
        <v>6.8672200000000005</v>
      </c>
      <c r="AC277" s="3160">
        <f>+InputY!AC88/1000</f>
        <v>8.28017</v>
      </c>
      <c r="AD277" s="1416">
        <f t="shared" ref="AD277:AE279" ca="1" si="287">+AC277*(1+AD283/100)</f>
        <v>9.0388405762499993</v>
      </c>
      <c r="AE277" s="1416">
        <f t="shared" ca="1" si="287"/>
        <v>9.6439457586270549</v>
      </c>
    </row>
    <row r="278" spans="1:94">
      <c r="A278" s="664">
        <f>+ROW(InputY!A87)</f>
        <v>87</v>
      </c>
      <c r="B278" s="1130">
        <v>43</v>
      </c>
      <c r="C278" s="1081" t="s">
        <v>1767</v>
      </c>
      <c r="D278" s="1077"/>
      <c r="E278" s="1078" t="s">
        <v>1451</v>
      </c>
      <c r="F278" s="1077" t="s">
        <v>1522</v>
      </c>
      <c r="G278" s="1085">
        <f>+InputY!G87/1000</f>
        <v>2.17198</v>
      </c>
      <c r="H278" s="1085">
        <f>+InputY!H87/1000</f>
        <v>3.0038</v>
      </c>
      <c r="I278" s="1085">
        <f>+InputY!I87/1000</f>
        <v>3.9206799999999999</v>
      </c>
      <c r="J278" s="1085">
        <f>+InputY!J87/1000</f>
        <v>3.6490900000000002</v>
      </c>
      <c r="K278" s="1085">
        <f>+InputY!K87/1000</f>
        <v>2.6903600000000001</v>
      </c>
      <c r="L278" s="1085">
        <f>+InputY!L87/1000</f>
        <v>3.7535700000000003</v>
      </c>
      <c r="M278" s="1085">
        <f>+InputY!M87/1000</f>
        <v>4.7400900000000004</v>
      </c>
      <c r="N278" s="1085">
        <f>+InputY!N87/1000</f>
        <v>5.4628900000000007</v>
      </c>
      <c r="O278" s="1085">
        <f>+InputY!O87/1000</f>
        <v>5.86646</v>
      </c>
      <c r="P278" s="1085">
        <f>+InputY!P87/1000</f>
        <v>6.4061000000000003</v>
      </c>
      <c r="Q278" s="1085">
        <f>+InputY!Q87/1000</f>
        <v>8.8599300000000003</v>
      </c>
      <c r="R278" s="1085">
        <f>+InputY!R87/1000</f>
        <v>10.509169999999999</v>
      </c>
      <c r="S278" s="1085">
        <f>+InputY!S87/1000</f>
        <v>11.53453</v>
      </c>
      <c r="T278" s="1085">
        <f>+InputY!T87/1000</f>
        <v>15.235940000000001</v>
      </c>
      <c r="U278" s="1085">
        <f>+InputY!U87/1000</f>
        <v>11.055719999999999</v>
      </c>
      <c r="V278" s="1085">
        <f>+InputY!V87/1000</f>
        <v>14.891</v>
      </c>
      <c r="W278" s="1085">
        <f>+InputY!W87/1000</f>
        <v>19.421950000000002</v>
      </c>
      <c r="X278" s="1085">
        <f>+InputY!X87/1000</f>
        <v>22.427160000000001</v>
      </c>
      <c r="Y278" s="1085">
        <f>+InputY!Y87/1000</f>
        <v>23.99766</v>
      </c>
      <c r="Z278" s="1085">
        <f>+InputY!Z87/1000</f>
        <v>23.749599999999997</v>
      </c>
      <c r="AA278" s="3161">
        <f>+InputY!AA87/1000</f>
        <v>22.30939</v>
      </c>
      <c r="AB278" s="3161">
        <f>+InputY!AB87/1000</f>
        <v>21.92191</v>
      </c>
      <c r="AC278" s="3161">
        <f>+InputY!AC87/1000</f>
        <v>25.75292</v>
      </c>
      <c r="AD278" s="1342">
        <f t="shared" ca="1" si="287"/>
        <v>27.715189492319997</v>
      </c>
      <c r="AE278" s="1342">
        <f t="shared" ca="1" si="287"/>
        <v>29.51335098658172</v>
      </c>
    </row>
    <row r="279" spans="1:94">
      <c r="A279" s="664">
        <f>+ROW(InputY!A89)</f>
        <v>89</v>
      </c>
      <c r="B279" s="664"/>
      <c r="C279" s="694" t="s">
        <v>1769</v>
      </c>
      <c r="D279" s="1055"/>
      <c r="E279" s="1056" t="s">
        <v>1358</v>
      </c>
      <c r="F279" s="1055" t="s">
        <v>1885</v>
      </c>
      <c r="G279" s="1057">
        <f>+InputY!G89/1000</f>
        <v>2.8841000000000001</v>
      </c>
      <c r="H279" s="1057">
        <f>+InputY!H89/1000</f>
        <v>4.07416</v>
      </c>
      <c r="I279" s="1057">
        <f>+InputY!I89/1000</f>
        <v>5.2720500000000001</v>
      </c>
      <c r="J279" s="1057">
        <f>+InputY!J89/1000</f>
        <v>5.0948100000000007</v>
      </c>
      <c r="K279" s="1057">
        <f>+InputY!K89/1000</f>
        <v>4.1205400000000001</v>
      </c>
      <c r="L279" s="1057">
        <f>+InputY!L89/1000</f>
        <v>5.1528499999999999</v>
      </c>
      <c r="M279" s="1057">
        <f>+InputY!M89/1000</f>
        <v>6.2516400000000001</v>
      </c>
      <c r="N279" s="1057">
        <f>+InputY!N89/1000</f>
        <v>7.1970299999999998</v>
      </c>
      <c r="O279" s="1057">
        <f>+InputY!O89/1000</f>
        <v>7.6957899999999997</v>
      </c>
      <c r="P279" s="1057">
        <f>+InputY!P89/1000</f>
        <v>8.6349599999999995</v>
      </c>
      <c r="Q279" s="1057">
        <f>+InputY!Q89/1000</f>
        <v>11.30814</v>
      </c>
      <c r="R279" s="1057">
        <f>+InputY!R89/1000</f>
        <v>13.392899999999999</v>
      </c>
      <c r="S279" s="1057">
        <f>+InputY!S89/1000</f>
        <v>14.62439</v>
      </c>
      <c r="T279" s="1057">
        <f>+InputY!T89/1000</f>
        <v>18.68233</v>
      </c>
      <c r="U279" s="1057">
        <f>+InputY!U89/1000</f>
        <v>13.98973</v>
      </c>
      <c r="V279" s="1057">
        <f>+InputY!V89/1000</f>
        <v>18.313880000000001</v>
      </c>
      <c r="W279" s="1057">
        <f>+InputY!W89/1000</f>
        <v>23.45505</v>
      </c>
      <c r="X279" s="1057">
        <f>+InputY!X89/1000</f>
        <v>27.22007</v>
      </c>
      <c r="Y279" s="1057">
        <f>+InputY!Y89/1000</f>
        <v>29.387869999999999</v>
      </c>
      <c r="Z279" s="1057">
        <f>+InputY!Z89/1000</f>
        <v>29.65802</v>
      </c>
      <c r="AA279" s="1057">
        <f>+InputY!AA89/1000</f>
        <v>28.38316</v>
      </c>
      <c r="AB279" s="1057">
        <f>+InputY!AB89/1000</f>
        <v>28.78913</v>
      </c>
      <c r="AC279" s="1057">
        <f>+InputY!AC89/1000</f>
        <v>34.033089999999994</v>
      </c>
      <c r="AD279" s="872">
        <f t="shared" ca="1" si="287"/>
        <v>36.754030068569989</v>
      </c>
      <c r="AE279" s="872">
        <f t="shared" ca="1" si="287"/>
        <v>39.157296745208768</v>
      </c>
    </row>
    <row r="280" spans="1:94" s="699" customFormat="1" ht="12.75" customHeight="1">
      <c r="A280" s="664"/>
      <c r="B280" s="664"/>
      <c r="C280" s="774"/>
      <c r="D280" s="1973"/>
      <c r="E280" s="1973" t="s">
        <v>737</v>
      </c>
      <c r="F280" s="1973"/>
      <c r="G280" s="1002">
        <f t="shared" ref="G280:Y280" si="288">ABS(G279-G278-G277)</f>
        <v>9.9999999999544897E-6</v>
      </c>
      <c r="H280" s="1002">
        <f t="shared" si="288"/>
        <v>1.0000000000065512E-5</v>
      </c>
      <c r="I280" s="1002">
        <f t="shared" si="288"/>
        <v>9.9999999998434674E-6</v>
      </c>
      <c r="J280" s="1002">
        <f t="shared" si="288"/>
        <v>4.4408920985006262E-16</v>
      </c>
      <c r="K280" s="1002">
        <f t="shared" si="288"/>
        <v>0</v>
      </c>
      <c r="L280" s="1002">
        <f t="shared" si="288"/>
        <v>1.0000000000287557E-5</v>
      </c>
      <c r="M280" s="1002">
        <f t="shared" si="288"/>
        <v>2.2204460492503131E-16</v>
      </c>
      <c r="N280" s="1002">
        <f t="shared" si="288"/>
        <v>8.8817841970012523E-16</v>
      </c>
      <c r="O280" s="1002">
        <f t="shared" si="288"/>
        <v>2.2204460492503131E-16</v>
      </c>
      <c r="P280" s="1002">
        <f t="shared" si="288"/>
        <v>9.9999999991773336E-6</v>
      </c>
      <c r="Q280" s="1002">
        <f t="shared" si="288"/>
        <v>4.4408920985006262E-16</v>
      </c>
      <c r="R280" s="1002">
        <f t="shared" si="288"/>
        <v>0</v>
      </c>
      <c r="S280" s="1002">
        <f t="shared" si="288"/>
        <v>1.0000000000065512E-5</v>
      </c>
      <c r="T280" s="2906">
        <f t="shared" si="288"/>
        <v>8.8817841970012523E-16</v>
      </c>
      <c r="U280" s="2906">
        <f t="shared" si="288"/>
        <v>4.4408920985006262E-16</v>
      </c>
      <c r="V280" s="2906">
        <f t="shared" si="288"/>
        <v>1.000000000095369E-5</v>
      </c>
      <c r="W280" s="2906">
        <f t="shared" si="288"/>
        <v>2.6645352591003757E-15</v>
      </c>
      <c r="X280" s="2906">
        <f t="shared" si="288"/>
        <v>8.8817841970012523E-16</v>
      </c>
      <c r="Y280" s="2906">
        <f t="shared" si="288"/>
        <v>0</v>
      </c>
      <c r="Z280" s="2906">
        <f t="shared" ref="Z280:AE280" si="289">ABS(Z279-Z278-Z277)</f>
        <v>9.9999999969568876E-6</v>
      </c>
      <c r="AA280" s="2906">
        <f t="shared" si="289"/>
        <v>8.8817841970012523E-16</v>
      </c>
      <c r="AB280" s="2906">
        <f t="shared" si="289"/>
        <v>8.8817841970012523E-16</v>
      </c>
      <c r="AC280" s="2906">
        <f t="shared" si="289"/>
        <v>5.3290705182007514E-15</v>
      </c>
      <c r="AD280" s="2906">
        <f t="shared" ca="1" si="289"/>
        <v>7.1054273576010019E-15</v>
      </c>
      <c r="AE280" s="2906">
        <f t="shared" ca="1" si="289"/>
        <v>7.1054273576010019E-15</v>
      </c>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row>
    <row r="281" spans="1:94">
      <c r="AB281" s="557"/>
      <c r="AC281" s="557"/>
      <c r="AD281" s="557"/>
      <c r="AE281" s="557"/>
    </row>
    <row r="282" spans="1:94">
      <c r="A282" s="1130"/>
      <c r="B282" s="1130"/>
      <c r="D282" s="1116"/>
      <c r="E282" s="927" t="s">
        <v>2037</v>
      </c>
      <c r="F282" s="1108"/>
      <c r="G282" s="896">
        <f>+InputY!$G$3</f>
        <v>1995</v>
      </c>
      <c r="H282" s="896">
        <f>+G282+1</f>
        <v>1996</v>
      </c>
      <c r="I282" s="896">
        <f t="shared" ref="I282:O282" si="290">+H282+1</f>
        <v>1997</v>
      </c>
      <c r="J282" s="896">
        <f t="shared" si="290"/>
        <v>1998</v>
      </c>
      <c r="K282" s="896">
        <f t="shared" si="290"/>
        <v>1999</v>
      </c>
      <c r="L282" s="896">
        <f t="shared" si="290"/>
        <v>2000</v>
      </c>
      <c r="M282" s="896">
        <f t="shared" si="290"/>
        <v>2001</v>
      </c>
      <c r="N282" s="896">
        <f t="shared" si="290"/>
        <v>2002</v>
      </c>
      <c r="O282" s="896">
        <f t="shared" si="290"/>
        <v>2003</v>
      </c>
      <c r="P282" s="896">
        <f t="shared" ref="P282:V282" si="291">+O282+1</f>
        <v>2004</v>
      </c>
      <c r="Q282" s="896">
        <f t="shared" si="291"/>
        <v>2005</v>
      </c>
      <c r="R282" s="896">
        <f t="shared" si="291"/>
        <v>2006</v>
      </c>
      <c r="S282" s="896">
        <f>+R282+1</f>
        <v>2007</v>
      </c>
      <c r="T282" s="896">
        <f t="shared" si="291"/>
        <v>2008</v>
      </c>
      <c r="U282" s="896">
        <f t="shared" si="291"/>
        <v>2009</v>
      </c>
      <c r="V282" s="896">
        <f t="shared" si="291"/>
        <v>2010</v>
      </c>
      <c r="W282" s="896">
        <f t="shared" ref="W282:AE282" si="292">+V282+1</f>
        <v>2011</v>
      </c>
      <c r="X282" s="896">
        <f t="shared" si="292"/>
        <v>2012</v>
      </c>
      <c r="Y282" s="896">
        <f t="shared" si="292"/>
        <v>2013</v>
      </c>
      <c r="Z282" s="896">
        <f t="shared" si="292"/>
        <v>2014</v>
      </c>
      <c r="AA282" s="896">
        <f t="shared" si="292"/>
        <v>2015</v>
      </c>
      <c r="AB282" s="896">
        <f t="shared" si="292"/>
        <v>2016</v>
      </c>
      <c r="AC282" s="896">
        <f t="shared" si="292"/>
        <v>2017</v>
      </c>
      <c r="AD282" s="896">
        <f t="shared" si="292"/>
        <v>2018</v>
      </c>
      <c r="AE282" s="896">
        <f t="shared" si="292"/>
        <v>2019</v>
      </c>
    </row>
    <row r="283" spans="1:94" s="1295" customFormat="1">
      <c r="A283" s="1448"/>
      <c r="B283" s="1448"/>
      <c r="C283" s="1450" t="s">
        <v>1769</v>
      </c>
      <c r="D283" s="1297"/>
      <c r="E283" s="1297" t="s">
        <v>1450</v>
      </c>
      <c r="F283" s="1449" t="s">
        <v>1539</v>
      </c>
      <c r="G283" s="1451"/>
      <c r="H283" s="1451">
        <f>+(H277/G277-1)*100</f>
        <v>50.302613286899842</v>
      </c>
      <c r="I283" s="1451">
        <f t="shared" ref="I283:AC283" si="293">+(I277/H277-1)*100</f>
        <v>26.25589760358762</v>
      </c>
      <c r="J283" s="1451">
        <f t="shared" si="293"/>
        <v>6.9810120025455502</v>
      </c>
      <c r="K283" s="1451">
        <f t="shared" si="293"/>
        <v>-1.0748969371662587</v>
      </c>
      <c r="L283" s="1451">
        <f t="shared" si="293"/>
        <v>-2.1598679886447925</v>
      </c>
      <c r="M283" s="1451">
        <f t="shared" si="293"/>
        <v>8.0226400531698161</v>
      </c>
      <c r="N283" s="1451">
        <f t="shared" si="293"/>
        <v>14.72594356786081</v>
      </c>
      <c r="O283" s="1451">
        <f t="shared" si="293"/>
        <v>5.4891761910802916</v>
      </c>
      <c r="P283" s="1451">
        <f t="shared" si="293"/>
        <v>21.839689941125997</v>
      </c>
      <c r="Q283" s="1451">
        <f t="shared" si="293"/>
        <v>9.8418466922403969</v>
      </c>
      <c r="R283" s="1451">
        <f t="shared" si="293"/>
        <v>17.789323628283515</v>
      </c>
      <c r="S283" s="1451">
        <f t="shared" si="293"/>
        <v>7.1476871967902644</v>
      </c>
      <c r="T283" s="1451">
        <f t="shared" si="293"/>
        <v>11.539071475961627</v>
      </c>
      <c r="U283" s="1451">
        <f t="shared" si="293"/>
        <v>-14.867150844797017</v>
      </c>
      <c r="V283" s="1451">
        <f t="shared" si="293"/>
        <v>16.661838235043504</v>
      </c>
      <c r="W283" s="1451">
        <f t="shared" si="293"/>
        <v>17.828021514109516</v>
      </c>
      <c r="X283" s="1451">
        <f t="shared" si="293"/>
        <v>18.839354342813209</v>
      </c>
      <c r="Y283" s="1451">
        <f t="shared" si="293"/>
        <v>12.462157645355321</v>
      </c>
      <c r="Z283" s="1451">
        <f t="shared" si="293"/>
        <v>9.6140966678478268</v>
      </c>
      <c r="AA283" s="1451">
        <f t="shared" si="293"/>
        <v>2.7983745258892911</v>
      </c>
      <c r="AB283" s="1451">
        <f t="shared" si="293"/>
        <v>13.063550315537142</v>
      </c>
      <c r="AC283" s="1451">
        <f t="shared" si="293"/>
        <v>20.575283739271487</v>
      </c>
      <c r="AD283" s="1421">
        <f ca="1">OFFSET('VVP1'!$K$86,0,5*(COLUMN()-7))</f>
        <v>9.1624999999999837</v>
      </c>
      <c r="AE283" s="1421">
        <f ca="1">OFFSET('VVP1'!$K$86,0,5*(COLUMN()-7))</f>
        <v>6.6945000000000032</v>
      </c>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row>
    <row r="284" spans="1:94">
      <c r="A284" s="1130"/>
      <c r="B284" s="1130"/>
      <c r="C284" s="979" t="s">
        <v>1767</v>
      </c>
      <c r="D284" s="1121"/>
      <c r="E284" s="1122" t="s">
        <v>1451</v>
      </c>
      <c r="F284" s="1121" t="s">
        <v>1522</v>
      </c>
      <c r="G284" s="1123"/>
      <c r="H284" s="1123">
        <f>+(H278/G278-1)*100</f>
        <v>38.297774380979568</v>
      </c>
      <c r="I284" s="1123">
        <f t="shared" ref="I284:S284" si="294">+(I278/H278-1)*100</f>
        <v>30.524002929622473</v>
      </c>
      <c r="J284" s="1123">
        <f t="shared" si="294"/>
        <v>-6.9271146841874298</v>
      </c>
      <c r="K284" s="1123">
        <f t="shared" si="294"/>
        <v>-26.273125628581372</v>
      </c>
      <c r="L284" s="1123">
        <f t="shared" si="294"/>
        <v>39.51924649489289</v>
      </c>
      <c r="M284" s="1123">
        <f t="shared" si="294"/>
        <v>26.282179365244286</v>
      </c>
      <c r="N284" s="1123">
        <f t="shared" si="294"/>
        <v>15.248655616243578</v>
      </c>
      <c r="O284" s="1123">
        <f t="shared" si="294"/>
        <v>7.3874817175524132</v>
      </c>
      <c r="P284" s="1123">
        <f t="shared" si="294"/>
        <v>9.1987331371900627</v>
      </c>
      <c r="Q284" s="1123">
        <f t="shared" si="294"/>
        <v>38.304584692714762</v>
      </c>
      <c r="R284" s="1123">
        <f t="shared" si="294"/>
        <v>18.614594020494501</v>
      </c>
      <c r="S284" s="1123">
        <f t="shared" si="294"/>
        <v>9.7568123838514431</v>
      </c>
      <c r="T284" s="1123">
        <f t="shared" ref="T284:AC284" si="295">+(T278/S278-1)*100</f>
        <v>32.089820738252882</v>
      </c>
      <c r="U284" s="1123">
        <f t="shared" si="295"/>
        <v>-27.436574310479045</v>
      </c>
      <c r="V284" s="1123">
        <f t="shared" si="295"/>
        <v>34.690458875586593</v>
      </c>
      <c r="W284" s="1123">
        <f t="shared" si="295"/>
        <v>30.427439392921919</v>
      </c>
      <c r="X284" s="1123">
        <f t="shared" si="295"/>
        <v>15.473266072665194</v>
      </c>
      <c r="Y284" s="1123">
        <f t="shared" si="295"/>
        <v>7.0026699769386802</v>
      </c>
      <c r="Z284" s="1123">
        <f t="shared" si="295"/>
        <v>-1.0336841175348055</v>
      </c>
      <c r="AA284" s="1123">
        <f t="shared" si="295"/>
        <v>-6.0641442382187378</v>
      </c>
      <c r="AB284" s="1123">
        <f t="shared" si="295"/>
        <v>-1.7368471302890875</v>
      </c>
      <c r="AC284" s="1123">
        <f t="shared" si="295"/>
        <v>17.475712654599885</v>
      </c>
      <c r="AD284" s="1424">
        <f ca="1">OFFSET('VVP1'!$K$87,0,5*(COLUMN()-7))</f>
        <v>7.619599999999993</v>
      </c>
      <c r="AE284" s="1424">
        <f ca="1">OFFSET('VVP1'!$K$87,0,5*(COLUMN()-7))</f>
        <v>6.4880000000000049</v>
      </c>
    </row>
    <row r="285" spans="1:94">
      <c r="A285" s="664"/>
      <c r="B285" s="664"/>
      <c r="C285" s="694" t="s">
        <v>1769</v>
      </c>
      <c r="D285" s="1097"/>
      <c r="E285" s="1098" t="s">
        <v>1452</v>
      </c>
      <c r="F285" s="1097" t="s">
        <v>1885</v>
      </c>
      <c r="G285" s="1099"/>
      <c r="H285" s="1099">
        <f>+(H279/G279-1)*100</f>
        <v>41.262785617697027</v>
      </c>
      <c r="I285" s="1099">
        <f t="shared" ref="I285:AC285" si="296">+(I279/H279-1)*100</f>
        <v>29.402134427710248</v>
      </c>
      <c r="J285" s="1099">
        <f t="shared" si="296"/>
        <v>-3.3618801035650181</v>
      </c>
      <c r="K285" s="1099">
        <f t="shared" si="296"/>
        <v>-19.122793587984642</v>
      </c>
      <c r="L285" s="1099">
        <f t="shared" si="296"/>
        <v>25.052784343799605</v>
      </c>
      <c r="M285" s="1099">
        <f t="shared" si="296"/>
        <v>21.323927535247478</v>
      </c>
      <c r="N285" s="1099">
        <f t="shared" si="296"/>
        <v>15.122271915849272</v>
      </c>
      <c r="O285" s="1099">
        <f t="shared" si="296"/>
        <v>6.9300808805854652</v>
      </c>
      <c r="P285" s="1099">
        <f t="shared" si="296"/>
        <v>12.203685391623221</v>
      </c>
      <c r="Q285" s="1099">
        <f t="shared" si="296"/>
        <v>30.957641957808725</v>
      </c>
      <c r="R285" s="1099">
        <f t="shared" si="296"/>
        <v>18.435923149165113</v>
      </c>
      <c r="S285" s="1099">
        <f t="shared" si="296"/>
        <v>9.1950959090264295</v>
      </c>
      <c r="T285" s="1099">
        <f t="shared" si="296"/>
        <v>27.74775563288452</v>
      </c>
      <c r="U285" s="1099">
        <f t="shared" si="296"/>
        <v>-25.117852002400131</v>
      </c>
      <c r="V285" s="1099">
        <f t="shared" si="296"/>
        <v>30.909460011022372</v>
      </c>
      <c r="W285" s="1099">
        <f t="shared" si="296"/>
        <v>28.072532964068774</v>
      </c>
      <c r="X285" s="1099">
        <f t="shared" si="296"/>
        <v>16.052065546651995</v>
      </c>
      <c r="Y285" s="1099">
        <f t="shared" si="296"/>
        <v>7.9639765805157747</v>
      </c>
      <c r="Z285" s="1099">
        <f t="shared" si="296"/>
        <v>0.91925682262783415</v>
      </c>
      <c r="AA285" s="1099">
        <f t="shared" si="296"/>
        <v>-4.2985337524217737</v>
      </c>
      <c r="AB285" s="1099">
        <f t="shared" si="296"/>
        <v>1.4303199502803787</v>
      </c>
      <c r="AC285" s="1099">
        <f t="shared" si="296"/>
        <v>18.215069368195547</v>
      </c>
      <c r="AD285" s="1426">
        <f ca="1">OFFSET('VVP1'!$K$88,0,5*(COLUMN()-7))</f>
        <v>7.9949839070445616</v>
      </c>
      <c r="AE285" s="1426">
        <f ca="1">OFFSET('VVP1'!$K$88,0,5*(COLUMN()-7))</f>
        <v>6.5387841065459584</v>
      </c>
    </row>
    <row r="286" spans="1:94">
      <c r="AB286" s="557"/>
      <c r="AC286" s="557"/>
      <c r="AD286" s="557"/>
      <c r="AE286" s="557"/>
    </row>
    <row r="287" spans="1:94">
      <c r="D287" s="1417"/>
      <c r="E287" s="1075" t="s">
        <v>456</v>
      </c>
      <c r="F287" s="1418"/>
      <c r="G287" s="698">
        <f>+InputY!$G$3</f>
        <v>1995</v>
      </c>
      <c r="H287" s="698">
        <f>+G287+1</f>
        <v>1996</v>
      </c>
      <c r="I287" s="698">
        <f t="shared" ref="I287:O287" si="297">+H287+1</f>
        <v>1997</v>
      </c>
      <c r="J287" s="698">
        <f t="shared" si="297"/>
        <v>1998</v>
      </c>
      <c r="K287" s="698">
        <f t="shared" si="297"/>
        <v>1999</v>
      </c>
      <c r="L287" s="698">
        <f t="shared" si="297"/>
        <v>2000</v>
      </c>
      <c r="M287" s="698">
        <f t="shared" si="297"/>
        <v>2001</v>
      </c>
      <c r="N287" s="698">
        <f t="shared" si="297"/>
        <v>2002</v>
      </c>
      <c r="O287" s="698">
        <f t="shared" si="297"/>
        <v>2003</v>
      </c>
      <c r="P287" s="698">
        <f t="shared" ref="P287:V287" si="298">+O287+1</f>
        <v>2004</v>
      </c>
      <c r="Q287" s="698">
        <f t="shared" si="298"/>
        <v>2005</v>
      </c>
      <c r="R287" s="698">
        <f t="shared" si="298"/>
        <v>2006</v>
      </c>
      <c r="S287" s="698">
        <f>+R287+1</f>
        <v>2007</v>
      </c>
      <c r="T287" s="698">
        <f t="shared" si="298"/>
        <v>2008</v>
      </c>
      <c r="U287" s="698">
        <f t="shared" si="298"/>
        <v>2009</v>
      </c>
      <c r="V287" s="698">
        <f t="shared" si="298"/>
        <v>2010</v>
      </c>
      <c r="W287" s="698">
        <f t="shared" ref="W287:AE287" si="299">+V287+1</f>
        <v>2011</v>
      </c>
      <c r="X287" s="698">
        <f t="shared" si="299"/>
        <v>2012</v>
      </c>
      <c r="Y287" s="698">
        <f t="shared" si="299"/>
        <v>2013</v>
      </c>
      <c r="Z287" s="698">
        <f t="shared" si="299"/>
        <v>2014</v>
      </c>
      <c r="AA287" s="698">
        <f t="shared" si="299"/>
        <v>2015</v>
      </c>
      <c r="AB287" s="698">
        <f t="shared" si="299"/>
        <v>2016</v>
      </c>
      <c r="AC287" s="698">
        <f t="shared" si="299"/>
        <v>2017</v>
      </c>
      <c r="AD287" s="698">
        <f t="shared" si="299"/>
        <v>2018</v>
      </c>
      <c r="AE287" s="698">
        <f t="shared" si="299"/>
        <v>2019</v>
      </c>
    </row>
    <row r="288" spans="1:94">
      <c r="A288" s="664">
        <f>+ROW(InputY!A259)</f>
        <v>259</v>
      </c>
      <c r="B288" s="665">
        <v>147</v>
      </c>
      <c r="C288" s="1079"/>
      <c r="D288" s="1058"/>
      <c r="E288" s="1038" t="s">
        <v>624</v>
      </c>
      <c r="F288" s="1058" t="s">
        <v>622</v>
      </c>
      <c r="G288" s="1084" t="e">
        <f>+InputY!G259/1000</f>
        <v>#VALUE!</v>
      </c>
      <c r="H288" s="1084" t="e">
        <f>+InputY!H259/1000</f>
        <v>#VALUE!</v>
      </c>
      <c r="I288" s="1084" t="e">
        <f>+InputY!I259/1000</f>
        <v>#VALUE!</v>
      </c>
      <c r="J288" s="1084" t="e">
        <f>+InputY!J259/1000</f>
        <v>#VALUE!</v>
      </c>
      <c r="K288" s="1084">
        <f>+InputY!K259/1000</f>
        <v>2.3549475673088223</v>
      </c>
      <c r="L288" s="1084">
        <f>+InputY!L259/1000</f>
        <v>3.0845246368679327</v>
      </c>
      <c r="M288" s="1084">
        <f>+InputY!M259/1000</f>
        <v>3.6374833151743515</v>
      </c>
      <c r="N288" s="1084">
        <f>+InputY!N259/1000</f>
        <v>3.8467760480538118</v>
      </c>
      <c r="O288" s="1084">
        <f>+InputY!O259/1000</f>
        <v>3.8693433082694626</v>
      </c>
      <c r="P288" s="1084">
        <f>+InputY!P259/1000</f>
        <v>5.029789426923946</v>
      </c>
      <c r="Q288" s="1084">
        <f>+InputY!Q259/1000</f>
        <v>6.2371992973034072</v>
      </c>
      <c r="R288" s="1084">
        <f>+InputY!R259/1000</f>
        <v>7.1744999999999992</v>
      </c>
      <c r="S288" s="1084">
        <f>+InputY!S259/1000</f>
        <v>8.1109000000000009</v>
      </c>
      <c r="T288" s="1084">
        <f>+InputY!T259/1000</f>
        <v>9.7027000000000001</v>
      </c>
      <c r="U288" s="1084">
        <f>+InputY!U259/1000</f>
        <v>7.5918999999999999</v>
      </c>
      <c r="V288" s="1084">
        <f>+InputY!V259/1000</f>
        <v>9.553700000000001</v>
      </c>
      <c r="W288" s="1084">
        <f>+InputY!W259/1000</f>
        <v>12.371499999999999</v>
      </c>
      <c r="X288" s="1084">
        <f>+InputY!X259/1000</f>
        <v>13.9255</v>
      </c>
      <c r="Y288" s="1084">
        <f>+InputY!Y259/1000</f>
        <v>13.612299999999999</v>
      </c>
      <c r="Z288" s="1084">
        <f>+InputY!Z259/1000</f>
        <v>13.358299999999998</v>
      </c>
      <c r="AA288" s="1084">
        <f>+InputY!AA259/1000</f>
        <v>14.048900000000001</v>
      </c>
      <c r="AB288" s="1084">
        <f>+InputY!AB259/1000</f>
        <v>13.721000000000002</v>
      </c>
      <c r="AC288" s="1084">
        <f>+InputY!AC259/1000</f>
        <v>15.371</v>
      </c>
      <c r="AD288" s="1416">
        <f t="shared" ref="AD288:AE290" ca="1" si="300">+AC288*(1+AD293/100)</f>
        <v>17.659465447348634</v>
      </c>
      <c r="AE288" s="1416">
        <f t="shared" ca="1" si="300"/>
        <v>18.927709970692618</v>
      </c>
    </row>
    <row r="289" spans="1:94">
      <c r="A289" s="664">
        <f>+ROW(InputY!A260)</f>
        <v>260</v>
      </c>
      <c r="B289" s="665">
        <v>149</v>
      </c>
      <c r="C289" s="1081" t="s">
        <v>1767</v>
      </c>
      <c r="D289" s="1077"/>
      <c r="E289" s="1039" t="s">
        <v>625</v>
      </c>
      <c r="F289" s="1077" t="s">
        <v>623</v>
      </c>
      <c r="G289" s="1085" t="e">
        <f>+InputY!G260/1000</f>
        <v>#VALUE!</v>
      </c>
      <c r="H289" s="1085" t="e">
        <f>+InputY!H260/1000</f>
        <v>#VALUE!</v>
      </c>
      <c r="I289" s="1085" t="e">
        <f>+InputY!I260/1000</f>
        <v>#VALUE!</v>
      </c>
      <c r="J289" s="1085" t="e">
        <f>+InputY!J260/1000</f>
        <v>#VALUE!</v>
      </c>
      <c r="K289" s="1085">
        <f>+InputY!K260/1000</f>
        <v>0.83656273642823209</v>
      </c>
      <c r="L289" s="1085">
        <f>+InputY!L260/1000</f>
        <v>1.0408745617298429</v>
      </c>
      <c r="M289" s="1085">
        <f>+InputY!M260/1000</f>
        <v>1.3228155239153734</v>
      </c>
      <c r="N289" s="1085">
        <f>+InputY!N260/1000</f>
        <v>1.7004605690360302</v>
      </c>
      <c r="O289" s="1085">
        <f>+InputY!O260/1000</f>
        <v>2.2887664661102876</v>
      </c>
      <c r="P289" s="1085">
        <f>+InputY!P260/1000</f>
        <v>2.4482435284401056</v>
      </c>
      <c r="Q289" s="1085">
        <f>+InputY!Q260/1000</f>
        <v>3.2526996335437048</v>
      </c>
      <c r="R289" s="1085">
        <f>+InputY!R260/1000</f>
        <v>4.0882000000000005</v>
      </c>
      <c r="S289" s="1085">
        <f>+InputY!S260/1000</f>
        <v>4.3986999999999998</v>
      </c>
      <c r="T289" s="1085">
        <f>+InputY!T260/1000</f>
        <v>6.3744000000000005</v>
      </c>
      <c r="U289" s="1085">
        <f>+InputY!U260/1000</f>
        <v>4.2051000000000016</v>
      </c>
      <c r="V289" s="1085">
        <f>+InputY!V260/1000</f>
        <v>6.0972999999999979</v>
      </c>
      <c r="W289" s="1085">
        <f>+InputY!W260/1000</f>
        <v>7.7796000000000012</v>
      </c>
      <c r="X289" s="1085">
        <f>+InputY!X260/1000</f>
        <v>9.1219000000000019</v>
      </c>
      <c r="Y289" s="1085">
        <f>+InputY!Y260/1000</f>
        <v>10.932100000000004</v>
      </c>
      <c r="Z289" s="1085">
        <f>+InputY!Z260/1000</f>
        <v>11.002800000000001</v>
      </c>
      <c r="AA289" s="1085">
        <f>+InputY!AA260/1000</f>
        <v>8.8555000000000046</v>
      </c>
      <c r="AB289" s="1085">
        <f>+InputY!AB260/1000</f>
        <v>8.8862000000000005</v>
      </c>
      <c r="AC289" s="1085">
        <f>+InputY!AC260/1000</f>
        <v>11.070200000000003</v>
      </c>
      <c r="AD289" s="1342">
        <f t="shared" ca="1" si="300"/>
        <v>12.398624000000005</v>
      </c>
      <c r="AE289" s="1342">
        <f t="shared" ca="1" si="300"/>
        <v>13.080548320000005</v>
      </c>
    </row>
    <row r="290" spans="1:94">
      <c r="A290" s="664"/>
      <c r="B290" s="664"/>
      <c r="C290" s="694" t="s">
        <v>1769</v>
      </c>
      <c r="D290" s="771"/>
      <c r="E290" s="770" t="s">
        <v>1451</v>
      </c>
      <c r="F290" s="771" t="s">
        <v>168</v>
      </c>
      <c r="G290" s="1419" t="e">
        <f>+G288+G289</f>
        <v>#VALUE!</v>
      </c>
      <c r="H290" s="1419" t="e">
        <f t="shared" ref="H290:X290" si="301">+H288+H289</f>
        <v>#VALUE!</v>
      </c>
      <c r="I290" s="1419" t="e">
        <f t="shared" si="301"/>
        <v>#VALUE!</v>
      </c>
      <c r="J290" s="1419" t="e">
        <f t="shared" si="301"/>
        <v>#VALUE!</v>
      </c>
      <c r="K290" s="1419">
        <f t="shared" si="301"/>
        <v>3.1915103037370542</v>
      </c>
      <c r="L290" s="1419">
        <f t="shared" si="301"/>
        <v>4.1253991985977754</v>
      </c>
      <c r="M290" s="1419">
        <f t="shared" si="301"/>
        <v>4.9602988390897247</v>
      </c>
      <c r="N290" s="1419">
        <f t="shared" si="301"/>
        <v>5.5472366170898422</v>
      </c>
      <c r="O290" s="1419">
        <f t="shared" si="301"/>
        <v>6.1581097743797502</v>
      </c>
      <c r="P290" s="1419">
        <f t="shared" si="301"/>
        <v>7.4780329553640517</v>
      </c>
      <c r="Q290" s="1419">
        <f t="shared" si="301"/>
        <v>9.4898989308471116</v>
      </c>
      <c r="R290" s="1419">
        <f t="shared" si="301"/>
        <v>11.262699999999999</v>
      </c>
      <c r="S290" s="1419">
        <f t="shared" si="301"/>
        <v>12.509600000000001</v>
      </c>
      <c r="T290" s="1419">
        <f t="shared" si="301"/>
        <v>16.077100000000002</v>
      </c>
      <c r="U290" s="1419">
        <f t="shared" si="301"/>
        <v>11.797000000000001</v>
      </c>
      <c r="V290" s="1419">
        <f t="shared" si="301"/>
        <v>15.651</v>
      </c>
      <c r="W290" s="1419">
        <f t="shared" si="301"/>
        <v>20.1511</v>
      </c>
      <c r="X290" s="1419">
        <f t="shared" si="301"/>
        <v>23.047400000000003</v>
      </c>
      <c r="Y290" s="1419">
        <f>+Y288+Y289</f>
        <v>24.544400000000003</v>
      </c>
      <c r="Z290" s="1419">
        <f>+Z288+Z289</f>
        <v>24.3611</v>
      </c>
      <c r="AA290" s="1419">
        <f>+AA288+AA289</f>
        <v>22.904400000000006</v>
      </c>
      <c r="AB290" s="1419">
        <f>+AB288+AB289</f>
        <v>22.607200000000002</v>
      </c>
      <c r="AC290" s="1419">
        <f>+AC288+AC289</f>
        <v>26.441200000000002</v>
      </c>
      <c r="AD290" s="872">
        <f t="shared" ca="1" si="300"/>
        <v>28.455913675200001</v>
      </c>
      <c r="AE290" s="872">
        <f t="shared" ca="1" si="300"/>
        <v>30.30213335444698</v>
      </c>
    </row>
    <row r="291" spans="1:94">
      <c r="AB291" s="557"/>
      <c r="AC291" s="557"/>
      <c r="AD291" s="557"/>
      <c r="AE291" s="557"/>
    </row>
    <row r="292" spans="1:94" s="699" customFormat="1" ht="12.75" customHeight="1">
      <c r="A292" s="664"/>
      <c r="B292" s="664"/>
      <c r="C292" s="774"/>
      <c r="D292" s="1092"/>
      <c r="E292" s="1093" t="s">
        <v>456</v>
      </c>
      <c r="F292" s="1094"/>
      <c r="G292" s="896">
        <f>+InputY!$G$3</f>
        <v>1995</v>
      </c>
      <c r="H292" s="896">
        <f>+G292+1</f>
        <v>1996</v>
      </c>
      <c r="I292" s="896">
        <f t="shared" ref="I292:O292" si="302">+H292+1</f>
        <v>1997</v>
      </c>
      <c r="J292" s="896">
        <f t="shared" si="302"/>
        <v>1998</v>
      </c>
      <c r="K292" s="896">
        <f t="shared" si="302"/>
        <v>1999</v>
      </c>
      <c r="L292" s="896">
        <f t="shared" si="302"/>
        <v>2000</v>
      </c>
      <c r="M292" s="896">
        <f t="shared" si="302"/>
        <v>2001</v>
      </c>
      <c r="N292" s="896">
        <f t="shared" si="302"/>
        <v>2002</v>
      </c>
      <c r="O292" s="896">
        <f t="shared" si="302"/>
        <v>2003</v>
      </c>
      <c r="P292" s="896">
        <f t="shared" ref="P292:V292" si="303">+O292+1</f>
        <v>2004</v>
      </c>
      <c r="Q292" s="896">
        <f t="shared" si="303"/>
        <v>2005</v>
      </c>
      <c r="R292" s="896">
        <f t="shared" si="303"/>
        <v>2006</v>
      </c>
      <c r="S292" s="896">
        <f>+R292+1</f>
        <v>2007</v>
      </c>
      <c r="T292" s="896">
        <f t="shared" si="303"/>
        <v>2008</v>
      </c>
      <c r="U292" s="896">
        <f t="shared" si="303"/>
        <v>2009</v>
      </c>
      <c r="V292" s="896">
        <f t="shared" si="303"/>
        <v>2010</v>
      </c>
      <c r="W292" s="896">
        <f t="shared" ref="W292:AE292" si="304">+V292+1</f>
        <v>2011</v>
      </c>
      <c r="X292" s="896">
        <f t="shared" si="304"/>
        <v>2012</v>
      </c>
      <c r="Y292" s="896">
        <f t="shared" si="304"/>
        <v>2013</v>
      </c>
      <c r="Z292" s="896">
        <f t="shared" si="304"/>
        <v>2014</v>
      </c>
      <c r="AA292" s="896">
        <f t="shared" si="304"/>
        <v>2015</v>
      </c>
      <c r="AB292" s="896">
        <f t="shared" si="304"/>
        <v>2016</v>
      </c>
      <c r="AC292" s="896">
        <f t="shared" si="304"/>
        <v>2017</v>
      </c>
      <c r="AD292" s="896">
        <f t="shared" si="304"/>
        <v>2018</v>
      </c>
      <c r="AE292" s="896">
        <f t="shared" si="304"/>
        <v>2019</v>
      </c>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row>
    <row r="293" spans="1:94" s="699" customFormat="1" ht="12.75" customHeight="1">
      <c r="A293" s="664"/>
      <c r="B293" s="664"/>
      <c r="C293" s="794"/>
      <c r="D293" s="689"/>
      <c r="E293" s="738" t="s">
        <v>624</v>
      </c>
      <c r="F293" s="733" t="s">
        <v>622</v>
      </c>
      <c r="G293" s="1095"/>
      <c r="H293" s="1095" t="e">
        <f t="shared" ref="H293:AC293" si="305">+(H288/G288-1)*100</f>
        <v>#VALUE!</v>
      </c>
      <c r="I293" s="1095" t="e">
        <f t="shared" si="305"/>
        <v>#VALUE!</v>
      </c>
      <c r="J293" s="1095" t="e">
        <f t="shared" si="305"/>
        <v>#VALUE!</v>
      </c>
      <c r="K293" s="1095" t="e">
        <f t="shared" si="305"/>
        <v>#VALUE!</v>
      </c>
      <c r="L293" s="1095">
        <f t="shared" si="305"/>
        <v>30.980607793015679</v>
      </c>
      <c r="M293" s="1095">
        <f t="shared" si="305"/>
        <v>17.926868590937907</v>
      </c>
      <c r="N293" s="1095">
        <f t="shared" si="305"/>
        <v>5.7537784986218865</v>
      </c>
      <c r="O293" s="1095">
        <f t="shared" si="305"/>
        <v>0.58665386114868934</v>
      </c>
      <c r="P293" s="1095">
        <f t="shared" si="305"/>
        <v>29.990776889050075</v>
      </c>
      <c r="Q293" s="1095">
        <f t="shared" si="305"/>
        <v>24.005177312519699</v>
      </c>
      <c r="R293" s="1095">
        <f t="shared" si="305"/>
        <v>15.027589435883915</v>
      </c>
      <c r="S293" s="1095">
        <f t="shared" si="305"/>
        <v>13.051780611889363</v>
      </c>
      <c r="T293" s="1095">
        <f t="shared" si="305"/>
        <v>19.625442306032603</v>
      </c>
      <c r="U293" s="1095">
        <f t="shared" si="305"/>
        <v>-21.754769291022093</v>
      </c>
      <c r="V293" s="1095">
        <f t="shared" si="305"/>
        <v>25.840698639339308</v>
      </c>
      <c r="W293" s="1095">
        <f t="shared" si="305"/>
        <v>29.494332038895909</v>
      </c>
      <c r="X293" s="1095">
        <f t="shared" si="305"/>
        <v>12.561128399951492</v>
      </c>
      <c r="Y293" s="1095">
        <f t="shared" si="305"/>
        <v>-2.2491113425011644</v>
      </c>
      <c r="Z293" s="1095">
        <f t="shared" si="305"/>
        <v>-1.865959463132616</v>
      </c>
      <c r="AA293" s="1095">
        <f t="shared" si="305"/>
        <v>5.1698195129620039</v>
      </c>
      <c r="AB293" s="1095">
        <f t="shared" si="305"/>
        <v>-2.3339905615386236</v>
      </c>
      <c r="AC293" s="1095">
        <f t="shared" si="305"/>
        <v>12.025362582902099</v>
      </c>
      <c r="AD293" s="1411">
        <f ca="1">OFFSET('VVP1'!$K$94,0,5*(COLUMN()-7))</f>
        <v>14.888201466063578</v>
      </c>
      <c r="AE293" s="1411">
        <f ca="1">OFFSET('VVP1'!$K$94,0,5*(COLUMN()-7))</f>
        <v>7.1816699498930658</v>
      </c>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row>
    <row r="294" spans="1:94" s="699" customFormat="1" ht="12.75" customHeight="1">
      <c r="A294" s="664"/>
      <c r="B294" s="664"/>
      <c r="C294" s="796"/>
      <c r="D294" s="691"/>
      <c r="E294" s="797" t="s">
        <v>625</v>
      </c>
      <c r="F294" s="736" t="s">
        <v>623</v>
      </c>
      <c r="G294" s="1096"/>
      <c r="H294" s="1096" t="e">
        <f t="shared" ref="H294:AC294" si="306">+(H289/G289-1)*100</f>
        <v>#VALUE!</v>
      </c>
      <c r="I294" s="1096" t="e">
        <f t="shared" si="306"/>
        <v>#VALUE!</v>
      </c>
      <c r="J294" s="1096" t="e">
        <f t="shared" si="306"/>
        <v>#VALUE!</v>
      </c>
      <c r="K294" s="1096" t="e">
        <f t="shared" si="306"/>
        <v>#VALUE!</v>
      </c>
      <c r="L294" s="1096">
        <f t="shared" si="306"/>
        <v>24.42277385841205</v>
      </c>
      <c r="M294" s="1096">
        <f t="shared" si="306"/>
        <v>27.086929833021301</v>
      </c>
      <c r="N294" s="1096">
        <f t="shared" si="306"/>
        <v>28.548579774969163</v>
      </c>
      <c r="O294" s="1096">
        <f t="shared" si="306"/>
        <v>34.596856156903463</v>
      </c>
      <c r="P294" s="1096">
        <f t="shared" si="306"/>
        <v>6.9678171491583507</v>
      </c>
      <c r="Q294" s="1096">
        <f t="shared" si="306"/>
        <v>32.858500216935418</v>
      </c>
      <c r="R294" s="1096">
        <f t="shared" si="306"/>
        <v>25.686367036173174</v>
      </c>
      <c r="S294" s="1096">
        <f t="shared" si="306"/>
        <v>7.5950295973778115</v>
      </c>
      <c r="T294" s="1096">
        <f t="shared" si="306"/>
        <v>44.915543228681209</v>
      </c>
      <c r="U294" s="1096">
        <f t="shared" si="306"/>
        <v>-34.031438253012027</v>
      </c>
      <c r="V294" s="1096">
        <f t="shared" si="306"/>
        <v>44.997740838505521</v>
      </c>
      <c r="W294" s="1096">
        <f t="shared" si="306"/>
        <v>27.590900890558178</v>
      </c>
      <c r="X294" s="1096">
        <f t="shared" si="306"/>
        <v>17.254100467890375</v>
      </c>
      <c r="Y294" s="1096">
        <f t="shared" si="306"/>
        <v>19.844549929291055</v>
      </c>
      <c r="Z294" s="1096">
        <f t="shared" si="306"/>
        <v>0.64671929455453192</v>
      </c>
      <c r="AA294" s="1096">
        <f t="shared" si="306"/>
        <v>-19.515941396735336</v>
      </c>
      <c r="AB294" s="1096">
        <f t="shared" si="306"/>
        <v>0.3466772062559631</v>
      </c>
      <c r="AC294" s="1096">
        <f t="shared" si="306"/>
        <v>24.577434673988918</v>
      </c>
      <c r="AD294" s="1412">
        <f ca="1">OFFSET('VVP1'!$K$95,0,5*(COLUMN()-7))</f>
        <v>12</v>
      </c>
      <c r="AE294" s="1412">
        <f ca="1">OFFSET('VVP1'!$K$95,0,5*(COLUMN()-7))</f>
        <v>5.5</v>
      </c>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row>
    <row r="295" spans="1:94" s="699" customFormat="1" ht="12.75" customHeight="1">
      <c r="A295" s="664"/>
      <c r="B295" s="664"/>
      <c r="C295" s="774"/>
      <c r="D295" s="717"/>
      <c r="E295" s="722" t="s">
        <v>1451</v>
      </c>
      <c r="F295" s="723" t="s">
        <v>168</v>
      </c>
      <c r="G295" s="721"/>
      <c r="H295" s="721" t="e">
        <f t="shared" ref="H295:AC295" si="307">+(H290/G290-1)*100</f>
        <v>#VALUE!</v>
      </c>
      <c r="I295" s="721" t="e">
        <f t="shared" si="307"/>
        <v>#VALUE!</v>
      </c>
      <c r="J295" s="721" t="e">
        <f t="shared" si="307"/>
        <v>#VALUE!</v>
      </c>
      <c r="K295" s="721" t="e">
        <f t="shared" si="307"/>
        <v>#VALUE!</v>
      </c>
      <c r="L295" s="721">
        <f t="shared" si="307"/>
        <v>29.261660028707936</v>
      </c>
      <c r="M295" s="721">
        <f t="shared" si="307"/>
        <v>20.238032740582579</v>
      </c>
      <c r="N295" s="721">
        <f t="shared" si="307"/>
        <v>11.832710024943328</v>
      </c>
      <c r="O295" s="721">
        <f t="shared" si="307"/>
        <v>11.01220660766371</v>
      </c>
      <c r="P295" s="721">
        <f t="shared" si="307"/>
        <v>21.43390146235653</v>
      </c>
      <c r="Q295" s="721">
        <f t="shared" si="307"/>
        <v>26.903678915187612</v>
      </c>
      <c r="R295" s="721">
        <f t="shared" si="307"/>
        <v>18.68092676298545</v>
      </c>
      <c r="S295" s="721">
        <f t="shared" si="307"/>
        <v>11.071057561685937</v>
      </c>
      <c r="T295" s="721">
        <f t="shared" si="307"/>
        <v>28.518098100658705</v>
      </c>
      <c r="U295" s="721">
        <f t="shared" si="307"/>
        <v>-26.622338605843098</v>
      </c>
      <c r="V295" s="721">
        <f t="shared" si="307"/>
        <v>32.669322709163339</v>
      </c>
      <c r="W295" s="721">
        <f t="shared" si="307"/>
        <v>28.752795348540026</v>
      </c>
      <c r="X295" s="721">
        <f t="shared" si="307"/>
        <v>14.372912644967295</v>
      </c>
      <c r="Y295" s="721">
        <f t="shared" si="307"/>
        <v>6.4953096661662491</v>
      </c>
      <c r="Z295" s="721">
        <f t="shared" si="307"/>
        <v>-0.74680986294226592</v>
      </c>
      <c r="AA295" s="721">
        <f t="shared" si="307"/>
        <v>-5.9796150420136751</v>
      </c>
      <c r="AB295" s="721">
        <f t="shared" si="307"/>
        <v>-1.2975672796493365</v>
      </c>
      <c r="AC295" s="721">
        <f t="shared" si="307"/>
        <v>16.959198839307831</v>
      </c>
      <c r="AD295" s="1413">
        <f ca="1">OFFSET('VVP1'!$K$96,0,5*(COLUMN()-7))</f>
        <v>7.619599999999993</v>
      </c>
      <c r="AE295" s="1413">
        <f ca="1">OFFSET('VVP1'!$K$96,0,5*(COLUMN()-7))</f>
        <v>6.4880000000000049</v>
      </c>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row>
    <row r="296" spans="1:94">
      <c r="AB296" s="557"/>
      <c r="AC296" s="557"/>
      <c r="AD296" s="557"/>
      <c r="AE296" s="557"/>
    </row>
    <row r="297" spans="1:94">
      <c r="A297" s="1130"/>
      <c r="B297" s="1130"/>
      <c r="D297" s="1074"/>
      <c r="E297" s="1075" t="s">
        <v>1359</v>
      </c>
      <c r="F297" s="1076"/>
      <c r="G297" s="698">
        <f>+InputY!$G$3</f>
        <v>1995</v>
      </c>
      <c r="H297" s="698">
        <f>+G297+1</f>
        <v>1996</v>
      </c>
      <c r="I297" s="698">
        <f t="shared" ref="I297:O297" si="308">+H297+1</f>
        <v>1997</v>
      </c>
      <c r="J297" s="698">
        <f t="shared" si="308"/>
        <v>1998</v>
      </c>
      <c r="K297" s="698">
        <f t="shared" si="308"/>
        <v>1999</v>
      </c>
      <c r="L297" s="698">
        <f t="shared" si="308"/>
        <v>2000</v>
      </c>
      <c r="M297" s="698">
        <f t="shared" si="308"/>
        <v>2001</v>
      </c>
      <c r="N297" s="698">
        <f t="shared" si="308"/>
        <v>2002</v>
      </c>
      <c r="O297" s="698">
        <f t="shared" si="308"/>
        <v>2003</v>
      </c>
      <c r="P297" s="698">
        <f t="shared" ref="P297:U297" si="309">+O297+1</f>
        <v>2004</v>
      </c>
      <c r="Q297" s="698">
        <f t="shared" si="309"/>
        <v>2005</v>
      </c>
      <c r="R297" s="698">
        <f t="shared" si="309"/>
        <v>2006</v>
      </c>
      <c r="S297" s="698">
        <f>+R297+1</f>
        <v>2007</v>
      </c>
      <c r="T297" s="698">
        <f t="shared" si="309"/>
        <v>2008</v>
      </c>
      <c r="U297" s="698">
        <f t="shared" si="309"/>
        <v>2009</v>
      </c>
      <c r="V297" s="698">
        <f t="shared" ref="V297:AE297" si="310">+U297+1</f>
        <v>2010</v>
      </c>
      <c r="W297" s="698">
        <f t="shared" si="310"/>
        <v>2011</v>
      </c>
      <c r="X297" s="698">
        <f t="shared" si="310"/>
        <v>2012</v>
      </c>
      <c r="Y297" s="698">
        <f t="shared" si="310"/>
        <v>2013</v>
      </c>
      <c r="Z297" s="698">
        <f t="shared" si="310"/>
        <v>2014</v>
      </c>
      <c r="AA297" s="698">
        <f t="shared" si="310"/>
        <v>2015</v>
      </c>
      <c r="AB297" s="698">
        <f t="shared" si="310"/>
        <v>2016</v>
      </c>
      <c r="AC297" s="698">
        <f t="shared" si="310"/>
        <v>2017</v>
      </c>
      <c r="AD297" s="698">
        <f t="shared" si="310"/>
        <v>2018</v>
      </c>
      <c r="AE297" s="698">
        <f t="shared" si="310"/>
        <v>2019</v>
      </c>
    </row>
    <row r="298" spans="1:94">
      <c r="A298" s="664"/>
      <c r="B298" s="1130"/>
      <c r="C298" s="1079" t="s">
        <v>1767</v>
      </c>
      <c r="D298" s="1058"/>
      <c r="E298" s="1038" t="s">
        <v>1942</v>
      </c>
      <c r="F298" s="1058"/>
      <c r="G298" s="1084">
        <f>+G268</f>
        <v>8.5897099999999984</v>
      </c>
      <c r="H298" s="1084">
        <f t="shared" ref="H298:R298" si="311">+H268</f>
        <v>10.61693</v>
      </c>
      <c r="I298" s="1084">
        <f t="shared" si="311"/>
        <v>12.905670000000001</v>
      </c>
      <c r="J298" s="1084">
        <f t="shared" si="311"/>
        <v>14.50676</v>
      </c>
      <c r="K298" s="1084">
        <f t="shared" si="311"/>
        <v>13.981249999999999</v>
      </c>
      <c r="L298" s="1084">
        <f t="shared" si="311"/>
        <v>14.19473</v>
      </c>
      <c r="M298" s="1084">
        <f t="shared" si="311"/>
        <v>14.970229999999999</v>
      </c>
      <c r="N298" s="1084">
        <f t="shared" si="311"/>
        <v>16.065000000000001</v>
      </c>
      <c r="O298" s="1084">
        <f t="shared" si="311"/>
        <v>17.632999999999999</v>
      </c>
      <c r="P298" s="1084">
        <f t="shared" si="311"/>
        <v>19.521159999999998</v>
      </c>
      <c r="Q298" s="1084">
        <f t="shared" si="311"/>
        <v>22.521330000000003</v>
      </c>
      <c r="R298" s="1084">
        <f t="shared" si="311"/>
        <v>26.55058</v>
      </c>
      <c r="S298" s="1084">
        <f t="shared" ref="S298:X298" si="312">+S268</f>
        <v>32.852199999999996</v>
      </c>
      <c r="T298" s="1084">
        <f t="shared" si="312"/>
        <v>36.479690000000005</v>
      </c>
      <c r="U298" s="1084">
        <f t="shared" si="312"/>
        <v>27.387370000000001</v>
      </c>
      <c r="V298" s="1084">
        <f t="shared" si="312"/>
        <v>28.55387</v>
      </c>
      <c r="W298" s="1084">
        <f t="shared" si="312"/>
        <v>32.072980000000001</v>
      </c>
      <c r="X298" s="1084">
        <f t="shared" si="312"/>
        <v>33.061620000000005</v>
      </c>
      <c r="Y298" s="1084">
        <f t="shared" ref="Y298:AD298" si="313">+Y268</f>
        <v>34.522400000000005</v>
      </c>
      <c r="Z298" s="1084">
        <f t="shared" si="313"/>
        <v>35.808759999999999</v>
      </c>
      <c r="AA298" s="1084">
        <f t="shared" si="313"/>
        <v>37.606099999999998</v>
      </c>
      <c r="AB298" s="1084">
        <f>+AB268</f>
        <v>38.168430000000001</v>
      </c>
      <c r="AC298" s="1084">
        <f ca="1">+AC268</f>
        <v>40.94285</v>
      </c>
      <c r="AD298" s="1416">
        <f t="shared" ca="1" si="313"/>
        <v>43.724123413437994</v>
      </c>
      <c r="AE298" s="1416">
        <f t="shared" ref="AE298" ca="1" si="314">+AE268</f>
        <v>46.256661803084135</v>
      </c>
    </row>
    <row r="299" spans="1:94">
      <c r="A299" s="664"/>
      <c r="B299" s="1130"/>
      <c r="C299" s="1081" t="s">
        <v>1767</v>
      </c>
      <c r="D299" s="1077"/>
      <c r="E299" s="1039" t="s">
        <v>1452</v>
      </c>
      <c r="F299" s="1077" t="s">
        <v>1590</v>
      </c>
      <c r="G299" s="1085">
        <f>+G279</f>
        <v>2.8841000000000001</v>
      </c>
      <c r="H299" s="1085">
        <f t="shared" ref="H299:R299" si="315">+H279</f>
        <v>4.07416</v>
      </c>
      <c r="I299" s="1085">
        <f t="shared" si="315"/>
        <v>5.2720500000000001</v>
      </c>
      <c r="J299" s="1085">
        <f t="shared" si="315"/>
        <v>5.0948100000000007</v>
      </c>
      <c r="K299" s="1085">
        <f t="shared" si="315"/>
        <v>4.1205400000000001</v>
      </c>
      <c r="L299" s="1085">
        <f t="shared" si="315"/>
        <v>5.1528499999999999</v>
      </c>
      <c r="M299" s="1085">
        <f t="shared" si="315"/>
        <v>6.2516400000000001</v>
      </c>
      <c r="N299" s="1085">
        <f t="shared" si="315"/>
        <v>7.1970299999999998</v>
      </c>
      <c r="O299" s="1085">
        <f t="shared" si="315"/>
        <v>7.6957899999999997</v>
      </c>
      <c r="P299" s="1085">
        <f t="shared" si="315"/>
        <v>8.6349599999999995</v>
      </c>
      <c r="Q299" s="1085">
        <f t="shared" si="315"/>
        <v>11.30814</v>
      </c>
      <c r="R299" s="1085">
        <f t="shared" si="315"/>
        <v>13.392899999999999</v>
      </c>
      <c r="S299" s="1085">
        <f t="shared" ref="S299:X299" si="316">+S279</f>
        <v>14.62439</v>
      </c>
      <c r="T299" s="1085">
        <f t="shared" si="316"/>
        <v>18.68233</v>
      </c>
      <c r="U299" s="1085">
        <f t="shared" si="316"/>
        <v>13.98973</v>
      </c>
      <c r="V299" s="1085">
        <f t="shared" si="316"/>
        <v>18.313880000000001</v>
      </c>
      <c r="W299" s="1085">
        <f t="shared" si="316"/>
        <v>23.45505</v>
      </c>
      <c r="X299" s="1085">
        <f t="shared" si="316"/>
        <v>27.22007</v>
      </c>
      <c r="Y299" s="1085">
        <f t="shared" ref="Y299:AD299" si="317">+Y279</f>
        <v>29.387869999999999</v>
      </c>
      <c r="Z299" s="1085">
        <f t="shared" si="317"/>
        <v>29.65802</v>
      </c>
      <c r="AA299" s="1085">
        <f t="shared" si="317"/>
        <v>28.38316</v>
      </c>
      <c r="AB299" s="1085">
        <f t="shared" ref="AB299:AC299" si="318">+AB279</f>
        <v>28.78913</v>
      </c>
      <c r="AC299" s="1085">
        <f t="shared" si="318"/>
        <v>34.033089999999994</v>
      </c>
      <c r="AD299" s="1342">
        <f t="shared" ca="1" si="317"/>
        <v>36.754030068569989</v>
      </c>
      <c r="AE299" s="1342">
        <f t="shared" ref="AE299" ca="1" si="319">+AE279</f>
        <v>39.157296745208768</v>
      </c>
    </row>
    <row r="300" spans="1:94">
      <c r="A300" s="664">
        <f>+ROW(InputY!A83)</f>
        <v>83</v>
      </c>
      <c r="B300" s="664"/>
      <c r="C300" s="694" t="s">
        <v>1769</v>
      </c>
      <c r="D300" s="1055"/>
      <c r="E300" s="1056" t="s">
        <v>1359</v>
      </c>
      <c r="F300" s="1055"/>
      <c r="G300" s="1057">
        <f>+InputY!G83/1000</f>
        <v>11.47381</v>
      </c>
      <c r="H300" s="1057">
        <f>+InputY!H83/1000</f>
        <v>14.691090000000001</v>
      </c>
      <c r="I300" s="1057">
        <f>+InputY!I83/1000</f>
        <v>18.177720000000001</v>
      </c>
      <c r="J300" s="1057">
        <f>+InputY!J83/1000</f>
        <v>19.601569999999999</v>
      </c>
      <c r="K300" s="1057">
        <f>+InputY!K83/1000</f>
        <v>18.101790000000001</v>
      </c>
      <c r="L300" s="1057">
        <f>+InputY!L83/1000</f>
        <v>19.347580000000001</v>
      </c>
      <c r="M300" s="1057">
        <f>+InputY!M83/1000</f>
        <v>21.221869999999999</v>
      </c>
      <c r="N300" s="1057">
        <f>+InputY!N83/1000</f>
        <v>23.262029999999999</v>
      </c>
      <c r="O300" s="1057">
        <f>+InputY!O83/1000</f>
        <v>25.328790000000001</v>
      </c>
      <c r="P300" s="1057">
        <f>+InputY!P83/1000</f>
        <v>28.156119999999998</v>
      </c>
      <c r="Q300" s="1057">
        <f>+InputY!Q83/1000</f>
        <v>33.829470000000001</v>
      </c>
      <c r="R300" s="1057">
        <f>+InputY!R83/1000</f>
        <v>39.943480000000001</v>
      </c>
      <c r="S300" s="1057">
        <f>+InputY!S83/1000</f>
        <v>47.476589999999995</v>
      </c>
      <c r="T300" s="1057">
        <f>+InputY!T83/1000</f>
        <v>55.162019999999998</v>
      </c>
      <c r="U300" s="1057">
        <f>+InputY!U83/1000</f>
        <v>41.377099999999999</v>
      </c>
      <c r="V300" s="1057">
        <f>+InputY!V83/1000</f>
        <v>46.867750000000001</v>
      </c>
      <c r="W300" s="1057">
        <f>+InputY!W83/1000</f>
        <v>55.528030000000001</v>
      </c>
      <c r="X300" s="1057">
        <f>+InputY!X83/1000</f>
        <v>60.281690000000005</v>
      </c>
      <c r="Y300" s="1057">
        <f>+InputY!Y83/1000</f>
        <v>63.910269999999997</v>
      </c>
      <c r="Z300" s="872">
        <f t="shared" ref="Z300:AE300" si="320">+Z298+Z299</f>
        <v>65.46678</v>
      </c>
      <c r="AA300" s="872">
        <f t="shared" si="320"/>
        <v>65.989260000000002</v>
      </c>
      <c r="AB300" s="872">
        <f t="shared" si="320"/>
        <v>66.957560000000001</v>
      </c>
      <c r="AC300" s="872">
        <f t="shared" ref="AC300" ca="1" si="321">+AC298+AC299</f>
        <v>74.975939999999994</v>
      </c>
      <c r="AD300" s="872">
        <f t="shared" ca="1" si="320"/>
        <v>80.478153482007983</v>
      </c>
      <c r="AE300" s="872">
        <f t="shared" ca="1" si="320"/>
        <v>85.413958548292896</v>
      </c>
    </row>
    <row r="301" spans="1:94" s="699" customFormat="1" ht="12.75" customHeight="1">
      <c r="B301" s="664"/>
      <c r="C301" s="774"/>
      <c r="D301" s="1973"/>
      <c r="E301" s="1973" t="s">
        <v>737</v>
      </c>
      <c r="F301" s="1973"/>
      <c r="G301" s="1002">
        <f t="shared" ref="G301:Y301" si="322">ABS(G300-G299-G298)</f>
        <v>1.7763568394002505E-15</v>
      </c>
      <c r="H301" s="1002">
        <f t="shared" si="322"/>
        <v>0</v>
      </c>
      <c r="I301" s="1002">
        <f t="shared" si="322"/>
        <v>0</v>
      </c>
      <c r="J301" s="1002">
        <f t="shared" si="322"/>
        <v>1.7763568394002505E-15</v>
      </c>
      <c r="K301" s="1002">
        <f t="shared" si="322"/>
        <v>1.7763568394002505E-15</v>
      </c>
      <c r="L301" s="1002">
        <f t="shared" si="322"/>
        <v>0</v>
      </c>
      <c r="M301" s="1002">
        <f t="shared" si="322"/>
        <v>0</v>
      </c>
      <c r="N301" s="1002">
        <f t="shared" si="322"/>
        <v>3.5527136788005009E-15</v>
      </c>
      <c r="O301" s="1002">
        <f t="shared" si="322"/>
        <v>3.5527136788005009E-15</v>
      </c>
      <c r="P301" s="1002">
        <f t="shared" si="322"/>
        <v>0</v>
      </c>
      <c r="Q301" s="1002">
        <f t="shared" si="322"/>
        <v>3.5527136788005009E-15</v>
      </c>
      <c r="R301" s="1002">
        <f t="shared" si="322"/>
        <v>3.5527136788005009E-15</v>
      </c>
      <c r="S301" s="1002">
        <f t="shared" si="322"/>
        <v>0</v>
      </c>
      <c r="T301" s="2906">
        <f t="shared" si="322"/>
        <v>7.1054273576010019E-15</v>
      </c>
      <c r="U301" s="2906">
        <f t="shared" si="322"/>
        <v>3.5527136788005009E-15</v>
      </c>
      <c r="V301" s="2906">
        <f t="shared" si="322"/>
        <v>0</v>
      </c>
      <c r="W301" s="2906">
        <f t="shared" si="322"/>
        <v>0</v>
      </c>
      <c r="X301" s="2906">
        <f t="shared" si="322"/>
        <v>0</v>
      </c>
      <c r="Y301" s="2906">
        <f t="shared" si="322"/>
        <v>7.1054273576010019E-15</v>
      </c>
      <c r="Z301" s="2906">
        <f t="shared" ref="Z301:AE301" si="323">ABS(Z300-Z299-Z298)</f>
        <v>0</v>
      </c>
      <c r="AA301" s="2906">
        <f t="shared" si="323"/>
        <v>0</v>
      </c>
      <c r="AB301" s="2906">
        <f t="shared" si="323"/>
        <v>0</v>
      </c>
      <c r="AC301" s="2906">
        <f t="shared" ca="1" si="323"/>
        <v>0</v>
      </c>
      <c r="AD301" s="2906">
        <f t="shared" ca="1" si="323"/>
        <v>0</v>
      </c>
      <c r="AE301" s="2906">
        <f t="shared" ca="1" si="323"/>
        <v>7.1054273576010019E-15</v>
      </c>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row>
    <row r="302" spans="1:94">
      <c r="P302" s="3265"/>
      <c r="Q302" s="3265"/>
      <c r="R302" s="3265"/>
      <c r="S302" s="3265"/>
      <c r="T302" s="3265"/>
      <c r="U302" s="3265"/>
      <c r="V302" s="3265"/>
      <c r="W302" s="3265"/>
      <c r="X302" s="3265"/>
      <c r="Y302" s="3265"/>
      <c r="Z302" s="3265"/>
      <c r="AA302" s="3265"/>
      <c r="AB302" s="3265"/>
      <c r="AC302" s="3265"/>
      <c r="AD302" s="3265"/>
      <c r="AE302" s="3265"/>
    </row>
    <row r="303" spans="1:94" s="699" customFormat="1" ht="12.75" customHeight="1">
      <c r="A303" s="664"/>
      <c r="B303" s="664"/>
      <c r="C303" s="774"/>
      <c r="D303" s="1092"/>
      <c r="E303" s="1093" t="s">
        <v>1359</v>
      </c>
      <c r="F303" s="1094"/>
      <c r="G303" s="896">
        <f>+InputY!$G$3</f>
        <v>1995</v>
      </c>
      <c r="H303" s="896">
        <f>+G303+1</f>
        <v>1996</v>
      </c>
      <c r="I303" s="896">
        <f t="shared" ref="I303:O303" si="324">+H303+1</f>
        <v>1997</v>
      </c>
      <c r="J303" s="896">
        <f t="shared" si="324"/>
        <v>1998</v>
      </c>
      <c r="K303" s="896">
        <f t="shared" si="324"/>
        <v>1999</v>
      </c>
      <c r="L303" s="896">
        <f t="shared" si="324"/>
        <v>2000</v>
      </c>
      <c r="M303" s="896">
        <f t="shared" si="324"/>
        <v>2001</v>
      </c>
      <c r="N303" s="896">
        <f t="shared" si="324"/>
        <v>2002</v>
      </c>
      <c r="O303" s="896">
        <f t="shared" si="324"/>
        <v>2003</v>
      </c>
      <c r="P303" s="896">
        <f t="shared" ref="P303:U303" si="325">+O303+1</f>
        <v>2004</v>
      </c>
      <c r="Q303" s="896">
        <f t="shared" si="325"/>
        <v>2005</v>
      </c>
      <c r="R303" s="896">
        <f t="shared" si="325"/>
        <v>2006</v>
      </c>
      <c r="S303" s="896">
        <f>+R303+1</f>
        <v>2007</v>
      </c>
      <c r="T303" s="896">
        <f t="shared" si="325"/>
        <v>2008</v>
      </c>
      <c r="U303" s="896">
        <f t="shared" si="325"/>
        <v>2009</v>
      </c>
      <c r="V303" s="896">
        <f t="shared" ref="V303:AE303" si="326">+U303+1</f>
        <v>2010</v>
      </c>
      <c r="W303" s="896">
        <f t="shared" si="326"/>
        <v>2011</v>
      </c>
      <c r="X303" s="896">
        <f t="shared" si="326"/>
        <v>2012</v>
      </c>
      <c r="Y303" s="896">
        <f t="shared" si="326"/>
        <v>2013</v>
      </c>
      <c r="Z303" s="896">
        <f t="shared" si="326"/>
        <v>2014</v>
      </c>
      <c r="AA303" s="896">
        <f t="shared" si="326"/>
        <v>2015</v>
      </c>
      <c r="AB303" s="896">
        <f t="shared" si="326"/>
        <v>2016</v>
      </c>
      <c r="AC303" s="896">
        <f t="shared" si="326"/>
        <v>2017</v>
      </c>
      <c r="AD303" s="896">
        <f t="shared" si="326"/>
        <v>2018</v>
      </c>
      <c r="AE303" s="896">
        <f t="shared" si="326"/>
        <v>2019</v>
      </c>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row>
    <row r="304" spans="1:94" s="699" customFormat="1" ht="12.75" customHeight="1">
      <c r="A304" s="664"/>
      <c r="B304" s="664"/>
      <c r="C304" s="794"/>
      <c r="D304" s="689"/>
      <c r="E304" s="738" t="s">
        <v>1942</v>
      </c>
      <c r="F304" s="733"/>
      <c r="G304" s="1095"/>
      <c r="H304" s="1095">
        <f t="shared" ref="H304:S304" si="327">+(H298/G298-1)*100</f>
        <v>23.600563930563446</v>
      </c>
      <c r="I304" s="1095">
        <f t="shared" si="327"/>
        <v>21.557455874720844</v>
      </c>
      <c r="J304" s="1095">
        <f t="shared" si="327"/>
        <v>12.406097474985799</v>
      </c>
      <c r="K304" s="1095">
        <f t="shared" si="327"/>
        <v>-3.622518053652235</v>
      </c>
      <c r="L304" s="1095">
        <f t="shared" si="327"/>
        <v>1.5269021010281714</v>
      </c>
      <c r="M304" s="1095">
        <f t="shared" si="327"/>
        <v>5.4632951806762087</v>
      </c>
      <c r="N304" s="1095">
        <f t="shared" si="327"/>
        <v>7.312980495289656</v>
      </c>
      <c r="O304" s="1095">
        <f t="shared" si="327"/>
        <v>9.7603485838779758</v>
      </c>
      <c r="P304" s="1095">
        <f t="shared" si="327"/>
        <v>10.708104122951291</v>
      </c>
      <c r="Q304" s="1095">
        <f t="shared" si="327"/>
        <v>15.368810050222459</v>
      </c>
      <c r="R304" s="1095">
        <f t="shared" si="327"/>
        <v>17.890817282993488</v>
      </c>
      <c r="S304" s="1095">
        <f t="shared" si="327"/>
        <v>23.734396762707235</v>
      </c>
      <c r="T304" s="1095">
        <f t="shared" ref="T304:AE306" si="328">+(T298/S298-1)*100</f>
        <v>11.041848034530432</v>
      </c>
      <c r="U304" s="1095">
        <f t="shared" si="328"/>
        <v>-24.924334609203104</v>
      </c>
      <c r="V304" s="1095">
        <f t="shared" si="328"/>
        <v>4.2592625724923616</v>
      </c>
      <c r="W304" s="1095">
        <f t="shared" si="328"/>
        <v>12.324458996276167</v>
      </c>
      <c r="X304" s="1095">
        <f t="shared" si="328"/>
        <v>3.0824700417610096</v>
      </c>
      <c r="Y304" s="1095">
        <f t="shared" si="328"/>
        <v>4.4183557853486821</v>
      </c>
      <c r="Z304" s="1095">
        <f t="shared" si="328"/>
        <v>3.7261604059972475</v>
      </c>
      <c r="AA304" s="1095">
        <f t="shared" si="328"/>
        <v>5.0192746132510457</v>
      </c>
      <c r="AB304" s="1095">
        <f t="shared" si="328"/>
        <v>1.4953159194917909</v>
      </c>
      <c r="AC304" s="1095">
        <f t="shared" ca="1" si="328"/>
        <v>7.2688868785014238</v>
      </c>
      <c r="AD304" s="1095">
        <f t="shared" ca="1" si="328"/>
        <v>6.7930625577799164</v>
      </c>
      <c r="AE304" s="1095">
        <f t="shared" ca="1" si="328"/>
        <v>5.7920849909315786</v>
      </c>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row>
    <row r="305" spans="1:94" s="699" customFormat="1" ht="12.75" customHeight="1">
      <c r="A305" s="664"/>
      <c r="B305" s="664"/>
      <c r="C305" s="796"/>
      <c r="D305" s="691"/>
      <c r="E305" s="797" t="s">
        <v>1452</v>
      </c>
      <c r="F305" s="736" t="s">
        <v>1590</v>
      </c>
      <c r="G305" s="1096"/>
      <c r="H305" s="1096">
        <f t="shared" ref="H305:S305" si="329">+(H299/G299-1)*100</f>
        <v>41.262785617697027</v>
      </c>
      <c r="I305" s="1096">
        <f t="shared" si="329"/>
        <v>29.402134427710248</v>
      </c>
      <c r="J305" s="1096">
        <f t="shared" si="329"/>
        <v>-3.3618801035650181</v>
      </c>
      <c r="K305" s="1096">
        <f t="shared" si="329"/>
        <v>-19.122793587984642</v>
      </c>
      <c r="L305" s="1096">
        <f t="shared" si="329"/>
        <v>25.052784343799605</v>
      </c>
      <c r="M305" s="1096">
        <f t="shared" si="329"/>
        <v>21.323927535247478</v>
      </c>
      <c r="N305" s="1096">
        <f t="shared" si="329"/>
        <v>15.122271915849272</v>
      </c>
      <c r="O305" s="1096">
        <f t="shared" si="329"/>
        <v>6.9300808805854652</v>
      </c>
      <c r="P305" s="1096">
        <f t="shared" si="329"/>
        <v>12.203685391623221</v>
      </c>
      <c r="Q305" s="1096">
        <f t="shared" si="329"/>
        <v>30.957641957808725</v>
      </c>
      <c r="R305" s="1096">
        <f t="shared" si="329"/>
        <v>18.435923149165113</v>
      </c>
      <c r="S305" s="1096">
        <f t="shared" si="329"/>
        <v>9.1950959090264295</v>
      </c>
      <c r="T305" s="1096">
        <f t="shared" si="328"/>
        <v>27.74775563288452</v>
      </c>
      <c r="U305" s="1096">
        <f t="shared" si="328"/>
        <v>-25.117852002400131</v>
      </c>
      <c r="V305" s="1096">
        <f t="shared" si="328"/>
        <v>30.909460011022372</v>
      </c>
      <c r="W305" s="1096">
        <f t="shared" si="328"/>
        <v>28.072532964068774</v>
      </c>
      <c r="X305" s="1096">
        <f t="shared" si="328"/>
        <v>16.052065546651995</v>
      </c>
      <c r="Y305" s="1096">
        <f t="shared" si="328"/>
        <v>7.9639765805157747</v>
      </c>
      <c r="Z305" s="1096">
        <f t="shared" si="328"/>
        <v>0.91925682262783415</v>
      </c>
      <c r="AA305" s="1096">
        <f t="shared" si="328"/>
        <v>-4.2985337524217737</v>
      </c>
      <c r="AB305" s="1096">
        <f t="shared" si="328"/>
        <v>1.4303199502803787</v>
      </c>
      <c r="AC305" s="1096">
        <f t="shared" si="328"/>
        <v>18.215069368195547</v>
      </c>
      <c r="AD305" s="1096">
        <f t="shared" ca="1" si="328"/>
        <v>7.9949839070445616</v>
      </c>
      <c r="AE305" s="1096">
        <f t="shared" ca="1" si="328"/>
        <v>6.5387841065459584</v>
      </c>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row>
    <row r="306" spans="1:94" s="699" customFormat="1" ht="12.75" customHeight="1">
      <c r="A306" s="664"/>
      <c r="B306" s="664"/>
      <c r="C306" s="774"/>
      <c r="D306" s="717"/>
      <c r="E306" s="722" t="s">
        <v>1359</v>
      </c>
      <c r="F306" s="723"/>
      <c r="G306" s="721"/>
      <c r="H306" s="721">
        <f t="shared" ref="H306:S306" si="330">+(H300/G300-1)*100</f>
        <v>28.040206348196463</v>
      </c>
      <c r="I306" s="721">
        <f t="shared" si="330"/>
        <v>23.732956506290549</v>
      </c>
      <c r="J306" s="721">
        <f t="shared" si="330"/>
        <v>7.8329405447987943</v>
      </c>
      <c r="K306" s="721">
        <f t="shared" si="330"/>
        <v>-7.6513258886915629</v>
      </c>
      <c r="L306" s="721">
        <f t="shared" si="330"/>
        <v>6.8821370704223117</v>
      </c>
      <c r="M306" s="721">
        <f t="shared" si="330"/>
        <v>9.6874647888779855</v>
      </c>
      <c r="N306" s="721">
        <f t="shared" si="330"/>
        <v>9.6134789252785069</v>
      </c>
      <c r="O306" s="721">
        <f t="shared" si="330"/>
        <v>8.8846932103518128</v>
      </c>
      <c r="P306" s="721">
        <f t="shared" si="330"/>
        <v>11.162515066846845</v>
      </c>
      <c r="Q306" s="721">
        <f t="shared" si="330"/>
        <v>20.149615785129505</v>
      </c>
      <c r="R306" s="721">
        <f t="shared" si="330"/>
        <v>18.073029225701731</v>
      </c>
      <c r="S306" s="721">
        <f t="shared" si="330"/>
        <v>18.859423365215022</v>
      </c>
      <c r="T306" s="721">
        <f t="shared" si="328"/>
        <v>16.187830676129032</v>
      </c>
      <c r="U306" s="721">
        <f t="shared" si="328"/>
        <v>-24.989875280129336</v>
      </c>
      <c r="V306" s="721">
        <f t="shared" si="328"/>
        <v>13.269779660730219</v>
      </c>
      <c r="W306" s="721">
        <f t="shared" si="328"/>
        <v>18.478121949528202</v>
      </c>
      <c r="X306" s="721">
        <f t="shared" si="328"/>
        <v>8.5608295486081509</v>
      </c>
      <c r="Y306" s="721">
        <f t="shared" si="328"/>
        <v>6.0193733785499193</v>
      </c>
      <c r="Z306" s="721">
        <f t="shared" si="328"/>
        <v>2.4354614680864417</v>
      </c>
      <c r="AA306" s="721">
        <f t="shared" si="328"/>
        <v>0.79808415810278532</v>
      </c>
      <c r="AB306" s="721">
        <f t="shared" si="328"/>
        <v>1.4673599916107616</v>
      </c>
      <c r="AC306" s="721">
        <f t="shared" ca="1" si="328"/>
        <v>11.975316902228794</v>
      </c>
      <c r="AD306" s="721">
        <f t="shared" ca="1" si="328"/>
        <v>7.338638878029391</v>
      </c>
      <c r="AE306" s="721">
        <f t="shared" ca="1" si="328"/>
        <v>6.1330992980453747</v>
      </c>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row>
    <row r="307" spans="1:94">
      <c r="Q307" s="1692"/>
      <c r="R307" s="1692">
        <f t="shared" ref="R307:Y307" si="331">R311-R313</f>
        <v>0.72381299999999982</v>
      </c>
      <c r="S307" s="1692">
        <f t="shared" si="331"/>
        <v>0.70498749999999788</v>
      </c>
      <c r="T307" s="1692">
        <f t="shared" si="331"/>
        <v>1.5555595000000011</v>
      </c>
      <c r="U307" s="1692">
        <f t="shared" si="331"/>
        <v>-1.1579484999999998</v>
      </c>
      <c r="V307" s="1692">
        <f t="shared" si="331"/>
        <v>1.0206440000000008</v>
      </c>
      <c r="W307" s="1692">
        <f t="shared" si="331"/>
        <v>2.5987225000000009</v>
      </c>
      <c r="X307" s="1692">
        <f t="shared" si="331"/>
        <v>2.8371324999999992</v>
      </c>
      <c r="Y307" s="1692">
        <f t="shared" si="331"/>
        <v>2.995338499999999</v>
      </c>
      <c r="Z307" s="1692">
        <f t="shared" ref="Z307:AE307" si="332">Z311-Z313</f>
        <v>2.3007979999999968</v>
      </c>
      <c r="AA307" s="1692">
        <f t="shared" si="332"/>
        <v>2.247209999999999</v>
      </c>
      <c r="AB307" s="1692">
        <f t="shared" si="332"/>
        <v>1.3391064999999962</v>
      </c>
      <c r="AC307" s="1692">
        <f t="shared" si="332"/>
        <v>2.4914485000000006</v>
      </c>
      <c r="AD307" s="1692">
        <f t="shared" ca="1" si="332"/>
        <v>3.2007613965915027</v>
      </c>
      <c r="AE307" s="1692">
        <f t="shared" ca="1" si="332"/>
        <v>3.58789249346502</v>
      </c>
    </row>
    <row r="308" spans="1:94" ht="17.25" customHeight="1">
      <c r="A308" s="1130"/>
      <c r="B308" s="1130"/>
      <c r="D308" s="1073"/>
      <c r="E308" s="901" t="s">
        <v>96</v>
      </c>
      <c r="F308" s="1065"/>
      <c r="G308" s="778">
        <f>+InputY!$G$3</f>
        <v>1995</v>
      </c>
      <c r="H308" s="778">
        <f>+G308+1</f>
        <v>1996</v>
      </c>
      <c r="I308" s="778">
        <f t="shared" ref="I308:O308" si="333">+H308+1</f>
        <v>1997</v>
      </c>
      <c r="J308" s="778">
        <f t="shared" si="333"/>
        <v>1998</v>
      </c>
      <c r="K308" s="778">
        <f t="shared" si="333"/>
        <v>1999</v>
      </c>
      <c r="L308" s="778">
        <f t="shared" si="333"/>
        <v>2000</v>
      </c>
      <c r="M308" s="778">
        <f t="shared" si="333"/>
        <v>2001</v>
      </c>
      <c r="N308" s="778">
        <f t="shared" si="333"/>
        <v>2002</v>
      </c>
      <c r="O308" s="778">
        <f t="shared" si="333"/>
        <v>2003</v>
      </c>
      <c r="P308" s="778">
        <f t="shared" ref="P308:V308" si="334">+O308+1</f>
        <v>2004</v>
      </c>
      <c r="Q308" s="778">
        <f t="shared" si="334"/>
        <v>2005</v>
      </c>
      <c r="R308" s="778">
        <f t="shared" si="334"/>
        <v>2006</v>
      </c>
      <c r="S308" s="778">
        <f>+R308+1</f>
        <v>2007</v>
      </c>
      <c r="T308" s="778">
        <f t="shared" si="334"/>
        <v>2008</v>
      </c>
      <c r="U308" s="778">
        <f t="shared" si="334"/>
        <v>2009</v>
      </c>
      <c r="V308" s="778">
        <f t="shared" si="334"/>
        <v>2010</v>
      </c>
      <c r="W308" s="778">
        <f t="shared" ref="W308:AE308" si="335">+V308+1</f>
        <v>2011</v>
      </c>
      <c r="X308" s="778">
        <f t="shared" si="335"/>
        <v>2012</v>
      </c>
      <c r="Y308" s="778">
        <f t="shared" si="335"/>
        <v>2013</v>
      </c>
      <c r="Z308" s="778">
        <f t="shared" si="335"/>
        <v>2014</v>
      </c>
      <c r="AA308" s="778">
        <f t="shared" si="335"/>
        <v>2015</v>
      </c>
      <c r="AB308" s="778">
        <f t="shared" si="335"/>
        <v>2016</v>
      </c>
      <c r="AC308" s="778">
        <f t="shared" si="335"/>
        <v>2017</v>
      </c>
      <c r="AD308" s="778">
        <f t="shared" si="335"/>
        <v>2018</v>
      </c>
      <c r="AE308" s="778">
        <f t="shared" si="335"/>
        <v>2019</v>
      </c>
    </row>
    <row r="309" spans="1:94">
      <c r="A309" s="664">
        <f>+ROW(InputY!A92)</f>
        <v>92</v>
      </c>
      <c r="B309" s="665">
        <v>46</v>
      </c>
      <c r="C309" s="1079" t="s">
        <v>1767</v>
      </c>
      <c r="D309" s="1058"/>
      <c r="E309" s="1038" t="s">
        <v>1453</v>
      </c>
      <c r="F309" s="1058" t="s">
        <v>1542</v>
      </c>
      <c r="G309" s="1084">
        <f>+InputY!G92/1000</f>
        <v>0.61560000000000004</v>
      </c>
      <c r="H309" s="1084">
        <f>+InputY!H92/1000</f>
        <v>0.81620000000000004</v>
      </c>
      <c r="I309" s="1084">
        <f>+InputY!I92/1000</f>
        <v>1.07789</v>
      </c>
      <c r="J309" s="1084">
        <f>+InputY!J92/1000</f>
        <v>1.0390599999999999</v>
      </c>
      <c r="K309" s="1084">
        <f>+InputY!K92/1000</f>
        <v>0.94379999999999997</v>
      </c>
      <c r="L309" s="1084">
        <f>+InputY!L92/1000</f>
        <v>0.81650999999999996</v>
      </c>
      <c r="M309" s="1084">
        <f>+InputY!M92/1000</f>
        <v>0.87096000000000007</v>
      </c>
      <c r="N309" s="1084">
        <f>+InputY!N92/1000</f>
        <v>1.05043</v>
      </c>
      <c r="O309" s="1084">
        <f>+InputY!O92/1000</f>
        <v>1.16273</v>
      </c>
      <c r="P309" s="1084">
        <f>+InputY!P92/1000</f>
        <v>1.34253</v>
      </c>
      <c r="Q309" s="1084">
        <f>+InputY!Q92/1000</f>
        <v>1.6711099999999999</v>
      </c>
      <c r="R309" s="1084">
        <f>+InputY!R92/1000</f>
        <v>2.0362499999999999</v>
      </c>
      <c r="S309" s="1084">
        <f>+InputY!S92/1000</f>
        <v>2.4937499999999999</v>
      </c>
      <c r="T309" s="1084">
        <f>+InputY!T92/1000</f>
        <v>2.8632600000000004</v>
      </c>
      <c r="U309" s="1084">
        <f>+InputY!U92/1000</f>
        <v>2.2192399999999997</v>
      </c>
      <c r="V309" s="1084">
        <f>+InputY!V92/1000</f>
        <v>2.3007600000000004</v>
      </c>
      <c r="W309" s="1084">
        <f>+InputY!W92/1000</f>
        <v>2.76573</v>
      </c>
      <c r="X309" s="1084">
        <f>+InputY!X92/1000</f>
        <v>3.4036</v>
      </c>
      <c r="Y309" s="1084">
        <f>+InputY!Y92/1000</f>
        <v>4.0330300000000001</v>
      </c>
      <c r="Z309" s="1084">
        <f>+InputY!Z92/1000</f>
        <v>4.2121199999999996</v>
      </c>
      <c r="AA309" s="1084">
        <f>+InputY!AA92/1000</f>
        <v>4.2663700000000002</v>
      </c>
      <c r="AB309" s="1084">
        <f>+InputY!AB92/1000</f>
        <v>4.5988800000000003</v>
      </c>
      <c r="AC309" s="1084">
        <f>+InputY!AC92/1000</f>
        <v>5.3760900000000005</v>
      </c>
      <c r="AD309" s="1416">
        <f t="shared" ref="AD309:AE311" ca="1" si="336">+AC309*(1+AD315/100)</f>
        <v>5.8973019254999999</v>
      </c>
      <c r="AE309" s="1416">
        <f t="shared" ca="1" si="336"/>
        <v>6.3099951142464894</v>
      </c>
    </row>
    <row r="310" spans="1:94">
      <c r="A310" s="664">
        <f>+ROW(InputY!A91)</f>
        <v>91</v>
      </c>
      <c r="B310" s="1130">
        <v>45</v>
      </c>
      <c r="C310" s="1081" t="s">
        <v>1767</v>
      </c>
      <c r="D310" s="1077"/>
      <c r="E310" s="1078" t="s">
        <v>1454</v>
      </c>
      <c r="F310" s="1077" t="s">
        <v>1436</v>
      </c>
      <c r="G310" s="1085">
        <f>+InputY!G91/1000</f>
        <v>3.0936900000000001</v>
      </c>
      <c r="H310" s="1085">
        <f>+InputY!H91/1000</f>
        <v>4.1607299999999992</v>
      </c>
      <c r="I310" s="1085">
        <f>+InputY!I91/1000</f>
        <v>5.3754900000000001</v>
      </c>
      <c r="J310" s="1085">
        <f>+InputY!J91/1000</f>
        <v>5.5405500000000005</v>
      </c>
      <c r="K310" s="1085">
        <f>+InputY!K91/1000</f>
        <v>4.4459099999999996</v>
      </c>
      <c r="L310" s="1085">
        <f>+InputY!L91/1000</f>
        <v>5.16289</v>
      </c>
      <c r="M310" s="1085">
        <f>+InputY!M91/1000</f>
        <v>6.1563999999999997</v>
      </c>
      <c r="N310" s="1085">
        <f>+InputY!N91/1000</f>
        <v>7.0094200000000004</v>
      </c>
      <c r="O310" s="1085">
        <f>+InputY!O91/1000</f>
        <v>7.4975899999999998</v>
      </c>
      <c r="P310" s="1085">
        <f>+InputY!P91/1000</f>
        <v>8.5758600000000005</v>
      </c>
      <c r="Q310" s="1085">
        <f>+InputY!Q91/1000</f>
        <v>11.15601</v>
      </c>
      <c r="R310" s="1085">
        <f>+InputY!R91/1000</f>
        <v>13.828059999999999</v>
      </c>
      <c r="S310" s="1085">
        <f>+InputY!S91/1000</f>
        <v>15.942170000000001</v>
      </c>
      <c r="T310" s="1085">
        <f>+InputY!T91/1000</f>
        <v>19.60248</v>
      </c>
      <c r="U310" s="1085">
        <f>+InputY!U91/1000</f>
        <v>12.223049999999999</v>
      </c>
      <c r="V310" s="1085">
        <f>+InputY!V91/1000</f>
        <v>16.539330000000003</v>
      </c>
      <c r="W310" s="1085">
        <f>+InputY!W91/1000</f>
        <v>21.486979999999999</v>
      </c>
      <c r="X310" s="1085">
        <f>+InputY!X91/1000</f>
        <v>23.529599999999999</v>
      </c>
      <c r="Y310" s="1085">
        <f>+InputY!Y91/1000</f>
        <v>24.917590000000001</v>
      </c>
      <c r="Z310" s="1085">
        <f>+InputY!Z91/1000</f>
        <v>24.68638</v>
      </c>
      <c r="AA310" s="1085">
        <f>+InputY!AA91/1000</f>
        <v>24.296279999999999</v>
      </c>
      <c r="AB310" s="1085">
        <f>+InputY!AB91/1000</f>
        <v>23.690349999999999</v>
      </c>
      <c r="AC310" s="1085">
        <f>+InputY!AC91/1000</f>
        <v>27.813869999999998</v>
      </c>
      <c r="AD310" s="1342">
        <f t="shared" ca="1" si="336"/>
        <v>30.362315838749993</v>
      </c>
      <c r="AE310" s="1342">
        <f t="shared" ca="1" si="336"/>
        <v>32.420273606300469</v>
      </c>
    </row>
    <row r="311" spans="1:94">
      <c r="A311" s="664">
        <f>+ROW(InputY!A93)</f>
        <v>93</v>
      </c>
      <c r="B311" s="664"/>
      <c r="C311" s="694" t="s">
        <v>1769</v>
      </c>
      <c r="D311" s="1055"/>
      <c r="E311" s="1056" t="s">
        <v>1455</v>
      </c>
      <c r="F311" s="1055" t="s">
        <v>1886</v>
      </c>
      <c r="G311" s="1057">
        <f>+InputY!G93/1000</f>
        <v>3.7092899999999998</v>
      </c>
      <c r="H311" s="1057">
        <f>+InputY!H93/1000</f>
        <v>4.9769399999999999</v>
      </c>
      <c r="I311" s="1057">
        <f>+InputY!I93/1000</f>
        <v>6.4533800000000001</v>
      </c>
      <c r="J311" s="1057">
        <f>+InputY!J93/1000</f>
        <v>6.5796099999999997</v>
      </c>
      <c r="K311" s="1057">
        <f>+InputY!K93/1000</f>
        <v>5.38971</v>
      </c>
      <c r="L311" s="1057">
        <f>+InputY!L93/1000</f>
        <v>5.9794</v>
      </c>
      <c r="M311" s="1057">
        <f>+InputY!M93/1000</f>
        <v>7.0273599999999998</v>
      </c>
      <c r="N311" s="1057">
        <f>+InputY!N93/1000</f>
        <v>8.0598500000000008</v>
      </c>
      <c r="O311" s="1057">
        <f>+InputY!O93/1000</f>
        <v>8.6603200000000005</v>
      </c>
      <c r="P311" s="1057">
        <f>+InputY!P93/1000</f>
        <v>9.9183899999999987</v>
      </c>
      <c r="Q311" s="1057">
        <f>+InputY!Q93/1000</f>
        <v>12.827120000000001</v>
      </c>
      <c r="R311" s="1057">
        <f>+InputY!R93/1000</f>
        <v>15.86431</v>
      </c>
      <c r="S311" s="1057">
        <f>+InputY!S93/1000</f>
        <v>18.435919999999999</v>
      </c>
      <c r="T311" s="1057">
        <f>+InputY!T93/1000</f>
        <v>22.46575</v>
      </c>
      <c r="U311" s="1057">
        <f>+InputY!U93/1000</f>
        <v>14.44228</v>
      </c>
      <c r="V311" s="1057">
        <f>+InputY!V93/1000</f>
        <v>18.84009</v>
      </c>
      <c r="W311" s="1057">
        <f>+InputY!W93/1000</f>
        <v>24.25271</v>
      </c>
      <c r="X311" s="1057">
        <f>+InputY!X93/1000</f>
        <v>26.933209999999999</v>
      </c>
      <c r="Y311" s="1057">
        <f>+InputY!Y93/1000</f>
        <v>28.950620000000001</v>
      </c>
      <c r="Z311" s="1057">
        <f>+InputY!Z93/1000</f>
        <v>28.898499999999999</v>
      </c>
      <c r="AA311" s="1057">
        <f>+InputY!AA93/1000</f>
        <v>28.562650000000001</v>
      </c>
      <c r="AB311" s="1057">
        <f>+InputY!AB93/1000</f>
        <v>28.28923</v>
      </c>
      <c r="AC311" s="1057">
        <f>+InputY!AC93/1000</f>
        <v>33.189959999999999</v>
      </c>
      <c r="AD311" s="872">
        <f t="shared" ca="1" si="336"/>
        <v>36.259617764249995</v>
      </c>
      <c r="AE311" s="872">
        <f t="shared" ca="1" si="336"/>
        <v>38.73026872054696</v>
      </c>
    </row>
    <row r="312" spans="1:94" s="699" customFormat="1" ht="12.75" customHeight="1">
      <c r="A312" s="664"/>
      <c r="B312" s="664"/>
      <c r="C312" s="774"/>
      <c r="D312" s="1973"/>
      <c r="E312" s="1973" t="s">
        <v>737</v>
      </c>
      <c r="F312" s="1973"/>
      <c r="G312" s="1002">
        <f t="shared" ref="G312:Y312" si="337">ABS(G311-G310-G309)</f>
        <v>3.3306690738754696E-16</v>
      </c>
      <c r="H312" s="1002">
        <f t="shared" si="337"/>
        <v>1.0000000000731646E-5</v>
      </c>
      <c r="I312" s="1002">
        <f t="shared" si="337"/>
        <v>0</v>
      </c>
      <c r="J312" s="1002">
        <f t="shared" si="337"/>
        <v>6.6613381477509392E-16</v>
      </c>
      <c r="K312" s="1002">
        <f t="shared" si="337"/>
        <v>4.4408920985006262E-16</v>
      </c>
      <c r="L312" s="1002">
        <f t="shared" si="337"/>
        <v>1.1102230246251565E-16</v>
      </c>
      <c r="M312" s="1002">
        <f t="shared" si="337"/>
        <v>1.1102230246251565E-16</v>
      </c>
      <c r="N312" s="1002">
        <f t="shared" si="337"/>
        <v>4.4408920985006262E-16</v>
      </c>
      <c r="O312" s="1002">
        <f t="shared" si="337"/>
        <v>6.6613381477509392E-16</v>
      </c>
      <c r="P312" s="1002">
        <f t="shared" si="337"/>
        <v>1.7763568394002505E-15</v>
      </c>
      <c r="Q312" s="1002">
        <f t="shared" si="337"/>
        <v>6.6613381477509392E-16</v>
      </c>
      <c r="R312" s="1002">
        <f t="shared" si="337"/>
        <v>8.8817841970012523E-16</v>
      </c>
      <c r="S312" s="1002">
        <f t="shared" si="337"/>
        <v>1.3322676295501878E-15</v>
      </c>
      <c r="T312" s="2906">
        <f t="shared" si="337"/>
        <v>9.9999999996214228E-6</v>
      </c>
      <c r="U312" s="2906">
        <f t="shared" si="337"/>
        <v>9.9999999982891552E-6</v>
      </c>
      <c r="V312" s="2906">
        <f t="shared" si="337"/>
        <v>3.5527136788005009E-15</v>
      </c>
      <c r="W312" s="2906">
        <f t="shared" si="337"/>
        <v>1.3322676295501878E-15</v>
      </c>
      <c r="X312" s="2906">
        <f t="shared" si="337"/>
        <v>1.0000000000509601E-5</v>
      </c>
      <c r="Y312" s="2906">
        <f t="shared" si="337"/>
        <v>0</v>
      </c>
      <c r="Z312" s="2906">
        <f t="shared" ref="Z312:AE312" si="338">ABS(Z311-Z310-Z309)</f>
        <v>8.8817841970012523E-16</v>
      </c>
      <c r="AA312" s="2906">
        <f t="shared" si="338"/>
        <v>1.7763568394002505E-15</v>
      </c>
      <c r="AB312" s="2906">
        <f t="shared" si="338"/>
        <v>8.8817841970012523E-16</v>
      </c>
      <c r="AC312" s="2906">
        <f t="shared" si="338"/>
        <v>8.8817841970012523E-16</v>
      </c>
      <c r="AD312" s="2906">
        <f t="shared" ca="1" si="338"/>
        <v>2.6645352591003757E-15</v>
      </c>
      <c r="AE312" s="2906">
        <f t="shared" ca="1" si="338"/>
        <v>8.8817841970012523E-16</v>
      </c>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row>
    <row r="313" spans="1:94">
      <c r="P313" s="3265">
        <f>P185*0.3+P212*0.5+P279*0.55</f>
        <v>10.403952</v>
      </c>
      <c r="Q313" s="3265">
        <f t="shared" ref="Q313:AC313" si="339">Q185*0.3+Q212*0.5+Q279*0.55</f>
        <v>12.750091000000001</v>
      </c>
      <c r="R313" s="3265">
        <f t="shared" si="339"/>
        <v>15.140497</v>
      </c>
      <c r="S313" s="3265">
        <f t="shared" si="339"/>
        <v>17.730932500000002</v>
      </c>
      <c r="T313" s="3265">
        <f t="shared" si="339"/>
        <v>20.910190499999999</v>
      </c>
      <c r="U313" s="3265">
        <f t="shared" si="339"/>
        <v>15.6002285</v>
      </c>
      <c r="V313" s="3265">
        <f t="shared" si="339"/>
        <v>17.819445999999999</v>
      </c>
      <c r="W313" s="3265">
        <f t="shared" si="339"/>
        <v>21.653987499999999</v>
      </c>
      <c r="X313" s="3265">
        <f t="shared" si="339"/>
        <v>24.0960775</v>
      </c>
      <c r="Y313" s="3265">
        <f t="shared" si="339"/>
        <v>25.955281500000002</v>
      </c>
      <c r="Z313" s="3265">
        <f t="shared" si="339"/>
        <v>26.597702000000002</v>
      </c>
      <c r="AA313" s="3265">
        <f t="shared" si="339"/>
        <v>26.315440000000002</v>
      </c>
      <c r="AB313" s="3265">
        <f t="shared" si="339"/>
        <v>26.950123500000004</v>
      </c>
      <c r="AC313" s="3265">
        <f t="shared" si="339"/>
        <v>30.698511499999999</v>
      </c>
      <c r="AD313" s="3265">
        <f ca="1">AD185*0.3+AD212*0.5+AD279*0.55</f>
        <v>33.058856367658493</v>
      </c>
      <c r="AE313" s="3265">
        <f ca="1">AE185*0.3+AE212*0.5+AE279*0.55</f>
        <v>35.14237622708194</v>
      </c>
    </row>
    <row r="314" spans="1:94">
      <c r="A314" s="1130"/>
      <c r="B314" s="1130"/>
      <c r="D314" s="1117"/>
      <c r="E314" s="930" t="s">
        <v>96</v>
      </c>
      <c r="F314" s="1118"/>
      <c r="G314" s="896">
        <f>+InputY!$G$3</f>
        <v>1995</v>
      </c>
      <c r="H314" s="896">
        <f>+G314+1</f>
        <v>1996</v>
      </c>
      <c r="I314" s="896">
        <f t="shared" ref="I314:O314" si="340">+H314+1</f>
        <v>1997</v>
      </c>
      <c r="J314" s="896">
        <f t="shared" si="340"/>
        <v>1998</v>
      </c>
      <c r="K314" s="896">
        <f t="shared" si="340"/>
        <v>1999</v>
      </c>
      <c r="L314" s="896">
        <f t="shared" si="340"/>
        <v>2000</v>
      </c>
      <c r="M314" s="896">
        <f t="shared" si="340"/>
        <v>2001</v>
      </c>
      <c r="N314" s="896">
        <f t="shared" si="340"/>
        <v>2002</v>
      </c>
      <c r="O314" s="896">
        <f t="shared" si="340"/>
        <v>2003</v>
      </c>
      <c r="P314" s="896">
        <f t="shared" ref="P314:V314" si="341">+O314+1</f>
        <v>2004</v>
      </c>
      <c r="Q314" s="896">
        <f t="shared" si="341"/>
        <v>2005</v>
      </c>
      <c r="R314" s="896">
        <f t="shared" si="341"/>
        <v>2006</v>
      </c>
      <c r="S314" s="896">
        <f>+R314+1</f>
        <v>2007</v>
      </c>
      <c r="T314" s="896">
        <f t="shared" si="341"/>
        <v>2008</v>
      </c>
      <c r="U314" s="896">
        <f t="shared" si="341"/>
        <v>2009</v>
      </c>
      <c r="V314" s="896">
        <f t="shared" si="341"/>
        <v>2010</v>
      </c>
      <c r="W314" s="896">
        <f t="shared" ref="W314:AE314" si="342">+V314+1</f>
        <v>2011</v>
      </c>
      <c r="X314" s="896">
        <f t="shared" si="342"/>
        <v>2012</v>
      </c>
      <c r="Y314" s="896">
        <f t="shared" si="342"/>
        <v>2013</v>
      </c>
      <c r="Z314" s="896">
        <f t="shared" si="342"/>
        <v>2014</v>
      </c>
      <c r="AA314" s="896">
        <f t="shared" si="342"/>
        <v>2015</v>
      </c>
      <c r="AB314" s="896">
        <f t="shared" si="342"/>
        <v>2016</v>
      </c>
      <c r="AC314" s="896">
        <f t="shared" si="342"/>
        <v>2017</v>
      </c>
      <c r="AD314" s="896">
        <f t="shared" si="342"/>
        <v>2018</v>
      </c>
      <c r="AE314" s="896">
        <f t="shared" si="342"/>
        <v>2019</v>
      </c>
    </row>
    <row r="315" spans="1:94" s="1295" customFormat="1">
      <c r="A315" s="1448"/>
      <c r="B315" s="1448"/>
      <c r="C315" s="1450"/>
      <c r="D315" s="1451"/>
      <c r="E315" s="1451" t="s">
        <v>1453</v>
      </c>
      <c r="F315" s="1452" t="s">
        <v>1542</v>
      </c>
      <c r="G315" s="1451"/>
      <c r="H315" s="1451">
        <f>+(H309/G309-1)*100</f>
        <v>32.586094866796621</v>
      </c>
      <c r="I315" s="1451">
        <f t="shared" ref="I315:AC315" si="343">+(I309/H309-1)*100</f>
        <v>32.061994609164415</v>
      </c>
      <c r="J315" s="1451">
        <f t="shared" si="343"/>
        <v>-3.6024084090213404</v>
      </c>
      <c r="K315" s="1451">
        <f t="shared" si="343"/>
        <v>-9.1679017573575994</v>
      </c>
      <c r="L315" s="1451">
        <f t="shared" si="343"/>
        <v>-13.486967577876674</v>
      </c>
      <c r="M315" s="1451">
        <f t="shared" si="343"/>
        <v>6.6686262262556584</v>
      </c>
      <c r="N315" s="1451">
        <f t="shared" si="343"/>
        <v>20.605997979241273</v>
      </c>
      <c r="O315" s="1451">
        <f t="shared" si="343"/>
        <v>10.690859933551033</v>
      </c>
      <c r="P315" s="1451">
        <f t="shared" si="343"/>
        <v>15.463607200295847</v>
      </c>
      <c r="Q315" s="1451">
        <f t="shared" si="343"/>
        <v>24.474685854319823</v>
      </c>
      <c r="R315" s="1451">
        <f t="shared" si="343"/>
        <v>21.850147506747007</v>
      </c>
      <c r="S315" s="1451">
        <f t="shared" si="343"/>
        <v>22.467771639042368</v>
      </c>
      <c r="T315" s="1451">
        <f t="shared" si="343"/>
        <v>14.817443609022574</v>
      </c>
      <c r="U315" s="1451">
        <f t="shared" si="343"/>
        <v>-22.492543464442647</v>
      </c>
      <c r="V315" s="1451">
        <f t="shared" si="343"/>
        <v>3.6733296083344191</v>
      </c>
      <c r="W315" s="1451">
        <f t="shared" si="343"/>
        <v>20.20940906483073</v>
      </c>
      <c r="X315" s="1451">
        <f t="shared" si="343"/>
        <v>23.063350363195244</v>
      </c>
      <c r="Y315" s="1451">
        <f t="shared" si="343"/>
        <v>18.493066165236804</v>
      </c>
      <c r="Z315" s="1451">
        <f t="shared" si="343"/>
        <v>4.4405818950020048</v>
      </c>
      <c r="AA315" s="1451">
        <f t="shared" si="343"/>
        <v>1.2879500109208797</v>
      </c>
      <c r="AB315" s="1451">
        <f t="shared" si="343"/>
        <v>7.7937450338343872</v>
      </c>
      <c r="AC315" s="1451">
        <f t="shared" si="343"/>
        <v>16.899984344014207</v>
      </c>
      <c r="AD315" s="1421">
        <f ca="1">OFFSET('VVP1'!$K$101,0,5*(COLUMN()-7))</f>
        <v>9.6949999999999861</v>
      </c>
      <c r="AE315" s="1421">
        <f ca="1">OFFSET('VVP1'!$K$101,0,5*(COLUMN()-7))</f>
        <v>6.9979999999999931</v>
      </c>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row>
    <row r="316" spans="1:94">
      <c r="A316" s="1130"/>
      <c r="B316" s="1130"/>
      <c r="C316" s="979"/>
      <c r="D316" s="1121"/>
      <c r="E316" s="1122" t="s">
        <v>1454</v>
      </c>
      <c r="F316" s="1121" t="s">
        <v>1436</v>
      </c>
      <c r="G316" s="1123"/>
      <c r="H316" s="1123">
        <f>+(H310/G310-1)*100</f>
        <v>34.490850731650525</v>
      </c>
      <c r="I316" s="1123">
        <f t="shared" ref="I316:AC316" si="344">+(I310/H310-1)*100</f>
        <v>29.195838230310578</v>
      </c>
      <c r="J316" s="1123">
        <f t="shared" si="344"/>
        <v>3.0706037961190535</v>
      </c>
      <c r="K316" s="1123">
        <f t="shared" si="344"/>
        <v>-19.756883341906505</v>
      </c>
      <c r="L316" s="1123">
        <f t="shared" si="344"/>
        <v>16.126732210053738</v>
      </c>
      <c r="M316" s="1123">
        <f t="shared" si="344"/>
        <v>19.243292032175763</v>
      </c>
      <c r="N316" s="1123">
        <f t="shared" si="344"/>
        <v>13.855824832694452</v>
      </c>
      <c r="O316" s="1123">
        <f t="shared" si="344"/>
        <v>6.9644849359861372</v>
      </c>
      <c r="P316" s="1123">
        <f t="shared" si="344"/>
        <v>14.381554606213465</v>
      </c>
      <c r="Q316" s="1123">
        <f t="shared" si="344"/>
        <v>30.086195436959095</v>
      </c>
      <c r="R316" s="1123">
        <f t="shared" si="344"/>
        <v>23.951663722065497</v>
      </c>
      <c r="S316" s="1123">
        <f t="shared" si="344"/>
        <v>15.288550960872339</v>
      </c>
      <c r="T316" s="1123">
        <f t="shared" si="344"/>
        <v>22.959923272678683</v>
      </c>
      <c r="U316" s="1123">
        <f t="shared" si="344"/>
        <v>-37.645389767009071</v>
      </c>
      <c r="V316" s="1123">
        <f t="shared" si="344"/>
        <v>35.31262655392888</v>
      </c>
      <c r="W316" s="1123">
        <f t="shared" si="344"/>
        <v>29.914452399220504</v>
      </c>
      <c r="X316" s="1123">
        <f t="shared" si="344"/>
        <v>9.5063149870293628</v>
      </c>
      <c r="Y316" s="1123">
        <f t="shared" si="344"/>
        <v>5.8989103087175421</v>
      </c>
      <c r="Z316" s="1123">
        <f t="shared" si="344"/>
        <v>-0.92789872535827822</v>
      </c>
      <c r="AA316" s="1123">
        <f t="shared" si="344"/>
        <v>-1.5802235888777605</v>
      </c>
      <c r="AB316" s="1123">
        <f t="shared" si="344"/>
        <v>-2.4939208800688895</v>
      </c>
      <c r="AC316" s="1123">
        <f t="shared" si="344"/>
        <v>17.405905780201646</v>
      </c>
      <c r="AD316" s="1424">
        <f ca="1">OFFSET('VVP1'!$K$102,0,5*(COLUMN()-7))</f>
        <v>9.1624999999999837</v>
      </c>
      <c r="AE316" s="1424">
        <f ca="1">OFFSET('VVP1'!$K$102,0,5*(COLUMN()-7))</f>
        <v>6.7780000000000173</v>
      </c>
    </row>
    <row r="317" spans="1:94">
      <c r="A317" s="664"/>
      <c r="B317" s="664"/>
      <c r="D317" s="1097"/>
      <c r="E317" s="1098" t="s">
        <v>1455</v>
      </c>
      <c r="F317" s="1097" t="s">
        <v>1886</v>
      </c>
      <c r="G317" s="1099"/>
      <c r="H317" s="1099">
        <f>+(H311/G311-1)*100</f>
        <v>34.175003841705553</v>
      </c>
      <c r="I317" s="1099">
        <f t="shared" ref="I317:AC317" si="345">+(I311/H311-1)*100</f>
        <v>29.665617829429337</v>
      </c>
      <c r="J317" s="1099">
        <f t="shared" si="345"/>
        <v>1.9560292435901738</v>
      </c>
      <c r="K317" s="1099">
        <f t="shared" si="345"/>
        <v>-18.084658513194551</v>
      </c>
      <c r="L317" s="1099">
        <f t="shared" si="345"/>
        <v>10.941033933180089</v>
      </c>
      <c r="M317" s="1099">
        <f t="shared" si="345"/>
        <v>17.526173194634922</v>
      </c>
      <c r="N317" s="1099">
        <f t="shared" si="345"/>
        <v>14.692430727897833</v>
      </c>
      <c r="O317" s="1099">
        <f t="shared" si="345"/>
        <v>7.4501386502230149</v>
      </c>
      <c r="P317" s="1099">
        <f t="shared" si="345"/>
        <v>14.526830417351766</v>
      </c>
      <c r="Q317" s="1099">
        <f t="shared" si="345"/>
        <v>29.326634665505203</v>
      </c>
      <c r="R317" s="1099">
        <f t="shared" si="345"/>
        <v>23.677879368088849</v>
      </c>
      <c r="S317" s="1099">
        <f t="shared" si="345"/>
        <v>16.210033717192871</v>
      </c>
      <c r="T317" s="1099">
        <f t="shared" si="345"/>
        <v>21.858578253756811</v>
      </c>
      <c r="U317" s="1099">
        <f t="shared" si="345"/>
        <v>-35.714231663754823</v>
      </c>
      <c r="V317" s="1099">
        <f t="shared" si="345"/>
        <v>30.450939879298833</v>
      </c>
      <c r="W317" s="1099">
        <f t="shared" si="345"/>
        <v>28.729268278442397</v>
      </c>
      <c r="X317" s="1099">
        <f t="shared" si="345"/>
        <v>11.052373116241432</v>
      </c>
      <c r="Y317" s="1099">
        <f t="shared" si="345"/>
        <v>7.4904179635476131</v>
      </c>
      <c r="Z317" s="1099">
        <f t="shared" si="345"/>
        <v>-0.18003068673486666</v>
      </c>
      <c r="AA317" s="1099">
        <f t="shared" si="345"/>
        <v>-1.1621710469401414</v>
      </c>
      <c r="AB317" s="1099">
        <f t="shared" si="345"/>
        <v>-0.95726411940069145</v>
      </c>
      <c r="AC317" s="1099">
        <f t="shared" si="345"/>
        <v>17.323659922875233</v>
      </c>
      <c r="AD317" s="1426">
        <f ca="1">OFFSET('VVP1'!$K$103,0,5*(COLUMN()-7))</f>
        <v>9.2487540335993046</v>
      </c>
      <c r="AE317" s="1426">
        <f ca="1">OFFSET('VVP1'!$K$103,0,5*(COLUMN()-7))</f>
        <v>6.8137810286927225</v>
      </c>
    </row>
    <row r="318" spans="1:94">
      <c r="Q318" s="1692"/>
      <c r="R318" s="1692"/>
      <c r="S318" s="1692"/>
      <c r="T318" s="1692"/>
      <c r="U318" s="1692"/>
      <c r="V318" s="1692"/>
      <c r="W318" s="1692"/>
      <c r="X318" s="1692"/>
      <c r="Y318" s="1692"/>
      <c r="Z318" s="1692"/>
      <c r="AA318" s="1692"/>
      <c r="AB318" s="1692"/>
      <c r="AC318" s="1692"/>
      <c r="AD318" s="1692"/>
      <c r="AE318" s="1692"/>
    </row>
    <row r="319" spans="1:94">
      <c r="A319" s="1130"/>
      <c r="D319" s="1417"/>
      <c r="E319" s="1075" t="s">
        <v>626</v>
      </c>
      <c r="F319" s="1418"/>
      <c r="G319" s="698">
        <f>+InputY!$G$3</f>
        <v>1995</v>
      </c>
      <c r="H319" s="698">
        <f>+G319+1</f>
        <v>1996</v>
      </c>
      <c r="I319" s="698">
        <f t="shared" ref="I319:O319" si="346">+H319+1</f>
        <v>1997</v>
      </c>
      <c r="J319" s="698">
        <f t="shared" si="346"/>
        <v>1998</v>
      </c>
      <c r="K319" s="698">
        <f t="shared" si="346"/>
        <v>1999</v>
      </c>
      <c r="L319" s="698">
        <f t="shared" si="346"/>
        <v>2000</v>
      </c>
      <c r="M319" s="698">
        <f t="shared" si="346"/>
        <v>2001</v>
      </c>
      <c r="N319" s="698">
        <f t="shared" si="346"/>
        <v>2002</v>
      </c>
      <c r="O319" s="698">
        <f t="shared" si="346"/>
        <v>2003</v>
      </c>
      <c r="P319" s="698">
        <f t="shared" ref="P319:V319" si="347">+O319+1</f>
        <v>2004</v>
      </c>
      <c r="Q319" s="698">
        <f t="shared" si="347"/>
        <v>2005</v>
      </c>
      <c r="R319" s="698">
        <f t="shared" si="347"/>
        <v>2006</v>
      </c>
      <c r="S319" s="698">
        <f>+R319+1</f>
        <v>2007</v>
      </c>
      <c r="T319" s="698">
        <f t="shared" si="347"/>
        <v>2008</v>
      </c>
      <c r="U319" s="698">
        <f t="shared" si="347"/>
        <v>2009</v>
      </c>
      <c r="V319" s="698">
        <f t="shared" si="347"/>
        <v>2010</v>
      </c>
      <c r="W319" s="698">
        <f t="shared" ref="W319:AE319" si="348">+V319+1</f>
        <v>2011</v>
      </c>
      <c r="X319" s="698">
        <f t="shared" si="348"/>
        <v>2012</v>
      </c>
      <c r="Y319" s="698">
        <f t="shared" si="348"/>
        <v>2013</v>
      </c>
      <c r="Z319" s="698">
        <f t="shared" si="348"/>
        <v>2014</v>
      </c>
      <c r="AA319" s="698">
        <f t="shared" si="348"/>
        <v>2015</v>
      </c>
      <c r="AB319" s="698">
        <f t="shared" si="348"/>
        <v>2016</v>
      </c>
      <c r="AC319" s="698">
        <f t="shared" si="348"/>
        <v>2017</v>
      </c>
      <c r="AD319" s="698">
        <f t="shared" si="348"/>
        <v>2018</v>
      </c>
      <c r="AE319" s="698">
        <f t="shared" si="348"/>
        <v>2019</v>
      </c>
    </row>
    <row r="320" spans="1:94">
      <c r="A320" s="664">
        <f>+ROW(InputY!A261)</f>
        <v>261</v>
      </c>
      <c r="B320" s="665">
        <v>150</v>
      </c>
      <c r="C320" s="1079" t="s">
        <v>1767</v>
      </c>
      <c r="D320" s="1058"/>
      <c r="E320" s="1038" t="s">
        <v>402</v>
      </c>
      <c r="F320" s="1058" t="s">
        <v>83</v>
      </c>
      <c r="G320" s="1084" t="e">
        <f>+InputY!G261/1000</f>
        <v>#VALUE!</v>
      </c>
      <c r="H320" s="1084" t="e">
        <f>+InputY!H261/1000</f>
        <v>#VALUE!</v>
      </c>
      <c r="I320" s="1084" t="e">
        <f>+InputY!I261/1000</f>
        <v>#VALUE!</v>
      </c>
      <c r="J320" s="1084" t="e">
        <f>+InputY!J261/1000</f>
        <v>#VALUE!</v>
      </c>
      <c r="K320" s="1084">
        <f>+InputY!K261/1000</f>
        <v>3.2407852567684778</v>
      </c>
      <c r="L320" s="1084">
        <f>+InputY!L261/1000</f>
        <v>3.3351650053206674</v>
      </c>
      <c r="M320" s="1084">
        <f>+InputY!M261/1000</f>
        <v>3.848407547340623</v>
      </c>
      <c r="N320" s="1084">
        <f>+InputY!N261/1000</f>
        <v>4.5366989492076</v>
      </c>
      <c r="O320" s="1084">
        <f>+InputY!O261/1000</f>
        <v>4.7863298730296568</v>
      </c>
      <c r="P320" s="1084">
        <f>+InputY!P261/1000</f>
        <v>6.3279125068471966</v>
      </c>
      <c r="Q320" s="1084">
        <f>+InputY!Q261/1000</f>
        <v>7.4370991621200488</v>
      </c>
      <c r="R320" s="1084">
        <f>+InputY!R261/1000</f>
        <v>9.6872999999999987</v>
      </c>
      <c r="S320" s="1084">
        <f>+InputY!S261/1000</f>
        <v>12.179600000000002</v>
      </c>
      <c r="T320" s="1084">
        <f>+InputY!T261/1000</f>
        <v>12.173700000000002</v>
      </c>
      <c r="U320" s="1084">
        <f>+InputY!U261/1000</f>
        <v>7.7571000000000003</v>
      </c>
      <c r="V320" s="1084">
        <f>+InputY!V261/1000</f>
        <v>9.9933999999999994</v>
      </c>
      <c r="W320" s="1084">
        <f>+InputY!W261/1000</f>
        <v>12.954800000000001</v>
      </c>
      <c r="X320" s="1084">
        <f>+InputY!X261/1000</f>
        <v>14.3413</v>
      </c>
      <c r="Y320" s="1084">
        <f>+InputY!Y261/1000</f>
        <v>15.8088</v>
      </c>
      <c r="Z320" s="1084">
        <f>+InputY!Z261/1000</f>
        <v>16.982299999999999</v>
      </c>
      <c r="AA320" s="1084">
        <f>+InputY!AA261/1000</f>
        <v>17.198700000000002</v>
      </c>
      <c r="AB320" s="1084">
        <f>+InputY!AB261/1000</f>
        <v>17.5396</v>
      </c>
      <c r="AC320" s="1084">
        <f>+InputY!AC261/1000</f>
        <v>20.116099999999996</v>
      </c>
      <c r="AD320" s="1416">
        <f t="shared" ref="AD320:AE322" ca="1" si="349">+AC320*(1+AD325/100)</f>
        <v>21.737308793711836</v>
      </c>
      <c r="AE320" s="1416">
        <f t="shared" ca="1" si="349"/>
        <v>23.191216748882496</v>
      </c>
    </row>
    <row r="321" spans="1:94">
      <c r="A321" s="664">
        <f>+ROW(InputY!A262)</f>
        <v>262</v>
      </c>
      <c r="B321" s="665">
        <v>152</v>
      </c>
      <c r="C321" s="1081" t="s">
        <v>1767</v>
      </c>
      <c r="D321" s="1077"/>
      <c r="E321" s="1039" t="s">
        <v>142</v>
      </c>
      <c r="F321" s="1077" t="s">
        <v>85</v>
      </c>
      <c r="G321" s="1085" t="e">
        <f>+InputY!G262/1000</f>
        <v>#VALUE!</v>
      </c>
      <c r="H321" s="1085" t="e">
        <f>+InputY!H262/1000</f>
        <v>#VALUE!</v>
      </c>
      <c r="I321" s="1085" t="e">
        <f>+InputY!I262/1000</f>
        <v>#VALUE!</v>
      </c>
      <c r="J321" s="1085" t="e">
        <f>+InputY!J262/1000</f>
        <v>#VALUE!</v>
      </c>
      <c r="K321" s="1085">
        <f>+InputY!K262/1000</f>
        <v>2.1305551120253718</v>
      </c>
      <c r="L321" s="1085">
        <f>+InputY!L262/1000</f>
        <v>2.7447367761346153</v>
      </c>
      <c r="M321" s="1085">
        <f>+InputY!M262/1000</f>
        <v>3.1762097607172723</v>
      </c>
      <c r="N321" s="1085">
        <f>+InputY!N262/1000</f>
        <v>3.4369902993290085</v>
      </c>
      <c r="O321" s="1085">
        <f>+InputY!O262/1000</f>
        <v>3.7393452129381379</v>
      </c>
      <c r="P321" s="1085">
        <f>+InputY!P262/1000</f>
        <v>3.6305645494656513</v>
      </c>
      <c r="Q321" s="1085">
        <f>+InputY!Q262/1000</f>
        <v>5.0605994298617372</v>
      </c>
      <c r="R321" s="1085">
        <f>+InputY!R262/1000</f>
        <v>5.7422000000000004</v>
      </c>
      <c r="S321" s="1085">
        <f>+InputY!S262/1000</f>
        <v>5.6330999999999989</v>
      </c>
      <c r="T321" s="1085">
        <f>+InputY!T262/1000</f>
        <v>8.9702000000000002</v>
      </c>
      <c r="U321" s="1085">
        <f>+InputY!U262/1000</f>
        <v>5.3657999999999983</v>
      </c>
      <c r="V321" s="1085">
        <f>+InputY!V262/1000</f>
        <v>7.6598000000000006</v>
      </c>
      <c r="W321" s="1085">
        <f>+InputY!W262/1000</f>
        <v>9.8710000000000022</v>
      </c>
      <c r="X321" s="1085">
        <f>+InputY!X262/1000</f>
        <v>10.537599999999999</v>
      </c>
      <c r="Y321" s="1085">
        <f>+InputY!Y262/1000</f>
        <v>10.398899999999999</v>
      </c>
      <c r="Z321" s="1085">
        <f>+InputY!Z262/1000</f>
        <v>8.9072000000000013</v>
      </c>
      <c r="AA321" s="1085">
        <f>+InputY!AA262/1000</f>
        <v>8.2009000000000007</v>
      </c>
      <c r="AB321" s="1085">
        <f>+InputY!AB262/1000</f>
        <v>7.1599000000000013</v>
      </c>
      <c r="AC321" s="1085">
        <f>+InputY!AC262/1000</f>
        <v>8.679700000000004</v>
      </c>
      <c r="AD321" s="1342">
        <f t="shared" ca="1" si="349"/>
        <v>9.721264000000005</v>
      </c>
      <c r="AE321" s="1342">
        <f t="shared" ca="1" si="349"/>
        <v>10.401752480000006</v>
      </c>
    </row>
    <row r="322" spans="1:94">
      <c r="A322" s="664"/>
      <c r="B322" s="664"/>
      <c r="C322" s="694" t="s">
        <v>1769</v>
      </c>
      <c r="D322" s="771"/>
      <c r="E322" s="770" t="s">
        <v>143</v>
      </c>
      <c r="F322" s="771" t="s">
        <v>145</v>
      </c>
      <c r="G322" s="1419" t="e">
        <f t="shared" ref="G322:W322" si="350">+G320+G321</f>
        <v>#VALUE!</v>
      </c>
      <c r="H322" s="1419" t="e">
        <f t="shared" si="350"/>
        <v>#VALUE!</v>
      </c>
      <c r="I322" s="1419" t="e">
        <f t="shared" si="350"/>
        <v>#VALUE!</v>
      </c>
      <c r="J322" s="1419" t="e">
        <f t="shared" si="350"/>
        <v>#VALUE!</v>
      </c>
      <c r="K322" s="1419">
        <f t="shared" si="350"/>
        <v>5.3713403687938497</v>
      </c>
      <c r="L322" s="1419">
        <f t="shared" si="350"/>
        <v>6.0799017814552823</v>
      </c>
      <c r="M322" s="1419">
        <f t="shared" si="350"/>
        <v>7.0246173080578949</v>
      </c>
      <c r="N322" s="1419">
        <f t="shared" si="350"/>
        <v>7.9736892485366084</v>
      </c>
      <c r="O322" s="1419">
        <f t="shared" si="350"/>
        <v>8.5256750859677943</v>
      </c>
      <c r="P322" s="1419">
        <f t="shared" si="350"/>
        <v>9.958477056312848</v>
      </c>
      <c r="Q322" s="1419">
        <f t="shared" si="350"/>
        <v>12.497698591981786</v>
      </c>
      <c r="R322" s="1419">
        <f t="shared" si="350"/>
        <v>15.429499999999999</v>
      </c>
      <c r="S322" s="1419">
        <f t="shared" si="350"/>
        <v>17.8127</v>
      </c>
      <c r="T322" s="1419">
        <f t="shared" si="350"/>
        <v>21.143900000000002</v>
      </c>
      <c r="U322" s="1419">
        <f t="shared" si="350"/>
        <v>13.122899999999998</v>
      </c>
      <c r="V322" s="1419">
        <f t="shared" si="350"/>
        <v>17.653199999999998</v>
      </c>
      <c r="W322" s="1419">
        <f t="shared" si="350"/>
        <v>22.825800000000001</v>
      </c>
      <c r="X322" s="1419">
        <f t="shared" ref="X322:AC322" si="351">+X320+X321</f>
        <v>24.878900000000002</v>
      </c>
      <c r="Y322" s="1419">
        <f t="shared" si="351"/>
        <v>26.207699999999999</v>
      </c>
      <c r="Z322" s="1419">
        <f t="shared" si="351"/>
        <v>25.889499999999998</v>
      </c>
      <c r="AA322" s="1419">
        <f t="shared" si="351"/>
        <v>25.399600000000003</v>
      </c>
      <c r="AB322" s="1419">
        <f t="shared" si="351"/>
        <v>24.6995</v>
      </c>
      <c r="AC322" s="1419">
        <f t="shared" si="351"/>
        <v>28.7958</v>
      </c>
      <c r="AD322" s="872">
        <f t="shared" ca="1" si="349"/>
        <v>31.434215174999995</v>
      </c>
      <c r="AE322" s="872">
        <f t="shared" ca="1" si="349"/>
        <v>33.564826279561501</v>
      </c>
    </row>
    <row r="323" spans="1:94">
      <c r="AB323" s="557"/>
      <c r="AC323" s="557"/>
      <c r="AD323" s="557"/>
      <c r="AE323" s="557"/>
    </row>
    <row r="324" spans="1:94" s="699" customFormat="1" ht="12.75" customHeight="1">
      <c r="A324" s="664"/>
      <c r="B324" s="664"/>
      <c r="C324" s="774"/>
      <c r="D324" s="1092"/>
      <c r="E324" s="1093" t="s">
        <v>626</v>
      </c>
      <c r="F324" s="1094"/>
      <c r="G324" s="896">
        <f>+InputY!$G$3</f>
        <v>1995</v>
      </c>
      <c r="H324" s="896">
        <f>+G324+1</f>
        <v>1996</v>
      </c>
      <c r="I324" s="896">
        <f t="shared" ref="I324:O324" si="352">+H324+1</f>
        <v>1997</v>
      </c>
      <c r="J324" s="896">
        <f t="shared" si="352"/>
        <v>1998</v>
      </c>
      <c r="K324" s="896">
        <f t="shared" si="352"/>
        <v>1999</v>
      </c>
      <c r="L324" s="896">
        <f t="shared" si="352"/>
        <v>2000</v>
      </c>
      <c r="M324" s="896">
        <f t="shared" si="352"/>
        <v>2001</v>
      </c>
      <c r="N324" s="896">
        <f t="shared" si="352"/>
        <v>2002</v>
      </c>
      <c r="O324" s="896">
        <f t="shared" si="352"/>
        <v>2003</v>
      </c>
      <c r="P324" s="896">
        <f t="shared" ref="P324:V324" si="353">+O324+1</f>
        <v>2004</v>
      </c>
      <c r="Q324" s="896">
        <f t="shared" si="353"/>
        <v>2005</v>
      </c>
      <c r="R324" s="896">
        <f t="shared" si="353"/>
        <v>2006</v>
      </c>
      <c r="S324" s="896">
        <f>+R324+1</f>
        <v>2007</v>
      </c>
      <c r="T324" s="896">
        <f t="shared" si="353"/>
        <v>2008</v>
      </c>
      <c r="U324" s="896">
        <f t="shared" si="353"/>
        <v>2009</v>
      </c>
      <c r="V324" s="896">
        <f t="shared" si="353"/>
        <v>2010</v>
      </c>
      <c r="W324" s="896">
        <f t="shared" ref="W324:AE324" si="354">+V324+1</f>
        <v>2011</v>
      </c>
      <c r="X324" s="896">
        <f t="shared" si="354"/>
        <v>2012</v>
      </c>
      <c r="Y324" s="896">
        <f t="shared" si="354"/>
        <v>2013</v>
      </c>
      <c r="Z324" s="896">
        <f t="shared" si="354"/>
        <v>2014</v>
      </c>
      <c r="AA324" s="896">
        <f t="shared" si="354"/>
        <v>2015</v>
      </c>
      <c r="AB324" s="896">
        <f t="shared" si="354"/>
        <v>2016</v>
      </c>
      <c r="AC324" s="896">
        <f t="shared" si="354"/>
        <v>2017</v>
      </c>
      <c r="AD324" s="896">
        <f t="shared" si="354"/>
        <v>2018</v>
      </c>
      <c r="AE324" s="896">
        <f t="shared" si="354"/>
        <v>2019</v>
      </c>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row>
    <row r="325" spans="1:94" s="699" customFormat="1" ht="12.75" customHeight="1">
      <c r="A325" s="664"/>
      <c r="B325" s="664"/>
      <c r="C325" s="794"/>
      <c r="D325" s="689"/>
      <c r="E325" s="738" t="s">
        <v>402</v>
      </c>
      <c r="F325" s="733" t="s">
        <v>83</v>
      </c>
      <c r="G325" s="1095"/>
      <c r="H325" s="1095" t="e">
        <f t="shared" ref="H325:S325" si="355">+(H320/G320-1)*100</f>
        <v>#VALUE!</v>
      </c>
      <c r="I325" s="1095" t="e">
        <f t="shared" si="355"/>
        <v>#VALUE!</v>
      </c>
      <c r="J325" s="1095" t="e">
        <f t="shared" si="355"/>
        <v>#VALUE!</v>
      </c>
      <c r="K325" s="1095" t="e">
        <f t="shared" si="355"/>
        <v>#VALUE!</v>
      </c>
      <c r="L325" s="1095">
        <f t="shared" si="355"/>
        <v>2.9122493801486682</v>
      </c>
      <c r="M325" s="1095">
        <f t="shared" si="355"/>
        <v>15.388820079401388</v>
      </c>
      <c r="N325" s="1095">
        <f t="shared" si="355"/>
        <v>17.88509645613312</v>
      </c>
      <c r="O325" s="1095">
        <f t="shared" si="355"/>
        <v>5.5024793713865039</v>
      </c>
      <c r="P325" s="1095">
        <f t="shared" si="355"/>
        <v>32.208031512916733</v>
      </c>
      <c r="Q325" s="1095">
        <f>+(Q320/P320-1)*100</f>
        <v>17.528476477395081</v>
      </c>
      <c r="R325" s="1095">
        <f>+(R320/Q320-1)*100</f>
        <v>30.256431826821295</v>
      </c>
      <c r="S325" s="1095">
        <f t="shared" si="355"/>
        <v>25.727498890299707</v>
      </c>
      <c r="T325" s="1095">
        <f t="shared" ref="T325:AC325" si="356">+(T320/S320-1)*100</f>
        <v>-4.8441656540443301E-2</v>
      </c>
      <c r="U325" s="1095">
        <f t="shared" si="356"/>
        <v>-36.279849183074994</v>
      </c>
      <c r="V325" s="1095">
        <f t="shared" si="356"/>
        <v>28.829072720475413</v>
      </c>
      <c r="W325" s="1095">
        <f t="shared" si="356"/>
        <v>29.633558148377936</v>
      </c>
      <c r="X325" s="1095">
        <f t="shared" si="356"/>
        <v>10.702596720906543</v>
      </c>
      <c r="Y325" s="1095">
        <f t="shared" si="356"/>
        <v>10.232684624127518</v>
      </c>
      <c r="Z325" s="1095">
        <f t="shared" si="356"/>
        <v>7.4230808157481842</v>
      </c>
      <c r="AA325" s="1095">
        <f t="shared" si="356"/>
        <v>1.2742679142401458</v>
      </c>
      <c r="AB325" s="1095">
        <f t="shared" si="356"/>
        <v>1.9821265560769019</v>
      </c>
      <c r="AC325" s="1095">
        <f t="shared" si="356"/>
        <v>14.689616638919901</v>
      </c>
      <c r="AD325" s="1411">
        <f ca="1">OFFSET('VVP1'!$K$109,0,5*(COLUMN()-7))</f>
        <v>8.0592599644654825</v>
      </c>
      <c r="AE325" s="1411">
        <f ca="1">OFFSET('VVP1'!$K$109,0,5*(COLUMN()-7))</f>
        <v>6.6885370630206387</v>
      </c>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row>
    <row r="326" spans="1:94" s="699" customFormat="1" ht="12.75" customHeight="1">
      <c r="A326" s="664"/>
      <c r="B326" s="664"/>
      <c r="C326" s="796"/>
      <c r="D326" s="691"/>
      <c r="E326" s="797" t="s">
        <v>142</v>
      </c>
      <c r="F326" s="736" t="s">
        <v>85</v>
      </c>
      <c r="G326" s="1096"/>
      <c r="H326" s="1096" t="e">
        <f t="shared" ref="H326:AC326" si="357">+(H321/G321-1)*100</f>
        <v>#VALUE!</v>
      </c>
      <c r="I326" s="1096" t="e">
        <f t="shared" si="357"/>
        <v>#VALUE!</v>
      </c>
      <c r="J326" s="1096" t="e">
        <f t="shared" si="357"/>
        <v>#VALUE!</v>
      </c>
      <c r="K326" s="1096" t="e">
        <f t="shared" si="357"/>
        <v>#VALUE!</v>
      </c>
      <c r="L326" s="1096">
        <f t="shared" si="357"/>
        <v>28.827307054516105</v>
      </c>
      <c r="M326" s="1096">
        <f t="shared" si="357"/>
        <v>15.720013238948759</v>
      </c>
      <c r="N326" s="1096">
        <f t="shared" si="357"/>
        <v>8.2104318750297232</v>
      </c>
      <c r="O326" s="1096">
        <f t="shared" si="357"/>
        <v>8.7970837062925966</v>
      </c>
      <c r="P326" s="1096">
        <f t="shared" si="357"/>
        <v>-2.9090832024843638</v>
      </c>
      <c r="Q326" s="1096">
        <f t="shared" si="357"/>
        <v>39.388774415443436</v>
      </c>
      <c r="R326" s="1096">
        <f t="shared" si="357"/>
        <v>13.468771428859871</v>
      </c>
      <c r="S326" s="1096">
        <f t="shared" si="357"/>
        <v>-1.8999686531294913</v>
      </c>
      <c r="T326" s="1096">
        <f t="shared" si="357"/>
        <v>59.240915304184227</v>
      </c>
      <c r="U326" s="1096">
        <f t="shared" si="357"/>
        <v>-40.181935742792817</v>
      </c>
      <c r="V326" s="1096">
        <f t="shared" si="357"/>
        <v>42.752245704275268</v>
      </c>
      <c r="W326" s="1096">
        <f t="shared" si="357"/>
        <v>28.867594454163314</v>
      </c>
      <c r="X326" s="1096">
        <f t="shared" si="357"/>
        <v>6.7531151858980509</v>
      </c>
      <c r="Y326" s="1096">
        <f t="shared" si="357"/>
        <v>-1.3162389918007888</v>
      </c>
      <c r="Z326" s="1096">
        <f t="shared" si="357"/>
        <v>-14.344786467799464</v>
      </c>
      <c r="AA326" s="1096">
        <f t="shared" si="357"/>
        <v>-7.9295401472965761</v>
      </c>
      <c r="AB326" s="1096">
        <f t="shared" si="357"/>
        <v>-12.693728737089828</v>
      </c>
      <c r="AC326" s="1096">
        <f t="shared" si="357"/>
        <v>21.226553443483876</v>
      </c>
      <c r="AD326" s="1412">
        <f ca="1">OFFSET('VVP1'!$K$110,0,5*(COLUMN()-7))</f>
        <v>12</v>
      </c>
      <c r="AE326" s="1412">
        <f ca="1">OFFSET('VVP1'!$K$110,0,5*(COLUMN()-7))</f>
        <v>7</v>
      </c>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row>
    <row r="327" spans="1:94" s="699" customFormat="1" ht="12.75" customHeight="1">
      <c r="A327" s="664"/>
      <c r="B327" s="664"/>
      <c r="C327" s="774"/>
      <c r="D327" s="717"/>
      <c r="E327" s="722" t="s">
        <v>143</v>
      </c>
      <c r="F327" s="723" t="s">
        <v>145</v>
      </c>
      <c r="G327" s="721"/>
      <c r="H327" s="721" t="e">
        <f t="shared" ref="H327:AC327" si="358">+(H322/G322-1)*100</f>
        <v>#VALUE!</v>
      </c>
      <c r="I327" s="721" t="e">
        <f t="shared" si="358"/>
        <v>#VALUE!</v>
      </c>
      <c r="J327" s="721" t="e">
        <f t="shared" si="358"/>
        <v>#VALUE!</v>
      </c>
      <c r="K327" s="721" t="e">
        <f t="shared" si="358"/>
        <v>#VALUE!</v>
      </c>
      <c r="L327" s="721">
        <f t="shared" si="358"/>
        <v>13.191519509320205</v>
      </c>
      <c r="M327" s="721">
        <f t="shared" si="358"/>
        <v>15.538335331076446</v>
      </c>
      <c r="N327" s="721">
        <f t="shared" si="358"/>
        <v>13.510656863684778</v>
      </c>
      <c r="O327" s="721">
        <f t="shared" si="358"/>
        <v>6.9225902869551881</v>
      </c>
      <c r="P327" s="721">
        <f t="shared" si="358"/>
        <v>16.805730407240937</v>
      </c>
      <c r="Q327" s="721">
        <f t="shared" si="358"/>
        <v>25.498090936096318</v>
      </c>
      <c r="R327" s="721">
        <f t="shared" si="358"/>
        <v>23.458730312948852</v>
      </c>
      <c r="S327" s="721">
        <f t="shared" si="358"/>
        <v>15.445737062121268</v>
      </c>
      <c r="T327" s="721">
        <f t="shared" si="358"/>
        <v>18.701263705109294</v>
      </c>
      <c r="U327" s="721">
        <f t="shared" si="358"/>
        <v>-37.935291029564098</v>
      </c>
      <c r="V327" s="721">
        <f t="shared" si="358"/>
        <v>34.522094963765639</v>
      </c>
      <c r="W327" s="721">
        <f t="shared" si="358"/>
        <v>29.301203181292923</v>
      </c>
      <c r="X327" s="721">
        <f t="shared" si="358"/>
        <v>8.994646408888185</v>
      </c>
      <c r="Y327" s="721">
        <f t="shared" si="358"/>
        <v>5.3410721535116057</v>
      </c>
      <c r="Z327" s="721">
        <f t="shared" si="358"/>
        <v>-1.2141469873357846</v>
      </c>
      <c r="AA327" s="721">
        <f t="shared" si="358"/>
        <v>-1.8922729291797613</v>
      </c>
      <c r="AB327" s="721">
        <f t="shared" si="358"/>
        <v>-2.756342619568819</v>
      </c>
      <c r="AC327" s="721">
        <f t="shared" si="358"/>
        <v>16.584546245875419</v>
      </c>
      <c r="AD327" s="1413">
        <f ca="1">OFFSET('VVP1'!$K$111,0,5*(COLUMN()-7))</f>
        <v>9.1624999999999837</v>
      </c>
      <c r="AE327" s="1413">
        <f ca="1">OFFSET('VVP1'!$K$111,0,5*(COLUMN()-7))</f>
        <v>6.7780000000000173</v>
      </c>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row>
    <row r="328" spans="1:94">
      <c r="AB328" s="557"/>
      <c r="AC328" s="557"/>
      <c r="AD328" s="557"/>
      <c r="AE328" s="557"/>
    </row>
    <row r="329" spans="1:94">
      <c r="A329" s="1130"/>
      <c r="B329" s="1130"/>
      <c r="D329" s="1074"/>
      <c r="E329" s="1075" t="s">
        <v>97</v>
      </c>
      <c r="F329" s="1065"/>
      <c r="G329" s="778">
        <f>+InputY!$G$3</f>
        <v>1995</v>
      </c>
      <c r="H329" s="778">
        <f>+G329+1</f>
        <v>1996</v>
      </c>
      <c r="I329" s="778">
        <f t="shared" ref="I329:O329" si="359">+H329+1</f>
        <v>1997</v>
      </c>
      <c r="J329" s="778">
        <f t="shared" si="359"/>
        <v>1998</v>
      </c>
      <c r="K329" s="778">
        <f t="shared" si="359"/>
        <v>1999</v>
      </c>
      <c r="L329" s="778">
        <f t="shared" si="359"/>
        <v>2000</v>
      </c>
      <c r="M329" s="778">
        <f t="shared" si="359"/>
        <v>2001</v>
      </c>
      <c r="N329" s="778">
        <f t="shared" si="359"/>
        <v>2002</v>
      </c>
      <c r="O329" s="778">
        <f t="shared" si="359"/>
        <v>2003</v>
      </c>
      <c r="P329" s="778">
        <f t="shared" ref="P329:V329" si="360">+O329+1</f>
        <v>2004</v>
      </c>
      <c r="Q329" s="778">
        <f t="shared" si="360"/>
        <v>2005</v>
      </c>
      <c r="R329" s="778">
        <f t="shared" si="360"/>
        <v>2006</v>
      </c>
      <c r="S329" s="778">
        <f>+R329+1</f>
        <v>2007</v>
      </c>
      <c r="T329" s="778">
        <f t="shared" si="360"/>
        <v>2008</v>
      </c>
      <c r="U329" s="778">
        <f t="shared" si="360"/>
        <v>2009</v>
      </c>
      <c r="V329" s="778">
        <f t="shared" si="360"/>
        <v>2010</v>
      </c>
      <c r="W329" s="778">
        <f t="shared" ref="W329:AE329" si="361">+V329+1</f>
        <v>2011</v>
      </c>
      <c r="X329" s="778">
        <f t="shared" si="361"/>
        <v>2012</v>
      </c>
      <c r="Y329" s="778">
        <f t="shared" si="361"/>
        <v>2013</v>
      </c>
      <c r="Z329" s="778">
        <f t="shared" si="361"/>
        <v>2014</v>
      </c>
      <c r="AA329" s="778">
        <f t="shared" si="361"/>
        <v>2015</v>
      </c>
      <c r="AB329" s="778">
        <f t="shared" si="361"/>
        <v>2016</v>
      </c>
      <c r="AC329" s="778">
        <f t="shared" si="361"/>
        <v>2017</v>
      </c>
      <c r="AD329" s="778">
        <f t="shared" si="361"/>
        <v>2018</v>
      </c>
      <c r="AE329" s="778">
        <f t="shared" si="361"/>
        <v>2019</v>
      </c>
    </row>
    <row r="330" spans="1:94">
      <c r="A330" s="664"/>
      <c r="B330" s="664"/>
      <c r="C330" s="1090"/>
      <c r="D330" s="1091"/>
      <c r="E330" s="1038" t="s">
        <v>1618</v>
      </c>
      <c r="F330" s="176" t="s">
        <v>1887</v>
      </c>
      <c r="G330" s="1044">
        <f t="shared" ref="G330:R330" si="362">+G278-G310</f>
        <v>-0.92171000000000003</v>
      </c>
      <c r="H330" s="1044">
        <f t="shared" si="362"/>
        <v>-1.1569299999999991</v>
      </c>
      <c r="I330" s="1044">
        <f t="shared" si="362"/>
        <v>-1.4548100000000002</v>
      </c>
      <c r="J330" s="1044">
        <f t="shared" si="362"/>
        <v>-1.8914600000000004</v>
      </c>
      <c r="K330" s="1044">
        <f t="shared" si="362"/>
        <v>-1.7555499999999995</v>
      </c>
      <c r="L330" s="1044">
        <f t="shared" si="362"/>
        <v>-1.4093199999999997</v>
      </c>
      <c r="M330" s="1044">
        <f t="shared" si="362"/>
        <v>-1.4163099999999993</v>
      </c>
      <c r="N330" s="1044">
        <f t="shared" si="362"/>
        <v>-1.5465299999999997</v>
      </c>
      <c r="O330" s="1044">
        <f t="shared" si="362"/>
        <v>-1.6311299999999997</v>
      </c>
      <c r="P330" s="1044">
        <f t="shared" si="362"/>
        <v>-2.1697600000000001</v>
      </c>
      <c r="Q330" s="1044">
        <f t="shared" si="362"/>
        <v>-2.2960799999999999</v>
      </c>
      <c r="R330" s="1044">
        <f t="shared" si="362"/>
        <v>-3.3188899999999997</v>
      </c>
      <c r="S330" s="1044">
        <f>+S278-S310</f>
        <v>-4.4076400000000007</v>
      </c>
      <c r="T330" s="1044">
        <f t="shared" ref="T330:V331" si="363">+T278-T310</f>
        <v>-4.3665399999999988</v>
      </c>
      <c r="U330" s="1044">
        <f t="shared" si="363"/>
        <v>-1.1673299999999998</v>
      </c>
      <c r="V330" s="1044">
        <f t="shared" si="363"/>
        <v>-1.6483300000000032</v>
      </c>
      <c r="W330" s="1044">
        <f t="shared" ref="W330:Y331" si="364">+W278-W310</f>
        <v>-2.0650299999999966</v>
      </c>
      <c r="X330" s="1044">
        <f t="shared" si="364"/>
        <v>-1.1024399999999979</v>
      </c>
      <c r="Y330" s="1044">
        <f t="shared" si="364"/>
        <v>-0.9199300000000008</v>
      </c>
      <c r="Z330" s="1044">
        <f t="shared" ref="Z330:AB331" si="365">+Z278-Z310</f>
        <v>-0.93678000000000239</v>
      </c>
      <c r="AA330" s="1044">
        <f t="shared" si="365"/>
        <v>-1.9868899999999989</v>
      </c>
      <c r="AB330" s="1044">
        <f t="shared" si="365"/>
        <v>-1.7684399999999982</v>
      </c>
      <c r="AC330" s="1044">
        <f t="shared" ref="AC330:AE331" si="366">+AC278-AC310</f>
        <v>-2.0609499999999983</v>
      </c>
      <c r="AD330" s="1044">
        <f t="shared" ca="1" si="366"/>
        <v>-2.6471263464299959</v>
      </c>
      <c r="AE330" s="1044">
        <f t="shared" ca="1" si="366"/>
        <v>-2.906922619718749</v>
      </c>
    </row>
    <row r="331" spans="1:94">
      <c r="A331" s="1130"/>
      <c r="B331" s="1130"/>
      <c r="C331" s="1081"/>
      <c r="D331" s="1077"/>
      <c r="E331" s="1078" t="s">
        <v>1619</v>
      </c>
      <c r="F331" s="1077" t="s">
        <v>1888</v>
      </c>
      <c r="G331" s="1085">
        <f t="shared" ref="G331:R331" si="367">+G279-G311</f>
        <v>-0.82518999999999965</v>
      </c>
      <c r="H331" s="1085">
        <f t="shared" si="367"/>
        <v>-0.90277999999999992</v>
      </c>
      <c r="I331" s="1085">
        <f t="shared" si="367"/>
        <v>-1.18133</v>
      </c>
      <c r="J331" s="1085">
        <f t="shared" si="367"/>
        <v>-1.484799999999999</v>
      </c>
      <c r="K331" s="1085">
        <f t="shared" si="367"/>
        <v>-1.2691699999999999</v>
      </c>
      <c r="L331" s="1085">
        <f t="shared" si="367"/>
        <v>-0.82655000000000012</v>
      </c>
      <c r="M331" s="1085">
        <f t="shared" si="367"/>
        <v>-0.77571999999999974</v>
      </c>
      <c r="N331" s="1085">
        <f t="shared" si="367"/>
        <v>-0.86282000000000103</v>
      </c>
      <c r="O331" s="1085">
        <f t="shared" si="367"/>
        <v>-0.96453000000000078</v>
      </c>
      <c r="P331" s="1085">
        <f t="shared" si="367"/>
        <v>-1.2834299999999992</v>
      </c>
      <c r="Q331" s="1085">
        <f t="shared" si="367"/>
        <v>-1.5189800000000009</v>
      </c>
      <c r="R331" s="1085">
        <f t="shared" si="367"/>
        <v>-2.4714100000000006</v>
      </c>
      <c r="S331" s="1085">
        <f>+S279-S311</f>
        <v>-3.8115299999999994</v>
      </c>
      <c r="T331" s="1085">
        <f t="shared" si="363"/>
        <v>-3.7834199999999996</v>
      </c>
      <c r="U331" s="1085">
        <f t="shared" si="363"/>
        <v>-0.45255000000000045</v>
      </c>
      <c r="V331" s="1085">
        <f>+V279-V311</f>
        <v>-0.52620999999999896</v>
      </c>
      <c r="W331" s="1085">
        <f t="shared" si="364"/>
        <v>-0.79766000000000048</v>
      </c>
      <c r="X331" s="1085">
        <f t="shared" si="364"/>
        <v>0.28686000000000078</v>
      </c>
      <c r="Y331" s="1085">
        <f>+Y279-Y311</f>
        <v>0.43724999999999881</v>
      </c>
      <c r="Z331" s="1085">
        <f t="shared" si="365"/>
        <v>0.75952000000000197</v>
      </c>
      <c r="AA331" s="1085">
        <f t="shared" si="365"/>
        <v>-0.17949000000000126</v>
      </c>
      <c r="AB331" s="1085">
        <f t="shared" si="365"/>
        <v>0.49990000000000023</v>
      </c>
      <c r="AC331" s="1085">
        <f t="shared" si="366"/>
        <v>0.84312999999999505</v>
      </c>
      <c r="AD331" s="1085">
        <f t="shared" ca="1" si="366"/>
        <v>0.49441230431999372</v>
      </c>
      <c r="AE331" s="1085">
        <f t="shared" ca="1" si="366"/>
        <v>0.42702802466180856</v>
      </c>
    </row>
    <row r="332" spans="1:94">
      <c r="AB332" s="557"/>
      <c r="AC332" s="557"/>
      <c r="AD332" s="557"/>
      <c r="AE332" s="557"/>
    </row>
    <row r="333" spans="1:94">
      <c r="A333" s="1130"/>
      <c r="B333" s="1130"/>
      <c r="D333" s="1117"/>
      <c r="E333" s="930" t="s">
        <v>97</v>
      </c>
      <c r="F333" s="1118"/>
      <c r="G333" s="896">
        <f>+InputY!$G$3</f>
        <v>1995</v>
      </c>
      <c r="H333" s="896">
        <f>+G333+1</f>
        <v>1996</v>
      </c>
      <c r="I333" s="896">
        <f t="shared" ref="I333:O333" si="368">+H333+1</f>
        <v>1997</v>
      </c>
      <c r="J333" s="896">
        <f t="shared" si="368"/>
        <v>1998</v>
      </c>
      <c r="K333" s="896">
        <f t="shared" si="368"/>
        <v>1999</v>
      </c>
      <c r="L333" s="896">
        <f t="shared" si="368"/>
        <v>2000</v>
      </c>
      <c r="M333" s="896">
        <f t="shared" si="368"/>
        <v>2001</v>
      </c>
      <c r="N333" s="896">
        <f t="shared" si="368"/>
        <v>2002</v>
      </c>
      <c r="O333" s="896">
        <f t="shared" si="368"/>
        <v>2003</v>
      </c>
      <c r="P333" s="896">
        <f t="shared" ref="P333:V333" si="369">+O333+1</f>
        <v>2004</v>
      </c>
      <c r="Q333" s="896">
        <f t="shared" si="369"/>
        <v>2005</v>
      </c>
      <c r="R333" s="896">
        <f t="shared" si="369"/>
        <v>2006</v>
      </c>
      <c r="S333" s="896">
        <f>+R333+1</f>
        <v>2007</v>
      </c>
      <c r="T333" s="896">
        <f t="shared" si="369"/>
        <v>2008</v>
      </c>
      <c r="U333" s="896">
        <f t="shared" si="369"/>
        <v>2009</v>
      </c>
      <c r="V333" s="896">
        <f t="shared" si="369"/>
        <v>2010</v>
      </c>
      <c r="W333" s="896">
        <f t="shared" ref="W333:AE333" si="370">+V333+1</f>
        <v>2011</v>
      </c>
      <c r="X333" s="896">
        <f t="shared" si="370"/>
        <v>2012</v>
      </c>
      <c r="Y333" s="896">
        <f t="shared" si="370"/>
        <v>2013</v>
      </c>
      <c r="Z333" s="896">
        <f t="shared" si="370"/>
        <v>2014</v>
      </c>
      <c r="AA333" s="896">
        <f t="shared" si="370"/>
        <v>2015</v>
      </c>
      <c r="AB333" s="896">
        <f t="shared" si="370"/>
        <v>2016</v>
      </c>
      <c r="AC333" s="896">
        <f t="shared" si="370"/>
        <v>2017</v>
      </c>
      <c r="AD333" s="896">
        <f t="shared" si="370"/>
        <v>2018</v>
      </c>
      <c r="AE333" s="896">
        <f t="shared" si="370"/>
        <v>2019</v>
      </c>
    </row>
    <row r="334" spans="1:94">
      <c r="A334" s="664"/>
      <c r="B334" s="664"/>
      <c r="C334" s="1119"/>
      <c r="D334" s="1120"/>
      <c r="E334" s="1106" t="s">
        <v>1618</v>
      </c>
      <c r="F334" s="1120" t="s">
        <v>1887</v>
      </c>
      <c r="G334" s="1095"/>
      <c r="H334" s="1095">
        <f>+(H330/G330-1)*100</f>
        <v>25.519957470353916</v>
      </c>
      <c r="I334" s="1095">
        <f t="shared" ref="I334:S334" si="371">+(I330/H330-1)*100</f>
        <v>25.747452309128583</v>
      </c>
      <c r="J334" s="1095">
        <f t="shared" si="371"/>
        <v>30.014228662162079</v>
      </c>
      <c r="K334" s="1095">
        <f t="shared" si="371"/>
        <v>-7.1854546223552589</v>
      </c>
      <c r="L334" s="1095">
        <f t="shared" si="371"/>
        <v>-19.722024436786189</v>
      </c>
      <c r="M334" s="1095">
        <f t="shared" si="371"/>
        <v>0.49598387875000594</v>
      </c>
      <c r="N334" s="1095">
        <f t="shared" si="371"/>
        <v>9.1943148039624454</v>
      </c>
      <c r="O334" s="1095">
        <f t="shared" si="371"/>
        <v>5.4703109542006967</v>
      </c>
      <c r="P334" s="1095">
        <f t="shared" si="371"/>
        <v>33.021892798244188</v>
      </c>
      <c r="Q334" s="1095">
        <f t="shared" si="371"/>
        <v>5.821842047046677</v>
      </c>
      <c r="R334" s="1095">
        <f t="shared" si="371"/>
        <v>44.54592174488694</v>
      </c>
      <c r="S334" s="1095">
        <f t="shared" si="371"/>
        <v>32.804642516021957</v>
      </c>
      <c r="T334" s="1095">
        <f t="shared" ref="T334:AE335" si="372">+(T330/S330-1)*100</f>
        <v>-0.93247179896729371</v>
      </c>
      <c r="U334" s="1095">
        <f t="shared" si="372"/>
        <v>-73.266476432140763</v>
      </c>
      <c r="V334" s="1095">
        <f t="shared" si="372"/>
        <v>41.205143361346288</v>
      </c>
      <c r="W334" s="1095">
        <f t="shared" si="372"/>
        <v>25.280132012399982</v>
      </c>
      <c r="X334" s="1095">
        <f t="shared" si="372"/>
        <v>-46.613850646237594</v>
      </c>
      <c r="Y334" s="1095">
        <f t="shared" si="372"/>
        <v>-16.555095968941391</v>
      </c>
      <c r="Z334" s="1095">
        <f t="shared" si="372"/>
        <v>1.8316611046494291</v>
      </c>
      <c r="AA334" s="1095">
        <f t="shared" si="372"/>
        <v>112.09782446251988</v>
      </c>
      <c r="AB334" s="1095">
        <f t="shared" si="372"/>
        <v>-10.994569402432985</v>
      </c>
      <c r="AC334" s="1095">
        <f t="shared" si="372"/>
        <v>16.540566827260193</v>
      </c>
      <c r="AD334" s="1095">
        <f t="shared" ca="1" si="372"/>
        <v>28.442045970547468</v>
      </c>
      <c r="AE334" s="1095">
        <f t="shared" ca="1" si="372"/>
        <v>9.8142755308647587</v>
      </c>
    </row>
    <row r="335" spans="1:94">
      <c r="A335" s="1130"/>
      <c r="B335" s="1130"/>
      <c r="C335" s="979"/>
      <c r="D335" s="1121"/>
      <c r="E335" s="1122" t="s">
        <v>1619</v>
      </c>
      <c r="F335" s="1121" t="s">
        <v>1888</v>
      </c>
      <c r="G335" s="1124"/>
      <c r="H335" s="1124">
        <f>+(H331/G331-1)*100</f>
        <v>9.4026830184563934</v>
      </c>
      <c r="I335" s="1124">
        <f t="shared" ref="I335:S335" si="373">+(I331/H331-1)*100</f>
        <v>30.854693280755008</v>
      </c>
      <c r="J335" s="1124">
        <f t="shared" si="373"/>
        <v>25.688842237139408</v>
      </c>
      <c r="K335" s="1124">
        <f t="shared" si="373"/>
        <v>-14.522494612068915</v>
      </c>
      <c r="L335" s="1124">
        <f t="shared" si="373"/>
        <v>-34.87476067035935</v>
      </c>
      <c r="M335" s="1124">
        <f t="shared" si="373"/>
        <v>-6.1496582178936947</v>
      </c>
      <c r="N335" s="1124">
        <f t="shared" si="373"/>
        <v>11.228278244727651</v>
      </c>
      <c r="O335" s="1124">
        <f t="shared" si="373"/>
        <v>11.788090215803937</v>
      </c>
      <c r="P335" s="1124">
        <f t="shared" si="373"/>
        <v>33.06273521818899</v>
      </c>
      <c r="Q335" s="1124">
        <f t="shared" si="373"/>
        <v>18.353163008500808</v>
      </c>
      <c r="R335" s="1124">
        <f t="shared" si="373"/>
        <v>62.701944726066117</v>
      </c>
      <c r="S335" s="1124">
        <f t="shared" si="373"/>
        <v>54.224916140988277</v>
      </c>
      <c r="T335" s="1124">
        <f t="shared" si="372"/>
        <v>-0.73749911452880568</v>
      </c>
      <c r="U335" s="1124">
        <f t="shared" si="372"/>
        <v>-88.038599996828253</v>
      </c>
      <c r="V335" s="1124">
        <f t="shared" si="372"/>
        <v>16.276654513313105</v>
      </c>
      <c r="W335" s="1124">
        <f t="shared" si="372"/>
        <v>51.585868759621079</v>
      </c>
      <c r="X335" s="1124">
        <f t="shared" si="372"/>
        <v>-135.96269087079716</v>
      </c>
      <c r="Y335" s="1124">
        <f t="shared" si="372"/>
        <v>52.426270654673914</v>
      </c>
      <c r="Z335" s="1124">
        <f t="shared" si="372"/>
        <v>73.703830760435451</v>
      </c>
      <c r="AA335" s="1124">
        <f t="shared" si="372"/>
        <v>-123.63203075626723</v>
      </c>
      <c r="AB335" s="1124">
        <f t="shared" si="372"/>
        <v>-378.5113376789775</v>
      </c>
      <c r="AC335" s="1124">
        <f t="shared" si="372"/>
        <v>68.65973194638822</v>
      </c>
      <c r="AD335" s="1124">
        <f t="shared" ca="1" si="372"/>
        <v>-41.359896537900845</v>
      </c>
      <c r="AE335" s="1124">
        <f t="shared" ca="1" si="372"/>
        <v>-13.629167209109882</v>
      </c>
    </row>
    <row r="336" spans="1:94">
      <c r="AB336" s="557"/>
      <c r="AC336" s="557"/>
      <c r="AD336" s="557"/>
      <c r="AE336" s="557"/>
    </row>
    <row r="337" spans="1:94">
      <c r="A337" s="1130"/>
      <c r="B337" s="1130"/>
      <c r="D337" s="1074"/>
      <c r="E337" s="1075" t="s">
        <v>1497</v>
      </c>
      <c r="F337" s="1065"/>
      <c r="G337" s="778">
        <f>+InputY!$G$3</f>
        <v>1995</v>
      </c>
      <c r="H337" s="778">
        <f>+G337+1</f>
        <v>1996</v>
      </c>
      <c r="I337" s="778">
        <f t="shared" ref="I337:O337" si="374">+H337+1</f>
        <v>1997</v>
      </c>
      <c r="J337" s="778">
        <f t="shared" si="374"/>
        <v>1998</v>
      </c>
      <c r="K337" s="778">
        <f t="shared" si="374"/>
        <v>1999</v>
      </c>
      <c r="L337" s="778">
        <f t="shared" si="374"/>
        <v>2000</v>
      </c>
      <c r="M337" s="778">
        <f t="shared" si="374"/>
        <v>2001</v>
      </c>
      <c r="N337" s="778">
        <f t="shared" si="374"/>
        <v>2002</v>
      </c>
      <c r="O337" s="778">
        <f t="shared" si="374"/>
        <v>2003</v>
      </c>
      <c r="P337" s="778">
        <f t="shared" ref="P337:U337" si="375">+O337+1</f>
        <v>2004</v>
      </c>
      <c r="Q337" s="778">
        <f t="shared" si="375"/>
        <v>2005</v>
      </c>
      <c r="R337" s="778">
        <f t="shared" si="375"/>
        <v>2006</v>
      </c>
      <c r="S337" s="778">
        <f>+R337+1</f>
        <v>2007</v>
      </c>
      <c r="T337" s="778">
        <f t="shared" si="375"/>
        <v>2008</v>
      </c>
      <c r="U337" s="778">
        <f t="shared" si="375"/>
        <v>2009</v>
      </c>
      <c r="V337" s="778">
        <f t="shared" ref="V337:AE337" si="376">+U337+1</f>
        <v>2010</v>
      </c>
      <c r="W337" s="778">
        <f t="shared" si="376"/>
        <v>2011</v>
      </c>
      <c r="X337" s="778">
        <f t="shared" si="376"/>
        <v>2012</v>
      </c>
      <c r="Y337" s="778">
        <f t="shared" si="376"/>
        <v>2013</v>
      </c>
      <c r="Z337" s="778">
        <f t="shared" si="376"/>
        <v>2014</v>
      </c>
      <c r="AA337" s="778">
        <f t="shared" si="376"/>
        <v>2015</v>
      </c>
      <c r="AB337" s="778">
        <f t="shared" si="376"/>
        <v>2016</v>
      </c>
      <c r="AC337" s="778">
        <f t="shared" si="376"/>
        <v>2017</v>
      </c>
      <c r="AD337" s="778">
        <f t="shared" si="376"/>
        <v>2018</v>
      </c>
      <c r="AE337" s="778">
        <f t="shared" si="376"/>
        <v>2019</v>
      </c>
    </row>
    <row r="338" spans="1:94">
      <c r="A338" s="664"/>
      <c r="B338" s="664"/>
      <c r="C338" s="1090" t="s">
        <v>1767</v>
      </c>
      <c r="D338" s="1091"/>
      <c r="E338" s="1038" t="s">
        <v>1359</v>
      </c>
      <c r="F338" s="176"/>
      <c r="G338" s="1044">
        <f>+G300</f>
        <v>11.47381</v>
      </c>
      <c r="H338" s="1044">
        <f t="shared" ref="H338:R338" si="377">+H300</f>
        <v>14.691090000000001</v>
      </c>
      <c r="I338" s="1044">
        <f t="shared" si="377"/>
        <v>18.177720000000001</v>
      </c>
      <c r="J338" s="1044">
        <f t="shared" si="377"/>
        <v>19.601569999999999</v>
      </c>
      <c r="K338" s="1044">
        <f t="shared" si="377"/>
        <v>18.101790000000001</v>
      </c>
      <c r="L338" s="1044">
        <f t="shared" si="377"/>
        <v>19.347580000000001</v>
      </c>
      <c r="M338" s="1044">
        <f t="shared" si="377"/>
        <v>21.221869999999999</v>
      </c>
      <c r="N338" s="1044">
        <f t="shared" si="377"/>
        <v>23.262029999999999</v>
      </c>
      <c r="O338" s="1044">
        <f t="shared" si="377"/>
        <v>25.328790000000001</v>
      </c>
      <c r="P338" s="1044">
        <f t="shared" si="377"/>
        <v>28.156119999999998</v>
      </c>
      <c r="Q338" s="1044">
        <f t="shared" si="377"/>
        <v>33.829470000000001</v>
      </c>
      <c r="R338" s="1044">
        <f t="shared" si="377"/>
        <v>39.943480000000001</v>
      </c>
      <c r="S338" s="1044">
        <f t="shared" ref="S338:X338" si="378">+S300</f>
        <v>47.476589999999995</v>
      </c>
      <c r="T338" s="1044">
        <f t="shared" si="378"/>
        <v>55.162019999999998</v>
      </c>
      <c r="U338" s="1044">
        <f t="shared" si="378"/>
        <v>41.377099999999999</v>
      </c>
      <c r="V338" s="1044">
        <f t="shared" si="378"/>
        <v>46.867750000000001</v>
      </c>
      <c r="W338" s="1044">
        <f>+W300</f>
        <v>55.528030000000001</v>
      </c>
      <c r="X338" s="1044">
        <f t="shared" si="378"/>
        <v>60.281690000000005</v>
      </c>
      <c r="Y338" s="1044">
        <f t="shared" ref="Y338:AD338" si="379">+Y300</f>
        <v>63.910269999999997</v>
      </c>
      <c r="Z338" s="1044">
        <f t="shared" si="379"/>
        <v>65.46678</v>
      </c>
      <c r="AA338" s="1044">
        <f t="shared" si="379"/>
        <v>65.989260000000002</v>
      </c>
      <c r="AB338" s="1044">
        <f t="shared" si="379"/>
        <v>66.957560000000001</v>
      </c>
      <c r="AC338" s="1044">
        <f t="shared" ca="1" si="379"/>
        <v>74.975939999999994</v>
      </c>
      <c r="AD338" s="1044">
        <f t="shared" ca="1" si="379"/>
        <v>80.478153482007983</v>
      </c>
      <c r="AE338" s="1044">
        <f t="shared" ref="AE338" ca="1" si="380">+AE300</f>
        <v>85.413958548292896</v>
      </c>
    </row>
    <row r="339" spans="1:94">
      <c r="A339" s="1130"/>
      <c r="B339" s="1130"/>
      <c r="C339" s="1081" t="s">
        <v>401</v>
      </c>
      <c r="D339" s="1077"/>
      <c r="E339" s="1078" t="s">
        <v>1455</v>
      </c>
      <c r="F339" s="1077"/>
      <c r="G339" s="1085">
        <f>+G311</f>
        <v>3.7092899999999998</v>
      </c>
      <c r="H339" s="1085">
        <f t="shared" ref="H339:Q339" si="381">+H311</f>
        <v>4.9769399999999999</v>
      </c>
      <c r="I339" s="1085">
        <f t="shared" si="381"/>
        <v>6.4533800000000001</v>
      </c>
      <c r="J339" s="1085">
        <f t="shared" si="381"/>
        <v>6.5796099999999997</v>
      </c>
      <c r="K339" s="1085">
        <f t="shared" si="381"/>
        <v>5.38971</v>
      </c>
      <c r="L339" s="1085">
        <f t="shared" si="381"/>
        <v>5.9794</v>
      </c>
      <c r="M339" s="1085">
        <f t="shared" si="381"/>
        <v>7.0273599999999998</v>
      </c>
      <c r="N339" s="1085">
        <f t="shared" si="381"/>
        <v>8.0598500000000008</v>
      </c>
      <c r="O339" s="1085">
        <f t="shared" si="381"/>
        <v>8.6603200000000005</v>
      </c>
      <c r="P339" s="1085">
        <f t="shared" si="381"/>
        <v>9.9183899999999987</v>
      </c>
      <c r="Q339" s="1085">
        <f t="shared" si="381"/>
        <v>12.827120000000001</v>
      </c>
      <c r="R339" s="1085">
        <f>+R311</f>
        <v>15.86431</v>
      </c>
      <c r="S339" s="1085">
        <f t="shared" ref="S339:X339" si="382">+S311</f>
        <v>18.435919999999999</v>
      </c>
      <c r="T339" s="1085">
        <f t="shared" si="382"/>
        <v>22.46575</v>
      </c>
      <c r="U339" s="1085">
        <f t="shared" si="382"/>
        <v>14.44228</v>
      </c>
      <c r="V339" s="1085">
        <f t="shared" si="382"/>
        <v>18.84009</v>
      </c>
      <c r="W339" s="1085">
        <f>+W311</f>
        <v>24.25271</v>
      </c>
      <c r="X339" s="1085">
        <f t="shared" si="382"/>
        <v>26.933209999999999</v>
      </c>
      <c r="Y339" s="1085">
        <f t="shared" ref="Y339:AD339" si="383">+Y311</f>
        <v>28.950620000000001</v>
      </c>
      <c r="Z339" s="1085">
        <f t="shared" si="383"/>
        <v>28.898499999999999</v>
      </c>
      <c r="AA339" s="1085">
        <f t="shared" si="383"/>
        <v>28.562650000000001</v>
      </c>
      <c r="AB339" s="1085">
        <f t="shared" si="383"/>
        <v>28.28923</v>
      </c>
      <c r="AC339" s="1085">
        <f t="shared" si="383"/>
        <v>33.189959999999999</v>
      </c>
      <c r="AD339" s="1085">
        <f t="shared" ca="1" si="383"/>
        <v>36.259617764249995</v>
      </c>
      <c r="AE339" s="1085">
        <f t="shared" ref="AE339" ca="1" si="384">+AE311</f>
        <v>38.73026872054696</v>
      </c>
    </row>
    <row r="340" spans="1:94">
      <c r="A340" s="664"/>
      <c r="B340" s="1130"/>
      <c r="C340" s="1082"/>
      <c r="D340" s="1086"/>
      <c r="E340" s="1087" t="s">
        <v>1812</v>
      </c>
      <c r="F340" s="1086"/>
      <c r="G340" s="1088">
        <f>+G341-G338+G339</f>
        <v>9.9999999991773336E-6</v>
      </c>
      <c r="H340" s="1088">
        <f t="shared" ref="H340:Q340" si="385">+H341-H338+H339</f>
        <v>0</v>
      </c>
      <c r="I340" s="1088">
        <f t="shared" si="385"/>
        <v>0</v>
      </c>
      <c r="J340" s="1088">
        <f t="shared" si="385"/>
        <v>0</v>
      </c>
      <c r="K340" s="1088">
        <f t="shared" si="385"/>
        <v>0</v>
      </c>
      <c r="L340" s="1088">
        <f t="shared" si="385"/>
        <v>0</v>
      </c>
      <c r="M340" s="1088">
        <f t="shared" si="385"/>
        <v>1.000000000139778E-5</v>
      </c>
      <c r="N340" s="1088">
        <f t="shared" si="385"/>
        <v>-9.999999997845066E-6</v>
      </c>
      <c r="O340" s="1088">
        <f t="shared" si="385"/>
        <v>9.999999997845066E-6</v>
      </c>
      <c r="P340" s="1088">
        <f t="shared" si="385"/>
        <v>-9.9999999996214228E-6</v>
      </c>
      <c r="Q340" s="1088">
        <f t="shared" si="385"/>
        <v>0</v>
      </c>
      <c r="R340" s="1088">
        <f t="shared" ref="R340:AA340" si="386">+R341-R338+R339</f>
        <v>9.9999999996214228E-6</v>
      </c>
      <c r="S340" s="1088">
        <f t="shared" si="386"/>
        <v>-9.9999999960687092E-6</v>
      </c>
      <c r="T340" s="3166">
        <f t="shared" si="386"/>
        <v>1.0000000003174137E-5</v>
      </c>
      <c r="U340" s="3166">
        <f t="shared" si="386"/>
        <v>0</v>
      </c>
      <c r="V340" s="3165">
        <f t="shared" si="386"/>
        <v>0</v>
      </c>
      <c r="W340" s="3165">
        <f t="shared" si="386"/>
        <v>0</v>
      </c>
      <c r="X340" s="3165">
        <f t="shared" si="386"/>
        <v>0</v>
      </c>
      <c r="Y340" s="3165">
        <f t="shared" si="386"/>
        <v>0</v>
      </c>
      <c r="Z340" s="3165">
        <f t="shared" si="386"/>
        <v>0</v>
      </c>
      <c r="AA340" s="3165">
        <f t="shared" si="386"/>
        <v>0</v>
      </c>
      <c r="AB340" s="3165">
        <f>+AB341-AB338+AB339</f>
        <v>-9.9999999996214228E-6</v>
      </c>
      <c r="AC340" s="3165">
        <f ca="1">+AC341-AC338+AC339</f>
        <v>-6.3851076018721642E-3</v>
      </c>
      <c r="AD340" s="3165">
        <f ca="1">+AD341-AD338+AD339</f>
        <v>-6.977307800710264E-3</v>
      </c>
      <c r="AE340" s="3165">
        <f ca="1">+AE341-AE338+AE339</f>
        <v>-7.4399336454291642E-3</v>
      </c>
    </row>
    <row r="341" spans="1:94">
      <c r="A341" s="664">
        <f>+ROW(InputY!A98)</f>
        <v>98</v>
      </c>
      <c r="B341" s="664">
        <v>47</v>
      </c>
      <c r="D341" s="1055"/>
      <c r="E341" s="1056" t="s">
        <v>281</v>
      </c>
      <c r="F341" s="1055" t="s">
        <v>1907</v>
      </c>
      <c r="G341" s="1057">
        <f>+InputY!G98/1000</f>
        <v>7.7645299999999997</v>
      </c>
      <c r="H341" s="1057">
        <f>+InputY!H98/1000</f>
        <v>9.7141500000000001</v>
      </c>
      <c r="I341" s="1057">
        <f>+InputY!I98/1000</f>
        <v>11.72434</v>
      </c>
      <c r="J341" s="1057">
        <f>+InputY!J98/1000</f>
        <v>13.02196</v>
      </c>
      <c r="K341" s="1057">
        <f>+InputY!K98/1000</f>
        <v>12.71208</v>
      </c>
      <c r="L341" s="1057">
        <f>+InputY!L98/1000</f>
        <v>13.368180000000001</v>
      </c>
      <c r="M341" s="1057">
        <f>+InputY!M98/1000</f>
        <v>14.194520000000001</v>
      </c>
      <c r="N341" s="1057">
        <f>+InputY!N98/1000</f>
        <v>15.202170000000001</v>
      </c>
      <c r="O341" s="1057">
        <f>+InputY!O98/1000</f>
        <v>16.668479999999999</v>
      </c>
      <c r="P341" s="1057">
        <f>+InputY!P98/1000</f>
        <v>18.237719999999999</v>
      </c>
      <c r="Q341" s="1057">
        <f>+InputY!Q98/1000</f>
        <v>21.00235</v>
      </c>
      <c r="R341" s="1057">
        <f>+InputY!R98/1000</f>
        <v>24.079180000000001</v>
      </c>
      <c r="S341" s="1057">
        <f>+InputY!S98/1000</f>
        <v>29.040659999999999</v>
      </c>
      <c r="T341" s="1057">
        <f>+InputY!T98/1000</f>
        <v>32.696280000000002</v>
      </c>
      <c r="U341" s="1057">
        <f>+InputY!U98/1000</f>
        <v>26.934819999999998</v>
      </c>
      <c r="V341" s="1057">
        <f>+InputY!V98/1000</f>
        <v>28.027660000000001</v>
      </c>
      <c r="W341" s="1057">
        <f>+InputY!W98/1000</f>
        <v>31.275320000000001</v>
      </c>
      <c r="X341" s="1057">
        <f>+InputY!X98/1000</f>
        <v>33.348480000000002</v>
      </c>
      <c r="Y341" s="1057">
        <f>+InputY!Y98/1000</f>
        <v>34.959650000000003</v>
      </c>
      <c r="Z341" s="1057">
        <f>+InputY!Z98/1000</f>
        <v>36.568280000000001</v>
      </c>
      <c r="AA341" s="1057">
        <f>+InputY!AA98/1000</f>
        <v>37.426610000000004</v>
      </c>
      <c r="AB341" s="1057">
        <f>+InputY!AB98/1000</f>
        <v>38.668320000000001</v>
      </c>
      <c r="AC341" s="997">
        <f t="shared" ref="AC341:AE342" ca="1" si="387">+AB341*(1+AC348/100)</f>
        <v>41.779594892398123</v>
      </c>
      <c r="AD341" s="997">
        <f t="shared" ca="1" si="387"/>
        <v>44.211558409957277</v>
      </c>
      <c r="AE341" s="997">
        <f t="shared" ca="1" si="387"/>
        <v>46.676249894100508</v>
      </c>
    </row>
    <row r="342" spans="1:94">
      <c r="A342" s="664">
        <f>+ROW(InputY!A268)</f>
        <v>268</v>
      </c>
      <c r="B342" s="664">
        <v>136</v>
      </c>
      <c r="D342" s="1055"/>
      <c r="E342" s="1056" t="s">
        <v>884</v>
      </c>
      <c r="F342" s="1055"/>
      <c r="G342" s="1057">
        <f>+InputY!G268/1000</f>
        <v>7.7978741890639487</v>
      </c>
      <c r="H342" s="1057">
        <f>+InputY!H268/1000</f>
        <v>9.7620481927710845</v>
      </c>
      <c r="I342" s="1057">
        <f>+InputY!I268/1000</f>
        <v>11.733926088971272</v>
      </c>
      <c r="J342" s="1057">
        <f>+InputY!J268/1000</f>
        <v>13.037592678405931</v>
      </c>
      <c r="K342" s="1057">
        <f>+InputY!K268/1000</f>
        <v>12.710090361445785</v>
      </c>
      <c r="L342" s="1057">
        <f>+InputY!L268/1000</f>
        <v>13.323244902687675</v>
      </c>
      <c r="M342" s="1057">
        <f>+InputY!M268/1000</f>
        <v>14.156481696014829</v>
      </c>
      <c r="N342" s="1057">
        <f>+InputY!N268/1000</f>
        <v>15.161897590361447</v>
      </c>
      <c r="O342" s="1057">
        <f>+InputY!O268/1000</f>
        <v>16.575648748841523</v>
      </c>
      <c r="P342" s="1057">
        <f>+InputY!P268/1000</f>
        <v>18.245308155699725</v>
      </c>
      <c r="Q342" s="1057">
        <f>+InputY!Q268/1000</f>
        <v>21.002400000000002</v>
      </c>
      <c r="R342" s="1057">
        <f>+InputY!R268/1000</f>
        <v>24.0792</v>
      </c>
      <c r="S342" s="1057">
        <f>+InputY!S268/1000</f>
        <v>29.040700000000001</v>
      </c>
      <c r="T342" s="1057">
        <f>+InputY!T268/1000</f>
        <v>32.696300000000001</v>
      </c>
      <c r="U342" s="1057">
        <f>+InputY!U268/1000</f>
        <v>26.934799999999999</v>
      </c>
      <c r="V342" s="1057">
        <f>+InputY!V268/1000</f>
        <v>28.027699999999999</v>
      </c>
      <c r="W342" s="1057">
        <f>+InputY!W268/1000</f>
        <v>31.275299999999998</v>
      </c>
      <c r="X342" s="1057">
        <f>+InputY!X268/1000</f>
        <v>33.348500000000001</v>
      </c>
      <c r="Y342" s="1057">
        <f>+InputY!Y268/1000</f>
        <v>34.959600000000002</v>
      </c>
      <c r="Z342" s="1057">
        <f>+InputY!Z268/1000</f>
        <v>36.568300000000001</v>
      </c>
      <c r="AA342" s="1057">
        <f>+InputY!AA268/1000</f>
        <v>37.426600000000001</v>
      </c>
      <c r="AB342" s="1057">
        <f>+InputY!AB268/1000</f>
        <v>38.668300000000002</v>
      </c>
      <c r="AC342" s="997">
        <f t="shared" ca="1" si="387"/>
        <v>41.779573283186814</v>
      </c>
      <c r="AD342" s="997">
        <f t="shared" ca="1" si="387"/>
        <v>44.211535542887589</v>
      </c>
      <c r="AE342" s="997">
        <f t="shared" ca="1" si="387"/>
        <v>46.676225752244903</v>
      </c>
    </row>
    <row r="343" spans="1:94">
      <c r="AB343" s="557"/>
      <c r="AC343" s="557"/>
      <c r="AD343" s="557"/>
      <c r="AE343" s="557"/>
    </row>
    <row r="344" spans="1:94" s="699" customFormat="1" ht="12.75" customHeight="1">
      <c r="A344" s="664"/>
      <c r="B344" s="664"/>
      <c r="C344" s="774"/>
      <c r="D344" s="1092"/>
      <c r="E344" s="1093" t="s">
        <v>1497</v>
      </c>
      <c r="F344" s="1094"/>
      <c r="G344" s="896">
        <f>+InputY!$G$3</f>
        <v>1995</v>
      </c>
      <c r="H344" s="896">
        <f>+G344+1</f>
        <v>1996</v>
      </c>
      <c r="I344" s="896">
        <f t="shared" ref="I344:O344" si="388">+H344+1</f>
        <v>1997</v>
      </c>
      <c r="J344" s="896">
        <f t="shared" si="388"/>
        <v>1998</v>
      </c>
      <c r="K344" s="896">
        <f t="shared" si="388"/>
        <v>1999</v>
      </c>
      <c r="L344" s="896">
        <f t="shared" si="388"/>
        <v>2000</v>
      </c>
      <c r="M344" s="896">
        <f t="shared" si="388"/>
        <v>2001</v>
      </c>
      <c r="N344" s="896">
        <f t="shared" si="388"/>
        <v>2002</v>
      </c>
      <c r="O344" s="896">
        <f t="shared" si="388"/>
        <v>2003</v>
      </c>
      <c r="P344" s="896">
        <f t="shared" ref="P344:U344" si="389">+O344+1</f>
        <v>2004</v>
      </c>
      <c r="Q344" s="896">
        <f t="shared" si="389"/>
        <v>2005</v>
      </c>
      <c r="R344" s="896">
        <f t="shared" si="389"/>
        <v>2006</v>
      </c>
      <c r="S344" s="896">
        <f>+R344+1</f>
        <v>2007</v>
      </c>
      <c r="T344" s="896">
        <f t="shared" si="389"/>
        <v>2008</v>
      </c>
      <c r="U344" s="896">
        <f t="shared" si="389"/>
        <v>2009</v>
      </c>
      <c r="V344" s="896">
        <f t="shared" ref="V344:AE344" si="390">+U344+1</f>
        <v>2010</v>
      </c>
      <c r="W344" s="896">
        <f t="shared" si="390"/>
        <v>2011</v>
      </c>
      <c r="X344" s="896">
        <f t="shared" si="390"/>
        <v>2012</v>
      </c>
      <c r="Y344" s="896">
        <f t="shared" si="390"/>
        <v>2013</v>
      </c>
      <c r="Z344" s="896">
        <f t="shared" si="390"/>
        <v>2014</v>
      </c>
      <c r="AA344" s="896">
        <f t="shared" si="390"/>
        <v>2015</v>
      </c>
      <c r="AB344" s="896">
        <f t="shared" si="390"/>
        <v>2016</v>
      </c>
      <c r="AC344" s="896">
        <f t="shared" si="390"/>
        <v>2017</v>
      </c>
      <c r="AD344" s="896">
        <f t="shared" si="390"/>
        <v>2018</v>
      </c>
      <c r="AE344" s="896">
        <f t="shared" si="390"/>
        <v>2019</v>
      </c>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row>
    <row r="345" spans="1:94">
      <c r="A345" s="664"/>
      <c r="B345" s="664"/>
      <c r="C345" s="1119" t="s">
        <v>1767</v>
      </c>
      <c r="D345" s="1120"/>
      <c r="E345" s="1106" t="s">
        <v>1359</v>
      </c>
      <c r="F345" s="1120"/>
      <c r="G345" s="1095"/>
      <c r="H345" s="1095">
        <f>+(H338/G338-1)*100</f>
        <v>28.040206348196463</v>
      </c>
      <c r="I345" s="1095">
        <f t="shared" ref="I345:Q345" si="391">+(I338/H338-1)*100</f>
        <v>23.732956506290549</v>
      </c>
      <c r="J345" s="1095">
        <f t="shared" si="391"/>
        <v>7.8329405447987943</v>
      </c>
      <c r="K345" s="1095">
        <f t="shared" si="391"/>
        <v>-7.6513258886915629</v>
      </c>
      <c r="L345" s="1095">
        <f t="shared" si="391"/>
        <v>6.8821370704223117</v>
      </c>
      <c r="M345" s="1095">
        <f t="shared" si="391"/>
        <v>9.6874647888779855</v>
      </c>
      <c r="N345" s="1095">
        <f t="shared" si="391"/>
        <v>9.6134789252785069</v>
      </c>
      <c r="O345" s="1095">
        <f t="shared" si="391"/>
        <v>8.8846932103518128</v>
      </c>
      <c r="P345" s="1095">
        <f t="shared" si="391"/>
        <v>11.162515066846845</v>
      </c>
      <c r="Q345" s="1095">
        <f t="shared" si="391"/>
        <v>20.149615785129505</v>
      </c>
      <c r="R345" s="1095">
        <f t="shared" ref="R345:AE346" si="392">+(R338/Q338-1)*100</f>
        <v>18.073029225701731</v>
      </c>
      <c r="S345" s="1095">
        <f t="shared" si="392"/>
        <v>18.859423365215022</v>
      </c>
      <c r="T345" s="1095">
        <f t="shared" si="392"/>
        <v>16.187830676129032</v>
      </c>
      <c r="U345" s="1095">
        <f t="shared" si="392"/>
        <v>-24.989875280129336</v>
      </c>
      <c r="V345" s="1095">
        <f t="shared" si="392"/>
        <v>13.269779660730219</v>
      </c>
      <c r="W345" s="1095">
        <f t="shared" si="392"/>
        <v>18.478121949528202</v>
      </c>
      <c r="X345" s="1095">
        <f t="shared" si="392"/>
        <v>8.5608295486081509</v>
      </c>
      <c r="Y345" s="1095">
        <f t="shared" si="392"/>
        <v>6.0193733785499193</v>
      </c>
      <c r="Z345" s="1095">
        <f t="shared" si="392"/>
        <v>2.4354614680864417</v>
      </c>
      <c r="AA345" s="1095">
        <f t="shared" si="392"/>
        <v>0.79808415810278532</v>
      </c>
      <c r="AB345" s="1095">
        <f t="shared" si="392"/>
        <v>1.4673599916107616</v>
      </c>
      <c r="AC345" s="1095">
        <f t="shared" ca="1" si="392"/>
        <v>11.975316902228794</v>
      </c>
      <c r="AD345" s="1095">
        <f t="shared" ca="1" si="392"/>
        <v>7.338638878029391</v>
      </c>
      <c r="AE345" s="1095">
        <f t="shared" ca="1" si="392"/>
        <v>6.1330992980453747</v>
      </c>
    </row>
    <row r="346" spans="1:94">
      <c r="A346" s="1130"/>
      <c r="B346" s="1130"/>
      <c r="C346" s="979" t="s">
        <v>401</v>
      </c>
      <c r="D346" s="1121"/>
      <c r="E346" s="1122" t="s">
        <v>1455</v>
      </c>
      <c r="F346" s="1121"/>
      <c r="G346" s="1124"/>
      <c r="H346" s="1124">
        <f>+(H339/G339-1)*100</f>
        <v>34.175003841705553</v>
      </c>
      <c r="I346" s="1124">
        <f t="shared" ref="I346:Q346" si="393">+(I339/H339-1)*100</f>
        <v>29.665617829429337</v>
      </c>
      <c r="J346" s="1124">
        <f t="shared" si="393"/>
        <v>1.9560292435901738</v>
      </c>
      <c r="K346" s="1124">
        <f t="shared" si="393"/>
        <v>-18.084658513194551</v>
      </c>
      <c r="L346" s="1124">
        <f t="shared" si="393"/>
        <v>10.941033933180089</v>
      </c>
      <c r="M346" s="1124">
        <f t="shared" si="393"/>
        <v>17.526173194634922</v>
      </c>
      <c r="N346" s="1124">
        <f t="shared" si="393"/>
        <v>14.692430727897833</v>
      </c>
      <c r="O346" s="1124">
        <f t="shared" si="393"/>
        <v>7.4501386502230149</v>
      </c>
      <c r="P346" s="1124">
        <f t="shared" si="393"/>
        <v>14.526830417351766</v>
      </c>
      <c r="Q346" s="1124">
        <f t="shared" si="393"/>
        <v>29.326634665505203</v>
      </c>
      <c r="R346" s="1124">
        <f t="shared" si="392"/>
        <v>23.677879368088849</v>
      </c>
      <c r="S346" s="1124">
        <f t="shared" si="392"/>
        <v>16.210033717192871</v>
      </c>
      <c r="T346" s="1124">
        <f t="shared" si="392"/>
        <v>21.858578253756811</v>
      </c>
      <c r="U346" s="1124">
        <f t="shared" si="392"/>
        <v>-35.714231663754823</v>
      </c>
      <c r="V346" s="1124">
        <f t="shared" si="392"/>
        <v>30.450939879298833</v>
      </c>
      <c r="W346" s="1124">
        <f t="shared" si="392"/>
        <v>28.729268278442397</v>
      </c>
      <c r="X346" s="1124">
        <f t="shared" si="392"/>
        <v>11.052373116241432</v>
      </c>
      <c r="Y346" s="1124">
        <f t="shared" si="392"/>
        <v>7.4904179635476131</v>
      </c>
      <c r="Z346" s="1124">
        <f t="shared" si="392"/>
        <v>-0.18003068673486666</v>
      </c>
      <c r="AA346" s="1124">
        <f t="shared" si="392"/>
        <v>-1.1621710469401414</v>
      </c>
      <c r="AB346" s="1124">
        <f t="shared" si="392"/>
        <v>-0.95726411940069145</v>
      </c>
      <c r="AC346" s="1124">
        <f t="shared" si="392"/>
        <v>17.323659922875233</v>
      </c>
      <c r="AD346" s="1124">
        <f t="shared" ca="1" si="392"/>
        <v>9.2487540335993046</v>
      </c>
      <c r="AE346" s="1124">
        <f t="shared" ca="1" si="392"/>
        <v>6.8137810286927225</v>
      </c>
    </row>
    <row r="347" spans="1:94" s="699" customFormat="1" ht="12.75" customHeight="1">
      <c r="A347" s="664"/>
      <c r="B347" s="664"/>
      <c r="C347" s="798"/>
      <c r="D347" s="833"/>
      <c r="E347" s="834" t="s">
        <v>1812</v>
      </c>
      <c r="F347" s="835"/>
      <c r="G347" s="1115"/>
      <c r="H347" s="1115">
        <f>+(H340/G340-1)*100</f>
        <v>-100</v>
      </c>
      <c r="I347" s="1115" t="e">
        <f t="shared" ref="I347:R347" si="394">+(I340/H340-1)*100</f>
        <v>#DIV/0!</v>
      </c>
      <c r="J347" s="1115" t="e">
        <f t="shared" si="394"/>
        <v>#DIV/0!</v>
      </c>
      <c r="K347" s="1115" t="e">
        <f t="shared" si="394"/>
        <v>#DIV/0!</v>
      </c>
      <c r="L347" s="1115" t="e">
        <f t="shared" si="394"/>
        <v>#DIV/0!</v>
      </c>
      <c r="M347" s="1115" t="e">
        <f t="shared" si="394"/>
        <v>#DIV/0!</v>
      </c>
      <c r="N347" s="1115">
        <f t="shared" si="394"/>
        <v>-199.99999996447286</v>
      </c>
      <c r="O347" s="1115">
        <f t="shared" si="394"/>
        <v>-200</v>
      </c>
      <c r="P347" s="1115">
        <f t="shared" si="394"/>
        <v>-200.00000001776357</v>
      </c>
      <c r="Q347" s="1115">
        <f t="shared" si="394"/>
        <v>-100</v>
      </c>
      <c r="R347" s="1115" t="e">
        <f t="shared" si="394"/>
        <v>#DIV/0!</v>
      </c>
      <c r="S347" s="1115">
        <f t="shared" ref="S347:AB347" si="395">+(S340/R340-1)*100</f>
        <v>-199.99999996447286</v>
      </c>
      <c r="T347" s="1115">
        <f t="shared" si="395"/>
        <v>-200.00000007105427</v>
      </c>
      <c r="U347" s="1115">
        <f t="shared" si="395"/>
        <v>-100</v>
      </c>
      <c r="V347" s="1115" t="e">
        <f t="shared" si="395"/>
        <v>#DIV/0!</v>
      </c>
      <c r="W347" s="1115" t="e">
        <f t="shared" si="395"/>
        <v>#DIV/0!</v>
      </c>
      <c r="X347" s="1115" t="e">
        <f t="shared" si="395"/>
        <v>#DIV/0!</v>
      </c>
      <c r="Y347" s="1115" t="e">
        <f t="shared" si="395"/>
        <v>#DIV/0!</v>
      </c>
      <c r="Z347" s="1115" t="e">
        <f t="shared" si="395"/>
        <v>#DIV/0!</v>
      </c>
      <c r="AA347" s="1115" t="e">
        <f t="shared" si="395"/>
        <v>#DIV/0!</v>
      </c>
      <c r="AB347" s="1115" t="e">
        <f t="shared" si="395"/>
        <v>#DIV/0!</v>
      </c>
      <c r="AC347" s="1427">
        <f ca="1">OFFSET('VVP1'!$K$16,0,5*(COLUMN()-7))</f>
        <v>0</v>
      </c>
      <c r="AD347" s="1427">
        <f ca="1">OFFSET('VVP1'!$K$16,0,5*(COLUMN()-7))</f>
        <v>0</v>
      </c>
      <c r="AE347" s="1427">
        <f ca="1">OFFSET('VVP1'!$K$16,0,5*(COLUMN()-7))</f>
        <v>0</v>
      </c>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row>
    <row r="348" spans="1:94" s="699" customFormat="1" ht="12.75" customHeight="1">
      <c r="A348" s="664"/>
      <c r="B348" s="664"/>
      <c r="C348" s="774"/>
      <c r="D348" s="717"/>
      <c r="E348" s="722" t="s">
        <v>281</v>
      </c>
      <c r="F348" s="723" t="s">
        <v>1907</v>
      </c>
      <c r="G348" s="721"/>
      <c r="H348" s="721">
        <f t="shared" ref="H348:AB348" si="396">(+H341/G341-1)*100</f>
        <v>25.109311188185245</v>
      </c>
      <c r="I348" s="721">
        <f t="shared" si="396"/>
        <v>20.693421452211467</v>
      </c>
      <c r="J348" s="721">
        <f t="shared" si="396"/>
        <v>11.067744538285318</v>
      </c>
      <c r="K348" s="721">
        <f t="shared" si="396"/>
        <v>-2.3796724916986367</v>
      </c>
      <c r="L348" s="721">
        <f t="shared" si="396"/>
        <v>5.1612324654973785</v>
      </c>
      <c r="M348" s="721">
        <f t="shared" si="396"/>
        <v>6.18139492436518</v>
      </c>
      <c r="N348" s="721">
        <f t="shared" si="396"/>
        <v>7.0988663230598936</v>
      </c>
      <c r="O348" s="721">
        <f t="shared" si="396"/>
        <v>9.645399308125068</v>
      </c>
      <c r="P348" s="721">
        <f t="shared" si="396"/>
        <v>9.4144157115705784</v>
      </c>
      <c r="Q348" s="721">
        <f t="shared" si="396"/>
        <v>15.158857576495311</v>
      </c>
      <c r="R348" s="721">
        <f t="shared" si="396"/>
        <v>14.649932031415535</v>
      </c>
      <c r="S348" s="721">
        <f t="shared" si="396"/>
        <v>20.604854484247383</v>
      </c>
      <c r="T348" s="721">
        <f t="shared" si="396"/>
        <v>12.587937051017439</v>
      </c>
      <c r="U348" s="721">
        <f t="shared" si="396"/>
        <v>-17.621148338587766</v>
      </c>
      <c r="V348" s="721">
        <f t="shared" si="396"/>
        <v>4.0573502997235611</v>
      </c>
      <c r="W348" s="721">
        <f t="shared" si="396"/>
        <v>11.587339078610203</v>
      </c>
      <c r="X348" s="721">
        <f t="shared" si="396"/>
        <v>6.6287411287878184</v>
      </c>
      <c r="Y348" s="721">
        <f t="shared" si="396"/>
        <v>4.8313146506227644</v>
      </c>
      <c r="Z348" s="721">
        <f t="shared" si="396"/>
        <v>4.6013904601447608</v>
      </c>
      <c r="AA348" s="721">
        <f t="shared" si="396"/>
        <v>2.3471981728427016</v>
      </c>
      <c r="AB348" s="721">
        <f t="shared" si="396"/>
        <v>3.3177196652328211</v>
      </c>
      <c r="AC348" s="1413">
        <f ca="1">OFFSET('VVP1'!$K$17,0,5*(COLUMN()-7))</f>
        <v>8.0460565455083621</v>
      </c>
      <c r="AD348" s="1413">
        <f ca="1">OFFSET('VVP1'!$K$17,0,5*(COLUMN()-7))</f>
        <v>5.8209360905068452</v>
      </c>
      <c r="AE348" s="1413">
        <f ca="1">OFFSET('VVP1'!$K$17,0,5*(COLUMN()-7))</f>
        <v>5.5747672617397104</v>
      </c>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row>
    <row r="349" spans="1:94" s="699" customFormat="1" ht="12.75" customHeight="1">
      <c r="A349" s="664"/>
      <c r="B349" s="664"/>
      <c r="C349" s="774"/>
      <c r="D349" s="717"/>
      <c r="E349" s="722" t="s">
        <v>884</v>
      </c>
      <c r="F349" s="723"/>
      <c r="G349" s="721"/>
      <c r="H349" s="721">
        <f>(+H342/G342-1)*100</f>
        <v>25.188582889190126</v>
      </c>
      <c r="I349" s="721">
        <f t="shared" ref="I349:X349" si="397">(+I342/H342-1)*100</f>
        <v>20.199428001803831</v>
      </c>
      <c r="J349" s="721">
        <f t="shared" si="397"/>
        <v>11.110233519026313</v>
      </c>
      <c r="K349" s="721">
        <f t="shared" si="397"/>
        <v>-2.5119845744420721</v>
      </c>
      <c r="L349" s="721">
        <f t="shared" si="397"/>
        <v>4.8241556417396136</v>
      </c>
      <c r="M349" s="721">
        <f t="shared" si="397"/>
        <v>6.2540079343514021</v>
      </c>
      <c r="N349" s="721">
        <f t="shared" si="397"/>
        <v>7.1021593919741388</v>
      </c>
      <c r="O349" s="721">
        <f t="shared" si="397"/>
        <v>9.3243682069110498</v>
      </c>
      <c r="P349" s="721">
        <f t="shared" si="397"/>
        <v>10.072965662806377</v>
      </c>
      <c r="Q349" s="721">
        <f t="shared" si="397"/>
        <v>15.111237479642003</v>
      </c>
      <c r="R349" s="721">
        <f t="shared" si="397"/>
        <v>14.649754313792695</v>
      </c>
      <c r="S349" s="721">
        <f t="shared" si="397"/>
        <v>20.60492042925015</v>
      </c>
      <c r="T349" s="721">
        <f t="shared" si="397"/>
        <v>12.587850843815751</v>
      </c>
      <c r="U349" s="721">
        <f t="shared" si="397"/>
        <v>-17.621259897908949</v>
      </c>
      <c r="V349" s="721">
        <f t="shared" si="397"/>
        <v>4.0575760725900967</v>
      </c>
      <c r="W349" s="721">
        <f t="shared" si="397"/>
        <v>11.587108467694463</v>
      </c>
      <c r="X349" s="721">
        <f t="shared" si="397"/>
        <v>6.628873264205315</v>
      </c>
      <c r="Y349" s="721">
        <f>(+Y342/X342-1)*100</f>
        <v>4.8311018486588697</v>
      </c>
      <c r="Z349" s="721">
        <f>(+Z342/Y342-1)*100</f>
        <v>4.6015972722800003</v>
      </c>
      <c r="AA349" s="721">
        <f>(+AA342/Z342-1)*100</f>
        <v>2.3471148508407591</v>
      </c>
      <c r="AB349" s="721">
        <f>(+AB342/AA342-1)*100</f>
        <v>3.3176938327285965</v>
      </c>
      <c r="AC349" s="1413">
        <f ca="1">+AC348</f>
        <v>8.0460565455083621</v>
      </c>
      <c r="AD349" s="1413">
        <f ca="1">+AD348</f>
        <v>5.8209360905068452</v>
      </c>
      <c r="AE349" s="1413">
        <f ca="1">+AE348</f>
        <v>5.5747672617397104</v>
      </c>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row>
    <row r="350" spans="1:94">
      <c r="AB350" s="557"/>
      <c r="AC350" s="557"/>
      <c r="AD350" s="557"/>
      <c r="AE350" s="557"/>
    </row>
    <row r="351" spans="1:94" s="699" customFormat="1" ht="12.75" customHeight="1">
      <c r="A351" s="664"/>
      <c r="B351" s="664"/>
      <c r="C351" s="774"/>
      <c r="D351" s="775"/>
      <c r="E351" s="776" t="s">
        <v>678</v>
      </c>
      <c r="F351" s="777"/>
      <c r="G351" s="778">
        <f>+InputY!$G$3</f>
        <v>1995</v>
      </c>
      <c r="H351" s="778">
        <f t="shared" ref="H351:O351" si="398">+G351+1</f>
        <v>1996</v>
      </c>
      <c r="I351" s="778">
        <f t="shared" si="398"/>
        <v>1997</v>
      </c>
      <c r="J351" s="778">
        <f t="shared" si="398"/>
        <v>1998</v>
      </c>
      <c r="K351" s="778">
        <f t="shared" si="398"/>
        <v>1999</v>
      </c>
      <c r="L351" s="778">
        <f t="shared" si="398"/>
        <v>2000</v>
      </c>
      <c r="M351" s="778">
        <f t="shared" si="398"/>
        <v>2001</v>
      </c>
      <c r="N351" s="778">
        <f t="shared" si="398"/>
        <v>2002</v>
      </c>
      <c r="O351" s="778">
        <f t="shared" si="398"/>
        <v>2003</v>
      </c>
      <c r="P351" s="778">
        <f t="shared" ref="P351:V351" si="399">+O351+1</f>
        <v>2004</v>
      </c>
      <c r="Q351" s="778">
        <f t="shared" si="399"/>
        <v>2005</v>
      </c>
      <c r="R351" s="778">
        <f t="shared" si="399"/>
        <v>2006</v>
      </c>
      <c r="S351" s="778">
        <f>+R351+1</f>
        <v>2007</v>
      </c>
      <c r="T351" s="778">
        <f t="shared" si="399"/>
        <v>2008</v>
      </c>
      <c r="U351" s="778">
        <f t="shared" si="399"/>
        <v>2009</v>
      </c>
      <c r="V351" s="778">
        <f t="shared" si="399"/>
        <v>2010</v>
      </c>
      <c r="W351" s="778">
        <f t="shared" ref="W351:AE351" si="400">+V351+1</f>
        <v>2011</v>
      </c>
      <c r="X351" s="778">
        <f t="shared" si="400"/>
        <v>2012</v>
      </c>
      <c r="Y351" s="778">
        <f t="shared" si="400"/>
        <v>2013</v>
      </c>
      <c r="Z351" s="778">
        <f t="shared" si="400"/>
        <v>2014</v>
      </c>
      <c r="AA351" s="778">
        <f t="shared" si="400"/>
        <v>2015</v>
      </c>
      <c r="AB351" s="778">
        <f t="shared" si="400"/>
        <v>2016</v>
      </c>
      <c r="AC351" s="778">
        <f t="shared" si="400"/>
        <v>2017</v>
      </c>
      <c r="AD351" s="778">
        <f t="shared" si="400"/>
        <v>2018</v>
      </c>
      <c r="AE351" s="778">
        <f t="shared" si="400"/>
        <v>2019</v>
      </c>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row>
    <row r="352" spans="1:94" s="699" customFormat="1" ht="12.75" customHeight="1">
      <c r="A352" s="664"/>
      <c r="B352" s="1132"/>
      <c r="C352" s="789"/>
      <c r="D352" s="678"/>
      <c r="E352" s="790" t="s">
        <v>461</v>
      </c>
      <c r="F352" s="791" t="s">
        <v>464</v>
      </c>
      <c r="G352" s="1311">
        <f>+Sector1!G88</f>
        <v>6.9358399999999998</v>
      </c>
      <c r="H352" s="1311">
        <f>+Sector1!H88</f>
        <v>8.7338100000000001</v>
      </c>
      <c r="I352" s="1311">
        <f>+Sector1!I88</f>
        <v>10.27515</v>
      </c>
      <c r="J352" s="1311">
        <f>+Sector1!J88</f>
        <v>11.413129999999999</v>
      </c>
      <c r="K352" s="1311">
        <f>+Sector1!K88</f>
        <v>11.17371</v>
      </c>
      <c r="L352" s="1311">
        <f>+Sector1!L88</f>
        <v>11.880889999999999</v>
      </c>
      <c r="M352" s="1311">
        <f>+Sector1!M88</f>
        <v>12.634510000000001</v>
      </c>
      <c r="N352" s="1311">
        <f>+Sector1!N88</f>
        <v>13.52392</v>
      </c>
      <c r="O352" s="1311">
        <f>+Sector1!O88</f>
        <v>14.937059999999999</v>
      </c>
      <c r="P352" s="1311">
        <f>+Sector1!P88</f>
        <v>16.499599999999997</v>
      </c>
      <c r="Q352" s="1311">
        <f>+Sector1!Q88</f>
        <v>19.009709999999998</v>
      </c>
      <c r="R352" s="1311">
        <f>+Sector1!R88</f>
        <v>21.73368</v>
      </c>
      <c r="S352" s="1311">
        <f>+Sector1!S88</f>
        <v>26.076499999999999</v>
      </c>
      <c r="T352" s="1311">
        <f>+Sector1!T88</f>
        <v>29.349209999999999</v>
      </c>
      <c r="U352" s="1311">
        <f>+Sector1!U88</f>
        <v>24.300360000000001</v>
      </c>
      <c r="V352" s="1311">
        <f>+Sector1!V88</f>
        <v>25.20975</v>
      </c>
      <c r="W352" s="1311">
        <f>+Sector1!W88</f>
        <v>28.160060000000001</v>
      </c>
      <c r="X352" s="1311">
        <f>+Sector1!X88</f>
        <v>30.16516</v>
      </c>
      <c r="Y352" s="1311">
        <f>+Sector1!Y88</f>
        <v>31.690080000000002</v>
      </c>
      <c r="Z352" s="1311">
        <f>+Sector1!Z88</f>
        <v>33.067680000000003</v>
      </c>
      <c r="AA352" s="1311">
        <f>+Sector1!AA88</f>
        <v>33.709150000000001</v>
      </c>
      <c r="AB352" s="1311">
        <f>+Sector1!AB88</f>
        <v>34.789370000000005</v>
      </c>
      <c r="AC352" s="1311">
        <f>+Sector1!AC88</f>
        <v>37.589730000000003</v>
      </c>
      <c r="AD352" s="1311">
        <f ca="1">+Sector1!AD88</f>
        <v>39.653234851938059</v>
      </c>
      <c r="AE352" s="1311">
        <f ca="1">+Sector1!AE88</f>
        <v>41.851347096832214</v>
      </c>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row>
    <row r="353" spans="1:94">
      <c r="AB353" s="557"/>
      <c r="AC353" s="557"/>
      <c r="AD353" s="557"/>
      <c r="AE353" s="557"/>
    </row>
    <row r="354" spans="1:94" s="699" customFormat="1" ht="12.75" customHeight="1">
      <c r="A354" s="664"/>
      <c r="B354" s="664"/>
      <c r="C354" s="774"/>
      <c r="D354" s="742"/>
      <c r="E354" s="743" t="s">
        <v>678</v>
      </c>
      <c r="F354" s="744"/>
      <c r="G354" s="745">
        <f>+InputY!$G$3</f>
        <v>1995</v>
      </c>
      <c r="H354" s="745">
        <f t="shared" ref="H354:O354" si="401">+G354+1</f>
        <v>1996</v>
      </c>
      <c r="I354" s="745">
        <f t="shared" si="401"/>
        <v>1997</v>
      </c>
      <c r="J354" s="745">
        <f t="shared" si="401"/>
        <v>1998</v>
      </c>
      <c r="K354" s="745">
        <f t="shared" si="401"/>
        <v>1999</v>
      </c>
      <c r="L354" s="745">
        <f t="shared" si="401"/>
        <v>2000</v>
      </c>
      <c r="M354" s="745">
        <f t="shared" si="401"/>
        <v>2001</v>
      </c>
      <c r="N354" s="745">
        <f t="shared" si="401"/>
        <v>2002</v>
      </c>
      <c r="O354" s="745">
        <f t="shared" si="401"/>
        <v>2003</v>
      </c>
      <c r="P354" s="745">
        <f t="shared" ref="P354:V354" si="402">+O354+1</f>
        <v>2004</v>
      </c>
      <c r="Q354" s="745">
        <f t="shared" si="402"/>
        <v>2005</v>
      </c>
      <c r="R354" s="745">
        <f t="shared" si="402"/>
        <v>2006</v>
      </c>
      <c r="S354" s="745">
        <f>+R354+1</f>
        <v>2007</v>
      </c>
      <c r="T354" s="745">
        <f t="shared" si="402"/>
        <v>2008</v>
      </c>
      <c r="U354" s="745">
        <f t="shared" si="402"/>
        <v>2009</v>
      </c>
      <c r="V354" s="745">
        <f t="shared" si="402"/>
        <v>2010</v>
      </c>
      <c r="W354" s="745">
        <f t="shared" ref="W354:AE354" si="403">+V354+1</f>
        <v>2011</v>
      </c>
      <c r="X354" s="745">
        <f t="shared" si="403"/>
        <v>2012</v>
      </c>
      <c r="Y354" s="745">
        <f t="shared" si="403"/>
        <v>2013</v>
      </c>
      <c r="Z354" s="745">
        <f t="shared" si="403"/>
        <v>2014</v>
      </c>
      <c r="AA354" s="745">
        <f t="shared" si="403"/>
        <v>2015</v>
      </c>
      <c r="AB354" s="745">
        <f t="shared" si="403"/>
        <v>2016</v>
      </c>
      <c r="AC354" s="745">
        <f t="shared" si="403"/>
        <v>2017</v>
      </c>
      <c r="AD354" s="745">
        <f t="shared" si="403"/>
        <v>2018</v>
      </c>
      <c r="AE354" s="745">
        <f t="shared" si="403"/>
        <v>2019</v>
      </c>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row>
    <row r="355" spans="1:94" s="699" customFormat="1" ht="12.75" customHeight="1">
      <c r="A355" s="664"/>
      <c r="B355" s="664"/>
      <c r="C355" s="798"/>
      <c r="D355" s="833"/>
      <c r="E355" s="834" t="s">
        <v>461</v>
      </c>
      <c r="F355" s="835" t="s">
        <v>464</v>
      </c>
      <c r="G355" s="836"/>
      <c r="H355" s="836">
        <f t="shared" ref="H355:S355" si="404">(+H352/G352-1)*100</f>
        <v>25.922887494521206</v>
      </c>
      <c r="I355" s="836">
        <f t="shared" si="404"/>
        <v>17.647968068918374</v>
      </c>
      <c r="J355" s="836">
        <f t="shared" si="404"/>
        <v>11.075069463706111</v>
      </c>
      <c r="K355" s="836">
        <f t="shared" si="404"/>
        <v>-2.0977593350816059</v>
      </c>
      <c r="L355" s="836">
        <f t="shared" si="404"/>
        <v>6.3289632539237139</v>
      </c>
      <c r="M355" s="836">
        <f t="shared" si="404"/>
        <v>6.3431274929740322</v>
      </c>
      <c r="N355" s="836">
        <f t="shared" si="404"/>
        <v>7.0395290359499541</v>
      </c>
      <c r="O355" s="836">
        <f t="shared" si="404"/>
        <v>10.449189288312844</v>
      </c>
      <c r="P355" s="836">
        <f t="shared" si="404"/>
        <v>10.46082696327122</v>
      </c>
      <c r="Q355" s="836">
        <f t="shared" si="404"/>
        <v>15.213156682586249</v>
      </c>
      <c r="R355" s="836">
        <f t="shared" si="404"/>
        <v>14.329361152800345</v>
      </c>
      <c r="S355" s="836">
        <f t="shared" si="404"/>
        <v>19.981981882497578</v>
      </c>
      <c r="T355" s="836">
        <f t="shared" ref="T355:AE355" si="405">(+T352/S352-1)*100</f>
        <v>12.550418959599629</v>
      </c>
      <c r="U355" s="836">
        <f t="shared" si="405"/>
        <v>-17.202677687065503</v>
      </c>
      <c r="V355" s="836">
        <f t="shared" si="405"/>
        <v>3.7422902376754941</v>
      </c>
      <c r="W355" s="836">
        <f t="shared" si="405"/>
        <v>11.703051398764375</v>
      </c>
      <c r="X355" s="836">
        <f t="shared" si="405"/>
        <v>7.1203683514878824</v>
      </c>
      <c r="Y355" s="836">
        <f t="shared" si="405"/>
        <v>5.0552359079149678</v>
      </c>
      <c r="Z355" s="836">
        <f t="shared" si="405"/>
        <v>4.3471016797685724</v>
      </c>
      <c r="AA355" s="836">
        <f t="shared" si="405"/>
        <v>1.9398699878552028</v>
      </c>
      <c r="AB355" s="836">
        <f t="shared" si="405"/>
        <v>3.2045305206449992</v>
      </c>
      <c r="AC355" s="836">
        <f t="shared" si="405"/>
        <v>8.0494702835952392</v>
      </c>
      <c r="AD355" s="836">
        <f t="shared" ca="1" si="405"/>
        <v>5.4895442237495651</v>
      </c>
      <c r="AE355" s="836">
        <f t="shared" ca="1" si="405"/>
        <v>5.543336509875485</v>
      </c>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row>
    <row r="356" spans="1:94">
      <c r="AB356" s="557"/>
      <c r="AC356" s="557"/>
      <c r="AD356" s="557"/>
      <c r="AE356" s="557"/>
    </row>
    <row r="357" spans="1:94">
      <c r="AB357" s="557"/>
      <c r="AC357" s="557"/>
      <c r="AD357" s="557"/>
      <c r="AE357" s="557"/>
    </row>
    <row r="358" spans="1:94" s="217" customFormat="1" ht="22.5" customHeight="1">
      <c r="A358" s="1433"/>
      <c r="B358" s="665"/>
      <c r="C358" s="3751" t="s">
        <v>2031</v>
      </c>
      <c r="D358" s="3751"/>
      <c r="E358" s="3751"/>
      <c r="F358" s="3751"/>
      <c r="Q358" s="557"/>
      <c r="R358" s="557"/>
      <c r="S358" s="557"/>
      <c r="T358" s="557"/>
      <c r="U358" s="557"/>
      <c r="V358" s="557"/>
      <c r="W358" s="557"/>
      <c r="X358" s="557"/>
      <c r="Y358" s="557"/>
      <c r="Z358" s="557"/>
      <c r="AA358" s="557"/>
      <c r="AB358" s="557"/>
      <c r="AC358" s="557"/>
      <c r="AD358" s="557"/>
      <c r="AE358" s="557"/>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row>
    <row r="359" spans="1:94">
      <c r="AB359" s="557"/>
      <c r="AC359" s="557"/>
      <c r="AD359" s="557"/>
      <c r="AE359" s="557"/>
    </row>
    <row r="360" spans="1:94" s="699" customFormat="1" ht="12.75" customHeight="1">
      <c r="A360" s="1433"/>
      <c r="B360" s="664"/>
      <c r="C360" s="774"/>
      <c r="D360" s="1134"/>
      <c r="E360" s="1135" t="s">
        <v>667</v>
      </c>
      <c r="F360" s="1136"/>
      <c r="G360" s="1137">
        <f>+InputY!$G$3</f>
        <v>1995</v>
      </c>
      <c r="H360" s="1137">
        <f>+G360+1</f>
        <v>1996</v>
      </c>
      <c r="I360" s="1137">
        <f t="shared" ref="I360:O360" si="406">+H360+1</f>
        <v>1997</v>
      </c>
      <c r="J360" s="1137">
        <f t="shared" si="406"/>
        <v>1998</v>
      </c>
      <c r="K360" s="1137">
        <f t="shared" si="406"/>
        <v>1999</v>
      </c>
      <c r="L360" s="1137">
        <f t="shared" si="406"/>
        <v>2000</v>
      </c>
      <c r="M360" s="1137">
        <f t="shared" si="406"/>
        <v>2001</v>
      </c>
      <c r="N360" s="1137">
        <f t="shared" si="406"/>
        <v>2002</v>
      </c>
      <c r="O360" s="1137">
        <f t="shared" si="406"/>
        <v>2003</v>
      </c>
      <c r="P360" s="1137">
        <f t="shared" ref="P360:U360" si="407">+O360+1</f>
        <v>2004</v>
      </c>
      <c r="Q360" s="1137">
        <f t="shared" si="407"/>
        <v>2005</v>
      </c>
      <c r="R360" s="1137">
        <f t="shared" si="407"/>
        <v>2006</v>
      </c>
      <c r="S360" s="1137">
        <f>+R360+1</f>
        <v>2007</v>
      </c>
      <c r="T360" s="1137">
        <f t="shared" si="407"/>
        <v>2008</v>
      </c>
      <c r="U360" s="1137">
        <f t="shared" si="407"/>
        <v>2009</v>
      </c>
      <c r="V360" s="1137">
        <f t="shared" ref="V360:AE360" si="408">+U360+1</f>
        <v>2010</v>
      </c>
      <c r="W360" s="1137">
        <f t="shared" si="408"/>
        <v>2011</v>
      </c>
      <c r="X360" s="1137">
        <f t="shared" si="408"/>
        <v>2012</v>
      </c>
      <c r="Y360" s="1137">
        <f t="shared" si="408"/>
        <v>2013</v>
      </c>
      <c r="Z360" s="1137">
        <f t="shared" si="408"/>
        <v>2014</v>
      </c>
      <c r="AA360" s="1137">
        <f t="shared" si="408"/>
        <v>2015</v>
      </c>
      <c r="AB360" s="1137">
        <f t="shared" si="408"/>
        <v>2016</v>
      </c>
      <c r="AC360" s="1137">
        <f t="shared" si="408"/>
        <v>2017</v>
      </c>
      <c r="AD360" s="1137">
        <f t="shared" si="408"/>
        <v>2018</v>
      </c>
      <c r="AE360" s="1137">
        <f t="shared" si="408"/>
        <v>2019</v>
      </c>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row>
    <row r="361" spans="1:94" s="699" customFormat="1" ht="12.75" customHeight="1">
      <c r="A361" s="1433"/>
      <c r="B361" s="664"/>
      <c r="C361" s="779"/>
      <c r="D361" s="996"/>
      <c r="E361" s="996" t="s">
        <v>668</v>
      </c>
      <c r="F361" s="1220" t="s">
        <v>703</v>
      </c>
      <c r="G361" s="1652">
        <f t="shared" ref="G361:V361" si="409">+G185/G7*100</f>
        <v>57.066954680567363</v>
      </c>
      <c r="H361" s="1652">
        <f t="shared" si="409"/>
        <v>67.328433850163307</v>
      </c>
      <c r="I361" s="1652">
        <f t="shared" si="409"/>
        <v>73.557916425016046</v>
      </c>
      <c r="J361" s="1652">
        <f t="shared" si="409"/>
        <v>77.785061653038156</v>
      </c>
      <c r="K361" s="1652">
        <f t="shared" si="409"/>
        <v>76.827996584168545</v>
      </c>
      <c r="L361" s="996">
        <f t="shared" si="409"/>
        <v>75.568779389609858</v>
      </c>
      <c r="M361" s="996">
        <f t="shared" si="409"/>
        <v>77.332373183869635</v>
      </c>
      <c r="N361" s="996">
        <f t="shared" si="409"/>
        <v>77.03396355533711</v>
      </c>
      <c r="O361" s="996">
        <f t="shared" si="409"/>
        <v>75.891194020119883</v>
      </c>
      <c r="P361" s="996">
        <f t="shared" si="409"/>
        <v>75.225155112479484</v>
      </c>
      <c r="Q361" s="996">
        <f t="shared" si="409"/>
        <v>77.007437072884215</v>
      </c>
      <c r="R361" s="996">
        <f t="shared" si="409"/>
        <v>80.598063547889581</v>
      </c>
      <c r="S361" s="996">
        <f t="shared" si="409"/>
        <v>85.334940128839492</v>
      </c>
      <c r="T361" s="996">
        <f t="shared" si="409"/>
        <v>94.63221286520556</v>
      </c>
      <c r="U361" s="996">
        <f t="shared" si="409"/>
        <v>98.745285665893149</v>
      </c>
      <c r="V361" s="996">
        <f t="shared" si="409"/>
        <v>100</v>
      </c>
      <c r="W361" s="996">
        <f t="shared" ref="W361:AC361" si="410">+W185/W7*100</f>
        <v>104.11830922586718</v>
      </c>
      <c r="X361" s="996">
        <f t="shared" si="410"/>
        <v>107.32959619009821</v>
      </c>
      <c r="Y361" s="996">
        <f t="shared" si="410"/>
        <v>108.39827804858714</v>
      </c>
      <c r="Z361" s="996">
        <f t="shared" si="410"/>
        <v>108.52771464375736</v>
      </c>
      <c r="AA361" s="996">
        <f t="shared" si="410"/>
        <v>107.57041745239246</v>
      </c>
      <c r="AB361" s="996">
        <f t="shared" si="410"/>
        <v>108.58003295393655</v>
      </c>
      <c r="AC361" s="996">
        <f t="shared" si="410"/>
        <v>112.65586110911445</v>
      </c>
      <c r="AD361" s="1441">
        <f t="shared" ref="AC361:AE363" ca="1" si="411">+AC361*(1+AD366/100)</f>
        <v>115.58491349795143</v>
      </c>
      <c r="AE361" s="1441">
        <f t="shared" ca="1" si="411"/>
        <v>118.12778159490637</v>
      </c>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row>
    <row r="362" spans="1:94" s="699" customFormat="1" ht="12.75" customHeight="1">
      <c r="A362" s="664">
        <f>+ROW(InputY!A266)</f>
        <v>266</v>
      </c>
      <c r="B362" s="664">
        <v>55</v>
      </c>
      <c r="C362" s="782"/>
      <c r="D362" s="1044"/>
      <c r="E362" s="1044" t="s">
        <v>1796</v>
      </c>
      <c r="F362" s="1043" t="s">
        <v>551</v>
      </c>
      <c r="G362" s="1653">
        <f>+InputY!G266</f>
        <v>66.068980652933803</v>
      </c>
      <c r="H362" s="1653">
        <f>+InputY!H266</f>
        <v>82.33861128143279</v>
      </c>
      <c r="I362" s="1653">
        <f>+InputY!I266</f>
        <v>89.651135061851093</v>
      </c>
      <c r="J362" s="1653">
        <f>+InputY!J266</f>
        <v>94.194267636048167</v>
      </c>
      <c r="K362" s="1653">
        <f>+InputY!K266</f>
        <v>94.879575853725868</v>
      </c>
      <c r="L362" s="1044">
        <f>+InputY!L266</f>
        <v>95.810967364838703</v>
      </c>
      <c r="M362" s="1044">
        <f>+InputY!M266</f>
        <v>97.120808813198579</v>
      </c>
      <c r="N362" s="1044">
        <f>+InputY!N266</f>
        <v>97.394175434303676</v>
      </c>
      <c r="O362" s="1044">
        <f>+InputY!O266</f>
        <v>96.289433951761211</v>
      </c>
      <c r="P362" s="1044">
        <f>+InputY!P266</f>
        <v>97.410342098276729</v>
      </c>
      <c r="Q362" s="1044">
        <f>+InputY!Q266</f>
        <v>100</v>
      </c>
      <c r="R362" s="1044">
        <f>+InputY!R266</f>
        <v>103.73908271015331</v>
      </c>
      <c r="S362" s="1044">
        <f>+InputY!S266</f>
        <v>109.69079005153519</v>
      </c>
      <c r="T362" s="1044">
        <f>+InputY!T266</f>
        <v>121.67546305408973</v>
      </c>
      <c r="U362" s="1044">
        <f>+InputY!U266</f>
        <v>127.09376215103943</v>
      </c>
      <c r="V362" s="1044">
        <f>+InputY!V266</f>
        <v>128.77039520493449</v>
      </c>
      <c r="W362" s="1044">
        <f>+InputY!W266</f>
        <v>134.08896098517272</v>
      </c>
      <c r="X362" s="1044">
        <f>+InputY!X266</f>
        <v>138.24571877571375</v>
      </c>
      <c r="Y362" s="1044">
        <f>+InputY!Y266</f>
        <v>139.6281759634702</v>
      </c>
      <c r="Z362" s="1044">
        <f>+InputY!Z266</f>
        <v>139.77309592786955</v>
      </c>
      <c r="AA362" s="1044">
        <f>+InputY!AA266</f>
        <v>138.53735019739733</v>
      </c>
      <c r="AB362" s="1044">
        <f>+InputY!AB266</f>
        <v>139.79183576338338</v>
      </c>
      <c r="AC362" s="1442">
        <f t="shared" ca="1" si="411"/>
        <v>144.99068628199879</v>
      </c>
      <c r="AD362" s="1442">
        <f t="shared" ca="1" si="411"/>
        <v>149.06419985794838</v>
      </c>
      <c r="AE362" s="1442">
        <f t="shared" ca="1" si="411"/>
        <v>152.56181978383856</v>
      </c>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row>
    <row r="363" spans="1:94" s="699" customFormat="1" ht="12.75" customHeight="1">
      <c r="A363" s="664">
        <f>+ROW(InputY!A267)</f>
        <v>267</v>
      </c>
      <c r="B363" s="664">
        <v>54</v>
      </c>
      <c r="C363" s="842"/>
      <c r="D363" s="1438"/>
      <c r="E363" s="1438" t="s">
        <v>1399</v>
      </c>
      <c r="F363" s="1439" t="s">
        <v>599</v>
      </c>
      <c r="G363" s="1654">
        <f>+InputY!G267</f>
        <v>46.202189580827167</v>
      </c>
      <c r="H363" s="1654">
        <f>+InputY!H267</f>
        <v>57.612499999999997</v>
      </c>
      <c r="I363" s="1654">
        <f>+InputY!I267</f>
        <v>63.555833333333297</v>
      </c>
      <c r="J363" s="1654">
        <f>+InputY!J267</f>
        <v>66.968333333333305</v>
      </c>
      <c r="K363" s="1654">
        <f>+InputY!K267</f>
        <v>67.935000000000002</v>
      </c>
      <c r="L363" s="1438">
        <f>+InputY!L267</f>
        <v>68.678333333333299</v>
      </c>
      <c r="M363" s="1438">
        <f>+InputY!M267</f>
        <v>69.742500000000007</v>
      </c>
      <c r="N363" s="1438">
        <f>+InputY!N267</f>
        <v>69.976666666666702</v>
      </c>
      <c r="O363" s="1438">
        <f>+InputY!O267</f>
        <v>69.223333333333301</v>
      </c>
      <c r="P363" s="1438">
        <f>+InputY!P267</f>
        <v>70.022499999999994</v>
      </c>
      <c r="Q363" s="1438">
        <f>+InputY!Q267</f>
        <v>71.893333333333302</v>
      </c>
      <c r="R363" s="1438">
        <f>+InputY!R267</f>
        <v>74.594166666666695</v>
      </c>
      <c r="S363" s="1438">
        <f>+InputY!S267</f>
        <v>78.934166666666698</v>
      </c>
      <c r="T363" s="1438">
        <f>+InputY!T267</f>
        <v>87.689166666666694</v>
      </c>
      <c r="U363" s="1438">
        <f>+InputY!U267</f>
        <v>91.338333333333296</v>
      </c>
      <c r="V363" s="1438">
        <f>+InputY!V267</f>
        <v>92.425833333333301</v>
      </c>
      <c r="W363" s="1438">
        <f>+InputY!W267</f>
        <v>96.237499999999997</v>
      </c>
      <c r="X363" s="1438">
        <f>+InputY!X267</f>
        <v>99.282499999999999</v>
      </c>
      <c r="Y363" s="1438">
        <f>+InputY!Y267</f>
        <v>100.43833333333301</v>
      </c>
      <c r="Z363" s="1438">
        <f>+InputY!Z267</f>
        <v>100.681666666667</v>
      </c>
      <c r="AA363" s="1438">
        <f>+InputY!AA267</f>
        <v>100</v>
      </c>
      <c r="AB363" s="1438">
        <f>+InputY!AB267</f>
        <v>100.678333333333</v>
      </c>
      <c r="AC363" s="1438">
        <f>+InputY!AC267</f>
        <v>104.42166666666699</v>
      </c>
      <c r="AD363" s="1443">
        <f t="shared" ca="1" si="411"/>
        <v>107.35539356801183</v>
      </c>
      <c r="AE363" s="1443">
        <f t="shared" ca="1" si="411"/>
        <v>109.87436434740141</v>
      </c>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row>
    <row r="364" spans="1:94">
      <c r="AB364" s="557"/>
      <c r="AC364" s="557"/>
      <c r="AD364" s="557"/>
      <c r="AE364" s="557"/>
    </row>
    <row r="365" spans="1:94" s="699" customFormat="1" ht="12.75" customHeight="1">
      <c r="A365" s="1433"/>
      <c r="B365" s="664"/>
      <c r="C365" s="774"/>
      <c r="D365" s="742"/>
      <c r="E365" s="743" t="s">
        <v>667</v>
      </c>
      <c r="F365" s="744"/>
      <c r="G365" s="896">
        <f>+InputY!$G$3</f>
        <v>1995</v>
      </c>
      <c r="H365" s="896">
        <f>+G365+1</f>
        <v>1996</v>
      </c>
      <c r="I365" s="896">
        <f t="shared" ref="I365:O365" si="412">+H365+1</f>
        <v>1997</v>
      </c>
      <c r="J365" s="896">
        <f t="shared" si="412"/>
        <v>1998</v>
      </c>
      <c r="K365" s="896">
        <f t="shared" si="412"/>
        <v>1999</v>
      </c>
      <c r="L365" s="896">
        <f t="shared" si="412"/>
        <v>2000</v>
      </c>
      <c r="M365" s="896">
        <f t="shared" si="412"/>
        <v>2001</v>
      </c>
      <c r="N365" s="896">
        <f t="shared" si="412"/>
        <v>2002</v>
      </c>
      <c r="O365" s="896">
        <f t="shared" si="412"/>
        <v>2003</v>
      </c>
      <c r="P365" s="896">
        <f t="shared" ref="P365:U365" si="413">+O365+1</f>
        <v>2004</v>
      </c>
      <c r="Q365" s="896">
        <f t="shared" si="413"/>
        <v>2005</v>
      </c>
      <c r="R365" s="896">
        <f t="shared" si="413"/>
        <v>2006</v>
      </c>
      <c r="S365" s="896">
        <f>+R365+1</f>
        <v>2007</v>
      </c>
      <c r="T365" s="896">
        <f>+S365+1</f>
        <v>2008</v>
      </c>
      <c r="U365" s="896">
        <f t="shared" si="413"/>
        <v>2009</v>
      </c>
      <c r="V365" s="896">
        <f t="shared" ref="V365:AE365" si="414">+U365+1</f>
        <v>2010</v>
      </c>
      <c r="W365" s="896">
        <f t="shared" si="414"/>
        <v>2011</v>
      </c>
      <c r="X365" s="896">
        <f t="shared" si="414"/>
        <v>2012</v>
      </c>
      <c r="Y365" s="896">
        <f t="shared" si="414"/>
        <v>2013</v>
      </c>
      <c r="Z365" s="896">
        <f t="shared" si="414"/>
        <v>2014</v>
      </c>
      <c r="AA365" s="896">
        <f t="shared" si="414"/>
        <v>2015</v>
      </c>
      <c r="AB365" s="896">
        <f t="shared" si="414"/>
        <v>2016</v>
      </c>
      <c r="AC365" s="896">
        <f t="shared" si="414"/>
        <v>2017</v>
      </c>
      <c r="AD365" s="896">
        <f t="shared" si="414"/>
        <v>2018</v>
      </c>
      <c r="AE365" s="896">
        <f t="shared" si="414"/>
        <v>2019</v>
      </c>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row>
    <row r="366" spans="1:94" s="699" customFormat="1" ht="12.75" customHeight="1">
      <c r="A366" s="1433"/>
      <c r="B366" s="664"/>
      <c r="C366" s="794" t="s">
        <v>1767</v>
      </c>
      <c r="D366" s="1044"/>
      <c r="E366" s="1044" t="s">
        <v>668</v>
      </c>
      <c r="F366" s="1043" t="s">
        <v>703</v>
      </c>
      <c r="G366" s="1095"/>
      <c r="H366" s="1095">
        <f>(H361/G361-1)*100</f>
        <v>17.981473213411569</v>
      </c>
      <c r="I366" s="1095">
        <f t="shared" ref="I366:Q366" si="415">(I361/H361-1)*100</f>
        <v>9.2523800400826204</v>
      </c>
      <c r="J366" s="1095">
        <f t="shared" si="415"/>
        <v>5.7466897289446761</v>
      </c>
      <c r="K366" s="1095">
        <f t="shared" si="415"/>
        <v>-1.2303970049398649</v>
      </c>
      <c r="L366" s="1095">
        <f t="shared" si="415"/>
        <v>-1.6390082398922812</v>
      </c>
      <c r="M366" s="1095">
        <f t="shared" si="415"/>
        <v>2.3337597993573711</v>
      </c>
      <c r="N366" s="1095">
        <f t="shared" si="415"/>
        <v>-0.38587931062584735</v>
      </c>
      <c r="O366" s="1095">
        <f t="shared" si="415"/>
        <v>-1.4834619464910714</v>
      </c>
      <c r="P366" s="1095">
        <f t="shared" si="415"/>
        <v>-0.87762344003156079</v>
      </c>
      <c r="Q366" s="1095">
        <f t="shared" si="415"/>
        <v>2.3692632574034533</v>
      </c>
      <c r="R366" s="1095">
        <f t="shared" ref="R366:AC368" si="416">(R361/Q361-1)*100</f>
        <v>4.662700917584095</v>
      </c>
      <c r="S366" s="1095">
        <f t="shared" si="416"/>
        <v>5.8771592919665716</v>
      </c>
      <c r="T366" s="1095">
        <f t="shared" si="416"/>
        <v>10.895036338373188</v>
      </c>
      <c r="U366" s="1095">
        <f t="shared" si="416"/>
        <v>4.3463770698739301</v>
      </c>
      <c r="V366" s="1095">
        <f t="shared" si="416"/>
        <v>1.2706574553363437</v>
      </c>
      <c r="W366" s="1095">
        <f t="shared" si="416"/>
        <v>4.1183092258671783</v>
      </c>
      <c r="X366" s="1095">
        <f t="shared" si="416"/>
        <v>3.0842672994858988</v>
      </c>
      <c r="Y366" s="1095">
        <f t="shared" si="416"/>
        <v>0.99570099620622798</v>
      </c>
      <c r="Z366" s="1095">
        <f t="shared" si="416"/>
        <v>0.11940834992987259</v>
      </c>
      <c r="AA366" s="1095">
        <f t="shared" si="416"/>
        <v>-0.88207624615264102</v>
      </c>
      <c r="AB366" s="1095">
        <f t="shared" si="416"/>
        <v>0.93856240912228994</v>
      </c>
      <c r="AC366" s="1095">
        <f t="shared" si="416"/>
        <v>3.7537547597789045</v>
      </c>
      <c r="AD366" s="1785">
        <f ca="1">OFFSET('VVP1'!$I$35,0,5*(COLUMN()-7))</f>
        <v>2.6</v>
      </c>
      <c r="AE366" s="1785">
        <f ca="1">OFFSET('VVP1'!$I$35,0,5*(COLUMN()-7))</f>
        <v>2.2000000000000002</v>
      </c>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row>
    <row r="367" spans="1:94" s="699" customFormat="1" ht="12.75" customHeight="1">
      <c r="A367" s="1433"/>
      <c r="B367" s="664"/>
      <c r="C367" s="795" t="s">
        <v>1767</v>
      </c>
      <c r="D367" s="1044"/>
      <c r="E367" s="1044" t="s">
        <v>1796</v>
      </c>
      <c r="F367" s="1043" t="s">
        <v>551</v>
      </c>
      <c r="G367" s="1044"/>
      <c r="H367" s="1044">
        <f t="shared" ref="H367:Q368" si="417">(H362/G362-1)*100</f>
        <v>24.625218170028674</v>
      </c>
      <c r="I367" s="1044">
        <f t="shared" si="417"/>
        <v>8.8810385147548132</v>
      </c>
      <c r="J367" s="1044">
        <f t="shared" si="417"/>
        <v>5.0675683816638006</v>
      </c>
      <c r="K367" s="1044">
        <f t="shared" si="417"/>
        <v>0.72754768934095715</v>
      </c>
      <c r="L367" s="1044">
        <f t="shared" si="417"/>
        <v>0.98165648690160534</v>
      </c>
      <c r="M367" s="1044">
        <f t="shared" si="417"/>
        <v>1.3671101382080053</v>
      </c>
      <c r="N367" s="1044">
        <f t="shared" si="417"/>
        <v>0.28147070071347091</v>
      </c>
      <c r="O367" s="1044">
        <f t="shared" si="417"/>
        <v>-1.1342993332159379</v>
      </c>
      <c r="P367" s="1044">
        <f t="shared" si="417"/>
        <v>1.1641029555507165</v>
      </c>
      <c r="Q367" s="1044">
        <f t="shared" si="417"/>
        <v>2.6585040622386646</v>
      </c>
      <c r="R367" s="1044">
        <f t="shared" si="416"/>
        <v>3.7390827101533075</v>
      </c>
      <c r="S367" s="1044">
        <f t="shared" si="416"/>
        <v>5.7371890958501481</v>
      </c>
      <c r="T367" s="1044">
        <f t="shared" si="416"/>
        <v>10.92586989019213</v>
      </c>
      <c r="U367" s="1044">
        <f t="shared" si="416"/>
        <v>4.4530745648701853</v>
      </c>
      <c r="V367" s="1044">
        <f t="shared" si="416"/>
        <v>1.3192095548344218</v>
      </c>
      <c r="W367" s="1044">
        <f t="shared" si="416"/>
        <v>4.130270604337194</v>
      </c>
      <c r="X367" s="1044">
        <f t="shared" si="416"/>
        <v>3.1000000000005024</v>
      </c>
      <c r="Y367" s="1044">
        <f t="shared" si="416"/>
        <v>0.99999999999949019</v>
      </c>
      <c r="Z367" s="1044">
        <f t="shared" ref="Z367:AC368" si="418">(Z362/Y362-1)*100</f>
        <v>0.10378991446344799</v>
      </c>
      <c r="AA367" s="1044">
        <f t="shared" si="418"/>
        <v>-0.8841084346517758</v>
      </c>
      <c r="AB367" s="1044">
        <f t="shared" si="418"/>
        <v>0.90552155371714793</v>
      </c>
      <c r="AC367" s="1413">
        <f ca="1">OFFSET('VVP1'!$I$42,0,5*(COLUMN()-7))</f>
        <v>3.7189943820576019</v>
      </c>
      <c r="AD367" s="1413">
        <f ca="1">OFFSET('VVP1'!$I$42,0,5*(COLUMN()-7))</f>
        <v>2.8095001688776193</v>
      </c>
      <c r="AE367" s="1413">
        <f ca="1">OFFSET('VVP1'!$I$42,0,5*(COLUMN()-7))</f>
        <v>2.3463849329505422</v>
      </c>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row>
    <row r="368" spans="1:94" s="699" customFormat="1" ht="12.75" customHeight="1">
      <c r="A368" s="1433"/>
      <c r="B368" s="664"/>
      <c r="C368" s="796" t="s">
        <v>401</v>
      </c>
      <c r="D368" s="1096"/>
      <c r="E368" s="1096" t="s">
        <v>1399</v>
      </c>
      <c r="F368" s="1440" t="s">
        <v>599</v>
      </c>
      <c r="G368" s="1096"/>
      <c r="H368" s="1096">
        <f t="shared" si="417"/>
        <v>24.696471147133337</v>
      </c>
      <c r="I368" s="1096">
        <f t="shared" si="417"/>
        <v>10.316048311274994</v>
      </c>
      <c r="J368" s="1096">
        <f t="shared" si="417"/>
        <v>5.3692947146210201</v>
      </c>
      <c r="K368" s="1096">
        <f t="shared" si="417"/>
        <v>1.4434683059157738</v>
      </c>
      <c r="L368" s="1096">
        <f t="shared" si="417"/>
        <v>1.0941831652804934</v>
      </c>
      <c r="M368" s="1096">
        <f t="shared" si="417"/>
        <v>1.5494940180067029</v>
      </c>
      <c r="N368" s="1096">
        <f t="shared" si="417"/>
        <v>0.33575892270378827</v>
      </c>
      <c r="O368" s="1096">
        <f t="shared" si="417"/>
        <v>-1.076549325965892</v>
      </c>
      <c r="P368" s="1096">
        <f t="shared" si="417"/>
        <v>1.1544758511099706</v>
      </c>
      <c r="Q368" s="1096">
        <f t="shared" si="417"/>
        <v>2.6717602675330188</v>
      </c>
      <c r="R368" s="1096">
        <f t="shared" si="416"/>
        <v>3.7567229228487431</v>
      </c>
      <c r="S368" s="1096">
        <f t="shared" si="416"/>
        <v>5.8181493190933242</v>
      </c>
      <c r="T368" s="1096">
        <f t="shared" si="416"/>
        <v>11.091521415525584</v>
      </c>
      <c r="U368" s="1096">
        <f t="shared" si="416"/>
        <v>4.1614794681972489</v>
      </c>
      <c r="V368" s="1096">
        <f t="shared" si="416"/>
        <v>1.1906282502782695</v>
      </c>
      <c r="W368" s="1096">
        <f t="shared" si="416"/>
        <v>4.1240273732993549</v>
      </c>
      <c r="X368" s="1096">
        <f t="shared" si="416"/>
        <v>3.1640472788673879</v>
      </c>
      <c r="Y368" s="1096">
        <f t="shared" si="416"/>
        <v>1.1641863705416533</v>
      </c>
      <c r="Z368" s="1096">
        <f t="shared" si="418"/>
        <v>0.24227137713090929</v>
      </c>
      <c r="AA368" s="1096">
        <f t="shared" si="418"/>
        <v>-0.67705143273386614</v>
      </c>
      <c r="AB368" s="1096">
        <f t="shared" si="418"/>
        <v>0.67833333333300327</v>
      </c>
      <c r="AC368" s="1096">
        <f t="shared" si="418"/>
        <v>3.7181121393222716</v>
      </c>
      <c r="AD368" s="1412">
        <f ca="1">OFFSET('VVP1'!$I$41,0,5*(COLUMN()-7))</f>
        <v>2.8095001688776193</v>
      </c>
      <c r="AE368" s="1412">
        <f ca="1">OFFSET('VVP1'!$I$41,0,5*(COLUMN()-7))</f>
        <v>2.3463849329505422</v>
      </c>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row>
    <row r="369" spans="1:31">
      <c r="Z369" s="3399"/>
      <c r="AB369" s="557"/>
      <c r="AC369" s="557"/>
      <c r="AD369" s="557"/>
      <c r="AE369" s="557"/>
    </row>
    <row r="370" spans="1:31">
      <c r="A370" s="664"/>
      <c r="D370" s="1477"/>
      <c r="E370" s="1511" t="s">
        <v>1935</v>
      </c>
      <c r="F370" s="1512"/>
      <c r="G370" s="817">
        <f>+InputY!$G$3</f>
        <v>1995</v>
      </c>
      <c r="H370" s="817">
        <f>+G370+1</f>
        <v>1996</v>
      </c>
      <c r="I370" s="817">
        <f>+H370+1</f>
        <v>1997</v>
      </c>
      <c r="J370" s="817">
        <f>+I370+1</f>
        <v>1998</v>
      </c>
      <c r="K370" s="817">
        <f t="shared" ref="K370:U370" si="419">+J370+1</f>
        <v>1999</v>
      </c>
      <c r="L370" s="817">
        <f t="shared" si="419"/>
        <v>2000</v>
      </c>
      <c r="M370" s="817">
        <f t="shared" si="419"/>
        <v>2001</v>
      </c>
      <c r="N370" s="817">
        <f t="shared" si="419"/>
        <v>2002</v>
      </c>
      <c r="O370" s="817">
        <f t="shared" si="419"/>
        <v>2003</v>
      </c>
      <c r="P370" s="817">
        <f t="shared" si="419"/>
        <v>2004</v>
      </c>
      <c r="Q370" s="817">
        <f t="shared" si="419"/>
        <v>2005</v>
      </c>
      <c r="R370" s="817">
        <f t="shared" si="419"/>
        <v>2006</v>
      </c>
      <c r="S370" s="817">
        <f>+R370+1</f>
        <v>2007</v>
      </c>
      <c r="T370" s="817">
        <f t="shared" si="419"/>
        <v>2008</v>
      </c>
      <c r="U370" s="817">
        <f t="shared" si="419"/>
        <v>2009</v>
      </c>
      <c r="V370" s="817">
        <f t="shared" ref="V370:AE370" si="420">+U370+1</f>
        <v>2010</v>
      </c>
      <c r="W370" s="817">
        <f t="shared" si="420"/>
        <v>2011</v>
      </c>
      <c r="X370" s="817">
        <f t="shared" si="420"/>
        <v>2012</v>
      </c>
      <c r="Y370" s="817">
        <f t="shared" si="420"/>
        <v>2013</v>
      </c>
      <c r="Z370" s="817">
        <f t="shared" si="420"/>
        <v>2014</v>
      </c>
      <c r="AA370" s="817">
        <f t="shared" si="420"/>
        <v>2015</v>
      </c>
      <c r="AB370" s="817">
        <f t="shared" si="420"/>
        <v>2016</v>
      </c>
      <c r="AC370" s="817">
        <f t="shared" si="420"/>
        <v>2017</v>
      </c>
      <c r="AD370" s="817">
        <f t="shared" si="420"/>
        <v>2018</v>
      </c>
      <c r="AE370" s="817">
        <f t="shared" si="420"/>
        <v>2019</v>
      </c>
    </row>
    <row r="371" spans="1:31">
      <c r="A371" s="664"/>
      <c r="B371" s="665">
        <v>161</v>
      </c>
      <c r="C371" s="1479"/>
      <c r="D371" s="23"/>
      <c r="E371" s="23" t="s">
        <v>435</v>
      </c>
      <c r="F371" s="1494"/>
      <c r="G371" s="1905"/>
      <c r="H371" s="1905">
        <f ca="1">OFFSET('Q1'!$F303,0,4*(COLUMN()-6))</f>
        <v>201.94000000000003</v>
      </c>
      <c r="I371" s="1905">
        <f ca="1">OFFSET('Q1'!$F303,0,4*(COLUMN()-6))</f>
        <v>206.91000000000003</v>
      </c>
      <c r="J371" s="1905">
        <f ca="1">OFFSET('Q1'!$F303,0,4*(COLUMN()-6))</f>
        <v>202.31</v>
      </c>
      <c r="K371" s="1905">
        <f ca="1">OFFSET('Q1'!$F303,0,4*(COLUMN()-6))</f>
        <v>253.32</v>
      </c>
      <c r="L371" s="1905">
        <f ca="1">OFFSET('Q1'!$F303,0,4*(COLUMN()-6))</f>
        <v>256.58999999999997</v>
      </c>
      <c r="M371" s="1905">
        <f ca="1">OFFSET('Q1'!$F303,0,4*(COLUMN()-6))</f>
        <v>233.14</v>
      </c>
      <c r="N371" s="1905">
        <f ca="1">OFFSET('Q1'!$F303,0,4*(COLUMN()-6))</f>
        <v>246.14000000000001</v>
      </c>
      <c r="O371" s="1905">
        <f ca="1">OFFSET('Q1'!$F303,0,4*(COLUMN()-6))</f>
        <v>244.02</v>
      </c>
      <c r="P371" s="1905">
        <f ca="1">OFFSET('Q1'!$F303,0,4*(COLUMN()-6))</f>
        <v>257.04000000000002</v>
      </c>
      <c r="Q371" s="1905">
        <f ca="1">OFFSET('Q1'!$F303,0,4*(COLUMN()-6))</f>
        <v>271.23</v>
      </c>
      <c r="R371" s="1905">
        <f ca="1">OFFSET('Q1'!$F303,0,4*(COLUMN()-6))</f>
        <v>271.83999999999997</v>
      </c>
      <c r="S371" s="1905">
        <f ca="1">OFFSET('Q1'!$F303,0,4*(COLUMN()-6))</f>
        <v>287.05</v>
      </c>
      <c r="T371" s="1905">
        <f ca="1">OFFSET('Q1'!$F303,0,4*(COLUMN()-6))</f>
        <v>289.37</v>
      </c>
      <c r="U371" s="1905">
        <f ca="1">OFFSET('Q1'!$F303,0,4*(COLUMN()-6))</f>
        <v>292.51</v>
      </c>
      <c r="V371" s="1905">
        <f ca="1">OFFSET('Q1'!$F303,0,4*(COLUMN()-6))</f>
        <v>266.68</v>
      </c>
      <c r="W371" s="1905">
        <f ca="1">OFFSET('Q1'!$F303,0,4*(COLUMN()-6))</f>
        <v>252.33000000000004</v>
      </c>
      <c r="X371" s="1905">
        <f ca="1">OFFSET('Q1'!$F303,0,4*(COLUMN()-6))</f>
        <v>243.38</v>
      </c>
      <c r="Y371" s="1905">
        <f ca="1">OFFSET('Q1'!$F303,0,4*(COLUMN()-6))</f>
        <v>238.83000000000004</v>
      </c>
      <c r="Z371" s="1905">
        <f ca="1">OFFSET('Q1'!$F303,0,4*(COLUMN()-6))</f>
        <v>300.89999999999998</v>
      </c>
      <c r="AA371" s="1905">
        <f ca="1">OFFSET('Q1'!$F303,0,4*(COLUMN()-6))</f>
        <v>321.58999999999997</v>
      </c>
      <c r="AB371" s="1905">
        <f ca="1">OFFSET('Q1'!$F303,0,4*(COLUMN()-6))</f>
        <v>336.99</v>
      </c>
      <c r="AC371" s="1905">
        <f ca="1">OFFSET('Q1'!$F303,0,4*(COLUMN()-6))</f>
        <v>324.63</v>
      </c>
      <c r="AD371" s="1905">
        <f ca="1">OFFSET('Q1'!$F303,0,4*(COLUMN()-6))</f>
        <v>324.63</v>
      </c>
      <c r="AE371" s="1905">
        <f ca="1">OFFSET('Q1'!$F303,0,4*(COLUMN()-6))</f>
        <v>324.63</v>
      </c>
    </row>
    <row r="372" spans="1:31">
      <c r="A372" s="664"/>
      <c r="B372" s="665">
        <v>162</v>
      </c>
      <c r="C372" s="1480"/>
      <c r="D372" s="1"/>
      <c r="E372" s="1" t="s">
        <v>436</v>
      </c>
      <c r="F372" s="1481"/>
      <c r="G372" s="1062"/>
      <c r="H372" s="1062">
        <f ca="1">OFFSET('Q1'!$F304,0,4*(COLUMN()-6))</f>
        <v>116.59</v>
      </c>
      <c r="I372" s="1062">
        <f ca="1">OFFSET('Q1'!$F304,0,4*(COLUMN()-6))</f>
        <v>144.16999999999999</v>
      </c>
      <c r="J372" s="1062">
        <f ca="1">OFFSET('Q1'!$F304,0,4*(COLUMN()-6))</f>
        <v>162.15</v>
      </c>
      <c r="K372" s="1062">
        <f ca="1">OFFSET('Q1'!$F304,0,4*(COLUMN()-6))</f>
        <v>131.61000000000001</v>
      </c>
      <c r="L372" s="1062">
        <f ca="1">OFFSET('Q1'!$F304,0,4*(COLUMN()-6))</f>
        <v>150.61000000000001</v>
      </c>
      <c r="M372" s="1062">
        <f ca="1">OFFSET('Q1'!$F304,0,4*(COLUMN()-6))</f>
        <v>156.51</v>
      </c>
      <c r="N372" s="1062">
        <f ca="1">OFFSET('Q1'!$F304,0,4*(COLUMN()-6))</f>
        <v>130.04</v>
      </c>
      <c r="O372" s="1062">
        <f ca="1">OFFSET('Q1'!$F304,0,4*(COLUMN()-6))</f>
        <v>144.53</v>
      </c>
      <c r="P372" s="1062">
        <f ca="1">OFFSET('Q1'!$F304,0,4*(COLUMN()-6))</f>
        <v>139.24</v>
      </c>
      <c r="Q372" s="1062">
        <f ca="1">OFFSET('Q1'!$F304,0,4*(COLUMN()-6))</f>
        <v>130.71</v>
      </c>
      <c r="R372" s="1062">
        <f ca="1">OFFSET('Q1'!$F304,0,4*(COLUMN()-6))</f>
        <v>131.59</v>
      </c>
      <c r="S372" s="1062">
        <f ca="1">OFFSET('Q1'!$F304,0,4*(COLUMN()-6))</f>
        <v>133.38</v>
      </c>
      <c r="T372" s="1062">
        <f ca="1">OFFSET('Q1'!$F304,0,4*(COLUMN()-6))</f>
        <v>133.54</v>
      </c>
      <c r="U372" s="1062">
        <f ca="1">OFFSET('Q1'!$F304,0,4*(COLUMN()-6))</f>
        <v>125.36000000000001</v>
      </c>
      <c r="V372" s="1062">
        <f ca="1">OFFSET('Q1'!$F304,0,4*(COLUMN()-6))</f>
        <v>136.25</v>
      </c>
      <c r="W372" s="1062">
        <f ca="1">OFFSET('Q1'!$F304,0,4*(COLUMN()-6))</f>
        <v>153.46</v>
      </c>
      <c r="X372" s="1062">
        <f ca="1">OFFSET('Q1'!$F304,0,4*(COLUMN()-6))</f>
        <v>163.93</v>
      </c>
      <c r="Y372" s="1062">
        <f ca="1">OFFSET('Q1'!$F304,0,4*(COLUMN()-6))</f>
        <v>168.38</v>
      </c>
      <c r="Z372" s="1062">
        <f ca="1">OFFSET('Q1'!$F304,0,4*(COLUMN()-6))</f>
        <v>142.51</v>
      </c>
      <c r="AA372" s="1062">
        <f ca="1">OFFSET('Q1'!$F304,0,4*(COLUMN()-6))</f>
        <v>136.01</v>
      </c>
      <c r="AB372" s="1062">
        <f ca="1">OFFSET('Q1'!$F304,0,4*(COLUMN()-6))</f>
        <v>117.86</v>
      </c>
      <c r="AC372" s="1062">
        <f ca="1">OFFSET('Q1'!$F304,0,4*(COLUMN()-6))</f>
        <v>120.19</v>
      </c>
      <c r="AD372" s="1062">
        <f ca="1">OFFSET('Q1'!$F304,0,4*(COLUMN()-6))</f>
        <v>120.19</v>
      </c>
      <c r="AE372" s="1062">
        <f ca="1">OFFSET('Q1'!$F304,0,4*(COLUMN()-6))</f>
        <v>120.19</v>
      </c>
    </row>
    <row r="373" spans="1:31">
      <c r="A373" s="664"/>
      <c r="B373" s="665">
        <v>164</v>
      </c>
      <c r="C373" s="1480"/>
      <c r="D373" s="1"/>
      <c r="E373" s="1" t="s">
        <v>1239</v>
      </c>
      <c r="F373" s="3"/>
      <c r="G373" s="1062"/>
      <c r="H373" s="1062">
        <f ca="1">OFFSET('Q1'!$F305,0,4*(COLUMN()-6))</f>
        <v>248.77000000000004</v>
      </c>
      <c r="I373" s="1062">
        <f ca="1">OFFSET('Q1'!$F305,0,4*(COLUMN()-6))</f>
        <v>192.56</v>
      </c>
      <c r="J373" s="1062">
        <f ca="1">OFFSET('Q1'!$F305,0,4*(COLUMN()-6))</f>
        <v>180.19000000000003</v>
      </c>
      <c r="K373" s="1062">
        <f ca="1">OFFSET('Q1'!$F305,0,4*(COLUMN()-6))</f>
        <v>174.74</v>
      </c>
      <c r="L373" s="1062">
        <f ca="1">OFFSET('Q1'!$F305,0,4*(COLUMN()-6))</f>
        <v>165.14</v>
      </c>
      <c r="M373" s="1062">
        <f ca="1">OFFSET('Q1'!$F305,0,4*(COLUMN()-6))</f>
        <v>163.66</v>
      </c>
      <c r="N373" s="1062">
        <f ca="1">OFFSET('Q1'!$F305,0,4*(COLUMN()-6))</f>
        <v>152.71</v>
      </c>
      <c r="O373" s="1062">
        <f ca="1">OFFSET('Q1'!$F305,0,4*(COLUMN()-6))</f>
        <v>130.96</v>
      </c>
      <c r="P373" s="1062">
        <f ca="1">OFFSET('Q1'!$F305,0,4*(COLUMN()-6))</f>
        <v>121.5</v>
      </c>
      <c r="Q373" s="1062">
        <f ca="1">OFFSET('Q1'!$F305,0,4*(COLUMN()-6))</f>
        <v>120.35</v>
      </c>
      <c r="R373" s="1062">
        <f ca="1">OFFSET('Q1'!$F305,0,4*(COLUMN()-6))</f>
        <v>120.72000000000001</v>
      </c>
      <c r="S373" s="1062">
        <f ca="1">OFFSET('Q1'!$F305,0,4*(COLUMN()-6))</f>
        <v>112.88</v>
      </c>
      <c r="T373" s="1062">
        <f ca="1">OFFSET('Q1'!$F305,0,4*(COLUMN()-6))</f>
        <v>110.28</v>
      </c>
      <c r="U373" s="1062">
        <f ca="1">OFFSET('Q1'!$F305,0,4*(COLUMN()-6))</f>
        <v>115.75000000000001</v>
      </c>
      <c r="V373" s="1062">
        <f ca="1">OFFSET('Q1'!$F305,0,4*(COLUMN()-6))</f>
        <v>113.57</v>
      </c>
      <c r="W373" s="1062">
        <f ca="1">OFFSET('Q1'!$F305,0,4*(COLUMN()-6))</f>
        <v>114.47000000000001</v>
      </c>
      <c r="X373" s="1062">
        <f ca="1">OFFSET('Q1'!$F305,0,4*(COLUMN()-6))</f>
        <v>111.19</v>
      </c>
      <c r="Y373" s="1062">
        <f ca="1">OFFSET('Q1'!$F305,0,4*(COLUMN()-6))</f>
        <v>111.46000000000001</v>
      </c>
      <c r="Z373" s="1062">
        <f ca="1">OFFSET('Q1'!$F305,0,4*(COLUMN()-6))</f>
        <v>102.8</v>
      </c>
      <c r="AA373" s="1062">
        <f ca="1">OFFSET('Q1'!$F305,0,4*(COLUMN()-6))</f>
        <v>95.36</v>
      </c>
      <c r="AB373" s="1062">
        <f ca="1">OFFSET('Q1'!$F305,0,4*(COLUMN()-6))</f>
        <v>92.19</v>
      </c>
      <c r="AC373" s="1062">
        <f ca="1">OFFSET('Q1'!$F305,0,4*(COLUMN()-6))</f>
        <v>80.97</v>
      </c>
      <c r="AD373" s="1062">
        <f ca="1">OFFSET('Q1'!$F305,0,4*(COLUMN()-6))</f>
        <v>80.97</v>
      </c>
      <c r="AE373" s="1062">
        <f ca="1">OFFSET('Q1'!$F305,0,4*(COLUMN()-6))</f>
        <v>80.97</v>
      </c>
    </row>
    <row r="374" spans="1:31">
      <c r="A374" s="664"/>
      <c r="B374" s="665">
        <v>163</v>
      </c>
      <c r="C374" s="1480"/>
      <c r="D374" s="1"/>
      <c r="E374" s="1" t="s">
        <v>1238</v>
      </c>
      <c r="F374" s="1481"/>
      <c r="G374" s="1062"/>
      <c r="H374" s="1062">
        <f ca="1">OFFSET('Q1'!$F306,0,4*(COLUMN()-6))</f>
        <v>329.58</v>
      </c>
      <c r="I374" s="1062">
        <f ca="1">OFFSET('Q1'!$F306,0,4*(COLUMN()-6))</f>
        <v>328.30000000000007</v>
      </c>
      <c r="J374" s="1062">
        <f ca="1">OFFSET('Q1'!$F306,0,4*(COLUMN()-6))</f>
        <v>321.64</v>
      </c>
      <c r="K374" s="1062">
        <f ca="1">OFFSET('Q1'!$F306,0,4*(COLUMN()-6))</f>
        <v>294.95</v>
      </c>
      <c r="L374" s="1062">
        <f ca="1">OFFSET('Q1'!$F306,0,4*(COLUMN()-6))</f>
        <v>274.73</v>
      </c>
      <c r="M374" s="1062">
        <f ca="1">OFFSET('Q1'!$F306,0,4*(COLUMN()-6))</f>
        <v>276.14999999999998</v>
      </c>
      <c r="N374" s="1062">
        <f ca="1">OFFSET('Q1'!$F306,0,4*(COLUMN()-6))</f>
        <v>261.55</v>
      </c>
      <c r="O374" s="1062">
        <f ca="1">OFFSET('Q1'!$F306,0,4*(COLUMN()-6))</f>
        <v>258.43000000000006</v>
      </c>
      <c r="P374" s="1062">
        <f ca="1">OFFSET('Q1'!$F306,0,4*(COLUMN()-6))</f>
        <v>251.84</v>
      </c>
      <c r="Q374" s="1062">
        <f ca="1">OFFSET('Q1'!$F306,0,4*(COLUMN()-6))</f>
        <v>236.39</v>
      </c>
      <c r="R374" s="1062">
        <f ca="1">OFFSET('Q1'!$F306,0,4*(COLUMN()-6))</f>
        <v>224.20000000000002</v>
      </c>
      <c r="S374" s="1062">
        <f ca="1">OFFSET('Q1'!$F306,0,4*(COLUMN()-6))</f>
        <v>221.72</v>
      </c>
      <c r="T374" s="1062">
        <f ca="1">OFFSET('Q1'!$F306,0,4*(COLUMN()-6))</f>
        <v>215.87000000000003</v>
      </c>
      <c r="U374" s="1062">
        <f ca="1">OFFSET('Q1'!$F306,0,4*(COLUMN()-6))</f>
        <v>213.01000000000002</v>
      </c>
      <c r="V374" s="1062">
        <f ca="1">OFFSET('Q1'!$F306,0,4*(COLUMN()-6))</f>
        <v>223.05000000000004</v>
      </c>
      <c r="W374" s="1062">
        <f ca="1">OFFSET('Q1'!$F306,0,4*(COLUMN()-6))</f>
        <v>232.45000000000002</v>
      </c>
      <c r="X374" s="1062">
        <f ca="1">OFFSET('Q1'!$F306,0,4*(COLUMN()-6))</f>
        <v>233.29000000000002</v>
      </c>
      <c r="Y374" s="1062">
        <f ca="1">OFFSET('Q1'!$F306,0,4*(COLUMN()-6))</f>
        <v>230.58000000000004</v>
      </c>
      <c r="Z374" s="1062">
        <f ca="1">OFFSET('Q1'!$F306,0,4*(COLUMN()-6))</f>
        <v>219.69</v>
      </c>
      <c r="AA374" s="1062">
        <f ca="1">OFFSET('Q1'!$F306,0,4*(COLUMN()-6))</f>
        <v>206.54</v>
      </c>
      <c r="AB374" s="1062">
        <f ca="1">OFFSET('Q1'!$F306,0,4*(COLUMN()-6))</f>
        <v>208.15</v>
      </c>
      <c r="AC374" s="1062">
        <f ca="1">OFFSET('Q1'!$F306,0,4*(COLUMN()-6))</f>
        <v>209.09</v>
      </c>
      <c r="AD374" s="1062">
        <f ca="1">OFFSET('Q1'!$F306,0,4*(COLUMN()-6))</f>
        <v>209.09</v>
      </c>
      <c r="AE374" s="1062">
        <f ca="1">OFFSET('Q1'!$F306,0,4*(COLUMN()-6))</f>
        <v>209.09</v>
      </c>
    </row>
    <row r="375" spans="1:31">
      <c r="A375" s="664"/>
      <c r="B375" s="665">
        <v>165</v>
      </c>
      <c r="C375" s="1484"/>
      <c r="D375" s="113"/>
      <c r="E375" s="113" t="s">
        <v>1240</v>
      </c>
      <c r="F375" s="1482"/>
      <c r="G375" s="1514"/>
      <c r="H375" s="1514">
        <f ca="1">OFFSET('Q1'!$F307,0,4*(COLUMN()-6))</f>
        <v>103.13000000000001</v>
      </c>
      <c r="I375" s="1514">
        <f ca="1">OFFSET('Q1'!$F307,0,4*(COLUMN()-6))</f>
        <v>128.07</v>
      </c>
      <c r="J375" s="1514">
        <f ca="1">OFFSET('Q1'!$F307,0,4*(COLUMN()-6))</f>
        <v>133.72</v>
      </c>
      <c r="K375" s="1514">
        <f ca="1">OFFSET('Q1'!$F307,0,4*(COLUMN()-6))</f>
        <v>145.38999999999999</v>
      </c>
      <c r="L375" s="1514">
        <f ca="1">OFFSET('Q1'!$F307,0,4*(COLUMN()-6))</f>
        <v>152.91999999999999</v>
      </c>
      <c r="M375" s="1514">
        <f ca="1">OFFSET('Q1'!$F307,0,4*(COLUMN()-6))</f>
        <v>170.54</v>
      </c>
      <c r="N375" s="1514">
        <f ca="1">OFFSET('Q1'!$F307,0,4*(COLUMN()-6))</f>
        <v>209.57</v>
      </c>
      <c r="O375" s="1514">
        <f ca="1">OFFSET('Q1'!$F307,0,4*(COLUMN()-6))</f>
        <v>222.06000000000003</v>
      </c>
      <c r="P375" s="1514">
        <f ca="1">OFFSET('Q1'!$F307,0,4*(COLUMN()-6))</f>
        <v>230.37000000000003</v>
      </c>
      <c r="Q375" s="1514">
        <f ca="1">OFFSET('Q1'!$F307,0,4*(COLUMN()-6))</f>
        <v>241.33000000000004</v>
      </c>
      <c r="R375" s="1514">
        <f ca="1">OFFSET('Q1'!$F307,0,4*(COLUMN()-6))</f>
        <v>251.66</v>
      </c>
      <c r="S375" s="1514">
        <f ca="1">OFFSET('Q1'!$F307,0,4*(COLUMN()-6))</f>
        <v>244.97</v>
      </c>
      <c r="T375" s="1514">
        <f ca="1">OFFSET('Q1'!$F307,0,4*(COLUMN()-6))</f>
        <v>250.94</v>
      </c>
      <c r="U375" s="1514">
        <f ca="1">OFFSET('Q1'!$F307,0,4*(COLUMN()-6))</f>
        <v>253.37000000000003</v>
      </c>
      <c r="V375" s="1514">
        <f ca="1">OFFSET('Q1'!$F307,0,4*(COLUMN()-6))</f>
        <v>260.44</v>
      </c>
      <c r="W375" s="1514">
        <f ca="1">OFFSET('Q1'!$F307,0,4*(COLUMN()-6))</f>
        <v>247.30000000000004</v>
      </c>
      <c r="X375" s="1514">
        <f ca="1">OFFSET('Q1'!$F307,0,4*(COLUMN()-6))</f>
        <v>248.21</v>
      </c>
      <c r="Y375" s="1514">
        <f ca="1">OFFSET('Q1'!$F307,0,4*(COLUMN()-6))</f>
        <v>250.74</v>
      </c>
      <c r="Z375" s="1514">
        <f ca="1">OFFSET('Q1'!$F307,0,4*(COLUMN()-6))</f>
        <v>234.10000000000002</v>
      </c>
      <c r="AA375" s="1514">
        <f ca="1">OFFSET('Q1'!$F307,0,4*(COLUMN()-6))</f>
        <v>240.50000000000009</v>
      </c>
      <c r="AB375" s="1514">
        <f ca="1">OFFSET('Q1'!$F307,0,4*(COLUMN()-6))</f>
        <v>244.80999999999997</v>
      </c>
      <c r="AC375" s="1514">
        <f ca="1">OFFSET('Q1'!$F307,0,4*(COLUMN()-6))</f>
        <v>265.12</v>
      </c>
      <c r="AD375" s="1514">
        <f ca="1">OFFSET('Q1'!$F307,0,4*(COLUMN()-6))</f>
        <v>265.12</v>
      </c>
      <c r="AE375" s="1514">
        <f ca="1">OFFSET('Q1'!$F307,0,4*(COLUMN()-6))</f>
        <v>265.12</v>
      </c>
    </row>
    <row r="376" spans="1:31">
      <c r="AB376" s="557"/>
      <c r="AC376" s="557"/>
      <c r="AD376" s="557"/>
      <c r="AE376" s="557"/>
    </row>
    <row r="377" spans="1:31">
      <c r="A377" s="664"/>
      <c r="D377" s="1477"/>
      <c r="E377" s="1511" t="s">
        <v>352</v>
      </c>
      <c r="F377" s="1512"/>
      <c r="G377" s="817">
        <f>+InputY!$G$3</f>
        <v>1995</v>
      </c>
      <c r="H377" s="817">
        <f>+G377+1</f>
        <v>1996</v>
      </c>
      <c r="I377" s="817">
        <f>+H377+1</f>
        <v>1997</v>
      </c>
      <c r="J377" s="817">
        <f>+I377+1</f>
        <v>1998</v>
      </c>
      <c r="K377" s="817">
        <f t="shared" ref="K377:U377" si="421">+J377+1</f>
        <v>1999</v>
      </c>
      <c r="L377" s="817">
        <f t="shared" si="421"/>
        <v>2000</v>
      </c>
      <c r="M377" s="817">
        <f t="shared" si="421"/>
        <v>2001</v>
      </c>
      <c r="N377" s="817">
        <f t="shared" si="421"/>
        <v>2002</v>
      </c>
      <c r="O377" s="817">
        <f t="shared" si="421"/>
        <v>2003</v>
      </c>
      <c r="P377" s="817">
        <f t="shared" si="421"/>
        <v>2004</v>
      </c>
      <c r="Q377" s="817">
        <f t="shared" si="421"/>
        <v>2005</v>
      </c>
      <c r="R377" s="817">
        <f t="shared" si="421"/>
        <v>2006</v>
      </c>
      <c r="S377" s="817">
        <f>+R377+1</f>
        <v>2007</v>
      </c>
      <c r="T377" s="817">
        <f t="shared" si="421"/>
        <v>2008</v>
      </c>
      <c r="U377" s="817">
        <f t="shared" si="421"/>
        <v>2009</v>
      </c>
      <c r="V377" s="817">
        <f t="shared" ref="V377:AE377" si="422">+U377+1</f>
        <v>2010</v>
      </c>
      <c r="W377" s="817">
        <f t="shared" si="422"/>
        <v>2011</v>
      </c>
      <c r="X377" s="817">
        <f t="shared" si="422"/>
        <v>2012</v>
      </c>
      <c r="Y377" s="817">
        <f t="shared" si="422"/>
        <v>2013</v>
      </c>
      <c r="Z377" s="817">
        <f t="shared" si="422"/>
        <v>2014</v>
      </c>
      <c r="AA377" s="817">
        <f t="shared" si="422"/>
        <v>2015</v>
      </c>
      <c r="AB377" s="817">
        <f t="shared" si="422"/>
        <v>2016</v>
      </c>
      <c r="AC377" s="817">
        <f t="shared" si="422"/>
        <v>2017</v>
      </c>
      <c r="AD377" s="817">
        <f t="shared" si="422"/>
        <v>2018</v>
      </c>
      <c r="AE377" s="817">
        <f t="shared" si="422"/>
        <v>2019</v>
      </c>
    </row>
    <row r="378" spans="1:31">
      <c r="A378" s="664"/>
      <c r="B378" s="665">
        <v>172</v>
      </c>
      <c r="C378" s="1479"/>
      <c r="D378" s="23"/>
      <c r="E378" s="23" t="s">
        <v>435</v>
      </c>
      <c r="F378" s="1494"/>
      <c r="G378" s="1905"/>
      <c r="H378" s="1905">
        <f ca="1">OFFSET('Q1'!$F290,0,4*(COLUMN()-6))</f>
        <v>92.647499999999994</v>
      </c>
      <c r="I378" s="1905">
        <f ca="1">OFFSET('Q1'!$F290,0,4*(COLUMN()-6))</f>
        <v>100.49166666666667</v>
      </c>
      <c r="J378" s="1905">
        <f ca="1">OFFSET('Q1'!$F290,0,4*(COLUMN()-6))</f>
        <v>105.71583333333334</v>
      </c>
      <c r="K378" s="1905">
        <f ca="1">OFFSET('Q1'!$F290,0,4*(COLUMN()-6))</f>
        <v>107.93</v>
      </c>
      <c r="L378" s="1905">
        <f ca="1">OFFSET('Q1'!$F290,0,4*(COLUMN()-6))</f>
        <v>105.96999999999998</v>
      </c>
      <c r="M378" s="1905">
        <f ca="1">OFFSET('Q1'!$F290,0,4*(COLUMN()-6))</f>
        <v>103.17249999999999</v>
      </c>
      <c r="N378" s="1905">
        <f ca="1">OFFSET('Q1'!$F290,0,4*(COLUMN()-6))</f>
        <v>101.37833333333334</v>
      </c>
      <c r="O378" s="1905">
        <f ca="1">OFFSET('Q1'!$F290,0,4*(COLUMN()-6))</f>
        <v>99.831666666666649</v>
      </c>
      <c r="P378" s="1905">
        <f ca="1">OFFSET('Q1'!$F290,0,4*(COLUMN()-6))</f>
        <v>99.630833333333342</v>
      </c>
      <c r="Q378" s="1905">
        <f ca="1">OFFSET('Q1'!$F290,0,4*(COLUMN()-6))</f>
        <v>98.982500000000016</v>
      </c>
      <c r="R378" s="1905">
        <f ca="1">OFFSET('Q1'!$F290,0,4*(COLUMN()-6))</f>
        <v>98.850833333333341</v>
      </c>
      <c r="S378" s="1905">
        <f ca="1">OFFSET('Q1'!$F290,0,4*(COLUMN()-6))</f>
        <v>98.637499999999989</v>
      </c>
      <c r="T378" s="1905">
        <f ca="1">OFFSET('Q1'!$F290,0,4*(COLUMN()-6))</f>
        <v>100.42916666666666</v>
      </c>
      <c r="U378" s="1905">
        <f ca="1">OFFSET('Q1'!$F290,0,4*(COLUMN()-6))</f>
        <v>100.66833333333334</v>
      </c>
      <c r="V378" s="1905">
        <f ca="1">OFFSET('Q1'!$F290,0,4*(COLUMN()-6))</f>
        <v>97.775833333333338</v>
      </c>
      <c r="W378" s="1905">
        <f ca="1">OFFSET('Q1'!$F290,0,4*(COLUMN()-6))</f>
        <v>97.137499999999989</v>
      </c>
      <c r="X378" s="1905">
        <f ca="1">OFFSET('Q1'!$F290,0,4*(COLUMN()-6))</f>
        <v>98.225000000000009</v>
      </c>
      <c r="Y378" s="1905">
        <f ca="1">OFFSET('Q1'!$F290,0,4*(COLUMN()-6))</f>
        <v>99.164166666666659</v>
      </c>
      <c r="Z378" s="1905">
        <f ca="1">OFFSET('Q1'!$F290,0,4*(COLUMN()-6))</f>
        <v>99.24</v>
      </c>
      <c r="AA378" s="1905">
        <f ca="1">OFFSET('Q1'!$F290,0,4*(COLUMN()-6))</f>
        <v>100</v>
      </c>
      <c r="AB378" s="1905">
        <f ca="1">OFFSET('Q1'!$F290,0,4*(COLUMN()-6))</f>
        <v>100.68666666666667</v>
      </c>
      <c r="AC378" s="1905">
        <f ca="1">OFFSET('Q1'!$F290,0,4*(COLUMN()-6))</f>
        <v>101.41083333333333</v>
      </c>
      <c r="AD378" s="1905">
        <f ca="1">OFFSET('Q1'!$F290,0,4*(COLUMN()-6))</f>
        <v>102.20236517779105</v>
      </c>
      <c r="AE378" s="1905">
        <f ca="1">OFFSET('Q1'!$F290,0,4*(COLUMN()-6))</f>
        <v>103.25423650859683</v>
      </c>
    </row>
    <row r="379" spans="1:31">
      <c r="A379" s="664"/>
      <c r="B379" s="665">
        <v>173</v>
      </c>
      <c r="C379" s="1480"/>
      <c r="D379" s="1"/>
      <c r="E379" s="1" t="s">
        <v>436</v>
      </c>
      <c r="F379" s="1481"/>
      <c r="G379" s="1062"/>
      <c r="H379" s="1062">
        <f ca="1">OFFSET('Q1'!$F291,0,4*(COLUMN()-6))</f>
        <v>31.152499999999996</v>
      </c>
      <c r="I379" s="1062">
        <f ca="1">OFFSET('Q1'!$F291,0,4*(COLUMN()-6))</f>
        <v>37.234999999999999</v>
      </c>
      <c r="J379" s="1062">
        <f ca="1">OFFSET('Q1'!$F291,0,4*(COLUMN()-6))</f>
        <v>42.76</v>
      </c>
      <c r="K379" s="1062">
        <f ca="1">OFFSET('Q1'!$F291,0,4*(COLUMN()-6))</f>
        <v>46.583333333333336</v>
      </c>
      <c r="L379" s="1062">
        <f ca="1">OFFSET('Q1'!$F291,0,4*(COLUMN()-6))</f>
        <v>54.626666666666672</v>
      </c>
      <c r="M379" s="1062">
        <f ca="1">OFFSET('Q1'!$F291,0,4*(COLUMN()-6))</f>
        <v>54.610833333333332</v>
      </c>
      <c r="N379" s="1062">
        <f ca="1">OFFSET('Q1'!$F291,0,4*(COLUMN()-6))</f>
        <v>55.532499999999999</v>
      </c>
      <c r="O379" s="1062">
        <f ca="1">OFFSET('Q1'!$F291,0,4*(COLUMN()-6))</f>
        <v>56.129999999999995</v>
      </c>
      <c r="P379" s="1062">
        <f ca="1">OFFSET('Q1'!$F291,0,4*(COLUMN()-6))</f>
        <v>57.662500000000001</v>
      </c>
      <c r="Q379" s="1062">
        <f ca="1">OFFSET('Q1'!$F291,0,4*(COLUMN()-6))</f>
        <v>61.830833333333338</v>
      </c>
      <c r="R379" s="1062">
        <f ca="1">OFFSET('Q1'!$F291,0,4*(COLUMN()-6))</f>
        <v>66.524166666666659</v>
      </c>
      <c r="S379" s="1062">
        <f ca="1">OFFSET('Q1'!$F291,0,4*(COLUMN()-6))</f>
        <v>71.067499999999995</v>
      </c>
      <c r="T379" s="1062">
        <f ca="1">OFFSET('Q1'!$F291,0,4*(COLUMN()-6))</f>
        <v>83.804999999999993</v>
      </c>
      <c r="U379" s="1062">
        <f ca="1">OFFSET('Q1'!$F291,0,4*(COLUMN()-6))</f>
        <v>90.648333333333326</v>
      </c>
      <c r="V379" s="1062">
        <f ca="1">OFFSET('Q1'!$F291,0,4*(COLUMN()-6))</f>
        <v>100.07666666666665</v>
      </c>
      <c r="W379" s="1062">
        <f ca="1">OFFSET('Q1'!$F291,0,4*(COLUMN()-6))</f>
        <v>112.12833333333333</v>
      </c>
      <c r="X379" s="1062">
        <f ca="1">OFFSET('Q1'!$F291,0,4*(COLUMN()-6))</f>
        <v>119.5925</v>
      </c>
      <c r="Y379" s="1062">
        <f ca="1">OFFSET('Q1'!$F291,0,4*(COLUMN()-6))</f>
        <v>118.10416666666667</v>
      </c>
      <c r="Z379" s="1062">
        <f ca="1">OFFSET('Q1'!$F291,0,4*(COLUMN()-6))</f>
        <v>113.42666666666666</v>
      </c>
      <c r="AA379" s="1062">
        <f ca="1">OFFSET('Q1'!$F291,0,4*(COLUMN()-6))</f>
        <v>99.999166666666667</v>
      </c>
      <c r="AB379" s="1062">
        <f ca="1">OFFSET('Q1'!$F291,0,4*(COLUMN()-6))</f>
        <v>92.814999999999998</v>
      </c>
      <c r="AC379" s="1062">
        <f ca="1">OFFSET('Q1'!$F291,0,4*(COLUMN()-6))</f>
        <v>97.161666666666676</v>
      </c>
      <c r="AD379" s="1062">
        <f ca="1">OFFSET('Q1'!$F291,0,4*(COLUMN()-6))</f>
        <v>102.56256044002525</v>
      </c>
      <c r="AE379" s="1062">
        <f ca="1">OFFSET('Q1'!$F291,0,4*(COLUMN()-6))</f>
        <v>103.7678881637022</v>
      </c>
    </row>
    <row r="380" spans="1:31">
      <c r="A380" s="664"/>
      <c r="B380" s="665">
        <v>175</v>
      </c>
      <c r="C380" s="1480"/>
      <c r="D380" s="1"/>
      <c r="E380" s="1" t="s">
        <v>1239</v>
      </c>
      <c r="F380" s="3"/>
      <c r="G380" s="1062"/>
      <c r="H380" s="1062">
        <f ca="1">OFFSET('Q1'!$F292,0,4*(COLUMN()-6))</f>
        <v>65.643333333333331</v>
      </c>
      <c r="I380" s="1062">
        <f ca="1">OFFSET('Q1'!$F292,0,4*(COLUMN()-6))</f>
        <v>68.896666666666661</v>
      </c>
      <c r="J380" s="1062">
        <f ca="1">OFFSET('Q1'!$F292,0,4*(COLUMN()-6))</f>
        <v>69.525833333333324</v>
      </c>
      <c r="K380" s="1062">
        <f ca="1">OFFSET('Q1'!$F292,0,4*(COLUMN()-6))</f>
        <v>65.62166666666667</v>
      </c>
      <c r="L380" s="1062">
        <f ca="1">OFFSET('Q1'!$F292,0,4*(COLUMN()-6))</f>
        <v>63.368333333333332</v>
      </c>
      <c r="M380" s="1062">
        <f ca="1">OFFSET('Q1'!$F292,0,4*(COLUMN()-6))</f>
        <v>69.052500000000009</v>
      </c>
      <c r="N380" s="1062">
        <f ca="1">OFFSET('Q1'!$F292,0,4*(COLUMN()-6))</f>
        <v>67.540833333333339</v>
      </c>
      <c r="O380" s="1062">
        <f ca="1">OFFSET('Q1'!$F292,0,4*(COLUMN()-6))</f>
        <v>59.44166666666667</v>
      </c>
      <c r="P380" s="1062">
        <f ca="1">OFFSET('Q1'!$F292,0,4*(COLUMN()-6))</f>
        <v>60.920833333333334</v>
      </c>
      <c r="Q380" s="1062">
        <f ca="1">OFFSET('Q1'!$F292,0,4*(COLUMN()-6))</f>
        <v>64.811666666666667</v>
      </c>
      <c r="R380" s="1062">
        <f ca="1">OFFSET('Q1'!$F292,0,4*(COLUMN()-6))</f>
        <v>70.037499999999994</v>
      </c>
      <c r="S380" s="1062">
        <f ca="1">OFFSET('Q1'!$F292,0,4*(COLUMN()-6))</f>
        <v>76.116666666666674</v>
      </c>
      <c r="T380" s="1062">
        <f ca="1">OFFSET('Q1'!$F292,0,4*(COLUMN()-6))</f>
        <v>87.634166666666658</v>
      </c>
      <c r="U380" s="1062">
        <f ca="1">OFFSET('Q1'!$F292,0,4*(COLUMN()-6))</f>
        <v>90.356666666666655</v>
      </c>
      <c r="V380" s="1062">
        <f ca="1">OFFSET('Q1'!$F292,0,4*(COLUMN()-6))</f>
        <v>88.270833333333329</v>
      </c>
      <c r="W380" s="1062">
        <f ca="1">OFFSET('Q1'!$F292,0,4*(COLUMN()-6))</f>
        <v>92.708333333333329</v>
      </c>
      <c r="X380" s="1062">
        <f ca="1">OFFSET('Q1'!$F292,0,4*(COLUMN()-6))</f>
        <v>95.808333333333337</v>
      </c>
      <c r="Y380" s="1062">
        <f ca="1">OFFSET('Q1'!$F292,0,4*(COLUMN()-6))</f>
        <v>98.91</v>
      </c>
      <c r="Z380" s="1062">
        <f ca="1">OFFSET('Q1'!$F292,0,4*(COLUMN()-6))</f>
        <v>99.243333333333325</v>
      </c>
      <c r="AA380" s="1062">
        <f ca="1">OFFSET('Q1'!$F292,0,4*(COLUMN()-6))</f>
        <v>100.00083333333333</v>
      </c>
      <c r="AB380" s="1062">
        <f ca="1">OFFSET('Q1'!$F292,0,4*(COLUMN()-6))</f>
        <v>101.51583333333333</v>
      </c>
      <c r="AC380" s="1062">
        <f ca="1">OFFSET('Q1'!$F292,0,4*(COLUMN()-6))</f>
        <v>103.17833333333333</v>
      </c>
      <c r="AD380" s="1062">
        <f ca="1">OFFSET('Q1'!$F292,0,4*(COLUMN()-6))</f>
        <v>103.72429535838776</v>
      </c>
      <c r="AE380" s="1062">
        <f ca="1">OFFSET('Q1'!$F292,0,4*(COLUMN()-6))</f>
        <v>104.64775631611455</v>
      </c>
    </row>
    <row r="381" spans="1:31">
      <c r="A381" s="664"/>
      <c r="B381" s="665">
        <v>174</v>
      </c>
      <c r="C381" s="1480"/>
      <c r="D381" s="1"/>
      <c r="E381" s="1" t="s">
        <v>1238</v>
      </c>
      <c r="F381" s="1481"/>
      <c r="G381" s="1062"/>
      <c r="H381" s="1062">
        <f ca="1">OFFSET('Q1'!$F293,0,4*(COLUMN()-6))</f>
        <v>52.674166666666672</v>
      </c>
      <c r="I381" s="1062">
        <f ca="1">OFFSET('Q1'!$F293,0,4*(COLUMN()-6))</f>
        <v>57.693333333333335</v>
      </c>
      <c r="J381" s="1062">
        <f ca="1">OFFSET('Q1'!$F293,0,4*(COLUMN()-6))</f>
        <v>58.402499999999996</v>
      </c>
      <c r="K381" s="1062">
        <f ca="1">OFFSET('Q1'!$F293,0,4*(COLUMN()-6))</f>
        <v>58.040833333333332</v>
      </c>
      <c r="L381" s="1062">
        <f ca="1">OFFSET('Q1'!$F293,0,4*(COLUMN()-6))</f>
        <v>55.8125</v>
      </c>
      <c r="M381" s="1062">
        <f ca="1">OFFSET('Q1'!$F293,0,4*(COLUMN()-6))</f>
        <v>55.701666666666668</v>
      </c>
      <c r="N381" s="1062">
        <f ca="1">OFFSET('Q1'!$F293,0,4*(COLUMN()-6))</f>
        <v>56.135000000000005</v>
      </c>
      <c r="O381" s="1062">
        <f ca="1">OFFSET('Q1'!$F293,0,4*(COLUMN()-6))</f>
        <v>57.87916666666667</v>
      </c>
      <c r="P381" s="1062">
        <f ca="1">OFFSET('Q1'!$F293,0,4*(COLUMN()-6))</f>
        <v>59.210833333333333</v>
      </c>
      <c r="Q381" s="1062">
        <f ca="1">OFFSET('Q1'!$F293,0,4*(COLUMN()-6))</f>
        <v>60.044166666666662</v>
      </c>
      <c r="R381" s="1062">
        <f ca="1">OFFSET('Q1'!$F293,0,4*(COLUMN()-6))</f>
        <v>61.684166666666663</v>
      </c>
      <c r="S381" s="1062">
        <f ca="1">OFFSET('Q1'!$F293,0,4*(COLUMN()-6))</f>
        <v>68.12833333333333</v>
      </c>
      <c r="T381" s="1062">
        <f ca="1">OFFSET('Q1'!$F293,0,4*(COLUMN()-6))</f>
        <v>78.965833333333336</v>
      </c>
      <c r="U381" s="1062">
        <f ca="1">OFFSET('Q1'!$F293,0,4*(COLUMN()-6))</f>
        <v>83.563333333333333</v>
      </c>
      <c r="V381" s="1062">
        <f ca="1">OFFSET('Q1'!$F293,0,4*(COLUMN()-6))</f>
        <v>87.921666666666667</v>
      </c>
      <c r="W381" s="1062">
        <f ca="1">OFFSET('Q1'!$F293,0,4*(COLUMN()-6))</f>
        <v>94.091666666666654</v>
      </c>
      <c r="X381" s="1062">
        <f ca="1">OFFSET('Q1'!$F293,0,4*(COLUMN()-6))</f>
        <v>97.045000000000002</v>
      </c>
      <c r="Y381" s="1062">
        <f ca="1">OFFSET('Q1'!$F293,0,4*(COLUMN()-6))</f>
        <v>98.36</v>
      </c>
      <c r="Z381" s="1062">
        <f ca="1">OFFSET('Q1'!$F293,0,4*(COLUMN()-6))</f>
        <v>100.47416666666666</v>
      </c>
      <c r="AA381" s="1062">
        <f ca="1">OFFSET('Q1'!$F293,0,4*(COLUMN()-6))</f>
        <v>100</v>
      </c>
      <c r="AB381" s="1062">
        <f ca="1">OFFSET('Q1'!$F293,0,4*(COLUMN()-6))</f>
        <v>102.22916666666669</v>
      </c>
      <c r="AC381" s="1062">
        <f ca="1">OFFSET('Q1'!$F293,0,4*(COLUMN()-6))</f>
        <v>109.50749999999999</v>
      </c>
      <c r="AD381" s="1062">
        <f ca="1">OFFSET('Q1'!$F293,0,4*(COLUMN()-6))</f>
        <v>113.45385723326497</v>
      </c>
      <c r="AE381" s="1062">
        <f ca="1">OFFSET('Q1'!$F293,0,4*(COLUMN()-6))</f>
        <v>116.90379942504249</v>
      </c>
    </row>
    <row r="382" spans="1:31">
      <c r="A382" s="664"/>
      <c r="B382" s="665">
        <v>176</v>
      </c>
      <c r="C382" s="1484"/>
      <c r="D382" s="113"/>
      <c r="E382" s="113" t="s">
        <v>1240</v>
      </c>
      <c r="F382" s="1482"/>
      <c r="G382" s="1514"/>
      <c r="H382" s="1514">
        <f ca="1">OFFSET('Q1'!$F294,0,4*(COLUMN()-6))</f>
        <v>42.58</v>
      </c>
      <c r="I382" s="1514">
        <f ca="1">OFFSET('Q1'!$F294,0,4*(COLUMN()-6))</f>
        <v>49.239166666666662</v>
      </c>
      <c r="J382" s="1514">
        <f ca="1">OFFSET('Q1'!$F294,0,4*(COLUMN()-6))</f>
        <v>54.837500000000006</v>
      </c>
      <c r="K382" s="1514">
        <f ca="1">OFFSET('Q1'!$F294,0,4*(COLUMN()-6))</f>
        <v>58.460833333333333</v>
      </c>
      <c r="L382" s="1514">
        <f ca="1">OFFSET('Q1'!$F294,0,4*(COLUMN()-6))</f>
        <v>61.570833333333333</v>
      </c>
      <c r="M382" s="1514">
        <f ca="1">OFFSET('Q1'!$F294,0,4*(COLUMN()-6))</f>
        <v>64.30916666666667</v>
      </c>
      <c r="N382" s="1514">
        <f ca="1">OFFSET('Q1'!$F294,0,4*(COLUMN()-6))</f>
        <v>66.39</v>
      </c>
      <c r="O382" s="1514">
        <f ca="1">OFFSET('Q1'!$F294,0,4*(COLUMN()-6))</f>
        <v>66.591666666666669</v>
      </c>
      <c r="P382" s="1514">
        <f ca="1">OFFSET('Q1'!$F294,0,4*(COLUMN()-6))</f>
        <v>66.379166666666663</v>
      </c>
      <c r="Q382" s="1514">
        <f ca="1">OFFSET('Q1'!$F294,0,4*(COLUMN()-6))</f>
        <v>68.586666666666673</v>
      </c>
      <c r="R382" s="1514">
        <f ca="1">OFFSET('Q1'!$F294,0,4*(COLUMN()-6))</f>
        <v>71.902500000000003</v>
      </c>
      <c r="S382" s="1514">
        <f ca="1">OFFSET('Q1'!$F294,0,4*(COLUMN()-6))</f>
        <v>76.798333333333332</v>
      </c>
      <c r="T382" s="1514">
        <f ca="1">OFFSET('Q1'!$F294,0,4*(COLUMN()-6))</f>
        <v>86.142499999999998</v>
      </c>
      <c r="U382" s="1514">
        <f ca="1">OFFSET('Q1'!$F294,0,4*(COLUMN()-6))</f>
        <v>91.1</v>
      </c>
      <c r="V382" s="1514">
        <f ca="1">OFFSET('Q1'!$F294,0,4*(COLUMN()-6))</f>
        <v>89.738333333333344</v>
      </c>
      <c r="W382" s="1514">
        <f ca="1">OFFSET('Q1'!$F294,0,4*(COLUMN()-6))</f>
        <v>90.865000000000009</v>
      </c>
      <c r="X382" s="1514">
        <f ca="1">OFFSET('Q1'!$F294,0,4*(COLUMN()-6))</f>
        <v>93.49166666666666</v>
      </c>
      <c r="Y382" s="1514">
        <f ca="1">OFFSET('Q1'!$F294,0,4*(COLUMN()-6))</f>
        <v>95.222500000000011</v>
      </c>
      <c r="Z382" s="1514">
        <f ca="1">OFFSET('Q1'!$F294,0,4*(COLUMN()-6))</f>
        <v>96.748333333333335</v>
      </c>
      <c r="AA382" s="1514">
        <f ca="1">OFFSET('Q1'!$F294,0,4*(COLUMN()-6))</f>
        <v>100.00166666666665</v>
      </c>
      <c r="AB382" s="1514">
        <f ca="1">OFFSET('Q1'!$F294,0,4*(COLUMN()-6))</f>
        <v>103.155</v>
      </c>
      <c r="AC382" s="1514">
        <f ca="1">OFFSET('Q1'!$F294,0,4*(COLUMN()-6))</f>
        <v>108.35250000000001</v>
      </c>
      <c r="AD382" s="1514">
        <f ca="1">OFFSET('Q1'!$F294,0,4*(COLUMN()-6))</f>
        <v>112.7976710636909</v>
      </c>
      <c r="AE382" s="1514">
        <f ca="1">OFFSET('Q1'!$F294,0,4*(COLUMN()-6))</f>
        <v>117.73308146752153</v>
      </c>
    </row>
    <row r="383" spans="1:31">
      <c r="A383" s="664"/>
      <c r="C383" s="546"/>
      <c r="D383" s="1966"/>
      <c r="E383" s="45" t="s">
        <v>599</v>
      </c>
      <c r="F383" s="1476"/>
      <c r="G383" s="1524"/>
      <c r="H383" s="1524">
        <f ca="1">OFFSET('Q1'!$F296,0,4*(COLUMN()-6))</f>
        <v>57.612499999999997</v>
      </c>
      <c r="I383" s="1524">
        <f ca="1">OFFSET('Q1'!$F296,0,4*(COLUMN()-6))</f>
        <v>63.555833333333325</v>
      </c>
      <c r="J383" s="1524">
        <f ca="1">OFFSET('Q1'!$F296,0,4*(COLUMN()-6))</f>
        <v>66.968333333333334</v>
      </c>
      <c r="K383" s="1524">
        <f ca="1">OFFSET('Q1'!$F296,0,4*(COLUMN()-6))</f>
        <v>67.935000000000002</v>
      </c>
      <c r="L383" s="1524">
        <f ca="1">OFFSET('Q1'!$F296,0,4*(COLUMN()-6))</f>
        <v>68.678333333333327</v>
      </c>
      <c r="M383" s="1524">
        <f ca="1">OFFSET('Q1'!$F296,0,4*(COLUMN()-6))</f>
        <v>69.742500000000007</v>
      </c>
      <c r="N383" s="1524">
        <f ca="1">OFFSET('Q1'!$F296,0,4*(COLUMN()-6))</f>
        <v>69.976666666666659</v>
      </c>
      <c r="O383" s="1524">
        <f ca="1">OFFSET('Q1'!$F296,0,4*(COLUMN()-6))</f>
        <v>69.223333333333329</v>
      </c>
      <c r="P383" s="1524">
        <f ca="1">OFFSET('Q1'!$F296,0,4*(COLUMN()-6))</f>
        <v>70.022499999999994</v>
      </c>
      <c r="Q383" s="1524">
        <f ca="1">OFFSET('Q1'!$F296,0,4*(COLUMN()-6))</f>
        <v>71.893333333333345</v>
      </c>
      <c r="R383" s="1524">
        <f ca="1">OFFSET('Q1'!$F296,0,4*(COLUMN()-6))</f>
        <v>74.594166666666666</v>
      </c>
      <c r="S383" s="1524">
        <f ca="1">OFFSET('Q1'!$F296,0,4*(COLUMN()-6))</f>
        <v>78.93416666666667</v>
      </c>
      <c r="T383" s="1524">
        <f ca="1">OFFSET('Q1'!$F296,0,4*(COLUMN()-6))</f>
        <v>87.68907881029466</v>
      </c>
      <c r="U383" s="1524">
        <f ca="1">OFFSET('Q1'!$F296,0,4*(COLUMN()-6))</f>
        <v>91.335141080643311</v>
      </c>
      <c r="V383" s="1524">
        <f ca="1">OFFSET('Q1'!$F296,0,4*(COLUMN()-6))</f>
        <v>92.440840893030213</v>
      </c>
      <c r="W383" s="1524">
        <f ca="1">OFFSET('Q1'!$F296,0,4*(COLUMN()-6))</f>
        <v>96.27433615383903</v>
      </c>
      <c r="X383" s="1524">
        <f ca="1">OFFSET('Q1'!$F296,0,4*(COLUMN()-6))</f>
        <v>99.330847638236648</v>
      </c>
      <c r="Y383" s="1524">
        <f ca="1">OFFSET('Q1'!$F296,0,4*(COLUMN()-6))</f>
        <v>100.47995531917081</v>
      </c>
      <c r="Z383" s="1524">
        <f ca="1">OFFSET('Q1'!$F296,0,4*(COLUMN()-6))</f>
        <v>100.71631644051455</v>
      </c>
      <c r="AA383" s="1524">
        <f ca="1">OFFSET('Q1'!$F296,0,4*(COLUMN()-6))</f>
        <v>100.05583806701935</v>
      </c>
      <c r="AB383" s="1524">
        <f ca="1">OFFSET('Q1'!$F296,0,4*(COLUMN()-6))</f>
        <v>100.75678654639877</v>
      </c>
      <c r="AC383" s="1524">
        <f ca="1">OFFSET('Q1'!$F296,0,4*(COLUMN()-6))</f>
        <v>104.50392577760113</v>
      </c>
      <c r="AD383" s="1524">
        <f ca="1">OFFSET('Q1'!$F296,0,4*(COLUMN()-6))</f>
        <v>107.43996374880658</v>
      </c>
      <c r="AE383" s="1524">
        <f ca="1">OFFSET('Q1'!$F296,0,4*(COLUMN()-6))</f>
        <v>109.9609188701761</v>
      </c>
    </row>
    <row r="384" spans="1:31">
      <c r="A384" s="664"/>
      <c r="B384" s="665">
        <v>177</v>
      </c>
      <c r="C384" s="546"/>
      <c r="D384" s="1966"/>
      <c r="E384" s="45" t="s">
        <v>924</v>
      </c>
      <c r="F384" s="1476"/>
      <c r="G384" s="1524"/>
      <c r="H384" s="1524">
        <f ca="1">OFFSET('Q1'!$F299,0,4*(COLUMN()-6))</f>
        <v>62.905833333333334</v>
      </c>
      <c r="I384" s="1524">
        <f ca="1">OFFSET('Q1'!$F299,0,4*(COLUMN()-6))</f>
        <v>69.408333333333331</v>
      </c>
      <c r="J384" s="1524">
        <f ca="1">OFFSET('Q1'!$F299,0,4*(COLUMN()-6))</f>
        <v>72.52</v>
      </c>
      <c r="K384" s="1524">
        <f ca="1">OFFSET('Q1'!$F299,0,4*(COLUMN()-6))</f>
        <v>73.77</v>
      </c>
      <c r="L384" s="1524">
        <f ca="1">OFFSET('Q1'!$F299,0,4*(COLUMN()-6))</f>
        <v>72.943333333333328</v>
      </c>
      <c r="M384" s="1524">
        <f ca="1">OFFSET('Q1'!$F299,0,4*(COLUMN()-6))</f>
        <v>72.987499999999997</v>
      </c>
      <c r="N384" s="1524">
        <f ca="1">OFFSET('Q1'!$F299,0,4*(COLUMN()-6))</f>
        <v>73.418333333333337</v>
      </c>
      <c r="O384" s="1524">
        <f ca="1">OFFSET('Q1'!$F299,0,4*(COLUMN()-6))</f>
        <v>73.923333333333332</v>
      </c>
      <c r="P384" s="1524">
        <f ca="1">OFFSET('Q1'!$F299,0,4*(COLUMN()-6))</f>
        <v>74.397500000000008</v>
      </c>
      <c r="Q384" s="1524">
        <f ca="1">OFFSET('Q1'!$F299,0,4*(COLUMN()-6))</f>
        <v>75.345833333333331</v>
      </c>
      <c r="R384" s="1524">
        <f ca="1">OFFSET('Q1'!$F299,0,4*(COLUMN()-6))</f>
        <v>77.144999999999996</v>
      </c>
      <c r="S384" s="1524">
        <f ca="1">OFFSET('Q1'!$F299,0,4*(COLUMN()-6))</f>
        <v>81.166666666666671</v>
      </c>
      <c r="T384" s="1524">
        <f ca="1">OFFSET('Q1'!$F299,0,4*(COLUMN()-6))</f>
        <v>88.718479654104129</v>
      </c>
      <c r="U384" s="1524">
        <f ca="1">OFFSET('Q1'!$F299,0,4*(COLUMN()-6))</f>
        <v>91.971289596773047</v>
      </c>
      <c r="V384" s="1524">
        <f ca="1">OFFSET('Q1'!$F299,0,4*(COLUMN()-6))</f>
        <v>91.940942604269452</v>
      </c>
      <c r="W384" s="1524">
        <f ca="1">OFFSET('Q1'!$F299,0,4*(COLUMN()-6))</f>
        <v>94.133974819775545</v>
      </c>
      <c r="X384" s="1524">
        <f ca="1">OFFSET('Q1'!$F299,0,4*(COLUMN()-6))</f>
        <v>96.37345961048149</v>
      </c>
      <c r="Y384" s="1524">
        <f ca="1">OFFSET('Q1'!$F299,0,4*(COLUMN()-6))</f>
        <v>97.721304516742009</v>
      </c>
      <c r="Z384" s="1524">
        <f ca="1">OFFSET('Q1'!$F299,0,4*(COLUMN()-6))</f>
        <v>98.79762654833354</v>
      </c>
      <c r="AA384" s="1524">
        <f ca="1">OFFSET('Q1'!$F299,0,4*(COLUMN()-6))</f>
        <v>100.01690956701754</v>
      </c>
      <c r="AB384" s="1524">
        <f ca="1">OFFSET('Q1'!$F299,0,4*(COLUMN()-6))</f>
        <v>101.87689292992803</v>
      </c>
      <c r="AC384" s="1524">
        <f ca="1">OFFSET('Q1'!$F299,0,4*(COLUMN()-6))</f>
        <v>105.78290553732657</v>
      </c>
      <c r="AD384" s="1524">
        <f ca="1">OFFSET('Q1'!$F299,0,4*(COLUMN()-6))</f>
        <v>108.56307228509658</v>
      </c>
      <c r="AE384" s="1524">
        <f ca="1">OFFSET('Q1'!$F299,0,4*(COLUMN()-6))</f>
        <v>111.45986830707687</v>
      </c>
    </row>
    <row r="385" spans="1:94">
      <c r="AB385" s="557"/>
      <c r="AC385" s="557"/>
      <c r="AD385" s="557"/>
      <c r="AE385" s="557"/>
    </row>
    <row r="386" spans="1:94">
      <c r="AB386" s="557"/>
      <c r="AC386" s="557"/>
      <c r="AD386" s="557"/>
      <c r="AE386" s="557"/>
    </row>
    <row r="387" spans="1:94">
      <c r="A387" s="1130"/>
      <c r="D387" s="1149"/>
      <c r="E387" s="1150" t="s">
        <v>2032</v>
      </c>
      <c r="F387" s="1151"/>
      <c r="G387" s="1141">
        <f>+InputY!$G$3</f>
        <v>1995</v>
      </c>
      <c r="H387" s="1141">
        <f>+G387+1</f>
        <v>1996</v>
      </c>
      <c r="I387" s="1141">
        <f t="shared" ref="I387:O387" si="423">+H387+1</f>
        <v>1997</v>
      </c>
      <c r="J387" s="1141">
        <f t="shared" si="423"/>
        <v>1998</v>
      </c>
      <c r="K387" s="1141">
        <f t="shared" si="423"/>
        <v>1999</v>
      </c>
      <c r="L387" s="1141">
        <f t="shared" si="423"/>
        <v>2000</v>
      </c>
      <c r="M387" s="1141">
        <f t="shared" si="423"/>
        <v>2001</v>
      </c>
      <c r="N387" s="1141">
        <f t="shared" si="423"/>
        <v>2002</v>
      </c>
      <c r="O387" s="1141">
        <f t="shared" si="423"/>
        <v>2003</v>
      </c>
      <c r="P387" s="1141">
        <f t="shared" ref="P387:V387" si="424">+O387+1</f>
        <v>2004</v>
      </c>
      <c r="Q387" s="1141">
        <f t="shared" si="424"/>
        <v>2005</v>
      </c>
      <c r="R387" s="1141">
        <f t="shared" si="424"/>
        <v>2006</v>
      </c>
      <c r="S387" s="1141">
        <f>+R387+1</f>
        <v>2007</v>
      </c>
      <c r="T387" s="1141">
        <f t="shared" si="424"/>
        <v>2008</v>
      </c>
      <c r="U387" s="1141">
        <f t="shared" si="424"/>
        <v>2009</v>
      </c>
      <c r="V387" s="1141">
        <f t="shared" si="424"/>
        <v>2010</v>
      </c>
      <c r="W387" s="1141">
        <f t="shared" ref="W387:AE387" si="425">+V387+1</f>
        <v>2011</v>
      </c>
      <c r="X387" s="1141">
        <f t="shared" si="425"/>
        <v>2012</v>
      </c>
      <c r="Y387" s="1141">
        <f t="shared" si="425"/>
        <v>2013</v>
      </c>
      <c r="Z387" s="1141">
        <f t="shared" si="425"/>
        <v>2014</v>
      </c>
      <c r="AA387" s="1141">
        <f t="shared" si="425"/>
        <v>2015</v>
      </c>
      <c r="AB387" s="1141">
        <f t="shared" si="425"/>
        <v>2016</v>
      </c>
      <c r="AC387" s="1141">
        <f t="shared" si="425"/>
        <v>2017</v>
      </c>
      <c r="AD387" s="1141">
        <f t="shared" si="425"/>
        <v>2018</v>
      </c>
      <c r="AE387" s="1141">
        <f t="shared" si="425"/>
        <v>2019</v>
      </c>
    </row>
    <row r="388" spans="1:94">
      <c r="A388" s="1130"/>
      <c r="C388" s="1082" t="s">
        <v>1769</v>
      </c>
      <c r="D388" s="1086"/>
      <c r="E388" s="1087" t="s">
        <v>821</v>
      </c>
      <c r="F388" s="1089" t="s">
        <v>703</v>
      </c>
      <c r="G388" s="1088">
        <f>+$G$185/$G$7*100</f>
        <v>57.066954680567363</v>
      </c>
      <c r="H388" s="1088">
        <f t="shared" ref="H388:X388" si="426">+H185/H7*100</f>
        <v>67.328433850163307</v>
      </c>
      <c r="I388" s="1088">
        <f t="shared" si="426"/>
        <v>73.557916425016046</v>
      </c>
      <c r="J388" s="1088">
        <f t="shared" si="426"/>
        <v>77.785061653038156</v>
      </c>
      <c r="K388" s="1088">
        <f t="shared" si="426"/>
        <v>76.827996584168545</v>
      </c>
      <c r="L388" s="1088">
        <f t="shared" si="426"/>
        <v>75.568779389609858</v>
      </c>
      <c r="M388" s="1088">
        <f t="shared" si="426"/>
        <v>77.332373183869635</v>
      </c>
      <c r="N388" s="1088">
        <f t="shared" si="426"/>
        <v>77.03396355533711</v>
      </c>
      <c r="O388" s="1088">
        <f t="shared" si="426"/>
        <v>75.891194020119883</v>
      </c>
      <c r="P388" s="1088">
        <f t="shared" si="426"/>
        <v>75.225155112479484</v>
      </c>
      <c r="Q388" s="1088">
        <f t="shared" si="426"/>
        <v>77.007437072884215</v>
      </c>
      <c r="R388" s="1088">
        <f t="shared" si="426"/>
        <v>80.598063547889581</v>
      </c>
      <c r="S388" s="1088">
        <f t="shared" si="426"/>
        <v>85.334940128839492</v>
      </c>
      <c r="T388" s="1088">
        <f t="shared" si="426"/>
        <v>94.63221286520556</v>
      </c>
      <c r="U388" s="1088">
        <f t="shared" si="426"/>
        <v>98.745285665893149</v>
      </c>
      <c r="V388" s="1088">
        <f t="shared" si="426"/>
        <v>100</v>
      </c>
      <c r="W388" s="1088">
        <f>+W185/W7*100</f>
        <v>104.11830922586718</v>
      </c>
      <c r="X388" s="1088">
        <f t="shared" si="426"/>
        <v>107.32959619009821</v>
      </c>
      <c r="Y388" s="1088">
        <f t="shared" ref="Y388:AD388" si="427">+Y185/Y7*100</f>
        <v>108.39827804858714</v>
      </c>
      <c r="Z388" s="1088">
        <f t="shared" si="427"/>
        <v>108.52771464375736</v>
      </c>
      <c r="AA388" s="1088">
        <f t="shared" si="427"/>
        <v>107.57041745239246</v>
      </c>
      <c r="AB388" s="1088">
        <f t="shared" si="427"/>
        <v>108.58003295393655</v>
      </c>
      <c r="AC388" s="1088">
        <f>+AC185/AC7*100</f>
        <v>112.65586110911445</v>
      </c>
      <c r="AD388" s="1088">
        <f t="shared" ca="1" si="427"/>
        <v>115.58491349795142</v>
      </c>
      <c r="AE388" s="1088">
        <f t="shared" ref="AE388" ca="1" si="428">+AE185/AE7*100</f>
        <v>118.12778159490634</v>
      </c>
    </row>
    <row r="389" spans="1:94">
      <c r="V389"/>
      <c r="W389"/>
      <c r="X389"/>
      <c r="Y389"/>
      <c r="Z389"/>
      <c r="AA389"/>
    </row>
    <row r="390" spans="1:94" s="699" customFormat="1" ht="12.75" customHeight="1">
      <c r="A390" s="664"/>
      <c r="B390" s="664"/>
      <c r="C390" s="774"/>
      <c r="D390" s="1092"/>
      <c r="E390" s="1093" t="s">
        <v>2032</v>
      </c>
      <c r="F390" s="1094"/>
      <c r="G390" s="896">
        <f>+InputY!$G$3</f>
        <v>1995</v>
      </c>
      <c r="H390" s="896">
        <f>+G390+1</f>
        <v>1996</v>
      </c>
      <c r="I390" s="896">
        <f t="shared" ref="I390:O390" si="429">+H390+1</f>
        <v>1997</v>
      </c>
      <c r="J390" s="896">
        <f t="shared" si="429"/>
        <v>1998</v>
      </c>
      <c r="K390" s="896">
        <f t="shared" si="429"/>
        <v>1999</v>
      </c>
      <c r="L390" s="896">
        <f t="shared" si="429"/>
        <v>2000</v>
      </c>
      <c r="M390" s="896">
        <f t="shared" si="429"/>
        <v>2001</v>
      </c>
      <c r="N390" s="896">
        <f t="shared" si="429"/>
        <v>2002</v>
      </c>
      <c r="O390" s="896">
        <f t="shared" si="429"/>
        <v>2003</v>
      </c>
      <c r="P390" s="896">
        <f t="shared" ref="P390:V390" si="430">+O390+1</f>
        <v>2004</v>
      </c>
      <c r="Q390" s="896">
        <f t="shared" si="430"/>
        <v>2005</v>
      </c>
      <c r="R390" s="896">
        <f t="shared" si="430"/>
        <v>2006</v>
      </c>
      <c r="S390" s="896">
        <f>+R390+1</f>
        <v>2007</v>
      </c>
      <c r="T390" s="896">
        <f t="shared" si="430"/>
        <v>2008</v>
      </c>
      <c r="U390" s="896">
        <f t="shared" si="430"/>
        <v>2009</v>
      </c>
      <c r="V390" s="896">
        <f t="shared" si="430"/>
        <v>2010</v>
      </c>
      <c r="W390" s="896">
        <f t="shared" ref="W390:AE390" si="431">+V390+1</f>
        <v>2011</v>
      </c>
      <c r="X390" s="896">
        <f t="shared" si="431"/>
        <v>2012</v>
      </c>
      <c r="Y390" s="896">
        <f t="shared" si="431"/>
        <v>2013</v>
      </c>
      <c r="Z390" s="896">
        <f t="shared" si="431"/>
        <v>2014</v>
      </c>
      <c r="AA390" s="896">
        <f t="shared" si="431"/>
        <v>2015</v>
      </c>
      <c r="AB390" s="896">
        <f t="shared" si="431"/>
        <v>2016</v>
      </c>
      <c r="AC390" s="896">
        <f t="shared" si="431"/>
        <v>2017</v>
      </c>
      <c r="AD390" s="896">
        <f t="shared" si="431"/>
        <v>2018</v>
      </c>
      <c r="AE390" s="896">
        <f t="shared" si="431"/>
        <v>2019</v>
      </c>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row>
    <row r="391" spans="1:94" s="699" customFormat="1" ht="12.75" customHeight="1">
      <c r="A391" s="664"/>
      <c r="B391" s="664"/>
      <c r="C391" s="798" t="s">
        <v>1769</v>
      </c>
      <c r="D391" s="833"/>
      <c r="E391" s="834" t="s">
        <v>821</v>
      </c>
      <c r="F391" s="1114" t="s">
        <v>703</v>
      </c>
      <c r="G391" s="1115"/>
      <c r="H391" s="1115">
        <f>+(H388/G388-1)*100</f>
        <v>17.981473213411569</v>
      </c>
      <c r="I391" s="1115">
        <f t="shared" ref="I391:S391" si="432">+(I388/H388-1)*100</f>
        <v>9.2523800400826204</v>
      </c>
      <c r="J391" s="1115">
        <f t="shared" si="432"/>
        <v>5.7466897289446761</v>
      </c>
      <c r="K391" s="1115">
        <f t="shared" si="432"/>
        <v>-1.2303970049398649</v>
      </c>
      <c r="L391" s="1115">
        <f t="shared" si="432"/>
        <v>-1.6390082398922812</v>
      </c>
      <c r="M391" s="1115">
        <f t="shared" si="432"/>
        <v>2.3337597993573711</v>
      </c>
      <c r="N391" s="1115">
        <f t="shared" si="432"/>
        <v>-0.38587931062584735</v>
      </c>
      <c r="O391" s="1115">
        <f t="shared" si="432"/>
        <v>-1.4834619464910714</v>
      </c>
      <c r="P391" s="1115">
        <f t="shared" si="432"/>
        <v>-0.87762344003156079</v>
      </c>
      <c r="Q391" s="1115">
        <f t="shared" si="432"/>
        <v>2.3692632574034533</v>
      </c>
      <c r="R391" s="1115">
        <f t="shared" si="432"/>
        <v>4.662700917584095</v>
      </c>
      <c r="S391" s="1115">
        <f t="shared" si="432"/>
        <v>5.8771592919665716</v>
      </c>
      <c r="T391" s="1115">
        <f t="shared" ref="T391:AE391" si="433">+(T388/S388-1)*100</f>
        <v>10.895036338373188</v>
      </c>
      <c r="U391" s="1115">
        <f t="shared" si="433"/>
        <v>4.3463770698739301</v>
      </c>
      <c r="V391" s="1115">
        <f t="shared" si="433"/>
        <v>1.2706574553363437</v>
      </c>
      <c r="W391" s="1115">
        <f t="shared" si="433"/>
        <v>4.1183092258671783</v>
      </c>
      <c r="X391" s="1115">
        <f t="shared" si="433"/>
        <v>3.0842672994858988</v>
      </c>
      <c r="Y391" s="1115">
        <f t="shared" si="433"/>
        <v>0.99570099620622798</v>
      </c>
      <c r="Z391" s="1115">
        <f t="shared" si="433"/>
        <v>0.11940834992987259</v>
      </c>
      <c r="AA391" s="1115">
        <f t="shared" si="433"/>
        <v>-0.88207624615264102</v>
      </c>
      <c r="AB391" s="1115">
        <f t="shared" si="433"/>
        <v>0.93856240912228994</v>
      </c>
      <c r="AC391" s="1115">
        <f>+(AC388/AB388-1)*100</f>
        <v>3.7537547597789045</v>
      </c>
      <c r="AD391" s="1115">
        <f ca="1">+(AD388/AC388-1)*100</f>
        <v>2.5999999999999801</v>
      </c>
      <c r="AE391" s="1115">
        <f t="shared" ca="1" si="433"/>
        <v>2.1999999999999797</v>
      </c>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row>
    <row r="392" spans="1:94">
      <c r="V392"/>
      <c r="W392"/>
      <c r="X392"/>
      <c r="Y392"/>
      <c r="Z392"/>
      <c r="AA392"/>
    </row>
    <row r="393" spans="1:94">
      <c r="A393" s="1130"/>
      <c r="D393" s="1149"/>
      <c r="E393" s="1150" t="s">
        <v>2033</v>
      </c>
      <c r="F393" s="1151"/>
      <c r="G393" s="1141">
        <f>+InputY!$G$3</f>
        <v>1995</v>
      </c>
      <c r="H393" s="1141">
        <f>+G393+1</f>
        <v>1996</v>
      </c>
      <c r="I393" s="1141">
        <f t="shared" ref="I393:O393" si="434">+H393+1</f>
        <v>1997</v>
      </c>
      <c r="J393" s="1141">
        <f t="shared" si="434"/>
        <v>1998</v>
      </c>
      <c r="K393" s="1141">
        <f t="shared" si="434"/>
        <v>1999</v>
      </c>
      <c r="L393" s="1141">
        <f t="shared" si="434"/>
        <v>2000</v>
      </c>
      <c r="M393" s="1141">
        <f t="shared" si="434"/>
        <v>2001</v>
      </c>
      <c r="N393" s="1141">
        <f t="shared" si="434"/>
        <v>2002</v>
      </c>
      <c r="O393" s="1141">
        <f t="shared" si="434"/>
        <v>2003</v>
      </c>
      <c r="P393" s="1141">
        <f t="shared" ref="P393:V393" si="435">+O393+1</f>
        <v>2004</v>
      </c>
      <c r="Q393" s="1141">
        <f t="shared" si="435"/>
        <v>2005</v>
      </c>
      <c r="R393" s="1141">
        <f t="shared" si="435"/>
        <v>2006</v>
      </c>
      <c r="S393" s="1141">
        <f>+R393+1</f>
        <v>2007</v>
      </c>
      <c r="T393" s="1141">
        <f t="shared" si="435"/>
        <v>2008</v>
      </c>
      <c r="U393" s="1141">
        <f t="shared" si="435"/>
        <v>2009</v>
      </c>
      <c r="V393" s="1141">
        <f t="shared" si="435"/>
        <v>2010</v>
      </c>
      <c r="W393" s="1141">
        <f t="shared" ref="W393:AE393" si="436">+V393+1</f>
        <v>2011</v>
      </c>
      <c r="X393" s="1141">
        <f t="shared" si="436"/>
        <v>2012</v>
      </c>
      <c r="Y393" s="1141">
        <f t="shared" si="436"/>
        <v>2013</v>
      </c>
      <c r="Z393" s="1141">
        <f t="shared" si="436"/>
        <v>2014</v>
      </c>
      <c r="AA393" s="1141">
        <f t="shared" si="436"/>
        <v>2015</v>
      </c>
      <c r="AB393" s="1141">
        <f t="shared" si="436"/>
        <v>2016</v>
      </c>
      <c r="AC393" s="1141">
        <f t="shared" si="436"/>
        <v>2017</v>
      </c>
      <c r="AD393" s="1141">
        <f t="shared" si="436"/>
        <v>2018</v>
      </c>
      <c r="AE393" s="1141">
        <f t="shared" si="436"/>
        <v>2019</v>
      </c>
    </row>
    <row r="394" spans="1:94">
      <c r="A394" s="1130"/>
      <c r="C394" s="1082" t="s">
        <v>1767</v>
      </c>
      <c r="D394" s="1086"/>
      <c r="E394" s="1087" t="s">
        <v>821</v>
      </c>
      <c r="F394" s="1089" t="s">
        <v>1660</v>
      </c>
      <c r="G394" s="1088">
        <f t="shared" ref="G394:X394" si="437">+G193/G13*100</f>
        <v>39.883846738378637</v>
      </c>
      <c r="H394" s="1088">
        <f t="shared" si="437"/>
        <v>50.433801736883765</v>
      </c>
      <c r="I394" s="1088">
        <f t="shared" si="437"/>
        <v>59.061565456778339</v>
      </c>
      <c r="J394" s="1088">
        <f t="shared" si="437"/>
        <v>66.93044022100591</v>
      </c>
      <c r="K394" s="1088">
        <f t="shared" si="437"/>
        <v>62.497813340267903</v>
      </c>
      <c r="L394" s="1088">
        <f t="shared" si="437"/>
        <v>62.088565392633967</v>
      </c>
      <c r="M394" s="1088">
        <f t="shared" si="437"/>
        <v>61.384205366161602</v>
      </c>
      <c r="N394" s="1088">
        <f t="shared" si="437"/>
        <v>62.395468281497813</v>
      </c>
      <c r="O394" s="1088">
        <f t="shared" si="437"/>
        <v>63.208912484606081</v>
      </c>
      <c r="P394" s="1088">
        <f t="shared" si="437"/>
        <v>64.815796890761277</v>
      </c>
      <c r="Q394" s="1088">
        <f t="shared" si="437"/>
        <v>69.588938567292345</v>
      </c>
      <c r="R394" s="1088">
        <f t="shared" si="437"/>
        <v>80.765655963383196</v>
      </c>
      <c r="S394" s="1088">
        <f t="shared" si="437"/>
        <v>87.241362092209997</v>
      </c>
      <c r="T394" s="1088">
        <f t="shared" si="437"/>
        <v>104.7971924906339</v>
      </c>
      <c r="U394" s="1088">
        <f t="shared" si="437"/>
        <v>99.561706594070316</v>
      </c>
      <c r="V394" s="1088">
        <f t="shared" si="437"/>
        <v>100</v>
      </c>
      <c r="W394" s="1088">
        <f>+W193/W13*100</f>
        <v>103.49485350621801</v>
      </c>
      <c r="X394" s="1088">
        <f t="shared" si="437"/>
        <v>103.84428379844093</v>
      </c>
      <c r="Y394" s="1088">
        <f t="shared" ref="Y394:AD394" si="438">+Y193/Y13*100</f>
        <v>103.21037732012357</v>
      </c>
      <c r="Z394" s="1088">
        <f t="shared" si="438"/>
        <v>107.08205357867008</v>
      </c>
      <c r="AA394" s="1088">
        <f t="shared" si="438"/>
        <v>113.16304581251826</v>
      </c>
      <c r="AB394" s="1088">
        <f t="shared" si="438"/>
        <v>115.33556930348952</v>
      </c>
      <c r="AC394" s="1088">
        <f t="shared" si="438"/>
        <v>118.67279152186273</v>
      </c>
      <c r="AD394" s="1088">
        <f t="shared" ca="1" si="438"/>
        <v>123.34849950782414</v>
      </c>
      <c r="AE394" s="1088">
        <f t="shared" ref="AE394" ca="1" si="439">+AE193/AE13*100</f>
        <v>127.71503639040111</v>
      </c>
    </row>
    <row r="395" spans="1:94">
      <c r="V395"/>
      <c r="W395"/>
      <c r="X395"/>
      <c r="Y395"/>
      <c r="Z395"/>
      <c r="AA395"/>
    </row>
    <row r="396" spans="1:94" s="699" customFormat="1" ht="12.75" customHeight="1">
      <c r="A396" s="664"/>
      <c r="B396" s="664"/>
      <c r="C396" s="774"/>
      <c r="D396" s="1092"/>
      <c r="E396" s="1093" t="s">
        <v>2033</v>
      </c>
      <c r="F396" s="1094"/>
      <c r="G396" s="896">
        <f>+InputY!$G$3</f>
        <v>1995</v>
      </c>
      <c r="H396" s="896">
        <f>+G396+1</f>
        <v>1996</v>
      </c>
      <c r="I396" s="896">
        <f t="shared" ref="I396:O396" si="440">+H396+1</f>
        <v>1997</v>
      </c>
      <c r="J396" s="896">
        <f t="shared" si="440"/>
        <v>1998</v>
      </c>
      <c r="K396" s="896">
        <f t="shared" si="440"/>
        <v>1999</v>
      </c>
      <c r="L396" s="896">
        <f t="shared" si="440"/>
        <v>2000</v>
      </c>
      <c r="M396" s="896">
        <f t="shared" si="440"/>
        <v>2001</v>
      </c>
      <c r="N396" s="896">
        <f t="shared" si="440"/>
        <v>2002</v>
      </c>
      <c r="O396" s="896">
        <f t="shared" si="440"/>
        <v>2003</v>
      </c>
      <c r="P396" s="896">
        <f t="shared" ref="P396:V396" si="441">+O396+1</f>
        <v>2004</v>
      </c>
      <c r="Q396" s="896">
        <f t="shared" si="441"/>
        <v>2005</v>
      </c>
      <c r="R396" s="896">
        <f t="shared" si="441"/>
        <v>2006</v>
      </c>
      <c r="S396" s="896">
        <f>+R396+1</f>
        <v>2007</v>
      </c>
      <c r="T396" s="896">
        <f t="shared" si="441"/>
        <v>2008</v>
      </c>
      <c r="U396" s="896">
        <f t="shared" si="441"/>
        <v>2009</v>
      </c>
      <c r="V396" s="896">
        <f t="shared" si="441"/>
        <v>2010</v>
      </c>
      <c r="W396" s="896">
        <f t="shared" ref="W396:AE396" si="442">+V396+1</f>
        <v>2011</v>
      </c>
      <c r="X396" s="896">
        <f t="shared" si="442"/>
        <v>2012</v>
      </c>
      <c r="Y396" s="896">
        <f t="shared" si="442"/>
        <v>2013</v>
      </c>
      <c r="Z396" s="896">
        <f t="shared" si="442"/>
        <v>2014</v>
      </c>
      <c r="AA396" s="896">
        <f t="shared" si="442"/>
        <v>2015</v>
      </c>
      <c r="AB396" s="896">
        <f t="shared" si="442"/>
        <v>2016</v>
      </c>
      <c r="AC396" s="896">
        <f t="shared" si="442"/>
        <v>2017</v>
      </c>
      <c r="AD396" s="896">
        <f t="shared" si="442"/>
        <v>2018</v>
      </c>
      <c r="AE396" s="896">
        <f t="shared" si="442"/>
        <v>2019</v>
      </c>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row>
    <row r="397" spans="1:94" s="699" customFormat="1" ht="12.75" customHeight="1">
      <c r="A397" s="664"/>
      <c r="B397" s="664"/>
      <c r="C397" s="798" t="s">
        <v>1767</v>
      </c>
      <c r="D397" s="833"/>
      <c r="E397" s="834" t="s">
        <v>821</v>
      </c>
      <c r="F397" s="1114" t="s">
        <v>1660</v>
      </c>
      <c r="G397" s="1115"/>
      <c r="H397" s="1115">
        <f>(H394/G394-1)*100</f>
        <v>26.451698773461917</v>
      </c>
      <c r="I397" s="1115">
        <f t="shared" ref="I397:S397" si="443">(I394/H394-1)*100</f>
        <v>17.107105597365326</v>
      </c>
      <c r="J397" s="1115">
        <f t="shared" si="443"/>
        <v>13.323173375731233</v>
      </c>
      <c r="K397" s="1115">
        <f t="shared" si="443"/>
        <v>-6.6227367788129987</v>
      </c>
      <c r="L397" s="1115">
        <f t="shared" si="443"/>
        <v>-0.65481962609762467</v>
      </c>
      <c r="M397" s="1115">
        <f t="shared" si="443"/>
        <v>-1.1344440349332463</v>
      </c>
      <c r="N397" s="1115">
        <f t="shared" si="443"/>
        <v>1.6474317934132232</v>
      </c>
      <c r="O397" s="1115">
        <f t="shared" si="443"/>
        <v>1.3036911582078536</v>
      </c>
      <c r="P397" s="1115">
        <f t="shared" si="443"/>
        <v>2.5421801182650361</v>
      </c>
      <c r="Q397" s="1115">
        <f t="shared" si="443"/>
        <v>7.3641641474771813</v>
      </c>
      <c r="R397" s="1115">
        <f t="shared" si="443"/>
        <v>16.061054567290167</v>
      </c>
      <c r="S397" s="1115">
        <f t="shared" si="443"/>
        <v>8.0178957894710745</v>
      </c>
      <c r="T397" s="1115">
        <f t="shared" ref="T397:AE397" si="444">(T394/S394-1)*100</f>
        <v>20.123287827473657</v>
      </c>
      <c r="U397" s="1115">
        <f t="shared" si="444"/>
        <v>-4.9958264836450716</v>
      </c>
      <c r="V397" s="1115">
        <f t="shared" si="444"/>
        <v>0.44022287375675706</v>
      </c>
      <c r="W397" s="1115">
        <f t="shared" si="444"/>
        <v>3.4948535062180097</v>
      </c>
      <c r="X397" s="1115">
        <f t="shared" si="444"/>
        <v>0.33763059744986723</v>
      </c>
      <c r="Y397" s="1115">
        <f t="shared" si="444"/>
        <v>-0.61043945331430427</v>
      </c>
      <c r="Z397" s="1115">
        <f t="shared" si="444"/>
        <v>3.7512470732840031</v>
      </c>
      <c r="AA397" s="1115">
        <f t="shared" si="444"/>
        <v>5.6788154789921386</v>
      </c>
      <c r="AB397" s="1115">
        <f t="shared" si="444"/>
        <v>1.9198170881425058</v>
      </c>
      <c r="AC397" s="1115">
        <f t="shared" si="444"/>
        <v>2.8934891799005991</v>
      </c>
      <c r="AD397" s="1115">
        <f t="shared" ca="1" si="444"/>
        <v>3.9400000000000102</v>
      </c>
      <c r="AE397" s="1115">
        <f t="shared" ca="1" si="444"/>
        <v>3.5399999999999876</v>
      </c>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row>
    <row r="398" spans="1:94">
      <c r="V398"/>
      <c r="W398"/>
      <c r="X398"/>
      <c r="Y398"/>
      <c r="Z398"/>
      <c r="AA398"/>
    </row>
    <row r="399" spans="1:94">
      <c r="A399" s="1130"/>
      <c r="D399" s="1138"/>
      <c r="E399" s="1139" t="s">
        <v>2034</v>
      </c>
      <c r="F399" s="1140"/>
      <c r="G399" s="1141">
        <f>+InputY!$G$3</f>
        <v>1995</v>
      </c>
      <c r="H399" s="1141">
        <f>+G399+1</f>
        <v>1996</v>
      </c>
      <c r="I399" s="1141">
        <f t="shared" ref="I399:O399" si="445">+H399+1</f>
        <v>1997</v>
      </c>
      <c r="J399" s="1141">
        <f t="shared" si="445"/>
        <v>1998</v>
      </c>
      <c r="K399" s="1141">
        <f t="shared" si="445"/>
        <v>1999</v>
      </c>
      <c r="L399" s="1141">
        <f t="shared" si="445"/>
        <v>2000</v>
      </c>
      <c r="M399" s="1141">
        <f t="shared" si="445"/>
        <v>2001</v>
      </c>
      <c r="N399" s="1141">
        <f t="shared" si="445"/>
        <v>2002</v>
      </c>
      <c r="O399" s="1141">
        <f t="shared" si="445"/>
        <v>2003</v>
      </c>
      <c r="P399" s="1141">
        <f t="shared" ref="P399:V399" si="446">+O399+1</f>
        <v>2004</v>
      </c>
      <c r="Q399" s="1141">
        <f t="shared" si="446"/>
        <v>2005</v>
      </c>
      <c r="R399" s="1141">
        <f t="shared" si="446"/>
        <v>2006</v>
      </c>
      <c r="S399" s="1141">
        <f>+R399+1</f>
        <v>2007</v>
      </c>
      <c r="T399" s="1141">
        <f t="shared" si="446"/>
        <v>2008</v>
      </c>
      <c r="U399" s="1141">
        <f t="shared" si="446"/>
        <v>2009</v>
      </c>
      <c r="V399" s="1141">
        <f t="shared" si="446"/>
        <v>2010</v>
      </c>
      <c r="W399" s="1141">
        <f t="shared" ref="W399:AE399" si="447">+V399+1</f>
        <v>2011</v>
      </c>
      <c r="X399" s="1141">
        <f t="shared" si="447"/>
        <v>2012</v>
      </c>
      <c r="Y399" s="1141">
        <f t="shared" si="447"/>
        <v>2013</v>
      </c>
      <c r="Z399" s="1141">
        <f t="shared" si="447"/>
        <v>2014</v>
      </c>
      <c r="AA399" s="1141">
        <f t="shared" si="447"/>
        <v>2015</v>
      </c>
      <c r="AB399" s="1141">
        <f t="shared" si="447"/>
        <v>2016</v>
      </c>
      <c r="AC399" s="1141">
        <f t="shared" si="447"/>
        <v>2017</v>
      </c>
      <c r="AD399" s="1141">
        <f t="shared" si="447"/>
        <v>2018</v>
      </c>
      <c r="AE399" s="1141">
        <f t="shared" si="447"/>
        <v>2019</v>
      </c>
    </row>
    <row r="400" spans="1:94">
      <c r="A400" s="664"/>
      <c r="B400" s="664"/>
      <c r="C400" s="1079" t="s">
        <v>1767</v>
      </c>
      <c r="D400" s="1058" t="s">
        <v>687</v>
      </c>
      <c r="E400" s="1059" t="s">
        <v>644</v>
      </c>
      <c r="F400" s="1069" t="s">
        <v>1661</v>
      </c>
      <c r="G400" s="1054"/>
      <c r="H400" s="1054"/>
      <c r="I400" s="1054"/>
      <c r="J400" s="1054"/>
      <c r="K400" s="1054"/>
      <c r="L400" s="1054"/>
      <c r="M400" s="1054"/>
      <c r="N400" s="1054"/>
      <c r="O400" s="1054"/>
      <c r="P400" s="1054"/>
      <c r="Q400" s="1054"/>
      <c r="R400" s="1054"/>
      <c r="S400" s="1054"/>
      <c r="T400" s="1054"/>
      <c r="U400" s="1054"/>
      <c r="V400" s="1054"/>
      <c r="W400" s="1054"/>
      <c r="X400" s="1054"/>
      <c r="Y400" s="1054"/>
      <c r="Z400" s="1054"/>
      <c r="AA400" s="1054"/>
      <c r="AB400" s="1054"/>
      <c r="AC400" s="1054"/>
      <c r="AD400" s="1054"/>
      <c r="AE400" s="1054"/>
    </row>
    <row r="401" spans="1:94">
      <c r="A401" s="664"/>
      <c r="B401" s="664"/>
      <c r="C401" s="1080" t="s">
        <v>1767</v>
      </c>
      <c r="D401" s="1070" t="s">
        <v>1447</v>
      </c>
      <c r="E401" s="1" t="s">
        <v>644</v>
      </c>
      <c r="F401" s="1070" t="s">
        <v>1662</v>
      </c>
      <c r="G401" s="881"/>
      <c r="H401" s="881"/>
      <c r="I401" s="881"/>
      <c r="J401" s="881"/>
      <c r="K401" s="881"/>
      <c r="L401" s="881"/>
      <c r="M401" s="881"/>
      <c r="N401" s="881"/>
      <c r="O401" s="881"/>
      <c r="P401" s="881"/>
      <c r="Q401" s="881"/>
      <c r="R401" s="881"/>
      <c r="S401" s="881"/>
      <c r="T401" s="881"/>
      <c r="U401" s="881"/>
      <c r="V401" s="881"/>
      <c r="W401" s="881"/>
      <c r="X401" s="881"/>
      <c r="Y401" s="881"/>
      <c r="Z401" s="881"/>
      <c r="AA401" s="881"/>
      <c r="AB401" s="881"/>
      <c r="AC401" s="881"/>
      <c r="AD401" s="881"/>
      <c r="AE401" s="881"/>
    </row>
    <row r="402" spans="1:94">
      <c r="A402" s="1130"/>
      <c r="C402" s="1080" t="s">
        <v>1769</v>
      </c>
      <c r="D402" s="1071"/>
      <c r="E402" s="1067" t="s">
        <v>644</v>
      </c>
      <c r="F402" s="1071" t="s">
        <v>1663</v>
      </c>
      <c r="G402" s="1068">
        <f t="shared" ref="G402:X402" si="448">+G204/G21*100</f>
        <v>57.377497629928968</v>
      </c>
      <c r="H402" s="1068">
        <f t="shared" si="448"/>
        <v>65.101323538867305</v>
      </c>
      <c r="I402" s="1068">
        <f t="shared" si="448"/>
        <v>70.170572513703291</v>
      </c>
      <c r="J402" s="1068">
        <f t="shared" si="448"/>
        <v>72.16384460218849</v>
      </c>
      <c r="K402" s="1068">
        <f t="shared" si="448"/>
        <v>72.900735625876393</v>
      </c>
      <c r="L402" s="1068">
        <f t="shared" si="448"/>
        <v>73.664421018382825</v>
      </c>
      <c r="M402" s="1068">
        <f t="shared" si="448"/>
        <v>73.39272117979209</v>
      </c>
      <c r="N402" s="1068">
        <f t="shared" si="448"/>
        <v>73.364924167870811</v>
      </c>
      <c r="O402" s="1068">
        <f t="shared" si="448"/>
        <v>74.42645594537467</v>
      </c>
      <c r="P402" s="1068">
        <f t="shared" si="448"/>
        <v>78.957942218333486</v>
      </c>
      <c r="Q402" s="1068">
        <f t="shared" si="448"/>
        <v>84.7232893470688</v>
      </c>
      <c r="R402" s="1068">
        <f t="shared" si="448"/>
        <v>92.813064602763802</v>
      </c>
      <c r="S402" s="1068">
        <f t="shared" si="448"/>
        <v>104.78094381397061</v>
      </c>
      <c r="T402" s="1068">
        <f t="shared" si="448"/>
        <v>114.83851775205329</v>
      </c>
      <c r="U402" s="1068">
        <f t="shared" si="448"/>
        <v>104.23701192881821</v>
      </c>
      <c r="V402" s="1068">
        <f t="shared" si="448"/>
        <v>100</v>
      </c>
      <c r="W402" s="1068">
        <f>+W204/W21*100</f>
        <v>103.94367507715212</v>
      </c>
      <c r="X402" s="1068">
        <f t="shared" si="448"/>
        <v>107.79099891677274</v>
      </c>
      <c r="Y402" s="1068">
        <f t="shared" ref="Y402:Z404" si="449">+Y204/Y21*100</f>
        <v>112.15747498596444</v>
      </c>
      <c r="Z402" s="1068">
        <f t="shared" si="449"/>
        <v>114.51739045425909</v>
      </c>
      <c r="AA402" s="1068">
        <f t="shared" ref="AA402:AB404" si="450">+AA204/AA21*100</f>
        <v>115.05207703470795</v>
      </c>
      <c r="AB402" s="1068">
        <f t="shared" si="450"/>
        <v>111.75333412818722</v>
      </c>
      <c r="AC402" s="1068">
        <f t="shared" ref="AC402:AD404" si="451">+AC204/AC21*100</f>
        <v>116.54888704136535</v>
      </c>
      <c r="AD402" s="1068">
        <f t="shared" ca="1" si="451"/>
        <v>120.39500031373041</v>
      </c>
      <c r="AE402" s="1068">
        <f t="shared" ref="AE402" ca="1" si="452">+AE204/AE21*100</f>
        <v>124.36803532408349</v>
      </c>
    </row>
    <row r="403" spans="1:94" ht="12.75" customHeight="1">
      <c r="A403" s="664"/>
      <c r="B403" s="664"/>
      <c r="C403" s="1080" t="s">
        <v>1767</v>
      </c>
      <c r="D403" s="3"/>
      <c r="E403" s="1" t="s">
        <v>1443</v>
      </c>
      <c r="F403" s="3" t="s">
        <v>1664</v>
      </c>
      <c r="G403" s="1062">
        <f t="shared" ref="G403:X403" si="453">+G205/G22*100</f>
        <v>54.266530435708368</v>
      </c>
      <c r="H403" s="1062">
        <f t="shared" si="453"/>
        <v>62.700612057425516</v>
      </c>
      <c r="I403" s="1062">
        <f t="shared" si="453"/>
        <v>69.612776299760242</v>
      </c>
      <c r="J403" s="1062">
        <f t="shared" si="453"/>
        <v>72.711486389665708</v>
      </c>
      <c r="K403" s="1062">
        <f t="shared" si="453"/>
        <v>73.797884863945001</v>
      </c>
      <c r="L403" s="1062">
        <f t="shared" si="453"/>
        <v>74.30352482010781</v>
      </c>
      <c r="M403" s="1062">
        <f t="shared" si="453"/>
        <v>73.432434330282902</v>
      </c>
      <c r="N403" s="1062">
        <f t="shared" si="453"/>
        <v>73.792344771932207</v>
      </c>
      <c r="O403" s="1062">
        <f t="shared" si="453"/>
        <v>74.699438724552337</v>
      </c>
      <c r="P403" s="1062">
        <f t="shared" si="453"/>
        <v>80.440295066851093</v>
      </c>
      <c r="Q403" s="1062">
        <f t="shared" si="453"/>
        <v>87.261024113747709</v>
      </c>
      <c r="R403" s="1062">
        <f t="shared" si="453"/>
        <v>96.592350627933527</v>
      </c>
      <c r="S403" s="1062">
        <f t="shared" si="453"/>
        <v>112.13576821676534</v>
      </c>
      <c r="T403" s="1062">
        <f t="shared" si="453"/>
        <v>122.83871111012412</v>
      </c>
      <c r="U403" s="1062">
        <f t="shared" si="453"/>
        <v>105.02846753743842</v>
      </c>
      <c r="V403" s="1062">
        <f t="shared" si="453"/>
        <v>100</v>
      </c>
      <c r="W403" s="1062">
        <f>+W205/W22*100</f>
        <v>103.77361667733133</v>
      </c>
      <c r="X403" s="1062">
        <f t="shared" si="453"/>
        <v>106.9477151090984</v>
      </c>
      <c r="Y403" s="1062">
        <f t="shared" si="449"/>
        <v>111.76705107570544</v>
      </c>
      <c r="Z403" s="1062">
        <f t="shared" si="449"/>
        <v>115.34983581712555</v>
      </c>
      <c r="AA403" s="1062">
        <f t="shared" si="450"/>
        <v>115.79786298478587</v>
      </c>
      <c r="AB403" s="1062">
        <f t="shared" si="450"/>
        <v>119.49512004282832</v>
      </c>
      <c r="AC403" s="1062">
        <f t="shared" si="451"/>
        <v>121.52285359667584</v>
      </c>
      <c r="AD403" s="1062">
        <f t="shared" ca="1" si="451"/>
        <v>125.53310776536613</v>
      </c>
      <c r="AE403" s="1062">
        <f t="shared" ref="AE403" ca="1" si="454">+AE205/AE22*100</f>
        <v>129.6757003216232</v>
      </c>
    </row>
    <row r="404" spans="1:94">
      <c r="A404" s="1130"/>
      <c r="C404" s="1081" t="s">
        <v>1769</v>
      </c>
      <c r="D404" s="1142"/>
      <c r="E404" s="1143" t="s">
        <v>1444</v>
      </c>
      <c r="F404" s="1142" t="s">
        <v>1665</v>
      </c>
      <c r="G404" s="1144">
        <f t="shared" ref="G404:X404" si="455">+G206/G23*100</f>
        <v>57.374584041502033</v>
      </c>
      <c r="H404" s="1144">
        <f t="shared" si="455"/>
        <v>65.322476069531831</v>
      </c>
      <c r="I404" s="1144">
        <f t="shared" si="455"/>
        <v>70.710978771426213</v>
      </c>
      <c r="J404" s="1144">
        <f t="shared" si="455"/>
        <v>72.850108951596752</v>
      </c>
      <c r="K404" s="1144">
        <f t="shared" si="455"/>
        <v>73.634922465743273</v>
      </c>
      <c r="L404" s="1144">
        <f t="shared" si="455"/>
        <v>74.348559801808662</v>
      </c>
      <c r="M404" s="1144">
        <f t="shared" si="455"/>
        <v>73.989142724071527</v>
      </c>
      <c r="N404" s="1144">
        <f t="shared" si="455"/>
        <v>74.016329604515661</v>
      </c>
      <c r="O404" s="1144">
        <f t="shared" si="455"/>
        <v>75.069544137221627</v>
      </c>
      <c r="P404" s="1144">
        <f t="shared" si="455"/>
        <v>79.824710933270381</v>
      </c>
      <c r="Q404" s="1144">
        <f t="shared" si="455"/>
        <v>85.808531859495531</v>
      </c>
      <c r="R404" s="1144">
        <f t="shared" si="455"/>
        <v>94.164489382099319</v>
      </c>
      <c r="S404" s="1144">
        <f t="shared" si="455"/>
        <v>106.78167394018931</v>
      </c>
      <c r="T404" s="1144">
        <f t="shared" si="455"/>
        <v>117.01977543428042</v>
      </c>
      <c r="U404" s="1144">
        <f t="shared" si="455"/>
        <v>104.404924289899</v>
      </c>
      <c r="V404" s="1144">
        <f t="shared" si="455"/>
        <v>100</v>
      </c>
      <c r="W404" s="1144">
        <f>+W206/W23*100</f>
        <v>103.91184868176404</v>
      </c>
      <c r="X404" s="1144">
        <f t="shared" si="455"/>
        <v>107.62455845918922</v>
      </c>
      <c r="Y404" s="1144">
        <f t="shared" si="449"/>
        <v>112.08492427349299</v>
      </c>
      <c r="Z404" s="1144">
        <f t="shared" si="449"/>
        <v>114.7176495018229</v>
      </c>
      <c r="AA404" s="1144">
        <f t="shared" si="450"/>
        <v>115.23010889722774</v>
      </c>
      <c r="AB404" s="1144">
        <f t="shared" si="450"/>
        <v>113.97874403653121</v>
      </c>
      <c r="AC404" s="1144">
        <f t="shared" si="451"/>
        <v>118.04240405013988</v>
      </c>
      <c r="AD404" s="1144">
        <f t="shared" ca="1" si="451"/>
        <v>121.93780338379447</v>
      </c>
      <c r="AE404" s="1144">
        <f t="shared" ref="AE404" ca="1" si="456">+AE206/AE23*100</f>
        <v>125.96175089545967</v>
      </c>
    </row>
    <row r="405" spans="1:94">
      <c r="A405" s="1130"/>
      <c r="C405" s="1079" t="s">
        <v>1767</v>
      </c>
      <c r="D405" s="1058" t="s">
        <v>687</v>
      </c>
      <c r="E405" s="1038" t="s">
        <v>1445</v>
      </c>
      <c r="F405" s="1058" t="s">
        <v>704</v>
      </c>
      <c r="G405" s="1054"/>
      <c r="H405" s="1054"/>
      <c r="I405" s="1054"/>
      <c r="J405" s="1054"/>
      <c r="K405" s="1054"/>
      <c r="L405" s="1054"/>
      <c r="M405" s="1054"/>
      <c r="N405" s="1054"/>
      <c r="O405" s="1054"/>
      <c r="P405" s="1054"/>
      <c r="Q405" s="1054"/>
      <c r="R405" s="1054"/>
      <c r="S405" s="1054"/>
      <c r="T405" s="1054"/>
      <c r="U405" s="1054"/>
      <c r="V405" s="1054"/>
      <c r="W405" s="1054"/>
      <c r="X405" s="1054"/>
      <c r="Y405" s="1054"/>
      <c r="Z405" s="1054"/>
      <c r="AA405" s="1054"/>
      <c r="AB405" s="1054"/>
      <c r="AC405" s="1054"/>
      <c r="AD405" s="1054"/>
      <c r="AE405" s="1054"/>
    </row>
    <row r="406" spans="1:94">
      <c r="A406" s="1130"/>
      <c r="C406" s="1080" t="s">
        <v>1767</v>
      </c>
      <c r="D406" s="1070" t="s">
        <v>1447</v>
      </c>
      <c r="E406" s="1" t="s">
        <v>1445</v>
      </c>
      <c r="F406" s="3" t="s">
        <v>705</v>
      </c>
      <c r="G406" s="881"/>
      <c r="H406" s="881"/>
      <c r="I406" s="881"/>
      <c r="J406" s="881"/>
      <c r="K406" s="881"/>
      <c r="L406" s="881"/>
      <c r="M406" s="881"/>
      <c r="N406" s="881"/>
      <c r="O406" s="881"/>
      <c r="P406" s="881"/>
      <c r="Q406" s="881"/>
      <c r="R406" s="881"/>
      <c r="S406" s="881"/>
      <c r="T406" s="881"/>
      <c r="U406" s="881"/>
      <c r="V406" s="881"/>
      <c r="W406" s="881"/>
      <c r="X406" s="881"/>
      <c r="Y406" s="881"/>
      <c r="Z406" s="881"/>
      <c r="AA406" s="881"/>
      <c r="AB406" s="881"/>
      <c r="AC406" s="881"/>
      <c r="AD406" s="881"/>
      <c r="AE406" s="881"/>
    </row>
    <row r="407" spans="1:94">
      <c r="A407" s="1130"/>
      <c r="C407" s="1081" t="s">
        <v>1769</v>
      </c>
      <c r="D407" s="1156"/>
      <c r="E407" s="1157" t="s">
        <v>1445</v>
      </c>
      <c r="F407" s="1156" t="s">
        <v>705</v>
      </c>
      <c r="G407" s="1158">
        <f t="shared" ref="G407:X407" si="457">+G210/G27*100</f>
        <v>151.95277155641233</v>
      </c>
      <c r="H407" s="1158">
        <f t="shared" si="457"/>
        <v>142.52895905254601</v>
      </c>
      <c r="I407" s="1158">
        <f t="shared" si="457"/>
        <v>143.28703124631693</v>
      </c>
      <c r="J407" s="1158">
        <f t="shared" si="457"/>
        <v>132.63606980137803</v>
      </c>
      <c r="K407" s="1158">
        <f t="shared" si="457"/>
        <v>116.64074251841245</v>
      </c>
      <c r="L407" s="1158">
        <f t="shared" si="457"/>
        <v>111.54588922174391</v>
      </c>
      <c r="M407" s="1158">
        <f t="shared" si="457"/>
        <v>110.41972930803846</v>
      </c>
      <c r="N407" s="1158">
        <f t="shared" si="457"/>
        <v>106.22450442702223</v>
      </c>
      <c r="O407" s="1158">
        <f t="shared" si="457"/>
        <v>104.18616684645046</v>
      </c>
      <c r="P407" s="1158">
        <f t="shared" si="457"/>
        <v>96.441419428531049</v>
      </c>
      <c r="Q407" s="1158">
        <f t="shared" si="457"/>
        <v>97.577111029373114</v>
      </c>
      <c r="R407" s="1158">
        <f t="shared" si="457"/>
        <v>97.009364254226497</v>
      </c>
      <c r="S407" s="1158">
        <f t="shared" si="457"/>
        <v>99.040286820886337</v>
      </c>
      <c r="T407" s="1158">
        <f t="shared" si="457"/>
        <v>101.93695622425962</v>
      </c>
      <c r="U407" s="1158">
        <f t="shared" si="457"/>
        <v>101.11744142018087</v>
      </c>
      <c r="V407" s="1158">
        <f t="shared" si="457"/>
        <v>100</v>
      </c>
      <c r="W407" s="1158">
        <f>+W210/W27*100</f>
        <v>100.63556601754762</v>
      </c>
      <c r="X407" s="1158">
        <f t="shared" si="457"/>
        <v>101.84449637912782</v>
      </c>
      <c r="Y407" s="1158">
        <f t="shared" ref="Y407:Z409" si="458">+Y210/Y27*100</f>
        <v>102.09464375664632</v>
      </c>
      <c r="Z407" s="1158">
        <f t="shared" si="458"/>
        <v>101.51203552231831</v>
      </c>
      <c r="AA407" s="1158">
        <f t="shared" ref="AA407:AB409" si="459">+AA210/AA27*100</f>
        <v>101.98811992200865</v>
      </c>
      <c r="AB407" s="1158">
        <f t="shared" si="459"/>
        <v>101.47107775642677</v>
      </c>
      <c r="AC407" s="1158">
        <f t="shared" ref="AC407:AD409" si="460">+AC210/AC27*100</f>
        <v>99.370420171570913</v>
      </c>
      <c r="AD407" s="1158">
        <f t="shared" ca="1" si="460"/>
        <v>100.86097647414446</v>
      </c>
      <c r="AE407" s="1158">
        <f t="shared" ref="AE407" ca="1" si="461">+AE210/AE27*100</f>
        <v>102.37389112125663</v>
      </c>
    </row>
    <row r="408" spans="1:94">
      <c r="A408" s="664"/>
      <c r="B408" s="664"/>
      <c r="C408" s="1082" t="s">
        <v>1769</v>
      </c>
      <c r="D408" s="1159"/>
      <c r="E408" s="1160" t="s">
        <v>1446</v>
      </c>
      <c r="F408" s="1159" t="s">
        <v>706</v>
      </c>
      <c r="G408" s="1161">
        <f t="shared" ref="G408:X408" si="462">+G211/G28*100</f>
        <v>40.579794407163455</v>
      </c>
      <c r="H408" s="1161">
        <f t="shared" si="462"/>
        <v>47.615006251347275</v>
      </c>
      <c r="I408" s="1161">
        <f t="shared" si="462"/>
        <v>49.110012676903217</v>
      </c>
      <c r="J408" s="1161">
        <f t="shared" si="462"/>
        <v>43.497238469418534</v>
      </c>
      <c r="K408" s="1161">
        <f t="shared" si="462"/>
        <v>40.809934873045819</v>
      </c>
      <c r="L408" s="1161">
        <f t="shared" si="462"/>
        <v>58.714693690908703</v>
      </c>
      <c r="M408" s="1161">
        <f t="shared" si="462"/>
        <v>69.745286619706334</v>
      </c>
      <c r="N408" s="1161">
        <f t="shared" si="462"/>
        <v>61.930438162810461</v>
      </c>
      <c r="O408" s="1161">
        <f t="shared" si="462"/>
        <v>68.416471219696263</v>
      </c>
      <c r="P408" s="1161">
        <f t="shared" si="462"/>
        <v>73.439792348493413</v>
      </c>
      <c r="Q408" s="1161">
        <f t="shared" si="462"/>
        <v>86.245801847187238</v>
      </c>
      <c r="R408" s="1161">
        <f t="shared" si="462"/>
        <v>101.24797672945647</v>
      </c>
      <c r="S408" s="1161">
        <f t="shared" si="462"/>
        <v>104.42630402666767</v>
      </c>
      <c r="T408" s="1161">
        <f t="shared" si="462"/>
        <v>103.92435436004293</v>
      </c>
      <c r="U408" s="1161">
        <f t="shared" si="462"/>
        <v>102.88242062968065</v>
      </c>
      <c r="V408" s="1161">
        <f t="shared" si="462"/>
        <v>100</v>
      </c>
      <c r="W408" s="1161">
        <f>+W211/W28*100</f>
        <v>94.749418348739241</v>
      </c>
      <c r="X408" s="1161">
        <f t="shared" si="462"/>
        <v>90.635635086178496</v>
      </c>
      <c r="Y408" s="1161">
        <f t="shared" si="458"/>
        <v>96.698937194912887</v>
      </c>
      <c r="Z408" s="1161">
        <f t="shared" si="458"/>
        <v>96.35247222954952</v>
      </c>
      <c r="AA408" s="1161">
        <f t="shared" si="459"/>
        <v>104.13026650447858</v>
      </c>
      <c r="AB408" s="1161">
        <f t="shared" si="459"/>
        <v>114.72481602450296</v>
      </c>
      <c r="AC408" s="1161">
        <f t="shared" si="460"/>
        <v>108.27102968275017</v>
      </c>
      <c r="AD408" s="1161">
        <f t="shared" ca="1" si="460"/>
        <v>109.3537399795777</v>
      </c>
      <c r="AE408" s="1161">
        <f t="shared" ref="AE408" ca="1" si="463">+AE211/AE28*100</f>
        <v>110.44727737937346</v>
      </c>
    </row>
    <row r="409" spans="1:94">
      <c r="A409" s="1130"/>
      <c r="C409" s="1083" t="s">
        <v>1448</v>
      </c>
      <c r="D409" s="1162"/>
      <c r="E409" s="1163" t="s">
        <v>376</v>
      </c>
      <c r="F409" s="1162" t="s">
        <v>707</v>
      </c>
      <c r="G409" s="1164">
        <f t="shared" ref="G409:X409" si="464">+G212/G29*100</f>
        <v>84.755073039905866</v>
      </c>
      <c r="H409" s="1164">
        <f t="shared" si="464"/>
        <v>88.506711627588899</v>
      </c>
      <c r="I409" s="1164">
        <f t="shared" si="464"/>
        <v>92.506253845999325</v>
      </c>
      <c r="J409" s="1164">
        <f t="shared" si="464"/>
        <v>90.584057887923336</v>
      </c>
      <c r="K409" s="1164">
        <f t="shared" si="464"/>
        <v>86.405489595022374</v>
      </c>
      <c r="L409" s="1164">
        <f t="shared" si="464"/>
        <v>86.406333411444734</v>
      </c>
      <c r="M409" s="1164">
        <f t="shared" si="464"/>
        <v>86.950589327200404</v>
      </c>
      <c r="N409" s="1164">
        <f t="shared" si="464"/>
        <v>84.860791883594459</v>
      </c>
      <c r="O409" s="1164">
        <f t="shared" si="464"/>
        <v>85.333904662701684</v>
      </c>
      <c r="P409" s="1164">
        <f t="shared" si="464"/>
        <v>85.769387968871627</v>
      </c>
      <c r="Q409" s="1164">
        <f t="shared" si="464"/>
        <v>90.491816568799592</v>
      </c>
      <c r="R409" s="1164">
        <f t="shared" si="464"/>
        <v>96.180007240962269</v>
      </c>
      <c r="S409" s="1164">
        <f t="shared" si="464"/>
        <v>104.51014666508827</v>
      </c>
      <c r="T409" s="1164">
        <f t="shared" si="464"/>
        <v>111.67631483325266</v>
      </c>
      <c r="U409" s="1164">
        <f t="shared" si="464"/>
        <v>103.28367950738367</v>
      </c>
      <c r="V409" s="1164">
        <f t="shared" si="464"/>
        <v>100</v>
      </c>
      <c r="W409" s="1164">
        <f>+W212/W29*100</f>
        <v>101.80717056823205</v>
      </c>
      <c r="X409" s="1164">
        <f t="shared" si="464"/>
        <v>103.77444415160171</v>
      </c>
      <c r="Y409" s="1164">
        <f t="shared" si="458"/>
        <v>106.86144340956423</v>
      </c>
      <c r="Z409" s="1164">
        <f t="shared" si="458"/>
        <v>108.1033397726312</v>
      </c>
      <c r="AA409" s="1164">
        <f t="shared" si="459"/>
        <v>109.39417607378546</v>
      </c>
      <c r="AB409" s="1164">
        <f t="shared" si="459"/>
        <v>109.74636289431987</v>
      </c>
      <c r="AC409" s="1164">
        <f t="shared" si="460"/>
        <v>110.19351428599396</v>
      </c>
      <c r="AD409" s="1164">
        <f t="shared" ca="1" si="460"/>
        <v>112.80320531309542</v>
      </c>
      <c r="AE409" s="1164">
        <f t="shared" ref="AE409" ca="1" si="465">+AE212/AE29*100</f>
        <v>115.48388062611789</v>
      </c>
    </row>
    <row r="410" spans="1:94">
      <c r="V410"/>
      <c r="W410"/>
      <c r="X410"/>
      <c r="Y410"/>
      <c r="Z410"/>
      <c r="AA410"/>
    </row>
    <row r="411" spans="1:94" s="699" customFormat="1" ht="12.75" customHeight="1">
      <c r="A411" s="664"/>
      <c r="B411" s="664"/>
      <c r="C411" s="774"/>
      <c r="D411" s="1092"/>
      <c r="E411" s="1093" t="s">
        <v>2034</v>
      </c>
      <c r="F411" s="744"/>
      <c r="G411" s="745">
        <f>+InputY!$G$3</f>
        <v>1995</v>
      </c>
      <c r="H411" s="745">
        <f>+G411+1</f>
        <v>1996</v>
      </c>
      <c r="I411" s="745">
        <f t="shared" ref="I411:O411" si="466">+H411+1</f>
        <v>1997</v>
      </c>
      <c r="J411" s="745">
        <f t="shared" si="466"/>
        <v>1998</v>
      </c>
      <c r="K411" s="745">
        <f t="shared" si="466"/>
        <v>1999</v>
      </c>
      <c r="L411" s="745">
        <f t="shared" si="466"/>
        <v>2000</v>
      </c>
      <c r="M411" s="745">
        <f t="shared" si="466"/>
        <v>2001</v>
      </c>
      <c r="N411" s="745">
        <f t="shared" si="466"/>
        <v>2002</v>
      </c>
      <c r="O411" s="745">
        <f t="shared" si="466"/>
        <v>2003</v>
      </c>
      <c r="P411" s="745">
        <f t="shared" ref="P411:V411" si="467">+O411+1</f>
        <v>2004</v>
      </c>
      <c r="Q411" s="745">
        <f t="shared" si="467"/>
        <v>2005</v>
      </c>
      <c r="R411" s="745">
        <f t="shared" si="467"/>
        <v>2006</v>
      </c>
      <c r="S411" s="745">
        <f>+R411+1</f>
        <v>2007</v>
      </c>
      <c r="T411" s="745">
        <f t="shared" si="467"/>
        <v>2008</v>
      </c>
      <c r="U411" s="745">
        <f t="shared" si="467"/>
        <v>2009</v>
      </c>
      <c r="V411" s="745">
        <f t="shared" si="467"/>
        <v>2010</v>
      </c>
      <c r="W411" s="745">
        <f t="shared" ref="W411:AE411" si="468">+V411+1</f>
        <v>2011</v>
      </c>
      <c r="X411" s="745">
        <f t="shared" si="468"/>
        <v>2012</v>
      </c>
      <c r="Y411" s="745">
        <f t="shared" si="468"/>
        <v>2013</v>
      </c>
      <c r="Z411" s="745">
        <f t="shared" si="468"/>
        <v>2014</v>
      </c>
      <c r="AA411" s="745">
        <f t="shared" si="468"/>
        <v>2015</v>
      </c>
      <c r="AB411" s="745">
        <f t="shared" si="468"/>
        <v>2016</v>
      </c>
      <c r="AC411" s="745">
        <f t="shared" si="468"/>
        <v>2017</v>
      </c>
      <c r="AD411" s="745">
        <f t="shared" si="468"/>
        <v>2018</v>
      </c>
      <c r="AE411" s="745">
        <f t="shared" si="468"/>
        <v>2019</v>
      </c>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row>
    <row r="412" spans="1:94" s="699" customFormat="1" ht="12.75" customHeight="1">
      <c r="A412" s="664"/>
      <c r="B412" s="664"/>
      <c r="C412" s="794" t="s">
        <v>1767</v>
      </c>
      <c r="D412" s="689" t="s">
        <v>687</v>
      </c>
      <c r="E412" s="738" t="s">
        <v>644</v>
      </c>
      <c r="F412" s="704" t="s">
        <v>1661</v>
      </c>
      <c r="G412" s="881"/>
      <c r="H412" s="881"/>
      <c r="I412" s="881"/>
      <c r="J412" s="881"/>
      <c r="K412" s="881"/>
      <c r="L412" s="881"/>
      <c r="M412" s="881"/>
      <c r="N412" s="881"/>
      <c r="O412" s="881"/>
      <c r="P412" s="881"/>
      <c r="Q412" s="881"/>
      <c r="R412" s="881"/>
      <c r="S412" s="881"/>
      <c r="T412" s="881"/>
      <c r="U412" s="881"/>
      <c r="V412" s="881"/>
      <c r="W412" s="881"/>
      <c r="X412" s="881"/>
      <c r="Y412" s="881"/>
      <c r="Z412" s="881"/>
      <c r="AA412" s="881"/>
      <c r="AB412" s="881"/>
      <c r="AC412" s="881"/>
      <c r="AD412" s="881"/>
      <c r="AE412" s="881"/>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row>
    <row r="413" spans="1:94">
      <c r="A413" s="664"/>
      <c r="B413" s="664"/>
      <c r="C413" s="1100" t="s">
        <v>1767</v>
      </c>
      <c r="D413" s="1070" t="s">
        <v>1447</v>
      </c>
      <c r="E413" s="1" t="s">
        <v>644</v>
      </c>
      <c r="F413" s="1070" t="s">
        <v>1662</v>
      </c>
      <c r="G413" s="881"/>
      <c r="H413" s="881"/>
      <c r="I413" s="881"/>
      <c r="J413" s="881"/>
      <c r="K413" s="881"/>
      <c r="L413" s="881"/>
      <c r="M413" s="881"/>
      <c r="N413" s="881"/>
      <c r="O413" s="881"/>
      <c r="P413" s="881"/>
      <c r="Q413" s="881"/>
      <c r="R413" s="881"/>
      <c r="S413" s="881"/>
      <c r="T413" s="881"/>
      <c r="U413" s="881"/>
      <c r="V413" s="881"/>
      <c r="W413" s="881"/>
      <c r="X413" s="881"/>
      <c r="Y413" s="881"/>
      <c r="Z413" s="881"/>
      <c r="AA413" s="881"/>
      <c r="AB413" s="881"/>
      <c r="AC413" s="881"/>
      <c r="AD413" s="881"/>
      <c r="AE413" s="881"/>
    </row>
    <row r="414" spans="1:94">
      <c r="A414" s="1130"/>
      <c r="C414" s="1100" t="s">
        <v>1769</v>
      </c>
      <c r="D414" s="1111"/>
      <c r="E414" s="1112" t="s">
        <v>644</v>
      </c>
      <c r="F414" s="1111" t="s">
        <v>1663</v>
      </c>
      <c r="G414" s="1113"/>
      <c r="H414" s="1113">
        <f>(H402/G402-1)*100</f>
        <v>13.461419943328924</v>
      </c>
      <c r="I414" s="1113">
        <f t="shared" ref="I414:S414" si="469">(I402/H402-1)*100</f>
        <v>7.7867064742693115</v>
      </c>
      <c r="J414" s="1113">
        <f t="shared" si="469"/>
        <v>2.8406096987393603</v>
      </c>
      <c r="K414" s="1113">
        <f t="shared" si="469"/>
        <v>1.0211360380673939</v>
      </c>
      <c r="L414" s="1113">
        <f t="shared" si="469"/>
        <v>1.0475688426871743</v>
      </c>
      <c r="M414" s="1113">
        <f t="shared" si="469"/>
        <v>-0.36883455382474839</v>
      </c>
      <c r="N414" s="1113">
        <f t="shared" si="469"/>
        <v>-3.7874344314314801E-2</v>
      </c>
      <c r="O414" s="1113">
        <f t="shared" si="469"/>
        <v>1.4469200228093948</v>
      </c>
      <c r="P414" s="1113">
        <f t="shared" si="469"/>
        <v>6.0885423273206785</v>
      </c>
      <c r="Q414" s="1113">
        <f t="shared" si="469"/>
        <v>7.301795065521155</v>
      </c>
      <c r="R414" s="1113">
        <f t="shared" si="469"/>
        <v>9.5484669186476587</v>
      </c>
      <c r="S414" s="1113">
        <f t="shared" si="469"/>
        <v>12.894606230737926</v>
      </c>
      <c r="T414" s="1113">
        <f t="shared" ref="T414:AE416" si="470">(T402/S402-1)*100</f>
        <v>9.5986670590971546</v>
      </c>
      <c r="U414" s="1113">
        <f t="shared" si="470"/>
        <v>-9.2316637577338767</v>
      </c>
      <c r="V414" s="1113">
        <f t="shared" si="470"/>
        <v>-4.0647864423738351</v>
      </c>
      <c r="W414" s="1113">
        <f t="shared" si="470"/>
        <v>3.9436750771521201</v>
      </c>
      <c r="X414" s="1113">
        <f t="shared" si="470"/>
        <v>3.7013544467856763</v>
      </c>
      <c r="Y414" s="1113">
        <f t="shared" si="470"/>
        <v>4.0508726267238115</v>
      </c>
      <c r="Z414" s="1113">
        <f t="shared" si="470"/>
        <v>2.1041089491270704</v>
      </c>
      <c r="AA414" s="1113">
        <f t="shared" si="470"/>
        <v>0.46690426521938111</v>
      </c>
      <c r="AB414" s="1113">
        <f t="shared" si="470"/>
        <v>-2.8671737108453832</v>
      </c>
      <c r="AC414" s="1113">
        <f t="shared" si="470"/>
        <v>4.2911944870274388</v>
      </c>
      <c r="AD414" s="1113">
        <f t="shared" ca="1" si="470"/>
        <v>3.2999999999999918</v>
      </c>
      <c r="AE414" s="1113">
        <f t="shared" ca="1" si="470"/>
        <v>3.2999999999999918</v>
      </c>
    </row>
    <row r="415" spans="1:94">
      <c r="A415" s="664"/>
      <c r="B415" s="664"/>
      <c r="C415" s="1100" t="s">
        <v>1767</v>
      </c>
      <c r="D415" s="3"/>
      <c r="E415" s="1" t="s">
        <v>1443</v>
      </c>
      <c r="F415" s="3" t="s">
        <v>1664</v>
      </c>
      <c r="G415" s="1062"/>
      <c r="H415" s="1062">
        <f>(H403/G403-1)*100</f>
        <v>15.541958466847849</v>
      </c>
      <c r="I415" s="1062">
        <f t="shared" ref="I415:S415" si="471">(I403/H403-1)*100</f>
        <v>11.024077780937924</v>
      </c>
      <c r="J415" s="1062">
        <f t="shared" si="471"/>
        <v>4.4513525456334024</v>
      </c>
      <c r="K415" s="1062">
        <f t="shared" si="471"/>
        <v>1.4941222195035353</v>
      </c>
      <c r="L415" s="1062">
        <f t="shared" si="471"/>
        <v>0.68516862928391653</v>
      </c>
      <c r="M415" s="1062">
        <f t="shared" si="471"/>
        <v>-1.1723407361008187</v>
      </c>
      <c r="N415" s="1062">
        <f t="shared" si="471"/>
        <v>0.4901246226299838</v>
      </c>
      <c r="O415" s="1062">
        <f t="shared" si="471"/>
        <v>1.2292521066021855</v>
      </c>
      <c r="P415" s="1062">
        <f t="shared" si="471"/>
        <v>7.6852737320660003</v>
      </c>
      <c r="Q415" s="1062">
        <f t="shared" si="471"/>
        <v>8.4792441912702401</v>
      </c>
      <c r="R415" s="1062">
        <f t="shared" si="471"/>
        <v>10.69357895917209</v>
      </c>
      <c r="S415" s="1062">
        <f t="shared" si="471"/>
        <v>16.091768641912331</v>
      </c>
      <c r="T415" s="1062">
        <f t="shared" si="470"/>
        <v>9.5446288580012464</v>
      </c>
      <c r="U415" s="1062">
        <f t="shared" si="470"/>
        <v>-14.498885092272696</v>
      </c>
      <c r="V415" s="1062">
        <f t="shared" si="470"/>
        <v>-4.7877186588921479</v>
      </c>
      <c r="W415" s="1062">
        <f t="shared" si="470"/>
        <v>3.7736166773313373</v>
      </c>
      <c r="X415" s="1062">
        <f t="shared" si="470"/>
        <v>3.0586757341574122</v>
      </c>
      <c r="Y415" s="1062">
        <f t="shared" si="470"/>
        <v>4.5062542586260967</v>
      </c>
      <c r="Z415" s="1062">
        <f t="shared" si="470"/>
        <v>3.2055822417586421</v>
      </c>
      <c r="AA415" s="1062">
        <f t="shared" si="470"/>
        <v>0.38840728683013914</v>
      </c>
      <c r="AB415" s="1062">
        <f t="shared" si="470"/>
        <v>3.1928543090024242</v>
      </c>
      <c r="AC415" s="1062">
        <f t="shared" si="470"/>
        <v>1.6969174583202795</v>
      </c>
      <c r="AD415" s="1062">
        <f t="shared" ca="1" si="470"/>
        <v>3.2999999999999918</v>
      </c>
      <c r="AE415" s="1062">
        <f t="shared" ca="1" si="470"/>
        <v>3.2999999999999918</v>
      </c>
    </row>
    <row r="416" spans="1:94">
      <c r="A416" s="1130"/>
      <c r="C416" s="979" t="s">
        <v>1769</v>
      </c>
      <c r="D416" s="1101"/>
      <c r="E416" s="1102" t="s">
        <v>1444</v>
      </c>
      <c r="F416" s="1101" t="s">
        <v>1665</v>
      </c>
      <c r="G416" s="1103"/>
      <c r="H416" s="1103">
        <f>(H404/G404-1)*100</f>
        <v>13.852635554238923</v>
      </c>
      <c r="I416" s="1103">
        <f t="shared" ref="I416:S416" si="472">(I404/H404-1)*100</f>
        <v>8.2490790706687847</v>
      </c>
      <c r="J416" s="1103">
        <f t="shared" si="472"/>
        <v>3.0251740498251189</v>
      </c>
      <c r="K416" s="1103">
        <f t="shared" si="472"/>
        <v>1.0772990259602322</v>
      </c>
      <c r="L416" s="1103">
        <f t="shared" si="472"/>
        <v>0.96915609084451404</v>
      </c>
      <c r="M416" s="1103">
        <f t="shared" si="472"/>
        <v>-0.48342170809392293</v>
      </c>
      <c r="N416" s="1103">
        <f t="shared" si="472"/>
        <v>3.6744418766310183E-2</v>
      </c>
      <c r="O416" s="1103">
        <f t="shared" si="472"/>
        <v>1.4229488794344602</v>
      </c>
      <c r="P416" s="1103">
        <f t="shared" si="472"/>
        <v>6.3343488370685375</v>
      </c>
      <c r="Q416" s="1103">
        <f t="shared" si="472"/>
        <v>7.4962011841512854</v>
      </c>
      <c r="R416" s="1103">
        <f t="shared" si="472"/>
        <v>9.7379099042109054</v>
      </c>
      <c r="S416" s="1103">
        <f t="shared" si="472"/>
        <v>13.399089870165559</v>
      </c>
      <c r="T416" s="1103">
        <f t="shared" si="470"/>
        <v>9.5878825610335348</v>
      </c>
      <c r="U416" s="1103">
        <f t="shared" si="470"/>
        <v>-10.780101993501134</v>
      </c>
      <c r="V416" s="1103">
        <f t="shared" si="470"/>
        <v>-4.2190771363120216</v>
      </c>
      <c r="W416" s="1103">
        <f t="shared" si="470"/>
        <v>3.9118486817640408</v>
      </c>
      <c r="X416" s="1103">
        <f t="shared" si="470"/>
        <v>3.5729417044590983</v>
      </c>
      <c r="Y416" s="1103">
        <f t="shared" si="470"/>
        <v>4.1443754828458745</v>
      </c>
      <c r="Z416" s="1103">
        <f t="shared" si="470"/>
        <v>2.3488664915416457</v>
      </c>
      <c r="AA416" s="1103">
        <f t="shared" si="470"/>
        <v>0.44671364661867941</v>
      </c>
      <c r="AB416" s="1103">
        <f t="shared" si="470"/>
        <v>-1.0859703880108262</v>
      </c>
      <c r="AC416" s="1103">
        <f t="shared" si="470"/>
        <v>3.565278814009587</v>
      </c>
      <c r="AD416" s="1103">
        <f t="shared" ca="1" si="470"/>
        <v>3.2999999999999918</v>
      </c>
      <c r="AE416" s="1103">
        <f t="shared" ca="1" si="470"/>
        <v>3.2999999999999918</v>
      </c>
    </row>
    <row r="417" spans="1:94">
      <c r="A417" s="1130"/>
      <c r="C417" s="1104" t="s">
        <v>1767</v>
      </c>
      <c r="D417" s="1105" t="s">
        <v>687</v>
      </c>
      <c r="E417" s="1106" t="s">
        <v>1445</v>
      </c>
      <c r="F417" s="1105" t="s">
        <v>704</v>
      </c>
      <c r="G417" s="987"/>
      <c r="H417" s="987"/>
      <c r="I417" s="987"/>
      <c r="J417" s="987"/>
      <c r="K417" s="987"/>
      <c r="L417" s="987"/>
      <c r="M417" s="987"/>
      <c r="N417" s="987"/>
      <c r="O417" s="987"/>
      <c r="P417" s="987"/>
      <c r="Q417" s="987"/>
      <c r="R417" s="987"/>
      <c r="S417" s="987"/>
      <c r="T417" s="987"/>
      <c r="U417" s="987"/>
      <c r="V417" s="987"/>
      <c r="W417" s="987"/>
      <c r="X417" s="987"/>
      <c r="Y417" s="987"/>
      <c r="Z417" s="987"/>
      <c r="AA417" s="987"/>
      <c r="AB417" s="987"/>
      <c r="AC417" s="987"/>
      <c r="AD417" s="987"/>
      <c r="AE417" s="987"/>
    </row>
    <row r="418" spans="1:94">
      <c r="A418" s="1130"/>
      <c r="C418" s="1100" t="s">
        <v>1767</v>
      </c>
      <c r="D418" s="1070" t="s">
        <v>1447</v>
      </c>
      <c r="E418" s="1" t="s">
        <v>1445</v>
      </c>
      <c r="F418" s="3" t="s">
        <v>705</v>
      </c>
      <c r="G418" s="881"/>
      <c r="H418" s="881"/>
      <c r="I418" s="881"/>
      <c r="J418" s="881"/>
      <c r="K418" s="881"/>
      <c r="L418" s="881"/>
      <c r="M418" s="881"/>
      <c r="N418" s="881"/>
      <c r="O418" s="881"/>
      <c r="P418" s="881"/>
      <c r="Q418" s="881"/>
      <c r="R418" s="881"/>
      <c r="S418" s="881"/>
      <c r="T418" s="881"/>
      <c r="U418" s="881"/>
      <c r="V418" s="881"/>
      <c r="W418" s="881"/>
      <c r="X418" s="881"/>
      <c r="Y418" s="881"/>
      <c r="Z418" s="881"/>
      <c r="AA418" s="881"/>
      <c r="AB418" s="881"/>
      <c r="AC418" s="881"/>
      <c r="AD418" s="881"/>
      <c r="AE418" s="881"/>
    </row>
    <row r="419" spans="1:94">
      <c r="A419" s="1130"/>
      <c r="C419" s="979" t="s">
        <v>1769</v>
      </c>
      <c r="D419" s="1101"/>
      <c r="E419" s="1102" t="s">
        <v>1445</v>
      </c>
      <c r="F419" s="1101" t="s">
        <v>705</v>
      </c>
      <c r="G419" s="1103"/>
      <c r="H419" s="1103">
        <f>(H407/G407-1)*100</f>
        <v>-6.2018036310497511</v>
      </c>
      <c r="I419" s="1103">
        <f t="shared" ref="I419:S419" si="473">(I407/H407-1)*100</f>
        <v>0.53187239899186167</v>
      </c>
      <c r="J419" s="1103">
        <f t="shared" si="473"/>
        <v>-7.4333045721558744</v>
      </c>
      <c r="K419" s="1103">
        <f t="shared" si="473"/>
        <v>-12.059560651124922</v>
      </c>
      <c r="L419" s="1103">
        <f t="shared" si="473"/>
        <v>-4.3679877088096291</v>
      </c>
      <c r="M419" s="1103">
        <f t="shared" si="473"/>
        <v>-1.0095933804129209</v>
      </c>
      <c r="N419" s="1103">
        <f t="shared" si="473"/>
        <v>-3.7993435659607444</v>
      </c>
      <c r="O419" s="1103">
        <f t="shared" si="473"/>
        <v>-1.9188958249950039</v>
      </c>
      <c r="P419" s="1103">
        <f t="shared" si="473"/>
        <v>-7.4335659448279916</v>
      </c>
      <c r="Q419" s="1103">
        <f t="shared" si="473"/>
        <v>1.1775973513990845</v>
      </c>
      <c r="R419" s="1103">
        <f t="shared" si="473"/>
        <v>-0.58184421444462675</v>
      </c>
      <c r="S419" s="1103">
        <f t="shared" si="473"/>
        <v>2.0935324978911485</v>
      </c>
      <c r="T419" s="1103">
        <f t="shared" ref="T419:AE421" si="474">(T407/S407-1)*100</f>
        <v>2.9247385042532104</v>
      </c>
      <c r="U419" s="1103">
        <f t="shared" si="474"/>
        <v>-0.80394278427916577</v>
      </c>
      <c r="V419" s="1103">
        <f t="shared" si="474"/>
        <v>-1.1050926570990605</v>
      </c>
      <c r="W419" s="1103">
        <f t="shared" si="474"/>
        <v>0.63556601754761743</v>
      </c>
      <c r="X419" s="1103">
        <f t="shared" si="474"/>
        <v>1.2012953366500767</v>
      </c>
      <c r="Y419" s="1103">
        <f t="shared" si="474"/>
        <v>0.24561698119385245</v>
      </c>
      <c r="Z419" s="1103">
        <f t="shared" si="474"/>
        <v>-0.57065504407529666</v>
      </c>
      <c r="AA419" s="1103">
        <f t="shared" si="474"/>
        <v>0.46899305805532254</v>
      </c>
      <c r="AB419" s="1103">
        <f t="shared" si="474"/>
        <v>-0.50696313058548048</v>
      </c>
      <c r="AC419" s="1103">
        <f t="shared" si="474"/>
        <v>-2.0702032848200491</v>
      </c>
      <c r="AD419" s="1103">
        <f t="shared" ca="1" si="474"/>
        <v>1.4999999999999902</v>
      </c>
      <c r="AE419" s="1103">
        <f t="shared" ca="1" si="474"/>
        <v>1.5000000000000124</v>
      </c>
    </row>
    <row r="420" spans="1:94">
      <c r="A420" s="664"/>
      <c r="B420" s="664"/>
      <c r="C420" s="1107" t="s">
        <v>1769</v>
      </c>
      <c r="D420" s="1108"/>
      <c r="E420" s="1109" t="s">
        <v>1446</v>
      </c>
      <c r="F420" s="1108" t="s">
        <v>706</v>
      </c>
      <c r="G420" s="1110"/>
      <c r="H420" s="1110">
        <f>(H408/G408-1)*100</f>
        <v>17.336736045518041</v>
      </c>
      <c r="I420" s="1110">
        <f t="shared" ref="I420:S420" si="475">(I408/H408-1)*100</f>
        <v>3.1397799627793654</v>
      </c>
      <c r="J420" s="1110">
        <f t="shared" si="475"/>
        <v>-11.428981385957593</v>
      </c>
      <c r="K420" s="1110">
        <f t="shared" si="475"/>
        <v>-6.1781016242262616</v>
      </c>
      <c r="L420" s="1110">
        <f t="shared" si="475"/>
        <v>43.87352950589645</v>
      </c>
      <c r="M420" s="1110">
        <f t="shared" si="475"/>
        <v>18.78676739227474</v>
      </c>
      <c r="N420" s="1110">
        <f t="shared" si="475"/>
        <v>-11.204840980161389</v>
      </c>
      <c r="O420" s="1110">
        <f t="shared" si="475"/>
        <v>10.473094086359458</v>
      </c>
      <c r="P420" s="1110">
        <f t="shared" si="475"/>
        <v>7.3422686660737924</v>
      </c>
      <c r="Q420" s="1110">
        <f t="shared" si="475"/>
        <v>17.437426072673979</v>
      </c>
      <c r="R420" s="1110">
        <f t="shared" si="475"/>
        <v>17.394672622848951</v>
      </c>
      <c r="S420" s="1110">
        <f t="shared" si="475"/>
        <v>3.1391514180119984</v>
      </c>
      <c r="T420" s="1110">
        <f t="shared" si="474"/>
        <v>-0.48067359206407367</v>
      </c>
      <c r="U420" s="1110">
        <f t="shared" si="474"/>
        <v>-1.0025886008899532</v>
      </c>
      <c r="V420" s="1110">
        <f t="shared" si="474"/>
        <v>-2.801664863675557</v>
      </c>
      <c r="W420" s="1110">
        <f t="shared" si="474"/>
        <v>-5.250581651260755</v>
      </c>
      <c r="X420" s="1110">
        <f t="shared" si="474"/>
        <v>-4.3417504130942035</v>
      </c>
      <c r="Y420" s="1110">
        <f t="shared" si="474"/>
        <v>6.6897551972458391</v>
      </c>
      <c r="Z420" s="1110">
        <f t="shared" si="474"/>
        <v>-0.35829242328176969</v>
      </c>
      <c r="AA420" s="1110">
        <f t="shared" si="474"/>
        <v>8.0722311477377637</v>
      </c>
      <c r="AB420" s="1110">
        <f t="shared" si="474"/>
        <v>10.174322870448727</v>
      </c>
      <c r="AC420" s="1110">
        <f t="shared" si="474"/>
        <v>-5.6254492841151134</v>
      </c>
      <c r="AD420" s="1110">
        <f t="shared" ca="1" si="474"/>
        <v>1.0000000000000231</v>
      </c>
      <c r="AE420" s="1110">
        <f t="shared" ca="1" si="474"/>
        <v>0.99999999999997868</v>
      </c>
    </row>
    <row r="421" spans="1:94">
      <c r="A421" s="1130"/>
      <c r="C421" s="1083" t="s">
        <v>1448</v>
      </c>
      <c r="D421" s="1097"/>
      <c r="E421" s="1098" t="s">
        <v>376</v>
      </c>
      <c r="F421" s="1097" t="s">
        <v>707</v>
      </c>
      <c r="G421" s="1099"/>
      <c r="H421" s="1099">
        <f>(H409/G409-1)*100</f>
        <v>4.4264472356912776</v>
      </c>
      <c r="I421" s="1099">
        <f t="shared" ref="I421:S421" si="476">(I409/H409-1)*100</f>
        <v>4.5189140403717243</v>
      </c>
      <c r="J421" s="1099">
        <f t="shared" si="476"/>
        <v>-2.0779091987402132</v>
      </c>
      <c r="K421" s="1099">
        <f t="shared" si="476"/>
        <v>-4.6129179795311952</v>
      </c>
      <c r="L421" s="1099">
        <f t="shared" si="476"/>
        <v>9.7657732895939375E-4</v>
      </c>
      <c r="M421" s="1099">
        <f t="shared" si="476"/>
        <v>0.62987965611740471</v>
      </c>
      <c r="N421" s="1099">
        <f t="shared" si="476"/>
        <v>-2.4034310287902816</v>
      </c>
      <c r="O421" s="1099">
        <f t="shared" si="476"/>
        <v>0.55751633776432996</v>
      </c>
      <c r="P421" s="1099">
        <f t="shared" si="476"/>
        <v>0.51032858263226899</v>
      </c>
      <c r="Q421" s="1099">
        <f t="shared" si="476"/>
        <v>5.5059604734988721</v>
      </c>
      <c r="R421" s="1099">
        <f t="shared" si="476"/>
        <v>6.2858619572942587</v>
      </c>
      <c r="S421" s="1099">
        <f t="shared" si="476"/>
        <v>8.6609885599782555</v>
      </c>
      <c r="T421" s="1099">
        <f t="shared" si="474"/>
        <v>6.8569114070129444</v>
      </c>
      <c r="U421" s="1099">
        <f t="shared" si="474"/>
        <v>-7.5151435095259895</v>
      </c>
      <c r="V421" s="1099">
        <f t="shared" si="474"/>
        <v>-3.1792820734556804</v>
      </c>
      <c r="W421" s="1099">
        <f t="shared" si="474"/>
        <v>1.8071705682320527</v>
      </c>
      <c r="X421" s="1099">
        <f t="shared" si="474"/>
        <v>1.9323526745605557</v>
      </c>
      <c r="Y421" s="1099">
        <f t="shared" si="474"/>
        <v>2.9747201087897857</v>
      </c>
      <c r="Z421" s="1099">
        <f t="shared" si="474"/>
        <v>1.1621557069065647</v>
      </c>
      <c r="AA421" s="1099">
        <f t="shared" si="474"/>
        <v>1.1940762458118481</v>
      </c>
      <c r="AB421" s="1099">
        <f t="shared" si="474"/>
        <v>0.32194293441807353</v>
      </c>
      <c r="AC421" s="1099">
        <f t="shared" si="474"/>
        <v>0.40744073870098152</v>
      </c>
      <c r="AD421" s="1099">
        <f t="shared" ca="1" si="474"/>
        <v>2.3682800607740973</v>
      </c>
      <c r="AE421" s="1099">
        <f t="shared" ca="1" si="474"/>
        <v>2.3764176785420421</v>
      </c>
    </row>
    <row r="422" spans="1:94">
      <c r="V422"/>
      <c r="W422"/>
      <c r="X422"/>
      <c r="Y422"/>
      <c r="Z422"/>
      <c r="AA422"/>
    </row>
    <row r="423" spans="1:94">
      <c r="A423" s="1130"/>
      <c r="D423" s="1149"/>
      <c r="E423" s="1150" t="s">
        <v>2035</v>
      </c>
      <c r="F423" s="1151"/>
      <c r="G423" s="1141">
        <f>+InputY!$G$3</f>
        <v>1995</v>
      </c>
      <c r="H423" s="1141">
        <f>+G423+1</f>
        <v>1996</v>
      </c>
      <c r="I423" s="1141">
        <f t="shared" ref="I423:O423" si="477">+H423+1</f>
        <v>1997</v>
      </c>
      <c r="J423" s="1141">
        <f t="shared" si="477"/>
        <v>1998</v>
      </c>
      <c r="K423" s="1141">
        <f t="shared" si="477"/>
        <v>1999</v>
      </c>
      <c r="L423" s="1141">
        <f t="shared" si="477"/>
        <v>2000</v>
      </c>
      <c r="M423" s="1141">
        <f t="shared" si="477"/>
        <v>2001</v>
      </c>
      <c r="N423" s="1141">
        <f t="shared" si="477"/>
        <v>2002</v>
      </c>
      <c r="O423" s="1141">
        <f t="shared" si="477"/>
        <v>2003</v>
      </c>
      <c r="P423" s="1141">
        <f t="shared" ref="P423:V423" si="478">+O423+1</f>
        <v>2004</v>
      </c>
      <c r="Q423" s="1141">
        <f t="shared" si="478"/>
        <v>2005</v>
      </c>
      <c r="R423" s="1141">
        <f t="shared" si="478"/>
        <v>2006</v>
      </c>
      <c r="S423" s="1141">
        <f>+R423+1</f>
        <v>2007</v>
      </c>
      <c r="T423" s="1141">
        <f t="shared" si="478"/>
        <v>2008</v>
      </c>
      <c r="U423" s="1141">
        <f t="shared" si="478"/>
        <v>2009</v>
      </c>
      <c r="V423" s="1141">
        <f t="shared" si="478"/>
        <v>2010</v>
      </c>
      <c r="W423" s="1141">
        <f t="shared" ref="W423:AE423" si="479">+V423+1</f>
        <v>2011</v>
      </c>
      <c r="X423" s="1141">
        <f t="shared" si="479"/>
        <v>2012</v>
      </c>
      <c r="Y423" s="1141">
        <f t="shared" si="479"/>
        <v>2013</v>
      </c>
      <c r="Z423" s="1141">
        <f t="shared" si="479"/>
        <v>2014</v>
      </c>
      <c r="AA423" s="1141">
        <f t="shared" si="479"/>
        <v>2015</v>
      </c>
      <c r="AB423" s="1141">
        <f t="shared" si="479"/>
        <v>2016</v>
      </c>
      <c r="AC423" s="1141">
        <f t="shared" si="479"/>
        <v>2017</v>
      </c>
      <c r="AD423" s="1141">
        <f t="shared" si="479"/>
        <v>2018</v>
      </c>
      <c r="AE423" s="1141">
        <f t="shared" si="479"/>
        <v>2019</v>
      </c>
    </row>
    <row r="424" spans="1:94">
      <c r="A424" s="1130"/>
      <c r="C424" s="1082"/>
      <c r="D424" s="1086" t="s">
        <v>687</v>
      </c>
      <c r="E424" s="1087" t="s">
        <v>376</v>
      </c>
      <c r="F424" s="1089" t="s">
        <v>708</v>
      </c>
      <c r="G424" s="1088">
        <f t="shared" ref="G424:X424" si="480">+G229/G45*100</f>
        <v>99.95597139561707</v>
      </c>
      <c r="H424" s="1088">
        <f t="shared" si="480"/>
        <v>100.03168320802006</v>
      </c>
      <c r="I424" s="1088">
        <f t="shared" si="480"/>
        <v>99.957995201744836</v>
      </c>
      <c r="J424" s="1088">
        <f t="shared" si="480"/>
        <v>99.979495254833026</v>
      </c>
      <c r="K424" s="1088">
        <f t="shared" si="480"/>
        <v>100.0085428063943</v>
      </c>
      <c r="L424" s="1088">
        <f t="shared" si="480"/>
        <v>101.6880989090909</v>
      </c>
      <c r="M424" s="1088">
        <f t="shared" si="480"/>
        <v>101.89225401459854</v>
      </c>
      <c r="N424" s="1088">
        <f t="shared" si="480"/>
        <v>103.35060994035786</v>
      </c>
      <c r="O424" s="1088">
        <f t="shared" si="480"/>
        <v>103.4609738317757</v>
      </c>
      <c r="P424" s="1088">
        <f t="shared" si="480"/>
        <v>103.6580673664993</v>
      </c>
      <c r="Q424" s="1088">
        <f t="shared" si="480"/>
        <v>90.549379339498032</v>
      </c>
      <c r="R424" s="1088">
        <f t="shared" si="480"/>
        <v>96.210844897959177</v>
      </c>
      <c r="S424" s="1088">
        <f t="shared" si="480"/>
        <v>104.53393358778629</v>
      </c>
      <c r="T424" s="1088">
        <f t="shared" si="480"/>
        <v>111.68552325184764</v>
      </c>
      <c r="U424" s="1088">
        <f t="shared" si="480"/>
        <v>103.30137325483602</v>
      </c>
      <c r="V424" s="1088">
        <f t="shared" si="480"/>
        <v>99.994967649173262</v>
      </c>
      <c r="W424" s="1088">
        <f>+W229/W45*100</f>
        <v>101.82283205544287</v>
      </c>
      <c r="X424" s="1088">
        <f t="shared" si="480"/>
        <v>103.7998261085973</v>
      </c>
      <c r="Y424" s="1088">
        <f t="shared" ref="Y424:AD424" si="481">+Y229/Y45*100</f>
        <v>106.90018508785333</v>
      </c>
      <c r="Z424" s="1088">
        <f t="shared" si="481"/>
        <v>108.10131484021824</v>
      </c>
      <c r="AA424" s="1088">
        <f t="shared" si="481"/>
        <v>109.35501595636363</v>
      </c>
      <c r="AB424" s="1088">
        <f t="shared" si="481"/>
        <v>109.7070087868284</v>
      </c>
      <c r="AC424" s="1088">
        <f t="shared" ca="1" si="481"/>
        <v>114.20499614708832</v>
      </c>
      <c r="AD424" s="1088">
        <f t="shared" ca="1" si="481"/>
        <v>117.63114603150098</v>
      </c>
      <c r="AE424" s="1088">
        <f t="shared" ref="AE424" ca="1" si="482">+AE229/AE45*100</f>
        <v>121.16008041244599</v>
      </c>
    </row>
    <row r="425" spans="1:94">
      <c r="V425"/>
      <c r="W425"/>
      <c r="X425"/>
      <c r="Y425"/>
      <c r="Z425"/>
      <c r="AA425"/>
    </row>
    <row r="426" spans="1:94" s="699" customFormat="1" ht="12.75" customHeight="1">
      <c r="A426" s="664"/>
      <c r="B426" s="664"/>
      <c r="C426" s="774"/>
      <c r="D426" s="1092"/>
      <c r="E426" s="1093" t="s">
        <v>2035</v>
      </c>
      <c r="F426" s="1094"/>
      <c r="G426" s="896">
        <f>+InputY!$G$3</f>
        <v>1995</v>
      </c>
      <c r="H426" s="896">
        <f>+G426+1</f>
        <v>1996</v>
      </c>
      <c r="I426" s="896">
        <f t="shared" ref="I426:O426" si="483">+H426+1</f>
        <v>1997</v>
      </c>
      <c r="J426" s="896">
        <f t="shared" si="483"/>
        <v>1998</v>
      </c>
      <c r="K426" s="896">
        <f t="shared" si="483"/>
        <v>1999</v>
      </c>
      <c r="L426" s="896">
        <f t="shared" si="483"/>
        <v>2000</v>
      </c>
      <c r="M426" s="896">
        <f t="shared" si="483"/>
        <v>2001</v>
      </c>
      <c r="N426" s="896">
        <f t="shared" si="483"/>
        <v>2002</v>
      </c>
      <c r="O426" s="896">
        <f t="shared" si="483"/>
        <v>2003</v>
      </c>
      <c r="P426" s="896">
        <f t="shared" ref="P426:V426" si="484">+O426+1</f>
        <v>2004</v>
      </c>
      <c r="Q426" s="896">
        <f t="shared" si="484"/>
        <v>2005</v>
      </c>
      <c r="R426" s="896">
        <f t="shared" si="484"/>
        <v>2006</v>
      </c>
      <c r="S426" s="896">
        <f>+R426+1</f>
        <v>2007</v>
      </c>
      <c r="T426" s="896">
        <f t="shared" si="484"/>
        <v>2008</v>
      </c>
      <c r="U426" s="896">
        <f t="shared" si="484"/>
        <v>2009</v>
      </c>
      <c r="V426" s="896">
        <f t="shared" si="484"/>
        <v>2010</v>
      </c>
      <c r="W426" s="896">
        <f t="shared" ref="W426:AE426" si="485">+V426+1</f>
        <v>2011</v>
      </c>
      <c r="X426" s="896">
        <f t="shared" si="485"/>
        <v>2012</v>
      </c>
      <c r="Y426" s="896">
        <f t="shared" si="485"/>
        <v>2013</v>
      </c>
      <c r="Z426" s="896">
        <f t="shared" si="485"/>
        <v>2014</v>
      </c>
      <c r="AA426" s="896">
        <f t="shared" si="485"/>
        <v>2015</v>
      </c>
      <c r="AB426" s="896">
        <f t="shared" si="485"/>
        <v>2016</v>
      </c>
      <c r="AC426" s="896">
        <f t="shared" si="485"/>
        <v>2017</v>
      </c>
      <c r="AD426" s="896">
        <f t="shared" si="485"/>
        <v>2018</v>
      </c>
      <c r="AE426" s="896">
        <f t="shared" si="485"/>
        <v>2019</v>
      </c>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row>
    <row r="427" spans="1:94" s="699" customFormat="1" ht="12.75" customHeight="1">
      <c r="A427" s="664"/>
      <c r="B427" s="664"/>
      <c r="C427" s="798"/>
      <c r="D427" s="833" t="s">
        <v>687</v>
      </c>
      <c r="E427" s="834" t="s">
        <v>376</v>
      </c>
      <c r="F427" s="1114" t="s">
        <v>708</v>
      </c>
      <c r="G427" s="1115"/>
      <c r="H427" s="1115">
        <f>+(H424/G424-1)*100</f>
        <v>7.5745161940665717E-2</v>
      </c>
      <c r="I427" s="1115">
        <f t="shared" ref="I427:S427" si="486">+(I424/H424-1)*100</f>
        <v>-7.366466694554985E-2</v>
      </c>
      <c r="J427" s="1115">
        <f t="shared" si="486"/>
        <v>2.1509087937188198E-2</v>
      </c>
      <c r="K427" s="1115">
        <f t="shared" si="486"/>
        <v>2.9053508909249182E-2</v>
      </c>
      <c r="L427" s="1115">
        <f t="shared" si="486"/>
        <v>1.679412633726729</v>
      </c>
      <c r="M427" s="1115">
        <f t="shared" si="486"/>
        <v>0.20076597723608369</v>
      </c>
      <c r="N427" s="1115">
        <f t="shared" si="486"/>
        <v>1.4312726122933439</v>
      </c>
      <c r="O427" s="1115">
        <f t="shared" si="486"/>
        <v>0.10678591203432397</v>
      </c>
      <c r="P427" s="1115">
        <f t="shared" si="486"/>
        <v>0.19050036687655592</v>
      </c>
      <c r="Q427" s="1115">
        <f t="shared" si="486"/>
        <v>-12.646085693121645</v>
      </c>
      <c r="R427" s="1115">
        <f t="shared" si="486"/>
        <v>6.25235158955042</v>
      </c>
      <c r="S427" s="1115">
        <f t="shared" si="486"/>
        <v>8.6508841063131179</v>
      </c>
      <c r="T427" s="1115">
        <f t="shared" ref="T427:AE427" si="487">+(T424/S424-1)*100</f>
        <v>6.8414049090150586</v>
      </c>
      <c r="U427" s="1115">
        <f t="shared" si="487"/>
        <v>-7.5069263704890421</v>
      </c>
      <c r="V427" s="1115">
        <f t="shared" si="487"/>
        <v>-3.200737319828395</v>
      </c>
      <c r="W427" s="1115">
        <f t="shared" si="487"/>
        <v>1.8279563954483935</v>
      </c>
      <c r="X427" s="1115">
        <f t="shared" si="487"/>
        <v>1.9416019111292648</v>
      </c>
      <c r="Y427" s="1115">
        <f t="shared" si="487"/>
        <v>2.986863365274206</v>
      </c>
      <c r="Z427" s="3400">
        <f t="shared" si="487"/>
        <v>1.1235993196623495</v>
      </c>
      <c r="AA427" s="1115">
        <f t="shared" si="487"/>
        <v>1.1597464082638176</v>
      </c>
      <c r="AB427" s="1115">
        <f t="shared" si="487"/>
        <v>0.32188082767528048</v>
      </c>
      <c r="AC427" s="1115">
        <f t="shared" ca="1" si="487"/>
        <v>4.0999999999999703</v>
      </c>
      <c r="AD427" s="1115">
        <f t="shared" ca="1" si="487"/>
        <v>3.0000000000000027</v>
      </c>
      <c r="AE427" s="1115">
        <f t="shared" ca="1" si="487"/>
        <v>2.9999999999999805</v>
      </c>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row>
    <row r="428" spans="1:94">
      <c r="V428"/>
      <c r="W428"/>
      <c r="X428"/>
      <c r="Y428"/>
      <c r="Z428"/>
      <c r="AA428"/>
    </row>
    <row r="429" spans="1:94">
      <c r="A429" s="1130"/>
      <c r="D429" s="1149"/>
      <c r="E429" s="1150" t="s">
        <v>1831</v>
      </c>
      <c r="F429" s="1151"/>
      <c r="G429" s="1141">
        <f>+InputY!$G$3</f>
        <v>1995</v>
      </c>
      <c r="H429" s="1141">
        <f>+G429+1</f>
        <v>1996</v>
      </c>
      <c r="I429" s="1141">
        <f t="shared" ref="I429:O429" si="488">+H429+1</f>
        <v>1997</v>
      </c>
      <c r="J429" s="1141">
        <f t="shared" si="488"/>
        <v>1998</v>
      </c>
      <c r="K429" s="1141">
        <f t="shared" si="488"/>
        <v>1999</v>
      </c>
      <c r="L429" s="1141">
        <f t="shared" si="488"/>
        <v>2000</v>
      </c>
      <c r="M429" s="1141">
        <f t="shared" si="488"/>
        <v>2001</v>
      </c>
      <c r="N429" s="1141">
        <f t="shared" si="488"/>
        <v>2002</v>
      </c>
      <c r="O429" s="1141">
        <f t="shared" si="488"/>
        <v>2003</v>
      </c>
      <c r="P429" s="1141">
        <f t="shared" ref="P429:V429" si="489">+O429+1</f>
        <v>2004</v>
      </c>
      <c r="Q429" s="1141">
        <f t="shared" si="489"/>
        <v>2005</v>
      </c>
      <c r="R429" s="1141">
        <f t="shared" si="489"/>
        <v>2006</v>
      </c>
      <c r="S429" s="1141">
        <f>+R429+1</f>
        <v>2007</v>
      </c>
      <c r="T429" s="1141">
        <f t="shared" si="489"/>
        <v>2008</v>
      </c>
      <c r="U429" s="1141">
        <f t="shared" si="489"/>
        <v>2009</v>
      </c>
      <c r="V429" s="1141">
        <f t="shared" si="489"/>
        <v>2010</v>
      </c>
      <c r="W429" s="1141">
        <f t="shared" ref="W429:AE429" si="490">+V429+1</f>
        <v>2011</v>
      </c>
      <c r="X429" s="1141">
        <f t="shared" si="490"/>
        <v>2012</v>
      </c>
      <c r="Y429" s="1141">
        <f t="shared" si="490"/>
        <v>2013</v>
      </c>
      <c r="Z429" s="1141">
        <f t="shared" si="490"/>
        <v>2014</v>
      </c>
      <c r="AA429" s="1141">
        <f t="shared" si="490"/>
        <v>2015</v>
      </c>
      <c r="AB429" s="1141">
        <f t="shared" si="490"/>
        <v>2016</v>
      </c>
      <c r="AC429" s="1141">
        <f t="shared" si="490"/>
        <v>2017</v>
      </c>
      <c r="AD429" s="1141">
        <f t="shared" si="490"/>
        <v>2018</v>
      </c>
      <c r="AE429" s="1141">
        <f t="shared" si="490"/>
        <v>2019</v>
      </c>
    </row>
    <row r="430" spans="1:94">
      <c r="A430" s="1130"/>
      <c r="C430" s="1082"/>
      <c r="D430" s="1086"/>
      <c r="E430" s="1087" t="s">
        <v>1449</v>
      </c>
      <c r="F430" s="1089" t="s">
        <v>1409</v>
      </c>
      <c r="G430" s="1088">
        <f t="shared" ref="G430:V430" si="491">+G260/G64*100</f>
        <v>-7339.51045522596</v>
      </c>
      <c r="H430" s="1088">
        <f t="shared" si="491"/>
        <v>-1851.1409461320895</v>
      </c>
      <c r="I430" s="1088">
        <f t="shared" si="491"/>
        <v>-62977.844543595405</v>
      </c>
      <c r="J430" s="1088">
        <f t="shared" si="491"/>
        <v>-7644.4848671603932</v>
      </c>
      <c r="K430" s="1088">
        <f t="shared" si="491"/>
        <v>4106.2802995037582</v>
      </c>
      <c r="L430" s="1088">
        <f t="shared" si="491"/>
        <v>2192.6049593698044</v>
      </c>
      <c r="M430" s="1088">
        <f t="shared" si="491"/>
        <v>12335.566654845128</v>
      </c>
      <c r="N430" s="1088">
        <f t="shared" si="491"/>
        <v>4780.9620667908857</v>
      </c>
      <c r="O430" s="1088">
        <f t="shared" si="491"/>
        <v>11594.658383603892</v>
      </c>
      <c r="P430" s="1088">
        <f t="shared" si="491"/>
        <v>-301.94143516035609</v>
      </c>
      <c r="Q430" s="1088">
        <f t="shared" si="491"/>
        <v>114.82161857445274</v>
      </c>
      <c r="R430" s="1088">
        <f t="shared" si="491"/>
        <v>-119.52941925133347</v>
      </c>
      <c r="S430" s="1088">
        <f>+S260/S64*100</f>
        <v>-164.4118153206405</v>
      </c>
      <c r="T430" s="1088">
        <f t="shared" si="491"/>
        <v>-59.569090121796108</v>
      </c>
      <c r="U430" s="1088">
        <f t="shared" si="491"/>
        <v>-83.225308717470114</v>
      </c>
      <c r="V430" s="1088">
        <f t="shared" si="491"/>
        <v>100</v>
      </c>
      <c r="W430" s="1088">
        <f t="shared" ref="W430:AB430" si="492">+W260/W64*100</f>
        <v>387.38980452280578</v>
      </c>
      <c r="X430" s="1088">
        <f t="shared" si="492"/>
        <v>771.80455112548429</v>
      </c>
      <c r="Y430" s="1088">
        <f t="shared" si="492"/>
        <v>1404.9882014821953</v>
      </c>
      <c r="Z430" s="1088">
        <f t="shared" si="492"/>
        <v>281.21949308492276</v>
      </c>
      <c r="AA430" s="1088">
        <f t="shared" si="492"/>
        <v>73.525636341973424</v>
      </c>
      <c r="AB430" s="1088">
        <f t="shared" si="492"/>
        <v>-624.34368187641383</v>
      </c>
      <c r="AC430" s="1088">
        <f ca="1">+AC260/AC64*100</f>
        <v>-433.35544900972531</v>
      </c>
      <c r="AD430" s="1088">
        <f ca="1">+AD260/AD64*100</f>
        <v>-433.35544900972531</v>
      </c>
      <c r="AE430" s="1088">
        <f ca="1">+AE260/AE64*100</f>
        <v>-433.35544900972531</v>
      </c>
    </row>
    <row r="431" spans="1:94">
      <c r="V431"/>
      <c r="W431"/>
      <c r="X431"/>
      <c r="Y431"/>
      <c r="Z431"/>
      <c r="AA431"/>
    </row>
    <row r="432" spans="1:94" s="699" customFormat="1" ht="12.75" customHeight="1">
      <c r="A432" s="664"/>
      <c r="B432" s="664"/>
      <c r="C432" s="774"/>
      <c r="D432" s="1092"/>
      <c r="E432" s="1093" t="s">
        <v>1831</v>
      </c>
      <c r="F432" s="1094"/>
      <c r="G432" s="896">
        <f>+InputY!$G$3</f>
        <v>1995</v>
      </c>
      <c r="H432" s="896">
        <f>+G432+1</f>
        <v>1996</v>
      </c>
      <c r="I432" s="896">
        <f t="shared" ref="I432:O432" si="493">+H432+1</f>
        <v>1997</v>
      </c>
      <c r="J432" s="896">
        <f t="shared" si="493"/>
        <v>1998</v>
      </c>
      <c r="K432" s="896">
        <f t="shared" si="493"/>
        <v>1999</v>
      </c>
      <c r="L432" s="896">
        <f t="shared" si="493"/>
        <v>2000</v>
      </c>
      <c r="M432" s="896">
        <f t="shared" si="493"/>
        <v>2001</v>
      </c>
      <c r="N432" s="896">
        <f t="shared" si="493"/>
        <v>2002</v>
      </c>
      <c r="O432" s="896">
        <f t="shared" si="493"/>
        <v>2003</v>
      </c>
      <c r="P432" s="896">
        <f t="shared" ref="P432:V432" si="494">+O432+1</f>
        <v>2004</v>
      </c>
      <c r="Q432" s="896">
        <f t="shared" si="494"/>
        <v>2005</v>
      </c>
      <c r="R432" s="896">
        <f t="shared" si="494"/>
        <v>2006</v>
      </c>
      <c r="S432" s="896">
        <f>+R432+1</f>
        <v>2007</v>
      </c>
      <c r="T432" s="896">
        <f t="shared" si="494"/>
        <v>2008</v>
      </c>
      <c r="U432" s="896">
        <f t="shared" si="494"/>
        <v>2009</v>
      </c>
      <c r="V432" s="896">
        <f t="shared" si="494"/>
        <v>2010</v>
      </c>
      <c r="W432" s="896">
        <f t="shared" ref="W432:AE432" si="495">+V432+1</f>
        <v>2011</v>
      </c>
      <c r="X432" s="896">
        <f t="shared" si="495"/>
        <v>2012</v>
      </c>
      <c r="Y432" s="896">
        <f t="shared" si="495"/>
        <v>2013</v>
      </c>
      <c r="Z432" s="896">
        <f t="shared" si="495"/>
        <v>2014</v>
      </c>
      <c r="AA432" s="896">
        <f t="shared" si="495"/>
        <v>2015</v>
      </c>
      <c r="AB432" s="896">
        <f t="shared" si="495"/>
        <v>2016</v>
      </c>
      <c r="AC432" s="896">
        <f t="shared" si="495"/>
        <v>2017</v>
      </c>
      <c r="AD432" s="896">
        <f t="shared" si="495"/>
        <v>2018</v>
      </c>
      <c r="AE432" s="896">
        <f t="shared" si="495"/>
        <v>2019</v>
      </c>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row>
    <row r="433" spans="1:94" s="699" customFormat="1" ht="12.75" customHeight="1">
      <c r="A433" s="664"/>
      <c r="B433" s="664"/>
      <c r="C433" s="798"/>
      <c r="D433" s="833"/>
      <c r="E433" s="834" t="s">
        <v>1449</v>
      </c>
      <c r="F433" s="1114" t="s">
        <v>1409</v>
      </c>
      <c r="G433" s="1115"/>
      <c r="H433" s="1115">
        <f>+(H430/G430-1)*100</f>
        <v>-74.778413936122675</v>
      </c>
      <c r="I433" s="1115">
        <f t="shared" ref="I433:S433" si="496">+(I430/H430-1)*100</f>
        <v>3302.1096381226916</v>
      </c>
      <c r="J433" s="1115">
        <f t="shared" si="496"/>
        <v>-87.861628287597838</v>
      </c>
      <c r="K433" s="1115">
        <f t="shared" si="496"/>
        <v>-153.7155919706735</v>
      </c>
      <c r="L433" s="1115">
        <f t="shared" si="496"/>
        <v>-46.603621783082382</v>
      </c>
      <c r="M433" s="1115">
        <f t="shared" si="496"/>
        <v>462.59868436996516</v>
      </c>
      <c r="N433" s="1115">
        <f t="shared" si="496"/>
        <v>-61.242460921622651</v>
      </c>
      <c r="O433" s="1115">
        <f t="shared" si="496"/>
        <v>142.51726371438349</v>
      </c>
      <c r="P433" s="1115">
        <f t="shared" si="496"/>
        <v>-102.60414257299149</v>
      </c>
      <c r="Q433" s="1115">
        <f t="shared" si="496"/>
        <v>-138.02777797405409</v>
      </c>
      <c r="R433" s="1115">
        <f t="shared" si="496"/>
        <v>-204.10009955906352</v>
      </c>
      <c r="S433" s="1115">
        <f t="shared" si="496"/>
        <v>37.549246328163967</v>
      </c>
      <c r="T433" s="1115">
        <f t="shared" ref="T433:AE433" si="497">+(T430/S430-1)*100</f>
        <v>-63.768364210550921</v>
      </c>
      <c r="U433" s="1115">
        <f t="shared" si="497"/>
        <v>39.712237583797318</v>
      </c>
      <c r="V433" s="1115">
        <f t="shared" si="497"/>
        <v>-220.15575735438352</v>
      </c>
      <c r="W433" s="1115">
        <f t="shared" si="497"/>
        <v>287.38980452280578</v>
      </c>
      <c r="X433" s="1115">
        <f t="shared" si="497"/>
        <v>99.232024724091033</v>
      </c>
      <c r="Y433" s="1115">
        <f t="shared" si="497"/>
        <v>82.039377642094834</v>
      </c>
      <c r="Z433" s="1115">
        <f t="shared" si="497"/>
        <v>-79.984209633344278</v>
      </c>
      <c r="AA433" s="1115">
        <f t="shared" si="497"/>
        <v>-73.854715569176378</v>
      </c>
      <c r="AB433" s="1115">
        <f t="shared" si="497"/>
        <v>-949.15100764656154</v>
      </c>
      <c r="AC433" s="1115">
        <f t="shared" ca="1" si="497"/>
        <v>-30.590240345299723</v>
      </c>
      <c r="AD433" s="1115">
        <f t="shared" ca="1" si="497"/>
        <v>0</v>
      </c>
      <c r="AE433" s="1115">
        <f t="shared" ca="1" si="497"/>
        <v>0</v>
      </c>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row>
    <row r="434" spans="1:94">
      <c r="V434"/>
      <c r="W434"/>
      <c r="X434"/>
      <c r="Y434"/>
      <c r="Z434"/>
      <c r="AA434"/>
    </row>
    <row r="435" spans="1:94">
      <c r="A435" s="1130"/>
      <c r="D435" s="1185"/>
      <c r="E435" s="1186" t="s">
        <v>1832</v>
      </c>
      <c r="F435" s="1145"/>
      <c r="G435" s="1137">
        <f>+InputY!$G$3</f>
        <v>1995</v>
      </c>
      <c r="H435" s="1137">
        <f>+G435+1</f>
        <v>1996</v>
      </c>
      <c r="I435" s="1137">
        <f t="shared" ref="I435:O435" si="498">+H435+1</f>
        <v>1997</v>
      </c>
      <c r="J435" s="1137">
        <f t="shared" si="498"/>
        <v>1998</v>
      </c>
      <c r="K435" s="1137">
        <f t="shared" si="498"/>
        <v>1999</v>
      </c>
      <c r="L435" s="1137">
        <f t="shared" si="498"/>
        <v>2000</v>
      </c>
      <c r="M435" s="1137">
        <f t="shared" si="498"/>
        <v>2001</v>
      </c>
      <c r="N435" s="1137">
        <f t="shared" si="498"/>
        <v>2002</v>
      </c>
      <c r="O435" s="1137">
        <f t="shared" si="498"/>
        <v>2003</v>
      </c>
      <c r="P435" s="1137">
        <f t="shared" ref="P435:V435" si="499">+O435+1</f>
        <v>2004</v>
      </c>
      <c r="Q435" s="1137">
        <f t="shared" si="499"/>
        <v>2005</v>
      </c>
      <c r="R435" s="1137">
        <f t="shared" si="499"/>
        <v>2006</v>
      </c>
      <c r="S435" s="1137">
        <f>+R435+1</f>
        <v>2007</v>
      </c>
      <c r="T435" s="1137">
        <f t="shared" si="499"/>
        <v>2008</v>
      </c>
      <c r="U435" s="1137">
        <f t="shared" si="499"/>
        <v>2009</v>
      </c>
      <c r="V435" s="1137">
        <f t="shared" si="499"/>
        <v>2010</v>
      </c>
      <c r="W435" s="1137">
        <f t="shared" ref="W435:AE435" si="500">+V435+1</f>
        <v>2011</v>
      </c>
      <c r="X435" s="1137">
        <f t="shared" si="500"/>
        <v>2012</v>
      </c>
      <c r="Y435" s="1137">
        <f t="shared" si="500"/>
        <v>2013</v>
      </c>
      <c r="Z435" s="1137">
        <f t="shared" si="500"/>
        <v>2014</v>
      </c>
      <c r="AA435" s="1137">
        <f t="shared" si="500"/>
        <v>2015</v>
      </c>
      <c r="AB435" s="1137">
        <f t="shared" si="500"/>
        <v>2016</v>
      </c>
      <c r="AC435" s="1137">
        <f t="shared" si="500"/>
        <v>2017</v>
      </c>
      <c r="AD435" s="1137">
        <f t="shared" si="500"/>
        <v>2018</v>
      </c>
      <c r="AE435" s="1137">
        <f t="shared" si="500"/>
        <v>2019</v>
      </c>
    </row>
    <row r="436" spans="1:94">
      <c r="A436" s="664"/>
      <c r="B436" s="664"/>
      <c r="C436" s="1090" t="s">
        <v>1769</v>
      </c>
      <c r="D436" s="1091"/>
      <c r="E436" s="1038" t="s">
        <v>1450</v>
      </c>
      <c r="F436" s="176" t="s">
        <v>1410</v>
      </c>
      <c r="G436" s="1044">
        <f t="shared" ref="G436:V436" si="501">+G277/G81*100</f>
        <v>64.749209088936382</v>
      </c>
      <c r="H436" s="1044">
        <f t="shared" si="501"/>
        <v>74.837144938462714</v>
      </c>
      <c r="I436" s="1044">
        <f t="shared" si="501"/>
        <v>78.444597547970062</v>
      </c>
      <c r="J436" s="1044">
        <f t="shared" si="501"/>
        <v>74.91633861471739</v>
      </c>
      <c r="K436" s="1044">
        <f t="shared" si="501"/>
        <v>73.892253107308676</v>
      </c>
      <c r="L436" s="1044">
        <f t="shared" si="501"/>
        <v>76.875316434087281</v>
      </c>
      <c r="M436" s="1044">
        <f t="shared" si="501"/>
        <v>76.515284681983246</v>
      </c>
      <c r="N436" s="1044">
        <f t="shared" si="501"/>
        <v>75.372596808777729</v>
      </c>
      <c r="O436" s="1044">
        <f t="shared" si="501"/>
        <v>75.136084045971401</v>
      </c>
      <c r="P436" s="1044">
        <f t="shared" si="501"/>
        <v>81.859950932142382</v>
      </c>
      <c r="Q436" s="1044">
        <f t="shared" si="501"/>
        <v>83.32062757376714</v>
      </c>
      <c r="R436" s="1044">
        <f t="shared" si="501"/>
        <v>89.13523922565011</v>
      </c>
      <c r="S436" s="1044">
        <f>+S277/S81*100</f>
        <v>94.993682152310853</v>
      </c>
      <c r="T436" s="1044">
        <f t="shared" si="501"/>
        <v>101.98954769824455</v>
      </c>
      <c r="U436" s="1044">
        <f t="shared" si="501"/>
        <v>99.110575136639724</v>
      </c>
      <c r="V436" s="1044">
        <f t="shared" si="501"/>
        <v>100</v>
      </c>
      <c r="W436" s="1044">
        <f>+W277/W81*100</f>
        <v>102.61427099367741</v>
      </c>
      <c r="X436" s="1044">
        <f t="shared" ref="X436:Y438" si="502">+X277/X81*100</f>
        <v>105.00796392898847</v>
      </c>
      <c r="Y436" s="1044">
        <f t="shared" si="502"/>
        <v>104.97736939688079</v>
      </c>
      <c r="Z436" s="1044">
        <f t="shared" ref="Z436:AA438" si="503">+Z277/Z81*100</f>
        <v>104.85570080322</v>
      </c>
      <c r="AA436" s="1044">
        <f t="shared" si="503"/>
        <v>106.37596939955026</v>
      </c>
      <c r="AB436" s="1044">
        <f t="shared" ref="AB436:AC438" si="504">+AB277/AB81*100</f>
        <v>108.23519398807197</v>
      </c>
      <c r="AC436" s="1044">
        <f t="shared" si="504"/>
        <v>112.00149873324578</v>
      </c>
      <c r="AD436" s="1044">
        <f t="shared" ref="AD436:AE438" ca="1" si="505">+AD277/AD81*100</f>
        <v>114.80153620157691</v>
      </c>
      <c r="AE436" s="1044">
        <f t="shared" ca="1" si="505"/>
        <v>117.21236846181004</v>
      </c>
    </row>
    <row r="437" spans="1:94">
      <c r="A437" s="1130"/>
      <c r="B437" s="1130"/>
      <c r="C437" s="1081" t="s">
        <v>1767</v>
      </c>
      <c r="D437" s="1077"/>
      <c r="E437" s="1078" t="s">
        <v>1451</v>
      </c>
      <c r="F437" s="1077" t="s">
        <v>1411</v>
      </c>
      <c r="G437" s="1085">
        <f t="shared" ref="G437:V437" si="506">+G278/G82*100</f>
        <v>55.587032985099952</v>
      </c>
      <c r="H437" s="1085">
        <f t="shared" si="506"/>
        <v>65.671734270147567</v>
      </c>
      <c r="I437" s="1085">
        <f t="shared" si="506"/>
        <v>72.361265280199532</v>
      </c>
      <c r="J437" s="1085">
        <f t="shared" si="506"/>
        <v>65.487817039207215</v>
      </c>
      <c r="K437" s="1085">
        <f t="shared" si="506"/>
        <v>61.173367365836718</v>
      </c>
      <c r="L437" s="1085">
        <f t="shared" si="506"/>
        <v>74.239762925047145</v>
      </c>
      <c r="M437" s="1085">
        <f t="shared" si="506"/>
        <v>75.268880164144164</v>
      </c>
      <c r="N437" s="1085">
        <f t="shared" si="506"/>
        <v>72.820464406497294</v>
      </c>
      <c r="O437" s="1085">
        <f t="shared" si="506"/>
        <v>71.696807731871459</v>
      </c>
      <c r="P437" s="1085">
        <f t="shared" si="506"/>
        <v>76.700378706698075</v>
      </c>
      <c r="Q437" s="1085">
        <f t="shared" si="506"/>
        <v>84.909880770635141</v>
      </c>
      <c r="R437" s="1085">
        <f t="shared" si="506"/>
        <v>88.856618396210052</v>
      </c>
      <c r="S437" s="1085">
        <f>+S278/S82*100</f>
        <v>93.867481547187936</v>
      </c>
      <c r="T437" s="1085">
        <f t="shared" si="506"/>
        <v>106.81026801519018</v>
      </c>
      <c r="U437" s="1085">
        <f t="shared" si="506"/>
        <v>88.961451743466512</v>
      </c>
      <c r="V437" s="1085">
        <f t="shared" si="506"/>
        <v>100</v>
      </c>
      <c r="W437" s="1085">
        <f>+W278/W82*100</f>
        <v>112.88766364016286</v>
      </c>
      <c r="X437" s="1085">
        <f t="shared" si="502"/>
        <v>116.79352580927385</v>
      </c>
      <c r="Y437" s="1085">
        <f t="shared" si="502"/>
        <v>114.34219667060232</v>
      </c>
      <c r="Z437" s="1085">
        <f t="shared" si="503"/>
        <v>111.14308966145944</v>
      </c>
      <c r="AA437" s="1085">
        <f t="shared" si="503"/>
        <v>105.22756141311602</v>
      </c>
      <c r="AB437" s="1085">
        <f t="shared" si="504"/>
        <v>102.00516681882353</v>
      </c>
      <c r="AC437" s="1085">
        <f t="shared" si="504"/>
        <v>106.79167824309251</v>
      </c>
      <c r="AD437" s="1085">
        <f t="shared" ca="1" si="505"/>
        <v>109.24788684268361</v>
      </c>
      <c r="AE437" s="1085">
        <f t="shared" ca="1" si="505"/>
        <v>111.43284457953729</v>
      </c>
    </row>
    <row r="438" spans="1:94">
      <c r="A438" s="664"/>
      <c r="B438" s="664"/>
      <c r="C438" s="694" t="s">
        <v>1769</v>
      </c>
      <c r="D438" s="1146"/>
      <c r="E438" s="1147" t="s">
        <v>1452</v>
      </c>
      <c r="F438" s="1146" t="s">
        <v>1412</v>
      </c>
      <c r="G438" s="1148">
        <f t="shared" ref="G438:V438" si="507">+G279/G83*100</f>
        <v>57.123758096785608</v>
      </c>
      <c r="H438" s="1148">
        <f t="shared" si="507"/>
        <v>67.785233872989934</v>
      </c>
      <c r="I438" s="1148">
        <f t="shared" si="507"/>
        <v>73.810820213904833</v>
      </c>
      <c r="J438" s="1148">
        <f t="shared" si="507"/>
        <v>68.153949933006416</v>
      </c>
      <c r="K438" s="1148">
        <f t="shared" si="507"/>
        <v>65.91219666936648</v>
      </c>
      <c r="L438" s="1148">
        <f t="shared" si="507"/>
        <v>75.234699772839008</v>
      </c>
      <c r="M438" s="1148">
        <f t="shared" si="507"/>
        <v>75.305951351051576</v>
      </c>
      <c r="N438" s="1148">
        <f t="shared" si="507"/>
        <v>73.090935450855113</v>
      </c>
      <c r="O438" s="1148">
        <f t="shared" si="507"/>
        <v>72.082388131919956</v>
      </c>
      <c r="P438" s="1148">
        <f t="shared" si="507"/>
        <v>77.772814064920567</v>
      </c>
      <c r="Q438" s="1148">
        <f t="shared" si="507"/>
        <v>84.494091539113896</v>
      </c>
      <c r="R438" s="1148">
        <f t="shared" si="507"/>
        <v>88.838196265358405</v>
      </c>
      <c r="S438" s="1148">
        <f>+S279/S83*100</f>
        <v>94.022068623221628</v>
      </c>
      <c r="T438" s="1148">
        <f t="shared" si="507"/>
        <v>105.81807904100448</v>
      </c>
      <c r="U438" s="1148">
        <f t="shared" si="507"/>
        <v>90.858391314315696</v>
      </c>
      <c r="V438" s="1148">
        <f t="shared" si="507"/>
        <v>100</v>
      </c>
      <c r="W438" s="1148">
        <f>+W279/W83*100</f>
        <v>110.97718383990174</v>
      </c>
      <c r="X438" s="1148">
        <f t="shared" si="502"/>
        <v>114.59465717467221</v>
      </c>
      <c r="Y438" s="1148">
        <f t="shared" si="502"/>
        <v>112.61713759293789</v>
      </c>
      <c r="Z438" s="1148">
        <f t="shared" si="503"/>
        <v>110.05496807413584</v>
      </c>
      <c r="AA438" s="1148">
        <f t="shared" si="503"/>
        <v>105.70741597605722</v>
      </c>
      <c r="AB438" s="1148">
        <f t="shared" si="504"/>
        <v>103.63903151636154</v>
      </c>
      <c r="AC438" s="1148">
        <f t="shared" si="504"/>
        <v>108.19374809454187</v>
      </c>
      <c r="AD438" s="1148">
        <f t="shared" ca="1" si="505"/>
        <v>110.73534168112464</v>
      </c>
      <c r="AE438" s="1148">
        <f t="shared" ca="1" si="505"/>
        <v>112.97730108766623</v>
      </c>
    </row>
    <row r="439" spans="1:94">
      <c r="V439"/>
      <c r="W439"/>
      <c r="X439"/>
      <c r="Y439"/>
      <c r="Z439"/>
      <c r="AA439"/>
    </row>
    <row r="440" spans="1:94">
      <c r="A440" s="1130"/>
      <c r="D440" s="1116"/>
      <c r="E440" s="927" t="s">
        <v>1833</v>
      </c>
      <c r="F440" s="1108"/>
      <c r="G440" s="896">
        <f>+InputY!$G$3</f>
        <v>1995</v>
      </c>
      <c r="H440" s="896">
        <f>+G440+1</f>
        <v>1996</v>
      </c>
      <c r="I440" s="896">
        <f t="shared" ref="I440:O440" si="508">+H440+1</f>
        <v>1997</v>
      </c>
      <c r="J440" s="896">
        <f t="shared" si="508"/>
        <v>1998</v>
      </c>
      <c r="K440" s="896">
        <f t="shared" si="508"/>
        <v>1999</v>
      </c>
      <c r="L440" s="896">
        <f t="shared" si="508"/>
        <v>2000</v>
      </c>
      <c r="M440" s="896">
        <f t="shared" si="508"/>
        <v>2001</v>
      </c>
      <c r="N440" s="896">
        <f t="shared" si="508"/>
        <v>2002</v>
      </c>
      <c r="O440" s="896">
        <f t="shared" si="508"/>
        <v>2003</v>
      </c>
      <c r="P440" s="896">
        <f t="shared" ref="P440:V440" si="509">+O440+1</f>
        <v>2004</v>
      </c>
      <c r="Q440" s="896">
        <f t="shared" si="509"/>
        <v>2005</v>
      </c>
      <c r="R440" s="896">
        <f t="shared" si="509"/>
        <v>2006</v>
      </c>
      <c r="S440" s="896">
        <f>+R440+1</f>
        <v>2007</v>
      </c>
      <c r="T440" s="896">
        <f t="shared" si="509"/>
        <v>2008</v>
      </c>
      <c r="U440" s="896">
        <f t="shared" si="509"/>
        <v>2009</v>
      </c>
      <c r="V440" s="896">
        <f t="shared" si="509"/>
        <v>2010</v>
      </c>
      <c r="W440" s="896">
        <f t="shared" ref="W440:AE440" si="510">+V440+1</f>
        <v>2011</v>
      </c>
      <c r="X440" s="896">
        <f t="shared" si="510"/>
        <v>2012</v>
      </c>
      <c r="Y440" s="896">
        <f t="shared" si="510"/>
        <v>2013</v>
      </c>
      <c r="Z440" s="896">
        <f t="shared" si="510"/>
        <v>2014</v>
      </c>
      <c r="AA440" s="896">
        <f t="shared" si="510"/>
        <v>2015</v>
      </c>
      <c r="AB440" s="896">
        <f t="shared" si="510"/>
        <v>2016</v>
      </c>
      <c r="AC440" s="896">
        <f t="shared" si="510"/>
        <v>2017</v>
      </c>
      <c r="AD440" s="896">
        <f t="shared" si="510"/>
        <v>2018</v>
      </c>
      <c r="AE440" s="896">
        <f t="shared" si="510"/>
        <v>2019</v>
      </c>
    </row>
    <row r="441" spans="1:94">
      <c r="A441" s="664"/>
      <c r="B441" s="664"/>
      <c r="C441" s="1119" t="s">
        <v>1769</v>
      </c>
      <c r="D441" s="1120"/>
      <c r="E441" s="1106" t="s">
        <v>1450</v>
      </c>
      <c r="F441" s="1120" t="s">
        <v>1410</v>
      </c>
      <c r="G441" s="1095"/>
      <c r="H441" s="1095">
        <f>+(H436/G436-1)*100</f>
        <v>15.580014013252308</v>
      </c>
      <c r="I441" s="1095">
        <f t="shared" ref="I441:S441" si="511">+(I436/H436-1)*100</f>
        <v>4.8204038415331052</v>
      </c>
      <c r="J441" s="1095">
        <f t="shared" si="511"/>
        <v>-4.4977717313102294</v>
      </c>
      <c r="K441" s="1095">
        <f t="shared" si="511"/>
        <v>-1.3669721803616475</v>
      </c>
      <c r="L441" s="1095">
        <f t="shared" si="511"/>
        <v>4.0370447527787512</v>
      </c>
      <c r="M441" s="1095">
        <f t="shared" si="511"/>
        <v>-0.46833205872098826</v>
      </c>
      <c r="N441" s="1095">
        <f t="shared" si="511"/>
        <v>-1.4934112549601197</v>
      </c>
      <c r="O441" s="1095">
        <f t="shared" si="511"/>
        <v>-0.31379144784724478</v>
      </c>
      <c r="P441" s="1095">
        <f t="shared" si="511"/>
        <v>8.9489184478353181</v>
      </c>
      <c r="Q441" s="1095">
        <f t="shared" si="511"/>
        <v>1.7843605145031027</v>
      </c>
      <c r="R441" s="1095">
        <f t="shared" si="511"/>
        <v>6.9785980029195782</v>
      </c>
      <c r="S441" s="1095">
        <f t="shared" si="511"/>
        <v>6.5725329034343138</v>
      </c>
      <c r="T441" s="1095">
        <f t="shared" ref="T441:AE443" si="512">+(T436/S436-1)*100</f>
        <v>7.3645587658310419</v>
      </c>
      <c r="U441" s="1095">
        <f t="shared" si="512"/>
        <v>-2.822811382714252</v>
      </c>
      <c r="V441" s="1095">
        <f t="shared" si="512"/>
        <v>0.89740662097264057</v>
      </c>
      <c r="W441" s="1095">
        <f t="shared" si="512"/>
        <v>2.6142709936774144</v>
      </c>
      <c r="X441" s="1095">
        <f t="shared" si="512"/>
        <v>2.3327095852569535</v>
      </c>
      <c r="Y441" s="1095">
        <f t="shared" si="512"/>
        <v>-2.9135439792327134E-2</v>
      </c>
      <c r="Z441" s="1095">
        <f t="shared" si="512"/>
        <v>-0.11589983094432155</v>
      </c>
      <c r="AA441" s="1095">
        <f t="shared" si="512"/>
        <v>1.449867374577285</v>
      </c>
      <c r="AB441" s="1095">
        <f t="shared" si="512"/>
        <v>1.7477862707304004</v>
      </c>
      <c r="AC441" s="1095">
        <f t="shared" si="512"/>
        <v>3.4797412989243437</v>
      </c>
      <c r="AD441" s="1095">
        <f t="shared" ca="1" si="512"/>
        <v>2.4999999999999911</v>
      </c>
      <c r="AE441" s="1095">
        <f t="shared" ca="1" si="512"/>
        <v>2.100000000000013</v>
      </c>
    </row>
    <row r="442" spans="1:94">
      <c r="A442" s="1130"/>
      <c r="B442" s="1130"/>
      <c r="C442" s="979" t="s">
        <v>1767</v>
      </c>
      <c r="D442" s="1121"/>
      <c r="E442" s="1122" t="s">
        <v>1451</v>
      </c>
      <c r="F442" s="1121" t="s">
        <v>1411</v>
      </c>
      <c r="G442" s="1124"/>
      <c r="H442" s="1124">
        <f>+(H437/G437-1)*100</f>
        <v>18.142183065879426</v>
      </c>
      <c r="I442" s="1124">
        <f t="shared" ref="I442:S442" si="513">+(I437/H437-1)*100</f>
        <v>10.186316966343355</v>
      </c>
      <c r="J442" s="1124">
        <f t="shared" si="513"/>
        <v>-9.4987949898011621</v>
      </c>
      <c r="K442" s="1124">
        <f t="shared" si="513"/>
        <v>-6.5881714621628955</v>
      </c>
      <c r="L442" s="1124">
        <f t="shared" si="513"/>
        <v>21.359614685046058</v>
      </c>
      <c r="M442" s="1124">
        <f t="shared" si="513"/>
        <v>1.3862076043211768</v>
      </c>
      <c r="N442" s="1124">
        <f t="shared" si="513"/>
        <v>-3.2528924999381426</v>
      </c>
      <c r="O442" s="1124">
        <f t="shared" si="513"/>
        <v>-1.5430506846995318</v>
      </c>
      <c r="P442" s="1124">
        <f t="shared" si="513"/>
        <v>6.9787918501737822</v>
      </c>
      <c r="Q442" s="1124">
        <f t="shared" si="513"/>
        <v>10.703339673628175</v>
      </c>
      <c r="R442" s="1124">
        <f t="shared" si="513"/>
        <v>4.648148825265852</v>
      </c>
      <c r="S442" s="1124">
        <f t="shared" si="513"/>
        <v>5.6392683419872469</v>
      </c>
      <c r="T442" s="1124">
        <f t="shared" si="512"/>
        <v>13.788360201712457</v>
      </c>
      <c r="U442" s="1124">
        <f t="shared" si="512"/>
        <v>-16.710768171825265</v>
      </c>
      <c r="V442" s="1124">
        <f t="shared" si="512"/>
        <v>12.408237545813417</v>
      </c>
      <c r="W442" s="1124">
        <f t="shared" si="512"/>
        <v>12.887663640162849</v>
      </c>
      <c r="X442" s="1124">
        <f t="shared" si="512"/>
        <v>3.4599548286881054</v>
      </c>
      <c r="Y442" s="1124">
        <f t="shared" si="512"/>
        <v>-2.0988570399652073</v>
      </c>
      <c r="Z442" s="1124">
        <f t="shared" si="512"/>
        <v>-2.7978358841214912</v>
      </c>
      <c r="AA442" s="1124">
        <f t="shared" si="512"/>
        <v>-5.3224435872370019</v>
      </c>
      <c r="AB442" s="1124">
        <f t="shared" si="512"/>
        <v>-3.0623104356106823</v>
      </c>
      <c r="AC442" s="1124">
        <f t="shared" si="512"/>
        <v>4.6924205641176497</v>
      </c>
      <c r="AD442" s="1124">
        <f t="shared" ca="1" si="512"/>
        <v>2.2999999999999909</v>
      </c>
      <c r="AE442" s="1124">
        <f t="shared" ca="1" si="512"/>
        <v>2.0000000000000018</v>
      </c>
    </row>
    <row r="443" spans="1:94" ht="12.75" customHeight="1">
      <c r="A443" s="664"/>
      <c r="B443" s="664"/>
      <c r="C443" s="694" t="s">
        <v>1769</v>
      </c>
      <c r="D443" s="1097"/>
      <c r="E443" s="1098" t="s">
        <v>1452</v>
      </c>
      <c r="F443" s="1097" t="s">
        <v>1412</v>
      </c>
      <c r="G443" s="1099"/>
      <c r="H443" s="1099">
        <f>+(H438/G438-1)*100</f>
        <v>18.66382067885035</v>
      </c>
      <c r="I443" s="1099">
        <f t="shared" ref="I443:S443" si="514">+(I438/H438-1)*100</f>
        <v>8.8892314692092356</v>
      </c>
      <c r="J443" s="1099">
        <f t="shared" si="514"/>
        <v>-7.6640122200305143</v>
      </c>
      <c r="K443" s="1099">
        <f t="shared" si="514"/>
        <v>-3.2892492156999298</v>
      </c>
      <c r="L443" s="1099">
        <f t="shared" si="514"/>
        <v>14.143820983901879</v>
      </c>
      <c r="M443" s="1099">
        <f t="shared" si="514"/>
        <v>9.4705738745148871E-2</v>
      </c>
      <c r="N443" s="1099">
        <f t="shared" si="514"/>
        <v>-2.941355710215765</v>
      </c>
      <c r="O443" s="1099">
        <f t="shared" si="514"/>
        <v>-1.3798527994121623</v>
      </c>
      <c r="P443" s="1099">
        <f t="shared" si="514"/>
        <v>7.8943360236434001</v>
      </c>
      <c r="Q443" s="1099">
        <f t="shared" si="514"/>
        <v>8.6421940044277825</v>
      </c>
      <c r="R443" s="1099">
        <f t="shared" si="514"/>
        <v>5.1413118327138241</v>
      </c>
      <c r="S443" s="1099">
        <f t="shared" si="514"/>
        <v>5.8351841615278621</v>
      </c>
      <c r="T443" s="1099">
        <f t="shared" si="512"/>
        <v>12.546001795656592</v>
      </c>
      <c r="U443" s="1099">
        <f t="shared" si="512"/>
        <v>-14.137175671930224</v>
      </c>
      <c r="V443" s="1099">
        <f t="shared" si="512"/>
        <v>10.061380741443916</v>
      </c>
      <c r="W443" s="1099">
        <f t="shared" si="512"/>
        <v>10.977183839901738</v>
      </c>
      <c r="X443" s="1099">
        <f t="shared" si="512"/>
        <v>3.2596550116005041</v>
      </c>
      <c r="Y443" s="1099">
        <f t="shared" si="512"/>
        <v>-1.7256647303548034</v>
      </c>
      <c r="Z443" s="1099">
        <f t="shared" si="512"/>
        <v>-2.2751151144181803</v>
      </c>
      <c r="AA443" s="1099">
        <f t="shared" si="512"/>
        <v>-3.9503460626602482</v>
      </c>
      <c r="AB443" s="1099">
        <f t="shared" si="512"/>
        <v>-1.9567070489776905</v>
      </c>
      <c r="AC443" s="1099">
        <f t="shared" si="512"/>
        <v>4.3947888276641089</v>
      </c>
      <c r="AD443" s="1099">
        <f t="shared" ca="1" si="512"/>
        <v>2.3491131709032498</v>
      </c>
      <c r="AE443" s="1099">
        <f t="shared" ca="1" si="512"/>
        <v>2.0246105466469544</v>
      </c>
    </row>
    <row r="444" spans="1:94">
      <c r="V444"/>
      <c r="W444"/>
      <c r="X444"/>
      <c r="Y444"/>
      <c r="Z444"/>
      <c r="AA444"/>
    </row>
    <row r="445" spans="1:94">
      <c r="A445" s="1130"/>
      <c r="D445" s="1185"/>
      <c r="E445" s="1186" t="s">
        <v>748</v>
      </c>
      <c r="F445" s="1145"/>
      <c r="G445" s="1137">
        <f>+InputY!$G$3</f>
        <v>1995</v>
      </c>
      <c r="H445" s="1137">
        <f>+G445+1</f>
        <v>1996</v>
      </c>
      <c r="I445" s="1137">
        <f t="shared" ref="I445:O445" si="515">+H445+1</f>
        <v>1997</v>
      </c>
      <c r="J445" s="1137">
        <f t="shared" si="515"/>
        <v>1998</v>
      </c>
      <c r="K445" s="1137">
        <f t="shared" si="515"/>
        <v>1999</v>
      </c>
      <c r="L445" s="1137">
        <f t="shared" si="515"/>
        <v>2000</v>
      </c>
      <c r="M445" s="1137">
        <f t="shared" si="515"/>
        <v>2001</v>
      </c>
      <c r="N445" s="1137">
        <f t="shared" si="515"/>
        <v>2002</v>
      </c>
      <c r="O445" s="1137">
        <f t="shared" si="515"/>
        <v>2003</v>
      </c>
      <c r="P445" s="1137">
        <f t="shared" ref="P445:V445" si="516">+O445+1</f>
        <v>2004</v>
      </c>
      <c r="Q445" s="1137">
        <f t="shared" si="516"/>
        <v>2005</v>
      </c>
      <c r="R445" s="1137">
        <f t="shared" si="516"/>
        <v>2006</v>
      </c>
      <c r="S445" s="1137">
        <f>+R445+1</f>
        <v>2007</v>
      </c>
      <c r="T445" s="1137">
        <f t="shared" si="516"/>
        <v>2008</v>
      </c>
      <c r="U445" s="1137">
        <f t="shared" si="516"/>
        <v>2009</v>
      </c>
      <c r="V445" s="1137">
        <f t="shared" si="516"/>
        <v>2010</v>
      </c>
      <c r="W445" s="1137">
        <f t="shared" ref="W445:AE445" si="517">+V445+1</f>
        <v>2011</v>
      </c>
      <c r="X445" s="1137">
        <f t="shared" si="517"/>
        <v>2012</v>
      </c>
      <c r="Y445" s="1137">
        <f t="shared" si="517"/>
        <v>2013</v>
      </c>
      <c r="Z445" s="1137">
        <f t="shared" si="517"/>
        <v>2014</v>
      </c>
      <c r="AA445" s="1137">
        <f t="shared" si="517"/>
        <v>2015</v>
      </c>
      <c r="AB445" s="1137">
        <f t="shared" si="517"/>
        <v>2016</v>
      </c>
      <c r="AC445" s="1137">
        <f t="shared" si="517"/>
        <v>2017</v>
      </c>
      <c r="AD445" s="1137">
        <f t="shared" si="517"/>
        <v>2018</v>
      </c>
      <c r="AE445" s="1137">
        <f t="shared" si="517"/>
        <v>2019</v>
      </c>
    </row>
    <row r="446" spans="1:94">
      <c r="A446" s="664"/>
      <c r="B446" s="664"/>
      <c r="C446" s="1090" t="s">
        <v>1769</v>
      </c>
      <c r="D446" s="1091"/>
      <c r="E446" s="1038" t="s">
        <v>1453</v>
      </c>
      <c r="F446" s="176" t="s">
        <v>1542</v>
      </c>
      <c r="G446" s="1044">
        <f t="shared" ref="G446:V446" si="518">+G309/G103*100</f>
        <v>86.851331371677603</v>
      </c>
      <c r="H446" s="1044">
        <f t="shared" si="518"/>
        <v>87.608429946980905</v>
      </c>
      <c r="I446" s="1044">
        <f t="shared" si="518"/>
        <v>91.871467534535583</v>
      </c>
      <c r="J446" s="1044">
        <f t="shared" si="518"/>
        <v>87.77159536809549</v>
      </c>
      <c r="K446" s="1044">
        <f t="shared" si="518"/>
        <v>82.474185020518306</v>
      </c>
      <c r="L446" s="1044">
        <f t="shared" si="518"/>
        <v>85.51821976824769</v>
      </c>
      <c r="M446" s="1044">
        <f t="shared" si="518"/>
        <v>91.829161454100017</v>
      </c>
      <c r="N446" s="1044">
        <f t="shared" si="518"/>
        <v>93.718510927127568</v>
      </c>
      <c r="O446" s="1044">
        <f t="shared" si="518"/>
        <v>90.932724833638886</v>
      </c>
      <c r="P446" s="1044">
        <f t="shared" si="518"/>
        <v>88.714217746411862</v>
      </c>
      <c r="Q446" s="1044">
        <f t="shared" si="518"/>
        <v>89.461765776569081</v>
      </c>
      <c r="R446" s="1044">
        <f t="shared" si="518"/>
        <v>93.797071274258272</v>
      </c>
      <c r="S446" s="1044">
        <f>+S309/S103*100</f>
        <v>97.640190758098996</v>
      </c>
      <c r="T446" s="1044">
        <f t="shared" si="518"/>
        <v>102.90205605730078</v>
      </c>
      <c r="U446" s="1044">
        <f t="shared" si="518"/>
        <v>96.446762277270722</v>
      </c>
      <c r="V446" s="1044">
        <f t="shared" si="518"/>
        <v>100</v>
      </c>
      <c r="W446" s="1044">
        <f>+W309/W103*100</f>
        <v>102.65000946431952</v>
      </c>
      <c r="X446" s="1044">
        <f t="shared" ref="X446:Y448" si="519">+X309/X103*100</f>
        <v>104.26673855504363</v>
      </c>
      <c r="Y446" s="1044">
        <f t="shared" si="519"/>
        <v>103.91246991894218</v>
      </c>
      <c r="Z446" s="1044">
        <f t="shared" ref="Z446:AA448" si="520">+Z309/Z103*100</f>
        <v>103.33650628538904</v>
      </c>
      <c r="AA446" s="1044">
        <f t="shared" si="520"/>
        <v>104.88640749727726</v>
      </c>
      <c r="AB446" s="1044">
        <f t="shared" ref="AB446:AC448" si="521">+AB309/AB103*100</f>
        <v>106.07055871282014</v>
      </c>
      <c r="AC446" s="1044">
        <f t="shared" si="521"/>
        <v>109.59243955291275</v>
      </c>
      <c r="AD446" s="1044">
        <f t="shared" ref="AD446:AE448" ca="1" si="522">+AD309/AD103*100</f>
        <v>112.88021273950012</v>
      </c>
      <c r="AE446" s="1044">
        <f t="shared" ca="1" si="522"/>
        <v>115.13781699429013</v>
      </c>
    </row>
    <row r="447" spans="1:94">
      <c r="A447" s="1130"/>
      <c r="B447" s="1130"/>
      <c r="C447" s="1081" t="s">
        <v>1767</v>
      </c>
      <c r="D447" s="1077"/>
      <c r="E447" s="1078" t="s">
        <v>1454</v>
      </c>
      <c r="F447" s="1077" t="s">
        <v>1436</v>
      </c>
      <c r="G447" s="1085">
        <f t="shared" ref="G447:V447" si="523">+G310/G104*100</f>
        <v>73.306088131954056</v>
      </c>
      <c r="H447" s="1085">
        <f t="shared" si="523"/>
        <v>80.854863766090347</v>
      </c>
      <c r="I447" s="1085">
        <f t="shared" si="523"/>
        <v>83.69411643647561</v>
      </c>
      <c r="J447" s="1085">
        <f t="shared" si="523"/>
        <v>80.593532768863426</v>
      </c>
      <c r="K447" s="1085">
        <f t="shared" si="523"/>
        <v>75.021708013139062</v>
      </c>
      <c r="L447" s="1085">
        <f t="shared" si="523"/>
        <v>80.118527949156203</v>
      </c>
      <c r="M447" s="1085">
        <f t="shared" si="523"/>
        <v>79.6190264257785</v>
      </c>
      <c r="N447" s="1085">
        <f t="shared" si="523"/>
        <v>76.413535602131432</v>
      </c>
      <c r="O447" s="1085">
        <f t="shared" si="523"/>
        <v>75.564881574502223</v>
      </c>
      <c r="P447" s="1085">
        <f t="shared" si="523"/>
        <v>75.35593872660796</v>
      </c>
      <c r="Q447" s="1085">
        <f t="shared" si="523"/>
        <v>81.787850306960749</v>
      </c>
      <c r="R447" s="1085">
        <f t="shared" si="523"/>
        <v>88.954804876668049</v>
      </c>
      <c r="S447" s="1085">
        <f>+S310/S104*100</f>
        <v>93.399696287252283</v>
      </c>
      <c r="T447" s="1085">
        <f t="shared" si="523"/>
        <v>101.90756178014146</v>
      </c>
      <c r="U447" s="1085">
        <f t="shared" si="523"/>
        <v>90.208342558561753</v>
      </c>
      <c r="V447" s="1085">
        <f t="shared" si="523"/>
        <v>100</v>
      </c>
      <c r="W447" s="1085">
        <f>+W310/W104*100</f>
        <v>113.24994492190505</v>
      </c>
      <c r="X447" s="1085">
        <f t="shared" si="519"/>
        <v>118.36142348002583</v>
      </c>
      <c r="Y447" s="1085">
        <f t="shared" si="519"/>
        <v>116.38474577142013</v>
      </c>
      <c r="Z447" s="1085">
        <f t="shared" si="520"/>
        <v>112.18103921504475</v>
      </c>
      <c r="AA447" s="1085">
        <f t="shared" si="520"/>
        <v>102.90237601118122</v>
      </c>
      <c r="AB447" s="1085">
        <f t="shared" si="521"/>
        <v>97.42311644912995</v>
      </c>
      <c r="AC447" s="1085">
        <f t="shared" si="521"/>
        <v>101.44782856717676</v>
      </c>
      <c r="AD447" s="1085">
        <f t="shared" ca="1" si="522"/>
        <v>103.98402428135618</v>
      </c>
      <c r="AE447" s="1085">
        <f t="shared" ca="1" si="522"/>
        <v>105.54378464557652</v>
      </c>
    </row>
    <row r="448" spans="1:94">
      <c r="A448" s="664"/>
      <c r="B448" s="664"/>
      <c r="C448" s="694" t="s">
        <v>1769</v>
      </c>
      <c r="D448" s="1146"/>
      <c r="E448" s="1147" t="s">
        <v>1455</v>
      </c>
      <c r="F448" s="1146" t="s">
        <v>1886</v>
      </c>
      <c r="G448" s="1148">
        <f t="shared" ref="G448:V448" si="524">+G311/G105*100</f>
        <v>75.53456741052706</v>
      </c>
      <c r="H448" s="1148">
        <f t="shared" si="524"/>
        <v>82.285991385715008</v>
      </c>
      <c r="I448" s="1148">
        <f t="shared" si="524"/>
        <v>85.380333694282825</v>
      </c>
      <c r="J448" s="1148">
        <f t="shared" si="524"/>
        <v>82.014540244158368</v>
      </c>
      <c r="K448" s="1148">
        <f t="shared" si="524"/>
        <v>76.649701782629862</v>
      </c>
      <c r="L448" s="1148">
        <f t="shared" si="524"/>
        <v>81.005099092417893</v>
      </c>
      <c r="M448" s="1148">
        <f t="shared" si="524"/>
        <v>80.97057046408149</v>
      </c>
      <c r="N448" s="1148">
        <f t="shared" si="524"/>
        <v>78.314469716311237</v>
      </c>
      <c r="O448" s="1148">
        <f t="shared" si="524"/>
        <v>77.302840217425043</v>
      </c>
      <c r="P448" s="1148">
        <f t="shared" si="524"/>
        <v>76.89097617000624</v>
      </c>
      <c r="Q448" s="1148">
        <f t="shared" si="524"/>
        <v>82.632730036945063</v>
      </c>
      <c r="R448" s="1148">
        <f t="shared" si="524"/>
        <v>89.444775526980351</v>
      </c>
      <c r="S448" s="1148">
        <f>+S311/S105*100</f>
        <v>93.804576681859857</v>
      </c>
      <c r="T448" s="1148">
        <f t="shared" si="524"/>
        <v>101.89094019543903</v>
      </c>
      <c r="U448" s="1148">
        <f t="shared" si="524"/>
        <v>90.970121284844595</v>
      </c>
      <c r="V448" s="1148">
        <f t="shared" si="524"/>
        <v>100</v>
      </c>
      <c r="W448" s="1148">
        <f>+W311/W105*100</f>
        <v>111.93184781369607</v>
      </c>
      <c r="X448" s="1148">
        <f t="shared" si="519"/>
        <v>116.55775391025647</v>
      </c>
      <c r="Y448" s="1148">
        <f t="shared" si="519"/>
        <v>114.82472450588746</v>
      </c>
      <c r="Z448" s="1148">
        <f t="shared" si="520"/>
        <v>111.17552872670866</v>
      </c>
      <c r="AA448" s="1148">
        <f t="shared" si="520"/>
        <v>103.46784354041645</v>
      </c>
      <c r="AB448" s="1148">
        <f t="shared" si="521"/>
        <v>98.985380976374429</v>
      </c>
      <c r="AC448" s="1148">
        <f t="shared" si="521"/>
        <v>102.94378003564421</v>
      </c>
      <c r="AD448" s="1148">
        <f t="shared" ca="1" si="522"/>
        <v>105.6007483981507</v>
      </c>
      <c r="AE448" s="1148">
        <f t="shared" ca="1" si="522"/>
        <v>107.2704295448401</v>
      </c>
    </row>
    <row r="449" spans="1:94">
      <c r="V449"/>
      <c r="W449"/>
      <c r="X449"/>
      <c r="Y449"/>
      <c r="Z449"/>
      <c r="AA449"/>
    </row>
    <row r="450" spans="1:94">
      <c r="A450" s="1130"/>
      <c r="D450" s="1117"/>
      <c r="E450" s="930" t="s">
        <v>748</v>
      </c>
      <c r="F450" s="1118"/>
      <c r="G450" s="896">
        <f>+InputY!$G$3</f>
        <v>1995</v>
      </c>
      <c r="H450" s="896">
        <f>+G450+1</f>
        <v>1996</v>
      </c>
      <c r="I450" s="896">
        <f t="shared" ref="I450:O450" si="525">+H450+1</f>
        <v>1997</v>
      </c>
      <c r="J450" s="896">
        <f t="shared" si="525"/>
        <v>1998</v>
      </c>
      <c r="K450" s="896">
        <f t="shared" si="525"/>
        <v>1999</v>
      </c>
      <c r="L450" s="896">
        <f t="shared" si="525"/>
        <v>2000</v>
      </c>
      <c r="M450" s="896">
        <f t="shared" si="525"/>
        <v>2001</v>
      </c>
      <c r="N450" s="896">
        <f t="shared" si="525"/>
        <v>2002</v>
      </c>
      <c r="O450" s="896">
        <f t="shared" si="525"/>
        <v>2003</v>
      </c>
      <c r="P450" s="896">
        <f t="shared" ref="P450:V450" si="526">+O450+1</f>
        <v>2004</v>
      </c>
      <c r="Q450" s="896">
        <f t="shared" si="526"/>
        <v>2005</v>
      </c>
      <c r="R450" s="896">
        <f t="shared" si="526"/>
        <v>2006</v>
      </c>
      <c r="S450" s="896">
        <f>+R450+1</f>
        <v>2007</v>
      </c>
      <c r="T450" s="896">
        <f t="shared" si="526"/>
        <v>2008</v>
      </c>
      <c r="U450" s="896">
        <f t="shared" si="526"/>
        <v>2009</v>
      </c>
      <c r="V450" s="896">
        <f t="shared" si="526"/>
        <v>2010</v>
      </c>
      <c r="W450" s="896">
        <f t="shared" ref="W450:AE450" si="527">+V450+1</f>
        <v>2011</v>
      </c>
      <c r="X450" s="896">
        <f t="shared" si="527"/>
        <v>2012</v>
      </c>
      <c r="Y450" s="896">
        <f t="shared" si="527"/>
        <v>2013</v>
      </c>
      <c r="Z450" s="896">
        <f t="shared" si="527"/>
        <v>2014</v>
      </c>
      <c r="AA450" s="896">
        <f t="shared" si="527"/>
        <v>2015</v>
      </c>
      <c r="AB450" s="896">
        <f t="shared" si="527"/>
        <v>2016</v>
      </c>
      <c r="AC450" s="896">
        <f t="shared" si="527"/>
        <v>2017</v>
      </c>
      <c r="AD450" s="896">
        <f t="shared" si="527"/>
        <v>2018</v>
      </c>
      <c r="AE450" s="896">
        <f t="shared" si="527"/>
        <v>2019</v>
      </c>
    </row>
    <row r="451" spans="1:94">
      <c r="A451" s="664"/>
      <c r="B451" s="664"/>
      <c r="C451" s="1119" t="s">
        <v>1769</v>
      </c>
      <c r="D451" s="1120"/>
      <c r="E451" s="1106" t="s">
        <v>1453</v>
      </c>
      <c r="F451" s="1120" t="s">
        <v>1542</v>
      </c>
      <c r="G451" s="1095"/>
      <c r="H451" s="1095">
        <f>+(H446/G446-1)*100</f>
        <v>0.87171786931317108</v>
      </c>
      <c r="I451" s="1095">
        <f t="shared" ref="I451:S451" si="528">+(I446/H446-1)*100</f>
        <v>4.8660129968481236</v>
      </c>
      <c r="J451" s="1095">
        <f t="shared" si="528"/>
        <v>-4.4626174768558009</v>
      </c>
      <c r="K451" s="1095">
        <f t="shared" si="528"/>
        <v>-6.035449538499293</v>
      </c>
      <c r="L451" s="1095">
        <f t="shared" si="528"/>
        <v>3.6908940015255354</v>
      </c>
      <c r="M451" s="1095">
        <f t="shared" si="528"/>
        <v>7.3796457678314997</v>
      </c>
      <c r="N451" s="1095">
        <f t="shared" si="528"/>
        <v>2.0574613152401833</v>
      </c>
      <c r="O451" s="1095">
        <f t="shared" si="528"/>
        <v>-2.9725035811279721</v>
      </c>
      <c r="P451" s="1095">
        <f t="shared" si="528"/>
        <v>-2.4397235332887846</v>
      </c>
      <c r="Q451" s="1095">
        <f t="shared" si="528"/>
        <v>0.84264737845525239</v>
      </c>
      <c r="R451" s="1095">
        <f t="shared" si="528"/>
        <v>4.8459869532607058</v>
      </c>
      <c r="S451" s="1095">
        <f t="shared" si="528"/>
        <v>4.0972702362993996</v>
      </c>
      <c r="T451" s="1095">
        <f t="shared" ref="T451:AE453" si="529">+(T446/S446-1)*100</f>
        <v>5.3890362752751164</v>
      </c>
      <c r="U451" s="1095">
        <f t="shared" si="529"/>
        <v>-6.2732408149701602</v>
      </c>
      <c r="V451" s="1095">
        <f t="shared" si="529"/>
        <v>3.6841441214109594</v>
      </c>
      <c r="W451" s="1095">
        <f t="shared" si="529"/>
        <v>2.6500094643195249</v>
      </c>
      <c r="X451" s="1095">
        <f t="shared" si="529"/>
        <v>1.574991662602887</v>
      </c>
      <c r="Y451" s="1095">
        <f t="shared" si="529"/>
        <v>-0.33977147555490639</v>
      </c>
      <c r="Z451" s="1095">
        <f t="shared" si="529"/>
        <v>-0.55427768582771986</v>
      </c>
      <c r="AA451" s="1095">
        <f t="shared" si="529"/>
        <v>1.499858343969751</v>
      </c>
      <c r="AB451" s="1095">
        <f t="shared" si="529"/>
        <v>1.1289844354461565</v>
      </c>
      <c r="AC451" s="1095">
        <f t="shared" si="529"/>
        <v>3.3203189299944036</v>
      </c>
      <c r="AD451" s="1095">
        <f t="shared" ca="1" si="529"/>
        <v>2.9999999999999805</v>
      </c>
      <c r="AE451" s="1095">
        <f t="shared" ca="1" si="529"/>
        <v>2.0000000000000018</v>
      </c>
    </row>
    <row r="452" spans="1:94">
      <c r="A452" s="1130"/>
      <c r="B452" s="1130"/>
      <c r="C452" s="979" t="s">
        <v>1767</v>
      </c>
      <c r="D452" s="1121"/>
      <c r="E452" s="1122" t="s">
        <v>1454</v>
      </c>
      <c r="F452" s="1121" t="s">
        <v>1436</v>
      </c>
      <c r="G452" s="1124"/>
      <c r="H452" s="1124">
        <f>+(H447/G447-1)*100</f>
        <v>10.297610780359978</v>
      </c>
      <c r="I452" s="1124">
        <f t="shared" ref="I452:S452" si="530">+(I447/H447-1)*100</f>
        <v>3.5115422104959659</v>
      </c>
      <c r="J452" s="1124">
        <f t="shared" si="530"/>
        <v>-3.7046614500859776</v>
      </c>
      <c r="K452" s="1124">
        <f t="shared" si="530"/>
        <v>-6.9134886687545531</v>
      </c>
      <c r="L452" s="1124">
        <f t="shared" si="530"/>
        <v>6.7937935179035014</v>
      </c>
      <c r="M452" s="1124">
        <f t="shared" si="530"/>
        <v>-0.6234531963626333</v>
      </c>
      <c r="N452" s="1124">
        <f t="shared" si="530"/>
        <v>-4.0260361970580689</v>
      </c>
      <c r="O452" s="1124">
        <f t="shared" si="530"/>
        <v>-1.1106069375561467</v>
      </c>
      <c r="P452" s="1124">
        <f t="shared" si="530"/>
        <v>-0.27650787447904834</v>
      </c>
      <c r="Q452" s="1124">
        <f t="shared" si="530"/>
        <v>8.5353745027154648</v>
      </c>
      <c r="R452" s="1124">
        <f t="shared" si="530"/>
        <v>8.762859694696413</v>
      </c>
      <c r="S452" s="1124">
        <f t="shared" si="530"/>
        <v>4.9967974374705015</v>
      </c>
      <c r="T452" s="1124">
        <f t="shared" si="529"/>
        <v>9.1090933173092026</v>
      </c>
      <c r="U452" s="1124">
        <f t="shared" si="529"/>
        <v>-11.48022680281564</v>
      </c>
      <c r="V452" s="1124">
        <f t="shared" si="529"/>
        <v>10.854492127578631</v>
      </c>
      <c r="W452" s="1124">
        <f t="shared" si="529"/>
        <v>13.249944921905055</v>
      </c>
      <c r="X452" s="1124">
        <f t="shared" si="529"/>
        <v>4.5134490455121634</v>
      </c>
      <c r="Y452" s="1124">
        <f t="shared" si="529"/>
        <v>-1.6700354308760712</v>
      </c>
      <c r="Z452" s="1124">
        <f t="shared" si="529"/>
        <v>-3.6119050898916538</v>
      </c>
      <c r="AA452" s="1124">
        <f t="shared" si="529"/>
        <v>-8.2711510508267416</v>
      </c>
      <c r="AB452" s="1124">
        <f t="shared" si="529"/>
        <v>-5.3247162742441461</v>
      </c>
      <c r="AC452" s="1124">
        <f t="shared" si="529"/>
        <v>4.1311674936495457</v>
      </c>
      <c r="AD452" s="1124">
        <f t="shared" ca="1" si="529"/>
        <v>2.5000000000000133</v>
      </c>
      <c r="AE452" s="1124">
        <f t="shared" ca="1" si="529"/>
        <v>1.4999999999999902</v>
      </c>
    </row>
    <row r="453" spans="1:94">
      <c r="A453" s="664"/>
      <c r="B453" s="664"/>
      <c r="C453" s="694" t="s">
        <v>1769</v>
      </c>
      <c r="D453" s="1097"/>
      <c r="E453" s="1098" t="s">
        <v>1455</v>
      </c>
      <c r="F453" s="1097" t="s">
        <v>1886</v>
      </c>
      <c r="G453" s="1099"/>
      <c r="H453" s="1099">
        <f>+(H448/G448-1)*100</f>
        <v>8.9381910913638443</v>
      </c>
      <c r="I453" s="1099">
        <f t="shared" ref="I453:S453" si="531">+(I448/H448-1)*100</f>
        <v>3.7604727809173566</v>
      </c>
      <c r="J453" s="1099">
        <f t="shared" si="531"/>
        <v>-3.9421179380443649</v>
      </c>
      <c r="K453" s="1099">
        <f t="shared" si="531"/>
        <v>-6.5413260204316366</v>
      </c>
      <c r="L453" s="1099">
        <f t="shared" si="531"/>
        <v>5.6822103785080014</v>
      </c>
      <c r="M453" s="1099">
        <f t="shared" si="531"/>
        <v>-4.2625252883166098E-2</v>
      </c>
      <c r="N453" s="1099">
        <f t="shared" si="531"/>
        <v>-3.2803285595579434</v>
      </c>
      <c r="O453" s="1099">
        <f t="shared" si="531"/>
        <v>-1.2917529832619068</v>
      </c>
      <c r="P453" s="1099">
        <f t="shared" si="531"/>
        <v>-0.53279290419391279</v>
      </c>
      <c r="Q453" s="1099">
        <f t="shared" si="531"/>
        <v>7.467396244578528</v>
      </c>
      <c r="R453" s="1099">
        <f t="shared" si="531"/>
        <v>8.243761868922439</v>
      </c>
      <c r="S453" s="1099">
        <f t="shared" si="531"/>
        <v>4.8742938077634301</v>
      </c>
      <c r="T453" s="1099">
        <f t="shared" si="529"/>
        <v>8.6204360166820528</v>
      </c>
      <c r="U453" s="1099">
        <f t="shared" si="529"/>
        <v>-10.718145194898575</v>
      </c>
      <c r="V453" s="1099">
        <f t="shared" si="529"/>
        <v>9.9262027879254422</v>
      </c>
      <c r="W453" s="1099">
        <f t="shared" si="529"/>
        <v>11.931847813696074</v>
      </c>
      <c r="X453" s="1099">
        <f t="shared" si="529"/>
        <v>4.1327881089392449</v>
      </c>
      <c r="Y453" s="1099">
        <f t="shared" si="529"/>
        <v>-1.4868417983614823</v>
      </c>
      <c r="Z453" s="1099">
        <f t="shared" si="529"/>
        <v>-3.1780575088527163</v>
      </c>
      <c r="AA453" s="1099">
        <f t="shared" si="529"/>
        <v>-6.9328972612662021</v>
      </c>
      <c r="AB453" s="1099">
        <f t="shared" si="529"/>
        <v>-4.3322276860743631</v>
      </c>
      <c r="AC453" s="1099">
        <f t="shared" si="529"/>
        <v>3.9989734041782965</v>
      </c>
      <c r="AD453" s="1099">
        <f t="shared" ca="1" si="529"/>
        <v>2.5809897029101858</v>
      </c>
      <c r="AE453" s="1099">
        <f t="shared" ca="1" si="529"/>
        <v>1.5811262439108242</v>
      </c>
    </row>
    <row r="454" spans="1:94">
      <c r="V454"/>
      <c r="W454"/>
      <c r="X454"/>
      <c r="Y454"/>
      <c r="Z454"/>
      <c r="AA454"/>
    </row>
    <row r="455" spans="1:94">
      <c r="A455" s="1130"/>
      <c r="D455" s="1152"/>
      <c r="E455" s="1153" t="s">
        <v>749</v>
      </c>
      <c r="F455" s="1155"/>
      <c r="G455" s="1154">
        <f>+InputY!$G$3</f>
        <v>1995</v>
      </c>
      <c r="H455" s="1154">
        <f>+G455+1</f>
        <v>1996</v>
      </c>
      <c r="I455" s="1154">
        <f t="shared" ref="I455:O455" si="532">+H455+1</f>
        <v>1997</v>
      </c>
      <c r="J455" s="1154">
        <f t="shared" si="532"/>
        <v>1998</v>
      </c>
      <c r="K455" s="1154">
        <f t="shared" si="532"/>
        <v>1999</v>
      </c>
      <c r="L455" s="1154">
        <f t="shared" si="532"/>
        <v>2000</v>
      </c>
      <c r="M455" s="1154">
        <f t="shared" si="532"/>
        <v>2001</v>
      </c>
      <c r="N455" s="1154">
        <f t="shared" si="532"/>
        <v>2002</v>
      </c>
      <c r="O455" s="1154">
        <f t="shared" si="532"/>
        <v>2003</v>
      </c>
      <c r="P455" s="1154">
        <f t="shared" ref="P455:V455" si="533">+O455+1</f>
        <v>2004</v>
      </c>
      <c r="Q455" s="1154">
        <f t="shared" si="533"/>
        <v>2005</v>
      </c>
      <c r="R455" s="1154">
        <f t="shared" si="533"/>
        <v>2006</v>
      </c>
      <c r="S455" s="1154">
        <f>+R455+1</f>
        <v>2007</v>
      </c>
      <c r="T455" s="1154">
        <f t="shared" si="533"/>
        <v>2008</v>
      </c>
      <c r="U455" s="1154">
        <f t="shared" si="533"/>
        <v>2009</v>
      </c>
      <c r="V455" s="1154">
        <f t="shared" si="533"/>
        <v>2010</v>
      </c>
      <c r="W455" s="1154">
        <f t="shared" ref="W455:AE455" si="534">+V455+1</f>
        <v>2011</v>
      </c>
      <c r="X455" s="1154">
        <f t="shared" si="534"/>
        <v>2012</v>
      </c>
      <c r="Y455" s="1154">
        <f t="shared" si="534"/>
        <v>2013</v>
      </c>
      <c r="Z455" s="1154">
        <f t="shared" si="534"/>
        <v>2014</v>
      </c>
      <c r="AA455" s="1154">
        <f t="shared" si="534"/>
        <v>2015</v>
      </c>
      <c r="AB455" s="1154">
        <f t="shared" si="534"/>
        <v>2016</v>
      </c>
      <c r="AC455" s="1154">
        <f t="shared" si="534"/>
        <v>2017</v>
      </c>
      <c r="AD455" s="1154">
        <f t="shared" si="534"/>
        <v>2018</v>
      </c>
      <c r="AE455" s="1154">
        <f t="shared" si="534"/>
        <v>2019</v>
      </c>
    </row>
    <row r="456" spans="1:94">
      <c r="A456" s="1130"/>
      <c r="C456" s="1082"/>
      <c r="D456" s="1086"/>
      <c r="E456" s="1087" t="s">
        <v>281</v>
      </c>
      <c r="F456" s="1086" t="s">
        <v>1907</v>
      </c>
      <c r="G456" s="1088">
        <f t="shared" ref="G456:V456" si="535">+G341/G125*100</f>
        <v>53.687771514066583</v>
      </c>
      <c r="H456" s="1088">
        <f t="shared" si="535"/>
        <v>63.824520703136869</v>
      </c>
      <c r="I456" s="1088">
        <f t="shared" si="535"/>
        <v>71.233425398133051</v>
      </c>
      <c r="J456" s="1088">
        <f t="shared" si="535"/>
        <v>73.513205622454819</v>
      </c>
      <c r="K456" s="1088">
        <f t="shared" si="535"/>
        <v>72.504464011067554</v>
      </c>
      <c r="L456" s="1088">
        <f t="shared" si="535"/>
        <v>73.581902196665197</v>
      </c>
      <c r="M456" s="1088">
        <f t="shared" si="535"/>
        <v>73.224534929051671</v>
      </c>
      <c r="N456" s="1088">
        <f t="shared" si="535"/>
        <v>73.403328978518672</v>
      </c>
      <c r="O456" s="1088">
        <f t="shared" si="535"/>
        <v>72.983654981335093</v>
      </c>
      <c r="P456" s="1088">
        <f t="shared" si="535"/>
        <v>74.319155100728494</v>
      </c>
      <c r="Q456" s="1088">
        <f t="shared" si="535"/>
        <v>79.445990525801733</v>
      </c>
      <c r="R456" s="1088">
        <f t="shared" si="535"/>
        <v>84.803821091653944</v>
      </c>
      <c r="S456" s="1088">
        <f>+S341/S125*100</f>
        <v>92.069782490082275</v>
      </c>
      <c r="T456" s="1088">
        <f t="shared" si="535"/>
        <v>101.00497482929146</v>
      </c>
      <c r="U456" s="1088">
        <f t="shared" si="535"/>
        <v>97.676739507975725</v>
      </c>
      <c r="V456" s="1088">
        <f t="shared" si="535"/>
        <v>100</v>
      </c>
      <c r="W456" s="1088">
        <f t="shared" ref="W456:AB456" si="536">+W341/W125*100</f>
        <v>105.22825128417527</v>
      </c>
      <c r="X456" s="1088">
        <f t="shared" si="536"/>
        <v>108.0678690669737</v>
      </c>
      <c r="Y456" s="1088">
        <f t="shared" si="536"/>
        <v>109.45944465057009</v>
      </c>
      <c r="Z456" s="1088">
        <f t="shared" si="536"/>
        <v>110.58409413244709</v>
      </c>
      <c r="AA456" s="1088">
        <f t="shared" si="536"/>
        <v>110.92281141740068</v>
      </c>
      <c r="AB456" s="1088">
        <f t="shared" si="536"/>
        <v>111.97718543092385</v>
      </c>
      <c r="AC456" s="1088">
        <f ca="1">+AC341/AC125*100</f>
        <v>116.5252570313219</v>
      </c>
      <c r="AD456" s="1088">
        <f ca="1">+AD341/AD125*100</f>
        <v>119.57662475579581</v>
      </c>
      <c r="AE456" s="1088">
        <f ca="1">+AE341/AE125*100</f>
        <v>122.99246621673564</v>
      </c>
    </row>
    <row r="457" spans="1:94">
      <c r="V457"/>
      <c r="W457"/>
      <c r="X457"/>
      <c r="Y457"/>
      <c r="Z457"/>
      <c r="AA457"/>
    </row>
    <row r="458" spans="1:94" s="699" customFormat="1" ht="12.75" customHeight="1">
      <c r="A458" s="664"/>
      <c r="B458" s="664"/>
      <c r="C458" s="774"/>
      <c r="D458" s="1092"/>
      <c r="E458" s="1093" t="s">
        <v>749</v>
      </c>
      <c r="F458" s="1094"/>
      <c r="G458" s="896">
        <f>+InputY!$G$3</f>
        <v>1995</v>
      </c>
      <c r="H458" s="896">
        <f>+G458+1</f>
        <v>1996</v>
      </c>
      <c r="I458" s="896">
        <f t="shared" ref="I458:O458" si="537">+H458+1</f>
        <v>1997</v>
      </c>
      <c r="J458" s="896">
        <f t="shared" si="537"/>
        <v>1998</v>
      </c>
      <c r="K458" s="896">
        <f t="shared" si="537"/>
        <v>1999</v>
      </c>
      <c r="L458" s="896">
        <f t="shared" si="537"/>
        <v>2000</v>
      </c>
      <c r="M458" s="896">
        <f t="shared" si="537"/>
        <v>2001</v>
      </c>
      <c r="N458" s="896">
        <f t="shared" si="537"/>
        <v>2002</v>
      </c>
      <c r="O458" s="896">
        <f t="shared" si="537"/>
        <v>2003</v>
      </c>
      <c r="P458" s="896">
        <f t="shared" ref="P458:V458" si="538">+O458+1</f>
        <v>2004</v>
      </c>
      <c r="Q458" s="896">
        <f t="shared" si="538"/>
        <v>2005</v>
      </c>
      <c r="R458" s="896">
        <f t="shared" si="538"/>
        <v>2006</v>
      </c>
      <c r="S458" s="896">
        <f>+R458+1</f>
        <v>2007</v>
      </c>
      <c r="T458" s="896">
        <f t="shared" si="538"/>
        <v>2008</v>
      </c>
      <c r="U458" s="896">
        <f t="shared" si="538"/>
        <v>2009</v>
      </c>
      <c r="V458" s="896">
        <f t="shared" si="538"/>
        <v>2010</v>
      </c>
      <c r="W458" s="896">
        <f t="shared" ref="W458:AE458" si="539">+V458+1</f>
        <v>2011</v>
      </c>
      <c r="X458" s="896">
        <f t="shared" si="539"/>
        <v>2012</v>
      </c>
      <c r="Y458" s="896">
        <f t="shared" si="539"/>
        <v>2013</v>
      </c>
      <c r="Z458" s="896">
        <f t="shared" si="539"/>
        <v>2014</v>
      </c>
      <c r="AA458" s="896">
        <f t="shared" si="539"/>
        <v>2015</v>
      </c>
      <c r="AB458" s="896">
        <f t="shared" si="539"/>
        <v>2016</v>
      </c>
      <c r="AC458" s="896">
        <f t="shared" si="539"/>
        <v>2017</v>
      </c>
      <c r="AD458" s="896">
        <f t="shared" si="539"/>
        <v>2018</v>
      </c>
      <c r="AE458" s="896">
        <f t="shared" si="539"/>
        <v>2019</v>
      </c>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row>
    <row r="459" spans="1:94" s="699" customFormat="1" ht="12.75" customHeight="1">
      <c r="A459" s="664"/>
      <c r="B459" s="664"/>
      <c r="C459" s="798"/>
      <c r="D459" s="833"/>
      <c r="E459" s="834" t="s">
        <v>281</v>
      </c>
      <c r="F459" s="835" t="s">
        <v>1907</v>
      </c>
      <c r="G459" s="1115"/>
      <c r="H459" s="1115">
        <f>+(H456/G456-1)*100</f>
        <v>18.880927449958286</v>
      </c>
      <c r="I459" s="1115">
        <f t="shared" ref="I459:S459" si="540">+(I456/H456-1)*100</f>
        <v>11.608241806400343</v>
      </c>
      <c r="J459" s="1115">
        <f t="shared" si="540"/>
        <v>3.2004360475152982</v>
      </c>
      <c r="K459" s="1115">
        <f t="shared" si="540"/>
        <v>-1.3721910272392446</v>
      </c>
      <c r="L459" s="1115">
        <f t="shared" si="540"/>
        <v>1.4860301366177664</v>
      </c>
      <c r="M459" s="1115">
        <f t="shared" si="540"/>
        <v>-0.48567277679011367</v>
      </c>
      <c r="N459" s="1115">
        <f t="shared" si="540"/>
        <v>0.24417232508233688</v>
      </c>
      <c r="O459" s="1115">
        <f t="shared" si="540"/>
        <v>-0.57173700842150232</v>
      </c>
      <c r="P459" s="1115">
        <f t="shared" si="540"/>
        <v>1.8298619324216503</v>
      </c>
      <c r="Q459" s="1115">
        <f t="shared" si="540"/>
        <v>6.8984038073691467</v>
      </c>
      <c r="R459" s="1115">
        <f t="shared" si="540"/>
        <v>6.7439911446659506</v>
      </c>
      <c r="S459" s="1115">
        <f t="shared" si="540"/>
        <v>8.5679646328382439</v>
      </c>
      <c r="T459" s="1115">
        <f t="shared" ref="T459:AE459" si="541">+(T456/S456-1)*100</f>
        <v>9.7048044402317188</v>
      </c>
      <c r="U459" s="1115">
        <f t="shared" si="541"/>
        <v>-3.2951201927833629</v>
      </c>
      <c r="V459" s="1115">
        <f t="shared" si="541"/>
        <v>2.3785197005214975</v>
      </c>
      <c r="W459" s="1115">
        <f t="shared" si="541"/>
        <v>5.2282512841752782</v>
      </c>
      <c r="X459" s="1115">
        <f t="shared" si="541"/>
        <v>2.6985317613326787</v>
      </c>
      <c r="Y459" s="1115">
        <f t="shared" si="541"/>
        <v>1.2876867061512698</v>
      </c>
      <c r="Z459" s="1115">
        <f t="shared" si="541"/>
        <v>1.0274576903502863</v>
      </c>
      <c r="AA459" s="1115">
        <f t="shared" si="541"/>
        <v>0.30629837646263258</v>
      </c>
      <c r="AB459" s="1115">
        <f t="shared" si="541"/>
        <v>0.95054750240288755</v>
      </c>
      <c r="AC459" s="1115">
        <f t="shared" ca="1" si="541"/>
        <v>4.0616055698271314</v>
      </c>
      <c r="AD459" s="1115">
        <f t="shared" ca="1" si="541"/>
        <v>2.6186320478604141</v>
      </c>
      <c r="AE459" s="1115">
        <f t="shared" ca="1" si="541"/>
        <v>2.8566130444941162</v>
      </c>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row>
    <row r="460" spans="1:94">
      <c r="A460" s="1131"/>
      <c r="B460" s="1131"/>
      <c r="AB460" s="557"/>
      <c r="AC460" s="557"/>
      <c r="AD460" s="557"/>
      <c r="AE460" s="557"/>
    </row>
    <row r="461" spans="1:94">
      <c r="A461" s="664"/>
      <c r="B461" s="664"/>
      <c r="E461" s="3218" t="s">
        <v>2356</v>
      </c>
      <c r="G461" s="217"/>
      <c r="H461" s="217"/>
      <c r="I461" s="217"/>
      <c r="J461" s="217"/>
      <c r="K461" s="217"/>
      <c r="L461" s="217"/>
      <c r="M461" s="217"/>
      <c r="N461" s="217"/>
      <c r="O461" s="217"/>
      <c r="P461" s="217"/>
      <c r="Q461" s="217"/>
      <c r="R461" s="217"/>
      <c r="S461" s="217"/>
      <c r="T461" s="217"/>
      <c r="U461" s="217"/>
      <c r="V461">
        <f>V331+Sector1!V772+Sector1!V782</f>
        <v>-0.16520999999999886</v>
      </c>
      <c r="W461">
        <f>W331+Sector1!W772+Sector1!W782</f>
        <v>-1.2646600000000003</v>
      </c>
      <c r="X461" s="3194">
        <f>X331+Sector1!X772+Sector1!X782</f>
        <v>-0.35613999999999912</v>
      </c>
      <c r="Y461" s="3194">
        <f>Y331+Sector1!Y772+Sector1!Y782</f>
        <v>0.45424999999999882</v>
      </c>
      <c r="Z461" s="3194">
        <f>Z331+Sector1!Z772+Sector1!Z782</f>
        <v>1.4215200000000019</v>
      </c>
      <c r="AA461" s="3194">
        <f>AA331+Sector1!AA772+Sector1!AA782</f>
        <v>-0.78749000000000124</v>
      </c>
      <c r="AB461" s="3194">
        <f>AB331+Sector1!AB772+Sector1!AB782</f>
        <v>-0.25501999999999991</v>
      </c>
      <c r="AC461" s="3194">
        <f>AC331+Sector1!AC772+Sector1!AC782</f>
        <v>0.14305840799999514</v>
      </c>
      <c r="AD461" s="3194">
        <f ca="1">AD331+Sector1!AD772+Sector1!AD782</f>
        <v>-0.19902025200000661</v>
      </c>
      <c r="AE461" s="3194">
        <f ca="1">AE331+Sector1!AE772+Sector1!AE782</f>
        <v>-0.2625227012653919</v>
      </c>
    </row>
    <row r="462" spans="1:94">
      <c r="A462"/>
      <c r="B462"/>
      <c r="C462"/>
      <c r="D462"/>
      <c r="E462" s="3218" t="s">
        <v>2440</v>
      </c>
      <c r="F462"/>
      <c r="Q462"/>
      <c r="R462"/>
      <c r="S462"/>
      <c r="T462"/>
      <c r="U462"/>
      <c r="V462" s="3194">
        <f t="shared" ref="V462:AC462" si="542">V331</f>
        <v>-0.52620999999999896</v>
      </c>
      <c r="W462" s="3194">
        <f t="shared" si="542"/>
        <v>-0.79766000000000048</v>
      </c>
      <c r="X462" s="3194">
        <f t="shared" si="542"/>
        <v>0.28686000000000078</v>
      </c>
      <c r="Y462" s="3194">
        <f t="shared" si="542"/>
        <v>0.43724999999999881</v>
      </c>
      <c r="Z462" s="3194">
        <f t="shared" si="542"/>
        <v>0.75952000000000197</v>
      </c>
      <c r="AA462" s="3194">
        <f t="shared" si="542"/>
        <v>-0.17949000000000126</v>
      </c>
      <c r="AB462" s="3194">
        <f t="shared" si="542"/>
        <v>0.49990000000000023</v>
      </c>
      <c r="AC462" s="3194">
        <f t="shared" si="542"/>
        <v>0.84312999999999505</v>
      </c>
      <c r="AD462" s="3194">
        <f ca="1">AD331</f>
        <v>0.49441230431999372</v>
      </c>
      <c r="AE462" s="3194">
        <f ca="1">AE331</f>
        <v>0.42702802466180856</v>
      </c>
    </row>
    <row r="463" spans="1:94">
      <c r="A463"/>
      <c r="B463"/>
      <c r="C463"/>
      <c r="D463"/>
      <c r="E463" s="3218" t="s">
        <v>2449</v>
      </c>
      <c r="F463"/>
      <c r="Q463"/>
      <c r="R463"/>
      <c r="S463"/>
      <c r="T463"/>
      <c r="U463"/>
      <c r="V463" s="3194">
        <f t="shared" ref="V463:AC463" si="543">V330</f>
        <v>-1.6483300000000032</v>
      </c>
      <c r="W463" s="3194">
        <f t="shared" si="543"/>
        <v>-2.0650299999999966</v>
      </c>
      <c r="X463" s="3194">
        <f t="shared" si="543"/>
        <v>-1.1024399999999979</v>
      </c>
      <c r="Y463" s="3194">
        <f t="shared" si="543"/>
        <v>-0.9199300000000008</v>
      </c>
      <c r="Z463" s="3194">
        <f t="shared" si="543"/>
        <v>-0.93678000000000239</v>
      </c>
      <c r="AA463" s="3194">
        <f t="shared" si="543"/>
        <v>-1.9868899999999989</v>
      </c>
      <c r="AB463" s="3194">
        <f t="shared" si="543"/>
        <v>-1.7684399999999982</v>
      </c>
      <c r="AC463" s="3194">
        <f t="shared" si="543"/>
        <v>-2.0609499999999983</v>
      </c>
      <c r="AD463" s="3194">
        <f ca="1">AD330</f>
        <v>-2.6471263464299959</v>
      </c>
      <c r="AE463" s="3194">
        <f ca="1">AE330</f>
        <v>-2.906922619718749</v>
      </c>
    </row>
    <row r="464" spans="1:94">
      <c r="A464"/>
      <c r="B464"/>
      <c r="C464"/>
      <c r="D464"/>
      <c r="E464" s="3218" t="s">
        <v>2441</v>
      </c>
      <c r="F464"/>
      <c r="Q464"/>
      <c r="R464"/>
      <c r="S464"/>
      <c r="T464"/>
      <c r="U464"/>
      <c r="V464" s="3194">
        <f>Sector1!V772</f>
        <v>-0.59799999999999998</v>
      </c>
      <c r="W464" s="3194">
        <f>Sector1!W772</f>
        <v>-1.2149999999999999</v>
      </c>
      <c r="X464" s="3194">
        <f>Sector1!X772</f>
        <v>-1.0469999999999999</v>
      </c>
      <c r="Y464" s="3194">
        <f>Sector1!Y772</f>
        <v>-0.95499999999999996</v>
      </c>
      <c r="Z464" s="3194">
        <f>Sector1!Z772</f>
        <v>-0.50700000000000001</v>
      </c>
      <c r="AA464" s="3194">
        <f>Sector1!AA772</f>
        <v>-1.554</v>
      </c>
      <c r="AB464" s="3194">
        <f>Sector1!AB772</f>
        <v>-1.5429999999999999</v>
      </c>
      <c r="AC464" s="3194">
        <f>Sector1!AC772</f>
        <v>-1.5165699999999998</v>
      </c>
      <c r="AD464" s="3194">
        <f>Sector1!AD772</f>
        <v>-1.546837625</v>
      </c>
      <c r="AE464" s="3194">
        <f>Sector1!AE772</f>
        <v>-1.5777439521250001</v>
      </c>
    </row>
    <row r="465" spans="1:31">
      <c r="A465"/>
      <c r="B465"/>
      <c r="C465"/>
      <c r="D465"/>
      <c r="E465" s="3218" t="s">
        <v>838</v>
      </c>
      <c r="F465"/>
      <c r="Q465"/>
      <c r="R465"/>
      <c r="S465"/>
      <c r="T465"/>
      <c r="U465"/>
      <c r="V465" s="3194">
        <f>Sector1!V782</f>
        <v>0.95899999999999996</v>
      </c>
      <c r="W465" s="3194">
        <f>Sector1!W782</f>
        <v>0.748</v>
      </c>
      <c r="X465" s="3194">
        <f>Sector1!X782</f>
        <v>0.40400000000000003</v>
      </c>
      <c r="Y465" s="3194">
        <f>Sector1!Y782</f>
        <v>0.97199999999999998</v>
      </c>
      <c r="Z465" s="3194">
        <f>Sector1!Z782</f>
        <v>1.1689999999999998</v>
      </c>
      <c r="AA465" s="3194">
        <f>Sector1!AA782</f>
        <v>0.94600000000000006</v>
      </c>
      <c r="AB465" s="3194">
        <f>Sector1!AB782</f>
        <v>0.78807999999999978</v>
      </c>
      <c r="AC465" s="3194">
        <f>Sector1!AC782</f>
        <v>0.81649840799999984</v>
      </c>
      <c r="AD465" s="3194">
        <f>Sector1!AD782</f>
        <v>0.85340506867999966</v>
      </c>
      <c r="AE465" s="3194">
        <f>Sector1!AE782</f>
        <v>0.88819322619779961</v>
      </c>
    </row>
    <row r="466" spans="1:31">
      <c r="A466"/>
      <c r="B466"/>
      <c r="C466"/>
      <c r="D466"/>
      <c r="E466" s="3218" t="s">
        <v>2447</v>
      </c>
      <c r="F466"/>
      <c r="Q466"/>
      <c r="R466"/>
      <c r="S466"/>
      <c r="T466"/>
      <c r="U466"/>
      <c r="V466" s="3194">
        <f>Sector1!V789</f>
        <v>1.0577899999999998</v>
      </c>
      <c r="W466" s="3194">
        <f>Sector1!W789</f>
        <v>1.0038099999999999</v>
      </c>
      <c r="X466" s="3194">
        <f>Sector1!X789</f>
        <v>0.96409999999999996</v>
      </c>
      <c r="Y466" s="3194">
        <f>Sector1!Y789</f>
        <v>1.0888499999999999</v>
      </c>
      <c r="Z466" s="3194">
        <f>Sector1!Z789</f>
        <v>0.97572999999999999</v>
      </c>
      <c r="AA466" s="3194">
        <f>Sector1!AA789</f>
        <v>1.1172599999999999</v>
      </c>
      <c r="AB466" s="3194">
        <f>Sector1!AB789</f>
        <v>0.56872</v>
      </c>
      <c r="AC466" s="3194">
        <f>Sector1!AC789</f>
        <v>0.42262839999999996</v>
      </c>
      <c r="AD466" s="3194">
        <f>Sector1!AD789</f>
        <v>0.51935231400000004</v>
      </c>
      <c r="AE466" s="3194">
        <f>Sector1!AE789</f>
        <v>0.50018883386000002</v>
      </c>
    </row>
    <row r="467" spans="1:31">
      <c r="A467"/>
      <c r="B467"/>
      <c r="C467"/>
      <c r="D467"/>
      <c r="F467"/>
      <c r="Q467"/>
      <c r="R467"/>
      <c r="S467"/>
      <c r="T467"/>
      <c r="U467"/>
      <c r="V467"/>
      <c r="W467"/>
      <c r="X467"/>
      <c r="Y467"/>
      <c r="Z467"/>
      <c r="AA467"/>
    </row>
    <row r="468" spans="1:31">
      <c r="A468"/>
      <c r="B468"/>
      <c r="C468"/>
      <c r="D468"/>
      <c r="E468" s="3218" t="s">
        <v>2442</v>
      </c>
      <c r="F468"/>
      <c r="Q468"/>
      <c r="R468"/>
      <c r="S468"/>
      <c r="T468"/>
      <c r="U468"/>
      <c r="V468" s="3194">
        <f t="shared" ref="V468:AC470" si="544">V461/V$341*100</f>
        <v>-0.58945341851584776</v>
      </c>
      <c r="W468" s="3194">
        <f t="shared" si="544"/>
        <v>-4.0436356846228918</v>
      </c>
      <c r="X468" s="3194">
        <f t="shared" si="544"/>
        <v>-1.067934730458477</v>
      </c>
      <c r="Y468" s="3194">
        <f t="shared" si="544"/>
        <v>1.2993551136810544</v>
      </c>
      <c r="Z468" s="3194">
        <f t="shared" si="544"/>
        <v>3.8873034225290386</v>
      </c>
      <c r="AA468" s="3194">
        <f t="shared" si="544"/>
        <v>-2.1040911800454305</v>
      </c>
      <c r="AB468" s="3194">
        <f t="shared" si="544"/>
        <v>-0.65950628317961546</v>
      </c>
      <c r="AC468" s="3194">
        <f t="shared" ca="1" si="544"/>
        <v>0.3424121472896926</v>
      </c>
      <c r="AD468" s="3194">
        <f t="shared" ref="AD468:AE472" ca="1" si="545">AD461/AD$341*100</f>
        <v>-0.45015434686686712</v>
      </c>
      <c r="AE468" s="3194">
        <f t="shared" ca="1" si="545"/>
        <v>-0.56243314718085913</v>
      </c>
    </row>
    <row r="469" spans="1:31" ht="12.75" customHeight="1">
      <c r="A469"/>
      <c r="B469"/>
      <c r="C469"/>
      <c r="D469"/>
      <c r="E469" s="3218" t="s">
        <v>2443</v>
      </c>
      <c r="F469"/>
      <c r="Q469"/>
      <c r="R469"/>
      <c r="S469"/>
      <c r="T469"/>
      <c r="U469"/>
      <c r="V469" s="3194">
        <f t="shared" si="544"/>
        <v>-1.8774667596224548</v>
      </c>
      <c r="W469" s="3194">
        <f t="shared" si="544"/>
        <v>-2.5504455270161919</v>
      </c>
      <c r="X469" s="3194">
        <f t="shared" si="544"/>
        <v>0.86018913005930331</v>
      </c>
      <c r="Y469" s="3194">
        <f t="shared" si="544"/>
        <v>1.2507276245614551</v>
      </c>
      <c r="Z469" s="3194">
        <f t="shared" si="544"/>
        <v>2.0769913159711146</v>
      </c>
      <c r="AA469" s="3194">
        <f t="shared" si="544"/>
        <v>-0.47957856722797298</v>
      </c>
      <c r="AB469" s="3194">
        <f t="shared" si="544"/>
        <v>1.2927895496882207</v>
      </c>
      <c r="AC469" s="3194">
        <f t="shared" ca="1" si="544"/>
        <v>2.0180425448629808</v>
      </c>
      <c r="AD469" s="3194">
        <f t="shared" ca="1" si="545"/>
        <v>1.1182874390798283</v>
      </c>
      <c r="AE469" s="3194">
        <f t="shared" ca="1" si="545"/>
        <v>0.91487217938599086</v>
      </c>
    </row>
    <row r="470" spans="1:31" ht="12.75" customHeight="1">
      <c r="A470"/>
      <c r="B470"/>
      <c r="C470"/>
      <c r="D470"/>
      <c r="E470" s="3218" t="s">
        <v>2450</v>
      </c>
      <c r="F470"/>
      <c r="Q470"/>
      <c r="R470"/>
      <c r="S470"/>
      <c r="T470"/>
      <c r="U470"/>
      <c r="V470" s="3194">
        <f t="shared" si="544"/>
        <v>-5.8810831871087457</v>
      </c>
      <c r="W470" s="3194">
        <f t="shared" si="544"/>
        <v>-6.6027461909262524</v>
      </c>
      <c r="X470" s="3194">
        <f t="shared" si="544"/>
        <v>-3.3058178363751445</v>
      </c>
      <c r="Y470" s="3194">
        <f t="shared" si="544"/>
        <v>-2.6314050626937076</v>
      </c>
      <c r="Z470" s="3194">
        <f t="shared" si="544"/>
        <v>-2.5617283613011121</v>
      </c>
      <c r="AA470" s="3194">
        <f t="shared" si="544"/>
        <v>-5.3087629363172315</v>
      </c>
      <c r="AB470" s="3194">
        <f t="shared" si="544"/>
        <v>-4.5733561737360153</v>
      </c>
      <c r="AC470" s="3194">
        <f t="shared" ca="1" si="544"/>
        <v>-4.9329104442202052</v>
      </c>
      <c r="AD470" s="3194">
        <f t="shared" ca="1" si="545"/>
        <v>-5.9874079123929125</v>
      </c>
      <c r="AE470" s="3194">
        <f t="shared" ca="1" si="545"/>
        <v>-6.2278409818997904</v>
      </c>
    </row>
    <row r="471" spans="1:31">
      <c r="A471"/>
      <c r="B471"/>
      <c r="C471"/>
      <c r="D471"/>
      <c r="E471" s="3218" t="s">
        <v>2444</v>
      </c>
      <c r="F471"/>
      <c r="Q471"/>
      <c r="R471"/>
      <c r="S471"/>
      <c r="T471"/>
      <c r="U471"/>
      <c r="V471" s="3194">
        <f t="shared" ref="V471:AA473" si="546">V464/V$341*100</f>
        <v>-2.133606587207066</v>
      </c>
      <c r="W471" s="3194">
        <f t="shared" si="546"/>
        <v>-3.8848523372422719</v>
      </c>
      <c r="X471" s="3194">
        <f t="shared" si="546"/>
        <v>-3.1395733778571016</v>
      </c>
      <c r="Y471" s="3194">
        <f t="shared" ref="Y471:AD473" si="547">Y464/Y$341*100</f>
        <v>-2.7317207123069021</v>
      </c>
      <c r="Z471" s="3194">
        <f t="shared" si="547"/>
        <v>-1.3864474894635459</v>
      </c>
      <c r="AA471" s="3194">
        <f t="shared" si="547"/>
        <v>-4.1521259873656735</v>
      </c>
      <c r="AB471" s="3194">
        <f t="shared" si="547"/>
        <v>-3.9903466196617798</v>
      </c>
      <c r="AC471" s="3194">
        <f t="shared" ca="1" si="547"/>
        <v>-3.6299298830107678</v>
      </c>
      <c r="AD471" s="3194">
        <f t="shared" ca="1" si="545"/>
        <v>-3.4987177123609894</v>
      </c>
      <c r="AE471" s="3194">
        <f t="shared" ca="1" si="545"/>
        <v>-3.3801857597913281</v>
      </c>
    </row>
    <row r="472" spans="1:31">
      <c r="A472"/>
      <c r="B472"/>
      <c r="C472"/>
      <c r="D472"/>
      <c r="E472" s="3218" t="s">
        <v>2445</v>
      </c>
      <c r="F472"/>
      <c r="Q472"/>
      <c r="R472"/>
      <c r="S472"/>
      <c r="T472"/>
      <c r="U472"/>
      <c r="V472" s="3194">
        <f t="shared" si="546"/>
        <v>3.4216199283136723</v>
      </c>
      <c r="W472" s="3194">
        <f t="shared" si="546"/>
        <v>2.3916621796355719</v>
      </c>
      <c r="X472" s="3194">
        <f t="shared" si="546"/>
        <v>1.2114495173393212</v>
      </c>
      <c r="Y472" s="3194">
        <f t="shared" si="547"/>
        <v>2.7803482014265013</v>
      </c>
      <c r="Z472" s="3194">
        <f t="shared" si="547"/>
        <v>3.1967595960214692</v>
      </c>
      <c r="AA472" s="3194">
        <f t="shared" si="547"/>
        <v>2.5276133745482157</v>
      </c>
      <c r="AB472" s="3194">
        <f t="shared" si="547"/>
        <v>2.0380507867939435</v>
      </c>
      <c r="AC472" s="3194">
        <f t="shared" ca="1" si="547"/>
        <v>1.9542994854374791</v>
      </c>
      <c r="AD472" s="3194">
        <f t="shared" ca="1" si="545"/>
        <v>1.9302759264142944</v>
      </c>
      <c r="AE472" s="3194">
        <f t="shared" ca="1" si="545"/>
        <v>1.9028804332244778</v>
      </c>
    </row>
    <row r="473" spans="1:31">
      <c r="A473"/>
      <c r="B473"/>
      <c r="C473"/>
      <c r="D473"/>
      <c r="E473" s="3218" t="s">
        <v>2448</v>
      </c>
      <c r="F473"/>
      <c r="Q473"/>
      <c r="R473"/>
      <c r="S473"/>
      <c r="T473"/>
      <c r="U473"/>
      <c r="V473" s="3194">
        <f t="shared" si="546"/>
        <v>3.7740931636818762</v>
      </c>
      <c r="W473" s="3194">
        <f t="shared" si="546"/>
        <v>3.2095914606149507</v>
      </c>
      <c r="X473" s="3194">
        <f t="shared" si="546"/>
        <v>2.890986335809008</v>
      </c>
      <c r="Y473" s="3194">
        <f t="shared" si="546"/>
        <v>3.1145906781103347</v>
      </c>
      <c r="Z473" s="3194">
        <f t="shared" si="546"/>
        <v>2.6682414376612735</v>
      </c>
      <c r="AA473" s="3194">
        <f t="shared" si="546"/>
        <v>2.9852022397967644</v>
      </c>
      <c r="AB473" s="3194">
        <f t="shared" si="547"/>
        <v>1.4707646983370366</v>
      </c>
      <c r="AC473" s="3194">
        <f t="shared" ca="1" si="547"/>
        <v>1.0115665340663655</v>
      </c>
      <c r="AD473" s="3194">
        <f t="shared" ca="1" si="547"/>
        <v>1.1746980488320269</v>
      </c>
      <c r="AE473" s="3194">
        <f t="shared" ref="AE473" ca="1" si="548">AE466/AE$341*100</f>
        <v>1.0716131544304286</v>
      </c>
    </row>
    <row r="474" spans="1:31">
      <c r="A474"/>
      <c r="B474"/>
      <c r="C474"/>
      <c r="D474"/>
      <c r="F474"/>
      <c r="Q474"/>
      <c r="R474"/>
      <c r="S474"/>
      <c r="T474"/>
      <c r="U474"/>
      <c r="V474"/>
      <c r="W474"/>
      <c r="X474"/>
      <c r="Y474"/>
      <c r="Z474"/>
      <c r="AA474"/>
    </row>
    <row r="475" spans="1:31">
      <c r="A475"/>
      <c r="B475"/>
      <c r="C475"/>
      <c r="D475"/>
      <c r="F475"/>
      <c r="Q475"/>
      <c r="R475"/>
      <c r="S475"/>
      <c r="T475"/>
      <c r="U475"/>
      <c r="V475"/>
      <c r="W475"/>
      <c r="X475"/>
      <c r="Y475"/>
      <c r="Z475"/>
      <c r="AA475"/>
    </row>
    <row r="476" spans="1:31">
      <c r="A476"/>
      <c r="B476"/>
      <c r="C476"/>
      <c r="D476"/>
      <c r="F476"/>
      <c r="Q476"/>
      <c r="R476"/>
      <c r="S476"/>
      <c r="T476"/>
      <c r="U476"/>
      <c r="V476"/>
      <c r="W476"/>
      <c r="X476"/>
      <c r="Y476"/>
      <c r="Z476"/>
      <c r="AA476"/>
    </row>
    <row r="477" spans="1:31">
      <c r="A477"/>
      <c r="B477"/>
      <c r="C477"/>
      <c r="D477"/>
      <c r="F477"/>
      <c r="Q477"/>
      <c r="R477"/>
      <c r="S477"/>
      <c r="T477"/>
      <c r="U477"/>
      <c r="V477"/>
      <c r="W477"/>
      <c r="X477"/>
      <c r="Y477"/>
      <c r="Z477"/>
      <c r="AA477"/>
    </row>
    <row r="478" spans="1:31">
      <c r="A478"/>
      <c r="B478"/>
      <c r="C478"/>
      <c r="D478"/>
      <c r="F478"/>
      <c r="Q478"/>
      <c r="R478"/>
      <c r="S478"/>
      <c r="T478"/>
      <c r="U478"/>
      <c r="V478"/>
      <c r="W478"/>
      <c r="X478"/>
      <c r="Y478"/>
      <c r="Z478"/>
      <c r="AA478"/>
    </row>
    <row r="479" spans="1:31">
      <c r="A479"/>
      <c r="B479"/>
      <c r="C479"/>
      <c r="D479"/>
      <c r="F479"/>
      <c r="Q479"/>
      <c r="R479"/>
      <c r="S479"/>
      <c r="T479"/>
      <c r="U479"/>
      <c r="V479"/>
      <c r="W479"/>
      <c r="X479"/>
      <c r="Y479"/>
      <c r="Z479"/>
      <c r="AA479"/>
    </row>
    <row r="480" spans="1:31">
      <c r="A480"/>
      <c r="B480"/>
      <c r="C480"/>
      <c r="D480"/>
      <c r="F480"/>
      <c r="Q480"/>
      <c r="R480"/>
      <c r="S480"/>
      <c r="T480"/>
      <c r="U480"/>
      <c r="V480"/>
      <c r="W480"/>
      <c r="X480"/>
      <c r="Y480"/>
      <c r="Z480"/>
      <c r="AA480"/>
    </row>
    <row r="481" spans="1:27">
      <c r="A481"/>
      <c r="B481"/>
      <c r="C481"/>
      <c r="D481"/>
      <c r="F481"/>
      <c r="Q481"/>
      <c r="R481"/>
      <c r="S481"/>
      <c r="T481"/>
      <c r="U481"/>
      <c r="V481"/>
      <c r="W481"/>
      <c r="X481"/>
      <c r="Y481"/>
      <c r="Z481"/>
      <c r="AA481"/>
    </row>
    <row r="482" spans="1:27">
      <c r="A482"/>
      <c r="B482"/>
      <c r="C482"/>
      <c r="D482"/>
      <c r="F482"/>
      <c r="Q482"/>
      <c r="R482"/>
      <c r="S482"/>
      <c r="T482"/>
      <c r="U482"/>
      <c r="V482"/>
      <c r="W482"/>
      <c r="X482"/>
      <c r="Y482"/>
      <c r="Z482"/>
      <c r="AA482"/>
    </row>
    <row r="483" spans="1:27">
      <c r="A483"/>
      <c r="B483"/>
      <c r="C483"/>
      <c r="D483"/>
      <c r="F483"/>
      <c r="Q483"/>
      <c r="R483"/>
      <c r="S483"/>
      <c r="T483"/>
      <c r="U483"/>
      <c r="V483"/>
      <c r="W483"/>
      <c r="X483"/>
      <c r="Y483"/>
      <c r="Z483"/>
      <c r="AA483"/>
    </row>
    <row r="484" spans="1:27">
      <c r="A484"/>
      <c r="B484"/>
      <c r="C484"/>
      <c r="D484"/>
      <c r="F484"/>
      <c r="Q484"/>
      <c r="R484"/>
      <c r="S484"/>
      <c r="T484"/>
      <c r="U484"/>
      <c r="V484"/>
      <c r="W484"/>
      <c r="X484"/>
      <c r="Y484"/>
      <c r="Z484"/>
      <c r="AA484"/>
    </row>
    <row r="485" spans="1:27">
      <c r="A485"/>
      <c r="B485"/>
      <c r="C485"/>
      <c r="D485"/>
      <c r="F485"/>
      <c r="Q485"/>
      <c r="R485"/>
      <c r="S485"/>
      <c r="T485"/>
      <c r="U485"/>
      <c r="V485"/>
      <c r="W485"/>
      <c r="X485"/>
      <c r="Y485"/>
      <c r="Z485"/>
      <c r="AA485"/>
    </row>
    <row r="486" spans="1:27">
      <c r="A486"/>
      <c r="B486"/>
      <c r="C486"/>
      <c r="D486"/>
      <c r="F486"/>
      <c r="Q486"/>
      <c r="R486"/>
      <c r="S486"/>
      <c r="T486"/>
      <c r="U486"/>
      <c r="V486"/>
      <c r="W486"/>
      <c r="X486"/>
      <c r="Y486"/>
      <c r="Z486"/>
      <c r="AA486"/>
    </row>
    <row r="487" spans="1:27">
      <c r="A487"/>
      <c r="B487"/>
      <c r="C487"/>
      <c r="D487"/>
      <c r="F487"/>
      <c r="Q487"/>
      <c r="R487"/>
      <c r="S487"/>
      <c r="T487"/>
      <c r="U487"/>
      <c r="V487"/>
      <c r="W487"/>
      <c r="X487"/>
      <c r="Y487"/>
      <c r="Z487"/>
      <c r="AA487"/>
    </row>
    <row r="488" spans="1:27">
      <c r="A488"/>
      <c r="B488"/>
      <c r="C488"/>
      <c r="D488"/>
      <c r="F488"/>
      <c r="Q488"/>
      <c r="R488"/>
      <c r="S488"/>
      <c r="T488"/>
      <c r="U488"/>
      <c r="V488"/>
      <c r="W488"/>
      <c r="X488"/>
      <c r="Y488"/>
      <c r="Z488"/>
      <c r="AA488"/>
    </row>
    <row r="489" spans="1:27">
      <c r="A489"/>
      <c r="B489"/>
      <c r="C489"/>
      <c r="D489"/>
      <c r="F489"/>
      <c r="Q489"/>
      <c r="R489"/>
      <c r="S489"/>
      <c r="T489"/>
      <c r="U489"/>
      <c r="V489"/>
      <c r="W489"/>
      <c r="X489"/>
      <c r="Y489"/>
      <c r="Z489"/>
      <c r="AA489"/>
    </row>
    <row r="490" spans="1:27">
      <c r="A490"/>
      <c r="B490"/>
      <c r="C490"/>
      <c r="D490"/>
      <c r="F490"/>
      <c r="Q490"/>
      <c r="R490"/>
      <c r="S490"/>
      <c r="T490"/>
      <c r="U490"/>
      <c r="V490"/>
      <c r="W490"/>
      <c r="X490"/>
      <c r="Y490"/>
      <c r="Z490"/>
      <c r="AA490"/>
    </row>
    <row r="491" spans="1:27">
      <c r="A491"/>
      <c r="B491"/>
      <c r="C491"/>
      <c r="D491"/>
      <c r="F491"/>
      <c r="Q491"/>
      <c r="R491"/>
      <c r="S491"/>
      <c r="T491"/>
      <c r="U491"/>
      <c r="V491"/>
      <c r="W491"/>
      <c r="X491"/>
      <c r="Y491"/>
      <c r="Z491"/>
      <c r="AA491"/>
    </row>
    <row r="492" spans="1:27">
      <c r="A492"/>
      <c r="B492"/>
      <c r="C492"/>
      <c r="D492"/>
      <c r="F492"/>
      <c r="Q492"/>
      <c r="R492"/>
      <c r="S492"/>
      <c r="T492"/>
      <c r="U492"/>
      <c r="V492"/>
      <c r="W492"/>
      <c r="X492"/>
      <c r="Y492"/>
      <c r="Z492"/>
      <c r="AA492"/>
    </row>
    <row r="493" spans="1:27">
      <c r="A493"/>
      <c r="B493"/>
      <c r="C493"/>
      <c r="D493"/>
      <c r="F493"/>
      <c r="Q493"/>
      <c r="R493"/>
      <c r="S493"/>
      <c r="T493"/>
      <c r="U493"/>
      <c r="V493"/>
      <c r="W493"/>
      <c r="X493"/>
      <c r="Y493"/>
      <c r="Z493"/>
      <c r="AA493"/>
    </row>
    <row r="494" spans="1:27">
      <c r="A494"/>
      <c r="B494"/>
      <c r="C494"/>
      <c r="D494"/>
      <c r="F494"/>
      <c r="Q494"/>
      <c r="R494"/>
      <c r="S494"/>
      <c r="T494"/>
      <c r="U494"/>
      <c r="V494"/>
      <c r="W494"/>
      <c r="X494"/>
      <c r="Y494"/>
      <c r="Z494"/>
      <c r="AA494"/>
    </row>
    <row r="495" spans="1:27">
      <c r="A495"/>
      <c r="B495"/>
      <c r="C495"/>
      <c r="D495"/>
      <c r="F495"/>
      <c r="Q495"/>
      <c r="R495"/>
      <c r="S495"/>
      <c r="T495"/>
      <c r="U495"/>
      <c r="V495"/>
      <c r="W495"/>
      <c r="X495"/>
      <c r="Y495"/>
      <c r="Z495"/>
      <c r="AA495"/>
    </row>
    <row r="496" spans="1:27">
      <c r="A496"/>
      <c r="B496"/>
      <c r="C496"/>
      <c r="D496"/>
      <c r="F496"/>
      <c r="Q496"/>
      <c r="R496"/>
      <c r="S496"/>
      <c r="T496"/>
      <c r="U496"/>
      <c r="V496"/>
      <c r="W496"/>
      <c r="X496"/>
      <c r="Y496"/>
      <c r="Z496"/>
      <c r="AA496"/>
    </row>
    <row r="497" spans="1:27">
      <c r="A497"/>
      <c r="B497"/>
      <c r="C497"/>
      <c r="D497"/>
      <c r="F497"/>
      <c r="Q497"/>
      <c r="R497"/>
      <c r="S497"/>
      <c r="T497"/>
      <c r="U497"/>
      <c r="V497"/>
      <c r="W497"/>
      <c r="X497"/>
      <c r="Y497"/>
      <c r="Z497"/>
      <c r="AA497"/>
    </row>
    <row r="498" spans="1:27" ht="12.75" customHeight="1">
      <c r="A498"/>
      <c r="B498"/>
      <c r="C498"/>
      <c r="D498"/>
      <c r="F498"/>
      <c r="Q498"/>
      <c r="R498"/>
      <c r="S498"/>
      <c r="T498"/>
      <c r="U498"/>
      <c r="V498"/>
      <c r="W498"/>
      <c r="X498"/>
      <c r="Y498"/>
      <c r="Z498"/>
      <c r="AA498"/>
    </row>
    <row r="499" spans="1:27">
      <c r="A499"/>
      <c r="B499"/>
      <c r="C499"/>
      <c r="D499"/>
      <c r="F499"/>
      <c r="Q499"/>
      <c r="R499"/>
      <c r="S499"/>
      <c r="T499"/>
      <c r="U499"/>
      <c r="V499"/>
      <c r="W499"/>
      <c r="X499"/>
      <c r="Y499"/>
      <c r="Z499"/>
      <c r="AA499"/>
    </row>
    <row r="500" spans="1:27">
      <c r="A500"/>
      <c r="B500"/>
      <c r="C500"/>
      <c r="D500"/>
      <c r="F500"/>
      <c r="Q500"/>
      <c r="R500"/>
      <c r="S500"/>
      <c r="T500"/>
      <c r="U500"/>
      <c r="V500"/>
      <c r="W500"/>
      <c r="X500"/>
      <c r="Y500"/>
      <c r="Z500"/>
      <c r="AA500"/>
    </row>
    <row r="501" spans="1:27">
      <c r="A501"/>
      <c r="B501"/>
      <c r="C501"/>
      <c r="D501"/>
      <c r="F501"/>
      <c r="Q501"/>
      <c r="R501"/>
      <c r="S501"/>
      <c r="T501"/>
      <c r="U501"/>
      <c r="V501"/>
      <c r="W501"/>
      <c r="X501"/>
      <c r="Y501"/>
      <c r="Z501"/>
      <c r="AA501"/>
    </row>
    <row r="502" spans="1:27">
      <c r="A502"/>
      <c r="B502"/>
      <c r="C502"/>
      <c r="D502"/>
      <c r="F502"/>
      <c r="Q502"/>
      <c r="R502"/>
      <c r="S502"/>
      <c r="T502"/>
      <c r="U502"/>
      <c r="V502"/>
      <c r="W502"/>
      <c r="X502"/>
      <c r="Y502"/>
      <c r="Z502"/>
      <c r="AA502"/>
    </row>
    <row r="503" spans="1:27">
      <c r="A503"/>
      <c r="B503"/>
      <c r="C503"/>
      <c r="D503"/>
      <c r="F503"/>
      <c r="Q503"/>
      <c r="R503"/>
      <c r="S503"/>
      <c r="T503"/>
      <c r="U503"/>
      <c r="V503"/>
      <c r="W503"/>
      <c r="X503"/>
      <c r="Y503"/>
      <c r="Z503"/>
      <c r="AA503"/>
    </row>
    <row r="504" spans="1:27">
      <c r="A504"/>
      <c r="B504"/>
      <c r="C504"/>
      <c r="D504"/>
      <c r="F504"/>
      <c r="Q504"/>
      <c r="R504"/>
      <c r="S504"/>
      <c r="T504"/>
      <c r="U504"/>
      <c r="V504"/>
      <c r="W504"/>
      <c r="X504"/>
      <c r="Y504"/>
      <c r="Z504"/>
      <c r="AA504"/>
    </row>
    <row r="505" spans="1:27">
      <c r="A505"/>
      <c r="B505"/>
      <c r="C505"/>
      <c r="D505"/>
      <c r="F505"/>
      <c r="Q505"/>
      <c r="R505"/>
      <c r="S505"/>
      <c r="T505"/>
      <c r="U505"/>
      <c r="V505"/>
      <c r="W505"/>
      <c r="X505"/>
      <c r="Y505"/>
      <c r="Z505"/>
      <c r="AA505"/>
    </row>
    <row r="506" spans="1:27">
      <c r="A506"/>
      <c r="B506"/>
      <c r="C506"/>
      <c r="D506"/>
      <c r="F506"/>
      <c r="Q506"/>
      <c r="R506"/>
      <c r="S506"/>
      <c r="T506"/>
      <c r="U506"/>
      <c r="V506"/>
      <c r="W506"/>
      <c r="X506"/>
      <c r="Y506"/>
      <c r="Z506"/>
      <c r="AA506"/>
    </row>
    <row r="507" spans="1:27">
      <c r="A507"/>
      <c r="B507"/>
      <c r="C507"/>
      <c r="D507"/>
      <c r="F507"/>
      <c r="Q507"/>
      <c r="R507"/>
      <c r="S507"/>
      <c r="T507"/>
      <c r="U507"/>
      <c r="V507"/>
      <c r="W507"/>
      <c r="X507"/>
      <c r="Y507"/>
      <c r="Z507"/>
      <c r="AA507"/>
    </row>
    <row r="508" spans="1:27">
      <c r="A508"/>
      <c r="B508"/>
      <c r="C508"/>
      <c r="D508"/>
      <c r="F508"/>
      <c r="Q508"/>
      <c r="R508"/>
      <c r="S508"/>
      <c r="T508"/>
      <c r="U508"/>
      <c r="V508"/>
      <c r="W508"/>
      <c r="X508"/>
      <c r="Y508"/>
      <c r="Z508"/>
      <c r="AA508"/>
    </row>
    <row r="509" spans="1:27">
      <c r="A509"/>
      <c r="B509"/>
      <c r="C509"/>
      <c r="D509"/>
      <c r="F509"/>
      <c r="Q509"/>
      <c r="R509"/>
      <c r="S509"/>
      <c r="T509"/>
      <c r="U509"/>
      <c r="V509"/>
      <c r="W509"/>
      <c r="X509"/>
      <c r="Y509"/>
      <c r="Z509"/>
      <c r="AA509"/>
    </row>
    <row r="510" spans="1:27">
      <c r="A510"/>
      <c r="B510"/>
      <c r="C510"/>
      <c r="D510"/>
      <c r="F510"/>
      <c r="Q510"/>
      <c r="R510"/>
      <c r="S510"/>
      <c r="T510"/>
      <c r="U510"/>
      <c r="V510"/>
      <c r="W510"/>
      <c r="X510"/>
      <c r="Y510"/>
      <c r="Z510"/>
      <c r="AA510"/>
    </row>
    <row r="511" spans="1:27">
      <c r="A511"/>
      <c r="B511"/>
      <c r="C511"/>
      <c r="D511"/>
      <c r="F511"/>
      <c r="Q511"/>
      <c r="R511"/>
      <c r="S511"/>
      <c r="T511"/>
      <c r="U511"/>
      <c r="V511"/>
      <c r="W511"/>
      <c r="X511"/>
      <c r="Y511"/>
      <c r="Z511"/>
      <c r="AA511"/>
    </row>
    <row r="512" spans="1:27">
      <c r="A512"/>
      <c r="B512"/>
      <c r="C512"/>
      <c r="D512"/>
      <c r="F512"/>
      <c r="Q512"/>
      <c r="R512"/>
      <c r="S512"/>
      <c r="T512"/>
      <c r="U512"/>
      <c r="V512"/>
      <c r="W512"/>
      <c r="X512"/>
      <c r="Y512"/>
      <c r="Z512"/>
      <c r="AA512"/>
    </row>
    <row r="513" spans="1:27">
      <c r="A513"/>
      <c r="B513"/>
      <c r="C513"/>
      <c r="D513"/>
      <c r="F513"/>
      <c r="Q513"/>
      <c r="R513"/>
      <c r="S513"/>
      <c r="T513"/>
      <c r="U513"/>
      <c r="V513"/>
      <c r="W513"/>
      <c r="X513"/>
      <c r="Y513"/>
      <c r="Z513"/>
      <c r="AA513"/>
    </row>
    <row r="514" spans="1:27">
      <c r="A514"/>
      <c r="B514"/>
      <c r="C514"/>
      <c r="D514"/>
      <c r="F514"/>
      <c r="Q514"/>
      <c r="R514"/>
      <c r="S514"/>
      <c r="T514"/>
      <c r="U514"/>
      <c r="V514"/>
      <c r="W514"/>
      <c r="X514"/>
      <c r="Y514"/>
      <c r="Z514"/>
      <c r="AA514"/>
    </row>
    <row r="515" spans="1:27">
      <c r="A515"/>
      <c r="B515"/>
      <c r="C515"/>
      <c r="D515"/>
      <c r="F515"/>
      <c r="Q515"/>
      <c r="R515"/>
      <c r="S515"/>
      <c r="T515"/>
      <c r="U515"/>
      <c r="V515"/>
      <c r="W515"/>
      <c r="X515"/>
      <c r="Y515"/>
      <c r="Z515"/>
      <c r="AA515"/>
    </row>
    <row r="516" spans="1:27">
      <c r="A516"/>
      <c r="B516"/>
      <c r="C516"/>
      <c r="D516"/>
      <c r="F516"/>
      <c r="Q516"/>
      <c r="R516"/>
      <c r="S516"/>
      <c r="T516"/>
      <c r="U516"/>
      <c r="V516"/>
      <c r="W516"/>
      <c r="X516"/>
      <c r="Y516"/>
      <c r="Z516"/>
      <c r="AA516"/>
    </row>
    <row r="517" spans="1:27">
      <c r="A517"/>
      <c r="B517"/>
      <c r="C517"/>
      <c r="D517"/>
      <c r="F517"/>
      <c r="Q517"/>
      <c r="R517"/>
      <c r="S517"/>
      <c r="T517"/>
      <c r="U517"/>
      <c r="V517"/>
      <c r="W517"/>
      <c r="X517"/>
      <c r="Y517"/>
      <c r="Z517"/>
      <c r="AA517"/>
    </row>
    <row r="518" spans="1:27">
      <c r="A518"/>
      <c r="B518"/>
      <c r="C518"/>
      <c r="D518"/>
      <c r="F518"/>
      <c r="Q518"/>
      <c r="R518"/>
      <c r="S518"/>
      <c r="T518"/>
      <c r="U518"/>
      <c r="V518"/>
      <c r="W518"/>
      <c r="X518"/>
      <c r="Y518"/>
      <c r="Z518"/>
      <c r="AA518"/>
    </row>
    <row r="519" spans="1:27">
      <c r="A519"/>
      <c r="B519"/>
      <c r="C519"/>
      <c r="D519"/>
      <c r="F519"/>
      <c r="Q519"/>
      <c r="R519"/>
      <c r="S519"/>
      <c r="T519"/>
      <c r="U519"/>
      <c r="V519"/>
      <c r="W519"/>
      <c r="X519"/>
      <c r="Y519"/>
      <c r="Z519"/>
      <c r="AA519"/>
    </row>
    <row r="520" spans="1:27">
      <c r="A520"/>
      <c r="B520"/>
      <c r="C520"/>
      <c r="D520"/>
      <c r="F520"/>
      <c r="Q520"/>
      <c r="R520"/>
      <c r="S520"/>
      <c r="T520"/>
      <c r="U520"/>
      <c r="V520"/>
      <c r="W520"/>
      <c r="X520"/>
      <c r="Y520"/>
      <c r="Z520"/>
      <c r="AA520"/>
    </row>
    <row r="521" spans="1:27">
      <c r="A521"/>
      <c r="B521"/>
      <c r="C521"/>
      <c r="D521"/>
      <c r="F521"/>
      <c r="Q521"/>
      <c r="R521"/>
      <c r="S521"/>
      <c r="T521"/>
      <c r="U521"/>
      <c r="V521"/>
      <c r="W521"/>
      <c r="X521"/>
      <c r="Y521"/>
      <c r="Z521"/>
      <c r="AA521"/>
    </row>
    <row r="522" spans="1:27">
      <c r="A522"/>
      <c r="B522"/>
      <c r="C522"/>
      <c r="D522"/>
      <c r="F522"/>
      <c r="Q522"/>
      <c r="R522"/>
      <c r="S522"/>
      <c r="T522"/>
      <c r="U522"/>
      <c r="V522"/>
      <c r="W522"/>
      <c r="X522"/>
      <c r="Y522"/>
      <c r="Z522"/>
      <c r="AA522"/>
    </row>
    <row r="523" spans="1:27">
      <c r="A523"/>
      <c r="B523"/>
      <c r="C523"/>
      <c r="D523"/>
      <c r="F523"/>
      <c r="Q523"/>
      <c r="R523"/>
      <c r="S523"/>
      <c r="T523"/>
      <c r="U523"/>
      <c r="V523"/>
      <c r="W523"/>
      <c r="X523"/>
      <c r="Y523"/>
      <c r="Z523"/>
      <c r="AA523"/>
    </row>
    <row r="524" spans="1:27">
      <c r="A524"/>
      <c r="B524"/>
      <c r="C524"/>
      <c r="D524"/>
      <c r="F524"/>
      <c r="Q524"/>
      <c r="R524"/>
      <c r="S524"/>
      <c r="T524"/>
      <c r="U524"/>
      <c r="V524"/>
      <c r="W524"/>
      <c r="X524"/>
      <c r="Y524"/>
      <c r="Z524"/>
      <c r="AA524"/>
    </row>
    <row r="525" spans="1:27">
      <c r="A525"/>
      <c r="B525"/>
      <c r="C525"/>
      <c r="D525"/>
      <c r="F525"/>
      <c r="Q525"/>
      <c r="R525"/>
      <c r="S525"/>
      <c r="T525"/>
      <c r="U525"/>
      <c r="V525"/>
      <c r="W525"/>
      <c r="X525"/>
      <c r="Y525"/>
      <c r="Z525"/>
      <c r="AA525"/>
    </row>
    <row r="526" spans="1:27">
      <c r="A526"/>
      <c r="B526"/>
      <c r="C526"/>
      <c r="D526"/>
      <c r="F526"/>
      <c r="Q526"/>
      <c r="R526"/>
      <c r="S526"/>
      <c r="T526"/>
      <c r="U526"/>
      <c r="V526"/>
      <c r="W526"/>
      <c r="X526"/>
      <c r="Y526"/>
      <c r="Z526"/>
      <c r="AA526"/>
    </row>
    <row r="527" spans="1:27">
      <c r="A527"/>
      <c r="B527"/>
      <c r="C527"/>
      <c r="D527"/>
      <c r="F527"/>
      <c r="Q527"/>
      <c r="R527"/>
      <c r="S527"/>
      <c r="T527"/>
      <c r="U527"/>
      <c r="V527"/>
      <c r="W527"/>
      <c r="X527"/>
      <c r="Y527"/>
      <c r="Z527"/>
      <c r="AA527"/>
    </row>
    <row r="528" spans="1:27">
      <c r="A528"/>
      <c r="B528"/>
      <c r="C528"/>
      <c r="D528"/>
      <c r="F528"/>
      <c r="Q528"/>
      <c r="R528"/>
      <c r="S528"/>
      <c r="T528"/>
      <c r="U528"/>
      <c r="V528"/>
      <c r="W528"/>
      <c r="X528"/>
      <c r="Y528"/>
      <c r="Z528"/>
      <c r="AA528"/>
    </row>
    <row r="529" spans="1:27">
      <c r="A529"/>
      <c r="B529"/>
      <c r="C529"/>
      <c r="D529"/>
      <c r="F529"/>
      <c r="Q529"/>
      <c r="R529"/>
      <c r="S529"/>
      <c r="T529"/>
      <c r="U529"/>
      <c r="V529"/>
      <c r="W529"/>
      <c r="X529"/>
      <c r="Y529"/>
      <c r="Z529"/>
      <c r="AA529"/>
    </row>
    <row r="530" spans="1:27">
      <c r="A530"/>
      <c r="B530"/>
      <c r="C530"/>
      <c r="D530"/>
      <c r="F530"/>
      <c r="Q530"/>
      <c r="R530"/>
      <c r="S530"/>
      <c r="T530"/>
      <c r="U530"/>
      <c r="V530"/>
      <c r="W530"/>
      <c r="X530"/>
      <c r="Y530"/>
      <c r="Z530"/>
      <c r="AA530"/>
    </row>
    <row r="531" spans="1:27">
      <c r="A531"/>
      <c r="B531"/>
      <c r="C531"/>
      <c r="D531"/>
      <c r="F531"/>
      <c r="Q531"/>
      <c r="R531"/>
      <c r="S531"/>
      <c r="T531"/>
      <c r="U531"/>
      <c r="V531"/>
      <c r="W531"/>
      <c r="X531"/>
      <c r="Y531"/>
      <c r="Z531"/>
      <c r="AA531"/>
    </row>
    <row r="532" spans="1:27">
      <c r="A532"/>
      <c r="B532"/>
      <c r="C532"/>
      <c r="D532"/>
      <c r="F532"/>
      <c r="Q532"/>
      <c r="R532"/>
      <c r="S532"/>
      <c r="T532"/>
      <c r="U532"/>
      <c r="V532"/>
      <c r="W532"/>
      <c r="X532"/>
      <c r="Y532"/>
      <c r="Z532"/>
      <c r="AA532"/>
    </row>
    <row r="533" spans="1:27">
      <c r="A533"/>
      <c r="B533"/>
      <c r="C533"/>
      <c r="D533"/>
      <c r="F533"/>
      <c r="Q533"/>
      <c r="R533"/>
      <c r="S533"/>
      <c r="T533"/>
      <c r="U533"/>
      <c r="V533"/>
      <c r="W533"/>
      <c r="X533"/>
      <c r="Y533"/>
      <c r="Z533"/>
      <c r="AA533"/>
    </row>
    <row r="534" spans="1:27">
      <c r="A534"/>
      <c r="B534"/>
      <c r="C534"/>
      <c r="D534"/>
      <c r="F534"/>
      <c r="Q534"/>
      <c r="R534"/>
      <c r="S534"/>
      <c r="T534"/>
      <c r="U534"/>
      <c r="V534"/>
      <c r="W534"/>
      <c r="X534"/>
      <c r="Y534"/>
      <c r="Z534"/>
      <c r="AA534"/>
    </row>
    <row r="535" spans="1:27">
      <c r="A535"/>
      <c r="B535"/>
      <c r="C535"/>
      <c r="D535"/>
      <c r="F535"/>
      <c r="Q535"/>
      <c r="R535"/>
      <c r="S535"/>
      <c r="T535"/>
      <c r="U535"/>
      <c r="V535"/>
      <c r="W535"/>
      <c r="X535"/>
      <c r="Y535"/>
      <c r="Z535"/>
      <c r="AA535"/>
    </row>
    <row r="536" spans="1:27">
      <c r="A536"/>
      <c r="B536"/>
      <c r="C536"/>
      <c r="D536"/>
      <c r="F536"/>
      <c r="Q536"/>
      <c r="R536"/>
      <c r="S536"/>
      <c r="T536"/>
      <c r="U536"/>
      <c r="V536"/>
      <c r="W536"/>
      <c r="X536"/>
      <c r="Y536"/>
      <c r="Z536"/>
      <c r="AA536"/>
    </row>
    <row r="537" spans="1:27">
      <c r="A537"/>
      <c r="B537"/>
      <c r="C537"/>
      <c r="D537"/>
      <c r="F537"/>
      <c r="Q537"/>
      <c r="R537"/>
      <c r="S537"/>
      <c r="T537"/>
      <c r="U537"/>
      <c r="V537"/>
      <c r="W537"/>
      <c r="X537"/>
      <c r="Y537"/>
      <c r="Z537"/>
      <c r="AA537"/>
    </row>
    <row r="538" spans="1:27">
      <c r="A538"/>
      <c r="B538"/>
      <c r="C538"/>
      <c r="D538"/>
      <c r="F538"/>
      <c r="Q538"/>
      <c r="R538"/>
      <c r="S538"/>
      <c r="T538"/>
      <c r="U538"/>
      <c r="V538"/>
      <c r="W538"/>
      <c r="X538"/>
      <c r="Y538"/>
      <c r="Z538"/>
      <c r="AA538"/>
    </row>
    <row r="539" spans="1:27">
      <c r="A539"/>
      <c r="B539"/>
      <c r="C539"/>
      <c r="D539"/>
      <c r="F539"/>
      <c r="Q539"/>
      <c r="R539"/>
      <c r="S539"/>
      <c r="T539"/>
      <c r="U539"/>
      <c r="V539"/>
      <c r="W539"/>
      <c r="X539"/>
      <c r="Y539"/>
      <c r="Z539"/>
      <c r="AA539"/>
    </row>
    <row r="540" spans="1:27">
      <c r="A540"/>
      <c r="B540"/>
      <c r="C540"/>
      <c r="D540"/>
      <c r="F540"/>
      <c r="Q540"/>
      <c r="R540"/>
      <c r="S540"/>
      <c r="T540"/>
      <c r="U540"/>
      <c r="V540"/>
      <c r="W540"/>
      <c r="X540"/>
      <c r="Y540"/>
      <c r="Z540"/>
      <c r="AA540"/>
    </row>
    <row r="541" spans="1:27">
      <c r="A541"/>
      <c r="B541"/>
      <c r="C541"/>
      <c r="D541"/>
      <c r="F541"/>
      <c r="Q541"/>
      <c r="R541"/>
      <c r="S541"/>
      <c r="T541"/>
      <c r="U541"/>
      <c r="V541"/>
      <c r="W541"/>
      <c r="X541"/>
      <c r="Y541"/>
      <c r="Z541"/>
      <c r="AA541"/>
    </row>
    <row r="542" spans="1:27">
      <c r="A542"/>
      <c r="B542"/>
      <c r="C542"/>
      <c r="D542"/>
      <c r="F542"/>
      <c r="Q542"/>
      <c r="R542"/>
      <c r="S542"/>
      <c r="T542"/>
      <c r="U542"/>
      <c r="V542"/>
      <c r="W542"/>
      <c r="X542"/>
      <c r="Y542"/>
      <c r="Z542"/>
      <c r="AA542"/>
    </row>
    <row r="543" spans="1:27">
      <c r="A543"/>
      <c r="B543"/>
      <c r="C543"/>
      <c r="D543"/>
      <c r="F543"/>
      <c r="Q543"/>
      <c r="R543"/>
      <c r="S543"/>
      <c r="T543"/>
      <c r="U543"/>
      <c r="V543"/>
      <c r="W543"/>
      <c r="X543"/>
      <c r="Y543"/>
      <c r="Z543"/>
      <c r="AA543"/>
    </row>
    <row r="544" spans="1:27">
      <c r="A544"/>
      <c r="B544"/>
      <c r="C544"/>
      <c r="D544"/>
      <c r="F544"/>
      <c r="Q544"/>
      <c r="R544"/>
      <c r="S544"/>
      <c r="T544"/>
      <c r="U544"/>
      <c r="V544"/>
      <c r="W544"/>
      <c r="X544"/>
      <c r="Y544"/>
      <c r="Z544"/>
      <c r="AA544"/>
    </row>
    <row r="545" spans="1:27">
      <c r="A545"/>
      <c r="B545"/>
      <c r="C545"/>
      <c r="D545"/>
      <c r="F545"/>
      <c r="Q545"/>
      <c r="R545"/>
      <c r="S545"/>
      <c r="T545"/>
      <c r="U545"/>
      <c r="V545"/>
      <c r="W545"/>
      <c r="X545"/>
      <c r="Y545"/>
      <c r="Z545"/>
      <c r="AA545"/>
    </row>
    <row r="546" spans="1:27">
      <c r="A546"/>
      <c r="B546"/>
      <c r="C546"/>
      <c r="D546"/>
      <c r="F546"/>
      <c r="Q546"/>
      <c r="R546"/>
      <c r="S546"/>
      <c r="T546"/>
      <c r="U546"/>
      <c r="V546"/>
      <c r="W546"/>
      <c r="X546"/>
      <c r="Y546"/>
      <c r="Z546"/>
      <c r="AA546"/>
    </row>
    <row r="547" spans="1:27">
      <c r="A547"/>
      <c r="B547"/>
      <c r="C547"/>
      <c r="D547"/>
      <c r="F547"/>
      <c r="Q547"/>
      <c r="R547"/>
      <c r="S547"/>
      <c r="T547"/>
      <c r="U547"/>
      <c r="V547"/>
      <c r="W547"/>
      <c r="X547"/>
      <c r="Y547"/>
      <c r="Z547"/>
      <c r="AA547"/>
    </row>
    <row r="548" spans="1:27">
      <c r="A548"/>
      <c r="B548"/>
      <c r="C548"/>
      <c r="D548"/>
      <c r="F548"/>
      <c r="Q548"/>
      <c r="R548"/>
      <c r="S548"/>
      <c r="T548"/>
      <c r="U548"/>
      <c r="V548"/>
      <c r="W548"/>
      <c r="X548"/>
      <c r="Y548"/>
      <c r="Z548"/>
      <c r="AA548"/>
    </row>
    <row r="549" spans="1:27">
      <c r="A549"/>
      <c r="B549"/>
      <c r="C549"/>
      <c r="D549"/>
      <c r="F549"/>
      <c r="Q549"/>
      <c r="R549"/>
      <c r="S549"/>
      <c r="T549"/>
      <c r="U549"/>
      <c r="V549"/>
      <c r="W549"/>
      <c r="X549"/>
      <c r="Y549"/>
      <c r="Z549"/>
      <c r="AA549"/>
    </row>
    <row r="550" spans="1:27">
      <c r="A550"/>
      <c r="B550"/>
      <c r="C550"/>
      <c r="D550"/>
      <c r="F550"/>
      <c r="Q550"/>
      <c r="R550"/>
      <c r="S550"/>
      <c r="T550"/>
      <c r="U550"/>
      <c r="V550"/>
      <c r="W550"/>
      <c r="X550"/>
      <c r="Y550"/>
      <c r="Z550"/>
      <c r="AA550"/>
    </row>
    <row r="551" spans="1:27">
      <c r="A551"/>
      <c r="B551"/>
      <c r="C551"/>
      <c r="D551"/>
      <c r="F551"/>
      <c r="Q551"/>
      <c r="R551"/>
      <c r="S551"/>
      <c r="T551"/>
      <c r="U551"/>
      <c r="V551"/>
      <c r="W551"/>
      <c r="X551"/>
      <c r="Y551"/>
      <c r="Z551"/>
      <c r="AA551"/>
    </row>
    <row r="552" spans="1:27">
      <c r="A552"/>
      <c r="B552"/>
      <c r="C552"/>
      <c r="D552"/>
      <c r="F552"/>
      <c r="Q552"/>
      <c r="R552"/>
      <c r="S552"/>
      <c r="T552"/>
      <c r="U552"/>
      <c r="V552"/>
      <c r="W552"/>
      <c r="X552"/>
      <c r="Y552"/>
      <c r="Z552"/>
      <c r="AA552"/>
    </row>
    <row r="553" spans="1:27">
      <c r="A553"/>
      <c r="B553"/>
      <c r="C553"/>
      <c r="D553"/>
      <c r="F553"/>
      <c r="Q553"/>
      <c r="R553"/>
      <c r="S553"/>
      <c r="T553"/>
      <c r="U553"/>
      <c r="V553"/>
      <c r="W553"/>
      <c r="X553"/>
      <c r="Y553"/>
      <c r="Z553"/>
      <c r="AA553"/>
    </row>
    <row r="554" spans="1:27">
      <c r="A554"/>
      <c r="B554"/>
      <c r="C554"/>
      <c r="D554"/>
      <c r="F554"/>
      <c r="Q554"/>
      <c r="R554"/>
      <c r="S554"/>
      <c r="T554"/>
      <c r="U554"/>
      <c r="V554"/>
      <c r="W554"/>
      <c r="X554"/>
      <c r="Y554"/>
      <c r="Z554"/>
      <c r="AA554"/>
    </row>
    <row r="555" spans="1:27">
      <c r="A555"/>
      <c r="B555"/>
      <c r="C555"/>
      <c r="D555"/>
      <c r="F555"/>
      <c r="Q555"/>
      <c r="R555"/>
      <c r="S555"/>
      <c r="T555"/>
      <c r="U555"/>
      <c r="V555"/>
      <c r="W555"/>
      <c r="X555"/>
      <c r="Y555"/>
      <c r="Z555"/>
      <c r="AA555"/>
    </row>
    <row r="556" spans="1:27">
      <c r="A556"/>
      <c r="B556"/>
      <c r="C556"/>
      <c r="D556"/>
      <c r="F556"/>
      <c r="Q556"/>
      <c r="R556"/>
      <c r="S556"/>
      <c r="T556"/>
      <c r="U556"/>
      <c r="V556"/>
      <c r="W556"/>
      <c r="X556"/>
      <c r="Y556"/>
      <c r="Z556"/>
      <c r="AA556"/>
    </row>
    <row r="557" spans="1:27">
      <c r="A557"/>
      <c r="B557"/>
      <c r="C557"/>
      <c r="D557"/>
      <c r="F557"/>
      <c r="Q557"/>
      <c r="R557"/>
      <c r="S557"/>
      <c r="T557"/>
      <c r="U557"/>
      <c r="V557"/>
      <c r="W557"/>
      <c r="X557"/>
      <c r="Y557"/>
      <c r="Z557"/>
      <c r="AA557"/>
    </row>
    <row r="558" spans="1:27">
      <c r="A558"/>
      <c r="B558"/>
      <c r="C558"/>
      <c r="D558"/>
      <c r="F558"/>
      <c r="Q558"/>
      <c r="R558"/>
      <c r="S558"/>
      <c r="T558"/>
      <c r="U558"/>
      <c r="V558"/>
      <c r="W558"/>
      <c r="X558"/>
      <c r="Y558"/>
      <c r="Z558"/>
      <c r="AA558"/>
    </row>
    <row r="559" spans="1:27">
      <c r="A559"/>
      <c r="B559"/>
      <c r="C559"/>
      <c r="D559"/>
      <c r="F559"/>
      <c r="Q559"/>
      <c r="R559"/>
      <c r="S559"/>
      <c r="T559"/>
      <c r="U559"/>
      <c r="V559"/>
      <c r="W559"/>
      <c r="X559"/>
      <c r="Y559"/>
      <c r="Z559"/>
      <c r="AA559"/>
    </row>
    <row r="560" spans="1:27">
      <c r="A560"/>
      <c r="B560"/>
      <c r="C560"/>
      <c r="D560"/>
      <c r="F560"/>
      <c r="Q560"/>
      <c r="R560"/>
      <c r="S560"/>
      <c r="T560"/>
      <c r="U560"/>
      <c r="V560"/>
      <c r="W560"/>
      <c r="X560"/>
      <c r="Y560"/>
      <c r="Z560"/>
      <c r="AA560"/>
    </row>
    <row r="561" spans="1:27">
      <c r="A561"/>
      <c r="B561"/>
      <c r="C561"/>
      <c r="D561"/>
      <c r="F561"/>
      <c r="Q561"/>
      <c r="R561"/>
      <c r="S561"/>
      <c r="T561"/>
      <c r="U561"/>
      <c r="V561"/>
      <c r="W561"/>
      <c r="X561"/>
      <c r="Y561"/>
      <c r="Z561"/>
      <c r="AA561"/>
    </row>
    <row r="562" spans="1:27">
      <c r="A562"/>
      <c r="B562"/>
      <c r="C562"/>
      <c r="D562"/>
      <c r="F562"/>
      <c r="Q562"/>
      <c r="R562"/>
      <c r="S562"/>
      <c r="T562"/>
      <c r="U562"/>
      <c r="V562"/>
      <c r="W562"/>
      <c r="X562"/>
      <c r="Y562"/>
      <c r="Z562"/>
      <c r="AA562"/>
    </row>
    <row r="563" spans="1:27">
      <c r="A563"/>
      <c r="B563"/>
      <c r="C563"/>
      <c r="D563"/>
      <c r="F563"/>
      <c r="Q563"/>
      <c r="R563"/>
      <c r="S563"/>
      <c r="T563"/>
      <c r="U563"/>
      <c r="V563"/>
      <c r="W563"/>
      <c r="X563"/>
      <c r="Y563"/>
      <c r="Z563"/>
      <c r="AA563"/>
    </row>
    <row r="564" spans="1:27">
      <c r="A564"/>
      <c r="B564"/>
      <c r="C564"/>
      <c r="D564"/>
      <c r="F564"/>
      <c r="Q564"/>
      <c r="R564"/>
      <c r="S564"/>
      <c r="T564"/>
      <c r="U564"/>
      <c r="V564"/>
      <c r="W564"/>
      <c r="X564"/>
      <c r="Y564"/>
      <c r="Z564"/>
      <c r="AA564"/>
    </row>
    <row r="565" spans="1:27">
      <c r="A565"/>
      <c r="B565"/>
      <c r="C565"/>
      <c r="D565"/>
      <c r="F565"/>
      <c r="Q565"/>
      <c r="R565"/>
      <c r="S565"/>
      <c r="T565"/>
      <c r="U565"/>
      <c r="V565"/>
      <c r="W565"/>
      <c r="X565"/>
      <c r="Y565"/>
      <c r="Z565"/>
      <c r="AA565"/>
    </row>
    <row r="566" spans="1:27">
      <c r="A566"/>
      <c r="B566"/>
      <c r="C566"/>
      <c r="D566"/>
      <c r="F566"/>
      <c r="Q566"/>
      <c r="R566"/>
      <c r="S566"/>
      <c r="T566"/>
      <c r="U566"/>
      <c r="V566"/>
      <c r="W566"/>
      <c r="X566"/>
      <c r="Y566"/>
      <c r="Z566"/>
      <c r="AA566"/>
    </row>
    <row r="567" spans="1:27">
      <c r="A567"/>
      <c r="B567"/>
      <c r="C567"/>
      <c r="D567"/>
      <c r="F567"/>
      <c r="Q567"/>
      <c r="R567"/>
      <c r="S567"/>
      <c r="T567"/>
      <c r="U567"/>
      <c r="V567"/>
      <c r="W567"/>
      <c r="X567"/>
      <c r="Y567"/>
      <c r="Z567"/>
      <c r="AA567"/>
    </row>
    <row r="568" spans="1:27">
      <c r="A568"/>
      <c r="B568"/>
      <c r="C568"/>
      <c r="D568"/>
      <c r="F568"/>
      <c r="Q568"/>
      <c r="R568"/>
      <c r="S568"/>
      <c r="T568"/>
      <c r="U568"/>
      <c r="V568"/>
      <c r="W568"/>
      <c r="X568"/>
      <c r="Y568"/>
      <c r="Z568"/>
      <c r="AA568"/>
    </row>
    <row r="569" spans="1:27">
      <c r="A569"/>
      <c r="B569"/>
      <c r="C569"/>
      <c r="D569"/>
      <c r="F569"/>
      <c r="Q569"/>
      <c r="R569"/>
      <c r="S569"/>
      <c r="T569"/>
      <c r="U569"/>
      <c r="V569"/>
      <c r="W569"/>
      <c r="X569"/>
      <c r="Y569"/>
      <c r="Z569"/>
      <c r="AA569"/>
    </row>
    <row r="570" spans="1:27">
      <c r="A570"/>
      <c r="B570"/>
      <c r="C570"/>
      <c r="D570"/>
      <c r="F570"/>
      <c r="Q570"/>
      <c r="R570"/>
      <c r="S570"/>
      <c r="T570"/>
      <c r="U570"/>
      <c r="V570"/>
      <c r="W570"/>
      <c r="X570"/>
      <c r="Y570"/>
      <c r="Z570"/>
      <c r="AA570"/>
    </row>
    <row r="571" spans="1:27">
      <c r="A571"/>
      <c r="B571"/>
      <c r="C571"/>
      <c r="D571"/>
      <c r="F571"/>
      <c r="Q571"/>
      <c r="R571"/>
      <c r="S571"/>
      <c r="T571"/>
      <c r="U571"/>
      <c r="V571"/>
      <c r="W571"/>
      <c r="X571"/>
      <c r="Y571"/>
      <c r="Z571"/>
      <c r="AA571"/>
    </row>
    <row r="572" spans="1:27">
      <c r="A572"/>
      <c r="B572"/>
      <c r="C572"/>
      <c r="D572"/>
      <c r="F572"/>
      <c r="Q572"/>
      <c r="R572"/>
      <c r="S572"/>
      <c r="T572"/>
      <c r="U572"/>
      <c r="V572"/>
      <c r="W572"/>
      <c r="X572"/>
      <c r="Y572"/>
      <c r="Z572"/>
      <c r="AA572"/>
    </row>
    <row r="573" spans="1:27">
      <c r="A573"/>
      <c r="B573"/>
      <c r="C573"/>
      <c r="D573"/>
      <c r="F573"/>
      <c r="Q573"/>
      <c r="R573"/>
      <c r="S573"/>
      <c r="T573"/>
      <c r="U573"/>
      <c r="V573"/>
      <c r="W573"/>
      <c r="X573"/>
      <c r="Y573"/>
      <c r="Z573"/>
      <c r="AA573"/>
    </row>
    <row r="574" spans="1:27">
      <c r="A574"/>
      <c r="B574"/>
      <c r="C574"/>
      <c r="D574"/>
      <c r="F574"/>
      <c r="Q574"/>
      <c r="R574"/>
      <c r="S574"/>
      <c r="T574"/>
      <c r="U574"/>
      <c r="V574"/>
      <c r="W574"/>
      <c r="X574"/>
      <c r="Y574"/>
      <c r="Z574"/>
      <c r="AA574"/>
    </row>
    <row r="575" spans="1:27">
      <c r="A575"/>
      <c r="B575"/>
      <c r="C575"/>
      <c r="D575"/>
      <c r="F575"/>
      <c r="Q575"/>
      <c r="R575"/>
      <c r="S575"/>
      <c r="T575"/>
      <c r="U575"/>
      <c r="V575"/>
      <c r="W575"/>
      <c r="X575"/>
      <c r="Y575"/>
      <c r="Z575"/>
      <c r="AA575"/>
    </row>
    <row r="576" spans="1:27">
      <c r="A576"/>
      <c r="B576"/>
      <c r="C576"/>
      <c r="D576"/>
      <c r="F576"/>
      <c r="Q576"/>
      <c r="R576"/>
      <c r="S576"/>
      <c r="T576"/>
      <c r="U576"/>
      <c r="V576"/>
      <c r="W576"/>
      <c r="X576"/>
      <c r="Y576"/>
      <c r="Z576"/>
      <c r="AA576"/>
    </row>
    <row r="577" spans="1:27">
      <c r="A577"/>
      <c r="B577"/>
      <c r="C577"/>
      <c r="D577"/>
      <c r="F577"/>
      <c r="Q577"/>
      <c r="R577"/>
      <c r="S577"/>
      <c r="T577"/>
      <c r="U577"/>
      <c r="V577"/>
      <c r="W577"/>
      <c r="X577"/>
      <c r="Y577"/>
      <c r="Z577"/>
      <c r="AA577"/>
    </row>
    <row r="578" spans="1:27">
      <c r="A578"/>
      <c r="B578"/>
      <c r="C578"/>
      <c r="D578"/>
      <c r="F578"/>
      <c r="Q578"/>
      <c r="R578"/>
      <c r="S578"/>
      <c r="T578"/>
      <c r="U578"/>
      <c r="V578"/>
      <c r="W578"/>
      <c r="X578"/>
      <c r="Y578"/>
      <c r="Z578"/>
      <c r="AA578"/>
    </row>
    <row r="579" spans="1:27">
      <c r="A579"/>
      <c r="B579"/>
      <c r="C579"/>
      <c r="D579"/>
      <c r="F579"/>
      <c r="Q579"/>
      <c r="R579"/>
      <c r="S579"/>
      <c r="T579"/>
      <c r="U579"/>
      <c r="V579"/>
      <c r="W579"/>
      <c r="X579"/>
      <c r="Y579"/>
      <c r="Z579"/>
      <c r="AA579"/>
    </row>
    <row r="580" spans="1:27">
      <c r="A580"/>
      <c r="B580"/>
      <c r="C580"/>
      <c r="D580"/>
      <c r="F580"/>
      <c r="Q580"/>
      <c r="R580"/>
      <c r="S580"/>
      <c r="T580"/>
      <c r="U580"/>
      <c r="V580"/>
      <c r="W580"/>
      <c r="X580"/>
      <c r="Y580"/>
      <c r="Z580"/>
      <c r="AA580"/>
    </row>
    <row r="581" spans="1:27">
      <c r="A581"/>
      <c r="B581"/>
      <c r="C581"/>
      <c r="D581"/>
      <c r="F581"/>
      <c r="Q581"/>
      <c r="R581"/>
      <c r="S581"/>
      <c r="T581"/>
      <c r="U581"/>
      <c r="V581"/>
      <c r="W581"/>
      <c r="X581"/>
      <c r="Y581"/>
      <c r="Z581"/>
      <c r="AA581"/>
    </row>
    <row r="582" spans="1:27">
      <c r="A582"/>
      <c r="B582"/>
      <c r="C582"/>
      <c r="D582"/>
      <c r="F582"/>
      <c r="Q582"/>
      <c r="R582"/>
      <c r="S582"/>
      <c r="T582"/>
      <c r="U582"/>
      <c r="V582"/>
      <c r="W582"/>
      <c r="X582"/>
      <c r="Y582"/>
      <c r="Z582"/>
      <c r="AA582"/>
    </row>
    <row r="583" spans="1:27">
      <c r="A583"/>
      <c r="B583"/>
      <c r="C583"/>
      <c r="D583"/>
      <c r="F583"/>
      <c r="Q583"/>
      <c r="R583"/>
      <c r="S583"/>
      <c r="T583"/>
      <c r="U583"/>
      <c r="V583"/>
      <c r="W583"/>
      <c r="X583"/>
      <c r="Y583"/>
      <c r="Z583"/>
      <c r="AA583"/>
    </row>
    <row r="584" spans="1:27">
      <c r="A584"/>
      <c r="B584"/>
      <c r="C584"/>
      <c r="D584"/>
      <c r="F584"/>
      <c r="Q584"/>
      <c r="R584"/>
      <c r="S584"/>
      <c r="T584"/>
      <c r="U584"/>
      <c r="V584"/>
      <c r="W584"/>
      <c r="X584"/>
      <c r="Y584"/>
      <c r="Z584"/>
      <c r="AA584"/>
    </row>
    <row r="585" spans="1:27">
      <c r="A585"/>
      <c r="B585"/>
      <c r="C585"/>
      <c r="D585"/>
      <c r="F585"/>
      <c r="Q585"/>
      <c r="R585"/>
      <c r="S585"/>
      <c r="T585"/>
      <c r="U585"/>
      <c r="V585"/>
      <c r="W585"/>
      <c r="X585"/>
      <c r="Y585"/>
      <c r="Z585"/>
      <c r="AA585"/>
    </row>
    <row r="586" spans="1:27">
      <c r="A586"/>
      <c r="B586"/>
      <c r="C586"/>
      <c r="D586"/>
      <c r="F586"/>
      <c r="Q586"/>
      <c r="R586"/>
      <c r="S586"/>
      <c r="T586"/>
      <c r="U586"/>
      <c r="V586"/>
      <c r="W586"/>
      <c r="X586"/>
      <c r="Y586"/>
      <c r="Z586"/>
      <c r="AA586"/>
    </row>
    <row r="587" spans="1:27">
      <c r="A587"/>
      <c r="B587"/>
      <c r="C587"/>
      <c r="D587"/>
      <c r="F587"/>
      <c r="Q587"/>
      <c r="R587"/>
      <c r="S587"/>
      <c r="T587"/>
      <c r="U587"/>
      <c r="V587"/>
      <c r="W587"/>
      <c r="X587"/>
      <c r="Y587"/>
      <c r="Z587"/>
      <c r="AA587"/>
    </row>
    <row r="588" spans="1:27">
      <c r="A588"/>
      <c r="B588"/>
      <c r="C588"/>
      <c r="D588"/>
      <c r="F588"/>
      <c r="Q588"/>
      <c r="R588"/>
      <c r="S588"/>
      <c r="T588"/>
      <c r="U588"/>
      <c r="V588"/>
      <c r="W588"/>
      <c r="X588"/>
      <c r="Y588"/>
      <c r="Z588"/>
      <c r="AA588"/>
    </row>
    <row r="589" spans="1:27">
      <c r="A589"/>
      <c r="B589"/>
      <c r="C589"/>
      <c r="D589"/>
      <c r="F589"/>
      <c r="Q589"/>
      <c r="R589"/>
      <c r="S589"/>
      <c r="T589"/>
      <c r="U589"/>
      <c r="V589"/>
      <c r="W589"/>
      <c r="X589"/>
      <c r="Y589"/>
      <c r="Z589"/>
      <c r="AA589"/>
    </row>
    <row r="590" spans="1:27">
      <c r="A590"/>
      <c r="B590"/>
      <c r="C590"/>
      <c r="D590"/>
      <c r="F590"/>
      <c r="Q590"/>
      <c r="R590"/>
      <c r="S590"/>
      <c r="T590"/>
      <c r="U590"/>
      <c r="V590"/>
      <c r="W590"/>
      <c r="X590"/>
      <c r="Y590"/>
      <c r="Z590"/>
      <c r="AA590"/>
    </row>
    <row r="591" spans="1:27">
      <c r="A591"/>
      <c r="B591"/>
      <c r="C591"/>
      <c r="D591"/>
      <c r="F591"/>
      <c r="Q591"/>
      <c r="R591"/>
      <c r="S591"/>
      <c r="T591"/>
      <c r="U591"/>
      <c r="V591"/>
      <c r="W591"/>
      <c r="X591"/>
      <c r="Y591"/>
      <c r="Z591"/>
      <c r="AA591"/>
    </row>
    <row r="592" spans="1:27">
      <c r="A592"/>
      <c r="B592"/>
      <c r="C592"/>
      <c r="D592"/>
      <c r="F592"/>
      <c r="Q592"/>
      <c r="R592"/>
      <c r="S592"/>
      <c r="T592"/>
      <c r="U592"/>
      <c r="V592"/>
      <c r="W592"/>
      <c r="X592"/>
      <c r="Y592"/>
      <c r="Z592"/>
      <c r="AA592"/>
    </row>
    <row r="593" spans="1:27">
      <c r="A593"/>
      <c r="B593"/>
      <c r="C593"/>
      <c r="D593"/>
      <c r="F593"/>
      <c r="Q593"/>
      <c r="R593"/>
      <c r="S593"/>
      <c r="T593"/>
      <c r="U593"/>
      <c r="V593"/>
      <c r="W593"/>
      <c r="X593"/>
      <c r="Y593"/>
      <c r="Z593"/>
      <c r="AA593"/>
    </row>
    <row r="594" spans="1:27">
      <c r="A594"/>
      <c r="B594"/>
      <c r="C594"/>
      <c r="D594"/>
      <c r="F594"/>
      <c r="Q594"/>
      <c r="R594"/>
      <c r="S594"/>
      <c r="T594"/>
      <c r="U594"/>
      <c r="V594"/>
      <c r="W594"/>
      <c r="X594"/>
      <c r="Y594"/>
      <c r="Z594"/>
      <c r="AA594"/>
    </row>
    <row r="595" spans="1:27">
      <c r="A595"/>
      <c r="B595"/>
      <c r="C595"/>
      <c r="D595"/>
      <c r="F595"/>
      <c r="Q595"/>
      <c r="R595"/>
      <c r="S595"/>
      <c r="T595"/>
      <c r="U595"/>
      <c r="V595"/>
      <c r="W595"/>
      <c r="X595"/>
      <c r="Y595"/>
      <c r="Z595"/>
      <c r="AA595"/>
    </row>
    <row r="596" spans="1:27">
      <c r="A596"/>
      <c r="B596"/>
      <c r="C596"/>
      <c r="D596"/>
      <c r="F596"/>
      <c r="Q596"/>
      <c r="R596"/>
      <c r="S596"/>
      <c r="T596"/>
      <c r="U596"/>
      <c r="V596"/>
      <c r="W596"/>
      <c r="X596"/>
      <c r="Y596"/>
      <c r="Z596"/>
      <c r="AA596"/>
    </row>
    <row r="597" spans="1:27">
      <c r="A597"/>
      <c r="B597"/>
      <c r="C597"/>
      <c r="D597"/>
      <c r="F597"/>
      <c r="Q597"/>
      <c r="R597"/>
      <c r="S597"/>
      <c r="T597"/>
      <c r="U597"/>
      <c r="V597"/>
      <c r="W597"/>
      <c r="X597"/>
      <c r="Y597"/>
      <c r="Z597"/>
      <c r="AA597"/>
    </row>
    <row r="598" spans="1:27">
      <c r="A598"/>
      <c r="B598"/>
      <c r="C598"/>
      <c r="D598"/>
      <c r="F598"/>
      <c r="Q598"/>
      <c r="R598"/>
      <c r="S598"/>
      <c r="T598"/>
      <c r="U598"/>
      <c r="V598"/>
      <c r="W598"/>
      <c r="X598"/>
      <c r="Y598"/>
      <c r="Z598"/>
      <c r="AA598"/>
    </row>
    <row r="599" spans="1:27">
      <c r="A599"/>
      <c r="B599"/>
      <c r="C599"/>
      <c r="D599"/>
      <c r="F599"/>
      <c r="Q599"/>
      <c r="R599"/>
      <c r="S599"/>
      <c r="T599"/>
      <c r="U599"/>
      <c r="V599"/>
      <c r="W599"/>
      <c r="X599"/>
      <c r="Y599"/>
      <c r="Z599"/>
      <c r="AA599"/>
    </row>
    <row r="600" spans="1:27">
      <c r="A600"/>
      <c r="B600"/>
      <c r="C600"/>
      <c r="D600"/>
      <c r="F600"/>
      <c r="Q600"/>
      <c r="R600"/>
      <c r="S600"/>
      <c r="T600"/>
      <c r="U600"/>
      <c r="V600"/>
      <c r="W600"/>
      <c r="X600"/>
      <c r="Y600"/>
      <c r="Z600"/>
      <c r="AA600"/>
    </row>
    <row r="601" spans="1:27">
      <c r="A601"/>
      <c r="B601"/>
      <c r="C601"/>
      <c r="D601"/>
      <c r="F601"/>
      <c r="Q601"/>
      <c r="R601"/>
      <c r="S601"/>
      <c r="T601"/>
      <c r="U601"/>
      <c r="V601"/>
      <c r="W601"/>
      <c r="X601"/>
      <c r="Y601"/>
      <c r="Z601"/>
      <c r="AA601"/>
    </row>
    <row r="602" spans="1:27">
      <c r="A602"/>
      <c r="B602"/>
      <c r="C602"/>
      <c r="D602"/>
      <c r="F602"/>
      <c r="Q602"/>
      <c r="R602"/>
      <c r="S602"/>
      <c r="T602"/>
      <c r="U602"/>
      <c r="V602"/>
      <c r="W602"/>
      <c r="X602"/>
      <c r="Y602"/>
      <c r="Z602"/>
      <c r="AA602"/>
    </row>
    <row r="603" spans="1:27">
      <c r="A603"/>
      <c r="B603"/>
      <c r="C603"/>
      <c r="D603"/>
      <c r="F603"/>
      <c r="Q603"/>
      <c r="R603"/>
      <c r="S603"/>
      <c r="T603"/>
      <c r="U603"/>
      <c r="V603"/>
      <c r="W603"/>
      <c r="X603"/>
      <c r="Y603"/>
      <c r="Z603"/>
      <c r="AA603"/>
    </row>
    <row r="604" spans="1:27">
      <c r="A604"/>
      <c r="B604"/>
      <c r="C604"/>
      <c r="D604"/>
      <c r="F604"/>
      <c r="Q604"/>
      <c r="R604"/>
      <c r="S604"/>
      <c r="T604"/>
      <c r="U604"/>
      <c r="V604"/>
      <c r="W604"/>
      <c r="X604"/>
      <c r="Y604"/>
      <c r="Z604"/>
      <c r="AA604"/>
    </row>
    <row r="605" spans="1:27">
      <c r="A605"/>
      <c r="B605"/>
      <c r="C605"/>
      <c r="D605"/>
      <c r="F605"/>
      <c r="Q605"/>
      <c r="R605"/>
      <c r="S605"/>
      <c r="T605"/>
      <c r="U605"/>
      <c r="V605"/>
      <c r="W605"/>
      <c r="X605"/>
      <c r="Y605"/>
      <c r="Z605"/>
      <c r="AA605"/>
    </row>
    <row r="606" spans="1:27">
      <c r="A606"/>
      <c r="B606"/>
      <c r="C606"/>
      <c r="D606"/>
      <c r="F606"/>
      <c r="Q606"/>
      <c r="R606"/>
      <c r="S606"/>
      <c r="T606"/>
      <c r="U606"/>
      <c r="V606"/>
      <c r="W606"/>
      <c r="X606"/>
      <c r="Y606"/>
      <c r="Z606"/>
      <c r="AA606"/>
    </row>
    <row r="607" spans="1:27">
      <c r="A607"/>
      <c r="B607"/>
      <c r="C607"/>
      <c r="D607"/>
      <c r="F607"/>
      <c r="Q607"/>
      <c r="R607"/>
      <c r="S607"/>
      <c r="T607"/>
      <c r="U607"/>
      <c r="V607"/>
      <c r="W607"/>
      <c r="X607"/>
      <c r="Y607"/>
      <c r="Z607"/>
      <c r="AA607"/>
    </row>
    <row r="608" spans="1:27">
      <c r="A608"/>
      <c r="B608"/>
      <c r="C608"/>
      <c r="D608"/>
      <c r="F608"/>
      <c r="Q608"/>
      <c r="R608"/>
      <c r="S608"/>
      <c r="T608"/>
      <c r="U608"/>
      <c r="V608"/>
      <c r="W608"/>
      <c r="X608"/>
      <c r="Y608"/>
      <c r="Z608"/>
      <c r="AA608"/>
    </row>
    <row r="609" spans="1:27">
      <c r="A609"/>
      <c r="B609"/>
      <c r="C609"/>
      <c r="D609"/>
      <c r="F609"/>
      <c r="Q609"/>
      <c r="R609"/>
      <c r="S609"/>
      <c r="T609"/>
      <c r="U609"/>
      <c r="V609"/>
      <c r="W609"/>
      <c r="X609"/>
      <c r="Y609"/>
      <c r="Z609"/>
      <c r="AA609"/>
    </row>
    <row r="610" spans="1:27">
      <c r="A610"/>
      <c r="B610"/>
      <c r="C610"/>
      <c r="D610"/>
      <c r="F610"/>
      <c r="Q610"/>
      <c r="R610"/>
      <c r="S610"/>
      <c r="T610"/>
      <c r="U610"/>
      <c r="V610"/>
      <c r="W610"/>
      <c r="X610"/>
      <c r="Y610"/>
      <c r="Z610"/>
      <c r="AA610"/>
    </row>
    <row r="611" spans="1:27">
      <c r="A611"/>
      <c r="B611"/>
      <c r="C611"/>
      <c r="D611"/>
      <c r="F611"/>
      <c r="Q611"/>
      <c r="R611"/>
      <c r="S611"/>
      <c r="T611"/>
      <c r="U611"/>
      <c r="V611"/>
      <c r="W611"/>
      <c r="X611"/>
      <c r="Y611"/>
      <c r="Z611"/>
      <c r="AA611"/>
    </row>
    <row r="612" spans="1:27">
      <c r="A612"/>
      <c r="B612"/>
      <c r="C612"/>
      <c r="D612"/>
      <c r="F612"/>
      <c r="Q612"/>
      <c r="R612"/>
      <c r="S612"/>
      <c r="T612"/>
      <c r="U612"/>
      <c r="V612"/>
      <c r="W612"/>
      <c r="X612"/>
      <c r="Y612"/>
      <c r="Z612"/>
      <c r="AA612"/>
    </row>
    <row r="613" spans="1:27">
      <c r="A613"/>
      <c r="B613"/>
      <c r="C613"/>
      <c r="D613"/>
      <c r="F613"/>
      <c r="Q613"/>
      <c r="R613"/>
      <c r="S613"/>
      <c r="T613"/>
      <c r="U613"/>
      <c r="V613"/>
      <c r="W613"/>
      <c r="X613"/>
      <c r="Y613"/>
      <c r="Z613"/>
      <c r="AA613"/>
    </row>
    <row r="614" spans="1:27">
      <c r="A614"/>
      <c r="B614"/>
      <c r="C614"/>
      <c r="D614"/>
      <c r="F614"/>
      <c r="Q614"/>
      <c r="R614"/>
      <c r="S614"/>
      <c r="T614"/>
      <c r="U614"/>
      <c r="V614"/>
      <c r="W614"/>
      <c r="X614"/>
      <c r="Y614"/>
      <c r="Z614"/>
      <c r="AA614"/>
    </row>
    <row r="615" spans="1:27">
      <c r="A615"/>
      <c r="B615"/>
      <c r="C615"/>
      <c r="D615"/>
      <c r="F615"/>
      <c r="Q615"/>
      <c r="R615"/>
      <c r="S615"/>
      <c r="T615"/>
      <c r="U615"/>
      <c r="V615"/>
      <c r="W615"/>
      <c r="X615"/>
      <c r="Y615"/>
      <c r="Z615"/>
      <c r="AA615"/>
    </row>
    <row r="616" spans="1:27">
      <c r="A616"/>
      <c r="B616"/>
      <c r="C616"/>
      <c r="D616"/>
      <c r="F616"/>
      <c r="Q616"/>
      <c r="R616"/>
      <c r="S616"/>
      <c r="T616"/>
      <c r="U616"/>
      <c r="V616"/>
      <c r="W616"/>
      <c r="X616"/>
      <c r="Y616"/>
      <c r="Z616"/>
      <c r="AA616"/>
    </row>
    <row r="617" spans="1:27">
      <c r="A617"/>
      <c r="B617"/>
      <c r="C617"/>
      <c r="D617"/>
      <c r="F617"/>
      <c r="Q617"/>
      <c r="R617"/>
      <c r="S617"/>
      <c r="T617"/>
      <c r="U617"/>
      <c r="V617"/>
      <c r="W617"/>
      <c r="X617"/>
      <c r="Y617"/>
      <c r="Z617"/>
      <c r="AA617"/>
    </row>
    <row r="618" spans="1:27">
      <c r="A618"/>
      <c r="B618"/>
      <c r="C618"/>
      <c r="D618"/>
      <c r="F618"/>
      <c r="Q618"/>
      <c r="R618"/>
      <c r="S618"/>
      <c r="T618"/>
      <c r="U618"/>
      <c r="V618"/>
      <c r="W618"/>
      <c r="X618"/>
      <c r="Y618"/>
      <c r="Z618"/>
      <c r="AA618"/>
    </row>
    <row r="619" spans="1:27">
      <c r="A619"/>
      <c r="B619"/>
      <c r="C619"/>
      <c r="D619"/>
      <c r="F619"/>
      <c r="Q619"/>
      <c r="R619"/>
      <c r="S619"/>
      <c r="T619"/>
      <c r="U619"/>
      <c r="V619"/>
      <c r="W619"/>
      <c r="X619"/>
      <c r="Y619"/>
      <c r="Z619"/>
      <c r="AA619"/>
    </row>
    <row r="620" spans="1:27">
      <c r="A620"/>
      <c r="B620"/>
      <c r="C620"/>
      <c r="D620"/>
      <c r="F620"/>
      <c r="Q620"/>
      <c r="R620"/>
      <c r="S620"/>
      <c r="T620"/>
      <c r="U620"/>
      <c r="V620"/>
      <c r="W620"/>
      <c r="X620"/>
      <c r="Y620"/>
      <c r="Z620"/>
      <c r="AA620"/>
    </row>
    <row r="621" spans="1:27">
      <c r="A621"/>
      <c r="B621"/>
      <c r="C621"/>
      <c r="D621"/>
      <c r="F621"/>
      <c r="Q621"/>
      <c r="R621"/>
      <c r="S621"/>
      <c r="T621"/>
      <c r="U621"/>
      <c r="V621"/>
      <c r="W621"/>
      <c r="X621"/>
      <c r="Y621"/>
      <c r="Z621"/>
      <c r="AA621"/>
    </row>
    <row r="622" spans="1:27">
      <c r="A622"/>
      <c r="B622"/>
      <c r="C622"/>
      <c r="D622"/>
      <c r="F622"/>
      <c r="Q622"/>
      <c r="R622"/>
      <c r="S622"/>
      <c r="T622"/>
      <c r="U622"/>
      <c r="V622"/>
      <c r="W622"/>
      <c r="X622"/>
      <c r="Y622"/>
      <c r="Z622"/>
      <c r="AA622"/>
    </row>
    <row r="623" spans="1:27">
      <c r="A623"/>
      <c r="B623"/>
      <c r="C623"/>
      <c r="D623"/>
      <c r="F623"/>
      <c r="Q623"/>
      <c r="R623"/>
      <c r="S623"/>
      <c r="T623"/>
      <c r="U623"/>
      <c r="V623"/>
      <c r="W623"/>
      <c r="X623"/>
      <c r="Y623"/>
      <c r="Z623"/>
      <c r="AA623"/>
    </row>
    <row r="624" spans="1:27">
      <c r="A624"/>
      <c r="B624"/>
      <c r="C624"/>
      <c r="D624"/>
      <c r="F624"/>
      <c r="Q624"/>
      <c r="R624"/>
      <c r="S624"/>
      <c r="T624"/>
      <c r="U624"/>
      <c r="V624"/>
      <c r="W624"/>
      <c r="X624"/>
      <c r="Y624"/>
      <c r="Z624"/>
      <c r="AA624"/>
    </row>
    <row r="625" spans="1:27">
      <c r="A625"/>
      <c r="B625"/>
      <c r="C625"/>
      <c r="D625"/>
      <c r="F625"/>
      <c r="Q625"/>
      <c r="R625"/>
      <c r="S625"/>
      <c r="T625"/>
      <c r="U625"/>
      <c r="V625"/>
      <c r="W625"/>
      <c r="X625"/>
      <c r="Y625"/>
      <c r="Z625"/>
      <c r="AA625"/>
    </row>
    <row r="626" spans="1:27">
      <c r="A626"/>
      <c r="B626"/>
      <c r="C626"/>
      <c r="D626"/>
      <c r="F626"/>
      <c r="Q626"/>
      <c r="R626"/>
      <c r="S626"/>
      <c r="T626"/>
      <c r="U626"/>
      <c r="V626"/>
      <c r="W626"/>
      <c r="X626"/>
      <c r="Y626"/>
      <c r="Z626"/>
      <c r="AA626"/>
    </row>
    <row r="627" spans="1:27">
      <c r="A627"/>
      <c r="B627"/>
      <c r="C627"/>
      <c r="D627"/>
      <c r="F627"/>
      <c r="Q627"/>
      <c r="R627"/>
      <c r="S627"/>
      <c r="T627"/>
      <c r="U627"/>
      <c r="V627"/>
      <c r="W627"/>
      <c r="X627"/>
      <c r="Y627"/>
      <c r="Z627"/>
      <c r="AA627"/>
    </row>
    <row r="628" spans="1:27">
      <c r="A628"/>
      <c r="B628"/>
      <c r="C628"/>
      <c r="D628"/>
      <c r="F628"/>
      <c r="Q628"/>
      <c r="R628"/>
      <c r="S628"/>
      <c r="T628"/>
      <c r="U628"/>
      <c r="V628"/>
      <c r="W628"/>
      <c r="X628"/>
      <c r="Y628"/>
      <c r="Z628"/>
      <c r="AA628"/>
    </row>
    <row r="629" spans="1:27">
      <c r="A629"/>
      <c r="B629"/>
      <c r="C629"/>
      <c r="D629"/>
      <c r="F629"/>
      <c r="Q629"/>
      <c r="R629"/>
      <c r="S629"/>
      <c r="T629"/>
      <c r="U629"/>
      <c r="V629"/>
      <c r="W629"/>
      <c r="X629"/>
      <c r="Y629"/>
      <c r="Z629"/>
      <c r="AA629"/>
    </row>
    <row r="630" spans="1:27">
      <c r="A630"/>
      <c r="B630"/>
      <c r="C630"/>
      <c r="D630"/>
      <c r="F630"/>
      <c r="Q630"/>
      <c r="R630"/>
      <c r="S630"/>
      <c r="T630"/>
      <c r="U630"/>
      <c r="V630"/>
      <c r="W630"/>
      <c r="X630"/>
      <c r="Y630"/>
      <c r="Z630"/>
      <c r="AA630"/>
    </row>
    <row r="631" spans="1:27">
      <c r="A631"/>
      <c r="B631"/>
      <c r="C631"/>
      <c r="D631"/>
      <c r="F631"/>
      <c r="Q631"/>
      <c r="R631"/>
      <c r="S631"/>
      <c r="T631"/>
      <c r="U631"/>
      <c r="V631"/>
      <c r="W631"/>
      <c r="X631"/>
      <c r="Y631"/>
      <c r="Z631"/>
      <c r="AA631"/>
    </row>
    <row r="632" spans="1:27">
      <c r="A632"/>
      <c r="B632"/>
      <c r="C632"/>
      <c r="D632"/>
      <c r="F632"/>
      <c r="Q632"/>
      <c r="R632"/>
      <c r="S632"/>
      <c r="T632"/>
      <c r="U632"/>
      <c r="V632"/>
      <c r="W632"/>
      <c r="X632"/>
      <c r="Y632"/>
      <c r="Z632"/>
      <c r="AA632"/>
    </row>
    <row r="633" spans="1:27">
      <c r="A633"/>
      <c r="B633"/>
      <c r="C633"/>
      <c r="D633"/>
      <c r="F633"/>
      <c r="Q633"/>
      <c r="R633"/>
      <c r="S633"/>
      <c r="T633"/>
      <c r="U633"/>
      <c r="V633"/>
      <c r="W633"/>
      <c r="X633"/>
      <c r="Y633"/>
      <c r="Z633"/>
      <c r="AA633"/>
    </row>
    <row r="634" spans="1:27">
      <c r="A634"/>
      <c r="B634"/>
      <c r="C634"/>
      <c r="D634"/>
      <c r="F634"/>
      <c r="Q634"/>
      <c r="R634"/>
      <c r="S634"/>
      <c r="T634"/>
      <c r="U634"/>
      <c r="V634"/>
      <c r="W634"/>
      <c r="X634"/>
      <c r="Y634"/>
      <c r="Z634"/>
      <c r="AA634"/>
    </row>
    <row r="635" spans="1:27">
      <c r="A635"/>
      <c r="B635"/>
      <c r="C635"/>
      <c r="D635"/>
      <c r="F635"/>
      <c r="Q635"/>
      <c r="R635"/>
      <c r="S635"/>
      <c r="T635"/>
      <c r="U635"/>
      <c r="V635"/>
      <c r="W635"/>
      <c r="X635"/>
      <c r="Y635"/>
      <c r="Z635"/>
      <c r="AA635"/>
    </row>
    <row r="636" spans="1:27">
      <c r="A636"/>
      <c r="B636"/>
      <c r="C636"/>
      <c r="D636"/>
      <c r="F636"/>
      <c r="Q636"/>
      <c r="R636"/>
      <c r="S636"/>
      <c r="T636"/>
      <c r="U636"/>
      <c r="V636"/>
      <c r="W636"/>
      <c r="X636"/>
      <c r="Y636"/>
      <c r="Z636"/>
      <c r="AA636"/>
    </row>
    <row r="637" spans="1:27">
      <c r="A637"/>
      <c r="B637"/>
      <c r="C637"/>
      <c r="D637"/>
      <c r="F637"/>
      <c r="Q637"/>
      <c r="R637"/>
      <c r="S637"/>
      <c r="T637"/>
      <c r="U637"/>
      <c r="V637"/>
      <c r="W637"/>
      <c r="X637"/>
      <c r="Y637"/>
      <c r="Z637"/>
      <c r="AA637"/>
    </row>
    <row r="638" spans="1:27">
      <c r="A638"/>
      <c r="B638"/>
      <c r="C638"/>
      <c r="D638"/>
      <c r="F638"/>
      <c r="Q638"/>
      <c r="R638"/>
      <c r="S638"/>
      <c r="T638"/>
      <c r="U638"/>
      <c r="V638"/>
      <c r="W638"/>
      <c r="X638"/>
      <c r="Y638"/>
      <c r="Z638"/>
      <c r="AA638"/>
    </row>
    <row r="639" spans="1:27">
      <c r="A639"/>
      <c r="B639"/>
      <c r="C639"/>
      <c r="D639"/>
      <c r="F639"/>
      <c r="Q639"/>
      <c r="R639"/>
      <c r="S639"/>
      <c r="T639"/>
      <c r="U639"/>
      <c r="V639"/>
      <c r="W639"/>
      <c r="X639"/>
      <c r="Y639"/>
      <c r="Z639"/>
      <c r="AA639"/>
    </row>
    <row r="640" spans="1:27">
      <c r="A640"/>
      <c r="B640"/>
      <c r="C640"/>
      <c r="D640"/>
      <c r="F640"/>
      <c r="Q640"/>
      <c r="R640"/>
      <c r="S640"/>
      <c r="T640"/>
      <c r="U640"/>
      <c r="V640"/>
      <c r="W640"/>
      <c r="X640"/>
      <c r="Y640"/>
      <c r="Z640"/>
      <c r="AA640"/>
    </row>
    <row r="641" spans="1:27">
      <c r="A641"/>
      <c r="B641"/>
      <c r="C641"/>
      <c r="D641"/>
      <c r="F641"/>
      <c r="Q641"/>
      <c r="R641"/>
      <c r="S641"/>
      <c r="T641"/>
      <c r="U641"/>
      <c r="V641"/>
      <c r="W641"/>
      <c r="X641"/>
      <c r="Y641"/>
      <c r="Z641"/>
      <c r="AA641"/>
    </row>
    <row r="642" spans="1:27">
      <c r="A642"/>
      <c r="B642"/>
      <c r="C642"/>
      <c r="D642"/>
      <c r="F642"/>
      <c r="Q642"/>
      <c r="R642"/>
      <c r="S642"/>
      <c r="T642"/>
      <c r="U642"/>
      <c r="V642"/>
      <c r="W642"/>
      <c r="X642"/>
      <c r="Y642"/>
      <c r="Z642"/>
      <c r="AA642"/>
    </row>
    <row r="643" spans="1:27">
      <c r="A643"/>
      <c r="B643"/>
      <c r="C643"/>
      <c r="D643"/>
      <c r="F643"/>
      <c r="Q643"/>
      <c r="R643"/>
      <c r="S643"/>
      <c r="T643"/>
      <c r="U643"/>
      <c r="V643"/>
      <c r="W643"/>
      <c r="X643"/>
      <c r="Y643"/>
      <c r="Z643"/>
      <c r="AA643"/>
    </row>
    <row r="644" spans="1:27">
      <c r="A644"/>
      <c r="B644"/>
      <c r="C644"/>
      <c r="D644"/>
      <c r="F644"/>
      <c r="Q644"/>
      <c r="R644"/>
      <c r="S644"/>
      <c r="T644"/>
      <c r="U644"/>
      <c r="V644"/>
      <c r="W644"/>
      <c r="X644"/>
      <c r="Y644"/>
      <c r="Z644"/>
      <c r="AA644"/>
    </row>
    <row r="645" spans="1:27">
      <c r="A645"/>
      <c r="B645"/>
      <c r="C645"/>
      <c r="D645"/>
      <c r="F645"/>
      <c r="Q645"/>
      <c r="R645"/>
      <c r="S645"/>
      <c r="T645"/>
      <c r="U645"/>
      <c r="V645"/>
      <c r="W645"/>
      <c r="X645"/>
      <c r="Y645"/>
      <c r="Z645"/>
      <c r="AA645"/>
    </row>
    <row r="646" spans="1:27">
      <c r="A646"/>
      <c r="B646"/>
      <c r="C646"/>
      <c r="D646"/>
      <c r="F646"/>
      <c r="Q646"/>
      <c r="R646"/>
      <c r="S646"/>
      <c r="T646"/>
      <c r="U646"/>
      <c r="V646"/>
      <c r="W646"/>
      <c r="X646"/>
      <c r="Y646"/>
      <c r="Z646"/>
      <c r="AA646"/>
    </row>
    <row r="647" spans="1:27">
      <c r="A647"/>
      <c r="B647"/>
      <c r="C647"/>
      <c r="D647"/>
      <c r="F647"/>
      <c r="Q647"/>
      <c r="R647"/>
      <c r="S647"/>
      <c r="T647"/>
      <c r="U647"/>
      <c r="V647"/>
      <c r="W647"/>
      <c r="X647"/>
      <c r="Y647"/>
      <c r="Z647"/>
      <c r="AA647"/>
    </row>
    <row r="648" spans="1:27">
      <c r="A648"/>
      <c r="B648"/>
      <c r="C648"/>
      <c r="D648"/>
      <c r="F648"/>
      <c r="Q648"/>
      <c r="R648"/>
      <c r="S648"/>
      <c r="T648"/>
      <c r="U648"/>
      <c r="V648"/>
      <c r="W648"/>
      <c r="X648"/>
      <c r="Y648"/>
      <c r="Z648"/>
      <c r="AA648"/>
    </row>
    <row r="649" spans="1:27">
      <c r="A649"/>
      <c r="B649"/>
      <c r="C649"/>
      <c r="D649"/>
      <c r="F649"/>
      <c r="Q649"/>
      <c r="R649"/>
      <c r="S649"/>
      <c r="T649"/>
      <c r="U649"/>
      <c r="V649"/>
      <c r="W649"/>
      <c r="X649"/>
      <c r="Y649"/>
      <c r="Z649"/>
      <c r="AA649"/>
    </row>
    <row r="650" spans="1:27">
      <c r="A650"/>
      <c r="B650"/>
      <c r="C650"/>
      <c r="D650"/>
      <c r="F650"/>
      <c r="Q650"/>
      <c r="R650"/>
      <c r="S650"/>
      <c r="T650"/>
      <c r="U650"/>
      <c r="V650"/>
      <c r="W650"/>
      <c r="X650"/>
      <c r="Y650"/>
      <c r="Z650"/>
      <c r="AA650"/>
    </row>
    <row r="651" spans="1:27">
      <c r="A651"/>
      <c r="B651"/>
      <c r="C651"/>
      <c r="D651"/>
      <c r="F651"/>
      <c r="Q651"/>
      <c r="R651"/>
      <c r="S651"/>
      <c r="T651"/>
      <c r="U651"/>
      <c r="V651"/>
      <c r="W651"/>
      <c r="X651"/>
      <c r="Y651"/>
      <c r="Z651"/>
      <c r="AA651"/>
    </row>
    <row r="652" spans="1:27">
      <c r="A652"/>
      <c r="B652"/>
      <c r="C652"/>
      <c r="D652"/>
      <c r="F652"/>
      <c r="Q652"/>
      <c r="R652"/>
      <c r="S652"/>
      <c r="T652"/>
      <c r="U652"/>
      <c r="V652"/>
      <c r="W652"/>
      <c r="X652"/>
      <c r="Y652"/>
      <c r="Z652"/>
      <c r="AA652"/>
    </row>
    <row r="653" spans="1:27">
      <c r="A653"/>
      <c r="B653"/>
      <c r="C653"/>
      <c r="D653"/>
      <c r="F653"/>
      <c r="Q653"/>
      <c r="R653"/>
      <c r="S653"/>
      <c r="T653"/>
      <c r="U653"/>
      <c r="V653"/>
      <c r="W653"/>
      <c r="X653"/>
      <c r="Y653"/>
      <c r="Z653"/>
      <c r="AA653"/>
    </row>
    <row r="654" spans="1:27">
      <c r="A654"/>
      <c r="B654"/>
      <c r="C654"/>
      <c r="D654"/>
      <c r="F654"/>
      <c r="Q654"/>
      <c r="R654"/>
      <c r="S654"/>
      <c r="T654"/>
      <c r="U654"/>
      <c r="V654"/>
      <c r="W654"/>
      <c r="X654"/>
      <c r="Y654"/>
      <c r="Z654"/>
      <c r="AA654"/>
    </row>
    <row r="655" spans="1:27">
      <c r="A655"/>
      <c r="B655"/>
      <c r="C655"/>
      <c r="D655"/>
      <c r="F655"/>
      <c r="Q655"/>
      <c r="R655"/>
      <c r="S655"/>
      <c r="T655"/>
      <c r="U655"/>
      <c r="V655"/>
      <c r="W655"/>
      <c r="X655"/>
      <c r="Y655"/>
      <c r="Z655"/>
      <c r="AA655"/>
    </row>
    <row r="656" spans="1:27">
      <c r="A656"/>
      <c r="B656"/>
      <c r="C656"/>
      <c r="D656"/>
      <c r="F656"/>
      <c r="Q656"/>
      <c r="R656"/>
      <c r="S656"/>
      <c r="T656"/>
      <c r="U656"/>
      <c r="V656"/>
      <c r="W656"/>
      <c r="X656"/>
      <c r="Y656"/>
      <c r="Z656"/>
      <c r="AA656"/>
    </row>
    <row r="657" spans="1:27">
      <c r="A657"/>
      <c r="B657"/>
      <c r="C657"/>
      <c r="D657"/>
      <c r="F657"/>
      <c r="Q657"/>
      <c r="R657"/>
      <c r="S657"/>
      <c r="T657"/>
      <c r="U657"/>
      <c r="V657"/>
      <c r="W657"/>
      <c r="X657"/>
      <c r="Y657"/>
      <c r="Z657"/>
      <c r="AA657"/>
    </row>
    <row r="658" spans="1:27">
      <c r="A658"/>
      <c r="B658"/>
      <c r="C658"/>
      <c r="D658"/>
      <c r="F658"/>
      <c r="Q658"/>
      <c r="R658"/>
      <c r="S658"/>
      <c r="T658"/>
      <c r="U658"/>
      <c r="V658"/>
      <c r="W658"/>
      <c r="X658"/>
      <c r="Y658"/>
      <c r="Z658"/>
      <c r="AA658"/>
    </row>
    <row r="659" spans="1:27">
      <c r="A659"/>
      <c r="B659"/>
      <c r="C659"/>
      <c r="D659"/>
      <c r="F659"/>
      <c r="Q659"/>
      <c r="R659"/>
      <c r="S659"/>
      <c r="T659"/>
      <c r="U659"/>
      <c r="V659"/>
      <c r="W659"/>
      <c r="X659"/>
      <c r="Y659"/>
      <c r="Z659"/>
      <c r="AA659"/>
    </row>
    <row r="660" spans="1:27">
      <c r="A660"/>
      <c r="B660"/>
      <c r="C660"/>
      <c r="D660"/>
      <c r="F660"/>
      <c r="Q660"/>
      <c r="R660"/>
      <c r="S660"/>
      <c r="T660"/>
      <c r="U660"/>
      <c r="V660"/>
      <c r="W660"/>
      <c r="X660"/>
      <c r="Y660"/>
      <c r="Z660"/>
      <c r="AA660"/>
    </row>
    <row r="661" spans="1:27">
      <c r="A661"/>
      <c r="B661"/>
      <c r="C661"/>
      <c r="D661"/>
      <c r="F661"/>
      <c r="Q661"/>
      <c r="R661"/>
      <c r="S661"/>
      <c r="T661"/>
      <c r="U661"/>
      <c r="V661"/>
      <c r="W661"/>
      <c r="X661"/>
      <c r="Y661"/>
      <c r="Z661"/>
      <c r="AA661"/>
    </row>
    <row r="662" spans="1:27">
      <c r="A662"/>
      <c r="B662"/>
      <c r="C662"/>
      <c r="D662"/>
      <c r="F662"/>
      <c r="Q662"/>
      <c r="R662"/>
      <c r="S662"/>
      <c r="T662"/>
      <c r="U662"/>
      <c r="V662"/>
      <c r="W662"/>
      <c r="X662"/>
      <c r="Y662"/>
      <c r="Z662"/>
      <c r="AA662"/>
    </row>
    <row r="663" spans="1:27">
      <c r="A663"/>
      <c r="B663"/>
      <c r="C663"/>
      <c r="D663"/>
      <c r="F663"/>
      <c r="Q663"/>
      <c r="R663"/>
      <c r="S663"/>
      <c r="T663"/>
      <c r="U663"/>
      <c r="V663"/>
      <c r="W663"/>
      <c r="X663"/>
      <c r="Y663"/>
      <c r="Z663"/>
      <c r="AA663"/>
    </row>
    <row r="664" spans="1:27">
      <c r="A664"/>
      <c r="B664"/>
      <c r="C664"/>
      <c r="D664"/>
      <c r="F664"/>
      <c r="Q664"/>
      <c r="R664"/>
      <c r="S664"/>
      <c r="T664"/>
      <c r="U664"/>
      <c r="V664"/>
      <c r="W664"/>
      <c r="X664"/>
      <c r="Y664"/>
      <c r="Z664"/>
      <c r="AA664"/>
    </row>
    <row r="665" spans="1:27">
      <c r="A665"/>
      <c r="B665"/>
      <c r="C665"/>
      <c r="D665"/>
      <c r="F665"/>
      <c r="Q665"/>
      <c r="R665"/>
      <c r="S665"/>
      <c r="T665"/>
      <c r="U665"/>
      <c r="V665"/>
      <c r="W665"/>
      <c r="X665"/>
      <c r="Y665"/>
      <c r="Z665"/>
      <c r="AA665"/>
    </row>
    <row r="666" spans="1:27">
      <c r="A666"/>
      <c r="B666"/>
      <c r="C666"/>
      <c r="D666"/>
      <c r="F666"/>
      <c r="Q666"/>
      <c r="R666"/>
      <c r="S666"/>
      <c r="T666"/>
      <c r="U666"/>
      <c r="V666"/>
      <c r="W666"/>
      <c r="X666"/>
      <c r="Y666"/>
      <c r="Z666"/>
      <c r="AA666"/>
    </row>
    <row r="667" spans="1:27">
      <c r="A667"/>
      <c r="B667"/>
      <c r="C667"/>
      <c r="D667"/>
      <c r="F667"/>
      <c r="Q667"/>
      <c r="R667"/>
      <c r="S667"/>
      <c r="T667"/>
      <c r="U667"/>
      <c r="V667"/>
      <c r="W667"/>
      <c r="X667"/>
      <c r="Y667"/>
      <c r="Z667"/>
      <c r="AA667"/>
    </row>
    <row r="668" spans="1:27">
      <c r="A668"/>
      <c r="B668"/>
      <c r="C668"/>
      <c r="D668"/>
      <c r="F668"/>
      <c r="Q668"/>
      <c r="R668"/>
      <c r="S668"/>
      <c r="T668"/>
      <c r="U668"/>
      <c r="V668"/>
      <c r="W668"/>
      <c r="X668"/>
      <c r="Y668"/>
      <c r="Z668"/>
      <c r="AA668"/>
    </row>
    <row r="669" spans="1:27">
      <c r="A669"/>
      <c r="B669"/>
      <c r="C669"/>
      <c r="D669"/>
      <c r="F669"/>
      <c r="Q669"/>
      <c r="R669"/>
      <c r="S669"/>
      <c r="T669"/>
      <c r="U669"/>
      <c r="V669"/>
      <c r="W669"/>
      <c r="X669"/>
      <c r="Y669"/>
      <c r="Z669"/>
      <c r="AA669"/>
    </row>
    <row r="670" spans="1:27">
      <c r="A670"/>
      <c r="B670"/>
      <c r="C670"/>
      <c r="D670"/>
      <c r="F670"/>
      <c r="Q670"/>
      <c r="R670"/>
      <c r="S670"/>
      <c r="T670"/>
      <c r="U670"/>
      <c r="V670"/>
      <c r="W670"/>
      <c r="X670"/>
      <c r="Y670"/>
      <c r="Z670"/>
      <c r="AA670"/>
    </row>
    <row r="671" spans="1:27">
      <c r="A671"/>
      <c r="B671"/>
      <c r="C671"/>
      <c r="D671"/>
      <c r="F671"/>
      <c r="Q671"/>
      <c r="R671"/>
      <c r="S671"/>
      <c r="T671"/>
      <c r="U671"/>
      <c r="V671"/>
      <c r="W671"/>
      <c r="X671"/>
      <c r="Y671"/>
      <c r="Z671"/>
      <c r="AA671"/>
    </row>
    <row r="672" spans="1:27">
      <c r="A672"/>
      <c r="B672"/>
      <c r="C672"/>
      <c r="D672"/>
      <c r="F672"/>
      <c r="Q672"/>
      <c r="R672"/>
      <c r="S672"/>
      <c r="T672"/>
      <c r="U672"/>
      <c r="V672"/>
      <c r="W672"/>
      <c r="X672"/>
      <c r="Y672"/>
      <c r="Z672"/>
      <c r="AA672"/>
    </row>
    <row r="673" spans="1:27">
      <c r="A673"/>
      <c r="B673"/>
      <c r="C673"/>
      <c r="D673"/>
      <c r="F673"/>
      <c r="Q673"/>
      <c r="R673"/>
      <c r="S673"/>
      <c r="T673"/>
      <c r="U673"/>
      <c r="V673"/>
      <c r="W673"/>
      <c r="X673"/>
      <c r="Y673"/>
      <c r="Z673"/>
      <c r="AA673"/>
    </row>
    <row r="674" spans="1:27">
      <c r="A674"/>
      <c r="B674"/>
      <c r="C674"/>
      <c r="D674"/>
      <c r="F674"/>
      <c r="Q674"/>
      <c r="R674"/>
      <c r="S674"/>
      <c r="T674"/>
      <c r="U674"/>
      <c r="V674"/>
      <c r="W674"/>
      <c r="X674"/>
      <c r="Y674"/>
      <c r="Z674"/>
      <c r="AA674"/>
    </row>
    <row r="675" spans="1:27">
      <c r="A675"/>
      <c r="B675"/>
      <c r="C675"/>
      <c r="D675"/>
      <c r="F675"/>
      <c r="Q675"/>
      <c r="R675"/>
      <c r="S675"/>
      <c r="T675"/>
      <c r="U675"/>
      <c r="V675"/>
      <c r="W675"/>
      <c r="X675"/>
      <c r="Y675"/>
      <c r="Z675"/>
      <c r="AA675"/>
    </row>
    <row r="676" spans="1:27">
      <c r="A676"/>
      <c r="B676"/>
      <c r="C676"/>
      <c r="D676"/>
      <c r="F676"/>
      <c r="Q676"/>
      <c r="R676"/>
      <c r="S676"/>
      <c r="T676"/>
      <c r="U676"/>
      <c r="V676"/>
      <c r="W676"/>
      <c r="X676"/>
      <c r="Y676"/>
      <c r="Z676"/>
      <c r="AA676"/>
    </row>
    <row r="677" spans="1:27">
      <c r="A677"/>
      <c r="B677"/>
      <c r="C677"/>
      <c r="D677"/>
      <c r="F677"/>
      <c r="Q677"/>
      <c r="R677"/>
      <c r="S677"/>
      <c r="T677"/>
      <c r="U677"/>
      <c r="V677"/>
      <c r="W677"/>
      <c r="X677"/>
      <c r="Y677"/>
      <c r="Z677"/>
      <c r="AA677"/>
    </row>
    <row r="678" spans="1:27">
      <c r="A678"/>
      <c r="B678"/>
      <c r="C678"/>
      <c r="D678"/>
      <c r="F678"/>
      <c r="Q678"/>
      <c r="R678"/>
      <c r="S678"/>
      <c r="T678"/>
      <c r="U678"/>
      <c r="V678"/>
      <c r="W678"/>
      <c r="X678"/>
      <c r="Y678"/>
      <c r="Z678"/>
      <c r="AA678"/>
    </row>
    <row r="679" spans="1:27">
      <c r="A679"/>
      <c r="B679"/>
      <c r="C679"/>
      <c r="D679"/>
      <c r="F679"/>
      <c r="Q679"/>
      <c r="R679"/>
      <c r="S679"/>
      <c r="T679"/>
      <c r="U679"/>
      <c r="V679"/>
      <c r="W679"/>
      <c r="X679"/>
      <c r="Y679"/>
      <c r="Z679"/>
      <c r="AA679"/>
    </row>
    <row r="680" spans="1:27">
      <c r="A680"/>
      <c r="B680"/>
      <c r="C680"/>
      <c r="D680"/>
      <c r="F680"/>
      <c r="Q680"/>
      <c r="R680"/>
      <c r="S680"/>
      <c r="T680"/>
      <c r="U680"/>
      <c r="V680"/>
      <c r="W680"/>
      <c r="X680"/>
      <c r="Y680"/>
      <c r="Z680"/>
      <c r="AA680"/>
    </row>
    <row r="681" spans="1:27">
      <c r="A681"/>
      <c r="B681"/>
      <c r="C681"/>
      <c r="D681"/>
      <c r="F681"/>
      <c r="Q681"/>
      <c r="R681"/>
      <c r="S681"/>
      <c r="T681"/>
      <c r="U681"/>
      <c r="V681"/>
      <c r="W681"/>
      <c r="X681"/>
      <c r="Y681"/>
      <c r="Z681"/>
      <c r="AA681"/>
    </row>
    <row r="682" spans="1:27">
      <c r="A682"/>
      <c r="B682"/>
      <c r="C682"/>
      <c r="D682"/>
      <c r="F682"/>
      <c r="Q682"/>
      <c r="R682"/>
      <c r="S682"/>
      <c r="T682"/>
      <c r="U682"/>
      <c r="V682"/>
      <c r="W682"/>
      <c r="X682"/>
      <c r="Y682"/>
      <c r="Z682"/>
      <c r="AA682"/>
    </row>
    <row r="683" spans="1:27">
      <c r="A683"/>
      <c r="B683"/>
      <c r="C683"/>
      <c r="D683"/>
      <c r="F683"/>
      <c r="Q683"/>
      <c r="R683"/>
      <c r="S683"/>
      <c r="T683"/>
      <c r="U683"/>
      <c r="V683"/>
      <c r="W683"/>
      <c r="X683"/>
      <c r="Y683"/>
      <c r="Z683"/>
      <c r="AA683"/>
    </row>
    <row r="684" spans="1:27">
      <c r="A684"/>
      <c r="B684"/>
      <c r="C684"/>
      <c r="D684"/>
      <c r="F684"/>
      <c r="Q684"/>
      <c r="R684"/>
      <c r="S684"/>
      <c r="T684"/>
      <c r="U684"/>
      <c r="V684"/>
      <c r="W684"/>
      <c r="X684"/>
      <c r="Y684"/>
      <c r="Z684"/>
      <c r="AA684"/>
    </row>
    <row r="685" spans="1:27">
      <c r="A685"/>
      <c r="B685"/>
      <c r="C685"/>
      <c r="D685"/>
      <c r="F685"/>
      <c r="Q685"/>
      <c r="R685"/>
      <c r="S685"/>
      <c r="T685"/>
      <c r="U685"/>
      <c r="V685"/>
      <c r="W685"/>
      <c r="X685"/>
      <c r="Y685"/>
      <c r="Z685"/>
      <c r="AA685"/>
    </row>
    <row r="686" spans="1:27">
      <c r="A686"/>
      <c r="B686"/>
      <c r="C686"/>
      <c r="D686"/>
      <c r="F686"/>
      <c r="Q686"/>
      <c r="R686"/>
      <c r="S686"/>
      <c r="T686"/>
      <c r="U686"/>
      <c r="V686"/>
      <c r="W686"/>
      <c r="X686"/>
      <c r="Y686"/>
      <c r="Z686"/>
      <c r="AA686"/>
    </row>
    <row r="687" spans="1:27">
      <c r="A687"/>
      <c r="B687"/>
      <c r="C687"/>
      <c r="D687"/>
      <c r="F687"/>
      <c r="Q687"/>
      <c r="R687"/>
      <c r="S687"/>
      <c r="T687"/>
      <c r="U687"/>
      <c r="V687"/>
      <c r="W687"/>
      <c r="X687"/>
      <c r="Y687"/>
      <c r="Z687"/>
      <c r="AA687"/>
    </row>
    <row r="688" spans="1:27">
      <c r="A688"/>
      <c r="B688"/>
      <c r="C688"/>
      <c r="D688"/>
      <c r="F688"/>
      <c r="Q688"/>
      <c r="R688"/>
      <c r="S688"/>
      <c r="T688"/>
      <c r="U688"/>
      <c r="V688"/>
      <c r="W688"/>
      <c r="X688"/>
      <c r="Y688"/>
      <c r="Z688"/>
      <c r="AA688"/>
    </row>
    <row r="689" spans="1:27">
      <c r="A689"/>
      <c r="B689"/>
      <c r="C689"/>
      <c r="D689"/>
      <c r="F689"/>
      <c r="Q689"/>
      <c r="R689"/>
      <c r="S689"/>
      <c r="T689"/>
      <c r="U689"/>
      <c r="V689"/>
      <c r="W689"/>
      <c r="X689"/>
      <c r="Y689"/>
      <c r="Z689"/>
      <c r="AA689"/>
    </row>
    <row r="690" spans="1:27">
      <c r="A690"/>
      <c r="B690"/>
      <c r="C690"/>
      <c r="D690"/>
      <c r="F690"/>
      <c r="Q690"/>
      <c r="R690"/>
      <c r="S690"/>
      <c r="T690"/>
      <c r="U690"/>
      <c r="V690"/>
      <c r="W690"/>
      <c r="X690"/>
      <c r="Y690"/>
      <c r="Z690"/>
      <c r="AA690"/>
    </row>
    <row r="691" spans="1:27">
      <c r="A691"/>
      <c r="B691"/>
      <c r="C691"/>
      <c r="D691"/>
      <c r="F691"/>
      <c r="Q691"/>
      <c r="R691"/>
      <c r="S691"/>
      <c r="T691"/>
      <c r="U691"/>
      <c r="V691"/>
      <c r="W691"/>
      <c r="X691"/>
      <c r="Y691"/>
      <c r="Z691"/>
      <c r="AA691"/>
    </row>
    <row r="692" spans="1:27">
      <c r="A692"/>
      <c r="B692"/>
      <c r="C692"/>
      <c r="D692"/>
      <c r="F692"/>
      <c r="Q692"/>
      <c r="R692"/>
      <c r="S692"/>
      <c r="T692"/>
      <c r="U692"/>
      <c r="V692"/>
      <c r="W692"/>
      <c r="X692"/>
      <c r="Y692"/>
      <c r="Z692"/>
      <c r="AA692"/>
    </row>
    <row r="693" spans="1:27">
      <c r="A693"/>
      <c r="B693"/>
      <c r="C693"/>
      <c r="D693"/>
      <c r="F693"/>
      <c r="Q693"/>
      <c r="R693"/>
      <c r="S693"/>
      <c r="T693"/>
      <c r="U693"/>
      <c r="V693"/>
      <c r="W693"/>
      <c r="X693"/>
      <c r="Y693"/>
      <c r="Z693"/>
      <c r="AA693"/>
    </row>
    <row r="694" spans="1:27">
      <c r="A694"/>
      <c r="B694"/>
      <c r="C694"/>
      <c r="D694"/>
      <c r="F694"/>
      <c r="Q694"/>
      <c r="R694"/>
      <c r="S694"/>
      <c r="T694"/>
      <c r="U694"/>
      <c r="V694"/>
      <c r="W694"/>
      <c r="X694"/>
      <c r="Y694"/>
      <c r="Z694"/>
      <c r="AA694"/>
    </row>
    <row r="695" spans="1:27">
      <c r="A695"/>
      <c r="B695"/>
      <c r="C695"/>
      <c r="D695"/>
      <c r="F695"/>
      <c r="Q695"/>
      <c r="R695"/>
      <c r="S695"/>
      <c r="T695"/>
      <c r="U695"/>
      <c r="V695"/>
      <c r="W695"/>
      <c r="X695"/>
      <c r="Y695"/>
      <c r="Z695"/>
      <c r="AA695"/>
    </row>
    <row r="696" spans="1:27">
      <c r="A696"/>
      <c r="B696"/>
      <c r="C696"/>
      <c r="D696"/>
      <c r="F696"/>
      <c r="Q696"/>
      <c r="R696"/>
      <c r="S696"/>
      <c r="T696"/>
      <c r="U696"/>
      <c r="V696"/>
      <c r="W696"/>
      <c r="X696"/>
      <c r="Y696"/>
      <c r="Z696"/>
      <c r="AA696"/>
    </row>
    <row r="697" spans="1:27">
      <c r="A697"/>
      <c r="B697"/>
      <c r="C697"/>
      <c r="D697"/>
      <c r="F697"/>
      <c r="Q697"/>
      <c r="R697"/>
      <c r="S697"/>
      <c r="T697"/>
      <c r="U697"/>
      <c r="V697"/>
      <c r="W697"/>
      <c r="X697"/>
      <c r="Y697"/>
      <c r="Z697"/>
      <c r="AA697"/>
    </row>
    <row r="698" spans="1:27">
      <c r="A698"/>
      <c r="B698"/>
      <c r="C698"/>
      <c r="D698"/>
      <c r="F698"/>
      <c r="Q698"/>
      <c r="R698"/>
      <c r="S698"/>
      <c r="T698"/>
      <c r="U698"/>
      <c r="V698"/>
      <c r="W698"/>
      <c r="X698"/>
      <c r="Y698"/>
      <c r="Z698"/>
      <c r="AA698"/>
    </row>
    <row r="699" spans="1:27">
      <c r="A699"/>
      <c r="B699"/>
      <c r="C699"/>
      <c r="D699"/>
      <c r="F699"/>
      <c r="Q699"/>
      <c r="R699"/>
      <c r="S699"/>
      <c r="T699"/>
      <c r="U699"/>
      <c r="V699"/>
      <c r="W699"/>
      <c r="X699"/>
      <c r="Y699"/>
      <c r="Z699"/>
      <c r="AA699"/>
    </row>
    <row r="700" spans="1:27">
      <c r="A700"/>
      <c r="B700"/>
      <c r="C700"/>
      <c r="D700"/>
      <c r="F700"/>
      <c r="Q700"/>
      <c r="R700"/>
      <c r="S700"/>
      <c r="T700"/>
      <c r="U700"/>
      <c r="V700"/>
      <c r="W700"/>
      <c r="X700"/>
      <c r="Y700"/>
      <c r="Z700"/>
      <c r="AA700"/>
    </row>
    <row r="701" spans="1:27">
      <c r="A701"/>
      <c r="B701"/>
      <c r="C701"/>
      <c r="D701"/>
      <c r="F701"/>
      <c r="Q701"/>
      <c r="R701"/>
      <c r="S701"/>
      <c r="T701"/>
      <c r="U701"/>
      <c r="V701"/>
      <c r="W701"/>
      <c r="X701"/>
      <c r="Y701"/>
      <c r="Z701"/>
      <c r="AA701"/>
    </row>
    <row r="702" spans="1:27">
      <c r="A702"/>
      <c r="B702"/>
      <c r="C702"/>
      <c r="D702"/>
      <c r="F702"/>
      <c r="Q702"/>
      <c r="R702"/>
      <c r="S702"/>
      <c r="T702"/>
      <c r="U702"/>
      <c r="V702"/>
      <c r="W702"/>
      <c r="X702"/>
      <c r="Y702"/>
      <c r="Z702"/>
      <c r="AA702"/>
    </row>
    <row r="703" spans="1:27">
      <c r="A703"/>
      <c r="B703"/>
      <c r="C703"/>
      <c r="D703"/>
      <c r="F703"/>
      <c r="Q703"/>
      <c r="R703"/>
      <c r="S703"/>
      <c r="T703"/>
      <c r="U703"/>
      <c r="V703"/>
      <c r="W703"/>
      <c r="X703"/>
      <c r="Y703"/>
      <c r="Z703"/>
      <c r="AA703"/>
    </row>
    <row r="704" spans="1:27">
      <c r="A704"/>
      <c r="B704"/>
      <c r="C704"/>
      <c r="D704"/>
      <c r="F704"/>
      <c r="Q704"/>
      <c r="R704"/>
      <c r="S704"/>
      <c r="T704"/>
      <c r="U704"/>
      <c r="V704"/>
      <c r="W704"/>
      <c r="X704"/>
      <c r="Y704"/>
      <c r="Z704"/>
      <c r="AA704"/>
    </row>
    <row r="705" spans="1:27">
      <c r="A705"/>
      <c r="B705"/>
      <c r="C705"/>
      <c r="D705"/>
      <c r="F705"/>
      <c r="Q705"/>
      <c r="R705"/>
      <c r="S705"/>
      <c r="T705"/>
      <c r="U705"/>
      <c r="V705"/>
      <c r="W705"/>
      <c r="X705"/>
      <c r="Y705"/>
      <c r="Z705"/>
      <c r="AA705"/>
    </row>
    <row r="706" spans="1:27">
      <c r="A706"/>
      <c r="B706"/>
      <c r="C706"/>
      <c r="D706"/>
      <c r="F706"/>
      <c r="Q706"/>
      <c r="R706"/>
      <c r="S706"/>
      <c r="T706"/>
      <c r="U706"/>
      <c r="V706"/>
      <c r="W706"/>
      <c r="X706"/>
      <c r="Y706"/>
      <c r="Z706"/>
      <c r="AA706"/>
    </row>
    <row r="707" spans="1:27">
      <c r="A707"/>
      <c r="B707"/>
      <c r="C707"/>
      <c r="D707"/>
      <c r="F707"/>
      <c r="Q707"/>
      <c r="R707"/>
      <c r="S707"/>
      <c r="T707"/>
      <c r="U707"/>
      <c r="V707"/>
      <c r="W707"/>
      <c r="X707"/>
      <c r="Y707"/>
      <c r="Z707"/>
      <c r="AA707"/>
    </row>
    <row r="708" spans="1:27">
      <c r="A708"/>
      <c r="B708"/>
      <c r="C708"/>
      <c r="D708"/>
      <c r="F708"/>
      <c r="Q708"/>
      <c r="R708"/>
      <c r="S708"/>
      <c r="T708"/>
      <c r="U708"/>
      <c r="V708"/>
      <c r="W708"/>
      <c r="X708"/>
      <c r="Y708"/>
      <c r="Z708"/>
      <c r="AA708"/>
    </row>
    <row r="709" spans="1:27">
      <c r="A709"/>
      <c r="B709"/>
      <c r="C709"/>
      <c r="D709"/>
      <c r="F709"/>
      <c r="Q709"/>
      <c r="R709"/>
      <c r="S709"/>
      <c r="T709"/>
      <c r="U709"/>
      <c r="V709"/>
      <c r="W709"/>
      <c r="X709"/>
      <c r="Y709"/>
      <c r="Z709"/>
      <c r="AA709"/>
    </row>
    <row r="710" spans="1:27">
      <c r="A710"/>
      <c r="B710"/>
      <c r="C710"/>
      <c r="D710"/>
      <c r="F710"/>
      <c r="Q710"/>
      <c r="R710"/>
      <c r="S710"/>
      <c r="T710"/>
      <c r="U710"/>
      <c r="V710"/>
      <c r="W710"/>
      <c r="X710"/>
      <c r="Y710"/>
      <c r="Z710"/>
      <c r="AA710"/>
    </row>
    <row r="711" spans="1:27">
      <c r="A711"/>
      <c r="B711"/>
      <c r="C711"/>
      <c r="D711"/>
      <c r="F711"/>
      <c r="Q711"/>
      <c r="R711"/>
      <c r="S711"/>
      <c r="T711"/>
      <c r="U711"/>
      <c r="V711"/>
      <c r="W711"/>
      <c r="X711"/>
      <c r="Y711"/>
      <c r="Z711"/>
      <c r="AA711"/>
    </row>
    <row r="712" spans="1:27">
      <c r="A712"/>
      <c r="B712"/>
      <c r="C712"/>
      <c r="D712"/>
      <c r="F712"/>
      <c r="Q712"/>
      <c r="R712"/>
      <c r="S712"/>
      <c r="T712"/>
      <c r="U712"/>
      <c r="V712"/>
      <c r="W712"/>
      <c r="X712"/>
      <c r="Y712"/>
      <c r="Z712"/>
      <c r="AA712"/>
    </row>
    <row r="713" spans="1:27">
      <c r="A713"/>
      <c r="B713"/>
      <c r="C713"/>
      <c r="D713"/>
      <c r="F713"/>
      <c r="Q713"/>
      <c r="R713"/>
      <c r="S713"/>
      <c r="T713"/>
      <c r="U713"/>
      <c r="V713"/>
      <c r="W713"/>
      <c r="X713"/>
      <c r="Y713"/>
      <c r="Z713"/>
      <c r="AA713"/>
    </row>
    <row r="714" spans="1:27">
      <c r="A714"/>
      <c r="B714"/>
      <c r="C714"/>
      <c r="D714"/>
      <c r="F714"/>
      <c r="Q714"/>
      <c r="R714"/>
      <c r="S714"/>
      <c r="T714"/>
      <c r="U714"/>
      <c r="V714"/>
      <c r="W714"/>
      <c r="X714"/>
      <c r="Y714"/>
      <c r="Z714"/>
      <c r="AA714"/>
    </row>
    <row r="715" spans="1:27">
      <c r="A715"/>
      <c r="B715"/>
      <c r="C715"/>
      <c r="D715"/>
      <c r="F715"/>
      <c r="Q715"/>
      <c r="R715"/>
      <c r="S715"/>
      <c r="T715"/>
      <c r="U715"/>
      <c r="V715"/>
      <c r="W715"/>
      <c r="X715"/>
      <c r="Y715"/>
      <c r="Z715"/>
      <c r="AA715"/>
    </row>
    <row r="716" spans="1:27">
      <c r="A716"/>
      <c r="B716"/>
      <c r="C716"/>
      <c r="D716"/>
      <c r="F716"/>
      <c r="Q716"/>
      <c r="R716"/>
      <c r="S716"/>
      <c r="T716"/>
      <c r="U716"/>
      <c r="V716"/>
      <c r="W716"/>
      <c r="X716"/>
      <c r="Y716"/>
      <c r="Z716"/>
      <c r="AA716"/>
    </row>
    <row r="717" spans="1:27">
      <c r="A717"/>
      <c r="B717"/>
      <c r="C717"/>
      <c r="D717"/>
      <c r="F717"/>
      <c r="Q717"/>
      <c r="R717"/>
      <c r="S717"/>
      <c r="T717"/>
      <c r="U717"/>
      <c r="V717"/>
      <c r="W717"/>
      <c r="X717"/>
      <c r="Y717"/>
      <c r="Z717"/>
      <c r="AA717"/>
    </row>
    <row r="718" spans="1:27">
      <c r="A718"/>
      <c r="B718"/>
      <c r="C718"/>
      <c r="D718"/>
      <c r="F718"/>
      <c r="Q718"/>
      <c r="R718"/>
      <c r="S718"/>
      <c r="T718"/>
      <c r="U718"/>
      <c r="V718"/>
      <c r="W718"/>
      <c r="X718"/>
      <c r="Y718"/>
      <c r="Z718"/>
      <c r="AA718"/>
    </row>
    <row r="719" spans="1:27">
      <c r="A719"/>
      <c r="B719"/>
      <c r="C719"/>
      <c r="D719"/>
      <c r="F719"/>
      <c r="Q719"/>
      <c r="R719"/>
      <c r="S719"/>
      <c r="T719"/>
      <c r="U719"/>
      <c r="V719"/>
      <c r="W719"/>
      <c r="X719"/>
      <c r="Y719"/>
      <c r="Z719"/>
      <c r="AA719"/>
    </row>
    <row r="720" spans="1:27">
      <c r="A720"/>
      <c r="B720"/>
      <c r="C720"/>
      <c r="D720"/>
      <c r="F720"/>
      <c r="Q720"/>
      <c r="R720"/>
      <c r="S720"/>
      <c r="T720"/>
      <c r="U720"/>
      <c r="V720"/>
      <c r="W720"/>
      <c r="X720"/>
      <c r="Y720"/>
      <c r="Z720"/>
      <c r="AA720"/>
    </row>
    <row r="721" spans="1:27">
      <c r="A721"/>
      <c r="B721"/>
      <c r="C721"/>
      <c r="D721"/>
      <c r="F721"/>
      <c r="Q721"/>
      <c r="R721"/>
      <c r="S721"/>
      <c r="T721"/>
      <c r="U721"/>
      <c r="V721"/>
      <c r="W721"/>
      <c r="X721"/>
      <c r="Y721"/>
      <c r="Z721"/>
      <c r="AA721"/>
    </row>
    <row r="722" spans="1:27">
      <c r="A722"/>
      <c r="B722"/>
      <c r="C722"/>
      <c r="D722"/>
      <c r="F722"/>
      <c r="Q722"/>
      <c r="R722"/>
      <c r="S722"/>
      <c r="T722"/>
      <c r="U722"/>
      <c r="V722"/>
      <c r="W722"/>
      <c r="X722"/>
      <c r="Y722"/>
      <c r="Z722"/>
      <c r="AA722"/>
    </row>
    <row r="723" spans="1:27">
      <c r="A723"/>
      <c r="B723"/>
      <c r="C723"/>
      <c r="D723"/>
      <c r="F723"/>
      <c r="Q723"/>
      <c r="R723"/>
      <c r="S723"/>
      <c r="T723"/>
      <c r="U723"/>
      <c r="V723"/>
      <c r="W723"/>
      <c r="X723"/>
      <c r="Y723"/>
      <c r="Z723"/>
      <c r="AA723"/>
    </row>
    <row r="724" spans="1:27">
      <c r="A724"/>
      <c r="B724"/>
      <c r="C724"/>
      <c r="D724"/>
      <c r="F724"/>
      <c r="Q724"/>
      <c r="R724"/>
      <c r="S724"/>
      <c r="T724"/>
      <c r="U724"/>
      <c r="V724"/>
      <c r="W724"/>
      <c r="X724"/>
      <c r="Y724"/>
      <c r="Z724"/>
      <c r="AA724"/>
    </row>
    <row r="725" spans="1:27">
      <c r="A725"/>
      <c r="B725"/>
      <c r="C725"/>
      <c r="D725"/>
      <c r="F725"/>
      <c r="Q725"/>
      <c r="R725"/>
      <c r="S725"/>
      <c r="T725"/>
      <c r="U725"/>
      <c r="V725"/>
      <c r="W725"/>
      <c r="X725"/>
      <c r="Y725"/>
      <c r="Z725"/>
      <c r="AA725"/>
    </row>
    <row r="726" spans="1:27">
      <c r="A726"/>
      <c r="B726"/>
      <c r="C726"/>
      <c r="D726"/>
      <c r="F726"/>
      <c r="Q726"/>
      <c r="R726"/>
      <c r="S726"/>
      <c r="T726"/>
      <c r="U726"/>
      <c r="V726"/>
      <c r="W726"/>
      <c r="X726"/>
      <c r="Y726"/>
      <c r="Z726"/>
      <c r="AA726"/>
    </row>
    <row r="727" spans="1:27">
      <c r="A727"/>
      <c r="B727"/>
      <c r="C727"/>
      <c r="D727"/>
      <c r="F727"/>
      <c r="Q727"/>
      <c r="R727"/>
      <c r="S727"/>
      <c r="T727"/>
      <c r="U727"/>
      <c r="V727"/>
      <c r="W727"/>
      <c r="X727"/>
      <c r="Y727"/>
      <c r="Z727"/>
      <c r="AA727"/>
    </row>
    <row r="728" spans="1:27">
      <c r="A728"/>
      <c r="B728"/>
      <c r="C728"/>
      <c r="D728"/>
      <c r="F728"/>
      <c r="Q728"/>
      <c r="R728"/>
      <c r="S728"/>
      <c r="T728"/>
      <c r="U728"/>
      <c r="V728"/>
      <c r="W728"/>
      <c r="X728"/>
      <c r="Y728"/>
      <c r="Z728"/>
      <c r="AA728"/>
    </row>
    <row r="729" spans="1:27">
      <c r="A729"/>
      <c r="B729"/>
      <c r="C729"/>
      <c r="D729"/>
      <c r="F729"/>
      <c r="Q729"/>
      <c r="R729"/>
      <c r="S729"/>
      <c r="T729"/>
      <c r="U729"/>
      <c r="V729"/>
      <c r="W729"/>
      <c r="X729"/>
      <c r="Y729"/>
      <c r="Z729"/>
      <c r="AA729"/>
    </row>
    <row r="730" spans="1:27">
      <c r="A730"/>
      <c r="B730"/>
      <c r="C730"/>
      <c r="D730"/>
      <c r="F730"/>
      <c r="Q730"/>
      <c r="R730"/>
      <c r="S730"/>
      <c r="T730"/>
      <c r="U730"/>
      <c r="V730"/>
      <c r="W730"/>
      <c r="X730"/>
      <c r="Y730"/>
      <c r="Z730"/>
      <c r="AA730"/>
    </row>
    <row r="731" spans="1:27">
      <c r="A731"/>
      <c r="B731"/>
      <c r="C731"/>
      <c r="D731"/>
      <c r="F731"/>
      <c r="Q731"/>
      <c r="R731"/>
      <c r="S731"/>
      <c r="T731"/>
      <c r="U731"/>
      <c r="V731"/>
      <c r="W731"/>
      <c r="X731"/>
      <c r="Y731"/>
      <c r="Z731"/>
      <c r="AA731"/>
    </row>
    <row r="732" spans="1:27">
      <c r="A732"/>
      <c r="B732"/>
      <c r="C732"/>
      <c r="D732"/>
      <c r="F732"/>
      <c r="Q732"/>
      <c r="R732"/>
      <c r="S732"/>
      <c r="T732"/>
      <c r="U732"/>
      <c r="V732"/>
      <c r="W732"/>
      <c r="X732"/>
      <c r="Y732"/>
      <c r="Z732"/>
      <c r="AA732"/>
    </row>
    <row r="733" spans="1:27">
      <c r="A733"/>
      <c r="B733"/>
      <c r="C733"/>
      <c r="D733"/>
      <c r="F733"/>
      <c r="Q733"/>
      <c r="R733"/>
      <c r="S733"/>
      <c r="T733"/>
      <c r="U733"/>
      <c r="V733"/>
      <c r="W733"/>
      <c r="X733"/>
      <c r="Y733"/>
      <c r="Z733"/>
      <c r="AA733"/>
    </row>
    <row r="734" spans="1:27">
      <c r="A734"/>
      <c r="B734"/>
      <c r="C734"/>
      <c r="D734"/>
      <c r="F734"/>
      <c r="Q734"/>
      <c r="R734"/>
      <c r="S734"/>
      <c r="T734"/>
      <c r="U734"/>
      <c r="V734"/>
      <c r="W734"/>
      <c r="X734"/>
      <c r="Y734"/>
      <c r="Z734"/>
      <c r="AA734"/>
    </row>
    <row r="735" spans="1:27">
      <c r="A735"/>
      <c r="B735"/>
      <c r="C735"/>
      <c r="D735"/>
      <c r="F735"/>
      <c r="Q735"/>
      <c r="R735"/>
      <c r="S735"/>
      <c r="T735"/>
      <c r="U735"/>
      <c r="V735"/>
      <c r="W735"/>
      <c r="X735"/>
      <c r="Y735"/>
      <c r="Z735"/>
      <c r="AA735"/>
    </row>
    <row r="736" spans="1:27">
      <c r="A736"/>
      <c r="B736"/>
      <c r="C736"/>
      <c r="D736"/>
      <c r="F736"/>
      <c r="Q736"/>
      <c r="R736"/>
      <c r="S736"/>
      <c r="T736"/>
      <c r="U736"/>
      <c r="V736"/>
      <c r="W736"/>
      <c r="X736"/>
      <c r="Y736"/>
      <c r="Z736"/>
      <c r="AA736"/>
    </row>
    <row r="737" spans="1:27">
      <c r="A737"/>
      <c r="B737"/>
      <c r="C737"/>
      <c r="D737"/>
      <c r="F737"/>
      <c r="Q737"/>
      <c r="R737"/>
      <c r="S737"/>
      <c r="T737"/>
      <c r="U737"/>
      <c r="V737"/>
      <c r="W737"/>
      <c r="X737"/>
      <c r="Y737"/>
      <c r="Z737"/>
      <c r="AA737"/>
    </row>
    <row r="738" spans="1:27">
      <c r="A738"/>
      <c r="B738"/>
      <c r="C738"/>
      <c r="D738"/>
      <c r="F738"/>
      <c r="Q738"/>
      <c r="R738"/>
      <c r="S738"/>
      <c r="T738"/>
      <c r="U738"/>
      <c r="V738"/>
      <c r="W738"/>
      <c r="X738"/>
      <c r="Y738"/>
      <c r="Z738"/>
      <c r="AA738"/>
    </row>
    <row r="739" spans="1:27">
      <c r="A739"/>
      <c r="B739"/>
      <c r="C739"/>
      <c r="D739"/>
      <c r="F739"/>
      <c r="Q739"/>
      <c r="R739"/>
      <c r="S739"/>
      <c r="T739"/>
      <c r="U739"/>
      <c r="V739"/>
      <c r="W739"/>
      <c r="X739"/>
      <c r="Y739"/>
      <c r="Z739"/>
      <c r="AA739"/>
    </row>
    <row r="740" spans="1:27">
      <c r="A740"/>
      <c r="B740"/>
      <c r="C740"/>
      <c r="D740"/>
      <c r="F740"/>
      <c r="Q740"/>
      <c r="R740"/>
      <c r="S740"/>
      <c r="T740"/>
      <c r="U740"/>
      <c r="V740"/>
      <c r="W740"/>
      <c r="X740"/>
      <c r="Y740"/>
      <c r="Z740"/>
      <c r="AA740"/>
    </row>
    <row r="741" spans="1:27">
      <c r="A741"/>
      <c r="B741"/>
      <c r="C741"/>
      <c r="D741"/>
      <c r="F741"/>
      <c r="Q741"/>
      <c r="R741"/>
      <c r="S741"/>
      <c r="T741"/>
      <c r="U741"/>
      <c r="V741"/>
      <c r="W741"/>
      <c r="X741"/>
      <c r="Y741"/>
      <c r="Z741"/>
      <c r="AA741"/>
    </row>
    <row r="742" spans="1:27">
      <c r="A742"/>
      <c r="B742"/>
      <c r="C742"/>
      <c r="D742"/>
      <c r="F742"/>
      <c r="Q742"/>
      <c r="R742"/>
      <c r="S742"/>
      <c r="T742"/>
      <c r="U742"/>
      <c r="V742"/>
      <c r="W742"/>
      <c r="X742"/>
      <c r="Y742"/>
      <c r="Z742"/>
      <c r="AA742"/>
    </row>
    <row r="743" spans="1:27">
      <c r="A743"/>
      <c r="B743"/>
      <c r="C743"/>
      <c r="D743"/>
      <c r="F743"/>
      <c r="Q743"/>
      <c r="R743"/>
      <c r="S743"/>
      <c r="T743"/>
      <c r="U743"/>
      <c r="V743"/>
      <c r="W743"/>
      <c r="X743"/>
      <c r="Y743"/>
      <c r="Z743"/>
      <c r="AA743"/>
    </row>
    <row r="744" spans="1:27">
      <c r="A744"/>
      <c r="B744"/>
      <c r="C744"/>
      <c r="D744"/>
      <c r="F744"/>
      <c r="Q744"/>
      <c r="R744"/>
      <c r="S744"/>
      <c r="T744"/>
      <c r="U744"/>
      <c r="V744"/>
      <c r="W744"/>
      <c r="X744"/>
      <c r="Y744"/>
      <c r="Z744"/>
      <c r="AA744"/>
    </row>
    <row r="745" spans="1:27">
      <c r="A745"/>
      <c r="B745"/>
      <c r="C745"/>
      <c r="D745"/>
      <c r="F745"/>
      <c r="Q745"/>
      <c r="R745"/>
      <c r="S745"/>
      <c r="T745"/>
      <c r="U745"/>
      <c r="V745"/>
      <c r="W745"/>
      <c r="X745"/>
      <c r="Y745"/>
      <c r="Z745"/>
      <c r="AA745"/>
    </row>
    <row r="746" spans="1:27">
      <c r="A746"/>
      <c r="B746"/>
      <c r="C746"/>
      <c r="D746"/>
      <c r="F746"/>
      <c r="Q746"/>
      <c r="R746"/>
      <c r="S746"/>
      <c r="T746"/>
      <c r="U746"/>
      <c r="V746"/>
      <c r="W746"/>
      <c r="X746"/>
      <c r="Y746"/>
      <c r="Z746"/>
      <c r="AA746"/>
    </row>
    <row r="747" spans="1:27">
      <c r="A747"/>
      <c r="B747"/>
      <c r="C747"/>
      <c r="D747"/>
      <c r="F747"/>
      <c r="Q747"/>
      <c r="R747"/>
      <c r="S747"/>
      <c r="T747"/>
      <c r="U747"/>
      <c r="V747"/>
      <c r="W747"/>
      <c r="X747"/>
      <c r="Y747"/>
      <c r="Z747"/>
      <c r="AA747"/>
    </row>
    <row r="748" spans="1:27">
      <c r="A748"/>
      <c r="B748"/>
      <c r="C748"/>
      <c r="D748"/>
      <c r="F748"/>
      <c r="Q748"/>
      <c r="R748"/>
      <c r="S748"/>
      <c r="T748"/>
      <c r="U748"/>
      <c r="V748"/>
      <c r="W748"/>
      <c r="X748"/>
      <c r="Y748"/>
      <c r="Z748"/>
      <c r="AA748"/>
    </row>
    <row r="749" spans="1:27">
      <c r="A749"/>
      <c r="B749"/>
      <c r="C749"/>
      <c r="D749"/>
      <c r="F749"/>
      <c r="Q749"/>
      <c r="R749"/>
      <c r="S749"/>
      <c r="T749"/>
      <c r="U749"/>
      <c r="V749"/>
      <c r="W749"/>
      <c r="X749"/>
      <c r="Y749"/>
      <c r="Z749"/>
      <c r="AA749"/>
    </row>
    <row r="750" spans="1:27">
      <c r="A750"/>
      <c r="B750"/>
      <c r="C750"/>
      <c r="D750"/>
      <c r="F750"/>
      <c r="Q750"/>
      <c r="R750"/>
      <c r="S750"/>
      <c r="T750"/>
      <c r="U750"/>
      <c r="V750"/>
      <c r="W750"/>
      <c r="X750"/>
      <c r="Y750"/>
      <c r="Z750"/>
      <c r="AA750"/>
    </row>
    <row r="751" spans="1:27">
      <c r="A751"/>
      <c r="B751"/>
      <c r="C751"/>
      <c r="D751"/>
      <c r="F751"/>
      <c r="Q751"/>
      <c r="R751"/>
      <c r="S751"/>
      <c r="T751"/>
      <c r="U751"/>
      <c r="V751"/>
      <c r="W751"/>
      <c r="X751"/>
      <c r="Y751"/>
      <c r="Z751"/>
      <c r="AA751"/>
    </row>
    <row r="752" spans="1:27">
      <c r="A752"/>
      <c r="B752"/>
      <c r="C752"/>
      <c r="D752"/>
      <c r="F752"/>
      <c r="Q752"/>
      <c r="R752"/>
      <c r="S752"/>
      <c r="T752"/>
      <c r="U752"/>
      <c r="V752"/>
      <c r="W752"/>
      <c r="X752"/>
      <c r="Y752"/>
      <c r="Z752"/>
      <c r="AA752"/>
    </row>
    <row r="753" spans="1:27">
      <c r="A753"/>
      <c r="B753"/>
      <c r="C753"/>
      <c r="D753"/>
      <c r="F753"/>
      <c r="Q753"/>
      <c r="R753"/>
      <c r="S753"/>
      <c r="T753"/>
      <c r="U753"/>
      <c r="V753"/>
      <c r="W753"/>
      <c r="X753"/>
      <c r="Y753"/>
      <c r="Z753"/>
      <c r="AA753"/>
    </row>
    <row r="754" spans="1:27">
      <c r="A754"/>
      <c r="B754"/>
      <c r="C754"/>
      <c r="D754"/>
      <c r="F754"/>
      <c r="Q754"/>
      <c r="R754"/>
      <c r="S754"/>
      <c r="T754"/>
      <c r="U754"/>
      <c r="V754"/>
      <c r="W754"/>
      <c r="X754"/>
      <c r="Y754"/>
      <c r="Z754"/>
      <c r="AA754"/>
    </row>
    <row r="755" spans="1:27">
      <c r="A755"/>
      <c r="B755"/>
      <c r="C755"/>
      <c r="D755"/>
      <c r="F755"/>
      <c r="Q755"/>
      <c r="R755"/>
      <c r="S755"/>
      <c r="T755"/>
      <c r="U755"/>
      <c r="V755"/>
      <c r="W755"/>
      <c r="X755"/>
      <c r="Y755"/>
      <c r="Z755"/>
      <c r="AA755"/>
    </row>
    <row r="756" spans="1:27">
      <c r="A756"/>
      <c r="B756"/>
      <c r="C756"/>
      <c r="D756"/>
      <c r="F756"/>
      <c r="Q756"/>
      <c r="R756"/>
      <c r="S756"/>
      <c r="T756"/>
      <c r="U756"/>
      <c r="V756"/>
      <c r="W756"/>
      <c r="X756"/>
      <c r="Y756"/>
      <c r="Z756"/>
      <c r="AA756"/>
    </row>
    <row r="757" spans="1:27">
      <c r="A757"/>
      <c r="B757"/>
      <c r="C757"/>
      <c r="D757"/>
      <c r="F757"/>
      <c r="Q757"/>
      <c r="R757"/>
      <c r="S757"/>
      <c r="T757"/>
      <c r="U757"/>
      <c r="V757"/>
      <c r="W757"/>
      <c r="X757"/>
      <c r="Y757"/>
      <c r="Z757"/>
      <c r="AA757"/>
    </row>
    <row r="758" spans="1:27">
      <c r="A758"/>
      <c r="B758"/>
      <c r="C758"/>
      <c r="D758"/>
      <c r="F758"/>
      <c r="Q758"/>
      <c r="R758"/>
      <c r="S758"/>
      <c r="T758"/>
      <c r="U758"/>
      <c r="V758"/>
      <c r="W758"/>
      <c r="X758"/>
      <c r="Y758"/>
      <c r="Z758"/>
      <c r="AA758"/>
    </row>
    <row r="759" spans="1:27">
      <c r="A759"/>
      <c r="B759"/>
      <c r="C759"/>
      <c r="D759"/>
      <c r="F759"/>
      <c r="Q759"/>
      <c r="R759"/>
      <c r="S759"/>
      <c r="T759"/>
      <c r="U759"/>
      <c r="V759"/>
      <c r="W759"/>
      <c r="X759"/>
      <c r="Y759"/>
      <c r="Z759"/>
      <c r="AA759"/>
    </row>
    <row r="760" spans="1:27">
      <c r="A760"/>
      <c r="B760"/>
      <c r="C760"/>
      <c r="D760"/>
      <c r="F760"/>
      <c r="Q760"/>
      <c r="R760"/>
      <c r="S760"/>
      <c r="T760"/>
      <c r="U760"/>
      <c r="V760"/>
      <c r="W760"/>
      <c r="X760"/>
      <c r="Y760"/>
      <c r="Z760"/>
      <c r="AA760"/>
    </row>
    <row r="761" spans="1:27">
      <c r="A761"/>
      <c r="B761"/>
      <c r="C761"/>
      <c r="D761"/>
      <c r="F761"/>
      <c r="Q761"/>
      <c r="R761"/>
      <c r="S761"/>
      <c r="T761"/>
      <c r="U761"/>
      <c r="V761"/>
      <c r="W761"/>
      <c r="X761"/>
      <c r="Y761"/>
      <c r="Z761"/>
      <c r="AA761"/>
    </row>
    <row r="762" spans="1:27">
      <c r="A762"/>
      <c r="B762"/>
      <c r="C762"/>
      <c r="D762"/>
      <c r="F762"/>
      <c r="Q762"/>
      <c r="R762"/>
      <c r="S762"/>
      <c r="T762"/>
      <c r="U762"/>
      <c r="V762"/>
      <c r="W762"/>
      <c r="X762"/>
      <c r="Y762"/>
      <c r="Z762"/>
      <c r="AA762"/>
    </row>
    <row r="763" spans="1:27">
      <c r="A763"/>
      <c r="B763"/>
      <c r="C763"/>
      <c r="D763"/>
      <c r="F763"/>
      <c r="Q763"/>
      <c r="R763"/>
      <c r="S763"/>
      <c r="T763"/>
      <c r="U763"/>
      <c r="V763"/>
      <c r="W763"/>
      <c r="X763"/>
      <c r="Y763"/>
      <c r="Z763"/>
      <c r="AA763"/>
    </row>
    <row r="764" spans="1:27">
      <c r="A764"/>
      <c r="B764"/>
      <c r="C764"/>
      <c r="D764"/>
      <c r="F764"/>
      <c r="Q764"/>
      <c r="R764"/>
      <c r="S764"/>
      <c r="T764"/>
      <c r="U764"/>
      <c r="V764"/>
      <c r="W764"/>
      <c r="X764"/>
      <c r="Y764"/>
      <c r="Z764"/>
      <c r="AA764"/>
    </row>
    <row r="765" spans="1:27">
      <c r="A765"/>
      <c r="B765"/>
      <c r="C765"/>
      <c r="D765"/>
      <c r="F765"/>
      <c r="Q765"/>
      <c r="R765"/>
      <c r="S765"/>
      <c r="T765"/>
      <c r="U765"/>
      <c r="V765"/>
      <c r="W765"/>
      <c r="X765"/>
      <c r="Y765"/>
      <c r="Z765"/>
      <c r="AA765"/>
    </row>
    <row r="766" spans="1:27">
      <c r="A766"/>
      <c r="B766"/>
      <c r="C766"/>
      <c r="D766"/>
      <c r="F766"/>
      <c r="Q766"/>
      <c r="R766"/>
      <c r="S766"/>
      <c r="T766"/>
      <c r="U766"/>
      <c r="V766"/>
      <c r="W766"/>
      <c r="X766"/>
      <c r="Y766"/>
      <c r="Z766"/>
      <c r="AA766"/>
    </row>
    <row r="767" spans="1:27">
      <c r="A767"/>
      <c r="B767"/>
      <c r="C767"/>
      <c r="D767"/>
      <c r="F767"/>
      <c r="Q767"/>
      <c r="R767"/>
      <c r="S767"/>
      <c r="T767"/>
      <c r="U767"/>
      <c r="V767"/>
      <c r="W767"/>
      <c r="X767"/>
      <c r="Y767"/>
      <c r="Z767"/>
      <c r="AA767"/>
    </row>
    <row r="768" spans="1:27">
      <c r="A768"/>
      <c r="B768"/>
      <c r="C768"/>
      <c r="D768"/>
      <c r="F768"/>
      <c r="Q768"/>
      <c r="R768"/>
      <c r="S768"/>
      <c r="T768"/>
      <c r="U768"/>
      <c r="V768"/>
      <c r="W768"/>
      <c r="X768"/>
      <c r="Y768"/>
      <c r="Z768"/>
      <c r="AA768"/>
    </row>
    <row r="769" spans="1:27">
      <c r="A769"/>
      <c r="B769"/>
      <c r="C769"/>
      <c r="D769"/>
      <c r="F769"/>
      <c r="Q769"/>
      <c r="R769"/>
      <c r="S769"/>
      <c r="T769"/>
      <c r="U769"/>
      <c r="V769"/>
      <c r="W769"/>
      <c r="X769"/>
      <c r="Y769"/>
      <c r="Z769"/>
      <c r="AA769"/>
    </row>
    <row r="770" spans="1:27">
      <c r="A770"/>
      <c r="B770"/>
      <c r="C770"/>
      <c r="D770"/>
      <c r="F770"/>
      <c r="Q770"/>
      <c r="R770"/>
      <c r="S770"/>
      <c r="T770"/>
      <c r="U770"/>
      <c r="V770"/>
      <c r="W770"/>
      <c r="X770"/>
      <c r="Y770"/>
      <c r="Z770"/>
      <c r="AA770"/>
    </row>
    <row r="771" spans="1:27">
      <c r="A771"/>
      <c r="B771"/>
      <c r="C771"/>
      <c r="D771"/>
      <c r="F771"/>
      <c r="Q771"/>
      <c r="R771"/>
      <c r="S771"/>
      <c r="T771"/>
      <c r="U771"/>
      <c r="V771"/>
      <c r="W771"/>
      <c r="X771"/>
      <c r="Y771"/>
      <c r="Z771"/>
      <c r="AA771"/>
    </row>
    <row r="772" spans="1:27">
      <c r="A772"/>
      <c r="B772"/>
      <c r="C772"/>
      <c r="D772"/>
      <c r="F772"/>
      <c r="Q772"/>
      <c r="R772"/>
      <c r="S772"/>
      <c r="T772"/>
      <c r="U772"/>
      <c r="V772"/>
      <c r="W772"/>
      <c r="X772"/>
      <c r="Y772"/>
      <c r="Z772"/>
      <c r="AA772"/>
    </row>
    <row r="773" spans="1:27">
      <c r="A773"/>
      <c r="B773"/>
      <c r="C773"/>
      <c r="D773"/>
      <c r="F773"/>
      <c r="Q773"/>
      <c r="R773"/>
      <c r="S773"/>
      <c r="T773"/>
      <c r="U773"/>
      <c r="V773"/>
      <c r="W773"/>
      <c r="X773"/>
      <c r="Y773"/>
      <c r="Z773"/>
      <c r="AA773"/>
    </row>
    <row r="774" spans="1:27">
      <c r="A774"/>
      <c r="B774"/>
      <c r="C774"/>
      <c r="D774"/>
      <c r="F774"/>
      <c r="Q774"/>
      <c r="R774"/>
      <c r="S774"/>
      <c r="T774"/>
      <c r="U774"/>
      <c r="V774"/>
      <c r="W774"/>
      <c r="X774"/>
      <c r="Y774"/>
      <c r="Z774"/>
      <c r="AA774"/>
    </row>
    <row r="775" spans="1:27">
      <c r="A775"/>
      <c r="B775"/>
      <c r="C775"/>
      <c r="D775"/>
      <c r="F775"/>
      <c r="Q775"/>
      <c r="R775"/>
      <c r="S775"/>
      <c r="T775"/>
      <c r="U775"/>
      <c r="V775"/>
      <c r="W775"/>
      <c r="X775"/>
      <c r="Y775"/>
      <c r="Z775"/>
      <c r="AA775"/>
    </row>
    <row r="776" spans="1:27">
      <c r="A776"/>
      <c r="B776"/>
      <c r="C776"/>
      <c r="D776"/>
      <c r="F776"/>
      <c r="Q776"/>
      <c r="R776"/>
      <c r="S776"/>
      <c r="T776"/>
      <c r="U776"/>
      <c r="V776"/>
      <c r="W776"/>
      <c r="X776"/>
      <c r="Y776"/>
      <c r="Z776"/>
      <c r="AA776"/>
    </row>
    <row r="777" spans="1:27">
      <c r="A777"/>
      <c r="B777"/>
      <c r="C777"/>
      <c r="D777"/>
      <c r="F777"/>
      <c r="Q777"/>
      <c r="R777"/>
      <c r="S777"/>
      <c r="T777"/>
      <c r="U777"/>
      <c r="V777"/>
      <c r="W777"/>
      <c r="X777"/>
      <c r="Y777"/>
      <c r="Z777"/>
      <c r="AA777"/>
    </row>
    <row r="778" spans="1:27">
      <c r="A778"/>
      <c r="B778"/>
      <c r="C778"/>
      <c r="D778"/>
      <c r="F778"/>
      <c r="Q778"/>
      <c r="R778"/>
      <c r="S778"/>
      <c r="T778"/>
      <c r="U778"/>
      <c r="V778"/>
      <c r="W778"/>
      <c r="X778"/>
      <c r="Y778"/>
      <c r="Z778"/>
      <c r="AA778"/>
    </row>
    <row r="779" spans="1:27">
      <c r="A779"/>
      <c r="B779"/>
      <c r="C779"/>
      <c r="D779"/>
      <c r="F779"/>
      <c r="Q779"/>
      <c r="R779"/>
      <c r="S779"/>
      <c r="T779"/>
      <c r="U779"/>
      <c r="V779"/>
      <c r="W779"/>
      <c r="X779"/>
      <c r="Y779"/>
      <c r="Z779"/>
      <c r="AA779"/>
    </row>
    <row r="780" spans="1:27">
      <c r="A780"/>
      <c r="B780"/>
      <c r="C780"/>
      <c r="D780"/>
      <c r="F780"/>
      <c r="Q780"/>
      <c r="R780"/>
      <c r="S780"/>
      <c r="T780"/>
      <c r="U780"/>
      <c r="V780"/>
      <c r="W780"/>
      <c r="X780"/>
      <c r="Y780"/>
      <c r="Z780"/>
      <c r="AA780"/>
    </row>
    <row r="781" spans="1:27">
      <c r="A781"/>
      <c r="B781"/>
      <c r="C781"/>
      <c r="D781"/>
      <c r="F781"/>
      <c r="Q781"/>
      <c r="R781"/>
      <c r="S781"/>
      <c r="T781"/>
      <c r="U781"/>
      <c r="V781"/>
      <c r="W781"/>
      <c r="X781"/>
      <c r="Y781"/>
      <c r="Z781"/>
      <c r="AA781"/>
    </row>
    <row r="782" spans="1:27">
      <c r="A782"/>
      <c r="B782"/>
      <c r="C782"/>
      <c r="D782"/>
      <c r="F782"/>
      <c r="Q782"/>
      <c r="R782"/>
      <c r="S782"/>
      <c r="T782"/>
      <c r="U782"/>
      <c r="V782"/>
      <c r="W782"/>
      <c r="X782"/>
      <c r="Y782"/>
      <c r="Z782"/>
      <c r="AA782"/>
    </row>
    <row r="783" spans="1:27">
      <c r="A783"/>
      <c r="B783"/>
      <c r="C783"/>
      <c r="D783"/>
      <c r="F783"/>
      <c r="Q783"/>
      <c r="R783"/>
      <c r="S783"/>
      <c r="T783"/>
      <c r="U783"/>
      <c r="V783"/>
      <c r="W783"/>
      <c r="X783"/>
      <c r="Y783"/>
      <c r="Z783"/>
      <c r="AA783"/>
    </row>
    <row r="784" spans="1:27">
      <c r="A784"/>
      <c r="B784"/>
      <c r="C784"/>
      <c r="D784"/>
      <c r="F784"/>
      <c r="Q784"/>
      <c r="R784"/>
      <c r="S784"/>
      <c r="T784"/>
      <c r="U784"/>
      <c r="V784"/>
      <c r="W784"/>
      <c r="X784"/>
      <c r="Y784"/>
      <c r="Z784"/>
      <c r="AA784"/>
    </row>
    <row r="785" spans="1:27">
      <c r="A785"/>
      <c r="B785"/>
      <c r="C785"/>
      <c r="D785"/>
      <c r="F785"/>
      <c r="Q785"/>
      <c r="R785"/>
      <c r="S785"/>
      <c r="T785"/>
      <c r="U785"/>
      <c r="V785"/>
      <c r="W785"/>
      <c r="X785"/>
      <c r="Y785"/>
      <c r="Z785"/>
      <c r="AA785"/>
    </row>
    <row r="786" spans="1:27">
      <c r="A786"/>
      <c r="B786"/>
      <c r="C786"/>
      <c r="D786"/>
      <c r="F786"/>
      <c r="Q786"/>
      <c r="R786"/>
      <c r="S786"/>
      <c r="T786"/>
      <c r="U786"/>
      <c r="V786"/>
      <c r="W786"/>
      <c r="X786"/>
      <c r="Y786"/>
      <c r="Z786"/>
      <c r="AA786"/>
    </row>
    <row r="787" spans="1:27">
      <c r="A787"/>
      <c r="B787"/>
      <c r="C787"/>
      <c r="D787"/>
      <c r="F787"/>
      <c r="Q787"/>
      <c r="R787"/>
      <c r="S787"/>
      <c r="T787"/>
      <c r="U787"/>
      <c r="V787"/>
      <c r="W787"/>
      <c r="X787"/>
      <c r="Y787"/>
      <c r="Z787"/>
      <c r="AA787"/>
    </row>
    <row r="788" spans="1:27">
      <c r="A788"/>
      <c r="B788"/>
      <c r="C788"/>
      <c r="D788"/>
      <c r="F788"/>
      <c r="Q788"/>
      <c r="R788"/>
      <c r="S788"/>
      <c r="T788"/>
      <c r="U788"/>
      <c r="V788"/>
      <c r="W788"/>
      <c r="X788"/>
      <c r="Y788"/>
      <c r="Z788"/>
      <c r="AA788"/>
    </row>
    <row r="789" spans="1:27">
      <c r="A789"/>
      <c r="B789"/>
      <c r="C789"/>
      <c r="D789"/>
      <c r="F789"/>
      <c r="Q789"/>
      <c r="R789"/>
      <c r="S789"/>
      <c r="T789"/>
      <c r="U789"/>
      <c r="V789"/>
      <c r="W789"/>
      <c r="X789"/>
      <c r="Y789"/>
      <c r="Z789"/>
      <c r="AA789"/>
    </row>
    <row r="790" spans="1:27">
      <c r="A790"/>
      <c r="B790"/>
      <c r="C790"/>
      <c r="D790"/>
      <c r="F790"/>
      <c r="Q790"/>
      <c r="R790"/>
      <c r="S790"/>
      <c r="T790"/>
      <c r="U790"/>
      <c r="V790"/>
      <c r="W790"/>
      <c r="X790"/>
      <c r="Y790"/>
      <c r="Z790"/>
      <c r="AA790"/>
    </row>
    <row r="791" spans="1:27">
      <c r="A791"/>
      <c r="B791"/>
      <c r="C791"/>
      <c r="D791"/>
      <c r="F791"/>
      <c r="Q791"/>
      <c r="R791"/>
      <c r="S791"/>
      <c r="T791"/>
      <c r="U791"/>
      <c r="V791"/>
      <c r="W791"/>
      <c r="X791"/>
      <c r="Y791"/>
      <c r="Z791"/>
      <c r="AA791"/>
    </row>
    <row r="792" spans="1:27">
      <c r="A792"/>
      <c r="B792"/>
      <c r="C792"/>
      <c r="D792"/>
      <c r="F792"/>
      <c r="Q792"/>
      <c r="R792"/>
      <c r="S792"/>
      <c r="T792"/>
      <c r="U792"/>
      <c r="V792"/>
      <c r="W792"/>
      <c r="X792"/>
      <c r="Y792"/>
      <c r="Z792"/>
      <c r="AA792"/>
    </row>
    <row r="793" spans="1:27">
      <c r="A793"/>
      <c r="B793"/>
      <c r="C793"/>
      <c r="D793"/>
      <c r="F793"/>
      <c r="Q793"/>
      <c r="R793"/>
      <c r="S793"/>
      <c r="T793"/>
      <c r="U793"/>
      <c r="V793"/>
      <c r="W793"/>
      <c r="X793"/>
      <c r="Y793"/>
      <c r="Z793"/>
      <c r="AA793"/>
    </row>
    <row r="794" spans="1:27">
      <c r="A794"/>
      <c r="B794"/>
      <c r="C794"/>
      <c r="D794"/>
      <c r="F794"/>
      <c r="Q794"/>
      <c r="R794"/>
      <c r="S794"/>
      <c r="T794"/>
      <c r="U794"/>
      <c r="V794"/>
      <c r="W794"/>
      <c r="X794"/>
      <c r="Y794"/>
      <c r="Z794"/>
      <c r="AA794"/>
    </row>
    <row r="795" spans="1:27">
      <c r="A795"/>
      <c r="B795"/>
      <c r="C795"/>
      <c r="D795"/>
      <c r="F795"/>
      <c r="Q795"/>
      <c r="R795"/>
      <c r="S795"/>
      <c r="T795"/>
      <c r="U795"/>
      <c r="V795"/>
      <c r="W795"/>
      <c r="X795"/>
      <c r="Y795"/>
      <c r="Z795"/>
      <c r="AA795"/>
    </row>
    <row r="796" spans="1:27">
      <c r="A796"/>
      <c r="B796"/>
      <c r="C796"/>
      <c r="D796"/>
      <c r="F796"/>
      <c r="Q796"/>
      <c r="R796"/>
      <c r="S796"/>
      <c r="T796"/>
      <c r="U796"/>
      <c r="V796"/>
      <c r="W796"/>
      <c r="X796"/>
      <c r="Y796"/>
      <c r="Z796"/>
      <c r="AA796"/>
    </row>
    <row r="797" spans="1:27">
      <c r="A797"/>
      <c r="B797"/>
      <c r="C797"/>
      <c r="D797"/>
      <c r="F797"/>
      <c r="Q797"/>
      <c r="R797"/>
      <c r="S797"/>
      <c r="T797"/>
      <c r="U797"/>
      <c r="V797"/>
      <c r="W797"/>
      <c r="X797"/>
      <c r="Y797"/>
      <c r="Z797"/>
      <c r="AA797"/>
    </row>
    <row r="798" spans="1:27">
      <c r="A798"/>
      <c r="B798"/>
      <c r="C798"/>
      <c r="D798"/>
      <c r="F798"/>
      <c r="Q798"/>
      <c r="R798"/>
      <c r="S798"/>
      <c r="T798"/>
      <c r="U798"/>
      <c r="V798"/>
      <c r="W798"/>
      <c r="X798"/>
      <c r="Y798"/>
      <c r="Z798"/>
      <c r="AA798"/>
    </row>
    <row r="799" spans="1:27">
      <c r="A799"/>
      <c r="B799"/>
      <c r="C799"/>
      <c r="D799"/>
      <c r="F799"/>
      <c r="Q799"/>
      <c r="R799"/>
      <c r="S799"/>
      <c r="T799"/>
      <c r="U799"/>
      <c r="V799"/>
      <c r="W799"/>
      <c r="X799"/>
      <c r="Y799"/>
      <c r="Z799"/>
      <c r="AA799"/>
    </row>
    <row r="800" spans="1:27">
      <c r="A800"/>
      <c r="B800"/>
      <c r="C800"/>
      <c r="D800"/>
      <c r="F800"/>
      <c r="Q800"/>
      <c r="R800"/>
      <c r="S800"/>
      <c r="T800"/>
      <c r="U800"/>
      <c r="V800"/>
      <c r="W800"/>
      <c r="X800"/>
      <c r="Y800"/>
      <c r="Z800"/>
      <c r="AA800"/>
    </row>
    <row r="801" spans="1:27">
      <c r="A801"/>
      <c r="B801"/>
      <c r="C801"/>
      <c r="D801"/>
      <c r="F801"/>
      <c r="Q801"/>
      <c r="R801"/>
      <c r="S801"/>
      <c r="T801"/>
      <c r="U801"/>
      <c r="V801"/>
      <c r="W801"/>
      <c r="X801"/>
      <c r="Y801"/>
      <c r="Z801"/>
      <c r="AA801"/>
    </row>
    <row r="802" spans="1:27">
      <c r="A802"/>
      <c r="B802"/>
      <c r="C802"/>
      <c r="D802"/>
      <c r="F802"/>
      <c r="Q802"/>
      <c r="R802"/>
      <c r="S802"/>
      <c r="T802"/>
      <c r="U802"/>
      <c r="V802"/>
      <c r="W802"/>
      <c r="X802"/>
      <c r="Y802"/>
      <c r="Z802"/>
      <c r="AA802"/>
    </row>
    <row r="803" spans="1:27">
      <c r="A803"/>
      <c r="B803"/>
      <c r="C803"/>
      <c r="D803"/>
      <c r="F803"/>
      <c r="Q803"/>
      <c r="R803"/>
      <c r="S803"/>
      <c r="T803"/>
      <c r="U803"/>
      <c r="V803"/>
      <c r="W803"/>
      <c r="X803"/>
      <c r="Y803"/>
      <c r="Z803"/>
      <c r="AA803"/>
    </row>
    <row r="804" spans="1:27">
      <c r="A804"/>
      <c r="B804"/>
      <c r="C804"/>
      <c r="D804"/>
      <c r="F804"/>
      <c r="Q804"/>
      <c r="R804"/>
      <c r="S804"/>
      <c r="T804"/>
      <c r="U804"/>
      <c r="V804"/>
      <c r="W804"/>
      <c r="X804"/>
      <c r="Y804"/>
      <c r="Z804"/>
      <c r="AA804"/>
    </row>
    <row r="805" spans="1:27">
      <c r="A805"/>
      <c r="B805"/>
      <c r="C805"/>
      <c r="D805"/>
      <c r="F805"/>
      <c r="Q805"/>
      <c r="R805"/>
      <c r="S805"/>
      <c r="T805"/>
      <c r="U805"/>
      <c r="V805"/>
      <c r="W805"/>
      <c r="X805"/>
      <c r="Y805"/>
      <c r="Z805"/>
      <c r="AA805"/>
    </row>
    <row r="806" spans="1:27">
      <c r="A806"/>
      <c r="B806"/>
      <c r="C806"/>
      <c r="D806"/>
      <c r="F806"/>
      <c r="Q806"/>
      <c r="R806"/>
      <c r="S806"/>
      <c r="T806"/>
      <c r="U806"/>
      <c r="V806"/>
      <c r="W806"/>
      <c r="X806"/>
      <c r="Y806"/>
      <c r="Z806"/>
      <c r="AA806"/>
    </row>
    <row r="807" spans="1:27">
      <c r="A807"/>
      <c r="B807"/>
      <c r="C807"/>
      <c r="D807"/>
      <c r="F807"/>
      <c r="Q807"/>
      <c r="R807"/>
      <c r="S807"/>
      <c r="T807"/>
      <c r="U807"/>
      <c r="V807"/>
      <c r="W807"/>
      <c r="X807"/>
      <c r="Y807"/>
      <c r="Z807"/>
      <c r="AA807"/>
    </row>
    <row r="808" spans="1:27">
      <c r="A808"/>
      <c r="B808"/>
      <c r="C808"/>
      <c r="D808"/>
      <c r="F808"/>
      <c r="Q808"/>
      <c r="R808"/>
      <c r="S808"/>
      <c r="T808"/>
      <c r="U808"/>
      <c r="V808"/>
      <c r="W808"/>
      <c r="X808"/>
      <c r="Y808"/>
      <c r="Z808"/>
      <c r="AA808"/>
    </row>
    <row r="809" spans="1:27">
      <c r="A809"/>
      <c r="B809"/>
      <c r="C809"/>
      <c r="D809"/>
      <c r="F809"/>
      <c r="Q809"/>
      <c r="R809"/>
      <c r="S809"/>
      <c r="T809"/>
      <c r="U809"/>
      <c r="V809"/>
      <c r="W809"/>
      <c r="X809"/>
      <c r="Y809"/>
      <c r="Z809"/>
      <c r="AA809"/>
    </row>
    <row r="810" spans="1:27">
      <c r="A810"/>
      <c r="B810"/>
      <c r="C810"/>
      <c r="D810"/>
      <c r="F810"/>
      <c r="Q810"/>
      <c r="R810"/>
      <c r="S810"/>
      <c r="T810"/>
      <c r="U810"/>
      <c r="V810"/>
      <c r="W810"/>
      <c r="X810"/>
      <c r="Y810"/>
      <c r="Z810"/>
      <c r="AA810"/>
    </row>
    <row r="811" spans="1:27">
      <c r="A811"/>
      <c r="B811"/>
      <c r="C811"/>
      <c r="D811"/>
      <c r="F811"/>
      <c r="Q811"/>
      <c r="R811"/>
      <c r="S811"/>
      <c r="T811"/>
      <c r="U811"/>
      <c r="V811"/>
      <c r="W811"/>
      <c r="X811"/>
      <c r="Y811"/>
      <c r="Z811"/>
      <c r="AA811"/>
    </row>
    <row r="812" spans="1:27">
      <c r="A812"/>
      <c r="B812"/>
      <c r="C812"/>
      <c r="D812"/>
      <c r="F812"/>
      <c r="Q812"/>
      <c r="R812"/>
      <c r="S812"/>
      <c r="T812"/>
      <c r="U812"/>
      <c r="V812"/>
      <c r="W812"/>
      <c r="X812"/>
      <c r="Y812"/>
      <c r="Z812"/>
      <c r="AA812"/>
    </row>
    <row r="813" spans="1:27">
      <c r="A813"/>
      <c r="B813"/>
      <c r="C813"/>
      <c r="D813"/>
      <c r="F813"/>
      <c r="Q813"/>
      <c r="R813"/>
      <c r="S813"/>
      <c r="T813"/>
      <c r="U813"/>
      <c r="V813"/>
      <c r="W813"/>
      <c r="X813"/>
      <c r="Y813"/>
      <c r="Z813"/>
      <c r="AA813"/>
    </row>
    <row r="814" spans="1:27">
      <c r="A814"/>
      <c r="B814"/>
      <c r="C814"/>
      <c r="D814"/>
      <c r="F814"/>
      <c r="Q814"/>
      <c r="R814"/>
      <c r="S814"/>
      <c r="T814"/>
      <c r="U814"/>
      <c r="V814"/>
      <c r="W814"/>
      <c r="X814"/>
      <c r="Y814"/>
      <c r="Z814"/>
      <c r="AA814"/>
    </row>
    <row r="815" spans="1:27">
      <c r="A815"/>
      <c r="B815"/>
      <c r="C815"/>
      <c r="D815"/>
      <c r="F815"/>
      <c r="Q815"/>
      <c r="R815"/>
      <c r="S815"/>
      <c r="T815"/>
      <c r="U815"/>
      <c r="V815"/>
      <c r="W815"/>
      <c r="X815"/>
      <c r="Y815"/>
      <c r="Z815"/>
      <c r="AA815"/>
    </row>
    <row r="816" spans="1:27">
      <c r="A816"/>
      <c r="B816"/>
      <c r="C816"/>
      <c r="D816"/>
      <c r="F816"/>
      <c r="Q816"/>
      <c r="R816"/>
      <c r="S816"/>
      <c r="T816"/>
      <c r="U816"/>
      <c r="V816"/>
      <c r="W816"/>
      <c r="X816"/>
      <c r="Y816"/>
      <c r="Z816"/>
      <c r="AA816"/>
    </row>
    <row r="817" spans="1:27">
      <c r="A817"/>
      <c r="B817"/>
      <c r="C817"/>
      <c r="D817"/>
      <c r="F817"/>
      <c r="Q817"/>
      <c r="R817"/>
      <c r="S817"/>
      <c r="T817"/>
      <c r="U817"/>
      <c r="V817"/>
      <c r="W817"/>
      <c r="X817"/>
      <c r="Y817"/>
      <c r="Z817"/>
      <c r="AA817"/>
    </row>
    <row r="818" spans="1:27">
      <c r="A818"/>
      <c r="B818"/>
      <c r="C818"/>
      <c r="D818"/>
      <c r="F818"/>
      <c r="Q818"/>
      <c r="R818"/>
      <c r="S818"/>
      <c r="T818"/>
      <c r="U818"/>
      <c r="V818"/>
      <c r="W818"/>
      <c r="X818"/>
      <c r="Y818"/>
      <c r="Z818"/>
      <c r="AA818"/>
    </row>
    <row r="819" spans="1:27">
      <c r="A819"/>
      <c r="B819"/>
      <c r="C819"/>
      <c r="D819"/>
      <c r="F819"/>
      <c r="Q819"/>
      <c r="R819"/>
      <c r="S819"/>
      <c r="T819"/>
      <c r="U819"/>
      <c r="V819"/>
      <c r="W819"/>
      <c r="X819"/>
      <c r="Y819"/>
      <c r="Z819"/>
      <c r="AA819"/>
    </row>
    <row r="820" spans="1:27">
      <c r="A820"/>
      <c r="B820"/>
      <c r="C820"/>
      <c r="D820"/>
      <c r="F820"/>
      <c r="Q820"/>
      <c r="R820"/>
      <c r="S820"/>
      <c r="T820"/>
      <c r="U820"/>
      <c r="V820"/>
      <c r="W820"/>
      <c r="X820"/>
      <c r="Y820"/>
      <c r="Z820"/>
      <c r="AA820"/>
    </row>
    <row r="821" spans="1:27">
      <c r="A821"/>
      <c r="B821"/>
      <c r="C821"/>
      <c r="D821"/>
      <c r="F821"/>
      <c r="Q821"/>
      <c r="R821"/>
      <c r="S821"/>
      <c r="T821"/>
      <c r="U821"/>
      <c r="V821"/>
      <c r="W821"/>
      <c r="X821"/>
      <c r="Y821"/>
      <c r="Z821"/>
      <c r="AA821"/>
    </row>
    <row r="822" spans="1:27">
      <c r="A822"/>
      <c r="B822"/>
      <c r="C822"/>
      <c r="D822"/>
      <c r="F822"/>
      <c r="Q822"/>
      <c r="R822"/>
      <c r="S822"/>
      <c r="T822"/>
      <c r="U822"/>
      <c r="V822"/>
      <c r="W822"/>
      <c r="X822"/>
      <c r="Y822"/>
      <c r="Z822"/>
      <c r="AA822"/>
    </row>
    <row r="823" spans="1:27">
      <c r="A823"/>
      <c r="B823"/>
      <c r="C823"/>
      <c r="D823"/>
      <c r="F823"/>
      <c r="Q823"/>
      <c r="R823"/>
      <c r="S823"/>
      <c r="T823"/>
      <c r="U823"/>
      <c r="V823"/>
      <c r="W823"/>
      <c r="X823"/>
      <c r="Y823"/>
      <c r="Z823"/>
      <c r="AA823"/>
    </row>
    <row r="824" spans="1:27">
      <c r="A824"/>
      <c r="B824"/>
      <c r="C824"/>
      <c r="D824"/>
      <c r="F824"/>
      <c r="Q824"/>
      <c r="R824"/>
      <c r="S824"/>
      <c r="T824"/>
      <c r="U824"/>
      <c r="V824"/>
      <c r="W824"/>
      <c r="X824"/>
      <c r="Y824"/>
      <c r="Z824"/>
      <c r="AA824"/>
    </row>
    <row r="825" spans="1:27">
      <c r="A825"/>
      <c r="B825"/>
      <c r="C825"/>
      <c r="D825"/>
      <c r="F825"/>
      <c r="Q825"/>
      <c r="R825"/>
      <c r="S825"/>
      <c r="T825"/>
      <c r="U825"/>
      <c r="V825"/>
      <c r="W825"/>
      <c r="X825"/>
      <c r="Y825"/>
      <c r="Z825"/>
      <c r="AA825"/>
    </row>
    <row r="826" spans="1:27">
      <c r="A826"/>
      <c r="B826"/>
      <c r="C826"/>
      <c r="D826"/>
      <c r="F826"/>
      <c r="Q826"/>
      <c r="R826"/>
      <c r="S826"/>
      <c r="T826"/>
      <c r="U826"/>
      <c r="V826"/>
      <c r="W826"/>
      <c r="X826"/>
      <c r="Y826"/>
      <c r="Z826"/>
      <c r="AA826"/>
    </row>
    <row r="827" spans="1:27">
      <c r="A827"/>
      <c r="B827"/>
      <c r="C827"/>
      <c r="D827"/>
      <c r="F827"/>
      <c r="Q827"/>
      <c r="R827"/>
      <c r="S827"/>
      <c r="T827"/>
      <c r="U827"/>
      <c r="V827"/>
      <c r="W827"/>
      <c r="X827"/>
      <c r="Y827"/>
      <c r="Z827"/>
      <c r="AA827"/>
    </row>
    <row r="828" spans="1:27">
      <c r="A828"/>
      <c r="B828"/>
      <c r="C828"/>
      <c r="D828"/>
      <c r="F828"/>
      <c r="Q828"/>
      <c r="R828"/>
      <c r="S828"/>
      <c r="T828"/>
      <c r="U828"/>
      <c r="V828"/>
      <c r="W828"/>
      <c r="X828"/>
      <c r="Y828"/>
      <c r="Z828"/>
      <c r="AA828"/>
    </row>
    <row r="829" spans="1:27">
      <c r="A829"/>
      <c r="B829"/>
      <c r="C829"/>
      <c r="D829"/>
      <c r="F829"/>
      <c r="Q829"/>
      <c r="R829"/>
      <c r="S829"/>
      <c r="T829"/>
      <c r="U829"/>
      <c r="V829"/>
      <c r="W829"/>
      <c r="X829"/>
      <c r="Y829"/>
      <c r="Z829"/>
      <c r="AA829"/>
    </row>
    <row r="830" spans="1:27">
      <c r="A830"/>
      <c r="B830"/>
      <c r="C830"/>
      <c r="D830"/>
      <c r="F830"/>
      <c r="Q830"/>
      <c r="R830"/>
      <c r="S830"/>
      <c r="T830"/>
      <c r="U830"/>
      <c r="V830"/>
      <c r="W830"/>
      <c r="X830"/>
      <c r="Y830"/>
      <c r="Z830"/>
      <c r="AA830"/>
    </row>
    <row r="831" spans="1:27">
      <c r="A831"/>
      <c r="B831"/>
      <c r="C831"/>
      <c r="D831"/>
      <c r="F831"/>
      <c r="Q831"/>
      <c r="R831"/>
      <c r="S831"/>
      <c r="T831"/>
      <c r="U831"/>
      <c r="V831"/>
      <c r="W831"/>
      <c r="X831"/>
      <c r="Y831"/>
      <c r="Z831"/>
      <c r="AA831"/>
    </row>
    <row r="832" spans="1:27">
      <c r="A832"/>
      <c r="B832"/>
      <c r="C832"/>
      <c r="D832"/>
      <c r="F832"/>
      <c r="Q832"/>
      <c r="R832"/>
      <c r="S832"/>
      <c r="T832"/>
      <c r="U832"/>
      <c r="V832"/>
      <c r="W832"/>
      <c r="X832"/>
      <c r="Y832"/>
      <c r="Z832"/>
      <c r="AA832"/>
    </row>
    <row r="833" spans="1:27">
      <c r="A833"/>
      <c r="B833"/>
      <c r="C833"/>
      <c r="D833"/>
      <c r="F833"/>
      <c r="Q833"/>
      <c r="R833"/>
      <c r="S833"/>
      <c r="T833"/>
      <c r="U833"/>
      <c r="V833"/>
      <c r="W833"/>
      <c r="X833"/>
      <c r="Y833"/>
      <c r="Z833"/>
      <c r="AA833"/>
    </row>
    <row r="834" spans="1:27">
      <c r="A834"/>
      <c r="B834"/>
      <c r="C834"/>
      <c r="D834"/>
      <c r="F834"/>
      <c r="Q834"/>
      <c r="R834"/>
      <c r="S834"/>
      <c r="T834"/>
      <c r="U834"/>
      <c r="V834"/>
      <c r="W834"/>
      <c r="X834"/>
      <c r="Y834"/>
      <c r="Z834"/>
      <c r="AA834"/>
    </row>
    <row r="835" spans="1:27">
      <c r="A835"/>
      <c r="B835"/>
      <c r="C835"/>
      <c r="D835"/>
      <c r="F835"/>
      <c r="Q835"/>
      <c r="R835"/>
      <c r="S835"/>
      <c r="T835"/>
      <c r="U835"/>
      <c r="V835"/>
      <c r="W835"/>
      <c r="X835"/>
      <c r="Y835"/>
      <c r="Z835"/>
      <c r="AA835"/>
    </row>
    <row r="836" spans="1:27">
      <c r="A836"/>
      <c r="B836"/>
      <c r="C836"/>
      <c r="D836"/>
      <c r="F836"/>
      <c r="Q836"/>
      <c r="R836"/>
      <c r="S836"/>
      <c r="T836"/>
      <c r="U836"/>
      <c r="V836"/>
      <c r="W836"/>
      <c r="X836"/>
      <c r="Y836"/>
      <c r="Z836"/>
      <c r="AA836"/>
    </row>
    <row r="837" spans="1:27">
      <c r="A837"/>
      <c r="B837"/>
      <c r="C837"/>
      <c r="D837"/>
      <c r="F837"/>
      <c r="Q837"/>
      <c r="R837"/>
      <c r="S837"/>
      <c r="T837"/>
      <c r="U837"/>
      <c r="V837"/>
      <c r="W837"/>
      <c r="X837"/>
      <c r="Y837"/>
      <c r="Z837"/>
      <c r="AA837"/>
    </row>
    <row r="838" spans="1:27">
      <c r="A838"/>
      <c r="B838"/>
      <c r="C838"/>
      <c r="D838"/>
      <c r="F838"/>
      <c r="Q838"/>
      <c r="R838"/>
      <c r="S838"/>
      <c r="T838"/>
      <c r="U838"/>
      <c r="V838"/>
      <c r="W838"/>
      <c r="X838"/>
      <c r="Y838"/>
      <c r="Z838"/>
      <c r="AA838"/>
    </row>
    <row r="839" spans="1:27">
      <c r="A839"/>
      <c r="B839"/>
      <c r="C839"/>
      <c r="D839"/>
      <c r="F839"/>
      <c r="Q839"/>
      <c r="R839"/>
      <c r="S839"/>
      <c r="T839"/>
      <c r="U839"/>
      <c r="V839"/>
      <c r="W839"/>
      <c r="X839"/>
      <c r="Y839"/>
      <c r="Z839"/>
      <c r="AA839"/>
    </row>
    <row r="840" spans="1:27">
      <c r="A840"/>
      <c r="B840"/>
      <c r="C840"/>
      <c r="D840"/>
      <c r="F840"/>
      <c r="Q840"/>
      <c r="R840"/>
      <c r="S840"/>
      <c r="T840"/>
      <c r="U840"/>
      <c r="V840"/>
      <c r="W840"/>
      <c r="X840"/>
      <c r="Y840"/>
      <c r="Z840"/>
      <c r="AA840"/>
    </row>
    <row r="841" spans="1:27">
      <c r="A841"/>
      <c r="B841"/>
      <c r="C841"/>
      <c r="D841"/>
      <c r="F841"/>
      <c r="Q841"/>
      <c r="R841"/>
      <c r="S841"/>
      <c r="T841"/>
      <c r="U841"/>
      <c r="V841"/>
      <c r="W841"/>
      <c r="X841"/>
      <c r="Y841"/>
      <c r="Z841"/>
      <c r="AA841"/>
    </row>
    <row r="842" spans="1:27">
      <c r="A842"/>
      <c r="B842"/>
      <c r="C842"/>
      <c r="D842"/>
      <c r="F842"/>
      <c r="Q842"/>
      <c r="R842"/>
      <c r="S842"/>
      <c r="T842"/>
      <c r="U842"/>
      <c r="V842"/>
      <c r="W842"/>
      <c r="X842"/>
      <c r="Y842"/>
      <c r="Z842"/>
      <c r="AA842"/>
    </row>
    <row r="843" spans="1:27">
      <c r="A843"/>
      <c r="B843"/>
      <c r="C843"/>
      <c r="D843"/>
      <c r="F843"/>
      <c r="Q843"/>
      <c r="R843"/>
      <c r="S843"/>
      <c r="T843"/>
      <c r="U843"/>
      <c r="V843"/>
      <c r="W843"/>
      <c r="X843"/>
      <c r="Y843"/>
      <c r="Z843"/>
      <c r="AA843"/>
    </row>
    <row r="844" spans="1:27">
      <c r="A844"/>
      <c r="B844"/>
      <c r="C844"/>
      <c r="D844"/>
      <c r="F844"/>
      <c r="Q844"/>
      <c r="R844"/>
      <c r="S844"/>
      <c r="T844"/>
      <c r="U844"/>
      <c r="V844"/>
      <c r="W844"/>
      <c r="X844"/>
      <c r="Y844"/>
      <c r="Z844"/>
      <c r="AA844"/>
    </row>
    <row r="845" spans="1:27">
      <c r="A845"/>
      <c r="B845"/>
      <c r="C845"/>
      <c r="D845"/>
      <c r="F845"/>
      <c r="Q845"/>
      <c r="R845"/>
      <c r="S845"/>
      <c r="T845"/>
      <c r="U845"/>
      <c r="V845"/>
      <c r="W845"/>
      <c r="X845"/>
      <c r="Y845"/>
      <c r="Z845"/>
      <c r="AA845"/>
    </row>
    <row r="846" spans="1:27">
      <c r="A846"/>
      <c r="B846"/>
      <c r="C846"/>
      <c r="D846"/>
      <c r="F846"/>
      <c r="Q846"/>
      <c r="R846"/>
      <c r="S846"/>
      <c r="T846"/>
      <c r="U846"/>
      <c r="V846"/>
      <c r="W846"/>
      <c r="X846"/>
      <c r="Y846"/>
      <c r="Z846"/>
      <c r="AA846"/>
    </row>
    <row r="847" spans="1:27">
      <c r="A847"/>
      <c r="B847"/>
      <c r="C847"/>
      <c r="D847"/>
      <c r="F847"/>
      <c r="Q847"/>
      <c r="R847"/>
      <c r="S847"/>
      <c r="T847"/>
      <c r="U847"/>
      <c r="V847"/>
      <c r="W847"/>
      <c r="X847"/>
      <c r="Y847"/>
      <c r="Z847"/>
      <c r="AA847"/>
    </row>
    <row r="848" spans="1:27">
      <c r="A848"/>
      <c r="B848"/>
      <c r="C848"/>
      <c r="D848"/>
      <c r="F848"/>
      <c r="Q848"/>
      <c r="R848"/>
      <c r="S848"/>
      <c r="T848"/>
      <c r="U848"/>
      <c r="V848"/>
      <c r="W848"/>
      <c r="X848"/>
      <c r="Y848"/>
      <c r="Z848"/>
      <c r="AA848"/>
    </row>
    <row r="849" spans="1:27">
      <c r="A849"/>
      <c r="B849"/>
      <c r="C849"/>
      <c r="D849"/>
      <c r="F849"/>
      <c r="Q849"/>
      <c r="R849"/>
      <c r="S849"/>
      <c r="T849"/>
      <c r="U849"/>
      <c r="V849"/>
      <c r="W849"/>
      <c r="X849"/>
      <c r="Y849"/>
      <c r="Z849"/>
      <c r="AA849"/>
    </row>
    <row r="850" spans="1:27">
      <c r="A850"/>
      <c r="B850"/>
      <c r="C850"/>
      <c r="D850"/>
      <c r="F850"/>
      <c r="Q850"/>
      <c r="R850"/>
      <c r="S850"/>
      <c r="T850"/>
      <c r="U850"/>
      <c r="V850"/>
      <c r="W850"/>
      <c r="X850"/>
      <c r="Y850"/>
      <c r="Z850"/>
      <c r="AA850"/>
    </row>
    <row r="851" spans="1:27">
      <c r="A851"/>
      <c r="B851"/>
      <c r="C851"/>
      <c r="D851"/>
      <c r="F851"/>
      <c r="Q851"/>
      <c r="R851"/>
      <c r="S851"/>
      <c r="T851"/>
      <c r="U851"/>
      <c r="V851"/>
      <c r="W851"/>
      <c r="X851"/>
      <c r="Y851"/>
      <c r="Z851"/>
      <c r="AA851"/>
    </row>
    <row r="852" spans="1:27">
      <c r="A852"/>
      <c r="B852"/>
      <c r="C852"/>
      <c r="D852"/>
      <c r="F852"/>
      <c r="Q852"/>
      <c r="R852"/>
      <c r="S852"/>
      <c r="T852"/>
      <c r="U852"/>
      <c r="V852"/>
      <c r="W852"/>
      <c r="X852"/>
      <c r="Y852"/>
      <c r="Z852"/>
      <c r="AA852"/>
    </row>
    <row r="853" spans="1:27">
      <c r="A853"/>
      <c r="B853"/>
      <c r="C853"/>
      <c r="D853"/>
      <c r="F853"/>
      <c r="Q853"/>
      <c r="R853"/>
      <c r="S853"/>
      <c r="T853"/>
      <c r="U853"/>
      <c r="V853"/>
      <c r="W853"/>
      <c r="X853"/>
      <c r="Y853"/>
      <c r="Z853"/>
      <c r="AA853"/>
    </row>
    <row r="854" spans="1:27">
      <c r="A854"/>
      <c r="B854"/>
      <c r="C854"/>
      <c r="D854"/>
      <c r="F854"/>
      <c r="Q854"/>
      <c r="R854"/>
      <c r="S854"/>
      <c r="T854"/>
      <c r="U854"/>
      <c r="V854"/>
      <c r="W854"/>
      <c r="X854"/>
      <c r="Y854"/>
      <c r="Z854"/>
      <c r="AA854"/>
    </row>
    <row r="855" spans="1:27">
      <c r="A855"/>
      <c r="B855"/>
      <c r="C855"/>
      <c r="D855"/>
      <c r="F855"/>
      <c r="Q855"/>
      <c r="R855"/>
      <c r="S855"/>
      <c r="T855"/>
      <c r="U855"/>
      <c r="V855"/>
      <c r="W855"/>
      <c r="X855"/>
      <c r="Y855"/>
      <c r="Z855"/>
      <c r="AA855"/>
    </row>
    <row r="856" spans="1:27">
      <c r="A856"/>
      <c r="B856"/>
      <c r="C856"/>
      <c r="D856"/>
      <c r="F856"/>
      <c r="Q856"/>
      <c r="R856"/>
      <c r="S856"/>
      <c r="T856"/>
      <c r="U856"/>
      <c r="V856"/>
      <c r="W856"/>
      <c r="X856"/>
      <c r="Y856"/>
      <c r="Z856"/>
      <c r="AA856"/>
    </row>
    <row r="857" spans="1:27">
      <c r="A857"/>
      <c r="B857"/>
      <c r="C857"/>
      <c r="D857"/>
      <c r="F857"/>
      <c r="Q857"/>
      <c r="R857"/>
      <c r="S857"/>
      <c r="T857"/>
      <c r="U857"/>
      <c r="V857"/>
      <c r="W857"/>
      <c r="X857"/>
      <c r="Y857"/>
      <c r="Z857"/>
      <c r="AA857"/>
    </row>
    <row r="858" spans="1:27">
      <c r="A858"/>
      <c r="B858"/>
      <c r="C858"/>
      <c r="D858"/>
      <c r="F858"/>
      <c r="Q858"/>
      <c r="R858"/>
      <c r="S858"/>
      <c r="T858"/>
      <c r="U858"/>
      <c r="V858"/>
      <c r="W858"/>
      <c r="X858"/>
      <c r="Y858"/>
      <c r="Z858"/>
      <c r="AA858"/>
    </row>
    <row r="859" spans="1:27">
      <c r="A859"/>
      <c r="B859"/>
      <c r="C859"/>
      <c r="D859"/>
      <c r="F859"/>
      <c r="Q859"/>
      <c r="R859"/>
      <c r="S859"/>
      <c r="T859"/>
      <c r="U859"/>
      <c r="V859"/>
      <c r="W859"/>
      <c r="X859"/>
      <c r="Y859"/>
      <c r="Z859"/>
      <c r="AA859"/>
    </row>
    <row r="860" spans="1:27">
      <c r="A860"/>
      <c r="B860"/>
      <c r="C860"/>
      <c r="D860"/>
      <c r="F860"/>
      <c r="Q860"/>
      <c r="R860"/>
      <c r="S860"/>
      <c r="T860"/>
      <c r="U860"/>
      <c r="V860"/>
      <c r="W860"/>
      <c r="X860"/>
      <c r="Y860"/>
      <c r="Z860"/>
      <c r="AA860"/>
    </row>
    <row r="861" spans="1:27">
      <c r="A861"/>
      <c r="B861"/>
      <c r="C861"/>
      <c r="D861"/>
      <c r="F861"/>
      <c r="Q861"/>
      <c r="R861"/>
      <c r="S861"/>
      <c r="T861"/>
      <c r="U861"/>
      <c r="V861"/>
      <c r="W861"/>
      <c r="X861"/>
      <c r="Y861"/>
      <c r="Z861"/>
      <c r="AA861"/>
    </row>
    <row r="862" spans="1:27">
      <c r="A862"/>
      <c r="B862"/>
      <c r="C862"/>
      <c r="D862"/>
      <c r="F862"/>
      <c r="Q862"/>
      <c r="R862"/>
      <c r="S862"/>
      <c r="T862"/>
      <c r="U862"/>
      <c r="V862"/>
      <c r="W862"/>
      <c r="X862"/>
      <c r="Y862"/>
      <c r="Z862"/>
      <c r="AA862"/>
    </row>
    <row r="863" spans="1:27">
      <c r="A863"/>
      <c r="B863"/>
      <c r="C863"/>
      <c r="D863"/>
      <c r="F863"/>
      <c r="Q863"/>
      <c r="R863"/>
      <c r="S863"/>
      <c r="T863"/>
      <c r="U863"/>
      <c r="V863"/>
      <c r="W863"/>
      <c r="X863"/>
      <c r="Y863"/>
      <c r="Z863"/>
      <c r="AA863"/>
    </row>
    <row r="864" spans="1:27">
      <c r="A864"/>
      <c r="B864"/>
      <c r="C864"/>
      <c r="D864"/>
      <c r="F864"/>
      <c r="Q864"/>
      <c r="R864"/>
      <c r="S864"/>
      <c r="T864"/>
      <c r="U864"/>
      <c r="V864"/>
      <c r="W864"/>
      <c r="X864"/>
      <c r="Y864"/>
      <c r="Z864"/>
      <c r="AA864"/>
    </row>
    <row r="865" spans="1:27">
      <c r="A865"/>
      <c r="B865"/>
      <c r="C865"/>
      <c r="D865"/>
      <c r="F865"/>
      <c r="Q865"/>
      <c r="R865"/>
      <c r="S865"/>
      <c r="T865"/>
      <c r="U865"/>
      <c r="V865"/>
      <c r="W865"/>
      <c r="X865"/>
      <c r="Y865"/>
      <c r="Z865"/>
      <c r="AA865"/>
    </row>
    <row r="866" spans="1:27">
      <c r="A866"/>
      <c r="B866"/>
      <c r="C866"/>
      <c r="D866"/>
      <c r="F866"/>
      <c r="Q866"/>
      <c r="R866"/>
      <c r="S866"/>
      <c r="T866"/>
      <c r="U866"/>
      <c r="V866"/>
      <c r="W866"/>
      <c r="X866"/>
      <c r="Y866"/>
      <c r="Z866"/>
      <c r="AA866"/>
    </row>
    <row r="867" spans="1:27">
      <c r="A867"/>
      <c r="B867"/>
      <c r="C867"/>
      <c r="D867"/>
      <c r="F867"/>
      <c r="Q867"/>
      <c r="R867"/>
      <c r="S867"/>
      <c r="T867"/>
      <c r="U867"/>
      <c r="V867"/>
      <c r="W867"/>
      <c r="X867"/>
      <c r="Y867"/>
      <c r="Z867"/>
      <c r="AA867"/>
    </row>
    <row r="868" spans="1:27">
      <c r="A868"/>
      <c r="B868"/>
      <c r="C868"/>
      <c r="D868"/>
      <c r="F868"/>
      <c r="Q868"/>
      <c r="R868"/>
      <c r="S868"/>
      <c r="T868"/>
      <c r="U868"/>
      <c r="V868"/>
      <c r="W868"/>
      <c r="X868"/>
      <c r="Y868"/>
      <c r="Z868"/>
      <c r="AA868"/>
    </row>
    <row r="869" spans="1:27">
      <c r="A869"/>
      <c r="B869"/>
      <c r="C869"/>
      <c r="D869"/>
      <c r="F869"/>
      <c r="Q869"/>
      <c r="R869"/>
      <c r="S869"/>
      <c r="T869"/>
      <c r="U869"/>
      <c r="V869"/>
      <c r="W869"/>
      <c r="X869"/>
      <c r="Y869"/>
      <c r="Z869"/>
      <c r="AA869"/>
    </row>
    <row r="870" spans="1:27">
      <c r="A870"/>
      <c r="B870"/>
      <c r="C870"/>
      <c r="D870"/>
      <c r="F870"/>
      <c r="Q870"/>
      <c r="R870"/>
      <c r="S870"/>
      <c r="T870"/>
      <c r="U870"/>
      <c r="V870"/>
      <c r="W870"/>
      <c r="X870"/>
      <c r="Y870"/>
      <c r="Z870"/>
      <c r="AA870"/>
    </row>
    <row r="871" spans="1:27">
      <c r="A871"/>
      <c r="B871"/>
      <c r="C871"/>
      <c r="D871"/>
      <c r="F871"/>
      <c r="Q871"/>
      <c r="R871"/>
      <c r="S871"/>
      <c r="T871"/>
      <c r="U871"/>
      <c r="V871"/>
      <c r="W871"/>
      <c r="X871"/>
      <c r="Y871"/>
      <c r="Z871"/>
      <c r="AA871"/>
    </row>
    <row r="872" spans="1:27">
      <c r="A872"/>
      <c r="B872"/>
      <c r="C872"/>
      <c r="D872"/>
      <c r="F872"/>
      <c r="Q872"/>
      <c r="R872"/>
      <c r="S872"/>
      <c r="T872"/>
      <c r="U872"/>
      <c r="V872"/>
      <c r="W872"/>
      <c r="X872"/>
      <c r="Y872"/>
      <c r="Z872"/>
      <c r="AA872"/>
    </row>
    <row r="873" spans="1:27">
      <c r="A873"/>
      <c r="B873"/>
      <c r="C873"/>
      <c r="D873"/>
      <c r="F873"/>
      <c r="Q873"/>
      <c r="R873"/>
      <c r="S873"/>
      <c r="T873"/>
      <c r="U873"/>
      <c r="V873"/>
      <c r="W873"/>
      <c r="X873"/>
      <c r="Y873"/>
      <c r="Z873"/>
      <c r="AA873"/>
    </row>
    <row r="874" spans="1:27">
      <c r="A874"/>
      <c r="B874"/>
      <c r="C874"/>
      <c r="D874"/>
      <c r="F874"/>
      <c r="Q874"/>
      <c r="R874"/>
      <c r="S874"/>
      <c r="T874"/>
      <c r="U874"/>
      <c r="V874"/>
      <c r="W874"/>
      <c r="X874"/>
      <c r="Y874"/>
      <c r="Z874"/>
      <c r="AA874"/>
    </row>
    <row r="875" spans="1:27">
      <c r="A875"/>
      <c r="B875"/>
      <c r="C875"/>
      <c r="D875"/>
      <c r="F875"/>
      <c r="Q875"/>
      <c r="R875"/>
      <c r="S875"/>
      <c r="T875"/>
      <c r="U875"/>
      <c r="V875"/>
      <c r="W875"/>
      <c r="X875"/>
      <c r="Y875"/>
      <c r="Z875"/>
      <c r="AA875"/>
    </row>
    <row r="876" spans="1:27">
      <c r="A876"/>
      <c r="B876"/>
      <c r="C876"/>
      <c r="D876"/>
      <c r="F876"/>
      <c r="Q876"/>
      <c r="R876"/>
      <c r="S876"/>
      <c r="T876"/>
      <c r="U876"/>
      <c r="V876"/>
      <c r="W876"/>
      <c r="X876"/>
      <c r="Y876"/>
      <c r="Z876"/>
      <c r="AA876"/>
    </row>
    <row r="877" spans="1:27">
      <c r="A877"/>
      <c r="B877"/>
      <c r="C877"/>
      <c r="D877"/>
      <c r="F877"/>
      <c r="Q877"/>
      <c r="R877"/>
      <c r="S877"/>
      <c r="T877"/>
      <c r="U877"/>
      <c r="V877"/>
      <c r="W877"/>
      <c r="X877"/>
      <c r="Y877"/>
      <c r="Z877"/>
      <c r="AA877"/>
    </row>
    <row r="878" spans="1:27">
      <c r="A878"/>
      <c r="B878"/>
      <c r="C878"/>
      <c r="D878"/>
      <c r="F878"/>
      <c r="Q878"/>
      <c r="R878"/>
      <c r="S878"/>
      <c r="T878"/>
      <c r="U878"/>
      <c r="V878"/>
      <c r="W878"/>
      <c r="X878"/>
      <c r="Y878"/>
      <c r="Z878"/>
      <c r="AA878"/>
    </row>
    <row r="879" spans="1:27">
      <c r="A879"/>
      <c r="B879"/>
      <c r="C879"/>
      <c r="D879"/>
      <c r="F879"/>
      <c r="Q879"/>
      <c r="R879"/>
      <c r="S879"/>
      <c r="T879"/>
      <c r="U879"/>
      <c r="V879"/>
      <c r="W879"/>
      <c r="X879"/>
      <c r="Y879"/>
      <c r="Z879"/>
      <c r="AA879"/>
    </row>
    <row r="880" spans="1:27">
      <c r="A880"/>
      <c r="B880"/>
      <c r="C880"/>
      <c r="D880"/>
      <c r="F880"/>
      <c r="Q880"/>
      <c r="R880"/>
      <c r="S880"/>
      <c r="T880"/>
      <c r="U880"/>
      <c r="V880"/>
      <c r="W880"/>
      <c r="X880"/>
      <c r="Y880"/>
      <c r="Z880"/>
      <c r="AA880"/>
    </row>
    <row r="881" spans="1:27">
      <c r="A881"/>
      <c r="B881"/>
      <c r="C881"/>
      <c r="D881"/>
      <c r="F881"/>
      <c r="Q881"/>
      <c r="R881"/>
      <c r="S881"/>
      <c r="T881"/>
      <c r="U881"/>
      <c r="V881"/>
      <c r="W881"/>
      <c r="X881"/>
      <c r="Y881"/>
      <c r="Z881"/>
      <c r="AA881"/>
    </row>
    <row r="882" spans="1:27">
      <c r="A882"/>
      <c r="B882"/>
      <c r="C882"/>
      <c r="D882"/>
      <c r="F882"/>
      <c r="Q882"/>
      <c r="R882"/>
      <c r="S882"/>
      <c r="T882"/>
      <c r="U882"/>
      <c r="V882"/>
      <c r="W882"/>
      <c r="X882"/>
      <c r="Y882"/>
      <c r="Z882"/>
      <c r="AA882"/>
    </row>
    <row r="883" spans="1:27">
      <c r="A883"/>
      <c r="B883"/>
      <c r="C883"/>
      <c r="D883"/>
      <c r="F883"/>
      <c r="Q883"/>
      <c r="R883"/>
      <c r="S883"/>
      <c r="T883"/>
      <c r="U883"/>
      <c r="V883"/>
      <c r="W883"/>
      <c r="X883"/>
      <c r="Y883"/>
      <c r="Z883"/>
      <c r="AA883"/>
    </row>
    <row r="884" spans="1:27">
      <c r="A884"/>
      <c r="B884"/>
      <c r="C884"/>
      <c r="D884"/>
      <c r="F884"/>
      <c r="Q884"/>
      <c r="R884"/>
      <c r="S884"/>
      <c r="T884"/>
      <c r="U884"/>
      <c r="V884"/>
      <c r="W884"/>
      <c r="X884"/>
      <c r="Y884"/>
      <c r="Z884"/>
      <c r="AA884"/>
    </row>
    <row r="885" spans="1:27">
      <c r="A885"/>
      <c r="B885"/>
      <c r="C885"/>
      <c r="D885"/>
      <c r="F885"/>
      <c r="Q885"/>
      <c r="R885"/>
      <c r="S885"/>
      <c r="T885"/>
      <c r="U885"/>
      <c r="V885"/>
      <c r="W885"/>
      <c r="X885"/>
      <c r="Y885"/>
      <c r="Z885"/>
      <c r="AA885"/>
    </row>
    <row r="886" spans="1:27">
      <c r="A886"/>
      <c r="B886"/>
      <c r="C886"/>
      <c r="D886"/>
      <c r="F886"/>
      <c r="Q886"/>
      <c r="R886"/>
      <c r="S886"/>
      <c r="T886"/>
      <c r="U886"/>
      <c r="V886"/>
      <c r="W886"/>
      <c r="X886"/>
      <c r="Y886"/>
      <c r="Z886"/>
      <c r="AA886"/>
    </row>
    <row r="887" spans="1:27">
      <c r="A887"/>
      <c r="B887"/>
      <c r="C887"/>
      <c r="D887"/>
      <c r="F887"/>
      <c r="Q887"/>
      <c r="R887"/>
      <c r="S887"/>
      <c r="T887"/>
      <c r="U887"/>
      <c r="V887"/>
      <c r="W887"/>
      <c r="X887"/>
      <c r="Y887"/>
      <c r="Z887"/>
      <c r="AA887"/>
    </row>
    <row r="888" spans="1:27">
      <c r="A888"/>
      <c r="B888"/>
      <c r="C888"/>
      <c r="D888"/>
      <c r="F888"/>
      <c r="Q888"/>
      <c r="R888"/>
      <c r="S888"/>
      <c r="T888"/>
      <c r="U888"/>
      <c r="V888"/>
      <c r="W888"/>
      <c r="X888"/>
      <c r="Y888"/>
      <c r="Z888"/>
      <c r="AA888"/>
    </row>
    <row r="889" spans="1:27">
      <c r="A889"/>
      <c r="B889"/>
      <c r="C889"/>
      <c r="D889"/>
      <c r="F889"/>
      <c r="Q889"/>
      <c r="R889"/>
      <c r="S889"/>
      <c r="T889"/>
      <c r="U889"/>
      <c r="V889"/>
      <c r="W889"/>
      <c r="X889"/>
      <c r="Y889"/>
      <c r="Z889"/>
      <c r="AA889"/>
    </row>
    <row r="890" spans="1:27">
      <c r="A890"/>
      <c r="B890"/>
      <c r="C890"/>
      <c r="D890"/>
      <c r="F890"/>
      <c r="Q890"/>
      <c r="R890"/>
      <c r="S890"/>
      <c r="T890"/>
      <c r="U890"/>
      <c r="V890"/>
      <c r="W890"/>
      <c r="X890"/>
      <c r="Y890"/>
      <c r="Z890"/>
      <c r="AA890"/>
    </row>
    <row r="891" spans="1:27">
      <c r="A891"/>
      <c r="B891"/>
      <c r="C891"/>
      <c r="D891"/>
      <c r="F891"/>
      <c r="Q891"/>
      <c r="R891"/>
      <c r="S891"/>
      <c r="T891"/>
      <c r="U891"/>
      <c r="V891"/>
      <c r="W891"/>
      <c r="X891"/>
      <c r="Y891"/>
      <c r="Z891"/>
      <c r="AA891"/>
    </row>
    <row r="892" spans="1:27">
      <c r="A892"/>
      <c r="B892"/>
      <c r="C892"/>
      <c r="D892"/>
      <c r="F892"/>
      <c r="Q892"/>
      <c r="R892"/>
      <c r="S892"/>
      <c r="T892"/>
      <c r="U892"/>
      <c r="V892"/>
      <c r="W892"/>
      <c r="X892"/>
      <c r="Y892"/>
      <c r="Z892"/>
      <c r="AA892"/>
    </row>
    <row r="893" spans="1:27">
      <c r="A893"/>
      <c r="B893"/>
      <c r="C893"/>
      <c r="D893"/>
      <c r="F893"/>
      <c r="Q893"/>
      <c r="R893"/>
      <c r="S893"/>
      <c r="T893"/>
      <c r="U893"/>
      <c r="V893"/>
      <c r="W893"/>
      <c r="X893"/>
      <c r="Y893"/>
      <c r="Z893"/>
      <c r="AA893"/>
    </row>
    <row r="894" spans="1:27">
      <c r="A894"/>
      <c r="B894"/>
      <c r="C894"/>
      <c r="D894"/>
      <c r="F894"/>
      <c r="Q894"/>
      <c r="R894"/>
      <c r="S894"/>
      <c r="T894"/>
      <c r="U894"/>
      <c r="V894"/>
      <c r="W894"/>
      <c r="X894"/>
      <c r="Y894"/>
      <c r="Z894"/>
      <c r="AA894"/>
    </row>
    <row r="895" spans="1:27">
      <c r="A895"/>
      <c r="B895"/>
      <c r="C895"/>
      <c r="D895"/>
      <c r="F895"/>
      <c r="Q895"/>
      <c r="R895"/>
      <c r="S895"/>
      <c r="T895"/>
      <c r="U895"/>
      <c r="V895"/>
      <c r="W895"/>
      <c r="X895"/>
      <c r="Y895"/>
      <c r="Z895"/>
      <c r="AA895"/>
    </row>
    <row r="896" spans="1:27">
      <c r="A896"/>
      <c r="B896"/>
      <c r="C896"/>
      <c r="D896"/>
      <c r="F896"/>
      <c r="Q896"/>
      <c r="R896"/>
      <c r="S896"/>
      <c r="T896"/>
      <c r="U896"/>
      <c r="V896"/>
      <c r="W896"/>
      <c r="X896"/>
      <c r="Y896"/>
      <c r="Z896"/>
      <c r="AA896"/>
    </row>
    <row r="897" spans="1:27">
      <c r="A897"/>
      <c r="B897"/>
      <c r="C897"/>
      <c r="D897"/>
      <c r="F897"/>
      <c r="Q897"/>
      <c r="R897"/>
      <c r="S897"/>
      <c r="T897"/>
      <c r="U897"/>
      <c r="V897"/>
      <c r="W897"/>
      <c r="X897"/>
      <c r="Y897"/>
      <c r="Z897"/>
      <c r="AA897"/>
    </row>
    <row r="898" spans="1:27">
      <c r="A898"/>
      <c r="B898"/>
      <c r="C898"/>
      <c r="D898"/>
      <c r="F898"/>
      <c r="Q898"/>
      <c r="R898"/>
      <c r="S898"/>
      <c r="T898"/>
      <c r="U898"/>
      <c r="V898"/>
      <c r="W898"/>
      <c r="X898"/>
      <c r="Y898"/>
      <c r="Z898"/>
      <c r="AA898"/>
    </row>
    <row r="899" spans="1:27">
      <c r="A899"/>
      <c r="B899"/>
      <c r="C899"/>
      <c r="D899"/>
      <c r="F899"/>
      <c r="Q899"/>
      <c r="R899"/>
      <c r="S899"/>
      <c r="T899"/>
      <c r="U899"/>
      <c r="V899"/>
      <c r="W899"/>
      <c r="X899"/>
      <c r="Y899"/>
      <c r="Z899"/>
      <c r="AA899"/>
    </row>
    <row r="900" spans="1:27">
      <c r="A900"/>
      <c r="B900"/>
      <c r="C900"/>
      <c r="D900"/>
      <c r="F900"/>
      <c r="Q900"/>
      <c r="R900"/>
      <c r="S900"/>
      <c r="T900"/>
      <c r="U900"/>
      <c r="V900"/>
      <c r="W900"/>
      <c r="X900"/>
      <c r="Y900"/>
      <c r="Z900"/>
      <c r="AA900"/>
    </row>
    <row r="901" spans="1:27">
      <c r="A901"/>
      <c r="B901"/>
      <c r="C901"/>
      <c r="D901"/>
      <c r="F901"/>
      <c r="Q901"/>
      <c r="R901"/>
      <c r="S901"/>
      <c r="T901"/>
      <c r="U901"/>
      <c r="V901"/>
      <c r="W901"/>
      <c r="X901"/>
      <c r="Y901"/>
      <c r="Z901"/>
      <c r="AA901"/>
    </row>
    <row r="902" spans="1:27">
      <c r="A902"/>
      <c r="B902"/>
      <c r="C902"/>
      <c r="D902"/>
      <c r="F902"/>
      <c r="Q902"/>
      <c r="R902"/>
      <c r="S902"/>
      <c r="T902"/>
      <c r="U902"/>
      <c r="V902"/>
      <c r="W902"/>
      <c r="X902"/>
      <c r="Y902"/>
      <c r="Z902"/>
      <c r="AA902"/>
    </row>
    <row r="903" spans="1:27">
      <c r="A903"/>
      <c r="B903"/>
      <c r="C903"/>
      <c r="D903"/>
      <c r="F903"/>
      <c r="Q903"/>
      <c r="R903"/>
      <c r="S903"/>
      <c r="T903"/>
      <c r="U903"/>
      <c r="V903"/>
      <c r="W903"/>
      <c r="X903"/>
      <c r="Y903"/>
      <c r="Z903"/>
      <c r="AA903"/>
    </row>
    <row r="904" spans="1:27">
      <c r="A904"/>
      <c r="B904"/>
      <c r="C904"/>
      <c r="D904"/>
      <c r="F904"/>
      <c r="Q904"/>
      <c r="R904"/>
      <c r="S904"/>
      <c r="T904"/>
      <c r="U904"/>
      <c r="V904"/>
      <c r="W904"/>
      <c r="X904"/>
      <c r="Y904"/>
      <c r="Z904"/>
      <c r="AA904"/>
    </row>
    <row r="905" spans="1:27">
      <c r="A905"/>
      <c r="B905"/>
      <c r="C905"/>
      <c r="D905"/>
      <c r="F905"/>
      <c r="Q905"/>
      <c r="R905"/>
      <c r="S905"/>
      <c r="T905"/>
      <c r="U905"/>
      <c r="V905"/>
      <c r="W905"/>
      <c r="X905"/>
      <c r="Y905"/>
      <c r="Z905"/>
      <c r="AA905"/>
    </row>
    <row r="906" spans="1:27">
      <c r="A906"/>
      <c r="B906"/>
      <c r="C906"/>
      <c r="D906"/>
      <c r="F906"/>
      <c r="Q906"/>
      <c r="R906"/>
      <c r="S906"/>
      <c r="T906"/>
      <c r="U906"/>
      <c r="V906"/>
      <c r="W906"/>
      <c r="X906"/>
      <c r="Y906"/>
      <c r="Z906"/>
      <c r="AA906"/>
    </row>
    <row r="907" spans="1:27">
      <c r="A907"/>
      <c r="B907"/>
      <c r="C907"/>
      <c r="D907"/>
      <c r="F907"/>
      <c r="Q907"/>
      <c r="R907"/>
      <c r="S907"/>
      <c r="T907"/>
      <c r="U907"/>
      <c r="V907"/>
      <c r="W907"/>
      <c r="X907"/>
      <c r="Y907"/>
      <c r="Z907"/>
      <c r="AA907"/>
    </row>
    <row r="908" spans="1:27">
      <c r="A908"/>
      <c r="B908"/>
      <c r="C908"/>
      <c r="D908"/>
      <c r="F908"/>
      <c r="Q908"/>
      <c r="R908"/>
      <c r="S908"/>
      <c r="T908"/>
      <c r="U908"/>
      <c r="V908"/>
      <c r="W908"/>
      <c r="X908"/>
      <c r="Y908"/>
      <c r="Z908"/>
      <c r="AA908"/>
    </row>
    <row r="909" spans="1:27">
      <c r="A909"/>
      <c r="B909"/>
      <c r="C909"/>
      <c r="D909"/>
      <c r="F909"/>
      <c r="Q909"/>
      <c r="R909"/>
      <c r="S909"/>
      <c r="T909"/>
      <c r="U909"/>
      <c r="V909"/>
      <c r="W909"/>
      <c r="X909"/>
      <c r="Y909"/>
      <c r="Z909"/>
      <c r="AA909"/>
    </row>
    <row r="910" spans="1:27">
      <c r="A910"/>
      <c r="B910"/>
      <c r="C910"/>
      <c r="D910"/>
      <c r="F910"/>
      <c r="Q910"/>
      <c r="R910"/>
      <c r="S910"/>
      <c r="T910"/>
      <c r="U910"/>
      <c r="V910"/>
      <c r="W910"/>
      <c r="X910"/>
      <c r="Y910"/>
      <c r="Z910"/>
      <c r="AA910"/>
    </row>
    <row r="911" spans="1:27">
      <c r="A911"/>
      <c r="B911"/>
      <c r="C911"/>
      <c r="D911"/>
      <c r="F911"/>
      <c r="Q911"/>
      <c r="R911"/>
      <c r="S911"/>
      <c r="T911"/>
      <c r="U911"/>
      <c r="V911"/>
      <c r="W911"/>
      <c r="X911"/>
      <c r="Y911"/>
      <c r="Z911"/>
      <c r="AA911"/>
    </row>
    <row r="912" spans="1:27">
      <c r="A912"/>
      <c r="B912"/>
      <c r="C912"/>
      <c r="D912"/>
      <c r="F912"/>
      <c r="Q912"/>
      <c r="R912"/>
      <c r="S912"/>
      <c r="T912"/>
      <c r="U912"/>
      <c r="V912"/>
      <c r="W912"/>
      <c r="X912"/>
      <c r="Y912"/>
      <c r="Z912"/>
      <c r="AA912"/>
    </row>
    <row r="913" spans="1:27">
      <c r="A913"/>
      <c r="B913"/>
      <c r="C913"/>
      <c r="D913"/>
      <c r="F913"/>
      <c r="Q913"/>
      <c r="R913"/>
      <c r="S913"/>
      <c r="T913"/>
      <c r="U913"/>
      <c r="V913"/>
      <c r="W913"/>
      <c r="X913"/>
      <c r="Y913"/>
      <c r="Z913"/>
      <c r="AA913"/>
    </row>
    <row r="914" spans="1:27">
      <c r="A914"/>
      <c r="B914"/>
      <c r="C914"/>
      <c r="D914"/>
      <c r="F914"/>
      <c r="Q914"/>
      <c r="R914"/>
      <c r="S914"/>
      <c r="T914"/>
      <c r="U914"/>
      <c r="V914"/>
      <c r="W914"/>
      <c r="X914"/>
      <c r="Y914"/>
      <c r="Z914"/>
      <c r="AA914"/>
    </row>
    <row r="915" spans="1:27">
      <c r="A915"/>
      <c r="B915"/>
      <c r="C915"/>
      <c r="D915"/>
      <c r="F915"/>
      <c r="Q915"/>
      <c r="R915"/>
      <c r="S915"/>
      <c r="T915"/>
      <c r="U915"/>
      <c r="V915"/>
      <c r="W915"/>
      <c r="X915"/>
      <c r="Y915"/>
      <c r="Z915"/>
      <c r="AA915"/>
    </row>
    <row r="916" spans="1:27">
      <c r="A916"/>
      <c r="B916"/>
      <c r="C916"/>
      <c r="D916"/>
      <c r="F916"/>
      <c r="Q916"/>
      <c r="R916"/>
      <c r="S916"/>
      <c r="T916"/>
      <c r="U916"/>
      <c r="V916"/>
      <c r="W916"/>
      <c r="X916"/>
      <c r="Y916"/>
      <c r="Z916"/>
      <c r="AA916"/>
    </row>
    <row r="917" spans="1:27">
      <c r="A917"/>
      <c r="B917"/>
      <c r="C917"/>
      <c r="D917"/>
      <c r="F917"/>
      <c r="Q917"/>
      <c r="R917"/>
      <c r="S917"/>
      <c r="T917"/>
      <c r="U917"/>
      <c r="V917"/>
      <c r="W917"/>
      <c r="X917"/>
      <c r="Y917"/>
      <c r="Z917"/>
      <c r="AA917"/>
    </row>
    <row r="918" spans="1:27">
      <c r="A918"/>
      <c r="B918"/>
      <c r="C918"/>
      <c r="D918"/>
      <c r="F918"/>
      <c r="Q918"/>
      <c r="R918"/>
      <c r="S918"/>
      <c r="T918"/>
      <c r="U918"/>
      <c r="V918"/>
      <c r="W918"/>
      <c r="X918"/>
      <c r="Y918"/>
      <c r="Z918"/>
      <c r="AA918"/>
    </row>
    <row r="919" spans="1:27">
      <c r="A919"/>
      <c r="B919"/>
      <c r="C919"/>
      <c r="D919"/>
      <c r="F919"/>
      <c r="Q919"/>
      <c r="R919"/>
      <c r="S919"/>
      <c r="T919"/>
      <c r="U919"/>
      <c r="V919"/>
      <c r="W919"/>
      <c r="X919"/>
      <c r="Y919"/>
      <c r="Z919"/>
      <c r="AA919"/>
    </row>
    <row r="920" spans="1:27">
      <c r="A920"/>
      <c r="B920"/>
      <c r="C920"/>
      <c r="D920"/>
      <c r="F920"/>
      <c r="Q920"/>
      <c r="R920"/>
      <c r="S920"/>
      <c r="T920"/>
      <c r="U920"/>
      <c r="V920"/>
      <c r="W920"/>
      <c r="X920"/>
      <c r="Y920"/>
      <c r="Z920"/>
      <c r="AA920"/>
    </row>
    <row r="921" spans="1:27">
      <c r="A921"/>
      <c r="B921"/>
      <c r="C921"/>
      <c r="D921"/>
      <c r="F921"/>
      <c r="Q921"/>
      <c r="R921"/>
      <c r="S921"/>
      <c r="T921"/>
      <c r="U921"/>
      <c r="V921"/>
      <c r="W921"/>
      <c r="X921"/>
      <c r="Y921"/>
      <c r="Z921"/>
      <c r="AA921"/>
    </row>
    <row r="922" spans="1:27">
      <c r="A922"/>
      <c r="B922"/>
      <c r="C922"/>
      <c r="D922"/>
      <c r="F922"/>
      <c r="Q922"/>
      <c r="R922"/>
      <c r="S922"/>
      <c r="T922"/>
      <c r="U922"/>
      <c r="V922"/>
      <c r="W922"/>
      <c r="X922"/>
      <c r="Y922"/>
      <c r="Z922"/>
      <c r="AA922"/>
    </row>
    <row r="923" spans="1:27">
      <c r="A923"/>
      <c r="B923"/>
      <c r="C923"/>
      <c r="D923"/>
      <c r="F923"/>
      <c r="Q923"/>
      <c r="R923"/>
      <c r="S923"/>
      <c r="T923"/>
      <c r="U923"/>
      <c r="V923"/>
      <c r="W923"/>
      <c r="X923"/>
      <c r="Y923"/>
      <c r="Z923"/>
      <c r="AA923"/>
    </row>
    <row r="924" spans="1:27">
      <c r="A924"/>
      <c r="B924"/>
      <c r="C924"/>
      <c r="D924"/>
      <c r="F924"/>
      <c r="Q924"/>
      <c r="R924"/>
      <c r="S924"/>
      <c r="T924"/>
      <c r="U924"/>
      <c r="V924"/>
      <c r="W924"/>
      <c r="X924"/>
      <c r="Y924"/>
      <c r="Z924"/>
      <c r="AA924"/>
    </row>
    <row r="925" spans="1:27">
      <c r="A925"/>
      <c r="B925"/>
      <c r="C925"/>
      <c r="D925"/>
      <c r="F925"/>
      <c r="Q925"/>
      <c r="R925"/>
      <c r="S925"/>
      <c r="T925"/>
      <c r="U925"/>
      <c r="V925"/>
      <c r="W925"/>
      <c r="X925"/>
      <c r="Y925"/>
      <c r="Z925"/>
      <c r="AA925"/>
    </row>
    <row r="926" spans="1:27">
      <c r="A926"/>
      <c r="B926"/>
      <c r="C926"/>
      <c r="D926"/>
      <c r="F926"/>
      <c r="Q926"/>
      <c r="R926"/>
      <c r="S926"/>
      <c r="T926"/>
      <c r="U926"/>
      <c r="V926"/>
      <c r="W926"/>
      <c r="X926"/>
      <c r="Y926"/>
      <c r="Z926"/>
      <c r="AA926"/>
    </row>
    <row r="927" spans="1:27">
      <c r="A927"/>
      <c r="B927"/>
      <c r="C927"/>
      <c r="D927"/>
      <c r="F927"/>
      <c r="Q927"/>
      <c r="R927"/>
      <c r="S927"/>
      <c r="T927"/>
      <c r="U927"/>
      <c r="V927"/>
      <c r="W927"/>
      <c r="X927"/>
      <c r="Y927"/>
      <c r="Z927"/>
      <c r="AA927"/>
    </row>
    <row r="928" spans="1:27">
      <c r="A928"/>
      <c r="B928"/>
      <c r="C928"/>
      <c r="D928"/>
      <c r="F928"/>
      <c r="Q928"/>
      <c r="R928"/>
      <c r="S928"/>
      <c r="T928"/>
      <c r="U928"/>
      <c r="V928"/>
      <c r="W928"/>
      <c r="X928"/>
      <c r="Y928"/>
      <c r="Z928"/>
      <c r="AA928"/>
    </row>
    <row r="929" spans="1:27">
      <c r="A929"/>
      <c r="B929"/>
      <c r="C929"/>
      <c r="D929"/>
      <c r="F929"/>
      <c r="Q929"/>
      <c r="R929"/>
      <c r="S929"/>
      <c r="T929"/>
      <c r="U929"/>
      <c r="V929"/>
      <c r="W929"/>
      <c r="X929"/>
      <c r="Y929"/>
      <c r="Z929"/>
      <c r="AA929"/>
    </row>
    <row r="930" spans="1:27">
      <c r="A930"/>
      <c r="B930"/>
      <c r="C930"/>
      <c r="D930"/>
      <c r="F930"/>
      <c r="Q930"/>
      <c r="R930"/>
      <c r="S930"/>
      <c r="T930"/>
      <c r="U930"/>
      <c r="V930"/>
      <c r="W930"/>
      <c r="X930"/>
      <c r="Y930"/>
      <c r="Z930"/>
      <c r="AA930"/>
    </row>
    <row r="931" spans="1:27">
      <c r="A931"/>
      <c r="B931"/>
      <c r="C931"/>
      <c r="D931"/>
      <c r="F931"/>
      <c r="Q931"/>
      <c r="R931"/>
      <c r="S931"/>
      <c r="T931"/>
      <c r="U931"/>
      <c r="V931"/>
      <c r="W931"/>
      <c r="X931"/>
      <c r="Y931"/>
      <c r="Z931"/>
      <c r="AA931"/>
    </row>
    <row r="932" spans="1:27">
      <c r="A932"/>
      <c r="B932"/>
      <c r="C932"/>
      <c r="D932"/>
      <c r="F932"/>
      <c r="Q932"/>
      <c r="R932"/>
      <c r="S932"/>
      <c r="T932"/>
      <c r="U932"/>
      <c r="V932"/>
      <c r="W932"/>
      <c r="X932"/>
      <c r="Y932"/>
      <c r="Z932"/>
      <c r="AA932"/>
    </row>
    <row r="933" spans="1:27">
      <c r="A933"/>
      <c r="B933"/>
      <c r="C933"/>
      <c r="D933"/>
      <c r="F933"/>
      <c r="Q933"/>
      <c r="R933"/>
      <c r="S933"/>
      <c r="T933"/>
      <c r="U933"/>
      <c r="V933"/>
      <c r="W933"/>
      <c r="X933"/>
      <c r="Y933"/>
      <c r="Z933"/>
      <c r="AA933"/>
    </row>
    <row r="934" spans="1:27">
      <c r="A934"/>
      <c r="B934"/>
      <c r="C934"/>
      <c r="D934"/>
      <c r="F934"/>
      <c r="Q934"/>
      <c r="R934"/>
      <c r="S934"/>
      <c r="T934"/>
      <c r="U934"/>
      <c r="V934"/>
      <c r="W934"/>
      <c r="X934"/>
      <c r="Y934"/>
      <c r="Z934"/>
      <c r="AA934"/>
    </row>
    <row r="935" spans="1:27">
      <c r="A935"/>
      <c r="B935"/>
      <c r="C935"/>
      <c r="D935"/>
      <c r="F935"/>
      <c r="Q935"/>
      <c r="R935"/>
      <c r="S935"/>
      <c r="T935"/>
      <c r="U935"/>
      <c r="V935"/>
      <c r="W935"/>
      <c r="X935"/>
      <c r="Y935"/>
      <c r="Z935"/>
      <c r="AA935"/>
    </row>
    <row r="936" spans="1:27">
      <c r="A936"/>
      <c r="B936"/>
      <c r="C936"/>
      <c r="D936"/>
      <c r="F936"/>
      <c r="Q936"/>
      <c r="R936"/>
      <c r="S936"/>
      <c r="T936"/>
      <c r="U936"/>
      <c r="V936"/>
      <c r="W936"/>
      <c r="X936"/>
      <c r="Y936"/>
      <c r="Z936"/>
      <c r="AA936"/>
    </row>
    <row r="937" spans="1:27">
      <c r="A937"/>
      <c r="B937"/>
      <c r="C937"/>
      <c r="D937"/>
      <c r="F937"/>
      <c r="Q937"/>
      <c r="R937"/>
      <c r="S937"/>
      <c r="T937"/>
      <c r="U937"/>
      <c r="V937"/>
      <c r="W937"/>
      <c r="X937"/>
      <c r="Y937"/>
      <c r="Z937"/>
      <c r="AA937"/>
    </row>
    <row r="938" spans="1:27">
      <c r="A938"/>
      <c r="B938"/>
      <c r="C938"/>
      <c r="D938"/>
      <c r="F938"/>
      <c r="Q938"/>
      <c r="R938"/>
      <c r="S938"/>
      <c r="T938"/>
      <c r="U938"/>
      <c r="V938"/>
      <c r="W938"/>
      <c r="X938"/>
      <c r="Y938"/>
      <c r="Z938"/>
      <c r="AA938"/>
    </row>
    <row r="939" spans="1:27">
      <c r="A939"/>
      <c r="B939"/>
      <c r="C939"/>
      <c r="D939"/>
      <c r="F939"/>
      <c r="Q939"/>
      <c r="R939"/>
      <c r="S939"/>
      <c r="T939"/>
      <c r="U939"/>
      <c r="V939"/>
      <c r="W939"/>
      <c r="X939"/>
      <c r="Y939"/>
      <c r="Z939"/>
      <c r="AA939"/>
    </row>
    <row r="940" spans="1:27">
      <c r="A940"/>
      <c r="B940"/>
      <c r="C940"/>
      <c r="D940"/>
      <c r="F940"/>
      <c r="Q940"/>
      <c r="R940"/>
      <c r="S940"/>
      <c r="T940"/>
      <c r="U940"/>
      <c r="V940"/>
      <c r="W940"/>
      <c r="X940"/>
      <c r="Y940"/>
      <c r="Z940"/>
      <c r="AA940"/>
    </row>
    <row r="941" spans="1:27">
      <c r="A941"/>
      <c r="B941"/>
      <c r="C941"/>
      <c r="D941"/>
      <c r="F941"/>
      <c r="Q941"/>
      <c r="R941"/>
      <c r="S941"/>
      <c r="T941"/>
      <c r="U941"/>
      <c r="V941"/>
      <c r="W941"/>
      <c r="X941"/>
      <c r="Y941"/>
      <c r="Z941"/>
      <c r="AA941"/>
    </row>
    <row r="942" spans="1:27">
      <c r="A942"/>
      <c r="B942"/>
      <c r="C942"/>
      <c r="D942"/>
      <c r="F942"/>
      <c r="Q942"/>
      <c r="R942"/>
      <c r="S942"/>
      <c r="T942"/>
      <c r="U942"/>
      <c r="V942"/>
      <c r="W942"/>
      <c r="X942"/>
      <c r="Y942"/>
      <c r="Z942"/>
      <c r="AA942"/>
    </row>
    <row r="943" spans="1:27">
      <c r="A943"/>
      <c r="B943"/>
      <c r="C943"/>
      <c r="D943"/>
      <c r="F943"/>
      <c r="Q943"/>
      <c r="R943"/>
      <c r="S943"/>
      <c r="T943"/>
      <c r="U943"/>
      <c r="V943"/>
      <c r="W943"/>
      <c r="X943"/>
      <c r="Y943"/>
      <c r="Z943"/>
      <c r="AA943"/>
    </row>
    <row r="944" spans="1:27">
      <c r="A944"/>
      <c r="B944"/>
      <c r="C944"/>
      <c r="D944"/>
      <c r="F944"/>
      <c r="Q944"/>
      <c r="R944"/>
      <c r="S944"/>
      <c r="T944"/>
      <c r="U944"/>
      <c r="V944"/>
      <c r="W944"/>
      <c r="X944"/>
      <c r="Y944"/>
      <c r="Z944"/>
      <c r="AA944"/>
    </row>
    <row r="945" spans="1:27">
      <c r="A945"/>
      <c r="B945"/>
      <c r="C945"/>
      <c r="D945"/>
      <c r="F945"/>
      <c r="Q945"/>
      <c r="R945"/>
      <c r="S945"/>
      <c r="T945"/>
      <c r="U945"/>
      <c r="V945"/>
      <c r="W945"/>
      <c r="X945"/>
      <c r="Y945"/>
      <c r="Z945"/>
      <c r="AA945"/>
    </row>
    <row r="946" spans="1:27">
      <c r="A946"/>
      <c r="B946"/>
      <c r="C946"/>
      <c r="D946"/>
      <c r="F946"/>
      <c r="Q946"/>
      <c r="R946"/>
      <c r="S946"/>
      <c r="T946"/>
      <c r="U946"/>
      <c r="V946"/>
      <c r="W946"/>
      <c r="X946"/>
      <c r="Y946"/>
      <c r="Z946"/>
      <c r="AA946"/>
    </row>
    <row r="947" spans="1:27">
      <c r="A947"/>
      <c r="B947"/>
      <c r="C947"/>
      <c r="D947"/>
      <c r="F947"/>
      <c r="Q947"/>
      <c r="R947"/>
      <c r="S947"/>
      <c r="T947"/>
      <c r="U947"/>
      <c r="V947"/>
      <c r="W947"/>
      <c r="X947"/>
      <c r="Y947"/>
      <c r="Z947"/>
      <c r="AA947"/>
    </row>
    <row r="948" spans="1:27">
      <c r="A948"/>
      <c r="B948"/>
      <c r="C948"/>
      <c r="D948"/>
      <c r="F948"/>
      <c r="Q948"/>
      <c r="R948"/>
      <c r="S948"/>
      <c r="T948"/>
      <c r="U948"/>
      <c r="V948"/>
      <c r="W948"/>
      <c r="X948"/>
      <c r="Y948"/>
      <c r="Z948"/>
      <c r="AA948"/>
    </row>
    <row r="949" spans="1:27">
      <c r="A949"/>
      <c r="B949"/>
      <c r="C949"/>
      <c r="D949"/>
      <c r="F949"/>
      <c r="Q949"/>
      <c r="R949"/>
      <c r="S949"/>
      <c r="T949"/>
      <c r="U949"/>
      <c r="V949"/>
      <c r="W949"/>
      <c r="X949"/>
      <c r="Y949"/>
      <c r="Z949"/>
      <c r="AA949"/>
    </row>
    <row r="950" spans="1:27">
      <c r="A950"/>
      <c r="B950"/>
      <c r="C950"/>
      <c r="D950"/>
      <c r="F950"/>
      <c r="Q950"/>
      <c r="R950"/>
      <c r="S950"/>
      <c r="T950"/>
      <c r="U950"/>
      <c r="V950"/>
      <c r="W950"/>
      <c r="X950"/>
      <c r="Y950"/>
      <c r="Z950"/>
      <c r="AA950"/>
    </row>
    <row r="951" spans="1:27">
      <c r="A951"/>
      <c r="B951"/>
      <c r="C951"/>
      <c r="D951"/>
      <c r="F951"/>
      <c r="Q951"/>
      <c r="R951"/>
      <c r="S951"/>
      <c r="T951"/>
      <c r="U951"/>
      <c r="V951"/>
      <c r="W951"/>
      <c r="X951"/>
      <c r="Y951"/>
      <c r="Z951"/>
      <c r="AA951"/>
    </row>
    <row r="952" spans="1:27">
      <c r="A952"/>
      <c r="B952"/>
      <c r="C952"/>
      <c r="D952"/>
      <c r="F952"/>
      <c r="Q952"/>
      <c r="R952"/>
      <c r="S952"/>
      <c r="T952"/>
      <c r="U952"/>
      <c r="V952"/>
      <c r="W952"/>
      <c r="X952"/>
      <c r="Y952"/>
      <c r="Z952"/>
      <c r="AA952"/>
    </row>
    <row r="953" spans="1:27">
      <c r="A953"/>
      <c r="B953"/>
      <c r="C953"/>
      <c r="D953"/>
      <c r="F953"/>
      <c r="Q953"/>
      <c r="R953"/>
      <c r="S953"/>
      <c r="T953"/>
      <c r="U953"/>
      <c r="V953"/>
      <c r="W953"/>
      <c r="X953"/>
      <c r="Y953"/>
      <c r="Z953"/>
      <c r="AA953"/>
    </row>
    <row r="954" spans="1:27">
      <c r="A954"/>
      <c r="B954"/>
      <c r="C954"/>
      <c r="D954"/>
      <c r="F954"/>
      <c r="Q954"/>
      <c r="R954"/>
      <c r="S954"/>
      <c r="T954"/>
      <c r="U954"/>
      <c r="V954"/>
      <c r="W954"/>
      <c r="X954"/>
      <c r="Y954"/>
      <c r="Z954"/>
      <c r="AA954"/>
    </row>
    <row r="955" spans="1:27">
      <c r="A955"/>
      <c r="B955"/>
      <c r="C955"/>
      <c r="D955"/>
      <c r="F955"/>
      <c r="Q955"/>
      <c r="R955"/>
      <c r="S955"/>
      <c r="T955"/>
      <c r="U955"/>
      <c r="V955"/>
      <c r="W955"/>
      <c r="X955"/>
      <c r="Y955"/>
      <c r="Z955"/>
      <c r="AA955"/>
    </row>
    <row r="956" spans="1:27">
      <c r="A956"/>
      <c r="B956"/>
      <c r="C956"/>
      <c r="D956"/>
      <c r="F956"/>
      <c r="Q956"/>
      <c r="R956"/>
      <c r="S956"/>
      <c r="T956"/>
      <c r="U956"/>
      <c r="V956"/>
      <c r="W956"/>
      <c r="X956"/>
      <c r="Y956"/>
      <c r="Z956"/>
      <c r="AA956"/>
    </row>
    <row r="957" spans="1:27">
      <c r="A957"/>
      <c r="B957"/>
      <c r="C957"/>
      <c r="D957"/>
      <c r="F957"/>
      <c r="Q957"/>
      <c r="R957"/>
      <c r="S957"/>
      <c r="T957"/>
      <c r="U957"/>
      <c r="V957"/>
      <c r="W957"/>
      <c r="X957"/>
      <c r="Y957"/>
      <c r="Z957"/>
      <c r="AA957"/>
    </row>
    <row r="958" spans="1:27">
      <c r="A958"/>
      <c r="B958"/>
      <c r="C958"/>
      <c r="D958"/>
      <c r="F958"/>
      <c r="Q958"/>
      <c r="R958"/>
      <c r="S958"/>
      <c r="T958"/>
      <c r="U958"/>
      <c r="V958"/>
      <c r="W958"/>
      <c r="X958"/>
      <c r="Y958"/>
      <c r="Z958"/>
      <c r="AA958"/>
    </row>
    <row r="959" spans="1:27">
      <c r="A959"/>
      <c r="B959"/>
      <c r="C959"/>
      <c r="D959"/>
      <c r="F959"/>
      <c r="Q959"/>
      <c r="R959"/>
      <c r="S959"/>
      <c r="T959"/>
      <c r="U959"/>
      <c r="V959"/>
      <c r="W959"/>
      <c r="X959"/>
      <c r="Y959"/>
      <c r="Z959"/>
      <c r="AA959"/>
    </row>
    <row r="960" spans="1:27">
      <c r="A960"/>
      <c r="B960"/>
      <c r="C960"/>
      <c r="D960"/>
      <c r="F960"/>
      <c r="Q960"/>
      <c r="R960"/>
      <c r="S960"/>
      <c r="T960"/>
      <c r="U960"/>
      <c r="V960"/>
      <c r="W960"/>
      <c r="X960"/>
      <c r="Y960"/>
      <c r="Z960"/>
      <c r="AA960"/>
    </row>
    <row r="961" spans="1:27">
      <c r="A961"/>
      <c r="B961"/>
      <c r="C961"/>
      <c r="D961"/>
      <c r="F961"/>
      <c r="Q961"/>
      <c r="R961"/>
      <c r="S961"/>
      <c r="T961"/>
      <c r="U961"/>
      <c r="V961"/>
      <c r="W961"/>
      <c r="X961"/>
      <c r="Y961"/>
      <c r="Z961"/>
      <c r="AA961"/>
    </row>
    <row r="962" spans="1:27">
      <c r="A962"/>
      <c r="B962"/>
      <c r="C962"/>
      <c r="D962"/>
      <c r="F962"/>
      <c r="Q962"/>
      <c r="R962"/>
      <c r="S962"/>
      <c r="T962"/>
      <c r="U962"/>
      <c r="V962"/>
      <c r="W962"/>
      <c r="X962"/>
      <c r="Y962"/>
      <c r="Z962"/>
      <c r="AA962"/>
    </row>
    <row r="963" spans="1:27">
      <c r="A963"/>
      <c r="B963"/>
      <c r="C963"/>
      <c r="D963"/>
      <c r="F963"/>
      <c r="Q963"/>
      <c r="R963"/>
      <c r="S963"/>
      <c r="T963"/>
      <c r="U963"/>
      <c r="V963"/>
      <c r="W963"/>
      <c r="X963"/>
      <c r="Y963"/>
      <c r="Z963"/>
      <c r="AA963"/>
    </row>
    <row r="964" spans="1:27">
      <c r="A964"/>
      <c r="B964"/>
      <c r="C964"/>
      <c r="D964"/>
      <c r="F964"/>
      <c r="Q964"/>
      <c r="R964"/>
      <c r="S964"/>
      <c r="T964"/>
      <c r="U964"/>
      <c r="V964"/>
      <c r="W964"/>
      <c r="X964"/>
      <c r="Y964"/>
      <c r="Z964"/>
      <c r="AA964"/>
    </row>
    <row r="965" spans="1:27">
      <c r="A965"/>
      <c r="B965"/>
      <c r="C965"/>
      <c r="D965"/>
      <c r="F965"/>
      <c r="Q965"/>
      <c r="R965"/>
      <c r="S965"/>
      <c r="T965"/>
      <c r="U965"/>
      <c r="V965"/>
      <c r="W965"/>
      <c r="X965"/>
      <c r="Y965"/>
      <c r="Z965"/>
      <c r="AA965"/>
    </row>
    <row r="966" spans="1:27">
      <c r="A966"/>
      <c r="B966"/>
      <c r="C966"/>
      <c r="D966"/>
      <c r="F966"/>
      <c r="Q966"/>
      <c r="R966"/>
      <c r="S966"/>
      <c r="T966"/>
      <c r="U966"/>
      <c r="V966"/>
      <c r="W966"/>
      <c r="X966"/>
      <c r="Y966"/>
      <c r="Z966"/>
      <c r="AA966"/>
    </row>
    <row r="967" spans="1:27">
      <c r="A967"/>
      <c r="B967"/>
      <c r="C967"/>
      <c r="D967"/>
      <c r="F967"/>
      <c r="Q967"/>
      <c r="R967"/>
      <c r="S967"/>
      <c r="T967"/>
      <c r="U967"/>
      <c r="V967"/>
      <c r="W967"/>
      <c r="X967"/>
      <c r="Y967"/>
      <c r="Z967"/>
      <c r="AA967"/>
    </row>
    <row r="968" spans="1:27">
      <c r="A968"/>
      <c r="B968"/>
      <c r="C968"/>
      <c r="D968"/>
      <c r="F968"/>
      <c r="Q968"/>
      <c r="R968"/>
      <c r="S968"/>
      <c r="T968"/>
      <c r="U968"/>
      <c r="V968"/>
      <c r="W968"/>
      <c r="X968"/>
      <c r="Y968"/>
      <c r="Z968"/>
      <c r="AA968"/>
    </row>
    <row r="969" spans="1:27">
      <c r="A969"/>
      <c r="B969"/>
      <c r="C969"/>
      <c r="D969"/>
      <c r="F969"/>
      <c r="Q969"/>
      <c r="R969"/>
      <c r="S969"/>
      <c r="T969"/>
      <c r="U969"/>
      <c r="V969"/>
      <c r="W969"/>
      <c r="X969"/>
      <c r="Y969"/>
      <c r="Z969"/>
      <c r="AA969"/>
    </row>
    <row r="970" spans="1:27">
      <c r="A970"/>
      <c r="B970"/>
      <c r="C970"/>
      <c r="D970"/>
      <c r="F970"/>
      <c r="Q970"/>
      <c r="R970"/>
      <c r="S970"/>
      <c r="T970"/>
      <c r="U970"/>
      <c r="V970"/>
      <c r="W970"/>
      <c r="X970"/>
      <c r="Y970"/>
      <c r="Z970"/>
      <c r="AA970"/>
    </row>
    <row r="971" spans="1:27">
      <c r="A971"/>
      <c r="B971"/>
      <c r="C971"/>
      <c r="D971"/>
      <c r="F971"/>
      <c r="Q971"/>
      <c r="R971"/>
      <c r="S971"/>
      <c r="T971"/>
      <c r="U971"/>
      <c r="V971"/>
      <c r="W971"/>
      <c r="X971"/>
      <c r="Y971"/>
      <c r="Z971"/>
      <c r="AA971"/>
    </row>
    <row r="972" spans="1:27">
      <c r="A972"/>
      <c r="B972"/>
      <c r="C972"/>
      <c r="D972"/>
      <c r="F972"/>
      <c r="Q972"/>
      <c r="R972"/>
      <c r="S972"/>
      <c r="T972"/>
      <c r="U972"/>
      <c r="V972"/>
      <c r="W972"/>
      <c r="X972"/>
      <c r="Y972"/>
      <c r="Z972"/>
      <c r="AA972"/>
    </row>
    <row r="973" spans="1:27">
      <c r="A973"/>
      <c r="B973"/>
      <c r="C973"/>
      <c r="D973"/>
      <c r="F973"/>
      <c r="Q973"/>
      <c r="R973"/>
      <c r="S973"/>
      <c r="T973"/>
      <c r="U973"/>
      <c r="V973"/>
      <c r="W973"/>
      <c r="X973"/>
      <c r="Y973"/>
      <c r="Z973"/>
      <c r="AA973"/>
    </row>
    <row r="974" spans="1:27">
      <c r="A974"/>
      <c r="B974"/>
      <c r="C974"/>
      <c r="D974"/>
      <c r="F974"/>
      <c r="Q974"/>
      <c r="R974"/>
      <c r="S974"/>
      <c r="T974"/>
      <c r="U974"/>
      <c r="V974"/>
      <c r="W974"/>
      <c r="X974"/>
      <c r="Y974"/>
      <c r="Z974"/>
      <c r="AA974"/>
    </row>
    <row r="975" spans="1:27">
      <c r="A975"/>
      <c r="B975"/>
      <c r="C975"/>
      <c r="D975"/>
      <c r="F975"/>
      <c r="Q975"/>
      <c r="R975"/>
      <c r="S975"/>
      <c r="T975"/>
      <c r="U975"/>
      <c r="V975"/>
      <c r="W975"/>
      <c r="X975"/>
      <c r="Y975"/>
      <c r="Z975"/>
      <c r="AA975"/>
    </row>
    <row r="976" spans="1:27">
      <c r="A976"/>
      <c r="B976"/>
      <c r="C976"/>
      <c r="D976"/>
      <c r="F976"/>
      <c r="Q976"/>
      <c r="R976"/>
      <c r="S976"/>
      <c r="T976"/>
      <c r="U976"/>
      <c r="V976"/>
      <c r="W976"/>
      <c r="X976"/>
      <c r="Y976"/>
      <c r="Z976"/>
      <c r="AA976"/>
    </row>
    <row r="977" spans="1:27">
      <c r="A977"/>
      <c r="B977"/>
      <c r="C977"/>
      <c r="D977"/>
      <c r="F977"/>
      <c r="Q977"/>
      <c r="R977"/>
      <c r="S977"/>
      <c r="T977"/>
      <c r="U977"/>
      <c r="V977"/>
      <c r="W977"/>
      <c r="X977"/>
      <c r="Y977"/>
      <c r="Z977"/>
      <c r="AA977"/>
    </row>
    <row r="978" spans="1:27">
      <c r="A978"/>
      <c r="B978"/>
      <c r="C978"/>
      <c r="D978"/>
      <c r="F978"/>
      <c r="Q978"/>
      <c r="R978"/>
      <c r="S978"/>
      <c r="T978"/>
      <c r="U978"/>
      <c r="V978"/>
      <c r="W978"/>
      <c r="X978"/>
      <c r="Y978"/>
      <c r="Z978"/>
      <c r="AA978"/>
    </row>
    <row r="979" spans="1:27">
      <c r="A979"/>
      <c r="B979"/>
      <c r="C979"/>
      <c r="D979"/>
      <c r="F979"/>
      <c r="Q979"/>
      <c r="R979"/>
      <c r="S979"/>
      <c r="T979"/>
      <c r="U979"/>
      <c r="V979"/>
      <c r="W979"/>
      <c r="X979"/>
      <c r="Y979"/>
      <c r="Z979"/>
      <c r="AA979"/>
    </row>
    <row r="980" spans="1:27">
      <c r="A980"/>
      <c r="B980"/>
      <c r="C980"/>
      <c r="D980"/>
      <c r="F980"/>
      <c r="Q980"/>
      <c r="R980"/>
      <c r="S980"/>
      <c r="T980"/>
      <c r="U980"/>
      <c r="V980"/>
      <c r="W980"/>
      <c r="X980"/>
      <c r="Y980"/>
      <c r="Z980"/>
      <c r="AA980"/>
    </row>
    <row r="981" spans="1:27">
      <c r="A981"/>
      <c r="B981"/>
      <c r="C981"/>
      <c r="D981"/>
      <c r="F981"/>
      <c r="Q981"/>
      <c r="R981"/>
      <c r="S981"/>
      <c r="T981"/>
      <c r="U981"/>
      <c r="V981"/>
      <c r="W981"/>
      <c r="X981"/>
      <c r="Y981"/>
      <c r="Z981"/>
      <c r="AA981"/>
    </row>
    <row r="982" spans="1:27">
      <c r="A982"/>
      <c r="B982"/>
      <c r="C982"/>
      <c r="D982"/>
      <c r="F982"/>
      <c r="Q982"/>
      <c r="R982"/>
      <c r="S982"/>
      <c r="T982"/>
      <c r="U982"/>
      <c r="V982"/>
      <c r="W982"/>
      <c r="X982"/>
      <c r="Y982"/>
      <c r="Z982"/>
      <c r="AA982"/>
    </row>
    <row r="983" spans="1:27">
      <c r="A983"/>
      <c r="B983"/>
      <c r="C983"/>
      <c r="D983"/>
      <c r="F983"/>
      <c r="Q983"/>
      <c r="R983"/>
      <c r="S983"/>
      <c r="T983"/>
      <c r="U983"/>
      <c r="V983"/>
      <c r="W983"/>
      <c r="X983"/>
      <c r="Y983"/>
      <c r="Z983"/>
      <c r="AA983"/>
    </row>
    <row r="984" spans="1:27">
      <c r="A984"/>
      <c r="B984"/>
      <c r="C984"/>
      <c r="D984"/>
      <c r="F984"/>
      <c r="Q984"/>
      <c r="R984"/>
      <c r="S984"/>
      <c r="T984"/>
      <c r="U984"/>
      <c r="V984"/>
      <c r="W984"/>
      <c r="X984"/>
      <c r="Y984"/>
      <c r="Z984"/>
      <c r="AA984"/>
    </row>
    <row r="985" spans="1:27">
      <c r="A985"/>
      <c r="B985"/>
      <c r="C985"/>
      <c r="D985"/>
      <c r="F985"/>
      <c r="Q985"/>
      <c r="R985"/>
      <c r="S985"/>
      <c r="T985"/>
      <c r="U985"/>
      <c r="V985"/>
      <c r="W985"/>
      <c r="X985"/>
      <c r="Y985"/>
      <c r="Z985"/>
      <c r="AA985"/>
    </row>
    <row r="986" spans="1:27">
      <c r="A986"/>
      <c r="B986"/>
      <c r="C986"/>
      <c r="D986"/>
      <c r="F986"/>
      <c r="Q986"/>
      <c r="R986"/>
      <c r="S986"/>
      <c r="T986"/>
      <c r="U986"/>
      <c r="V986"/>
      <c r="W986"/>
      <c r="X986"/>
      <c r="Y986"/>
      <c r="Z986"/>
      <c r="AA986"/>
    </row>
    <row r="987" spans="1:27">
      <c r="A987"/>
      <c r="B987"/>
      <c r="C987"/>
      <c r="D987"/>
      <c r="F987"/>
      <c r="Q987"/>
      <c r="R987"/>
      <c r="S987"/>
      <c r="T987"/>
      <c r="U987"/>
      <c r="V987"/>
      <c r="W987"/>
      <c r="X987"/>
      <c r="Y987"/>
      <c r="Z987"/>
      <c r="AA987"/>
    </row>
    <row r="988" spans="1:27">
      <c r="A988"/>
      <c r="B988"/>
      <c r="C988"/>
      <c r="D988"/>
      <c r="F988"/>
      <c r="Q988"/>
      <c r="R988"/>
      <c r="S988"/>
      <c r="T988"/>
      <c r="U988"/>
      <c r="V988"/>
      <c r="W988"/>
      <c r="X988"/>
      <c r="Y988"/>
      <c r="Z988"/>
      <c r="AA988"/>
    </row>
    <row r="989" spans="1:27">
      <c r="A989"/>
      <c r="B989"/>
      <c r="C989"/>
      <c r="D989"/>
      <c r="F989"/>
      <c r="Q989"/>
      <c r="R989"/>
      <c r="S989"/>
      <c r="T989"/>
      <c r="U989"/>
      <c r="V989"/>
      <c r="W989"/>
      <c r="X989"/>
      <c r="Y989"/>
      <c r="Z989"/>
      <c r="AA989"/>
    </row>
    <row r="990" spans="1:27">
      <c r="A990"/>
      <c r="B990"/>
      <c r="C990"/>
      <c r="D990"/>
      <c r="F990"/>
      <c r="Q990"/>
      <c r="R990"/>
      <c r="S990"/>
      <c r="T990"/>
      <c r="U990"/>
      <c r="V990"/>
      <c r="W990"/>
      <c r="X990"/>
      <c r="Y990"/>
      <c r="Z990"/>
      <c r="AA990"/>
    </row>
    <row r="991" spans="1:27">
      <c r="A991"/>
      <c r="B991"/>
      <c r="C991"/>
      <c r="D991"/>
      <c r="F991"/>
      <c r="Q991"/>
      <c r="R991"/>
      <c r="S991"/>
      <c r="T991"/>
      <c r="U991"/>
      <c r="V991"/>
      <c r="W991"/>
      <c r="X991"/>
      <c r="Y991"/>
      <c r="Z991"/>
      <c r="AA991"/>
    </row>
    <row r="992" spans="1:27">
      <c r="A992"/>
      <c r="B992"/>
      <c r="C992"/>
      <c r="D992"/>
      <c r="F992"/>
      <c r="Q992"/>
      <c r="R992"/>
      <c r="S992"/>
      <c r="T992"/>
      <c r="U992"/>
      <c r="V992"/>
      <c r="W992"/>
      <c r="X992"/>
      <c r="Y992"/>
      <c r="Z992"/>
      <c r="AA992"/>
    </row>
    <row r="993" spans="1:27">
      <c r="A993"/>
      <c r="B993"/>
      <c r="C993"/>
      <c r="D993"/>
      <c r="F993"/>
      <c r="Q993"/>
      <c r="R993"/>
      <c r="S993"/>
      <c r="T993"/>
      <c r="U993"/>
      <c r="V993"/>
      <c r="W993"/>
      <c r="X993"/>
      <c r="Y993"/>
      <c r="Z993"/>
      <c r="AA993"/>
    </row>
    <row r="994" spans="1:27">
      <c r="A994"/>
      <c r="B994"/>
      <c r="C994"/>
      <c r="D994"/>
      <c r="F994"/>
      <c r="Q994"/>
      <c r="R994"/>
      <c r="S994"/>
      <c r="T994"/>
      <c r="U994"/>
      <c r="V994"/>
      <c r="W994"/>
      <c r="X994"/>
      <c r="Y994"/>
      <c r="Z994"/>
      <c r="AA994"/>
    </row>
    <row r="995" spans="1:27">
      <c r="A995"/>
      <c r="B995"/>
      <c r="C995"/>
      <c r="D995"/>
      <c r="F995"/>
      <c r="Q995"/>
      <c r="R995"/>
      <c r="S995"/>
      <c r="T995"/>
      <c r="U995"/>
      <c r="V995"/>
      <c r="W995"/>
      <c r="X995"/>
      <c r="Y995"/>
      <c r="Z995"/>
      <c r="AA995"/>
    </row>
    <row r="996" spans="1:27">
      <c r="A996"/>
      <c r="B996"/>
      <c r="C996"/>
      <c r="D996"/>
      <c r="F996"/>
      <c r="Q996"/>
      <c r="R996"/>
      <c r="S996"/>
      <c r="T996"/>
      <c r="U996"/>
      <c r="V996"/>
      <c r="W996"/>
      <c r="X996"/>
      <c r="Y996"/>
      <c r="Z996"/>
      <c r="AA996"/>
    </row>
    <row r="997" spans="1:27">
      <c r="A997"/>
      <c r="B997"/>
      <c r="C997"/>
      <c r="D997"/>
      <c r="F997"/>
      <c r="Q997"/>
      <c r="R997"/>
      <c r="S997"/>
      <c r="T997"/>
      <c r="U997"/>
      <c r="V997"/>
      <c r="W997"/>
      <c r="X997"/>
      <c r="Y997"/>
      <c r="Z997"/>
      <c r="AA997"/>
    </row>
    <row r="998" spans="1:27">
      <c r="A998"/>
      <c r="B998"/>
      <c r="C998"/>
      <c r="D998"/>
      <c r="F998"/>
      <c r="Q998"/>
      <c r="R998"/>
      <c r="S998"/>
      <c r="T998"/>
      <c r="U998"/>
      <c r="V998"/>
      <c r="W998"/>
      <c r="X998"/>
      <c r="Y998"/>
      <c r="Z998"/>
      <c r="AA998"/>
    </row>
    <row r="999" spans="1:27">
      <c r="A999"/>
      <c r="B999"/>
      <c r="C999"/>
      <c r="D999"/>
      <c r="F999"/>
      <c r="Q999"/>
      <c r="R999"/>
      <c r="S999"/>
      <c r="T999"/>
      <c r="U999"/>
      <c r="V999"/>
      <c r="W999"/>
      <c r="X999"/>
      <c r="Y999"/>
      <c r="Z999"/>
      <c r="AA999"/>
    </row>
    <row r="1000" spans="1:27">
      <c r="A1000"/>
      <c r="B1000"/>
      <c r="C1000"/>
      <c r="D1000"/>
      <c r="F1000"/>
      <c r="Q1000"/>
      <c r="R1000"/>
      <c r="S1000"/>
      <c r="T1000"/>
      <c r="U1000"/>
      <c r="V1000"/>
      <c r="W1000"/>
      <c r="X1000"/>
      <c r="Y1000"/>
      <c r="Z1000"/>
      <c r="AA1000"/>
    </row>
    <row r="1001" spans="1:27">
      <c r="A1001"/>
      <c r="B1001"/>
      <c r="C1001"/>
      <c r="D1001"/>
      <c r="F1001"/>
      <c r="Q1001"/>
      <c r="R1001"/>
      <c r="S1001"/>
      <c r="T1001"/>
      <c r="U1001"/>
      <c r="V1001"/>
      <c r="W1001"/>
      <c r="X1001"/>
      <c r="Y1001"/>
      <c r="Z1001"/>
      <c r="AA1001"/>
    </row>
    <row r="1002" spans="1:27">
      <c r="A1002"/>
      <c r="B1002"/>
      <c r="C1002"/>
      <c r="D1002"/>
      <c r="F1002"/>
      <c r="Q1002"/>
      <c r="R1002"/>
      <c r="S1002"/>
      <c r="T1002"/>
      <c r="U1002"/>
      <c r="V1002"/>
      <c r="W1002"/>
      <c r="X1002"/>
      <c r="Y1002"/>
      <c r="Z1002"/>
      <c r="AA1002"/>
    </row>
    <row r="1003" spans="1:27">
      <c r="A1003"/>
      <c r="B1003"/>
      <c r="C1003"/>
      <c r="D1003"/>
      <c r="F1003"/>
      <c r="Q1003"/>
      <c r="R1003"/>
      <c r="S1003"/>
      <c r="T1003"/>
      <c r="U1003"/>
      <c r="V1003"/>
      <c r="W1003"/>
      <c r="X1003"/>
      <c r="Y1003"/>
      <c r="Z1003"/>
      <c r="AA1003"/>
    </row>
    <row r="1004" spans="1:27">
      <c r="A1004"/>
      <c r="B1004"/>
      <c r="C1004"/>
      <c r="D1004"/>
      <c r="F1004"/>
      <c r="Q1004"/>
      <c r="R1004"/>
      <c r="S1004"/>
      <c r="T1004"/>
      <c r="U1004"/>
      <c r="V1004"/>
      <c r="W1004"/>
      <c r="X1004"/>
      <c r="Y1004"/>
      <c r="Z1004"/>
      <c r="AA1004"/>
    </row>
    <row r="1005" spans="1:27">
      <c r="A1005"/>
      <c r="B1005"/>
      <c r="C1005"/>
      <c r="D1005"/>
      <c r="F1005"/>
      <c r="Q1005"/>
      <c r="R1005"/>
      <c r="S1005"/>
      <c r="T1005"/>
      <c r="U1005"/>
      <c r="V1005"/>
      <c r="W1005"/>
      <c r="X1005"/>
      <c r="Y1005"/>
      <c r="Z1005"/>
      <c r="AA1005"/>
    </row>
    <row r="1006" spans="1:27">
      <c r="A1006"/>
      <c r="B1006"/>
      <c r="C1006"/>
      <c r="D1006"/>
      <c r="F1006"/>
      <c r="Q1006"/>
      <c r="R1006"/>
      <c r="S1006"/>
      <c r="T1006"/>
      <c r="U1006"/>
      <c r="V1006"/>
      <c r="W1006"/>
      <c r="X1006"/>
      <c r="Y1006"/>
      <c r="Z1006"/>
      <c r="AA1006"/>
    </row>
    <row r="1007" spans="1:27">
      <c r="A1007"/>
      <c r="B1007"/>
      <c r="C1007"/>
      <c r="D1007"/>
      <c r="F1007"/>
      <c r="Q1007"/>
      <c r="R1007"/>
      <c r="S1007"/>
      <c r="T1007"/>
      <c r="U1007"/>
      <c r="V1007"/>
      <c r="W1007"/>
      <c r="X1007"/>
      <c r="Y1007"/>
      <c r="Z1007"/>
      <c r="AA1007"/>
    </row>
    <row r="1008" spans="1:27">
      <c r="A1008"/>
      <c r="B1008"/>
      <c r="C1008"/>
      <c r="D1008"/>
      <c r="F1008"/>
      <c r="Q1008"/>
      <c r="R1008"/>
      <c r="S1008"/>
      <c r="T1008"/>
      <c r="U1008"/>
      <c r="V1008"/>
      <c r="W1008"/>
      <c r="X1008"/>
      <c r="Y1008"/>
      <c r="Z1008"/>
      <c r="AA1008"/>
    </row>
    <row r="1009" spans="1:27">
      <c r="A1009"/>
      <c r="B1009"/>
      <c r="C1009"/>
      <c r="D1009"/>
      <c r="F1009"/>
      <c r="Q1009"/>
      <c r="R1009"/>
      <c r="S1009"/>
      <c r="T1009"/>
      <c r="U1009"/>
      <c r="V1009"/>
      <c r="W1009"/>
      <c r="X1009"/>
      <c r="Y1009"/>
      <c r="Z1009"/>
      <c r="AA1009"/>
    </row>
    <row r="1010" spans="1:27">
      <c r="A1010"/>
      <c r="B1010"/>
      <c r="C1010"/>
      <c r="D1010"/>
      <c r="F1010"/>
      <c r="Q1010"/>
      <c r="R1010"/>
      <c r="S1010"/>
      <c r="T1010"/>
      <c r="U1010"/>
      <c r="V1010"/>
      <c r="W1010"/>
      <c r="X1010"/>
      <c r="Y1010"/>
      <c r="Z1010"/>
      <c r="AA1010"/>
    </row>
    <row r="1011" spans="1:27">
      <c r="A1011"/>
      <c r="B1011"/>
      <c r="C1011"/>
      <c r="D1011"/>
      <c r="F1011"/>
      <c r="Q1011"/>
      <c r="R1011"/>
      <c r="S1011"/>
      <c r="T1011"/>
      <c r="U1011"/>
      <c r="V1011"/>
      <c r="W1011"/>
      <c r="X1011"/>
      <c r="Y1011"/>
      <c r="Z1011"/>
      <c r="AA1011"/>
    </row>
    <row r="1012" spans="1:27">
      <c r="A1012"/>
      <c r="B1012"/>
      <c r="C1012"/>
      <c r="D1012"/>
      <c r="F1012"/>
      <c r="Q1012"/>
      <c r="R1012"/>
      <c r="S1012"/>
      <c r="T1012"/>
      <c r="U1012"/>
      <c r="V1012"/>
      <c r="W1012"/>
      <c r="X1012"/>
      <c r="Y1012"/>
      <c r="Z1012"/>
      <c r="AA1012"/>
    </row>
    <row r="1013" spans="1:27">
      <c r="A1013"/>
      <c r="B1013"/>
      <c r="C1013"/>
      <c r="D1013"/>
      <c r="F1013"/>
      <c r="Q1013"/>
      <c r="R1013"/>
      <c r="S1013"/>
      <c r="T1013"/>
      <c r="U1013"/>
      <c r="V1013"/>
      <c r="W1013"/>
      <c r="X1013"/>
      <c r="Y1013"/>
      <c r="Z1013"/>
      <c r="AA1013"/>
    </row>
    <row r="1014" spans="1:27">
      <c r="A1014"/>
      <c r="B1014"/>
      <c r="C1014"/>
      <c r="D1014"/>
      <c r="F1014"/>
      <c r="Q1014"/>
      <c r="R1014"/>
      <c r="S1014"/>
      <c r="T1014"/>
      <c r="U1014"/>
      <c r="V1014"/>
      <c r="W1014"/>
      <c r="X1014"/>
      <c r="Y1014"/>
      <c r="Z1014"/>
      <c r="AA1014"/>
    </row>
    <row r="1015" spans="1:27">
      <c r="A1015"/>
      <c r="B1015"/>
      <c r="C1015"/>
      <c r="D1015"/>
      <c r="F1015"/>
      <c r="Q1015"/>
      <c r="R1015"/>
      <c r="S1015"/>
      <c r="T1015"/>
      <c r="U1015"/>
      <c r="V1015"/>
      <c r="W1015"/>
      <c r="X1015"/>
      <c r="Y1015"/>
      <c r="Z1015"/>
      <c r="AA1015"/>
    </row>
    <row r="1016" spans="1:27">
      <c r="A1016"/>
      <c r="B1016"/>
      <c r="C1016"/>
      <c r="D1016"/>
      <c r="F1016"/>
      <c r="Q1016"/>
      <c r="R1016"/>
      <c r="S1016"/>
      <c r="T1016"/>
      <c r="U1016"/>
      <c r="V1016"/>
      <c r="W1016"/>
      <c r="X1016"/>
      <c r="Y1016"/>
      <c r="Z1016"/>
      <c r="AA1016"/>
    </row>
    <row r="1017" spans="1:27">
      <c r="A1017"/>
      <c r="B1017"/>
      <c r="C1017"/>
      <c r="D1017"/>
      <c r="F1017"/>
      <c r="Q1017"/>
      <c r="R1017"/>
      <c r="S1017"/>
      <c r="T1017"/>
      <c r="U1017"/>
      <c r="V1017"/>
      <c r="W1017"/>
      <c r="X1017"/>
      <c r="Y1017"/>
      <c r="Z1017"/>
      <c r="AA1017"/>
    </row>
    <row r="1018" spans="1:27">
      <c r="A1018"/>
      <c r="B1018"/>
      <c r="C1018"/>
      <c r="D1018"/>
      <c r="F1018"/>
      <c r="Q1018"/>
      <c r="R1018"/>
      <c r="S1018"/>
      <c r="T1018"/>
      <c r="U1018"/>
      <c r="V1018"/>
      <c r="W1018"/>
      <c r="X1018"/>
      <c r="Y1018"/>
      <c r="Z1018"/>
      <c r="AA1018"/>
    </row>
    <row r="1019" spans="1:27">
      <c r="A1019"/>
      <c r="B1019"/>
      <c r="C1019"/>
      <c r="D1019"/>
      <c r="F1019"/>
      <c r="Q1019"/>
      <c r="R1019"/>
      <c r="S1019"/>
      <c r="T1019"/>
      <c r="U1019"/>
      <c r="V1019"/>
      <c r="W1019"/>
      <c r="X1019"/>
      <c r="Y1019"/>
      <c r="Z1019"/>
      <c r="AA1019"/>
    </row>
    <row r="1020" spans="1:27">
      <c r="A1020"/>
      <c r="B1020"/>
      <c r="C1020"/>
      <c r="D1020"/>
      <c r="F1020"/>
      <c r="Q1020"/>
      <c r="R1020"/>
      <c r="S1020"/>
      <c r="T1020"/>
      <c r="U1020"/>
      <c r="V1020"/>
      <c r="W1020"/>
      <c r="X1020"/>
      <c r="Y1020"/>
      <c r="Z1020"/>
      <c r="AA1020"/>
    </row>
    <row r="1021" spans="1:27">
      <c r="A1021"/>
      <c r="B1021"/>
      <c r="C1021"/>
      <c r="D1021"/>
      <c r="F1021"/>
      <c r="Q1021"/>
      <c r="R1021"/>
      <c r="S1021"/>
      <c r="T1021"/>
      <c r="U1021"/>
      <c r="V1021"/>
      <c r="W1021"/>
      <c r="X1021"/>
      <c r="Y1021"/>
      <c r="Z1021"/>
      <c r="AA1021"/>
    </row>
    <row r="1022" spans="1:27">
      <c r="A1022"/>
      <c r="B1022"/>
      <c r="C1022"/>
      <c r="D1022"/>
      <c r="F1022"/>
      <c r="Q1022"/>
      <c r="R1022"/>
      <c r="S1022"/>
      <c r="T1022"/>
      <c r="U1022"/>
      <c r="V1022"/>
      <c r="W1022"/>
      <c r="X1022"/>
      <c r="Y1022"/>
      <c r="Z1022"/>
      <c r="AA1022"/>
    </row>
    <row r="1023" spans="1:27">
      <c r="A1023"/>
      <c r="B1023"/>
      <c r="C1023"/>
      <c r="D1023"/>
      <c r="F1023"/>
      <c r="Q1023"/>
      <c r="R1023"/>
      <c r="S1023"/>
      <c r="T1023"/>
      <c r="U1023"/>
      <c r="V1023"/>
      <c r="W1023"/>
      <c r="X1023"/>
      <c r="Y1023"/>
      <c r="Z1023"/>
      <c r="AA1023"/>
    </row>
    <row r="1024" spans="1:27">
      <c r="A1024"/>
      <c r="B1024"/>
      <c r="C1024"/>
      <c r="D1024"/>
      <c r="F1024"/>
      <c r="Q1024"/>
      <c r="R1024"/>
      <c r="S1024"/>
      <c r="T1024"/>
      <c r="U1024"/>
      <c r="V1024"/>
      <c r="W1024"/>
      <c r="X1024"/>
      <c r="Y1024"/>
      <c r="Z1024"/>
      <c r="AA1024"/>
    </row>
    <row r="1025" spans="1:27">
      <c r="A1025"/>
      <c r="B1025"/>
      <c r="C1025"/>
      <c r="D1025"/>
      <c r="F1025"/>
      <c r="Q1025"/>
      <c r="R1025"/>
      <c r="S1025"/>
      <c r="T1025"/>
      <c r="U1025"/>
      <c r="V1025"/>
      <c r="W1025"/>
      <c r="X1025"/>
      <c r="Y1025"/>
      <c r="Z1025"/>
      <c r="AA1025"/>
    </row>
    <row r="1026" spans="1:27">
      <c r="A1026"/>
      <c r="B1026"/>
      <c r="C1026"/>
      <c r="D1026"/>
      <c r="F1026"/>
      <c r="Q1026"/>
      <c r="R1026"/>
      <c r="S1026"/>
      <c r="T1026"/>
      <c r="U1026"/>
      <c r="V1026"/>
      <c r="W1026"/>
      <c r="X1026"/>
      <c r="Y1026"/>
      <c r="Z1026"/>
      <c r="AA1026"/>
    </row>
    <row r="1027" spans="1:27">
      <c r="A1027"/>
      <c r="B1027"/>
      <c r="C1027"/>
      <c r="D1027"/>
      <c r="F1027"/>
      <c r="Q1027"/>
      <c r="R1027"/>
      <c r="S1027"/>
      <c r="T1027"/>
      <c r="U1027"/>
      <c r="V1027"/>
      <c r="W1027"/>
      <c r="X1027"/>
      <c r="Y1027"/>
      <c r="Z1027"/>
      <c r="AA1027"/>
    </row>
    <row r="1028" spans="1:27">
      <c r="A1028"/>
      <c r="B1028"/>
      <c r="C1028"/>
      <c r="D1028"/>
      <c r="F1028"/>
      <c r="Q1028"/>
      <c r="R1028"/>
      <c r="S1028"/>
      <c r="T1028"/>
      <c r="U1028"/>
      <c r="V1028"/>
      <c r="W1028"/>
      <c r="X1028"/>
      <c r="Y1028"/>
      <c r="Z1028"/>
      <c r="AA1028"/>
    </row>
    <row r="1029" spans="1:27">
      <c r="A1029"/>
      <c r="B1029"/>
      <c r="C1029"/>
      <c r="D1029"/>
      <c r="F1029"/>
      <c r="Q1029"/>
      <c r="R1029"/>
      <c r="S1029"/>
      <c r="T1029"/>
      <c r="U1029"/>
      <c r="V1029"/>
      <c r="W1029"/>
      <c r="X1029"/>
      <c r="Y1029"/>
      <c r="Z1029"/>
      <c r="AA1029"/>
    </row>
    <row r="1030" spans="1:27">
      <c r="A1030"/>
      <c r="B1030"/>
      <c r="C1030"/>
      <c r="D1030"/>
      <c r="F1030"/>
      <c r="Q1030"/>
      <c r="R1030"/>
      <c r="S1030"/>
      <c r="T1030"/>
      <c r="U1030"/>
      <c r="V1030"/>
      <c r="W1030"/>
      <c r="X1030"/>
      <c r="Y1030"/>
      <c r="Z1030"/>
      <c r="AA1030"/>
    </row>
    <row r="1031" spans="1:27">
      <c r="A1031"/>
      <c r="B1031"/>
      <c r="C1031"/>
      <c r="D1031"/>
      <c r="F1031"/>
      <c r="Q1031"/>
      <c r="R1031"/>
      <c r="S1031"/>
      <c r="T1031"/>
      <c r="U1031"/>
      <c r="V1031"/>
      <c r="W1031"/>
      <c r="X1031"/>
      <c r="Y1031"/>
      <c r="Z1031"/>
      <c r="AA1031"/>
    </row>
    <row r="1032" spans="1:27">
      <c r="A1032"/>
      <c r="B1032"/>
      <c r="C1032"/>
      <c r="D1032"/>
      <c r="F1032"/>
      <c r="Q1032"/>
      <c r="R1032"/>
      <c r="S1032"/>
      <c r="T1032"/>
      <c r="U1032"/>
      <c r="V1032"/>
      <c r="W1032"/>
      <c r="X1032"/>
      <c r="Y1032"/>
      <c r="Z1032"/>
      <c r="AA1032"/>
    </row>
    <row r="1033" spans="1:27">
      <c r="A1033"/>
      <c r="B1033"/>
      <c r="C1033"/>
      <c r="D1033"/>
      <c r="F1033"/>
      <c r="Q1033"/>
      <c r="R1033"/>
      <c r="S1033"/>
      <c r="T1033"/>
      <c r="U1033"/>
      <c r="V1033"/>
      <c r="W1033"/>
      <c r="X1033"/>
      <c r="Y1033"/>
      <c r="Z1033"/>
      <c r="AA1033"/>
    </row>
    <row r="1034" spans="1:27">
      <c r="A1034"/>
      <c r="B1034"/>
      <c r="C1034"/>
      <c r="D1034"/>
      <c r="F1034"/>
      <c r="Q1034"/>
      <c r="R1034"/>
      <c r="S1034"/>
      <c r="T1034"/>
      <c r="U1034"/>
      <c r="V1034"/>
      <c r="W1034"/>
      <c r="X1034"/>
      <c r="Y1034"/>
      <c r="Z1034"/>
      <c r="AA1034"/>
    </row>
    <row r="1035" spans="1:27">
      <c r="A1035"/>
      <c r="B1035"/>
      <c r="C1035"/>
      <c r="D1035"/>
      <c r="F1035"/>
      <c r="Q1035"/>
      <c r="R1035"/>
      <c r="S1035"/>
      <c r="T1035"/>
      <c r="U1035"/>
      <c r="V1035"/>
      <c r="W1035"/>
      <c r="X1035"/>
      <c r="Y1035"/>
      <c r="Z1035"/>
      <c r="AA1035"/>
    </row>
    <row r="1036" spans="1:27">
      <c r="A1036"/>
      <c r="B1036"/>
      <c r="C1036"/>
      <c r="D1036"/>
      <c r="F1036"/>
      <c r="Q1036"/>
      <c r="R1036"/>
      <c r="S1036"/>
      <c r="T1036"/>
      <c r="U1036"/>
      <c r="V1036"/>
      <c r="W1036"/>
      <c r="X1036"/>
      <c r="Y1036"/>
      <c r="Z1036"/>
      <c r="AA1036"/>
    </row>
    <row r="1037" spans="1:27">
      <c r="A1037"/>
      <c r="B1037"/>
      <c r="C1037"/>
      <c r="D1037"/>
      <c r="F1037"/>
      <c r="Q1037"/>
      <c r="R1037"/>
      <c r="S1037"/>
      <c r="T1037"/>
      <c r="U1037"/>
      <c r="V1037"/>
      <c r="W1037"/>
      <c r="X1037"/>
      <c r="Y1037"/>
      <c r="Z1037"/>
      <c r="AA1037"/>
    </row>
    <row r="1038" spans="1:27">
      <c r="A1038"/>
      <c r="B1038"/>
      <c r="C1038"/>
      <c r="D1038"/>
      <c r="F1038"/>
      <c r="Q1038"/>
      <c r="R1038"/>
      <c r="S1038"/>
      <c r="T1038"/>
      <c r="U1038"/>
      <c r="V1038"/>
      <c r="W1038"/>
      <c r="X1038"/>
      <c r="Y1038"/>
      <c r="Z1038"/>
      <c r="AA1038"/>
    </row>
    <row r="1039" spans="1:27">
      <c r="A1039"/>
      <c r="B1039"/>
      <c r="C1039"/>
      <c r="D1039"/>
      <c r="F1039"/>
      <c r="Q1039"/>
      <c r="R1039"/>
      <c r="S1039"/>
      <c r="T1039"/>
      <c r="U1039"/>
      <c r="V1039"/>
      <c r="W1039"/>
      <c r="X1039"/>
      <c r="Y1039"/>
      <c r="Z1039"/>
      <c r="AA1039"/>
    </row>
    <row r="1040" spans="1:27">
      <c r="A1040"/>
      <c r="B1040"/>
      <c r="C1040"/>
      <c r="D1040"/>
      <c r="F1040"/>
      <c r="Q1040"/>
      <c r="R1040"/>
      <c r="S1040"/>
      <c r="T1040"/>
      <c r="U1040"/>
      <c r="V1040"/>
      <c r="W1040"/>
      <c r="X1040"/>
      <c r="Y1040"/>
      <c r="Z1040"/>
      <c r="AA1040"/>
    </row>
    <row r="1041" spans="1:27">
      <c r="A1041"/>
      <c r="B1041"/>
      <c r="C1041"/>
      <c r="D1041"/>
      <c r="F1041"/>
      <c r="Q1041"/>
      <c r="R1041"/>
      <c r="S1041"/>
      <c r="T1041"/>
      <c r="U1041"/>
      <c r="V1041"/>
      <c r="W1041"/>
      <c r="X1041"/>
      <c r="Y1041"/>
      <c r="Z1041"/>
      <c r="AA1041"/>
    </row>
    <row r="1042" spans="1:27">
      <c r="A1042"/>
      <c r="B1042"/>
      <c r="C1042"/>
      <c r="D1042"/>
      <c r="F1042"/>
      <c r="Q1042"/>
      <c r="R1042"/>
      <c r="S1042"/>
      <c r="T1042"/>
      <c r="U1042"/>
      <c r="V1042"/>
      <c r="W1042"/>
      <c r="X1042"/>
      <c r="Y1042"/>
      <c r="Z1042"/>
      <c r="AA1042"/>
    </row>
    <row r="1043" spans="1:27">
      <c r="A1043"/>
      <c r="B1043"/>
      <c r="C1043"/>
      <c r="D1043"/>
      <c r="F1043"/>
      <c r="Q1043"/>
      <c r="R1043"/>
      <c r="S1043"/>
      <c r="T1043"/>
      <c r="U1043"/>
      <c r="V1043"/>
      <c r="W1043"/>
      <c r="X1043"/>
      <c r="Y1043"/>
      <c r="Z1043"/>
      <c r="AA1043"/>
    </row>
    <row r="1044" spans="1:27">
      <c r="A1044"/>
      <c r="B1044"/>
      <c r="C1044"/>
      <c r="D1044"/>
      <c r="F1044"/>
      <c r="Q1044"/>
      <c r="R1044"/>
      <c r="S1044"/>
      <c r="T1044"/>
      <c r="U1044"/>
      <c r="V1044"/>
      <c r="W1044"/>
      <c r="X1044"/>
      <c r="Y1044"/>
      <c r="Z1044"/>
      <c r="AA1044"/>
    </row>
    <row r="1045" spans="1:27">
      <c r="A1045"/>
      <c r="B1045"/>
      <c r="C1045"/>
      <c r="D1045"/>
      <c r="F1045"/>
      <c r="Q1045"/>
      <c r="R1045"/>
      <c r="S1045"/>
      <c r="T1045"/>
      <c r="U1045"/>
      <c r="V1045"/>
      <c r="W1045"/>
      <c r="X1045"/>
      <c r="Y1045"/>
      <c r="Z1045"/>
      <c r="AA1045"/>
    </row>
    <row r="1046" spans="1:27">
      <c r="A1046"/>
      <c r="B1046"/>
      <c r="C1046"/>
      <c r="D1046"/>
      <c r="F1046"/>
      <c r="Q1046"/>
      <c r="R1046"/>
      <c r="S1046"/>
      <c r="T1046"/>
      <c r="U1046"/>
      <c r="V1046"/>
      <c r="W1046"/>
      <c r="X1046"/>
      <c r="Y1046"/>
      <c r="Z1046"/>
      <c r="AA1046"/>
    </row>
    <row r="1047" spans="1:27">
      <c r="A1047"/>
      <c r="B1047"/>
      <c r="C1047"/>
      <c r="D1047"/>
      <c r="F1047"/>
      <c r="Q1047"/>
      <c r="R1047"/>
      <c r="S1047"/>
      <c r="T1047"/>
      <c r="U1047"/>
      <c r="V1047"/>
      <c r="W1047"/>
      <c r="X1047"/>
      <c r="Y1047"/>
      <c r="Z1047"/>
      <c r="AA1047"/>
    </row>
    <row r="1048" spans="1:27">
      <c r="A1048"/>
      <c r="B1048"/>
      <c r="C1048"/>
      <c r="D1048"/>
      <c r="F1048"/>
      <c r="Q1048"/>
      <c r="R1048"/>
      <c r="S1048"/>
      <c r="T1048"/>
      <c r="U1048"/>
      <c r="V1048"/>
      <c r="W1048"/>
      <c r="X1048"/>
      <c r="Y1048"/>
      <c r="Z1048"/>
      <c r="AA1048"/>
    </row>
    <row r="1049" spans="1:27">
      <c r="A1049"/>
      <c r="B1049"/>
      <c r="C1049"/>
      <c r="D1049"/>
      <c r="F1049"/>
      <c r="Q1049"/>
      <c r="R1049"/>
      <c r="S1049"/>
      <c r="T1049"/>
      <c r="U1049"/>
      <c r="V1049"/>
      <c r="W1049"/>
      <c r="X1049"/>
      <c r="Y1049"/>
      <c r="Z1049"/>
      <c r="AA1049"/>
    </row>
    <row r="1050" spans="1:27">
      <c r="A1050"/>
      <c r="B1050"/>
      <c r="C1050"/>
      <c r="D1050"/>
      <c r="F1050"/>
      <c r="Q1050"/>
      <c r="R1050"/>
      <c r="S1050"/>
      <c r="T1050"/>
      <c r="U1050"/>
      <c r="V1050"/>
      <c r="W1050"/>
      <c r="X1050"/>
      <c r="Y1050"/>
      <c r="Z1050"/>
      <c r="AA1050"/>
    </row>
    <row r="1051" spans="1:27">
      <c r="A1051"/>
      <c r="B1051"/>
      <c r="C1051"/>
      <c r="D1051"/>
      <c r="F1051"/>
      <c r="Q1051"/>
      <c r="R1051"/>
      <c r="S1051"/>
      <c r="T1051"/>
      <c r="U1051"/>
      <c r="V1051"/>
      <c r="W1051"/>
      <c r="X1051"/>
      <c r="Y1051"/>
      <c r="Z1051"/>
      <c r="AA1051"/>
    </row>
    <row r="1052" spans="1:27">
      <c r="A1052"/>
      <c r="B1052"/>
      <c r="C1052"/>
      <c r="D1052"/>
      <c r="F1052"/>
      <c r="Q1052"/>
      <c r="R1052"/>
      <c r="S1052"/>
      <c r="T1052"/>
      <c r="U1052"/>
      <c r="V1052"/>
      <c r="W1052"/>
      <c r="X1052"/>
      <c r="Y1052"/>
      <c r="Z1052"/>
      <c r="AA1052"/>
    </row>
    <row r="1053" spans="1:27">
      <c r="A1053"/>
      <c r="B1053"/>
      <c r="C1053"/>
      <c r="D1053"/>
      <c r="F1053"/>
      <c r="Q1053"/>
      <c r="R1053"/>
      <c r="S1053"/>
      <c r="T1053"/>
      <c r="U1053"/>
      <c r="V1053"/>
      <c r="W1053"/>
      <c r="X1053"/>
      <c r="Y1053"/>
      <c r="Z1053"/>
      <c r="AA1053"/>
    </row>
    <row r="1054" spans="1:27">
      <c r="A1054"/>
      <c r="B1054"/>
      <c r="C1054"/>
      <c r="D1054"/>
      <c r="F1054"/>
      <c r="Q1054"/>
      <c r="R1054"/>
      <c r="S1054"/>
      <c r="T1054"/>
      <c r="U1054"/>
      <c r="V1054"/>
      <c r="W1054"/>
      <c r="X1054"/>
      <c r="Y1054"/>
      <c r="Z1054"/>
      <c r="AA1054"/>
    </row>
    <row r="1055" spans="1:27">
      <c r="A1055"/>
      <c r="B1055"/>
      <c r="C1055"/>
      <c r="D1055"/>
      <c r="F1055"/>
      <c r="Q1055"/>
      <c r="R1055"/>
      <c r="S1055"/>
      <c r="T1055"/>
      <c r="U1055"/>
      <c r="V1055"/>
      <c r="W1055"/>
      <c r="X1055"/>
      <c r="Y1055"/>
      <c r="Z1055"/>
      <c r="AA1055"/>
    </row>
    <row r="1056" spans="1:27">
      <c r="A1056"/>
      <c r="B1056"/>
      <c r="C1056"/>
      <c r="D1056"/>
      <c r="F1056"/>
      <c r="Q1056"/>
      <c r="R1056"/>
      <c r="S1056"/>
      <c r="T1056"/>
      <c r="U1056"/>
      <c r="V1056"/>
      <c r="W1056"/>
      <c r="X1056"/>
      <c r="Y1056"/>
      <c r="Z1056"/>
      <c r="AA1056"/>
    </row>
    <row r="1057" spans="1:27">
      <c r="A1057"/>
      <c r="B1057"/>
      <c r="C1057"/>
      <c r="D1057"/>
      <c r="F1057"/>
      <c r="Q1057"/>
      <c r="R1057"/>
      <c r="S1057"/>
      <c r="T1057"/>
      <c r="U1057"/>
      <c r="V1057"/>
      <c r="W1057"/>
      <c r="X1057"/>
      <c r="Y1057"/>
      <c r="Z1057"/>
      <c r="AA1057"/>
    </row>
  </sheetData>
  <mergeCells count="4">
    <mergeCell ref="C4:F4"/>
    <mergeCell ref="C182:F182"/>
    <mergeCell ref="C358:F358"/>
    <mergeCell ref="C2:E2"/>
  </mergeCells>
  <phoneticPr fontId="60" type="noConversion"/>
  <conditionalFormatting sqref="G207:Y207 G213:Y213 G251:Y251 G269:Y269 G280:Y280 G312:Y312 G301:Y301 G194:Y194 G232:Y232 G73:Y73 G84:Y84 G106:Y106 G95:Y95 G55:Y55 G30:Y30 G24:Y24">
    <cfRule type="cellIs" dxfId="50" priority="9" stopIfTrue="1" operator="notBetween">
      <formula>-0.001</formula>
      <formula>0.001</formula>
    </cfRule>
  </conditionalFormatting>
  <conditionalFormatting sqref="G2:Y2">
    <cfRule type="cellIs" dxfId="49" priority="10" stopIfTrue="1" operator="notEqual">
      <formula>"ok"</formula>
    </cfRule>
  </conditionalFormatting>
  <conditionalFormatting sqref="Z30 Z55 Z251 Z269 Z280 Z312 Z301 Z194 Z106 Z95 Z84 Z73 Z232 Z24:AA24 Z207:AB207 Z213:AB213">
    <cfRule type="cellIs" dxfId="48" priority="7" stopIfTrue="1" operator="notBetween">
      <formula>-0.001</formula>
      <formula>0.001</formula>
    </cfRule>
  </conditionalFormatting>
  <conditionalFormatting sqref="Z2">
    <cfRule type="cellIs" dxfId="47" priority="8" stopIfTrue="1" operator="notEqual">
      <formula>"ok"</formula>
    </cfRule>
  </conditionalFormatting>
  <conditionalFormatting sqref="AB24:AC24 AA30:AC30 AC207 AC213 AA55:AC55 AA251:AC251 AA269:AC269 AA280:AC280 AA312:AC312 AA301:AC301 AA194:AC194 AA106:AC106 AA95:AC95 AA84:AC84 AA73:AC73 AA232:AC232">
    <cfRule type="cellIs" dxfId="46" priority="5" stopIfTrue="1" operator="notBetween">
      <formula>-0.001</formula>
      <formula>0.001</formula>
    </cfRule>
  </conditionalFormatting>
  <conditionalFormatting sqref="AA2:AC2">
    <cfRule type="cellIs" dxfId="45" priority="6" stopIfTrue="1" operator="notEqual">
      <formula>"ok"</formula>
    </cfRule>
  </conditionalFormatting>
  <conditionalFormatting sqref="AD24 AD30 AD207 AD213 AD55 AD251 AD269 AD280 AD312 AD301 AD194 AD106 AD95 AD84 AD73 AD232">
    <cfRule type="cellIs" dxfId="44" priority="3" stopIfTrue="1" operator="notBetween">
      <formula>-0.001</formula>
      <formula>0.001</formula>
    </cfRule>
  </conditionalFormatting>
  <conditionalFormatting sqref="AD2">
    <cfRule type="cellIs" dxfId="43" priority="4" stopIfTrue="1" operator="notEqual">
      <formula>"ok"</formula>
    </cfRule>
  </conditionalFormatting>
  <conditionalFormatting sqref="AE24 AE30 AE207 AE213 AE55 AE251 AE269 AE280 AE312 AE301 AE194 AE106 AE95 AE84 AE73 AE232">
    <cfRule type="cellIs" dxfId="42" priority="1" stopIfTrue="1" operator="notBetween">
      <formula>-0.001</formula>
      <formula>0.001</formula>
    </cfRule>
  </conditionalFormatting>
  <conditionalFormatting sqref="AE2">
    <cfRule type="cellIs" dxfId="41" priority="2" stopIfTrue="1" operator="notEqual">
      <formula>"ok"</formula>
    </cfRule>
  </conditionalFormatting>
  <pageMargins left="0.75" right="0.75" top="1" bottom="1" header="0.5" footer="0.5"/>
  <pageSetup paperSize="9" scale="56"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enableFormatConditionsCalculation="0">
    <tabColor indexed="42"/>
  </sheetPr>
  <dimension ref="A1:N280"/>
  <sheetViews>
    <sheetView showGridLines="0" zoomScale="110" workbookViewId="0">
      <selection activeCell="A75" sqref="A75"/>
    </sheetView>
  </sheetViews>
  <sheetFormatPr defaultRowHeight="12.75"/>
  <sheetData>
    <row r="1" spans="1:14">
      <c r="A1" s="1503"/>
      <c r="B1" s="1503"/>
      <c r="C1" s="1503"/>
      <c r="D1" s="1503"/>
      <c r="E1" s="1503"/>
      <c r="F1" s="1503"/>
      <c r="G1" s="1503"/>
      <c r="H1" s="1503"/>
      <c r="I1" s="1503"/>
      <c r="J1" s="1503"/>
      <c r="K1" s="1503"/>
      <c r="L1" s="1503"/>
      <c r="M1" s="1503"/>
      <c r="N1" s="1503"/>
    </row>
    <row r="2" spans="1:14" ht="18">
      <c r="A2" s="1504" t="s">
        <v>1671</v>
      </c>
      <c r="B2" s="1503"/>
      <c r="C2" s="1503"/>
      <c r="D2" s="1503"/>
      <c r="E2" s="1503"/>
      <c r="F2" s="1503"/>
      <c r="G2" s="1503"/>
      <c r="H2" s="1503"/>
      <c r="I2" s="1503"/>
      <c r="J2" s="1503"/>
      <c r="K2" s="1503"/>
      <c r="L2" s="1503"/>
      <c r="M2" s="1503"/>
      <c r="N2" s="1503"/>
    </row>
    <row r="3" spans="1:14">
      <c r="A3" s="1503"/>
      <c r="B3" s="1503"/>
      <c r="C3" s="1503"/>
      <c r="D3" s="1503"/>
      <c r="E3" s="1503"/>
      <c r="F3" s="1503"/>
      <c r="G3" s="1503"/>
      <c r="H3" s="1503"/>
      <c r="I3" s="1503"/>
      <c r="J3" s="1503"/>
      <c r="K3" s="1503"/>
      <c r="L3" s="1503"/>
      <c r="M3" s="1503"/>
      <c r="N3" s="1503"/>
    </row>
    <row r="29" spans="1:14">
      <c r="A29" s="1503"/>
      <c r="B29" s="1503"/>
      <c r="C29" s="1503"/>
      <c r="D29" s="1503"/>
      <c r="E29" s="1503"/>
      <c r="F29" s="1503"/>
      <c r="G29" s="1503"/>
      <c r="H29" s="1503"/>
      <c r="I29" s="1503"/>
      <c r="J29" s="1503"/>
      <c r="K29" s="1503"/>
      <c r="L29" s="1503"/>
      <c r="M29" s="1503"/>
      <c r="N29" s="1503"/>
    </row>
    <row r="30" spans="1:14" ht="18">
      <c r="A30" s="1504" t="s">
        <v>49</v>
      </c>
      <c r="B30" s="1503"/>
      <c r="C30" s="1503"/>
      <c r="D30" s="1503"/>
      <c r="E30" s="1503"/>
      <c r="F30" s="1503"/>
      <c r="G30" s="1503"/>
      <c r="H30" s="1503"/>
      <c r="I30" s="1503"/>
      <c r="J30" s="1503"/>
      <c r="K30" s="1503"/>
      <c r="L30" s="1503"/>
      <c r="M30" s="1503"/>
      <c r="N30" s="1503"/>
    </row>
    <row r="31" spans="1:14">
      <c r="A31" s="1503"/>
      <c r="B31" s="1503"/>
      <c r="C31" s="1503"/>
      <c r="D31" s="1503"/>
      <c r="E31" s="1503"/>
      <c r="F31" s="1503"/>
      <c r="G31" s="1503"/>
      <c r="H31" s="1503"/>
      <c r="I31" s="1503"/>
      <c r="J31" s="1503"/>
      <c r="K31" s="1503"/>
      <c r="L31" s="1503"/>
      <c r="M31" s="1503"/>
      <c r="N31" s="1503"/>
    </row>
    <row r="74" spans="1:14">
      <c r="A74" s="1503"/>
      <c r="B74" s="1503"/>
      <c r="C74" s="1503"/>
      <c r="D74" s="1503"/>
      <c r="E74" s="1503"/>
      <c r="F74" s="1503"/>
      <c r="G74" s="1503"/>
      <c r="H74" s="1503"/>
      <c r="I74" s="1503"/>
      <c r="J74" s="1503"/>
      <c r="K74" s="1503"/>
      <c r="L74" s="1503"/>
      <c r="M74" s="1503"/>
      <c r="N74" s="1503"/>
    </row>
    <row r="75" spans="1:14" ht="18">
      <c r="A75" s="1504" t="s">
        <v>877</v>
      </c>
      <c r="B75" s="1503"/>
      <c r="C75" s="1503"/>
      <c r="D75" s="1503"/>
      <c r="E75" s="1503"/>
      <c r="F75" s="1503"/>
      <c r="G75" s="1503"/>
      <c r="H75" s="1503"/>
      <c r="I75" s="1503"/>
      <c r="J75" s="1503"/>
      <c r="K75" s="1503"/>
      <c r="L75" s="1503"/>
      <c r="M75" s="1503"/>
      <c r="N75" s="1503"/>
    </row>
    <row r="76" spans="1:14">
      <c r="A76" s="1503"/>
      <c r="B76" s="1503"/>
      <c r="C76" s="1503"/>
      <c r="D76" s="1503"/>
      <c r="E76" s="1503"/>
      <c r="F76" s="1503"/>
      <c r="G76" s="1503"/>
      <c r="H76" s="1503"/>
      <c r="I76" s="1503"/>
      <c r="J76" s="1503"/>
      <c r="K76" s="1503"/>
      <c r="L76" s="1503"/>
      <c r="M76" s="1503"/>
      <c r="N76" s="1503"/>
    </row>
    <row r="140" spans="1:14">
      <c r="A140" s="1503"/>
      <c r="B140" s="1503"/>
      <c r="C140" s="1503"/>
      <c r="D140" s="1503"/>
      <c r="E140" s="1503"/>
      <c r="F140" s="1503"/>
      <c r="G140" s="1503"/>
      <c r="H140" s="1503"/>
      <c r="I140" s="1503"/>
      <c r="J140" s="1503"/>
      <c r="K140" s="1503"/>
      <c r="L140" s="1503"/>
      <c r="M140" s="1503"/>
      <c r="N140" s="1503"/>
    </row>
    <row r="141" spans="1:14" ht="18">
      <c r="A141" s="1504" t="s">
        <v>45</v>
      </c>
      <c r="B141" s="1503"/>
      <c r="C141" s="1503"/>
      <c r="D141" s="1503"/>
      <c r="E141" s="1503"/>
      <c r="F141" s="1503"/>
      <c r="G141" s="1503"/>
      <c r="H141" s="1503"/>
      <c r="I141" s="1503"/>
      <c r="J141" s="1503"/>
      <c r="K141" s="1503"/>
      <c r="L141" s="1503"/>
      <c r="M141" s="1503"/>
      <c r="N141" s="1503"/>
    </row>
    <row r="142" spans="1:14">
      <c r="A142" s="1503"/>
      <c r="B142" s="1503"/>
      <c r="C142" s="1503"/>
      <c r="D142" s="1503"/>
      <c r="E142" s="1503"/>
      <c r="F142" s="1503"/>
      <c r="G142" s="1503"/>
      <c r="H142" s="1503"/>
      <c r="I142" s="1503"/>
      <c r="J142" s="1503"/>
      <c r="K142" s="1503"/>
      <c r="L142" s="1503"/>
      <c r="M142" s="1503"/>
      <c r="N142" s="1503"/>
    </row>
    <row r="164" spans="1:14">
      <c r="A164" s="1503"/>
      <c r="B164" s="1503"/>
      <c r="C164" s="1503"/>
      <c r="D164" s="1503"/>
      <c r="E164" s="1503"/>
      <c r="F164" s="1503"/>
      <c r="G164" s="1503"/>
      <c r="H164" s="1503"/>
      <c r="I164" s="1503"/>
      <c r="J164" s="1503"/>
      <c r="K164" s="1503"/>
      <c r="L164" s="1503"/>
      <c r="M164" s="1503"/>
      <c r="N164" s="1503"/>
    </row>
    <row r="165" spans="1:14" ht="18">
      <c r="A165" s="1504" t="s">
        <v>1668</v>
      </c>
      <c r="B165" s="1503"/>
      <c r="C165" s="1503"/>
      <c r="D165" s="1503"/>
      <c r="E165" s="1503"/>
      <c r="F165" s="1503"/>
      <c r="G165" s="1503"/>
      <c r="H165" s="1503"/>
      <c r="I165" s="1503"/>
      <c r="J165" s="1503"/>
      <c r="K165" s="1503"/>
      <c r="L165" s="1503"/>
      <c r="M165" s="1503"/>
      <c r="N165" s="1503"/>
    </row>
    <row r="166" spans="1:14">
      <c r="A166" s="1503"/>
      <c r="B166" s="1503"/>
      <c r="C166" s="1503"/>
      <c r="D166" s="1503"/>
      <c r="E166" s="1503"/>
      <c r="F166" s="1503"/>
      <c r="G166" s="1503"/>
      <c r="H166" s="1503"/>
      <c r="I166" s="1503"/>
      <c r="J166" s="1503"/>
      <c r="K166" s="1503"/>
      <c r="L166" s="1503"/>
      <c r="M166" s="1503"/>
      <c r="N166" s="1503"/>
    </row>
    <row r="209" spans="1:14">
      <c r="A209" s="1503"/>
      <c r="B209" s="1503"/>
      <c r="C209" s="1503"/>
      <c r="D209" s="1503"/>
      <c r="E209" s="1503"/>
      <c r="F209" s="1503"/>
      <c r="G209" s="1503"/>
      <c r="H209" s="1503"/>
      <c r="I209" s="1503"/>
      <c r="J209" s="1503"/>
      <c r="K209" s="1503"/>
      <c r="L209" s="1503"/>
      <c r="M209" s="1503"/>
      <c r="N209" s="1503"/>
    </row>
    <row r="210" spans="1:14" ht="18">
      <c r="A210" s="1504" t="s">
        <v>1670</v>
      </c>
      <c r="B210" s="1503"/>
      <c r="C210" s="1503"/>
      <c r="D210" s="1503"/>
      <c r="E210" s="1503"/>
      <c r="F210" s="1503"/>
      <c r="G210" s="1503"/>
      <c r="H210" s="1503"/>
      <c r="I210" s="1503"/>
      <c r="J210" s="1503"/>
      <c r="K210" s="1503"/>
      <c r="L210" s="1503"/>
      <c r="M210" s="1503"/>
      <c r="N210" s="1503"/>
    </row>
    <row r="211" spans="1:14">
      <c r="A211" s="1503"/>
      <c r="B211" s="1503"/>
      <c r="C211" s="1503"/>
      <c r="D211" s="1503"/>
      <c r="E211" s="1503"/>
      <c r="F211" s="1503"/>
      <c r="G211" s="1503"/>
      <c r="H211" s="1503"/>
      <c r="I211" s="1503"/>
      <c r="J211" s="1503"/>
      <c r="K211" s="1503"/>
      <c r="L211" s="1503"/>
      <c r="M211" s="1503"/>
      <c r="N211" s="1503"/>
    </row>
    <row r="254" spans="1:14">
      <c r="A254" s="1503"/>
      <c r="B254" s="1503"/>
      <c r="C254" s="1503"/>
      <c r="D254" s="1503"/>
      <c r="E254" s="1503"/>
      <c r="F254" s="1503"/>
      <c r="G254" s="1503"/>
      <c r="H254" s="1503"/>
      <c r="I254" s="1503"/>
      <c r="J254" s="1503"/>
      <c r="K254" s="1503"/>
      <c r="L254" s="1503"/>
      <c r="M254" s="1503"/>
      <c r="N254" s="1503"/>
    </row>
    <row r="255" spans="1:14" ht="18">
      <c r="A255" s="1504" t="s">
        <v>1875</v>
      </c>
      <c r="B255" s="1503"/>
      <c r="C255" s="1503"/>
      <c r="D255" s="1503"/>
      <c r="E255" s="1503"/>
      <c r="F255" s="1503"/>
      <c r="G255" s="1503"/>
      <c r="H255" s="1503"/>
      <c r="I255" s="1503"/>
      <c r="J255" s="1503"/>
      <c r="K255" s="1503"/>
      <c r="L255" s="1503"/>
      <c r="M255" s="1503"/>
      <c r="N255" s="1503"/>
    </row>
    <row r="256" spans="1:14">
      <c r="A256" s="1503"/>
      <c r="B256" s="1503"/>
      <c r="C256" s="1503"/>
      <c r="D256" s="1503"/>
      <c r="E256" s="1503"/>
      <c r="F256" s="1503"/>
      <c r="G256" s="1503"/>
      <c r="H256" s="1503"/>
      <c r="I256" s="1503"/>
      <c r="J256" s="1503"/>
      <c r="K256" s="1503"/>
      <c r="L256" s="1503"/>
      <c r="M256" s="1503"/>
      <c r="N256" s="1503"/>
    </row>
    <row r="278" spans="1:14">
      <c r="A278" s="1503"/>
      <c r="B278" s="1503"/>
      <c r="C278" s="1503"/>
      <c r="D278" s="1503"/>
      <c r="E278" s="1503"/>
      <c r="F278" s="1503"/>
      <c r="G278" s="1503"/>
      <c r="H278" s="1503"/>
      <c r="I278" s="1503"/>
      <c r="J278" s="1503"/>
      <c r="K278" s="1503"/>
      <c r="L278" s="1503"/>
      <c r="M278" s="1503"/>
      <c r="N278" s="1503"/>
    </row>
    <row r="279" spans="1:14" ht="18">
      <c r="A279" s="1504" t="s">
        <v>1876</v>
      </c>
      <c r="B279" s="1503"/>
      <c r="C279" s="1503"/>
      <c r="D279" s="1503"/>
      <c r="E279" s="1503"/>
      <c r="F279" s="1503"/>
      <c r="G279" s="1503"/>
      <c r="H279" s="1503"/>
      <c r="I279" s="1503"/>
      <c r="J279" s="1503"/>
      <c r="K279" s="1503"/>
      <c r="L279" s="1503"/>
      <c r="M279" s="1503"/>
      <c r="N279" s="1503"/>
    </row>
    <row r="280" spans="1:14">
      <c r="A280" s="1503"/>
      <c r="B280" s="1503"/>
      <c r="C280" s="1503"/>
      <c r="D280" s="1503"/>
      <c r="E280" s="1503"/>
      <c r="F280" s="1503"/>
      <c r="G280" s="1503"/>
      <c r="H280" s="1503"/>
      <c r="I280" s="1503"/>
      <c r="J280" s="1503"/>
      <c r="K280" s="1503"/>
      <c r="L280" s="1503"/>
      <c r="M280" s="1503"/>
      <c r="N280" s="1503"/>
    </row>
  </sheetData>
  <phoneticPr fontId="60" type="noConversion"/>
  <pageMargins left="0.75" right="0.75" top="1" bottom="1" header="0.5" footer="0.5"/>
  <headerFooter alignWithMargins="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enableFormatConditionsCalculation="0">
    <tabColor indexed="43"/>
    <pageSetUpPr fitToPage="1"/>
  </sheetPr>
  <dimension ref="A1:DO1325"/>
  <sheetViews>
    <sheetView showGridLines="0" topLeftCell="CD107" zoomScale="90" zoomScaleNormal="90" workbookViewId="0">
      <pane ySplit="8700" topLeftCell="A256" activePane="bottomLeft"/>
      <selection activeCell="CT254" sqref="CT254"/>
      <selection pane="bottomLeft" activeCell="DA263" sqref="DA263"/>
    </sheetView>
  </sheetViews>
  <sheetFormatPr defaultColWidth="7.7109375" defaultRowHeight="12.75"/>
  <cols>
    <col min="1" max="2" width="3.7109375" style="665" customWidth="1"/>
    <col min="3" max="4" width="3.7109375" style="670" customWidth="1"/>
    <col min="5" max="5" width="36.5703125" style="217" customWidth="1"/>
    <col min="6" max="6" width="7.7109375" style="694" customWidth="1"/>
    <col min="7" max="9" width="9.140625" style="217" hidden="1" customWidth="1"/>
    <col min="10" max="10" width="9.28515625" style="217" hidden="1" customWidth="1"/>
    <col min="11" max="13" width="9.140625" style="217" hidden="1" customWidth="1"/>
    <col min="14" max="14" width="9.28515625" style="217" hidden="1" customWidth="1"/>
    <col min="15" max="50" width="9.140625" style="217" hidden="1" customWidth="1"/>
    <col min="51" max="51" width="9.140625" style="557" hidden="1" customWidth="1"/>
    <col min="52" max="52" width="9.140625" style="217" hidden="1" customWidth="1"/>
    <col min="53" max="53" width="9.5703125" style="557" hidden="1" customWidth="1"/>
    <col min="54" max="54" width="1.28515625" style="557" hidden="1" customWidth="1"/>
    <col min="55" max="66" width="9.140625" style="557" hidden="1" customWidth="1"/>
    <col min="67" max="69" width="9.28515625" style="557" hidden="1" customWidth="1"/>
    <col min="70" max="70" width="12.140625" style="557" hidden="1" customWidth="1"/>
    <col min="71" max="73" width="9.28515625" style="557" hidden="1" customWidth="1"/>
    <col min="74" max="74" width="12.140625" style="557" hidden="1" customWidth="1"/>
    <col min="75" max="75" width="9.28515625" style="557" hidden="1" customWidth="1"/>
    <col min="76" max="76" width="9.5703125" style="557" hidden="1" customWidth="1"/>
    <col min="77" max="77" width="9.28515625" style="557" hidden="1" customWidth="1"/>
    <col min="78" max="78" width="12.140625" style="557" hidden="1" customWidth="1"/>
    <col min="79" max="81" width="9.28515625" style="557" hidden="1" customWidth="1"/>
    <col min="82" max="82" width="12.140625" style="557" customWidth="1"/>
    <col min="83" max="85" width="9.28515625" style="557" customWidth="1"/>
    <col min="86" max="86" width="12.140625" style="557" customWidth="1"/>
    <col min="87" max="87" width="9.28515625" style="557" customWidth="1"/>
    <col min="88" max="88" width="9.5703125" style="557" customWidth="1"/>
    <col min="89" max="89" width="9.28515625" style="557" customWidth="1"/>
    <col min="90" max="90" width="12.140625" style="557" customWidth="1"/>
    <col min="91" max="91" width="8.7109375" bestFit="1" customWidth="1"/>
    <col min="92" max="92" width="8.28515625" customWidth="1"/>
    <col min="93" max="93" width="9.5703125" bestFit="1" customWidth="1"/>
    <col min="94" max="94" width="11.140625" customWidth="1"/>
    <col min="95" max="95" width="13.7109375" customWidth="1"/>
    <col min="96" max="96" width="8.28515625" customWidth="1"/>
    <col min="97" max="97" width="10.7109375" customWidth="1"/>
    <col min="98" max="98" width="11.85546875" style="3383" customWidth="1"/>
    <col min="99" max="100" width="8.28515625" customWidth="1"/>
    <col min="101" max="101" width="10.7109375" customWidth="1"/>
    <col min="102" max="102" width="11.85546875" style="3383" customWidth="1"/>
    <col min="103" max="104" width="8.28515625" style="3649" customWidth="1"/>
    <col min="105" max="105" width="10.7109375" style="3649" customWidth="1"/>
    <col min="106" max="106" width="11.85546875" style="3383" customWidth="1"/>
    <col min="107" max="119" width="7.7109375" customWidth="1"/>
    <col min="120" max="16384" width="7.7109375" style="217"/>
  </cols>
  <sheetData>
    <row r="1" spans="1:119">
      <c r="A1" s="665" t="s">
        <v>1501</v>
      </c>
      <c r="B1" s="1433" t="s">
        <v>1784</v>
      </c>
      <c r="CT1"/>
      <c r="CX1"/>
      <c r="DB1" s="3649"/>
    </row>
    <row r="2" spans="1:119">
      <c r="A2" s="665" t="s">
        <v>235</v>
      </c>
      <c r="B2" s="1433" t="s">
        <v>1152</v>
      </c>
      <c r="CH2" s="3056"/>
      <c r="CT2"/>
      <c r="CX2"/>
      <c r="DB2" s="3649"/>
    </row>
    <row r="3" spans="1:119">
      <c r="A3" s="2849"/>
      <c r="CT3"/>
      <c r="CX3"/>
      <c r="DB3" s="3649"/>
      <c r="DI3" s="3751" t="s">
        <v>2467</v>
      </c>
      <c r="DJ3" s="3751"/>
      <c r="DK3" s="3751"/>
      <c r="DL3" s="3751"/>
      <c r="DM3" s="3751"/>
      <c r="DN3" s="3751"/>
    </row>
    <row r="4" spans="1:119">
      <c r="C4" s="3763" t="s">
        <v>1713</v>
      </c>
      <c r="D4" s="3764"/>
      <c r="E4" s="3764"/>
      <c r="F4" s="3765"/>
      <c r="G4" s="3763">
        <f ca="1">OFFSET(InputY!$G$3,0,(COLUMN()-7)/4)</f>
        <v>1995</v>
      </c>
      <c r="H4" s="3764"/>
      <c r="I4" s="3764"/>
      <c r="J4" s="3765"/>
      <c r="K4" s="3763">
        <f ca="1">OFFSET(InputY!$G$3,0,(COLUMN()-7)/4)</f>
        <v>1996</v>
      </c>
      <c r="L4" s="3764"/>
      <c r="M4" s="3764"/>
      <c r="N4" s="3765"/>
      <c r="O4" s="3763">
        <f ca="1">OFFSET(InputY!$G$3,0,(COLUMN()-7)/4)</f>
        <v>1997</v>
      </c>
      <c r="P4" s="3764"/>
      <c r="Q4" s="3764"/>
      <c r="R4" s="3765"/>
      <c r="S4" s="3763">
        <f ca="1">OFFSET(InputY!$G$3,0,(COLUMN()-7)/4)</f>
        <v>1998</v>
      </c>
      <c r="T4" s="3764"/>
      <c r="U4" s="3764"/>
      <c r="V4" s="3765"/>
      <c r="W4" s="3763">
        <f ca="1">OFFSET(InputY!$G$3,0,(COLUMN()-7)/4)</f>
        <v>1999</v>
      </c>
      <c r="X4" s="3764"/>
      <c r="Y4" s="3764"/>
      <c r="Z4" s="3765"/>
      <c r="AA4" s="3763">
        <f ca="1">OFFSET(InputY!$G$3,0,(COLUMN()-7)/4)</f>
        <v>2000</v>
      </c>
      <c r="AB4" s="3764"/>
      <c r="AC4" s="3764"/>
      <c r="AD4" s="3765"/>
      <c r="AE4" s="3763">
        <f ca="1">OFFSET(InputY!$G$3,0,(COLUMN()-7)/4)</f>
        <v>2001</v>
      </c>
      <c r="AF4" s="3764"/>
      <c r="AG4" s="3764"/>
      <c r="AH4" s="3765"/>
      <c r="AI4" s="3763">
        <f ca="1">OFFSET(InputY!$G$3,0,(COLUMN()-7)/4)</f>
        <v>2002</v>
      </c>
      <c r="AJ4" s="3764"/>
      <c r="AK4" s="3764"/>
      <c r="AL4" s="3765"/>
      <c r="AM4" s="3763">
        <f ca="1">OFFSET(InputY!$G$3,0,(COLUMN()-7)/4)</f>
        <v>2003</v>
      </c>
      <c r="AN4" s="3764"/>
      <c r="AO4" s="3764"/>
      <c r="AP4" s="3765"/>
      <c r="AQ4" s="3763">
        <f ca="1">OFFSET(InputY!$G$3,0,(COLUMN()-7)/4)</f>
        <v>2004</v>
      </c>
      <c r="AR4" s="3764"/>
      <c r="AS4" s="3764"/>
      <c r="AT4" s="3765"/>
      <c r="AU4" s="3763">
        <f ca="1">OFFSET(InputY!$G$3,0,(COLUMN()-7)/4)</f>
        <v>2005</v>
      </c>
      <c r="AV4" s="3764"/>
      <c r="AW4" s="3764"/>
      <c r="AX4" s="3765"/>
      <c r="AY4" s="3763">
        <f ca="1">OFFSET(InputY!$G$3,0,(COLUMN()-7)/4)</f>
        <v>2006</v>
      </c>
      <c r="AZ4" s="3764"/>
      <c r="BA4" s="3764"/>
      <c r="BB4" s="3765"/>
      <c r="BC4" s="3763">
        <f ca="1">OFFSET(InputY!$G$3,0,(COLUMN()-7)/4)</f>
        <v>2007</v>
      </c>
      <c r="BD4" s="3764"/>
      <c r="BE4" s="3764"/>
      <c r="BF4" s="3765"/>
      <c r="BG4" s="3763">
        <f ca="1">OFFSET(InputY!$G$3,0,(COLUMN()-7)/4)</f>
        <v>2008</v>
      </c>
      <c r="BH4" s="3764"/>
      <c r="BI4" s="3764"/>
      <c r="BJ4" s="3765"/>
      <c r="BK4" s="3763">
        <f ca="1">OFFSET(InputY!$G$3,0,(COLUMN()-7)/4)</f>
        <v>2009</v>
      </c>
      <c r="BL4" s="3764"/>
      <c r="BM4" s="3764"/>
      <c r="BN4" s="3765"/>
      <c r="BO4" s="3763">
        <f ca="1">OFFSET(InputY!$G$3,0,(COLUMN()-7)/4)</f>
        <v>2010</v>
      </c>
      <c r="BP4" s="3764"/>
      <c r="BQ4" s="3764"/>
      <c r="BR4" s="3765"/>
      <c r="BS4" s="3763">
        <f ca="1">OFFSET(InputY!$G$3,0,(COLUMN()-7)/4)</f>
        <v>2011</v>
      </c>
      <c r="BT4" s="3764"/>
      <c r="BU4" s="3764"/>
      <c r="BV4" s="3765"/>
      <c r="BW4" s="3763">
        <f ca="1">OFFSET(InputY!$G$3,0,(COLUMN()-7)/4)</f>
        <v>2012</v>
      </c>
      <c r="BX4" s="3764"/>
      <c r="BY4" s="3764"/>
      <c r="BZ4" s="3765"/>
      <c r="CA4" s="3763">
        <f ca="1">OFFSET(InputY!$G$3,0,(COLUMN()-7)/4)</f>
        <v>2013</v>
      </c>
      <c r="CB4" s="3764"/>
      <c r="CC4" s="3764"/>
      <c r="CD4" s="3765"/>
      <c r="CE4" s="3763">
        <f ca="1">OFFSET(InputY!$G$3,0,(COLUMN()-7)/4)</f>
        <v>2014</v>
      </c>
      <c r="CF4" s="3764"/>
      <c r="CG4" s="3764"/>
      <c r="CH4" s="3765"/>
      <c r="CI4" s="3763">
        <f ca="1">OFFSET(InputY!$G$3,0,(COLUMN()-7)/4)</f>
        <v>2015</v>
      </c>
      <c r="CJ4" s="3764"/>
      <c r="CK4" s="3764"/>
      <c r="CL4" s="3765"/>
      <c r="CM4" s="3763">
        <f ca="1">OFFSET(InputY!$G$3,0,(COLUMN()-7)/4)</f>
        <v>2016</v>
      </c>
      <c r="CN4" s="3764"/>
      <c r="CO4" s="3764"/>
      <c r="CP4" s="3765"/>
      <c r="CQ4" s="3763">
        <f ca="1">OFFSET(InputY!$G$3,0,(COLUMN()-7)/4)</f>
        <v>2017</v>
      </c>
      <c r="CR4" s="3764"/>
      <c r="CS4" s="3764"/>
      <c r="CT4" s="3765"/>
      <c r="CU4" s="3763">
        <f ca="1">OFFSET(InputY!$G$3,0,(COLUMN()-7)/4)</f>
        <v>2018</v>
      </c>
      <c r="CV4" s="3764"/>
      <c r="CW4" s="3764"/>
      <c r="CX4" s="3765"/>
      <c r="CY4" s="3763">
        <f ca="1">OFFSET(InputY!$G$3,0,(COLUMN()-7)/4)</f>
        <v>2019</v>
      </c>
      <c r="CZ4" s="3764"/>
      <c r="DA4" s="3764"/>
      <c r="DB4" s="3765"/>
      <c r="DC4" s="3748">
        <v>2016</v>
      </c>
      <c r="DD4" s="3751">
        <v>2017</v>
      </c>
      <c r="DE4" s="3751"/>
      <c r="DF4" s="3751">
        <v>2018</v>
      </c>
      <c r="DG4" s="3751"/>
      <c r="DI4" s="3751">
        <v>2016</v>
      </c>
      <c r="DJ4" s="3751"/>
      <c r="DK4" s="3751">
        <v>2017</v>
      </c>
      <c r="DL4" s="3751"/>
      <c r="DM4" s="3751">
        <v>2018</v>
      </c>
      <c r="DN4" s="3751"/>
    </row>
    <row r="5" spans="1:119" s="699" customFormat="1" ht="12.75" customHeight="1">
      <c r="A5" s="664"/>
      <c r="B5" s="664"/>
      <c r="C5" s="1553"/>
      <c r="D5" s="742"/>
      <c r="E5" s="743" t="s">
        <v>917</v>
      </c>
      <c r="F5" s="744"/>
      <c r="G5" s="1578" t="s">
        <v>1842</v>
      </c>
      <c r="H5" s="1579" t="s">
        <v>1843</v>
      </c>
      <c r="I5" s="1579" t="s">
        <v>1844</v>
      </c>
      <c r="J5" s="1580" t="s">
        <v>1845</v>
      </c>
      <c r="K5" s="1578" t="s">
        <v>1842</v>
      </c>
      <c r="L5" s="1579" t="s">
        <v>1843</v>
      </c>
      <c r="M5" s="1579" t="s">
        <v>1844</v>
      </c>
      <c r="N5" s="1580" t="s">
        <v>1845</v>
      </c>
      <c r="O5" s="1578" t="s">
        <v>1842</v>
      </c>
      <c r="P5" s="1579" t="s">
        <v>1843</v>
      </c>
      <c r="Q5" s="1579" t="s">
        <v>1844</v>
      </c>
      <c r="R5" s="1580" t="s">
        <v>1845</v>
      </c>
      <c r="S5" s="1578" t="s">
        <v>1842</v>
      </c>
      <c r="T5" s="1579" t="s">
        <v>1843</v>
      </c>
      <c r="U5" s="1579" t="s">
        <v>1844</v>
      </c>
      <c r="V5" s="1580" t="s">
        <v>1845</v>
      </c>
      <c r="W5" s="1578" t="s">
        <v>1842</v>
      </c>
      <c r="X5" s="1579" t="s">
        <v>1843</v>
      </c>
      <c r="Y5" s="1579" t="s">
        <v>1844</v>
      </c>
      <c r="Z5" s="1580" t="s">
        <v>1845</v>
      </c>
      <c r="AA5" s="1578" t="s">
        <v>1842</v>
      </c>
      <c r="AB5" s="1579" t="s">
        <v>1843</v>
      </c>
      <c r="AC5" s="1579" t="s">
        <v>1844</v>
      </c>
      <c r="AD5" s="1580" t="s">
        <v>1845</v>
      </c>
      <c r="AE5" s="1578" t="s">
        <v>1842</v>
      </c>
      <c r="AF5" s="1579" t="s">
        <v>1843</v>
      </c>
      <c r="AG5" s="1579" t="s">
        <v>1844</v>
      </c>
      <c r="AH5" s="1580" t="s">
        <v>1845</v>
      </c>
      <c r="AI5" s="1578" t="s">
        <v>1842</v>
      </c>
      <c r="AJ5" s="1579" t="s">
        <v>1843</v>
      </c>
      <c r="AK5" s="1579" t="s">
        <v>1844</v>
      </c>
      <c r="AL5" s="1580" t="s">
        <v>1845</v>
      </c>
      <c r="AM5" s="1578" t="s">
        <v>1842</v>
      </c>
      <c r="AN5" s="1579" t="s">
        <v>1843</v>
      </c>
      <c r="AO5" s="1579" t="s">
        <v>1844</v>
      </c>
      <c r="AP5" s="1580" t="s">
        <v>1845</v>
      </c>
      <c r="AQ5" s="1578" t="s">
        <v>1842</v>
      </c>
      <c r="AR5" s="1579" t="s">
        <v>1843</v>
      </c>
      <c r="AS5" s="1579" t="s">
        <v>1844</v>
      </c>
      <c r="AT5" s="1580" t="s">
        <v>1845</v>
      </c>
      <c r="AU5" s="1578" t="s">
        <v>1842</v>
      </c>
      <c r="AV5" s="1579" t="s">
        <v>1843</v>
      </c>
      <c r="AW5" s="1579" t="s">
        <v>1844</v>
      </c>
      <c r="AX5" s="1580" t="s">
        <v>1845</v>
      </c>
      <c r="AY5" s="1578" t="s">
        <v>1842</v>
      </c>
      <c r="AZ5" s="1579" t="s">
        <v>1843</v>
      </c>
      <c r="BA5" s="1579" t="s">
        <v>1844</v>
      </c>
      <c r="BB5" s="1579" t="s">
        <v>1845</v>
      </c>
      <c r="BC5" s="1579" t="s">
        <v>1842</v>
      </c>
      <c r="BD5" s="1579" t="s">
        <v>1843</v>
      </c>
      <c r="BE5" s="1579" t="s">
        <v>1844</v>
      </c>
      <c r="BF5" s="1579" t="s">
        <v>1845</v>
      </c>
      <c r="BG5" s="1579" t="s">
        <v>1842</v>
      </c>
      <c r="BH5" s="1579" t="s">
        <v>1843</v>
      </c>
      <c r="BI5" s="1579" t="s">
        <v>1844</v>
      </c>
      <c r="BJ5" s="1579" t="s">
        <v>1845</v>
      </c>
      <c r="BK5" s="1579" t="s">
        <v>1842</v>
      </c>
      <c r="BL5" s="1579" t="s">
        <v>1843</v>
      </c>
      <c r="BM5" s="1579" t="s">
        <v>1844</v>
      </c>
      <c r="BN5" s="1579" t="s">
        <v>1845</v>
      </c>
      <c r="BO5" s="1579" t="s">
        <v>1842</v>
      </c>
      <c r="BP5" s="1579" t="s">
        <v>1843</v>
      </c>
      <c r="BQ5" s="1579" t="s">
        <v>1844</v>
      </c>
      <c r="BR5" s="1579" t="s">
        <v>1845</v>
      </c>
      <c r="BS5" s="1579" t="s">
        <v>1842</v>
      </c>
      <c r="BT5" s="1579" t="s">
        <v>1843</v>
      </c>
      <c r="BU5" s="1579" t="s">
        <v>1844</v>
      </c>
      <c r="BV5" s="1579" t="s">
        <v>1845</v>
      </c>
      <c r="BW5" s="1579" t="s">
        <v>1842</v>
      </c>
      <c r="BX5" s="1579" t="s">
        <v>1843</v>
      </c>
      <c r="BY5" s="1579" t="s">
        <v>1844</v>
      </c>
      <c r="BZ5" s="1579" t="s">
        <v>1845</v>
      </c>
      <c r="CA5" s="1579" t="s">
        <v>1842</v>
      </c>
      <c r="CB5" s="1579" t="s">
        <v>1843</v>
      </c>
      <c r="CC5" s="1579" t="s">
        <v>1844</v>
      </c>
      <c r="CD5" s="1579" t="s">
        <v>1845</v>
      </c>
      <c r="CE5" s="1579" t="s">
        <v>1842</v>
      </c>
      <c r="CF5" s="1579" t="s">
        <v>1843</v>
      </c>
      <c r="CG5" s="1579" t="s">
        <v>1844</v>
      </c>
      <c r="CH5" s="1579" t="s">
        <v>1845</v>
      </c>
      <c r="CI5" s="1579" t="s">
        <v>1842</v>
      </c>
      <c r="CJ5" s="1579" t="s">
        <v>1843</v>
      </c>
      <c r="CK5" s="1579" t="s">
        <v>1844</v>
      </c>
      <c r="CL5" s="1579" t="s">
        <v>1845</v>
      </c>
      <c r="CM5" s="1579" t="s">
        <v>1842</v>
      </c>
      <c r="CN5" s="1579" t="s">
        <v>1843</v>
      </c>
      <c r="CO5" s="1579" t="s">
        <v>1844</v>
      </c>
      <c r="CP5" s="1579" t="s">
        <v>1845</v>
      </c>
      <c r="CQ5" s="1579" t="s">
        <v>1842</v>
      </c>
      <c r="CR5" s="1579" t="s">
        <v>1843</v>
      </c>
      <c r="CS5" s="1579" t="s">
        <v>1844</v>
      </c>
      <c r="CT5" s="1579" t="s">
        <v>1845</v>
      </c>
      <c r="CU5" s="1579" t="s">
        <v>1842</v>
      </c>
      <c r="CV5" s="1579" t="s">
        <v>1843</v>
      </c>
      <c r="CW5" s="1579" t="s">
        <v>1844</v>
      </c>
      <c r="CX5" s="1579" t="s">
        <v>1845</v>
      </c>
      <c r="CY5" s="1579" t="s">
        <v>1842</v>
      </c>
      <c r="CZ5" s="1579" t="s">
        <v>1843</v>
      </c>
      <c r="DA5" s="1579" t="s">
        <v>1844</v>
      </c>
      <c r="DB5" s="1579" t="s">
        <v>1845</v>
      </c>
      <c r="DC5" t="s">
        <v>2466</v>
      </c>
      <c r="DD5" s="3218" t="s">
        <v>2465</v>
      </c>
      <c r="DE5" t="s">
        <v>2466</v>
      </c>
      <c r="DF5" s="3218" t="s">
        <v>2465</v>
      </c>
      <c r="DG5" t="s">
        <v>2466</v>
      </c>
      <c r="DH5"/>
      <c r="DI5" s="3218" t="s">
        <v>2465</v>
      </c>
      <c r="DJ5" t="s">
        <v>2466</v>
      </c>
      <c r="DK5" s="3218" t="s">
        <v>2465</v>
      </c>
      <c r="DL5" t="s">
        <v>2466</v>
      </c>
      <c r="DM5" s="3218" t="s">
        <v>2465</v>
      </c>
      <c r="DN5" t="s">
        <v>2466</v>
      </c>
      <c r="DO5"/>
    </row>
    <row r="6" spans="1:119">
      <c r="B6" s="665">
        <v>15</v>
      </c>
      <c r="C6" s="762"/>
      <c r="D6" s="689"/>
      <c r="E6" s="732" t="s">
        <v>1069</v>
      </c>
      <c r="F6" s="763"/>
      <c r="G6" s="2852"/>
      <c r="H6" s="2852">
        <f t="shared" ref="H6:BD6" si="0">+H27</f>
        <v>2.6037399821905449</v>
      </c>
      <c r="I6" s="2852">
        <f t="shared" si="0"/>
        <v>2.2825105880719398</v>
      </c>
      <c r="J6" s="2852">
        <f t="shared" si="0"/>
        <v>1.6274373377229479</v>
      </c>
      <c r="K6" s="2852">
        <f t="shared" si="0"/>
        <v>1.1238018902581581</v>
      </c>
      <c r="L6" s="2852">
        <f t="shared" si="0"/>
        <v>1.3111180831915981</v>
      </c>
      <c r="M6" s="2852">
        <f t="shared" si="0"/>
        <v>0.19069972128500368</v>
      </c>
      <c r="N6" s="2852">
        <f t="shared" si="0"/>
        <v>3.232471124125591</v>
      </c>
      <c r="O6" s="2852">
        <f t="shared" si="0"/>
        <v>1.6562396583513106</v>
      </c>
      <c r="P6" s="2852">
        <f t="shared" si="0"/>
        <v>-0.17052148570718684</v>
      </c>
      <c r="Q6" s="2852">
        <f t="shared" si="0"/>
        <v>2.158452125842425</v>
      </c>
      <c r="R6" s="2852">
        <f t="shared" si="0"/>
        <v>1.7480391560770858</v>
      </c>
      <c r="S6" s="2852">
        <f t="shared" si="0"/>
        <v>1.3475156114613585</v>
      </c>
      <c r="T6" s="2852">
        <f t="shared" si="0"/>
        <v>-0.83431603773584939</v>
      </c>
      <c r="U6" s="2852">
        <f t="shared" si="0"/>
        <v>3.0502125635461175</v>
      </c>
      <c r="V6" s="2852">
        <f t="shared" si="0"/>
        <v>0.38946427025934316</v>
      </c>
      <c r="W6" s="2852">
        <f t="shared" si="0"/>
        <v>-0.51583424334731287</v>
      </c>
      <c r="X6" s="2852">
        <f t="shared" si="0"/>
        <v>4.4730418706760977</v>
      </c>
      <c r="Y6" s="2852">
        <f t="shared" si="0"/>
        <v>1.1032156385655245</v>
      </c>
      <c r="Z6" s="2852">
        <f t="shared" si="0"/>
        <v>-0.22014986599570019</v>
      </c>
      <c r="AA6" s="2852">
        <f t="shared" si="0"/>
        <v>1.9062367241780676</v>
      </c>
      <c r="AB6" s="2852">
        <f t="shared" si="0"/>
        <v>3.1239073720448651</v>
      </c>
      <c r="AC6" s="2852">
        <f t="shared" si="0"/>
        <v>0.9063050140184048</v>
      </c>
      <c r="AD6" s="2852">
        <f t="shared" si="0"/>
        <v>1.1178599121219879</v>
      </c>
      <c r="AE6" s="2852">
        <f t="shared" si="0"/>
        <v>2.1701067160841081</v>
      </c>
      <c r="AF6" s="2852">
        <f t="shared" si="0"/>
        <v>-1.4860588169070654</v>
      </c>
      <c r="AG6" s="2852">
        <f t="shared" si="0"/>
        <v>1.8182972509682038</v>
      </c>
      <c r="AH6" s="2852">
        <f t="shared" si="0"/>
        <v>1.9903475625724809</v>
      </c>
      <c r="AI6" s="2852">
        <f t="shared" si="0"/>
        <v>2.0334299304256342</v>
      </c>
      <c r="AJ6" s="2852">
        <f t="shared" si="0"/>
        <v>1.1624283968075133</v>
      </c>
      <c r="AK6" s="2852">
        <f t="shared" si="0"/>
        <v>1.3172858225928508</v>
      </c>
      <c r="AL6" s="2852">
        <f t="shared" si="0"/>
        <v>1.778364979889635</v>
      </c>
      <c r="AM6" s="2852">
        <f t="shared" si="0"/>
        <v>5.3751335454743865</v>
      </c>
      <c r="AN6" s="2852">
        <f t="shared" si="0"/>
        <v>2.0462672248386715</v>
      </c>
      <c r="AO6" s="2852">
        <f t="shared" si="0"/>
        <v>1.04054270605205</v>
      </c>
      <c r="AP6" s="2852">
        <f t="shared" si="0"/>
        <v>4.4111272058279472</v>
      </c>
      <c r="AQ6" s="2852">
        <f t="shared" si="0"/>
        <v>1.890613765936533</v>
      </c>
      <c r="AR6" s="2852">
        <f t="shared" si="0"/>
        <v>3.5739132163231213</v>
      </c>
      <c r="AS6" s="2852">
        <f t="shared" si="0"/>
        <v>3.2826683554992631</v>
      </c>
      <c r="AT6" s="2852">
        <f t="shared" si="0"/>
        <v>1.3499326427277136</v>
      </c>
      <c r="AU6" s="2852">
        <f t="shared" si="0"/>
        <v>31.717761806981535</v>
      </c>
      <c r="AV6" s="2852">
        <f t="shared" si="0"/>
        <v>5.4211221915174912</v>
      </c>
      <c r="AW6" s="2852">
        <f t="shared" si="0"/>
        <v>1.5591165006496155</v>
      </c>
      <c r="AX6" s="2852">
        <f t="shared" si="0"/>
        <v>4.1656379755358852</v>
      </c>
      <c r="AY6" s="2852">
        <f t="shared" si="0"/>
        <v>-3.0229902393829167</v>
      </c>
      <c r="AZ6" s="2852">
        <f t="shared" si="0"/>
        <v>4.8791325986491163</v>
      </c>
      <c r="BA6" s="2852">
        <f t="shared" si="0"/>
        <v>6.0079654266587568</v>
      </c>
      <c r="BB6" s="2852">
        <f t="shared" si="0"/>
        <v>0.41566746602719196</v>
      </c>
      <c r="BC6" s="2852">
        <f t="shared" si="0"/>
        <v>3.5344690335933793</v>
      </c>
      <c r="BD6" s="2852">
        <f t="shared" si="0"/>
        <v>3.1254805474396408</v>
      </c>
      <c r="BE6" s="2852">
        <f t="shared" ref="BE6:BN6" si="1">+BE27</f>
        <v>0.42311276794033681</v>
      </c>
      <c r="BF6" s="2852">
        <f t="shared" si="1"/>
        <v>5.5107002988288301</v>
      </c>
      <c r="BG6" s="2852">
        <f t="shared" si="1"/>
        <v>0.49431798191603704</v>
      </c>
      <c r="BH6" s="2852">
        <f t="shared" si="1"/>
        <v>-0.38160589563603908</v>
      </c>
      <c r="BI6" s="2852">
        <f t="shared" si="1"/>
        <v>-1.9926549403433635</v>
      </c>
      <c r="BJ6" s="2852">
        <f t="shared" si="1"/>
        <v>-2.2429403854773655</v>
      </c>
      <c r="BK6" s="2852">
        <f t="shared" si="1"/>
        <v>-11.69026483750274</v>
      </c>
      <c r="BL6" s="2852">
        <f t="shared" si="1"/>
        <v>-1.7673935617861014</v>
      </c>
      <c r="BM6" s="2852">
        <f t="shared" si="1"/>
        <v>-2.3911710606989378</v>
      </c>
      <c r="BN6" s="2852">
        <f t="shared" si="1"/>
        <v>-4.3146768324380584</v>
      </c>
      <c r="BO6" s="2852">
        <f t="shared" ref="BO6:BZ6" si="2">+BO27</f>
        <v>0.67004708438969107</v>
      </c>
      <c r="BP6" s="2852">
        <f t="shared" si="2"/>
        <v>-0.67907897103794967</v>
      </c>
      <c r="BQ6" s="2852">
        <f t="shared" si="2"/>
        <v>2.644328729907186</v>
      </c>
      <c r="BR6" s="2852">
        <f t="shared" si="2"/>
        <v>0.45436499183906243</v>
      </c>
      <c r="BS6" s="2852">
        <f>+BS27</f>
        <v>1.2405585807131692</v>
      </c>
      <c r="BT6" s="2852">
        <f>+BT27</f>
        <v>1.3207833611659447</v>
      </c>
      <c r="BU6" s="2852">
        <f>+BU27</f>
        <v>1.224367481484645</v>
      </c>
      <c r="BV6" s="2852">
        <f>+BV27</f>
        <v>1.2835694650031648</v>
      </c>
      <c r="BW6" s="2852">
        <f t="shared" si="2"/>
        <v>-0.24844979852599591</v>
      </c>
      <c r="BX6" s="2852">
        <f t="shared" si="2"/>
        <v>0.2072083385658674</v>
      </c>
      <c r="BY6" s="2852">
        <f t="shared" si="2"/>
        <v>0.59945276437536332</v>
      </c>
      <c r="BZ6" s="2852">
        <f t="shared" si="2"/>
        <v>1.6132381031475962</v>
      </c>
      <c r="CA6" s="2852">
        <f t="shared" ref="CA6:CH6" si="3">+CA27</f>
        <v>1.8369056619194302</v>
      </c>
      <c r="CB6" s="2852">
        <f t="shared" si="3"/>
        <v>0.58186195826646081</v>
      </c>
      <c r="CC6" s="2852">
        <f t="shared" si="3"/>
        <v>1.3943746259724721</v>
      </c>
      <c r="CD6" s="2852">
        <f t="shared" si="3"/>
        <v>1.0682877884672148</v>
      </c>
      <c r="CE6" s="2852">
        <f t="shared" si="3"/>
        <v>1.3703963248462347</v>
      </c>
      <c r="CF6" s="2852">
        <f t="shared" si="3"/>
        <v>0.35717028957675812</v>
      </c>
      <c r="CG6" s="2852">
        <f t="shared" si="3"/>
        <v>0.31380352837626635</v>
      </c>
      <c r="CH6" s="2852">
        <f t="shared" si="3"/>
        <v>1.5164231488193014</v>
      </c>
      <c r="CI6" s="2852">
        <f t="shared" ref="CI6:CP6" si="4">+CI27</f>
        <v>1.1987749196745501</v>
      </c>
      <c r="CJ6" s="2852">
        <f t="shared" si="4"/>
        <v>0.27664828533766617</v>
      </c>
      <c r="CK6" s="2852">
        <f t="shared" si="4"/>
        <v>2.0885794697081961</v>
      </c>
      <c r="CL6" s="2852">
        <f t="shared" si="4"/>
        <v>0.46067904817177485</v>
      </c>
      <c r="CM6" s="2852">
        <f t="shared" si="4"/>
        <v>0.24372630438709297</v>
      </c>
      <c r="CN6" s="2852">
        <f t="shared" si="4"/>
        <v>2.5970283656010729</v>
      </c>
      <c r="CO6" s="2852">
        <f t="shared" si="4"/>
        <v>1.4043218003405578</v>
      </c>
      <c r="CP6" s="2852">
        <f t="shared" si="4"/>
        <v>0.96421832534145935</v>
      </c>
      <c r="CQ6" s="2852">
        <f t="shared" ref="CQ6:CX6" si="5">+CQ27</f>
        <v>0.71497153830328841</v>
      </c>
      <c r="CR6" s="2852">
        <f t="shared" si="5"/>
        <v>1.1508145928738056</v>
      </c>
      <c r="CS6" s="2852">
        <f t="shared" si="5"/>
        <v>-2.1879260144408441E-2</v>
      </c>
      <c r="CT6" s="2852">
        <f t="shared" si="5"/>
        <v>1.7574574102754204</v>
      </c>
      <c r="CU6" s="2852">
        <f t="shared" si="5"/>
        <v>0.75</v>
      </c>
      <c r="CV6" s="2852">
        <f t="shared" si="5"/>
        <v>0.75</v>
      </c>
      <c r="CW6" s="2852">
        <f t="shared" si="5"/>
        <v>0.75</v>
      </c>
      <c r="CX6" s="2852">
        <f t="shared" si="5"/>
        <v>0.75</v>
      </c>
      <c r="CY6" s="2852">
        <f t="shared" ref="CY6:DB6" si="6">+CY27</f>
        <v>0.84</v>
      </c>
      <c r="CZ6" s="2852">
        <f t="shared" si="6"/>
        <v>0.84</v>
      </c>
      <c r="DA6" s="2852">
        <f t="shared" si="6"/>
        <v>0.84</v>
      </c>
      <c r="DB6" s="2852">
        <f t="shared" si="6"/>
        <v>0.84</v>
      </c>
      <c r="DC6">
        <f ca="1">CP29</f>
        <v>4.9353738145373853</v>
      </c>
      <c r="DD6">
        <f>CT28</f>
        <v>4.1241037172493122</v>
      </c>
      <c r="DE6">
        <f ca="1">CT29</f>
        <v>3.8909751369404972</v>
      </c>
      <c r="DF6">
        <f>CX28</f>
        <v>3.5081423884548002</v>
      </c>
      <c r="DG6">
        <f ca="1">CX29</f>
        <v>3.4999999999999858</v>
      </c>
      <c r="DI6" s="3194">
        <v>1.3631026590950484</v>
      </c>
      <c r="DJ6" s="3194">
        <v>1.3631026590950484</v>
      </c>
      <c r="DK6" s="3194">
        <v>1.9442805267155165</v>
      </c>
      <c r="DL6" s="3194">
        <v>1.9442805267155165</v>
      </c>
      <c r="DM6" s="3194">
        <v>2.0410349442003621</v>
      </c>
      <c r="DN6" s="3194">
        <v>2.0410349442003621</v>
      </c>
    </row>
    <row r="7" spans="1:119">
      <c r="B7" s="665">
        <v>16</v>
      </c>
      <c r="C7" s="932"/>
      <c r="D7" s="674"/>
      <c r="E7" s="220" t="s">
        <v>1846</v>
      </c>
      <c r="F7" s="710"/>
      <c r="G7" s="2853"/>
      <c r="H7" s="2853">
        <f t="shared" ref="H7:BD7" si="7">+H46</f>
        <v>-0.23001521639123279</v>
      </c>
      <c r="I7" s="2853">
        <f t="shared" si="7"/>
        <v>0.18443640490883872</v>
      </c>
      <c r="J7" s="2853">
        <f t="shared" si="7"/>
        <v>0.84967783048928158</v>
      </c>
      <c r="K7" s="2853">
        <f t="shared" si="7"/>
        <v>-1.2883521729972536</v>
      </c>
      <c r="L7" s="2853">
        <f t="shared" si="7"/>
        <v>-9.9576798605927053E-2</v>
      </c>
      <c r="M7" s="2853">
        <f t="shared" si="7"/>
        <v>1.39190488056673</v>
      </c>
      <c r="N7" s="2853">
        <f t="shared" si="7"/>
        <v>-0.9830770311073711</v>
      </c>
      <c r="O7" s="2853">
        <f t="shared" si="7"/>
        <v>0.92901212679952216</v>
      </c>
      <c r="P7" s="2853">
        <f t="shared" si="7"/>
        <v>2.7086846543001863</v>
      </c>
      <c r="Q7" s="2853">
        <f t="shared" si="7"/>
        <v>0.71147597058320855</v>
      </c>
      <c r="R7" s="2853">
        <f t="shared" si="7"/>
        <v>-0.50945895459022505</v>
      </c>
      <c r="S7" s="2853">
        <f t="shared" si="7"/>
        <v>3.7278530706994717</v>
      </c>
      <c r="T7" s="2853">
        <f t="shared" si="7"/>
        <v>0.10860622017443422</v>
      </c>
      <c r="U7" s="2853">
        <f t="shared" si="7"/>
        <v>0.12163850351765149</v>
      </c>
      <c r="V7" s="2853">
        <f t="shared" si="7"/>
        <v>1.1919225086192808</v>
      </c>
      <c r="W7" s="2853">
        <f t="shared" si="7"/>
        <v>-3.8484002855474264</v>
      </c>
      <c r="X7" s="2853">
        <f t="shared" si="7"/>
        <v>-0.60070194384448383</v>
      </c>
      <c r="Y7" s="2853">
        <f t="shared" si="7"/>
        <v>-1.8673185305900675</v>
      </c>
      <c r="Z7" s="2853">
        <f t="shared" si="7"/>
        <v>-8.3033490174366786E-2</v>
      </c>
      <c r="AA7" s="2853">
        <f t="shared" si="7"/>
        <v>2.1087257617728561</v>
      </c>
      <c r="AB7" s="2853">
        <f t="shared" si="7"/>
        <v>-0.96307097561804111</v>
      </c>
      <c r="AC7" s="2853">
        <f t="shared" si="7"/>
        <v>0.34240712206814461</v>
      </c>
      <c r="AD7" s="2853">
        <f t="shared" si="7"/>
        <v>0.45384746630268147</v>
      </c>
      <c r="AE7" s="2853">
        <f t="shared" si="7"/>
        <v>0.46198790678715351</v>
      </c>
      <c r="AF7" s="2853">
        <f t="shared" si="7"/>
        <v>0.29755866639615824</v>
      </c>
      <c r="AG7" s="2853">
        <f t="shared" si="7"/>
        <v>-0.16182320814509543</v>
      </c>
      <c r="AH7" s="2853">
        <f t="shared" si="7"/>
        <v>0.21273721888295238</v>
      </c>
      <c r="AI7" s="2853">
        <f t="shared" si="7"/>
        <v>1.533173838325963</v>
      </c>
      <c r="AJ7" s="2853">
        <f t="shared" si="7"/>
        <v>-0.34182928448159844</v>
      </c>
      <c r="AK7" s="2853">
        <f t="shared" si="7"/>
        <v>1.9014952212860869</v>
      </c>
      <c r="AL7" s="2853">
        <f t="shared" si="7"/>
        <v>0.27777777777777679</v>
      </c>
      <c r="AM7" s="2853">
        <f t="shared" si="7"/>
        <v>0.47254358807236052</v>
      </c>
      <c r="AN7" s="2853">
        <f t="shared" si="7"/>
        <v>1.2455400583846865</v>
      </c>
      <c r="AO7" s="2853">
        <f t="shared" si="7"/>
        <v>0.57025693599026539</v>
      </c>
      <c r="AP7" s="2853">
        <f t="shared" si="7"/>
        <v>1.1754587155963447</v>
      </c>
      <c r="AQ7" s="2853">
        <f t="shared" si="7"/>
        <v>1.1460596328831008</v>
      </c>
      <c r="AR7" s="2853">
        <f t="shared" si="7"/>
        <v>1.9828793774318898</v>
      </c>
      <c r="AS7" s="2853">
        <f t="shared" si="7"/>
        <v>0.60435870825956695</v>
      </c>
      <c r="AT7" s="2853">
        <f t="shared" si="7"/>
        <v>0.6280339805825097</v>
      </c>
      <c r="AU7" s="2853">
        <f t="shared" si="7"/>
        <v>45.026552898965868</v>
      </c>
      <c r="AV7" s="2853">
        <f t="shared" si="7"/>
        <v>0.17945588974230819</v>
      </c>
      <c r="AW7" s="2853">
        <f t="shared" si="7"/>
        <v>0.27944969905417949</v>
      </c>
      <c r="AX7" s="2853">
        <f t="shared" si="7"/>
        <v>-0.26438013576277619</v>
      </c>
      <c r="AY7" s="2853">
        <f t="shared" si="7"/>
        <v>0.5659836652815553</v>
      </c>
      <c r="AZ7" s="2853">
        <f t="shared" si="7"/>
        <v>0.46306190781506551</v>
      </c>
      <c r="BA7" s="2853">
        <f t="shared" si="7"/>
        <v>2.1557225925400436</v>
      </c>
      <c r="BB7" s="2853">
        <f t="shared" si="7"/>
        <v>0.44425933638763127</v>
      </c>
      <c r="BC7" s="2853">
        <f t="shared" si="7"/>
        <v>0.44920525224603214</v>
      </c>
      <c r="BD7" s="2853">
        <f t="shared" si="7"/>
        <v>0.57791537667699622</v>
      </c>
      <c r="BE7" s="2853">
        <f t="shared" ref="BE7:BN7" si="8">+BE46</f>
        <v>-1.757986182365423</v>
      </c>
      <c r="BF7" s="2853">
        <f t="shared" si="8"/>
        <v>1.3368611613981285</v>
      </c>
      <c r="BG7" s="2853">
        <f t="shared" si="8"/>
        <v>-0.43287068847053245</v>
      </c>
      <c r="BH7" s="2853">
        <f t="shared" si="8"/>
        <v>0.10351252501552555</v>
      </c>
      <c r="BI7" s="2853">
        <f t="shared" si="8"/>
        <v>1.0478422721632574</v>
      </c>
      <c r="BJ7" s="2853">
        <f t="shared" si="8"/>
        <v>-0.46391049256377936</v>
      </c>
      <c r="BK7" s="2853">
        <f t="shared" si="8"/>
        <v>-0.26730637422893722</v>
      </c>
      <c r="BL7" s="2853">
        <f t="shared" si="8"/>
        <v>-0.45357707374062972</v>
      </c>
      <c r="BM7" s="2853">
        <f t="shared" si="8"/>
        <v>-1.7259233690024134</v>
      </c>
      <c r="BN7" s="2853">
        <f t="shared" si="8"/>
        <v>-0.44959606603443003</v>
      </c>
      <c r="BO7" s="2853">
        <f t="shared" ref="BO7:BZ7" si="9">+BO46</f>
        <v>-0.93853644767482036</v>
      </c>
      <c r="BP7" s="2853">
        <f>+BP46</f>
        <v>-0.97592249608207116</v>
      </c>
      <c r="BQ7" s="2853">
        <f t="shared" si="9"/>
        <v>2.1581181210006406E-2</v>
      </c>
      <c r="BR7" s="2853">
        <f t="shared" si="9"/>
        <v>-0.6832566168009202</v>
      </c>
      <c r="BS7" s="2853">
        <f>+BS46</f>
        <v>-6.5174885943963812E-2</v>
      </c>
      <c r="BT7" s="2853">
        <f>+BT46</f>
        <v>0.34057971014493926</v>
      </c>
      <c r="BU7" s="2853">
        <f>+BU46</f>
        <v>0.12999205604102837</v>
      </c>
      <c r="BV7" s="2853">
        <f>+BV46</f>
        <v>0.34619545618463921</v>
      </c>
      <c r="BW7" s="2853">
        <f t="shared" si="9"/>
        <v>0.66125206641272083</v>
      </c>
      <c r="BX7" s="2853">
        <f t="shared" si="9"/>
        <v>0.1071046054980318</v>
      </c>
      <c r="BY7" s="2853">
        <f t="shared" si="9"/>
        <v>0.23537803138373725</v>
      </c>
      <c r="BZ7" s="2853">
        <f t="shared" si="9"/>
        <v>0.19924571265921287</v>
      </c>
      <c r="CA7" s="2853">
        <f t="shared" ref="CA7:CH7" si="10">+CA46</f>
        <v>0.19884951352888702</v>
      </c>
      <c r="CB7" s="2853">
        <f t="shared" si="10"/>
        <v>0.14884116521369783</v>
      </c>
      <c r="CC7" s="2853">
        <f t="shared" si="10"/>
        <v>0.26185421089879313</v>
      </c>
      <c r="CD7" s="2853">
        <f t="shared" si="10"/>
        <v>-0.21175972330063075</v>
      </c>
      <c r="CE7" s="2853">
        <f t="shared" si="10"/>
        <v>0.14854636768761864</v>
      </c>
      <c r="CF7" s="2853">
        <f t="shared" si="10"/>
        <v>0.10594716767906576</v>
      </c>
      <c r="CG7" s="2853">
        <f t="shared" si="10"/>
        <v>-1.4111338460465195E-2</v>
      </c>
      <c r="CH7" s="2853">
        <f t="shared" si="10"/>
        <v>0.35283325100559093</v>
      </c>
      <c r="CI7" s="2853">
        <f t="shared" ref="CI7:CP7" si="11">+CI46</f>
        <v>-0.30236973489908836</v>
      </c>
      <c r="CJ7" s="2853">
        <f t="shared" si="11"/>
        <v>0.23275497249257704</v>
      </c>
      <c r="CK7" s="2853">
        <f t="shared" si="11"/>
        <v>7.0368024769784654E-3</v>
      </c>
      <c r="CL7" s="2853">
        <f t="shared" si="11"/>
        <v>-0.11258091753447719</v>
      </c>
      <c r="CM7" s="2853">
        <f t="shared" si="11"/>
        <v>0.69033530571991353</v>
      </c>
      <c r="CN7" s="2853">
        <f t="shared" si="11"/>
        <v>0.23786204001678968</v>
      </c>
      <c r="CO7" s="2853">
        <f t="shared" si="11"/>
        <v>0.63512004466781402</v>
      </c>
      <c r="CP7" s="2853">
        <f t="shared" si="11"/>
        <v>0.58949996532353666</v>
      </c>
      <c r="CQ7" s="2853">
        <f t="shared" ref="CQ7:CX7" si="12">+CQ46</f>
        <v>8.9630446773303341E-2</v>
      </c>
      <c r="CR7" s="2853">
        <f t="shared" si="12"/>
        <v>0.22731969415168418</v>
      </c>
      <c r="CS7" s="2853">
        <f t="shared" si="12"/>
        <v>9.6219931271490644E-2</v>
      </c>
      <c r="CT7" s="2853">
        <f t="shared" si="12"/>
        <v>0.15105740181267091</v>
      </c>
      <c r="CU7" s="2853">
        <f t="shared" si="12"/>
        <v>0.5</v>
      </c>
      <c r="CV7" s="2853">
        <f t="shared" si="12"/>
        <v>0.6</v>
      </c>
      <c r="CW7" s="2853">
        <f t="shared" si="12"/>
        <v>0.6</v>
      </c>
      <c r="CX7" s="2853">
        <f t="shared" si="12"/>
        <v>0.6</v>
      </c>
      <c r="CY7" s="2853">
        <f t="shared" ref="CY7:DB7" si="13">+CY46</f>
        <v>0.3</v>
      </c>
      <c r="CZ7" s="2853">
        <f t="shared" si="13"/>
        <v>0.25</v>
      </c>
      <c r="DA7" s="2853">
        <f t="shared" si="13"/>
        <v>0.2</v>
      </c>
      <c r="DB7" s="2853">
        <f t="shared" si="13"/>
        <v>0.18</v>
      </c>
      <c r="DC7">
        <f ca="1">CP48</f>
        <v>1.2923826522888646</v>
      </c>
      <c r="DD7">
        <f>CT47</f>
        <v>1.1677817360326657</v>
      </c>
      <c r="DE7">
        <f ca="1">CT48</f>
        <v>1.1589392464896378</v>
      </c>
      <c r="DF7">
        <f>CX47</f>
        <v>1.6293445767539652</v>
      </c>
      <c r="DG7">
        <f ca="1">CX48</f>
        <v>1.6400000000000006</v>
      </c>
      <c r="DI7" s="3194">
        <v>1.093451057099287</v>
      </c>
      <c r="DJ7" s="3194">
        <v>1.093451057099287</v>
      </c>
      <c r="DK7" s="3194">
        <v>0.83154181785911874</v>
      </c>
      <c r="DL7" s="3194">
        <v>0.79999999999999716</v>
      </c>
      <c r="DM7" s="3194">
        <v>1.2803319009105678</v>
      </c>
      <c r="DN7" s="3194">
        <v>1.2999999999999829</v>
      </c>
    </row>
    <row r="8" spans="1:119">
      <c r="B8" s="665">
        <v>17</v>
      </c>
      <c r="C8" s="932"/>
      <c r="D8" s="674"/>
      <c r="E8" s="220" t="s">
        <v>1067</v>
      </c>
      <c r="F8" s="710"/>
      <c r="G8" s="2853"/>
      <c r="H8" s="2853">
        <f>+H86</f>
        <v>5.0036845983787881</v>
      </c>
      <c r="I8" s="2853">
        <f t="shared" ref="I8:BN8" si="14">+I86</f>
        <v>0.65969541722226133</v>
      </c>
      <c r="J8" s="2853">
        <f t="shared" si="14"/>
        <v>8.1572892700271673</v>
      </c>
      <c r="K8" s="2853">
        <f t="shared" si="14"/>
        <v>4.3382969122671478</v>
      </c>
      <c r="L8" s="2853">
        <f t="shared" si="14"/>
        <v>3.4041764487829029</v>
      </c>
      <c r="M8" s="2853">
        <f t="shared" si="14"/>
        <v>3.160662006333248</v>
      </c>
      <c r="N8" s="2853">
        <f t="shared" si="14"/>
        <v>9.359434727209571</v>
      </c>
      <c r="O8" s="2853">
        <f t="shared" si="14"/>
        <v>6.7471666137061792</v>
      </c>
      <c r="P8" s="2853">
        <f t="shared" si="14"/>
        <v>2.4905735264933559</v>
      </c>
      <c r="Q8" s="2853">
        <f t="shared" si="14"/>
        <v>8.0114241456094462</v>
      </c>
      <c r="R8" s="2853">
        <f t="shared" si="14"/>
        <v>4.8402276699681668</v>
      </c>
      <c r="S8" s="2853">
        <f t="shared" si="14"/>
        <v>8.0323173598939803</v>
      </c>
      <c r="T8" s="2853">
        <f t="shared" si="14"/>
        <v>5.729661285216836</v>
      </c>
      <c r="U8" s="2853">
        <f t="shared" si="14"/>
        <v>2.4625748502994149</v>
      </c>
      <c r="V8" s="2853">
        <f t="shared" si="14"/>
        <v>-5.2414347286142249</v>
      </c>
      <c r="W8" s="2853">
        <f t="shared" si="14"/>
        <v>-1.7654087807886576</v>
      </c>
      <c r="X8" s="2853">
        <f t="shared" si="14"/>
        <v>2.9821463606042764</v>
      </c>
      <c r="Y8" s="2853">
        <f t="shared" si="14"/>
        <v>-8.6797485235282963</v>
      </c>
      <c r="Z8" s="2853">
        <f t="shared" si="14"/>
        <v>-4.8733675470438387</v>
      </c>
      <c r="AA8" s="2853">
        <f t="shared" si="14"/>
        <v>-2.1711478573621656</v>
      </c>
      <c r="AB8" s="2853">
        <f t="shared" si="14"/>
        <v>-0.96395265423243615</v>
      </c>
      <c r="AC8" s="2853">
        <f t="shared" si="14"/>
        <v>3.3998822943546836</v>
      </c>
      <c r="AD8" s="2853">
        <f t="shared" si="14"/>
        <v>3.3143607705779177</v>
      </c>
      <c r="AE8" s="2853">
        <f t="shared" si="14"/>
        <v>4.4031020892486339</v>
      </c>
      <c r="AF8" s="2853">
        <f t="shared" si="14"/>
        <v>-2.5937652216268869</v>
      </c>
      <c r="AG8" s="2853">
        <f t="shared" si="14"/>
        <v>2.8503562945368266</v>
      </c>
      <c r="AH8" s="2853">
        <f t="shared" si="14"/>
        <v>21.109355374579629</v>
      </c>
      <c r="AI8" s="2853">
        <f t="shared" si="14"/>
        <v>-6.0185340068917075</v>
      </c>
      <c r="AJ8" s="2853">
        <f t="shared" si="14"/>
        <v>-1.5200056955716801</v>
      </c>
      <c r="AK8" s="2853">
        <f t="shared" si="14"/>
        <v>1.5579251762154467</v>
      </c>
      <c r="AL8" s="2853">
        <f t="shared" si="14"/>
        <v>7.1611617312072884</v>
      </c>
      <c r="AM8" s="2853">
        <f t="shared" si="14"/>
        <v>-0.43842168194501152</v>
      </c>
      <c r="AN8" s="2853">
        <f t="shared" si="14"/>
        <v>6.4518281291700008</v>
      </c>
      <c r="AO8" s="2853">
        <f t="shared" si="14"/>
        <v>2.8611720463804557</v>
      </c>
      <c r="AP8" s="2853">
        <f t="shared" si="14"/>
        <v>2.6810468269201637</v>
      </c>
      <c r="AQ8" s="2853">
        <f t="shared" si="14"/>
        <v>4.2755837759249848</v>
      </c>
      <c r="AR8" s="2853">
        <f t="shared" si="14"/>
        <v>4.7917140905986866</v>
      </c>
      <c r="AS8" s="2853">
        <f t="shared" si="14"/>
        <v>1.7486694906049927</v>
      </c>
      <c r="AT8" s="2853">
        <f t="shared" si="14"/>
        <v>0.14143894107601085</v>
      </c>
      <c r="AU8" s="2853">
        <f t="shared" si="14"/>
        <v>17.777055296469001</v>
      </c>
      <c r="AV8" s="2853">
        <f t="shared" si="14"/>
        <v>0.77343750000000711</v>
      </c>
      <c r="AW8" s="2853">
        <f t="shared" si="14"/>
        <v>9.1945112024187878</v>
      </c>
      <c r="AX8" s="2853">
        <f t="shared" si="14"/>
        <v>3.067092651757175</v>
      </c>
      <c r="AY8" s="2853">
        <f t="shared" si="14"/>
        <v>1.8185575532134735</v>
      </c>
      <c r="AZ8" s="2853">
        <f t="shared" si="14"/>
        <v>5.7912184561261126</v>
      </c>
      <c r="BA8" s="2853">
        <f t="shared" si="14"/>
        <v>5.1480463004412558</v>
      </c>
      <c r="BB8" s="2853">
        <f t="shared" si="14"/>
        <v>9.9257997810485286</v>
      </c>
      <c r="BC8" s="2853">
        <f t="shared" si="14"/>
        <v>4.0112869315038102</v>
      </c>
      <c r="BD8" s="2853">
        <f t="shared" si="14"/>
        <v>6.7663173573062174</v>
      </c>
      <c r="BE8" s="2853">
        <f t="shared" si="14"/>
        <v>9.4663943002348816E-2</v>
      </c>
      <c r="BF8" s="2853">
        <f t="shared" si="14"/>
        <v>1.9014435042309819</v>
      </c>
      <c r="BG8" s="2853">
        <f t="shared" si="14"/>
        <v>-0.90367330988667671</v>
      </c>
      <c r="BH8" s="2853">
        <f t="shared" si="14"/>
        <v>-0.82318726277912369</v>
      </c>
      <c r="BI8" s="2853">
        <f t="shared" si="14"/>
        <v>-6.2574552683896663</v>
      </c>
      <c r="BJ8" s="2853">
        <f t="shared" si="14"/>
        <v>-8.6845872435183722</v>
      </c>
      <c r="BK8" s="2853">
        <f t="shared" si="14"/>
        <v>-22.051907333217201</v>
      </c>
      <c r="BL8" s="2853">
        <f t="shared" si="14"/>
        <v>-12.931098696461818</v>
      </c>
      <c r="BM8" s="2853">
        <f t="shared" si="14"/>
        <v>-9.0255796047566061</v>
      </c>
      <c r="BN8" s="2853">
        <f t="shared" si="14"/>
        <v>0.94978371261986716</v>
      </c>
      <c r="BO8" s="2853">
        <f t="shared" ref="BO8:BV8" si="15">+BO86</f>
        <v>-2.8132277596646493</v>
      </c>
      <c r="BP8" s="2853">
        <f t="shared" si="15"/>
        <v>6.8820090098725251</v>
      </c>
      <c r="BQ8" s="2853">
        <f t="shared" si="15"/>
        <v>12.088601919110387</v>
      </c>
      <c r="BR8" s="2853">
        <f t="shared" si="15"/>
        <v>3.6482918633490735</v>
      </c>
      <c r="BS8" s="2853">
        <f t="shared" si="15"/>
        <v>6.5766113469702736</v>
      </c>
      <c r="BT8" s="2853">
        <f t="shared" si="15"/>
        <v>1.6151227638154575</v>
      </c>
      <c r="BU8" s="2853">
        <f t="shared" si="15"/>
        <v>2.9151817533856095</v>
      </c>
      <c r="BV8" s="2853">
        <f t="shared" si="15"/>
        <v>0.54020361520878968</v>
      </c>
      <c r="BW8" s="2853">
        <f t="shared" ref="BW8:CD8" si="16">+BW86</f>
        <v>-1.467245298615405</v>
      </c>
      <c r="BX8" s="2853">
        <f t="shared" si="16"/>
        <v>-3.4955257270693485</v>
      </c>
      <c r="BY8" s="2853">
        <f t="shared" si="16"/>
        <v>1.2894813097652946</v>
      </c>
      <c r="BZ8" s="2853">
        <f t="shared" si="16"/>
        <v>-1.4375625804606051</v>
      </c>
      <c r="CA8" s="2853">
        <f t="shared" si="16"/>
        <v>4.0635657789710455</v>
      </c>
      <c r="CB8" s="2853">
        <f t="shared" si="16"/>
        <v>3.082072379889822</v>
      </c>
      <c r="CC8" s="2853">
        <f t="shared" si="16"/>
        <v>5.8039640127172998</v>
      </c>
      <c r="CD8" s="2853">
        <f t="shared" si="16"/>
        <v>3.1967265520127519E-2</v>
      </c>
      <c r="CE8" s="2853">
        <f t="shared" ref="CE8:CL8" si="17">+CE86</f>
        <v>1.2846733989518189</v>
      </c>
      <c r="CF8" s="2853">
        <f t="shared" si="17"/>
        <v>7.5724111819286399E-2</v>
      </c>
      <c r="CG8" s="2853">
        <f t="shared" si="17"/>
        <v>0.59272337473987857</v>
      </c>
      <c r="CH8" s="2853">
        <f t="shared" si="17"/>
        <v>0.90265153889552696</v>
      </c>
      <c r="CI8" s="2853">
        <f t="shared" si="17"/>
        <v>5.1438156178169603</v>
      </c>
      <c r="CJ8" s="2853">
        <f t="shared" si="17"/>
        <v>1.9852289512555465</v>
      </c>
      <c r="CK8" s="2853">
        <f t="shared" si="17"/>
        <v>-2.659173860147146</v>
      </c>
      <c r="CL8" s="2853">
        <f t="shared" si="17"/>
        <v>-4.9101297464587574</v>
      </c>
      <c r="CM8" s="2853">
        <f t="shared" ref="CM8:CT8" si="18">+CM86</f>
        <v>3.9306503098203605</v>
      </c>
      <c r="CN8" s="2853">
        <f t="shared" si="18"/>
        <v>1.4935260463715627</v>
      </c>
      <c r="CO8" s="2853">
        <f t="shared" si="18"/>
        <v>-3.5186613659289212</v>
      </c>
      <c r="CP8" s="2853">
        <f t="shared" si="18"/>
        <v>5.5965559655596575</v>
      </c>
      <c r="CQ8" s="2853">
        <f t="shared" si="18"/>
        <v>-0.68142108328480555</v>
      </c>
      <c r="CR8" s="2853">
        <f t="shared" si="18"/>
        <v>2.738521081334655</v>
      </c>
      <c r="CS8" s="2853">
        <f t="shared" si="18"/>
        <v>1.2557077625570789</v>
      </c>
      <c r="CT8" s="2853">
        <f t="shared" si="18"/>
        <v>7.5479143179256081</v>
      </c>
      <c r="CU8" s="2853">
        <f t="shared" ref="CU8:DB8" si="19">+CU86</f>
        <v>-1.5</v>
      </c>
      <c r="CV8" s="2853">
        <f t="shared" si="19"/>
        <v>0.8</v>
      </c>
      <c r="CW8" s="2853">
        <f t="shared" si="19"/>
        <v>1</v>
      </c>
      <c r="CX8" s="2853">
        <f t="shared" si="19"/>
        <v>1.1499999999999999</v>
      </c>
      <c r="CY8" s="2853">
        <f t="shared" si="19"/>
        <v>1.03</v>
      </c>
      <c r="CZ8" s="2853">
        <f t="shared" si="19"/>
        <v>1</v>
      </c>
      <c r="DA8" s="2853">
        <f t="shared" si="19"/>
        <v>1</v>
      </c>
      <c r="DB8" s="2853">
        <f t="shared" si="19"/>
        <v>1</v>
      </c>
      <c r="DC8">
        <f ca="1">CP89</f>
        <v>-0.47086618171282169</v>
      </c>
      <c r="DD8">
        <f>CT88</f>
        <v>6.7336443009209432</v>
      </c>
      <c r="DE8">
        <f ca="1">CT89</f>
        <v>7.3037703461852317</v>
      </c>
      <c r="DF8">
        <f>CX88</f>
        <v>6.7643090052033727</v>
      </c>
      <c r="DG8">
        <f ca="1">CX89</f>
        <v>6.7620842369476577</v>
      </c>
      <c r="DI8" s="3194">
        <v>6.8917275722953519</v>
      </c>
      <c r="DJ8" s="3194">
        <v>6.9034219476379093</v>
      </c>
      <c r="DK8" s="3194">
        <v>4.1542311058883001</v>
      </c>
      <c r="DL8" s="3194">
        <v>4.1464367913572886</v>
      </c>
      <c r="DM8" s="3194">
        <v>3.097003462457451</v>
      </c>
      <c r="DN8" s="3194">
        <v>3.0880734052364005</v>
      </c>
    </row>
    <row r="9" spans="1:119">
      <c r="B9" s="665">
        <v>18</v>
      </c>
      <c r="C9" s="932"/>
      <c r="D9" s="717"/>
      <c r="E9" s="718" t="s">
        <v>2107</v>
      </c>
      <c r="F9" s="924"/>
      <c r="G9" s="2854"/>
      <c r="H9" s="2854">
        <f t="shared" ref="H9:BD9" si="20">+H110</f>
        <v>2.1188213800916733</v>
      </c>
      <c r="I9" s="2854">
        <f t="shared" si="20"/>
        <v>1.4601968917095531</v>
      </c>
      <c r="J9" s="2854">
        <f t="shared" si="20"/>
        <v>2.3336222861421119</v>
      </c>
      <c r="K9" s="2854">
        <f t="shared" si="20"/>
        <v>0.94238821774077497</v>
      </c>
      <c r="L9" s="2854">
        <f t="shared" si="20"/>
        <v>1.2559124198962657</v>
      </c>
      <c r="M9" s="2854">
        <f t="shared" si="20"/>
        <v>0.97663423776381819</v>
      </c>
      <c r="N9" s="2854">
        <f t="shared" si="20"/>
        <v>3.0992930291555476</v>
      </c>
      <c r="O9" s="2854">
        <f t="shared" si="20"/>
        <v>2.3403081209686816</v>
      </c>
      <c r="P9" s="2854">
        <f t="shared" si="20"/>
        <v>1.028039035428896</v>
      </c>
      <c r="Q9" s="2854">
        <f t="shared" si="20"/>
        <v>2.8462433612445492</v>
      </c>
      <c r="R9" s="2854">
        <f t="shared" si="20"/>
        <v>1.7695501259102908</v>
      </c>
      <c r="S9" s="2854">
        <f t="shared" si="20"/>
        <v>3.2376446198087327</v>
      </c>
      <c r="T9" s="2854">
        <f t="shared" si="20"/>
        <v>0.74090868604095306</v>
      </c>
      <c r="U9" s="2854">
        <f t="shared" si="20"/>
        <v>2.2079863678744927</v>
      </c>
      <c r="V9" s="2854">
        <f t="shared" si="20"/>
        <v>-0.63070643839602258</v>
      </c>
      <c r="W9" s="2854">
        <f t="shared" si="20"/>
        <v>-1.585191164715849</v>
      </c>
      <c r="X9" s="2854">
        <f t="shared" si="20"/>
        <v>2.9584894735995571</v>
      </c>
      <c r="Y9" s="2854">
        <f t="shared" si="20"/>
        <v>-1.585528730874064</v>
      </c>
      <c r="Z9" s="2854">
        <f t="shared" si="20"/>
        <v>-1.0737839575248098</v>
      </c>
      <c r="AA9" s="2854">
        <f t="shared" si="20"/>
        <v>1.2073806658644326</v>
      </c>
      <c r="AB9" s="2854">
        <f t="shared" si="20"/>
        <v>1.4458404343862474</v>
      </c>
      <c r="AC9" s="2854">
        <f t="shared" si="20"/>
        <v>1.2080106892537357</v>
      </c>
      <c r="AD9" s="2854">
        <f t="shared" si="20"/>
        <v>1.3549507817023576</v>
      </c>
      <c r="AE9" s="2854">
        <f t="shared" si="20"/>
        <v>2.1884521633150467</v>
      </c>
      <c r="AF9" s="2854">
        <f t="shared" si="20"/>
        <v>-1.2962811118648165</v>
      </c>
      <c r="AG9" s="2854">
        <f t="shared" si="20"/>
        <v>1.5617683930702064</v>
      </c>
      <c r="AH9" s="2854">
        <f t="shared" si="20"/>
        <v>5.1077467616484018</v>
      </c>
      <c r="AI9" s="2854">
        <f t="shared" si="20"/>
        <v>0.22567933725265998</v>
      </c>
      <c r="AJ9" s="2854">
        <f t="shared" si="20"/>
        <v>0.31058092750759769</v>
      </c>
      <c r="AK9" s="2854">
        <f t="shared" si="20"/>
        <v>1.487580043628145</v>
      </c>
      <c r="AL9" s="2854">
        <f t="shared" si="20"/>
        <v>2.5085977368538126</v>
      </c>
      <c r="AM9" s="2854">
        <f t="shared" si="20"/>
        <v>3.1736583650112893</v>
      </c>
      <c r="AN9" s="2854">
        <f t="shared" si="20"/>
        <v>2.7502065113351737</v>
      </c>
      <c r="AO9" s="2854">
        <f t="shared" si="20"/>
        <v>1.3175608853498666</v>
      </c>
      <c r="AP9" s="2854">
        <f t="shared" si="20"/>
        <v>3.4138569467360602</v>
      </c>
      <c r="AQ9" s="2854">
        <f t="shared" si="20"/>
        <v>2.2360929269555019</v>
      </c>
      <c r="AR9" s="2854">
        <f t="shared" si="20"/>
        <v>3.5243943843180192</v>
      </c>
      <c r="AS9" s="2854">
        <f t="shared" si="20"/>
        <v>2.4527628823272307</v>
      </c>
      <c r="AT9" s="2854">
        <f t="shared" si="20"/>
        <v>0.96199745039788898</v>
      </c>
      <c r="AU9" s="2854">
        <f t="shared" si="20"/>
        <v>31.263248859717429</v>
      </c>
      <c r="AV9" s="2854">
        <f t="shared" si="20"/>
        <v>3.4822813332162861</v>
      </c>
      <c r="AW9" s="2854">
        <f t="shared" si="20"/>
        <v>2.699148827870923</v>
      </c>
      <c r="AX9" s="2854">
        <f t="shared" si="20"/>
        <v>3.0990569284780056</v>
      </c>
      <c r="AY9" s="2854">
        <f t="shared" si="20"/>
        <v>-1.4154848703362477</v>
      </c>
      <c r="AZ9" s="2854">
        <f t="shared" si="20"/>
        <v>4.2220897786687583</v>
      </c>
      <c r="BA9" s="2854">
        <f t="shared" si="20"/>
        <v>5.1271720624358474</v>
      </c>
      <c r="BB9" s="2854">
        <f t="shared" si="20"/>
        <v>2.3538720205716679</v>
      </c>
      <c r="BC9" s="2854">
        <f t="shared" si="20"/>
        <v>3.0993332689148501</v>
      </c>
      <c r="BD9" s="2854">
        <f t="shared" si="20"/>
        <v>3.4935214039691687</v>
      </c>
      <c r="BE9" s="2854">
        <f t="shared" ref="BE9:BN9" si="21">+BE110</f>
        <v>-1.245189042335948E-2</v>
      </c>
      <c r="BF9" s="2854">
        <f t="shared" si="21"/>
        <v>4.0111401691403703</v>
      </c>
      <c r="BG9" s="2854">
        <f t="shared" si="21"/>
        <v>3.5919540229878422E-2</v>
      </c>
      <c r="BH9" s="2854">
        <f t="shared" si="21"/>
        <v>-0.40258963059681685</v>
      </c>
      <c r="BI9" s="2854">
        <f t="shared" si="21"/>
        <v>-2.4482438411536522</v>
      </c>
      <c r="BJ9" s="2854">
        <f t="shared" si="21"/>
        <v>-3.3115326897663944</v>
      </c>
      <c r="BK9" s="2854">
        <f t="shared" si="21"/>
        <v>-11.826910826181114</v>
      </c>
      <c r="BL9" s="2854">
        <f t="shared" si="21"/>
        <v>-3.4850116911436468</v>
      </c>
      <c r="BM9" s="2854">
        <f t="shared" si="21"/>
        <v>-3.3155036544036287</v>
      </c>
      <c r="BN9" s="2854">
        <f t="shared" si="21"/>
        <v>-2.7520869406084114</v>
      </c>
      <c r="BO9" s="2854">
        <f t="shared" ref="BO9:BZ9" si="22">+BO110</f>
        <v>-0.20121015604644965</v>
      </c>
      <c r="BP9" s="2854">
        <f t="shared" si="22"/>
        <v>0.40468212871502818</v>
      </c>
      <c r="BQ9" s="2854">
        <f t="shared" si="22"/>
        <v>3.6390164976452422</v>
      </c>
      <c r="BR9" s="2854">
        <f t="shared" si="22"/>
        <v>0.79034303954501617</v>
      </c>
      <c r="BS9" s="2854">
        <f>+BS110</f>
        <v>1.9472257564861373</v>
      </c>
      <c r="BT9" s="2854">
        <f>+BT110</f>
        <v>1.1924141299039626</v>
      </c>
      <c r="BU9" s="2854">
        <f>+BU110</f>
        <v>1.3392318520007995</v>
      </c>
      <c r="BV9" s="2854">
        <f>+BV110</f>
        <v>0.96965367621770771</v>
      </c>
      <c r="BW9" s="2854">
        <f t="shared" si="22"/>
        <v>-0.31443656897296446</v>
      </c>
      <c r="BX9" s="2854">
        <f t="shared" si="22"/>
        <v>-0.50731399582057968</v>
      </c>
      <c r="BY9" s="2854">
        <f t="shared" si="22"/>
        <v>0.65785128333839538</v>
      </c>
      <c r="BZ9" s="2854">
        <f t="shared" si="22"/>
        <v>0.79266132101472042</v>
      </c>
      <c r="CA9" s="2854">
        <f t="shared" ref="CA9:CH9" si="23">+CA110</f>
        <v>1.9361222868898187</v>
      </c>
      <c r="CB9" s="2854">
        <f t="shared" si="23"/>
        <v>0.9618086601098419</v>
      </c>
      <c r="CC9" s="2854">
        <f t="shared" si="23"/>
        <v>2.0166238629606426</v>
      </c>
      <c r="CD9" s="2854">
        <f t="shared" si="23"/>
        <v>0.64238500936297793</v>
      </c>
      <c r="CE9" s="2854">
        <f t="shared" si="23"/>
        <v>1.1410264309038132</v>
      </c>
      <c r="CF9" s="2854">
        <f t="shared" si="23"/>
        <v>0.25949976242980455</v>
      </c>
      <c r="CG9" s="2854">
        <f t="shared" si="23"/>
        <v>0.31107978710478434</v>
      </c>
      <c r="CH9" s="2854">
        <f t="shared" si="23"/>
        <v>1.1980617807389571</v>
      </c>
      <c r="CI9" s="2854">
        <f t="shared" ref="CI9:CP9" si="24">+CI110</f>
        <v>1.7033960186260133</v>
      </c>
      <c r="CJ9" s="2854">
        <f t="shared" si="24"/>
        <v>0.60968432946493234</v>
      </c>
      <c r="CK9" s="2854">
        <f t="shared" si="24"/>
        <v>0.78380907814694645</v>
      </c>
      <c r="CL9" s="2854">
        <f t="shared" si="24"/>
        <v>-0.68136970400464181</v>
      </c>
      <c r="CM9" s="2854">
        <f t="shared" si="24"/>
        <v>1.0062760772763912</v>
      </c>
      <c r="CN9" s="2854">
        <f t="shared" si="24"/>
        <v>1.9948162547440473</v>
      </c>
      <c r="CO9" s="2854">
        <f t="shared" si="24"/>
        <v>0.33806779507192797</v>
      </c>
      <c r="CP9" s="2854">
        <f t="shared" si="24"/>
        <v>1.7547430070325332</v>
      </c>
      <c r="CQ9" s="2854">
        <f t="shared" ref="CQ9:CX9" si="25">+CQ110</f>
        <v>0.34778550634460004</v>
      </c>
      <c r="CR9" s="2854">
        <f t="shared" si="25"/>
        <v>1.3021669564062144</v>
      </c>
      <c r="CS9" s="2854">
        <f t="shared" si="25"/>
        <v>0.24156437526641206</v>
      </c>
      <c r="CT9" s="2854">
        <f t="shared" si="25"/>
        <v>2.6224538753434778</v>
      </c>
      <c r="CU9" s="2854">
        <f t="shared" si="25"/>
        <v>0.25512415925536319</v>
      </c>
      <c r="CV9" s="2854">
        <f t="shared" si="25"/>
        <v>0.73665440050966002</v>
      </c>
      <c r="CW9" s="2854">
        <f t="shared" si="25"/>
        <v>0.77655240047236962</v>
      </c>
      <c r="CX9" s="2854">
        <f t="shared" si="25"/>
        <v>0.80666502587561029</v>
      </c>
      <c r="CY9" s="2854">
        <f t="shared" ref="CY9:DB9" si="26">+CY110</f>
        <v>0.79461665962858952</v>
      </c>
      <c r="CZ9" s="2854">
        <f t="shared" si="26"/>
        <v>0.7813982376775449</v>
      </c>
      <c r="DA9" s="2854">
        <f t="shared" si="26"/>
        <v>0.77429678563838522</v>
      </c>
      <c r="DB9" s="2854">
        <f t="shared" si="26"/>
        <v>0.77188451507112787</v>
      </c>
      <c r="DC9" s="3194">
        <f ca="1">CP112</f>
        <v>3.2424898204958907</v>
      </c>
      <c r="DD9" s="3194">
        <f>CT111</f>
        <v>4.1366396990504768</v>
      </c>
      <c r="DE9" s="3194">
        <f ca="1">CT112</f>
        <v>4.0669508577439757</v>
      </c>
      <c r="DF9" s="3194">
        <f>CX111</f>
        <v>3.8429626096597218</v>
      </c>
      <c r="DG9" s="3194">
        <f ca="1">CX112</f>
        <v>3.8087055954553648</v>
      </c>
      <c r="DI9" s="3194">
        <v>2.549773903161153</v>
      </c>
      <c r="DJ9" s="3194">
        <v>2.4909518575748848</v>
      </c>
      <c r="DK9" s="3194">
        <v>2.1583679105995515</v>
      </c>
      <c r="DL9" s="3194">
        <v>2.1237521971876276</v>
      </c>
      <c r="DM9" s="3194">
        <v>2.086738302286804</v>
      </c>
      <c r="DN9" s="3194">
        <v>2.0780778192292786</v>
      </c>
    </row>
    <row r="10" spans="1:119">
      <c r="B10" s="665">
        <v>19</v>
      </c>
      <c r="C10" s="932"/>
      <c r="D10" s="806"/>
      <c r="E10" s="334" t="s">
        <v>2108</v>
      </c>
      <c r="F10" s="187"/>
      <c r="G10" s="2856"/>
      <c r="H10" s="2856">
        <f t="shared" ref="H10:BD10" si="27">+H134</f>
        <v>-2.9461950869824225</v>
      </c>
      <c r="I10" s="2856">
        <f t="shared" si="27"/>
        <v>-2.4165219848992612</v>
      </c>
      <c r="J10" s="2856">
        <f t="shared" si="27"/>
        <v>-3.757849390285978</v>
      </c>
      <c r="K10" s="2856">
        <f t="shared" si="27"/>
        <v>-3.7643064133711919</v>
      </c>
      <c r="L10" s="2856">
        <f t="shared" si="27"/>
        <v>-3.0829365779110098</v>
      </c>
      <c r="M10" s="2856">
        <f t="shared" si="27"/>
        <v>-1.2630542431616096</v>
      </c>
      <c r="N10" s="2856">
        <f t="shared" si="27"/>
        <v>-1.6756309474555253</v>
      </c>
      <c r="O10" s="2856">
        <f t="shared" si="27"/>
        <v>-0.36240615441653473</v>
      </c>
      <c r="P10" s="2856">
        <f t="shared" si="27"/>
        <v>-1.0777797736665477E-2</v>
      </c>
      <c r="Q10" s="2856">
        <f t="shared" si="27"/>
        <v>-1.9391306623400433</v>
      </c>
      <c r="R10" s="2856">
        <f t="shared" si="27"/>
        <v>1.0510549064920598</v>
      </c>
      <c r="S10" s="2856">
        <f t="shared" si="27"/>
        <v>-0.78654983019579794</v>
      </c>
      <c r="T10" s="2856">
        <f t="shared" si="27"/>
        <v>-6.5112215546158606E-2</v>
      </c>
      <c r="U10" s="2856">
        <f t="shared" si="27"/>
        <v>0.48919124192507424</v>
      </c>
      <c r="V10" s="2856">
        <f t="shared" si="27"/>
        <v>-2.0456995394113613</v>
      </c>
      <c r="W10" s="2856">
        <f t="shared" si="27"/>
        <v>-1.6466159803003022</v>
      </c>
      <c r="X10" s="2856">
        <f t="shared" si="27"/>
        <v>-1.7231694422416071</v>
      </c>
      <c r="Y10" s="2856">
        <f t="shared" si="27"/>
        <v>-1.7356710617976083</v>
      </c>
      <c r="Z10" s="2856">
        <f t="shared" si="27"/>
        <v>-0.8213070515076859</v>
      </c>
      <c r="AA10" s="2856">
        <f t="shared" si="27"/>
        <v>-1.2082683947174169</v>
      </c>
      <c r="AB10" s="2856">
        <f t="shared" si="27"/>
        <v>-1.3251849990679121</v>
      </c>
      <c r="AC10" s="2856">
        <f t="shared" si="27"/>
        <v>-2.0669684995280555</v>
      </c>
      <c r="AD10" s="2856">
        <f t="shared" si="27"/>
        <v>-2.3812896422556933</v>
      </c>
      <c r="AE10" s="2856">
        <f t="shared" si="27"/>
        <v>-1.9996173713411096</v>
      </c>
      <c r="AF10" s="2856">
        <f t="shared" si="27"/>
        <v>-1.2855852130901473</v>
      </c>
      <c r="AG10" s="2856">
        <f t="shared" si="27"/>
        <v>-0.8979995356466135</v>
      </c>
      <c r="AH10" s="2856">
        <f t="shared" si="27"/>
        <v>-0.64734151104869353</v>
      </c>
      <c r="AI10" s="2856">
        <f t="shared" si="27"/>
        <v>-0.73750182189184998</v>
      </c>
      <c r="AJ10" s="2856">
        <f t="shared" si="27"/>
        <v>0.80117203258476977</v>
      </c>
      <c r="AK10" s="2856">
        <f t="shared" si="27"/>
        <v>0.50720043474323073</v>
      </c>
      <c r="AL10" s="2856">
        <f t="shared" si="27"/>
        <v>-1.0894337964742746</v>
      </c>
      <c r="AM10" s="2856">
        <f t="shared" si="27"/>
        <v>-1.0372282626591227</v>
      </c>
      <c r="AN10" s="2856">
        <f t="shared" si="27"/>
        <v>-0.40600050587922354</v>
      </c>
      <c r="AO10" s="2856">
        <f t="shared" si="27"/>
        <v>1.0374308589902257</v>
      </c>
      <c r="AP10" s="2856">
        <f t="shared" si="27"/>
        <v>1.2660349944739011</v>
      </c>
      <c r="AQ10" s="2856">
        <f t="shared" si="27"/>
        <v>2.9556017612524421</v>
      </c>
      <c r="AR10" s="2856">
        <f t="shared" si="27"/>
        <v>1.9752062639337042</v>
      </c>
      <c r="AS10" s="2856">
        <f t="shared" si="27"/>
        <v>1.2047905618780934</v>
      </c>
      <c r="AT10" s="2856">
        <f t="shared" si="27"/>
        <v>2.1677870676482067</v>
      </c>
      <c r="AU10" s="2856">
        <f t="shared" si="27"/>
        <v>-1.2538207223504476</v>
      </c>
      <c r="AV10" s="2856">
        <f t="shared" si="27"/>
        <v>0.69349407224024584</v>
      </c>
      <c r="AW10" s="2856">
        <f t="shared" si="27"/>
        <v>-1.863808925955819</v>
      </c>
      <c r="AX10" s="2856">
        <f t="shared" si="27"/>
        <v>0.20892992811641573</v>
      </c>
      <c r="AY10" s="2856">
        <f t="shared" si="27"/>
        <v>-7.8636959370902329E-2</v>
      </c>
      <c r="AZ10" s="2856">
        <f t="shared" si="27"/>
        <v>-3.7246145969622857</v>
      </c>
      <c r="BA10" s="2856">
        <f t="shared" si="27"/>
        <v>-2.6558939878947152</v>
      </c>
      <c r="BB10" s="2856">
        <f t="shared" si="27"/>
        <v>-1.1552140743355162</v>
      </c>
      <c r="BC10" s="2856">
        <f t="shared" si="27"/>
        <v>-1.973987639516652</v>
      </c>
      <c r="BD10" s="2856">
        <f t="shared" si="27"/>
        <v>-0.26521120805626858</v>
      </c>
      <c r="BE10" s="2856">
        <f t="shared" ref="BE10:BN10" si="28">+BE134</f>
        <v>-0.41303235628096069</v>
      </c>
      <c r="BF10" s="2856">
        <f t="shared" si="28"/>
        <v>0.16547565056445301</v>
      </c>
      <c r="BG10" s="2856">
        <f t="shared" si="28"/>
        <v>0.9719382098598125</v>
      </c>
      <c r="BH10" s="2856">
        <f t="shared" si="28"/>
        <v>0.72425711738339438</v>
      </c>
      <c r="BI10" s="2856">
        <f t="shared" si="28"/>
        <v>2.065738134044552</v>
      </c>
      <c r="BJ10" s="2856">
        <f t="shared" si="28"/>
        <v>0.8284910965323331</v>
      </c>
      <c r="BK10" s="2856">
        <f t="shared" si="28"/>
        <v>-7.6148702092471421</v>
      </c>
      <c r="BL10" s="2856">
        <f t="shared" si="28"/>
        <v>-3.687553598162765</v>
      </c>
      <c r="BM10" s="2856">
        <f t="shared" si="28"/>
        <v>-0.78030171666377823</v>
      </c>
      <c r="BN10" s="2856">
        <f t="shared" si="28"/>
        <v>-2.518529390181258</v>
      </c>
      <c r="BO10" s="2856">
        <f t="shared" ref="BO10:BZ10" si="29">+BO134</f>
        <v>0.75721241188867294</v>
      </c>
      <c r="BP10" s="2856">
        <f t="shared" si="29"/>
        <v>2.3386128423580557</v>
      </c>
      <c r="BQ10" s="2856">
        <f t="shared" si="29"/>
        <v>-0.53355839102821101</v>
      </c>
      <c r="BR10" s="2856">
        <f t="shared" si="29"/>
        <v>2.3407076558029178</v>
      </c>
      <c r="BS10" s="2856">
        <f>+BS134</f>
        <v>2.8654001561451339</v>
      </c>
      <c r="BT10" s="2856">
        <f>+BT134</f>
        <v>1.1055533833978239</v>
      </c>
      <c r="BU10" s="2856">
        <f>+BU134</f>
        <v>-0.3688601550553961</v>
      </c>
      <c r="BV10" s="2856">
        <f>+BV134</f>
        <v>3.8424846300612991E-2</v>
      </c>
      <c r="BW10" s="2856">
        <f t="shared" si="29"/>
        <v>-0.45919844214626049</v>
      </c>
      <c r="BX10" s="2856">
        <f t="shared" si="29"/>
        <v>-3.0061357753806961</v>
      </c>
      <c r="BY10" s="2856">
        <f t="shared" si="29"/>
        <v>1.0728293470737529</v>
      </c>
      <c r="BZ10" s="2856">
        <f t="shared" si="29"/>
        <v>-1.8641063892182719</v>
      </c>
      <c r="CA10" s="2856">
        <f t="shared" ref="CA10:CG10" si="30">+CA134</f>
        <v>-3.188538565284881</v>
      </c>
      <c r="CB10" s="2856">
        <f t="shared" si="30"/>
        <v>-2.8420481912519371</v>
      </c>
      <c r="CC10" s="2856">
        <f t="shared" si="30"/>
        <v>-1.9992535456581215</v>
      </c>
      <c r="CD10" s="2856">
        <f t="shared" si="30"/>
        <v>-1.6967335413147207</v>
      </c>
      <c r="CE10" s="2856">
        <f t="shared" si="30"/>
        <v>-2.8405422853453843</v>
      </c>
      <c r="CF10" s="2856">
        <f t="shared" si="30"/>
        <v>-3.1145636706838982</v>
      </c>
      <c r="CG10" s="2856">
        <f t="shared" si="30"/>
        <v>-3.1031320882196813</v>
      </c>
      <c r="CH10" s="2856">
        <f>+CH134</f>
        <v>-1.7296789802477164</v>
      </c>
      <c r="CI10" s="2856">
        <f t="shared" ref="CI10:CP10" si="31">+CI134</f>
        <v>0.19287673858612858</v>
      </c>
      <c r="CJ10" s="2856">
        <f t="shared" si="31"/>
        <v>1.5310788820392227</v>
      </c>
      <c r="CK10" s="2856">
        <f t="shared" si="31"/>
        <v>-0.29240455585162778</v>
      </c>
      <c r="CL10" s="2856">
        <f t="shared" si="31"/>
        <v>0.30376885309596924</v>
      </c>
      <c r="CM10" s="2856">
        <f t="shared" si="31"/>
        <v>-1.7061522394714927</v>
      </c>
      <c r="CN10" s="2856">
        <f t="shared" si="31"/>
        <v>0.15624635619505248</v>
      </c>
      <c r="CO10" s="2856">
        <f t="shared" si="31"/>
        <v>7.1553873141908017E-2</v>
      </c>
      <c r="CP10" s="2856">
        <f t="shared" si="31"/>
        <v>-0.21673910315640582</v>
      </c>
      <c r="CQ10" s="2856">
        <f t="shared" ref="CQ10:CX10" si="32">+CQ134</f>
        <v>-3.4982790723917051E-2</v>
      </c>
      <c r="CR10" s="2856">
        <f t="shared" si="32"/>
        <v>-1.8397552968594193</v>
      </c>
      <c r="CS10" s="2856">
        <f t="shared" si="32"/>
        <v>-9.1375083574772059E-2</v>
      </c>
      <c r="CT10" s="2856">
        <f t="shared" si="32"/>
        <v>-1.8988037646230984</v>
      </c>
      <c r="CU10" s="2856">
        <f t="shared" si="32"/>
        <v>-1.1408173679182696</v>
      </c>
      <c r="CV10" s="2856">
        <f t="shared" si="32"/>
        <v>-0.87782655901667106</v>
      </c>
      <c r="CW10" s="2856">
        <f t="shared" si="32"/>
        <v>-0.78985290792442342</v>
      </c>
      <c r="CX10" s="2856">
        <f t="shared" si="32"/>
        <v>-1.0063826224170245</v>
      </c>
      <c r="CY10" s="2856">
        <f t="shared" ref="CY10:DB10" si="33">+CY134</f>
        <v>-0.99440241878043356</v>
      </c>
      <c r="CZ10" s="2856">
        <f t="shared" si="33"/>
        <v>-0.83737945049919571</v>
      </c>
      <c r="DA10" s="2856">
        <f t="shared" si="33"/>
        <v>-0.66858942834525592</v>
      </c>
      <c r="DB10" s="2856">
        <f t="shared" si="33"/>
        <v>-0.51741238415788593</v>
      </c>
      <c r="DC10">
        <f ca="1">CP131</f>
        <v>-79.899693368936425</v>
      </c>
      <c r="DD10">
        <f>CT130</f>
        <v>140.46961325966865</v>
      </c>
      <c r="DE10">
        <f ca="1">CT131</f>
        <v>44.071958320386159</v>
      </c>
      <c r="DF10">
        <f>CX130</f>
        <v>1.2330226435882707</v>
      </c>
      <c r="DG10">
        <f ca="1">CX131</f>
        <v>0</v>
      </c>
      <c r="DI10" s="3194">
        <v>426.01164863713893</v>
      </c>
      <c r="DJ10" s="3194">
        <v>402.96401407302324</v>
      </c>
      <c r="DK10" s="3194">
        <v>0.47313493196963918</v>
      </c>
      <c r="DL10" s="3194">
        <v>-4.6218093770123261</v>
      </c>
      <c r="DM10" s="3194">
        <v>0</v>
      </c>
      <c r="DN10" s="3194">
        <v>-0.97136546772179599</v>
      </c>
    </row>
    <row r="11" spans="1:119">
      <c r="B11" s="665">
        <v>20</v>
      </c>
      <c r="C11" s="932"/>
      <c r="D11" s="717"/>
      <c r="E11" s="718" t="s">
        <v>1712</v>
      </c>
      <c r="F11" s="924"/>
      <c r="G11" s="2854"/>
      <c r="H11" s="2854">
        <f t="shared" ref="H11:BD11" si="34">+H149</f>
        <v>-0.5908633861654855</v>
      </c>
      <c r="I11" s="2854">
        <f t="shared" si="34"/>
        <v>2.1574781801686926</v>
      </c>
      <c r="J11" s="2854">
        <f t="shared" si="34"/>
        <v>1.6821819369590374</v>
      </c>
      <c r="K11" s="2854">
        <f t="shared" si="34"/>
        <v>0.32123353678124023</v>
      </c>
      <c r="L11" s="2854">
        <f t="shared" si="34"/>
        <v>2.0673230867755299</v>
      </c>
      <c r="M11" s="2854">
        <f t="shared" si="34"/>
        <v>3.6489480598419499</v>
      </c>
      <c r="N11" s="2854">
        <f t="shared" si="34"/>
        <v>1.881313609019708</v>
      </c>
      <c r="O11" s="2854">
        <f t="shared" si="34"/>
        <v>3.9261741851030152</v>
      </c>
      <c r="P11" s="2854">
        <f t="shared" si="34"/>
        <v>2.3842704257561964</v>
      </c>
      <c r="Q11" s="2854">
        <f t="shared" si="34"/>
        <v>0.38303478723682449</v>
      </c>
      <c r="R11" s="2854">
        <f t="shared" si="34"/>
        <v>3.6279878313776548</v>
      </c>
      <c r="S11" s="2854">
        <f t="shared" si="34"/>
        <v>2.2679997315976586</v>
      </c>
      <c r="T11" s="2854">
        <f t="shared" si="34"/>
        <v>1.1400170592480885</v>
      </c>
      <c r="U11" s="2854">
        <f t="shared" si="34"/>
        <v>2.6078917919525102</v>
      </c>
      <c r="V11" s="2854">
        <f t="shared" si="34"/>
        <v>-1.7852909099530634</v>
      </c>
      <c r="W11" s="2854">
        <f t="shared" si="34"/>
        <v>-1.8821162743914654</v>
      </c>
      <c r="X11" s="2854">
        <f t="shared" si="34"/>
        <v>3.1221296417792921</v>
      </c>
      <c r="Y11" s="2854">
        <f t="shared" si="34"/>
        <v>-2.0494182578751907</v>
      </c>
      <c r="Z11" s="2854">
        <f t="shared" si="34"/>
        <v>-0.20297809460403382</v>
      </c>
      <c r="AA11" s="2854">
        <f t="shared" si="34"/>
        <v>1.3659735103648041</v>
      </c>
      <c r="AB11" s="2854">
        <f t="shared" si="34"/>
        <v>0.60756852201131473</v>
      </c>
      <c r="AC11" s="2854">
        <f t="shared" si="34"/>
        <v>0.58475333460972223</v>
      </c>
      <c r="AD11" s="2854">
        <f t="shared" si="34"/>
        <v>1.1674663917198957</v>
      </c>
      <c r="AE11" s="2854">
        <f t="shared" si="34"/>
        <v>2.8967442006318844</v>
      </c>
      <c r="AF11" s="2854">
        <f t="shared" si="34"/>
        <v>-0.4129460884405689</v>
      </c>
      <c r="AG11" s="2854">
        <f t="shared" si="34"/>
        <v>1.6272664677530635</v>
      </c>
      <c r="AH11" s="2854">
        <f t="shared" si="34"/>
        <v>5.1514261839698205</v>
      </c>
      <c r="AI11" s="2854">
        <f t="shared" si="34"/>
        <v>0.59922680412372031</v>
      </c>
      <c r="AJ11" s="2854">
        <f t="shared" si="34"/>
        <v>1.2653273269426224</v>
      </c>
      <c r="AK11" s="2854">
        <f t="shared" si="34"/>
        <v>1.8201623388031996</v>
      </c>
      <c r="AL11" s="2854">
        <f t="shared" si="34"/>
        <v>0.88622010560099884</v>
      </c>
      <c r="AM11" s="2854">
        <f t="shared" si="34"/>
        <v>3.0895743967599198</v>
      </c>
      <c r="AN11" s="2854">
        <f t="shared" si="34"/>
        <v>3.6387165278561007</v>
      </c>
      <c r="AO11" s="2854">
        <f t="shared" si="34"/>
        <v>2.7118231647969004</v>
      </c>
      <c r="AP11" s="2854">
        <f t="shared" si="34"/>
        <v>3.4382149959788499</v>
      </c>
      <c r="AQ11" s="2854">
        <f t="shared" si="34"/>
        <v>3.6566255620246402</v>
      </c>
      <c r="AR11" s="2854">
        <f t="shared" si="34"/>
        <v>2.993865744105606</v>
      </c>
      <c r="AS11" s="2854">
        <f t="shared" si="34"/>
        <v>1.5338670159314116</v>
      </c>
      <c r="AT11" s="2854">
        <f t="shared" si="34"/>
        <v>2.0027689587492015</v>
      </c>
      <c r="AU11" s="2854">
        <f t="shared" si="34"/>
        <v>1.1676015110137383</v>
      </c>
      <c r="AV11" s="2854">
        <f t="shared" si="34"/>
        <v>3.7360920283412868</v>
      </c>
      <c r="AW11" s="2854">
        <f t="shared" si="34"/>
        <v>2.1503254055233123</v>
      </c>
      <c r="AX11" s="2854">
        <f t="shared" si="34"/>
        <v>2.2713289842323681</v>
      </c>
      <c r="AY11" s="2854">
        <f t="shared" si="34"/>
        <v>27.717001034126177</v>
      </c>
      <c r="AZ11" s="2854">
        <f t="shared" si="34"/>
        <v>-0.31452035645640475</v>
      </c>
      <c r="BA11" s="2854">
        <f t="shared" si="34"/>
        <v>6.3210409222679065</v>
      </c>
      <c r="BB11" s="2854">
        <f t="shared" si="34"/>
        <v>5.3124167755190133</v>
      </c>
      <c r="BC11" s="2854">
        <f t="shared" si="34"/>
        <v>2.6974302160352348</v>
      </c>
      <c r="BD11" s="2854">
        <f t="shared" si="34"/>
        <v>4.9869843577777351</v>
      </c>
      <c r="BE11" s="2854">
        <f t="shared" ref="BE11:BN11" si="35">+BE149</f>
        <v>-0.22114256994471004</v>
      </c>
      <c r="BF11" s="2854">
        <f t="shared" si="35"/>
        <v>3.7923816559768175</v>
      </c>
      <c r="BG11" s="2854">
        <f t="shared" si="35"/>
        <v>1.8689673766513648</v>
      </c>
      <c r="BH11" s="2854">
        <f t="shared" si="35"/>
        <v>-0.97080183785384078</v>
      </c>
      <c r="BI11" s="2854">
        <f t="shared" si="35"/>
        <v>-1.5372938069937336</v>
      </c>
      <c r="BJ11" s="2854">
        <f t="shared" si="35"/>
        <v>-6.0074047533739456</v>
      </c>
      <c r="BK11" s="2854">
        <f t="shared" si="35"/>
        <v>-16.736744830772786</v>
      </c>
      <c r="BL11" s="2854">
        <f t="shared" si="35"/>
        <v>-1.2485953302534658</v>
      </c>
      <c r="BM11" s="2854">
        <f t="shared" si="35"/>
        <v>-1.5144490805130584</v>
      </c>
      <c r="BN11" s="2854">
        <f t="shared" si="35"/>
        <v>-3.9085345848251851</v>
      </c>
      <c r="BO11" s="2854">
        <f t="shared" ref="BO11:BZ11" si="36">+BO149</f>
        <v>3.3267520745809964</v>
      </c>
      <c r="BP11" s="2854">
        <f t="shared" si="36"/>
        <v>2.5170967185794035</v>
      </c>
      <c r="BQ11" s="2854">
        <f t="shared" si="36"/>
        <v>-0.21161500084085905</v>
      </c>
      <c r="BR11" s="2854">
        <f t="shared" si="36"/>
        <v>3.7399059054841644</v>
      </c>
      <c r="BS11" s="2854">
        <f>+BS149</f>
        <v>2.8185411815671246</v>
      </c>
      <c r="BT11" s="2854">
        <f>+BT149</f>
        <v>-0.55167873601051909</v>
      </c>
      <c r="BU11" s="2854">
        <f>+BU149</f>
        <v>-0.20653771299202761</v>
      </c>
      <c r="BV11" s="2854">
        <f>+BV149</f>
        <v>1.237810945273643</v>
      </c>
      <c r="BW11" s="2854">
        <f t="shared" si="36"/>
        <v>-0.76925093043977988</v>
      </c>
      <c r="BX11" s="2854">
        <f t="shared" si="36"/>
        <v>-3.3953592794601306</v>
      </c>
      <c r="BY11" s="2854">
        <f t="shared" si="36"/>
        <v>5.1852358168147594</v>
      </c>
      <c r="BZ11" s="2854">
        <f t="shared" si="36"/>
        <v>-2.4277712072573232</v>
      </c>
      <c r="CA11" s="2854">
        <f t="shared" ref="CA11:CH11" si="37">+CA149</f>
        <v>0.73792873792872804</v>
      </c>
      <c r="CB11" s="2854">
        <f t="shared" si="37"/>
        <v>1.2719988364251922</v>
      </c>
      <c r="CC11" s="2854">
        <f t="shared" si="37"/>
        <v>3.032993432648734</v>
      </c>
      <c r="CD11" s="2854">
        <f t="shared" si="37"/>
        <v>0.97828015307803717</v>
      </c>
      <c r="CE11" s="2854">
        <f t="shared" si="37"/>
        <v>-2.7608362824094179E-2</v>
      </c>
      <c r="CF11" s="2854">
        <f t="shared" si="37"/>
        <v>-1.8829082145011E-2</v>
      </c>
      <c r="CG11" s="2854">
        <f t="shared" si="37"/>
        <v>0.21594746952253718</v>
      </c>
      <c r="CH11" s="2854">
        <f t="shared" si="37"/>
        <v>2.8313351123137931</v>
      </c>
      <c r="CI11" s="2854">
        <f t="shared" ref="CI11:CP11" si="38">+CI149</f>
        <v>4.355453759091632</v>
      </c>
      <c r="CJ11" s="2854">
        <f t="shared" si="38"/>
        <v>2.2356869337816443</v>
      </c>
      <c r="CK11" s="2854">
        <f t="shared" si="38"/>
        <v>-1.7905470989254657</v>
      </c>
      <c r="CL11" s="2854">
        <f t="shared" si="38"/>
        <v>-0.21859702568514106</v>
      </c>
      <c r="CM11" s="2854">
        <f t="shared" si="38"/>
        <v>-0.94156033327507105</v>
      </c>
      <c r="CN11" s="2854">
        <f t="shared" si="38"/>
        <v>3.8514475278506488</v>
      </c>
      <c r="CO11" s="2854">
        <f t="shared" si="38"/>
        <v>0.4089215119901235</v>
      </c>
      <c r="CP11" s="2854">
        <f t="shared" si="38"/>
        <v>1.4541639403442996</v>
      </c>
      <c r="CQ11" s="2854">
        <f t="shared" ref="CQ11:CX11" si="39">+CQ149</f>
        <v>0.96963227363200399</v>
      </c>
      <c r="CR11" s="2854">
        <f t="shared" si="39"/>
        <v>-0.78411506227766825</v>
      </c>
      <c r="CS11" s="2854">
        <f t="shared" si="39"/>
        <v>2.0301694952880922</v>
      </c>
      <c r="CT11" s="2854">
        <f t="shared" si="39"/>
        <v>0.52436901653614143</v>
      </c>
      <c r="CU11" s="2854">
        <f t="shared" si="39"/>
        <v>0.99892643016384974</v>
      </c>
      <c r="CV11" s="2854">
        <f t="shared" si="39"/>
        <v>0.99737581391350105</v>
      </c>
      <c r="CW11" s="2854">
        <f t="shared" si="39"/>
        <v>0.86426948405353454</v>
      </c>
      <c r="CX11" s="2854">
        <f t="shared" si="39"/>
        <v>0.59457503831887559</v>
      </c>
      <c r="CY11" s="2854">
        <f t="shared" ref="CY11:DB11" si="40">+CY149</f>
        <v>0.8079110092352495</v>
      </c>
      <c r="CZ11" s="2854">
        <f t="shared" si="40"/>
        <v>0.93684187936210372</v>
      </c>
      <c r="DA11" s="2854">
        <f t="shared" si="40"/>
        <v>0.94052166190287134</v>
      </c>
      <c r="DB11" s="2854">
        <f t="shared" si="40"/>
        <v>0.92032399104302232</v>
      </c>
      <c r="DC11" s="3194">
        <f ca="1">CP151</f>
        <v>2.4057419875649373</v>
      </c>
      <c r="DD11" s="3194">
        <f>CT150</f>
        <v>3.575126291357563</v>
      </c>
      <c r="DE11" s="3194">
        <f ca="1">CT151</f>
        <v>4.1357636126038102</v>
      </c>
      <c r="DF11" s="3194">
        <f>CX150</f>
        <v>3.8679197300892696</v>
      </c>
      <c r="DG11" s="3194">
        <f ca="1">CX151</f>
        <v>3.8688071906934738</v>
      </c>
      <c r="DI11" s="3194">
        <v>1.7753540828695122</v>
      </c>
      <c r="DJ11" s="3194">
        <v>1.7956354428364278</v>
      </c>
      <c r="DK11" s="3194">
        <v>2.1742964088779786</v>
      </c>
      <c r="DL11" s="3194">
        <v>2.1820225557837318</v>
      </c>
      <c r="DM11" s="3194">
        <v>2.1061333641269329</v>
      </c>
      <c r="DN11" s="3194">
        <v>2.1028041095488845</v>
      </c>
    </row>
    <row r="12" spans="1:119">
      <c r="B12" s="665">
        <v>21</v>
      </c>
      <c r="C12" s="932"/>
      <c r="D12" s="674"/>
      <c r="E12" s="220" t="s">
        <v>912</v>
      </c>
      <c r="F12" s="710"/>
      <c r="G12" s="2853"/>
      <c r="H12" s="2853">
        <f>+H183</f>
        <v>3.2939762812810303</v>
      </c>
      <c r="I12" s="2853">
        <f t="shared" ref="I12:BN12" si="41">+I183</f>
        <v>4.2965885238853696</v>
      </c>
      <c r="J12" s="2853">
        <f t="shared" si="41"/>
        <v>3.8140730323456884</v>
      </c>
      <c r="K12" s="2853">
        <f t="shared" si="41"/>
        <v>5.3976410136634456</v>
      </c>
      <c r="L12" s="2853">
        <f t="shared" si="41"/>
        <v>3.2597615565306048</v>
      </c>
      <c r="M12" s="2853">
        <f t="shared" si="41"/>
        <v>5.5840504753524645</v>
      </c>
      <c r="N12" s="2853">
        <f t="shared" si="41"/>
        <v>5.0122969979064846</v>
      </c>
      <c r="O12" s="2853">
        <f t="shared" si="41"/>
        <v>3.9969031259072807</v>
      </c>
      <c r="P12" s="2853">
        <f t="shared" si="41"/>
        <v>2.9815745393634741</v>
      </c>
      <c r="Q12" s="2853">
        <f t="shared" si="41"/>
        <v>2.150654232632121</v>
      </c>
      <c r="R12" s="2853">
        <f t="shared" si="41"/>
        <v>8.6851137610133975</v>
      </c>
      <c r="S12" s="2853">
        <f t="shared" si="41"/>
        <v>2.9545343556185211</v>
      </c>
      <c r="T12" s="2853">
        <f t="shared" si="41"/>
        <v>-1.3360528729089771</v>
      </c>
      <c r="U12" s="2853">
        <f t="shared" si="41"/>
        <v>-6.464639989743759</v>
      </c>
      <c r="V12" s="2853">
        <f t="shared" si="41"/>
        <v>-5.712131855329206</v>
      </c>
      <c r="W12" s="2853">
        <f t="shared" si="41"/>
        <v>-5.5221412606981328</v>
      </c>
      <c r="X12" s="2853">
        <f t="shared" si="41"/>
        <v>-4.9967303919682848</v>
      </c>
      <c r="Y12" s="2853">
        <f t="shared" si="41"/>
        <v>-0.80168434691070267</v>
      </c>
      <c r="Z12" s="2853">
        <f t="shared" si="41"/>
        <v>-1.0061224489795961</v>
      </c>
      <c r="AA12" s="2853">
        <f t="shared" si="41"/>
        <v>8.5121735007318566</v>
      </c>
      <c r="AB12" s="2853">
        <f t="shared" si="41"/>
        <v>0.68014286799908952</v>
      </c>
      <c r="AC12" s="2853">
        <f t="shared" si="41"/>
        <v>7.4687700494395548</v>
      </c>
      <c r="AD12" s="2853">
        <f t="shared" si="41"/>
        <v>0.45301306363254579</v>
      </c>
      <c r="AE12" s="2853">
        <f t="shared" si="41"/>
        <v>10.12060828526482</v>
      </c>
      <c r="AF12" s="2853">
        <f t="shared" si="41"/>
        <v>3.9365079365079492</v>
      </c>
      <c r="AG12" s="2853">
        <f t="shared" si="41"/>
        <v>2.6389737324373774</v>
      </c>
      <c r="AH12" s="2853">
        <f t="shared" si="41"/>
        <v>4.1230210689203739</v>
      </c>
      <c r="AI12" s="2853">
        <f t="shared" si="41"/>
        <v>4.9271924434473036</v>
      </c>
      <c r="AJ12" s="2853">
        <f t="shared" si="41"/>
        <v>8.348427690086746</v>
      </c>
      <c r="AK12" s="2853">
        <f t="shared" si="41"/>
        <v>-1.3135236371406567</v>
      </c>
      <c r="AL12" s="2853">
        <f t="shared" si="41"/>
        <v>5.7443448135316988</v>
      </c>
      <c r="AM12" s="2853">
        <f t="shared" si="41"/>
        <v>5.8213485582134794</v>
      </c>
      <c r="AN12" s="2853">
        <f t="shared" si="41"/>
        <v>-7.8151499630072401</v>
      </c>
      <c r="AO12" s="2853">
        <f t="shared" si="41"/>
        <v>3.7017372729630127</v>
      </c>
      <c r="AP12" s="2853">
        <f t="shared" si="41"/>
        <v>3.3064640956338209</v>
      </c>
      <c r="AQ12" s="2853">
        <f t="shared" si="41"/>
        <v>-5.1426859065971886</v>
      </c>
      <c r="AR12" s="2853">
        <f t="shared" si="41"/>
        <v>4.4032951811620702</v>
      </c>
      <c r="AS12" s="2853">
        <f t="shared" si="41"/>
        <v>4.7284873030281505</v>
      </c>
      <c r="AT12" s="2853">
        <f t="shared" si="41"/>
        <v>5.3573214503995104</v>
      </c>
      <c r="AU12" s="2853">
        <f t="shared" si="41"/>
        <v>14.330981120135021</v>
      </c>
      <c r="AV12" s="2853">
        <f t="shared" si="41"/>
        <v>3.7714212906924782</v>
      </c>
      <c r="AW12" s="2853">
        <f t="shared" si="41"/>
        <v>5.0432807416047609</v>
      </c>
      <c r="AX12" s="2853">
        <f t="shared" si="41"/>
        <v>3.985856637737073</v>
      </c>
      <c r="AY12" s="2853">
        <f t="shared" si="41"/>
        <v>4.4513137557959714</v>
      </c>
      <c r="AZ12" s="2853">
        <f t="shared" si="41"/>
        <v>2.0097392988780882</v>
      </c>
      <c r="BA12" s="2853">
        <f t="shared" si="41"/>
        <v>-1.645743221858853</v>
      </c>
      <c r="BB12" s="2853">
        <f t="shared" si="41"/>
        <v>2.7673495655904823</v>
      </c>
      <c r="BC12" s="2853">
        <f t="shared" si="41"/>
        <v>-2.0326688237136015</v>
      </c>
      <c r="BD12" s="2853">
        <f t="shared" si="41"/>
        <v>0.41017445731788005</v>
      </c>
      <c r="BE12" s="2853">
        <f t="shared" si="41"/>
        <v>5.9815910236345804</v>
      </c>
      <c r="BF12" s="2853">
        <f t="shared" si="41"/>
        <v>0.83846423386895186</v>
      </c>
      <c r="BG12" s="2853">
        <f t="shared" si="41"/>
        <v>8.8113380823549683</v>
      </c>
      <c r="BH12" s="2853">
        <f t="shared" si="41"/>
        <v>4.103651999361313</v>
      </c>
      <c r="BI12" s="2853">
        <f t="shared" si="41"/>
        <v>-2.9492966387659525</v>
      </c>
      <c r="BJ12" s="2853">
        <f t="shared" si="41"/>
        <v>-2.9734489298293032</v>
      </c>
      <c r="BK12" s="2853">
        <f t="shared" si="41"/>
        <v>-7.7649796393251975</v>
      </c>
      <c r="BL12" s="2853">
        <f t="shared" si="41"/>
        <v>-6.3751955194510268</v>
      </c>
      <c r="BM12" s="2853">
        <f t="shared" si="41"/>
        <v>2.1071919377004145</v>
      </c>
      <c r="BN12" s="2853">
        <f t="shared" si="41"/>
        <v>3.6497506135697799</v>
      </c>
      <c r="BO12" s="2853">
        <f t="shared" ref="BO12:BV12" si="42">+BO183</f>
        <v>6.0342193706080183</v>
      </c>
      <c r="BP12" s="2853">
        <f t="shared" si="42"/>
        <v>7.9071219324785114</v>
      </c>
      <c r="BQ12" s="2853">
        <f t="shared" si="42"/>
        <v>4.8821736131200222</v>
      </c>
      <c r="BR12" s="2853">
        <f t="shared" si="42"/>
        <v>5.1450151698385405</v>
      </c>
      <c r="BS12" s="2853">
        <f t="shared" si="42"/>
        <v>3.0529884176116795</v>
      </c>
      <c r="BT12" s="2853">
        <f t="shared" si="42"/>
        <v>3.2562511014078366</v>
      </c>
      <c r="BU12" s="2853">
        <f t="shared" si="42"/>
        <v>1.3596541130959316</v>
      </c>
      <c r="BV12" s="2853">
        <f t="shared" si="42"/>
        <v>1.1262651774522459</v>
      </c>
      <c r="BW12" s="2853">
        <f t="shared" ref="BW12:CD12" si="43">+BW183</f>
        <v>4.2680332266479049</v>
      </c>
      <c r="BX12" s="2853">
        <f t="shared" si="43"/>
        <v>2.7980837473385201</v>
      </c>
      <c r="BY12" s="2853">
        <f t="shared" si="43"/>
        <v>4.2339092462502448</v>
      </c>
      <c r="BZ12" s="2853">
        <f t="shared" si="43"/>
        <v>4.0668984931280017</v>
      </c>
      <c r="CA12" s="2853">
        <f t="shared" si="43"/>
        <v>2.7320752315183272</v>
      </c>
      <c r="CB12" s="2853">
        <f t="shared" si="43"/>
        <v>9.4481359292464262E-2</v>
      </c>
      <c r="CC12" s="2853">
        <f t="shared" si="43"/>
        <v>1.341606833374609</v>
      </c>
      <c r="CD12" s="2853">
        <f t="shared" si="43"/>
        <v>1.1329801041364496</v>
      </c>
      <c r="CE12" s="2853">
        <f t="shared" ref="CE12:CL12" si="44">+CE183</f>
        <v>0.13739374631980272</v>
      </c>
      <c r="CF12" s="2853">
        <f t="shared" si="44"/>
        <v>2.0520475242747915</v>
      </c>
      <c r="CG12" s="2853">
        <f t="shared" si="44"/>
        <v>0.38413237792715993</v>
      </c>
      <c r="CH12" s="2853">
        <f t="shared" si="44"/>
        <v>-0.46213849437044541</v>
      </c>
      <c r="CI12" s="2853">
        <f t="shared" si="44"/>
        <v>-1.3248362437343952</v>
      </c>
      <c r="CJ12" s="2853">
        <f t="shared" si="44"/>
        <v>0.35513598561474069</v>
      </c>
      <c r="CK12" s="2853">
        <f t="shared" si="44"/>
        <v>0.19709729439170154</v>
      </c>
      <c r="CL12" s="2853">
        <f t="shared" si="44"/>
        <v>0.68252265140675838</v>
      </c>
      <c r="CM12" s="2853">
        <f t="shared" ref="CM12:CT12" si="45">+CM183</f>
        <v>0.63497232171931817</v>
      </c>
      <c r="CN12" s="2853">
        <f t="shared" si="45"/>
        <v>0.6471444750040467</v>
      </c>
      <c r="CO12" s="2853">
        <f t="shared" si="45"/>
        <v>1.9874033698177751</v>
      </c>
      <c r="CP12" s="2853">
        <f t="shared" si="45"/>
        <v>2.4530383573813319</v>
      </c>
      <c r="CQ12" s="2853">
        <f t="shared" si="45"/>
        <v>4.7914073535376023</v>
      </c>
      <c r="CR12" s="2853">
        <f t="shared" si="45"/>
        <v>3.7902547745198856</v>
      </c>
      <c r="CS12" s="2853">
        <f t="shared" si="45"/>
        <v>2.7967442039887436</v>
      </c>
      <c r="CT12" s="2853">
        <f t="shared" si="45"/>
        <v>2.593065145601936</v>
      </c>
      <c r="CU12" s="2853">
        <f t="shared" ref="CU12:DB12" si="46">+CU183</f>
        <v>0.4</v>
      </c>
      <c r="CV12" s="2853">
        <f t="shared" si="46"/>
        <v>0.4</v>
      </c>
      <c r="CW12" s="2853">
        <f t="shared" si="46"/>
        <v>0.55000000000000004</v>
      </c>
      <c r="CX12" s="2853">
        <f t="shared" si="46"/>
        <v>0.9</v>
      </c>
      <c r="CY12" s="2853">
        <f t="shared" si="46"/>
        <v>1.34</v>
      </c>
      <c r="CZ12" s="2853">
        <f t="shared" si="46"/>
        <v>1.3</v>
      </c>
      <c r="DA12" s="2853">
        <f t="shared" si="46"/>
        <v>1.3</v>
      </c>
      <c r="DB12" s="2853">
        <f t="shared" si="46"/>
        <v>1.3</v>
      </c>
      <c r="DC12">
        <f ca="1">CP186</f>
        <v>3.4546238679988619</v>
      </c>
      <c r="DD12">
        <f>CT185</f>
        <v>13.302438462314001</v>
      </c>
      <c r="DE12">
        <f ca="1">CT186</f>
        <v>13.23847741418021</v>
      </c>
      <c r="DF12">
        <f>CX185</f>
        <v>5.5193063496132453</v>
      </c>
      <c r="DG12">
        <f ca="1">CX186</f>
        <v>5.5162869137066224</v>
      </c>
      <c r="DI12" s="3194">
        <v>3.3310297248138738</v>
      </c>
      <c r="DJ12" s="3194">
        <v>3.3298383193819348</v>
      </c>
      <c r="DK12" s="3194">
        <v>3.3153789288348889</v>
      </c>
      <c r="DL12" s="3194">
        <v>3.316097746246399</v>
      </c>
      <c r="DM12" s="3194">
        <v>3.2420750176052024</v>
      </c>
      <c r="DN12" s="3194">
        <v>3.25</v>
      </c>
    </row>
    <row r="13" spans="1:119">
      <c r="B13" s="665">
        <v>22</v>
      </c>
      <c r="C13" s="932"/>
      <c r="D13" s="717"/>
      <c r="E13" s="718" t="s">
        <v>1359</v>
      </c>
      <c r="F13" s="924"/>
      <c r="G13" s="2854"/>
      <c r="H13" s="2854">
        <f t="shared" ref="H13:BD13" si="47">+H206</f>
        <v>0.51279767868142034</v>
      </c>
      <c r="I13" s="2854">
        <f t="shared" si="47"/>
        <v>2.782002628431357</v>
      </c>
      <c r="J13" s="2854">
        <f t="shared" si="47"/>
        <v>2.3137705624596272</v>
      </c>
      <c r="K13" s="2854">
        <f t="shared" si="47"/>
        <v>1.8472102281104075</v>
      </c>
      <c r="L13" s="2854">
        <f t="shared" si="47"/>
        <v>2.4382677751582094</v>
      </c>
      <c r="M13" s="2854">
        <f t="shared" si="47"/>
        <v>4.2557486927906396</v>
      </c>
      <c r="N13" s="2854">
        <f t="shared" si="47"/>
        <v>2.8756220832284685</v>
      </c>
      <c r="O13" s="2854">
        <f t="shared" si="47"/>
        <v>3.9491021345480437</v>
      </c>
      <c r="P13" s="2854">
        <f t="shared" si="47"/>
        <v>2.5779854169684757</v>
      </c>
      <c r="Q13" s="2854">
        <f t="shared" si="47"/>
        <v>0.95855669253810394</v>
      </c>
      <c r="R13" s="2854">
        <f t="shared" si="47"/>
        <v>5.2939873639055168</v>
      </c>
      <c r="S13" s="2854">
        <f t="shared" si="47"/>
        <v>2.501453045860913</v>
      </c>
      <c r="T13" s="2854">
        <f t="shared" si="47"/>
        <v>0.29431777679369553</v>
      </c>
      <c r="U13" s="2854">
        <f t="shared" si="47"/>
        <v>-0.4404503577986052</v>
      </c>
      <c r="V13" s="2854">
        <f t="shared" si="47"/>
        <v>-3.0248619531532905</v>
      </c>
      <c r="W13" s="2854">
        <f t="shared" si="47"/>
        <v>-2.999308452495153</v>
      </c>
      <c r="X13" s="2854">
        <f t="shared" si="47"/>
        <v>0.6951072270453551</v>
      </c>
      <c r="Y13" s="2854">
        <f t="shared" si="47"/>
        <v>-1.6975088358389567</v>
      </c>
      <c r="Z13" s="2854">
        <f t="shared" si="47"/>
        <v>-0.43156023837459534</v>
      </c>
      <c r="AA13" s="2854">
        <f t="shared" si="47"/>
        <v>3.3881101135786906</v>
      </c>
      <c r="AB13" s="2854">
        <f t="shared" si="47"/>
        <v>0.62912244471904355</v>
      </c>
      <c r="AC13" s="2854">
        <f t="shared" si="47"/>
        <v>2.6302804660603529</v>
      </c>
      <c r="AD13" s="2854">
        <f t="shared" si="47"/>
        <v>0.94516409250589017</v>
      </c>
      <c r="AE13" s="2854">
        <f t="shared" si="47"/>
        <v>5.1334924526565962</v>
      </c>
      <c r="AF13" s="2854">
        <f t="shared" si="47"/>
        <v>0.99767312563061594</v>
      </c>
      <c r="AG13" s="2854">
        <f t="shared" si="47"/>
        <v>1.9649319537183407</v>
      </c>
      <c r="AH13" s="2854">
        <f t="shared" si="47"/>
        <v>4.8059186682996247</v>
      </c>
      <c r="AI13" s="2854">
        <f t="shared" si="47"/>
        <v>2.0437949241387088</v>
      </c>
      <c r="AJ13" s="2854">
        <f t="shared" si="47"/>
        <v>3.6962943574019524</v>
      </c>
      <c r="AK13" s="2854">
        <f t="shared" si="47"/>
        <v>0.69641021942556947</v>
      </c>
      <c r="AL13" s="2854">
        <f t="shared" si="47"/>
        <v>2.5935889917948707</v>
      </c>
      <c r="AM13" s="2854">
        <f t="shared" si="47"/>
        <v>4.0791305068698103</v>
      </c>
      <c r="AN13" s="2854">
        <f t="shared" si="47"/>
        <v>-0.57977697660770433</v>
      </c>
      <c r="AO13" s="2854">
        <f t="shared" si="47"/>
        <v>3.0498783506284877</v>
      </c>
      <c r="AP13" s="2854">
        <f t="shared" si="47"/>
        <v>3.3929375179017063</v>
      </c>
      <c r="AQ13" s="2854">
        <f t="shared" si="47"/>
        <v>0.63518572751524172</v>
      </c>
      <c r="AR13" s="2854">
        <f t="shared" si="47"/>
        <v>3.4500387357591977</v>
      </c>
      <c r="AS13" s="2854">
        <f t="shared" si="47"/>
        <v>2.5773587774652107</v>
      </c>
      <c r="AT13" s="2854">
        <f t="shared" si="47"/>
        <v>3.1214793951971576</v>
      </c>
      <c r="AU13" s="2854">
        <f t="shared" si="47"/>
        <v>5.6526391219817285</v>
      </c>
      <c r="AV13" s="2854">
        <f t="shared" si="47"/>
        <v>3.7491182011047286</v>
      </c>
      <c r="AW13" s="2854">
        <f t="shared" si="47"/>
        <v>3.2172097531274479</v>
      </c>
      <c r="AX13" s="2854">
        <f t="shared" si="47"/>
        <v>2.9148107897316811</v>
      </c>
      <c r="AY13" s="2854">
        <f t="shared" si="47"/>
        <v>18.894249318390898</v>
      </c>
      <c r="AZ13" s="2854">
        <f t="shared" si="47"/>
        <v>0.45980926430517766</v>
      </c>
      <c r="BA13" s="2854">
        <f t="shared" si="47"/>
        <v>3.6259490903899794</v>
      </c>
      <c r="BB13" s="2854">
        <f t="shared" si="47"/>
        <v>4.4952430151965261</v>
      </c>
      <c r="BC13" s="2854">
        <f t="shared" si="47"/>
        <v>1.2037967799878091</v>
      </c>
      <c r="BD13" s="2854">
        <f t="shared" si="47"/>
        <v>3.5879733283398663</v>
      </c>
      <c r="BE13" s="2854">
        <f t="shared" ref="BE13:BN13" si="48">+BE206</f>
        <v>1.6167062263231502</v>
      </c>
      <c r="BF13" s="2854">
        <f t="shared" si="48"/>
        <v>2.8795507807968024</v>
      </c>
      <c r="BG13" s="2854">
        <f t="shared" si="48"/>
        <v>3.9717623708782623</v>
      </c>
      <c r="BH13" s="2854">
        <f t="shared" si="48"/>
        <v>0.63775786893427444</v>
      </c>
      <c r="BI13" s="2854">
        <f t="shared" si="48"/>
        <v>-2.0003017696635372</v>
      </c>
      <c r="BJ13" s="2854">
        <f t="shared" si="48"/>
        <v>-5.0221782323399022</v>
      </c>
      <c r="BK13" s="2854">
        <f t="shared" si="48"/>
        <v>-13.760469334980108</v>
      </c>
      <c r="BL13" s="2854">
        <f t="shared" si="48"/>
        <v>-3.0675176111494062</v>
      </c>
      <c r="BM13" s="2854">
        <f t="shared" si="48"/>
        <v>-0.27333505706792494</v>
      </c>
      <c r="BN13" s="2854">
        <f t="shared" si="48"/>
        <v>-1.25652801955628</v>
      </c>
      <c r="BO13" s="2854">
        <f t="shared" ref="BO13:BZ13" si="49">+BO206</f>
        <v>4.3239340203865329</v>
      </c>
      <c r="BP13" s="2854">
        <f t="shared" si="49"/>
        <v>4.5348314606741491</v>
      </c>
      <c r="BQ13" s="2854">
        <f t="shared" si="49"/>
        <v>1.7567393267122311</v>
      </c>
      <c r="BR13" s="2854">
        <f t="shared" si="49"/>
        <v>4.2995487501901408</v>
      </c>
      <c r="BS13" s="2854">
        <f>+BS206</f>
        <v>2.9126764214995049</v>
      </c>
      <c r="BT13" s="2854">
        <f>+BT206</f>
        <v>0.9793656167090381</v>
      </c>
      <c r="BU13" s="2854">
        <f>+BU206</f>
        <v>0.43737574552684677</v>
      </c>
      <c r="BV13" s="2854">
        <f>+BV206</f>
        <v>1.1915296601617831</v>
      </c>
      <c r="BW13" s="2854">
        <f t="shared" si="49"/>
        <v>1.3194130146285898</v>
      </c>
      <c r="BX13" s="2854">
        <f t="shared" si="49"/>
        <v>-0.7525684996327997</v>
      </c>
      <c r="BY13" s="2854">
        <f t="shared" si="49"/>
        <v>4.764774539046579</v>
      </c>
      <c r="BZ13" s="2854">
        <f t="shared" si="49"/>
        <v>0.4281563790203391</v>
      </c>
      <c r="CA13" s="2854">
        <f t="shared" ref="CA13:CH13" si="50">+CA206</f>
        <v>1.646594789770961</v>
      </c>
      <c r="CB13" s="2854">
        <f t="shared" si="50"/>
        <v>0.72971353572242048</v>
      </c>
      <c r="CC13" s="2854">
        <f t="shared" si="50"/>
        <v>2.2589668236377314</v>
      </c>
      <c r="CD13" s="2854">
        <f t="shared" si="50"/>
        <v>1.0484401509643027</v>
      </c>
      <c r="CE13" s="2854">
        <f t="shared" si="50"/>
        <v>4.728650826826275E-2</v>
      </c>
      <c r="CF13" s="2854">
        <f t="shared" si="50"/>
        <v>0.92199358851412505</v>
      </c>
      <c r="CG13" s="2854">
        <f t="shared" si="50"/>
        <v>0.29321134293509576</v>
      </c>
      <c r="CH13" s="2854">
        <f t="shared" si="50"/>
        <v>1.316947064954066</v>
      </c>
      <c r="CI13" s="2854">
        <f t="shared" ref="CI13:CP13" si="51">+CI206</f>
        <v>1.7894357165758157</v>
      </c>
      <c r="CJ13" s="2854">
        <f t="shared" si="51"/>
        <v>1.4121568859053246</v>
      </c>
      <c r="CK13" s="2854">
        <f t="shared" si="51"/>
        <v>-0.92919122833128309</v>
      </c>
      <c r="CL13" s="2854">
        <f t="shared" si="51"/>
        <v>0.17634726041266813</v>
      </c>
      <c r="CM13" s="2854">
        <f t="shared" si="51"/>
        <v>-0.24710354225209175</v>
      </c>
      <c r="CN13" s="2854">
        <f t="shared" si="51"/>
        <v>2.4274827121923082</v>
      </c>
      <c r="CO13" s="2854">
        <f t="shared" si="51"/>
        <v>1.0981928633416738</v>
      </c>
      <c r="CP13" s="2854">
        <f t="shared" si="51"/>
        <v>1.894176087052557</v>
      </c>
      <c r="CQ13" s="2854">
        <f t="shared" ref="CQ13:CX13" si="52">+CQ206</f>
        <v>2.6623883444627463</v>
      </c>
      <c r="CR13" s="2854">
        <f t="shared" si="52"/>
        <v>1.2840006757898377</v>
      </c>
      <c r="CS13" s="2854">
        <f t="shared" si="52"/>
        <v>2.385321100917432</v>
      </c>
      <c r="CT13" s="2854">
        <f t="shared" si="52"/>
        <v>1.4866405995438448</v>
      </c>
      <c r="CU13" s="2854">
        <f t="shared" si="52"/>
        <v>0.7172934141349282</v>
      </c>
      <c r="CV13" s="2854">
        <f t="shared" si="52"/>
        <v>0.71735688560220434</v>
      </c>
      <c r="CW13" s="2854">
        <f t="shared" si="52"/>
        <v>0.71742036040082702</v>
      </c>
      <c r="CX13" s="2854">
        <f t="shared" si="52"/>
        <v>0.73705413590036328</v>
      </c>
      <c r="CY13" s="2854">
        <f t="shared" ref="CY13:DB13" si="53">+CY206</f>
        <v>1.0565291535579697</v>
      </c>
      <c r="CZ13" s="2854">
        <f t="shared" si="53"/>
        <v>1.107003192825434</v>
      </c>
      <c r="DA13" s="2854">
        <f t="shared" si="53"/>
        <v>1.1092802960500661</v>
      </c>
      <c r="DB13" s="2854">
        <f t="shared" si="53"/>
        <v>1.0989007179173624</v>
      </c>
      <c r="DC13" s="3194">
        <f ca="1">CP208</f>
        <v>2.8568848345463209</v>
      </c>
      <c r="DD13" s="3194">
        <f>CT207</f>
        <v>7.9891736832825586</v>
      </c>
      <c r="DE13" s="3194">
        <f ca="1">CT208</f>
        <v>7.624395869345804</v>
      </c>
      <c r="DF13" s="3194">
        <f>CX207</f>
        <v>4.4770029584763762</v>
      </c>
      <c r="DG13" s="3194">
        <f ca="1">CX208</f>
        <v>4.6166949195453952</v>
      </c>
      <c r="DI13" s="3194">
        <v>2.5340607786905593</v>
      </c>
      <c r="DJ13" s="3194">
        <v>2.5325453560998596</v>
      </c>
      <c r="DK13" s="3194">
        <v>2.7351306450517967</v>
      </c>
      <c r="DL13" s="3194">
        <v>2.7242002809527719</v>
      </c>
      <c r="DM13" s="3194">
        <v>2.6675942220740296</v>
      </c>
      <c r="DN13" s="3194">
        <v>2.6560751855424769</v>
      </c>
    </row>
    <row r="14" spans="1:119">
      <c r="B14" s="665">
        <v>23</v>
      </c>
      <c r="C14" s="690"/>
      <c r="D14" s="691"/>
      <c r="E14" s="735" t="s">
        <v>1086</v>
      </c>
      <c r="F14" s="933"/>
      <c r="G14" s="2855"/>
      <c r="H14" s="2855">
        <f>+H240</f>
        <v>-0.99948950804698011</v>
      </c>
      <c r="I14" s="2855">
        <f t="shared" ref="I14:BN14" si="54">+I240</f>
        <v>4.890493120199757</v>
      </c>
      <c r="J14" s="2855">
        <f t="shared" si="54"/>
        <v>3.7258402545990776</v>
      </c>
      <c r="K14" s="2855">
        <f t="shared" si="54"/>
        <v>6.2910025193943619</v>
      </c>
      <c r="L14" s="2855">
        <f t="shared" si="54"/>
        <v>4.5551618126774773</v>
      </c>
      <c r="M14" s="2855">
        <f t="shared" si="54"/>
        <v>7.3644280840366338</v>
      </c>
      <c r="N14" s="2855">
        <f t="shared" si="54"/>
        <v>6.7024857316078545</v>
      </c>
      <c r="O14" s="2855">
        <f t="shared" si="54"/>
        <v>6.7262289621661919</v>
      </c>
      <c r="P14" s="2855">
        <f t="shared" si="54"/>
        <v>7.3634160669701965</v>
      </c>
      <c r="Q14" s="2855">
        <f t="shared" si="54"/>
        <v>0.65318126635089957</v>
      </c>
      <c r="R14" s="2855">
        <f t="shared" si="54"/>
        <v>5.2017327783912215</v>
      </c>
      <c r="S14" s="2855">
        <f t="shared" si="54"/>
        <v>3.0051512264440472</v>
      </c>
      <c r="T14" s="2855">
        <f t="shared" si="54"/>
        <v>0.12384774565747936</v>
      </c>
      <c r="U14" s="2855">
        <f t="shared" si="54"/>
        <v>1.3340222650194855</v>
      </c>
      <c r="V14" s="2855">
        <f t="shared" si="54"/>
        <v>-12.331772740617131</v>
      </c>
      <c r="W14" s="2855">
        <f t="shared" si="54"/>
        <v>-5.1693750220310868</v>
      </c>
      <c r="X14" s="2855">
        <f t="shared" si="54"/>
        <v>3.5572902146640439</v>
      </c>
      <c r="Y14" s="2855">
        <f t="shared" si="54"/>
        <v>-1.8880453705199307</v>
      </c>
      <c r="Z14" s="2855">
        <f t="shared" si="54"/>
        <v>-2.6432765653867873</v>
      </c>
      <c r="AA14" s="2855">
        <f t="shared" si="54"/>
        <v>2.825899064296733</v>
      </c>
      <c r="AB14" s="2855">
        <f t="shared" si="54"/>
        <v>0.50615795051711654</v>
      </c>
      <c r="AC14" s="2855">
        <f t="shared" si="54"/>
        <v>6.7978110284893534</v>
      </c>
      <c r="AD14" s="2855">
        <f t="shared" si="54"/>
        <v>9.8736849273106664E-2</v>
      </c>
      <c r="AE14" s="2855">
        <f t="shared" si="54"/>
        <v>8.0969387755101874</v>
      </c>
      <c r="AF14" s="2855">
        <f t="shared" si="54"/>
        <v>2.6919022671134885</v>
      </c>
      <c r="AG14" s="2855">
        <f t="shared" si="54"/>
        <v>3.9955876945704238</v>
      </c>
      <c r="AH14" s="2855">
        <f t="shared" si="54"/>
        <v>7.4823217442545609</v>
      </c>
      <c r="AI14" s="2855">
        <f t="shared" si="54"/>
        <v>3.0414342301840813</v>
      </c>
      <c r="AJ14" s="2855">
        <f t="shared" si="54"/>
        <v>7.5128362020803863</v>
      </c>
      <c r="AK14" s="2855">
        <f t="shared" si="54"/>
        <v>-0.80172221809813315</v>
      </c>
      <c r="AL14" s="2855">
        <f t="shared" si="54"/>
        <v>4.1233256005388075</v>
      </c>
      <c r="AM14" s="2855">
        <f t="shared" si="54"/>
        <v>1.2936610608020649</v>
      </c>
      <c r="AN14" s="2855">
        <f t="shared" si="54"/>
        <v>-1.020528830235079</v>
      </c>
      <c r="AO14" s="2855">
        <f t="shared" si="54"/>
        <v>4.0644675690851839</v>
      </c>
      <c r="AP14" s="2855">
        <f t="shared" si="54"/>
        <v>4.5027151762855544</v>
      </c>
      <c r="AQ14" s="2855">
        <f t="shared" si="54"/>
        <v>1.0832188959077227</v>
      </c>
      <c r="AR14" s="2855">
        <f t="shared" si="54"/>
        <v>5.6373694449576517</v>
      </c>
      <c r="AS14" s="2855">
        <f t="shared" si="54"/>
        <v>4.0268318278154025</v>
      </c>
      <c r="AT14" s="2855">
        <f t="shared" si="54"/>
        <v>2.3231663897460342</v>
      </c>
      <c r="AU14" s="2855">
        <f t="shared" si="54"/>
        <v>18.554109471201706</v>
      </c>
      <c r="AV14" s="2855">
        <f t="shared" si="54"/>
        <v>7.6708703974777581</v>
      </c>
      <c r="AW14" s="2855">
        <f t="shared" si="54"/>
        <v>2.3530026928808567</v>
      </c>
      <c r="AX14" s="2855">
        <f t="shared" si="54"/>
        <v>9.4715062964571004</v>
      </c>
      <c r="AY14" s="2855">
        <f t="shared" si="54"/>
        <v>0.30566768555897461</v>
      </c>
      <c r="AZ14" s="2855">
        <f t="shared" si="54"/>
        <v>-1.0398250674606757</v>
      </c>
      <c r="BA14" s="2855">
        <f t="shared" si="54"/>
        <v>6.2010766084483082</v>
      </c>
      <c r="BB14" s="2855">
        <f t="shared" si="54"/>
        <v>4.4843843378560955</v>
      </c>
      <c r="BC14" s="2855">
        <f t="shared" si="54"/>
        <v>-0.25209193941319041</v>
      </c>
      <c r="BD14" s="2855">
        <f t="shared" si="54"/>
        <v>5.0099817355476972</v>
      </c>
      <c r="BE14" s="2855">
        <f t="shared" si="54"/>
        <v>0.25685104661745672</v>
      </c>
      <c r="BF14" s="2855">
        <f t="shared" si="54"/>
        <v>2.842330347776989</v>
      </c>
      <c r="BG14" s="2855">
        <f t="shared" si="54"/>
        <v>6.1611188481983215</v>
      </c>
      <c r="BH14" s="2855">
        <f t="shared" si="54"/>
        <v>4.5766970917556549</v>
      </c>
      <c r="BI14" s="2855">
        <f t="shared" si="54"/>
        <v>-0.33746179261116005</v>
      </c>
      <c r="BJ14" s="2855">
        <f t="shared" si="54"/>
        <v>-8.3179690823996566</v>
      </c>
      <c r="BK14" s="2855">
        <f t="shared" si="54"/>
        <v>-24.661613427179219</v>
      </c>
      <c r="BL14" s="2855">
        <f t="shared" si="54"/>
        <v>-1.6272265284122955</v>
      </c>
      <c r="BM14" s="2855">
        <f t="shared" si="54"/>
        <v>5.1007096639532401</v>
      </c>
      <c r="BN14" s="2855">
        <f t="shared" si="54"/>
        <v>3.602015738649067</v>
      </c>
      <c r="BO14" s="2855">
        <f t="shared" ref="BO14:BV14" si="55">+BO240</f>
        <v>0.68529256721139298</v>
      </c>
      <c r="BP14" s="2855">
        <f t="shared" si="55"/>
        <v>8.807710613993347</v>
      </c>
      <c r="BQ14" s="2855">
        <f t="shared" si="55"/>
        <v>6.1569082041075029</v>
      </c>
      <c r="BR14" s="2855">
        <f t="shared" si="55"/>
        <v>8.5688973133344337</v>
      </c>
      <c r="BS14" s="2855">
        <f t="shared" si="55"/>
        <v>4.920770471581748</v>
      </c>
      <c r="BT14" s="2855">
        <f t="shared" si="55"/>
        <v>-2.5575170018810711</v>
      </c>
      <c r="BU14" s="2855">
        <f t="shared" si="55"/>
        <v>0.29513308831718987</v>
      </c>
      <c r="BV14" s="2855">
        <f t="shared" si="55"/>
        <v>1.2270279273777218</v>
      </c>
      <c r="BW14" s="2855">
        <f t="shared" ref="BW14:CD14" si="56">+BW240</f>
        <v>-2.7863097849934348</v>
      </c>
      <c r="BX14" s="2855">
        <f t="shared" si="56"/>
        <v>-1.0287369292108495</v>
      </c>
      <c r="BY14" s="2855">
        <f t="shared" si="56"/>
        <v>14.476009501187658</v>
      </c>
      <c r="BZ14" s="2855">
        <f t="shared" si="56"/>
        <v>2.901581926530894</v>
      </c>
      <c r="CA14" s="2855">
        <f t="shared" si="56"/>
        <v>2.4616476585310743</v>
      </c>
      <c r="CB14" s="2855">
        <f t="shared" si="56"/>
        <v>-4.943558417431559</v>
      </c>
      <c r="CC14" s="2855">
        <f t="shared" si="56"/>
        <v>5.4375010351623843</v>
      </c>
      <c r="CD14" s="2855">
        <f t="shared" si="56"/>
        <v>3.3506126295947292</v>
      </c>
      <c r="CE14" s="2855">
        <f t="shared" ref="CE14:CL14" si="57">+CE240</f>
        <v>-4.9473348228534881</v>
      </c>
      <c r="CF14" s="2855">
        <f t="shared" si="57"/>
        <v>3.9208161437845668</v>
      </c>
      <c r="CG14" s="2855">
        <f t="shared" si="57"/>
        <v>1.2832743498999877</v>
      </c>
      <c r="CH14" s="2855">
        <f t="shared" si="57"/>
        <v>1.765313563441917</v>
      </c>
      <c r="CI14" s="2855">
        <f t="shared" si="57"/>
        <v>1.5480846744095667</v>
      </c>
      <c r="CJ14" s="2855">
        <f t="shared" si="57"/>
        <v>2.5726592476074339</v>
      </c>
      <c r="CK14" s="2855">
        <f t="shared" si="57"/>
        <v>-0.70227738523498395</v>
      </c>
      <c r="CL14" s="2855">
        <f t="shared" si="57"/>
        <v>0.66827360247103673</v>
      </c>
      <c r="CM14" s="2855">
        <f t="shared" ref="CM14:CT14" si="58">+CM240</f>
        <v>-0.96492988845239269</v>
      </c>
      <c r="CN14" s="2855">
        <f t="shared" si="58"/>
        <v>2.293226007267668</v>
      </c>
      <c r="CO14" s="2855">
        <f t="shared" si="58"/>
        <v>1.1138316090408606</v>
      </c>
      <c r="CP14" s="2855">
        <f t="shared" si="58"/>
        <v>2.233917473825664</v>
      </c>
      <c r="CQ14" s="2855">
        <f t="shared" si="58"/>
        <v>6.1610076670317593</v>
      </c>
      <c r="CR14" s="2855">
        <f t="shared" si="58"/>
        <v>2.1382512251741037</v>
      </c>
      <c r="CS14" s="2855">
        <f t="shared" si="58"/>
        <v>3.3043763731407383</v>
      </c>
      <c r="CT14" s="2855">
        <f t="shared" si="58"/>
        <v>2.9872272810609335</v>
      </c>
      <c r="CU14" s="2855">
        <f t="shared" ref="CU14:DB14" si="59">+CU240</f>
        <v>0.8</v>
      </c>
      <c r="CV14" s="2855">
        <f t="shared" si="59"/>
        <v>0.8</v>
      </c>
      <c r="CW14" s="2855">
        <f t="shared" si="59"/>
        <v>0.8</v>
      </c>
      <c r="CX14" s="2855">
        <f t="shared" si="59"/>
        <v>0.75</v>
      </c>
      <c r="CY14" s="2855">
        <f t="shared" si="59"/>
        <v>1.5</v>
      </c>
      <c r="CZ14" s="2855">
        <f t="shared" si="59"/>
        <v>1.6</v>
      </c>
      <c r="DA14" s="2855">
        <f t="shared" si="59"/>
        <v>1.6</v>
      </c>
      <c r="DB14" s="2855">
        <f t="shared" si="59"/>
        <v>1.6</v>
      </c>
      <c r="DC14">
        <f ca="1">CP243</f>
        <v>3.5277957090910519</v>
      </c>
      <c r="DD14">
        <f>CT242</f>
        <v>13.580611792522546</v>
      </c>
      <c r="DE14">
        <f ca="1">CT243</f>
        <v>12.812325047587052</v>
      </c>
      <c r="DF14">
        <f>CX242</f>
        <v>6.4978108278907172</v>
      </c>
      <c r="DG14">
        <f ca="1">CX243</f>
        <v>6.4999999999999716</v>
      </c>
      <c r="DI14" s="3194">
        <v>3.7100412173419244</v>
      </c>
      <c r="DJ14" s="3194">
        <v>3.7194458133919142</v>
      </c>
      <c r="DK14" s="3194">
        <v>4.1871073491434885</v>
      </c>
      <c r="DL14" s="3194">
        <v>4.2032303881083095</v>
      </c>
      <c r="DM14" s="3194">
        <v>3.9216622332840245</v>
      </c>
      <c r="DN14" s="3194">
        <v>3.9304277297574401</v>
      </c>
    </row>
    <row r="15" spans="1:119">
      <c r="B15" s="665">
        <v>24</v>
      </c>
      <c r="C15" s="674"/>
      <c r="D15" s="717"/>
      <c r="E15" s="718" t="s">
        <v>1269</v>
      </c>
      <c r="F15" s="924"/>
      <c r="G15" s="2854"/>
      <c r="H15" s="2854">
        <f t="shared" ref="H15:BD15" si="60">+H263</f>
        <v>2.0272984805562722</v>
      </c>
      <c r="I15" s="2854">
        <f t="shared" si="60"/>
        <v>2.5241561745903418E-2</v>
      </c>
      <c r="J15" s="2854">
        <f t="shared" si="60"/>
        <v>2.3953244236282423</v>
      </c>
      <c r="K15" s="2854">
        <f t="shared" si="60"/>
        <v>1.0331128439191151</v>
      </c>
      <c r="L15" s="2854">
        <f t="shared" si="60"/>
        <v>-0.40101864590347258</v>
      </c>
      <c r="M15" s="2854">
        <f t="shared" si="60"/>
        <v>3.4669566410000519</v>
      </c>
      <c r="N15" s="2854">
        <f t="shared" si="60"/>
        <v>0.69212342709978891</v>
      </c>
      <c r="O15" s="2854">
        <f t="shared" si="60"/>
        <v>1.4499567457780138</v>
      </c>
      <c r="P15" s="2854">
        <f t="shared" si="60"/>
        <v>3.1977013624988393</v>
      </c>
      <c r="Q15" s="2854">
        <f t="shared" si="60"/>
        <v>2.9629962277707866</v>
      </c>
      <c r="R15" s="2854">
        <f t="shared" si="60"/>
        <v>1.9155784680606081</v>
      </c>
      <c r="S15" s="2854">
        <f t="shared" si="60"/>
        <v>2.0712971284289727</v>
      </c>
      <c r="T15" s="2854">
        <f t="shared" si="60"/>
        <v>1.7391304347826209</v>
      </c>
      <c r="U15" s="2854">
        <f t="shared" si="60"/>
        <v>0.92146148076719392</v>
      </c>
      <c r="V15" s="2854">
        <f t="shared" si="60"/>
        <v>4.0833993482758402E-3</v>
      </c>
      <c r="W15" s="2854">
        <f t="shared" si="60"/>
        <v>-1.5034462483258682</v>
      </c>
      <c r="X15" s="2854">
        <f t="shared" si="60"/>
        <v>0.36895473878832963</v>
      </c>
      <c r="Y15" s="2854">
        <f t="shared" si="60"/>
        <v>-1.5769561194818982</v>
      </c>
      <c r="Z15" s="2854">
        <f t="shared" si="60"/>
        <v>0.14687738675753792</v>
      </c>
      <c r="AA15" s="2854">
        <f t="shared" si="60"/>
        <v>2.1689210707162232</v>
      </c>
      <c r="AB15" s="2854">
        <f t="shared" si="60"/>
        <v>1.2049872857025523</v>
      </c>
      <c r="AC15" s="2854">
        <f t="shared" si="60"/>
        <v>1.3251849990679077</v>
      </c>
      <c r="AD15" s="2854">
        <f t="shared" si="60"/>
        <v>1.6478154446701865</v>
      </c>
      <c r="AE15" s="2854">
        <f t="shared" si="60"/>
        <v>2.8337818908667378</v>
      </c>
      <c r="AF15" s="2854">
        <f t="shared" si="60"/>
        <v>-5.5863784197429656E-2</v>
      </c>
      <c r="AG15" s="2854">
        <f t="shared" si="60"/>
        <v>2.2335033154162964</v>
      </c>
      <c r="AH15" s="2854">
        <f t="shared" si="60"/>
        <v>2.3921689048000516</v>
      </c>
      <c r="AI15" s="2854">
        <f t="shared" si="60"/>
        <v>0.37084988260078777</v>
      </c>
      <c r="AJ15" s="2854">
        <f t="shared" si="60"/>
        <v>2.9682262060924058</v>
      </c>
      <c r="AK15" s="2854">
        <f t="shared" si="60"/>
        <v>1.5853580856800997</v>
      </c>
      <c r="AL15" s="2854">
        <f t="shared" si="60"/>
        <v>1.4902496290052136</v>
      </c>
      <c r="AM15" s="2854">
        <f t="shared" si="60"/>
        <v>4.2389752320281193</v>
      </c>
      <c r="AN15" s="2854">
        <f t="shared" si="60"/>
        <v>1.5410248473792798</v>
      </c>
      <c r="AO15" s="2854">
        <f t="shared" si="60"/>
        <v>2.7142366087931968</v>
      </c>
      <c r="AP15" s="2854">
        <f t="shared" si="60"/>
        <v>1.6934811709140574</v>
      </c>
      <c r="AQ15" s="2854">
        <f t="shared" si="60"/>
        <v>1.5311634607026336</v>
      </c>
      <c r="AR15" s="2854">
        <f t="shared" si="60"/>
        <v>1.7692025440313008</v>
      </c>
      <c r="AS15" s="2854">
        <f t="shared" si="60"/>
        <v>0.85149597687681489</v>
      </c>
      <c r="AT15" s="2854">
        <f t="shared" si="60"/>
        <v>2.5507954477745232</v>
      </c>
      <c r="AU15" s="2854">
        <f t="shared" si="60"/>
        <v>28.642182777393678</v>
      </c>
      <c r="AV15" s="2854">
        <f t="shared" si="60"/>
        <v>1.4175659659410034</v>
      </c>
      <c r="AW15" s="2854">
        <f t="shared" si="60"/>
        <v>2.8800762689711545</v>
      </c>
      <c r="AX15" s="2854">
        <f t="shared" si="60"/>
        <v>2.2987474964875965</v>
      </c>
      <c r="AY15" s="2854">
        <f t="shared" si="60"/>
        <v>0.33019694933085209</v>
      </c>
      <c r="AZ15" s="2854">
        <f t="shared" si="60"/>
        <v>2.3969710208242345</v>
      </c>
      <c r="BA15" s="2854">
        <f t="shared" si="60"/>
        <v>1.7392911997269334</v>
      </c>
      <c r="BB15" s="2854">
        <f t="shared" si="60"/>
        <v>2.9732034275010921</v>
      </c>
      <c r="BC15" s="2854">
        <f t="shared" si="60"/>
        <v>3.0149594113973999</v>
      </c>
      <c r="BD15" s="2854">
        <f t="shared" si="60"/>
        <v>2.8516083123591773</v>
      </c>
      <c r="BE15" s="2854">
        <f t="shared" ref="BE15:BN15" si="61">+BE263</f>
        <v>2.675173924741503</v>
      </c>
      <c r="BF15" s="2854">
        <f t="shared" si="61"/>
        <v>1.8018692521743596</v>
      </c>
      <c r="BG15" s="2854">
        <f t="shared" si="61"/>
        <v>-0.49642695169336282</v>
      </c>
      <c r="BH15" s="2854">
        <f t="shared" si="61"/>
        <v>0.86107073344994234</v>
      </c>
      <c r="BI15" s="2854">
        <f t="shared" si="61"/>
        <v>-1.0857750039693581</v>
      </c>
      <c r="BJ15" s="2854">
        <f t="shared" si="61"/>
        <v>-1.1890650466735986</v>
      </c>
      <c r="BK15" s="2854">
        <f t="shared" si="61"/>
        <v>-13.108403623867538</v>
      </c>
      <c r="BL15" s="2854">
        <f t="shared" si="61"/>
        <v>-1.058459768461939</v>
      </c>
      <c r="BM15" s="2854">
        <f t="shared" si="61"/>
        <v>0.5886713469672511</v>
      </c>
      <c r="BN15" s="2854">
        <f t="shared" si="61"/>
        <v>-1.5447083983584742</v>
      </c>
      <c r="BO15" s="2854">
        <f t="shared" ref="BO15:BZ15" si="62">+BO263</f>
        <v>0.98334189476771972</v>
      </c>
      <c r="BP15" s="2854">
        <f t="shared" si="62"/>
        <v>1.6728435433471578</v>
      </c>
      <c r="BQ15" s="2854">
        <f t="shared" si="62"/>
        <v>-6.861455772200209E-2</v>
      </c>
      <c r="BR15" s="2854">
        <f t="shared" si="62"/>
        <v>2.4846941694798952</v>
      </c>
      <c r="BS15" s="2854">
        <f>+BS263</f>
        <v>1.903831390885613</v>
      </c>
      <c r="BT15" s="2854">
        <f>+BT263</f>
        <v>1.5915845991590238</v>
      </c>
      <c r="BU15" s="2854">
        <f>+BU263</f>
        <v>0.51637432419677776</v>
      </c>
      <c r="BV15" s="2854">
        <f>+BV263</f>
        <v>1.2313222630576437</v>
      </c>
      <c r="BW15" s="2854">
        <f t="shared" si="62"/>
        <v>0.70224719101124045</v>
      </c>
      <c r="BX15" s="2854">
        <f t="shared" si="62"/>
        <v>0.1434172784926746</v>
      </c>
      <c r="BY15" s="2854">
        <f t="shared" si="62"/>
        <v>2.5055511029943078</v>
      </c>
      <c r="BZ15" s="2854">
        <f t="shared" si="62"/>
        <v>0.5268015073444543</v>
      </c>
      <c r="CA15" s="2854">
        <f t="shared" ref="CA15:CH15" si="63">+CA263</f>
        <v>0.21038136403626062</v>
      </c>
      <c r="CB15" s="2854">
        <f t="shared" si="63"/>
        <v>0.90973865689492062</v>
      </c>
      <c r="CC15" s="2854">
        <f t="shared" si="63"/>
        <v>1.3504142026756316</v>
      </c>
      <c r="CD15" s="2854">
        <f t="shared" si="63"/>
        <v>0.89201293854193064</v>
      </c>
      <c r="CE15" s="2854">
        <f t="shared" si="63"/>
        <v>1.2330912364205915</v>
      </c>
      <c r="CF15" s="2854">
        <f t="shared" si="63"/>
        <v>0.66628500432412974</v>
      </c>
      <c r="CG15" s="2854">
        <f t="shared" si="63"/>
        <v>0.29040220705676134</v>
      </c>
      <c r="CH15" s="2854">
        <f t="shared" si="63"/>
        <v>0.23526856811930674</v>
      </c>
      <c r="CI15" s="2854">
        <f t="shared" ref="CI15:CP15" si="64">+CI263</f>
        <v>0.47424740307415725</v>
      </c>
      <c r="CJ15" s="2854">
        <f t="shared" si="64"/>
        <v>0.85776239023396261</v>
      </c>
      <c r="CK15" s="2854">
        <f t="shared" si="64"/>
        <v>0.74237727018968691</v>
      </c>
      <c r="CL15" s="2854">
        <f t="shared" si="64"/>
        <v>0.14030702478364798</v>
      </c>
      <c r="CM15" s="2854">
        <f t="shared" si="64"/>
        <v>0.33909081275829145</v>
      </c>
      <c r="CN15" s="2854">
        <f t="shared" si="64"/>
        <v>0.63482005608945791</v>
      </c>
      <c r="CO15" s="2854">
        <f t="shared" si="64"/>
        <v>1.033091579021006</v>
      </c>
      <c r="CP15" s="2854">
        <f t="shared" si="64"/>
        <v>1.1714061490167182</v>
      </c>
      <c r="CQ15" s="2854">
        <f t="shared" ref="CQ15:CX15" si="65">+CQ263</f>
        <v>1.0859769800257935</v>
      </c>
      <c r="CR15" s="2854">
        <f t="shared" si="65"/>
        <v>0.71771144840040435</v>
      </c>
      <c r="CS15" s="2854">
        <f t="shared" si="65"/>
        <v>0.54789302080648916</v>
      </c>
      <c r="CT15" s="2854">
        <f>+CT263</f>
        <v>1.3505683084466202</v>
      </c>
      <c r="CU15" s="2854">
        <f t="shared" si="65"/>
        <v>0.64000000000000046</v>
      </c>
      <c r="CV15" s="2854">
        <f t="shared" si="65"/>
        <v>0.64000000000000268</v>
      </c>
      <c r="CW15" s="2854">
        <f t="shared" si="65"/>
        <v>0.63999999999999979</v>
      </c>
      <c r="CX15" s="2854">
        <f t="shared" si="65"/>
        <v>0.72489778708730856</v>
      </c>
      <c r="CY15" s="2854">
        <f t="shared" ref="CY15:DB15" si="66">+CY263</f>
        <v>0.64000000000000046</v>
      </c>
      <c r="CZ15" s="2854">
        <f t="shared" si="66"/>
        <v>0.64000000000000123</v>
      </c>
      <c r="DA15" s="2854">
        <f t="shared" si="66"/>
        <v>0.64000000000000123</v>
      </c>
      <c r="DB15" s="2854">
        <f t="shared" si="66"/>
        <v>0.61512319845919095</v>
      </c>
      <c r="DC15" s="3194">
        <f ca="1">CP265</f>
        <v>2.3448829366414117</v>
      </c>
      <c r="DD15" s="3194">
        <f>CT264</f>
        <v>3.8413641708225441</v>
      </c>
      <c r="DE15" s="3194">
        <f ca="1">CT265</f>
        <v>3.8289347486644374</v>
      </c>
      <c r="DF15" s="3194">
        <f>CX264</f>
        <v>3.1199999999999903</v>
      </c>
      <c r="DG15" s="3194">
        <f ca="1">CX265</f>
        <v>3.1205873424164423</v>
      </c>
      <c r="DI15" s="3194">
        <v>1.6817302323734964</v>
      </c>
      <c r="DJ15" s="3194">
        <v>1.6817302323734822</v>
      </c>
      <c r="DK15" s="3194">
        <v>1.6617704561005411</v>
      </c>
      <c r="DL15" s="3194">
        <v>1.6617704561005411</v>
      </c>
      <c r="DM15" s="3194">
        <v>1.7175075267257682</v>
      </c>
      <c r="DN15" s="3194">
        <v>1.7175075267257967</v>
      </c>
    </row>
    <row r="16" spans="1:119">
      <c r="BV16" s="3199" t="s">
        <v>2350</v>
      </c>
      <c r="BW16" s="3199">
        <v>0.3</v>
      </c>
      <c r="BX16" s="3199">
        <v>0.6</v>
      </c>
      <c r="BY16" s="3199">
        <v>1.2</v>
      </c>
      <c r="BZ16" s="3199">
        <v>1</v>
      </c>
      <c r="CA16" s="3199">
        <v>0.6</v>
      </c>
      <c r="CB16" s="3199">
        <v>0.6</v>
      </c>
      <c r="CC16" s="3199">
        <v>0.7</v>
      </c>
      <c r="CD16" s="3199">
        <v>0.8</v>
      </c>
      <c r="CE16" s="3199">
        <v>0.9</v>
      </c>
      <c r="CF16" s="3199">
        <v>1</v>
      </c>
      <c r="CG16" s="3199">
        <v>1</v>
      </c>
      <c r="CH16" s="3199">
        <v>1</v>
      </c>
      <c r="CI16" s="3199"/>
      <c r="CJ16" s="3199"/>
      <c r="CK16" s="3199"/>
      <c r="CL16" s="3199"/>
      <c r="CM16" s="3199"/>
      <c r="CN16" s="3199"/>
      <c r="CO16" s="3199"/>
      <c r="CP16" s="3199"/>
      <c r="CQ16" s="3199"/>
      <c r="CR16" s="3199"/>
      <c r="CS16" s="3199"/>
      <c r="CT16" s="3199"/>
      <c r="CU16" s="3199"/>
      <c r="CV16" s="3199"/>
      <c r="CW16" s="3199"/>
      <c r="CX16" s="3199"/>
      <c r="CY16" s="3199"/>
      <c r="CZ16" s="3199"/>
      <c r="DA16" s="3199"/>
      <c r="DB16" s="3199"/>
      <c r="DC16" s="3194"/>
    </row>
    <row r="17" spans="1:119">
      <c r="BV17" s="3196" t="s">
        <v>2129</v>
      </c>
      <c r="BW17" s="3196">
        <f>BW15</f>
        <v>0.70224719101124045</v>
      </c>
      <c r="BX17" s="3196">
        <f t="shared" ref="BX17:CD17" si="67">BX15</f>
        <v>0.1434172784926746</v>
      </c>
      <c r="BY17" s="3196">
        <f t="shared" si="67"/>
        <v>2.5055511029943078</v>
      </c>
      <c r="BZ17" s="3196">
        <f t="shared" si="67"/>
        <v>0.5268015073444543</v>
      </c>
      <c r="CA17" s="3196">
        <f t="shared" si="67"/>
        <v>0.21038136403626062</v>
      </c>
      <c r="CB17" s="3196">
        <f t="shared" si="67"/>
        <v>0.90973865689492062</v>
      </c>
      <c r="CC17" s="3196">
        <f t="shared" si="67"/>
        <v>1.3504142026756316</v>
      </c>
      <c r="CD17" s="3196">
        <f t="shared" si="67"/>
        <v>0.89201293854193064</v>
      </c>
      <c r="CE17" s="3196">
        <f t="shared" ref="CE17:CL17" si="68">CE15</f>
        <v>1.2330912364205915</v>
      </c>
      <c r="CF17" s="3196">
        <f t="shared" si="68"/>
        <v>0.66628500432412974</v>
      </c>
      <c r="CG17" s="3196">
        <f t="shared" si="68"/>
        <v>0.29040220705676134</v>
      </c>
      <c r="CH17" s="3196">
        <f t="shared" si="68"/>
        <v>0.23526856811930674</v>
      </c>
      <c r="CI17" s="3196">
        <f t="shared" si="68"/>
        <v>0.47424740307415725</v>
      </c>
      <c r="CJ17" s="3196">
        <f t="shared" si="68"/>
        <v>0.85776239023396261</v>
      </c>
      <c r="CK17" s="3196">
        <f t="shared" si="68"/>
        <v>0.74237727018968691</v>
      </c>
      <c r="CL17" s="3196">
        <f t="shared" si="68"/>
        <v>0.14030702478364798</v>
      </c>
      <c r="CM17" s="3196">
        <f t="shared" ref="CM17:CT17" si="69">CM15</f>
        <v>0.33909081275829145</v>
      </c>
      <c r="CN17" s="3196">
        <f t="shared" si="69"/>
        <v>0.63482005608945791</v>
      </c>
      <c r="CO17" s="3196">
        <f t="shared" si="69"/>
        <v>1.033091579021006</v>
      </c>
      <c r="CP17" s="3196">
        <f t="shared" si="69"/>
        <v>1.1714061490167182</v>
      </c>
      <c r="CQ17" s="3196">
        <f t="shared" si="69"/>
        <v>1.0859769800257935</v>
      </c>
      <c r="CR17" s="3196">
        <f t="shared" si="69"/>
        <v>0.71771144840040435</v>
      </c>
      <c r="CS17" s="3196">
        <f t="shared" si="69"/>
        <v>0.54789302080648916</v>
      </c>
      <c r="CT17" s="3196">
        <f t="shared" si="69"/>
        <v>1.3505683084466202</v>
      </c>
      <c r="CU17" s="3196">
        <f t="shared" ref="CU17:DB17" si="70">CU15</f>
        <v>0.64000000000000046</v>
      </c>
      <c r="CV17" s="3196">
        <f t="shared" si="70"/>
        <v>0.64000000000000268</v>
      </c>
      <c r="CW17" s="3196">
        <f t="shared" si="70"/>
        <v>0.63999999999999979</v>
      </c>
      <c r="CX17" s="3196">
        <f t="shared" si="70"/>
        <v>0.72489778708730856</v>
      </c>
      <c r="CY17" s="3196">
        <f t="shared" si="70"/>
        <v>0.64000000000000046</v>
      </c>
      <c r="CZ17" s="3196">
        <f t="shared" si="70"/>
        <v>0.64000000000000123</v>
      </c>
      <c r="DA17" s="3196">
        <f t="shared" si="70"/>
        <v>0.64000000000000123</v>
      </c>
      <c r="DB17" s="3196">
        <f t="shared" si="70"/>
        <v>0.61512319845919095</v>
      </c>
    </row>
    <row r="18" spans="1:119" ht="30" customHeight="1">
      <c r="C18" s="3766" t="s">
        <v>1069</v>
      </c>
      <c r="D18" s="3766"/>
      <c r="E18" s="3766"/>
      <c r="F18" s="3766"/>
      <c r="AX18" s="217">
        <f>+AX23/AT23</f>
        <v>1.4452526137751898</v>
      </c>
      <c r="BM18" s="557" t="s">
        <v>1706</v>
      </c>
      <c r="BV18" s="3199" t="s">
        <v>2138</v>
      </c>
      <c r="BW18" s="3199">
        <v>0.1</v>
      </c>
      <c r="BX18" s="3199">
        <v>0.5</v>
      </c>
      <c r="BY18" s="3200">
        <v>0.9</v>
      </c>
      <c r="BZ18" s="3199">
        <v>0.7</v>
      </c>
      <c r="CA18" s="3199">
        <v>0.7</v>
      </c>
      <c r="CB18" s="3199">
        <v>0.7</v>
      </c>
      <c r="CC18" s="3199">
        <v>0.8</v>
      </c>
      <c r="CD18" s="3199">
        <v>0.9</v>
      </c>
      <c r="CE18" s="3199">
        <v>0.9</v>
      </c>
      <c r="CF18" s="3199">
        <v>0.9</v>
      </c>
      <c r="CG18" s="3199">
        <v>0.9</v>
      </c>
      <c r="CH18" s="3199">
        <v>0.9</v>
      </c>
      <c r="CI18" s="3199"/>
      <c r="CJ18" s="3199"/>
      <c r="CK18" s="3199"/>
      <c r="CL18" s="3199"/>
      <c r="CM18" s="3199"/>
      <c r="CN18" s="3199"/>
      <c r="CO18" s="3199"/>
      <c r="CP18" s="3199"/>
      <c r="CQ18" s="3199"/>
      <c r="CR18" s="3199"/>
      <c r="CS18" s="3199"/>
      <c r="CT18" s="3199"/>
      <c r="CU18" s="3199"/>
      <c r="CV18" s="3199"/>
      <c r="CW18" s="3199"/>
      <c r="CX18" s="3199"/>
      <c r="CY18" s="3199"/>
      <c r="CZ18" s="3199"/>
      <c r="DA18" s="3199"/>
      <c r="DB18" s="3199"/>
    </row>
    <row r="19" spans="1:119">
      <c r="C19" s="665"/>
      <c r="D19" s="665"/>
      <c r="E19" s="665"/>
      <c r="F19" s="665"/>
      <c r="BV19" s="3199"/>
      <c r="BW19" s="3199"/>
      <c r="BX19" s="3199"/>
      <c r="BY19" s="3199"/>
      <c r="BZ19" s="3199"/>
      <c r="CA19" s="3199"/>
      <c r="CB19" s="3199"/>
      <c r="CC19" s="3199"/>
      <c r="CD19" s="3199"/>
      <c r="CE19" s="3199"/>
      <c r="CF19" s="3199"/>
      <c r="CG19" s="3199"/>
      <c r="CH19" s="3199"/>
      <c r="CI19" s="3199"/>
      <c r="CJ19" s="3199"/>
      <c r="CK19" s="3199"/>
      <c r="CL19" s="3199"/>
      <c r="CM19" s="3199"/>
      <c r="CN19" s="3199"/>
      <c r="CO19" s="3199"/>
      <c r="CP19" s="3199"/>
      <c r="CQ19" s="3199"/>
      <c r="CR19" s="3199"/>
      <c r="CS19" s="3199"/>
      <c r="CT19" s="3199"/>
      <c r="CU19" s="3199"/>
      <c r="CV19" s="3199"/>
      <c r="CW19" s="3199"/>
      <c r="CX19" s="3199"/>
      <c r="CY19" s="3199"/>
      <c r="CZ19" s="3199"/>
      <c r="DA19" s="3199"/>
      <c r="DB19" s="3199"/>
    </row>
    <row r="20" spans="1:119">
      <c r="E20" s="599"/>
      <c r="F20" s="3617"/>
      <c r="G20" s="3763">
        <f ca="1">OFFSET(InputY!$G$3,0,(COLUMN()-7)/4)</f>
        <v>1995</v>
      </c>
      <c r="H20" s="3764"/>
      <c r="I20" s="3764"/>
      <c r="J20" s="3765"/>
      <c r="K20" s="3763">
        <f ca="1">OFFSET(InputY!$G$3,0,(COLUMN()-7)/4)</f>
        <v>1996</v>
      </c>
      <c r="L20" s="3764"/>
      <c r="M20" s="3764"/>
      <c r="N20" s="3765"/>
      <c r="O20" s="3763">
        <f ca="1">OFFSET(InputY!$G$3,0,(COLUMN()-7)/4)</f>
        <v>1997</v>
      </c>
      <c r="P20" s="3764"/>
      <c r="Q20" s="3764"/>
      <c r="R20" s="3765"/>
      <c r="S20" s="3763">
        <f ca="1">OFFSET(InputY!$G$3,0,(COLUMN()-7)/4)</f>
        <v>1998</v>
      </c>
      <c r="T20" s="3764"/>
      <c r="U20" s="3764"/>
      <c r="V20" s="3765"/>
      <c r="W20" s="3763">
        <f ca="1">OFFSET(InputY!$G$3,0,(COLUMN()-7)/4)</f>
        <v>1999</v>
      </c>
      <c r="X20" s="3764"/>
      <c r="Y20" s="3764"/>
      <c r="Z20" s="3765"/>
      <c r="AA20" s="3763">
        <f ca="1">OFFSET(InputY!$G$3,0,(COLUMN()-7)/4)</f>
        <v>2000</v>
      </c>
      <c r="AB20" s="3764"/>
      <c r="AC20" s="3764"/>
      <c r="AD20" s="3765"/>
      <c r="AE20" s="3763">
        <f ca="1">OFFSET(InputY!$G$3,0,(COLUMN()-7)/4)</f>
        <v>2001</v>
      </c>
      <c r="AF20" s="3764"/>
      <c r="AG20" s="3764"/>
      <c r="AH20" s="3765"/>
      <c r="AI20" s="3763">
        <f ca="1">OFFSET(InputY!$G$3,0,(COLUMN()-7)/4)</f>
        <v>2002</v>
      </c>
      <c r="AJ20" s="3764"/>
      <c r="AK20" s="3764"/>
      <c r="AL20" s="3765"/>
      <c r="AM20" s="3763">
        <f ca="1">OFFSET(InputY!$G$3,0,(COLUMN()-7)/4)</f>
        <v>2003</v>
      </c>
      <c r="AN20" s="3764"/>
      <c r="AO20" s="3764"/>
      <c r="AP20" s="3765"/>
      <c r="AQ20" s="3763">
        <f ca="1">OFFSET(InputY!$G$3,0,(COLUMN()-7)/4)</f>
        <v>2004</v>
      </c>
      <c r="AR20" s="3764"/>
      <c r="AS20" s="3764"/>
      <c r="AT20" s="3765"/>
      <c r="AU20" s="3763">
        <f ca="1">OFFSET(InputY!$G$3,0,(COLUMN()-7)/4)</f>
        <v>2005</v>
      </c>
      <c r="AV20" s="3764"/>
      <c r="AW20" s="3764"/>
      <c r="AX20" s="3765"/>
      <c r="AY20" s="3763">
        <f ca="1">OFFSET(InputY!$G$3,0,(COLUMN()-7)/4)</f>
        <v>2006</v>
      </c>
      <c r="AZ20" s="3764"/>
      <c r="BA20" s="3764"/>
      <c r="BB20" s="3765"/>
      <c r="BC20" s="3763">
        <f ca="1">OFFSET(InputY!$G$3,0,(COLUMN()-7)/4)</f>
        <v>2007</v>
      </c>
      <c r="BD20" s="3764"/>
      <c r="BE20" s="3764"/>
      <c r="BF20" s="3765"/>
      <c r="BG20" s="3763">
        <f ca="1">OFFSET(InputY!$G$3,0,(COLUMN()-7)/4)</f>
        <v>2008</v>
      </c>
      <c r="BH20" s="3764"/>
      <c r="BI20" s="3764"/>
      <c r="BJ20" s="3765"/>
      <c r="BK20" s="3763">
        <f ca="1">OFFSET(InputY!$G$3,0,(COLUMN()-7)/4)</f>
        <v>2009</v>
      </c>
      <c r="BL20" s="3764"/>
      <c r="BM20" s="3764"/>
      <c r="BN20" s="3765"/>
      <c r="BO20" s="3763">
        <f ca="1">OFFSET(InputY!$G$3,0,(COLUMN()-7)/4)</f>
        <v>2010</v>
      </c>
      <c r="BP20" s="3764"/>
      <c r="BQ20" s="3764"/>
      <c r="BR20" s="3765"/>
      <c r="BS20" s="3763">
        <f ca="1">OFFSET(InputY!$G$3,0,(COLUMN()-7)/4)</f>
        <v>2011</v>
      </c>
      <c r="BT20" s="3764"/>
      <c r="BU20" s="3764"/>
      <c r="BV20" s="3765"/>
      <c r="BW20" s="3763">
        <f ca="1">OFFSET(InputY!$G$3,0,(COLUMN()-7)/4)</f>
        <v>2012</v>
      </c>
      <c r="BX20" s="3764"/>
      <c r="BY20" s="3764"/>
      <c r="BZ20" s="3765"/>
      <c r="CA20" s="3763">
        <f ca="1">OFFSET(InputY!$G$3,0,(COLUMN()-7)/4)</f>
        <v>2013</v>
      </c>
      <c r="CB20" s="3764"/>
      <c r="CC20" s="3764"/>
      <c r="CD20" s="3765"/>
      <c r="CE20" s="3763">
        <f ca="1">OFFSET(InputY!$G$3,0,(COLUMN()-7)/4)</f>
        <v>2014</v>
      </c>
      <c r="CF20" s="3764"/>
      <c r="CG20" s="3764"/>
      <c r="CH20" s="3765"/>
      <c r="CI20" s="3763">
        <f ca="1">OFFSET(InputY!$G$3,0,(COLUMN()-7)/4)</f>
        <v>2015</v>
      </c>
      <c r="CJ20" s="3764"/>
      <c r="CK20" s="3764"/>
      <c r="CL20" s="3765"/>
      <c r="CM20" s="3763">
        <f ca="1">OFFSET(InputY!$G$3,0,(COLUMN()-7)/4)</f>
        <v>2016</v>
      </c>
      <c r="CN20" s="3764"/>
      <c r="CO20" s="3764"/>
      <c r="CP20" s="3765"/>
      <c r="CQ20" s="3763">
        <f ca="1">OFFSET(InputY!$G$3,0,(COLUMN()-7)/4)</f>
        <v>2017</v>
      </c>
      <c r="CR20" s="3764"/>
      <c r="CS20" s="3764"/>
      <c r="CT20" s="3765"/>
      <c r="CU20" s="3763">
        <f ca="1">OFFSET(InputY!$G$3,0,(COLUMN()-7)/4)</f>
        <v>2018</v>
      </c>
      <c r="CV20" s="3764"/>
      <c r="CW20" s="3764"/>
      <c r="CX20" s="3765"/>
      <c r="CY20" s="3763">
        <f ca="1">OFFSET(InputY!$G$3,0,(COLUMN()-7)/4)</f>
        <v>2019</v>
      </c>
      <c r="CZ20" s="3764"/>
      <c r="DA20" s="3764"/>
      <c r="DB20" s="3765"/>
    </row>
    <row r="21" spans="1:119" s="699" customFormat="1" ht="12.75" customHeight="1">
      <c r="A21" s="664"/>
      <c r="B21" s="664"/>
      <c r="C21" s="666"/>
      <c r="D21" s="695"/>
      <c r="E21" s="3618" t="s">
        <v>1892</v>
      </c>
      <c r="F21" s="3619"/>
      <c r="G21" s="1566" t="s">
        <v>1842</v>
      </c>
      <c r="H21" s="1567" t="s">
        <v>1843</v>
      </c>
      <c r="I21" s="1567" t="s">
        <v>1844</v>
      </c>
      <c r="J21" s="1568" t="s">
        <v>1845</v>
      </c>
      <c r="K21" s="1566" t="s">
        <v>1842</v>
      </c>
      <c r="L21" s="1567" t="s">
        <v>1843</v>
      </c>
      <c r="M21" s="1567" t="s">
        <v>1844</v>
      </c>
      <c r="N21" s="1568" t="s">
        <v>1845</v>
      </c>
      <c r="O21" s="1566" t="s">
        <v>1842</v>
      </c>
      <c r="P21" s="1567" t="s">
        <v>1843</v>
      </c>
      <c r="Q21" s="1567" t="s">
        <v>1844</v>
      </c>
      <c r="R21" s="1568" t="s">
        <v>1845</v>
      </c>
      <c r="S21" s="1566" t="s">
        <v>1842</v>
      </c>
      <c r="T21" s="1567" t="s">
        <v>1843</v>
      </c>
      <c r="U21" s="1567" t="s">
        <v>1844</v>
      </c>
      <c r="V21" s="1568" t="s">
        <v>1845</v>
      </c>
      <c r="W21" s="1566" t="s">
        <v>1842</v>
      </c>
      <c r="X21" s="1567" t="s">
        <v>1843</v>
      </c>
      <c r="Y21" s="1567" t="s">
        <v>1844</v>
      </c>
      <c r="Z21" s="1568" t="s">
        <v>1845</v>
      </c>
      <c r="AA21" s="1566" t="s">
        <v>1842</v>
      </c>
      <c r="AB21" s="1567" t="s">
        <v>1843</v>
      </c>
      <c r="AC21" s="1567" t="s">
        <v>1844</v>
      </c>
      <c r="AD21" s="1568" t="s">
        <v>1845</v>
      </c>
      <c r="AE21" s="1566" t="s">
        <v>1842</v>
      </c>
      <c r="AF21" s="1567" t="s">
        <v>1843</v>
      </c>
      <c r="AG21" s="1567" t="s">
        <v>1844</v>
      </c>
      <c r="AH21" s="1568" t="s">
        <v>1845</v>
      </c>
      <c r="AI21" s="1566" t="s">
        <v>1842</v>
      </c>
      <c r="AJ21" s="1567" t="s">
        <v>1843</v>
      </c>
      <c r="AK21" s="1567" t="s">
        <v>1844</v>
      </c>
      <c r="AL21" s="1568" t="s">
        <v>1845</v>
      </c>
      <c r="AM21" s="1566" t="s">
        <v>1842</v>
      </c>
      <c r="AN21" s="1567" t="s">
        <v>1843</v>
      </c>
      <c r="AO21" s="1567" t="s">
        <v>1844</v>
      </c>
      <c r="AP21" s="1568" t="s">
        <v>1845</v>
      </c>
      <c r="AQ21" s="1566" t="s">
        <v>1842</v>
      </c>
      <c r="AR21" s="1567" t="s">
        <v>1843</v>
      </c>
      <c r="AS21" s="1567" t="s">
        <v>1844</v>
      </c>
      <c r="AT21" s="1568" t="s">
        <v>1845</v>
      </c>
      <c r="AU21" s="1566" t="s">
        <v>1842</v>
      </c>
      <c r="AV21" s="1567" t="s">
        <v>1843</v>
      </c>
      <c r="AW21" s="1567" t="s">
        <v>1844</v>
      </c>
      <c r="AX21" s="1568" t="s">
        <v>1845</v>
      </c>
      <c r="AY21" s="1566" t="s">
        <v>1842</v>
      </c>
      <c r="AZ21" s="1567" t="s">
        <v>1843</v>
      </c>
      <c r="BA21" s="1567" t="s">
        <v>1844</v>
      </c>
      <c r="BB21" s="1568" t="s">
        <v>1845</v>
      </c>
      <c r="BC21" s="1566" t="s">
        <v>1842</v>
      </c>
      <c r="BD21" s="1567" t="s">
        <v>1843</v>
      </c>
      <c r="BE21" s="1567" t="s">
        <v>1844</v>
      </c>
      <c r="BF21" s="1568" t="s">
        <v>1845</v>
      </c>
      <c r="BG21" s="1566" t="s">
        <v>1842</v>
      </c>
      <c r="BH21" s="1567" t="s">
        <v>1843</v>
      </c>
      <c r="BI21" s="1567" t="s">
        <v>1844</v>
      </c>
      <c r="BJ21" s="1568" t="s">
        <v>1845</v>
      </c>
      <c r="BK21" s="1566" t="s">
        <v>1842</v>
      </c>
      <c r="BL21" s="1567" t="s">
        <v>1843</v>
      </c>
      <c r="BM21" s="1567" t="s">
        <v>1844</v>
      </c>
      <c r="BN21" s="1568" t="s">
        <v>1845</v>
      </c>
      <c r="BO21" s="1566" t="s">
        <v>1842</v>
      </c>
      <c r="BP21" s="1567" t="s">
        <v>1843</v>
      </c>
      <c r="BQ21" s="1567" t="s">
        <v>1844</v>
      </c>
      <c r="BR21" s="1568" t="s">
        <v>1845</v>
      </c>
      <c r="BS21" s="1566" t="s">
        <v>1842</v>
      </c>
      <c r="BT21" s="1567" t="s">
        <v>1843</v>
      </c>
      <c r="BU21" s="1567" t="s">
        <v>1844</v>
      </c>
      <c r="BV21" s="1568" t="s">
        <v>1845</v>
      </c>
      <c r="BW21" s="1566" t="s">
        <v>1842</v>
      </c>
      <c r="BX21" s="1567" t="s">
        <v>1843</v>
      </c>
      <c r="BY21" s="1567" t="s">
        <v>1844</v>
      </c>
      <c r="BZ21" s="1568" t="s">
        <v>1845</v>
      </c>
      <c r="CA21" s="1566" t="s">
        <v>1842</v>
      </c>
      <c r="CB21" s="1567" t="s">
        <v>1843</v>
      </c>
      <c r="CC21" s="1567" t="s">
        <v>1844</v>
      </c>
      <c r="CD21" s="1568" t="s">
        <v>1845</v>
      </c>
      <c r="CE21" s="1566" t="s">
        <v>1842</v>
      </c>
      <c r="CF21" s="1567" t="s">
        <v>1843</v>
      </c>
      <c r="CG21" s="1567" t="s">
        <v>1844</v>
      </c>
      <c r="CH21" s="1568" t="s">
        <v>1845</v>
      </c>
      <c r="CI21" s="1566" t="s">
        <v>1842</v>
      </c>
      <c r="CJ21" s="1567" t="s">
        <v>1843</v>
      </c>
      <c r="CK21" s="1567" t="s">
        <v>1844</v>
      </c>
      <c r="CL21" s="1568" t="s">
        <v>1845</v>
      </c>
      <c r="CM21" s="1566" t="s">
        <v>1842</v>
      </c>
      <c r="CN21" s="1567" t="s">
        <v>1843</v>
      </c>
      <c r="CO21" s="1567" t="s">
        <v>1844</v>
      </c>
      <c r="CP21" s="1568" t="s">
        <v>1845</v>
      </c>
      <c r="CQ21" s="1566" t="s">
        <v>1842</v>
      </c>
      <c r="CR21" s="1567" t="s">
        <v>1843</v>
      </c>
      <c r="CS21" s="1567" t="s">
        <v>1844</v>
      </c>
      <c r="CT21" s="1568" t="s">
        <v>1845</v>
      </c>
      <c r="CU21" s="1566" t="s">
        <v>1842</v>
      </c>
      <c r="CV21" s="1567" t="s">
        <v>1843</v>
      </c>
      <c r="CW21" s="1567" t="s">
        <v>1844</v>
      </c>
      <c r="CX21" s="1568" t="s">
        <v>1845</v>
      </c>
      <c r="CY21" s="1566" t="s">
        <v>1842</v>
      </c>
      <c r="CZ21" s="1567" t="s">
        <v>1843</v>
      </c>
      <c r="DA21" s="1567" t="s">
        <v>1844</v>
      </c>
      <c r="DB21" s="1568" t="s">
        <v>1845</v>
      </c>
      <c r="DC21"/>
      <c r="DD21"/>
      <c r="DE21"/>
      <c r="DF21"/>
      <c r="DG21"/>
      <c r="DH21"/>
      <c r="DI21"/>
      <c r="DJ21"/>
      <c r="DK21"/>
      <c r="DL21"/>
      <c r="DM21"/>
      <c r="DN21"/>
      <c r="DO21"/>
    </row>
    <row r="22" spans="1:119" s="699" customFormat="1" ht="12.75" customHeight="1">
      <c r="A22" s="664" t="str">
        <f>"Q" &amp; ROW(InputQ!A5)</f>
        <v>Q5</v>
      </c>
      <c r="C22" s="667"/>
      <c r="D22" s="668"/>
      <c r="E22" s="3620" t="s">
        <v>2131</v>
      </c>
      <c r="F22" s="3621"/>
      <c r="G22" s="1565">
        <f>InputQ!G5/1000</f>
        <v>1.62621640407785</v>
      </c>
      <c r="H22" s="780">
        <f>InputQ!H5/1000</f>
        <v>1.6685588507877664</v>
      </c>
      <c r="I22" s="780">
        <f>InputQ!I5/1000</f>
        <v>1.7066438832252087</v>
      </c>
      <c r="J22" s="780">
        <f>InputQ!J5/1000</f>
        <v>1.7344184430027805</v>
      </c>
      <c r="K22" s="780">
        <f>InputQ!K5/1000</f>
        <v>1.7539098702502318</v>
      </c>
      <c r="L22" s="780">
        <f>InputQ!L5/1000</f>
        <v>1.776905699721965</v>
      </c>
      <c r="M22" s="780">
        <f>InputQ!M5/1000</f>
        <v>1.7802942539388322</v>
      </c>
      <c r="N22" s="1589">
        <f>InputQ!N5/1000</f>
        <v>1.8378417516218721</v>
      </c>
      <c r="O22" s="780">
        <f>InputQ!O5/1000</f>
        <v>1.8682808155699722</v>
      </c>
      <c r="P22" s="780">
        <f>InputQ!P5/1000</f>
        <v>1.8650949953660798</v>
      </c>
      <c r="Q22" s="780">
        <f>InputQ!Q5/1000</f>
        <v>1.9053521779425395</v>
      </c>
      <c r="R22" s="1589">
        <f>InputQ!R5/1000</f>
        <v>1.9386584800741427</v>
      </c>
      <c r="S22" s="780">
        <f>InputQ!S5/1000</f>
        <v>1.9647822057460611</v>
      </c>
      <c r="T22" s="780">
        <f>InputQ!T5/1000</f>
        <v>1.9483897126969416</v>
      </c>
      <c r="U22" s="780">
        <f>InputQ!U5/1000</f>
        <v>2.0078197405004636</v>
      </c>
      <c r="V22" s="1589">
        <f>InputQ!V5/1000</f>
        <v>2.0156394810009268</v>
      </c>
      <c r="W22" s="780">
        <f>InputQ!W5/1000</f>
        <v>2.0052421223354959</v>
      </c>
      <c r="X22" s="780">
        <f>InputQ!X5/1000</f>
        <v>2.0949374420759965</v>
      </c>
      <c r="Y22" s="780">
        <f>InputQ!Y5/1000</f>
        <v>2.1180491195551436</v>
      </c>
      <c r="Z22" s="1589">
        <f>InputQ!Z5/1000</f>
        <v>2.1133862372567198</v>
      </c>
      <c r="AA22" s="780">
        <f>InputQ!AA5/1000</f>
        <v>2.1536723818350323</v>
      </c>
      <c r="AB22" s="780">
        <f>InputQ!AB5/1000</f>
        <v>2.2209511121408712</v>
      </c>
      <c r="AC22" s="780">
        <f>InputQ!AC5/1000</f>
        <v>2.2410797034291012</v>
      </c>
      <c r="AD22" s="1589">
        <f>InputQ!AD5/1000</f>
        <v>2.2661318350324375</v>
      </c>
      <c r="AE22" s="780">
        <f>InputQ!AE5/1000</f>
        <v>2.3153093141797965</v>
      </c>
      <c r="AF22" s="780">
        <f>InputQ!AF5/1000</f>
        <v>2.2809024559777571</v>
      </c>
      <c r="AG22" s="780">
        <f>InputQ!AG5/1000</f>
        <v>2.322376042632067</v>
      </c>
      <c r="AH22" s="1589">
        <f>InputQ!AH5/1000</f>
        <v>2.3685993975903616</v>
      </c>
      <c r="AI22" s="780">
        <f>InputQ!AI5/1000</f>
        <v>2.4167632066728455</v>
      </c>
      <c r="AJ22" s="780">
        <f>InputQ!AJ5/1000</f>
        <v>2.4448563484708066</v>
      </c>
      <c r="AK22" s="780">
        <f>InputQ!AK5/1000</f>
        <v>2.4770620945319739</v>
      </c>
      <c r="AL22" s="1589">
        <f>InputQ!AL5/1000</f>
        <v>2.5211132993512511</v>
      </c>
      <c r="AM22" s="780">
        <f>InputQ!AM5/1000</f>
        <v>2.6566265060240961</v>
      </c>
      <c r="AN22" s="780">
        <f>InputQ!AN5/1000</f>
        <v>2.7109881835032437</v>
      </c>
      <c r="AO22" s="780">
        <f>InputQ!AO5/1000</f>
        <v>2.7391971733086193</v>
      </c>
      <c r="AP22" s="1589">
        <f>InputQ!AP5/1000</f>
        <v>2.8600266450417058</v>
      </c>
      <c r="AQ22" s="780">
        <f>InputQ!AQ5/1000</f>
        <v>2.9140987025023168</v>
      </c>
      <c r="AR22" s="780">
        <f>InputQ!AR5/1000</f>
        <v>3.0182460611677477</v>
      </c>
      <c r="AS22" s="780">
        <f>InputQ!AS5/1000</f>
        <v>3.1173250695088046</v>
      </c>
      <c r="AT22" s="1589">
        <f>InputQ!AT5/1000</f>
        <v>3.1594068582020385</v>
      </c>
      <c r="AU22" s="780">
        <f>InputQ!AU5/1000</f>
        <v>4.1615000000000002</v>
      </c>
      <c r="AV22" s="780">
        <f>InputQ!AV5/1000</f>
        <v>4.3871000000000002</v>
      </c>
      <c r="AW22" s="780">
        <f>InputQ!AW5/1000</f>
        <v>4.4554999999999998</v>
      </c>
      <c r="AX22" s="1589">
        <f>InputQ!AX5/1000</f>
        <v>4.6411000000000007</v>
      </c>
      <c r="AY22" s="780">
        <f>InputQ!AY5/1000</f>
        <v>4.5007999999999999</v>
      </c>
      <c r="AZ22" s="780">
        <f>InputQ!AZ5/1000</f>
        <v>4.7203999999999997</v>
      </c>
      <c r="BA22" s="780">
        <f>InputQ!BA5/1000</f>
        <v>5.0039999999999996</v>
      </c>
      <c r="BB22" s="1589">
        <f>InputQ!BB5/1000</f>
        <v>5.0247999999999999</v>
      </c>
      <c r="BC22" s="780">
        <f>InputQ!BC5/1000</f>
        <v>5.2023999999999999</v>
      </c>
      <c r="BD22" s="780">
        <f>InputQ!BD5/1000</f>
        <v>5.3650000000000002</v>
      </c>
      <c r="BE22" s="780">
        <f>InputQ!BE5/1000</f>
        <v>5.3876999999999997</v>
      </c>
      <c r="BF22" s="1589">
        <f>InputQ!BF5/1000</f>
        <v>5.6846000000000005</v>
      </c>
      <c r="BG22" s="780">
        <f>InputQ!BG5/1000</f>
        <v>5.7126999999999999</v>
      </c>
      <c r="BH22" s="780">
        <f>InputQ!BH5/1000</f>
        <v>5.6909000000000001</v>
      </c>
      <c r="BI22" s="780">
        <f>InputQ!BI5/1000</f>
        <v>5.5774999999999997</v>
      </c>
      <c r="BJ22" s="1589">
        <f>InputQ!BJ5/1000</f>
        <v>5.4523999999999999</v>
      </c>
      <c r="BK22" s="1589">
        <f>InputQ!BK5/1000</f>
        <v>4.8150000000000004</v>
      </c>
      <c r="BL22" s="1589">
        <f>InputQ!BL5/1000</f>
        <v>4.7298999999999998</v>
      </c>
      <c r="BM22" s="1589">
        <f>InputQ!BM5/1000</f>
        <v>4.6168000000000005</v>
      </c>
      <c r="BN22" s="1589">
        <f>InputQ!BN5/1000</f>
        <v>4.4176000000000002</v>
      </c>
      <c r="BO22" s="1589">
        <f>InputQ!BO5/1000</f>
        <v>4.4471999999999996</v>
      </c>
      <c r="BP22" s="1589">
        <f>InputQ!BP5/1000</f>
        <v>4.4169999999999998</v>
      </c>
      <c r="BQ22" s="1589">
        <f>InputQ!BQ5/1000</f>
        <v>4.5338000000000003</v>
      </c>
      <c r="BR22" s="1589">
        <f>InputQ!BR5/1000</f>
        <v>4.5543999999999993</v>
      </c>
      <c r="BS22" s="1589">
        <f>InputQ!BS5/1000</f>
        <v>4.6109</v>
      </c>
      <c r="BT22" s="1589">
        <f>InputQ!BT5/1000</f>
        <v>4.6718000000000002</v>
      </c>
      <c r="BU22" s="1589">
        <f>InputQ!BU5/1000</f>
        <v>4.7290000000000001</v>
      </c>
      <c r="BV22" s="3180">
        <f>InputQ!BV5/1000</f>
        <v>4.7896999999999998</v>
      </c>
      <c r="BW22" s="3180">
        <f>InputQ!BW5/1000</f>
        <v>4.7778</v>
      </c>
      <c r="BX22" s="3180">
        <f>InputQ!BX5/1000</f>
        <v>4.7877000000000001</v>
      </c>
      <c r="BY22" s="3180">
        <f>InputQ!BY5/1000</f>
        <v>4.8163999999999998</v>
      </c>
      <c r="BZ22" s="3180">
        <f>InputQ!BZ5/1000</f>
        <v>4.8941000000000008</v>
      </c>
      <c r="CA22" s="3180">
        <f>InputQ!CA5/1000</f>
        <v>4.984</v>
      </c>
      <c r="CB22" s="3180">
        <f>InputQ!CB5/1000</f>
        <v>5.0129999999999999</v>
      </c>
      <c r="CC22" s="3180">
        <f>InputQ!CC5/1000</f>
        <v>5.0828999999999995</v>
      </c>
      <c r="CD22" s="3180">
        <f>InputQ!CD5/1000</f>
        <v>5.1372</v>
      </c>
      <c r="CE22" s="3180">
        <f>InputQ!CE5/1000</f>
        <v>5.2076000000000002</v>
      </c>
      <c r="CF22" s="3180">
        <f>InputQ!CF5/1000</f>
        <v>5.2261999999999995</v>
      </c>
      <c r="CG22" s="3180">
        <f>InputQ!CG5/1000</f>
        <v>5.2426000000000004</v>
      </c>
      <c r="CH22" s="3180">
        <f>InputQ!CH5/1000</f>
        <v>5.3221000000000007</v>
      </c>
      <c r="CI22" s="3180">
        <f>InputQ!CI5/1000</f>
        <v>5.3858999999999995</v>
      </c>
      <c r="CJ22" s="3180">
        <f>InputQ!CJ5/1000</f>
        <v>5.4008000000000003</v>
      </c>
      <c r="CK22" s="3180">
        <f>InputQ!CK5/1000</f>
        <v>5.5136000000000003</v>
      </c>
      <c r="CL22" s="3180">
        <f>InputQ!CL5/1000</f>
        <v>5.5389999999999997</v>
      </c>
      <c r="CM22" s="3180">
        <f>InputQ!CM5/1000</f>
        <v>5.5525000000000002</v>
      </c>
      <c r="CN22" s="3180">
        <f>InputQ!CN5/1000</f>
        <v>5.6966999999999999</v>
      </c>
      <c r="CO22" s="3180">
        <f>InputQ!CO5/1000</f>
        <v>5.7766999999999999</v>
      </c>
      <c r="CP22" s="3180">
        <f>InputQ!CP5/1000</f>
        <v>5.8323999999999998</v>
      </c>
      <c r="CQ22" s="3180">
        <f>InputQ!CQ5/1000</f>
        <v>5.8741000000000003</v>
      </c>
      <c r="CR22" s="3180">
        <f>InputQ!CR5/1000</f>
        <v>5.9417</v>
      </c>
      <c r="CS22" s="3180">
        <f>InputQ!CS5/1000</f>
        <v>5.9403999999999995</v>
      </c>
      <c r="CT22" s="3180">
        <f>InputQ!CT5/1000</f>
        <v>6.0448000000000004</v>
      </c>
      <c r="CU22" s="1591">
        <f>CT22*(1+CU27/100)</f>
        <v>6.0901360000000011</v>
      </c>
      <c r="CV22" s="1591">
        <f t="shared" ref="CV22:CX22" si="71">CU22*(1+CV27/100)</f>
        <v>6.1358120200000013</v>
      </c>
      <c r="CW22" s="1591">
        <f t="shared" si="71"/>
        <v>6.1818306101500013</v>
      </c>
      <c r="CX22" s="1591">
        <f t="shared" si="71"/>
        <v>6.2281943397261266</v>
      </c>
      <c r="CY22" s="1591">
        <f t="shared" ref="CY22" si="72">CX22*(1+CY27/100)</f>
        <v>6.2805111721798257</v>
      </c>
      <c r="CZ22" s="1591">
        <f t="shared" ref="CZ22" si="73">CY22*(1+CZ27/100)</f>
        <v>6.3332674660261361</v>
      </c>
      <c r="DA22" s="1591">
        <f t="shared" ref="DA22" si="74">CZ22*(1+DA27/100)</f>
        <v>6.3864669127407554</v>
      </c>
      <c r="DB22" s="1591">
        <f t="shared" ref="DB22" si="75">DA22*(1+DB27/100)</f>
        <v>6.4401132348077779</v>
      </c>
      <c r="DC22"/>
      <c r="DD22"/>
      <c r="DE22"/>
      <c r="DF22"/>
      <c r="DG22"/>
      <c r="DH22"/>
      <c r="DI22"/>
      <c r="DJ22"/>
      <c r="DK22"/>
      <c r="DL22"/>
      <c r="DM22"/>
      <c r="DN22"/>
      <c r="DO22"/>
    </row>
    <row r="23" spans="1:119" s="26" customFormat="1">
      <c r="A23" s="673"/>
      <c r="B23" s="673"/>
      <c r="C23" s="687"/>
      <c r="D23" s="683"/>
      <c r="E23" s="684" t="s">
        <v>266</v>
      </c>
      <c r="F23" s="685"/>
      <c r="G23" s="1570"/>
      <c r="H23" s="1571"/>
      <c r="I23" s="1571"/>
      <c r="J23" s="1575">
        <f>SUM(G22:J22)</f>
        <v>6.7358375810936053</v>
      </c>
      <c r="K23" s="1570"/>
      <c r="L23" s="1571"/>
      <c r="M23" s="1571"/>
      <c r="N23" s="1575">
        <f>SUM(K22:N22)</f>
        <v>7.1489515755329016</v>
      </c>
      <c r="O23" s="1570"/>
      <c r="P23" s="1571"/>
      <c r="Q23" s="1571"/>
      <c r="R23" s="1575">
        <f>SUM(O22:R22)</f>
        <v>7.5773864689527342</v>
      </c>
      <c r="S23" s="1570"/>
      <c r="T23" s="1571"/>
      <c r="U23" s="1571"/>
      <c r="V23" s="1575">
        <f>SUM(S22:V22)</f>
        <v>7.9366311399443923</v>
      </c>
      <c r="W23" s="1570"/>
      <c r="X23" s="1571"/>
      <c r="Y23" s="1571"/>
      <c r="Z23" s="1575">
        <f>SUM(W22:Z22)</f>
        <v>8.3316149212233555</v>
      </c>
      <c r="AA23" s="1570"/>
      <c r="AB23" s="1571"/>
      <c r="AC23" s="1571"/>
      <c r="AD23" s="1575">
        <f>SUM(AA22:AD22)</f>
        <v>8.8818350324374418</v>
      </c>
      <c r="AE23" s="1570"/>
      <c r="AF23" s="1571"/>
      <c r="AG23" s="1571"/>
      <c r="AH23" s="1575">
        <f>SUM(AE22:AH22)</f>
        <v>9.2871872103799831</v>
      </c>
      <c r="AI23" s="1570"/>
      <c r="AJ23" s="1571"/>
      <c r="AK23" s="1571"/>
      <c r="AL23" s="1575">
        <f>SUM(AI22:AL22)</f>
        <v>9.8597949490268775</v>
      </c>
      <c r="AM23" s="1570"/>
      <c r="AN23" s="1571"/>
      <c r="AO23" s="1571"/>
      <c r="AP23" s="1575">
        <f>SUM(AM22:AP22)</f>
        <v>10.966838507877664</v>
      </c>
      <c r="AQ23" s="1570"/>
      <c r="AR23" s="1571"/>
      <c r="AS23" s="1571"/>
      <c r="AT23" s="1575">
        <f>SUM(AQ22:AT22)</f>
        <v>12.209076691380908</v>
      </c>
      <c r="AU23" s="1570"/>
      <c r="AV23" s="1571"/>
      <c r="AW23" s="1571"/>
      <c r="AX23" s="1575">
        <f>SUM(AU22:AX22)</f>
        <v>17.645200000000003</v>
      </c>
      <c r="AY23" s="1570"/>
      <c r="AZ23" s="1571"/>
      <c r="BA23" s="1571"/>
      <c r="BB23" s="1575">
        <f>SUM(AY22:BB22)</f>
        <v>19.25</v>
      </c>
      <c r="BC23" s="1570"/>
      <c r="BD23" s="1571"/>
      <c r="BE23" s="1571"/>
      <c r="BF23" s="1575">
        <f>SUM(BC22:BF22)</f>
        <v>21.639699999999998</v>
      </c>
      <c r="BG23" s="1570"/>
      <c r="BH23" s="1571"/>
      <c r="BI23" s="1571"/>
      <c r="BJ23" s="1575">
        <f>SUM(BG22:BJ22)</f>
        <v>22.433500000000002</v>
      </c>
      <c r="BK23" s="1570"/>
      <c r="BL23" s="1571"/>
      <c r="BM23" s="1571"/>
      <c r="BN23" s="1575">
        <f>SUM(BK22:BN22)</f>
        <v>18.5793</v>
      </c>
      <c r="BO23" s="1570"/>
      <c r="BP23" s="1571"/>
      <c r="BQ23" s="1571"/>
      <c r="BR23" s="1575">
        <f>SUM(BO22:BR22)</f>
        <v>17.952399999999997</v>
      </c>
      <c r="BS23" s="1570"/>
      <c r="BT23" s="1571"/>
      <c r="BU23" s="1571"/>
      <c r="BV23" s="1575">
        <f>SUM(BS22:BV22)</f>
        <v>18.801400000000001</v>
      </c>
      <c r="BW23" s="1570"/>
      <c r="BX23" s="1571"/>
      <c r="BY23" s="1571"/>
      <c r="BZ23" s="1575">
        <f>SUM(BW22:BZ22)</f>
        <v>19.276</v>
      </c>
      <c r="CA23" s="1570"/>
      <c r="CB23" s="1571"/>
      <c r="CC23" s="1571"/>
      <c r="CD23" s="1575">
        <f>SUM(CA22:CD22)</f>
        <v>20.217099999999999</v>
      </c>
      <c r="CE23" s="1570"/>
      <c r="CF23" s="1571"/>
      <c r="CG23" s="1571"/>
      <c r="CH23" s="1575">
        <f>SUM(CE22:CH22)</f>
        <v>20.9985</v>
      </c>
      <c r="CI23" s="1570"/>
      <c r="CJ23" s="1571"/>
      <c r="CK23" s="1571"/>
      <c r="CL23" s="1575">
        <f>SUM(CI22:CL22)</f>
        <v>21.839300000000001</v>
      </c>
      <c r="CM23" s="1570"/>
      <c r="CN23" s="1571"/>
      <c r="CO23" s="1571"/>
      <c r="CP23" s="1575">
        <f>SUM(CM22:CP22)</f>
        <v>22.8583</v>
      </c>
      <c r="CQ23" s="1570"/>
      <c r="CR23" s="1571"/>
      <c r="CS23" s="1571"/>
      <c r="CT23" s="1616">
        <f>SUM(CQ22:CT22)</f>
        <v>23.801000000000002</v>
      </c>
      <c r="CU23" s="1570"/>
      <c r="CV23" s="1571"/>
      <c r="CW23" s="1571"/>
      <c r="CX23" s="1575">
        <f>SUM(CU22:CX22)</f>
        <v>24.635972969876132</v>
      </c>
      <c r="CY23" s="1570"/>
      <c r="CZ23" s="1571"/>
      <c r="DA23" s="1571"/>
      <c r="DB23" s="1575">
        <f>SUM(CY22:DB22)</f>
        <v>25.440358785754494</v>
      </c>
      <c r="DC23"/>
      <c r="DD23"/>
      <c r="DE23"/>
      <c r="DF23"/>
      <c r="DG23"/>
      <c r="DH23"/>
      <c r="DI23"/>
      <c r="DJ23"/>
      <c r="DK23"/>
      <c r="DL23"/>
      <c r="DM23"/>
      <c r="DN23"/>
      <c r="DO23"/>
    </row>
    <row r="24" spans="1:119" s="699" customFormat="1" ht="12.75" customHeight="1">
      <c r="A24" s="664"/>
      <c r="B24" s="664"/>
      <c r="C24" s="669"/>
      <c r="D24" s="679"/>
      <c r="E24" s="1572" t="s">
        <v>1847</v>
      </c>
      <c r="F24" s="679"/>
      <c r="G24" s="1573"/>
      <c r="H24" s="2839" t="s">
        <v>757</v>
      </c>
      <c r="I24" s="2840">
        <f ca="1">+J24/J23*100</f>
        <v>129.07572392114955</v>
      </c>
      <c r="J24" s="1574">
        <f ca="1">OFFSET('VVP2'!$G$7,0,(COLUMN()-10)/4)</f>
        <v>8.6943311199494193</v>
      </c>
      <c r="K24" s="1573"/>
      <c r="L24" s="2839" t="s">
        <v>757</v>
      </c>
      <c r="M24" s="2840">
        <f ca="1">+N24/N23*100</f>
        <v>129.49306321670281</v>
      </c>
      <c r="N24" s="1574">
        <f ca="1">OFFSET('VVP2'!$G$7,0,(COLUMN()-10)/4)</f>
        <v>9.2573963830362906</v>
      </c>
      <c r="O24" s="1573"/>
      <c r="P24" s="2839" t="s">
        <v>757</v>
      </c>
      <c r="Q24" s="2840">
        <f ca="1">+R24/R23*100</f>
        <v>129.03874916161635</v>
      </c>
      <c r="R24" s="1574">
        <f ca="1">OFFSET('VVP2'!$G$7,0,(COLUMN()-10)/4)</f>
        <v>9.7777647186781778</v>
      </c>
      <c r="S24" s="1573"/>
      <c r="T24" s="2839" t="s">
        <v>757</v>
      </c>
      <c r="U24" s="2840">
        <f ca="1">+V24/V23*100</f>
        <v>129.05633228633698</v>
      </c>
      <c r="V24" s="1574">
        <f ca="1">OFFSET('VVP2'!$G$7,0,(COLUMN()-10)/4)</f>
        <v>10.242725056307531</v>
      </c>
      <c r="W24" s="1573"/>
      <c r="X24" s="2839" t="s">
        <v>757</v>
      </c>
      <c r="Y24" s="2840">
        <f ca="1">+Z24/Z23*100</f>
        <v>129.04129741860578</v>
      </c>
      <c r="Z24" s="1574">
        <f ca="1">OFFSET('VVP2'!$G$7,0,(COLUMN()-10)/4)</f>
        <v>10.75122399026877</v>
      </c>
      <c r="AA24" s="1573"/>
      <c r="AB24" s="2839" t="s">
        <v>757</v>
      </c>
      <c r="AC24" s="2840">
        <f ca="1">+AD24/AD23*100</f>
        <v>129.49980413535184</v>
      </c>
      <c r="AD24" s="1574">
        <f ca="1">OFFSET('VVP2'!$G$7,0,(COLUMN()-10)/4)</f>
        <v>11.501958970631552</v>
      </c>
      <c r="AE24" s="1573"/>
      <c r="AF24" s="2839" t="s">
        <v>757</v>
      </c>
      <c r="AG24" s="2840">
        <f ca="1">+AH24/AH23*100</f>
        <v>129.05913489298752</v>
      </c>
      <c r="AH24" s="1574">
        <f ca="1">OFFSET('VVP2'!$G$7,0,(COLUMN()-10)/4)</f>
        <v>11.985963469608585</v>
      </c>
      <c r="AI24" s="1573"/>
      <c r="AJ24" s="2839" t="s">
        <v>757</v>
      </c>
      <c r="AK24" s="2840">
        <f ca="1">+AL24/AL23*100</f>
        <v>129.05747968209366</v>
      </c>
      <c r="AL24" s="1574">
        <f ca="1">OFFSET('VVP2'!$G$7,0,(COLUMN()-10)/4)</f>
        <v>12.72480286303646</v>
      </c>
      <c r="AM24" s="1573"/>
      <c r="AN24" s="2839" t="s">
        <v>757</v>
      </c>
      <c r="AO24" s="2840">
        <f ca="1">+AP24/AP23*100</f>
        <v>129.04186719568372</v>
      </c>
      <c r="AP24" s="1574">
        <f ca="1">OFFSET('VVP2'!$G$7,0,(COLUMN()-10)/4)</f>
        <v>14.1518131829006</v>
      </c>
      <c r="AQ24" s="1573"/>
      <c r="AR24" s="2839" t="s">
        <v>757</v>
      </c>
      <c r="AS24" s="2840">
        <f ca="1">+AT24/AT23*100</f>
        <v>129.45008373284625</v>
      </c>
      <c r="AT24" s="1574">
        <f ca="1">OFFSET('VVP2'!$G$7,0,(COLUMN()-10)/4)</f>
        <v>15.80466</v>
      </c>
      <c r="AU24" s="1573"/>
      <c r="AV24" s="2839" t="s">
        <v>757</v>
      </c>
      <c r="AW24" s="2840">
        <f ca="1">+AX24/AX23*100</f>
        <v>99.962936095935433</v>
      </c>
      <c r="AX24" s="1574">
        <f ca="1">OFFSET('VVP2'!$G$7,0,(COLUMN()-10)/4)</f>
        <v>17.638660000000002</v>
      </c>
      <c r="AY24" s="1573"/>
      <c r="AZ24" s="2839" t="s">
        <v>757</v>
      </c>
      <c r="BA24" s="2840">
        <f ca="1">+BB24/BB23*100</f>
        <v>99.965922077922073</v>
      </c>
      <c r="BB24" s="1574">
        <f ca="1">OFFSET('VVP2'!$G$7,0,(COLUMN()-10)/4)</f>
        <v>19.24344</v>
      </c>
      <c r="BC24" s="1573"/>
      <c r="BD24" s="2839" t="s">
        <v>757</v>
      </c>
      <c r="BE24" s="2840">
        <f ca="1">+BF24/BF23*100</f>
        <v>99.969592924116327</v>
      </c>
      <c r="BF24" s="1574">
        <f ca="1">OFFSET('VVP2'!$G$7,0,(COLUMN()-10)/4)</f>
        <v>21.633119999999998</v>
      </c>
      <c r="BG24" s="1573"/>
      <c r="BH24" s="2839" t="s">
        <v>757</v>
      </c>
      <c r="BI24" s="2840">
        <f ca="1">+BJ24/BJ23*100</f>
        <v>100.14843871888024</v>
      </c>
      <c r="BJ24" s="1574">
        <f ca="1">OFFSET('VVP2'!$G$7,0,(COLUMN()-10)/4)</f>
        <v>22.466799999999999</v>
      </c>
      <c r="BK24" s="1573"/>
      <c r="BL24" s="2839" t="s">
        <v>757</v>
      </c>
      <c r="BM24" s="2840">
        <f ca="1">+BN24/BN23*100</f>
        <v>99.941171088254123</v>
      </c>
      <c r="BN24" s="1574">
        <f ca="1">OFFSET('VVP2'!$G$7,0,(COLUMN()-10)/4)</f>
        <v>18.568369999999998</v>
      </c>
      <c r="BO24" s="1573"/>
      <c r="BP24" s="2839" t="s">
        <v>757</v>
      </c>
      <c r="BQ24" s="2840">
        <f ca="1">+BR24/BR23*100</f>
        <v>99.961787838951921</v>
      </c>
      <c r="BR24" s="1574">
        <f ca="1">OFFSET('VVP2'!$G$7,0,(COLUMN()-10)/4)</f>
        <v>17.945540000000001</v>
      </c>
      <c r="BS24" s="1573"/>
      <c r="BT24" s="2839" t="s">
        <v>757</v>
      </c>
      <c r="BU24" s="2840">
        <f ca="1">+BV24/BV23*100</f>
        <v>99.837299350048397</v>
      </c>
      <c r="BV24" s="1574">
        <f ca="1">OFFSET('VVP2'!$G$7,0,(COLUMN()-10)/4)</f>
        <v>18.770810000000001</v>
      </c>
      <c r="BW24" s="1573"/>
      <c r="BX24" s="2839" t="s">
        <v>757</v>
      </c>
      <c r="BY24" s="2840">
        <f ca="1">+BZ24/BZ23*100</f>
        <v>100.3926125752231</v>
      </c>
      <c r="BZ24" s="1574">
        <f ca="1">OFFSET('VVP2'!$G$7,0,(COLUMN()-10)/4)</f>
        <v>19.351680000000002</v>
      </c>
      <c r="CA24" s="1573"/>
      <c r="CB24" s="2839" t="s">
        <v>757</v>
      </c>
      <c r="CC24" s="2840">
        <f ca="1">+CD24/CD23*100</f>
        <v>99.848148349664413</v>
      </c>
      <c r="CD24" s="1574">
        <f ca="1">OFFSET('VVP2'!$G$7,0,(COLUMN()-10)/4)</f>
        <v>20.186400000000003</v>
      </c>
      <c r="CE24" s="1573"/>
      <c r="CF24" s="2839" t="s">
        <v>757</v>
      </c>
      <c r="CG24" s="2840">
        <f ca="1">+CH24/CH23*100</f>
        <v>99.945710407886267</v>
      </c>
      <c r="CH24" s="1574">
        <f ca="1">OFFSET('VVP2'!$G$7,0,(COLUMN()-10)/4)</f>
        <v>20.987099999999998</v>
      </c>
      <c r="CI24" s="1573"/>
      <c r="CJ24" s="2839" t="s">
        <v>757</v>
      </c>
      <c r="CK24" s="2840">
        <f ca="1">+CL24/CL23*100</f>
        <v>99.919182391377021</v>
      </c>
      <c r="CL24" s="1574">
        <f ca="1">OFFSET('VVP2'!$G$7,0,(COLUMN()-10)/4)</f>
        <v>21.821650000000002</v>
      </c>
      <c r="CM24" s="1573"/>
      <c r="CN24" s="2839" t="s">
        <v>757</v>
      </c>
      <c r="CO24" s="2840">
        <f ca="1">+CP24/CP23*100</f>
        <v>100.17643481798734</v>
      </c>
      <c r="CP24" s="1574">
        <f ca="1">OFFSET('VVP2'!$G$7,0,(COLUMN()-10)/4)</f>
        <v>22.898630000000001</v>
      </c>
      <c r="CQ24" s="1573"/>
      <c r="CR24" s="2839" t="s">
        <v>757</v>
      </c>
      <c r="CS24" s="2840">
        <f ca="1">+CT24/CT23*100</f>
        <v>99.952144867862685</v>
      </c>
      <c r="CT24" s="1617">
        <f ca="1">OFFSET('VVP2'!$G$7,0,(COLUMN()-10)/4)</f>
        <v>23.78961</v>
      </c>
      <c r="CU24" s="1573"/>
      <c r="CV24" s="2839" t="s">
        <v>757</v>
      </c>
      <c r="CW24" s="2840">
        <f ca="1">+CX24/CX23*100</f>
        <v>99.944282209219352</v>
      </c>
      <c r="CX24" s="1574">
        <f ca="1">OFFSET('VVP2'!$G$7,0,(COLUMN()-10)/4)</f>
        <v>24.622246349999998</v>
      </c>
      <c r="CY24" s="1573"/>
      <c r="CZ24" s="2839" t="s">
        <v>757</v>
      </c>
      <c r="DA24" s="2840">
        <f ca="1">+DB24/DB23*100</f>
        <v>99.978073004978128</v>
      </c>
      <c r="DB24" s="1574">
        <f ca="1">OFFSET('VVP2'!$G$7,0,(COLUMN()-10)/4)</f>
        <v>25.434780479549996</v>
      </c>
      <c r="DC24"/>
      <c r="DD24"/>
      <c r="DE24"/>
      <c r="DF24"/>
      <c r="DG24"/>
      <c r="DH24"/>
      <c r="DI24"/>
      <c r="DJ24"/>
      <c r="DK24"/>
      <c r="DL24"/>
      <c r="DM24"/>
      <c r="DN24"/>
      <c r="DO24"/>
    </row>
    <row r="25" spans="1:119">
      <c r="E25" s="599"/>
      <c r="F25" s="3617"/>
      <c r="AY25" s="217"/>
      <c r="BA25" s="217"/>
      <c r="BB25" s="217"/>
      <c r="BC25" s="217"/>
      <c r="BD25" s="217"/>
      <c r="BE25" s="217"/>
      <c r="BF25" s="217"/>
      <c r="BG25" s="217"/>
      <c r="BH25" s="217"/>
      <c r="BI25" s="217"/>
      <c r="BJ25" s="217"/>
      <c r="CM25" s="557"/>
      <c r="CN25" s="557"/>
      <c r="CO25" s="3426">
        <f>(CO22/CL22)^(1/3)-1</f>
        <v>1.410474850894694E-2</v>
      </c>
      <c r="CP25" s="557"/>
      <c r="CQ25" s="557"/>
      <c r="CR25" s="557"/>
      <c r="CS25" s="557"/>
      <c r="CT25" s="557"/>
      <c r="CU25" s="557"/>
      <c r="CV25" s="557"/>
      <c r="CW25" s="557"/>
      <c r="CX25" s="557"/>
      <c r="CY25" s="557"/>
      <c r="CZ25" s="557"/>
      <c r="DA25" s="557"/>
      <c r="DB25" s="557"/>
    </row>
    <row r="26" spans="1:119" s="699" customFormat="1" ht="12.75" customHeight="1">
      <c r="A26" s="664"/>
      <c r="C26" s="1553"/>
      <c r="D26" s="742"/>
      <c r="E26" s="3384" t="s">
        <v>762</v>
      </c>
      <c r="F26" s="3622"/>
      <c r="G26" s="1578" t="str">
        <f t="shared" ref="G26:N26" si="76">G21</f>
        <v>Q1</v>
      </c>
      <c r="H26" s="1579" t="str">
        <f t="shared" si="76"/>
        <v>Q2</v>
      </c>
      <c r="I26" s="1579" t="str">
        <f t="shared" si="76"/>
        <v>Q3</v>
      </c>
      <c r="J26" s="1580" t="str">
        <f t="shared" si="76"/>
        <v>Q4</v>
      </c>
      <c r="K26" s="1578" t="str">
        <f t="shared" si="76"/>
        <v>Q1</v>
      </c>
      <c r="L26" s="1579" t="str">
        <f t="shared" si="76"/>
        <v>Q2</v>
      </c>
      <c r="M26" s="1579" t="str">
        <f t="shared" si="76"/>
        <v>Q3</v>
      </c>
      <c r="N26" s="1580" t="str">
        <f t="shared" si="76"/>
        <v>Q4</v>
      </c>
      <c r="O26" s="1578" t="str">
        <f t="shared" ref="O26:AX26" si="77">O21</f>
        <v>Q1</v>
      </c>
      <c r="P26" s="1579" t="str">
        <f t="shared" si="77"/>
        <v>Q2</v>
      </c>
      <c r="Q26" s="1579" t="str">
        <f t="shared" si="77"/>
        <v>Q3</v>
      </c>
      <c r="R26" s="1580" t="str">
        <f t="shared" si="77"/>
        <v>Q4</v>
      </c>
      <c r="S26" s="1578" t="str">
        <f t="shared" si="77"/>
        <v>Q1</v>
      </c>
      <c r="T26" s="1579" t="str">
        <f t="shared" si="77"/>
        <v>Q2</v>
      </c>
      <c r="U26" s="1579" t="str">
        <f t="shared" si="77"/>
        <v>Q3</v>
      </c>
      <c r="V26" s="1580" t="str">
        <f t="shared" si="77"/>
        <v>Q4</v>
      </c>
      <c r="W26" s="1578" t="str">
        <f t="shared" si="77"/>
        <v>Q1</v>
      </c>
      <c r="X26" s="1579" t="str">
        <f t="shared" si="77"/>
        <v>Q2</v>
      </c>
      <c r="Y26" s="1579" t="str">
        <f t="shared" si="77"/>
        <v>Q3</v>
      </c>
      <c r="Z26" s="1580" t="str">
        <f t="shared" si="77"/>
        <v>Q4</v>
      </c>
      <c r="AA26" s="1578" t="str">
        <f t="shared" si="77"/>
        <v>Q1</v>
      </c>
      <c r="AB26" s="1579" t="str">
        <f t="shared" si="77"/>
        <v>Q2</v>
      </c>
      <c r="AC26" s="1579" t="str">
        <f t="shared" si="77"/>
        <v>Q3</v>
      </c>
      <c r="AD26" s="1580" t="str">
        <f t="shared" si="77"/>
        <v>Q4</v>
      </c>
      <c r="AE26" s="1578" t="str">
        <f t="shared" si="77"/>
        <v>Q1</v>
      </c>
      <c r="AF26" s="1579" t="str">
        <f t="shared" si="77"/>
        <v>Q2</v>
      </c>
      <c r="AG26" s="1579" t="str">
        <f t="shared" si="77"/>
        <v>Q3</v>
      </c>
      <c r="AH26" s="1580" t="str">
        <f t="shared" si="77"/>
        <v>Q4</v>
      </c>
      <c r="AI26" s="1578" t="str">
        <f t="shared" si="77"/>
        <v>Q1</v>
      </c>
      <c r="AJ26" s="1579" t="str">
        <f t="shared" si="77"/>
        <v>Q2</v>
      </c>
      <c r="AK26" s="1579" t="str">
        <f t="shared" si="77"/>
        <v>Q3</v>
      </c>
      <c r="AL26" s="1580" t="str">
        <f t="shared" si="77"/>
        <v>Q4</v>
      </c>
      <c r="AM26" s="1578" t="str">
        <f t="shared" si="77"/>
        <v>Q1</v>
      </c>
      <c r="AN26" s="1579" t="str">
        <f t="shared" si="77"/>
        <v>Q2</v>
      </c>
      <c r="AO26" s="1579" t="str">
        <f t="shared" si="77"/>
        <v>Q3</v>
      </c>
      <c r="AP26" s="1580" t="str">
        <f t="shared" si="77"/>
        <v>Q4</v>
      </c>
      <c r="AQ26" s="1578" t="str">
        <f t="shared" si="77"/>
        <v>Q1</v>
      </c>
      <c r="AR26" s="1579" t="str">
        <f t="shared" si="77"/>
        <v>Q2</v>
      </c>
      <c r="AS26" s="1579" t="str">
        <f t="shared" si="77"/>
        <v>Q3</v>
      </c>
      <c r="AT26" s="1580" t="str">
        <f t="shared" si="77"/>
        <v>Q4</v>
      </c>
      <c r="AU26" s="1578" t="str">
        <f t="shared" si="77"/>
        <v>Q1</v>
      </c>
      <c r="AV26" s="1579" t="str">
        <f t="shared" si="77"/>
        <v>Q2</v>
      </c>
      <c r="AW26" s="1579" t="str">
        <f t="shared" si="77"/>
        <v>Q3</v>
      </c>
      <c r="AX26" s="1580" t="str">
        <f t="shared" si="77"/>
        <v>Q4</v>
      </c>
      <c r="AY26" s="1578" t="str">
        <f t="shared" ref="AY26:BF26" si="78">AY21</f>
        <v>Q1</v>
      </c>
      <c r="AZ26" s="1579" t="str">
        <f t="shared" si="78"/>
        <v>Q2</v>
      </c>
      <c r="BA26" s="1579" t="str">
        <f t="shared" si="78"/>
        <v>Q3</v>
      </c>
      <c r="BB26" s="1580" t="str">
        <f t="shared" si="78"/>
        <v>Q4</v>
      </c>
      <c r="BC26" s="1578" t="str">
        <f t="shared" si="78"/>
        <v>Q1</v>
      </c>
      <c r="BD26" s="1579" t="str">
        <f t="shared" si="78"/>
        <v>Q2</v>
      </c>
      <c r="BE26" s="1579" t="str">
        <f t="shared" si="78"/>
        <v>Q3</v>
      </c>
      <c r="BF26" s="1580" t="str">
        <f t="shared" si="78"/>
        <v>Q4</v>
      </c>
      <c r="BG26" s="1578" t="str">
        <f t="shared" ref="BG26:BN26" si="79">BG21</f>
        <v>Q1</v>
      </c>
      <c r="BH26" s="1579" t="str">
        <f t="shared" si="79"/>
        <v>Q2</v>
      </c>
      <c r="BI26" s="1579" t="str">
        <f t="shared" si="79"/>
        <v>Q3</v>
      </c>
      <c r="BJ26" s="1580" t="str">
        <f t="shared" si="79"/>
        <v>Q4</v>
      </c>
      <c r="BK26" s="1579" t="str">
        <f t="shared" si="79"/>
        <v>Q1</v>
      </c>
      <c r="BL26" s="1579" t="str">
        <f t="shared" si="79"/>
        <v>Q2</v>
      </c>
      <c r="BM26" s="1579" t="str">
        <f t="shared" si="79"/>
        <v>Q3</v>
      </c>
      <c r="BN26" s="1579" t="str">
        <f t="shared" si="79"/>
        <v>Q4</v>
      </c>
      <c r="BO26" s="1579" t="str">
        <f t="shared" ref="BO26:BZ26" si="80">BO21</f>
        <v>Q1</v>
      </c>
      <c r="BP26" s="1579" t="str">
        <f t="shared" si="80"/>
        <v>Q2</v>
      </c>
      <c r="BQ26" s="1579" t="str">
        <f t="shared" si="80"/>
        <v>Q3</v>
      </c>
      <c r="BR26" s="1579" t="str">
        <f t="shared" si="80"/>
        <v>Q4</v>
      </c>
      <c r="BS26" s="1579" t="str">
        <f>BS21</f>
        <v>Q1</v>
      </c>
      <c r="BT26" s="1579" t="str">
        <f>BT21</f>
        <v>Q2</v>
      </c>
      <c r="BU26" s="1579" t="str">
        <f>BU21</f>
        <v>Q3</v>
      </c>
      <c r="BV26" s="1579" t="str">
        <f>BV21</f>
        <v>Q4</v>
      </c>
      <c r="BW26" s="1579" t="str">
        <f t="shared" si="80"/>
        <v>Q1</v>
      </c>
      <c r="BX26" s="1579" t="str">
        <f t="shared" si="80"/>
        <v>Q2</v>
      </c>
      <c r="BY26" s="1579" t="str">
        <f t="shared" si="80"/>
        <v>Q3</v>
      </c>
      <c r="BZ26" s="1579" t="str">
        <f t="shared" si="80"/>
        <v>Q4</v>
      </c>
      <c r="CA26" s="1579" t="str">
        <f t="shared" ref="CA26:CH26" si="81">CA21</f>
        <v>Q1</v>
      </c>
      <c r="CB26" s="1579" t="str">
        <f t="shared" si="81"/>
        <v>Q2</v>
      </c>
      <c r="CC26" s="1579" t="str">
        <f t="shared" si="81"/>
        <v>Q3</v>
      </c>
      <c r="CD26" s="1579" t="str">
        <f t="shared" si="81"/>
        <v>Q4</v>
      </c>
      <c r="CE26" s="1579" t="str">
        <f t="shared" si="81"/>
        <v>Q1</v>
      </c>
      <c r="CF26" s="1579" t="str">
        <f t="shared" si="81"/>
        <v>Q2</v>
      </c>
      <c r="CG26" s="1579" t="str">
        <f t="shared" si="81"/>
        <v>Q3</v>
      </c>
      <c r="CH26" s="1579" t="str">
        <f t="shared" si="81"/>
        <v>Q4</v>
      </c>
      <c r="CI26" s="1579" t="str">
        <f t="shared" ref="CI26:CP26" si="82">CI21</f>
        <v>Q1</v>
      </c>
      <c r="CJ26" s="1579" t="str">
        <f t="shared" si="82"/>
        <v>Q2</v>
      </c>
      <c r="CK26" s="1579" t="str">
        <f t="shared" si="82"/>
        <v>Q3</v>
      </c>
      <c r="CL26" s="1579" t="str">
        <f t="shared" si="82"/>
        <v>Q4</v>
      </c>
      <c r="CM26" s="1579" t="str">
        <f t="shared" si="82"/>
        <v>Q1</v>
      </c>
      <c r="CN26" s="1579" t="str">
        <f t="shared" si="82"/>
        <v>Q2</v>
      </c>
      <c r="CO26" s="1579" t="str">
        <f t="shared" si="82"/>
        <v>Q3</v>
      </c>
      <c r="CP26" s="1579" t="str">
        <f t="shared" si="82"/>
        <v>Q4</v>
      </c>
      <c r="CQ26" s="1579" t="str">
        <f t="shared" ref="CQ26:CX26" si="83">CQ21</f>
        <v>Q1</v>
      </c>
      <c r="CR26" s="1579" t="str">
        <f t="shared" si="83"/>
        <v>Q2</v>
      </c>
      <c r="CS26" s="1579" t="str">
        <f t="shared" si="83"/>
        <v>Q3</v>
      </c>
      <c r="CT26" s="1579" t="str">
        <f t="shared" si="83"/>
        <v>Q4</v>
      </c>
      <c r="CU26" s="1579" t="str">
        <f t="shared" si="83"/>
        <v>Q1</v>
      </c>
      <c r="CV26" s="1579" t="str">
        <f t="shared" si="83"/>
        <v>Q2</v>
      </c>
      <c r="CW26" s="1579" t="str">
        <f t="shared" si="83"/>
        <v>Q3</v>
      </c>
      <c r="CX26" s="1579" t="str">
        <f t="shared" si="83"/>
        <v>Q4</v>
      </c>
      <c r="CY26" s="1579" t="str">
        <f t="shared" ref="CY26:DB26" si="84">CY21</f>
        <v>Q1</v>
      </c>
      <c r="CZ26" s="1579" t="str">
        <f t="shared" si="84"/>
        <v>Q2</v>
      </c>
      <c r="DA26" s="1579" t="str">
        <f t="shared" si="84"/>
        <v>Q3</v>
      </c>
      <c r="DB26" s="1579" t="str">
        <f t="shared" si="84"/>
        <v>Q4</v>
      </c>
      <c r="DC26"/>
      <c r="DD26"/>
      <c r="DE26"/>
      <c r="DF26"/>
      <c r="DG26"/>
      <c r="DH26"/>
      <c r="DI26"/>
      <c r="DJ26"/>
      <c r="DK26"/>
      <c r="DL26"/>
      <c r="DM26"/>
      <c r="DN26"/>
      <c r="DO26"/>
    </row>
    <row r="27" spans="1:119" s="699" customFormat="1" ht="12.75" customHeight="1">
      <c r="B27" s="664"/>
      <c r="C27" s="1576"/>
      <c r="D27" s="689"/>
      <c r="E27" s="3623" t="str">
        <f>E22</f>
        <v xml:space="preserve">Household final consumption expenditure (domestic HH + NPISH)            </v>
      </c>
      <c r="F27" s="3624" t="s">
        <v>563</v>
      </c>
      <c r="G27" s="1569"/>
      <c r="H27" s="978">
        <f t="shared" ref="H27:AX27" si="85">(H22/G22-1)*100</f>
        <v>2.6037399821905449</v>
      </c>
      <c r="I27" s="978">
        <f t="shared" si="85"/>
        <v>2.2825105880719398</v>
      </c>
      <c r="J27" s="978">
        <f t="shared" si="85"/>
        <v>1.6274373377229479</v>
      </c>
      <c r="K27" s="978">
        <f t="shared" si="85"/>
        <v>1.1238018902581581</v>
      </c>
      <c r="L27" s="978">
        <f t="shared" si="85"/>
        <v>1.3111180831915981</v>
      </c>
      <c r="M27" s="978">
        <f t="shared" si="85"/>
        <v>0.19069972128500368</v>
      </c>
      <c r="N27" s="1590">
        <f t="shared" si="85"/>
        <v>3.232471124125591</v>
      </c>
      <c r="O27" s="978">
        <f t="shared" si="85"/>
        <v>1.6562396583513106</v>
      </c>
      <c r="P27" s="978">
        <f t="shared" si="85"/>
        <v>-0.17052148570718684</v>
      </c>
      <c r="Q27" s="978">
        <f t="shared" si="85"/>
        <v>2.158452125842425</v>
      </c>
      <c r="R27" s="1590">
        <f t="shared" si="85"/>
        <v>1.7480391560770858</v>
      </c>
      <c r="S27" s="978">
        <f t="shared" si="85"/>
        <v>1.3475156114613585</v>
      </c>
      <c r="T27" s="978">
        <f t="shared" si="85"/>
        <v>-0.83431603773584939</v>
      </c>
      <c r="U27" s="978">
        <f t="shared" si="85"/>
        <v>3.0502125635461175</v>
      </c>
      <c r="V27" s="1590">
        <f t="shared" si="85"/>
        <v>0.38946427025934316</v>
      </c>
      <c r="W27" s="978">
        <f t="shared" si="85"/>
        <v>-0.51583424334731287</v>
      </c>
      <c r="X27" s="978">
        <f t="shared" si="85"/>
        <v>4.4730418706760977</v>
      </c>
      <c r="Y27" s="978">
        <f t="shared" si="85"/>
        <v>1.1032156385655245</v>
      </c>
      <c r="Z27" s="1590">
        <f t="shared" si="85"/>
        <v>-0.22014986599570019</v>
      </c>
      <c r="AA27" s="978">
        <f t="shared" si="85"/>
        <v>1.9062367241780676</v>
      </c>
      <c r="AB27" s="978">
        <f t="shared" si="85"/>
        <v>3.1239073720448651</v>
      </c>
      <c r="AC27" s="978">
        <f t="shared" si="85"/>
        <v>0.9063050140184048</v>
      </c>
      <c r="AD27" s="1590">
        <f t="shared" si="85"/>
        <v>1.1178599121219879</v>
      </c>
      <c r="AE27" s="978">
        <f t="shared" si="85"/>
        <v>2.1701067160841081</v>
      </c>
      <c r="AF27" s="978">
        <f t="shared" si="85"/>
        <v>-1.4860588169070654</v>
      </c>
      <c r="AG27" s="978">
        <f t="shared" si="85"/>
        <v>1.8182972509682038</v>
      </c>
      <c r="AH27" s="1590">
        <f t="shared" si="85"/>
        <v>1.9903475625724809</v>
      </c>
      <c r="AI27" s="978">
        <f t="shared" si="85"/>
        <v>2.0334299304256342</v>
      </c>
      <c r="AJ27" s="978">
        <f t="shared" si="85"/>
        <v>1.1624283968075133</v>
      </c>
      <c r="AK27" s="978">
        <f t="shared" si="85"/>
        <v>1.3172858225928508</v>
      </c>
      <c r="AL27" s="1590">
        <f t="shared" si="85"/>
        <v>1.778364979889635</v>
      </c>
      <c r="AM27" s="978">
        <f t="shared" si="85"/>
        <v>5.3751335454743865</v>
      </c>
      <c r="AN27" s="978">
        <f t="shared" si="85"/>
        <v>2.0462672248386715</v>
      </c>
      <c r="AO27" s="978">
        <f t="shared" si="85"/>
        <v>1.04054270605205</v>
      </c>
      <c r="AP27" s="1590">
        <f t="shared" si="85"/>
        <v>4.4111272058279472</v>
      </c>
      <c r="AQ27" s="978">
        <f t="shared" si="85"/>
        <v>1.890613765936533</v>
      </c>
      <c r="AR27" s="978">
        <f t="shared" si="85"/>
        <v>3.5739132163231213</v>
      </c>
      <c r="AS27" s="978">
        <f t="shared" si="85"/>
        <v>3.2826683554992631</v>
      </c>
      <c r="AT27" s="1590">
        <f t="shared" si="85"/>
        <v>1.3499326427277136</v>
      </c>
      <c r="AU27" s="978">
        <f t="shared" si="85"/>
        <v>31.717761806981535</v>
      </c>
      <c r="AV27" s="978">
        <f t="shared" si="85"/>
        <v>5.4211221915174912</v>
      </c>
      <c r="AW27" s="978">
        <f t="shared" si="85"/>
        <v>1.5591165006496155</v>
      </c>
      <c r="AX27" s="1590">
        <f t="shared" si="85"/>
        <v>4.1656379755358852</v>
      </c>
      <c r="AY27" s="978">
        <f t="shared" ref="AY27:BF27" si="86">(AY22/AX22-1)*100</f>
        <v>-3.0229902393829167</v>
      </c>
      <c r="AZ27" s="978">
        <f t="shared" si="86"/>
        <v>4.8791325986491163</v>
      </c>
      <c r="BA27" s="978">
        <f t="shared" si="86"/>
        <v>6.0079654266587568</v>
      </c>
      <c r="BB27" s="1590">
        <f t="shared" si="86"/>
        <v>0.41566746602719196</v>
      </c>
      <c r="BC27" s="978">
        <f t="shared" si="86"/>
        <v>3.5344690335933793</v>
      </c>
      <c r="BD27" s="978">
        <f t="shared" si="86"/>
        <v>3.1254805474396408</v>
      </c>
      <c r="BE27" s="978">
        <f t="shared" si="86"/>
        <v>0.42311276794033681</v>
      </c>
      <c r="BF27" s="1590">
        <f t="shared" si="86"/>
        <v>5.5107002988288301</v>
      </c>
      <c r="BG27" s="978">
        <f t="shared" ref="BG27:BM27" si="87">(BG22/BF22-1)*100</f>
        <v>0.49431798191603704</v>
      </c>
      <c r="BH27" s="978">
        <f t="shared" si="87"/>
        <v>-0.38160589563603908</v>
      </c>
      <c r="BI27" s="978">
        <f t="shared" si="87"/>
        <v>-1.9926549403433635</v>
      </c>
      <c r="BJ27" s="1590">
        <f t="shared" si="87"/>
        <v>-2.2429403854773655</v>
      </c>
      <c r="BK27" s="1590">
        <f t="shared" si="87"/>
        <v>-11.69026483750274</v>
      </c>
      <c r="BL27" s="1590">
        <f t="shared" si="87"/>
        <v>-1.7673935617861014</v>
      </c>
      <c r="BM27" s="1590">
        <f t="shared" si="87"/>
        <v>-2.3911710606989378</v>
      </c>
      <c r="BN27" s="1590">
        <f t="shared" ref="BN27:CE27" si="88">(BN22/BM22-1)*100</f>
        <v>-4.3146768324380584</v>
      </c>
      <c r="BO27" s="1590">
        <f t="shared" si="88"/>
        <v>0.67004708438969107</v>
      </c>
      <c r="BP27" s="1590">
        <f t="shared" si="88"/>
        <v>-0.67907897103794967</v>
      </c>
      <c r="BQ27" s="1590">
        <f t="shared" si="88"/>
        <v>2.644328729907186</v>
      </c>
      <c r="BR27" s="1590">
        <f t="shared" si="88"/>
        <v>0.45436499183906243</v>
      </c>
      <c r="BS27" s="1590">
        <f t="shared" si="88"/>
        <v>1.2405585807131692</v>
      </c>
      <c r="BT27" s="1590">
        <f t="shared" si="88"/>
        <v>1.3207833611659447</v>
      </c>
      <c r="BU27" s="1590">
        <f t="shared" si="88"/>
        <v>1.224367481484645</v>
      </c>
      <c r="BV27" s="1590">
        <f t="shared" si="88"/>
        <v>1.2835694650031648</v>
      </c>
      <c r="BW27" s="1590">
        <f t="shared" si="88"/>
        <v>-0.24844979852599591</v>
      </c>
      <c r="BX27" s="1590">
        <f t="shared" si="88"/>
        <v>0.2072083385658674</v>
      </c>
      <c r="BY27" s="1590">
        <f t="shared" si="88"/>
        <v>0.59945276437536332</v>
      </c>
      <c r="BZ27" s="1590">
        <f t="shared" si="88"/>
        <v>1.6132381031475962</v>
      </c>
      <c r="CA27" s="1590">
        <f t="shared" si="88"/>
        <v>1.8369056619194302</v>
      </c>
      <c r="CB27" s="1590">
        <f t="shared" si="88"/>
        <v>0.58186195826646081</v>
      </c>
      <c r="CC27" s="1590">
        <f t="shared" si="88"/>
        <v>1.3943746259724721</v>
      </c>
      <c r="CD27" s="1590">
        <f t="shared" si="88"/>
        <v>1.0682877884672148</v>
      </c>
      <c r="CE27" s="1590">
        <f t="shared" si="88"/>
        <v>1.3703963248462347</v>
      </c>
      <c r="CF27" s="1590">
        <f t="shared" ref="CF27:CL27" si="89">(CF22/CE22-1)*100</f>
        <v>0.35717028957675812</v>
      </c>
      <c r="CG27" s="1590">
        <f t="shared" si="89"/>
        <v>0.31380352837626635</v>
      </c>
      <c r="CH27" s="1590">
        <f t="shared" si="89"/>
        <v>1.5164231488193014</v>
      </c>
      <c r="CI27" s="1590">
        <f t="shared" si="89"/>
        <v>1.1987749196745501</v>
      </c>
      <c r="CJ27" s="1590">
        <f t="shared" si="89"/>
        <v>0.27664828533766617</v>
      </c>
      <c r="CK27" s="1590">
        <f t="shared" si="89"/>
        <v>2.0885794697081961</v>
      </c>
      <c r="CL27" s="1590">
        <f t="shared" si="89"/>
        <v>0.46067904817177485</v>
      </c>
      <c r="CM27" s="1590">
        <f>(CM22/CL22-1)*100</f>
        <v>0.24372630438709297</v>
      </c>
      <c r="CN27" s="1590">
        <f>(CN22/CM22-1)*100</f>
        <v>2.5970283656010729</v>
      </c>
      <c r="CO27" s="1590">
        <f>(CO22/CN22-1)*100</f>
        <v>1.4043218003405578</v>
      </c>
      <c r="CP27" s="1590">
        <f>(CP22/CO22-1)*100</f>
        <v>0.96421832534145935</v>
      </c>
      <c r="CQ27" s="1590">
        <f t="shared" ref="CQ27:CT27" si="90">(CQ22/CP22-1)*100</f>
        <v>0.71497153830328841</v>
      </c>
      <c r="CR27" s="1590">
        <f t="shared" si="90"/>
        <v>1.1508145928738056</v>
      </c>
      <c r="CS27" s="1590">
        <f t="shared" si="90"/>
        <v>-2.1879260144408441E-2</v>
      </c>
      <c r="CT27" s="1590">
        <f t="shared" si="90"/>
        <v>1.7574574102754204</v>
      </c>
      <c r="CU27" s="3269">
        <v>0.75</v>
      </c>
      <c r="CV27" s="3269">
        <v>0.75</v>
      </c>
      <c r="CW27" s="3269">
        <v>0.75</v>
      </c>
      <c r="CX27" s="3269">
        <v>0.75</v>
      </c>
      <c r="CY27" s="3269">
        <v>0.84</v>
      </c>
      <c r="CZ27" s="3269">
        <v>0.84</v>
      </c>
      <c r="DA27" s="3269">
        <v>0.84</v>
      </c>
      <c r="DB27" s="3269">
        <v>0.84</v>
      </c>
      <c r="DC27" s="3668"/>
      <c r="DD27"/>
      <c r="DE27"/>
      <c r="DF27"/>
      <c r="DG27"/>
      <c r="DH27"/>
      <c r="DI27"/>
      <c r="DJ27"/>
      <c r="DK27"/>
      <c r="DL27"/>
      <c r="DM27"/>
      <c r="DN27"/>
      <c r="DO27"/>
    </row>
    <row r="28" spans="1:119" s="26" customFormat="1">
      <c r="A28" s="673"/>
      <c r="B28" s="673"/>
      <c r="C28" s="1603"/>
      <c r="D28" s="1604"/>
      <c r="E28" s="1582" t="s">
        <v>763</v>
      </c>
      <c r="F28" s="1649"/>
      <c r="G28" s="1605"/>
      <c r="H28" s="1606"/>
      <c r="I28" s="1606"/>
      <c r="J28" s="1606"/>
      <c r="K28" s="1607"/>
      <c r="L28" s="1607"/>
      <c r="M28" s="1607"/>
      <c r="N28" s="1608">
        <f>N23/J23*100-100</f>
        <v>6.1330753520369825</v>
      </c>
      <c r="O28" s="1607"/>
      <c r="P28" s="1607"/>
      <c r="Q28" s="1607"/>
      <c r="R28" s="1608">
        <f>R23/N23*100-100</f>
        <v>5.9929751781525624</v>
      </c>
      <c r="S28" s="1607"/>
      <c r="T28" s="1607"/>
      <c r="U28" s="1607"/>
      <c r="V28" s="1608">
        <f>V23/R23*100-100</f>
        <v>4.7410102739726057</v>
      </c>
      <c r="W28" s="1607"/>
      <c r="X28" s="1607"/>
      <c r="Y28" s="1607"/>
      <c r="Z28" s="1608">
        <f>Z23/V23*100-100</f>
        <v>4.9767183873651817</v>
      </c>
      <c r="AA28" s="1607"/>
      <c r="AB28" s="1607"/>
      <c r="AC28" s="1607"/>
      <c r="AD28" s="1608">
        <f>AD23/Z23*100-100</f>
        <v>6.6040031424459613</v>
      </c>
      <c r="AE28" s="1607"/>
      <c r="AF28" s="1607"/>
      <c r="AG28" s="1607"/>
      <c r="AH28" s="1608">
        <f>AH23/AD23*100-100</f>
        <v>4.5638336724578892</v>
      </c>
      <c r="AI28" s="1607"/>
      <c r="AJ28" s="1607"/>
      <c r="AK28" s="1607"/>
      <c r="AL28" s="1608">
        <f>AL23/AH23*100-100</f>
        <v>6.1655668791397886</v>
      </c>
      <c r="AM28" s="1607"/>
      <c r="AN28" s="1607"/>
      <c r="AO28" s="1607"/>
      <c r="AP28" s="1608">
        <f>AP23/AL23*100-100</f>
        <v>11.227855797954973</v>
      </c>
      <c r="AQ28" s="1607"/>
      <c r="AR28" s="1607"/>
      <c r="AS28" s="1607"/>
      <c r="AT28" s="1608">
        <f>AT23/AP23*100-100</f>
        <v>11.327222358667214</v>
      </c>
      <c r="AU28" s="1607"/>
      <c r="AV28" s="1607"/>
      <c r="AW28" s="1607"/>
      <c r="AX28" s="1608">
        <f>AX23/AT23*100-100</f>
        <v>44.525261377518973</v>
      </c>
      <c r="AY28" s="1607"/>
      <c r="AZ28" s="1607"/>
      <c r="BA28" s="1607"/>
      <c r="BB28" s="1608">
        <f>BB23/AX23*100-100</f>
        <v>9.0948246548636149</v>
      </c>
      <c r="BC28" s="1607"/>
      <c r="BD28" s="1607"/>
      <c r="BE28" s="1607"/>
      <c r="BF28" s="1608">
        <f>BF23/BB23*100-100</f>
        <v>12.414025974025961</v>
      </c>
      <c r="BG28" s="1607"/>
      <c r="BH28" s="1607"/>
      <c r="BI28" s="1607"/>
      <c r="BJ28" s="1608">
        <f>BJ23/BF23*100-100</f>
        <v>3.6682578778818709</v>
      </c>
      <c r="BK28" s="1609"/>
      <c r="BL28" s="1609"/>
      <c r="BM28" s="1609"/>
      <c r="BN28" s="1610">
        <f>BN23/BJ23*100-100</f>
        <v>-17.180555865112453</v>
      </c>
      <c r="BO28" s="1609"/>
      <c r="BP28" s="1609"/>
      <c r="BQ28" s="1609"/>
      <c r="BR28" s="1610">
        <f>BR23/BN23*100-100</f>
        <v>-3.37418524917517</v>
      </c>
      <c r="BS28" s="1609"/>
      <c r="BT28" s="1609"/>
      <c r="BU28" s="1609"/>
      <c r="BV28" s="1610">
        <f>BV23/BR23*100-100</f>
        <v>4.7291727011430424</v>
      </c>
      <c r="BW28" s="1609"/>
      <c r="BX28" s="1609"/>
      <c r="BY28" s="1609"/>
      <c r="BZ28" s="1610">
        <f>BZ23/BV23*100-100</f>
        <v>2.5242801068005463</v>
      </c>
      <c r="CA28" s="1609"/>
      <c r="CB28" s="1609"/>
      <c r="CC28" s="1609"/>
      <c r="CD28" s="1610">
        <f>CD23/BZ23*100-100</f>
        <v>4.8822369786262669</v>
      </c>
      <c r="CE28" s="1609"/>
      <c r="CF28" s="1609"/>
      <c r="CG28" s="1609"/>
      <c r="CH28" s="1610">
        <f>CH23/CD23*100-100</f>
        <v>3.8650449372066333</v>
      </c>
      <c r="CI28" s="1609"/>
      <c r="CJ28" s="1609"/>
      <c r="CK28" s="1609"/>
      <c r="CL28" s="1610">
        <f>CL23/CH23*100-100</f>
        <v>4.0040955306331512</v>
      </c>
      <c r="CM28" s="1609"/>
      <c r="CN28" s="1609"/>
      <c r="CO28" s="1609"/>
      <c r="CP28" s="1610">
        <f>CP23/CL23*100-100</f>
        <v>4.6659004638427035</v>
      </c>
      <c r="CQ28" s="1609"/>
      <c r="CR28" s="1609"/>
      <c r="CS28" s="1609"/>
      <c r="CT28" s="1610">
        <f>CT23/CP23*100-100</f>
        <v>4.1241037172493122</v>
      </c>
      <c r="CU28" s="1609"/>
      <c r="CV28" s="1609"/>
      <c r="CW28" s="1609"/>
      <c r="CX28" s="3722">
        <f>CX23/CT23*100-100</f>
        <v>3.5081423884548002</v>
      </c>
      <c r="CY28" s="1609"/>
      <c r="CZ28" s="1609"/>
      <c r="DA28" s="1609"/>
      <c r="DB28" s="1610">
        <f>DB23/CX23*100-100</f>
        <v>3.2650864524893564</v>
      </c>
      <c r="DC28"/>
      <c r="DD28"/>
      <c r="DE28"/>
      <c r="DF28"/>
      <c r="DG28"/>
      <c r="DH28"/>
      <c r="DI28"/>
      <c r="DJ28"/>
      <c r="DK28"/>
      <c r="DL28"/>
      <c r="DM28"/>
      <c r="DN28"/>
      <c r="DO28"/>
    </row>
    <row r="29" spans="1:119" s="1600" customFormat="1" ht="12.75" customHeight="1">
      <c r="A29" s="998"/>
      <c r="B29" s="998"/>
      <c r="C29" s="1595"/>
      <c r="D29" s="1000"/>
      <c r="E29" s="1596" t="s">
        <v>1847</v>
      </c>
      <c r="F29" s="1000"/>
      <c r="G29" s="1597"/>
      <c r="H29" s="1597"/>
      <c r="I29" s="1597"/>
      <c r="J29" s="1598"/>
      <c r="K29" s="1597"/>
      <c r="L29" s="1597"/>
      <c r="M29" s="1597"/>
      <c r="N29" s="1599">
        <f ca="1">N24/J24*100-100</f>
        <v>6.4762344028386423</v>
      </c>
      <c r="O29" s="1597"/>
      <c r="P29" s="1597"/>
      <c r="Q29" s="1597"/>
      <c r="R29" s="1599">
        <f ca="1">R24/N24*100-100</f>
        <v>5.6211089393928972</v>
      </c>
      <c r="S29" s="1597"/>
      <c r="T29" s="1597"/>
      <c r="U29" s="1597"/>
      <c r="V29" s="1599">
        <f ca="1">V24/R24*100-100</f>
        <v>4.7552825314067348</v>
      </c>
      <c r="W29" s="1597"/>
      <c r="X29" s="1597"/>
      <c r="Y29" s="1597"/>
      <c r="Z29" s="1599">
        <f ca="1">Z24/V24*100-100</f>
        <v>4.9644887582733759</v>
      </c>
      <c r="AA29" s="1597"/>
      <c r="AB29" s="1597"/>
      <c r="AC29" s="1597"/>
      <c r="AD29" s="1599">
        <f ca="1">AD24/Z24*100-100</f>
        <v>6.9827861557185855</v>
      </c>
      <c r="AE29" s="1597"/>
      <c r="AF29" s="1597"/>
      <c r="AG29" s="1597"/>
      <c r="AH29" s="1599">
        <f ca="1">AH24/AD24*100-100</f>
        <v>4.2080179577484387</v>
      </c>
      <c r="AI29" s="1597"/>
      <c r="AJ29" s="1597"/>
      <c r="AK29" s="1597"/>
      <c r="AL29" s="1599">
        <f ca="1">AL24/AH24*100-100</f>
        <v>6.1642052831319347</v>
      </c>
      <c r="AM29" s="1597"/>
      <c r="AN29" s="1597"/>
      <c r="AO29" s="1597"/>
      <c r="AP29" s="1599">
        <f ca="1">AP24/AL24*100-100</f>
        <v>11.214400216834619</v>
      </c>
      <c r="AQ29" s="1597"/>
      <c r="AR29" s="1597"/>
      <c r="AS29" s="1597"/>
      <c r="AT29" s="1599">
        <f ca="1">AT24/AP24*100-100</f>
        <v>11.679399634080156</v>
      </c>
      <c r="AU29" s="1597"/>
      <c r="AV29" s="1597"/>
      <c r="AW29" s="1597"/>
      <c r="AX29" s="1599">
        <f ca="1">AX24/AT24*100-100</f>
        <v>11.604172440280294</v>
      </c>
      <c r="AY29" s="1597"/>
      <c r="AZ29" s="1597"/>
      <c r="BA29" s="1597"/>
      <c r="BB29" s="1599">
        <f ca="1">BB24/AX24*100-100</f>
        <v>9.0980834144997402</v>
      </c>
      <c r="BC29" s="1597"/>
      <c r="BD29" s="1597"/>
      <c r="BE29" s="1597"/>
      <c r="BF29" s="1599">
        <f ca="1">BF24/BB24*100-100</f>
        <v>12.418153926740743</v>
      </c>
      <c r="BG29" s="1597"/>
      <c r="BH29" s="1597"/>
      <c r="BI29" s="1597"/>
      <c r="BJ29" s="1599">
        <f ca="1">BJ24/BF24*100-100</f>
        <v>3.8537205913895036</v>
      </c>
      <c r="BK29" s="1611"/>
      <c r="BL29" s="1611"/>
      <c r="BM29" s="1597"/>
      <c r="BN29" s="1612">
        <f ca="1">BN24/BJ24*100-100</f>
        <v>-17.35195933555292</v>
      </c>
      <c r="BO29" s="1611"/>
      <c r="BP29" s="1611"/>
      <c r="BQ29" s="1597"/>
      <c r="BR29" s="1612">
        <f ca="1">BR24/BN24*100-100</f>
        <v>-3.3542524195715515</v>
      </c>
      <c r="BS29" s="1611"/>
      <c r="BT29" s="1611"/>
      <c r="BU29" s="1597"/>
      <c r="BV29" s="1612">
        <f ca="1">BV24/BR24*100-100</f>
        <v>4.5987470981647647</v>
      </c>
      <c r="BW29" s="1611"/>
      <c r="BX29" s="1611"/>
      <c r="BY29" s="1597"/>
      <c r="BZ29" s="1612">
        <f ca="1">BZ24/BV24*100-100</f>
        <v>3.0945388078617952</v>
      </c>
      <c r="CA29" s="1611"/>
      <c r="CB29" s="1611"/>
      <c r="CC29" s="1597"/>
      <c r="CD29" s="1612">
        <f ca="1">CD24/BZ24*100-100</f>
        <v>4.3134239507887742</v>
      </c>
      <c r="CE29" s="1611"/>
      <c r="CF29" s="1611"/>
      <c r="CG29" s="1597"/>
      <c r="CH29" s="1612">
        <f ca="1">CH24/CD24*100-100</f>
        <v>3.9665319224824458</v>
      </c>
      <c r="CI29" s="1611"/>
      <c r="CJ29" s="1611"/>
      <c r="CK29" s="1597"/>
      <c r="CL29" s="1612">
        <f ca="1">CL24/CH24*100-100</f>
        <v>3.9764903202443662</v>
      </c>
      <c r="CM29" s="1611"/>
      <c r="CN29" s="1611"/>
      <c r="CO29" s="1597"/>
      <c r="CP29" s="1612">
        <f ca="1">CP24/CL24*100-100</f>
        <v>4.9353738145373853</v>
      </c>
      <c r="CQ29" s="1611"/>
      <c r="CR29" s="1611"/>
      <c r="CS29" s="1597"/>
      <c r="CT29" s="1612">
        <f ca="1">CT24/CP24*100-100</f>
        <v>3.8909751369404972</v>
      </c>
      <c r="CU29" s="1611"/>
      <c r="CV29" s="1611"/>
      <c r="CW29" s="1597"/>
      <c r="CX29" s="3723">
        <f ca="1">CX24/CT24*100-100</f>
        <v>3.4999999999999858</v>
      </c>
      <c r="CY29" s="1611"/>
      <c r="CZ29" s="1611"/>
      <c r="DA29" s="1597"/>
      <c r="DB29" s="1612">
        <f ca="1">DB24/CX24*100-100</f>
        <v>3.2999999999999972</v>
      </c>
      <c r="DC29"/>
      <c r="DD29"/>
      <c r="DE29"/>
      <c r="DF29"/>
      <c r="DG29"/>
      <c r="DH29"/>
      <c r="DI29"/>
      <c r="DJ29"/>
      <c r="DK29"/>
      <c r="DL29"/>
      <c r="DM29"/>
      <c r="DN29"/>
      <c r="DO29"/>
    </row>
    <row r="30" spans="1:119" s="26" customFormat="1">
      <c r="A30" s="673"/>
      <c r="B30" s="673"/>
      <c r="C30" s="1007"/>
      <c r="D30" s="1007"/>
      <c r="F30" s="1601"/>
      <c r="BK30" s="1602"/>
      <c r="BL30" s="1602"/>
      <c r="BM30" s="1602"/>
      <c r="BN30" s="1602"/>
      <c r="BO30" s="1602"/>
      <c r="BP30" s="1602"/>
      <c r="BQ30" s="1602"/>
      <c r="BR30" s="1602"/>
      <c r="BS30" s="1602"/>
      <c r="BT30" s="1602"/>
      <c r="BU30" s="1602"/>
      <c r="BV30" s="1602"/>
      <c r="BW30" s="1602"/>
      <c r="BX30" s="1602"/>
      <c r="BY30" s="1602"/>
      <c r="BZ30" s="1602"/>
      <c r="CA30" s="1602"/>
      <c r="CB30" s="1602"/>
      <c r="CC30" s="1602"/>
      <c r="CD30" s="1602"/>
      <c r="CE30" s="1602"/>
      <c r="CF30" s="1602"/>
      <c r="CG30" s="1602"/>
      <c r="CH30" s="1602"/>
      <c r="CI30" s="1602"/>
      <c r="CJ30" s="1602"/>
      <c r="CK30" s="1602"/>
      <c r="CL30" s="1602"/>
      <c r="CM30" s="1602"/>
      <c r="CN30" s="1602"/>
      <c r="CO30" s="1602"/>
      <c r="CP30" s="1602"/>
      <c r="CQ30" s="1602"/>
      <c r="CR30" s="1602"/>
      <c r="CS30" s="1602"/>
      <c r="CT30" s="1602"/>
      <c r="CU30" s="1602"/>
      <c r="CV30" s="1602"/>
      <c r="CW30" s="1602"/>
      <c r="CX30" s="1602"/>
      <c r="CY30" s="1602"/>
      <c r="CZ30" s="1602"/>
      <c r="DA30" s="1602"/>
      <c r="DB30" s="1602"/>
      <c r="DC30"/>
      <c r="DD30"/>
      <c r="DE30"/>
      <c r="DF30"/>
      <c r="DG30"/>
      <c r="DH30"/>
      <c r="DI30"/>
      <c r="DJ30"/>
      <c r="DK30"/>
      <c r="DL30"/>
      <c r="DM30"/>
      <c r="DN30"/>
      <c r="DO30"/>
    </row>
    <row r="31" spans="1:119" s="699" customFormat="1" ht="12.75" customHeight="1">
      <c r="A31" s="664"/>
      <c r="B31" s="664"/>
      <c r="C31" s="666"/>
      <c r="D31" s="858"/>
      <c r="E31" s="3625"/>
      <c r="F31" s="3626"/>
      <c r="G31" s="1588" t="str">
        <f t="shared" ref="G31:N31" si="91">G26</f>
        <v>Q1</v>
      </c>
      <c r="H31" s="1588" t="str">
        <f t="shared" si="91"/>
        <v>Q2</v>
      </c>
      <c r="I31" s="1588" t="str">
        <f t="shared" si="91"/>
        <v>Q3</v>
      </c>
      <c r="J31" s="1588" t="str">
        <f t="shared" si="91"/>
        <v>Q4</v>
      </c>
      <c r="K31" s="1593" t="str">
        <f t="shared" si="91"/>
        <v>Q1</v>
      </c>
      <c r="L31" s="1588" t="str">
        <f t="shared" si="91"/>
        <v>Q2</v>
      </c>
      <c r="M31" s="1588" t="str">
        <f t="shared" si="91"/>
        <v>Q3</v>
      </c>
      <c r="N31" s="1594" t="str">
        <f t="shared" si="91"/>
        <v>Q4</v>
      </c>
      <c r="O31" s="1593" t="str">
        <f t="shared" ref="O31:AX31" si="92">O26</f>
        <v>Q1</v>
      </c>
      <c r="P31" s="1588" t="str">
        <f t="shared" si="92"/>
        <v>Q2</v>
      </c>
      <c r="Q31" s="1588" t="str">
        <f t="shared" si="92"/>
        <v>Q3</v>
      </c>
      <c r="R31" s="1594" t="str">
        <f t="shared" si="92"/>
        <v>Q4</v>
      </c>
      <c r="S31" s="1593" t="str">
        <f t="shared" si="92"/>
        <v>Q1</v>
      </c>
      <c r="T31" s="1588" t="str">
        <f t="shared" si="92"/>
        <v>Q2</v>
      </c>
      <c r="U31" s="1588" t="str">
        <f t="shared" si="92"/>
        <v>Q3</v>
      </c>
      <c r="V31" s="1594" t="str">
        <f t="shared" si="92"/>
        <v>Q4</v>
      </c>
      <c r="W31" s="1593" t="str">
        <f t="shared" si="92"/>
        <v>Q1</v>
      </c>
      <c r="X31" s="1588" t="str">
        <f t="shared" si="92"/>
        <v>Q2</v>
      </c>
      <c r="Y31" s="1588" t="str">
        <f t="shared" si="92"/>
        <v>Q3</v>
      </c>
      <c r="Z31" s="1594" t="str">
        <f t="shared" si="92"/>
        <v>Q4</v>
      </c>
      <c r="AA31" s="1593" t="str">
        <f t="shared" si="92"/>
        <v>Q1</v>
      </c>
      <c r="AB31" s="1588" t="str">
        <f t="shared" si="92"/>
        <v>Q2</v>
      </c>
      <c r="AC31" s="1588" t="str">
        <f t="shared" si="92"/>
        <v>Q3</v>
      </c>
      <c r="AD31" s="1594" t="str">
        <f t="shared" si="92"/>
        <v>Q4</v>
      </c>
      <c r="AE31" s="1593" t="str">
        <f t="shared" si="92"/>
        <v>Q1</v>
      </c>
      <c r="AF31" s="1588" t="str">
        <f t="shared" si="92"/>
        <v>Q2</v>
      </c>
      <c r="AG31" s="1588" t="str">
        <f t="shared" si="92"/>
        <v>Q3</v>
      </c>
      <c r="AH31" s="1594" t="str">
        <f t="shared" si="92"/>
        <v>Q4</v>
      </c>
      <c r="AI31" s="1593" t="str">
        <f t="shared" si="92"/>
        <v>Q1</v>
      </c>
      <c r="AJ31" s="1588" t="str">
        <f t="shared" si="92"/>
        <v>Q2</v>
      </c>
      <c r="AK31" s="1588" t="str">
        <f t="shared" si="92"/>
        <v>Q3</v>
      </c>
      <c r="AL31" s="1594" t="str">
        <f t="shared" si="92"/>
        <v>Q4</v>
      </c>
      <c r="AM31" s="1593" t="str">
        <f t="shared" si="92"/>
        <v>Q1</v>
      </c>
      <c r="AN31" s="1588" t="str">
        <f t="shared" si="92"/>
        <v>Q2</v>
      </c>
      <c r="AO31" s="1588" t="str">
        <f t="shared" si="92"/>
        <v>Q3</v>
      </c>
      <c r="AP31" s="1594" t="str">
        <f t="shared" si="92"/>
        <v>Q4</v>
      </c>
      <c r="AQ31" s="1593" t="str">
        <f t="shared" si="92"/>
        <v>Q1</v>
      </c>
      <c r="AR31" s="1588" t="str">
        <f t="shared" si="92"/>
        <v>Q2</v>
      </c>
      <c r="AS31" s="1588" t="str">
        <f t="shared" si="92"/>
        <v>Q3</v>
      </c>
      <c r="AT31" s="1594" t="str">
        <f t="shared" si="92"/>
        <v>Q4</v>
      </c>
      <c r="AU31" s="1593" t="str">
        <f t="shared" si="92"/>
        <v>Q1</v>
      </c>
      <c r="AV31" s="1588" t="str">
        <f t="shared" si="92"/>
        <v>Q2</v>
      </c>
      <c r="AW31" s="1588" t="str">
        <f t="shared" si="92"/>
        <v>Q3</v>
      </c>
      <c r="AX31" s="1594" t="str">
        <f t="shared" si="92"/>
        <v>Q4</v>
      </c>
      <c r="AY31" s="1593" t="str">
        <f t="shared" ref="AY31:BF31" si="93">AY26</f>
        <v>Q1</v>
      </c>
      <c r="AZ31" s="1588" t="str">
        <f t="shared" si="93"/>
        <v>Q2</v>
      </c>
      <c r="BA31" s="1588" t="str">
        <f t="shared" si="93"/>
        <v>Q3</v>
      </c>
      <c r="BB31" s="1594" t="str">
        <f t="shared" si="93"/>
        <v>Q4</v>
      </c>
      <c r="BC31" s="1593" t="str">
        <f t="shared" si="93"/>
        <v>Q1</v>
      </c>
      <c r="BD31" s="1588" t="str">
        <f t="shared" si="93"/>
        <v>Q2</v>
      </c>
      <c r="BE31" s="1588" t="str">
        <f t="shared" si="93"/>
        <v>Q3</v>
      </c>
      <c r="BF31" s="1594" t="str">
        <f t="shared" si="93"/>
        <v>Q4</v>
      </c>
      <c r="BG31" s="1593" t="str">
        <f t="shared" ref="BG31:BN31" si="94">BG26</f>
        <v>Q1</v>
      </c>
      <c r="BH31" s="1588" t="str">
        <f t="shared" si="94"/>
        <v>Q2</v>
      </c>
      <c r="BI31" s="1588" t="str">
        <f t="shared" si="94"/>
        <v>Q3</v>
      </c>
      <c r="BJ31" s="1594" t="str">
        <f t="shared" si="94"/>
        <v>Q4</v>
      </c>
      <c r="BK31" s="1593" t="str">
        <f t="shared" si="94"/>
        <v>Q1</v>
      </c>
      <c r="BL31" s="1588" t="str">
        <f t="shared" si="94"/>
        <v>Q2</v>
      </c>
      <c r="BM31" s="1588" t="str">
        <f t="shared" si="94"/>
        <v>Q3</v>
      </c>
      <c r="BN31" s="1594" t="str">
        <f t="shared" si="94"/>
        <v>Q4</v>
      </c>
      <c r="BO31" s="1593" t="str">
        <f t="shared" ref="BO31:BZ31" si="95">BO26</f>
        <v>Q1</v>
      </c>
      <c r="BP31" s="1588" t="str">
        <f t="shared" si="95"/>
        <v>Q2</v>
      </c>
      <c r="BQ31" s="1588" t="str">
        <f t="shared" si="95"/>
        <v>Q3</v>
      </c>
      <c r="BR31" s="1594" t="str">
        <f t="shared" si="95"/>
        <v>Q4</v>
      </c>
      <c r="BS31" s="1593" t="str">
        <f>BS26</f>
        <v>Q1</v>
      </c>
      <c r="BT31" s="1588" t="str">
        <f>BT26</f>
        <v>Q2</v>
      </c>
      <c r="BU31" s="1588" t="str">
        <f>BU26</f>
        <v>Q3</v>
      </c>
      <c r="BV31" s="1594" t="str">
        <f>BV26</f>
        <v>Q4</v>
      </c>
      <c r="BW31" s="1593" t="str">
        <f t="shared" si="95"/>
        <v>Q1</v>
      </c>
      <c r="BX31" s="1588" t="str">
        <f t="shared" si="95"/>
        <v>Q2</v>
      </c>
      <c r="BY31" s="1588" t="str">
        <f t="shared" si="95"/>
        <v>Q3</v>
      </c>
      <c r="BZ31" s="1594" t="str">
        <f t="shared" si="95"/>
        <v>Q4</v>
      </c>
      <c r="CA31" s="1593" t="str">
        <f t="shared" ref="CA31:CH31" si="96">CA26</f>
        <v>Q1</v>
      </c>
      <c r="CB31" s="1588" t="str">
        <f t="shared" si="96"/>
        <v>Q2</v>
      </c>
      <c r="CC31" s="1588" t="str">
        <f t="shared" si="96"/>
        <v>Q3</v>
      </c>
      <c r="CD31" s="1594" t="str">
        <f t="shared" si="96"/>
        <v>Q4</v>
      </c>
      <c r="CE31" s="1593" t="str">
        <f t="shared" si="96"/>
        <v>Q1</v>
      </c>
      <c r="CF31" s="1588" t="str">
        <f t="shared" si="96"/>
        <v>Q2</v>
      </c>
      <c r="CG31" s="1588" t="str">
        <f t="shared" si="96"/>
        <v>Q3</v>
      </c>
      <c r="CH31" s="1594" t="str">
        <f t="shared" si="96"/>
        <v>Q4</v>
      </c>
      <c r="CI31" s="1593" t="str">
        <f t="shared" ref="CI31:CP31" si="97">CI26</f>
        <v>Q1</v>
      </c>
      <c r="CJ31" s="1588" t="str">
        <f t="shared" si="97"/>
        <v>Q2</v>
      </c>
      <c r="CK31" s="1588" t="str">
        <f t="shared" si="97"/>
        <v>Q3</v>
      </c>
      <c r="CL31" s="1594" t="str">
        <f t="shared" si="97"/>
        <v>Q4</v>
      </c>
      <c r="CM31" s="1593" t="str">
        <f t="shared" si="97"/>
        <v>Q1</v>
      </c>
      <c r="CN31" s="1588" t="str">
        <f t="shared" si="97"/>
        <v>Q2</v>
      </c>
      <c r="CO31" s="1588" t="str">
        <f t="shared" si="97"/>
        <v>Q3</v>
      </c>
      <c r="CP31" s="1594" t="str">
        <f t="shared" si="97"/>
        <v>Q4</v>
      </c>
      <c r="CQ31" s="1593" t="str">
        <f t="shared" ref="CQ31:CX31" si="98">CQ26</f>
        <v>Q1</v>
      </c>
      <c r="CR31" s="1588" t="str">
        <f t="shared" si="98"/>
        <v>Q2</v>
      </c>
      <c r="CS31" s="1588" t="str">
        <f t="shared" si="98"/>
        <v>Q3</v>
      </c>
      <c r="CT31" s="1594" t="str">
        <f t="shared" si="98"/>
        <v>Q4</v>
      </c>
      <c r="CU31" s="1593" t="str">
        <f t="shared" si="98"/>
        <v>Q1</v>
      </c>
      <c r="CV31" s="1588" t="str">
        <f t="shared" si="98"/>
        <v>Q2</v>
      </c>
      <c r="CW31" s="1588" t="str">
        <f t="shared" si="98"/>
        <v>Q3</v>
      </c>
      <c r="CX31" s="1594" t="str">
        <f t="shared" si="98"/>
        <v>Q4</v>
      </c>
      <c r="CY31" s="1593" t="str">
        <f t="shared" ref="CY31:DB31" si="99">CY26</f>
        <v>Q1</v>
      </c>
      <c r="CZ31" s="1588" t="str">
        <f t="shared" si="99"/>
        <v>Q2</v>
      </c>
      <c r="DA31" s="1588" t="str">
        <f t="shared" si="99"/>
        <v>Q3</v>
      </c>
      <c r="DB31" s="1594" t="str">
        <f t="shared" si="99"/>
        <v>Q4</v>
      </c>
      <c r="DC31"/>
      <c r="DD31"/>
      <c r="DE31"/>
      <c r="DF31"/>
      <c r="DG31"/>
      <c r="DH31"/>
      <c r="DI31"/>
      <c r="DJ31"/>
      <c r="DK31"/>
      <c r="DL31"/>
      <c r="DM31"/>
      <c r="DN31"/>
      <c r="DO31"/>
    </row>
    <row r="32" spans="1:119" s="699" customFormat="1" ht="12.75" customHeight="1">
      <c r="A32" s="664"/>
      <c r="B32" s="664"/>
      <c r="C32" s="862"/>
      <c r="D32" s="863"/>
      <c r="E32" s="3627" t="s">
        <v>1848</v>
      </c>
      <c r="F32" s="3628"/>
      <c r="G32" s="705"/>
      <c r="H32" s="705"/>
      <c r="I32" s="705"/>
      <c r="J32" s="705"/>
      <c r="K32" s="1564">
        <f t="shared" ref="K32:AX32" si="100">(K22/G22-1)*100</f>
        <v>7.8521816562778346</v>
      </c>
      <c r="L32" s="1564">
        <f t="shared" si="100"/>
        <v>6.4934388669027454</v>
      </c>
      <c r="M32" s="1564">
        <f t="shared" si="100"/>
        <v>4.3155090196344448</v>
      </c>
      <c r="N32" s="1564">
        <f t="shared" si="100"/>
        <v>5.9629963597501945</v>
      </c>
      <c r="O32" s="1564">
        <f t="shared" si="100"/>
        <v>6.5209134893244425</v>
      </c>
      <c r="P32" s="1564">
        <f t="shared" si="100"/>
        <v>4.9630824898537984</v>
      </c>
      <c r="Q32" s="1564">
        <f t="shared" si="100"/>
        <v>7.0245648283715711</v>
      </c>
      <c r="R32" s="1564">
        <f t="shared" si="100"/>
        <v>5.485604425043733</v>
      </c>
      <c r="S32" s="1564">
        <f t="shared" si="100"/>
        <v>5.1652508216035287</v>
      </c>
      <c r="T32" s="1564">
        <f t="shared" si="100"/>
        <v>4.4659772042610069</v>
      </c>
      <c r="U32" s="1564">
        <f t="shared" si="100"/>
        <v>5.377880464522411</v>
      </c>
      <c r="V32" s="1564">
        <f t="shared" si="100"/>
        <v>3.9708386865457745</v>
      </c>
      <c r="W32" s="1564">
        <f t="shared" si="100"/>
        <v>2.0592570754716988</v>
      </c>
      <c r="X32" s="1564">
        <f t="shared" si="100"/>
        <v>7.5214793233641553</v>
      </c>
      <c r="Y32" s="1564">
        <f t="shared" si="100"/>
        <v>5.4900037503966548</v>
      </c>
      <c r="Z32" s="1564">
        <f t="shared" si="100"/>
        <v>4.8494166331398691</v>
      </c>
      <c r="AA32" s="1564">
        <f t="shared" si="100"/>
        <v>7.402111587734872</v>
      </c>
      <c r="AB32" s="1564">
        <f t="shared" si="100"/>
        <v>6.0151519340835513</v>
      </c>
      <c r="AC32" s="1564">
        <f t="shared" si="100"/>
        <v>5.8086747251545168</v>
      </c>
      <c r="AD32" s="1564">
        <f t="shared" si="100"/>
        <v>7.2275287442956415</v>
      </c>
      <c r="AE32" s="1564">
        <f t="shared" si="100"/>
        <v>7.5051773755413054</v>
      </c>
      <c r="AF32" s="1564">
        <f t="shared" si="100"/>
        <v>2.6993545021842591</v>
      </c>
      <c r="AG32" s="1564">
        <f t="shared" si="100"/>
        <v>3.6275523391057218</v>
      </c>
      <c r="AH32" s="1564">
        <f t="shared" si="100"/>
        <v>4.5216946769761623</v>
      </c>
      <c r="AI32" s="1564">
        <f t="shared" si="100"/>
        <v>4.3818720838597391</v>
      </c>
      <c r="AJ32" s="1564">
        <f t="shared" si="100"/>
        <v>7.188115040314913</v>
      </c>
      <c r="AK32" s="1564">
        <f t="shared" si="100"/>
        <v>6.6606806589596612</v>
      </c>
      <c r="AL32" s="1564">
        <f t="shared" si="100"/>
        <v>6.438990988347193</v>
      </c>
      <c r="AM32" s="1564">
        <f t="shared" si="100"/>
        <v>9.9249814251132218</v>
      </c>
      <c r="AN32" s="1564">
        <f t="shared" si="100"/>
        <v>10.885377179681566</v>
      </c>
      <c r="AO32" s="1564">
        <f t="shared" si="100"/>
        <v>10.582499298475367</v>
      </c>
      <c r="AP32" s="1564">
        <f t="shared" si="100"/>
        <v>13.443003365920369</v>
      </c>
      <c r="AQ32" s="1564">
        <f t="shared" si="100"/>
        <v>9.6916971916972017</v>
      </c>
      <c r="AR32" s="1564">
        <f t="shared" si="100"/>
        <v>11.333796271566676</v>
      </c>
      <c r="AS32" s="1564">
        <f t="shared" si="100"/>
        <v>13.804332885735725</v>
      </c>
      <c r="AT32" s="1564">
        <f t="shared" si="100"/>
        <v>10.46774209881416</v>
      </c>
      <c r="AU32" s="1564">
        <f t="shared" si="100"/>
        <v>42.805732572700727</v>
      </c>
      <c r="AV32" s="1564">
        <f t="shared" si="100"/>
        <v>45.35262901337633</v>
      </c>
      <c r="AW32" s="1564">
        <f t="shared" si="100"/>
        <v>42.927025595763446</v>
      </c>
      <c r="AX32" s="1564">
        <f t="shared" si="100"/>
        <v>46.897826342035827</v>
      </c>
      <c r="AY32" s="1564">
        <f t="shared" ref="AY32:BF32" si="101">(AY22/AU22-1)*100</f>
        <v>8.1533101045295986</v>
      </c>
      <c r="AZ32" s="1564">
        <f t="shared" si="101"/>
        <v>7.5972738255339456</v>
      </c>
      <c r="BA32" s="1564">
        <f t="shared" si="101"/>
        <v>12.310627314555035</v>
      </c>
      <c r="BB32" s="1564">
        <f t="shared" si="101"/>
        <v>8.2674365990820888</v>
      </c>
      <c r="BC32" s="1564">
        <f t="shared" si="101"/>
        <v>15.588339850693211</v>
      </c>
      <c r="BD32" s="1564">
        <f t="shared" si="101"/>
        <v>13.655622404880962</v>
      </c>
      <c r="BE32" s="1564">
        <f t="shared" si="101"/>
        <v>7.6678657074340517</v>
      </c>
      <c r="BF32" s="1564">
        <f t="shared" si="101"/>
        <v>13.130870880433054</v>
      </c>
      <c r="BG32" s="1564">
        <f t="shared" ref="BG32:BN32" si="102">(BG22/BC22-1)*100</f>
        <v>9.8089343379978544</v>
      </c>
      <c r="BH32" s="1564">
        <f t="shared" si="102"/>
        <v>6.074557315936624</v>
      </c>
      <c r="BI32" s="1564">
        <f t="shared" si="102"/>
        <v>3.5228390593388559</v>
      </c>
      <c r="BJ32" s="1564">
        <f t="shared" si="102"/>
        <v>-4.0847201210287505</v>
      </c>
      <c r="BK32" s="1564">
        <f t="shared" si="102"/>
        <v>-15.714110665709724</v>
      </c>
      <c r="BL32" s="1564">
        <f t="shared" si="102"/>
        <v>-16.886608445061423</v>
      </c>
      <c r="BM32" s="1564">
        <f t="shared" si="102"/>
        <v>-17.224562976243828</v>
      </c>
      <c r="BN32" s="1564">
        <f t="shared" si="102"/>
        <v>-18.978798327342083</v>
      </c>
      <c r="BO32" s="1564">
        <f t="shared" ref="BO32:BZ32" si="103">(BO22/BK22-1)*100</f>
        <v>-7.6386292834891183</v>
      </c>
      <c r="BP32" s="1564">
        <f t="shared" si="103"/>
        <v>-6.6153618469735109</v>
      </c>
      <c r="BQ32" s="1564">
        <f t="shared" si="103"/>
        <v>-1.7977820135158584</v>
      </c>
      <c r="BR32" s="1564">
        <f t="shared" si="103"/>
        <v>3.096704092720004</v>
      </c>
      <c r="BS32" s="1564">
        <f>(BS22/BO22-1)*100</f>
        <v>3.68096779996403</v>
      </c>
      <c r="BT32" s="1564">
        <f>(BT22/BP22-1)*100</f>
        <v>5.7686212361331313</v>
      </c>
      <c r="BU32" s="1564">
        <f>(BU22/BQ22-1)*100</f>
        <v>4.3054391459702579</v>
      </c>
      <c r="BV32" s="1564">
        <f>(BV22/BR22-1)*100</f>
        <v>5.1664324609169254</v>
      </c>
      <c r="BW32" s="1564">
        <f t="shared" si="103"/>
        <v>3.6196837927519487</v>
      </c>
      <c r="BX32" s="1564">
        <f t="shared" si="103"/>
        <v>2.4808425018194358</v>
      </c>
      <c r="BY32" s="1564">
        <f t="shared" si="103"/>
        <v>1.8481708606470582</v>
      </c>
      <c r="BZ32" s="1564">
        <f t="shared" si="103"/>
        <v>2.179677224043286</v>
      </c>
      <c r="CA32" s="1564">
        <f t="shared" ref="CA32:CH32" si="104">(CA22/BW22-1)*100</f>
        <v>4.3157938800284734</v>
      </c>
      <c r="CB32" s="1564">
        <f t="shared" si="104"/>
        <v>4.7058086346262185</v>
      </c>
      <c r="CC32" s="1564">
        <f t="shared" si="104"/>
        <v>5.5331783074495489</v>
      </c>
      <c r="CD32" s="1564">
        <f t="shared" si="104"/>
        <v>4.9672054105964092</v>
      </c>
      <c r="CE32" s="1564">
        <f t="shared" si="104"/>
        <v>4.4863563402889328</v>
      </c>
      <c r="CF32" s="1564">
        <f t="shared" si="104"/>
        <v>4.2529423498902874</v>
      </c>
      <c r="CG32" s="1564">
        <f t="shared" si="104"/>
        <v>3.1419071789726472</v>
      </c>
      <c r="CH32" s="1564">
        <f t="shared" si="104"/>
        <v>3.5992369384100442</v>
      </c>
      <c r="CI32" s="1564">
        <f t="shared" ref="CI32:CP32" si="105">(CI22/CE22-1)*100</f>
        <v>3.4238420769644229</v>
      </c>
      <c r="CJ32" s="1564">
        <f t="shared" si="105"/>
        <v>3.340859515517991</v>
      </c>
      <c r="CK32" s="1564">
        <f t="shared" si="105"/>
        <v>5.1691908594971858</v>
      </c>
      <c r="CL32" s="1564">
        <f t="shared" si="105"/>
        <v>4.0754589353826365</v>
      </c>
      <c r="CM32" s="1564">
        <f t="shared" si="105"/>
        <v>3.0932620360571317</v>
      </c>
      <c r="CN32" s="1564">
        <f t="shared" si="105"/>
        <v>5.4788179528958647</v>
      </c>
      <c r="CO32" s="1564">
        <f t="shared" si="105"/>
        <v>4.7718369123621596</v>
      </c>
      <c r="CP32" s="1564">
        <f t="shared" si="105"/>
        <v>5.2969850153457232</v>
      </c>
      <c r="CQ32" s="1564">
        <f t="shared" ref="CQ32:CX32" si="106">(CQ22/CM22-1)*100</f>
        <v>5.7919855920756325</v>
      </c>
      <c r="CR32" s="1564">
        <f t="shared" si="106"/>
        <v>4.3007355135429304</v>
      </c>
      <c r="CS32" s="1564">
        <f t="shared" si="106"/>
        <v>2.8337978430591715</v>
      </c>
      <c r="CT32" s="1564">
        <f t="shared" si="106"/>
        <v>3.6417255332281906</v>
      </c>
      <c r="CU32" s="1564">
        <f t="shared" si="106"/>
        <v>3.6777719139953424</v>
      </c>
      <c r="CV32" s="1564">
        <f t="shared" si="106"/>
        <v>3.2669441405658528</v>
      </c>
      <c r="CW32" s="1564">
        <f t="shared" si="106"/>
        <v>4.064214701871971</v>
      </c>
      <c r="CX32" s="1564">
        <f t="shared" si="106"/>
        <v>3.0339190664062654</v>
      </c>
      <c r="CY32" s="1564">
        <f t="shared" ref="CY32" si="107">(CY22/CU22-1)*100</f>
        <v>3.1259592918750023</v>
      </c>
      <c r="CZ32" s="1564">
        <f t="shared" ref="CZ32" si="108">(CZ22/CV22-1)*100</f>
        <v>3.2180817368999914</v>
      </c>
      <c r="DA32" s="1564">
        <f t="shared" ref="DA32" si="109">(DA22/CW22-1)*100</f>
        <v>3.3102864749279926</v>
      </c>
      <c r="DB32" s="1564">
        <f t="shared" ref="DB32" si="110">(DB22/CX22-1)*100</f>
        <v>3.4025735794713574</v>
      </c>
      <c r="DC32"/>
      <c r="DD32"/>
      <c r="DE32"/>
      <c r="DF32"/>
      <c r="DG32"/>
      <c r="DH32"/>
      <c r="DI32"/>
      <c r="DJ32"/>
      <c r="DK32"/>
      <c r="DL32"/>
      <c r="DM32"/>
      <c r="DN32"/>
      <c r="DO32"/>
    </row>
    <row r="33" spans="1:119" s="699" customFormat="1" ht="12.75" customHeight="1">
      <c r="A33" s="664"/>
      <c r="B33" s="664"/>
      <c r="C33" s="944"/>
      <c r="D33" s="674"/>
      <c r="E33" s="3629" t="s">
        <v>1938</v>
      </c>
      <c r="F33" s="3630"/>
      <c r="G33" s="705"/>
      <c r="H33" s="705"/>
      <c r="I33" s="705"/>
      <c r="J33" s="705"/>
      <c r="K33" s="1564">
        <f>(4*K22/J23-1)*100</f>
        <v>4.1539288401591046</v>
      </c>
      <c r="L33" s="1564">
        <f>((K22+3*L22)/J23-1)*100</f>
        <v>5.1781145866924838</v>
      </c>
      <c r="M33" s="1564">
        <f>((K22+L22+2*M22)/J23-1)*100</f>
        <v>5.2787272922713235</v>
      </c>
      <c r="N33" s="1621"/>
      <c r="O33" s="1564">
        <f>(4*O22/N23-1)*100</f>
        <v>4.5345346561928901</v>
      </c>
      <c r="P33" s="1564">
        <f>((O22+3*P22)/N23-1)*100</f>
        <v>4.4008442750132604</v>
      </c>
      <c r="Q33" s="1564">
        <f>((O22+P22+2*Q22)/N23-1)*100</f>
        <v>5.5270844558598986</v>
      </c>
      <c r="R33" s="1621"/>
      <c r="S33" s="1564">
        <f>(4*S22/R23-1)*100</f>
        <v>3.7181996086105729</v>
      </c>
      <c r="T33" s="1564">
        <f>((S22+3*T22)/R23-1)*100</f>
        <v>3.0691964285714191</v>
      </c>
      <c r="U33" s="1564">
        <f>((S22+T22+2*U22)/R23-1)*100</f>
        <v>4.6378118884540243</v>
      </c>
      <c r="V33" s="1621"/>
      <c r="W33" s="1564">
        <f>(4*W22/V23-1)*100</f>
        <v>1.0626341064677858</v>
      </c>
      <c r="X33" s="1564">
        <f>((W22+3*X22)/V23-1)*100</f>
        <v>4.4530645608606312</v>
      </c>
      <c r="Y33" s="1564">
        <f>((W22+X22+2*Y22)/V23-1)*100</f>
        <v>5.0354697922900815</v>
      </c>
      <c r="Z33" s="1621"/>
      <c r="AA33" s="1564">
        <f>(4*AA22/Z23-1)*100</f>
        <v>3.3975958897918934</v>
      </c>
      <c r="AB33" s="1564">
        <f>((AA22+3*AB22)/Z23-1)*100</f>
        <v>5.8201297301806898</v>
      </c>
      <c r="AC33" s="1564">
        <f>((AA22+AB22+2*AC22)/Z23-1)*100</f>
        <v>6.3033155585836553</v>
      </c>
      <c r="AD33" s="1621"/>
      <c r="AE33" s="1564">
        <f>(4*AE22/AD23-1)*100</f>
        <v>4.2716648406114777</v>
      </c>
      <c r="AF33" s="1564">
        <f>((AE22+3*AF22)/AD23-1)*100</f>
        <v>3.1095111389367158</v>
      </c>
      <c r="AG33" s="1564">
        <f>((AE22+AF22+2*AG22)/AD23-1)*100</f>
        <v>4.0434079407314805</v>
      </c>
      <c r="AH33" s="1621"/>
      <c r="AI33" s="1564">
        <f>(4*AI22/AH23-1)*100</f>
        <v>4.0902116831114999</v>
      </c>
      <c r="AJ33" s="1564">
        <f>((AI22+3*AJ22)/AH23-1)*100</f>
        <v>4.9976923172876608</v>
      </c>
      <c r="AK33" s="1564">
        <f>((AI22+AJ22+2*AK22)/AH23-1)*100</f>
        <v>5.6912445270497658</v>
      </c>
      <c r="AL33" s="1621"/>
      <c r="AM33" s="1564">
        <f>(4*AM22/AL23-1)*100</f>
        <v>7.7761361066152723</v>
      </c>
      <c r="AN33" s="1564">
        <f>((AM22+3*AN22)/AL23-1)*100</f>
        <v>9.4301769186256443</v>
      </c>
      <c r="AO33" s="1564">
        <f>((AM22+AN22+2*AO22)/AL23-1)*100</f>
        <v>10.002379280869711</v>
      </c>
      <c r="AP33" s="1621"/>
      <c r="AQ33" s="1564">
        <f>(4*AQ22/AP23-1)*100</f>
        <v>6.2876489120933243</v>
      </c>
      <c r="AR33" s="1564">
        <f>((AQ22+3*AR22)/AP23-1)*100</f>
        <v>9.1366201609346618</v>
      </c>
      <c r="AS33" s="1564">
        <f>((AQ22+AR22+2*AS22)/AP23-1)*100</f>
        <v>10.9435038543507</v>
      </c>
      <c r="AT33" s="1621"/>
      <c r="AU33" s="1564">
        <f>(4*AU22/AT23-1)*100</f>
        <v>36.341186322069483</v>
      </c>
      <c r="AV33" s="1564">
        <f>((AU22+3*AV22)/AT23-1)*100</f>
        <v>41.884603052982428</v>
      </c>
      <c r="AW33" s="1564">
        <f>((AU22+AV22+2*AW22)/AT23-1)*100</f>
        <v>43.005080902847801</v>
      </c>
      <c r="AX33" s="1621"/>
      <c r="AY33" s="1564">
        <f>(4*AY22/AX23-1)*100</f>
        <v>2.0288803753995222</v>
      </c>
      <c r="AZ33" s="1564">
        <f>((AY22+3*AZ22)/AX23-1)*100</f>
        <v>5.7624736472241533</v>
      </c>
      <c r="BA33" s="1564">
        <f>((AY22+AZ22+2*BA22)/AX23-1)*100</f>
        <v>8.9769455716001811</v>
      </c>
      <c r="BB33" s="1621"/>
      <c r="BC33" s="1564">
        <f>(4*BC22/BB23-1)*100</f>
        <v>8.1018181818181887</v>
      </c>
      <c r="BD33" s="1564">
        <f>((BC22+3*BD22)/BB23-1)*100</f>
        <v>10.635844155844154</v>
      </c>
      <c r="BE33" s="1564">
        <f>((BC22+BD22+2*BE22)/BB23-1)*100</f>
        <v>10.871688311688299</v>
      </c>
      <c r="BF33" s="1621"/>
      <c r="BG33" s="1564">
        <f>(4*BG22/BF23-1)*100</f>
        <v>5.5966579943344863</v>
      </c>
      <c r="BH33" s="1564">
        <f>((BG22+3*BH22)/BF23-1)*100</f>
        <v>5.2944356899587541</v>
      </c>
      <c r="BI33" s="1564">
        <f>((BG22+BH22+2*BI22)/BF23-1)*100</f>
        <v>4.2463620105639199</v>
      </c>
      <c r="BJ33" s="1621"/>
      <c r="BK33" s="1564">
        <f>(4*BK22/BJ23-1)*100</f>
        <v>-14.146254485479304</v>
      </c>
      <c r="BL33" s="1564">
        <f>((BK22+3*BL22)/BJ23-1)*100</f>
        <v>-15.284284663561198</v>
      </c>
      <c r="BM33" s="1564">
        <f>((BK22+BL22+2*BM22)/BJ23-1)*100</f>
        <v>-16.292598123342326</v>
      </c>
      <c r="BN33" s="1621"/>
      <c r="BO33" s="1564">
        <f>(4*BO22/BN23-1)*100</f>
        <v>-4.2547351084271323</v>
      </c>
      <c r="BP33" s="1564">
        <f>((BO22+3*BP22)/BN23-1)*100</f>
        <v>-4.7423745781595699</v>
      </c>
      <c r="BQ33" s="1564">
        <f>((BO22+BP22+2*BQ22)/BN23-1)*100</f>
        <v>-3.4850613316970924</v>
      </c>
      <c r="BR33" s="1621"/>
      <c r="BS33" s="1564">
        <f>(4*BS22/BR23-1)*100</f>
        <v>2.7361244179051392</v>
      </c>
      <c r="BT33" s="1564">
        <f>((BS22+3*BT22)/BR23-1)*100</f>
        <v>3.7538156458189587</v>
      </c>
      <c r="BU33" s="1564">
        <f>((BS22+BT22+2*BU22)/BR23-1)*100</f>
        <v>4.3910563490118459</v>
      </c>
      <c r="BV33" s="1621"/>
      <c r="BW33" s="1564">
        <f>(4*BW22/BV23-1)*100</f>
        <v>1.6477496356654298</v>
      </c>
      <c r="BX33" s="1564">
        <f>((BW22+3*BX22)/BV23-1)*100</f>
        <v>1.8057165955726484</v>
      </c>
      <c r="BY33" s="1564">
        <f>((BW22+BX22+2*BY22)/BV23-1)*100</f>
        <v>2.1110130096694935</v>
      </c>
      <c r="BZ33" s="1621"/>
      <c r="CA33" s="1564">
        <f>(4*CA22/BZ23-1)*100</f>
        <v>3.4239468769454273</v>
      </c>
      <c r="CB33" s="1564">
        <f>((CA22+3*CB22)/BZ23-1)*100</f>
        <v>3.8752853289064193</v>
      </c>
      <c r="CC33" s="1564">
        <f>((CA22+CB22+2*CC22)/BZ23-1)*100</f>
        <v>4.6005395310230179</v>
      </c>
      <c r="CD33" s="1621"/>
      <c r="CE33" s="1564">
        <f>(4*CE22/CD23-1)*100</f>
        <v>3.0335705912321931</v>
      </c>
      <c r="CF33" s="1564">
        <f>((CE22+3*CF22)/CD23-1)*100</f>
        <v>3.3095745680636668</v>
      </c>
      <c r="CG33" s="1564">
        <f>((CE22+CF22+2*CG22)/CD23-1)*100</f>
        <v>3.4718134648391796</v>
      </c>
      <c r="CH33" s="1621"/>
      <c r="CI33" s="1564">
        <f>(4*CI22/CH23-1)*100</f>
        <v>2.5958997071219292</v>
      </c>
      <c r="CJ33" s="1564">
        <f>((CI22+3*CJ22)/CH23-1)*100</f>
        <v>2.8087720551468021</v>
      </c>
      <c r="CK33" s="1564">
        <f>((CI22+CJ22+2*CK22)/CH23-1)*100</f>
        <v>3.8831345096078218</v>
      </c>
      <c r="CL33" s="1621"/>
      <c r="CM33" s="1564">
        <f>(4*CM22/CL23-1)*100</f>
        <v>1.6973987261496459</v>
      </c>
      <c r="CN33" s="1564">
        <f>((CM22+3*CN22)/CL23-1)*100</f>
        <v>3.678231445147051</v>
      </c>
      <c r="CO33" s="1564">
        <f>((CM22+CN22+2*CO22)/CL23-1)*100</f>
        <v>4.4108556592930892</v>
      </c>
      <c r="CP33" s="1621"/>
      <c r="CQ33" s="1564">
        <f>(4*CQ22/CP23-1)*100</f>
        <v>2.7915461779747464</v>
      </c>
      <c r="CR33" s="1564">
        <f>((CQ22+3*CR22)/CP23-1)*100</f>
        <v>3.6787512632172836</v>
      </c>
      <c r="CS33" s="1564">
        <f>((CQ22+CR22+2*CS22)/CP23-1)*100</f>
        <v>3.6673768390474981</v>
      </c>
      <c r="CT33" s="1621"/>
      <c r="CU33" s="1564">
        <f>(4*CU22/CT23-1)*100</f>
        <v>2.3509264316625478</v>
      </c>
      <c r="CV33" s="1564">
        <f>((CU22+3*CV22)/CT23-1)*100</f>
        <v>2.9266503928406351</v>
      </c>
      <c r="CW33" s="1564">
        <f>((CU22+CV22+2*CW22)/CT23-1)*100</f>
        <v>3.3133449867652764</v>
      </c>
      <c r="CX33" s="1621"/>
      <c r="CY33" s="1564">
        <f>(4*CY22/CX23-1)*100</f>
        <v>1.9730161233636689</v>
      </c>
      <c r="CZ33" s="1564">
        <f>((CY22+3*CZ22)/CX23-1)*100</f>
        <v>2.6154461249408456</v>
      </c>
      <c r="DA33" s="1564">
        <f>((CY22+CZ22+2*DA22)/CX23-1)*100</f>
        <v>3.0473304006678248</v>
      </c>
      <c r="DB33" s="1621"/>
      <c r="DC33"/>
      <c r="DD33"/>
      <c r="DE33"/>
      <c r="DF33"/>
      <c r="DG33"/>
      <c r="DH33"/>
      <c r="DI33"/>
      <c r="DJ33"/>
      <c r="DK33"/>
      <c r="DL33"/>
      <c r="DM33"/>
      <c r="DN33"/>
      <c r="DO33"/>
    </row>
    <row r="34" spans="1:119">
      <c r="C34" s="1557"/>
      <c r="D34" s="828"/>
      <c r="E34" s="3631" t="s">
        <v>1807</v>
      </c>
      <c r="F34" s="828"/>
      <c r="G34" s="876"/>
      <c r="H34" s="876"/>
      <c r="I34" s="876"/>
      <c r="J34" s="876"/>
      <c r="K34" s="1620"/>
      <c r="L34" s="883">
        <f>(4*L22/(K22+3*L22)-1)*100</f>
        <v>0.32458772453376472</v>
      </c>
      <c r="M34" s="883">
        <f>(4*M22/(K22+L22+2*M22)-1)*100</f>
        <v>0.419845457664203</v>
      </c>
      <c r="N34" s="883">
        <f>+(4*N22/N23-1)*100</f>
        <v>2.8314002244377745</v>
      </c>
      <c r="O34" s="1620"/>
      <c r="P34" s="883">
        <f>(4*P22/(O22+3*P22)-1)*100</f>
        <v>-4.2684961699934743E-2</v>
      </c>
      <c r="Q34" s="883">
        <f>(4*Q22/(O22+P22+2*Q22)-1)*100</f>
        <v>1.0250228422693297</v>
      </c>
      <c r="R34" s="883">
        <f>+(4*R22/R23-1)*100</f>
        <v>2.3391634050880628</v>
      </c>
      <c r="S34" s="1620"/>
      <c r="T34" s="883">
        <f>(4*T22/(S22+3*T22)-1)*100</f>
        <v>-0.2098923837989819</v>
      </c>
      <c r="U34" s="883">
        <f>(4*U22/(S22+T22+2*U22)-1)*100</f>
        <v>1.292344557030467</v>
      </c>
      <c r="V34" s="883">
        <f>+(4*V22/V23-1)*100</f>
        <v>1.5866528485308562</v>
      </c>
      <c r="W34" s="1620"/>
      <c r="X34" s="883">
        <f>(4*X22/(W22+3*X22)-1)*100</f>
        <v>1.081962974996431</v>
      </c>
      <c r="Y34" s="883">
        <f>(4*Y22/(W22+X22+2*Y22)-1)*100</f>
        <v>1.6304479997220511</v>
      </c>
      <c r="Z34" s="883">
        <f>+(4*Z22/Z23-1)*100</f>
        <v>1.4634621133644554</v>
      </c>
      <c r="AA34" s="1620"/>
      <c r="AB34" s="883">
        <f>(4*AB22/(AA22+3*AB22)-1)*100</f>
        <v>0.76309798730032075</v>
      </c>
      <c r="AC34" s="883">
        <f>(4*AC22/(AA22+AB22+2*AC22)-1)*100</f>
        <v>1.2141644893674863</v>
      </c>
      <c r="AD34" s="883">
        <f>+(4*AD22/AD23-1)*100</f>
        <v>2.0569207492043606</v>
      </c>
      <c r="AE34" s="1620"/>
      <c r="AF34" s="883">
        <f>(4*AF22/(AE22+3*AF22)-1)*100</f>
        <v>-0.37570206952386442</v>
      </c>
      <c r="AG34" s="883">
        <f>(4*AG22/(AE22+AF22+2*AG22)-1)*100</f>
        <v>0.52527329254838939</v>
      </c>
      <c r="AH34" s="883">
        <f>+(4*AH22/AH23-1)*100</f>
        <v>2.0157920341287383</v>
      </c>
      <c r="AI34" s="1620"/>
      <c r="AJ34" s="883">
        <f>(4*AJ22/(AI22+3*AJ22)-1)*100</f>
        <v>0.28809542195582516</v>
      </c>
      <c r="AK34" s="883">
        <f>(4*AK22/(AI22+AJ22+2*AK22)-1)*100</f>
        <v>0.94241084864183922</v>
      </c>
      <c r="AL34" s="883">
        <f>+(4*AL22/AL23-1)*100</f>
        <v>2.2785286057120269</v>
      </c>
      <c r="AM34" s="1620"/>
      <c r="AN34" s="883">
        <f>(4*AN22/(AM22+3*AN22)-1)*100</f>
        <v>0.50383445669357485</v>
      </c>
      <c r="AO34" s="883">
        <f>(4*AO22/(AM22+AN22+2*AO22)-1)*100</f>
        <v>1.0213863617550167</v>
      </c>
      <c r="AP34" s="883">
        <f>+(4*AP22/AP23-1)*100</f>
        <v>4.3154467164735033</v>
      </c>
      <c r="AQ34" s="1620"/>
      <c r="AR34" s="883">
        <f>(4*AR22/(AQ22+3*AR22)-1)*100</f>
        <v>0.87015438222910468</v>
      </c>
      <c r="AS34" s="883">
        <f>(4*AS22/(AQ22+AR22+2*AS22)-1)*100</f>
        <v>2.4846346839577205</v>
      </c>
      <c r="AT34" s="883">
        <f>+(4*AT22/AT23-1)*100</f>
        <v>3.510099512519127</v>
      </c>
      <c r="AU34" s="1620"/>
      <c r="AV34" s="883">
        <f>(4*AV22/(AU22+3*AV22)-1)*100</f>
        <v>1.3023298773870318</v>
      </c>
      <c r="AW34" s="883">
        <f>(4*AW22/(AU22+AV22+2*AW22)-1)*100</f>
        <v>2.0756489266649636</v>
      </c>
      <c r="AX34" s="883">
        <f>+(4*AX22/AX23-1)*100</f>
        <v>5.2093487180649767</v>
      </c>
      <c r="AY34" s="1620"/>
      <c r="AZ34" s="883">
        <f>(4*AZ22/(AY22+3*AZ22)-1)*100</f>
        <v>1.176722752116599</v>
      </c>
      <c r="BA34" s="883">
        <f>(4*BA22/(AY22+AZ22+2*BA22)-1)*100</f>
        <v>4.0916938822207927</v>
      </c>
      <c r="BB34" s="883">
        <f>+(4*BB22/BB23-1)*100</f>
        <v>4.4114285714285772</v>
      </c>
      <c r="BC34" s="1620"/>
      <c r="BD34" s="883">
        <f>(4*BD22/(BC22+3*BD22)-1)*100</f>
        <v>0.76347347563552326</v>
      </c>
      <c r="BE34" s="883">
        <f>(4*BE22/(BC22+BD22+2*BE22)-1)*100</f>
        <v>0.9745675356560568</v>
      </c>
      <c r="BF34" s="883">
        <f>+(4*BF22/BF23-1)*100</f>
        <v>5.0772422907896297</v>
      </c>
      <c r="BG34" s="1620"/>
      <c r="BH34" s="883">
        <f>(4*BH22/(BG22+3*BH22)-1)*100</f>
        <v>-9.5675300850550649E-2</v>
      </c>
      <c r="BI34" s="883">
        <f>(4*BI22/(BG22+BH22+2*BI22)-1)*100</f>
        <v>-1.1020187422978389</v>
      </c>
      <c r="BJ34" s="883">
        <f>+(4*BJ22/BJ23-1)*100</f>
        <v>-2.7811086098914695</v>
      </c>
      <c r="BK34" s="1620"/>
      <c r="BL34" s="883">
        <f>(4*BL22/(BK22+3*BL22)-1)*100</f>
        <v>-0.44778396922866559</v>
      </c>
      <c r="BM34" s="883">
        <f>(4*BM22/(BK22+BL22+2*BM22)-1)*100</f>
        <v>-1.6577468913917426</v>
      </c>
      <c r="BN34" s="883">
        <f>+(4*BN22/BN23-1)*100</f>
        <v>-4.8920034662231604</v>
      </c>
      <c r="BO34" s="1620"/>
      <c r="BP34" s="883">
        <f>(4*BP22/(BO22+3*BP22)-1)*100</f>
        <v>-0.17063882202710268</v>
      </c>
      <c r="BQ34" s="883">
        <f>(4*BQ22/(BO22+BP22+2*BQ22)-1)*100</f>
        <v>1.1342977280585309</v>
      </c>
      <c r="BR34" s="883">
        <f>+(4*BR22/BR23-1)*100</f>
        <v>1.4772398119471397</v>
      </c>
      <c r="BS34" s="1620"/>
      <c r="BT34" s="883">
        <f>(4*BT22/(BS22+3*BT22)-1)*100</f>
        <v>0.32695704460896646</v>
      </c>
      <c r="BU34" s="883">
        <f>(4*BU22/(BS22+BT22+2*BU22)-1)*100</f>
        <v>0.93539729038936148</v>
      </c>
      <c r="BV34" s="883">
        <f>+(4*BV22/BV23-1)*100</f>
        <v>1.9009222717457197</v>
      </c>
      <c r="BW34" s="1620"/>
      <c r="BX34" s="883">
        <f>(4*BX22/(BW22+3*BX22)-1)*100</f>
        <v>5.1721705875906743E-2</v>
      </c>
      <c r="BY34" s="883">
        <f>(4*BY22/(BW22+BX22+2*BY22)-1)*100</f>
        <v>0.35055187178030245</v>
      </c>
      <c r="BZ34" s="883">
        <f>+(4*BZ22/BZ23-1)*100</f>
        <v>1.5584146088400308</v>
      </c>
      <c r="CA34" s="1620"/>
      <c r="CB34" s="883">
        <f>(4*CB22/(CA22+3*CB22)-1)*100</f>
        <v>0.14483344154223587</v>
      </c>
      <c r="CC34" s="883">
        <f>(4*CC22/(CA22+CB22+2*CC22)-1)*100</f>
        <v>0.83718531156387055</v>
      </c>
      <c r="CD34" s="883">
        <f>+(4*CD22/CD23-1)*100</f>
        <v>1.6406903067205603</v>
      </c>
      <c r="CE34" s="1620"/>
      <c r="CF34" s="883">
        <f>(4*CF22/(CE22+3*CF22)-1)*100</f>
        <v>8.9054016527656543E-2</v>
      </c>
      <c r="CG34" s="883">
        <f>(4*CG22/(CE22+CF22+2*CG22)-1)*100</f>
        <v>0.24570964195229639</v>
      </c>
      <c r="CH34" s="883">
        <f>+(4*CH22/CH23-1)*100</f>
        <v>1.3805748029621201</v>
      </c>
      <c r="CI34" s="1620"/>
      <c r="CJ34" s="883">
        <f>(4*CJ22/(CI22+3*CJ22)-1)*100</f>
        <v>6.9018866700942816E-2</v>
      </c>
      <c r="CK34" s="883">
        <f>(4*CK22/(CI22+CJ22+2*CK22)-1)*100</f>
        <v>1.1025080338683102</v>
      </c>
      <c r="CL34" s="883">
        <f>+(4*CL22/CL23-1)*100</f>
        <v>1.4501380538753494</v>
      </c>
      <c r="CM34" s="1620"/>
      <c r="CN34" s="883">
        <f>(4*CN22/(CM22+3*CN22)-1)*100</f>
        <v>0.63685265826360915</v>
      </c>
      <c r="CO34" s="883">
        <f>(4*CO22/(CM22+CN22+2*CO22)-1)*100</f>
        <v>1.3340583968494801</v>
      </c>
      <c r="CP34" s="883">
        <f>+(4*CP22/CP23-1)*100</f>
        <v>2.0618331196983197</v>
      </c>
      <c r="CQ34" s="1620"/>
      <c r="CR34" s="883">
        <f>(4*CR22/(CQ22+3*CR22)-1)*100</f>
        <v>0.2852416959222337</v>
      </c>
      <c r="CS34" s="883">
        <f>(4*CS22/(CQ22+CR22+2*CS22)-1)*100</f>
        <v>0.27430095456733028</v>
      </c>
      <c r="CT34" s="883">
        <f>+(4*CT22/CT23-1)*100</f>
        <v>1.5890088651737244</v>
      </c>
      <c r="CU34" s="1620"/>
      <c r="CV34" s="883">
        <f>(4*CV22/(CU22+3*CV22)-1)*100</f>
        <v>0.18645121193288094</v>
      </c>
      <c r="CW34" s="883">
        <f>(4*CW22/(CU22+CV22+2*CW22)-1)*100</f>
        <v>0.56004631449897424</v>
      </c>
      <c r="CX34" s="883">
        <f>+(4*CX22/CX23-1)*100</f>
        <v>1.1235780675958651</v>
      </c>
      <c r="CY34" s="1620"/>
      <c r="CZ34" s="883">
        <f>(4*CZ22/(CY22+3*CZ22)-1)*100</f>
        <v>0.20868528271886788</v>
      </c>
      <c r="DA34" s="883">
        <f>(4*DA22/(CY22+CZ22+2*DA22)-1)*100</f>
        <v>0.62692318866888197</v>
      </c>
      <c r="DB34" s="883">
        <f>+(4*DB22/DB23-1)*100</f>
        <v>1.2582139905033651</v>
      </c>
    </row>
    <row r="35" spans="1:119" s="884" customFormat="1" ht="30" customHeight="1">
      <c r="A35" s="664"/>
      <c r="B35" s="664"/>
      <c r="C35" s="666"/>
      <c r="D35" s="1041"/>
      <c r="E35" s="3632"/>
      <c r="F35" s="1041"/>
      <c r="G35" s="1044"/>
      <c r="J35" s="1044"/>
      <c r="K35" s="1044"/>
      <c r="L35" s="1044"/>
      <c r="M35" s="1044"/>
      <c r="N35" s="1044"/>
      <c r="O35" s="1044"/>
      <c r="P35" s="1044"/>
      <c r="Q35" s="1044"/>
      <c r="R35" s="1044"/>
      <c r="S35" s="1044"/>
      <c r="T35" s="1044"/>
      <c r="U35" s="1044"/>
      <c r="V35" s="1044"/>
      <c r="W35" s="1044"/>
      <c r="X35" s="1044"/>
      <c r="Y35" s="1044"/>
      <c r="Z35" s="1044"/>
      <c r="AA35" s="1044"/>
      <c r="AB35" s="1044"/>
      <c r="AC35" s="1044"/>
      <c r="AD35" s="1044"/>
      <c r="AE35" s="1044"/>
      <c r="AF35" s="1044"/>
      <c r="AG35" s="1044"/>
      <c r="AH35" s="1044"/>
      <c r="AI35" s="1044"/>
      <c r="AJ35" s="1044"/>
      <c r="AK35" s="1044"/>
      <c r="AL35" s="1044"/>
      <c r="AM35" s="1044"/>
      <c r="AN35" s="1044"/>
      <c r="AO35" s="1044"/>
      <c r="AP35" s="1044"/>
      <c r="AQ35" s="1044"/>
      <c r="AR35" s="1044"/>
      <c r="AS35" s="1044"/>
      <c r="AT35" s="1044"/>
      <c r="AU35" s="1044"/>
      <c r="AV35" s="1044"/>
      <c r="AW35" s="1044"/>
      <c r="AX35" s="1044"/>
      <c r="AY35" s="1560"/>
      <c r="AZ35" s="1044"/>
      <c r="BA35" s="1560"/>
      <c r="BB35" s="1560"/>
      <c r="BC35" s="1560"/>
      <c r="BD35" s="1560"/>
      <c r="BE35" s="1560"/>
      <c r="BF35" s="1560"/>
      <c r="BG35" s="1560"/>
      <c r="BH35" s="1560"/>
      <c r="BI35" s="1560"/>
      <c r="BJ35" s="1560"/>
      <c r="BK35" s="1560"/>
      <c r="BL35" s="1560"/>
      <c r="BM35" s="1560"/>
      <c r="BN35" s="1312">
        <f>(BM32+BN32)/2</f>
        <v>-18.101680651792954</v>
      </c>
      <c r="BO35" s="1560"/>
      <c r="BP35" s="1560"/>
      <c r="BQ35" s="1560"/>
      <c r="BR35" s="1312">
        <f>(BQ32+BR32)/2</f>
        <v>0.6494610396020728</v>
      </c>
      <c r="BS35" s="1560"/>
      <c r="BT35" s="1560"/>
      <c r="BU35" s="1560"/>
      <c r="BV35" s="1312"/>
      <c r="BW35" s="1560"/>
      <c r="BX35" s="1560"/>
      <c r="BY35" s="1560"/>
      <c r="BZ35" s="1560"/>
      <c r="CA35" s="1560"/>
      <c r="CB35" s="1560"/>
      <c r="CC35" s="1560"/>
      <c r="CD35" s="1560"/>
      <c r="CE35" s="1560"/>
      <c r="CF35" s="1560"/>
      <c r="CG35" s="1560"/>
      <c r="CH35" s="1560"/>
      <c r="CI35" s="1560"/>
      <c r="CJ35" s="1560"/>
      <c r="CK35" s="1560"/>
      <c r="CL35" s="1560"/>
      <c r="CM35" s="1560"/>
      <c r="CN35" s="1560"/>
      <c r="CO35" s="1560"/>
      <c r="CP35" s="3428"/>
      <c r="CQ35" s="3428"/>
      <c r="CR35" s="3428"/>
      <c r="CS35" s="3428"/>
      <c r="CT35" s="3428"/>
      <c r="CU35" s="3422"/>
      <c r="CV35" s="1560"/>
      <c r="CW35" s="1560"/>
      <c r="CY35" s="3422"/>
      <c r="CZ35" s="1560"/>
      <c r="DA35" s="1560"/>
      <c r="DC35"/>
      <c r="DD35"/>
      <c r="DE35"/>
      <c r="DF35"/>
      <c r="DG35"/>
      <c r="DH35"/>
      <c r="DI35"/>
      <c r="DJ35"/>
      <c r="DK35"/>
      <c r="DL35"/>
      <c r="DM35"/>
      <c r="DN35"/>
      <c r="DO35"/>
    </row>
    <row r="36" spans="1:119" s="884" customFormat="1" ht="30" customHeight="1">
      <c r="A36" s="664"/>
      <c r="B36" s="664"/>
      <c r="C36" s="666"/>
      <c r="D36" s="1041"/>
      <c r="E36" s="3632"/>
      <c r="F36" s="1041"/>
      <c r="G36" s="1044"/>
      <c r="M36" s="1559"/>
      <c r="N36" s="1559"/>
      <c r="Q36" s="1559"/>
      <c r="R36" s="1559"/>
      <c r="U36" s="1559"/>
      <c r="V36" s="1559"/>
      <c r="Y36" s="1559"/>
      <c r="Z36" s="1559"/>
      <c r="AC36" s="1559"/>
      <c r="AD36" s="1559"/>
      <c r="AG36" s="1559"/>
      <c r="AH36" s="1559"/>
      <c r="AK36" s="1559"/>
      <c r="AL36" s="1559"/>
      <c r="AO36" s="1559"/>
      <c r="AP36" s="1559"/>
      <c r="AS36" s="1559"/>
      <c r="AT36" s="1559"/>
      <c r="AW36" s="1559"/>
      <c r="AX36" s="1559"/>
      <c r="AY36" s="1560"/>
      <c r="BA36" s="1560"/>
      <c r="BB36" s="1560"/>
      <c r="BC36" s="1560"/>
      <c r="BD36" s="1560"/>
      <c r="BE36" s="1560"/>
      <c r="BF36" s="1560"/>
      <c r="BG36" s="1560"/>
      <c r="BH36" s="1560"/>
      <c r="BI36" s="1560"/>
      <c r="BJ36" s="1560"/>
      <c r="BK36" s="1560"/>
      <c r="BL36" s="1560"/>
      <c r="BM36" s="1560"/>
      <c r="BN36" s="1560"/>
      <c r="BO36" s="1560"/>
      <c r="BP36" s="1560"/>
      <c r="BQ36" s="1560"/>
      <c r="BR36" s="1560"/>
      <c r="BS36" s="1560"/>
      <c r="BT36" s="1560"/>
      <c r="BU36" s="1560"/>
      <c r="BV36" s="1560"/>
      <c r="BW36" s="1560"/>
      <c r="BX36" s="1560"/>
      <c r="BY36" s="1560"/>
      <c r="BZ36" s="1560"/>
      <c r="CA36" s="1560"/>
      <c r="CB36" s="1560"/>
      <c r="CC36" s="1560"/>
      <c r="CD36" s="1560"/>
      <c r="CE36" s="1560"/>
      <c r="CF36" s="1560"/>
      <c r="CG36" s="1560"/>
      <c r="CH36" s="1560"/>
      <c r="CI36" s="1560"/>
      <c r="CJ36" s="1560"/>
      <c r="CK36" s="1560"/>
      <c r="CL36" s="1560"/>
      <c r="CM36" s="1560"/>
      <c r="CN36" s="1560"/>
      <c r="CO36" s="1560"/>
      <c r="CP36" s="1560"/>
      <c r="CQ36" s="1560"/>
      <c r="CR36" s="1560"/>
      <c r="CS36" s="1560"/>
      <c r="CT36" s="3428"/>
      <c r="CU36" s="1560"/>
      <c r="CV36" s="1560"/>
      <c r="CW36" s="1560"/>
      <c r="CX36" s="3428"/>
      <c r="CY36" s="1560"/>
      <c r="CZ36" s="1560"/>
      <c r="DA36" s="1560"/>
      <c r="DB36" s="3428"/>
      <c r="DC36"/>
      <c r="DD36"/>
      <c r="DE36"/>
      <c r="DF36"/>
      <c r="DG36"/>
      <c r="DH36"/>
      <c r="DI36"/>
      <c r="DJ36"/>
      <c r="DK36"/>
      <c r="DL36"/>
      <c r="DM36"/>
      <c r="DN36"/>
      <c r="DO36"/>
    </row>
    <row r="37" spans="1:119" ht="30" customHeight="1">
      <c r="C37" s="3766" t="s">
        <v>1846</v>
      </c>
      <c r="D37" s="3766"/>
      <c r="E37" s="3766"/>
      <c r="F37" s="3766"/>
      <c r="CG37" s="2997"/>
      <c r="CM37" s="557"/>
      <c r="CN37" s="557"/>
      <c r="CO37" s="557"/>
      <c r="CP37" s="557"/>
      <c r="CQ37" s="557"/>
      <c r="CR37" s="557"/>
      <c r="CS37" s="557"/>
      <c r="CT37" s="3428"/>
      <c r="CU37" s="557"/>
      <c r="CV37" s="557"/>
      <c r="CW37" s="557"/>
      <c r="CX37" s="3428"/>
      <c r="CY37" s="557"/>
      <c r="CZ37" s="557"/>
      <c r="DA37" s="557"/>
      <c r="DB37" s="3428"/>
    </row>
    <row r="38" spans="1:119">
      <c r="C38" s="665"/>
      <c r="D38" s="665"/>
      <c r="E38" s="665"/>
      <c r="F38" s="665"/>
      <c r="CM38" s="557"/>
      <c r="CN38" s="557"/>
      <c r="CO38" s="557"/>
      <c r="CP38" s="557"/>
      <c r="CQ38" s="557"/>
      <c r="CR38" s="557"/>
      <c r="CS38" s="557"/>
      <c r="CT38" s="557"/>
      <c r="CU38" s="557"/>
      <c r="CV38" s="557"/>
      <c r="CW38" s="557"/>
      <c r="CX38" s="557"/>
      <c r="CY38" s="557"/>
      <c r="CZ38" s="557"/>
      <c r="DA38" s="557"/>
      <c r="DB38" s="557"/>
    </row>
    <row r="39" spans="1:119">
      <c r="E39" s="599"/>
      <c r="F39" s="3617"/>
      <c r="G39" s="3763">
        <f ca="1">OFFSET(InputY!$G$3,0,(COLUMN()-7)/4)</f>
        <v>1995</v>
      </c>
      <c r="H39" s="3764"/>
      <c r="I39" s="3764"/>
      <c r="J39" s="3765"/>
      <c r="K39" s="3763">
        <f ca="1">OFFSET(InputY!$G$3,0,(COLUMN()-7)/4)</f>
        <v>1996</v>
      </c>
      <c r="L39" s="3764"/>
      <c r="M39" s="3764"/>
      <c r="N39" s="3765"/>
      <c r="O39" s="3763">
        <f ca="1">OFFSET(InputY!$G$3,0,(COLUMN()-7)/4)</f>
        <v>1997</v>
      </c>
      <c r="P39" s="3764"/>
      <c r="Q39" s="3764"/>
      <c r="R39" s="3765"/>
      <c r="S39" s="3763">
        <f ca="1">OFFSET(InputY!$G$3,0,(COLUMN()-7)/4)</f>
        <v>1998</v>
      </c>
      <c r="T39" s="3764"/>
      <c r="U39" s="3764"/>
      <c r="V39" s="3765"/>
      <c r="W39" s="3763">
        <f ca="1">OFFSET(InputY!$G$3,0,(COLUMN()-7)/4)</f>
        <v>1999</v>
      </c>
      <c r="X39" s="3764"/>
      <c r="Y39" s="3764"/>
      <c r="Z39" s="3765"/>
      <c r="AA39" s="3763">
        <f ca="1">OFFSET(InputY!$G$3,0,(COLUMN()-7)/4)</f>
        <v>2000</v>
      </c>
      <c r="AB39" s="3764"/>
      <c r="AC39" s="3764"/>
      <c r="AD39" s="3765"/>
      <c r="AE39" s="3763">
        <f ca="1">OFFSET(InputY!$G$3,0,(COLUMN()-7)/4)</f>
        <v>2001</v>
      </c>
      <c r="AF39" s="3764"/>
      <c r="AG39" s="3764"/>
      <c r="AH39" s="3765"/>
      <c r="AI39" s="3763">
        <f ca="1">OFFSET(InputY!$G$3,0,(COLUMN()-7)/4)</f>
        <v>2002</v>
      </c>
      <c r="AJ39" s="3764"/>
      <c r="AK39" s="3764"/>
      <c r="AL39" s="3765"/>
      <c r="AM39" s="3763">
        <f ca="1">OFFSET(InputY!$G$3,0,(COLUMN()-7)/4)</f>
        <v>2003</v>
      </c>
      <c r="AN39" s="3764"/>
      <c r="AO39" s="3764"/>
      <c r="AP39" s="3765"/>
      <c r="AQ39" s="3763">
        <f ca="1">OFFSET(InputY!$G$3,0,(COLUMN()-7)/4)</f>
        <v>2004</v>
      </c>
      <c r="AR39" s="3764"/>
      <c r="AS39" s="3764"/>
      <c r="AT39" s="3765"/>
      <c r="AU39" s="3763">
        <f ca="1">OFFSET(InputY!$G$3,0,(COLUMN()-7)/4)</f>
        <v>2005</v>
      </c>
      <c r="AV39" s="3764"/>
      <c r="AW39" s="3764"/>
      <c r="AX39" s="3765"/>
      <c r="AY39" s="3763">
        <f ca="1">OFFSET(InputY!$G$3,0,(COLUMN()-7)/4)</f>
        <v>2006</v>
      </c>
      <c r="AZ39" s="3764"/>
      <c r="BA39" s="3764"/>
      <c r="BB39" s="3765"/>
      <c r="BC39" s="3763">
        <f ca="1">OFFSET(InputY!$G$3,0,(COLUMN()-7)/4)</f>
        <v>2007</v>
      </c>
      <c r="BD39" s="3764"/>
      <c r="BE39" s="3764"/>
      <c r="BF39" s="3765"/>
      <c r="BG39" s="3763">
        <f ca="1">OFFSET(InputY!$G$3,0,(COLUMN()-7)/4)</f>
        <v>2008</v>
      </c>
      <c r="BH39" s="3764"/>
      <c r="BI39" s="3764"/>
      <c r="BJ39" s="3765"/>
      <c r="BK39" s="3763">
        <f ca="1">OFFSET(InputY!$G$3,0,(COLUMN()-7)/4)</f>
        <v>2009</v>
      </c>
      <c r="BL39" s="3764"/>
      <c r="BM39" s="3764"/>
      <c r="BN39" s="3765"/>
      <c r="BO39" s="3763">
        <f ca="1">OFFSET(InputY!$G$3,0,(COLUMN()-7)/4)</f>
        <v>2010</v>
      </c>
      <c r="BP39" s="3764"/>
      <c r="BQ39" s="3764"/>
      <c r="BR39" s="3765"/>
      <c r="BS39" s="3763">
        <f ca="1">OFFSET(InputY!$G$3,0,(COLUMN()-7)/4)</f>
        <v>2011</v>
      </c>
      <c r="BT39" s="3764"/>
      <c r="BU39" s="3764"/>
      <c r="BV39" s="3765"/>
      <c r="BW39" s="3763">
        <f ca="1">OFFSET(InputY!$G$3,0,(COLUMN()-7)/4)</f>
        <v>2012</v>
      </c>
      <c r="BX39" s="3764"/>
      <c r="BY39" s="3764"/>
      <c r="BZ39" s="3765"/>
      <c r="CA39" s="3763">
        <f ca="1">OFFSET(InputY!$G$3,0,(COLUMN()-7)/4)</f>
        <v>2013</v>
      </c>
      <c r="CB39" s="3764"/>
      <c r="CC39" s="3764"/>
      <c r="CD39" s="3765"/>
      <c r="CE39" s="3763">
        <f ca="1">OFFSET(InputY!$G$3,0,(COLUMN()-7)/4)</f>
        <v>2014</v>
      </c>
      <c r="CF39" s="3764"/>
      <c r="CG39" s="3764"/>
      <c r="CH39" s="3765"/>
      <c r="CI39" s="3763">
        <f ca="1">OFFSET(InputY!$G$3,0,(COLUMN()-7)/4)</f>
        <v>2015</v>
      </c>
      <c r="CJ39" s="3764"/>
      <c r="CK39" s="3764"/>
      <c r="CL39" s="3765"/>
      <c r="CM39" s="3763">
        <f ca="1">OFFSET(InputY!$G$3,0,(COLUMN()-7)/4)</f>
        <v>2016</v>
      </c>
      <c r="CN39" s="3764"/>
      <c r="CO39" s="3764"/>
      <c r="CP39" s="3765"/>
      <c r="CQ39" s="3763">
        <f ca="1">OFFSET(InputY!$G$3,0,(COLUMN()-7)/4)</f>
        <v>2017</v>
      </c>
      <c r="CR39" s="3764"/>
      <c r="CS39" s="3764"/>
      <c r="CT39" s="3765"/>
      <c r="CU39" s="3763">
        <f ca="1">OFFSET(InputY!$G$3,0,(COLUMN()-7)/4)</f>
        <v>2018</v>
      </c>
      <c r="CV39" s="3764"/>
      <c r="CW39" s="3764"/>
      <c r="CX39" s="3765"/>
      <c r="CY39" s="3763">
        <f ca="1">OFFSET(InputY!$G$3,0,(COLUMN()-7)/4)</f>
        <v>2019</v>
      </c>
      <c r="CZ39" s="3764"/>
      <c r="DA39" s="3764"/>
      <c r="DB39" s="3765"/>
    </row>
    <row r="40" spans="1:119" s="699" customFormat="1" ht="12.75" customHeight="1">
      <c r="A40" s="664"/>
      <c r="B40" s="664"/>
      <c r="C40" s="666"/>
      <c r="D40" s="695"/>
      <c r="E40" s="3618" t="s">
        <v>1892</v>
      </c>
      <c r="F40" s="3619"/>
      <c r="G40" s="1566" t="s">
        <v>1842</v>
      </c>
      <c r="H40" s="1567" t="s">
        <v>1843</v>
      </c>
      <c r="I40" s="1567" t="s">
        <v>1844</v>
      </c>
      <c r="J40" s="1568" t="s">
        <v>1845</v>
      </c>
      <c r="K40" s="1566" t="s">
        <v>1842</v>
      </c>
      <c r="L40" s="1567" t="s">
        <v>1843</v>
      </c>
      <c r="M40" s="1567" t="s">
        <v>1844</v>
      </c>
      <c r="N40" s="1568" t="s">
        <v>1845</v>
      </c>
      <c r="O40" s="1566" t="s">
        <v>1842</v>
      </c>
      <c r="P40" s="1567" t="s">
        <v>1843</v>
      </c>
      <c r="Q40" s="1567" t="s">
        <v>1844</v>
      </c>
      <c r="R40" s="1568" t="s">
        <v>1845</v>
      </c>
      <c r="S40" s="1566" t="s">
        <v>1842</v>
      </c>
      <c r="T40" s="1567" t="s">
        <v>1843</v>
      </c>
      <c r="U40" s="1567" t="s">
        <v>1844</v>
      </c>
      <c r="V40" s="1568" t="s">
        <v>1845</v>
      </c>
      <c r="W40" s="1566" t="s">
        <v>1842</v>
      </c>
      <c r="X40" s="1567" t="s">
        <v>1843</v>
      </c>
      <c r="Y40" s="1567" t="s">
        <v>1844</v>
      </c>
      <c r="Z40" s="1568" t="s">
        <v>1845</v>
      </c>
      <c r="AA40" s="1566" t="s">
        <v>1842</v>
      </c>
      <c r="AB40" s="1567" t="s">
        <v>1843</v>
      </c>
      <c r="AC40" s="1567" t="s">
        <v>1844</v>
      </c>
      <c r="AD40" s="1568" t="s">
        <v>1845</v>
      </c>
      <c r="AE40" s="1566" t="s">
        <v>1842</v>
      </c>
      <c r="AF40" s="1567" t="s">
        <v>1843</v>
      </c>
      <c r="AG40" s="1567" t="s">
        <v>1844</v>
      </c>
      <c r="AH40" s="1568" t="s">
        <v>1845</v>
      </c>
      <c r="AI40" s="1566" t="s">
        <v>1842</v>
      </c>
      <c r="AJ40" s="1567" t="s">
        <v>1843</v>
      </c>
      <c r="AK40" s="1567" t="s">
        <v>1844</v>
      </c>
      <c r="AL40" s="1568" t="s">
        <v>1845</v>
      </c>
      <c r="AM40" s="1566" t="s">
        <v>1842</v>
      </c>
      <c r="AN40" s="1567" t="s">
        <v>1843</v>
      </c>
      <c r="AO40" s="1567" t="s">
        <v>1844</v>
      </c>
      <c r="AP40" s="1568" t="s">
        <v>1845</v>
      </c>
      <c r="AQ40" s="1566" t="s">
        <v>1842</v>
      </c>
      <c r="AR40" s="1567" t="s">
        <v>1843</v>
      </c>
      <c r="AS40" s="1567" t="s">
        <v>1844</v>
      </c>
      <c r="AT40" s="1568" t="s">
        <v>1845</v>
      </c>
      <c r="AU40" s="1566" t="s">
        <v>1842</v>
      </c>
      <c r="AV40" s="1567" t="s">
        <v>1843</v>
      </c>
      <c r="AW40" s="1567" t="s">
        <v>1844</v>
      </c>
      <c r="AX40" s="1568" t="s">
        <v>1845</v>
      </c>
      <c r="AY40" s="1566" t="s">
        <v>1842</v>
      </c>
      <c r="AZ40" s="1567" t="s">
        <v>1843</v>
      </c>
      <c r="BA40" s="1567" t="s">
        <v>1844</v>
      </c>
      <c r="BB40" s="1568" t="s">
        <v>1845</v>
      </c>
      <c r="BC40" s="1566" t="s">
        <v>1842</v>
      </c>
      <c r="BD40" s="1567" t="s">
        <v>1843</v>
      </c>
      <c r="BE40" s="1567" t="s">
        <v>1844</v>
      </c>
      <c r="BF40" s="1568" t="s">
        <v>1845</v>
      </c>
      <c r="BG40" s="1566" t="s">
        <v>1842</v>
      </c>
      <c r="BH40" s="1567" t="s">
        <v>1843</v>
      </c>
      <c r="BI40" s="1567" t="s">
        <v>1844</v>
      </c>
      <c r="BJ40" s="1568" t="s">
        <v>1845</v>
      </c>
      <c r="BK40" s="1566" t="s">
        <v>1842</v>
      </c>
      <c r="BL40" s="1567" t="s">
        <v>1843</v>
      </c>
      <c r="BM40" s="1567" t="s">
        <v>1844</v>
      </c>
      <c r="BN40" s="1568" t="s">
        <v>1845</v>
      </c>
      <c r="BO40" s="1566" t="s">
        <v>1842</v>
      </c>
      <c r="BP40" s="1567" t="s">
        <v>1843</v>
      </c>
      <c r="BQ40" s="1567" t="s">
        <v>1844</v>
      </c>
      <c r="BR40" s="1568" t="s">
        <v>1845</v>
      </c>
      <c r="BS40" s="1566" t="s">
        <v>1842</v>
      </c>
      <c r="BT40" s="1567" t="s">
        <v>1843</v>
      </c>
      <c r="BU40" s="1567" t="s">
        <v>1844</v>
      </c>
      <c r="BV40" s="1568" t="s">
        <v>1845</v>
      </c>
      <c r="BW40" s="1566" t="s">
        <v>1842</v>
      </c>
      <c r="BX40" s="1567" t="s">
        <v>1843</v>
      </c>
      <c r="BY40" s="1567" t="s">
        <v>1844</v>
      </c>
      <c r="BZ40" s="1568" t="s">
        <v>1845</v>
      </c>
      <c r="CA40" s="1566" t="s">
        <v>1842</v>
      </c>
      <c r="CB40" s="1567" t="s">
        <v>1843</v>
      </c>
      <c r="CC40" s="1567" t="s">
        <v>1844</v>
      </c>
      <c r="CD40" s="1568" t="s">
        <v>1845</v>
      </c>
      <c r="CE40" s="1566" t="s">
        <v>1842</v>
      </c>
      <c r="CF40" s="1567" t="s">
        <v>1843</v>
      </c>
      <c r="CG40" s="1567" t="s">
        <v>1844</v>
      </c>
      <c r="CH40" s="1568" t="s">
        <v>1845</v>
      </c>
      <c r="CI40" s="1566" t="s">
        <v>1842</v>
      </c>
      <c r="CJ40" s="1567" t="s">
        <v>1843</v>
      </c>
      <c r="CK40" s="1567" t="s">
        <v>1844</v>
      </c>
      <c r="CL40" s="1568" t="s">
        <v>1845</v>
      </c>
      <c r="CM40" s="1566" t="s">
        <v>1842</v>
      </c>
      <c r="CN40" s="1567" t="s">
        <v>1843</v>
      </c>
      <c r="CO40" s="1567" t="s">
        <v>1844</v>
      </c>
      <c r="CP40" s="1568" t="s">
        <v>1845</v>
      </c>
      <c r="CQ40" s="1566" t="s">
        <v>1842</v>
      </c>
      <c r="CR40" s="1567" t="s">
        <v>1843</v>
      </c>
      <c r="CS40" s="1567" t="s">
        <v>1844</v>
      </c>
      <c r="CT40" s="1568" t="s">
        <v>1845</v>
      </c>
      <c r="CU40" s="1566" t="s">
        <v>1842</v>
      </c>
      <c r="CV40" s="1567" t="s">
        <v>1843</v>
      </c>
      <c r="CW40" s="1567" t="s">
        <v>1844</v>
      </c>
      <c r="CX40" s="1568" t="s">
        <v>1845</v>
      </c>
      <c r="CY40" s="1566" t="s">
        <v>1842</v>
      </c>
      <c r="CZ40" s="1567" t="s">
        <v>1843</v>
      </c>
      <c r="DA40" s="1567" t="s">
        <v>1844</v>
      </c>
      <c r="DB40" s="1568" t="s">
        <v>1845</v>
      </c>
      <c r="DC40"/>
      <c r="DD40"/>
      <c r="DE40"/>
      <c r="DF40"/>
      <c r="DG40"/>
      <c r="DH40"/>
      <c r="DI40"/>
      <c r="DJ40"/>
      <c r="DK40"/>
      <c r="DL40"/>
      <c r="DM40"/>
      <c r="DN40"/>
      <c r="DO40"/>
    </row>
    <row r="41" spans="1:119" s="699" customFormat="1" ht="12.75" customHeight="1">
      <c r="A41" s="664" t="str">
        <f>"Q" &amp; ROW(InputQ!A6)</f>
        <v>Q6</v>
      </c>
      <c r="C41" s="667"/>
      <c r="D41" s="668"/>
      <c r="E41" s="3620" t="s">
        <v>764</v>
      </c>
      <c r="F41" s="3621"/>
      <c r="G41" s="780">
        <f>InputQ!G6/1000</f>
        <v>0.81843721037998152</v>
      </c>
      <c r="H41" s="780">
        <f>InputQ!H6/1000</f>
        <v>0.81655468025949962</v>
      </c>
      <c r="I41" s="780">
        <f>InputQ!I6/1000</f>
        <v>0.81806070435588507</v>
      </c>
      <c r="J41" s="780">
        <f>InputQ!J6/1000</f>
        <v>0.82501158480074144</v>
      </c>
      <c r="K41" s="780">
        <f>InputQ!K6/1000</f>
        <v>0.81438253012048201</v>
      </c>
      <c r="L41" s="780">
        <f>InputQ!L6/1000</f>
        <v>0.81357159406858204</v>
      </c>
      <c r="M41" s="780">
        <f>InputQ!M6/1000</f>
        <v>0.82489573679332717</v>
      </c>
      <c r="N41" s="780">
        <f>InputQ!N6/1000</f>
        <v>0.81678637627432804</v>
      </c>
      <c r="O41" s="780">
        <f>InputQ!O6/1000</f>
        <v>0.82437442075996292</v>
      </c>
      <c r="P41" s="780">
        <f>InputQ!P6/1000</f>
        <v>0.84670412418906404</v>
      </c>
      <c r="Q41" s="780">
        <f>InputQ!Q6/1000</f>
        <v>0.85272822057460618</v>
      </c>
      <c r="R41" s="780">
        <f>InputQ!R6/1000</f>
        <v>0.84838392029657095</v>
      </c>
      <c r="S41" s="780">
        <f>InputQ!S6/1000</f>
        <v>0.88001042632066728</v>
      </c>
      <c r="T41" s="780">
        <f>InputQ!T6/1000</f>
        <v>0.88096617238183517</v>
      </c>
      <c r="U41" s="780">
        <f>InputQ!U6/1000</f>
        <v>0.88203776645041709</v>
      </c>
      <c r="V41" s="780">
        <f>InputQ!V6/1000</f>
        <v>0.89255097312326237</v>
      </c>
      <c r="W41" s="780">
        <f>InputQ!W6/1000</f>
        <v>0.85820203892493041</v>
      </c>
      <c r="X41" s="780">
        <f>InputQ!X6/1000</f>
        <v>0.85304680259499532</v>
      </c>
      <c r="Y41" s="780">
        <f>InputQ!Y6/1000</f>
        <v>0.83711770157553289</v>
      </c>
      <c r="Z41" s="780">
        <f>InputQ!Z6/1000</f>
        <v>0.8364226135310473</v>
      </c>
      <c r="AA41" s="780">
        <f>InputQ!AA6/1000</f>
        <v>0.8540604726598704</v>
      </c>
      <c r="AB41" s="780">
        <f>InputQ!AB6/1000</f>
        <v>0.84583526413345689</v>
      </c>
      <c r="AC41" s="780">
        <f>InputQ!AC6/1000</f>
        <v>0.84873146431881374</v>
      </c>
      <c r="AD41" s="780">
        <f>InputQ!AD6/1000</f>
        <v>0.85258341056533837</v>
      </c>
      <c r="AE41" s="780">
        <f>InputQ!AE6/1000</f>
        <v>0.85652224281742362</v>
      </c>
      <c r="AF41" s="780">
        <f>InputQ!AF6/1000</f>
        <v>0.85907089898053757</v>
      </c>
      <c r="AG41" s="780">
        <f>InputQ!AG6/1000</f>
        <v>0.85768072289156638</v>
      </c>
      <c r="AH41" s="780">
        <f>InputQ!AH6/1000</f>
        <v>0.85950532900834109</v>
      </c>
      <c r="AI41" s="780">
        <f>InputQ!AI6/1000</f>
        <v>0.87268303985171447</v>
      </c>
      <c r="AJ41" s="780">
        <f>InputQ!AJ6/1000</f>
        <v>0.86969995366079711</v>
      </c>
      <c r="AK41" s="780">
        <f>InputQ!AK6/1000</f>
        <v>0.88623725671918441</v>
      </c>
      <c r="AL41" s="780">
        <f>InputQ!AL6/1000</f>
        <v>0.88869902687673774</v>
      </c>
      <c r="AM41" s="780">
        <f>InputQ!AM6/1000</f>
        <v>0.89289851714550517</v>
      </c>
      <c r="AN41" s="780">
        <f>InputQ!AN6/1000</f>
        <v>0.90401992585727531</v>
      </c>
      <c r="AO41" s="780">
        <f>InputQ!AO6/1000</f>
        <v>0.9091751621872104</v>
      </c>
      <c r="AP41" s="780">
        <f>InputQ!AP6/1000</f>
        <v>0.91986214087117713</v>
      </c>
      <c r="AQ41" s="780">
        <f>InputQ!AQ6/1000</f>
        <v>0.93040430954587594</v>
      </c>
      <c r="AR41" s="780">
        <f>InputQ!AR6/1000</f>
        <v>0.94885310472659867</v>
      </c>
      <c r="AS41" s="780">
        <f>InputQ!AS6/1000</f>
        <v>0.9545875810936052</v>
      </c>
      <c r="AT41" s="780">
        <f>InputQ!AT6/1000</f>
        <v>0.96058271547729368</v>
      </c>
      <c r="AU41" s="780">
        <f>InputQ!AU6/1000</f>
        <v>1.3931</v>
      </c>
      <c r="AV41" s="780">
        <f>InputQ!AV6/1000</f>
        <v>1.3956</v>
      </c>
      <c r="AW41" s="780">
        <f>InputQ!AW6/1000</f>
        <v>1.3995</v>
      </c>
      <c r="AX41" s="780">
        <f>InputQ!AX6/1000</f>
        <v>1.3957999999999999</v>
      </c>
      <c r="AY41" s="780">
        <f>InputQ!AY6/1000</f>
        <v>1.4036999999999999</v>
      </c>
      <c r="AZ41" s="780">
        <f>InputQ!AZ6/1000</f>
        <v>1.4102000000000001</v>
      </c>
      <c r="BA41" s="780">
        <f>InputQ!BA6/1000</f>
        <v>1.4405999999999999</v>
      </c>
      <c r="BB41" s="780">
        <f>InputQ!BB6/1000</f>
        <v>1.4470000000000001</v>
      </c>
      <c r="BC41" s="780">
        <f>InputQ!BC6/1000</f>
        <v>1.4535</v>
      </c>
      <c r="BD41" s="780">
        <f>InputQ!BD6/1000</f>
        <v>1.4619000000000002</v>
      </c>
      <c r="BE41" s="780">
        <f>InputQ!BE6/1000</f>
        <v>1.4362000000000001</v>
      </c>
      <c r="BF41" s="780">
        <f>InputQ!BF6/1000</f>
        <v>1.4554</v>
      </c>
      <c r="BG41" s="780">
        <f>InputQ!BG6/1000</f>
        <v>1.4490999999999998</v>
      </c>
      <c r="BH41" s="780">
        <f>InputQ!BH6/1000</f>
        <v>1.4505999999999999</v>
      </c>
      <c r="BI41" s="780">
        <f>InputQ!BI6/1000</f>
        <v>1.4658</v>
      </c>
      <c r="BJ41" s="780">
        <f>InputQ!BJ6/1000</f>
        <v>1.4590000000000001</v>
      </c>
      <c r="BK41" s="780">
        <f>InputQ!BK6/1000</f>
        <v>1.4550999999999998</v>
      </c>
      <c r="BL41" s="780">
        <f>InputQ!BL6/1000</f>
        <v>1.4484999999999999</v>
      </c>
      <c r="BM41" s="780">
        <f>InputQ!BM6/1000</f>
        <v>1.4235</v>
      </c>
      <c r="BN41" s="780">
        <f>InputQ!BN6/1000</f>
        <v>1.4170999999999998</v>
      </c>
      <c r="BO41" s="780">
        <f>InputQ!BO6/1000</f>
        <v>1.4037999999999999</v>
      </c>
      <c r="BP41" s="780">
        <f>InputQ!BP6/1000</f>
        <v>1.3900999999999999</v>
      </c>
      <c r="BQ41" s="780">
        <f>InputQ!BQ6/1000</f>
        <v>1.3904000000000001</v>
      </c>
      <c r="BR41" s="780">
        <f>InputQ!BR6/1000</f>
        <v>1.3809</v>
      </c>
      <c r="BS41" s="780">
        <f>InputQ!BS6/1000</f>
        <v>1.38</v>
      </c>
      <c r="BT41" s="780">
        <f>InputQ!BT6/1000</f>
        <v>1.3847</v>
      </c>
      <c r="BU41" s="780">
        <f>InputQ!BU6/1000</f>
        <v>1.3865000000000001</v>
      </c>
      <c r="BV41" s="780">
        <f>InputQ!BV6/1000</f>
        <v>1.3913</v>
      </c>
      <c r="BW41" s="780">
        <f>InputQ!BW6/1000</f>
        <v>1.4005000000000001</v>
      </c>
      <c r="BX41" s="780">
        <f>InputQ!BX6/1000</f>
        <v>1.4019999999999999</v>
      </c>
      <c r="BY41" s="780">
        <f>InputQ!BY6/1000</f>
        <v>1.4053</v>
      </c>
      <c r="BZ41" s="780">
        <f>InputQ!BZ6/1000</f>
        <v>1.4080999999999999</v>
      </c>
      <c r="CA41" s="780">
        <f>InputQ!CA6/1000</f>
        <v>1.4109</v>
      </c>
      <c r="CB41" s="780">
        <f>InputQ!CB6/1000</f>
        <v>1.413</v>
      </c>
      <c r="CC41" s="780">
        <f>InputQ!CC6/1000</f>
        <v>1.4167000000000001</v>
      </c>
      <c r="CD41" s="780">
        <f>InputQ!CD6/1000</f>
        <v>1.4137</v>
      </c>
      <c r="CE41" s="780">
        <f>InputQ!CE6/1000</f>
        <v>1.4157999999999999</v>
      </c>
      <c r="CF41" s="780">
        <f>InputQ!CF6/1000</f>
        <v>1.4173</v>
      </c>
      <c r="CG41" s="780">
        <f>InputQ!CG6/1000</f>
        <v>1.4170999999999998</v>
      </c>
      <c r="CH41" s="780">
        <f>InputQ!CH6/1000</f>
        <v>1.4220999999999999</v>
      </c>
      <c r="CI41" s="780">
        <f>InputQ!CI6/1000</f>
        <v>1.4177999999999999</v>
      </c>
      <c r="CJ41" s="780">
        <f>InputQ!CJ6/1000</f>
        <v>1.4210999999999998</v>
      </c>
      <c r="CK41" s="780">
        <f>InputQ!CK6/1000</f>
        <v>1.4212</v>
      </c>
      <c r="CL41" s="780">
        <f>InputQ!CL6/1000</f>
        <v>1.4196</v>
      </c>
      <c r="CM41" s="780">
        <f>InputQ!CM6/1000</f>
        <v>1.4294</v>
      </c>
      <c r="CN41" s="780">
        <f>InputQ!CN6/1000</f>
        <v>1.4327999999999999</v>
      </c>
      <c r="CO41" s="780">
        <f>InputQ!CO6/1000</f>
        <v>1.4419000000000002</v>
      </c>
      <c r="CP41" s="780">
        <f>InputQ!CP6/1000</f>
        <v>1.4504000000000001</v>
      </c>
      <c r="CQ41" s="780">
        <f>InputQ!CQ6/1000</f>
        <v>1.4517</v>
      </c>
      <c r="CR41" s="780">
        <f>InputQ!CR6/1000</f>
        <v>1.4550000000000001</v>
      </c>
      <c r="CS41" s="780">
        <f>InputQ!CS6/1000</f>
        <v>1.4564000000000001</v>
      </c>
      <c r="CT41" s="780">
        <f>InputQ!CT6/1000</f>
        <v>1.4585999999999999</v>
      </c>
      <c r="CU41" s="1591">
        <f t="shared" ref="CU41:CX41" si="111">CT41*(1+CU46/100)</f>
        <v>1.4658929999999997</v>
      </c>
      <c r="CV41" s="1591">
        <f t="shared" si="111"/>
        <v>1.4746883579999996</v>
      </c>
      <c r="CW41" s="1591">
        <f t="shared" si="111"/>
        <v>1.4835364881479995</v>
      </c>
      <c r="CX41" s="1591">
        <f t="shared" si="111"/>
        <v>1.4924377070768875</v>
      </c>
      <c r="CY41" s="1591">
        <f t="shared" ref="CY41" si="112">CX41*(1+CY46/100)</f>
        <v>1.4969150201981181</v>
      </c>
      <c r="CZ41" s="1591">
        <f t="shared" ref="CZ41" si="113">CY41*(1+CZ46/100)</f>
        <v>1.5006573077486132</v>
      </c>
      <c r="DA41" s="1591">
        <f t="shared" ref="DA41" si="114">CZ41*(1+DA46/100)</f>
        <v>1.5036586223641104</v>
      </c>
      <c r="DB41" s="1591">
        <f t="shared" ref="DB41" si="115">DA41*(1+DB46/100)</f>
        <v>1.5063652078843659</v>
      </c>
      <c r="DC41"/>
      <c r="DD41"/>
      <c r="DE41"/>
      <c r="DF41"/>
      <c r="DG41"/>
      <c r="DH41"/>
      <c r="DI41"/>
      <c r="DJ41"/>
      <c r="DK41"/>
      <c r="DL41"/>
      <c r="DM41"/>
      <c r="DN41"/>
      <c r="DO41"/>
    </row>
    <row r="42" spans="1:119" s="26" customFormat="1">
      <c r="A42" s="673"/>
      <c r="B42" s="673"/>
      <c r="C42" s="687"/>
      <c r="D42" s="683"/>
      <c r="E42" s="684" t="s">
        <v>266</v>
      </c>
      <c r="F42" s="685"/>
      <c r="G42" s="1570"/>
      <c r="H42" s="1571"/>
      <c r="I42" s="1571"/>
      <c r="J42" s="1575">
        <f>SUM(G41:J41)</f>
        <v>3.2780641797961079</v>
      </c>
      <c r="K42" s="1570"/>
      <c r="L42" s="1571"/>
      <c r="M42" s="1571"/>
      <c r="N42" s="1575">
        <f>SUM(K41:N41)</f>
        <v>3.2696362372567194</v>
      </c>
      <c r="O42" s="1570"/>
      <c r="P42" s="1571"/>
      <c r="Q42" s="1571"/>
      <c r="R42" s="1575">
        <f>SUM(O41:R41)</f>
        <v>3.372190685820204</v>
      </c>
      <c r="S42" s="1570"/>
      <c r="T42" s="1571"/>
      <c r="U42" s="1571"/>
      <c r="V42" s="1575">
        <f>SUM(S41:V41)</f>
        <v>3.5355653382761818</v>
      </c>
      <c r="W42" s="1570"/>
      <c r="X42" s="1571"/>
      <c r="Y42" s="1571"/>
      <c r="Z42" s="1575">
        <f>SUM(W41:Z41)</f>
        <v>3.384789156626506</v>
      </c>
      <c r="AA42" s="1570"/>
      <c r="AB42" s="1571"/>
      <c r="AC42" s="1571"/>
      <c r="AD42" s="1575">
        <f>SUM(AA41:AD41)</f>
        <v>3.4012106116774792</v>
      </c>
      <c r="AE42" s="1570"/>
      <c r="AF42" s="1571"/>
      <c r="AG42" s="1571"/>
      <c r="AH42" s="1575">
        <f>SUM(AE41:AH41)</f>
        <v>3.4327791936978684</v>
      </c>
      <c r="AI42" s="1570"/>
      <c r="AJ42" s="1571"/>
      <c r="AK42" s="1571"/>
      <c r="AL42" s="1575">
        <f>SUM(AI41:AL41)</f>
        <v>3.5173192771084336</v>
      </c>
      <c r="AM42" s="1570"/>
      <c r="AN42" s="1571"/>
      <c r="AO42" s="1571"/>
      <c r="AP42" s="1575">
        <f>SUM(AM41:AP41)</f>
        <v>3.6259557460611678</v>
      </c>
      <c r="AQ42" s="1570"/>
      <c r="AR42" s="1571"/>
      <c r="AS42" s="1571"/>
      <c r="AT42" s="1575">
        <f>SUM(AQ41:AT41)</f>
        <v>3.7944277108433733</v>
      </c>
      <c r="AU42" s="1570"/>
      <c r="AV42" s="1571"/>
      <c r="AW42" s="1571"/>
      <c r="AX42" s="1575">
        <f>SUM(AU41:AX41)</f>
        <v>5.5839999999999996</v>
      </c>
      <c r="AY42" s="1570"/>
      <c r="AZ42" s="1571"/>
      <c r="BA42" s="1571"/>
      <c r="BB42" s="1575">
        <f>SUM(AY41:BB41)</f>
        <v>5.7015000000000002</v>
      </c>
      <c r="BC42" s="1570"/>
      <c r="BD42" s="1571"/>
      <c r="BE42" s="1571"/>
      <c r="BF42" s="1575">
        <f>SUM(BC41:BF41)</f>
        <v>5.8070000000000004</v>
      </c>
      <c r="BG42" s="1570"/>
      <c r="BH42" s="1571"/>
      <c r="BI42" s="1571"/>
      <c r="BJ42" s="1575">
        <f>SUM(BG41:BJ41)</f>
        <v>5.8245000000000005</v>
      </c>
      <c r="BK42" s="1570"/>
      <c r="BL42" s="1571"/>
      <c r="BM42" s="1571"/>
      <c r="BN42" s="1575">
        <f>SUM(BK41:BN41)</f>
        <v>5.7441999999999993</v>
      </c>
      <c r="BO42" s="1570"/>
      <c r="BP42" s="1571"/>
      <c r="BQ42" s="1571"/>
      <c r="BR42" s="1575">
        <f>SUM(BO41:BR41)</f>
        <v>5.5652000000000008</v>
      </c>
      <c r="BS42" s="1570"/>
      <c r="BT42" s="1571"/>
      <c r="BU42" s="1571"/>
      <c r="BV42" s="1575">
        <f>SUM(BS41:BV41)</f>
        <v>5.5425000000000004</v>
      </c>
      <c r="BW42" s="1570"/>
      <c r="BX42" s="1571"/>
      <c r="BY42" s="1571"/>
      <c r="BZ42" s="1575">
        <f>SUM(BW41:BZ41)</f>
        <v>5.6159000000000008</v>
      </c>
      <c r="CA42" s="1570"/>
      <c r="CB42" s="1571"/>
      <c r="CC42" s="1571"/>
      <c r="CD42" s="1575">
        <f>SUM(CA41:CD41)</f>
        <v>5.654300000000001</v>
      </c>
      <c r="CE42" s="1570"/>
      <c r="CF42" s="1571"/>
      <c r="CG42" s="1571"/>
      <c r="CH42" s="1575">
        <f>SUM(CE41:CH41)</f>
        <v>5.6722999999999999</v>
      </c>
      <c r="CI42" s="1570"/>
      <c r="CJ42" s="1571"/>
      <c r="CK42" s="1571"/>
      <c r="CL42" s="1575">
        <f>SUM(CI41:CL41)</f>
        <v>5.6796999999999995</v>
      </c>
      <c r="CM42" s="1570"/>
      <c r="CN42" s="1571"/>
      <c r="CO42" s="1571"/>
      <c r="CP42" s="1575">
        <f>SUM(CM41:CP41)</f>
        <v>5.7545000000000002</v>
      </c>
      <c r="CQ42" s="1570"/>
      <c r="CR42" s="1571"/>
      <c r="CS42" s="1571"/>
      <c r="CT42" s="1575">
        <f>SUM(CQ41:CT41)</f>
        <v>5.8216999999999999</v>
      </c>
      <c r="CU42" s="1570"/>
      <c r="CV42" s="1571"/>
      <c r="CW42" s="1571"/>
      <c r="CX42" s="1575">
        <f>SUM(CU41:CX41)</f>
        <v>5.9165555532248861</v>
      </c>
      <c r="CY42" s="1570"/>
      <c r="CZ42" s="1571"/>
      <c r="DA42" s="1571"/>
      <c r="DB42" s="1575">
        <f>SUM(CY41:DB41)</f>
        <v>6.0075961581952075</v>
      </c>
      <c r="DC42"/>
      <c r="DD42"/>
      <c r="DE42"/>
      <c r="DF42"/>
      <c r="DG42"/>
      <c r="DH42"/>
      <c r="DI42"/>
      <c r="DJ42"/>
      <c r="DK42"/>
      <c r="DL42"/>
      <c r="DM42"/>
      <c r="DN42"/>
      <c r="DO42"/>
    </row>
    <row r="43" spans="1:119" s="699" customFormat="1" ht="12.75" customHeight="1">
      <c r="A43" s="664"/>
      <c r="B43" s="664"/>
      <c r="C43" s="669"/>
      <c r="D43" s="679"/>
      <c r="E43" s="1572" t="s">
        <v>1847</v>
      </c>
      <c r="F43" s="679"/>
      <c r="G43" s="1573"/>
      <c r="H43" s="2839" t="s">
        <v>757</v>
      </c>
      <c r="I43" s="2840">
        <f ca="1">+J43/J42*100</f>
        <v>142.45175352266102</v>
      </c>
      <c r="J43" s="1574">
        <f ca="1">OFFSET('VVP2'!$G$13,0,(COLUMN()-10)/4)</f>
        <v>4.6696599057177908</v>
      </c>
      <c r="K43" s="1573"/>
      <c r="L43" s="2839" t="s">
        <v>757</v>
      </c>
      <c r="M43" s="2840">
        <f ca="1">+N43/N42*100</f>
        <v>141.81609253402755</v>
      </c>
      <c r="N43" s="1574">
        <f ca="1">OFFSET('VVP2'!$G$13,0,(COLUMN()-10)/4)</f>
        <v>4.6368703517540855</v>
      </c>
      <c r="O43" s="1573"/>
      <c r="P43" s="2839" t="s">
        <v>757</v>
      </c>
      <c r="Q43" s="2840">
        <f ca="1">+R43/R42*100</f>
        <v>142.20036339733042</v>
      </c>
      <c r="R43" s="1574">
        <f ca="1">OFFSET('VVP2'!$G$13,0,(COLUMN()-10)/4)</f>
        <v>4.7952674096872592</v>
      </c>
      <c r="S43" s="1573"/>
      <c r="T43" s="2839" t="s">
        <v>757</v>
      </c>
      <c r="U43" s="2840">
        <f ca="1">+V43/V42*100</f>
        <v>142.43211290710101</v>
      </c>
      <c r="V43" s="1574">
        <f ca="1">OFFSET('VVP2'!$G$13,0,(COLUMN()-10)/4)</f>
        <v>5.03578041451786</v>
      </c>
      <c r="W43" s="1573"/>
      <c r="X43" s="2839" t="s">
        <v>757</v>
      </c>
      <c r="Y43" s="2840">
        <f ca="1">+Z43/Z42*100</f>
        <v>142.20112907655701</v>
      </c>
      <c r="Z43" s="1574">
        <f ca="1">OFFSET('VVP2'!$G$13,0,(COLUMN()-10)/4)</f>
        <v>4.8132083975837627</v>
      </c>
      <c r="AA43" s="1573"/>
      <c r="AB43" s="2839" t="s">
        <v>757</v>
      </c>
      <c r="AC43" s="2840">
        <f ca="1">+AD43/AD42*100</f>
        <v>141.83079150506214</v>
      </c>
      <c r="AD43" s="1574">
        <f ca="1">OFFSET('VVP2'!$G$13,0,(COLUMN()-10)/4)</f>
        <v>4.8239639312963334</v>
      </c>
      <c r="AE43" s="1573"/>
      <c r="AF43" s="2839" t="s">
        <v>757</v>
      </c>
      <c r="AG43" s="2840">
        <f ca="1">+AH43/AH42*100</f>
        <v>142.43842361910828</v>
      </c>
      <c r="AH43" s="1574">
        <f ca="1">OFFSET('VVP2'!$G$13,0,(COLUMN()-10)/4)</f>
        <v>4.8895965698279795</v>
      </c>
      <c r="AI43" s="1573"/>
      <c r="AJ43" s="2839" t="s">
        <v>757</v>
      </c>
      <c r="AK43" s="2840">
        <f ca="1">+AL43/AL42*100</f>
        <v>142.43378603640596</v>
      </c>
      <c r="AL43" s="1574">
        <f ca="1">OFFSET('VVP2'!$G$13,0,(COLUMN()-10)/4)</f>
        <v>5.0098510133738872</v>
      </c>
      <c r="AM43" s="1573"/>
      <c r="AN43" s="2839" t="s">
        <v>757</v>
      </c>
      <c r="AO43" s="2840">
        <f ca="1">+AP43/AP42*100</f>
        <v>142.19954316893666</v>
      </c>
      <c r="AP43" s="1574">
        <f ca="1">OFFSET('VVP2'!$G$13,0,(COLUMN()-10)/4)</f>
        <v>5.1560925064067895</v>
      </c>
      <c r="AQ43" s="1573"/>
      <c r="AR43" s="2839" t="s">
        <v>757</v>
      </c>
      <c r="AS43" s="2840">
        <f ca="1">+AT43/AT42*100</f>
        <v>142.12841595554676</v>
      </c>
      <c r="AT43" s="1574">
        <f ca="1">OFFSET('VVP2'!$G$13,0,(COLUMN()-10)/4)</f>
        <v>5.3929600000000004</v>
      </c>
      <c r="AU43" s="1573"/>
      <c r="AV43" s="2839" t="s">
        <v>757</v>
      </c>
      <c r="AW43" s="2840">
        <f ca="1">+AX43/AX42*100</f>
        <v>100.01450573065904</v>
      </c>
      <c r="AX43" s="1574">
        <f ca="1">OFFSET('VVP2'!$G$13,0,(COLUMN()-10)/4)</f>
        <v>5.5848100000000001</v>
      </c>
      <c r="AY43" s="1573"/>
      <c r="AZ43" s="2839" t="s">
        <v>757</v>
      </c>
      <c r="BA43" s="2840">
        <f ca="1">+BB43/BB42*100</f>
        <v>100.01403139524687</v>
      </c>
      <c r="BB43" s="1574">
        <f ca="1">OFFSET('VVP2'!$G$13,0,(COLUMN()-10)/4)</f>
        <v>5.7023000000000001</v>
      </c>
      <c r="BC43" s="1573"/>
      <c r="BD43" s="2839" t="s">
        <v>757</v>
      </c>
      <c r="BE43" s="2840">
        <f ca="1">+BF43/BF42*100</f>
        <v>100.01429309454106</v>
      </c>
      <c r="BF43" s="1574">
        <f ca="1">OFFSET('VVP2'!$G$13,0,(COLUMN()-10)/4)</f>
        <v>5.80783</v>
      </c>
      <c r="BG43" s="1573"/>
      <c r="BH43" s="2839" t="s">
        <v>757</v>
      </c>
      <c r="BI43" s="2840">
        <f ca="1">+BJ43/BJ42*100</f>
        <v>99.949008498583552</v>
      </c>
      <c r="BJ43" s="1574">
        <f ca="1">OFFSET('VVP2'!$G$13,0,(COLUMN()-10)/4)</f>
        <v>5.8215300000000001</v>
      </c>
      <c r="BK43" s="1573"/>
      <c r="BL43" s="2839" t="s">
        <v>757</v>
      </c>
      <c r="BM43" s="2840">
        <f ca="1">+BN43/BN42*100</f>
        <v>100.01410118032103</v>
      </c>
      <c r="BN43" s="1574">
        <f ca="1">OFFSET('VVP2'!$G$13,0,(COLUMN()-10)/4)</f>
        <v>5.7450100000000006</v>
      </c>
      <c r="BO43" s="1573"/>
      <c r="BP43" s="2839" t="s">
        <v>757</v>
      </c>
      <c r="BQ43" s="2840">
        <f ca="1">+BR43/BR42*100</f>
        <v>99.967296772802399</v>
      </c>
      <c r="BR43" s="1574">
        <f ca="1">OFFSET('VVP2'!$G$13,0,(COLUMN()-10)/4)</f>
        <v>5.5633800000000004</v>
      </c>
      <c r="BS43" s="1573"/>
      <c r="BT43" s="2839" t="s">
        <v>757</v>
      </c>
      <c r="BU43" s="2840">
        <f ca="1">+BV43/BV42*100</f>
        <v>100.01948579161026</v>
      </c>
      <c r="BV43" s="1574">
        <f ca="1">OFFSET('VVP2'!$G$13,0,(COLUMN()-10)/4)</f>
        <v>5.5435799999999995</v>
      </c>
      <c r="BW43" s="1573"/>
      <c r="BX43" s="2839" t="s">
        <v>757</v>
      </c>
      <c r="BY43" s="2840">
        <f ca="1">+BZ43/BZ42*100</f>
        <v>99.980946954183636</v>
      </c>
      <c r="BZ43" s="1574">
        <f ca="1">OFFSET('VVP2'!$G$13,0,(COLUMN()-10)/4)</f>
        <v>5.6148299999999995</v>
      </c>
      <c r="CA43" s="1573"/>
      <c r="CB43" s="2839" t="s">
        <v>757</v>
      </c>
      <c r="CC43" s="2840">
        <f ca="1">+CD43/CD42*100</f>
        <v>100.01963107723324</v>
      </c>
      <c r="CD43" s="1574">
        <f ca="1">OFFSET('VVP2'!$G$13,0,(COLUMN()-10)/4)</f>
        <v>5.6554099999999998</v>
      </c>
      <c r="CE43" s="1573"/>
      <c r="CF43" s="2839" t="s">
        <v>757</v>
      </c>
      <c r="CG43" s="2840">
        <f ca="1">+CH43/CH42*100</f>
        <v>99.988717098884052</v>
      </c>
      <c r="CH43" s="1574">
        <f ca="1">OFFSET('VVP2'!$G$13,0,(COLUMN()-10)/4)</f>
        <v>5.6716600000000001</v>
      </c>
      <c r="CI43" s="1573"/>
      <c r="CJ43" s="2839" t="s">
        <v>757</v>
      </c>
      <c r="CK43" s="2840">
        <f ca="1">+CL43/CL42*100</f>
        <v>100.02253640157051</v>
      </c>
      <c r="CL43" s="1574">
        <f ca="1">OFFSET('VVP2'!$G$13,0,(COLUMN()-10)/4)</f>
        <v>5.6809799999999999</v>
      </c>
      <c r="CM43" s="1573"/>
      <c r="CN43" s="2839" t="s">
        <v>757</v>
      </c>
      <c r="CO43" s="2840">
        <f ca="1">+CP43/CP42*100</f>
        <v>99.998262229559458</v>
      </c>
      <c r="CP43" s="1574">
        <f ca="1">OFFSET('VVP2'!$G$13,0,(COLUMN()-10)/4)</f>
        <v>5.7543999999999995</v>
      </c>
      <c r="CQ43" s="1573"/>
      <c r="CR43" s="2839" t="s">
        <v>757</v>
      </c>
      <c r="CS43" s="2840">
        <f ca="1">+CT43/CT42*100</f>
        <v>99.989521960939243</v>
      </c>
      <c r="CT43" s="1574">
        <f ca="1">OFFSET('VVP2'!$G$13,0,(COLUMN()-10)/4)</f>
        <v>5.8210899999999999</v>
      </c>
      <c r="CU43" s="1573"/>
      <c r="CV43" s="2839" t="s">
        <v>757</v>
      </c>
      <c r="CW43" s="2840">
        <f ca="1">+CX43/CX42*100</f>
        <v>100.00000545545649</v>
      </c>
      <c r="CX43" s="1574">
        <f ca="1">OFFSET('VVP2'!$G$13,0,(COLUMN()-10)/4)</f>
        <v>5.9165558759999994</v>
      </c>
      <c r="CY43" s="1573"/>
      <c r="CZ43" s="2839" t="s">
        <v>757</v>
      </c>
      <c r="DA43" s="2840">
        <f ca="1">+DB43/DB42*100</f>
        <v>100.00124306450078</v>
      </c>
      <c r="DB43" s="1574">
        <f ca="1">OFFSET('VVP2'!$G$13,0,(COLUMN()-10)/4)</f>
        <v>6.0076708364903997</v>
      </c>
      <c r="DC43"/>
      <c r="DD43"/>
      <c r="DE43"/>
      <c r="DF43"/>
      <c r="DG43"/>
      <c r="DH43"/>
      <c r="DI43"/>
      <c r="DJ43"/>
      <c r="DK43"/>
      <c r="DL43"/>
      <c r="DM43"/>
      <c r="DN43"/>
      <c r="DO43"/>
    </row>
    <row r="44" spans="1:119">
      <c r="E44" s="599"/>
      <c r="F44" s="3617"/>
      <c r="AY44" s="217"/>
      <c r="BC44" s="217"/>
      <c r="BD44" s="217"/>
      <c r="BG44" s="217"/>
      <c r="BH44" s="217"/>
      <c r="CM44" s="557"/>
      <c r="CN44" s="557"/>
      <c r="CO44" s="557"/>
      <c r="CP44" s="557"/>
      <c r="CQ44" s="557">
        <v>1</v>
      </c>
      <c r="CR44" s="557"/>
      <c r="CS44" s="557"/>
      <c r="CT44" s="557"/>
      <c r="CU44" s="557">
        <v>1</v>
      </c>
      <c r="CV44" s="557"/>
      <c r="CW44" s="557"/>
      <c r="CX44" s="557"/>
      <c r="CY44" s="557">
        <v>1</v>
      </c>
      <c r="CZ44" s="557"/>
      <c r="DA44" s="557"/>
      <c r="DB44" s="557"/>
    </row>
    <row r="45" spans="1:119" s="699" customFormat="1" ht="12.75" customHeight="1">
      <c r="A45" s="664"/>
      <c r="B45" s="664"/>
      <c r="C45" s="1553"/>
      <c r="D45" s="742"/>
      <c r="E45" s="3384" t="s">
        <v>762</v>
      </c>
      <c r="F45" s="3622"/>
      <c r="G45" s="1578" t="str">
        <f t="shared" ref="G45:N45" si="116">G40</f>
        <v>Q1</v>
      </c>
      <c r="H45" s="1579" t="str">
        <f t="shared" si="116"/>
        <v>Q2</v>
      </c>
      <c r="I45" s="1579" t="str">
        <f t="shared" si="116"/>
        <v>Q3</v>
      </c>
      <c r="J45" s="1580" t="str">
        <f t="shared" si="116"/>
        <v>Q4</v>
      </c>
      <c r="K45" s="1578" t="str">
        <f t="shared" si="116"/>
        <v>Q1</v>
      </c>
      <c r="L45" s="1579" t="str">
        <f t="shared" si="116"/>
        <v>Q2</v>
      </c>
      <c r="M45" s="1579" t="str">
        <f t="shared" si="116"/>
        <v>Q3</v>
      </c>
      <c r="N45" s="1580" t="str">
        <f t="shared" si="116"/>
        <v>Q4</v>
      </c>
      <c r="O45" s="1578" t="str">
        <f t="shared" ref="O45:AX45" si="117">O40</f>
        <v>Q1</v>
      </c>
      <c r="P45" s="1579" t="str">
        <f t="shared" si="117"/>
        <v>Q2</v>
      </c>
      <c r="Q45" s="1579" t="str">
        <f t="shared" si="117"/>
        <v>Q3</v>
      </c>
      <c r="R45" s="1580" t="str">
        <f t="shared" si="117"/>
        <v>Q4</v>
      </c>
      <c r="S45" s="1578" t="str">
        <f t="shared" si="117"/>
        <v>Q1</v>
      </c>
      <c r="T45" s="1579" t="str">
        <f t="shared" si="117"/>
        <v>Q2</v>
      </c>
      <c r="U45" s="1579" t="str">
        <f t="shared" si="117"/>
        <v>Q3</v>
      </c>
      <c r="V45" s="1580" t="str">
        <f t="shared" si="117"/>
        <v>Q4</v>
      </c>
      <c r="W45" s="1578" t="str">
        <f t="shared" si="117"/>
        <v>Q1</v>
      </c>
      <c r="X45" s="1579" t="str">
        <f t="shared" si="117"/>
        <v>Q2</v>
      </c>
      <c r="Y45" s="1579" t="str">
        <f t="shared" si="117"/>
        <v>Q3</v>
      </c>
      <c r="Z45" s="1580" t="str">
        <f t="shared" si="117"/>
        <v>Q4</v>
      </c>
      <c r="AA45" s="1578" t="str">
        <f t="shared" si="117"/>
        <v>Q1</v>
      </c>
      <c r="AB45" s="1579" t="str">
        <f t="shared" si="117"/>
        <v>Q2</v>
      </c>
      <c r="AC45" s="1579" t="str">
        <f t="shared" si="117"/>
        <v>Q3</v>
      </c>
      <c r="AD45" s="1580" t="str">
        <f t="shared" si="117"/>
        <v>Q4</v>
      </c>
      <c r="AE45" s="1578" t="str">
        <f t="shared" si="117"/>
        <v>Q1</v>
      </c>
      <c r="AF45" s="1579" t="str">
        <f t="shared" si="117"/>
        <v>Q2</v>
      </c>
      <c r="AG45" s="1579" t="str">
        <f t="shared" si="117"/>
        <v>Q3</v>
      </c>
      <c r="AH45" s="1580" t="str">
        <f t="shared" si="117"/>
        <v>Q4</v>
      </c>
      <c r="AI45" s="1578" t="str">
        <f t="shared" si="117"/>
        <v>Q1</v>
      </c>
      <c r="AJ45" s="1579" t="str">
        <f t="shared" si="117"/>
        <v>Q2</v>
      </c>
      <c r="AK45" s="1579" t="str">
        <f t="shared" si="117"/>
        <v>Q3</v>
      </c>
      <c r="AL45" s="1580" t="str">
        <f t="shared" si="117"/>
        <v>Q4</v>
      </c>
      <c r="AM45" s="1578" t="str">
        <f t="shared" si="117"/>
        <v>Q1</v>
      </c>
      <c r="AN45" s="1579" t="str">
        <f t="shared" si="117"/>
        <v>Q2</v>
      </c>
      <c r="AO45" s="1579" t="str">
        <f t="shared" si="117"/>
        <v>Q3</v>
      </c>
      <c r="AP45" s="1580" t="str">
        <f t="shared" si="117"/>
        <v>Q4</v>
      </c>
      <c r="AQ45" s="1578" t="str">
        <f t="shared" si="117"/>
        <v>Q1</v>
      </c>
      <c r="AR45" s="1579" t="str">
        <f t="shared" si="117"/>
        <v>Q2</v>
      </c>
      <c r="AS45" s="1579" t="str">
        <f t="shared" si="117"/>
        <v>Q3</v>
      </c>
      <c r="AT45" s="1580" t="str">
        <f t="shared" si="117"/>
        <v>Q4</v>
      </c>
      <c r="AU45" s="1578" t="str">
        <f t="shared" si="117"/>
        <v>Q1</v>
      </c>
      <c r="AV45" s="1579" t="str">
        <f t="shared" si="117"/>
        <v>Q2</v>
      </c>
      <c r="AW45" s="1579" t="str">
        <f t="shared" si="117"/>
        <v>Q3</v>
      </c>
      <c r="AX45" s="1580" t="str">
        <f t="shared" si="117"/>
        <v>Q4</v>
      </c>
      <c r="AY45" s="1578" t="str">
        <f t="shared" ref="AY45:BF45" si="118">AY40</f>
        <v>Q1</v>
      </c>
      <c r="AZ45" s="1579" t="str">
        <f t="shared" si="118"/>
        <v>Q2</v>
      </c>
      <c r="BA45" s="1579" t="str">
        <f t="shared" si="118"/>
        <v>Q3</v>
      </c>
      <c r="BB45" s="1579" t="str">
        <f t="shared" si="118"/>
        <v>Q4</v>
      </c>
      <c r="BC45" s="1578" t="str">
        <f t="shared" si="118"/>
        <v>Q1</v>
      </c>
      <c r="BD45" s="1579" t="str">
        <f t="shared" si="118"/>
        <v>Q2</v>
      </c>
      <c r="BE45" s="1579" t="str">
        <f t="shared" si="118"/>
        <v>Q3</v>
      </c>
      <c r="BF45" s="1579" t="str">
        <f t="shared" si="118"/>
        <v>Q4</v>
      </c>
      <c r="BG45" s="1578" t="str">
        <f t="shared" ref="BG45:BN45" si="119">BG40</f>
        <v>Q1</v>
      </c>
      <c r="BH45" s="1579" t="str">
        <f t="shared" si="119"/>
        <v>Q2</v>
      </c>
      <c r="BI45" s="1579" t="str">
        <f t="shared" si="119"/>
        <v>Q3</v>
      </c>
      <c r="BJ45" s="1579" t="str">
        <f t="shared" si="119"/>
        <v>Q4</v>
      </c>
      <c r="BK45" s="1579" t="str">
        <f t="shared" si="119"/>
        <v>Q1</v>
      </c>
      <c r="BL45" s="1579" t="str">
        <f t="shared" si="119"/>
        <v>Q2</v>
      </c>
      <c r="BM45" s="1579" t="str">
        <f t="shared" si="119"/>
        <v>Q3</v>
      </c>
      <c r="BN45" s="1579" t="str">
        <f t="shared" si="119"/>
        <v>Q4</v>
      </c>
      <c r="BO45" s="1579" t="str">
        <f t="shared" ref="BO45:BZ45" si="120">BO40</f>
        <v>Q1</v>
      </c>
      <c r="BP45" s="1579" t="str">
        <f t="shared" si="120"/>
        <v>Q2</v>
      </c>
      <c r="BQ45" s="1579" t="str">
        <f t="shared" si="120"/>
        <v>Q3</v>
      </c>
      <c r="BR45" s="1579" t="str">
        <f t="shared" si="120"/>
        <v>Q4</v>
      </c>
      <c r="BS45" s="1579" t="str">
        <f>BS40</f>
        <v>Q1</v>
      </c>
      <c r="BT45" s="1579" t="str">
        <f>BT40</f>
        <v>Q2</v>
      </c>
      <c r="BU45" s="1579" t="str">
        <f>BU40</f>
        <v>Q3</v>
      </c>
      <c r="BV45" s="1579" t="str">
        <f>BV40</f>
        <v>Q4</v>
      </c>
      <c r="BW45" s="1579" t="str">
        <f t="shared" si="120"/>
        <v>Q1</v>
      </c>
      <c r="BX45" s="1579" t="str">
        <f t="shared" si="120"/>
        <v>Q2</v>
      </c>
      <c r="BY45" s="1579" t="str">
        <f t="shared" si="120"/>
        <v>Q3</v>
      </c>
      <c r="BZ45" s="1579" t="str">
        <f t="shared" si="120"/>
        <v>Q4</v>
      </c>
      <c r="CA45" s="1579" t="str">
        <f t="shared" ref="CA45:CH45" si="121">CA40</f>
        <v>Q1</v>
      </c>
      <c r="CB45" s="1579" t="str">
        <f t="shared" si="121"/>
        <v>Q2</v>
      </c>
      <c r="CC45" s="1579" t="str">
        <f t="shared" si="121"/>
        <v>Q3</v>
      </c>
      <c r="CD45" s="1579" t="str">
        <f t="shared" si="121"/>
        <v>Q4</v>
      </c>
      <c r="CE45" s="1579" t="str">
        <f t="shared" si="121"/>
        <v>Q1</v>
      </c>
      <c r="CF45" s="1579" t="str">
        <f t="shared" si="121"/>
        <v>Q2</v>
      </c>
      <c r="CG45" s="1579" t="str">
        <f t="shared" si="121"/>
        <v>Q3</v>
      </c>
      <c r="CH45" s="1579" t="str">
        <f t="shared" si="121"/>
        <v>Q4</v>
      </c>
      <c r="CI45" s="1579" t="str">
        <f t="shared" ref="CI45:CP45" si="122">CI40</f>
        <v>Q1</v>
      </c>
      <c r="CJ45" s="1579" t="str">
        <f t="shared" si="122"/>
        <v>Q2</v>
      </c>
      <c r="CK45" s="1579" t="str">
        <f t="shared" si="122"/>
        <v>Q3</v>
      </c>
      <c r="CL45" s="1579" t="str">
        <f t="shared" si="122"/>
        <v>Q4</v>
      </c>
      <c r="CM45" s="1579" t="str">
        <f t="shared" si="122"/>
        <v>Q1</v>
      </c>
      <c r="CN45" s="1579" t="str">
        <f t="shared" si="122"/>
        <v>Q2</v>
      </c>
      <c r="CO45" s="1579" t="str">
        <f t="shared" si="122"/>
        <v>Q3</v>
      </c>
      <c r="CP45" s="1579" t="str">
        <f t="shared" si="122"/>
        <v>Q4</v>
      </c>
      <c r="CQ45" s="1579" t="str">
        <f t="shared" ref="CQ45:CX45" si="123">CQ40</f>
        <v>Q1</v>
      </c>
      <c r="CR45" s="1579" t="str">
        <f t="shared" si="123"/>
        <v>Q2</v>
      </c>
      <c r="CS45" s="1579" t="str">
        <f t="shared" si="123"/>
        <v>Q3</v>
      </c>
      <c r="CT45" s="1579" t="str">
        <f t="shared" si="123"/>
        <v>Q4</v>
      </c>
      <c r="CU45" s="1579" t="str">
        <f t="shared" si="123"/>
        <v>Q1</v>
      </c>
      <c r="CV45" s="1579" t="str">
        <f t="shared" si="123"/>
        <v>Q2</v>
      </c>
      <c r="CW45" s="1579" t="str">
        <f t="shared" si="123"/>
        <v>Q3</v>
      </c>
      <c r="CX45" s="1579" t="str">
        <f t="shared" si="123"/>
        <v>Q4</v>
      </c>
      <c r="CY45" s="1579" t="str">
        <f t="shared" ref="CY45:DB45" si="124">CY40</f>
        <v>Q1</v>
      </c>
      <c r="CZ45" s="1579" t="str">
        <f t="shared" si="124"/>
        <v>Q2</v>
      </c>
      <c r="DA45" s="1579" t="str">
        <f t="shared" si="124"/>
        <v>Q3</v>
      </c>
      <c r="DB45" s="1579" t="str">
        <f t="shared" si="124"/>
        <v>Q4</v>
      </c>
      <c r="DC45"/>
      <c r="DD45"/>
      <c r="DE45"/>
      <c r="DF45"/>
      <c r="DG45"/>
      <c r="DH45"/>
      <c r="DI45"/>
      <c r="DJ45"/>
      <c r="DK45"/>
      <c r="DL45"/>
      <c r="DM45"/>
      <c r="DN45"/>
      <c r="DO45"/>
    </row>
    <row r="46" spans="1:119" s="699" customFormat="1" ht="12.75" customHeight="1">
      <c r="B46" s="664"/>
      <c r="C46" s="1576"/>
      <c r="D46" s="689"/>
      <c r="E46" s="3623" t="str">
        <f>E41</f>
        <v xml:space="preserve">Government final consumption expenditure                                        </v>
      </c>
      <c r="F46" s="3624" t="s">
        <v>564</v>
      </c>
      <c r="G46" s="978"/>
      <c r="H46" s="978">
        <f t="shared" ref="H46:N46" si="125">(H41/G41-1)*100</f>
        <v>-0.23001521639123279</v>
      </c>
      <c r="I46" s="978">
        <f t="shared" si="125"/>
        <v>0.18443640490883872</v>
      </c>
      <c r="J46" s="978">
        <f t="shared" si="125"/>
        <v>0.84967783048928158</v>
      </c>
      <c r="K46" s="978">
        <f t="shared" si="125"/>
        <v>-1.2883521729972536</v>
      </c>
      <c r="L46" s="978">
        <f t="shared" si="125"/>
        <v>-9.9576798605927053E-2</v>
      </c>
      <c r="M46" s="978">
        <f t="shared" si="125"/>
        <v>1.39190488056673</v>
      </c>
      <c r="N46" s="978">
        <f t="shared" si="125"/>
        <v>-0.9830770311073711</v>
      </c>
      <c r="O46" s="978">
        <f t="shared" ref="O46:AX46" si="126">(O41/N41-1)*100</f>
        <v>0.92901212679952216</v>
      </c>
      <c r="P46" s="978">
        <f t="shared" si="126"/>
        <v>2.7086846543001863</v>
      </c>
      <c r="Q46" s="978">
        <f t="shared" si="126"/>
        <v>0.71147597058320855</v>
      </c>
      <c r="R46" s="978">
        <f t="shared" si="126"/>
        <v>-0.50945895459022505</v>
      </c>
      <c r="S46" s="978">
        <f t="shared" si="126"/>
        <v>3.7278530706994717</v>
      </c>
      <c r="T46" s="978">
        <f t="shared" si="126"/>
        <v>0.10860622017443422</v>
      </c>
      <c r="U46" s="978">
        <f t="shared" si="126"/>
        <v>0.12163850351765149</v>
      </c>
      <c r="V46" s="978">
        <f t="shared" si="126"/>
        <v>1.1919225086192808</v>
      </c>
      <c r="W46" s="978">
        <f t="shared" si="126"/>
        <v>-3.8484002855474264</v>
      </c>
      <c r="X46" s="978">
        <f t="shared" si="126"/>
        <v>-0.60070194384448383</v>
      </c>
      <c r="Y46" s="978">
        <f t="shared" si="126"/>
        <v>-1.8673185305900675</v>
      </c>
      <c r="Z46" s="978">
        <f t="shared" si="126"/>
        <v>-8.3033490174366786E-2</v>
      </c>
      <c r="AA46" s="978">
        <f t="shared" si="126"/>
        <v>2.1087257617728561</v>
      </c>
      <c r="AB46" s="978">
        <f t="shared" si="126"/>
        <v>-0.96307097561804111</v>
      </c>
      <c r="AC46" s="978">
        <f t="shared" si="126"/>
        <v>0.34240712206814461</v>
      </c>
      <c r="AD46" s="978">
        <f t="shared" si="126"/>
        <v>0.45384746630268147</v>
      </c>
      <c r="AE46" s="978">
        <f t="shared" si="126"/>
        <v>0.46198790678715351</v>
      </c>
      <c r="AF46" s="978">
        <f t="shared" si="126"/>
        <v>0.29755866639615824</v>
      </c>
      <c r="AG46" s="978">
        <f t="shared" si="126"/>
        <v>-0.16182320814509543</v>
      </c>
      <c r="AH46" s="978">
        <f t="shared" si="126"/>
        <v>0.21273721888295238</v>
      </c>
      <c r="AI46" s="978">
        <f t="shared" si="126"/>
        <v>1.533173838325963</v>
      </c>
      <c r="AJ46" s="978">
        <f t="shared" si="126"/>
        <v>-0.34182928448159844</v>
      </c>
      <c r="AK46" s="978">
        <f t="shared" si="126"/>
        <v>1.9014952212860869</v>
      </c>
      <c r="AL46" s="978">
        <f t="shared" si="126"/>
        <v>0.27777777777777679</v>
      </c>
      <c r="AM46" s="978">
        <f t="shared" si="126"/>
        <v>0.47254358807236052</v>
      </c>
      <c r="AN46" s="978">
        <f t="shared" si="126"/>
        <v>1.2455400583846865</v>
      </c>
      <c r="AO46" s="978">
        <f t="shared" si="126"/>
        <v>0.57025693599026539</v>
      </c>
      <c r="AP46" s="978">
        <f t="shared" si="126"/>
        <v>1.1754587155963447</v>
      </c>
      <c r="AQ46" s="978">
        <f t="shared" si="126"/>
        <v>1.1460596328831008</v>
      </c>
      <c r="AR46" s="978">
        <f t="shared" si="126"/>
        <v>1.9828793774318898</v>
      </c>
      <c r="AS46" s="978">
        <f t="shared" si="126"/>
        <v>0.60435870825956695</v>
      </c>
      <c r="AT46" s="978">
        <f t="shared" si="126"/>
        <v>0.6280339805825097</v>
      </c>
      <c r="AU46" s="978">
        <f t="shared" si="126"/>
        <v>45.026552898965868</v>
      </c>
      <c r="AV46" s="978">
        <f t="shared" si="126"/>
        <v>0.17945588974230819</v>
      </c>
      <c r="AW46" s="978">
        <f t="shared" si="126"/>
        <v>0.27944969905417949</v>
      </c>
      <c r="AX46" s="978">
        <f t="shared" si="126"/>
        <v>-0.26438013576277619</v>
      </c>
      <c r="AY46" s="978">
        <f t="shared" ref="AY46:BN46" si="127">(AY41/AX41-1)*100</f>
        <v>0.5659836652815553</v>
      </c>
      <c r="AZ46" s="978">
        <f t="shared" si="127"/>
        <v>0.46306190781506551</v>
      </c>
      <c r="BA46" s="978">
        <f t="shared" si="127"/>
        <v>2.1557225925400436</v>
      </c>
      <c r="BB46" s="978">
        <f t="shared" si="127"/>
        <v>0.44425933638763127</v>
      </c>
      <c r="BC46" s="978">
        <f t="shared" si="127"/>
        <v>0.44920525224603214</v>
      </c>
      <c r="BD46" s="978">
        <f t="shared" si="127"/>
        <v>0.57791537667699622</v>
      </c>
      <c r="BE46" s="978">
        <f t="shared" si="127"/>
        <v>-1.757986182365423</v>
      </c>
      <c r="BF46" s="978">
        <f t="shared" si="127"/>
        <v>1.3368611613981285</v>
      </c>
      <c r="BG46" s="978">
        <f t="shared" si="127"/>
        <v>-0.43287068847053245</v>
      </c>
      <c r="BH46" s="978">
        <f t="shared" si="127"/>
        <v>0.10351252501552555</v>
      </c>
      <c r="BI46" s="978">
        <f t="shared" si="127"/>
        <v>1.0478422721632574</v>
      </c>
      <c r="BJ46" s="978">
        <f t="shared" si="127"/>
        <v>-0.46391049256377936</v>
      </c>
      <c r="BK46" s="978">
        <f t="shared" si="127"/>
        <v>-0.26730637422893722</v>
      </c>
      <c r="BL46" s="978">
        <f t="shared" si="127"/>
        <v>-0.45357707374062972</v>
      </c>
      <c r="BM46" s="978">
        <f t="shared" si="127"/>
        <v>-1.7259233690024134</v>
      </c>
      <c r="BN46" s="978">
        <f t="shared" si="127"/>
        <v>-0.44959606603443003</v>
      </c>
      <c r="BO46" s="978">
        <f t="shared" ref="BO46:CE46" si="128">(BO41/BN41-1)*100</f>
        <v>-0.93853644767482036</v>
      </c>
      <c r="BP46" s="978">
        <f t="shared" si="128"/>
        <v>-0.97592249608207116</v>
      </c>
      <c r="BQ46" s="978">
        <f t="shared" si="128"/>
        <v>2.1581181210006406E-2</v>
      </c>
      <c r="BR46" s="978">
        <f t="shared" si="128"/>
        <v>-0.6832566168009202</v>
      </c>
      <c r="BS46" s="978">
        <f t="shared" si="128"/>
        <v>-6.5174885943963812E-2</v>
      </c>
      <c r="BT46" s="978">
        <f t="shared" si="128"/>
        <v>0.34057971014493926</v>
      </c>
      <c r="BU46" s="978">
        <f t="shared" si="128"/>
        <v>0.12999205604102837</v>
      </c>
      <c r="BV46" s="978">
        <f t="shared" si="128"/>
        <v>0.34619545618463921</v>
      </c>
      <c r="BW46" s="978">
        <f t="shared" si="128"/>
        <v>0.66125206641272083</v>
      </c>
      <c r="BX46" s="978">
        <f t="shared" si="128"/>
        <v>0.1071046054980318</v>
      </c>
      <c r="BY46" s="978">
        <f t="shared" si="128"/>
        <v>0.23537803138373725</v>
      </c>
      <c r="BZ46" s="978">
        <f t="shared" si="128"/>
        <v>0.19924571265921287</v>
      </c>
      <c r="CA46" s="978">
        <f t="shared" si="128"/>
        <v>0.19884951352888702</v>
      </c>
      <c r="CB46" s="978">
        <f t="shared" si="128"/>
        <v>0.14884116521369783</v>
      </c>
      <c r="CC46" s="978">
        <f t="shared" si="128"/>
        <v>0.26185421089879313</v>
      </c>
      <c r="CD46" s="978">
        <f t="shared" si="128"/>
        <v>-0.21175972330063075</v>
      </c>
      <c r="CE46" s="978">
        <f t="shared" si="128"/>
        <v>0.14854636768761864</v>
      </c>
      <c r="CF46" s="978">
        <f t="shared" ref="CF46:CL46" si="129">(CF41/CE41-1)*100</f>
        <v>0.10594716767906576</v>
      </c>
      <c r="CG46" s="978">
        <f t="shared" si="129"/>
        <v>-1.4111338460465195E-2</v>
      </c>
      <c r="CH46" s="978">
        <f t="shared" si="129"/>
        <v>0.35283325100559093</v>
      </c>
      <c r="CI46" s="978">
        <f t="shared" si="129"/>
        <v>-0.30236973489908836</v>
      </c>
      <c r="CJ46" s="978">
        <f t="shared" si="129"/>
        <v>0.23275497249257704</v>
      </c>
      <c r="CK46" s="978">
        <f t="shared" si="129"/>
        <v>7.0368024769784654E-3</v>
      </c>
      <c r="CL46" s="978">
        <f t="shared" si="129"/>
        <v>-0.11258091753447719</v>
      </c>
      <c r="CM46" s="978">
        <f>(CM41/CL41-1)*100</f>
        <v>0.69033530571991353</v>
      </c>
      <c r="CN46" s="978">
        <f>(CN41/CM41-1)*100</f>
        <v>0.23786204001678968</v>
      </c>
      <c r="CO46" s="978">
        <f>(CO41/CN41-1)*100</f>
        <v>0.63512004466781402</v>
      </c>
      <c r="CP46" s="978">
        <f t="shared" ref="CP46:CT46" si="130">(CP41/CO41-1)*100</f>
        <v>0.58949996532353666</v>
      </c>
      <c r="CQ46" s="978">
        <f t="shared" si="130"/>
        <v>8.9630446773303341E-2</v>
      </c>
      <c r="CR46" s="978">
        <f t="shared" si="130"/>
        <v>0.22731969415168418</v>
      </c>
      <c r="CS46" s="978">
        <f t="shared" si="130"/>
        <v>9.6219931271490644E-2</v>
      </c>
      <c r="CT46" s="978">
        <f t="shared" si="130"/>
        <v>0.15105740181267091</v>
      </c>
      <c r="CU46" s="740">
        <v>0.5</v>
      </c>
      <c r="CV46" s="740">
        <v>0.6</v>
      </c>
      <c r="CW46" s="740">
        <v>0.6</v>
      </c>
      <c r="CX46" s="740">
        <v>0.6</v>
      </c>
      <c r="CY46" s="740">
        <v>0.3</v>
      </c>
      <c r="CZ46" s="740">
        <v>0.25</v>
      </c>
      <c r="DA46" s="740">
        <v>0.2</v>
      </c>
      <c r="DB46" s="740">
        <v>0.18</v>
      </c>
      <c r="DC46" s="3668"/>
      <c r="DD46"/>
      <c r="DE46"/>
      <c r="DF46"/>
      <c r="DG46"/>
      <c r="DH46"/>
      <c r="DI46"/>
      <c r="DJ46"/>
      <c r="DK46"/>
      <c r="DL46"/>
      <c r="DM46"/>
      <c r="DN46"/>
      <c r="DO46"/>
    </row>
    <row r="47" spans="1:119">
      <c r="C47" s="1577"/>
      <c r="D47" s="1581"/>
      <c r="E47" s="1582" t="s">
        <v>763</v>
      </c>
      <c r="F47" s="1649"/>
      <c r="G47" s="1605"/>
      <c r="H47" s="1606"/>
      <c r="I47" s="1606"/>
      <c r="J47" s="1606"/>
      <c r="K47" s="1607"/>
      <c r="L47" s="1607"/>
      <c r="M47" s="1607"/>
      <c r="N47" s="1608">
        <f>N42/J42*100-100</f>
        <v>-0.25710120599019604</v>
      </c>
      <c r="O47" s="1607"/>
      <c r="P47" s="1607"/>
      <c r="Q47" s="1607"/>
      <c r="R47" s="1608">
        <f>R42/N42*100-100</f>
        <v>3.1365705883394952</v>
      </c>
      <c r="S47" s="1607"/>
      <c r="T47" s="1607"/>
      <c r="U47" s="1607"/>
      <c r="V47" s="1608">
        <f>V42/R42*100-100</f>
        <v>4.8447631725855729</v>
      </c>
      <c r="W47" s="1607"/>
      <c r="X47" s="1607"/>
      <c r="Y47" s="1607"/>
      <c r="Z47" s="1608">
        <f>Z42/V42*100-100</f>
        <v>-4.2645565057832897</v>
      </c>
      <c r="AA47" s="1607"/>
      <c r="AB47" s="1607"/>
      <c r="AC47" s="1607"/>
      <c r="AD47" s="1608">
        <f>AD42/Z42*100-100</f>
        <v>0.48515444510994143</v>
      </c>
      <c r="AE47" s="1607"/>
      <c r="AF47" s="1607"/>
      <c r="AG47" s="1607"/>
      <c r="AH47" s="1608">
        <f>AH42/AD42*100-100</f>
        <v>0.92815722472474249</v>
      </c>
      <c r="AI47" s="1607"/>
      <c r="AJ47" s="1607"/>
      <c r="AK47" s="1607"/>
      <c r="AL47" s="1608">
        <f>AL42/AH42*100-100</f>
        <v>2.4627300108835897</v>
      </c>
      <c r="AM47" s="1607"/>
      <c r="AN47" s="1607"/>
      <c r="AO47" s="1607"/>
      <c r="AP47" s="1608">
        <f>AP42/AL42*100-100</f>
        <v>3.0886155163611875</v>
      </c>
      <c r="AQ47" s="1607"/>
      <c r="AR47" s="1607"/>
      <c r="AS47" s="1607"/>
      <c r="AT47" s="1608">
        <f>AT42/AP42*100-100</f>
        <v>4.6462774667124478</v>
      </c>
      <c r="AU47" s="1607"/>
      <c r="AV47" s="1607"/>
      <c r="AW47" s="1607"/>
      <c r="AX47" s="1608">
        <f>AX42/AT42*100-100</f>
        <v>47.163167295098248</v>
      </c>
      <c r="AY47" s="1607"/>
      <c r="AZ47" s="1607"/>
      <c r="BA47" s="1607"/>
      <c r="BB47" s="1608">
        <f>BB42/AX42*100-100</f>
        <v>2.1042263610315359</v>
      </c>
      <c r="BC47" s="1607"/>
      <c r="BD47" s="1607"/>
      <c r="BE47" s="1607"/>
      <c r="BF47" s="1608">
        <f>BF42/BB42*100-100</f>
        <v>1.8503902481803038</v>
      </c>
      <c r="BG47" s="1607"/>
      <c r="BH47" s="1607"/>
      <c r="BI47" s="1607"/>
      <c r="BJ47" s="1608">
        <f>BJ42/BF42*100-100</f>
        <v>0.30136042707079014</v>
      </c>
      <c r="BK47" s="1609"/>
      <c r="BL47" s="1609"/>
      <c r="BM47" s="1609"/>
      <c r="BN47" s="1610">
        <f>BN42/BJ42*100-100</f>
        <v>-1.3786591123701868</v>
      </c>
      <c r="BO47" s="1609"/>
      <c r="BP47" s="1609"/>
      <c r="BQ47" s="1609"/>
      <c r="BR47" s="1610">
        <f>BR42/BN42*100-100</f>
        <v>-3.1161867622993356</v>
      </c>
      <c r="BS47" s="1609"/>
      <c r="BT47" s="1609"/>
      <c r="BU47" s="1609"/>
      <c r="BV47" s="1610">
        <f>BV42/BR42*100-100</f>
        <v>-0.40789189966218942</v>
      </c>
      <c r="BW47" s="1609"/>
      <c r="BX47" s="1609"/>
      <c r="BY47" s="1609"/>
      <c r="BZ47" s="1610">
        <f>BZ42/BV42*100-100</f>
        <v>1.3243121335137573</v>
      </c>
      <c r="CA47" s="1609"/>
      <c r="CB47" s="1609"/>
      <c r="CC47" s="1609"/>
      <c r="CD47" s="1610">
        <f>CD42/BZ42*100-100</f>
        <v>0.68377285920333009</v>
      </c>
      <c r="CE47" s="1609"/>
      <c r="CF47" s="1609"/>
      <c r="CG47" s="1609"/>
      <c r="CH47" s="1610">
        <f>CH42/CD42*100-100</f>
        <v>0.31834179297169385</v>
      </c>
      <c r="CI47" s="1609"/>
      <c r="CJ47" s="1609"/>
      <c r="CK47" s="1609"/>
      <c r="CL47" s="1610">
        <f>CL42/CH42*100-100</f>
        <v>0.13045854415317137</v>
      </c>
      <c r="CM47" s="1609"/>
      <c r="CN47" s="1609"/>
      <c r="CO47" s="1609"/>
      <c r="CP47" s="1610">
        <f>CP42/CL42*100-100</f>
        <v>1.316970966776438</v>
      </c>
      <c r="CQ47" s="1609"/>
      <c r="CR47" s="1609"/>
      <c r="CS47" s="1609"/>
      <c r="CT47" s="1610">
        <f>CT42/CP42*100-100</f>
        <v>1.1677817360326657</v>
      </c>
      <c r="CU47" s="1609"/>
      <c r="CV47" s="1609"/>
      <c r="CW47" s="1609"/>
      <c r="CX47" s="1610">
        <f>CX42/CT42*100-100</f>
        <v>1.6293445767539652</v>
      </c>
      <c r="CY47" s="1609"/>
      <c r="CZ47" s="1609"/>
      <c r="DA47" s="1609"/>
      <c r="DB47" s="1610">
        <f>DB42/CX42*100-100</f>
        <v>1.5387433473974284</v>
      </c>
    </row>
    <row r="48" spans="1:119" s="699" customFormat="1" ht="12.75" customHeight="1">
      <c r="A48" s="664"/>
      <c r="B48" s="664"/>
      <c r="C48" s="666"/>
      <c r="D48" s="717"/>
      <c r="E48" s="1596" t="s">
        <v>1847</v>
      </c>
      <c r="F48" s="717"/>
      <c r="G48" s="1597"/>
      <c r="H48" s="1597"/>
      <c r="I48" s="1597"/>
      <c r="J48" s="1598"/>
      <c r="K48" s="1597"/>
      <c r="L48" s="1597"/>
      <c r="M48" s="1597"/>
      <c r="N48" s="1599">
        <f ca="1">N43/J43*100-100</f>
        <v>-0.70218291322578352</v>
      </c>
      <c r="O48" s="1597"/>
      <c r="P48" s="1597"/>
      <c r="Q48" s="1597"/>
      <c r="R48" s="1599">
        <f ca="1">R43/N43*100-100</f>
        <v>3.4160337882480007</v>
      </c>
      <c r="S48" s="1597"/>
      <c r="T48" s="1597"/>
      <c r="U48" s="1597"/>
      <c r="V48" s="1599">
        <f ca="1">V43/R43*100-100</f>
        <v>5.0156327954667006</v>
      </c>
      <c r="W48" s="1597"/>
      <c r="X48" s="1597"/>
      <c r="Y48" s="1597"/>
      <c r="Z48" s="1599">
        <f ca="1">Z43/V43*100-100</f>
        <v>-4.4198117990299011</v>
      </c>
      <c r="AA48" s="1597"/>
      <c r="AB48" s="1597"/>
      <c r="AC48" s="1597"/>
      <c r="AD48" s="1599">
        <f ca="1">AD43/Z43*100-100</f>
        <v>0.22345871660095895</v>
      </c>
      <c r="AE48" s="1597"/>
      <c r="AF48" s="1597"/>
      <c r="AG48" s="1597"/>
      <c r="AH48" s="1599">
        <f ca="1">AH43/AD43*100-100</f>
        <v>1.3605540892592956</v>
      </c>
      <c r="AI48" s="1597"/>
      <c r="AJ48" s="1597"/>
      <c r="AK48" s="1597"/>
      <c r="AL48" s="1599">
        <f ca="1">AL43/AH43*100-100</f>
        <v>2.4593939771627902</v>
      </c>
      <c r="AM48" s="1597"/>
      <c r="AN48" s="1597"/>
      <c r="AO48" s="1597"/>
      <c r="AP48" s="1599">
        <f ca="1">AP43/AL43*100-100</f>
        <v>2.9190786840268999</v>
      </c>
      <c r="AQ48" s="1597"/>
      <c r="AR48" s="1597"/>
      <c r="AS48" s="1597"/>
      <c r="AT48" s="1599">
        <f ca="1">AT43/AP43*100-100</f>
        <v>4.5939341332392019</v>
      </c>
      <c r="AU48" s="1597"/>
      <c r="AV48" s="1597"/>
      <c r="AW48" s="1597"/>
      <c r="AX48" s="1599">
        <f ca="1">AX43/AT43*100-100</f>
        <v>3.5574155936628529</v>
      </c>
      <c r="AY48" s="1597"/>
      <c r="AZ48" s="1597"/>
      <c r="BA48" s="1597"/>
      <c r="BB48" s="1599">
        <f ca="1">BB43/AX43*100-100</f>
        <v>2.1037421147720465</v>
      </c>
      <c r="BC48" s="1597"/>
      <c r="BD48" s="1597"/>
      <c r="BE48" s="1597"/>
      <c r="BF48" s="1599">
        <f ca="1">BF43/BB43*100-100</f>
        <v>1.8506567525384412</v>
      </c>
      <c r="BG48" s="1597"/>
      <c r="BH48" s="1597"/>
      <c r="BI48" s="1597"/>
      <c r="BJ48" s="1599">
        <f ca="1">BJ43/BF43*100-100</f>
        <v>0.23588844714808488</v>
      </c>
      <c r="BK48" s="1611"/>
      <c r="BL48" s="1611"/>
      <c r="BM48" s="1611"/>
      <c r="BN48" s="1612">
        <f ca="1">BN43/BJ43*100-100</f>
        <v>-1.3144310859859729</v>
      </c>
      <c r="BO48" s="1611"/>
      <c r="BP48" s="1611"/>
      <c r="BQ48" s="1611"/>
      <c r="BR48" s="1612">
        <f ca="1">BR43/BN43*100-100</f>
        <v>-3.1615262636618695</v>
      </c>
      <c r="BS48" s="1611"/>
      <c r="BT48" s="1611"/>
      <c r="BU48" s="1611"/>
      <c r="BV48" s="1612">
        <f ca="1">BV43/BR43*100-100</f>
        <v>-0.35589875219741884</v>
      </c>
      <c r="BW48" s="1611"/>
      <c r="BX48" s="1611"/>
      <c r="BY48" s="1611"/>
      <c r="BZ48" s="1612">
        <f ca="1">BZ43/BV43*100-100</f>
        <v>1.2852705291526405</v>
      </c>
      <c r="CA48" s="1611"/>
      <c r="CB48" s="1611"/>
      <c r="CC48" s="1611"/>
      <c r="CD48" s="1612">
        <f ca="1">CD43/BZ43*100-100</f>
        <v>0.72272891610253964</v>
      </c>
      <c r="CE48" s="1611"/>
      <c r="CF48" s="1611"/>
      <c r="CG48" s="1611"/>
      <c r="CH48" s="1612">
        <f ca="1">CH43/CD43*100-100</f>
        <v>0.28733548938097897</v>
      </c>
      <c r="CI48" s="1611"/>
      <c r="CJ48" s="1611"/>
      <c r="CK48" s="1611"/>
      <c r="CL48" s="1612">
        <f ca="1">CL43/CH43*100-100</f>
        <v>0.16432578821721222</v>
      </c>
      <c r="CM48" s="1611"/>
      <c r="CN48" s="1611"/>
      <c r="CO48" s="1611"/>
      <c r="CP48" s="1612">
        <f ca="1">CP43/CL43*100-100</f>
        <v>1.2923826522888646</v>
      </c>
      <c r="CQ48" s="1611"/>
      <c r="CR48" s="1611"/>
      <c r="CS48" s="1611"/>
      <c r="CT48" s="1612">
        <f ca="1">CT43/CP43*100-100</f>
        <v>1.1589392464896378</v>
      </c>
      <c r="CU48" s="1611"/>
      <c r="CV48" s="1611"/>
      <c r="CW48" s="1611"/>
      <c r="CX48" s="1612">
        <f ca="1">CX43/CT43*100-100</f>
        <v>1.6400000000000006</v>
      </c>
      <c r="CY48" s="1611"/>
      <c r="CZ48" s="1611"/>
      <c r="DA48" s="1611"/>
      <c r="DB48" s="1612">
        <f ca="1">DB43/CX43*100-100</f>
        <v>1.5400000000000063</v>
      </c>
      <c r="DC48"/>
      <c r="DD48"/>
      <c r="DE48"/>
      <c r="DF48"/>
      <c r="DG48"/>
      <c r="DH48"/>
      <c r="DI48"/>
      <c r="DJ48"/>
      <c r="DK48"/>
      <c r="DL48"/>
      <c r="DM48"/>
      <c r="DN48"/>
      <c r="DO48"/>
    </row>
    <row r="49" spans="1:119">
      <c r="E49" s="599"/>
      <c r="F49" s="3617"/>
      <c r="AY49" s="217"/>
      <c r="BA49" s="1602"/>
      <c r="BB49" s="1602"/>
      <c r="BC49" s="217"/>
      <c r="BD49" s="217"/>
      <c r="BE49" s="1602"/>
      <c r="BF49" s="1602"/>
      <c r="BG49" s="217"/>
      <c r="BH49" s="217"/>
      <c r="BI49" s="1602"/>
      <c r="BJ49" s="1602"/>
      <c r="BK49" s="1602"/>
      <c r="BL49" s="1602"/>
      <c r="BM49" s="1602"/>
      <c r="BN49" s="1602"/>
      <c r="BO49" s="1602"/>
      <c r="BP49" s="1602"/>
      <c r="BQ49" s="1602"/>
      <c r="BR49" s="1602"/>
      <c r="BS49" s="1602"/>
      <c r="BT49" s="1602"/>
      <c r="BU49" s="1602"/>
      <c r="BV49" s="1602"/>
      <c r="BW49" s="1602"/>
      <c r="BX49" s="1602"/>
      <c r="BY49" s="1602"/>
      <c r="BZ49" s="1602"/>
      <c r="CA49" s="1602"/>
      <c r="CB49" s="1602"/>
      <c r="CC49" s="1602"/>
      <c r="CD49" s="1602"/>
      <c r="CE49" s="1602"/>
      <c r="CF49" s="1602"/>
      <c r="CG49" s="1602"/>
      <c r="CH49" s="1602"/>
      <c r="CI49" s="1602"/>
      <c r="CJ49" s="1602"/>
      <c r="CK49" s="1602"/>
      <c r="CL49" s="1602"/>
      <c r="CM49" s="1602"/>
      <c r="CN49" s="1602"/>
      <c r="CO49" s="1602"/>
      <c r="CP49" s="1602"/>
      <c r="CQ49" s="1602"/>
      <c r="CR49" s="1602"/>
      <c r="CS49" s="1602"/>
      <c r="CT49" s="1602"/>
      <c r="CU49" s="1602"/>
      <c r="CV49" s="1602"/>
      <c r="CW49" s="1602"/>
      <c r="CX49" s="1602"/>
      <c r="CY49" s="1602"/>
      <c r="CZ49" s="1602"/>
      <c r="DA49" s="1602"/>
      <c r="DB49" s="1602"/>
    </row>
    <row r="50" spans="1:119" s="699" customFormat="1" ht="12.75" customHeight="1">
      <c r="A50" s="664"/>
      <c r="B50" s="664"/>
      <c r="C50" s="666"/>
      <c r="D50" s="858"/>
      <c r="E50" s="3625"/>
      <c r="F50" s="3626"/>
      <c r="G50" s="1588" t="str">
        <f t="shared" ref="G50:N50" si="131">G45</f>
        <v>Q1</v>
      </c>
      <c r="H50" s="1588" t="str">
        <f t="shared" si="131"/>
        <v>Q2</v>
      </c>
      <c r="I50" s="1588" t="str">
        <f t="shared" si="131"/>
        <v>Q3</v>
      </c>
      <c r="J50" s="1588" t="str">
        <f t="shared" si="131"/>
        <v>Q4</v>
      </c>
      <c r="K50" s="1593" t="str">
        <f t="shared" si="131"/>
        <v>Q1</v>
      </c>
      <c r="L50" s="1588" t="str">
        <f t="shared" si="131"/>
        <v>Q2</v>
      </c>
      <c r="M50" s="1588" t="str">
        <f t="shared" si="131"/>
        <v>Q3</v>
      </c>
      <c r="N50" s="1594" t="str">
        <f t="shared" si="131"/>
        <v>Q4</v>
      </c>
      <c r="O50" s="1593" t="str">
        <f t="shared" ref="O50:AX50" si="132">O45</f>
        <v>Q1</v>
      </c>
      <c r="P50" s="1588" t="str">
        <f t="shared" si="132"/>
        <v>Q2</v>
      </c>
      <c r="Q50" s="1588" t="str">
        <f t="shared" si="132"/>
        <v>Q3</v>
      </c>
      <c r="R50" s="1594" t="str">
        <f t="shared" si="132"/>
        <v>Q4</v>
      </c>
      <c r="S50" s="1593" t="str">
        <f t="shared" si="132"/>
        <v>Q1</v>
      </c>
      <c r="T50" s="1588" t="str">
        <f t="shared" si="132"/>
        <v>Q2</v>
      </c>
      <c r="U50" s="1588" t="str">
        <f t="shared" si="132"/>
        <v>Q3</v>
      </c>
      <c r="V50" s="1594" t="str">
        <f t="shared" si="132"/>
        <v>Q4</v>
      </c>
      <c r="W50" s="1593" t="str">
        <f t="shared" si="132"/>
        <v>Q1</v>
      </c>
      <c r="X50" s="1588" t="str">
        <f t="shared" si="132"/>
        <v>Q2</v>
      </c>
      <c r="Y50" s="1588" t="str">
        <f t="shared" si="132"/>
        <v>Q3</v>
      </c>
      <c r="Z50" s="1594" t="str">
        <f t="shared" si="132"/>
        <v>Q4</v>
      </c>
      <c r="AA50" s="1593" t="str">
        <f t="shared" si="132"/>
        <v>Q1</v>
      </c>
      <c r="AB50" s="1588" t="str">
        <f t="shared" si="132"/>
        <v>Q2</v>
      </c>
      <c r="AC50" s="1588" t="str">
        <f t="shared" si="132"/>
        <v>Q3</v>
      </c>
      <c r="AD50" s="1594" t="str">
        <f t="shared" si="132"/>
        <v>Q4</v>
      </c>
      <c r="AE50" s="1593" t="str">
        <f t="shared" si="132"/>
        <v>Q1</v>
      </c>
      <c r="AF50" s="1588" t="str">
        <f t="shared" si="132"/>
        <v>Q2</v>
      </c>
      <c r="AG50" s="1588" t="str">
        <f t="shared" si="132"/>
        <v>Q3</v>
      </c>
      <c r="AH50" s="1594" t="str">
        <f t="shared" si="132"/>
        <v>Q4</v>
      </c>
      <c r="AI50" s="1593" t="str">
        <f t="shared" si="132"/>
        <v>Q1</v>
      </c>
      <c r="AJ50" s="1588" t="str">
        <f t="shared" si="132"/>
        <v>Q2</v>
      </c>
      <c r="AK50" s="1588" t="str">
        <f t="shared" si="132"/>
        <v>Q3</v>
      </c>
      <c r="AL50" s="1594" t="str">
        <f t="shared" si="132"/>
        <v>Q4</v>
      </c>
      <c r="AM50" s="1593" t="str">
        <f t="shared" si="132"/>
        <v>Q1</v>
      </c>
      <c r="AN50" s="1588" t="str">
        <f t="shared" si="132"/>
        <v>Q2</v>
      </c>
      <c r="AO50" s="1588" t="str">
        <f t="shared" si="132"/>
        <v>Q3</v>
      </c>
      <c r="AP50" s="1594" t="str">
        <f t="shared" si="132"/>
        <v>Q4</v>
      </c>
      <c r="AQ50" s="1593" t="str">
        <f t="shared" si="132"/>
        <v>Q1</v>
      </c>
      <c r="AR50" s="1588" t="str">
        <f t="shared" si="132"/>
        <v>Q2</v>
      </c>
      <c r="AS50" s="1588" t="str">
        <f t="shared" si="132"/>
        <v>Q3</v>
      </c>
      <c r="AT50" s="1594" t="str">
        <f t="shared" si="132"/>
        <v>Q4</v>
      </c>
      <c r="AU50" s="1593" t="str">
        <f t="shared" si="132"/>
        <v>Q1</v>
      </c>
      <c r="AV50" s="1588" t="str">
        <f t="shared" si="132"/>
        <v>Q2</v>
      </c>
      <c r="AW50" s="1588" t="str">
        <f t="shared" si="132"/>
        <v>Q3</v>
      </c>
      <c r="AX50" s="1594" t="str">
        <f t="shared" si="132"/>
        <v>Q4</v>
      </c>
      <c r="AY50" s="1593" t="str">
        <f t="shared" ref="AY50:BF50" si="133">AY45</f>
        <v>Q1</v>
      </c>
      <c r="AZ50" s="1588" t="str">
        <f t="shared" si="133"/>
        <v>Q2</v>
      </c>
      <c r="BA50" s="1588" t="str">
        <f t="shared" si="133"/>
        <v>Q3</v>
      </c>
      <c r="BB50" s="1594" t="str">
        <f t="shared" si="133"/>
        <v>Q4</v>
      </c>
      <c r="BC50" s="1593" t="str">
        <f t="shared" si="133"/>
        <v>Q1</v>
      </c>
      <c r="BD50" s="1588" t="str">
        <f t="shared" si="133"/>
        <v>Q2</v>
      </c>
      <c r="BE50" s="1588" t="str">
        <f t="shared" si="133"/>
        <v>Q3</v>
      </c>
      <c r="BF50" s="1594" t="str">
        <f t="shared" si="133"/>
        <v>Q4</v>
      </c>
      <c r="BG50" s="1593" t="str">
        <f t="shared" ref="BG50:BN50" si="134">BG45</f>
        <v>Q1</v>
      </c>
      <c r="BH50" s="1588" t="str">
        <f t="shared" si="134"/>
        <v>Q2</v>
      </c>
      <c r="BI50" s="1588" t="str">
        <f t="shared" si="134"/>
        <v>Q3</v>
      </c>
      <c r="BJ50" s="1594" t="str">
        <f t="shared" si="134"/>
        <v>Q4</v>
      </c>
      <c r="BK50" s="1593" t="str">
        <f t="shared" si="134"/>
        <v>Q1</v>
      </c>
      <c r="BL50" s="1588" t="str">
        <f t="shared" si="134"/>
        <v>Q2</v>
      </c>
      <c r="BM50" s="1588" t="str">
        <f t="shared" si="134"/>
        <v>Q3</v>
      </c>
      <c r="BN50" s="1594" t="str">
        <f t="shared" si="134"/>
        <v>Q4</v>
      </c>
      <c r="BO50" s="1593" t="str">
        <f t="shared" ref="BO50:BZ50" si="135">BO45</f>
        <v>Q1</v>
      </c>
      <c r="BP50" s="1588" t="str">
        <f t="shared" si="135"/>
        <v>Q2</v>
      </c>
      <c r="BQ50" s="1588" t="str">
        <f t="shared" si="135"/>
        <v>Q3</v>
      </c>
      <c r="BR50" s="1594" t="str">
        <f t="shared" si="135"/>
        <v>Q4</v>
      </c>
      <c r="BS50" s="1593" t="str">
        <f>BS45</f>
        <v>Q1</v>
      </c>
      <c r="BT50" s="1588" t="str">
        <f>BT45</f>
        <v>Q2</v>
      </c>
      <c r="BU50" s="1588" t="str">
        <f>BU45</f>
        <v>Q3</v>
      </c>
      <c r="BV50" s="1594" t="str">
        <f>BV45</f>
        <v>Q4</v>
      </c>
      <c r="BW50" s="1593" t="str">
        <f t="shared" si="135"/>
        <v>Q1</v>
      </c>
      <c r="BX50" s="1588" t="str">
        <f t="shared" si="135"/>
        <v>Q2</v>
      </c>
      <c r="BY50" s="1588" t="str">
        <f t="shared" si="135"/>
        <v>Q3</v>
      </c>
      <c r="BZ50" s="1594" t="str">
        <f t="shared" si="135"/>
        <v>Q4</v>
      </c>
      <c r="CA50" s="1593" t="str">
        <f t="shared" ref="CA50:CH50" si="136">CA45</f>
        <v>Q1</v>
      </c>
      <c r="CB50" s="1588" t="str">
        <f t="shared" si="136"/>
        <v>Q2</v>
      </c>
      <c r="CC50" s="1588" t="str">
        <f t="shared" si="136"/>
        <v>Q3</v>
      </c>
      <c r="CD50" s="1594" t="str">
        <f t="shared" si="136"/>
        <v>Q4</v>
      </c>
      <c r="CE50" s="1593" t="str">
        <f t="shared" si="136"/>
        <v>Q1</v>
      </c>
      <c r="CF50" s="1588" t="str">
        <f t="shared" si="136"/>
        <v>Q2</v>
      </c>
      <c r="CG50" s="1588" t="str">
        <f t="shared" si="136"/>
        <v>Q3</v>
      </c>
      <c r="CH50" s="1594" t="str">
        <f t="shared" si="136"/>
        <v>Q4</v>
      </c>
      <c r="CI50" s="1593" t="str">
        <f t="shared" ref="CI50:CP50" si="137">CI45</f>
        <v>Q1</v>
      </c>
      <c r="CJ50" s="1588" t="str">
        <f t="shared" si="137"/>
        <v>Q2</v>
      </c>
      <c r="CK50" s="1588" t="str">
        <f t="shared" si="137"/>
        <v>Q3</v>
      </c>
      <c r="CL50" s="1594" t="str">
        <f t="shared" si="137"/>
        <v>Q4</v>
      </c>
      <c r="CM50" s="1593" t="str">
        <f t="shared" si="137"/>
        <v>Q1</v>
      </c>
      <c r="CN50" s="1588" t="str">
        <f t="shared" si="137"/>
        <v>Q2</v>
      </c>
      <c r="CO50" s="1588" t="str">
        <f t="shared" si="137"/>
        <v>Q3</v>
      </c>
      <c r="CP50" s="1594" t="str">
        <f t="shared" si="137"/>
        <v>Q4</v>
      </c>
      <c r="CQ50" s="1593" t="str">
        <f t="shared" ref="CQ50:CX50" si="138">CQ45</f>
        <v>Q1</v>
      </c>
      <c r="CR50" s="1588" t="str">
        <f t="shared" si="138"/>
        <v>Q2</v>
      </c>
      <c r="CS50" s="1588" t="str">
        <f t="shared" si="138"/>
        <v>Q3</v>
      </c>
      <c r="CT50" s="1594" t="str">
        <f t="shared" si="138"/>
        <v>Q4</v>
      </c>
      <c r="CU50" s="1593" t="str">
        <f t="shared" si="138"/>
        <v>Q1</v>
      </c>
      <c r="CV50" s="1588" t="str">
        <f t="shared" si="138"/>
        <v>Q2</v>
      </c>
      <c r="CW50" s="1588" t="str">
        <f t="shared" si="138"/>
        <v>Q3</v>
      </c>
      <c r="CX50" s="1594" t="str">
        <f t="shared" si="138"/>
        <v>Q4</v>
      </c>
      <c r="CY50" s="1593" t="str">
        <f t="shared" ref="CY50:DB50" si="139">CY45</f>
        <v>Q1</v>
      </c>
      <c r="CZ50" s="1588" t="str">
        <f t="shared" si="139"/>
        <v>Q2</v>
      </c>
      <c r="DA50" s="1588" t="str">
        <f t="shared" si="139"/>
        <v>Q3</v>
      </c>
      <c r="DB50" s="1594" t="str">
        <f t="shared" si="139"/>
        <v>Q4</v>
      </c>
      <c r="DC50"/>
      <c r="DD50"/>
      <c r="DE50"/>
      <c r="DF50"/>
      <c r="DG50"/>
      <c r="DH50"/>
      <c r="DI50"/>
      <c r="DJ50"/>
      <c r="DK50"/>
      <c r="DL50"/>
      <c r="DM50"/>
      <c r="DN50"/>
      <c r="DO50"/>
    </row>
    <row r="51" spans="1:119" s="699" customFormat="1" ht="12.75" customHeight="1">
      <c r="A51" s="664"/>
      <c r="B51" s="664"/>
      <c r="C51" s="862"/>
      <c r="D51" s="863"/>
      <c r="E51" s="3627" t="s">
        <v>1848</v>
      </c>
      <c r="F51" s="3628"/>
      <c r="G51" s="705"/>
      <c r="H51" s="705"/>
      <c r="I51" s="705"/>
      <c r="J51" s="705"/>
      <c r="K51" s="1564">
        <f t="shared" ref="K51:BB51" si="140">(K41/G41-1)*100</f>
        <v>-0.49541738915035438</v>
      </c>
      <c r="L51" s="1564">
        <f t="shared" si="140"/>
        <v>-0.36532595587714933</v>
      </c>
      <c r="M51" s="1564">
        <f t="shared" si="140"/>
        <v>0.83551653331446207</v>
      </c>
      <c r="N51" s="1564">
        <f t="shared" si="140"/>
        <v>-0.99698097310960687</v>
      </c>
      <c r="O51" s="1564">
        <f t="shared" si="140"/>
        <v>1.2269284113944234</v>
      </c>
      <c r="P51" s="1564">
        <f t="shared" si="140"/>
        <v>4.0724787298423104</v>
      </c>
      <c r="Q51" s="1564">
        <f t="shared" si="140"/>
        <v>3.3740608103363545</v>
      </c>
      <c r="R51" s="1564">
        <f t="shared" si="140"/>
        <v>3.8685199631231848</v>
      </c>
      <c r="S51" s="1564">
        <f t="shared" si="140"/>
        <v>6.7488757729061266</v>
      </c>
      <c r="T51" s="1564">
        <f t="shared" si="140"/>
        <v>4.0465195826919764</v>
      </c>
      <c r="U51" s="1564">
        <f t="shared" si="140"/>
        <v>3.4371497469687151</v>
      </c>
      <c r="V51" s="1564">
        <f t="shared" si="140"/>
        <v>5.2060219164988375</v>
      </c>
      <c r="W51" s="1564">
        <f t="shared" si="140"/>
        <v>-2.4781964785255961</v>
      </c>
      <c r="X51" s="1564">
        <f t="shared" si="140"/>
        <v>-3.169176145703223</v>
      </c>
      <c r="Y51" s="1564">
        <f t="shared" si="140"/>
        <v>-5.0927598095550923</v>
      </c>
      <c r="Z51" s="1564">
        <f t="shared" si="140"/>
        <v>-6.2885326757090017</v>
      </c>
      <c r="AA51" s="1564">
        <f t="shared" si="140"/>
        <v>-0.48258639308852436</v>
      </c>
      <c r="AB51" s="1564">
        <f t="shared" si="140"/>
        <v>-0.84538602566713861</v>
      </c>
      <c r="AC51" s="1564">
        <f t="shared" si="140"/>
        <v>1.3873512316634473</v>
      </c>
      <c r="AD51" s="1564">
        <f t="shared" si="140"/>
        <v>1.9321329639889306</v>
      </c>
      <c r="AE51" s="1564">
        <f t="shared" si="140"/>
        <v>0.28824307368848778</v>
      </c>
      <c r="AF51" s="1564">
        <f t="shared" si="140"/>
        <v>1.5648005478513971</v>
      </c>
      <c r="AG51" s="1564">
        <f t="shared" si="140"/>
        <v>1.0544275720866914</v>
      </c>
      <c r="AH51" s="1564">
        <f t="shared" si="140"/>
        <v>0.81187580678034887</v>
      </c>
      <c r="AI51" s="1564">
        <f t="shared" si="140"/>
        <v>1.8867924528301661</v>
      </c>
      <c r="AJ51" s="1564">
        <f t="shared" si="140"/>
        <v>1.2372732789427632</v>
      </c>
      <c r="AK51" s="1564">
        <f t="shared" si="140"/>
        <v>3.3295063145809323</v>
      </c>
      <c r="AL51" s="1564">
        <f t="shared" si="140"/>
        <v>3.3965697341375556</v>
      </c>
      <c r="AM51" s="1564">
        <f t="shared" si="140"/>
        <v>2.3164741802734756</v>
      </c>
      <c r="AN51" s="1564">
        <f t="shared" si="140"/>
        <v>3.9461853541576497</v>
      </c>
      <c r="AO51" s="1564">
        <f t="shared" si="140"/>
        <v>2.5882352941176467</v>
      </c>
      <c r="AP51" s="1564">
        <f t="shared" si="140"/>
        <v>3.5065993156265352</v>
      </c>
      <c r="AQ51" s="1564">
        <f t="shared" si="140"/>
        <v>4.2004541031462894</v>
      </c>
      <c r="AR51" s="1564">
        <f t="shared" si="140"/>
        <v>4.9593131287242853</v>
      </c>
      <c r="AS51" s="1564">
        <f t="shared" si="140"/>
        <v>4.9949031600407645</v>
      </c>
      <c r="AT51" s="1564">
        <f t="shared" si="140"/>
        <v>4.4268127577846705</v>
      </c>
      <c r="AU51" s="1564">
        <f t="shared" si="140"/>
        <v>49.730604824902699</v>
      </c>
      <c r="AV51" s="1564">
        <f t="shared" si="140"/>
        <v>47.082830108052008</v>
      </c>
      <c r="AW51" s="1564">
        <f t="shared" si="140"/>
        <v>46.60781553398057</v>
      </c>
      <c r="AX51" s="1564">
        <f t="shared" si="140"/>
        <v>45.307632285102663</v>
      </c>
      <c r="AY51" s="1564">
        <f t="shared" si="140"/>
        <v>0.76089297250734322</v>
      </c>
      <c r="AZ51" s="1564">
        <f t="shared" si="140"/>
        <v>1.04614502722844</v>
      </c>
      <c r="BA51" s="1564">
        <f t="shared" si="140"/>
        <v>2.9367631296891794</v>
      </c>
      <c r="BB51" s="1564">
        <f t="shared" si="140"/>
        <v>3.6681472990399921</v>
      </c>
      <c r="BC51" s="1564">
        <f t="shared" ref="BC51:BN51" si="141">(BC41/AY41-1)*100</f>
        <v>3.5477666167984756</v>
      </c>
      <c r="BD51" s="1564">
        <f t="shared" si="141"/>
        <v>3.666146645865842</v>
      </c>
      <c r="BE51" s="1564">
        <f t="shared" si="141"/>
        <v>-0.30542829376646319</v>
      </c>
      <c r="BF51" s="1564">
        <f t="shared" si="141"/>
        <v>0.58051140290256154</v>
      </c>
      <c r="BG51" s="1564">
        <f t="shared" si="141"/>
        <v>-0.30271757825938161</v>
      </c>
      <c r="BH51" s="1564">
        <f t="shared" si="141"/>
        <v>-0.77296668718792594</v>
      </c>
      <c r="BI51" s="1564">
        <f t="shared" si="141"/>
        <v>2.0609942904887824</v>
      </c>
      <c r="BJ51" s="1564">
        <f t="shared" si="141"/>
        <v>0.24735467912602171</v>
      </c>
      <c r="BK51" s="1564">
        <f t="shared" si="141"/>
        <v>0.41405010006210219</v>
      </c>
      <c r="BL51" s="1564">
        <f t="shared" si="141"/>
        <v>-0.14476768233834258</v>
      </c>
      <c r="BM51" s="1564">
        <f t="shared" si="141"/>
        <v>-2.8857961522718023</v>
      </c>
      <c r="BN51" s="1564">
        <f t="shared" si="141"/>
        <v>-2.8718300205620495</v>
      </c>
      <c r="BO51" s="1564">
        <f t="shared" ref="BO51:BZ51" si="142">(BO41/BK41-1)*100</f>
        <v>-3.5255308913476724</v>
      </c>
      <c r="BP51" s="1564">
        <f t="shared" si="142"/>
        <v>-4.0317569899896437</v>
      </c>
      <c r="BQ51" s="1564">
        <f t="shared" si="142"/>
        <v>-2.3252546540217689</v>
      </c>
      <c r="BR51" s="1564">
        <f t="shared" si="142"/>
        <v>-2.5545127372803456</v>
      </c>
      <c r="BS51" s="1564">
        <f>(BS41/BO41-1)*100</f>
        <v>-1.6953982048724892</v>
      </c>
      <c r="BT51" s="1564">
        <f>(BT41/BP41-1)*100</f>
        <v>-0.38846126177971563</v>
      </c>
      <c r="BU51" s="1564">
        <f>(BU41/BQ41-1)*100</f>
        <v>-0.28049482163405859</v>
      </c>
      <c r="BV51" s="1564">
        <f>(BV41/BR41-1)*100</f>
        <v>0.75313201535229801</v>
      </c>
      <c r="BW51" s="1564">
        <f t="shared" si="142"/>
        <v>1.485507246376816</v>
      </c>
      <c r="BX51" s="1564">
        <f t="shared" si="142"/>
        <v>1.2493680941720209</v>
      </c>
      <c r="BY51" s="1564">
        <f t="shared" si="142"/>
        <v>1.3559322033898313</v>
      </c>
      <c r="BZ51" s="1564">
        <f t="shared" si="142"/>
        <v>1.2075037734492922</v>
      </c>
      <c r="CA51" s="1564">
        <f t="shared" ref="CA51:CH51" si="143">(CA41/BW41-1)*100</f>
        <v>0.74259193145305158</v>
      </c>
      <c r="CB51" s="1564">
        <f t="shared" si="143"/>
        <v>0.78459343794579084</v>
      </c>
      <c r="CC51" s="1564">
        <f t="shared" si="143"/>
        <v>0.81121468725540158</v>
      </c>
      <c r="CD51" s="1564">
        <f t="shared" si="143"/>
        <v>0.39769902705775184</v>
      </c>
      <c r="CE51" s="1564">
        <f t="shared" si="143"/>
        <v>0.34729605216528014</v>
      </c>
      <c r="CF51" s="1564">
        <f t="shared" si="143"/>
        <v>0.30431705590940883</v>
      </c>
      <c r="CG51" s="1564">
        <f t="shared" si="143"/>
        <v>2.8234629773393749E-2</v>
      </c>
      <c r="CH51" s="1564">
        <f t="shared" si="143"/>
        <v>0.59418547075051897</v>
      </c>
      <c r="CI51" s="1564">
        <f t="shared" ref="CI51:CP51" si="144">(CI41/CE41-1)*100</f>
        <v>0.14126289023872474</v>
      </c>
      <c r="CJ51" s="1564">
        <f t="shared" si="144"/>
        <v>0.26811543074858335</v>
      </c>
      <c r="CK51" s="1564">
        <f t="shared" si="144"/>
        <v>0.28932326582458145</v>
      </c>
      <c r="CL51" s="1564">
        <f t="shared" si="144"/>
        <v>-0.1757963574994692</v>
      </c>
      <c r="CM51" s="1564">
        <f t="shared" si="144"/>
        <v>0.8181689942164061</v>
      </c>
      <c r="CN51" s="1564">
        <f t="shared" si="144"/>
        <v>0.82330588980368269</v>
      </c>
      <c r="CO51" s="1564">
        <f t="shared" si="144"/>
        <v>1.4565156206023167</v>
      </c>
      <c r="CP51" s="1564">
        <f t="shared" si="144"/>
        <v>2.1696252465483346</v>
      </c>
      <c r="CQ51" s="1564">
        <f t="shared" ref="CQ51:CX51" si="145">(CQ41/CM41-1)*100</f>
        <v>1.5600951448160094</v>
      </c>
      <c r="CR51" s="1564">
        <f t="shared" si="145"/>
        <v>1.5494137353434079</v>
      </c>
      <c r="CS51" s="1564">
        <f t="shared" si="145"/>
        <v>1.0056175879048501</v>
      </c>
      <c r="CT51" s="1564">
        <f t="shared" si="145"/>
        <v>0.56536127964696981</v>
      </c>
      <c r="CU51" s="1564">
        <f t="shared" si="145"/>
        <v>0.97768133911964039</v>
      </c>
      <c r="CV51" s="1564">
        <f t="shared" si="145"/>
        <v>1.3531517525772863</v>
      </c>
      <c r="CW51" s="1564">
        <f t="shared" si="145"/>
        <v>1.8632579063443622</v>
      </c>
      <c r="CX51" s="1564">
        <f t="shared" si="145"/>
        <v>2.3198757079999632</v>
      </c>
      <c r="CY51" s="1564">
        <f t="shared" ref="CY51" si="146">(CY41/CU41-1)*100</f>
        <v>2.1162540647999828</v>
      </c>
      <c r="CZ51" s="1564">
        <f t="shared" ref="CZ51" si="147">(CZ41/CV41-1)*100</f>
        <v>1.7609788269999704</v>
      </c>
      <c r="DA51" s="1564">
        <f t="shared" ref="DA51" si="148">(DA41/CW41-1)*100</f>
        <v>1.3563626089999836</v>
      </c>
      <c r="DB51" s="1564">
        <f t="shared" ref="DB51" si="149">(DB41/CX41-1)*100</f>
        <v>0.93320483269998533</v>
      </c>
      <c r="DC51"/>
      <c r="DD51"/>
      <c r="DE51"/>
      <c r="DF51"/>
      <c r="DG51"/>
      <c r="DH51"/>
      <c r="DI51"/>
      <c r="DJ51"/>
      <c r="DK51"/>
      <c r="DL51"/>
      <c r="DM51"/>
      <c r="DN51"/>
      <c r="DO51"/>
    </row>
    <row r="52" spans="1:119" s="699" customFormat="1" ht="12.75" customHeight="1">
      <c r="A52" s="664"/>
      <c r="B52" s="664"/>
      <c r="C52" s="944"/>
      <c r="D52" s="674"/>
      <c r="E52" s="3629" t="s">
        <v>1938</v>
      </c>
      <c r="F52" s="3630"/>
      <c r="G52" s="705"/>
      <c r="H52" s="705"/>
      <c r="I52" s="705"/>
      <c r="J52" s="705"/>
      <c r="K52" s="1564">
        <f>(4*K41/J42-1)*100</f>
        <v>-0.6264080929451743</v>
      </c>
      <c r="L52" s="1564">
        <f>((K41+3*L41)/J42-1)*100</f>
        <v>-0.7006228740557563</v>
      </c>
      <c r="M52" s="1564">
        <f>((K41+L41+2*M41)/J42-1)*100</f>
        <v>-9.7186022883000156E-3</v>
      </c>
      <c r="N52" s="1621"/>
      <c r="O52" s="1564">
        <f>(4*O41/N42-1)*100</f>
        <v>0.8521267737877869</v>
      </c>
      <c r="P52" s="1564">
        <f>((O41+3*P41)/N42-1)*100</f>
        <v>2.9009513348805083</v>
      </c>
      <c r="Q52" s="1564">
        <f>((O41+P41+2*Q41)/N42-1)*100</f>
        <v>3.2694385884103561</v>
      </c>
      <c r="R52" s="1621"/>
      <c r="S52" s="1564">
        <f>(4*S41/R42-1)*100</f>
        <v>4.3844204921200669</v>
      </c>
      <c r="T52" s="1564">
        <f>((S41+3*T41)/R42-1)*100</f>
        <v>4.4694464722806915</v>
      </c>
      <c r="U52" s="1564">
        <f>((S41+T41+2*U41)/R42-1)*100</f>
        <v>4.5330012453300261</v>
      </c>
      <c r="V52" s="1621"/>
      <c r="W52" s="1564">
        <f>(4*W41/V42-1)*100</f>
        <v>-2.9063861856548523</v>
      </c>
      <c r="X52" s="1564">
        <f>((W41+3*X41)/V42-1)*100</f>
        <v>-3.3438186048035834</v>
      </c>
      <c r="Y52" s="1564">
        <f>((W41+X41+2*Y41)/V42-1)*100</f>
        <v>-4.244896621776606</v>
      </c>
      <c r="Z52" s="1621"/>
      <c r="AA52" s="1564">
        <f>(4*AA41/Z42-1)*100</f>
        <v>0.92923761444341224</v>
      </c>
      <c r="AB52" s="1564">
        <f>((AA41+3*AB41)/Z42-1)*100</f>
        <v>0.2002224694104493</v>
      </c>
      <c r="AC52" s="1564">
        <f>((AA41+AB41+2*AC41)/Z42-1)*100</f>
        <v>0.37135278514590642</v>
      </c>
      <c r="AD52" s="1621"/>
      <c r="AE52" s="1564">
        <f>(4*AE41/AD42-1)*100</f>
        <v>0.73145601471427124</v>
      </c>
      <c r="AF52" s="1564">
        <f>((AE41+3*AF41)/AD42-1)*100</f>
        <v>0.95625739758338213</v>
      </c>
      <c r="AG52" s="1564">
        <f>((AE41+AF41+2*AG41)/AD42-1)*100</f>
        <v>0.87451144017645088</v>
      </c>
      <c r="AH52" s="1621"/>
      <c r="AI52" s="1564">
        <f>(4*AI41/AH42-1)*100</f>
        <v>1.688222936546091</v>
      </c>
      <c r="AJ52" s="1564">
        <f>((AI41+3*AJ41)/AH42-1)*100</f>
        <v>1.4275228428965558</v>
      </c>
      <c r="AK52" s="1564">
        <f>((AI41+AJ41+2*AK41)/AH42-1)*100</f>
        <v>2.3910163928893891</v>
      </c>
      <c r="AL52" s="1621"/>
      <c r="AM52" s="1564">
        <f>(4*AM41/AL42-1)*100</f>
        <v>1.5430726413385498</v>
      </c>
      <c r="AN52" s="1564">
        <f>((AM41+3*AN41)/AL42-1)*100</f>
        <v>2.4916423760354522</v>
      </c>
      <c r="AO52" s="1564">
        <f>((AM41+AN41+2*AO41)/AL42-1)*100</f>
        <v>2.7847767732160911</v>
      </c>
      <c r="AP52" s="1621"/>
      <c r="AQ52" s="1564">
        <f>(4*AQ41/AP42-1)*100</f>
        <v>2.6382421304024906</v>
      </c>
      <c r="AR52" s="1564">
        <f>((AQ41+3*AR41)/AP42-1)*100</f>
        <v>4.1646365328242618</v>
      </c>
      <c r="AS52" s="1564">
        <f>((AQ41+AR41+2*AS41)/AP42-1)*100</f>
        <v>4.480938041646354</v>
      </c>
      <c r="AT52" s="1621"/>
      <c r="AU52" s="1564">
        <f>(4*AU41/AT42-1)*100</f>
        <v>46.857455844413586</v>
      </c>
      <c r="AV52" s="1564">
        <f>((AU41+3*AV41)/AT42-1)*100</f>
        <v>47.055114109942473</v>
      </c>
      <c r="AW52" s="1564">
        <f>((AU41+AV41+2*AW41)/AT42-1)*100</f>
        <v>47.260678706092477</v>
      </c>
      <c r="AX52" s="1621"/>
      <c r="AY52" s="1564">
        <f>(4*AY41/AX42-1)*100</f>
        <v>0.55157593123209558</v>
      </c>
      <c r="AZ52" s="1564">
        <f>((AY41+3*AZ41)/AX42-1)*100</f>
        <v>0.90078796561605667</v>
      </c>
      <c r="BA52" s="1564">
        <f>((AY41+AZ41+2*BA41)/AX42-1)*100</f>
        <v>1.9896131805157591</v>
      </c>
      <c r="BB52" s="1621"/>
      <c r="BC52" s="1564">
        <f>(4*BC41/BB42-1)*100</f>
        <v>1.9731649565903675</v>
      </c>
      <c r="BD52" s="1564">
        <f>((BC41+3*BD41)/BB42-1)*100</f>
        <v>2.4151539068666183</v>
      </c>
      <c r="BE52" s="1564">
        <f>((BC41+BD41+2*BE41)/BB42-1)*100</f>
        <v>1.5136367622555547</v>
      </c>
      <c r="BF52" s="1621"/>
      <c r="BG52" s="1564">
        <f>(4*BG41/BF42-1)*100</f>
        <v>-0.18253831582574209</v>
      </c>
      <c r="BH52" s="1564">
        <f>((BG41+3*BH41)/BF42-1)*100</f>
        <v>-0.10504563457897076</v>
      </c>
      <c r="BI52" s="1564">
        <f>((BG41+BH41+2*BI41)/BF42-1)*100</f>
        <v>0.41846047873255188</v>
      </c>
      <c r="BJ52" s="1621"/>
      <c r="BK52" s="1564">
        <f>(4*BK41/BJ42-1)*100</f>
        <v>-7.0392308352662525E-2</v>
      </c>
      <c r="BL52" s="1564">
        <f>((BK41+3*BL41)/BJ42-1)*100</f>
        <v>-0.41033565112886805</v>
      </c>
      <c r="BM52" s="1564">
        <f>((BK41+BL41+2*BM41)/BJ42-1)*100</f>
        <v>-1.2687784359172505</v>
      </c>
      <c r="BN52" s="1621"/>
      <c r="BO52" s="1564">
        <f>(4*BO41/BN42-1)*100</f>
        <v>-2.245743532606792</v>
      </c>
      <c r="BP52" s="1564">
        <f>((BO41+3*BP41)/BN42-1)*100</f>
        <v>-2.9612478674140852</v>
      </c>
      <c r="BQ52" s="1564">
        <f>((BO41+BP41+2*BQ41)/BN42-1)*100</f>
        <v>-2.9508025486577605</v>
      </c>
      <c r="BR52" s="1621"/>
      <c r="BS52" s="1564">
        <f>(4*BS41/BR42-1)*100</f>
        <v>-0.81219003809389623</v>
      </c>
      <c r="BT52" s="1564">
        <f>((BS41+3*BT41)/BR42-1)*100</f>
        <v>-0.55882987134336926</v>
      </c>
      <c r="BU52" s="1564">
        <f>((BS41+BT41+2*BU41)/BR42-1)*100</f>
        <v>-0.49414216919428933</v>
      </c>
      <c r="BV52" s="1621"/>
      <c r="BW52" s="1564">
        <f>(4*BW41/BV42-1)*100</f>
        <v>1.0735227785295454</v>
      </c>
      <c r="BX52" s="1564">
        <f>((BW41+3*BX41)/BV42-1)*100</f>
        <v>1.1547135769057082</v>
      </c>
      <c r="BY52" s="1564">
        <f>((BW41+BX41+2*BY41)/BV42-1)*100</f>
        <v>1.2737934145241381</v>
      </c>
      <c r="BZ52" s="1621"/>
      <c r="CA52" s="1564">
        <f>(4*CA41/BZ42-1)*100</f>
        <v>0.49324240103989503</v>
      </c>
      <c r="CB52" s="1564">
        <f>((CA41+3*CB41)/BZ42-1)*100</f>
        <v>0.60542388575293149</v>
      </c>
      <c r="CC52" s="1564">
        <f>((CA41+CB41+2*CC41)/BZ42-1)*100</f>
        <v>0.73719261382858559</v>
      </c>
      <c r="CD52" s="1621"/>
      <c r="CE52" s="1564">
        <f>(4*CE41/CD42-1)*100</f>
        <v>0.1574023309693251</v>
      </c>
      <c r="CF52" s="1564">
        <f>((CE41+3*CF41)/CD42-1)*100</f>
        <v>0.236987779212261</v>
      </c>
      <c r="CG52" s="1564">
        <f>((CE41+CF41+2*CG41)/CD42-1)*100</f>
        <v>0.22991351714620745</v>
      </c>
      <c r="CH52" s="1621"/>
      <c r="CI52" s="1564">
        <f>(4*CI41/CH42-1)*100</f>
        <v>-1.9392486293035027E-2</v>
      </c>
      <c r="CJ52" s="1564">
        <f>((CI41+3*CJ41)/CH42-1)*100</f>
        <v>0.15513989034428022</v>
      </c>
      <c r="CK52" s="1564">
        <f>((CI41+CJ41+2*CK41)/CH42-1)*100</f>
        <v>0.15866579694303606</v>
      </c>
      <c r="CL52" s="1621"/>
      <c r="CM52" s="1564">
        <f>(4*CM41/CL42-1)*100</f>
        <v>0.66728876525168346</v>
      </c>
      <c r="CN52" s="1564">
        <f>((CM41+3*CN41)/CL42-1)*100</f>
        <v>0.8468757152666484</v>
      </c>
      <c r="CO52" s="1564">
        <f>((CM41+CN41+2*CO41)/CL42-1)*100</f>
        <v>1.1673151750972943</v>
      </c>
      <c r="CP52" s="1621"/>
      <c r="CQ52" s="1564">
        <f>(4*CQ41/CP42-1)*100</f>
        <v>0.90885394039446066</v>
      </c>
      <c r="CR52" s="1564">
        <f>((CQ41+3*CR41)/CP42-1)*100</f>
        <v>1.0808932140064176</v>
      </c>
      <c r="CS52" s="1564">
        <f>((CQ41+CR41+2*CS41)/CP42-1)*100</f>
        <v>1.1295507863411158</v>
      </c>
      <c r="CT52" s="1621"/>
      <c r="CU52" s="1564">
        <f>(4*CU41/CT42-1)*100</f>
        <v>0.71924008451138555</v>
      </c>
      <c r="CV52" s="1564">
        <f>((CU41+3*CV41)/CT42-1)*100</f>
        <v>1.172476664891664</v>
      </c>
      <c r="CW52" s="1564">
        <f>((CU41+CV41+2*CW41)/CT42-1)*100</f>
        <v>1.4764473314667237</v>
      </c>
      <c r="CX52" s="1621"/>
      <c r="CY52" s="1564">
        <f>(4*CY41/CX42-1)*100</f>
        <v>1.2017892323994195</v>
      </c>
      <c r="CZ52" s="1564">
        <f>((CY41+3*CZ41)/CX42-1)*100</f>
        <v>1.3915425872101705</v>
      </c>
      <c r="DA52" s="1564">
        <f>((CY41+CZ41+2*DA41)/CX42-1)*100</f>
        <v>1.4929973809156172</v>
      </c>
      <c r="DB52" s="1621"/>
      <c r="DC52"/>
      <c r="DD52"/>
      <c r="DE52"/>
      <c r="DF52"/>
      <c r="DG52"/>
      <c r="DH52"/>
      <c r="DI52"/>
      <c r="DJ52"/>
      <c r="DK52"/>
      <c r="DL52"/>
      <c r="DM52"/>
      <c r="DN52"/>
      <c r="DO52"/>
    </row>
    <row r="53" spans="1:119">
      <c r="C53" s="1557"/>
      <c r="D53" s="828"/>
      <c r="E53" s="3631" t="s">
        <v>1807</v>
      </c>
      <c r="F53" s="828"/>
      <c r="G53" s="876"/>
      <c r="H53" s="876"/>
      <c r="I53" s="876"/>
      <c r="J53" s="876"/>
      <c r="K53" s="1620"/>
      <c r="L53" s="883">
        <f>(4*L41/(K41+3*L41)-1)*100</f>
        <v>-2.4912805181864783E-2</v>
      </c>
      <c r="M53" s="883">
        <f>(4*M41/(K41+L41+2*M41)-1)*100</f>
        <v>0.66623075971512513</v>
      </c>
      <c r="N53" s="883">
        <f>+(4*N41/N42-1)*100</f>
        <v>-7.6177653373976639E-2</v>
      </c>
      <c r="O53" s="1620"/>
      <c r="P53" s="883">
        <f>(4*P41/(O41+3*P41)-1)*100</f>
        <v>0.66368824729490239</v>
      </c>
      <c r="Q53" s="883">
        <f>(4*Q41/(O41+P41+2*Q41)-1)*100</f>
        <v>1.0181412703178072</v>
      </c>
      <c r="R53" s="883">
        <f>+(4*R41/R42-1)*100</f>
        <v>0.63297118564005217</v>
      </c>
      <c r="S53" s="1620"/>
      <c r="T53" s="883">
        <f>(4*T41/(S41+3*T41)-1)*100</f>
        <v>2.7129456835384147E-2</v>
      </c>
      <c r="U53" s="883">
        <f>(4*U41/(S41+T41+2*U41)-1)*100</f>
        <v>8.7911726767053722E-2</v>
      </c>
      <c r="V53" s="883">
        <f>+(4*V41/V42-1)*100</f>
        <v>0.97971755299977037</v>
      </c>
      <c r="W53" s="1620"/>
      <c r="X53" s="883">
        <f>(4*X41/(W41+3*X41)-1)*100</f>
        <v>-0.15085512822685665</v>
      </c>
      <c r="Y53" s="883">
        <f>(4*Y41/(W41+X41+2*Y41)-1)*100</f>
        <v>-1.0932982017896498</v>
      </c>
      <c r="Z53" s="883">
        <f>+(4*Z41/Z42-1)*100</f>
        <v>-1.155129631214169</v>
      </c>
      <c r="AA53" s="1620"/>
      <c r="AB53" s="883">
        <f>(4*AB41/(AA41+3*AB41)-1)*100</f>
        <v>-0.24251946987293715</v>
      </c>
      <c r="AC53" s="883">
        <f>(4*AC41/(AA41+AB41+2*AC41)-1)*100</f>
        <v>-7.1608811293732977E-2</v>
      </c>
      <c r="AD53" s="883">
        <f>+(4*AD41/AD42-1)*100</f>
        <v>0.26822892274156462</v>
      </c>
      <c r="AE53" s="1620"/>
      <c r="AF53" s="883">
        <f>(4*AF41/(AE41+3*AF41)-1)*100</f>
        <v>7.4224021592450562E-2</v>
      </c>
      <c r="AG53" s="883">
        <f>(4*AG41/(AE41+AF41+2*AG41)-1)*100</f>
        <v>-6.7531064289472198E-3</v>
      </c>
      <c r="AH53" s="883">
        <f>+(4*AH41/AH42-1)*100</f>
        <v>0.15270782184650944</v>
      </c>
      <c r="AI53" s="1620"/>
      <c r="AJ53" s="883">
        <f>(4*AJ41/(AI41+3*AJ41)-1)*100</f>
        <v>-8.5676972857862133E-2</v>
      </c>
      <c r="AK53" s="883">
        <f>(4*AK41/(AI41+AJ41+2*AK41)-1)*100</f>
        <v>0.85612346635244307</v>
      </c>
      <c r="AL53" s="883">
        <f>+(4*AL41/AL42-1)*100</f>
        <v>1.0654941290779485</v>
      </c>
      <c r="AM53" s="1620"/>
      <c r="AN53" s="883">
        <f>(4*AN41/(AM41+3*AN41)-1)*100</f>
        <v>0.30850311716690282</v>
      </c>
      <c r="AO53" s="883">
        <f>(4*AO41/(AM41+AN41+2*AO41)-1)*100</f>
        <v>0.59281571442304504</v>
      </c>
      <c r="AP53" s="883">
        <f>+(4*AP41/AP42-1)*100</f>
        <v>1.4752749666525622</v>
      </c>
      <c r="AQ53" s="1620"/>
      <c r="AR53" s="883">
        <f>(4*AR41/(AQ41+3*AR41)-1)*100</f>
        <v>0.48845572842781682</v>
      </c>
      <c r="AS53" s="883">
        <f>(4*AS41/(AQ41+AR41+2*AS41)-1)*100</f>
        <v>0.78971308874908885</v>
      </c>
      <c r="AT53" s="883">
        <f>+(4*AT41/AT42-1)*100</f>
        <v>1.2624605004045275</v>
      </c>
      <c r="AU53" s="1620"/>
      <c r="AV53" s="883">
        <f>(4*AV41/(AU41+3*AV41)-1)*100</f>
        <v>4.4803670316673205E-2</v>
      </c>
      <c r="AW53" s="883">
        <f>(4*AW41/(AU41+AV41+2*AW41)-1)*100</f>
        <v>0.18433344667752039</v>
      </c>
      <c r="AX53" s="883">
        <f>+(4*AX41/AX42-1)*100</f>
        <v>-1.4326647564466555E-2</v>
      </c>
      <c r="AY53" s="1620"/>
      <c r="AZ53" s="883">
        <f>(4*AZ41/(AY41+3*AZ41)-1)*100</f>
        <v>0.11536481905471963</v>
      </c>
      <c r="BA53" s="883">
        <f>(4*BA41/(AY41+AZ41+2*BA41)-1)*100</f>
        <v>1.1817176168987364</v>
      </c>
      <c r="BB53" s="883">
        <f>+(4*BB41/BB42-1)*100</f>
        <v>1.5171446110672671</v>
      </c>
      <c r="BC53" s="1620"/>
      <c r="BD53" s="883">
        <f>(4*BD41/(BC41+3*BD41)-1)*100</f>
        <v>0.14385532264693524</v>
      </c>
      <c r="BE53" s="883">
        <f>(4*BE41/(BC41+BD41+2*BE41)-1)*100</f>
        <v>-0.7429420505200568</v>
      </c>
      <c r="BF53" s="883">
        <f>+(4*BF41/BF42-1)*100</f>
        <v>0.25142069915617959</v>
      </c>
      <c r="BG53" s="1620"/>
      <c r="BH53" s="883">
        <f>(4*BH41/(BG41+3*BH41)-1)*100</f>
        <v>2.5858056508476501E-2</v>
      </c>
      <c r="BI53" s="883">
        <f>(4*BI41/(BG41+BH41+2*BI41)-1)*100</f>
        <v>0.54704782810008901</v>
      </c>
      <c r="BJ53" s="883">
        <f>+(4*BJ41/BJ42-1)*100</f>
        <v>0.1974418405013223</v>
      </c>
      <c r="BK53" s="1620"/>
      <c r="BL53" s="883">
        <f>(4*BL41/(BK41+3*BL41)-1)*100</f>
        <v>-0.11378133296554571</v>
      </c>
      <c r="BM53" s="883">
        <f>(4*BM41/(BK41+BL41+2*BM41)-1)*100</f>
        <v>-0.98424512224811744</v>
      </c>
      <c r="BN53" s="883">
        <f>+(4*BN41/BN42-1)*100</f>
        <v>-1.3195919362139263</v>
      </c>
      <c r="BO53" s="1620"/>
      <c r="BP53" s="883">
        <f>(4*BP41/(BO41+3*BP41)-1)*100</f>
        <v>-0.24577958773613906</v>
      </c>
      <c r="BQ53" s="883">
        <f>(4*BQ41/(BO41+BP41+2*BQ41)-1)*100</f>
        <v>-0.23499022368915767</v>
      </c>
      <c r="BR53" s="883">
        <f>+(4*BR41/BR42-1)*100</f>
        <v>-0.7475023359448163</v>
      </c>
      <c r="BS53" s="1620"/>
      <c r="BT53" s="883">
        <f>(4*BT41/(BS41+3*BT41)-1)*100</f>
        <v>8.4927991904737432E-2</v>
      </c>
      <c r="BU53" s="883">
        <f>(4*BU41/(BS41+BT41+2*BU41)-1)*100</f>
        <v>0.1498817198475999</v>
      </c>
      <c r="BV53" s="883">
        <f>+(4*BV41/BV42-1)*100</f>
        <v>0.40956247180874428</v>
      </c>
      <c r="BW53" s="1620"/>
      <c r="BX53" s="883">
        <f>(4*BX41/(BW41+3*BX41)-1)*100</f>
        <v>2.6754659769911981E-2</v>
      </c>
      <c r="BY53" s="883">
        <f>(4*BY41/(BW41+BX41+2*BY41)-1)*100</f>
        <v>0.14430528584916669</v>
      </c>
      <c r="BZ53" s="883">
        <f>+(4*BZ41/BZ42-1)*100</f>
        <v>0.29380865043890925</v>
      </c>
      <c r="CA53" s="1620"/>
      <c r="CB53" s="883">
        <f>(4*CB41/(CA41+3*CB41)-1)*100</f>
        <v>3.7168799447795386E-2</v>
      </c>
      <c r="CC53" s="883">
        <f>(4*CC41/(CA41+CB41+2*CC41)-1)*100</f>
        <v>0.1679246283562863</v>
      </c>
      <c r="CD53" s="883">
        <f>+(4*CD41/CD42-1)*100</f>
        <v>8.84282758253363E-3</v>
      </c>
      <c r="CE53" s="1620"/>
      <c r="CF53" s="883">
        <f>(4*CF41/(CE41+3*CF41)-1)*100</f>
        <v>2.6465762125726933E-2</v>
      </c>
      <c r="CG53" s="883">
        <f>(4*CG41/(CE41+CF41+2*CG41)-1)*100</f>
        <v>1.9409595398167667E-2</v>
      </c>
      <c r="CH53" s="883">
        <f>+(4*CH41/CH42-1)*100</f>
        <v>0.28383548119810253</v>
      </c>
      <c r="CI53" s="1620"/>
      <c r="CJ53" s="883">
        <f>(4*CJ41/(CI41+3*CJ41)-1)*100</f>
        <v>5.8087342240065176E-2</v>
      </c>
      <c r="CK53" s="883">
        <f>(4*CK41/(CI41+CJ41+2*CK41)-1)*100</f>
        <v>6.1605618432403197E-2</v>
      </c>
      <c r="CL53" s="883">
        <f>+(4*CL41/CL42-1)*100</f>
        <v>-2.2888532845033449E-2</v>
      </c>
      <c r="CM53" s="1620"/>
      <c r="CN53" s="883">
        <f>(4*CN41/(CM41+3*CN41)-1)*100</f>
        <v>5.9359614511689252E-2</v>
      </c>
      <c r="CO53" s="883">
        <f>(4*CO41/(CM41+CN41+2*CO41)-1)*100</f>
        <v>0.37591367908109685</v>
      </c>
      <c r="CP53" s="883">
        <f>+(4*CP41/CP42-1)*100</f>
        <v>0.81848987748718294</v>
      </c>
      <c r="CQ53" s="1620"/>
      <c r="CR53" s="883">
        <f>(4*CR41/(CQ41+3*CR41)-1)*100</f>
        <v>5.6733199236691512E-2</v>
      </c>
      <c r="CS53" s="883">
        <f>(4*CS41/(CQ41+CR41+2*CS41)-1)*100</f>
        <v>0.10482000171838646</v>
      </c>
      <c r="CT53" s="883">
        <f>+(4*CT41/CT42-1)*100</f>
        <v>0.21814933782227097</v>
      </c>
      <c r="CU53" s="1620"/>
      <c r="CV53" s="883">
        <f>(4*CV41/(CU41+3*CV41)-1)*100</f>
        <v>0.14932802389249211</v>
      </c>
      <c r="CW53" s="883">
        <f>(4*CW41/(CU41+CV41+2*CW41)-1)*100</f>
        <v>0.44842871293615527</v>
      </c>
      <c r="CX53" s="883">
        <f>+(4*CX41/CX42-1)*100</f>
        <v>0.89909195652981833</v>
      </c>
      <c r="CY53" s="1620"/>
      <c r="CZ53" s="883">
        <f>(4*CZ41/(CY41+3*CZ41)-1)*100</f>
        <v>6.2383031815338441E-2</v>
      </c>
      <c r="DA53" s="883">
        <f>(4*DA41/(CY41+CZ41+2*DA41)-1)*100</f>
        <v>0.1622830305795242</v>
      </c>
      <c r="DB53" s="883">
        <f>+(4*DB41/DB42-1)*100</f>
        <v>0.29736807987477132</v>
      </c>
    </row>
    <row r="54" spans="1:119" s="884" customFormat="1" ht="30" customHeight="1">
      <c r="A54" s="664"/>
      <c r="B54" s="664"/>
      <c r="C54" s="666"/>
      <c r="D54" s="1041"/>
      <c r="E54" s="3632"/>
      <c r="F54" s="1041"/>
      <c r="G54" s="1044"/>
      <c r="H54" s="1559"/>
      <c r="I54" s="1559"/>
      <c r="J54" s="1559"/>
      <c r="K54" s="1044"/>
      <c r="L54" s="1559"/>
      <c r="M54" s="1559"/>
      <c r="N54" s="1559"/>
      <c r="O54" s="1044"/>
      <c r="P54" s="1559"/>
      <c r="Q54" s="1559"/>
      <c r="R54" s="1559"/>
      <c r="S54" s="1044"/>
      <c r="T54" s="1559"/>
      <c r="U54" s="1559"/>
      <c r="V54" s="1559"/>
      <c r="W54" s="1044"/>
      <c r="X54" s="1559"/>
      <c r="Y54" s="1559"/>
      <c r="Z54" s="1559"/>
      <c r="AA54" s="1044"/>
      <c r="AB54" s="1559"/>
      <c r="AC54" s="1559"/>
      <c r="AD54" s="1559"/>
      <c r="AE54" s="1044"/>
      <c r="AF54" s="1559"/>
      <c r="AG54" s="1559"/>
      <c r="AH54" s="1559"/>
      <c r="AI54" s="1044"/>
      <c r="AJ54" s="1559"/>
      <c r="AK54" s="1559"/>
      <c r="AL54" s="1559"/>
      <c r="AM54" s="1044"/>
      <c r="AN54" s="1559"/>
      <c r="AO54" s="1559"/>
      <c r="AP54" s="1559"/>
      <c r="AQ54" s="1044"/>
      <c r="AR54" s="1559"/>
      <c r="AS54" s="1559"/>
      <c r="AT54" s="1559"/>
      <c r="AU54" s="1044"/>
      <c r="AV54" s="1559"/>
      <c r="AW54" s="1559"/>
      <c r="AX54" s="1559"/>
      <c r="AY54" s="1560"/>
      <c r="AZ54" s="1559"/>
      <c r="BA54" s="1560"/>
      <c r="BB54" s="1560"/>
      <c r="BC54" s="1560"/>
      <c r="BD54" s="1560"/>
      <c r="BE54" s="1560"/>
      <c r="BF54" s="1560"/>
      <c r="BG54" s="1560"/>
      <c r="BH54" s="1560"/>
      <c r="BI54" s="1560"/>
      <c r="BJ54" s="1560"/>
      <c r="BK54" s="1560"/>
      <c r="BL54" s="1560"/>
      <c r="BM54" s="1560"/>
      <c r="BN54" s="1312">
        <f>(BM51+BN51)/2</f>
        <v>-2.8788130864169261</v>
      </c>
      <c r="BO54" s="1560"/>
      <c r="BP54" s="1560"/>
      <c r="BQ54" s="1560"/>
      <c r="BR54" s="1312">
        <f>(BQ51+BR51)/2</f>
        <v>-2.4398836956510572</v>
      </c>
      <c r="BS54" s="1560"/>
      <c r="BT54" s="1560"/>
      <c r="BU54" s="1560"/>
      <c r="BV54" s="1312">
        <f>(BU51+BV51)/2</f>
        <v>0.23631859685911971</v>
      </c>
      <c r="BW54" s="1560"/>
      <c r="BX54" s="1560"/>
      <c r="BY54" s="1560"/>
      <c r="BZ54" s="1560"/>
      <c r="CA54" s="1560"/>
      <c r="CB54" s="1560"/>
      <c r="CC54" s="1560"/>
      <c r="CD54" s="1560"/>
      <c r="CE54" s="1560"/>
      <c r="CF54" s="1560"/>
      <c r="CG54" s="1560"/>
      <c r="CH54" s="1560"/>
      <c r="CI54" s="1560"/>
      <c r="CJ54" s="1560"/>
      <c r="CK54" s="1560"/>
      <c r="CL54" s="1560"/>
      <c r="CM54" s="1560"/>
      <c r="CN54" s="1560"/>
      <c r="CO54" s="1560"/>
      <c r="CP54" s="1560"/>
      <c r="CQ54" s="1560"/>
      <c r="CR54" s="1560"/>
      <c r="CS54" s="1560"/>
      <c r="CT54" s="1560"/>
      <c r="CU54" s="1560"/>
      <c r="CV54" s="1560"/>
      <c r="CW54" s="1560"/>
      <c r="CX54" s="1560"/>
      <c r="CY54" s="1560"/>
      <c r="CZ54" s="1560"/>
      <c r="DA54" s="1560"/>
      <c r="DB54" s="1560"/>
      <c r="DC54"/>
      <c r="DD54"/>
      <c r="DE54"/>
      <c r="DF54"/>
      <c r="DG54"/>
      <c r="DH54"/>
      <c r="DI54"/>
      <c r="DJ54"/>
      <c r="DK54"/>
      <c r="DL54"/>
      <c r="DM54"/>
      <c r="DN54"/>
      <c r="DO54"/>
    </row>
    <row r="55" spans="1:119" s="884" customFormat="1" ht="30" customHeight="1">
      <c r="A55" s="664"/>
      <c r="B55" s="664"/>
      <c r="C55" s="666"/>
      <c r="D55" s="1041"/>
      <c r="E55" s="3632"/>
      <c r="F55" s="1041"/>
      <c r="G55" s="1044"/>
      <c r="H55" s="1559"/>
      <c r="I55" s="1559"/>
      <c r="J55" s="1559"/>
      <c r="K55" s="1044"/>
      <c r="L55" s="1559"/>
      <c r="M55" s="1559"/>
      <c r="N55" s="1559"/>
      <c r="O55" s="1044"/>
      <c r="P55" s="1559"/>
      <c r="Q55" s="1559"/>
      <c r="R55" s="1559"/>
      <c r="S55" s="1044"/>
      <c r="T55" s="1559"/>
      <c r="U55" s="1559"/>
      <c r="V55" s="1559"/>
      <c r="W55" s="1044"/>
      <c r="X55" s="1559"/>
      <c r="Y55" s="1559"/>
      <c r="Z55" s="1559"/>
      <c r="AA55" s="1044"/>
      <c r="AB55" s="1559"/>
      <c r="AC55" s="1559"/>
      <c r="AD55" s="1559"/>
      <c r="AE55" s="1044"/>
      <c r="AF55" s="1559"/>
      <c r="AG55" s="1559"/>
      <c r="AH55" s="1559"/>
      <c r="AI55" s="1044"/>
      <c r="AJ55" s="1559"/>
      <c r="AK55" s="1559"/>
      <c r="AL55" s="1559"/>
      <c r="AM55" s="1044"/>
      <c r="AN55" s="1559"/>
      <c r="AO55" s="1559"/>
      <c r="AP55" s="1559"/>
      <c r="AQ55" s="1044"/>
      <c r="AR55" s="1559"/>
      <c r="AS55" s="1559"/>
      <c r="AT55" s="1559"/>
      <c r="AU55" s="1044"/>
      <c r="AV55" s="1559"/>
      <c r="AW55" s="1559"/>
      <c r="AX55" s="1559"/>
      <c r="AY55" s="1560"/>
      <c r="AZ55" s="1559"/>
      <c r="BA55" s="1560"/>
      <c r="BB55" s="1560"/>
      <c r="BC55" s="1560"/>
      <c r="BD55" s="1560"/>
      <c r="BE55" s="1560"/>
      <c r="BF55" s="1560"/>
      <c r="BG55" s="1560"/>
      <c r="BH55" s="1560"/>
      <c r="BI55" s="1560"/>
      <c r="BJ55" s="1560"/>
      <c r="BK55" s="1560"/>
      <c r="BL55" s="1560"/>
      <c r="BM55" s="1560"/>
      <c r="BN55" s="1560"/>
      <c r="BO55" s="1560"/>
      <c r="BP55" s="1560"/>
      <c r="BQ55" s="1560"/>
      <c r="BR55" s="1560"/>
      <c r="BS55" s="1560"/>
      <c r="BT55" s="1560"/>
      <c r="BU55" s="1560"/>
      <c r="BV55" s="1560"/>
      <c r="BW55" s="1560"/>
      <c r="BX55" s="1560"/>
      <c r="BY55" s="1560"/>
      <c r="BZ55" s="1560"/>
      <c r="CA55" s="1560"/>
      <c r="CB55" s="1560"/>
      <c r="CC55" s="1560"/>
      <c r="CD55" s="1560"/>
      <c r="CE55" s="1560"/>
      <c r="CF55" s="1560"/>
      <c r="CG55" s="1560"/>
      <c r="CH55" s="1560"/>
      <c r="CI55" s="1560"/>
      <c r="CJ55" s="1560"/>
      <c r="CK55" s="1560"/>
      <c r="CL55" s="1560"/>
      <c r="CM55" s="1560"/>
      <c r="CN55" s="1560"/>
      <c r="CO55" s="1560"/>
      <c r="CP55" s="1560"/>
      <c r="CQ55" s="1560"/>
      <c r="CR55" s="1560"/>
      <c r="CS55" s="1560"/>
      <c r="CT55" s="3422"/>
      <c r="CU55" s="1560"/>
      <c r="CV55" s="1560"/>
      <c r="CW55" s="1560"/>
      <c r="CX55" s="1560"/>
      <c r="CY55" s="1560"/>
      <c r="CZ55" s="1560"/>
      <c r="DA55" s="1560"/>
      <c r="DB55" s="1560"/>
      <c r="DC55"/>
      <c r="DD55"/>
      <c r="DE55"/>
      <c r="DF55"/>
      <c r="DG55"/>
      <c r="DH55"/>
      <c r="DI55"/>
      <c r="DJ55"/>
      <c r="DK55"/>
      <c r="DL55"/>
      <c r="DM55"/>
      <c r="DN55"/>
      <c r="DO55"/>
    </row>
    <row r="56" spans="1:119" ht="30" customHeight="1">
      <c r="C56" s="3766" t="s">
        <v>1067</v>
      </c>
      <c r="D56" s="3766"/>
      <c r="E56" s="3766"/>
      <c r="F56" s="3766"/>
      <c r="CM56" s="557"/>
      <c r="CN56" s="557"/>
      <c r="CO56" s="3162"/>
      <c r="CP56" s="557"/>
      <c r="CQ56" s="3162"/>
      <c r="CR56" s="3162"/>
      <c r="CS56" s="3162"/>
      <c r="CT56" s="3162"/>
      <c r="CU56" s="557"/>
      <c r="CV56" s="557"/>
      <c r="CW56" s="557"/>
      <c r="CX56" s="557"/>
      <c r="CY56" s="557"/>
      <c r="CZ56" s="557"/>
      <c r="DA56" s="557"/>
      <c r="DB56" s="557"/>
    </row>
    <row r="57" spans="1:119">
      <c r="A57" s="664"/>
      <c r="E57" s="599"/>
      <c r="F57" s="3617"/>
      <c r="CM57" s="557"/>
      <c r="CN57" s="557"/>
      <c r="CO57" s="557"/>
      <c r="CP57" s="557"/>
      <c r="CQ57" s="557"/>
      <c r="CR57" s="557"/>
      <c r="CS57" s="557"/>
      <c r="CT57" s="557"/>
      <c r="CU57" s="557"/>
      <c r="CV57" s="557"/>
      <c r="CW57" s="557"/>
      <c r="CX57" s="557"/>
      <c r="CY57" s="557"/>
      <c r="CZ57" s="557"/>
      <c r="DA57" s="557"/>
      <c r="DB57" s="557"/>
    </row>
    <row r="58" spans="1:119">
      <c r="A58" s="664"/>
      <c r="E58" s="599"/>
      <c r="F58" s="3617"/>
      <c r="G58" s="3763">
        <f ca="1">OFFSET(InputY!$G$3,0,(COLUMN()-7)/4)</f>
        <v>1995</v>
      </c>
      <c r="H58" s="3764"/>
      <c r="I58" s="3764"/>
      <c r="J58" s="3765"/>
      <c r="K58" s="3763">
        <f ca="1">OFFSET(InputY!$G$3,0,(COLUMN()-7)/4)</f>
        <v>1996</v>
      </c>
      <c r="L58" s="3764"/>
      <c r="M58" s="3764"/>
      <c r="N58" s="3765"/>
      <c r="O58" s="3763">
        <f ca="1">OFFSET(InputY!$G$3,0,(COLUMN()-7)/4)</f>
        <v>1997</v>
      </c>
      <c r="P58" s="3764"/>
      <c r="Q58" s="3764"/>
      <c r="R58" s="3765"/>
      <c r="S58" s="3763">
        <f ca="1">OFFSET(InputY!$G$3,0,(COLUMN()-7)/4)</f>
        <v>1998</v>
      </c>
      <c r="T58" s="3764"/>
      <c r="U58" s="3764"/>
      <c r="V58" s="3765"/>
      <c r="W58" s="3763">
        <f ca="1">OFFSET(InputY!$G$3,0,(COLUMN()-7)/4)</f>
        <v>1999</v>
      </c>
      <c r="X58" s="3764"/>
      <c r="Y58" s="3764"/>
      <c r="Z58" s="3765"/>
      <c r="AA58" s="3763">
        <f ca="1">OFFSET(InputY!$G$3,0,(COLUMN()-7)/4)</f>
        <v>2000</v>
      </c>
      <c r="AB58" s="3764"/>
      <c r="AC58" s="3764"/>
      <c r="AD58" s="3765"/>
      <c r="AE58" s="3763">
        <f ca="1">OFFSET(InputY!$G$3,0,(COLUMN()-7)/4)</f>
        <v>2001</v>
      </c>
      <c r="AF58" s="3764"/>
      <c r="AG58" s="3764"/>
      <c r="AH58" s="3765"/>
      <c r="AI58" s="3763">
        <f ca="1">OFFSET(InputY!$G$3,0,(COLUMN()-7)/4)</f>
        <v>2002</v>
      </c>
      <c r="AJ58" s="3764"/>
      <c r="AK58" s="3764"/>
      <c r="AL58" s="3765"/>
      <c r="AM58" s="3763">
        <f ca="1">OFFSET(InputY!$G$3,0,(COLUMN()-7)/4)</f>
        <v>2003</v>
      </c>
      <c r="AN58" s="3764"/>
      <c r="AO58" s="3764"/>
      <c r="AP58" s="3765"/>
      <c r="AQ58" s="3763">
        <f ca="1">OFFSET(InputY!$G$3,0,(COLUMN()-7)/4)</f>
        <v>2004</v>
      </c>
      <c r="AR58" s="3764"/>
      <c r="AS58" s="3764"/>
      <c r="AT58" s="3765"/>
      <c r="AU58" s="3763">
        <f ca="1">OFFSET(InputY!$G$3,0,(COLUMN()-7)/4)</f>
        <v>2005</v>
      </c>
      <c r="AV58" s="3764"/>
      <c r="AW58" s="3764"/>
      <c r="AX58" s="3765"/>
      <c r="AY58" s="3763">
        <f ca="1">OFFSET(InputY!$G$3,0,(COLUMN()-7)/4)</f>
        <v>2006</v>
      </c>
      <c r="AZ58" s="3764"/>
      <c r="BA58" s="3764"/>
      <c r="BB58" s="3765"/>
      <c r="BC58" s="3763">
        <f ca="1">OFFSET(InputY!$G$3,0,(COLUMN()-7)/4)</f>
        <v>2007</v>
      </c>
      <c r="BD58" s="3764"/>
      <c r="BE58" s="3764"/>
      <c r="BF58" s="3765"/>
      <c r="BG58" s="3763">
        <f ca="1">OFFSET(InputY!$G$3,0,(COLUMN()-7)/4)</f>
        <v>2008</v>
      </c>
      <c r="BH58" s="3764"/>
      <c r="BI58" s="3764"/>
      <c r="BJ58" s="3765"/>
      <c r="BK58" s="3763">
        <f ca="1">OFFSET(InputY!$G$3,0,(COLUMN()-7)/4)</f>
        <v>2009</v>
      </c>
      <c r="BL58" s="3764"/>
      <c r="BM58" s="3764"/>
      <c r="BN58" s="3765"/>
      <c r="BO58" s="3763">
        <f ca="1">OFFSET(InputY!$G$3,0,(COLUMN()-7)/4)</f>
        <v>2010</v>
      </c>
      <c r="BP58" s="3764"/>
      <c r="BQ58" s="3764"/>
      <c r="BR58" s="3765"/>
      <c r="BS58" s="3763">
        <f ca="1">OFFSET(InputY!$G$3,0,(COLUMN()-7)/4)</f>
        <v>2011</v>
      </c>
      <c r="BT58" s="3764"/>
      <c r="BU58" s="3764"/>
      <c r="BV58" s="3765"/>
      <c r="BW58" s="3763">
        <f ca="1">OFFSET(InputY!$G$3,0,(COLUMN()-7)/4)</f>
        <v>2012</v>
      </c>
      <c r="BX58" s="3764"/>
      <c r="BY58" s="3764"/>
      <c r="BZ58" s="3765"/>
      <c r="CA58" s="3763">
        <f ca="1">OFFSET(InputY!$G$3,0,(COLUMN()-7)/4)</f>
        <v>2013</v>
      </c>
      <c r="CB58" s="3764"/>
      <c r="CC58" s="3764"/>
      <c r="CD58" s="3765"/>
      <c r="CE58" s="3763">
        <f ca="1">OFFSET(InputY!$G$3,0,(COLUMN()-7)/4)</f>
        <v>2014</v>
      </c>
      <c r="CF58" s="3764"/>
      <c r="CG58" s="3764"/>
      <c r="CH58" s="3765"/>
      <c r="CI58" s="3763">
        <f ca="1">OFFSET(InputY!$G$3,0,(COLUMN()-7)/4)</f>
        <v>2015</v>
      </c>
      <c r="CJ58" s="3764"/>
      <c r="CK58" s="3764"/>
      <c r="CL58" s="3765"/>
      <c r="CM58" s="3763">
        <f ca="1">OFFSET(InputY!$G$3,0,(COLUMN()-7)/4)</f>
        <v>2016</v>
      </c>
      <c r="CN58" s="3764"/>
      <c r="CO58" s="3764"/>
      <c r="CP58" s="3765"/>
      <c r="CQ58" s="3763">
        <f ca="1">OFFSET(InputY!$G$3,0,(COLUMN()-7)/4)</f>
        <v>2017</v>
      </c>
      <c r="CR58" s="3764"/>
      <c r="CS58" s="3764"/>
      <c r="CT58" s="3765"/>
      <c r="CU58" s="3763">
        <f ca="1">OFFSET(InputY!$G$3,0,(COLUMN()-7)/4)</f>
        <v>2018</v>
      </c>
      <c r="CV58" s="3764"/>
      <c r="CW58" s="3764"/>
      <c r="CX58" s="3765"/>
      <c r="CY58" s="3763">
        <f ca="1">OFFSET(InputY!$G$3,0,(COLUMN()-7)/4)</f>
        <v>2019</v>
      </c>
      <c r="CZ58" s="3764"/>
      <c r="DA58" s="3764"/>
      <c r="DB58" s="3765"/>
    </row>
    <row r="59" spans="1:119" s="699" customFormat="1" ht="12.75" customHeight="1">
      <c r="A59" s="664"/>
      <c r="B59" s="664"/>
      <c r="C59" s="666"/>
      <c r="D59" s="695"/>
      <c r="E59" s="3618" t="s">
        <v>1892</v>
      </c>
      <c r="F59" s="3619"/>
      <c r="G59" s="1566" t="s">
        <v>1842</v>
      </c>
      <c r="H59" s="1567" t="s">
        <v>1843</v>
      </c>
      <c r="I59" s="1567" t="s">
        <v>1844</v>
      </c>
      <c r="J59" s="1568" t="s">
        <v>1845</v>
      </c>
      <c r="K59" s="1566" t="s">
        <v>1842</v>
      </c>
      <c r="L59" s="1567" t="s">
        <v>1843</v>
      </c>
      <c r="M59" s="1567" t="s">
        <v>1844</v>
      </c>
      <c r="N59" s="1568" t="s">
        <v>1845</v>
      </c>
      <c r="O59" s="1566" t="s">
        <v>1842</v>
      </c>
      <c r="P59" s="1567" t="s">
        <v>1843</v>
      </c>
      <c r="Q59" s="1567" t="s">
        <v>1844</v>
      </c>
      <c r="R59" s="1568" t="s">
        <v>1845</v>
      </c>
      <c r="S59" s="1566" t="s">
        <v>1842</v>
      </c>
      <c r="T59" s="1567" t="s">
        <v>1843</v>
      </c>
      <c r="U59" s="1567" t="s">
        <v>1844</v>
      </c>
      <c r="V59" s="1568" t="s">
        <v>1845</v>
      </c>
      <c r="W59" s="1566" t="s">
        <v>1842</v>
      </c>
      <c r="X59" s="1567" t="s">
        <v>1843</v>
      </c>
      <c r="Y59" s="1567" t="s">
        <v>1844</v>
      </c>
      <c r="Z59" s="1568" t="s">
        <v>1845</v>
      </c>
      <c r="AA59" s="1566" t="s">
        <v>1842</v>
      </c>
      <c r="AB59" s="1567" t="s">
        <v>1843</v>
      </c>
      <c r="AC59" s="1567" t="s">
        <v>1844</v>
      </c>
      <c r="AD59" s="1568" t="s">
        <v>1845</v>
      </c>
      <c r="AE59" s="1566" t="s">
        <v>1842</v>
      </c>
      <c r="AF59" s="1567" t="s">
        <v>1843</v>
      </c>
      <c r="AG59" s="1567" t="s">
        <v>1844</v>
      </c>
      <c r="AH59" s="1568" t="s">
        <v>1845</v>
      </c>
      <c r="AI59" s="1566" t="s">
        <v>1842</v>
      </c>
      <c r="AJ59" s="1567" t="s">
        <v>1843</v>
      </c>
      <c r="AK59" s="1567" t="s">
        <v>1844</v>
      </c>
      <c r="AL59" s="1568" t="s">
        <v>1845</v>
      </c>
      <c r="AM59" s="1566" t="s">
        <v>1842</v>
      </c>
      <c r="AN59" s="1567" t="s">
        <v>1843</v>
      </c>
      <c r="AO59" s="1567" t="s">
        <v>1844</v>
      </c>
      <c r="AP59" s="1568" t="s">
        <v>1845</v>
      </c>
      <c r="AQ59" s="1566" t="s">
        <v>1842</v>
      </c>
      <c r="AR59" s="1567" t="s">
        <v>1843</v>
      </c>
      <c r="AS59" s="1567" t="s">
        <v>1844</v>
      </c>
      <c r="AT59" s="1568" t="s">
        <v>1845</v>
      </c>
      <c r="AU59" s="1566" t="s">
        <v>1842</v>
      </c>
      <c r="AV59" s="1567" t="s">
        <v>1843</v>
      </c>
      <c r="AW59" s="1567" t="s">
        <v>1844</v>
      </c>
      <c r="AX59" s="1568" t="s">
        <v>1845</v>
      </c>
      <c r="AY59" s="1566" t="s">
        <v>1842</v>
      </c>
      <c r="AZ59" s="1567" t="s">
        <v>1843</v>
      </c>
      <c r="BA59" s="1567" t="s">
        <v>1844</v>
      </c>
      <c r="BB59" s="1568" t="s">
        <v>1845</v>
      </c>
      <c r="BC59" s="1566" t="s">
        <v>1842</v>
      </c>
      <c r="BD59" s="1567" t="s">
        <v>1843</v>
      </c>
      <c r="BE59" s="1567" t="s">
        <v>1844</v>
      </c>
      <c r="BF59" s="1568" t="s">
        <v>1845</v>
      </c>
      <c r="BG59" s="1566" t="s">
        <v>1842</v>
      </c>
      <c r="BH59" s="1567" t="s">
        <v>1843</v>
      </c>
      <c r="BI59" s="1567" t="s">
        <v>1844</v>
      </c>
      <c r="BJ59" s="1568" t="s">
        <v>1845</v>
      </c>
      <c r="BK59" s="1566" t="s">
        <v>1842</v>
      </c>
      <c r="BL59" s="1567" t="s">
        <v>1843</v>
      </c>
      <c r="BM59" s="1567" t="s">
        <v>1844</v>
      </c>
      <c r="BN59" s="1568" t="s">
        <v>1845</v>
      </c>
      <c r="BO59" s="1566" t="s">
        <v>1842</v>
      </c>
      <c r="BP59" s="1567" t="s">
        <v>1843</v>
      </c>
      <c r="BQ59" s="1567" t="s">
        <v>1844</v>
      </c>
      <c r="BR59" s="1568" t="s">
        <v>1845</v>
      </c>
      <c r="BS59" s="1566" t="s">
        <v>1842</v>
      </c>
      <c r="BT59" s="1567" t="s">
        <v>1843</v>
      </c>
      <c r="BU59" s="1567" t="s">
        <v>1844</v>
      </c>
      <c r="BV59" s="1568" t="s">
        <v>1845</v>
      </c>
      <c r="BW59" s="1566" t="s">
        <v>1842</v>
      </c>
      <c r="BX59" s="1567" t="s">
        <v>1843</v>
      </c>
      <c r="BY59" s="1567" t="s">
        <v>1844</v>
      </c>
      <c r="BZ59" s="1568" t="s">
        <v>1845</v>
      </c>
      <c r="CA59" s="1566" t="s">
        <v>1842</v>
      </c>
      <c r="CB59" s="1567" t="s">
        <v>1843</v>
      </c>
      <c r="CC59" s="1567" t="s">
        <v>1844</v>
      </c>
      <c r="CD59" s="1568" t="s">
        <v>1845</v>
      </c>
      <c r="CE59" s="1566" t="s">
        <v>1842</v>
      </c>
      <c r="CF59" s="1567" t="s">
        <v>1843</v>
      </c>
      <c r="CG59" s="1567" t="s">
        <v>1844</v>
      </c>
      <c r="CH59" s="1568" t="s">
        <v>1845</v>
      </c>
      <c r="CI59" s="1566" t="s">
        <v>1842</v>
      </c>
      <c r="CJ59" s="1567" t="s">
        <v>1843</v>
      </c>
      <c r="CK59" s="1567" t="s">
        <v>1844</v>
      </c>
      <c r="CL59" s="1568" t="s">
        <v>1845</v>
      </c>
      <c r="CM59" s="1566" t="s">
        <v>1842</v>
      </c>
      <c r="CN59" s="1567" t="s">
        <v>1843</v>
      </c>
      <c r="CO59" s="1567" t="s">
        <v>1844</v>
      </c>
      <c r="CP59" s="1568" t="s">
        <v>1845</v>
      </c>
      <c r="CQ59" s="1566" t="s">
        <v>1842</v>
      </c>
      <c r="CR59" s="1567" t="s">
        <v>1843</v>
      </c>
      <c r="CS59" s="1567" t="s">
        <v>1844</v>
      </c>
      <c r="CT59" s="1568" t="s">
        <v>1845</v>
      </c>
      <c r="CU59" s="1566" t="s">
        <v>1842</v>
      </c>
      <c r="CV59" s="1567" t="s">
        <v>1843</v>
      </c>
      <c r="CW59" s="1567" t="s">
        <v>1844</v>
      </c>
      <c r="CX59" s="1568" t="s">
        <v>1845</v>
      </c>
      <c r="CY59" s="1566" t="s">
        <v>1842</v>
      </c>
      <c r="CZ59" s="1567" t="s">
        <v>1843</v>
      </c>
      <c r="DA59" s="1567" t="s">
        <v>1844</v>
      </c>
      <c r="DB59" s="1568" t="s">
        <v>1845</v>
      </c>
      <c r="DC59"/>
      <c r="DD59"/>
      <c r="DE59"/>
      <c r="DF59"/>
      <c r="DG59"/>
      <c r="DH59"/>
      <c r="DI59"/>
      <c r="DJ59"/>
      <c r="DK59"/>
      <c r="DL59"/>
      <c r="DM59"/>
      <c r="DN59"/>
      <c r="DO59"/>
    </row>
    <row r="60" spans="1:119" s="699" customFormat="1" ht="12.75" customHeight="1">
      <c r="A60" s="664" t="str">
        <f>"Q" &amp; ROW(InputQ!A62)</f>
        <v>Q62</v>
      </c>
      <c r="C60" s="3069" t="s">
        <v>1767</v>
      </c>
      <c r="D60" s="668"/>
      <c r="E60" s="3620" t="s">
        <v>1789</v>
      </c>
      <c r="F60" s="3621"/>
      <c r="G60" s="780" t="e">
        <f>InputQ!G62/1000</f>
        <v>#VALUE!</v>
      </c>
      <c r="H60" s="780" t="e">
        <f>InputQ!H62/1000</f>
        <v>#VALUE!</v>
      </c>
      <c r="I60" s="780" t="e">
        <f>InputQ!I62/1000</f>
        <v>#VALUE!</v>
      </c>
      <c r="J60" s="780" t="e">
        <f>InputQ!J62/1000</f>
        <v>#VALUE!</v>
      </c>
      <c r="K60" s="780" t="e">
        <f>InputQ!K62/1000</f>
        <v>#VALUE!</v>
      </c>
      <c r="L60" s="780" t="e">
        <f>InputQ!L62/1000</f>
        <v>#VALUE!</v>
      </c>
      <c r="M60" s="780" t="e">
        <f>InputQ!M62/1000</f>
        <v>#VALUE!</v>
      </c>
      <c r="N60" s="780" t="e">
        <f>InputQ!N62/1000</f>
        <v>#VALUE!</v>
      </c>
      <c r="O60" s="780" t="e">
        <f>InputQ!O62/1000</f>
        <v>#VALUE!</v>
      </c>
      <c r="P60" s="780" t="e">
        <f>InputQ!P62/1000</f>
        <v>#VALUE!</v>
      </c>
      <c r="Q60" s="780" t="e">
        <f>InputQ!Q62/1000</f>
        <v>#VALUE!</v>
      </c>
      <c r="R60" s="780" t="e">
        <f>InputQ!R62/1000</f>
        <v>#VALUE!</v>
      </c>
      <c r="S60" s="780" t="e">
        <f>InputQ!S62/1000</f>
        <v>#VALUE!</v>
      </c>
      <c r="T60" s="780" t="e">
        <f>InputQ!T62/1000</f>
        <v>#VALUE!</v>
      </c>
      <c r="U60" s="780" t="e">
        <f>InputQ!U62/1000</f>
        <v>#VALUE!</v>
      </c>
      <c r="V60" s="780" t="e">
        <f>InputQ!V62/1000</f>
        <v>#VALUE!</v>
      </c>
      <c r="W60" s="780" t="e">
        <f>InputQ!W62/1000</f>
        <v>#VALUE!</v>
      </c>
      <c r="X60" s="780" t="e">
        <f>InputQ!X62/1000</f>
        <v>#VALUE!</v>
      </c>
      <c r="Y60" s="780" t="e">
        <f>InputQ!Y62/1000</f>
        <v>#VALUE!</v>
      </c>
      <c r="Z60" s="780" t="e">
        <f>InputQ!Z62/1000</f>
        <v>#VALUE!</v>
      </c>
      <c r="AA60" s="780" t="e">
        <f>InputQ!AA62/1000</f>
        <v>#VALUE!</v>
      </c>
      <c r="AB60" s="780" t="e">
        <f>InputQ!AB62/1000</f>
        <v>#VALUE!</v>
      </c>
      <c r="AC60" s="780" t="e">
        <f>InputQ!AC62/1000</f>
        <v>#VALUE!</v>
      </c>
      <c r="AD60" s="780" t="e">
        <f>InputQ!AD62/1000</f>
        <v>#VALUE!</v>
      </c>
      <c r="AE60" s="780" t="e">
        <f>InputQ!AE62/1000</f>
        <v>#VALUE!</v>
      </c>
      <c r="AF60" s="780" t="e">
        <f>InputQ!AF62/1000</f>
        <v>#VALUE!</v>
      </c>
      <c r="AG60" s="780" t="e">
        <f>InputQ!AG62/1000</f>
        <v>#VALUE!</v>
      </c>
      <c r="AH60" s="780" t="e">
        <f>InputQ!AH62/1000</f>
        <v>#VALUE!</v>
      </c>
      <c r="AI60" s="780" t="e">
        <f>InputQ!AI62/1000</f>
        <v>#VALUE!</v>
      </c>
      <c r="AJ60" s="780" t="e">
        <f>InputQ!AJ62/1000</f>
        <v>#VALUE!</v>
      </c>
      <c r="AK60" s="780" t="e">
        <f>InputQ!AK62/1000</f>
        <v>#VALUE!</v>
      </c>
      <c r="AL60" s="780" t="e">
        <f>InputQ!AL62/1000</f>
        <v>#VALUE!</v>
      </c>
      <c r="AM60" s="780" t="e">
        <f>InputQ!AM62/1000</f>
        <v>#VALUE!</v>
      </c>
      <c r="AN60" s="780" t="e">
        <f>InputQ!AN62/1000</f>
        <v>#VALUE!</v>
      </c>
      <c r="AO60" s="780" t="e">
        <f>InputQ!AO62/1000</f>
        <v>#VALUE!</v>
      </c>
      <c r="AP60" s="780" t="e">
        <f>InputQ!AP62/1000</f>
        <v>#VALUE!</v>
      </c>
      <c r="AQ60" s="780" t="e">
        <f>InputQ!AQ62/1000</f>
        <v>#VALUE!</v>
      </c>
      <c r="AR60" s="780" t="e">
        <f>InputQ!AR62/1000</f>
        <v>#VALUE!</v>
      </c>
      <c r="AS60" s="780" t="e">
        <f>InputQ!AS62/1000</f>
        <v>#VALUE!</v>
      </c>
      <c r="AT60" s="780" t="e">
        <f>InputQ!AT62/1000</f>
        <v>#VALUE!</v>
      </c>
      <c r="AU60" s="780" t="e">
        <f>InputQ!AU62/1000</f>
        <v>#VALUE!</v>
      </c>
      <c r="AV60" s="780" t="e">
        <f>InputQ!AV62/1000</f>
        <v>#VALUE!</v>
      </c>
      <c r="AW60" s="780" t="e">
        <f>InputQ!AW62/1000</f>
        <v>#VALUE!</v>
      </c>
      <c r="AX60" s="780" t="e">
        <f>InputQ!AX62/1000</f>
        <v>#VALUE!</v>
      </c>
      <c r="AY60" s="780" t="e">
        <f>InputQ!AY62/1000</f>
        <v>#VALUE!</v>
      </c>
      <c r="AZ60" s="780" t="e">
        <f>InputQ!AZ62/1000</f>
        <v>#VALUE!</v>
      </c>
      <c r="BA60" s="780" t="e">
        <f>InputQ!BA62/1000</f>
        <v>#VALUE!</v>
      </c>
      <c r="BB60" s="780" t="e">
        <f>InputQ!BB62/1000</f>
        <v>#VALUE!</v>
      </c>
      <c r="BC60" s="780" t="e">
        <f>InputQ!BC62/1000</f>
        <v>#VALUE!</v>
      </c>
      <c r="BD60" s="780" t="e">
        <f>InputQ!BD62/1000</f>
        <v>#VALUE!</v>
      </c>
      <c r="BE60" s="780" t="e">
        <f>InputQ!BE62/1000</f>
        <v>#VALUE!</v>
      </c>
      <c r="BF60" s="780" t="e">
        <f>InputQ!BF62/1000</f>
        <v>#VALUE!</v>
      </c>
      <c r="BG60" s="780" t="e">
        <f>InputQ!BG62/1000</f>
        <v>#VALUE!</v>
      </c>
      <c r="BH60" s="780" t="e">
        <f>InputQ!BH62/1000</f>
        <v>#VALUE!</v>
      </c>
      <c r="BI60" s="780" t="e">
        <f>InputQ!BI62/1000</f>
        <v>#VALUE!</v>
      </c>
      <c r="BJ60" s="780" t="e">
        <f>InputQ!BJ62/1000</f>
        <v>#VALUE!</v>
      </c>
      <c r="BK60" s="1591" t="e">
        <f t="shared" ref="BK60:BZ60" si="150">+BJ60*(1+BK76/100)</f>
        <v>#VALUE!</v>
      </c>
      <c r="BL60" s="1591" t="e">
        <f t="shared" si="150"/>
        <v>#VALUE!</v>
      </c>
      <c r="BM60" s="1591" t="e">
        <f t="shared" si="150"/>
        <v>#VALUE!</v>
      </c>
      <c r="BN60" s="1591" t="e">
        <f t="shared" si="150"/>
        <v>#VALUE!</v>
      </c>
      <c r="BO60" s="1591" t="e">
        <f t="shared" si="150"/>
        <v>#VALUE!</v>
      </c>
      <c r="BP60" s="1591" t="e">
        <f t="shared" si="150"/>
        <v>#VALUE!</v>
      </c>
      <c r="BQ60" s="1591" t="e">
        <f t="shared" si="150"/>
        <v>#VALUE!</v>
      </c>
      <c r="BR60" s="1591" t="e">
        <f t="shared" si="150"/>
        <v>#VALUE!</v>
      </c>
      <c r="BS60" s="1591" t="e">
        <f>+BR60*(1+BS76/100)</f>
        <v>#VALUE!</v>
      </c>
      <c r="BT60" s="1591" t="e">
        <f>+BS60*(1+BT76/100)</f>
        <v>#VALUE!</v>
      </c>
      <c r="BU60" s="1591" t="e">
        <f>+BT60*(1+BU76/100)</f>
        <v>#VALUE!</v>
      </c>
      <c r="BV60" s="1591" t="e">
        <f>+BU60*(1+BV76/100)</f>
        <v>#VALUE!</v>
      </c>
      <c r="BW60" s="1591" t="e">
        <f t="shared" si="150"/>
        <v>#VALUE!</v>
      </c>
      <c r="BX60" s="1591" t="e">
        <f t="shared" si="150"/>
        <v>#VALUE!</v>
      </c>
      <c r="BY60" s="1591" t="e">
        <f t="shared" si="150"/>
        <v>#VALUE!</v>
      </c>
      <c r="BZ60" s="1591" t="e">
        <f t="shared" si="150"/>
        <v>#VALUE!</v>
      </c>
      <c r="CA60" s="1591" t="e">
        <f t="shared" ref="CA60:CH60" si="151">+BZ60*(1+CA76/100)</f>
        <v>#VALUE!</v>
      </c>
      <c r="CB60" s="1591" t="e">
        <f t="shared" si="151"/>
        <v>#VALUE!</v>
      </c>
      <c r="CC60" s="1591" t="e">
        <f>+CB60*(1+CC76/100)</f>
        <v>#VALUE!</v>
      </c>
      <c r="CD60" s="1591" t="e">
        <f t="shared" si="151"/>
        <v>#VALUE!</v>
      </c>
      <c r="CE60" s="1591" t="e">
        <f t="shared" si="151"/>
        <v>#VALUE!</v>
      </c>
      <c r="CF60" s="1591" t="e">
        <f t="shared" si="151"/>
        <v>#VALUE!</v>
      </c>
      <c r="CG60" s="1591" t="e">
        <f t="shared" si="151"/>
        <v>#VALUE!</v>
      </c>
      <c r="CH60" s="1591" t="e">
        <f t="shared" si="151"/>
        <v>#VALUE!</v>
      </c>
      <c r="CI60" s="1591" t="e">
        <f t="shared" ref="CI60:CO60" si="152">+CH60*(1+CI76/100)</f>
        <v>#VALUE!</v>
      </c>
      <c r="CJ60" s="1591" t="e">
        <f t="shared" si="152"/>
        <v>#VALUE!</v>
      </c>
      <c r="CK60" s="1591" t="e">
        <f t="shared" si="152"/>
        <v>#VALUE!</v>
      </c>
      <c r="CL60" s="1591" t="e">
        <f t="shared" si="152"/>
        <v>#VALUE!</v>
      </c>
      <c r="CM60" s="1591" t="e">
        <f t="shared" si="152"/>
        <v>#VALUE!</v>
      </c>
      <c r="CN60" s="1591" t="e">
        <f t="shared" si="152"/>
        <v>#VALUE!</v>
      </c>
      <c r="CO60" s="1591" t="e">
        <f t="shared" si="152"/>
        <v>#VALUE!</v>
      </c>
      <c r="CP60" s="1591" t="e">
        <f t="shared" ref="CP60:CX60" si="153">+CO60*(1+CP76/100)</f>
        <v>#VALUE!</v>
      </c>
      <c r="CQ60" s="1591" t="e">
        <f t="shared" si="153"/>
        <v>#VALUE!</v>
      </c>
      <c r="CR60" s="1591" t="e">
        <f t="shared" si="153"/>
        <v>#VALUE!</v>
      </c>
      <c r="CS60" s="1591" t="e">
        <f t="shared" si="153"/>
        <v>#VALUE!</v>
      </c>
      <c r="CT60" s="1591" t="e">
        <f t="shared" si="153"/>
        <v>#VALUE!</v>
      </c>
      <c r="CU60" s="1591" t="e">
        <f t="shared" si="153"/>
        <v>#VALUE!</v>
      </c>
      <c r="CV60" s="1591" t="e">
        <f t="shared" si="153"/>
        <v>#VALUE!</v>
      </c>
      <c r="CW60" s="1591" t="e">
        <f t="shared" si="153"/>
        <v>#VALUE!</v>
      </c>
      <c r="CX60" s="1591" t="e">
        <f t="shared" si="153"/>
        <v>#VALUE!</v>
      </c>
      <c r="CY60" s="1591" t="e">
        <f t="shared" ref="CY60" si="154">+CX60*(1+CY76/100)</f>
        <v>#VALUE!</v>
      </c>
      <c r="CZ60" s="1591" t="e">
        <f t="shared" ref="CZ60" si="155">+CY60*(1+CZ76/100)</f>
        <v>#VALUE!</v>
      </c>
      <c r="DA60" s="1591" t="e">
        <f t="shared" ref="DA60" si="156">+CZ60*(1+DA76/100)</f>
        <v>#VALUE!</v>
      </c>
      <c r="DB60" s="1591" t="e">
        <f t="shared" ref="DB60" si="157">+DA60*(1+DB76/100)</f>
        <v>#VALUE!</v>
      </c>
      <c r="DC60"/>
      <c r="DD60"/>
      <c r="DE60"/>
      <c r="DF60"/>
      <c r="DG60"/>
      <c r="DH60"/>
      <c r="DI60"/>
      <c r="DJ60"/>
      <c r="DK60"/>
      <c r="DL60"/>
      <c r="DM60"/>
      <c r="DN60"/>
      <c r="DO60"/>
    </row>
    <row r="61" spans="1:119" s="699" customFormat="1" ht="12.75" customHeight="1">
      <c r="A61" s="664"/>
      <c r="C61" s="3070"/>
      <c r="D61" s="679"/>
      <c r="E61" s="680" t="s">
        <v>266</v>
      </c>
      <c r="F61" s="1908"/>
      <c r="G61" s="3064"/>
      <c r="H61" s="3064"/>
      <c r="I61" s="3066"/>
      <c r="J61" s="1575" t="e">
        <f>SUM(G60:J60)</f>
        <v>#VALUE!</v>
      </c>
      <c r="K61" s="3064"/>
      <c r="L61" s="3064"/>
      <c r="M61" s="3066"/>
      <c r="N61" s="1575" t="e">
        <f>SUM(K60:N60)</f>
        <v>#VALUE!</v>
      </c>
      <c r="O61" s="3064"/>
      <c r="P61" s="3064"/>
      <c r="Q61" s="3066"/>
      <c r="R61" s="1575" t="e">
        <f>SUM(O60:R60)</f>
        <v>#VALUE!</v>
      </c>
      <c r="S61" s="3064"/>
      <c r="T61" s="3064"/>
      <c r="U61" s="3066"/>
      <c r="V61" s="1575" t="e">
        <f>SUM(S60:V60)</f>
        <v>#VALUE!</v>
      </c>
      <c r="W61" s="3064"/>
      <c r="X61" s="3064"/>
      <c r="Y61" s="3066"/>
      <c r="Z61" s="1575" t="e">
        <f>SUM(W60:Z60)</f>
        <v>#VALUE!</v>
      </c>
      <c r="AA61" s="3064"/>
      <c r="AB61" s="3064"/>
      <c r="AC61" s="3066"/>
      <c r="AD61" s="1575" t="e">
        <f>SUM(AA60:AD60)</f>
        <v>#VALUE!</v>
      </c>
      <c r="AE61" s="3064"/>
      <c r="AF61" s="3064"/>
      <c r="AG61" s="3066"/>
      <c r="AH61" s="1575" t="e">
        <f>SUM(AE60:AH60)</f>
        <v>#VALUE!</v>
      </c>
      <c r="AI61" s="3064"/>
      <c r="AJ61" s="3064"/>
      <c r="AK61" s="3066"/>
      <c r="AL61" s="1575" t="e">
        <f>SUM(AI60:AL60)</f>
        <v>#VALUE!</v>
      </c>
      <c r="AM61" s="3064"/>
      <c r="AN61" s="3064"/>
      <c r="AO61" s="3066"/>
      <c r="AP61" s="1575" t="e">
        <f>SUM(AM60:AP60)</f>
        <v>#VALUE!</v>
      </c>
      <c r="AQ61" s="3064"/>
      <c r="AR61" s="3064"/>
      <c r="AS61" s="3066"/>
      <c r="AT61" s="1575" t="e">
        <f>SUM(AQ60:AT60)</f>
        <v>#VALUE!</v>
      </c>
      <c r="AU61" s="3064"/>
      <c r="AV61" s="3064"/>
      <c r="AW61" s="3066"/>
      <c r="AX61" s="1575" t="e">
        <f>SUM(AU60:AX60)</f>
        <v>#VALUE!</v>
      </c>
      <c r="AY61" s="3064"/>
      <c r="AZ61" s="3064"/>
      <c r="BA61" s="3066"/>
      <c r="BB61" s="1575" t="e">
        <f>SUM(AY60:BB60)</f>
        <v>#VALUE!</v>
      </c>
      <c r="BC61" s="3064"/>
      <c r="BD61" s="3064"/>
      <c r="BE61" s="3066"/>
      <c r="BF61" s="1575" t="e">
        <f>SUM(BC60:BF60)</f>
        <v>#VALUE!</v>
      </c>
      <c r="BG61" s="3064"/>
      <c r="BH61" s="3064"/>
      <c r="BI61" s="3066"/>
      <c r="BJ61" s="1575" t="e">
        <f>SUM(BG60:BJ60)</f>
        <v>#VALUE!</v>
      </c>
      <c r="BK61" s="3064"/>
      <c r="BL61" s="3064"/>
      <c r="BM61" s="3066"/>
      <c r="BN61" s="1575" t="e">
        <f>SUM(BK60:BN60)</f>
        <v>#VALUE!</v>
      </c>
      <c r="BO61" s="3064"/>
      <c r="BP61" s="3064"/>
      <c r="BQ61" s="3066"/>
      <c r="BR61" s="1575" t="e">
        <f>SUM(BO60:BR60)</f>
        <v>#VALUE!</v>
      </c>
      <c r="BS61" s="3064"/>
      <c r="BT61" s="3064"/>
      <c r="BU61" s="3066"/>
      <c r="BV61" s="1575" t="e">
        <f>SUM(BS60:BV60)</f>
        <v>#VALUE!</v>
      </c>
      <c r="BW61" s="3064"/>
      <c r="BX61" s="3064"/>
      <c r="BY61" s="3066"/>
      <c r="BZ61" s="1575" t="e">
        <f>SUM(BW60:BZ60)</f>
        <v>#VALUE!</v>
      </c>
      <c r="CA61" s="3064"/>
      <c r="CB61" s="3064"/>
      <c r="CC61" s="3066"/>
      <c r="CD61" s="1575" t="e">
        <f>SUM(CA60:CD60)</f>
        <v>#VALUE!</v>
      </c>
      <c r="CE61" s="3064"/>
      <c r="CF61" s="3064"/>
      <c r="CG61" s="3066"/>
      <c r="CH61" s="1575" t="e">
        <f>SUM(CE60:CH60)</f>
        <v>#VALUE!</v>
      </c>
      <c r="CI61" s="3064"/>
      <c r="CJ61" s="3064"/>
      <c r="CK61" s="3066"/>
      <c r="CL61" s="1575" t="e">
        <f>SUM(CI60:CL60)</f>
        <v>#VALUE!</v>
      </c>
      <c r="CM61" s="3064"/>
      <c r="CN61" s="3064"/>
      <c r="CO61" s="3066"/>
      <c r="CP61" s="1575" t="e">
        <f>SUM(CM60:CP60)</f>
        <v>#VALUE!</v>
      </c>
      <c r="CQ61" s="3064"/>
      <c r="CR61" s="3064"/>
      <c r="CS61" s="3066"/>
      <c r="CT61" s="1575" t="e">
        <f>SUM(CQ60:CT60)</f>
        <v>#VALUE!</v>
      </c>
      <c r="CU61" s="3064"/>
      <c r="CV61" s="3064"/>
      <c r="CW61" s="3066"/>
      <c r="CX61" s="1575" t="e">
        <f>SUM(CU60:CX60)</f>
        <v>#VALUE!</v>
      </c>
      <c r="CY61" s="3064"/>
      <c r="CZ61" s="3064"/>
      <c r="DA61" s="3066"/>
      <c r="DB61" s="1575" t="e">
        <f>SUM(CY60:DB60)</f>
        <v>#VALUE!</v>
      </c>
      <c r="DC61"/>
      <c r="DD61"/>
      <c r="DE61"/>
      <c r="DF61"/>
      <c r="DG61"/>
      <c r="DH61"/>
      <c r="DI61"/>
      <c r="DJ61"/>
      <c r="DK61"/>
      <c r="DL61"/>
      <c r="DM61"/>
      <c r="DN61"/>
      <c r="DO61"/>
    </row>
    <row r="62" spans="1:119" s="699" customFormat="1" ht="12.75" customHeight="1">
      <c r="A62" s="664"/>
      <c r="C62" s="3070"/>
      <c r="D62" s="679"/>
      <c r="E62" s="680" t="s">
        <v>1847</v>
      </c>
      <c r="F62" s="1908"/>
      <c r="G62" s="3064"/>
      <c r="H62" s="3067" t="s">
        <v>757</v>
      </c>
      <c r="I62" s="3064" t="e">
        <f ca="1">+J62/J61*100</f>
        <v>#VALUE!</v>
      </c>
      <c r="J62" s="1575">
        <f ca="1">OFFSET('VVP2'!$G$27,0,(COLUMN()-10)/4)</f>
        <v>0.3815659260843095</v>
      </c>
      <c r="K62" s="3064"/>
      <c r="L62" s="3067" t="s">
        <v>757</v>
      </c>
      <c r="M62" s="3064" t="e">
        <f ca="1">+N62/N61*100</f>
        <v>#VALUE!</v>
      </c>
      <c r="N62" s="1575">
        <f ca="1">OFFSET('VVP2'!$G$27,0,(COLUMN()-10)/4)</f>
        <v>0.58096263770138623</v>
      </c>
      <c r="O62" s="3064"/>
      <c r="P62" s="3067" t="s">
        <v>757</v>
      </c>
      <c r="Q62" s="3064" t="e">
        <f ca="1">+R62/R61*100</f>
        <v>#VALUE!</v>
      </c>
      <c r="R62" s="1575">
        <f ca="1">OFFSET('VVP2'!$G$27,0,(COLUMN()-10)/4)</f>
        <v>0.79030878799724424</v>
      </c>
      <c r="S62" s="3064"/>
      <c r="T62" s="3067" t="s">
        <v>757</v>
      </c>
      <c r="U62" s="3064" t="e">
        <f ca="1">+V62/V61*100</f>
        <v>#VALUE!</v>
      </c>
      <c r="V62" s="1575">
        <f ca="1">OFFSET('VVP2'!$G$27,0,(COLUMN()-10)/4)</f>
        <v>0.94076973320196788</v>
      </c>
      <c r="W62" s="3064"/>
      <c r="X62" s="3067" t="s">
        <v>757</v>
      </c>
      <c r="Y62" s="3064" t="e">
        <f ca="1">+Z62/Z61*100</f>
        <v>#VALUE!</v>
      </c>
      <c r="Z62" s="1575">
        <f ca="1">OFFSET('VVP2'!$G$27,0,(COLUMN()-10)/4)</f>
        <v>0.90611563093673042</v>
      </c>
      <c r="AA62" s="3064"/>
      <c r="AB62" s="3067" t="s">
        <v>757</v>
      </c>
      <c r="AC62" s="3064" t="e">
        <f ca="1">+AD62/AD61*100</f>
        <v>#VALUE!</v>
      </c>
      <c r="AD62" s="1575">
        <f ca="1">OFFSET('VVP2'!$G$27,0,(COLUMN()-10)/4)</f>
        <v>0.8851872596014283</v>
      </c>
      <c r="AE62" s="3064"/>
      <c r="AF62" s="3067" t="s">
        <v>757</v>
      </c>
      <c r="AG62" s="3064" t="e">
        <f ca="1">+AH62/AH61*100</f>
        <v>#VALUE!</v>
      </c>
      <c r="AH62" s="1575">
        <f ca="1">OFFSET('VVP2'!$G$27,0,(COLUMN()-10)/4)</f>
        <v>1.0908286114701735</v>
      </c>
      <c r="AI62" s="3064"/>
      <c r="AJ62" s="3067" t="s">
        <v>757</v>
      </c>
      <c r="AK62" s="3064" t="e">
        <f ca="1">+AL62/AL61*100</f>
        <v>#VALUE!</v>
      </c>
      <c r="AL62" s="1575">
        <f ca="1">OFFSET('VVP2'!$G$27,0,(COLUMN()-10)/4)</f>
        <v>1.2016812946178161</v>
      </c>
      <c r="AM62" s="3064"/>
      <c r="AN62" s="3067" t="s">
        <v>757</v>
      </c>
      <c r="AO62" s="3064" t="e">
        <f ca="1">+AP62/AP61*100</f>
        <v>#VALUE!</v>
      </c>
      <c r="AP62" s="1575">
        <f ca="1">OFFSET('VVP2'!$G$27,0,(COLUMN()-10)/4)</f>
        <v>1.2830974019518255</v>
      </c>
      <c r="AQ62" s="3064"/>
      <c r="AR62" s="3067" t="s">
        <v>757</v>
      </c>
      <c r="AS62" s="3064" t="e">
        <f ca="1">+AT62/AT61*100</f>
        <v>#VALUE!</v>
      </c>
      <c r="AT62" s="1575">
        <f ca="1">OFFSET('VVP2'!$G$27,0,(COLUMN()-10)/4)</f>
        <v>1.6984300000000001</v>
      </c>
      <c r="AU62" s="3064"/>
      <c r="AV62" s="3067" t="s">
        <v>757</v>
      </c>
      <c r="AW62" s="3064" t="e">
        <f ca="1">+AX62/AX61*100</f>
        <v>#VALUE!</v>
      </c>
      <c r="AX62" s="1575">
        <f ca="1">OFFSET('VVP2'!$G$27,0,(COLUMN()-10)/4)</f>
        <v>1.9031</v>
      </c>
      <c r="AY62" s="3064"/>
      <c r="AZ62" s="3067" t="s">
        <v>757</v>
      </c>
      <c r="BA62" s="3064" t="e">
        <f ca="1">+BB62/BB61*100</f>
        <v>#VALUE!</v>
      </c>
      <c r="BB62" s="1575">
        <f ca="1">OFFSET('VVP2'!$G$27,0,(COLUMN()-10)/4)</f>
        <v>2.2276199999999999</v>
      </c>
      <c r="BC62" s="3064"/>
      <c r="BD62" s="3067" t="s">
        <v>757</v>
      </c>
      <c r="BE62" s="3064" t="e">
        <f ca="1">+BF62/BF61*100</f>
        <v>#VALUE!</v>
      </c>
      <c r="BF62" s="1575">
        <f ca="1">OFFSET('VVP2'!$G$27,0,(COLUMN()-10)/4)</f>
        <v>2.74457</v>
      </c>
      <c r="BG62" s="3064"/>
      <c r="BH62" s="3067" t="s">
        <v>757</v>
      </c>
      <c r="BI62" s="3064" t="e">
        <f ca="1">+BJ62/BJ61*100</f>
        <v>#VALUE!</v>
      </c>
      <c r="BJ62" s="1575">
        <f ca="1">OFFSET('VVP2'!$G$27,0,(COLUMN()-10)/4)</f>
        <v>2.2654099999999997</v>
      </c>
      <c r="BK62" s="3064"/>
      <c r="BL62" s="3067" t="s">
        <v>757</v>
      </c>
      <c r="BM62" s="3064" t="e">
        <f ca="1">+BN62/BN61*100</f>
        <v>#VALUE!</v>
      </c>
      <c r="BN62" s="1575">
        <f ca="1">OFFSET('VVP2'!$G$27,0,(COLUMN()-10)/4)</f>
        <v>1.1356300000000001</v>
      </c>
      <c r="BO62" s="3064"/>
      <c r="BP62" s="3067" t="s">
        <v>757</v>
      </c>
      <c r="BQ62" s="3064" t="e">
        <f ca="1">+BR62/BR61*100</f>
        <v>#VALUE!</v>
      </c>
      <c r="BR62" s="1575">
        <f ca="1">OFFSET('VVP2'!$G$27,0,(COLUMN()-10)/4)</f>
        <v>1.3708499999999999</v>
      </c>
      <c r="BS62" s="3064"/>
      <c r="BT62" s="3067" t="s">
        <v>757</v>
      </c>
      <c r="BU62" s="3064" t="e">
        <f ca="1">+BV62/BV61*100</f>
        <v>#VALUE!</v>
      </c>
      <c r="BV62" s="1575">
        <f ca="1">OFFSET('VVP2'!$G$27,0,(COLUMN()-10)/4)</f>
        <v>1.8692</v>
      </c>
      <c r="BW62" s="3064"/>
      <c r="BX62" s="3067" t="s">
        <v>757</v>
      </c>
      <c r="BY62" s="3064" t="e">
        <f ca="1">+BZ62/BZ61*100</f>
        <v>#VALUE!</v>
      </c>
      <c r="BZ62" s="1575">
        <f ca="1">OFFSET('VVP2'!$G$27,0,(COLUMN()-10)/4)</f>
        <v>1.9083800000000002</v>
      </c>
      <c r="CA62" s="3064"/>
      <c r="CB62" s="3067" t="s">
        <v>757</v>
      </c>
      <c r="CC62" s="3064" t="e">
        <f ca="1">+CD62/CD61*100</f>
        <v>#VALUE!</v>
      </c>
      <c r="CD62" s="1575">
        <f ca="1">OFFSET('VVP2'!$G$27,0,(COLUMN()-10)/4)</f>
        <v>2.1440399999999999</v>
      </c>
      <c r="CE62" s="3064"/>
      <c r="CF62" s="3067" t="s">
        <v>757</v>
      </c>
      <c r="CG62" s="3064" t="e">
        <f ca="1">+CH62/CH61*100</f>
        <v>#VALUE!</v>
      </c>
      <c r="CH62" s="1575">
        <f ca="1">OFFSET('VVP2'!$G$27,0,(COLUMN()-10)/4)</f>
        <v>2.1395</v>
      </c>
      <c r="CI62" s="3064"/>
      <c r="CJ62" s="3067" t="s">
        <v>757</v>
      </c>
      <c r="CK62" s="3064" t="e">
        <f ca="1">+CL62/CL61*100</f>
        <v>#VALUE!</v>
      </c>
      <c r="CL62" s="1575">
        <f ca="1">OFFSET('VVP2'!$G$27,0,(COLUMN()-10)/4)</f>
        <v>2.42591</v>
      </c>
      <c r="CM62" s="3064"/>
      <c r="CN62" s="3067" t="s">
        <v>757</v>
      </c>
      <c r="CO62" s="3064" t="e">
        <f ca="1">+CP62/CP61*100</f>
        <v>#VALUE!</v>
      </c>
      <c r="CP62" s="1575">
        <f ca="1">OFFSET('VVP2'!$G$27,0,(COLUMN()-10)/4)</f>
        <v>2.64364</v>
      </c>
      <c r="CQ62" s="3064"/>
      <c r="CR62" s="3067" t="s">
        <v>757</v>
      </c>
      <c r="CS62" s="3064" t="e">
        <f ca="1">+CT62/CT61*100</f>
        <v>#VALUE!</v>
      </c>
      <c r="CT62" s="1575">
        <f ca="1">OFFSET('VVP2'!$G$27,0,(COLUMN()-10)/4)</f>
        <v>2.8781099999999999</v>
      </c>
      <c r="CU62" s="3064"/>
      <c r="CV62" s="3067" t="s">
        <v>757</v>
      </c>
      <c r="CW62" s="3064" t="e">
        <f ca="1">+CX62/CX61*100</f>
        <v>#VALUE!</v>
      </c>
      <c r="CX62" s="1575">
        <f ca="1">OFFSET('VVP2'!$G$27,0,(COLUMN()-10)/4)</f>
        <v>3.1227493499999999</v>
      </c>
      <c r="CY62" s="3064"/>
      <c r="CZ62" s="3067" t="s">
        <v>757</v>
      </c>
      <c r="DA62" s="3064" t="e">
        <f ca="1">+DB62/DB61*100</f>
        <v>#VALUE!</v>
      </c>
      <c r="DB62" s="1575">
        <f ca="1">OFFSET('VVP2'!$G$27,0,(COLUMN()-10)/4)</f>
        <v>3.2539048227</v>
      </c>
      <c r="DC62"/>
      <c r="DD62"/>
      <c r="DE62"/>
      <c r="DF62"/>
      <c r="DG62"/>
      <c r="DH62"/>
      <c r="DI62"/>
      <c r="DJ62"/>
      <c r="DK62"/>
      <c r="DL62"/>
      <c r="DM62"/>
      <c r="DN62"/>
      <c r="DO62"/>
    </row>
    <row r="63" spans="1:119" s="699" customFormat="1" ht="12.75" customHeight="1">
      <c r="A63" s="664" t="str">
        <f>"Q" &amp; ROW(InputQ!A63)</f>
        <v>Q63</v>
      </c>
      <c r="C63" s="3070" t="s">
        <v>1767</v>
      </c>
      <c r="D63" s="674"/>
      <c r="E63" s="3629" t="s">
        <v>1790</v>
      </c>
      <c r="F63" s="3630"/>
      <c r="G63" s="706" t="e">
        <f>InputQ!G63/1000</f>
        <v>#VALUE!</v>
      </c>
      <c r="H63" s="706" t="e">
        <f>InputQ!H63/1000</f>
        <v>#VALUE!</v>
      </c>
      <c r="I63" s="706" t="e">
        <f>InputQ!I63/1000</f>
        <v>#VALUE!</v>
      </c>
      <c r="J63" s="706" t="e">
        <f>InputQ!J63/1000</f>
        <v>#VALUE!</v>
      </c>
      <c r="K63" s="706" t="e">
        <f>InputQ!K63/1000</f>
        <v>#VALUE!</v>
      </c>
      <c r="L63" s="706" t="e">
        <f>InputQ!L63/1000</f>
        <v>#VALUE!</v>
      </c>
      <c r="M63" s="706" t="e">
        <f>InputQ!M63/1000</f>
        <v>#VALUE!</v>
      </c>
      <c r="N63" s="706" t="e">
        <f>InputQ!N63/1000</f>
        <v>#VALUE!</v>
      </c>
      <c r="O63" s="706" t="e">
        <f>InputQ!O63/1000</f>
        <v>#VALUE!</v>
      </c>
      <c r="P63" s="706" t="e">
        <f>InputQ!P63/1000</f>
        <v>#VALUE!</v>
      </c>
      <c r="Q63" s="706" t="e">
        <f>InputQ!Q63/1000</f>
        <v>#VALUE!</v>
      </c>
      <c r="R63" s="706" t="e">
        <f>InputQ!R63/1000</f>
        <v>#VALUE!</v>
      </c>
      <c r="S63" s="706" t="e">
        <f>InputQ!S63/1000</f>
        <v>#VALUE!</v>
      </c>
      <c r="T63" s="706" t="e">
        <f>InputQ!T63/1000</f>
        <v>#VALUE!</v>
      </c>
      <c r="U63" s="706" t="e">
        <f>InputQ!U63/1000</f>
        <v>#VALUE!</v>
      </c>
      <c r="V63" s="706" t="e">
        <f>InputQ!V63/1000</f>
        <v>#VALUE!</v>
      </c>
      <c r="W63" s="706" t="e">
        <f>InputQ!W63/1000</f>
        <v>#VALUE!</v>
      </c>
      <c r="X63" s="706" t="e">
        <f>InputQ!X63/1000</f>
        <v>#VALUE!</v>
      </c>
      <c r="Y63" s="706" t="e">
        <f>InputQ!Y63/1000</f>
        <v>#VALUE!</v>
      </c>
      <c r="Z63" s="706" t="e">
        <f>InputQ!Z63/1000</f>
        <v>#VALUE!</v>
      </c>
      <c r="AA63" s="706" t="e">
        <f>InputQ!AA63/1000</f>
        <v>#VALUE!</v>
      </c>
      <c r="AB63" s="706" t="e">
        <f>InputQ!AB63/1000</f>
        <v>#VALUE!</v>
      </c>
      <c r="AC63" s="706" t="e">
        <f>InputQ!AC63/1000</f>
        <v>#VALUE!</v>
      </c>
      <c r="AD63" s="706" t="e">
        <f>InputQ!AD63/1000</f>
        <v>#VALUE!</v>
      </c>
      <c r="AE63" s="706" t="e">
        <f>InputQ!AE63/1000</f>
        <v>#VALUE!</v>
      </c>
      <c r="AF63" s="706" t="e">
        <f>InputQ!AF63/1000</f>
        <v>#VALUE!</v>
      </c>
      <c r="AG63" s="706" t="e">
        <f>InputQ!AG63/1000</f>
        <v>#VALUE!</v>
      </c>
      <c r="AH63" s="706" t="e">
        <f>InputQ!AH63/1000</f>
        <v>#VALUE!</v>
      </c>
      <c r="AI63" s="706" t="e">
        <f>InputQ!AI63/1000</f>
        <v>#VALUE!</v>
      </c>
      <c r="AJ63" s="706" t="e">
        <f>InputQ!AJ63/1000</f>
        <v>#VALUE!</v>
      </c>
      <c r="AK63" s="706" t="e">
        <f>InputQ!AK63/1000</f>
        <v>#VALUE!</v>
      </c>
      <c r="AL63" s="706" t="e">
        <f>InputQ!AL63/1000</f>
        <v>#VALUE!</v>
      </c>
      <c r="AM63" s="706" t="e">
        <f>InputQ!AM63/1000</f>
        <v>#VALUE!</v>
      </c>
      <c r="AN63" s="706" t="e">
        <f>InputQ!AN63/1000</f>
        <v>#VALUE!</v>
      </c>
      <c r="AO63" s="706" t="e">
        <f>InputQ!AO63/1000</f>
        <v>#VALUE!</v>
      </c>
      <c r="AP63" s="706" t="e">
        <f>InputQ!AP63/1000</f>
        <v>#VALUE!</v>
      </c>
      <c r="AQ63" s="706" t="e">
        <f>InputQ!AQ63/1000</f>
        <v>#VALUE!</v>
      </c>
      <c r="AR63" s="706" t="e">
        <f>InputQ!AR63/1000</f>
        <v>#VALUE!</v>
      </c>
      <c r="AS63" s="706" t="e">
        <f>InputQ!AS63/1000</f>
        <v>#VALUE!</v>
      </c>
      <c r="AT63" s="706" t="e">
        <f>InputQ!AT63/1000</f>
        <v>#VALUE!</v>
      </c>
      <c r="AU63" s="706" t="e">
        <f>InputQ!AU63/1000</f>
        <v>#VALUE!</v>
      </c>
      <c r="AV63" s="706" t="e">
        <f>InputQ!AV63/1000</f>
        <v>#VALUE!</v>
      </c>
      <c r="AW63" s="706" t="e">
        <f>InputQ!AW63/1000</f>
        <v>#VALUE!</v>
      </c>
      <c r="AX63" s="706" t="e">
        <f>InputQ!AX63/1000</f>
        <v>#VALUE!</v>
      </c>
      <c r="AY63" s="706" t="e">
        <f>InputQ!AY63/1000</f>
        <v>#VALUE!</v>
      </c>
      <c r="AZ63" s="706" t="e">
        <f>InputQ!AZ63/1000</f>
        <v>#VALUE!</v>
      </c>
      <c r="BA63" s="706" t="e">
        <f>InputQ!BA63/1000</f>
        <v>#VALUE!</v>
      </c>
      <c r="BB63" s="706" t="e">
        <f>InputQ!BB63/1000</f>
        <v>#VALUE!</v>
      </c>
      <c r="BC63" s="706" t="e">
        <f>InputQ!BC63/1000</f>
        <v>#VALUE!</v>
      </c>
      <c r="BD63" s="706" t="e">
        <f>InputQ!BD63/1000</f>
        <v>#VALUE!</v>
      </c>
      <c r="BE63" s="706" t="e">
        <f>InputQ!BE63/1000</f>
        <v>#VALUE!</v>
      </c>
      <c r="BF63" s="706" t="e">
        <f>InputQ!BF63/1000</f>
        <v>#VALUE!</v>
      </c>
      <c r="BG63" s="706" t="e">
        <f>InputQ!BG63/1000</f>
        <v>#VALUE!</v>
      </c>
      <c r="BH63" s="706" t="e">
        <f>InputQ!BH63/1000</f>
        <v>#VALUE!</v>
      </c>
      <c r="BI63" s="706" t="e">
        <f>InputQ!BI63/1000</f>
        <v>#VALUE!</v>
      </c>
      <c r="BJ63" s="706" t="e">
        <f>InputQ!BJ63/1000</f>
        <v>#VALUE!</v>
      </c>
      <c r="BK63" s="3065" t="e">
        <f t="shared" ref="BK63:BZ63" si="158">+BJ63*(1+BK79/100)</f>
        <v>#VALUE!</v>
      </c>
      <c r="BL63" s="3065" t="e">
        <f t="shared" si="158"/>
        <v>#VALUE!</v>
      </c>
      <c r="BM63" s="3065" t="e">
        <f t="shared" si="158"/>
        <v>#VALUE!</v>
      </c>
      <c r="BN63" s="3065" t="e">
        <f t="shared" si="158"/>
        <v>#VALUE!</v>
      </c>
      <c r="BO63" s="3065" t="e">
        <f t="shared" si="158"/>
        <v>#VALUE!</v>
      </c>
      <c r="BP63" s="3065" t="e">
        <f t="shared" si="158"/>
        <v>#VALUE!</v>
      </c>
      <c r="BQ63" s="3065" t="e">
        <f t="shared" si="158"/>
        <v>#VALUE!</v>
      </c>
      <c r="BR63" s="3065" t="e">
        <f t="shared" si="158"/>
        <v>#VALUE!</v>
      </c>
      <c r="BS63" s="3065" t="e">
        <f>+BR63*(1+BS79/100)</f>
        <v>#VALUE!</v>
      </c>
      <c r="BT63" s="3065" t="e">
        <f>+BS63*(1+BT79/100)</f>
        <v>#VALUE!</v>
      </c>
      <c r="BU63" s="3065" t="e">
        <f>+BT63*(1+BU79/100)</f>
        <v>#VALUE!</v>
      </c>
      <c r="BV63" s="3065" t="e">
        <f>+BU63*(1+BV79/100)</f>
        <v>#VALUE!</v>
      </c>
      <c r="BW63" s="3065" t="e">
        <f t="shared" si="158"/>
        <v>#VALUE!</v>
      </c>
      <c r="BX63" s="3065" t="e">
        <f t="shared" si="158"/>
        <v>#VALUE!</v>
      </c>
      <c r="BY63" s="3065" t="e">
        <f t="shared" si="158"/>
        <v>#VALUE!</v>
      </c>
      <c r="BZ63" s="3065" t="e">
        <f t="shared" si="158"/>
        <v>#VALUE!</v>
      </c>
      <c r="CA63" s="3065" t="e">
        <f t="shared" ref="CA63:CH63" si="159">+BZ63*(1+CA79/100)</f>
        <v>#VALUE!</v>
      </c>
      <c r="CB63" s="3065" t="e">
        <f t="shared" si="159"/>
        <v>#VALUE!</v>
      </c>
      <c r="CC63" s="3065" t="e">
        <f t="shared" si="159"/>
        <v>#VALUE!</v>
      </c>
      <c r="CD63" s="3065" t="e">
        <f t="shared" si="159"/>
        <v>#VALUE!</v>
      </c>
      <c r="CE63" s="3065" t="e">
        <f t="shared" si="159"/>
        <v>#VALUE!</v>
      </c>
      <c r="CF63" s="3065" t="e">
        <f t="shared" si="159"/>
        <v>#VALUE!</v>
      </c>
      <c r="CG63" s="3065" t="e">
        <f t="shared" si="159"/>
        <v>#VALUE!</v>
      </c>
      <c r="CH63" s="3065" t="e">
        <f t="shared" si="159"/>
        <v>#VALUE!</v>
      </c>
      <c r="CI63" s="3065" t="e">
        <f t="shared" ref="CI63:CP63" si="160">+CH63*(1+CI79/100)</f>
        <v>#VALUE!</v>
      </c>
      <c r="CJ63" s="3065" t="e">
        <f t="shared" si="160"/>
        <v>#VALUE!</v>
      </c>
      <c r="CK63" s="3065" t="e">
        <f t="shared" si="160"/>
        <v>#VALUE!</v>
      </c>
      <c r="CL63" s="3065" t="e">
        <f t="shared" si="160"/>
        <v>#VALUE!</v>
      </c>
      <c r="CM63" s="3065" t="e">
        <f t="shared" si="160"/>
        <v>#VALUE!</v>
      </c>
      <c r="CN63" s="3065" t="e">
        <f t="shared" si="160"/>
        <v>#VALUE!</v>
      </c>
      <c r="CO63" s="3065" t="e">
        <f t="shared" si="160"/>
        <v>#VALUE!</v>
      </c>
      <c r="CP63" s="3065" t="e">
        <f t="shared" si="160"/>
        <v>#VALUE!</v>
      </c>
      <c r="CQ63" s="3065" t="e">
        <f t="shared" ref="CQ63:CX63" si="161">+CP63*(1+CQ79/100)</f>
        <v>#VALUE!</v>
      </c>
      <c r="CR63" s="3065" t="e">
        <f t="shared" si="161"/>
        <v>#VALUE!</v>
      </c>
      <c r="CS63" s="3065" t="e">
        <f t="shared" si="161"/>
        <v>#VALUE!</v>
      </c>
      <c r="CT63" s="3065" t="e">
        <f t="shared" si="161"/>
        <v>#VALUE!</v>
      </c>
      <c r="CU63" s="3065" t="e">
        <f t="shared" si="161"/>
        <v>#VALUE!</v>
      </c>
      <c r="CV63" s="3065" t="e">
        <f t="shared" si="161"/>
        <v>#VALUE!</v>
      </c>
      <c r="CW63" s="3065" t="e">
        <f t="shared" si="161"/>
        <v>#VALUE!</v>
      </c>
      <c r="CX63" s="3065" t="e">
        <f t="shared" si="161"/>
        <v>#VALUE!</v>
      </c>
      <c r="CY63" s="3065" t="e">
        <f t="shared" ref="CY63" si="162">+CX63*(1+CY79/100)</f>
        <v>#VALUE!</v>
      </c>
      <c r="CZ63" s="3065" t="e">
        <f t="shared" ref="CZ63" si="163">+CY63*(1+CZ79/100)</f>
        <v>#VALUE!</v>
      </c>
      <c r="DA63" s="3065" t="e">
        <f t="shared" ref="DA63" si="164">+CZ63*(1+DA79/100)</f>
        <v>#VALUE!</v>
      </c>
      <c r="DB63" s="3065" t="e">
        <f t="shared" ref="DB63" si="165">+DA63*(1+DB79/100)</f>
        <v>#VALUE!</v>
      </c>
      <c r="DC63"/>
      <c r="DD63"/>
      <c r="DE63"/>
      <c r="DF63"/>
      <c r="DG63"/>
      <c r="DH63"/>
      <c r="DI63"/>
      <c r="DJ63"/>
      <c r="DK63"/>
      <c r="DL63"/>
      <c r="DM63"/>
      <c r="DN63"/>
      <c r="DO63"/>
    </row>
    <row r="64" spans="1:119" s="699" customFormat="1" ht="12.75" customHeight="1">
      <c r="A64" s="664"/>
      <c r="C64" s="3070"/>
      <c r="D64" s="679"/>
      <c r="E64" s="680" t="s">
        <v>266</v>
      </c>
      <c r="F64" s="1908"/>
      <c r="G64" s="3064"/>
      <c r="H64" s="3064"/>
      <c r="I64" s="3066"/>
      <c r="J64" s="1575" t="e">
        <f>SUM(G63:J63)</f>
        <v>#VALUE!</v>
      </c>
      <c r="K64" s="3064"/>
      <c r="L64" s="3064"/>
      <c r="M64" s="3066"/>
      <c r="N64" s="1575" t="e">
        <f>SUM(K63:N63)</f>
        <v>#VALUE!</v>
      </c>
      <c r="O64" s="3064"/>
      <c r="P64" s="3064"/>
      <c r="Q64" s="3066"/>
      <c r="R64" s="1575" t="e">
        <f>SUM(O63:R63)</f>
        <v>#VALUE!</v>
      </c>
      <c r="S64" s="3064"/>
      <c r="T64" s="3064"/>
      <c r="U64" s="3066"/>
      <c r="V64" s="1575" t="e">
        <f>SUM(S63:V63)</f>
        <v>#VALUE!</v>
      </c>
      <c r="W64" s="3064"/>
      <c r="X64" s="3064"/>
      <c r="Y64" s="3066"/>
      <c r="Z64" s="1575" t="e">
        <f>SUM(W63:Z63)</f>
        <v>#VALUE!</v>
      </c>
      <c r="AA64" s="3064"/>
      <c r="AB64" s="3064"/>
      <c r="AC64" s="3066"/>
      <c r="AD64" s="1575" t="e">
        <f>SUM(AA63:AD63)</f>
        <v>#VALUE!</v>
      </c>
      <c r="AE64" s="3064"/>
      <c r="AF64" s="3064"/>
      <c r="AG64" s="3066"/>
      <c r="AH64" s="1575" t="e">
        <f>SUM(AE63:AH63)</f>
        <v>#VALUE!</v>
      </c>
      <c r="AI64" s="3064"/>
      <c r="AJ64" s="3064"/>
      <c r="AK64" s="3066"/>
      <c r="AL64" s="1575" t="e">
        <f>SUM(AI63:AL63)</f>
        <v>#VALUE!</v>
      </c>
      <c r="AM64" s="3064"/>
      <c r="AN64" s="3064"/>
      <c r="AO64" s="3066"/>
      <c r="AP64" s="1575" t="e">
        <f>SUM(AM63:AP63)</f>
        <v>#VALUE!</v>
      </c>
      <c r="AQ64" s="3064"/>
      <c r="AR64" s="3064"/>
      <c r="AS64" s="3066"/>
      <c r="AT64" s="1575" t="e">
        <f>SUM(AQ63:AT63)</f>
        <v>#VALUE!</v>
      </c>
      <c r="AU64" s="3064"/>
      <c r="AV64" s="3064"/>
      <c r="AW64" s="3066"/>
      <c r="AX64" s="1575" t="e">
        <f>SUM(AU63:AX63)</f>
        <v>#VALUE!</v>
      </c>
      <c r="AY64" s="3064"/>
      <c r="AZ64" s="3064"/>
      <c r="BA64" s="3066"/>
      <c r="BB64" s="1575" t="e">
        <f>SUM(AY63:BB63)</f>
        <v>#VALUE!</v>
      </c>
      <c r="BC64" s="3064"/>
      <c r="BD64" s="3064"/>
      <c r="BE64" s="3066"/>
      <c r="BF64" s="1575" t="e">
        <f>SUM(BC63:BF63)</f>
        <v>#VALUE!</v>
      </c>
      <c r="BG64" s="3064"/>
      <c r="BH64" s="3064"/>
      <c r="BI64" s="3066"/>
      <c r="BJ64" s="1575" t="e">
        <f>SUM(BG63:BJ63)</f>
        <v>#VALUE!</v>
      </c>
      <c r="BK64" s="3064"/>
      <c r="BL64" s="3064"/>
      <c r="BM64" s="3066"/>
      <c r="BN64" s="1575" t="e">
        <f>SUM(BK63:BN63)</f>
        <v>#VALUE!</v>
      </c>
      <c r="BO64" s="3064"/>
      <c r="BP64" s="3064"/>
      <c r="BQ64" s="3066"/>
      <c r="BR64" s="1575" t="e">
        <f>SUM(BO63:BR63)</f>
        <v>#VALUE!</v>
      </c>
      <c r="BS64" s="3064"/>
      <c r="BT64" s="3064"/>
      <c r="BU64" s="3066"/>
      <c r="BV64" s="1575" t="e">
        <f>SUM(BS63:BV63)</f>
        <v>#VALUE!</v>
      </c>
      <c r="BW64" s="3064"/>
      <c r="BX64" s="3064"/>
      <c r="BY64" s="3066"/>
      <c r="BZ64" s="1575" t="e">
        <f>SUM(BW63:BZ63)</f>
        <v>#VALUE!</v>
      </c>
      <c r="CA64" s="3064"/>
      <c r="CB64" s="3064"/>
      <c r="CC64" s="3066"/>
      <c r="CD64" s="1575" t="e">
        <f>SUM(CA63:CD63)</f>
        <v>#VALUE!</v>
      </c>
      <c r="CE64" s="3064"/>
      <c r="CF64" s="3064"/>
      <c r="CG64" s="3066"/>
      <c r="CH64" s="1575" t="e">
        <f>SUM(CE63:CH63)</f>
        <v>#VALUE!</v>
      </c>
      <c r="CI64" s="3064"/>
      <c r="CJ64" s="3064"/>
      <c r="CK64" s="3066"/>
      <c r="CL64" s="1575" t="e">
        <f>SUM(CI63:CL63)</f>
        <v>#VALUE!</v>
      </c>
      <c r="CM64" s="3064"/>
      <c r="CN64" s="3064"/>
      <c r="CO64" s="3066"/>
      <c r="CP64" s="1575" t="e">
        <f>SUM(CM63:CP63)</f>
        <v>#VALUE!</v>
      </c>
      <c r="CQ64" s="3064"/>
      <c r="CR64" s="3064"/>
      <c r="CS64" s="3066"/>
      <c r="CT64" s="1575" t="e">
        <f>SUM(CQ63:CT63)</f>
        <v>#VALUE!</v>
      </c>
      <c r="CU64" s="3064"/>
      <c r="CV64" s="3064"/>
      <c r="CW64" s="3066"/>
      <c r="CX64" s="1575" t="e">
        <f>SUM(CU63:CX63)</f>
        <v>#VALUE!</v>
      </c>
      <c r="CY64" s="3064"/>
      <c r="CZ64" s="3064"/>
      <c r="DA64" s="3066"/>
      <c r="DB64" s="1575" t="e">
        <f>SUM(CY63:DB63)</f>
        <v>#VALUE!</v>
      </c>
      <c r="DC64"/>
      <c r="DD64"/>
      <c r="DE64"/>
      <c r="DF64"/>
      <c r="DG64"/>
      <c r="DH64"/>
      <c r="DI64"/>
      <c r="DJ64"/>
      <c r="DK64"/>
      <c r="DL64"/>
      <c r="DM64"/>
      <c r="DN64"/>
      <c r="DO64"/>
    </row>
    <row r="65" spans="1:119" s="699" customFormat="1" ht="12.75" customHeight="1">
      <c r="A65" s="664"/>
      <c r="C65" s="3070"/>
      <c r="D65" s="679"/>
      <c r="E65" s="680" t="s">
        <v>1847</v>
      </c>
      <c r="F65" s="1908"/>
      <c r="G65" s="3064"/>
      <c r="H65" s="3067" t="s">
        <v>757</v>
      </c>
      <c r="I65" s="3064" t="e">
        <f ca="1">+J65/J64*100</f>
        <v>#VALUE!</v>
      </c>
      <c r="J65" s="1575">
        <f ca="1">OFFSET('VVP2'!$G$23,0,(COLUMN()-10)/4)</f>
        <v>1.6190095588807722</v>
      </c>
      <c r="K65" s="3064"/>
      <c r="L65" s="3067" t="s">
        <v>757</v>
      </c>
      <c r="M65" s="3064" t="e">
        <f ca="1">+N65/N64*100</f>
        <v>#VALUE!</v>
      </c>
      <c r="N65" s="1575">
        <f ca="1">OFFSET('VVP2'!$G$23,0,(COLUMN()-10)/4)</f>
        <v>1.6529379548483158</v>
      </c>
      <c r="O65" s="3064"/>
      <c r="P65" s="3067" t="s">
        <v>757</v>
      </c>
      <c r="Q65" s="3064" t="e">
        <f ca="1">+R65/R64*100</f>
        <v>#VALUE!</v>
      </c>
      <c r="R65" s="1575">
        <f ca="1">OFFSET('VVP2'!$G$23,0,(COLUMN()-10)/4)</f>
        <v>1.9593138492375815</v>
      </c>
      <c r="S65" s="3064"/>
      <c r="T65" s="3067" t="s">
        <v>757</v>
      </c>
      <c r="U65" s="3064" t="e">
        <f ca="1">+V65/V64*100</f>
        <v>#VALUE!</v>
      </c>
      <c r="V65" s="1575">
        <f ca="1">OFFSET('VVP2'!$G$23,0,(COLUMN()-10)/4)</f>
        <v>2.4245674102883901</v>
      </c>
      <c r="W65" s="3064"/>
      <c r="X65" s="3067" t="s">
        <v>757</v>
      </c>
      <c r="Y65" s="3064" t="e">
        <f ca="1">+Z65/Z64*100</f>
        <v>#VALUE!</v>
      </c>
      <c r="Z65" s="1575">
        <f ca="1">OFFSET('VVP2'!$G$23,0,(COLUMN()-10)/4)</f>
        <v>2.2358684505520268</v>
      </c>
      <c r="AA65" s="3064"/>
      <c r="AB65" s="3067" t="s">
        <v>757</v>
      </c>
      <c r="AC65" s="3064" t="e">
        <f ca="1">+AD65/AD64*100</f>
        <v>#VALUE!</v>
      </c>
      <c r="AD65" s="1575">
        <f ca="1">OFFSET('VVP2'!$G$23,0,(COLUMN()-10)/4)</f>
        <v>1.8605336857733581</v>
      </c>
      <c r="AE65" s="3064"/>
      <c r="AF65" s="3067" t="s">
        <v>757</v>
      </c>
      <c r="AG65" s="3064" t="e">
        <f ca="1">+AH65/AH64*100</f>
        <v>#VALUE!</v>
      </c>
      <c r="AH65" s="1575">
        <f ca="1">OFFSET('VVP2'!$G$23,0,(COLUMN()-10)/4)</f>
        <v>2.0229319395980099</v>
      </c>
      <c r="AI65" s="3064"/>
      <c r="AJ65" s="3067" t="s">
        <v>757</v>
      </c>
      <c r="AK65" s="3064" t="e">
        <f ca="1">+AL65/AL64*100</f>
        <v>#VALUE!</v>
      </c>
      <c r="AL65" s="1575">
        <f ca="1">OFFSET('VVP2'!$G$23,0,(COLUMN()-10)/4)</f>
        <v>2.2515572021803245</v>
      </c>
      <c r="AM65" s="3064"/>
      <c r="AN65" s="3067" t="s">
        <v>757</v>
      </c>
      <c r="AO65" s="3064" t="e">
        <f ca="1">+AP65/AP64*100</f>
        <v>#VALUE!</v>
      </c>
      <c r="AP65" s="1575">
        <f ca="1">OFFSET('VVP2'!$G$23,0,(COLUMN()-10)/4)</f>
        <v>2.6961932741995072</v>
      </c>
      <c r="AQ65" s="3064"/>
      <c r="AR65" s="3067" t="s">
        <v>757</v>
      </c>
      <c r="AS65" s="3064" t="e">
        <f ca="1">+AT65/AT64*100</f>
        <v>#VALUE!</v>
      </c>
      <c r="AT65" s="1575">
        <f ca="1">OFFSET('VVP2'!$G$23,0,(COLUMN()-10)/4)</f>
        <v>2.8533895999999999</v>
      </c>
      <c r="AU65" s="3064"/>
      <c r="AV65" s="3067" t="s">
        <v>757</v>
      </c>
      <c r="AW65" s="3064" t="e">
        <f ca="1">+AX65/AX64*100</f>
        <v>#VALUE!</v>
      </c>
      <c r="AX65" s="1575">
        <f ca="1">OFFSET('VVP2'!$G$23,0,(COLUMN()-10)/4)</f>
        <v>3.1764906599999998</v>
      </c>
      <c r="AY65" s="3064"/>
      <c r="AZ65" s="3067" t="s">
        <v>757</v>
      </c>
      <c r="BA65" s="3064" t="e">
        <f ca="1">+BB65/BB64*100</f>
        <v>#VALUE!</v>
      </c>
      <c r="BB65" s="1575">
        <f ca="1">OFFSET('VVP2'!$G$23,0,(COLUMN()-10)/4)</f>
        <v>3.8765144100000004</v>
      </c>
      <c r="BC65" s="3064"/>
      <c r="BD65" s="3067" t="s">
        <v>757</v>
      </c>
      <c r="BE65" s="3064" t="e">
        <f ca="1">+BF65/BF64*100</f>
        <v>#VALUE!</v>
      </c>
      <c r="BF65" s="1575">
        <f ca="1">OFFSET('VVP2'!$G$23,0,(COLUMN()-10)/4)</f>
        <v>4.7097032799999994</v>
      </c>
      <c r="BG65" s="3064"/>
      <c r="BH65" s="3067" t="s">
        <v>757</v>
      </c>
      <c r="BI65" s="3064" t="e">
        <f ca="1">+BJ65/BJ64*100</f>
        <v>#VALUE!</v>
      </c>
      <c r="BJ65" s="1575">
        <f ca="1">OFFSET('VVP2'!$G$23,0,(COLUMN()-10)/4)</f>
        <v>4.73909643</v>
      </c>
      <c r="BK65" s="3064"/>
      <c r="BL65" s="3067" t="s">
        <v>757</v>
      </c>
      <c r="BM65" s="3064" t="e">
        <f ca="1">+BN65/BN64*100</f>
        <v>#VALUE!</v>
      </c>
      <c r="BN65" s="1575">
        <f ca="1">OFFSET('VVP2'!$G$23,0,(COLUMN()-10)/4)</f>
        <v>2.9853189599999999</v>
      </c>
      <c r="BO65" s="3064"/>
      <c r="BP65" s="3067" t="s">
        <v>757</v>
      </c>
      <c r="BQ65" s="3064" t="e">
        <f ca="1">+BR65/BR64*100</f>
        <v>#VALUE!</v>
      </c>
      <c r="BR65" s="1575">
        <f ca="1">OFFSET('VVP2'!$G$23,0,(COLUMN()-10)/4)</f>
        <v>2.7720100000000003</v>
      </c>
      <c r="BS65" s="3064"/>
      <c r="BT65" s="3067" t="s">
        <v>757</v>
      </c>
      <c r="BU65" s="3064" t="e">
        <f ca="1">+BV65/BV64*100</f>
        <v>#VALUE!</v>
      </c>
      <c r="BV65" s="1575">
        <f ca="1">OFFSET('VVP2'!$G$23,0,(COLUMN()-10)/4)</f>
        <v>3.1731799999999999</v>
      </c>
      <c r="BW65" s="3064"/>
      <c r="BX65" s="3067" t="s">
        <v>757</v>
      </c>
      <c r="BY65" s="3064" t="e">
        <f ca="1">+BZ65/BZ64*100</f>
        <v>#VALUE!</v>
      </c>
      <c r="BZ65" s="1575">
        <f ca="1">OFFSET('VVP2'!$G$23,0,(COLUMN()-10)/4)</f>
        <v>3.0351158200000001</v>
      </c>
      <c r="CA65" s="3064"/>
      <c r="CB65" s="3067" t="s">
        <v>757</v>
      </c>
      <c r="CC65" s="3064" t="e">
        <f ca="1">+CD65/CD64*100</f>
        <v>#VALUE!</v>
      </c>
      <c r="CD65" s="1575">
        <f ca="1">OFFSET('VVP2'!$G$23,0,(COLUMN()-10)/4)</f>
        <v>3.2775326599999999</v>
      </c>
      <c r="CE65" s="3064"/>
      <c r="CF65" s="3067" t="s">
        <v>757</v>
      </c>
      <c r="CG65" s="3064" t="e">
        <f ca="1">+CH65/CH64*100</f>
        <v>#VALUE!</v>
      </c>
      <c r="CH65" s="1575">
        <f ca="1">OFFSET('VVP2'!$G$23,0,(COLUMN()-10)/4)</f>
        <v>3.5532021599999997</v>
      </c>
      <c r="CI65" s="3064"/>
      <c r="CJ65" s="3067" t="s">
        <v>757</v>
      </c>
      <c r="CK65" s="3064" t="e">
        <f ca="1">+CL65/CL64*100</f>
        <v>#VALUE!</v>
      </c>
      <c r="CL65" s="1575">
        <f ca="1">OFFSET('VVP2'!$G$23,0,(COLUMN()-10)/4)</f>
        <v>3.55615389</v>
      </c>
      <c r="CM65" s="3064"/>
      <c r="CN65" s="3067" t="s">
        <v>757</v>
      </c>
      <c r="CO65" s="3064" t="e">
        <f ca="1">+CP65/CP64*100</f>
        <v>#VALUE!</v>
      </c>
      <c r="CP65" s="1575">
        <f ca="1">OFFSET('VVP2'!$G$23,0,(COLUMN()-10)/4)</f>
        <v>3.32091745</v>
      </c>
      <c r="CQ65" s="3064"/>
      <c r="CR65" s="3067" t="s">
        <v>757</v>
      </c>
      <c r="CS65" s="3064" t="e">
        <f ca="1">+CT65/CT64*100</f>
        <v>#VALUE!</v>
      </c>
      <c r="CT65" s="1575">
        <f ca="1">OFFSET('VVP2'!$G$23,0,(COLUMN()-10)/4)</f>
        <v>3.47156603</v>
      </c>
      <c r="CU65" s="3064"/>
      <c r="CV65" s="3067" t="s">
        <v>757</v>
      </c>
      <c r="CW65" s="3064" t="e">
        <f ca="1">+CX65/CX64*100</f>
        <v>#VALUE!</v>
      </c>
      <c r="CX65" s="1575">
        <f ca="1">OFFSET('VVP2'!$G$23,0,(COLUMN()-10)/4)</f>
        <v>3.6686017493853877</v>
      </c>
      <c r="CY65" s="3064"/>
      <c r="CZ65" s="3067" t="s">
        <v>757</v>
      </c>
      <c r="DA65" s="3064" t="e">
        <f ca="1">+DB65/DB64*100</f>
        <v>#VALUE!</v>
      </c>
      <c r="DB65" s="1575">
        <f ca="1">OFFSET('VVP2'!$G$23,0,(COLUMN()-10)/4)</f>
        <v>3.81775834549742</v>
      </c>
      <c r="DC65"/>
      <c r="DD65"/>
      <c r="DE65"/>
      <c r="DF65"/>
      <c r="DG65"/>
      <c r="DH65"/>
      <c r="DI65"/>
      <c r="DJ65"/>
      <c r="DK65"/>
      <c r="DL65"/>
      <c r="DM65"/>
      <c r="DN65"/>
      <c r="DO65"/>
    </row>
    <row r="66" spans="1:119" s="699" customFormat="1" ht="12.75" customHeight="1">
      <c r="A66" s="664" t="str">
        <f>"Q" &amp; ROW(InputQ!A64)</f>
        <v>Q64</v>
      </c>
      <c r="C66" s="3070" t="s">
        <v>1767</v>
      </c>
      <c r="D66" s="674"/>
      <c r="E66" s="3629" t="s">
        <v>1791</v>
      </c>
      <c r="F66" s="3630"/>
      <c r="G66" s="706" t="e">
        <f>InputQ!G64/1000</f>
        <v>#VALUE!</v>
      </c>
      <c r="H66" s="706" t="e">
        <f>InputQ!H64/1000</f>
        <v>#VALUE!</v>
      </c>
      <c r="I66" s="706" t="e">
        <f>InputQ!I64/1000</f>
        <v>#VALUE!</v>
      </c>
      <c r="J66" s="706" t="e">
        <f>InputQ!J64/1000</f>
        <v>#VALUE!</v>
      </c>
      <c r="K66" s="706" t="e">
        <f>InputQ!K64/1000</f>
        <v>#VALUE!</v>
      </c>
      <c r="L66" s="706" t="e">
        <f>InputQ!L64/1000</f>
        <v>#VALUE!</v>
      </c>
      <c r="M66" s="706" t="e">
        <f>InputQ!M64/1000</f>
        <v>#VALUE!</v>
      </c>
      <c r="N66" s="706" t="e">
        <f>InputQ!N64/1000</f>
        <v>#VALUE!</v>
      </c>
      <c r="O66" s="706" t="e">
        <f>InputQ!O64/1000</f>
        <v>#VALUE!</v>
      </c>
      <c r="P66" s="706" t="e">
        <f>InputQ!P64/1000</f>
        <v>#VALUE!</v>
      </c>
      <c r="Q66" s="706" t="e">
        <f>InputQ!Q64/1000</f>
        <v>#VALUE!</v>
      </c>
      <c r="R66" s="706" t="e">
        <f>InputQ!R64/1000</f>
        <v>#VALUE!</v>
      </c>
      <c r="S66" s="706" t="e">
        <f>InputQ!S64/1000</f>
        <v>#VALUE!</v>
      </c>
      <c r="T66" s="706" t="e">
        <f>InputQ!T64/1000</f>
        <v>#VALUE!</v>
      </c>
      <c r="U66" s="706" t="e">
        <f>InputQ!U64/1000</f>
        <v>#VALUE!</v>
      </c>
      <c r="V66" s="706" t="e">
        <f>InputQ!V64/1000</f>
        <v>#VALUE!</v>
      </c>
      <c r="W66" s="706" t="e">
        <f>InputQ!W64/1000</f>
        <v>#VALUE!</v>
      </c>
      <c r="X66" s="706" t="e">
        <f>InputQ!X64/1000</f>
        <v>#VALUE!</v>
      </c>
      <c r="Y66" s="706" t="e">
        <f>InputQ!Y64/1000</f>
        <v>#VALUE!</v>
      </c>
      <c r="Z66" s="706" t="e">
        <f>InputQ!Z64/1000</f>
        <v>#VALUE!</v>
      </c>
      <c r="AA66" s="706" t="e">
        <f>InputQ!AA64/1000</f>
        <v>#VALUE!</v>
      </c>
      <c r="AB66" s="706" t="e">
        <f>InputQ!AB64/1000</f>
        <v>#VALUE!</v>
      </c>
      <c r="AC66" s="706" t="e">
        <f>InputQ!AC64/1000</f>
        <v>#VALUE!</v>
      </c>
      <c r="AD66" s="706" t="e">
        <f>InputQ!AD64/1000</f>
        <v>#VALUE!</v>
      </c>
      <c r="AE66" s="706" t="e">
        <f>InputQ!AE64/1000</f>
        <v>#VALUE!</v>
      </c>
      <c r="AF66" s="706" t="e">
        <f>InputQ!AF64/1000</f>
        <v>#VALUE!</v>
      </c>
      <c r="AG66" s="706" t="e">
        <f>InputQ!AG64/1000</f>
        <v>#VALUE!</v>
      </c>
      <c r="AH66" s="706" t="e">
        <f>InputQ!AH64/1000</f>
        <v>#VALUE!</v>
      </c>
      <c r="AI66" s="706" t="e">
        <f>InputQ!AI64/1000</f>
        <v>#VALUE!</v>
      </c>
      <c r="AJ66" s="706" t="e">
        <f>InputQ!AJ64/1000</f>
        <v>#VALUE!</v>
      </c>
      <c r="AK66" s="706" t="e">
        <f>InputQ!AK64/1000</f>
        <v>#VALUE!</v>
      </c>
      <c r="AL66" s="706" t="e">
        <f>InputQ!AL64/1000</f>
        <v>#VALUE!</v>
      </c>
      <c r="AM66" s="706" t="e">
        <f>InputQ!AM64/1000</f>
        <v>#VALUE!</v>
      </c>
      <c r="AN66" s="706" t="e">
        <f>InputQ!AN64/1000</f>
        <v>#VALUE!</v>
      </c>
      <c r="AO66" s="706" t="e">
        <f>InputQ!AO64/1000</f>
        <v>#VALUE!</v>
      </c>
      <c r="AP66" s="706" t="e">
        <f>InputQ!AP64/1000</f>
        <v>#VALUE!</v>
      </c>
      <c r="AQ66" s="706" t="e">
        <f>InputQ!AQ64/1000</f>
        <v>#VALUE!</v>
      </c>
      <c r="AR66" s="706" t="e">
        <f>InputQ!AR64/1000</f>
        <v>#VALUE!</v>
      </c>
      <c r="AS66" s="706" t="e">
        <f>InputQ!AS64/1000</f>
        <v>#VALUE!</v>
      </c>
      <c r="AT66" s="706" t="e">
        <f>InputQ!AT64/1000</f>
        <v>#VALUE!</v>
      </c>
      <c r="AU66" s="706" t="e">
        <f>InputQ!AU64/1000</f>
        <v>#VALUE!</v>
      </c>
      <c r="AV66" s="706" t="e">
        <f>InputQ!AV64/1000</f>
        <v>#VALUE!</v>
      </c>
      <c r="AW66" s="706" t="e">
        <f>InputQ!AW64/1000</f>
        <v>#VALUE!</v>
      </c>
      <c r="AX66" s="706" t="e">
        <f>InputQ!AX64/1000</f>
        <v>#VALUE!</v>
      </c>
      <c r="AY66" s="706" t="e">
        <f>InputQ!AY64/1000</f>
        <v>#VALUE!</v>
      </c>
      <c r="AZ66" s="706" t="e">
        <f>InputQ!AZ64/1000</f>
        <v>#VALUE!</v>
      </c>
      <c r="BA66" s="706" t="e">
        <f>InputQ!BA64/1000</f>
        <v>#VALUE!</v>
      </c>
      <c r="BB66" s="706" t="e">
        <f>InputQ!BB64/1000</f>
        <v>#VALUE!</v>
      </c>
      <c r="BC66" s="706" t="e">
        <f>InputQ!BC64/1000</f>
        <v>#VALUE!</v>
      </c>
      <c r="BD66" s="706" t="e">
        <f>InputQ!BD64/1000</f>
        <v>#VALUE!</v>
      </c>
      <c r="BE66" s="706" t="e">
        <f>InputQ!BE64/1000</f>
        <v>#VALUE!</v>
      </c>
      <c r="BF66" s="706" t="e">
        <f>InputQ!BF64/1000</f>
        <v>#VALUE!</v>
      </c>
      <c r="BG66" s="706" t="e">
        <f>InputQ!BG64/1000</f>
        <v>#VALUE!</v>
      </c>
      <c r="BH66" s="706" t="e">
        <f>InputQ!BH64/1000</f>
        <v>#VALUE!</v>
      </c>
      <c r="BI66" s="706" t="e">
        <f>InputQ!BI64/1000</f>
        <v>#VALUE!</v>
      </c>
      <c r="BJ66" s="706" t="e">
        <f>InputQ!BJ64/1000</f>
        <v>#VALUE!</v>
      </c>
      <c r="BK66" s="3065" t="e">
        <f t="shared" ref="BK66:BZ66" si="166">+BJ66*(1+BK82/100)</f>
        <v>#VALUE!</v>
      </c>
      <c r="BL66" s="3065" t="e">
        <f t="shared" si="166"/>
        <v>#VALUE!</v>
      </c>
      <c r="BM66" s="3065" t="e">
        <f t="shared" si="166"/>
        <v>#VALUE!</v>
      </c>
      <c r="BN66" s="3065" t="e">
        <f t="shared" si="166"/>
        <v>#VALUE!</v>
      </c>
      <c r="BO66" s="3065" t="e">
        <f t="shared" si="166"/>
        <v>#VALUE!</v>
      </c>
      <c r="BP66" s="3065" t="e">
        <f t="shared" si="166"/>
        <v>#VALUE!</v>
      </c>
      <c r="BQ66" s="3065" t="e">
        <f t="shared" si="166"/>
        <v>#VALUE!</v>
      </c>
      <c r="BR66" s="3065" t="e">
        <f t="shared" si="166"/>
        <v>#VALUE!</v>
      </c>
      <c r="BS66" s="3065" t="e">
        <f>+BR66*(1+BS82/100)</f>
        <v>#VALUE!</v>
      </c>
      <c r="BT66" s="3065" t="e">
        <f>+BS66*(1+BT82/100)</f>
        <v>#VALUE!</v>
      </c>
      <c r="BU66" s="3065" t="e">
        <f>+BT66*(1+BU82/100)</f>
        <v>#VALUE!</v>
      </c>
      <c r="BV66" s="3065" t="e">
        <f>+BU66*(1+BV82/100)</f>
        <v>#VALUE!</v>
      </c>
      <c r="BW66" s="3065" t="e">
        <f t="shared" si="166"/>
        <v>#VALUE!</v>
      </c>
      <c r="BX66" s="3065" t="e">
        <f t="shared" si="166"/>
        <v>#VALUE!</v>
      </c>
      <c r="BY66" s="3065" t="e">
        <f t="shared" si="166"/>
        <v>#VALUE!</v>
      </c>
      <c r="BZ66" s="3065" t="e">
        <f t="shared" si="166"/>
        <v>#VALUE!</v>
      </c>
      <c r="CA66" s="3065" t="e">
        <f t="shared" ref="CA66:CH66" si="167">+BZ66*(1+CA82/100)</f>
        <v>#VALUE!</v>
      </c>
      <c r="CB66" s="3065" t="e">
        <f t="shared" si="167"/>
        <v>#VALUE!</v>
      </c>
      <c r="CC66" s="3065" t="e">
        <f t="shared" si="167"/>
        <v>#VALUE!</v>
      </c>
      <c r="CD66" s="3065" t="e">
        <f t="shared" si="167"/>
        <v>#VALUE!</v>
      </c>
      <c r="CE66" s="3065" t="e">
        <f t="shared" si="167"/>
        <v>#VALUE!</v>
      </c>
      <c r="CF66" s="3065" t="e">
        <f t="shared" si="167"/>
        <v>#VALUE!</v>
      </c>
      <c r="CG66" s="3065" t="e">
        <f t="shared" si="167"/>
        <v>#VALUE!</v>
      </c>
      <c r="CH66" s="3065" t="e">
        <f t="shared" si="167"/>
        <v>#VALUE!</v>
      </c>
      <c r="CI66" s="3065" t="e">
        <f t="shared" ref="CI66:CP66" si="168">+CH66*(1+CI82/100)</f>
        <v>#VALUE!</v>
      </c>
      <c r="CJ66" s="3065" t="e">
        <f t="shared" si="168"/>
        <v>#VALUE!</v>
      </c>
      <c r="CK66" s="3065" t="e">
        <f t="shared" si="168"/>
        <v>#VALUE!</v>
      </c>
      <c r="CL66" s="3065" t="e">
        <f t="shared" si="168"/>
        <v>#VALUE!</v>
      </c>
      <c r="CM66" s="3065" t="e">
        <f t="shared" si="168"/>
        <v>#VALUE!</v>
      </c>
      <c r="CN66" s="3065" t="e">
        <f t="shared" si="168"/>
        <v>#VALUE!</v>
      </c>
      <c r="CO66" s="3065" t="e">
        <f t="shared" si="168"/>
        <v>#VALUE!</v>
      </c>
      <c r="CP66" s="3065" t="e">
        <f t="shared" si="168"/>
        <v>#VALUE!</v>
      </c>
      <c r="CQ66" s="3065" t="e">
        <f t="shared" ref="CQ66:CX66" si="169">+CP66*(1+CQ82/100)</f>
        <v>#VALUE!</v>
      </c>
      <c r="CR66" s="3065" t="e">
        <f t="shared" si="169"/>
        <v>#VALUE!</v>
      </c>
      <c r="CS66" s="3065" t="e">
        <f t="shared" si="169"/>
        <v>#VALUE!</v>
      </c>
      <c r="CT66" s="3065" t="e">
        <f t="shared" si="169"/>
        <v>#VALUE!</v>
      </c>
      <c r="CU66" s="3065" t="e">
        <f t="shared" si="169"/>
        <v>#VALUE!</v>
      </c>
      <c r="CV66" s="3065" t="e">
        <f t="shared" si="169"/>
        <v>#VALUE!</v>
      </c>
      <c r="CW66" s="3065" t="e">
        <f t="shared" si="169"/>
        <v>#VALUE!</v>
      </c>
      <c r="CX66" s="3065" t="e">
        <f t="shared" si="169"/>
        <v>#VALUE!</v>
      </c>
      <c r="CY66" s="3065" t="e">
        <f t="shared" ref="CY66" si="170">+CX66*(1+CY82/100)</f>
        <v>#VALUE!</v>
      </c>
      <c r="CZ66" s="3065" t="e">
        <f t="shared" ref="CZ66" si="171">+CY66*(1+CZ82/100)</f>
        <v>#VALUE!</v>
      </c>
      <c r="DA66" s="3065" t="e">
        <f t="shared" ref="DA66" si="172">+CZ66*(1+DA82/100)</f>
        <v>#VALUE!</v>
      </c>
      <c r="DB66" s="3065" t="e">
        <f t="shared" ref="DB66" si="173">+DA66*(1+DB82/100)</f>
        <v>#VALUE!</v>
      </c>
      <c r="DC66"/>
      <c r="DD66"/>
      <c r="DE66"/>
      <c r="DF66"/>
      <c r="DG66"/>
      <c r="DH66"/>
      <c r="DI66"/>
      <c r="DJ66"/>
      <c r="DK66"/>
      <c r="DL66"/>
      <c r="DM66"/>
      <c r="DN66"/>
      <c r="DO66"/>
    </row>
    <row r="67" spans="1:119" s="699" customFormat="1" ht="12.75" customHeight="1">
      <c r="A67" s="664"/>
      <c r="C67" s="3070"/>
      <c r="D67" s="679"/>
      <c r="E67" s="680" t="s">
        <v>266</v>
      </c>
      <c r="F67" s="1908"/>
      <c r="G67" s="3064"/>
      <c r="H67" s="3064"/>
      <c r="I67" s="3066"/>
      <c r="J67" s="1575" t="e">
        <f>SUM(G66:J66)</f>
        <v>#VALUE!</v>
      </c>
      <c r="K67" s="3064"/>
      <c r="L67" s="3064"/>
      <c r="M67" s="3066"/>
      <c r="N67" s="1575" t="e">
        <f>SUM(K66:N66)</f>
        <v>#VALUE!</v>
      </c>
      <c r="O67" s="3064"/>
      <c r="P67" s="3064"/>
      <c r="Q67" s="3066"/>
      <c r="R67" s="1575" t="e">
        <f>SUM(O66:R66)</f>
        <v>#VALUE!</v>
      </c>
      <c r="S67" s="3064"/>
      <c r="T67" s="3064"/>
      <c r="U67" s="3066"/>
      <c r="V67" s="1575" t="e">
        <f>SUM(S66:V66)</f>
        <v>#VALUE!</v>
      </c>
      <c r="W67" s="3064"/>
      <c r="X67" s="3064"/>
      <c r="Y67" s="3066"/>
      <c r="Z67" s="1575" t="e">
        <f>SUM(W66:Z66)</f>
        <v>#VALUE!</v>
      </c>
      <c r="AA67" s="3064"/>
      <c r="AB67" s="3064"/>
      <c r="AC67" s="3066"/>
      <c r="AD67" s="1575" t="e">
        <f>SUM(AA66:AD66)</f>
        <v>#VALUE!</v>
      </c>
      <c r="AE67" s="3064"/>
      <c r="AF67" s="3064"/>
      <c r="AG67" s="3066"/>
      <c r="AH67" s="1575" t="e">
        <f>SUM(AE66:AH66)</f>
        <v>#VALUE!</v>
      </c>
      <c r="AI67" s="3064"/>
      <c r="AJ67" s="3064"/>
      <c r="AK67" s="3066"/>
      <c r="AL67" s="1575" t="e">
        <f>SUM(AI66:AL66)</f>
        <v>#VALUE!</v>
      </c>
      <c r="AM67" s="3064"/>
      <c r="AN67" s="3064"/>
      <c r="AO67" s="3066"/>
      <c r="AP67" s="1575" t="e">
        <f>SUM(AM66:AP66)</f>
        <v>#VALUE!</v>
      </c>
      <c r="AQ67" s="3064"/>
      <c r="AR67" s="3064"/>
      <c r="AS67" s="3066"/>
      <c r="AT67" s="1575" t="e">
        <f>SUM(AQ66:AT66)</f>
        <v>#VALUE!</v>
      </c>
      <c r="AU67" s="3064"/>
      <c r="AV67" s="3064"/>
      <c r="AW67" s="3066"/>
      <c r="AX67" s="1575" t="e">
        <f>SUM(AU66:AX66)</f>
        <v>#VALUE!</v>
      </c>
      <c r="AY67" s="3064"/>
      <c r="AZ67" s="3064"/>
      <c r="BA67" s="3066"/>
      <c r="BB67" s="1575" t="e">
        <f>SUM(AY66:BB66)</f>
        <v>#VALUE!</v>
      </c>
      <c r="BC67" s="3064"/>
      <c r="BD67" s="3064"/>
      <c r="BE67" s="3066"/>
      <c r="BF67" s="1575" t="e">
        <f>SUM(BC66:BF66)</f>
        <v>#VALUE!</v>
      </c>
      <c r="BG67" s="3064"/>
      <c r="BH67" s="3064"/>
      <c r="BI67" s="3066"/>
      <c r="BJ67" s="1575" t="e">
        <f>SUM(BG66:BJ66)</f>
        <v>#VALUE!</v>
      </c>
      <c r="BK67" s="3064"/>
      <c r="BL67" s="3064"/>
      <c r="BM67" s="3066"/>
      <c r="BN67" s="1575" t="e">
        <f>SUM(BK66:BN66)</f>
        <v>#VALUE!</v>
      </c>
      <c r="BO67" s="3064"/>
      <c r="BP67" s="3064"/>
      <c r="BQ67" s="3066"/>
      <c r="BR67" s="1575" t="e">
        <f>SUM(BO66:BR66)</f>
        <v>#VALUE!</v>
      </c>
      <c r="BS67" s="3064"/>
      <c r="BT67" s="3064"/>
      <c r="BU67" s="3066"/>
      <c r="BV67" s="1575" t="e">
        <f>SUM(BS66:BV66)</f>
        <v>#VALUE!</v>
      </c>
      <c r="BW67" s="3064"/>
      <c r="BX67" s="3064"/>
      <c r="BY67" s="3066"/>
      <c r="BZ67" s="1575" t="e">
        <f>SUM(BW66:BZ66)</f>
        <v>#VALUE!</v>
      </c>
      <c r="CA67" s="3064"/>
      <c r="CB67" s="3064"/>
      <c r="CC67" s="3066"/>
      <c r="CD67" s="1575" t="e">
        <f>SUM(CA66:CD66)</f>
        <v>#VALUE!</v>
      </c>
      <c r="CE67" s="3064"/>
      <c r="CF67" s="3064"/>
      <c r="CG67" s="3066"/>
      <c r="CH67" s="1575" t="e">
        <f>SUM(CE66:CH66)</f>
        <v>#VALUE!</v>
      </c>
      <c r="CI67" s="3064"/>
      <c r="CJ67" s="3064"/>
      <c r="CK67" s="3066"/>
      <c r="CL67" s="1575" t="e">
        <f>SUM(CI66:CL66)</f>
        <v>#VALUE!</v>
      </c>
      <c r="CM67" s="3064"/>
      <c r="CN67" s="3064"/>
      <c r="CO67" s="3066"/>
      <c r="CP67" s="1575" t="e">
        <f>SUM(CM66:CP66)</f>
        <v>#VALUE!</v>
      </c>
      <c r="CQ67" s="3064"/>
      <c r="CR67" s="3064"/>
      <c r="CS67" s="3066"/>
      <c r="CT67" s="1575" t="e">
        <f>SUM(CQ66:CT66)</f>
        <v>#VALUE!</v>
      </c>
      <c r="CU67" s="3064"/>
      <c r="CV67" s="3064"/>
      <c r="CW67" s="3066"/>
      <c r="CX67" s="1575" t="e">
        <f>SUM(CU66:CX66)</f>
        <v>#VALUE!</v>
      </c>
      <c r="CY67" s="3064"/>
      <c r="CZ67" s="3064"/>
      <c r="DA67" s="3066"/>
      <c r="DB67" s="1575" t="e">
        <f>SUM(CY66:DB66)</f>
        <v>#VALUE!</v>
      </c>
      <c r="DC67"/>
      <c r="DD67"/>
      <c r="DE67"/>
      <c r="DF67"/>
      <c r="DG67"/>
      <c r="DH67"/>
      <c r="DI67"/>
      <c r="DJ67"/>
      <c r="DK67"/>
      <c r="DL67"/>
      <c r="DM67"/>
      <c r="DN67"/>
      <c r="DO67"/>
    </row>
    <row r="68" spans="1:119" s="699" customFormat="1" ht="12.75" customHeight="1">
      <c r="A68" s="664"/>
      <c r="C68" s="3070"/>
      <c r="D68" s="679"/>
      <c r="E68" s="680" t="s">
        <v>1847</v>
      </c>
      <c r="F68" s="1908"/>
      <c r="G68" s="3064"/>
      <c r="H68" s="3067" t="s">
        <v>757</v>
      </c>
      <c r="I68" s="3064" t="e">
        <f ca="1">+J68/J67*100</f>
        <v>#VALUE!</v>
      </c>
      <c r="J68" s="1575">
        <f ca="1">OFFSET('VVP2'!$G$28,0,(COLUMN()-10)/4)</f>
        <v>0.17870962891620323</v>
      </c>
      <c r="K68" s="3064"/>
      <c r="L68" s="3067" t="s">
        <v>757</v>
      </c>
      <c r="M68" s="3064" t="e">
        <f ca="1">+N68/N67*100</f>
        <v>#VALUE!</v>
      </c>
      <c r="N68" s="1575">
        <f ca="1">OFFSET('VVP2'!$G$28,0,(COLUMN()-10)/4)</f>
        <v>0.19122122870124314</v>
      </c>
      <c r="O68" s="3064"/>
      <c r="P68" s="3067" t="s">
        <v>757</v>
      </c>
      <c r="Q68" s="3064" t="e">
        <f ca="1">+R68/R67*100</f>
        <v>#VALUE!</v>
      </c>
      <c r="R68" s="1575">
        <f ca="1">OFFSET('VVP2'!$G$28,0,(COLUMN()-10)/4)</f>
        <v>0.21354097521811696</v>
      </c>
      <c r="S68" s="3064"/>
      <c r="T68" s="3067" t="s">
        <v>757</v>
      </c>
      <c r="U68" s="3064" t="e">
        <f ca="1">+V68/V67*100</f>
        <v>#VALUE!</v>
      </c>
      <c r="V68" s="1575">
        <f ca="1">OFFSET('VVP2'!$G$28,0,(COLUMN()-10)/4)</f>
        <v>0.22079562606606054</v>
      </c>
      <c r="W68" s="3064"/>
      <c r="X68" s="3067" t="s">
        <v>757</v>
      </c>
      <c r="Y68" s="3064" t="e">
        <f ca="1">+Z68/Z67*100</f>
        <v>#VALUE!</v>
      </c>
      <c r="Z68" s="1575">
        <f ca="1">OFFSET('VVP2'!$G$28,0,(COLUMN()-10)/4)</f>
        <v>0.21328139893084769</v>
      </c>
      <c r="AA68" s="3064"/>
      <c r="AB68" s="3067" t="s">
        <v>757</v>
      </c>
      <c r="AC68" s="3064" t="e">
        <f ca="1">+AD68/AD67*100</f>
        <v>#VALUE!</v>
      </c>
      <c r="AD68" s="1575">
        <f ca="1">OFFSET('VVP2'!$G$28,0,(COLUMN()-10)/4)</f>
        <v>0.31682018300097692</v>
      </c>
      <c r="AE68" s="3064"/>
      <c r="AF68" s="3067" t="s">
        <v>757</v>
      </c>
      <c r="AG68" s="3064" t="e">
        <f ca="1">+AH68/AH67*100</f>
        <v>#VALUE!</v>
      </c>
      <c r="AH68" s="1575">
        <f ca="1">OFFSET('VVP2'!$G$28,0,(COLUMN()-10)/4)</f>
        <v>0.30222830848678722</v>
      </c>
      <c r="AI68" s="3064"/>
      <c r="AJ68" s="3067" t="s">
        <v>757</v>
      </c>
      <c r="AK68" s="3064" t="e">
        <f ca="1">+AL68/AL67*100</f>
        <v>#VALUE!</v>
      </c>
      <c r="AL68" s="1575">
        <f ca="1">OFFSET('VVP2'!$G$28,0,(COLUMN()-10)/4)</f>
        <v>0.32762564906547426</v>
      </c>
      <c r="AM68" s="3064"/>
      <c r="AN68" s="3067" t="s">
        <v>757</v>
      </c>
      <c r="AO68" s="3064" t="e">
        <f ca="1">+AP68/AP67*100</f>
        <v>#VALUE!</v>
      </c>
      <c r="AP68" s="1575">
        <f ca="1">OFFSET('VVP2'!$G$28,0,(COLUMN()-10)/4)</f>
        <v>0.33537245623674344</v>
      </c>
      <c r="AQ68" s="3064"/>
      <c r="AR68" s="3067" t="s">
        <v>757</v>
      </c>
      <c r="AS68" s="3064" t="e">
        <f ca="1">+AT68/AT67*100</f>
        <v>#VALUE!</v>
      </c>
      <c r="AT68" s="1575">
        <f ca="1">OFFSET('VVP2'!$G$28,0,(COLUMN()-10)/4)</f>
        <v>0.35443999999999998</v>
      </c>
      <c r="AU68" s="3064"/>
      <c r="AV68" s="3067" t="s">
        <v>757</v>
      </c>
      <c r="AW68" s="3064" t="e">
        <f ca="1">+AX68/AX67*100</f>
        <v>#VALUE!</v>
      </c>
      <c r="AX68" s="1575">
        <f ca="1">OFFSET('VVP2'!$G$28,0,(COLUMN()-10)/4)</f>
        <v>0.38112000000000001</v>
      </c>
      <c r="AY68" s="3064"/>
      <c r="AZ68" s="3067" t="s">
        <v>757</v>
      </c>
      <c r="BA68" s="3064" t="e">
        <f ca="1">+BB68/BB67*100</f>
        <v>#VALUE!</v>
      </c>
      <c r="BB68" s="1575">
        <f ca="1">OFFSET('VVP2'!$G$28,0,(COLUMN()-10)/4)</f>
        <v>0.42629</v>
      </c>
      <c r="BC68" s="3064"/>
      <c r="BD68" s="3067" t="s">
        <v>757</v>
      </c>
      <c r="BE68" s="3064" t="e">
        <f ca="1">+BF68/BF67*100</f>
        <v>#VALUE!</v>
      </c>
      <c r="BF68" s="1575">
        <f ca="1">OFFSET('VVP2'!$G$28,0,(COLUMN()-10)/4)</f>
        <v>0.52798</v>
      </c>
      <c r="BG68" s="3064"/>
      <c r="BH68" s="3067" t="s">
        <v>757</v>
      </c>
      <c r="BI68" s="3064" t="e">
        <f ca="1">+BJ68/BJ67*100</f>
        <v>#VALUE!</v>
      </c>
      <c r="BJ68" s="1575">
        <f ca="1">OFFSET('VVP2'!$G$28,0,(COLUMN()-10)/4)</f>
        <v>0.63348000000000004</v>
      </c>
      <c r="BK68" s="3064"/>
      <c r="BL68" s="3067" t="s">
        <v>757</v>
      </c>
      <c r="BM68" s="3064" t="e">
        <f ca="1">+BN68/BN67*100</f>
        <v>#VALUE!</v>
      </c>
      <c r="BN68" s="1575">
        <f ca="1">OFFSET('VVP2'!$G$28,0,(COLUMN()-10)/4)</f>
        <v>0.53010999999999997</v>
      </c>
      <c r="BO68" s="3064"/>
      <c r="BP68" s="3067" t="s">
        <v>757</v>
      </c>
      <c r="BQ68" s="3064" t="e">
        <f ca="1">+BR68/BR67*100</f>
        <v>#VALUE!</v>
      </c>
      <c r="BR68" s="1575">
        <f ca="1">OFFSET('VVP2'!$G$28,0,(COLUMN()-10)/4)</f>
        <v>0.58343999999999996</v>
      </c>
      <c r="BS68" s="3064"/>
      <c r="BT68" s="3067" t="s">
        <v>757</v>
      </c>
      <c r="BU68" s="3064" t="e">
        <f ca="1">+BV68/BV67*100</f>
        <v>#VALUE!</v>
      </c>
      <c r="BV68" s="1575">
        <f ca="1">OFFSET('VVP2'!$G$28,0,(COLUMN()-10)/4)</f>
        <v>0.63612000000000002</v>
      </c>
      <c r="BW68" s="3064"/>
      <c r="BX68" s="3067" t="s">
        <v>757</v>
      </c>
      <c r="BY68" s="3064" t="e">
        <f ca="1">+BZ68/BZ67*100</f>
        <v>#VALUE!</v>
      </c>
      <c r="BZ68" s="1575">
        <f ca="1">OFFSET('VVP2'!$G$28,0,(COLUMN()-10)/4)</f>
        <v>0.63763000000000003</v>
      </c>
      <c r="CA68" s="3064"/>
      <c r="CB68" s="3067" t="s">
        <v>757</v>
      </c>
      <c r="CC68" s="3064" t="e">
        <f ca="1">+CD68/CD67*100</f>
        <v>#VALUE!</v>
      </c>
      <c r="CD68" s="1575">
        <f ca="1">OFFSET('VVP2'!$G$28,0,(COLUMN()-10)/4)</f>
        <v>0.61253000000000002</v>
      </c>
      <c r="CE68" s="3064"/>
      <c r="CF68" s="3067" t="s">
        <v>757</v>
      </c>
      <c r="CG68" s="3064" t="e">
        <f ca="1">+CH68/CH67*100</f>
        <v>#VALUE!</v>
      </c>
      <c r="CH68" s="1575">
        <f ca="1">OFFSET('VVP2'!$G$28,0,(COLUMN()-10)/4)</f>
        <v>0.68237999999999999</v>
      </c>
      <c r="CI68" s="3064"/>
      <c r="CJ68" s="3067" t="s">
        <v>757</v>
      </c>
      <c r="CK68" s="3064" t="e">
        <f ca="1">+CL68/CL67*100</f>
        <v>#VALUE!</v>
      </c>
      <c r="CL68" s="1575">
        <f ca="1">OFFSET('VVP2'!$G$28,0,(COLUMN()-10)/4)</f>
        <v>0.72344000000000008</v>
      </c>
      <c r="CM68" s="3064"/>
      <c r="CN68" s="3067" t="s">
        <v>757</v>
      </c>
      <c r="CO68" s="3064" t="e">
        <f ca="1">+CP68/CP67*100</f>
        <v>#VALUE!</v>
      </c>
      <c r="CP68" s="1575">
        <f ca="1">OFFSET('VVP2'!$G$28,0,(COLUMN()-10)/4)</f>
        <v>0.73787000000000003</v>
      </c>
      <c r="CQ68" s="3064"/>
      <c r="CR68" s="3067" t="s">
        <v>757</v>
      </c>
      <c r="CS68" s="3064" t="e">
        <f ca="1">+CT68/CT67*100</f>
        <v>#VALUE!</v>
      </c>
      <c r="CT68" s="1575">
        <f ca="1">OFFSET('VVP2'!$G$28,0,(COLUMN()-10)/4)</f>
        <v>0.85201000000000005</v>
      </c>
      <c r="CU68" s="3064"/>
      <c r="CV68" s="3067" t="s">
        <v>757</v>
      </c>
      <c r="CW68" s="3064" t="e">
        <f ca="1">+CX68/CX67*100</f>
        <v>#VALUE!</v>
      </c>
      <c r="CX68" s="1575">
        <f ca="1">OFFSET('VVP2'!$G$28,0,(COLUMN()-10)/4)</f>
        <v>0.90483462000000014</v>
      </c>
      <c r="CY68" s="3064"/>
      <c r="CZ68" s="3067" t="s">
        <v>757</v>
      </c>
      <c r="DA68" s="3064" t="e">
        <f ca="1">+DB68/DB67*100</f>
        <v>#VALUE!</v>
      </c>
      <c r="DB68" s="1575">
        <f ca="1">OFFSET('VVP2'!$G$28,0,(COLUMN()-10)/4)</f>
        <v>0.94555217790000012</v>
      </c>
      <c r="DC68"/>
      <c r="DD68"/>
      <c r="DE68"/>
      <c r="DF68"/>
      <c r="DG68"/>
      <c r="DH68"/>
      <c r="DI68"/>
      <c r="DJ68"/>
      <c r="DK68"/>
      <c r="DL68"/>
      <c r="DM68"/>
      <c r="DN68"/>
      <c r="DO68"/>
    </row>
    <row r="69" spans="1:119" s="699" customFormat="1" ht="12.75" customHeight="1">
      <c r="A69" s="664"/>
      <c r="C69" s="3070" t="s">
        <v>1767</v>
      </c>
      <c r="D69" s="674"/>
      <c r="E69" s="3629" t="s">
        <v>616</v>
      </c>
      <c r="F69" s="3630"/>
      <c r="G69" s="706" t="e">
        <f t="shared" ref="G69:AL69" si="174">G70-G60-G63-G66</f>
        <v>#VALUE!</v>
      </c>
      <c r="H69" s="706" t="e">
        <f t="shared" si="174"/>
        <v>#VALUE!</v>
      </c>
      <c r="I69" s="706" t="e">
        <f t="shared" si="174"/>
        <v>#VALUE!</v>
      </c>
      <c r="J69" s="706" t="e">
        <f t="shared" si="174"/>
        <v>#VALUE!</v>
      </c>
      <c r="K69" s="706" t="e">
        <f t="shared" si="174"/>
        <v>#VALUE!</v>
      </c>
      <c r="L69" s="706" t="e">
        <f t="shared" si="174"/>
        <v>#VALUE!</v>
      </c>
      <c r="M69" s="706" t="e">
        <f t="shared" si="174"/>
        <v>#VALUE!</v>
      </c>
      <c r="N69" s="706" t="e">
        <f t="shared" si="174"/>
        <v>#VALUE!</v>
      </c>
      <c r="O69" s="706" t="e">
        <f t="shared" si="174"/>
        <v>#VALUE!</v>
      </c>
      <c r="P69" s="706" t="e">
        <f t="shared" si="174"/>
        <v>#VALUE!</v>
      </c>
      <c r="Q69" s="706" t="e">
        <f t="shared" si="174"/>
        <v>#VALUE!</v>
      </c>
      <c r="R69" s="706" t="e">
        <f t="shared" si="174"/>
        <v>#VALUE!</v>
      </c>
      <c r="S69" s="706" t="e">
        <f t="shared" si="174"/>
        <v>#VALUE!</v>
      </c>
      <c r="T69" s="706" t="e">
        <f t="shared" si="174"/>
        <v>#VALUE!</v>
      </c>
      <c r="U69" s="706" t="e">
        <f t="shared" si="174"/>
        <v>#VALUE!</v>
      </c>
      <c r="V69" s="706" t="e">
        <f t="shared" si="174"/>
        <v>#VALUE!</v>
      </c>
      <c r="W69" s="706" t="e">
        <f t="shared" si="174"/>
        <v>#VALUE!</v>
      </c>
      <c r="X69" s="706" t="e">
        <f t="shared" si="174"/>
        <v>#VALUE!</v>
      </c>
      <c r="Y69" s="706" t="e">
        <f t="shared" si="174"/>
        <v>#VALUE!</v>
      </c>
      <c r="Z69" s="706" t="e">
        <f t="shared" si="174"/>
        <v>#VALUE!</v>
      </c>
      <c r="AA69" s="706" t="e">
        <f t="shared" si="174"/>
        <v>#VALUE!</v>
      </c>
      <c r="AB69" s="706" t="e">
        <f t="shared" si="174"/>
        <v>#VALUE!</v>
      </c>
      <c r="AC69" s="706" t="e">
        <f t="shared" si="174"/>
        <v>#VALUE!</v>
      </c>
      <c r="AD69" s="706" t="e">
        <f t="shared" si="174"/>
        <v>#VALUE!</v>
      </c>
      <c r="AE69" s="706" t="e">
        <f t="shared" si="174"/>
        <v>#VALUE!</v>
      </c>
      <c r="AF69" s="706" t="e">
        <f t="shared" si="174"/>
        <v>#VALUE!</v>
      </c>
      <c r="AG69" s="706" t="e">
        <f t="shared" si="174"/>
        <v>#VALUE!</v>
      </c>
      <c r="AH69" s="706" t="e">
        <f t="shared" si="174"/>
        <v>#VALUE!</v>
      </c>
      <c r="AI69" s="706" t="e">
        <f t="shared" si="174"/>
        <v>#VALUE!</v>
      </c>
      <c r="AJ69" s="706" t="e">
        <f t="shared" si="174"/>
        <v>#VALUE!</v>
      </c>
      <c r="AK69" s="706" t="e">
        <f t="shared" si="174"/>
        <v>#VALUE!</v>
      </c>
      <c r="AL69" s="706" t="e">
        <f t="shared" si="174"/>
        <v>#VALUE!</v>
      </c>
      <c r="AM69" s="706" t="e">
        <f t="shared" ref="AM69:BN69" si="175">AM70-AM60-AM63-AM66</f>
        <v>#VALUE!</v>
      </c>
      <c r="AN69" s="706" t="e">
        <f t="shared" si="175"/>
        <v>#VALUE!</v>
      </c>
      <c r="AO69" s="706" t="e">
        <f t="shared" si="175"/>
        <v>#VALUE!</v>
      </c>
      <c r="AP69" s="706" t="e">
        <f t="shared" si="175"/>
        <v>#VALUE!</v>
      </c>
      <c r="AQ69" s="706" t="e">
        <f t="shared" si="175"/>
        <v>#VALUE!</v>
      </c>
      <c r="AR69" s="706" t="e">
        <f t="shared" si="175"/>
        <v>#VALUE!</v>
      </c>
      <c r="AS69" s="706" t="e">
        <f t="shared" si="175"/>
        <v>#VALUE!</v>
      </c>
      <c r="AT69" s="706" t="e">
        <f t="shared" si="175"/>
        <v>#VALUE!</v>
      </c>
      <c r="AU69" s="706" t="e">
        <f t="shared" si="175"/>
        <v>#VALUE!</v>
      </c>
      <c r="AV69" s="706" t="e">
        <f t="shared" si="175"/>
        <v>#VALUE!</v>
      </c>
      <c r="AW69" s="706" t="e">
        <f t="shared" si="175"/>
        <v>#VALUE!</v>
      </c>
      <c r="AX69" s="706" t="e">
        <f t="shared" si="175"/>
        <v>#VALUE!</v>
      </c>
      <c r="AY69" s="706" t="e">
        <f t="shared" si="175"/>
        <v>#VALUE!</v>
      </c>
      <c r="AZ69" s="706" t="e">
        <f t="shared" si="175"/>
        <v>#VALUE!</v>
      </c>
      <c r="BA69" s="706" t="e">
        <f t="shared" si="175"/>
        <v>#VALUE!</v>
      </c>
      <c r="BB69" s="706" t="e">
        <f t="shared" si="175"/>
        <v>#VALUE!</v>
      </c>
      <c r="BC69" s="706" t="e">
        <f t="shared" si="175"/>
        <v>#VALUE!</v>
      </c>
      <c r="BD69" s="706" t="e">
        <f t="shared" si="175"/>
        <v>#VALUE!</v>
      </c>
      <c r="BE69" s="706" t="e">
        <f t="shared" si="175"/>
        <v>#VALUE!</v>
      </c>
      <c r="BF69" s="706" t="e">
        <f t="shared" si="175"/>
        <v>#VALUE!</v>
      </c>
      <c r="BG69" s="706" t="e">
        <f t="shared" si="175"/>
        <v>#VALUE!</v>
      </c>
      <c r="BH69" s="706" t="e">
        <f t="shared" si="175"/>
        <v>#VALUE!</v>
      </c>
      <c r="BI69" s="706" t="e">
        <f t="shared" si="175"/>
        <v>#VALUE!</v>
      </c>
      <c r="BJ69" s="706" t="e">
        <f t="shared" si="175"/>
        <v>#VALUE!</v>
      </c>
      <c r="BK69" s="706" t="e">
        <f t="shared" si="175"/>
        <v>#VALUE!</v>
      </c>
      <c r="BL69" s="706" t="e">
        <f t="shared" si="175"/>
        <v>#VALUE!</v>
      </c>
      <c r="BM69" s="706" t="e">
        <f t="shared" si="175"/>
        <v>#VALUE!</v>
      </c>
      <c r="BN69" s="706" t="e">
        <f t="shared" si="175"/>
        <v>#VALUE!</v>
      </c>
      <c r="BO69" s="706" t="e">
        <f t="shared" ref="BO69:BV69" si="176">BO70-BO60-BO63-BO66</f>
        <v>#VALUE!</v>
      </c>
      <c r="BP69" s="706" t="e">
        <f t="shared" si="176"/>
        <v>#VALUE!</v>
      </c>
      <c r="BQ69" s="706" t="e">
        <f t="shared" si="176"/>
        <v>#VALUE!</v>
      </c>
      <c r="BR69" s="706" t="e">
        <f t="shared" si="176"/>
        <v>#VALUE!</v>
      </c>
      <c r="BS69" s="706" t="e">
        <f t="shared" si="176"/>
        <v>#VALUE!</v>
      </c>
      <c r="BT69" s="706" t="e">
        <f t="shared" si="176"/>
        <v>#VALUE!</v>
      </c>
      <c r="BU69" s="706" t="e">
        <f t="shared" si="176"/>
        <v>#VALUE!</v>
      </c>
      <c r="BV69" s="706" t="e">
        <f t="shared" si="176"/>
        <v>#VALUE!</v>
      </c>
      <c r="BW69" s="706" t="e">
        <f t="shared" ref="BW69:CD69" si="177">BW70-BW60-BW63-BW66</f>
        <v>#VALUE!</v>
      </c>
      <c r="BX69" s="706" t="e">
        <f t="shared" si="177"/>
        <v>#VALUE!</v>
      </c>
      <c r="BY69" s="706" t="e">
        <f t="shared" si="177"/>
        <v>#VALUE!</v>
      </c>
      <c r="BZ69" s="706" t="e">
        <f t="shared" si="177"/>
        <v>#VALUE!</v>
      </c>
      <c r="CA69" s="706" t="e">
        <f t="shared" si="177"/>
        <v>#VALUE!</v>
      </c>
      <c r="CB69" s="706" t="e">
        <f t="shared" si="177"/>
        <v>#VALUE!</v>
      </c>
      <c r="CC69" s="706" t="e">
        <f t="shared" si="177"/>
        <v>#VALUE!</v>
      </c>
      <c r="CD69" s="706" t="e">
        <f t="shared" si="177"/>
        <v>#VALUE!</v>
      </c>
      <c r="CE69" s="706" t="e">
        <f t="shared" ref="CE69:CL69" si="178">CE70-CE60-CE63-CE66</f>
        <v>#VALUE!</v>
      </c>
      <c r="CF69" s="706" t="e">
        <f t="shared" si="178"/>
        <v>#VALUE!</v>
      </c>
      <c r="CG69" s="706" t="e">
        <f t="shared" si="178"/>
        <v>#VALUE!</v>
      </c>
      <c r="CH69" s="706" t="e">
        <f t="shared" si="178"/>
        <v>#VALUE!</v>
      </c>
      <c r="CI69" s="706" t="e">
        <f t="shared" si="178"/>
        <v>#VALUE!</v>
      </c>
      <c r="CJ69" s="706" t="e">
        <f t="shared" si="178"/>
        <v>#VALUE!</v>
      </c>
      <c r="CK69" s="706" t="e">
        <f t="shared" si="178"/>
        <v>#VALUE!</v>
      </c>
      <c r="CL69" s="706" t="e">
        <f t="shared" si="178"/>
        <v>#VALUE!</v>
      </c>
      <c r="CM69" s="706" t="e">
        <f t="shared" ref="CM69:CT69" si="179">CM70-CM60-CM63-CM66</f>
        <v>#VALUE!</v>
      </c>
      <c r="CN69" s="706" t="e">
        <f t="shared" si="179"/>
        <v>#VALUE!</v>
      </c>
      <c r="CO69" s="706" t="e">
        <f t="shared" si="179"/>
        <v>#VALUE!</v>
      </c>
      <c r="CP69" s="706" t="e">
        <f t="shared" si="179"/>
        <v>#VALUE!</v>
      </c>
      <c r="CQ69" s="706" t="e">
        <f t="shared" si="179"/>
        <v>#VALUE!</v>
      </c>
      <c r="CR69" s="706" t="e">
        <f t="shared" si="179"/>
        <v>#VALUE!</v>
      </c>
      <c r="CS69" s="706" t="e">
        <f t="shared" si="179"/>
        <v>#VALUE!</v>
      </c>
      <c r="CT69" s="706" t="e">
        <f t="shared" si="179"/>
        <v>#VALUE!</v>
      </c>
      <c r="CU69" s="706" t="e">
        <f t="shared" ref="CU69:DB69" si="180">CU70-CU60-CU63-CU66</f>
        <v>#VALUE!</v>
      </c>
      <c r="CV69" s="706" t="e">
        <f t="shared" si="180"/>
        <v>#VALUE!</v>
      </c>
      <c r="CW69" s="706" t="e">
        <f t="shared" si="180"/>
        <v>#VALUE!</v>
      </c>
      <c r="CX69" s="706" t="e">
        <f t="shared" si="180"/>
        <v>#VALUE!</v>
      </c>
      <c r="CY69" s="706" t="e">
        <f t="shared" si="180"/>
        <v>#VALUE!</v>
      </c>
      <c r="CZ69" s="706" t="e">
        <f t="shared" si="180"/>
        <v>#VALUE!</v>
      </c>
      <c r="DA69" s="706" t="e">
        <f t="shared" si="180"/>
        <v>#VALUE!</v>
      </c>
      <c r="DB69" s="706" t="e">
        <f t="shared" si="180"/>
        <v>#VALUE!</v>
      </c>
      <c r="DC69"/>
      <c r="DD69"/>
      <c r="DE69"/>
      <c r="DF69"/>
      <c r="DG69"/>
      <c r="DH69"/>
      <c r="DI69"/>
      <c r="DJ69"/>
      <c r="DK69"/>
      <c r="DL69"/>
      <c r="DM69"/>
      <c r="DN69"/>
      <c r="DO69"/>
    </row>
    <row r="70" spans="1:119" s="699" customFormat="1" ht="12.75" customHeight="1">
      <c r="A70" s="664" t="str">
        <f>"Q" &amp; ROW(InputQ!A7)</f>
        <v>Q7</v>
      </c>
      <c r="B70" s="1953" t="s">
        <v>1940</v>
      </c>
      <c r="C70" s="3071"/>
      <c r="D70" s="746"/>
      <c r="E70" s="3615" t="s">
        <v>1067</v>
      </c>
      <c r="F70" s="3633"/>
      <c r="G70" s="799">
        <f>InputQ!G7/1000</f>
        <v>0.39301436515291938</v>
      </c>
      <c r="H70" s="799">
        <f>InputQ!H7/1000</f>
        <v>0.41267956441149217</v>
      </c>
      <c r="I70" s="799">
        <f>InputQ!I7/1000</f>
        <v>0.41540199258572758</v>
      </c>
      <c r="J70" s="799">
        <f>InputQ!J7/1000</f>
        <v>0.4492875347544022</v>
      </c>
      <c r="K70" s="799">
        <f>InputQ!K7/1000</f>
        <v>0.46877896200185359</v>
      </c>
      <c r="L70" s="799">
        <f>InputQ!L7/1000</f>
        <v>0.48473702502316962</v>
      </c>
      <c r="M70" s="799">
        <f>InputQ!M7/1000</f>
        <v>0.50005792400370708</v>
      </c>
      <c r="N70" s="799">
        <f>InputQ!N7/1000</f>
        <v>0.54686051899907329</v>
      </c>
      <c r="O70" s="799">
        <f>InputQ!O7/1000</f>
        <v>0.58375810936051908</v>
      </c>
      <c r="P70" s="799">
        <f>InputQ!P7/1000</f>
        <v>0.59829703429101033</v>
      </c>
      <c r="Q70" s="799">
        <f>InputQ!Q7/1000</f>
        <v>0.64622914735866555</v>
      </c>
      <c r="R70" s="799">
        <f>InputQ!R7/1000</f>
        <v>0.67750810936051908</v>
      </c>
      <c r="S70" s="799">
        <f>InputQ!S7/1000</f>
        <v>0.73192771084337349</v>
      </c>
      <c r="T70" s="799">
        <f>InputQ!T7/1000</f>
        <v>0.77386468952734011</v>
      </c>
      <c r="U70" s="799">
        <f>InputQ!U7/1000</f>
        <v>0.79292168674698804</v>
      </c>
      <c r="V70" s="799">
        <f>InputQ!V7/1000</f>
        <v>0.75136121408711776</v>
      </c>
      <c r="W70" s="799">
        <f>InputQ!W7/1000</f>
        <v>0.73809661723818354</v>
      </c>
      <c r="X70" s="799">
        <f>InputQ!X7/1000</f>
        <v>0.76010773864689529</v>
      </c>
      <c r="Y70" s="799">
        <f>InputQ!Y7/1000</f>
        <v>0.69413229842446711</v>
      </c>
      <c r="Z70" s="799">
        <f>InputQ!Z7/1000</f>
        <v>0.66030468025949962</v>
      </c>
      <c r="AA70" s="799">
        <f>InputQ!AA7/1000</f>
        <v>0.64596848934198337</v>
      </c>
      <c r="AB70" s="799">
        <f>InputQ!AB7/1000</f>
        <v>0.63974165894346613</v>
      </c>
      <c r="AC70" s="799">
        <f>InputQ!AC7/1000</f>
        <v>0.66149212233549592</v>
      </c>
      <c r="AD70" s="799">
        <f>InputQ!AD7/1000</f>
        <v>0.68341635773864684</v>
      </c>
      <c r="AE70" s="799">
        <f>InputQ!AE7/1000</f>
        <v>0.71350787766450408</v>
      </c>
      <c r="AF70" s="799">
        <f>InputQ!AF7/1000</f>
        <v>0.69500115848007404</v>
      </c>
      <c r="AG70" s="799">
        <f>InputQ!AG7/1000</f>
        <v>0.71481116774791476</v>
      </c>
      <c r="AH70" s="799">
        <f>InputQ!AH7/1000</f>
        <v>0.86570319740500468</v>
      </c>
      <c r="AI70" s="799">
        <f>InputQ!AI7/1000</f>
        <v>0.81360055607043558</v>
      </c>
      <c r="AJ70" s="799">
        <f>InputQ!AJ7/1000</f>
        <v>0.80123378127896205</v>
      </c>
      <c r="AK70" s="799">
        <f>InputQ!AK7/1000</f>
        <v>0.81371640407784995</v>
      </c>
      <c r="AL70" s="799">
        <f>InputQ!AL7/1000</f>
        <v>0.87198795180722899</v>
      </c>
      <c r="AM70" s="799">
        <f>InputQ!AM7/1000</f>
        <v>0.8681649675625579</v>
      </c>
      <c r="AN70" s="799">
        <f>InputQ!AN7/1000</f>
        <v>0.9241774791473587</v>
      </c>
      <c r="AO70" s="799">
        <f>InputQ!AO7/1000</f>
        <v>0.95061978683966641</v>
      </c>
      <c r="AP70" s="799">
        <f>InputQ!AP7/1000</f>
        <v>0.97610634847080646</v>
      </c>
      <c r="AQ70" s="799">
        <f>InputQ!AQ7/1000</f>
        <v>1.017840593141798</v>
      </c>
      <c r="AR70" s="799">
        <f>InputQ!AR7/1000</f>
        <v>1.0666126042632067</v>
      </c>
      <c r="AS70" s="799">
        <f>InputQ!AS7/1000</f>
        <v>1.0852641334569046</v>
      </c>
      <c r="AT70" s="799">
        <f>InputQ!AT7/1000</f>
        <v>1.0867991195551439</v>
      </c>
      <c r="AU70" s="799">
        <f>InputQ!AU7/1000</f>
        <v>1.28</v>
      </c>
      <c r="AV70" s="799">
        <f>InputQ!AV7/1000</f>
        <v>1.2899</v>
      </c>
      <c r="AW70" s="799">
        <f>InputQ!AW7/1000</f>
        <v>1.4085000000000001</v>
      </c>
      <c r="AX70" s="799">
        <f>InputQ!AX7/1000</f>
        <v>1.4517</v>
      </c>
      <c r="AY70" s="799">
        <f>InputQ!AY7/1000</f>
        <v>1.4781</v>
      </c>
      <c r="AZ70" s="799">
        <f>InputQ!AZ7/1000</f>
        <v>1.5637000000000001</v>
      </c>
      <c r="BA70" s="799">
        <f>InputQ!BA7/1000</f>
        <v>1.6442000000000001</v>
      </c>
      <c r="BB70" s="799">
        <f>InputQ!BB7/1000</f>
        <v>1.8074000000000001</v>
      </c>
      <c r="BC70" s="799">
        <f>InputQ!BC7/1000</f>
        <v>1.8799000000000001</v>
      </c>
      <c r="BD70" s="799">
        <f>InputQ!BD7/1000</f>
        <v>2.0070999999999999</v>
      </c>
      <c r="BE70" s="799">
        <f>InputQ!BE7/1000</f>
        <v>2.0089999999999999</v>
      </c>
      <c r="BF70" s="799">
        <f>InputQ!BF7/1000</f>
        <v>2.0472000000000001</v>
      </c>
      <c r="BG70" s="799">
        <f>InputQ!BG7/1000</f>
        <v>2.0287000000000002</v>
      </c>
      <c r="BH70" s="799">
        <f>InputQ!BH7/1000</f>
        <v>2.012</v>
      </c>
      <c r="BI70" s="799">
        <f>InputQ!BI7/1000</f>
        <v>1.8860999999999999</v>
      </c>
      <c r="BJ70" s="799">
        <f>InputQ!BJ7/1000</f>
        <v>1.7222999999999999</v>
      </c>
      <c r="BK70" s="3065">
        <f t="shared" ref="BK70:BZ70" si="181">+BJ70*(1+BK86/100)</f>
        <v>1.3425</v>
      </c>
      <c r="BL70" s="3065">
        <f t="shared" si="181"/>
        <v>1.1689000000000001</v>
      </c>
      <c r="BM70" s="3065">
        <f t="shared" si="181"/>
        <v>1.0634000000000001</v>
      </c>
      <c r="BN70" s="3065">
        <f t="shared" si="181"/>
        <v>1.0734999999999999</v>
      </c>
      <c r="BO70" s="3065">
        <f t="shared" si="181"/>
        <v>1.0432999999999999</v>
      </c>
      <c r="BP70" s="3065">
        <f t="shared" si="181"/>
        <v>1.1151</v>
      </c>
      <c r="BQ70" s="3065">
        <f t="shared" si="181"/>
        <v>1.2498999999999998</v>
      </c>
      <c r="BR70" s="3065">
        <f t="shared" si="181"/>
        <v>1.2954999999999999</v>
      </c>
      <c r="BS70" s="3065">
        <f>+BR70*(1+BS86/100)</f>
        <v>1.3806999999999998</v>
      </c>
      <c r="BT70" s="3065">
        <f>+BS70*(1+BT86/100)</f>
        <v>1.4029999999999998</v>
      </c>
      <c r="BU70" s="3065">
        <f>+BT70*(1+BU86/100)</f>
        <v>1.4439</v>
      </c>
      <c r="BV70" s="3065">
        <f>+BU70*(1+BV86/100)</f>
        <v>1.4516999999999998</v>
      </c>
      <c r="BW70" s="3065">
        <f t="shared" si="181"/>
        <v>1.4303999999999999</v>
      </c>
      <c r="BX70" s="3065">
        <f t="shared" si="181"/>
        <v>1.3803999999999998</v>
      </c>
      <c r="BY70" s="3065">
        <f t="shared" si="181"/>
        <v>1.3981999999999999</v>
      </c>
      <c r="BZ70" s="3065">
        <f t="shared" si="181"/>
        <v>1.3780999999999997</v>
      </c>
      <c r="CA70" s="3065">
        <f t="shared" ref="CA70:CH70" si="182">+BZ70*(1+CA86/100)</f>
        <v>1.4340999999999997</v>
      </c>
      <c r="CB70" s="3065">
        <f t="shared" si="182"/>
        <v>1.4782999999999997</v>
      </c>
      <c r="CC70" s="3065">
        <f t="shared" si="182"/>
        <v>1.5640999999999996</v>
      </c>
      <c r="CD70" s="3065">
        <f t="shared" si="182"/>
        <v>1.5646</v>
      </c>
      <c r="CE70" s="3065">
        <f t="shared" si="182"/>
        <v>1.5847000000000002</v>
      </c>
      <c r="CF70" s="3065">
        <f t="shared" si="182"/>
        <v>1.5859000000000005</v>
      </c>
      <c r="CG70" s="3065">
        <f t="shared" si="182"/>
        <v>1.5953000000000002</v>
      </c>
      <c r="CH70" s="3065">
        <f t="shared" si="182"/>
        <v>1.6097000000000006</v>
      </c>
      <c r="CI70" s="3065">
        <f t="shared" ref="CI70:CP70" si="183">+CH70*(1+CI86/100)</f>
        <v>1.6925000000000001</v>
      </c>
      <c r="CJ70" s="3065">
        <f t="shared" si="183"/>
        <v>1.7261000000000002</v>
      </c>
      <c r="CK70" s="3065">
        <f t="shared" si="183"/>
        <v>1.6802000000000004</v>
      </c>
      <c r="CL70" s="3065">
        <f t="shared" si="183"/>
        <v>1.5977000000000003</v>
      </c>
      <c r="CM70" s="3065">
        <f t="shared" si="183"/>
        <v>1.6605000000000003</v>
      </c>
      <c r="CN70" s="3065">
        <f t="shared" si="183"/>
        <v>1.6853</v>
      </c>
      <c r="CO70" s="3065">
        <f t="shared" si="183"/>
        <v>1.6259999999999999</v>
      </c>
      <c r="CP70" s="3065">
        <f t="shared" si="183"/>
        <v>1.7169999999999999</v>
      </c>
      <c r="CQ70" s="3065">
        <f t="shared" ref="CQ70:CX70" si="184">+CP70*(1+CQ86/100)</f>
        <v>1.7052999999999998</v>
      </c>
      <c r="CR70" s="3065">
        <f t="shared" si="184"/>
        <v>1.7519999999999998</v>
      </c>
      <c r="CS70" s="3065">
        <f>+CR70*(1+CS86/100)</f>
        <v>1.7739999999999998</v>
      </c>
      <c r="CT70" s="3065">
        <f t="shared" si="184"/>
        <v>1.9079000000000002</v>
      </c>
      <c r="CU70" s="3065">
        <f t="shared" si="184"/>
        <v>1.8792815</v>
      </c>
      <c r="CV70" s="3065">
        <f t="shared" si="184"/>
        <v>1.894315752</v>
      </c>
      <c r="CW70" s="3065">
        <f t="shared" si="184"/>
        <v>1.9132589095200001</v>
      </c>
      <c r="CX70" s="3065">
        <f t="shared" si="184"/>
        <v>1.9352613869794801</v>
      </c>
      <c r="CY70" s="3065">
        <f t="shared" ref="CY70" si="185">+CX70*(1+CY86/100)</f>
        <v>1.9551945792653687</v>
      </c>
      <c r="CZ70" s="3065">
        <f t="shared" ref="CZ70" si="186">+CY70*(1+CZ86/100)</f>
        <v>1.9747465250580223</v>
      </c>
      <c r="DA70" s="3065">
        <f t="shared" ref="DA70" si="187">+CZ70*(1+DA86/100)</f>
        <v>1.9944939903086025</v>
      </c>
      <c r="DB70" s="3065">
        <f t="shared" ref="DB70" si="188">+DA70*(1+DB86/100)</f>
        <v>2.0144389302116887</v>
      </c>
      <c r="DC70"/>
      <c r="DD70"/>
      <c r="DE70"/>
      <c r="DF70"/>
      <c r="DG70"/>
      <c r="DH70"/>
      <c r="DI70"/>
      <c r="DJ70"/>
      <c r="DK70"/>
      <c r="DL70"/>
      <c r="DM70"/>
      <c r="DN70"/>
      <c r="DO70"/>
    </row>
    <row r="71" spans="1:119" s="699" customFormat="1" ht="12.75" customHeight="1">
      <c r="A71" s="664" t="str">
        <f>"Q" &amp; ROW(InputQ!A7)</f>
        <v>Q7</v>
      </c>
      <c r="C71" s="667"/>
      <c r="D71" s="668"/>
      <c r="E71" s="3620" t="s">
        <v>1067</v>
      </c>
      <c r="F71" s="3620"/>
      <c r="G71" s="780">
        <f>InputQ!G7/1000</f>
        <v>0.39301436515291938</v>
      </c>
      <c r="H71" s="780">
        <f>InputQ!H7/1000</f>
        <v>0.41267956441149217</v>
      </c>
      <c r="I71" s="780">
        <f>InputQ!I7/1000</f>
        <v>0.41540199258572758</v>
      </c>
      <c r="J71" s="780">
        <f>InputQ!J7/1000</f>
        <v>0.4492875347544022</v>
      </c>
      <c r="K71" s="780">
        <f>InputQ!K7/1000</f>
        <v>0.46877896200185359</v>
      </c>
      <c r="L71" s="780">
        <f>InputQ!L7/1000</f>
        <v>0.48473702502316962</v>
      </c>
      <c r="M71" s="780">
        <f>InputQ!M7/1000</f>
        <v>0.50005792400370708</v>
      </c>
      <c r="N71" s="780">
        <f>InputQ!N7/1000</f>
        <v>0.54686051899907329</v>
      </c>
      <c r="O71" s="780">
        <f>InputQ!O7/1000</f>
        <v>0.58375810936051908</v>
      </c>
      <c r="P71" s="780">
        <f>InputQ!P7/1000</f>
        <v>0.59829703429101033</v>
      </c>
      <c r="Q71" s="780">
        <f>InputQ!Q7/1000</f>
        <v>0.64622914735866555</v>
      </c>
      <c r="R71" s="780">
        <f>InputQ!R7/1000</f>
        <v>0.67750810936051908</v>
      </c>
      <c r="S71" s="780">
        <f>InputQ!S7/1000</f>
        <v>0.73192771084337349</v>
      </c>
      <c r="T71" s="780">
        <f>InputQ!T7/1000</f>
        <v>0.77386468952734011</v>
      </c>
      <c r="U71" s="780">
        <f>InputQ!U7/1000</f>
        <v>0.79292168674698804</v>
      </c>
      <c r="V71" s="780">
        <f>InputQ!V7/1000</f>
        <v>0.75136121408711776</v>
      </c>
      <c r="W71" s="780">
        <f>InputQ!W7/1000</f>
        <v>0.73809661723818354</v>
      </c>
      <c r="X71" s="780">
        <f>InputQ!X7/1000</f>
        <v>0.76010773864689529</v>
      </c>
      <c r="Y71" s="780">
        <f>InputQ!Y7/1000</f>
        <v>0.69413229842446711</v>
      </c>
      <c r="Z71" s="780">
        <f>InputQ!Z7/1000</f>
        <v>0.66030468025949962</v>
      </c>
      <c r="AA71" s="780">
        <f>InputQ!AA7/1000</f>
        <v>0.64596848934198337</v>
      </c>
      <c r="AB71" s="780">
        <f>InputQ!AB7/1000</f>
        <v>0.63974165894346613</v>
      </c>
      <c r="AC71" s="780">
        <f>InputQ!AC7/1000</f>
        <v>0.66149212233549592</v>
      </c>
      <c r="AD71" s="780">
        <f>InputQ!AD7/1000</f>
        <v>0.68341635773864684</v>
      </c>
      <c r="AE71" s="780">
        <f>InputQ!AE7/1000</f>
        <v>0.71350787766450408</v>
      </c>
      <c r="AF71" s="780">
        <f>InputQ!AF7/1000</f>
        <v>0.69500115848007404</v>
      </c>
      <c r="AG71" s="780">
        <f>InputQ!AG7/1000</f>
        <v>0.71481116774791476</v>
      </c>
      <c r="AH71" s="780">
        <f>InputQ!AH7/1000</f>
        <v>0.86570319740500468</v>
      </c>
      <c r="AI71" s="780">
        <f>InputQ!AI7/1000</f>
        <v>0.81360055607043558</v>
      </c>
      <c r="AJ71" s="780">
        <f>InputQ!AJ7/1000</f>
        <v>0.80123378127896205</v>
      </c>
      <c r="AK71" s="780">
        <f>InputQ!AK7/1000</f>
        <v>0.81371640407784995</v>
      </c>
      <c r="AL71" s="780">
        <f>InputQ!AL7/1000</f>
        <v>0.87198795180722899</v>
      </c>
      <c r="AM71" s="780">
        <f>InputQ!AM7/1000</f>
        <v>0.8681649675625579</v>
      </c>
      <c r="AN71" s="780">
        <f>InputQ!AN7/1000</f>
        <v>0.9241774791473587</v>
      </c>
      <c r="AO71" s="780">
        <f>InputQ!AO7/1000</f>
        <v>0.95061978683966641</v>
      </c>
      <c r="AP71" s="780">
        <f>InputQ!AP7/1000</f>
        <v>0.97610634847080646</v>
      </c>
      <c r="AQ71" s="780">
        <f>InputQ!AQ7/1000</f>
        <v>1.017840593141798</v>
      </c>
      <c r="AR71" s="780">
        <f>InputQ!AR7/1000</f>
        <v>1.0666126042632067</v>
      </c>
      <c r="AS71" s="780">
        <f>InputQ!AS7/1000</f>
        <v>1.0852641334569046</v>
      </c>
      <c r="AT71" s="780">
        <f>InputQ!AT7/1000</f>
        <v>1.0867991195551439</v>
      </c>
      <c r="AU71" s="780">
        <f>InputQ!AU7/1000</f>
        <v>1.28</v>
      </c>
      <c r="AV71" s="780">
        <f>InputQ!AV7/1000</f>
        <v>1.2899</v>
      </c>
      <c r="AW71" s="780">
        <f>InputQ!AW7/1000</f>
        <v>1.4085000000000001</v>
      </c>
      <c r="AX71" s="780">
        <f>InputQ!AX7/1000</f>
        <v>1.4517</v>
      </c>
      <c r="AY71" s="780">
        <f>InputQ!AY7/1000</f>
        <v>1.4781</v>
      </c>
      <c r="AZ71" s="780">
        <f>InputQ!AZ7/1000</f>
        <v>1.5637000000000001</v>
      </c>
      <c r="BA71" s="780">
        <f>InputQ!BA7/1000</f>
        <v>1.6442000000000001</v>
      </c>
      <c r="BB71" s="780">
        <f>InputQ!BB7/1000</f>
        <v>1.8074000000000001</v>
      </c>
      <c r="BC71" s="780">
        <f>InputQ!BC7/1000</f>
        <v>1.8799000000000001</v>
      </c>
      <c r="BD71" s="780">
        <f>InputQ!BD7/1000</f>
        <v>2.0070999999999999</v>
      </c>
      <c r="BE71" s="780">
        <f>InputQ!BE7/1000</f>
        <v>2.0089999999999999</v>
      </c>
      <c r="BF71" s="780">
        <f>InputQ!BF7/1000</f>
        <v>2.0472000000000001</v>
      </c>
      <c r="BG71" s="780">
        <f>InputQ!BG7/1000</f>
        <v>2.0287000000000002</v>
      </c>
      <c r="BH71" s="780">
        <f>InputQ!BH7/1000</f>
        <v>2.012</v>
      </c>
      <c r="BI71" s="780">
        <f>InputQ!BI7/1000</f>
        <v>1.8860999999999999</v>
      </c>
      <c r="BJ71" s="780">
        <f>InputQ!BJ7/1000</f>
        <v>1.7222999999999999</v>
      </c>
      <c r="BK71" s="780">
        <f>InputQ!BK7/1000</f>
        <v>1.3425</v>
      </c>
      <c r="BL71" s="780">
        <f>InputQ!BL7/1000</f>
        <v>1.1689000000000001</v>
      </c>
      <c r="BM71" s="780">
        <f>InputQ!BM7/1000</f>
        <v>1.0634000000000001</v>
      </c>
      <c r="BN71" s="780">
        <f>InputQ!BN7/1000</f>
        <v>1.0734999999999999</v>
      </c>
      <c r="BO71" s="780">
        <f>InputQ!BO7/1000</f>
        <v>1.0432999999999999</v>
      </c>
      <c r="BP71" s="780">
        <f>InputQ!BP7/1000</f>
        <v>1.1151</v>
      </c>
      <c r="BQ71" s="780">
        <f>InputQ!BQ7/1000</f>
        <v>1.2499</v>
      </c>
      <c r="BR71" s="780">
        <f>InputQ!BR7/1000</f>
        <v>1.2955000000000001</v>
      </c>
      <c r="BS71" s="780">
        <f>InputQ!BS7/1000</f>
        <v>1.3807</v>
      </c>
      <c r="BT71" s="780">
        <f>InputQ!BT7/1000</f>
        <v>1.403</v>
      </c>
      <c r="BU71" s="780">
        <f>InputQ!BU7/1000</f>
        <v>1.4439000000000002</v>
      </c>
      <c r="BV71" s="780">
        <f>InputQ!BV7/1000</f>
        <v>1.4517</v>
      </c>
      <c r="BW71" s="780">
        <f>InputQ!BW7/1000</f>
        <v>1.4304000000000001</v>
      </c>
      <c r="BX71" s="780">
        <f>InputQ!BX7/1000</f>
        <v>1.3804000000000001</v>
      </c>
      <c r="BY71" s="780">
        <f>InputQ!BY7/1000</f>
        <v>1.3982000000000001</v>
      </c>
      <c r="BZ71" s="780">
        <f>InputQ!BZ7/1000</f>
        <v>1.3780999999999999</v>
      </c>
      <c r="CA71" s="780">
        <f>InputQ!CA7/1000</f>
        <v>1.4340999999999999</v>
      </c>
      <c r="CB71" s="780">
        <f>InputQ!CB7/1000</f>
        <v>1.4782999999999999</v>
      </c>
      <c r="CC71" s="780">
        <f>InputQ!CC7/1000</f>
        <v>1.5640999999999998</v>
      </c>
      <c r="CD71" s="780">
        <f>InputQ!CD7/1000</f>
        <v>1.5646</v>
      </c>
      <c r="CE71" s="780">
        <f>InputQ!CE7/1000</f>
        <v>1.5847</v>
      </c>
      <c r="CF71" s="780">
        <f>InputQ!CF7/1000</f>
        <v>1.5859000000000001</v>
      </c>
      <c r="CG71" s="780">
        <f>InputQ!CG7/1000</f>
        <v>1.5952999999999999</v>
      </c>
      <c r="CH71" s="780">
        <f>InputQ!CH7/1000</f>
        <v>1.6097000000000001</v>
      </c>
      <c r="CI71" s="780">
        <f>InputQ!CI7/1000</f>
        <v>1.6924999999999999</v>
      </c>
      <c r="CJ71" s="780">
        <f>InputQ!CJ7/1000</f>
        <v>1.7261</v>
      </c>
      <c r="CK71" s="780">
        <f>InputQ!CK7/1000</f>
        <v>1.6802000000000001</v>
      </c>
      <c r="CL71" s="780">
        <f>InputQ!CL7/1000</f>
        <v>1.5977000000000001</v>
      </c>
      <c r="CM71" s="780">
        <f>InputQ!CM7/1000</f>
        <v>1.6605000000000001</v>
      </c>
      <c r="CN71" s="780">
        <f>InputQ!CN7/1000</f>
        <v>1.6853</v>
      </c>
      <c r="CO71" s="780">
        <f>InputQ!CO7/1000</f>
        <v>1.6259999999999999</v>
      </c>
      <c r="CP71" s="780">
        <f>InputQ!CP7/1000</f>
        <v>1.7170000000000001</v>
      </c>
      <c r="CQ71" s="780">
        <f>InputQ!CQ7/1000</f>
        <v>1.7053</v>
      </c>
      <c r="CR71" s="780">
        <f>InputQ!CR7/1000</f>
        <v>1.752</v>
      </c>
      <c r="CS71" s="780">
        <f>InputQ!CS7/1000</f>
        <v>1.774</v>
      </c>
      <c r="CT71" s="780">
        <f>InputQ!CT7/1000</f>
        <v>1.9079000000000002</v>
      </c>
      <c r="CU71" s="1591">
        <f>CT71*(1+CU87/100)</f>
        <v>1.8792815</v>
      </c>
      <c r="CV71" s="1591">
        <f t="shared" ref="CV71:CX71" si="189">CU71*(1+CV87/100)</f>
        <v>1.894315752</v>
      </c>
      <c r="CW71" s="1591">
        <f t="shared" si="189"/>
        <v>1.9132589095200001</v>
      </c>
      <c r="CX71" s="1591">
        <f t="shared" si="189"/>
        <v>1.9352613869794801</v>
      </c>
      <c r="CY71" s="1591">
        <f t="shared" ref="CY71" si="190">CX71*(1+CY87/100)</f>
        <v>1.9551945792653687</v>
      </c>
      <c r="CZ71" s="1591">
        <f t="shared" ref="CZ71" si="191">CY71*(1+CZ87/100)</f>
        <v>1.9747465250580223</v>
      </c>
      <c r="DA71" s="1591">
        <f t="shared" ref="DA71" si="192">CZ71*(1+DA87/100)</f>
        <v>1.9944939903086025</v>
      </c>
      <c r="DB71" s="1591">
        <f t="shared" ref="DB71" si="193">DA71*(1+DB87/100)</f>
        <v>2.0144389302116887</v>
      </c>
      <c r="DC71"/>
      <c r="DD71"/>
      <c r="DE71"/>
      <c r="DF71"/>
      <c r="DG71"/>
      <c r="DH71"/>
      <c r="DI71"/>
      <c r="DJ71"/>
      <c r="DK71"/>
      <c r="DL71"/>
      <c r="DM71"/>
      <c r="DN71"/>
      <c r="DO71"/>
    </row>
    <row r="72" spans="1:119" s="26" customFormat="1">
      <c r="A72" s="664"/>
      <c r="B72" s="673"/>
      <c r="C72" s="687"/>
      <c r="D72" s="683"/>
      <c r="E72" s="684" t="s">
        <v>266</v>
      </c>
      <c r="F72" s="685"/>
      <c r="G72" s="1570"/>
      <c r="H72" s="1571"/>
      <c r="I72" s="1571"/>
      <c r="J72" s="1575">
        <f>SUM(G71:J71)</f>
        <v>1.6703834569045415</v>
      </c>
      <c r="K72" s="1570"/>
      <c r="L72" s="1571"/>
      <c r="M72" s="1571"/>
      <c r="N72" s="1575">
        <f>SUM(K71:N71)</f>
        <v>2.0004344300278034</v>
      </c>
      <c r="O72" s="1570"/>
      <c r="P72" s="1571"/>
      <c r="Q72" s="1571"/>
      <c r="R72" s="1575">
        <f>SUM(O71:R71)</f>
        <v>2.5057924003707139</v>
      </c>
      <c r="S72" s="1570"/>
      <c r="T72" s="1571"/>
      <c r="U72" s="1571"/>
      <c r="V72" s="1575">
        <f>SUM(S71:V71)</f>
        <v>3.050075301204819</v>
      </c>
      <c r="W72" s="1570"/>
      <c r="X72" s="1571"/>
      <c r="Y72" s="1571"/>
      <c r="Z72" s="1575">
        <f>SUM(W71:Z71)</f>
        <v>2.8526413345690456</v>
      </c>
      <c r="AA72" s="1570"/>
      <c r="AB72" s="1571"/>
      <c r="AC72" s="1571"/>
      <c r="AD72" s="1575">
        <f>SUM(AA71:AD71)</f>
        <v>2.6306186283595925</v>
      </c>
      <c r="AE72" s="1570"/>
      <c r="AF72" s="1571"/>
      <c r="AG72" s="1571"/>
      <c r="AH72" s="1575">
        <f>SUM(AE71:AH71)</f>
        <v>2.9890234012974974</v>
      </c>
      <c r="AI72" s="1570"/>
      <c r="AJ72" s="1571"/>
      <c r="AK72" s="1571"/>
      <c r="AL72" s="1575">
        <f>SUM(AI71:AL71)</f>
        <v>3.3005386932344765</v>
      </c>
      <c r="AM72" s="1570"/>
      <c r="AN72" s="1571"/>
      <c r="AO72" s="1571"/>
      <c r="AP72" s="1575">
        <f>SUM(AM71:AP71)</f>
        <v>3.7190685820203897</v>
      </c>
      <c r="AQ72" s="1570"/>
      <c r="AR72" s="1571"/>
      <c r="AS72" s="1571"/>
      <c r="AT72" s="1575">
        <f>SUM(AQ71:AT71)</f>
        <v>4.2565164504170534</v>
      </c>
      <c r="AU72" s="1570"/>
      <c r="AV72" s="1571"/>
      <c r="AW72" s="1571"/>
      <c r="AX72" s="1575">
        <f>SUM(AU71:AX71)</f>
        <v>5.4301000000000004</v>
      </c>
      <c r="AY72" s="1570"/>
      <c r="AZ72" s="1571"/>
      <c r="BA72" s="1571"/>
      <c r="BB72" s="1575">
        <f>SUM(AY71:BB71)</f>
        <v>6.4934000000000003</v>
      </c>
      <c r="BC72" s="1570"/>
      <c r="BD72" s="1571"/>
      <c r="BE72" s="1571"/>
      <c r="BF72" s="1575">
        <f>SUM(BC71:BF71)</f>
        <v>7.9432</v>
      </c>
      <c r="BG72" s="1570"/>
      <c r="BH72" s="1571"/>
      <c r="BI72" s="1571"/>
      <c r="BJ72" s="1575">
        <f>SUM(BG71:BJ71)</f>
        <v>7.6490999999999998</v>
      </c>
      <c r="BK72" s="1570"/>
      <c r="BL72" s="1571"/>
      <c r="BM72" s="1571"/>
      <c r="BN72" s="1575">
        <f>SUM(BK71:BN71)</f>
        <v>4.6482999999999999</v>
      </c>
      <c r="BO72" s="1570"/>
      <c r="BP72" s="1571"/>
      <c r="BQ72" s="1571"/>
      <c r="BR72" s="1575">
        <f>SUM(BO71:BR71)</f>
        <v>4.7037999999999993</v>
      </c>
      <c r="BS72" s="1570"/>
      <c r="BT72" s="1571"/>
      <c r="BU72" s="1571"/>
      <c r="BV72" s="1575">
        <f>SUM(BS71:BV71)</f>
        <v>5.6793000000000005</v>
      </c>
      <c r="BW72" s="1570"/>
      <c r="BX72" s="1571"/>
      <c r="BY72" s="1571"/>
      <c r="BZ72" s="1575">
        <f>SUM(BW71:BZ71)</f>
        <v>5.5871000000000004</v>
      </c>
      <c r="CA72" s="1570"/>
      <c r="CB72" s="1571"/>
      <c r="CC72" s="1571"/>
      <c r="CD72" s="1575">
        <f>SUM(CA71:CD71)</f>
        <v>6.0411000000000001</v>
      </c>
      <c r="CE72" s="1570"/>
      <c r="CF72" s="1571"/>
      <c r="CG72" s="1571"/>
      <c r="CH72" s="1575">
        <f>SUM(CE71:CH71)</f>
        <v>6.3756000000000004</v>
      </c>
      <c r="CI72" s="1570"/>
      <c r="CJ72" s="1571"/>
      <c r="CK72" s="1571"/>
      <c r="CL72" s="1575">
        <f>SUM(CI71:CL71)</f>
        <v>6.6965000000000003</v>
      </c>
      <c r="CM72" s="1570"/>
      <c r="CN72" s="1571"/>
      <c r="CO72" s="1571"/>
      <c r="CP72" s="1575">
        <f>SUM(CM71:CP71)</f>
        <v>6.6888000000000005</v>
      </c>
      <c r="CQ72" s="1570"/>
      <c r="CR72" s="1571"/>
      <c r="CS72" s="1571"/>
      <c r="CT72" s="1616">
        <f>SUM(CQ71:CT71)</f>
        <v>7.1392000000000007</v>
      </c>
      <c r="CU72" s="1570"/>
      <c r="CV72" s="1571"/>
      <c r="CW72" s="1571"/>
      <c r="CX72" s="1616">
        <f>SUM(CU71:CX71)</f>
        <v>7.6221175484994799</v>
      </c>
      <c r="CY72" s="1570"/>
      <c r="CZ72" s="1571"/>
      <c r="DA72" s="1571"/>
      <c r="DB72" s="1616">
        <f>SUM(CY71:DB71)</f>
        <v>7.9388740248436829</v>
      </c>
      <c r="DC72"/>
      <c r="DD72"/>
      <c r="DE72"/>
      <c r="DF72"/>
      <c r="DG72"/>
      <c r="DH72"/>
      <c r="DI72"/>
      <c r="DJ72"/>
      <c r="DK72"/>
      <c r="DL72"/>
      <c r="DM72"/>
      <c r="DN72"/>
      <c r="DO72"/>
    </row>
    <row r="73" spans="1:119" s="699" customFormat="1" ht="12.75" customHeight="1">
      <c r="A73" s="664"/>
      <c r="B73" s="664"/>
      <c r="C73" s="669"/>
      <c r="D73" s="679"/>
      <c r="E73" s="1572" t="s">
        <v>1847</v>
      </c>
      <c r="F73" s="679"/>
      <c r="G73" s="1573"/>
      <c r="H73" s="2839" t="s">
        <v>757</v>
      </c>
      <c r="I73" s="2840">
        <f ca="1">+J73/J72*100</f>
        <v>111.68970986155277</v>
      </c>
      <c r="J73" s="1574">
        <f ca="1">OFFSET('VVP2'!$G$29,0,(COLUMN()-10)/4)</f>
        <v>1.865646436592058</v>
      </c>
      <c r="K73" s="1573"/>
      <c r="L73" s="2839" t="s">
        <v>757</v>
      </c>
      <c r="M73" s="2840">
        <f ca="1">+N73/N72*100</f>
        <v>112.8957273116105</v>
      </c>
      <c r="N73" s="1574">
        <f ca="1">OFFSET('VVP2'!$G$29,0,(COLUMN()-10)/4)</f>
        <v>2.2584049991717587</v>
      </c>
      <c r="O73" s="1573"/>
      <c r="P73" s="2839" t="s">
        <v>757</v>
      </c>
      <c r="Q73" s="2840">
        <f ca="1">+R73/R72*100</f>
        <v>113.14553027010383</v>
      </c>
      <c r="R73" s="1574">
        <f ca="1">OFFSET('VVP2'!$G$29,0,(COLUMN()-10)/4)</f>
        <v>2.8351920988674078</v>
      </c>
      <c r="S73" s="1573"/>
      <c r="T73" s="2839" t="s">
        <v>757</v>
      </c>
      <c r="U73" s="2840">
        <f ca="1">+V73/V72*100</f>
        <v>112.56832635229716</v>
      </c>
      <c r="V73" s="1574">
        <f ca="1">OFFSET('VVP2'!$G$29,0,(COLUMN()-10)/4)</f>
        <v>3.4334187190510512</v>
      </c>
      <c r="W73" s="1573"/>
      <c r="X73" s="2839" t="s">
        <v>757</v>
      </c>
      <c r="Y73" s="2840">
        <f ca="1">+Z73/Z72*100</f>
        <v>113.20497308622457</v>
      </c>
      <c r="Z73" s="1574">
        <f ca="1">OFFSET('VVP2'!$G$29,0,(COLUMN()-10)/4)</f>
        <v>3.2293318550454053</v>
      </c>
      <c r="AA73" s="1573"/>
      <c r="AB73" s="2839" t="s">
        <v>757</v>
      </c>
      <c r="AC73" s="2840">
        <f ca="1">+AD73/AD72*100</f>
        <v>112.47981802043574</v>
      </c>
      <c r="AD73" s="1574">
        <f ca="1">OFFSET('VVP2'!$G$29,0,(COLUMN()-10)/4)</f>
        <v>2.9589150459905524</v>
      </c>
      <c r="AE73" s="1573"/>
      <c r="AF73" s="2839" t="s">
        <v>757</v>
      </c>
      <c r="AG73" s="2840">
        <f ca="1">+AH73/AH72*100</f>
        <v>112.04577660966162</v>
      </c>
      <c r="AH73" s="1574">
        <f ca="1">OFFSET('VVP2'!$G$29,0,(COLUMN()-10)/4)</f>
        <v>3.3490744830283035</v>
      </c>
      <c r="AI73" s="1573"/>
      <c r="AJ73" s="2839" t="s">
        <v>757</v>
      </c>
      <c r="AK73" s="2840">
        <f ca="1">+AL73/AL72*100</f>
        <v>112.31894223496323</v>
      </c>
      <c r="AL73" s="1574">
        <f ca="1">OFFSET('VVP2'!$G$29,0,(COLUMN()-10)/4)</f>
        <v>3.7071301482966423</v>
      </c>
      <c r="AM73" s="1573"/>
      <c r="AN73" s="2839" t="s">
        <v>757</v>
      </c>
      <c r="AO73" s="2840">
        <f ca="1">+AP73/AP72*100</f>
        <v>113.12862650983004</v>
      </c>
      <c r="AP73" s="1574">
        <f ca="1">OFFSET('VVP2'!$G$29,0,(COLUMN()-10)/4)</f>
        <v>4.2073312057982788</v>
      </c>
      <c r="AQ73" s="1573"/>
      <c r="AR73" s="2839" t="s">
        <v>757</v>
      </c>
      <c r="AS73" s="2840">
        <f ca="1">+AT73/AT72*100</f>
        <v>114.38626061278228</v>
      </c>
      <c r="AT73" s="1574">
        <f ca="1">OFFSET('VVP2'!$G$29,0,(COLUMN()-10)/4)</f>
        <v>4.8688700000000003</v>
      </c>
      <c r="AU73" s="1573"/>
      <c r="AV73" s="2839" t="s">
        <v>757</v>
      </c>
      <c r="AW73" s="2840">
        <f ca="1">+AX73/AX72*100</f>
        <v>99.95082963481336</v>
      </c>
      <c r="AX73" s="1574">
        <f ca="1">OFFSET('VVP2'!$G$29,0,(COLUMN()-10)/4)</f>
        <v>5.4274300000000002</v>
      </c>
      <c r="AY73" s="1573"/>
      <c r="AZ73" s="2839" t="s">
        <v>757</v>
      </c>
      <c r="BA73" s="2840">
        <f ca="1">+BB73/BB72*100</f>
        <v>99.960729355961433</v>
      </c>
      <c r="BB73" s="1574">
        <f ca="1">OFFSET('VVP2'!$G$29,0,(COLUMN()-10)/4)</f>
        <v>6.49085</v>
      </c>
      <c r="BC73" s="1573"/>
      <c r="BD73" s="2839" t="s">
        <v>757</v>
      </c>
      <c r="BE73" s="2840">
        <f ca="1">+BF73/BF72*100</f>
        <v>99.966512236881869</v>
      </c>
      <c r="BF73" s="1574">
        <f ca="1">OFFSET('VVP2'!$G$29,0,(COLUMN()-10)/4)</f>
        <v>7.9405400000000004</v>
      </c>
      <c r="BG73" s="1573"/>
      <c r="BH73" s="2839" t="s">
        <v>757</v>
      </c>
      <c r="BI73" s="2840">
        <f ca="1">+BJ73/BJ72*100</f>
        <v>99.661528807310674</v>
      </c>
      <c r="BJ73" s="1574">
        <f ca="1">OFFSET('VVP2'!$G$29,0,(COLUMN()-10)/4)</f>
        <v>7.6232100000000003</v>
      </c>
      <c r="BK73" s="1573"/>
      <c r="BL73" s="2839" t="s">
        <v>757</v>
      </c>
      <c r="BM73" s="2840">
        <f ca="1">+BN73/BN72*100</f>
        <v>100.19964288019277</v>
      </c>
      <c r="BN73" s="1574">
        <f ca="1">OFFSET('VVP2'!$G$29,0,(COLUMN()-10)/4)</f>
        <v>4.6575800000000003</v>
      </c>
      <c r="BO73" s="1573"/>
      <c r="BP73" s="2839" t="s">
        <v>757</v>
      </c>
      <c r="BQ73" s="2840">
        <f ca="1">+BR73/BR72*100</f>
        <v>100.47833666397383</v>
      </c>
      <c r="BR73" s="1574">
        <f ca="1">OFFSET('VVP2'!$G$29,0,(COLUMN()-10)/4)</f>
        <v>4.7263000000000002</v>
      </c>
      <c r="BS73" s="1573"/>
      <c r="BT73" s="2839" t="s">
        <v>757</v>
      </c>
      <c r="BU73" s="2840">
        <f ca="1">+BV73/BV72*100</f>
        <v>99.985737678939302</v>
      </c>
      <c r="BV73" s="1574">
        <f ca="1">OFFSET('VVP2'!$G$29,0,(COLUMN()-10)/4)</f>
        <v>5.67849</v>
      </c>
      <c r="BW73" s="1573"/>
      <c r="BX73" s="2839" t="s">
        <v>757</v>
      </c>
      <c r="BY73" s="2840">
        <f ca="1">+BZ73/BZ72*100</f>
        <v>99.828354602566634</v>
      </c>
      <c r="BZ73" s="1574">
        <f ca="1">OFFSET('VVP2'!$G$29,0,(COLUMN()-10)/4)</f>
        <v>5.5775100000000002</v>
      </c>
      <c r="CA73" s="1573"/>
      <c r="CB73" s="2839" t="s">
        <v>757</v>
      </c>
      <c r="CC73" s="2840">
        <f ca="1">+CD73/CD72*100</f>
        <v>99.988743771829633</v>
      </c>
      <c r="CD73" s="1574">
        <f ca="1">OFFSET('VVP2'!$G$29,0,(COLUMN()-10)/4)</f>
        <v>6.0404200000000001</v>
      </c>
      <c r="CE73" s="1573"/>
      <c r="CF73" s="2839" t="s">
        <v>757</v>
      </c>
      <c r="CG73" s="2840">
        <f ca="1">+CH73/CH72*100</f>
        <v>100.19229562707824</v>
      </c>
      <c r="CH73" s="1574">
        <f ca="1">OFFSET('VVP2'!$G$29,0,(COLUMN()-10)/4)</f>
        <v>6.3878599999999999</v>
      </c>
      <c r="CI73" s="1573"/>
      <c r="CJ73" s="2839" t="s">
        <v>757</v>
      </c>
      <c r="CK73" s="2840">
        <f ca="1">+CL73/CL72*100</f>
        <v>99.995072052564765</v>
      </c>
      <c r="CL73" s="1574">
        <f ca="1">OFFSET('VVP2'!$G$29,0,(COLUMN()-10)/4)</f>
        <v>6.6961700000000004</v>
      </c>
      <c r="CM73" s="1573"/>
      <c r="CN73" s="2839" t="s">
        <v>757</v>
      </c>
      <c r="CO73" s="2840">
        <f ca="1">+CP73/CP72*100</f>
        <v>99.638799186700155</v>
      </c>
      <c r="CP73" s="1574">
        <f ca="1">OFFSET('VVP2'!$G$29,0,(COLUMN()-10)/4)</f>
        <v>6.6646400000000003</v>
      </c>
      <c r="CQ73" s="1573"/>
      <c r="CR73" s="2839" t="s">
        <v>757</v>
      </c>
      <c r="CS73" s="2840">
        <f ca="1">+CT73/CT72*100</f>
        <v>100.17102756611385</v>
      </c>
      <c r="CT73" s="1617">
        <f ca="1">OFFSET('VVP2'!$G$29,0,(COLUMN()-10)/4)</f>
        <v>7.1514100000000003</v>
      </c>
      <c r="CU73" s="1573"/>
      <c r="CV73" s="2839" t="s">
        <v>757</v>
      </c>
      <c r="CW73" s="2840">
        <f ca="1">+CX73/CX72*100</f>
        <v>100.16894018949569</v>
      </c>
      <c r="CX73" s="1617">
        <f ca="1">OFFSET('VVP2'!$G$29,0,(COLUMN()-10)/4)</f>
        <v>7.6349943683294992</v>
      </c>
      <c r="CY73" s="1573"/>
      <c r="CZ73" s="2839" t="s">
        <v>757</v>
      </c>
      <c r="DA73" s="2840">
        <f ca="1">+DB73/DB72*100</f>
        <v>100.17758354451773</v>
      </c>
      <c r="DB73" s="1617">
        <f ca="1">OFFSET('VVP2'!$G$29,0,(COLUMN()-10)/4)</f>
        <v>7.9529721587317974</v>
      </c>
      <c r="DC73"/>
      <c r="DD73"/>
      <c r="DE73"/>
      <c r="DF73"/>
      <c r="DG73"/>
      <c r="DH73"/>
      <c r="DI73"/>
      <c r="DJ73"/>
      <c r="DK73"/>
      <c r="DL73"/>
      <c r="DM73"/>
      <c r="DN73"/>
      <c r="DO73"/>
    </row>
    <row r="74" spans="1:119">
      <c r="A74" s="664"/>
      <c r="E74" s="599"/>
      <c r="F74" s="3617"/>
      <c r="AY74" s="217"/>
      <c r="BA74" s="217"/>
      <c r="BB74" s="217"/>
      <c r="BC74" s="217"/>
      <c r="BD74" s="217"/>
      <c r="BE74" s="217"/>
      <c r="BF74" s="217"/>
      <c r="BG74" s="217"/>
      <c r="BH74" s="217"/>
      <c r="BI74" s="217"/>
      <c r="BJ74" s="217"/>
      <c r="CM74" s="557"/>
      <c r="CN74" s="557"/>
      <c r="CO74" s="557"/>
      <c r="CP74" s="557"/>
      <c r="CQ74" s="557"/>
      <c r="CR74" s="557"/>
      <c r="CS74" s="557"/>
      <c r="CT74" s="557"/>
      <c r="CU74" s="557"/>
      <c r="CV74" s="557"/>
      <c r="CW74" s="557"/>
      <c r="CX74" s="557"/>
      <c r="CY74" s="557"/>
      <c r="CZ74" s="557"/>
      <c r="DA74" s="557"/>
      <c r="DB74" s="557"/>
    </row>
    <row r="75" spans="1:119" s="699" customFormat="1" ht="12.75" customHeight="1">
      <c r="A75" s="664"/>
      <c r="B75" s="664"/>
      <c r="C75" s="1553"/>
      <c r="D75" s="742"/>
      <c r="E75" s="3384" t="s">
        <v>762</v>
      </c>
      <c r="F75" s="3622"/>
      <c r="G75" s="1578" t="str">
        <f t="shared" ref="G75:N75" si="194">G59</f>
        <v>Q1</v>
      </c>
      <c r="H75" s="1579" t="str">
        <f t="shared" si="194"/>
        <v>Q2</v>
      </c>
      <c r="I75" s="1579" t="str">
        <f t="shared" si="194"/>
        <v>Q3</v>
      </c>
      <c r="J75" s="1580" t="str">
        <f t="shared" si="194"/>
        <v>Q4</v>
      </c>
      <c r="K75" s="1578" t="str">
        <f t="shared" si="194"/>
        <v>Q1</v>
      </c>
      <c r="L75" s="1579" t="str">
        <f t="shared" si="194"/>
        <v>Q2</v>
      </c>
      <c r="M75" s="1579" t="str">
        <f t="shared" si="194"/>
        <v>Q3</v>
      </c>
      <c r="N75" s="1580" t="str">
        <f t="shared" si="194"/>
        <v>Q4</v>
      </c>
      <c r="O75" s="1578" t="str">
        <f t="shared" ref="O75:BJ75" si="195">O59</f>
        <v>Q1</v>
      </c>
      <c r="P75" s="1579" t="str">
        <f t="shared" si="195"/>
        <v>Q2</v>
      </c>
      <c r="Q75" s="1579" t="str">
        <f t="shared" si="195"/>
        <v>Q3</v>
      </c>
      <c r="R75" s="1580" t="str">
        <f t="shared" si="195"/>
        <v>Q4</v>
      </c>
      <c r="S75" s="1578" t="str">
        <f t="shared" si="195"/>
        <v>Q1</v>
      </c>
      <c r="T75" s="1579" t="str">
        <f t="shared" si="195"/>
        <v>Q2</v>
      </c>
      <c r="U75" s="1579" t="str">
        <f t="shared" si="195"/>
        <v>Q3</v>
      </c>
      <c r="V75" s="1580" t="str">
        <f t="shared" si="195"/>
        <v>Q4</v>
      </c>
      <c r="W75" s="1578" t="str">
        <f t="shared" si="195"/>
        <v>Q1</v>
      </c>
      <c r="X75" s="1579" t="str">
        <f t="shared" si="195"/>
        <v>Q2</v>
      </c>
      <c r="Y75" s="1579" t="str">
        <f t="shared" si="195"/>
        <v>Q3</v>
      </c>
      <c r="Z75" s="1580" t="str">
        <f t="shared" si="195"/>
        <v>Q4</v>
      </c>
      <c r="AA75" s="1578" t="str">
        <f t="shared" si="195"/>
        <v>Q1</v>
      </c>
      <c r="AB75" s="1579" t="str">
        <f t="shared" si="195"/>
        <v>Q2</v>
      </c>
      <c r="AC75" s="1579" t="str">
        <f t="shared" si="195"/>
        <v>Q3</v>
      </c>
      <c r="AD75" s="1580" t="str">
        <f t="shared" si="195"/>
        <v>Q4</v>
      </c>
      <c r="AE75" s="1578" t="str">
        <f t="shared" si="195"/>
        <v>Q1</v>
      </c>
      <c r="AF75" s="1579" t="str">
        <f t="shared" si="195"/>
        <v>Q2</v>
      </c>
      <c r="AG75" s="1579" t="str">
        <f t="shared" si="195"/>
        <v>Q3</v>
      </c>
      <c r="AH75" s="1580" t="str">
        <f t="shared" si="195"/>
        <v>Q4</v>
      </c>
      <c r="AI75" s="1578" t="str">
        <f t="shared" si="195"/>
        <v>Q1</v>
      </c>
      <c r="AJ75" s="1579" t="str">
        <f t="shared" si="195"/>
        <v>Q2</v>
      </c>
      <c r="AK75" s="1579" t="str">
        <f t="shared" si="195"/>
        <v>Q3</v>
      </c>
      <c r="AL75" s="1580" t="str">
        <f t="shared" si="195"/>
        <v>Q4</v>
      </c>
      <c r="AM75" s="1578" t="str">
        <f t="shared" si="195"/>
        <v>Q1</v>
      </c>
      <c r="AN75" s="1579" t="str">
        <f t="shared" si="195"/>
        <v>Q2</v>
      </c>
      <c r="AO75" s="1579" t="str">
        <f t="shared" si="195"/>
        <v>Q3</v>
      </c>
      <c r="AP75" s="1580" t="str">
        <f t="shared" si="195"/>
        <v>Q4</v>
      </c>
      <c r="AQ75" s="1578" t="str">
        <f t="shared" si="195"/>
        <v>Q1</v>
      </c>
      <c r="AR75" s="1579" t="str">
        <f t="shared" si="195"/>
        <v>Q2</v>
      </c>
      <c r="AS75" s="1579" t="str">
        <f t="shared" si="195"/>
        <v>Q3</v>
      </c>
      <c r="AT75" s="1580" t="str">
        <f t="shared" si="195"/>
        <v>Q4</v>
      </c>
      <c r="AU75" s="1578" t="str">
        <f t="shared" si="195"/>
        <v>Q1</v>
      </c>
      <c r="AV75" s="1579" t="str">
        <f t="shared" si="195"/>
        <v>Q2</v>
      </c>
      <c r="AW75" s="1579" t="str">
        <f t="shared" si="195"/>
        <v>Q3</v>
      </c>
      <c r="AX75" s="1580" t="str">
        <f t="shared" si="195"/>
        <v>Q4</v>
      </c>
      <c r="AY75" s="1578" t="str">
        <f t="shared" si="195"/>
        <v>Q1</v>
      </c>
      <c r="AZ75" s="1579" t="str">
        <f t="shared" si="195"/>
        <v>Q2</v>
      </c>
      <c r="BA75" s="1579" t="str">
        <f t="shared" si="195"/>
        <v>Q3</v>
      </c>
      <c r="BB75" s="1580" t="str">
        <f t="shared" si="195"/>
        <v>Q4</v>
      </c>
      <c r="BC75" s="1578" t="str">
        <f t="shared" si="195"/>
        <v>Q1</v>
      </c>
      <c r="BD75" s="1579" t="str">
        <f t="shared" si="195"/>
        <v>Q2</v>
      </c>
      <c r="BE75" s="1579" t="str">
        <f t="shared" si="195"/>
        <v>Q3</v>
      </c>
      <c r="BF75" s="1580" t="str">
        <f t="shared" si="195"/>
        <v>Q4</v>
      </c>
      <c r="BG75" s="1578" t="str">
        <f t="shared" si="195"/>
        <v>Q1</v>
      </c>
      <c r="BH75" s="1579" t="str">
        <f t="shared" si="195"/>
        <v>Q2</v>
      </c>
      <c r="BI75" s="1579" t="str">
        <f t="shared" si="195"/>
        <v>Q3</v>
      </c>
      <c r="BJ75" s="1580" t="str">
        <f t="shared" si="195"/>
        <v>Q4</v>
      </c>
      <c r="BK75" s="1579" t="str">
        <f t="shared" ref="BK75:BR75" si="196">BK59</f>
        <v>Q1</v>
      </c>
      <c r="BL75" s="1579" t="str">
        <f t="shared" si="196"/>
        <v>Q2</v>
      </c>
      <c r="BM75" s="1579" t="str">
        <f t="shared" si="196"/>
        <v>Q3</v>
      </c>
      <c r="BN75" s="1579" t="str">
        <f t="shared" si="196"/>
        <v>Q4</v>
      </c>
      <c r="BO75" s="1579" t="str">
        <f t="shared" si="196"/>
        <v>Q1</v>
      </c>
      <c r="BP75" s="1579" t="str">
        <f t="shared" si="196"/>
        <v>Q2</v>
      </c>
      <c r="BQ75" s="1579" t="str">
        <f t="shared" si="196"/>
        <v>Q3</v>
      </c>
      <c r="BR75" s="1579" t="str">
        <f t="shared" si="196"/>
        <v>Q4</v>
      </c>
      <c r="BS75" s="1579" t="str">
        <f t="shared" ref="BS75:CD75" si="197">BS59</f>
        <v>Q1</v>
      </c>
      <c r="BT75" s="1579" t="str">
        <f t="shared" si="197"/>
        <v>Q2</v>
      </c>
      <c r="BU75" s="1579" t="str">
        <f t="shared" si="197"/>
        <v>Q3</v>
      </c>
      <c r="BV75" s="1579" t="str">
        <f t="shared" si="197"/>
        <v>Q4</v>
      </c>
      <c r="BW75" s="1579" t="str">
        <f t="shared" si="197"/>
        <v>Q1</v>
      </c>
      <c r="BX75" s="1579" t="str">
        <f t="shared" si="197"/>
        <v>Q2</v>
      </c>
      <c r="BY75" s="1579" t="str">
        <f t="shared" si="197"/>
        <v>Q3</v>
      </c>
      <c r="BZ75" s="1579" t="str">
        <f t="shared" si="197"/>
        <v>Q4</v>
      </c>
      <c r="CA75" s="1579" t="str">
        <f t="shared" si="197"/>
        <v>Q1</v>
      </c>
      <c r="CB75" s="1579" t="str">
        <f t="shared" si="197"/>
        <v>Q2</v>
      </c>
      <c r="CC75" s="1579" t="str">
        <f t="shared" si="197"/>
        <v>Q3</v>
      </c>
      <c r="CD75" s="1579" t="str">
        <f t="shared" si="197"/>
        <v>Q4</v>
      </c>
      <c r="CE75" s="1579" t="str">
        <f t="shared" ref="CE75:CL75" si="198">CE59</f>
        <v>Q1</v>
      </c>
      <c r="CF75" s="1579" t="str">
        <f t="shared" si="198"/>
        <v>Q2</v>
      </c>
      <c r="CG75" s="1579" t="str">
        <f t="shared" si="198"/>
        <v>Q3</v>
      </c>
      <c r="CH75" s="1579" t="str">
        <f t="shared" si="198"/>
        <v>Q4</v>
      </c>
      <c r="CI75" s="1579" t="str">
        <f t="shared" si="198"/>
        <v>Q1</v>
      </c>
      <c r="CJ75" s="1579" t="str">
        <f t="shared" si="198"/>
        <v>Q2</v>
      </c>
      <c r="CK75" s="1579" t="str">
        <f t="shared" si="198"/>
        <v>Q3</v>
      </c>
      <c r="CL75" s="1579" t="str">
        <f t="shared" si="198"/>
        <v>Q4</v>
      </c>
      <c r="CM75" s="1579" t="str">
        <f t="shared" ref="CM75:CT75" si="199">CM59</f>
        <v>Q1</v>
      </c>
      <c r="CN75" s="1579" t="str">
        <f t="shared" si="199"/>
        <v>Q2</v>
      </c>
      <c r="CO75" s="1579" t="str">
        <f t="shared" si="199"/>
        <v>Q3</v>
      </c>
      <c r="CP75" s="1579" t="str">
        <f t="shared" si="199"/>
        <v>Q4</v>
      </c>
      <c r="CQ75" s="1579" t="str">
        <f t="shared" si="199"/>
        <v>Q1</v>
      </c>
      <c r="CR75" s="1579" t="str">
        <f t="shared" si="199"/>
        <v>Q2</v>
      </c>
      <c r="CS75" s="1579" t="str">
        <f t="shared" si="199"/>
        <v>Q3</v>
      </c>
      <c r="CT75" s="1579" t="str">
        <f t="shared" si="199"/>
        <v>Q4</v>
      </c>
      <c r="CU75" s="1579" t="str">
        <f t="shared" ref="CU75:DB75" si="200">CU59</f>
        <v>Q1</v>
      </c>
      <c r="CV75" s="1579" t="str">
        <f t="shared" si="200"/>
        <v>Q2</v>
      </c>
      <c r="CW75" s="1579" t="str">
        <f t="shared" si="200"/>
        <v>Q3</v>
      </c>
      <c r="CX75" s="1579" t="str">
        <f t="shared" si="200"/>
        <v>Q4</v>
      </c>
      <c r="CY75" s="1579" t="str">
        <f t="shared" si="200"/>
        <v>Q1</v>
      </c>
      <c r="CZ75" s="1579" t="str">
        <f t="shared" si="200"/>
        <v>Q2</v>
      </c>
      <c r="DA75" s="1579" t="str">
        <f t="shared" si="200"/>
        <v>Q3</v>
      </c>
      <c r="DB75" s="1579" t="str">
        <f t="shared" si="200"/>
        <v>Q4</v>
      </c>
      <c r="DC75"/>
      <c r="DD75"/>
      <c r="DE75"/>
      <c r="DF75"/>
      <c r="DG75"/>
      <c r="DH75"/>
      <c r="DI75"/>
      <c r="DJ75"/>
      <c r="DK75"/>
      <c r="DL75"/>
      <c r="DM75"/>
      <c r="DN75"/>
      <c r="DO75"/>
    </row>
    <row r="76" spans="1:119" ht="12.75" customHeight="1">
      <c r="A76" s="664"/>
      <c r="C76" s="929"/>
      <c r="E76" s="599" t="s">
        <v>1789</v>
      </c>
      <c r="F76" s="3617"/>
      <c r="H76" s="217" t="e">
        <f>(H60/G60-1)*100</f>
        <v>#VALUE!</v>
      </c>
      <c r="I76" s="217" t="e">
        <f t="shared" ref="I76:N76" si="201">(I60/H60-1)*100</f>
        <v>#VALUE!</v>
      </c>
      <c r="J76" s="217" t="e">
        <f t="shared" si="201"/>
        <v>#VALUE!</v>
      </c>
      <c r="K76" s="217" t="e">
        <f t="shared" si="201"/>
        <v>#VALUE!</v>
      </c>
      <c r="L76" s="217" t="e">
        <f t="shared" si="201"/>
        <v>#VALUE!</v>
      </c>
      <c r="M76" s="217" t="e">
        <f t="shared" si="201"/>
        <v>#VALUE!</v>
      </c>
      <c r="N76" s="217" t="e">
        <f t="shared" si="201"/>
        <v>#VALUE!</v>
      </c>
      <c r="O76" s="217" t="e">
        <f t="shared" ref="O76:BJ76" si="202">(O60/N60-1)*100</f>
        <v>#VALUE!</v>
      </c>
      <c r="P76" s="217" t="e">
        <f t="shared" si="202"/>
        <v>#VALUE!</v>
      </c>
      <c r="Q76" s="217" t="e">
        <f t="shared" si="202"/>
        <v>#VALUE!</v>
      </c>
      <c r="R76" s="217" t="e">
        <f t="shared" si="202"/>
        <v>#VALUE!</v>
      </c>
      <c r="S76" s="217" t="e">
        <f t="shared" si="202"/>
        <v>#VALUE!</v>
      </c>
      <c r="T76" s="217" t="e">
        <f t="shared" si="202"/>
        <v>#VALUE!</v>
      </c>
      <c r="U76" s="217" t="e">
        <f t="shared" si="202"/>
        <v>#VALUE!</v>
      </c>
      <c r="V76" s="217" t="e">
        <f t="shared" si="202"/>
        <v>#VALUE!</v>
      </c>
      <c r="W76" s="217" t="e">
        <f t="shared" si="202"/>
        <v>#VALUE!</v>
      </c>
      <c r="X76" s="217" t="e">
        <f t="shared" si="202"/>
        <v>#VALUE!</v>
      </c>
      <c r="Y76" s="217" t="e">
        <f t="shared" si="202"/>
        <v>#VALUE!</v>
      </c>
      <c r="Z76" s="217" t="e">
        <f t="shared" si="202"/>
        <v>#VALUE!</v>
      </c>
      <c r="AA76" s="217" t="e">
        <f t="shared" si="202"/>
        <v>#VALUE!</v>
      </c>
      <c r="AB76" s="217" t="e">
        <f t="shared" si="202"/>
        <v>#VALUE!</v>
      </c>
      <c r="AC76" s="217" t="e">
        <f t="shared" si="202"/>
        <v>#VALUE!</v>
      </c>
      <c r="AD76" s="217" t="e">
        <f t="shared" si="202"/>
        <v>#VALUE!</v>
      </c>
      <c r="AE76" s="217" t="e">
        <f t="shared" si="202"/>
        <v>#VALUE!</v>
      </c>
      <c r="AF76" s="217" t="e">
        <f t="shared" si="202"/>
        <v>#VALUE!</v>
      </c>
      <c r="AG76" s="217" t="e">
        <f t="shared" si="202"/>
        <v>#VALUE!</v>
      </c>
      <c r="AH76" s="217" t="e">
        <f t="shared" si="202"/>
        <v>#VALUE!</v>
      </c>
      <c r="AI76" s="217" t="e">
        <f t="shared" si="202"/>
        <v>#VALUE!</v>
      </c>
      <c r="AJ76" s="217" t="e">
        <f t="shared" si="202"/>
        <v>#VALUE!</v>
      </c>
      <c r="AK76" s="217" t="e">
        <f t="shared" si="202"/>
        <v>#VALUE!</v>
      </c>
      <c r="AL76" s="217" t="e">
        <f t="shared" si="202"/>
        <v>#VALUE!</v>
      </c>
      <c r="AM76" s="217" t="e">
        <f t="shared" si="202"/>
        <v>#VALUE!</v>
      </c>
      <c r="AN76" s="217" t="e">
        <f t="shared" si="202"/>
        <v>#VALUE!</v>
      </c>
      <c r="AO76" s="217" t="e">
        <f t="shared" si="202"/>
        <v>#VALUE!</v>
      </c>
      <c r="AP76" s="217" t="e">
        <f t="shared" si="202"/>
        <v>#VALUE!</v>
      </c>
      <c r="AQ76" s="217" t="e">
        <f t="shared" si="202"/>
        <v>#VALUE!</v>
      </c>
      <c r="AR76" s="217" t="e">
        <f t="shared" si="202"/>
        <v>#VALUE!</v>
      </c>
      <c r="AS76" s="217" t="e">
        <f t="shared" si="202"/>
        <v>#VALUE!</v>
      </c>
      <c r="AT76" s="217" t="e">
        <f t="shared" si="202"/>
        <v>#VALUE!</v>
      </c>
      <c r="AU76" s="217" t="e">
        <f t="shared" si="202"/>
        <v>#VALUE!</v>
      </c>
      <c r="AV76" s="217" t="e">
        <f t="shared" si="202"/>
        <v>#VALUE!</v>
      </c>
      <c r="AW76" s="217" t="e">
        <f t="shared" si="202"/>
        <v>#VALUE!</v>
      </c>
      <c r="AX76" s="217" t="e">
        <f t="shared" si="202"/>
        <v>#VALUE!</v>
      </c>
      <c r="AY76" s="217" t="e">
        <f t="shared" si="202"/>
        <v>#VALUE!</v>
      </c>
      <c r="AZ76" s="217" t="e">
        <f t="shared" si="202"/>
        <v>#VALUE!</v>
      </c>
      <c r="BA76" s="217" t="e">
        <f t="shared" si="202"/>
        <v>#VALUE!</v>
      </c>
      <c r="BB76" s="217" t="e">
        <f t="shared" si="202"/>
        <v>#VALUE!</v>
      </c>
      <c r="BC76" s="217" t="e">
        <f t="shared" si="202"/>
        <v>#VALUE!</v>
      </c>
      <c r="BD76" s="217" t="e">
        <f t="shared" si="202"/>
        <v>#VALUE!</v>
      </c>
      <c r="BE76" s="217" t="e">
        <f t="shared" si="202"/>
        <v>#VALUE!</v>
      </c>
      <c r="BF76" s="217" t="e">
        <f t="shared" si="202"/>
        <v>#VALUE!</v>
      </c>
      <c r="BG76" s="217" t="e">
        <f t="shared" si="202"/>
        <v>#VALUE!</v>
      </c>
      <c r="BH76" s="217" t="e">
        <f t="shared" si="202"/>
        <v>#VALUE!</v>
      </c>
      <c r="BI76" s="217" t="e">
        <f t="shared" si="202"/>
        <v>#VALUE!</v>
      </c>
      <c r="BJ76" s="217" t="e">
        <f t="shared" si="202"/>
        <v>#VALUE!</v>
      </c>
      <c r="BK76" s="740">
        <v>0</v>
      </c>
      <c r="BL76" s="740">
        <v>0</v>
      </c>
      <c r="BM76" s="740">
        <v>0</v>
      </c>
      <c r="BN76" s="740">
        <v>0</v>
      </c>
      <c r="BO76" s="740">
        <v>0</v>
      </c>
      <c r="BP76" s="740">
        <v>0</v>
      </c>
      <c r="BQ76" s="740">
        <v>0</v>
      </c>
      <c r="BR76" s="740">
        <v>0</v>
      </c>
      <c r="BS76" s="740">
        <v>0</v>
      </c>
      <c r="BT76" s="740">
        <v>0</v>
      </c>
      <c r="BU76" s="740">
        <v>0</v>
      </c>
      <c r="BV76" s="740">
        <v>0</v>
      </c>
      <c r="BW76" s="740">
        <v>0</v>
      </c>
      <c r="BX76" s="740">
        <v>0</v>
      </c>
      <c r="BY76" s="740">
        <v>0</v>
      </c>
      <c r="BZ76" s="740">
        <v>0</v>
      </c>
      <c r="CA76" s="740">
        <v>0</v>
      </c>
      <c r="CB76" s="740">
        <v>0</v>
      </c>
      <c r="CC76" s="740">
        <v>0</v>
      </c>
      <c r="CD76" s="740">
        <v>0</v>
      </c>
      <c r="CE76" s="740">
        <v>0</v>
      </c>
      <c r="CF76" s="740">
        <v>0</v>
      </c>
      <c r="CG76" s="740">
        <v>0</v>
      </c>
      <c r="CH76" s="740">
        <v>0</v>
      </c>
      <c r="CI76" s="740">
        <v>0</v>
      </c>
      <c r="CJ76" s="740">
        <v>0</v>
      </c>
      <c r="CK76" s="740">
        <v>0</v>
      </c>
      <c r="CL76" s="740">
        <v>0</v>
      </c>
      <c r="CM76" s="740">
        <v>0</v>
      </c>
      <c r="CN76" s="740">
        <v>0</v>
      </c>
      <c r="CO76" s="740">
        <v>0</v>
      </c>
      <c r="CP76" s="740">
        <v>0</v>
      </c>
      <c r="CQ76" s="740">
        <v>0</v>
      </c>
      <c r="CR76" s="740">
        <v>0</v>
      </c>
      <c r="CS76" s="740">
        <v>0</v>
      </c>
      <c r="CT76" s="740">
        <v>0</v>
      </c>
      <c r="CU76" s="740">
        <v>0</v>
      </c>
      <c r="CV76" s="740">
        <v>0</v>
      </c>
      <c r="CW76" s="740">
        <v>0</v>
      </c>
      <c r="CX76" s="740">
        <v>0</v>
      </c>
      <c r="CY76" s="740">
        <v>0</v>
      </c>
      <c r="CZ76" s="740">
        <v>0</v>
      </c>
      <c r="DA76" s="740">
        <v>0</v>
      </c>
      <c r="DB76" s="740">
        <v>0</v>
      </c>
    </row>
    <row r="77" spans="1:119" ht="12.75" customHeight="1">
      <c r="C77" s="3072"/>
      <c r="D77" s="717"/>
      <c r="E77" s="3068" t="s">
        <v>266</v>
      </c>
      <c r="F77" s="3634"/>
      <c r="G77" s="2854"/>
      <c r="H77" s="2854"/>
      <c r="I77" s="2854"/>
      <c r="J77" s="2854"/>
      <c r="K77" s="2854"/>
      <c r="L77" s="2854"/>
      <c r="M77" s="2854"/>
      <c r="N77" s="1608" t="e">
        <f>N61/J61*100-100</f>
        <v>#VALUE!</v>
      </c>
      <c r="O77" s="2854"/>
      <c r="P77" s="2854"/>
      <c r="Q77" s="2854"/>
      <c r="R77" s="1608" t="e">
        <f>R61/N61*100-100</f>
        <v>#VALUE!</v>
      </c>
      <c r="S77" s="2854"/>
      <c r="T77" s="2854"/>
      <c r="U77" s="2854"/>
      <c r="V77" s="1608" t="e">
        <f>V61/R61*100-100</f>
        <v>#VALUE!</v>
      </c>
      <c r="W77" s="2854"/>
      <c r="X77" s="2854"/>
      <c r="Y77" s="2854"/>
      <c r="Z77" s="1608" t="e">
        <f>Z61/V61*100-100</f>
        <v>#VALUE!</v>
      </c>
      <c r="AA77" s="2854"/>
      <c r="AB77" s="2854"/>
      <c r="AC77" s="2854"/>
      <c r="AD77" s="1608" t="e">
        <f>AD61/Z61*100-100</f>
        <v>#VALUE!</v>
      </c>
      <c r="AE77" s="2854"/>
      <c r="AF77" s="2854"/>
      <c r="AG77" s="2854"/>
      <c r="AH77" s="1608" t="e">
        <f>AH61/AD61*100-100</f>
        <v>#VALUE!</v>
      </c>
      <c r="AI77" s="2854"/>
      <c r="AJ77" s="2854"/>
      <c r="AK77" s="2854"/>
      <c r="AL77" s="1608" t="e">
        <f>AL61/AH61*100-100</f>
        <v>#VALUE!</v>
      </c>
      <c r="AM77" s="2854"/>
      <c r="AN77" s="2854"/>
      <c r="AO77" s="2854"/>
      <c r="AP77" s="1608" t="e">
        <f>AP61/AL61*100-100</f>
        <v>#VALUE!</v>
      </c>
      <c r="AQ77" s="2854"/>
      <c r="AR77" s="2854"/>
      <c r="AS77" s="2854"/>
      <c r="AT77" s="1608" t="e">
        <f>AT61/AP61*100-100</f>
        <v>#VALUE!</v>
      </c>
      <c r="AU77" s="2854"/>
      <c r="AV77" s="2854"/>
      <c r="AW77" s="2854"/>
      <c r="AX77" s="1608" t="e">
        <f>AX61/AT61*100-100</f>
        <v>#VALUE!</v>
      </c>
      <c r="AY77" s="2854"/>
      <c r="AZ77" s="2854"/>
      <c r="BA77" s="2854"/>
      <c r="BB77" s="1608" t="e">
        <f>BB61/AX61*100-100</f>
        <v>#VALUE!</v>
      </c>
      <c r="BC77" s="2854"/>
      <c r="BD77" s="2854"/>
      <c r="BE77" s="2854"/>
      <c r="BF77" s="1608" t="e">
        <f>BF61/BB61*100-100</f>
        <v>#VALUE!</v>
      </c>
      <c r="BG77" s="2854"/>
      <c r="BH77" s="2854"/>
      <c r="BI77" s="2854"/>
      <c r="BJ77" s="1608" t="e">
        <f>BJ61/BF61*100-100</f>
        <v>#VALUE!</v>
      </c>
      <c r="BK77" s="2854"/>
      <c r="BL77" s="2854"/>
      <c r="BM77" s="2854"/>
      <c r="BN77" s="1610" t="e">
        <f>BN61/BJ61*100-100</f>
        <v>#VALUE!</v>
      </c>
      <c r="BO77" s="2854"/>
      <c r="BP77" s="2854"/>
      <c r="BQ77" s="2854"/>
      <c r="BR77" s="1610" t="e">
        <f>BR61/BN61*100-100</f>
        <v>#VALUE!</v>
      </c>
      <c r="BS77" s="2854"/>
      <c r="BT77" s="2854"/>
      <c r="BU77" s="2854"/>
      <c r="BV77" s="1610" t="e">
        <f>BV61/BR61*100-100</f>
        <v>#VALUE!</v>
      </c>
      <c r="BW77" s="2854"/>
      <c r="BX77" s="2854"/>
      <c r="BY77" s="2854"/>
      <c r="BZ77" s="1610" t="e">
        <f>BZ61/BV61*100-100</f>
        <v>#VALUE!</v>
      </c>
      <c r="CA77" s="2854"/>
      <c r="CB77" s="2854"/>
      <c r="CC77" s="2854"/>
      <c r="CD77" s="1610" t="e">
        <f>CD61/BZ61*100-100</f>
        <v>#VALUE!</v>
      </c>
      <c r="CE77" s="2854"/>
      <c r="CF77" s="2854"/>
      <c r="CG77" s="2854"/>
      <c r="CH77" s="1610" t="e">
        <f>CH61/CD61*100-100</f>
        <v>#VALUE!</v>
      </c>
      <c r="CI77" s="2854"/>
      <c r="CJ77" s="2854"/>
      <c r="CK77" s="2854"/>
      <c r="CL77" s="1610" t="e">
        <f>CL61/CH61*100-100</f>
        <v>#VALUE!</v>
      </c>
      <c r="CM77" s="2854"/>
      <c r="CN77" s="2854"/>
      <c r="CO77" s="2854"/>
      <c r="CP77" s="1610" t="e">
        <f>CP61/CL61*100-100</f>
        <v>#VALUE!</v>
      </c>
      <c r="CQ77" s="2854"/>
      <c r="CR77" s="2854"/>
      <c r="CS77" s="2854"/>
      <c r="CT77" s="1610" t="e">
        <f>CT61/CP61*100-100</f>
        <v>#VALUE!</v>
      </c>
      <c r="CU77" s="2854"/>
      <c r="CV77" s="2854"/>
      <c r="CW77" s="2854"/>
      <c r="CX77" s="1610" t="e">
        <f>CX61/CT61*100-100</f>
        <v>#VALUE!</v>
      </c>
      <c r="CY77" s="2854"/>
      <c r="CZ77" s="2854"/>
      <c r="DA77" s="2854"/>
      <c r="DB77" s="1610" t="e">
        <f>DB61/CX61*100-100</f>
        <v>#VALUE!</v>
      </c>
    </row>
    <row r="78" spans="1:119" ht="12.75" customHeight="1">
      <c r="C78" s="3072"/>
      <c r="D78" s="717"/>
      <c r="E78" s="3068" t="s">
        <v>1847</v>
      </c>
      <c r="F78" s="3634"/>
      <c r="G78" s="2854"/>
      <c r="H78" s="2854"/>
      <c r="I78" s="2854"/>
      <c r="J78" s="2854"/>
      <c r="K78" s="2854"/>
      <c r="L78" s="2854"/>
      <c r="M78" s="2854"/>
      <c r="N78" s="1599">
        <f ca="1">N62/J62*100-100</f>
        <v>52.25747321395221</v>
      </c>
      <c r="O78" s="2854"/>
      <c r="P78" s="2854"/>
      <c r="Q78" s="2854"/>
      <c r="R78" s="1599">
        <f ca="1">R62/N62*100-100</f>
        <v>36.034356894988747</v>
      </c>
      <c r="S78" s="2854"/>
      <c r="T78" s="2854"/>
      <c r="U78" s="2854"/>
      <c r="V78" s="1599">
        <f ca="1">V62/R62*100-100</f>
        <v>19.038247769712029</v>
      </c>
      <c r="W78" s="2854"/>
      <c r="X78" s="2854"/>
      <c r="Y78" s="2854"/>
      <c r="Z78" s="1599">
        <f ca="1">Z62/V62*100-100</f>
        <v>-3.6835902604232587</v>
      </c>
      <c r="AA78" s="2854"/>
      <c r="AB78" s="2854"/>
      <c r="AC78" s="2854"/>
      <c r="AD78" s="1599">
        <f ca="1">AD62/Z62*100-100</f>
        <v>-2.3096799813139341</v>
      </c>
      <c r="AE78" s="2854"/>
      <c r="AF78" s="2854"/>
      <c r="AG78" s="2854"/>
      <c r="AH78" s="1599">
        <f ca="1">AH62/AD62*100-100</f>
        <v>23.23139535032837</v>
      </c>
      <c r="AI78" s="2854"/>
      <c r="AJ78" s="2854"/>
      <c r="AK78" s="2854"/>
      <c r="AL78" s="1599">
        <f ca="1">AL62/AH62*100-100</f>
        <v>10.162245652709828</v>
      </c>
      <c r="AM78" s="2854"/>
      <c r="AN78" s="2854"/>
      <c r="AO78" s="2854"/>
      <c r="AP78" s="1599">
        <f ca="1">AP62/AL62*100-100</f>
        <v>6.7751830455098343</v>
      </c>
      <c r="AQ78" s="2854"/>
      <c r="AR78" s="2854"/>
      <c r="AS78" s="2854"/>
      <c r="AT78" s="1599">
        <f ca="1">AT62/AP62*100-100</f>
        <v>32.369529968370131</v>
      </c>
      <c r="AU78" s="2854"/>
      <c r="AV78" s="2854"/>
      <c r="AW78" s="2854"/>
      <c r="AX78" s="1599">
        <f ca="1">AX62/AT62*100-100</f>
        <v>12.05054079355638</v>
      </c>
      <c r="AY78" s="2854"/>
      <c r="AZ78" s="2854"/>
      <c r="BA78" s="2854"/>
      <c r="BB78" s="1599">
        <f ca="1">BB62/AX62*100-100</f>
        <v>17.052178025327109</v>
      </c>
      <c r="BC78" s="2854"/>
      <c r="BD78" s="2854"/>
      <c r="BE78" s="2854"/>
      <c r="BF78" s="1599">
        <f ca="1">BF62/BB62*100-100</f>
        <v>23.206381698853491</v>
      </c>
      <c r="BG78" s="2854"/>
      <c r="BH78" s="2854"/>
      <c r="BI78" s="2854"/>
      <c r="BJ78" s="1599">
        <f ca="1">BJ62/BF62*100-100</f>
        <v>-17.458472547612203</v>
      </c>
      <c r="BK78" s="2854"/>
      <c r="BL78" s="2854"/>
      <c r="BM78" s="2854"/>
      <c r="BN78" s="1612">
        <f ca="1">BN62/BJ62*100-100</f>
        <v>-49.870884299089333</v>
      </c>
      <c r="BO78" s="2854"/>
      <c r="BP78" s="2854"/>
      <c r="BQ78" s="2854"/>
      <c r="BR78" s="1612">
        <f ca="1">BR62/BN62*100-100</f>
        <v>20.712732139869487</v>
      </c>
      <c r="BS78" s="2854"/>
      <c r="BT78" s="2854"/>
      <c r="BU78" s="2854"/>
      <c r="BV78" s="1612">
        <f ca="1">BV62/BR62*100-100</f>
        <v>36.353357405988987</v>
      </c>
      <c r="BW78" s="2854"/>
      <c r="BX78" s="2854"/>
      <c r="BY78" s="2854"/>
      <c r="BZ78" s="1612">
        <f ca="1">BZ62/BV62*100-100</f>
        <v>2.096083886154517</v>
      </c>
      <c r="CA78" s="2854"/>
      <c r="CB78" s="2854"/>
      <c r="CC78" s="2854"/>
      <c r="CD78" s="1612">
        <f ca="1">CD62/BZ62*100-100</f>
        <v>12.348693656399661</v>
      </c>
      <c r="CE78" s="2854"/>
      <c r="CF78" s="2854"/>
      <c r="CG78" s="2854"/>
      <c r="CH78" s="1612">
        <f ca="1">CH62/CD62*100-100</f>
        <v>-0.21174978078767026</v>
      </c>
      <c r="CI78" s="2854"/>
      <c r="CJ78" s="2854"/>
      <c r="CK78" s="2854"/>
      <c r="CL78" s="1612">
        <f ca="1">CL62/CH62*100-100</f>
        <v>13.386772610423009</v>
      </c>
      <c r="CM78" s="2854"/>
      <c r="CN78" s="2854"/>
      <c r="CO78" s="2854"/>
      <c r="CP78" s="1612">
        <f ca="1">CP62/CL62*100-100</f>
        <v>8.975188692078433</v>
      </c>
      <c r="CQ78" s="2854"/>
      <c r="CR78" s="2854"/>
      <c r="CS78" s="2854"/>
      <c r="CT78" s="1612">
        <f ca="1">CT62/CP62*100-100</f>
        <v>8.8692106338230587</v>
      </c>
      <c r="CU78" s="2854"/>
      <c r="CV78" s="2854"/>
      <c r="CW78" s="2854"/>
      <c r="CX78" s="1612">
        <f ca="1">CX62/CT62*100-100</f>
        <v>8.5</v>
      </c>
      <c r="CY78" s="2854"/>
      <c r="CZ78" s="2854"/>
      <c r="DA78" s="2854"/>
      <c r="DB78" s="1612">
        <f ca="1">DB62/CX62*100-100</f>
        <v>4.2000000000000028</v>
      </c>
    </row>
    <row r="79" spans="1:119" ht="12.75" customHeight="1">
      <c r="C79" s="3072"/>
      <c r="D79" s="674"/>
      <c r="E79" s="3545" t="s">
        <v>1790</v>
      </c>
      <c r="F79" s="3057"/>
      <c r="G79" s="2853"/>
      <c r="H79" s="2853" t="e">
        <f t="shared" ref="H79:N79" si="203">(H63/G63-1)*100</f>
        <v>#VALUE!</v>
      </c>
      <c r="I79" s="2853" t="e">
        <f t="shared" si="203"/>
        <v>#VALUE!</v>
      </c>
      <c r="J79" s="2853" t="e">
        <f t="shared" si="203"/>
        <v>#VALUE!</v>
      </c>
      <c r="K79" s="2853" t="e">
        <f t="shared" si="203"/>
        <v>#VALUE!</v>
      </c>
      <c r="L79" s="2853" t="e">
        <f t="shared" si="203"/>
        <v>#VALUE!</v>
      </c>
      <c r="M79" s="2853" t="e">
        <f t="shared" si="203"/>
        <v>#VALUE!</v>
      </c>
      <c r="N79" s="2853" t="e">
        <f t="shared" si="203"/>
        <v>#VALUE!</v>
      </c>
      <c r="O79" s="2853" t="e">
        <f t="shared" ref="O79:BJ79" si="204">(O63/N63-1)*100</f>
        <v>#VALUE!</v>
      </c>
      <c r="P79" s="2853" t="e">
        <f t="shared" si="204"/>
        <v>#VALUE!</v>
      </c>
      <c r="Q79" s="2853" t="e">
        <f t="shared" si="204"/>
        <v>#VALUE!</v>
      </c>
      <c r="R79" s="2853" t="e">
        <f t="shared" si="204"/>
        <v>#VALUE!</v>
      </c>
      <c r="S79" s="2853" t="e">
        <f t="shared" si="204"/>
        <v>#VALUE!</v>
      </c>
      <c r="T79" s="2853" t="e">
        <f t="shared" si="204"/>
        <v>#VALUE!</v>
      </c>
      <c r="U79" s="2853" t="e">
        <f t="shared" si="204"/>
        <v>#VALUE!</v>
      </c>
      <c r="V79" s="2853" t="e">
        <f t="shared" si="204"/>
        <v>#VALUE!</v>
      </c>
      <c r="W79" s="2853" t="e">
        <f t="shared" si="204"/>
        <v>#VALUE!</v>
      </c>
      <c r="X79" s="2853" t="e">
        <f t="shared" si="204"/>
        <v>#VALUE!</v>
      </c>
      <c r="Y79" s="2853" t="e">
        <f t="shared" si="204"/>
        <v>#VALUE!</v>
      </c>
      <c r="Z79" s="2853" t="e">
        <f t="shared" si="204"/>
        <v>#VALUE!</v>
      </c>
      <c r="AA79" s="2853" t="e">
        <f t="shared" si="204"/>
        <v>#VALUE!</v>
      </c>
      <c r="AB79" s="2853" t="e">
        <f t="shared" si="204"/>
        <v>#VALUE!</v>
      </c>
      <c r="AC79" s="2853" t="e">
        <f t="shared" si="204"/>
        <v>#VALUE!</v>
      </c>
      <c r="AD79" s="2853" t="e">
        <f t="shared" si="204"/>
        <v>#VALUE!</v>
      </c>
      <c r="AE79" s="2853" t="e">
        <f t="shared" si="204"/>
        <v>#VALUE!</v>
      </c>
      <c r="AF79" s="2853" t="e">
        <f t="shared" si="204"/>
        <v>#VALUE!</v>
      </c>
      <c r="AG79" s="2853" t="e">
        <f t="shared" si="204"/>
        <v>#VALUE!</v>
      </c>
      <c r="AH79" s="2853" t="e">
        <f t="shared" si="204"/>
        <v>#VALUE!</v>
      </c>
      <c r="AI79" s="2853" t="e">
        <f t="shared" si="204"/>
        <v>#VALUE!</v>
      </c>
      <c r="AJ79" s="2853" t="e">
        <f t="shared" si="204"/>
        <v>#VALUE!</v>
      </c>
      <c r="AK79" s="2853" t="e">
        <f t="shared" si="204"/>
        <v>#VALUE!</v>
      </c>
      <c r="AL79" s="2853" t="e">
        <f t="shared" si="204"/>
        <v>#VALUE!</v>
      </c>
      <c r="AM79" s="2853" t="e">
        <f t="shared" si="204"/>
        <v>#VALUE!</v>
      </c>
      <c r="AN79" s="2853" t="e">
        <f t="shared" si="204"/>
        <v>#VALUE!</v>
      </c>
      <c r="AO79" s="2853" t="e">
        <f t="shared" si="204"/>
        <v>#VALUE!</v>
      </c>
      <c r="AP79" s="2853" t="e">
        <f t="shared" si="204"/>
        <v>#VALUE!</v>
      </c>
      <c r="AQ79" s="2853" t="e">
        <f t="shared" si="204"/>
        <v>#VALUE!</v>
      </c>
      <c r="AR79" s="2853" t="e">
        <f t="shared" si="204"/>
        <v>#VALUE!</v>
      </c>
      <c r="AS79" s="2853" t="e">
        <f t="shared" si="204"/>
        <v>#VALUE!</v>
      </c>
      <c r="AT79" s="2853" t="e">
        <f t="shared" si="204"/>
        <v>#VALUE!</v>
      </c>
      <c r="AU79" s="2853" t="e">
        <f t="shared" si="204"/>
        <v>#VALUE!</v>
      </c>
      <c r="AV79" s="2853" t="e">
        <f t="shared" si="204"/>
        <v>#VALUE!</v>
      </c>
      <c r="AW79" s="2853" t="e">
        <f t="shared" si="204"/>
        <v>#VALUE!</v>
      </c>
      <c r="AX79" s="2853" t="e">
        <f t="shared" si="204"/>
        <v>#VALUE!</v>
      </c>
      <c r="AY79" s="2853" t="e">
        <f t="shared" si="204"/>
        <v>#VALUE!</v>
      </c>
      <c r="AZ79" s="2853" t="e">
        <f t="shared" si="204"/>
        <v>#VALUE!</v>
      </c>
      <c r="BA79" s="2853" t="e">
        <f t="shared" si="204"/>
        <v>#VALUE!</v>
      </c>
      <c r="BB79" s="2853" t="e">
        <f t="shared" si="204"/>
        <v>#VALUE!</v>
      </c>
      <c r="BC79" s="2853" t="e">
        <f t="shared" si="204"/>
        <v>#VALUE!</v>
      </c>
      <c r="BD79" s="2853" t="e">
        <f t="shared" si="204"/>
        <v>#VALUE!</v>
      </c>
      <c r="BE79" s="2853" t="e">
        <f t="shared" si="204"/>
        <v>#VALUE!</v>
      </c>
      <c r="BF79" s="2853" t="e">
        <f t="shared" si="204"/>
        <v>#VALUE!</v>
      </c>
      <c r="BG79" s="2853" t="e">
        <f t="shared" si="204"/>
        <v>#VALUE!</v>
      </c>
      <c r="BH79" s="2853" t="e">
        <f t="shared" si="204"/>
        <v>#VALUE!</v>
      </c>
      <c r="BI79" s="2853" t="e">
        <f t="shared" si="204"/>
        <v>#VALUE!</v>
      </c>
      <c r="BJ79" s="2853" t="e">
        <f t="shared" si="204"/>
        <v>#VALUE!</v>
      </c>
      <c r="BK79" s="2880">
        <v>0</v>
      </c>
      <c r="BL79" s="2880">
        <v>0</v>
      </c>
      <c r="BM79" s="2880">
        <v>0</v>
      </c>
      <c r="BN79" s="740">
        <v>0</v>
      </c>
      <c r="BO79" s="2880">
        <v>0</v>
      </c>
      <c r="BP79" s="2880">
        <v>0</v>
      </c>
      <c r="BQ79" s="2880">
        <v>0</v>
      </c>
      <c r="BR79" s="740">
        <v>0</v>
      </c>
      <c r="BS79" s="2880">
        <v>0</v>
      </c>
      <c r="BT79" s="2880">
        <v>0</v>
      </c>
      <c r="BU79" s="2880">
        <v>0</v>
      </c>
      <c r="BV79" s="740">
        <v>0</v>
      </c>
      <c r="BW79" s="2880">
        <v>0</v>
      </c>
      <c r="BX79" s="2880">
        <v>0</v>
      </c>
      <c r="BY79" s="2880">
        <v>0</v>
      </c>
      <c r="BZ79" s="740">
        <v>0</v>
      </c>
      <c r="CA79" s="2880">
        <v>0</v>
      </c>
      <c r="CB79" s="2880">
        <v>0</v>
      </c>
      <c r="CC79" s="2880">
        <v>0</v>
      </c>
      <c r="CD79" s="740">
        <v>0</v>
      </c>
      <c r="CE79" s="2880">
        <v>0</v>
      </c>
      <c r="CF79" s="2880">
        <v>0</v>
      </c>
      <c r="CG79" s="2880">
        <v>0</v>
      </c>
      <c r="CH79" s="740">
        <v>0</v>
      </c>
      <c r="CI79" s="2880">
        <v>0</v>
      </c>
      <c r="CJ79" s="2880">
        <v>0</v>
      </c>
      <c r="CK79" s="2880">
        <v>0</v>
      </c>
      <c r="CL79" s="740">
        <v>0</v>
      </c>
      <c r="CM79" s="2880">
        <v>0</v>
      </c>
      <c r="CN79" s="2880">
        <v>0</v>
      </c>
      <c r="CO79" s="2880">
        <v>0</v>
      </c>
      <c r="CP79" s="740">
        <v>0</v>
      </c>
      <c r="CQ79" s="2880">
        <v>0</v>
      </c>
      <c r="CR79" s="2880">
        <v>0</v>
      </c>
      <c r="CS79" s="2880">
        <v>0</v>
      </c>
      <c r="CT79" s="740">
        <v>0</v>
      </c>
      <c r="CU79" s="2880">
        <v>0</v>
      </c>
      <c r="CV79" s="2880">
        <v>0</v>
      </c>
      <c r="CW79" s="2880">
        <v>0</v>
      </c>
      <c r="CX79" s="740">
        <v>0</v>
      </c>
      <c r="CY79" s="2880">
        <v>0</v>
      </c>
      <c r="CZ79" s="2880">
        <v>0</v>
      </c>
      <c r="DA79" s="2880">
        <v>0</v>
      </c>
      <c r="DB79" s="740">
        <v>0</v>
      </c>
    </row>
    <row r="80" spans="1:119" ht="12.75" customHeight="1">
      <c r="C80" s="3072"/>
      <c r="D80" s="717"/>
      <c r="E80" s="3068" t="s">
        <v>266</v>
      </c>
      <c r="F80" s="3634"/>
      <c r="G80" s="2854"/>
      <c r="H80" s="2854"/>
      <c r="I80" s="2854"/>
      <c r="J80" s="2854"/>
      <c r="K80" s="2854"/>
      <c r="L80" s="2854"/>
      <c r="M80" s="2854"/>
      <c r="N80" s="1608" t="e">
        <f>N64/J64*100-100</f>
        <v>#VALUE!</v>
      </c>
      <c r="O80" s="2854"/>
      <c r="P80" s="2854"/>
      <c r="Q80" s="2854"/>
      <c r="R80" s="1608" t="e">
        <f>R64/N64*100-100</f>
        <v>#VALUE!</v>
      </c>
      <c r="S80" s="2854"/>
      <c r="T80" s="2854"/>
      <c r="U80" s="2854"/>
      <c r="V80" s="1608" t="e">
        <f>V64/R64*100-100</f>
        <v>#VALUE!</v>
      </c>
      <c r="W80" s="2854"/>
      <c r="X80" s="2854"/>
      <c r="Y80" s="2854"/>
      <c r="Z80" s="1608" t="e">
        <f>Z64/V64*100-100</f>
        <v>#VALUE!</v>
      </c>
      <c r="AA80" s="2854"/>
      <c r="AB80" s="2854"/>
      <c r="AC80" s="2854"/>
      <c r="AD80" s="1608" t="e">
        <f>AD64/Z64*100-100</f>
        <v>#VALUE!</v>
      </c>
      <c r="AE80" s="2854"/>
      <c r="AF80" s="2854"/>
      <c r="AG80" s="2854"/>
      <c r="AH80" s="1608" t="e">
        <f>AH64/AD64*100-100</f>
        <v>#VALUE!</v>
      </c>
      <c r="AI80" s="2854"/>
      <c r="AJ80" s="2854"/>
      <c r="AK80" s="2854"/>
      <c r="AL80" s="1608" t="e">
        <f>AL64/AH64*100-100</f>
        <v>#VALUE!</v>
      </c>
      <c r="AM80" s="2854"/>
      <c r="AN80" s="2854"/>
      <c r="AO80" s="2854"/>
      <c r="AP80" s="1608" t="e">
        <f>AP64/AL64*100-100</f>
        <v>#VALUE!</v>
      </c>
      <c r="AQ80" s="2854"/>
      <c r="AR80" s="2854"/>
      <c r="AS80" s="2854"/>
      <c r="AT80" s="1608" t="e">
        <f>AT64/AP64*100-100</f>
        <v>#VALUE!</v>
      </c>
      <c r="AU80" s="2854"/>
      <c r="AV80" s="2854"/>
      <c r="AW80" s="2854"/>
      <c r="AX80" s="1608" t="e">
        <f>AX64/AT64*100-100</f>
        <v>#VALUE!</v>
      </c>
      <c r="AY80" s="2854"/>
      <c r="AZ80" s="2854"/>
      <c r="BA80" s="2854"/>
      <c r="BB80" s="1608" t="e">
        <f>BB64/AX64*100-100</f>
        <v>#VALUE!</v>
      </c>
      <c r="BC80" s="2854"/>
      <c r="BD80" s="2854"/>
      <c r="BE80" s="2854"/>
      <c r="BF80" s="1608" t="e">
        <f>BF64/BB64*100-100</f>
        <v>#VALUE!</v>
      </c>
      <c r="BG80" s="2854"/>
      <c r="BH80" s="2854"/>
      <c r="BI80" s="2854"/>
      <c r="BJ80" s="1608" t="e">
        <f>BJ64/BF64*100-100</f>
        <v>#VALUE!</v>
      </c>
      <c r="BK80" s="2854"/>
      <c r="BL80" s="2854"/>
      <c r="BM80" s="2854"/>
      <c r="BN80" s="1610" t="e">
        <f>BN64/BJ64*100-100</f>
        <v>#VALUE!</v>
      </c>
      <c r="BO80" s="2854"/>
      <c r="BP80" s="2854"/>
      <c r="BQ80" s="2854"/>
      <c r="BR80" s="1610" t="e">
        <f>BR64/BN64*100-100</f>
        <v>#VALUE!</v>
      </c>
      <c r="BS80" s="2854"/>
      <c r="BT80" s="2854"/>
      <c r="BU80" s="2854"/>
      <c r="BV80" s="1610" t="e">
        <f>BV64/BR64*100-100</f>
        <v>#VALUE!</v>
      </c>
      <c r="BW80" s="2854"/>
      <c r="BX80" s="2854"/>
      <c r="BY80" s="2854"/>
      <c r="BZ80" s="1610" t="e">
        <f>BZ64/BV64*100-100</f>
        <v>#VALUE!</v>
      </c>
      <c r="CA80" s="2854"/>
      <c r="CB80" s="2854"/>
      <c r="CC80" s="2854"/>
      <c r="CD80" s="1610" t="e">
        <f>CD64/BZ64*100-100</f>
        <v>#VALUE!</v>
      </c>
      <c r="CE80" s="2854"/>
      <c r="CF80" s="2854"/>
      <c r="CG80" s="2854"/>
      <c r="CH80" s="1610" t="e">
        <f>CH64/CD64*100-100</f>
        <v>#VALUE!</v>
      </c>
      <c r="CI80" s="2854"/>
      <c r="CJ80" s="2854"/>
      <c r="CK80" s="2854"/>
      <c r="CL80" s="1610" t="e">
        <f>CL64/CH64*100-100</f>
        <v>#VALUE!</v>
      </c>
      <c r="CM80" s="2854"/>
      <c r="CN80" s="2854"/>
      <c r="CO80" s="2854"/>
      <c r="CP80" s="1610" t="e">
        <f>CP64/CL64*100-100</f>
        <v>#VALUE!</v>
      </c>
      <c r="CQ80" s="2854"/>
      <c r="CR80" s="2854"/>
      <c r="CS80" s="2854"/>
      <c r="CT80" s="1610" t="e">
        <f>CT64/CP64*100-100</f>
        <v>#VALUE!</v>
      </c>
      <c r="CU80" s="2854"/>
      <c r="CV80" s="2854"/>
      <c r="CW80" s="2854"/>
      <c r="CX80" s="1610" t="e">
        <f>CX64/CT64*100-100</f>
        <v>#VALUE!</v>
      </c>
      <c r="CY80" s="2854"/>
      <c r="CZ80" s="2854"/>
      <c r="DA80" s="2854"/>
      <c r="DB80" s="1610" t="e">
        <f>DB64/CX64*100-100</f>
        <v>#VALUE!</v>
      </c>
    </row>
    <row r="81" spans="1:119" ht="12.75" customHeight="1">
      <c r="C81" s="3072"/>
      <c r="D81" s="717"/>
      <c r="E81" s="3068" t="s">
        <v>1847</v>
      </c>
      <c r="F81" s="3634"/>
      <c r="G81" s="2854"/>
      <c r="H81" s="2854"/>
      <c r="I81" s="2854"/>
      <c r="J81" s="2854"/>
      <c r="K81" s="2854"/>
      <c r="L81" s="2854"/>
      <c r="M81" s="2854"/>
      <c r="N81" s="1599">
        <f ca="1">N65/J65*100-100</f>
        <v>2.0956266614632284</v>
      </c>
      <c r="O81" s="2854"/>
      <c r="P81" s="2854"/>
      <c r="Q81" s="2854"/>
      <c r="R81" s="1599">
        <f ca="1">R65/N65*100-100</f>
        <v>18.535232583329517</v>
      </c>
      <c r="S81" s="2854"/>
      <c r="T81" s="2854"/>
      <c r="U81" s="2854"/>
      <c r="V81" s="1599">
        <f ca="1">V65/R65*100-100</f>
        <v>23.745739419534573</v>
      </c>
      <c r="W81" s="2854"/>
      <c r="X81" s="2854"/>
      <c r="Y81" s="2854"/>
      <c r="Z81" s="1599">
        <f ca="1">Z65/V65*100-100</f>
        <v>-7.7827887538057183</v>
      </c>
      <c r="AA81" s="2854"/>
      <c r="AB81" s="2854"/>
      <c r="AC81" s="2854"/>
      <c r="AD81" s="1599">
        <f ca="1">AD65/Z65*100-100</f>
        <v>-16.786978888941334</v>
      </c>
      <c r="AE81" s="2854"/>
      <c r="AF81" s="2854"/>
      <c r="AG81" s="2854"/>
      <c r="AH81" s="1599">
        <f ca="1">AH65/AD65*100-100</f>
        <v>8.7285844414662535</v>
      </c>
      <c r="AI81" s="2854"/>
      <c r="AJ81" s="2854"/>
      <c r="AK81" s="2854"/>
      <c r="AL81" s="1599">
        <f ca="1">AL65/AH65*100-100</f>
        <v>11.301678425609623</v>
      </c>
      <c r="AM81" s="2854"/>
      <c r="AN81" s="2854"/>
      <c r="AO81" s="2854"/>
      <c r="AP81" s="1599">
        <f ca="1">AP65/AL65*100-100</f>
        <v>19.747935854732603</v>
      </c>
      <c r="AQ81" s="2854"/>
      <c r="AR81" s="2854"/>
      <c r="AS81" s="2854"/>
      <c r="AT81" s="1599">
        <f ca="1">AT65/AP65*100-100</f>
        <v>5.8303062805156003</v>
      </c>
      <c r="AU81" s="2854"/>
      <c r="AV81" s="2854"/>
      <c r="AW81" s="2854"/>
      <c r="AX81" s="1599">
        <f ca="1">AX65/AT65*100-100</f>
        <v>11.323411986922508</v>
      </c>
      <c r="AY81" s="2854"/>
      <c r="AZ81" s="2854"/>
      <c r="BA81" s="2854"/>
      <c r="BB81" s="1599">
        <f ca="1">BB65/AX65*100-100</f>
        <v>22.037645468789151</v>
      </c>
      <c r="BC81" s="2854"/>
      <c r="BD81" s="2854"/>
      <c r="BE81" s="2854"/>
      <c r="BF81" s="1599">
        <f ca="1">BF65/BB65*100-100</f>
        <v>21.493248363805222</v>
      </c>
      <c r="BG81" s="2854"/>
      <c r="BH81" s="2854"/>
      <c r="BI81" s="2854"/>
      <c r="BJ81" s="1599">
        <f ca="1">BJ65/BF65*100-100</f>
        <v>0.62409770324217106</v>
      </c>
      <c r="BK81" s="2854"/>
      <c r="BL81" s="2854"/>
      <c r="BM81" s="2854"/>
      <c r="BN81" s="1612">
        <f ca="1">BN65/BJ65*100-100</f>
        <v>-37.006579121244009</v>
      </c>
      <c r="BO81" s="2854"/>
      <c r="BP81" s="2854"/>
      <c r="BQ81" s="2854"/>
      <c r="BR81" s="1612">
        <f ca="1">BR65/BN65*100-100</f>
        <v>-7.145265308602049</v>
      </c>
      <c r="BS81" s="2854"/>
      <c r="BT81" s="2854"/>
      <c r="BU81" s="2854"/>
      <c r="BV81" s="1612">
        <f ca="1">BV65/BR65*100-100</f>
        <v>14.472170013816665</v>
      </c>
      <c r="BW81" s="2854"/>
      <c r="BX81" s="2854"/>
      <c r="BY81" s="2854"/>
      <c r="BZ81" s="1612">
        <f ca="1">BZ65/BV65*100-100</f>
        <v>-4.3509722108421016</v>
      </c>
      <c r="CA81" s="2854"/>
      <c r="CB81" s="2854"/>
      <c r="CC81" s="2854"/>
      <c r="CD81" s="1612">
        <f ca="1">CD65/BZ65*100-100</f>
        <v>7.9870704901139362</v>
      </c>
      <c r="CE81" s="2854"/>
      <c r="CF81" s="2854"/>
      <c r="CG81" s="2854"/>
      <c r="CH81" s="1612">
        <f ca="1">CH65/CD65*100-100</f>
        <v>8.4108849124328628</v>
      </c>
      <c r="CI81" s="2854"/>
      <c r="CJ81" s="2854"/>
      <c r="CK81" s="2854"/>
      <c r="CL81" s="1612">
        <f ca="1">CL65/CH65*100-100</f>
        <v>8.3072391242723143E-2</v>
      </c>
      <c r="CM81" s="2854"/>
      <c r="CN81" s="2854"/>
      <c r="CO81" s="2854"/>
      <c r="CP81" s="1612">
        <f ca="1">CP65/CL65*100-100</f>
        <v>-6.6149117073220935</v>
      </c>
      <c r="CQ81" s="2854"/>
      <c r="CR81" s="2854"/>
      <c r="CS81" s="2854"/>
      <c r="CT81" s="1612">
        <f ca="1">CT65/CP65*100-100</f>
        <v>4.536354253551238</v>
      </c>
      <c r="CU81" s="2854"/>
      <c r="CV81" s="2854"/>
      <c r="CW81" s="2854"/>
      <c r="CX81" s="1612">
        <f ca="1">CX65/CT65*100-100</f>
        <v>5.6757013314071401</v>
      </c>
      <c r="CY81" s="2854"/>
      <c r="CZ81" s="2854"/>
      <c r="DA81" s="2854"/>
      <c r="DB81" s="1612">
        <f ca="1">DB65/CX65*100-100</f>
        <v>4.065761461761852</v>
      </c>
    </row>
    <row r="82" spans="1:119" ht="12.75" customHeight="1">
      <c r="C82" s="3072"/>
      <c r="D82" s="674"/>
      <c r="E82" s="3545" t="s">
        <v>1791</v>
      </c>
      <c r="F82" s="3057"/>
      <c r="G82" s="2853"/>
      <c r="H82" s="2853" t="e">
        <f t="shared" ref="H82:N82" si="205">(H66/G66-1)*100</f>
        <v>#VALUE!</v>
      </c>
      <c r="I82" s="2853" t="e">
        <f t="shared" si="205"/>
        <v>#VALUE!</v>
      </c>
      <c r="J82" s="2853" t="e">
        <f t="shared" si="205"/>
        <v>#VALUE!</v>
      </c>
      <c r="K82" s="2853" t="e">
        <f t="shared" si="205"/>
        <v>#VALUE!</v>
      </c>
      <c r="L82" s="2853" t="e">
        <f t="shared" si="205"/>
        <v>#VALUE!</v>
      </c>
      <c r="M82" s="2853" t="e">
        <f t="shared" si="205"/>
        <v>#VALUE!</v>
      </c>
      <c r="N82" s="2853" t="e">
        <f t="shared" si="205"/>
        <v>#VALUE!</v>
      </c>
      <c r="O82" s="2853" t="e">
        <f t="shared" ref="O82:BJ82" si="206">(O66/N66-1)*100</f>
        <v>#VALUE!</v>
      </c>
      <c r="P82" s="2853" t="e">
        <f t="shared" si="206"/>
        <v>#VALUE!</v>
      </c>
      <c r="Q82" s="2853" t="e">
        <f t="shared" si="206"/>
        <v>#VALUE!</v>
      </c>
      <c r="R82" s="2853" t="e">
        <f t="shared" si="206"/>
        <v>#VALUE!</v>
      </c>
      <c r="S82" s="2853" t="e">
        <f t="shared" si="206"/>
        <v>#VALUE!</v>
      </c>
      <c r="T82" s="2853" t="e">
        <f t="shared" si="206"/>
        <v>#VALUE!</v>
      </c>
      <c r="U82" s="2853" t="e">
        <f t="shared" si="206"/>
        <v>#VALUE!</v>
      </c>
      <c r="V82" s="2853" t="e">
        <f t="shared" si="206"/>
        <v>#VALUE!</v>
      </c>
      <c r="W82" s="2853" t="e">
        <f t="shared" si="206"/>
        <v>#VALUE!</v>
      </c>
      <c r="X82" s="2853" t="e">
        <f t="shared" si="206"/>
        <v>#VALUE!</v>
      </c>
      <c r="Y82" s="2853" t="e">
        <f t="shared" si="206"/>
        <v>#VALUE!</v>
      </c>
      <c r="Z82" s="2853" t="e">
        <f t="shared" si="206"/>
        <v>#VALUE!</v>
      </c>
      <c r="AA82" s="2853" t="e">
        <f t="shared" si="206"/>
        <v>#VALUE!</v>
      </c>
      <c r="AB82" s="2853" t="e">
        <f t="shared" si="206"/>
        <v>#VALUE!</v>
      </c>
      <c r="AC82" s="2853" t="e">
        <f t="shared" si="206"/>
        <v>#VALUE!</v>
      </c>
      <c r="AD82" s="2853" t="e">
        <f t="shared" si="206"/>
        <v>#VALUE!</v>
      </c>
      <c r="AE82" s="2853" t="e">
        <f t="shared" si="206"/>
        <v>#VALUE!</v>
      </c>
      <c r="AF82" s="2853" t="e">
        <f t="shared" si="206"/>
        <v>#VALUE!</v>
      </c>
      <c r="AG82" s="2853" t="e">
        <f t="shared" si="206"/>
        <v>#VALUE!</v>
      </c>
      <c r="AH82" s="2853" t="e">
        <f t="shared" si="206"/>
        <v>#VALUE!</v>
      </c>
      <c r="AI82" s="2853" t="e">
        <f t="shared" si="206"/>
        <v>#VALUE!</v>
      </c>
      <c r="AJ82" s="2853" t="e">
        <f t="shared" si="206"/>
        <v>#VALUE!</v>
      </c>
      <c r="AK82" s="2853" t="e">
        <f t="shared" si="206"/>
        <v>#VALUE!</v>
      </c>
      <c r="AL82" s="2853" t="e">
        <f t="shared" si="206"/>
        <v>#VALUE!</v>
      </c>
      <c r="AM82" s="2853" t="e">
        <f t="shared" si="206"/>
        <v>#VALUE!</v>
      </c>
      <c r="AN82" s="2853" t="e">
        <f t="shared" si="206"/>
        <v>#VALUE!</v>
      </c>
      <c r="AO82" s="2853" t="e">
        <f t="shared" si="206"/>
        <v>#VALUE!</v>
      </c>
      <c r="AP82" s="2853" t="e">
        <f t="shared" si="206"/>
        <v>#VALUE!</v>
      </c>
      <c r="AQ82" s="2853" t="e">
        <f t="shared" si="206"/>
        <v>#VALUE!</v>
      </c>
      <c r="AR82" s="2853" t="e">
        <f t="shared" si="206"/>
        <v>#VALUE!</v>
      </c>
      <c r="AS82" s="2853" t="e">
        <f t="shared" si="206"/>
        <v>#VALUE!</v>
      </c>
      <c r="AT82" s="2853" t="e">
        <f t="shared" si="206"/>
        <v>#VALUE!</v>
      </c>
      <c r="AU82" s="2853" t="e">
        <f t="shared" si="206"/>
        <v>#VALUE!</v>
      </c>
      <c r="AV82" s="2853" t="e">
        <f t="shared" si="206"/>
        <v>#VALUE!</v>
      </c>
      <c r="AW82" s="2853" t="e">
        <f t="shared" si="206"/>
        <v>#VALUE!</v>
      </c>
      <c r="AX82" s="2853" t="e">
        <f t="shared" si="206"/>
        <v>#VALUE!</v>
      </c>
      <c r="AY82" s="2853" t="e">
        <f t="shared" si="206"/>
        <v>#VALUE!</v>
      </c>
      <c r="AZ82" s="2853" t="e">
        <f t="shared" si="206"/>
        <v>#VALUE!</v>
      </c>
      <c r="BA82" s="2853" t="e">
        <f t="shared" si="206"/>
        <v>#VALUE!</v>
      </c>
      <c r="BB82" s="2853" t="e">
        <f t="shared" si="206"/>
        <v>#VALUE!</v>
      </c>
      <c r="BC82" s="2853" t="e">
        <f t="shared" si="206"/>
        <v>#VALUE!</v>
      </c>
      <c r="BD82" s="2853" t="e">
        <f t="shared" si="206"/>
        <v>#VALUE!</v>
      </c>
      <c r="BE82" s="2853" t="e">
        <f t="shared" si="206"/>
        <v>#VALUE!</v>
      </c>
      <c r="BF82" s="2853" t="e">
        <f t="shared" si="206"/>
        <v>#VALUE!</v>
      </c>
      <c r="BG82" s="2853" t="e">
        <f t="shared" si="206"/>
        <v>#VALUE!</v>
      </c>
      <c r="BH82" s="2853" t="e">
        <f t="shared" si="206"/>
        <v>#VALUE!</v>
      </c>
      <c r="BI82" s="2853" t="e">
        <f t="shared" si="206"/>
        <v>#VALUE!</v>
      </c>
      <c r="BJ82" s="2853" t="e">
        <f t="shared" si="206"/>
        <v>#VALUE!</v>
      </c>
      <c r="BK82" s="2880">
        <v>0</v>
      </c>
      <c r="BL82" s="2880">
        <v>0</v>
      </c>
      <c r="BM82" s="2880">
        <v>0</v>
      </c>
      <c r="BN82" s="740">
        <v>0</v>
      </c>
      <c r="BO82" s="2880">
        <v>0</v>
      </c>
      <c r="BP82" s="2880">
        <v>0</v>
      </c>
      <c r="BQ82" s="2880">
        <v>0</v>
      </c>
      <c r="BR82" s="740">
        <v>0</v>
      </c>
      <c r="BS82" s="2880">
        <v>0</v>
      </c>
      <c r="BT82" s="2880">
        <v>0</v>
      </c>
      <c r="BU82" s="2880">
        <v>0</v>
      </c>
      <c r="BV82" s="740">
        <v>0</v>
      </c>
      <c r="BW82" s="2880">
        <v>0</v>
      </c>
      <c r="BX82" s="2880">
        <v>0</v>
      </c>
      <c r="BY82" s="2880">
        <v>0</v>
      </c>
      <c r="BZ82" s="740">
        <v>0</v>
      </c>
      <c r="CA82" s="2880">
        <v>0</v>
      </c>
      <c r="CB82" s="2880">
        <v>0</v>
      </c>
      <c r="CC82" s="2880">
        <v>0</v>
      </c>
      <c r="CD82" s="740">
        <v>0</v>
      </c>
      <c r="CE82" s="2880">
        <v>0</v>
      </c>
      <c r="CF82" s="2880">
        <v>0</v>
      </c>
      <c r="CG82" s="2880">
        <v>0</v>
      </c>
      <c r="CH82" s="740">
        <v>0</v>
      </c>
      <c r="CI82" s="2880">
        <v>0</v>
      </c>
      <c r="CJ82" s="2880">
        <v>0</v>
      </c>
      <c r="CK82" s="2880">
        <v>0</v>
      </c>
      <c r="CL82" s="740">
        <v>0</v>
      </c>
      <c r="CM82" s="2880">
        <v>0</v>
      </c>
      <c r="CN82" s="2880">
        <v>0</v>
      </c>
      <c r="CO82" s="2880">
        <v>0</v>
      </c>
      <c r="CP82" s="740">
        <v>0</v>
      </c>
      <c r="CQ82" s="2880">
        <v>0</v>
      </c>
      <c r="CR82" s="2880">
        <v>0</v>
      </c>
      <c r="CS82" s="2880">
        <v>0</v>
      </c>
      <c r="CT82" s="740">
        <v>0</v>
      </c>
      <c r="CU82" s="2880">
        <v>0</v>
      </c>
      <c r="CV82" s="2880">
        <v>0</v>
      </c>
      <c r="CW82" s="2880">
        <v>0</v>
      </c>
      <c r="CX82" s="740">
        <v>0</v>
      </c>
      <c r="CY82" s="2880">
        <v>0</v>
      </c>
      <c r="CZ82" s="2880">
        <v>0</v>
      </c>
      <c r="DA82" s="2880">
        <v>0</v>
      </c>
      <c r="DB82" s="740">
        <v>0</v>
      </c>
    </row>
    <row r="83" spans="1:119" ht="12.75" customHeight="1">
      <c r="C83" s="3072"/>
      <c r="D83" s="717"/>
      <c r="E83" s="3068" t="s">
        <v>266</v>
      </c>
      <c r="F83" s="3634"/>
      <c r="G83" s="2854"/>
      <c r="H83" s="2854"/>
      <c r="I83" s="2854"/>
      <c r="J83" s="2854"/>
      <c r="K83" s="2854"/>
      <c r="L83" s="2854"/>
      <c r="M83" s="2854"/>
      <c r="N83" s="1608" t="e">
        <f>N67/J67*100-100</f>
        <v>#VALUE!</v>
      </c>
      <c r="O83" s="2854"/>
      <c r="P83" s="2854"/>
      <c r="Q83" s="2854"/>
      <c r="R83" s="1608" t="e">
        <f>R67/N67*100-100</f>
        <v>#VALUE!</v>
      </c>
      <c r="S83" s="2854"/>
      <c r="T83" s="2854"/>
      <c r="U83" s="2854"/>
      <c r="V83" s="1608" t="e">
        <f>V67/R67*100-100</f>
        <v>#VALUE!</v>
      </c>
      <c r="W83" s="2854"/>
      <c r="X83" s="2854"/>
      <c r="Y83" s="2854"/>
      <c r="Z83" s="1608" t="e">
        <f>Z67/V67*100-100</f>
        <v>#VALUE!</v>
      </c>
      <c r="AA83" s="2854"/>
      <c r="AB83" s="2854"/>
      <c r="AC83" s="2854"/>
      <c r="AD83" s="1608" t="e">
        <f>AD67/Z67*100-100</f>
        <v>#VALUE!</v>
      </c>
      <c r="AE83" s="2854"/>
      <c r="AF83" s="2854"/>
      <c r="AG83" s="2854"/>
      <c r="AH83" s="1608" t="e">
        <f>AH67/AD67*100-100</f>
        <v>#VALUE!</v>
      </c>
      <c r="AI83" s="2854"/>
      <c r="AJ83" s="2854"/>
      <c r="AK83" s="2854"/>
      <c r="AL83" s="1608" t="e">
        <f>AL67/AH67*100-100</f>
        <v>#VALUE!</v>
      </c>
      <c r="AM83" s="2854"/>
      <c r="AN83" s="2854"/>
      <c r="AO83" s="2854"/>
      <c r="AP83" s="1608" t="e">
        <f>AP67/AL67*100-100</f>
        <v>#VALUE!</v>
      </c>
      <c r="AQ83" s="2854"/>
      <c r="AR83" s="2854"/>
      <c r="AS83" s="2854"/>
      <c r="AT83" s="1608" t="e">
        <f>AT67/AP67*100-100</f>
        <v>#VALUE!</v>
      </c>
      <c r="AU83" s="2854"/>
      <c r="AV83" s="2854"/>
      <c r="AW83" s="2854"/>
      <c r="AX83" s="1608" t="e">
        <f>AX67/AT67*100-100</f>
        <v>#VALUE!</v>
      </c>
      <c r="AY83" s="2854"/>
      <c r="AZ83" s="2854"/>
      <c r="BA83" s="2854"/>
      <c r="BB83" s="1608" t="e">
        <f>BB67/AX67*100-100</f>
        <v>#VALUE!</v>
      </c>
      <c r="BC83" s="2854"/>
      <c r="BD83" s="2854"/>
      <c r="BE83" s="2854"/>
      <c r="BF83" s="1608" t="e">
        <f>BF67/BB67*100-100</f>
        <v>#VALUE!</v>
      </c>
      <c r="BG83" s="2854"/>
      <c r="BH83" s="2854"/>
      <c r="BI83" s="2854"/>
      <c r="BJ83" s="1608" t="e">
        <f>BJ67/BF67*100-100</f>
        <v>#VALUE!</v>
      </c>
      <c r="BK83" s="2854"/>
      <c r="BL83" s="2854"/>
      <c r="BM83" s="2854"/>
      <c r="BN83" s="1610" t="e">
        <f>BN67/BJ67*100-100</f>
        <v>#VALUE!</v>
      </c>
      <c r="BO83" s="2854"/>
      <c r="BP83" s="2854"/>
      <c r="BQ83" s="2854"/>
      <c r="BR83" s="1610" t="e">
        <f>BR67/BN67*100-100</f>
        <v>#VALUE!</v>
      </c>
      <c r="BS83" s="2854"/>
      <c r="BT83" s="2854"/>
      <c r="BU83" s="2854"/>
      <c r="BV83" s="1610" t="e">
        <f>BV67/BR67*100-100</f>
        <v>#VALUE!</v>
      </c>
      <c r="BW83" s="2854"/>
      <c r="BX83" s="2854"/>
      <c r="BY83" s="2854"/>
      <c r="BZ83" s="1610" t="e">
        <f>BZ67/BV67*100-100</f>
        <v>#VALUE!</v>
      </c>
      <c r="CA83" s="2854"/>
      <c r="CB83" s="2854"/>
      <c r="CC83" s="2854"/>
      <c r="CD83" s="1610" t="e">
        <f>CD67/BZ67*100-100</f>
        <v>#VALUE!</v>
      </c>
      <c r="CE83" s="2854"/>
      <c r="CF83" s="2854"/>
      <c r="CG83" s="2854"/>
      <c r="CH83" s="1610" t="e">
        <f>CH67/CD67*100-100</f>
        <v>#VALUE!</v>
      </c>
      <c r="CI83" s="2854"/>
      <c r="CJ83" s="2854"/>
      <c r="CK83" s="2854"/>
      <c r="CL83" s="1610" t="e">
        <f>CL67/CH67*100-100</f>
        <v>#VALUE!</v>
      </c>
      <c r="CM83" s="2854"/>
      <c r="CN83" s="2854"/>
      <c r="CO83" s="2854"/>
      <c r="CP83" s="1610" t="e">
        <f>CP67/CL67*100-100</f>
        <v>#VALUE!</v>
      </c>
      <c r="CQ83" s="2854"/>
      <c r="CR83" s="2854"/>
      <c r="CS83" s="2854"/>
      <c r="CT83" s="1610" t="e">
        <f>CT67/CP67*100-100</f>
        <v>#VALUE!</v>
      </c>
      <c r="CU83" s="2854"/>
      <c r="CV83" s="2854"/>
      <c r="CW83" s="2854"/>
      <c r="CX83" s="1610" t="e">
        <f>CX67/CT67*100-100</f>
        <v>#VALUE!</v>
      </c>
      <c r="CY83" s="2854"/>
      <c r="CZ83" s="2854"/>
      <c r="DA83" s="2854"/>
      <c r="DB83" s="1610" t="e">
        <f>DB67/CX67*100-100</f>
        <v>#VALUE!</v>
      </c>
    </row>
    <row r="84" spans="1:119" ht="12.75" customHeight="1">
      <c r="C84" s="3072"/>
      <c r="D84" s="717"/>
      <c r="E84" s="3068" t="s">
        <v>1847</v>
      </c>
      <c r="F84" s="3634"/>
      <c r="G84" s="2854"/>
      <c r="H84" s="2854"/>
      <c r="I84" s="2854"/>
      <c r="J84" s="2854"/>
      <c r="K84" s="2854"/>
      <c r="L84" s="2854"/>
      <c r="M84" s="2854"/>
      <c r="N84" s="1599">
        <f ca="1">N68/J68*100-100</f>
        <v>7.0010775921349904</v>
      </c>
      <c r="O84" s="2854"/>
      <c r="P84" s="2854"/>
      <c r="Q84" s="2854"/>
      <c r="R84" s="1599">
        <f ca="1">R68/N68*100-100</f>
        <v>11.672211641179956</v>
      </c>
      <c r="S84" s="2854"/>
      <c r="T84" s="2854"/>
      <c r="U84" s="2854"/>
      <c r="V84" s="1599">
        <f ca="1">V68/R68*100-100</f>
        <v>3.3973109097836982</v>
      </c>
      <c r="W84" s="2854"/>
      <c r="X84" s="2854"/>
      <c r="Y84" s="2854"/>
      <c r="Z84" s="1599">
        <f ca="1">Z68/V68*100-100</f>
        <v>-3.4032499959780154</v>
      </c>
      <c r="AA84" s="2854"/>
      <c r="AB84" s="2854"/>
      <c r="AC84" s="2854"/>
      <c r="AD84" s="1599">
        <f ca="1">AD68/Z68*100-100</f>
        <v>48.545623101290545</v>
      </c>
      <c r="AE84" s="2854"/>
      <c r="AF84" s="2854"/>
      <c r="AG84" s="2854"/>
      <c r="AH84" s="1599">
        <f ca="1">AH68/AD68*100-100</f>
        <v>-4.6057275694915916</v>
      </c>
      <c r="AI84" s="2854"/>
      <c r="AJ84" s="2854"/>
      <c r="AK84" s="2854"/>
      <c r="AL84" s="1599">
        <f ca="1">AL68/AH68*100-100</f>
        <v>8.4033625790541606</v>
      </c>
      <c r="AM84" s="2854"/>
      <c r="AN84" s="2854"/>
      <c r="AO84" s="2854"/>
      <c r="AP84" s="1599">
        <f ca="1">AP68/AL68*100-100</f>
        <v>2.3645301255766498</v>
      </c>
      <c r="AQ84" s="2854"/>
      <c r="AR84" s="2854"/>
      <c r="AS84" s="2854"/>
      <c r="AT84" s="1599">
        <f ca="1">AT68/AP68*100-100</f>
        <v>5.6854829335765515</v>
      </c>
      <c r="AU84" s="2854"/>
      <c r="AV84" s="2854"/>
      <c r="AW84" s="2854"/>
      <c r="AX84" s="1599">
        <f ca="1">AX68/AT68*100-100</f>
        <v>7.5273671143212084</v>
      </c>
      <c r="AY84" s="2854"/>
      <c r="AZ84" s="2854"/>
      <c r="BA84" s="2854"/>
      <c r="BB84" s="1599">
        <f ca="1">BB68/AX68*100-100</f>
        <v>11.851910159529794</v>
      </c>
      <c r="BC84" s="2854"/>
      <c r="BD84" s="2854"/>
      <c r="BE84" s="2854"/>
      <c r="BF84" s="1599">
        <f ca="1">BF68/BB68*100-100</f>
        <v>23.854652935794874</v>
      </c>
      <c r="BG84" s="2854"/>
      <c r="BH84" s="2854"/>
      <c r="BI84" s="2854"/>
      <c r="BJ84" s="1599">
        <f ca="1">BJ68/BF68*100-100</f>
        <v>19.981817493086879</v>
      </c>
      <c r="BK84" s="2854"/>
      <c r="BL84" s="2854"/>
      <c r="BM84" s="2854"/>
      <c r="BN84" s="1612">
        <f ca="1">BN68/BJ68*100-100</f>
        <v>-16.317800088400588</v>
      </c>
      <c r="BO84" s="2854"/>
      <c r="BP84" s="2854"/>
      <c r="BQ84" s="2854"/>
      <c r="BR84" s="1612">
        <f ca="1">BR68/BN68*100-100</f>
        <v>10.060176189847382</v>
      </c>
      <c r="BS84" s="2854"/>
      <c r="BT84" s="2854"/>
      <c r="BU84" s="2854"/>
      <c r="BV84" s="1612">
        <f ca="1">BV68/BR68*100-100</f>
        <v>9.0292060880296106</v>
      </c>
      <c r="BW84" s="2854"/>
      <c r="BX84" s="2854"/>
      <c r="BY84" s="2854"/>
      <c r="BZ84" s="1612">
        <f ca="1">BZ68/BV68*100-100</f>
        <v>0.23737659561089686</v>
      </c>
      <c r="CA84" s="2854"/>
      <c r="CB84" s="2854"/>
      <c r="CC84" s="2854"/>
      <c r="CD84" s="1612">
        <f ca="1">CD68/BZ68*100-100</f>
        <v>-3.9364521744585375</v>
      </c>
      <c r="CE84" s="2854"/>
      <c r="CF84" s="2854"/>
      <c r="CG84" s="2854"/>
      <c r="CH84" s="1612">
        <f ca="1">CH68/CD68*100-100</f>
        <v>11.403523092746482</v>
      </c>
      <c r="CI84" s="2854"/>
      <c r="CJ84" s="2854"/>
      <c r="CK84" s="2854"/>
      <c r="CL84" s="1612">
        <f ca="1">CL68/CH68*100-100</f>
        <v>6.0171751809842107</v>
      </c>
      <c r="CM84" s="2854"/>
      <c r="CN84" s="2854"/>
      <c r="CO84" s="2854"/>
      <c r="CP84" s="1612">
        <f ca="1">CP68/CL68*100-100</f>
        <v>1.9946367355965862</v>
      </c>
      <c r="CQ84" s="2854"/>
      <c r="CR84" s="2854"/>
      <c r="CS84" s="2854"/>
      <c r="CT84" s="1612">
        <f ca="1">CT68/CP68*100-100</f>
        <v>15.468849526339341</v>
      </c>
      <c r="CU84" s="2854"/>
      <c r="CV84" s="2854"/>
      <c r="CW84" s="2854"/>
      <c r="CX84" s="1612">
        <f ca="1">CX68/CT68*100-100</f>
        <v>6.2000000000000028</v>
      </c>
      <c r="CY84" s="2854"/>
      <c r="CZ84" s="2854"/>
      <c r="DA84" s="2854"/>
      <c r="DB84" s="1612">
        <f ca="1">DB68/CX68*100-100</f>
        <v>4.5</v>
      </c>
    </row>
    <row r="85" spans="1:119" ht="12.75" customHeight="1">
      <c r="C85" s="3072"/>
      <c r="D85" s="674"/>
      <c r="E85" s="3635" t="s">
        <v>616</v>
      </c>
      <c r="F85" s="3057"/>
      <c r="G85" s="2853"/>
      <c r="H85" s="2853" t="e">
        <f t="shared" ref="H85:N87" si="207">(H69/G69-1)*100</f>
        <v>#VALUE!</v>
      </c>
      <c r="I85" s="2853" t="e">
        <f t="shared" si="207"/>
        <v>#VALUE!</v>
      </c>
      <c r="J85" s="2853" t="e">
        <f t="shared" si="207"/>
        <v>#VALUE!</v>
      </c>
      <c r="K85" s="2853" t="e">
        <f t="shared" si="207"/>
        <v>#VALUE!</v>
      </c>
      <c r="L85" s="2853" t="e">
        <f t="shared" si="207"/>
        <v>#VALUE!</v>
      </c>
      <c r="M85" s="2853" t="e">
        <f t="shared" si="207"/>
        <v>#VALUE!</v>
      </c>
      <c r="N85" s="2853" t="e">
        <f t="shared" si="207"/>
        <v>#VALUE!</v>
      </c>
      <c r="O85" s="2853" t="e">
        <f t="shared" ref="O85:BN85" si="208">(O69/N69-1)*100</f>
        <v>#VALUE!</v>
      </c>
      <c r="P85" s="2853" t="e">
        <f t="shared" si="208"/>
        <v>#VALUE!</v>
      </c>
      <c r="Q85" s="2853" t="e">
        <f t="shared" si="208"/>
        <v>#VALUE!</v>
      </c>
      <c r="R85" s="2853" t="e">
        <f t="shared" si="208"/>
        <v>#VALUE!</v>
      </c>
      <c r="S85" s="2853" t="e">
        <f t="shared" si="208"/>
        <v>#VALUE!</v>
      </c>
      <c r="T85" s="2853" t="e">
        <f t="shared" si="208"/>
        <v>#VALUE!</v>
      </c>
      <c r="U85" s="2853" t="e">
        <f t="shared" si="208"/>
        <v>#VALUE!</v>
      </c>
      <c r="V85" s="2853" t="e">
        <f t="shared" si="208"/>
        <v>#VALUE!</v>
      </c>
      <c r="W85" s="2853" t="e">
        <f t="shared" si="208"/>
        <v>#VALUE!</v>
      </c>
      <c r="X85" s="2853" t="e">
        <f t="shared" si="208"/>
        <v>#VALUE!</v>
      </c>
      <c r="Y85" s="2853" t="e">
        <f t="shared" si="208"/>
        <v>#VALUE!</v>
      </c>
      <c r="Z85" s="2853" t="e">
        <f t="shared" si="208"/>
        <v>#VALUE!</v>
      </c>
      <c r="AA85" s="2853" t="e">
        <f t="shared" si="208"/>
        <v>#VALUE!</v>
      </c>
      <c r="AB85" s="2853" t="e">
        <f t="shared" si="208"/>
        <v>#VALUE!</v>
      </c>
      <c r="AC85" s="2853" t="e">
        <f t="shared" si="208"/>
        <v>#VALUE!</v>
      </c>
      <c r="AD85" s="2853" t="e">
        <f t="shared" si="208"/>
        <v>#VALUE!</v>
      </c>
      <c r="AE85" s="2853" t="e">
        <f t="shared" si="208"/>
        <v>#VALUE!</v>
      </c>
      <c r="AF85" s="2853" t="e">
        <f t="shared" si="208"/>
        <v>#VALUE!</v>
      </c>
      <c r="AG85" s="2853" t="e">
        <f t="shared" si="208"/>
        <v>#VALUE!</v>
      </c>
      <c r="AH85" s="2853" t="e">
        <f t="shared" si="208"/>
        <v>#VALUE!</v>
      </c>
      <c r="AI85" s="2853" t="e">
        <f t="shared" si="208"/>
        <v>#VALUE!</v>
      </c>
      <c r="AJ85" s="2853" t="e">
        <f t="shared" si="208"/>
        <v>#VALUE!</v>
      </c>
      <c r="AK85" s="2853" t="e">
        <f t="shared" si="208"/>
        <v>#VALUE!</v>
      </c>
      <c r="AL85" s="2853" t="e">
        <f t="shared" si="208"/>
        <v>#VALUE!</v>
      </c>
      <c r="AM85" s="2853" t="e">
        <f t="shared" si="208"/>
        <v>#VALUE!</v>
      </c>
      <c r="AN85" s="2853" t="e">
        <f t="shared" si="208"/>
        <v>#VALUE!</v>
      </c>
      <c r="AO85" s="2853" t="e">
        <f t="shared" si="208"/>
        <v>#VALUE!</v>
      </c>
      <c r="AP85" s="2853" t="e">
        <f t="shared" si="208"/>
        <v>#VALUE!</v>
      </c>
      <c r="AQ85" s="2853" t="e">
        <f t="shared" si="208"/>
        <v>#VALUE!</v>
      </c>
      <c r="AR85" s="2853" t="e">
        <f t="shared" si="208"/>
        <v>#VALUE!</v>
      </c>
      <c r="AS85" s="2853" t="e">
        <f t="shared" si="208"/>
        <v>#VALUE!</v>
      </c>
      <c r="AT85" s="2853" t="e">
        <f t="shared" si="208"/>
        <v>#VALUE!</v>
      </c>
      <c r="AU85" s="2853" t="e">
        <f t="shared" si="208"/>
        <v>#VALUE!</v>
      </c>
      <c r="AV85" s="2853" t="e">
        <f t="shared" si="208"/>
        <v>#VALUE!</v>
      </c>
      <c r="AW85" s="2853" t="e">
        <f t="shared" si="208"/>
        <v>#VALUE!</v>
      </c>
      <c r="AX85" s="2853" t="e">
        <f t="shared" si="208"/>
        <v>#VALUE!</v>
      </c>
      <c r="AY85" s="2853" t="e">
        <f t="shared" si="208"/>
        <v>#VALUE!</v>
      </c>
      <c r="AZ85" s="2853" t="e">
        <f t="shared" si="208"/>
        <v>#VALUE!</v>
      </c>
      <c r="BA85" s="2853" t="e">
        <f t="shared" si="208"/>
        <v>#VALUE!</v>
      </c>
      <c r="BB85" s="2853" t="e">
        <f t="shared" si="208"/>
        <v>#VALUE!</v>
      </c>
      <c r="BC85" s="2853" t="e">
        <f t="shared" si="208"/>
        <v>#VALUE!</v>
      </c>
      <c r="BD85" s="2853" t="e">
        <f t="shared" si="208"/>
        <v>#VALUE!</v>
      </c>
      <c r="BE85" s="2853" t="e">
        <f t="shared" si="208"/>
        <v>#VALUE!</v>
      </c>
      <c r="BF85" s="2853" t="e">
        <f t="shared" si="208"/>
        <v>#VALUE!</v>
      </c>
      <c r="BG85" s="2853" t="e">
        <f t="shared" si="208"/>
        <v>#VALUE!</v>
      </c>
      <c r="BH85" s="2853" t="e">
        <f t="shared" si="208"/>
        <v>#VALUE!</v>
      </c>
      <c r="BI85" s="2853" t="e">
        <f t="shared" si="208"/>
        <v>#VALUE!</v>
      </c>
      <c r="BJ85" s="2853" t="e">
        <f t="shared" si="208"/>
        <v>#VALUE!</v>
      </c>
      <c r="BK85" s="2853" t="e">
        <f t="shared" si="208"/>
        <v>#VALUE!</v>
      </c>
      <c r="BL85" s="2853" t="e">
        <f t="shared" si="208"/>
        <v>#VALUE!</v>
      </c>
      <c r="BM85" s="2853" t="e">
        <f t="shared" si="208"/>
        <v>#VALUE!</v>
      </c>
      <c r="BN85" s="2853" t="e">
        <f t="shared" si="208"/>
        <v>#VALUE!</v>
      </c>
      <c r="BO85" s="2853" t="e">
        <f t="shared" ref="BO85:BV85" si="209">(BO69/BN69-1)*100</f>
        <v>#VALUE!</v>
      </c>
      <c r="BP85" s="2853" t="e">
        <f t="shared" si="209"/>
        <v>#VALUE!</v>
      </c>
      <c r="BQ85" s="2853" t="e">
        <f t="shared" si="209"/>
        <v>#VALUE!</v>
      </c>
      <c r="BR85" s="2853" t="e">
        <f t="shared" si="209"/>
        <v>#VALUE!</v>
      </c>
      <c r="BS85" s="2853" t="e">
        <f t="shared" si="209"/>
        <v>#VALUE!</v>
      </c>
      <c r="BT85" s="2853" t="e">
        <f t="shared" si="209"/>
        <v>#VALUE!</v>
      </c>
      <c r="BU85" s="2853" t="e">
        <f t="shared" si="209"/>
        <v>#VALUE!</v>
      </c>
      <c r="BV85" s="2853" t="e">
        <f t="shared" si="209"/>
        <v>#VALUE!</v>
      </c>
      <c r="BW85" s="2853" t="e">
        <f t="shared" ref="BW85:CD85" si="210">(BW69/BV69-1)*100</f>
        <v>#VALUE!</v>
      </c>
      <c r="BX85" s="2853" t="e">
        <f t="shared" si="210"/>
        <v>#VALUE!</v>
      </c>
      <c r="BY85" s="2853" t="e">
        <f t="shared" si="210"/>
        <v>#VALUE!</v>
      </c>
      <c r="BZ85" s="2853" t="e">
        <f t="shared" si="210"/>
        <v>#VALUE!</v>
      </c>
      <c r="CA85" s="2853" t="e">
        <f t="shared" si="210"/>
        <v>#VALUE!</v>
      </c>
      <c r="CB85" s="2853" t="e">
        <f t="shared" si="210"/>
        <v>#VALUE!</v>
      </c>
      <c r="CC85" s="2853" t="e">
        <f t="shared" si="210"/>
        <v>#VALUE!</v>
      </c>
      <c r="CD85" s="2853" t="e">
        <f t="shared" si="210"/>
        <v>#VALUE!</v>
      </c>
      <c r="CE85" s="2853" t="e">
        <f t="shared" ref="CE85:CL85" si="211">(CE69/CD69-1)*100</f>
        <v>#VALUE!</v>
      </c>
      <c r="CF85" s="2853" t="e">
        <f t="shared" si="211"/>
        <v>#VALUE!</v>
      </c>
      <c r="CG85" s="2853" t="e">
        <f t="shared" si="211"/>
        <v>#VALUE!</v>
      </c>
      <c r="CH85" s="2853" t="e">
        <f t="shared" si="211"/>
        <v>#VALUE!</v>
      </c>
      <c r="CI85" s="2853" t="e">
        <f t="shared" si="211"/>
        <v>#VALUE!</v>
      </c>
      <c r="CJ85" s="2853" t="e">
        <f t="shared" si="211"/>
        <v>#VALUE!</v>
      </c>
      <c r="CK85" s="2853" t="e">
        <f t="shared" si="211"/>
        <v>#VALUE!</v>
      </c>
      <c r="CL85" s="2853" t="e">
        <f t="shared" si="211"/>
        <v>#VALUE!</v>
      </c>
      <c r="CM85" s="2853" t="e">
        <f t="shared" ref="CM85:CT85" si="212">(CM69/CL69-1)*100</f>
        <v>#VALUE!</v>
      </c>
      <c r="CN85" s="2853" t="e">
        <f t="shared" si="212"/>
        <v>#VALUE!</v>
      </c>
      <c r="CO85" s="2853" t="e">
        <f t="shared" si="212"/>
        <v>#VALUE!</v>
      </c>
      <c r="CP85" s="2853" t="e">
        <f t="shared" si="212"/>
        <v>#VALUE!</v>
      </c>
      <c r="CQ85" s="2853" t="e">
        <f t="shared" si="212"/>
        <v>#VALUE!</v>
      </c>
      <c r="CR85" s="2853" t="e">
        <f t="shared" si="212"/>
        <v>#VALUE!</v>
      </c>
      <c r="CS85" s="2853" t="e">
        <f t="shared" si="212"/>
        <v>#VALUE!</v>
      </c>
      <c r="CT85" s="2853" t="e">
        <f t="shared" si="212"/>
        <v>#VALUE!</v>
      </c>
      <c r="CU85" s="2853" t="e">
        <f t="shared" ref="CU85:DB85" si="213">(CU69/CT69-1)*100</f>
        <v>#VALUE!</v>
      </c>
      <c r="CV85" s="2853" t="e">
        <f t="shared" si="213"/>
        <v>#VALUE!</v>
      </c>
      <c r="CW85" s="2853" t="e">
        <f t="shared" si="213"/>
        <v>#VALUE!</v>
      </c>
      <c r="CX85" s="2853" t="e">
        <f t="shared" si="213"/>
        <v>#VALUE!</v>
      </c>
      <c r="CY85" s="2853" t="e">
        <f t="shared" si="213"/>
        <v>#VALUE!</v>
      </c>
      <c r="CZ85" s="2853" t="e">
        <f t="shared" si="213"/>
        <v>#VALUE!</v>
      </c>
      <c r="DA85" s="2853" t="e">
        <f t="shared" si="213"/>
        <v>#VALUE!</v>
      </c>
      <c r="DB85" s="2853" t="e">
        <f t="shared" si="213"/>
        <v>#VALUE!</v>
      </c>
    </row>
    <row r="86" spans="1:119" ht="12.75" customHeight="1">
      <c r="C86" s="3072"/>
      <c r="D86" s="717"/>
      <c r="E86" s="3636" t="s">
        <v>1067</v>
      </c>
      <c r="F86" s="3634"/>
      <c r="G86" s="2854"/>
      <c r="H86" s="2854">
        <f t="shared" si="207"/>
        <v>5.0036845983787881</v>
      </c>
      <c r="I86" s="2854">
        <f t="shared" si="207"/>
        <v>0.65969541722226133</v>
      </c>
      <c r="J86" s="2854">
        <f t="shared" si="207"/>
        <v>8.1572892700271673</v>
      </c>
      <c r="K86" s="2854">
        <f t="shared" si="207"/>
        <v>4.3382969122671478</v>
      </c>
      <c r="L86" s="2854">
        <f t="shared" si="207"/>
        <v>3.4041764487829029</v>
      </c>
      <c r="M86" s="2854">
        <f t="shared" si="207"/>
        <v>3.160662006333248</v>
      </c>
      <c r="N86" s="2854">
        <f t="shared" si="207"/>
        <v>9.359434727209571</v>
      </c>
      <c r="O86" s="2854">
        <f t="shared" ref="O86:BJ86" si="214">(O70/N70-1)*100</f>
        <v>6.7471666137061792</v>
      </c>
      <c r="P86" s="2854">
        <f t="shared" si="214"/>
        <v>2.4905735264933559</v>
      </c>
      <c r="Q86" s="2854">
        <f t="shared" si="214"/>
        <v>8.0114241456094462</v>
      </c>
      <c r="R86" s="2854">
        <f t="shared" si="214"/>
        <v>4.8402276699681668</v>
      </c>
      <c r="S86" s="2854">
        <f t="shared" si="214"/>
        <v>8.0323173598939803</v>
      </c>
      <c r="T86" s="2854">
        <f t="shared" si="214"/>
        <v>5.729661285216836</v>
      </c>
      <c r="U86" s="2854">
        <f t="shared" si="214"/>
        <v>2.4625748502994149</v>
      </c>
      <c r="V86" s="2854">
        <f t="shared" si="214"/>
        <v>-5.2414347286142249</v>
      </c>
      <c r="W86" s="2854">
        <f t="shared" si="214"/>
        <v>-1.7654087807886576</v>
      </c>
      <c r="X86" s="2854">
        <f t="shared" si="214"/>
        <v>2.9821463606042764</v>
      </c>
      <c r="Y86" s="2854">
        <f t="shared" si="214"/>
        <v>-8.6797485235282963</v>
      </c>
      <c r="Z86" s="2854">
        <f t="shared" si="214"/>
        <v>-4.8733675470438387</v>
      </c>
      <c r="AA86" s="2854">
        <f t="shared" si="214"/>
        <v>-2.1711478573621656</v>
      </c>
      <c r="AB86" s="2854">
        <f t="shared" si="214"/>
        <v>-0.96395265423243615</v>
      </c>
      <c r="AC86" s="2854">
        <f t="shared" si="214"/>
        <v>3.3998822943546836</v>
      </c>
      <c r="AD86" s="2854">
        <f t="shared" si="214"/>
        <v>3.3143607705779177</v>
      </c>
      <c r="AE86" s="2854">
        <f t="shared" si="214"/>
        <v>4.4031020892486339</v>
      </c>
      <c r="AF86" s="2854">
        <f t="shared" si="214"/>
        <v>-2.5937652216268869</v>
      </c>
      <c r="AG86" s="2854">
        <f t="shared" si="214"/>
        <v>2.8503562945368266</v>
      </c>
      <c r="AH86" s="2854">
        <f t="shared" si="214"/>
        <v>21.109355374579629</v>
      </c>
      <c r="AI86" s="2854">
        <f t="shared" si="214"/>
        <v>-6.0185340068917075</v>
      </c>
      <c r="AJ86" s="2854">
        <f t="shared" si="214"/>
        <v>-1.5200056955716801</v>
      </c>
      <c r="AK86" s="2854">
        <f t="shared" si="214"/>
        <v>1.5579251762154467</v>
      </c>
      <c r="AL86" s="2854">
        <f t="shared" si="214"/>
        <v>7.1611617312072884</v>
      </c>
      <c r="AM86" s="2854">
        <f t="shared" si="214"/>
        <v>-0.43842168194501152</v>
      </c>
      <c r="AN86" s="2854">
        <f t="shared" si="214"/>
        <v>6.4518281291700008</v>
      </c>
      <c r="AO86" s="2854">
        <f t="shared" si="214"/>
        <v>2.8611720463804557</v>
      </c>
      <c r="AP86" s="2854">
        <f t="shared" si="214"/>
        <v>2.6810468269201637</v>
      </c>
      <c r="AQ86" s="2854">
        <f t="shared" si="214"/>
        <v>4.2755837759249848</v>
      </c>
      <c r="AR86" s="2854">
        <f t="shared" si="214"/>
        <v>4.7917140905986866</v>
      </c>
      <c r="AS86" s="2854">
        <f t="shared" si="214"/>
        <v>1.7486694906049927</v>
      </c>
      <c r="AT86" s="2854">
        <f t="shared" si="214"/>
        <v>0.14143894107601085</v>
      </c>
      <c r="AU86" s="2854">
        <f t="shared" si="214"/>
        <v>17.777055296469001</v>
      </c>
      <c r="AV86" s="2854">
        <f t="shared" si="214"/>
        <v>0.77343750000000711</v>
      </c>
      <c r="AW86" s="2854">
        <f t="shared" si="214"/>
        <v>9.1945112024187878</v>
      </c>
      <c r="AX86" s="2854">
        <f t="shared" si="214"/>
        <v>3.067092651757175</v>
      </c>
      <c r="AY86" s="2854">
        <f t="shared" si="214"/>
        <v>1.8185575532134735</v>
      </c>
      <c r="AZ86" s="2854">
        <f t="shared" si="214"/>
        <v>5.7912184561261126</v>
      </c>
      <c r="BA86" s="2854">
        <f t="shared" si="214"/>
        <v>5.1480463004412558</v>
      </c>
      <c r="BB86" s="2854">
        <f t="shared" si="214"/>
        <v>9.9257997810485286</v>
      </c>
      <c r="BC86" s="2854">
        <f t="shared" si="214"/>
        <v>4.0112869315038102</v>
      </c>
      <c r="BD86" s="2854">
        <f t="shared" si="214"/>
        <v>6.7663173573062174</v>
      </c>
      <c r="BE86" s="2854">
        <f t="shared" si="214"/>
        <v>9.4663943002348816E-2</v>
      </c>
      <c r="BF86" s="2854">
        <f t="shared" si="214"/>
        <v>1.9014435042309819</v>
      </c>
      <c r="BG86" s="2854">
        <f t="shared" si="214"/>
        <v>-0.90367330988667671</v>
      </c>
      <c r="BH86" s="2854">
        <f t="shared" si="214"/>
        <v>-0.82318726277912369</v>
      </c>
      <c r="BI86" s="2854">
        <f t="shared" si="214"/>
        <v>-6.2574552683896663</v>
      </c>
      <c r="BJ86" s="2854">
        <f t="shared" si="214"/>
        <v>-8.6845872435183722</v>
      </c>
      <c r="BK86" s="2854">
        <f t="shared" ref="BK86:BZ86" si="215">IF(UPPER($F87)="N",BK87,(BJ60*BK76+BJ63*BK79+BJ66*BK82)/(BJ60+BJ63+BJ66))</f>
        <v>-22.051907333217201</v>
      </c>
      <c r="BL86" s="2854">
        <f t="shared" si="215"/>
        <v>-12.931098696461818</v>
      </c>
      <c r="BM86" s="2854">
        <f t="shared" si="215"/>
        <v>-9.0255796047566061</v>
      </c>
      <c r="BN86" s="2854">
        <f t="shared" si="215"/>
        <v>0.94978371261986716</v>
      </c>
      <c r="BO86" s="2854">
        <f t="shared" si="215"/>
        <v>-2.8132277596646493</v>
      </c>
      <c r="BP86" s="2854">
        <f t="shared" si="215"/>
        <v>6.8820090098725251</v>
      </c>
      <c r="BQ86" s="2854">
        <f t="shared" si="215"/>
        <v>12.088601919110387</v>
      </c>
      <c r="BR86" s="2854">
        <f t="shared" si="215"/>
        <v>3.6482918633490735</v>
      </c>
      <c r="BS86" s="2854">
        <f>IF(UPPER($F87)="N",BS87,(BR60*BS76+BR63*BS79+BR66*BS82)/(BR60+BR63+BR66))</f>
        <v>6.5766113469702736</v>
      </c>
      <c r="BT86" s="2854">
        <f>IF(UPPER($F87)="N",BT87,(BS60*BT76+BS63*BT79+BS66*BT82)/(BS60+BS63+BS66))</f>
        <v>1.6151227638154575</v>
      </c>
      <c r="BU86" s="2854">
        <f>IF(UPPER($F87)="N",BU87,(BT60*BU76+BT63*BU79+BT66*BU82)/(BT60+BT63+BT66))</f>
        <v>2.9151817533856095</v>
      </c>
      <c r="BV86" s="2854">
        <f>IF(UPPER($F87)="N",BV87,(BU60*BV76+BU63*BV79+BU66*BV82)/(BU60+BU63+BU66))</f>
        <v>0.54020361520878968</v>
      </c>
      <c r="BW86" s="2854">
        <f t="shared" si="215"/>
        <v>-1.467245298615405</v>
      </c>
      <c r="BX86" s="2854">
        <f t="shared" si="215"/>
        <v>-3.4955257270693485</v>
      </c>
      <c r="BY86" s="2854">
        <f t="shared" si="215"/>
        <v>1.2894813097652946</v>
      </c>
      <c r="BZ86" s="2854">
        <f t="shared" si="215"/>
        <v>-1.4375625804606051</v>
      </c>
      <c r="CA86" s="2854">
        <f t="shared" ref="CA86:CH86" si="216">IF(UPPER($F87)="N",CA87,(BZ60*CA76+BZ63*CA79+BZ66*CA82)/(BZ60+BZ63+BZ66))</f>
        <v>4.0635657789710455</v>
      </c>
      <c r="CB86" s="2854">
        <f t="shared" si="216"/>
        <v>3.082072379889822</v>
      </c>
      <c r="CC86" s="2854">
        <f t="shared" si="216"/>
        <v>5.8039640127172998</v>
      </c>
      <c r="CD86" s="2854">
        <f t="shared" si="216"/>
        <v>3.1967265520127519E-2</v>
      </c>
      <c r="CE86" s="2854">
        <f t="shared" si="216"/>
        <v>1.2846733989518189</v>
      </c>
      <c r="CF86" s="2854">
        <f t="shared" si="216"/>
        <v>7.5724111819286399E-2</v>
      </c>
      <c r="CG86" s="2854">
        <f t="shared" si="216"/>
        <v>0.59272337473987857</v>
      </c>
      <c r="CH86" s="2854">
        <f t="shared" si="216"/>
        <v>0.90265153889552696</v>
      </c>
      <c r="CI86" s="2854">
        <f t="shared" ref="CI86:CP86" si="217">IF(UPPER($F87)="N",CI87,(CH60*CI76+CH63*CI79+CH66*CI82)/(CH60+CH63+CH66))</f>
        <v>5.1438156178169603</v>
      </c>
      <c r="CJ86" s="2854">
        <f t="shared" si="217"/>
        <v>1.9852289512555465</v>
      </c>
      <c r="CK86" s="2854">
        <f t="shared" si="217"/>
        <v>-2.659173860147146</v>
      </c>
      <c r="CL86" s="2854">
        <f t="shared" si="217"/>
        <v>-4.9101297464587574</v>
      </c>
      <c r="CM86" s="2854">
        <f t="shared" si="217"/>
        <v>3.9306503098203605</v>
      </c>
      <c r="CN86" s="2854">
        <f t="shared" si="217"/>
        <v>1.4935260463715627</v>
      </c>
      <c r="CO86" s="2854">
        <f t="shared" si="217"/>
        <v>-3.5186613659289212</v>
      </c>
      <c r="CP86" s="2854">
        <f t="shared" si="217"/>
        <v>5.5965559655596575</v>
      </c>
      <c r="CQ86" s="2854">
        <f t="shared" ref="CQ86:CX86" si="218">IF(UPPER($F87)="N",CQ87,(CP60*CQ76+CP63*CQ79+CP66*CQ82)/(CP60+CP63+CP66))</f>
        <v>-0.68142108328480555</v>
      </c>
      <c r="CR86" s="2854">
        <f t="shared" si="218"/>
        <v>2.738521081334655</v>
      </c>
      <c r="CS86" s="2854">
        <f t="shared" si="218"/>
        <v>1.2557077625570789</v>
      </c>
      <c r="CT86" s="2854">
        <f t="shared" si="218"/>
        <v>7.5479143179256081</v>
      </c>
      <c r="CU86" s="2854">
        <f t="shared" si="218"/>
        <v>-1.5</v>
      </c>
      <c r="CV86" s="2854">
        <f t="shared" si="218"/>
        <v>0.8</v>
      </c>
      <c r="CW86" s="2854">
        <f t="shared" si="218"/>
        <v>1</v>
      </c>
      <c r="CX86" s="2854">
        <f t="shared" si="218"/>
        <v>1.1499999999999999</v>
      </c>
      <c r="CY86" s="2854">
        <f t="shared" ref="CY86" si="219">IF(UPPER($F87)="N",CY87,(CX60*CY76+CX63*CY79+CX66*CY82)/(CX60+CX63+CX66))</f>
        <v>1.03</v>
      </c>
      <c r="CZ86" s="2854">
        <f t="shared" ref="CZ86" si="220">IF(UPPER($F87)="N",CZ87,(CY60*CZ76+CY63*CZ79+CY66*CZ82)/(CY60+CY63+CY66))</f>
        <v>1</v>
      </c>
      <c r="DA86" s="2854">
        <f t="shared" ref="DA86" si="221">IF(UPPER($F87)="N",DA87,(CZ60*DA76+CZ63*DA79+CZ66*DA82)/(CZ60+CZ63+CZ66))</f>
        <v>1</v>
      </c>
      <c r="DB86" s="2854">
        <f t="shared" ref="DB86" si="222">IF(UPPER($F87)="N",DB87,(DA60*DB76+DA63*DB79+DA66*DB82)/(DA60+DA63+DA66))</f>
        <v>1</v>
      </c>
    </row>
    <row r="87" spans="1:119" s="699" customFormat="1" ht="12.75" customHeight="1">
      <c r="A87" s="664"/>
      <c r="B87" s="664"/>
      <c r="C87" s="1576"/>
      <c r="D87" s="689"/>
      <c r="E87" s="3623" t="s">
        <v>1067</v>
      </c>
      <c r="F87" s="3637" t="s">
        <v>235</v>
      </c>
      <c r="G87" s="978"/>
      <c r="H87" s="978">
        <f t="shared" si="207"/>
        <v>5.0036845983787881</v>
      </c>
      <c r="I87" s="978">
        <f t="shared" si="207"/>
        <v>0.65969541722226133</v>
      </c>
      <c r="J87" s="978">
        <f t="shared" si="207"/>
        <v>8.1572892700271673</v>
      </c>
      <c r="K87" s="978">
        <f t="shared" si="207"/>
        <v>4.3382969122671478</v>
      </c>
      <c r="L87" s="978">
        <f t="shared" si="207"/>
        <v>3.4041764487829029</v>
      </c>
      <c r="M87" s="978">
        <f t="shared" si="207"/>
        <v>3.160662006333248</v>
      </c>
      <c r="N87" s="978">
        <f t="shared" si="207"/>
        <v>9.359434727209571</v>
      </c>
      <c r="O87" s="978">
        <f t="shared" ref="O87:BJ87" si="223">(O71/N71-1)*100</f>
        <v>6.7471666137061792</v>
      </c>
      <c r="P87" s="978">
        <f t="shared" si="223"/>
        <v>2.4905735264933559</v>
      </c>
      <c r="Q87" s="978">
        <f t="shared" si="223"/>
        <v>8.0114241456094462</v>
      </c>
      <c r="R87" s="978">
        <f t="shared" si="223"/>
        <v>4.8402276699681668</v>
      </c>
      <c r="S87" s="978">
        <f t="shared" si="223"/>
        <v>8.0323173598939803</v>
      </c>
      <c r="T87" s="978">
        <f t="shared" si="223"/>
        <v>5.729661285216836</v>
      </c>
      <c r="U87" s="978">
        <f t="shared" si="223"/>
        <v>2.4625748502994149</v>
      </c>
      <c r="V87" s="978">
        <f t="shared" si="223"/>
        <v>-5.2414347286142249</v>
      </c>
      <c r="W87" s="978">
        <f t="shared" si="223"/>
        <v>-1.7654087807886576</v>
      </c>
      <c r="X87" s="978">
        <f t="shared" si="223"/>
        <v>2.9821463606042764</v>
      </c>
      <c r="Y87" s="978">
        <f t="shared" si="223"/>
        <v>-8.6797485235282963</v>
      </c>
      <c r="Z87" s="978">
        <f t="shared" si="223"/>
        <v>-4.8733675470438387</v>
      </c>
      <c r="AA87" s="978">
        <f t="shared" si="223"/>
        <v>-2.1711478573621656</v>
      </c>
      <c r="AB87" s="978">
        <f t="shared" si="223"/>
        <v>-0.96395265423243615</v>
      </c>
      <c r="AC87" s="978">
        <f t="shared" si="223"/>
        <v>3.3998822943546836</v>
      </c>
      <c r="AD87" s="978">
        <f t="shared" si="223"/>
        <v>3.3143607705779177</v>
      </c>
      <c r="AE87" s="978">
        <f t="shared" si="223"/>
        <v>4.4031020892486339</v>
      </c>
      <c r="AF87" s="978">
        <f t="shared" si="223"/>
        <v>-2.5937652216268869</v>
      </c>
      <c r="AG87" s="978">
        <f t="shared" si="223"/>
        <v>2.8503562945368266</v>
      </c>
      <c r="AH87" s="978">
        <f t="shared" si="223"/>
        <v>21.109355374579629</v>
      </c>
      <c r="AI87" s="978">
        <f t="shared" si="223"/>
        <v>-6.0185340068917075</v>
      </c>
      <c r="AJ87" s="978">
        <f t="shared" si="223"/>
        <v>-1.5200056955716801</v>
      </c>
      <c r="AK87" s="978">
        <f t="shared" si="223"/>
        <v>1.5579251762154467</v>
      </c>
      <c r="AL87" s="978">
        <f t="shared" si="223"/>
        <v>7.1611617312072884</v>
      </c>
      <c r="AM87" s="978">
        <f t="shared" si="223"/>
        <v>-0.43842168194501152</v>
      </c>
      <c r="AN87" s="978">
        <f t="shared" si="223"/>
        <v>6.4518281291700008</v>
      </c>
      <c r="AO87" s="978">
        <f t="shared" si="223"/>
        <v>2.8611720463804557</v>
      </c>
      <c r="AP87" s="978">
        <f t="shared" si="223"/>
        <v>2.6810468269201637</v>
      </c>
      <c r="AQ87" s="978">
        <f t="shared" si="223"/>
        <v>4.2755837759249848</v>
      </c>
      <c r="AR87" s="978">
        <f t="shared" si="223"/>
        <v>4.7917140905986866</v>
      </c>
      <c r="AS87" s="978">
        <f t="shared" si="223"/>
        <v>1.7486694906049927</v>
      </c>
      <c r="AT87" s="978">
        <f t="shared" si="223"/>
        <v>0.14143894107601085</v>
      </c>
      <c r="AU87" s="978">
        <f t="shared" si="223"/>
        <v>17.777055296469001</v>
      </c>
      <c r="AV87" s="978">
        <f t="shared" si="223"/>
        <v>0.77343750000000711</v>
      </c>
      <c r="AW87" s="978">
        <f t="shared" si="223"/>
        <v>9.1945112024187878</v>
      </c>
      <c r="AX87" s="978">
        <f t="shared" si="223"/>
        <v>3.067092651757175</v>
      </c>
      <c r="AY87" s="978">
        <f t="shared" si="223"/>
        <v>1.8185575532134735</v>
      </c>
      <c r="AZ87" s="978">
        <f t="shared" si="223"/>
        <v>5.7912184561261126</v>
      </c>
      <c r="BA87" s="978">
        <f t="shared" si="223"/>
        <v>5.1480463004412558</v>
      </c>
      <c r="BB87" s="978">
        <f t="shared" si="223"/>
        <v>9.9257997810485286</v>
      </c>
      <c r="BC87" s="978">
        <f t="shared" si="223"/>
        <v>4.0112869315038102</v>
      </c>
      <c r="BD87" s="978">
        <f t="shared" si="223"/>
        <v>6.7663173573062174</v>
      </c>
      <c r="BE87" s="978">
        <f t="shared" si="223"/>
        <v>9.4663943002348816E-2</v>
      </c>
      <c r="BF87" s="978">
        <f t="shared" si="223"/>
        <v>1.9014435042309819</v>
      </c>
      <c r="BG87" s="978">
        <f t="shared" si="223"/>
        <v>-0.90367330988667671</v>
      </c>
      <c r="BH87" s="978">
        <f t="shared" si="223"/>
        <v>-0.82318726277912369</v>
      </c>
      <c r="BI87" s="978">
        <f t="shared" si="223"/>
        <v>-6.2574552683896663</v>
      </c>
      <c r="BJ87" s="978">
        <f t="shared" si="223"/>
        <v>-8.6845872435183722</v>
      </c>
      <c r="BK87" s="978">
        <f t="shared" ref="BK87:BR87" si="224">(BK71/BJ71-1)*100</f>
        <v>-22.051907333217201</v>
      </c>
      <c r="BL87" s="978">
        <f t="shared" si="224"/>
        <v>-12.931098696461818</v>
      </c>
      <c r="BM87" s="978">
        <f t="shared" si="224"/>
        <v>-9.0255796047566061</v>
      </c>
      <c r="BN87" s="978">
        <f t="shared" si="224"/>
        <v>0.94978371261986716</v>
      </c>
      <c r="BO87" s="978">
        <f>(BO71/BN71-1)*100</f>
        <v>-2.8132277596646493</v>
      </c>
      <c r="BP87" s="978">
        <f>(BP71/BO71-1)*100</f>
        <v>6.8820090098725251</v>
      </c>
      <c r="BQ87" s="978">
        <f t="shared" si="224"/>
        <v>12.088601919110387</v>
      </c>
      <c r="BR87" s="978">
        <f t="shared" si="224"/>
        <v>3.6482918633490735</v>
      </c>
      <c r="BS87" s="978">
        <f t="shared" ref="BS87:CE87" si="225">(BS71/BR71-1)*100</f>
        <v>6.5766113469702736</v>
      </c>
      <c r="BT87" s="978">
        <f t="shared" si="225"/>
        <v>1.6151227638154575</v>
      </c>
      <c r="BU87" s="978">
        <f t="shared" si="225"/>
        <v>2.9151817533856095</v>
      </c>
      <c r="BV87" s="978">
        <f t="shared" si="225"/>
        <v>0.54020361520878968</v>
      </c>
      <c r="BW87" s="978">
        <f t="shared" si="225"/>
        <v>-1.467245298615405</v>
      </c>
      <c r="BX87" s="978">
        <f t="shared" si="225"/>
        <v>-3.4955257270693485</v>
      </c>
      <c r="BY87" s="978">
        <f t="shared" si="225"/>
        <v>1.2894813097652946</v>
      </c>
      <c r="BZ87" s="978">
        <f t="shared" si="225"/>
        <v>-1.4375625804606051</v>
      </c>
      <c r="CA87" s="978">
        <f>(CA71/BZ71-1)*100</f>
        <v>4.0635657789710455</v>
      </c>
      <c r="CB87" s="978">
        <f>(CB71/CA71-1)*100</f>
        <v>3.082072379889822</v>
      </c>
      <c r="CC87" s="978">
        <f>(CC71/CB71-1)*100</f>
        <v>5.8039640127172998</v>
      </c>
      <c r="CD87" s="978">
        <f>(CD71/CC71-1)*100</f>
        <v>3.1967265520127519E-2</v>
      </c>
      <c r="CE87" s="978">
        <f t="shared" si="225"/>
        <v>1.2846733989518189</v>
      </c>
      <c r="CF87" s="978">
        <f t="shared" ref="CF87:CL87" si="226">(CF71/CE71-1)*100</f>
        <v>7.5724111819286399E-2</v>
      </c>
      <c r="CG87" s="978">
        <f t="shared" si="226"/>
        <v>0.59272337473987857</v>
      </c>
      <c r="CH87" s="978">
        <f t="shared" si="226"/>
        <v>0.90265153889552696</v>
      </c>
      <c r="CI87" s="978">
        <f t="shared" si="226"/>
        <v>5.1438156178169603</v>
      </c>
      <c r="CJ87" s="978">
        <f t="shared" si="226"/>
        <v>1.9852289512555465</v>
      </c>
      <c r="CK87" s="978">
        <f t="shared" si="226"/>
        <v>-2.659173860147146</v>
      </c>
      <c r="CL87" s="978">
        <f t="shared" si="226"/>
        <v>-4.9101297464587574</v>
      </c>
      <c r="CM87" s="978">
        <f>(CM71/CL71-1)*100</f>
        <v>3.9306503098203605</v>
      </c>
      <c r="CN87" s="978">
        <f>(CN71/CM71-1)*100</f>
        <v>1.4935260463715627</v>
      </c>
      <c r="CO87" s="978">
        <f>(CO71/CN71-1)*100</f>
        <v>-3.5186613659289212</v>
      </c>
      <c r="CP87" s="978">
        <f t="shared" ref="CP87" si="227">(CP71/CO71-1)*100</f>
        <v>5.5965559655596575</v>
      </c>
      <c r="CQ87" s="978">
        <f t="shared" ref="CQ87" si="228">(CQ71/CP71-1)*100</f>
        <v>-0.68142108328480555</v>
      </c>
      <c r="CR87" s="978">
        <f t="shared" ref="CR87:CT87" si="229">(CR71/CQ71-1)*100</f>
        <v>2.738521081334655</v>
      </c>
      <c r="CS87" s="978">
        <f t="shared" si="229"/>
        <v>1.2557077625570789</v>
      </c>
      <c r="CT87" s="978">
        <f t="shared" si="229"/>
        <v>7.5479143179256081</v>
      </c>
      <c r="CU87" s="740">
        <v>-1.5</v>
      </c>
      <c r="CV87" s="740">
        <v>0.8</v>
      </c>
      <c r="CW87" s="740">
        <v>1</v>
      </c>
      <c r="CX87" s="740">
        <v>1.1499999999999999</v>
      </c>
      <c r="CY87" s="740">
        <v>1.03</v>
      </c>
      <c r="CZ87" s="740">
        <v>1</v>
      </c>
      <c r="DA87" s="740">
        <v>1</v>
      </c>
      <c r="DB87" s="740">
        <v>1</v>
      </c>
      <c r="DC87"/>
      <c r="DD87"/>
      <c r="DE87"/>
      <c r="DF87"/>
      <c r="DG87"/>
      <c r="DH87"/>
      <c r="DI87"/>
      <c r="DJ87"/>
      <c r="DK87"/>
      <c r="DL87"/>
      <c r="DM87"/>
      <c r="DN87"/>
      <c r="DO87"/>
    </row>
    <row r="88" spans="1:119">
      <c r="A88" s="664"/>
      <c r="C88" s="1577"/>
      <c r="D88" s="1581"/>
      <c r="E88" s="1582" t="s">
        <v>266</v>
      </c>
      <c r="F88" s="1649"/>
      <c r="G88" s="1605"/>
      <c r="H88" s="1606"/>
      <c r="I88" s="1606"/>
      <c r="J88" s="1606"/>
      <c r="K88" s="1607"/>
      <c r="L88" s="1607"/>
      <c r="M88" s="1607"/>
      <c r="N88" s="1608">
        <f>N72/J72*100-100</f>
        <v>19.758994364976147</v>
      </c>
      <c r="O88" s="1607"/>
      <c r="P88" s="1607"/>
      <c r="Q88" s="1607"/>
      <c r="R88" s="1608">
        <f>R72/N72*100-100</f>
        <v>25.262411142158086</v>
      </c>
      <c r="S88" s="1607"/>
      <c r="T88" s="1607"/>
      <c r="U88" s="1607"/>
      <c r="V88" s="1608">
        <f>V72/R72*100-100</f>
        <v>21.720989366620415</v>
      </c>
      <c r="W88" s="1607"/>
      <c r="X88" s="1607"/>
      <c r="Y88" s="1607"/>
      <c r="Z88" s="1608">
        <f>Z72/V72*100-100</f>
        <v>-6.4730849942552027</v>
      </c>
      <c r="AA88" s="1607"/>
      <c r="AB88" s="1607"/>
      <c r="AC88" s="1607"/>
      <c r="AD88" s="1608">
        <f>AD72/Z72*100-100</f>
        <v>-7.7830571799869972</v>
      </c>
      <c r="AE88" s="1607"/>
      <c r="AF88" s="1607"/>
      <c r="AG88" s="1607"/>
      <c r="AH88" s="1608">
        <f>AH72/AD72*100-100</f>
        <v>13.624353187272902</v>
      </c>
      <c r="AI88" s="1607"/>
      <c r="AJ88" s="1607"/>
      <c r="AK88" s="1607"/>
      <c r="AL88" s="1608">
        <f>AL72/AH72*100-100</f>
        <v>10.421975679472922</v>
      </c>
      <c r="AM88" s="1607"/>
      <c r="AN88" s="1607"/>
      <c r="AO88" s="1607"/>
      <c r="AP88" s="1608">
        <f>AP72/AL72*100-100</f>
        <v>12.680653907915882</v>
      </c>
      <c r="AQ88" s="1607"/>
      <c r="AR88" s="1607"/>
      <c r="AS88" s="1607"/>
      <c r="AT88" s="1608">
        <f>AT72/AP72*100-100</f>
        <v>14.451141637853169</v>
      </c>
      <c r="AU88" s="1607"/>
      <c r="AV88" s="1607"/>
      <c r="AW88" s="1607"/>
      <c r="AX88" s="1608">
        <f>AX72/AT72*100-100</f>
        <v>27.571455749171591</v>
      </c>
      <c r="AY88" s="1607"/>
      <c r="AZ88" s="1607"/>
      <c r="BA88" s="1607"/>
      <c r="BB88" s="1608">
        <f>BB72/AX72*100-100</f>
        <v>19.581591499235728</v>
      </c>
      <c r="BC88" s="1607"/>
      <c r="BD88" s="1607"/>
      <c r="BE88" s="1607"/>
      <c r="BF88" s="1608">
        <f>BF72/BB72*100-100</f>
        <v>22.327286167493128</v>
      </c>
      <c r="BG88" s="1607"/>
      <c r="BH88" s="1607"/>
      <c r="BI88" s="1607"/>
      <c r="BJ88" s="1608">
        <f>BJ72/BF72*100-100</f>
        <v>-3.7025380199415991</v>
      </c>
      <c r="BK88" s="1609"/>
      <c r="BL88" s="1609"/>
      <c r="BM88" s="1609"/>
      <c r="BN88" s="1610">
        <f>BN72/BJ72*100-100</f>
        <v>-39.230759174281935</v>
      </c>
      <c r="BO88" s="1609"/>
      <c r="BP88" s="1609"/>
      <c r="BQ88" s="1609"/>
      <c r="BR88" s="1610">
        <f>BR72/BN72*100-100</f>
        <v>1.1939848977045244</v>
      </c>
      <c r="BS88" s="1609"/>
      <c r="BT88" s="1609"/>
      <c r="BU88" s="1609"/>
      <c r="BV88" s="1610">
        <f>BV72/BR72*100-100</f>
        <v>20.73855180917559</v>
      </c>
      <c r="BW88" s="1609"/>
      <c r="BX88" s="1609"/>
      <c r="BY88" s="1609"/>
      <c r="BZ88" s="1610">
        <f>BZ72/BV72*100-100</f>
        <v>-1.6234395083901205</v>
      </c>
      <c r="CA88" s="1609"/>
      <c r="CB88" s="1609"/>
      <c r="CC88" s="1609"/>
      <c r="CD88" s="3355">
        <f>CD72/BZ72*100-100</f>
        <v>8.1258613592024318</v>
      </c>
      <c r="CE88" s="1609"/>
      <c r="CF88" s="1609"/>
      <c r="CG88" s="1609"/>
      <c r="CH88" s="1610">
        <f>CH72/CD72*100-100</f>
        <v>5.5370710632169704</v>
      </c>
      <c r="CI88" s="1609"/>
      <c r="CJ88" s="1609"/>
      <c r="CK88" s="1609"/>
      <c r="CL88" s="1610">
        <f>CL72/CH72*100-100</f>
        <v>5.033251772382215</v>
      </c>
      <c r="CM88" s="1609"/>
      <c r="CN88" s="1609"/>
      <c r="CO88" s="1609"/>
      <c r="CP88" s="1610">
        <f>CP72/CL72*100-100</f>
        <v>-0.11498544015530854</v>
      </c>
      <c r="CQ88" s="1609"/>
      <c r="CR88" s="1609"/>
      <c r="CS88" s="1609"/>
      <c r="CT88" s="1610">
        <f>CT72/CP72*100-100</f>
        <v>6.7336443009209432</v>
      </c>
      <c r="CU88" s="1609"/>
      <c r="CV88" s="1609"/>
      <c r="CW88" s="1609"/>
      <c r="CX88" s="1610">
        <f>CX72/CT72*100-100</f>
        <v>6.7643090052033727</v>
      </c>
      <c r="CY88" s="1609"/>
      <c r="CZ88" s="1609"/>
      <c r="DA88" s="1609"/>
      <c r="DB88" s="1610">
        <f>DB72/CX72*100-100</f>
        <v>4.1557542812569466</v>
      </c>
    </row>
    <row r="89" spans="1:119" s="699" customFormat="1" ht="12.75" customHeight="1">
      <c r="A89" s="664"/>
      <c r="B89" s="664"/>
      <c r="C89" s="666"/>
      <c r="D89" s="717"/>
      <c r="E89" s="1596" t="s">
        <v>1847</v>
      </c>
      <c r="F89" s="717"/>
      <c r="G89" s="1597"/>
      <c r="H89" s="1597"/>
      <c r="I89" s="1597"/>
      <c r="J89" s="1598"/>
      <c r="K89" s="1597"/>
      <c r="L89" s="1597"/>
      <c r="M89" s="1597"/>
      <c r="N89" s="1599">
        <f ca="1">N73/J73*100-100</f>
        <v>21.052143368447958</v>
      </c>
      <c r="O89" s="1597"/>
      <c r="P89" s="1597"/>
      <c r="Q89" s="1597"/>
      <c r="R89" s="1599">
        <f ca="1">R73/N73*100-100</f>
        <v>25.539577706707988</v>
      </c>
      <c r="S89" s="1597"/>
      <c r="T89" s="1597"/>
      <c r="U89" s="1597"/>
      <c r="V89" s="1599">
        <f ca="1">V73/R73*100-100</f>
        <v>21.10003835093292</v>
      </c>
      <c r="W89" s="1597"/>
      <c r="X89" s="1597"/>
      <c r="Y89" s="1597"/>
      <c r="Z89" s="1599">
        <f ca="1">Z73/V73*100-100</f>
        <v>-5.9441297641102437</v>
      </c>
      <c r="AA89" s="1597"/>
      <c r="AB89" s="1597"/>
      <c r="AC89" s="1597"/>
      <c r="AD89" s="1599">
        <f ca="1">AD73/Z73*100-100</f>
        <v>-8.3737695967158743</v>
      </c>
      <c r="AE89" s="1597"/>
      <c r="AF89" s="1597"/>
      <c r="AG89" s="1597"/>
      <c r="AH89" s="1599">
        <f ca="1">AH73/AD73*100-100</f>
        <v>13.185895200554427</v>
      </c>
      <c r="AI89" s="1597"/>
      <c r="AJ89" s="1597"/>
      <c r="AK89" s="1597"/>
      <c r="AL89" s="1599">
        <f ca="1">AL73/AH73*100-100</f>
        <v>10.691182506773572</v>
      </c>
      <c r="AM89" s="1597"/>
      <c r="AN89" s="1597"/>
      <c r="AO89" s="1597"/>
      <c r="AP89" s="1599">
        <f ca="1">AP73/AL73*100-100</f>
        <v>13.492945688229213</v>
      </c>
      <c r="AQ89" s="1597"/>
      <c r="AR89" s="1597"/>
      <c r="AS89" s="1597"/>
      <c r="AT89" s="1599">
        <f ca="1">AT73/AP73*100-100</f>
        <v>15.723477944641729</v>
      </c>
      <c r="AU89" s="1597"/>
      <c r="AV89" s="1597"/>
      <c r="AW89" s="1597"/>
      <c r="AX89" s="1599">
        <f ca="1">AX73/AT73*100-100</f>
        <v>11.47206641376745</v>
      </c>
      <c r="AY89" s="1597"/>
      <c r="AZ89" s="1597"/>
      <c r="BA89" s="1597"/>
      <c r="BB89" s="1599">
        <f ca="1">BB73/AX73*100-100</f>
        <v>19.593435567110021</v>
      </c>
      <c r="BC89" s="1597"/>
      <c r="BD89" s="1597"/>
      <c r="BE89" s="1597"/>
      <c r="BF89" s="1599">
        <f ca="1">BF73/BB73*100-100</f>
        <v>22.334362987898345</v>
      </c>
      <c r="BG89" s="1597"/>
      <c r="BH89" s="1597"/>
      <c r="BI89" s="1597"/>
      <c r="BJ89" s="1599">
        <f ca="1">BJ73/BF73*100-100</f>
        <v>-3.9963277056724138</v>
      </c>
      <c r="BK89" s="1611"/>
      <c r="BL89" s="1611"/>
      <c r="BM89" s="1611"/>
      <c r="BN89" s="1612">
        <f ca="1">BN73/BJ73*100-100</f>
        <v>-38.902640751074678</v>
      </c>
      <c r="BO89" s="1611"/>
      <c r="BP89" s="1611"/>
      <c r="BQ89" s="1611"/>
      <c r="BR89" s="1612">
        <f ca="1">BR73/BN73*100-100</f>
        <v>1.4754443294586537</v>
      </c>
      <c r="BS89" s="1611"/>
      <c r="BT89" s="1611"/>
      <c r="BU89" s="1611"/>
      <c r="BV89" s="1612">
        <f ca="1">BV73/BR73*100-100</f>
        <v>20.146626325032258</v>
      </c>
      <c r="BW89" s="1611"/>
      <c r="BX89" s="1611"/>
      <c r="BY89" s="1611"/>
      <c r="BZ89" s="1612">
        <f ca="1">BZ73/BV73*100-100</f>
        <v>-1.7782896509459363</v>
      </c>
      <c r="CA89" s="1611"/>
      <c r="CB89" s="1611"/>
      <c r="CC89" s="1611"/>
      <c r="CD89" s="1612">
        <f ca="1">CD73/BZ73*100-100</f>
        <v>8.2995817129866083</v>
      </c>
      <c r="CE89" s="1611"/>
      <c r="CF89" s="1611"/>
      <c r="CG89" s="1611"/>
      <c r="CH89" s="1612">
        <f ca="1">CH73/CD73*100-100</f>
        <v>5.7519179129928091</v>
      </c>
      <c r="CI89" s="1611"/>
      <c r="CJ89" s="1611"/>
      <c r="CK89" s="1611"/>
      <c r="CL89" s="1612">
        <f ca="1">CL73/CH73*100-100</f>
        <v>4.8264990153196834</v>
      </c>
      <c r="CM89" s="1611"/>
      <c r="CN89" s="1611"/>
      <c r="CO89" s="1611"/>
      <c r="CP89" s="1612">
        <f ca="1">CP73/CL73*100-100</f>
        <v>-0.47086618171282169</v>
      </c>
      <c r="CQ89" s="1611"/>
      <c r="CR89" s="1611"/>
      <c r="CS89" s="1611"/>
      <c r="CT89" s="1612">
        <f ca="1">CT73/CP73*100-100</f>
        <v>7.3037703461852317</v>
      </c>
      <c r="CU89" s="1611"/>
      <c r="CV89" s="1611"/>
      <c r="CW89" s="1611"/>
      <c r="CX89" s="1612">
        <f ca="1">CX73/CT73*100-100</f>
        <v>6.7620842369476577</v>
      </c>
      <c r="CY89" s="1611"/>
      <c r="CZ89" s="1611"/>
      <c r="DA89" s="1611"/>
      <c r="DB89" s="1612">
        <f ca="1">DB73/CX73*100-100</f>
        <v>4.1647416495982412</v>
      </c>
      <c r="DC89"/>
      <c r="DD89"/>
      <c r="DE89"/>
      <c r="DF89"/>
      <c r="DG89"/>
      <c r="DH89"/>
      <c r="DI89"/>
      <c r="DJ89"/>
      <c r="DK89"/>
      <c r="DL89"/>
      <c r="DM89"/>
      <c r="DN89"/>
      <c r="DO89"/>
    </row>
    <row r="90" spans="1:119">
      <c r="A90" s="664"/>
      <c r="E90" s="599"/>
      <c r="F90" s="3617"/>
      <c r="AY90" s="217"/>
      <c r="BA90" s="217"/>
      <c r="BB90" s="217"/>
      <c r="BC90" s="217"/>
      <c r="BD90" s="217"/>
      <c r="BE90" s="217"/>
      <c r="BF90" s="217"/>
      <c r="BG90" s="217"/>
      <c r="BH90" s="217"/>
      <c r="BI90" s="217"/>
      <c r="BJ90" s="217"/>
      <c r="BK90" s="1602"/>
      <c r="BL90" s="1602"/>
      <c r="BM90" s="1602"/>
      <c r="BN90" s="1602"/>
      <c r="BO90" s="1602"/>
      <c r="BP90" s="1602"/>
      <c r="BQ90" s="1602"/>
      <c r="BR90" s="1602"/>
      <c r="BS90" s="1602"/>
      <c r="BT90" s="1602"/>
      <c r="BU90" s="1602"/>
      <c r="BV90" s="1602"/>
      <c r="BW90" s="1602"/>
      <c r="BX90" s="1602"/>
      <c r="BY90" s="1602"/>
      <c r="BZ90" s="1602"/>
      <c r="CA90" s="1602"/>
      <c r="CB90" s="1602"/>
      <c r="CC90" s="1602"/>
      <c r="CD90" s="1602"/>
      <c r="CE90" s="1602"/>
      <c r="CF90" s="1602"/>
      <c r="CG90" s="1602"/>
      <c r="CH90" s="1602"/>
      <c r="CI90" s="1602"/>
      <c r="CJ90" s="1602"/>
      <c r="CK90" s="1602"/>
      <c r="CL90" s="1602"/>
      <c r="CM90" s="1602"/>
      <c r="CN90" s="1602"/>
      <c r="CO90" s="1602"/>
      <c r="CP90" s="1602"/>
      <c r="CQ90" s="1602"/>
      <c r="CR90" s="1602"/>
      <c r="CS90" s="1602"/>
      <c r="CT90" s="3740"/>
      <c r="CU90" s="1602">
        <v>1</v>
      </c>
      <c r="CV90" s="1602"/>
      <c r="CW90" s="1602"/>
      <c r="CX90" s="1602"/>
      <c r="CY90" s="1602">
        <v>1</v>
      </c>
      <c r="CZ90" s="1602"/>
      <c r="DA90" s="1602"/>
      <c r="DB90" s="1602"/>
    </row>
    <row r="91" spans="1:119" s="699" customFormat="1" ht="12.75" customHeight="1">
      <c r="A91" s="664"/>
      <c r="B91" s="664"/>
      <c r="C91" s="666"/>
      <c r="D91" s="858"/>
      <c r="E91" s="3625"/>
      <c r="F91" s="3626"/>
      <c r="G91" s="1588" t="str">
        <f>G75</f>
        <v>Q1</v>
      </c>
      <c r="H91" s="1588" t="str">
        <f t="shared" ref="H91:BN91" si="230">H75</f>
        <v>Q2</v>
      </c>
      <c r="I91" s="1588" t="str">
        <f t="shared" si="230"/>
        <v>Q3</v>
      </c>
      <c r="J91" s="1588" t="str">
        <f t="shared" si="230"/>
        <v>Q4</v>
      </c>
      <c r="K91" s="1593" t="str">
        <f t="shared" si="230"/>
        <v>Q1</v>
      </c>
      <c r="L91" s="1588" t="str">
        <f t="shared" si="230"/>
        <v>Q2</v>
      </c>
      <c r="M91" s="1588" t="str">
        <f t="shared" si="230"/>
        <v>Q3</v>
      </c>
      <c r="N91" s="1594" t="str">
        <f t="shared" si="230"/>
        <v>Q4</v>
      </c>
      <c r="O91" s="1593" t="str">
        <f t="shared" si="230"/>
        <v>Q1</v>
      </c>
      <c r="P91" s="1588" t="str">
        <f t="shared" si="230"/>
        <v>Q2</v>
      </c>
      <c r="Q91" s="1588" t="str">
        <f t="shared" si="230"/>
        <v>Q3</v>
      </c>
      <c r="R91" s="1594" t="str">
        <f t="shared" si="230"/>
        <v>Q4</v>
      </c>
      <c r="S91" s="1593" t="str">
        <f t="shared" si="230"/>
        <v>Q1</v>
      </c>
      <c r="T91" s="1588" t="str">
        <f t="shared" si="230"/>
        <v>Q2</v>
      </c>
      <c r="U91" s="1588" t="str">
        <f t="shared" si="230"/>
        <v>Q3</v>
      </c>
      <c r="V91" s="1594" t="str">
        <f t="shared" si="230"/>
        <v>Q4</v>
      </c>
      <c r="W91" s="1593" t="str">
        <f t="shared" si="230"/>
        <v>Q1</v>
      </c>
      <c r="X91" s="1588" t="str">
        <f t="shared" si="230"/>
        <v>Q2</v>
      </c>
      <c r="Y91" s="1588" t="str">
        <f t="shared" si="230"/>
        <v>Q3</v>
      </c>
      <c r="Z91" s="1594" t="str">
        <f t="shared" si="230"/>
        <v>Q4</v>
      </c>
      <c r="AA91" s="1593" t="str">
        <f t="shared" si="230"/>
        <v>Q1</v>
      </c>
      <c r="AB91" s="1588" t="str">
        <f t="shared" si="230"/>
        <v>Q2</v>
      </c>
      <c r="AC91" s="1588" t="str">
        <f t="shared" si="230"/>
        <v>Q3</v>
      </c>
      <c r="AD91" s="1594" t="str">
        <f t="shared" si="230"/>
        <v>Q4</v>
      </c>
      <c r="AE91" s="1593" t="str">
        <f t="shared" si="230"/>
        <v>Q1</v>
      </c>
      <c r="AF91" s="1588" t="str">
        <f t="shared" si="230"/>
        <v>Q2</v>
      </c>
      <c r="AG91" s="1588" t="str">
        <f t="shared" si="230"/>
        <v>Q3</v>
      </c>
      <c r="AH91" s="1594" t="str">
        <f t="shared" si="230"/>
        <v>Q4</v>
      </c>
      <c r="AI91" s="1593" t="str">
        <f t="shared" si="230"/>
        <v>Q1</v>
      </c>
      <c r="AJ91" s="1588" t="str">
        <f t="shared" si="230"/>
        <v>Q2</v>
      </c>
      <c r="AK91" s="1588" t="str">
        <f t="shared" si="230"/>
        <v>Q3</v>
      </c>
      <c r="AL91" s="1594" t="str">
        <f t="shared" si="230"/>
        <v>Q4</v>
      </c>
      <c r="AM91" s="1593" t="str">
        <f t="shared" si="230"/>
        <v>Q1</v>
      </c>
      <c r="AN91" s="1588" t="str">
        <f t="shared" si="230"/>
        <v>Q2</v>
      </c>
      <c r="AO91" s="1588" t="str">
        <f t="shared" si="230"/>
        <v>Q3</v>
      </c>
      <c r="AP91" s="1594" t="str">
        <f t="shared" si="230"/>
        <v>Q4</v>
      </c>
      <c r="AQ91" s="1593" t="str">
        <f t="shared" si="230"/>
        <v>Q1</v>
      </c>
      <c r="AR91" s="1588" t="str">
        <f t="shared" si="230"/>
        <v>Q2</v>
      </c>
      <c r="AS91" s="1588" t="str">
        <f t="shared" si="230"/>
        <v>Q3</v>
      </c>
      <c r="AT91" s="1594" t="str">
        <f t="shared" si="230"/>
        <v>Q4</v>
      </c>
      <c r="AU91" s="1593" t="str">
        <f t="shared" si="230"/>
        <v>Q1</v>
      </c>
      <c r="AV91" s="1588" t="str">
        <f t="shared" si="230"/>
        <v>Q2</v>
      </c>
      <c r="AW91" s="1588" t="str">
        <f t="shared" si="230"/>
        <v>Q3</v>
      </c>
      <c r="AX91" s="1594" t="str">
        <f t="shared" si="230"/>
        <v>Q4</v>
      </c>
      <c r="AY91" s="1593" t="str">
        <f t="shared" si="230"/>
        <v>Q1</v>
      </c>
      <c r="AZ91" s="1588" t="str">
        <f t="shared" si="230"/>
        <v>Q2</v>
      </c>
      <c r="BA91" s="1588" t="str">
        <f t="shared" si="230"/>
        <v>Q3</v>
      </c>
      <c r="BB91" s="1594" t="str">
        <f t="shared" si="230"/>
        <v>Q4</v>
      </c>
      <c r="BC91" s="1593" t="str">
        <f t="shared" si="230"/>
        <v>Q1</v>
      </c>
      <c r="BD91" s="1588" t="str">
        <f t="shared" si="230"/>
        <v>Q2</v>
      </c>
      <c r="BE91" s="1588" t="str">
        <f t="shared" si="230"/>
        <v>Q3</v>
      </c>
      <c r="BF91" s="1594" t="str">
        <f t="shared" si="230"/>
        <v>Q4</v>
      </c>
      <c r="BG91" s="1593" t="str">
        <f t="shared" si="230"/>
        <v>Q1</v>
      </c>
      <c r="BH91" s="1588" t="str">
        <f t="shared" si="230"/>
        <v>Q2</v>
      </c>
      <c r="BI91" s="1588" t="str">
        <f t="shared" si="230"/>
        <v>Q3</v>
      </c>
      <c r="BJ91" s="1594" t="str">
        <f t="shared" si="230"/>
        <v>Q4</v>
      </c>
      <c r="BK91" s="1593" t="str">
        <f t="shared" si="230"/>
        <v>Q1</v>
      </c>
      <c r="BL91" s="1588" t="str">
        <f t="shared" si="230"/>
        <v>Q2</v>
      </c>
      <c r="BM91" s="1588" t="str">
        <f t="shared" si="230"/>
        <v>Q3</v>
      </c>
      <c r="BN91" s="1594" t="str">
        <f t="shared" si="230"/>
        <v>Q4</v>
      </c>
      <c r="BO91" s="1593" t="str">
        <f t="shared" ref="BO91:BV91" si="231">BO75</f>
        <v>Q1</v>
      </c>
      <c r="BP91" s="1588" t="str">
        <f t="shared" si="231"/>
        <v>Q2</v>
      </c>
      <c r="BQ91" s="1588" t="str">
        <f t="shared" si="231"/>
        <v>Q3</v>
      </c>
      <c r="BR91" s="1594" t="str">
        <f t="shared" si="231"/>
        <v>Q4</v>
      </c>
      <c r="BS91" s="1593" t="str">
        <f t="shared" si="231"/>
        <v>Q1</v>
      </c>
      <c r="BT91" s="1588" t="str">
        <f t="shared" si="231"/>
        <v>Q2</v>
      </c>
      <c r="BU91" s="1588" t="str">
        <f t="shared" si="231"/>
        <v>Q3</v>
      </c>
      <c r="BV91" s="1594" t="str">
        <f t="shared" si="231"/>
        <v>Q4</v>
      </c>
      <c r="BW91" s="1593" t="str">
        <f t="shared" ref="BW91:CD91" si="232">BW75</f>
        <v>Q1</v>
      </c>
      <c r="BX91" s="1588" t="str">
        <f t="shared" si="232"/>
        <v>Q2</v>
      </c>
      <c r="BY91" s="1588" t="str">
        <f t="shared" si="232"/>
        <v>Q3</v>
      </c>
      <c r="BZ91" s="1594" t="str">
        <f t="shared" si="232"/>
        <v>Q4</v>
      </c>
      <c r="CA91" s="1593" t="str">
        <f t="shared" si="232"/>
        <v>Q1</v>
      </c>
      <c r="CB91" s="1588" t="str">
        <f t="shared" si="232"/>
        <v>Q2</v>
      </c>
      <c r="CC91" s="1588" t="str">
        <f t="shared" si="232"/>
        <v>Q3</v>
      </c>
      <c r="CD91" s="1594" t="str">
        <f t="shared" si="232"/>
        <v>Q4</v>
      </c>
      <c r="CE91" s="1593" t="str">
        <f t="shared" ref="CE91:CL91" si="233">CE75</f>
        <v>Q1</v>
      </c>
      <c r="CF91" s="1588" t="str">
        <f t="shared" si="233"/>
        <v>Q2</v>
      </c>
      <c r="CG91" s="1588" t="str">
        <f t="shared" si="233"/>
        <v>Q3</v>
      </c>
      <c r="CH91" s="1594" t="str">
        <f t="shared" si="233"/>
        <v>Q4</v>
      </c>
      <c r="CI91" s="1593" t="str">
        <f t="shared" si="233"/>
        <v>Q1</v>
      </c>
      <c r="CJ91" s="1588" t="str">
        <f t="shared" si="233"/>
        <v>Q2</v>
      </c>
      <c r="CK91" s="1588" t="str">
        <f t="shared" si="233"/>
        <v>Q3</v>
      </c>
      <c r="CL91" s="1594" t="str">
        <f t="shared" si="233"/>
        <v>Q4</v>
      </c>
      <c r="CM91" s="1593" t="str">
        <f t="shared" ref="CM91:CT91" si="234">CM75</f>
        <v>Q1</v>
      </c>
      <c r="CN91" s="1588" t="str">
        <f t="shared" si="234"/>
        <v>Q2</v>
      </c>
      <c r="CO91" s="1588" t="str">
        <f t="shared" si="234"/>
        <v>Q3</v>
      </c>
      <c r="CP91" s="1594" t="str">
        <f t="shared" si="234"/>
        <v>Q4</v>
      </c>
      <c r="CQ91" s="1593" t="str">
        <f t="shared" si="234"/>
        <v>Q1</v>
      </c>
      <c r="CR91" s="1588" t="str">
        <f t="shared" si="234"/>
        <v>Q2</v>
      </c>
      <c r="CS91" s="1588" t="str">
        <f t="shared" si="234"/>
        <v>Q3</v>
      </c>
      <c r="CT91" s="1594" t="str">
        <f t="shared" si="234"/>
        <v>Q4</v>
      </c>
      <c r="CU91" s="1593" t="str">
        <f t="shared" ref="CU91:DB91" si="235">CU75</f>
        <v>Q1</v>
      </c>
      <c r="CV91" s="1588" t="str">
        <f t="shared" si="235"/>
        <v>Q2</v>
      </c>
      <c r="CW91" s="1588" t="str">
        <f t="shared" si="235"/>
        <v>Q3</v>
      </c>
      <c r="CX91" s="1594" t="str">
        <f t="shared" si="235"/>
        <v>Q4</v>
      </c>
      <c r="CY91" s="1593" t="str">
        <f t="shared" si="235"/>
        <v>Q1</v>
      </c>
      <c r="CZ91" s="1588" t="str">
        <f t="shared" si="235"/>
        <v>Q2</v>
      </c>
      <c r="DA91" s="1588" t="str">
        <f t="shared" si="235"/>
        <v>Q3</v>
      </c>
      <c r="DB91" s="1594" t="str">
        <f t="shared" si="235"/>
        <v>Q4</v>
      </c>
      <c r="DC91"/>
      <c r="DD91"/>
      <c r="DE91"/>
      <c r="DF91"/>
      <c r="DG91"/>
      <c r="DH91"/>
      <c r="DI91"/>
      <c r="DJ91"/>
      <c r="DK91"/>
      <c r="DL91"/>
      <c r="DM91"/>
      <c r="DN91"/>
      <c r="DO91"/>
    </row>
    <row r="92" spans="1:119" s="699" customFormat="1" ht="12.75" customHeight="1">
      <c r="A92" s="664"/>
      <c r="B92" s="664"/>
      <c r="C92" s="862"/>
      <c r="D92" s="863"/>
      <c r="E92" s="3627" t="s">
        <v>1848</v>
      </c>
      <c r="F92" s="3628"/>
      <c r="G92" s="705"/>
      <c r="H92" s="705"/>
      <c r="I92" s="705"/>
      <c r="J92" s="705"/>
      <c r="K92" s="1564">
        <f t="shared" ref="K92:AP92" si="236">(K71/G71-1)*100</f>
        <v>19.277818717759775</v>
      </c>
      <c r="L92" s="1564">
        <f t="shared" si="236"/>
        <v>17.460874447329623</v>
      </c>
      <c r="M92" s="1564">
        <f t="shared" si="236"/>
        <v>20.379279090845671</v>
      </c>
      <c r="N92" s="1564">
        <f t="shared" si="236"/>
        <v>21.717269386965789</v>
      </c>
      <c r="O92" s="1564">
        <f t="shared" si="236"/>
        <v>24.527369331521086</v>
      </c>
      <c r="P92" s="1564">
        <f t="shared" si="236"/>
        <v>23.427137479835114</v>
      </c>
      <c r="Q92" s="1564">
        <f t="shared" si="236"/>
        <v>29.230858334298659</v>
      </c>
      <c r="R92" s="1564">
        <f t="shared" si="236"/>
        <v>23.890477703633085</v>
      </c>
      <c r="S92" s="1564">
        <f t="shared" si="236"/>
        <v>25.382020242111516</v>
      </c>
      <c r="T92" s="1564">
        <f t="shared" si="236"/>
        <v>29.344563849356152</v>
      </c>
      <c r="U92" s="1564">
        <f t="shared" si="236"/>
        <v>22.69977143369335</v>
      </c>
      <c r="V92" s="1564">
        <f t="shared" si="236"/>
        <v>10.900696789637919</v>
      </c>
      <c r="W92" s="1564">
        <f t="shared" si="236"/>
        <v>0.84283000949667564</v>
      </c>
      <c r="X92" s="1564">
        <f t="shared" si="236"/>
        <v>-1.7776946107784353</v>
      </c>
      <c r="Y92" s="1564">
        <f t="shared" si="236"/>
        <v>-12.458908612754771</v>
      </c>
      <c r="Z92" s="1564">
        <f t="shared" si="236"/>
        <v>-12.118875997378865</v>
      </c>
      <c r="AA92" s="1564">
        <f t="shared" si="236"/>
        <v>-12.481852069845001</v>
      </c>
      <c r="AB92" s="1564">
        <f t="shared" si="236"/>
        <v>-15.835397218517821</v>
      </c>
      <c r="AC92" s="1564">
        <f t="shared" si="236"/>
        <v>-4.7022989944506932</v>
      </c>
      <c r="AD92" s="1564">
        <f t="shared" si="236"/>
        <v>3.5001535155050334</v>
      </c>
      <c r="AE92" s="1564">
        <f t="shared" si="236"/>
        <v>10.455523672883761</v>
      </c>
      <c r="AF92" s="1564">
        <f t="shared" si="236"/>
        <v>8.6377835121553623</v>
      </c>
      <c r="AG92" s="1564">
        <f t="shared" si="236"/>
        <v>8.0604203152364171</v>
      </c>
      <c r="AH92" s="1564">
        <f t="shared" si="236"/>
        <v>26.672882146035537</v>
      </c>
      <c r="AI92" s="1564">
        <f t="shared" si="236"/>
        <v>14.028251339503184</v>
      </c>
      <c r="AJ92" s="1564">
        <f t="shared" si="236"/>
        <v>15.285243988831954</v>
      </c>
      <c r="AK92" s="1564">
        <f t="shared" si="236"/>
        <v>13.836554434585313</v>
      </c>
      <c r="AL92" s="1564">
        <f t="shared" si="236"/>
        <v>0.72597102806866154</v>
      </c>
      <c r="AM92" s="1564">
        <f t="shared" si="236"/>
        <v>6.7065356685177324</v>
      </c>
      <c r="AN92" s="1564">
        <f t="shared" si="236"/>
        <v>15.344297849268029</v>
      </c>
      <c r="AO92" s="1564">
        <f t="shared" si="236"/>
        <v>16.82445899772209</v>
      </c>
      <c r="AP92" s="1564">
        <f t="shared" si="236"/>
        <v>11.940348080244467</v>
      </c>
      <c r="AQ92" s="1564">
        <f t="shared" ref="AQ92:BN92" si="237">(AQ71/AM71-1)*100</f>
        <v>17.240459033893796</v>
      </c>
      <c r="AR92" s="1564">
        <f t="shared" si="237"/>
        <v>15.412096521466623</v>
      </c>
      <c r="AS92" s="1564">
        <f t="shared" si="237"/>
        <v>14.163848520854284</v>
      </c>
      <c r="AT92" s="1564">
        <f t="shared" si="237"/>
        <v>11.340236774174418</v>
      </c>
      <c r="AU92" s="1564">
        <f t="shared" si="237"/>
        <v>25.756430685180966</v>
      </c>
      <c r="AV92" s="1564">
        <f t="shared" si="237"/>
        <v>20.934254371673731</v>
      </c>
      <c r="AW92" s="1564">
        <f t="shared" si="237"/>
        <v>29.784073441502979</v>
      </c>
      <c r="AX92" s="1564">
        <f t="shared" si="237"/>
        <v>33.575743104596903</v>
      </c>
      <c r="AY92" s="1564">
        <f t="shared" si="237"/>
        <v>15.476562500000002</v>
      </c>
      <c r="AZ92" s="1564">
        <f t="shared" si="237"/>
        <v>21.226451662919608</v>
      </c>
      <c r="BA92" s="1564">
        <f t="shared" si="237"/>
        <v>16.734114305999292</v>
      </c>
      <c r="BB92" s="1564">
        <f t="shared" si="237"/>
        <v>24.502307639319419</v>
      </c>
      <c r="BC92" s="1564">
        <f t="shared" si="237"/>
        <v>27.183546444760175</v>
      </c>
      <c r="BD92" s="1564">
        <f t="shared" si="237"/>
        <v>28.355822728144766</v>
      </c>
      <c r="BE92" s="1564">
        <f t="shared" si="237"/>
        <v>22.18708186352023</v>
      </c>
      <c r="BF92" s="1564">
        <f t="shared" si="237"/>
        <v>13.267677326546412</v>
      </c>
      <c r="BG92" s="1564">
        <f t="shared" si="237"/>
        <v>7.9153146443959876</v>
      </c>
      <c r="BH92" s="1564">
        <f t="shared" si="237"/>
        <v>0.24413332669026566</v>
      </c>
      <c r="BI92" s="1564">
        <f t="shared" si="237"/>
        <v>-6.1174713787954254</v>
      </c>
      <c r="BJ92" s="1564">
        <f t="shared" si="237"/>
        <v>-15.870457209847611</v>
      </c>
      <c r="BK92" s="1564">
        <f t="shared" si="237"/>
        <v>-33.82461674964263</v>
      </c>
      <c r="BL92" s="1564">
        <f t="shared" si="237"/>
        <v>-41.903578528827033</v>
      </c>
      <c r="BM92" s="1564">
        <f t="shared" si="237"/>
        <v>-43.619108212714053</v>
      </c>
      <c r="BN92" s="1564">
        <f t="shared" si="237"/>
        <v>-37.670556813563259</v>
      </c>
      <c r="BO92" s="1564">
        <f t="shared" ref="BO92:BV92" si="238">(BO71/BK71-1)*100</f>
        <v>-22.286778398510254</v>
      </c>
      <c r="BP92" s="1564">
        <f t="shared" si="238"/>
        <v>-4.6026178458379752</v>
      </c>
      <c r="BQ92" s="1564">
        <f t="shared" si="238"/>
        <v>17.538085386496128</v>
      </c>
      <c r="BR92" s="1564">
        <f t="shared" si="238"/>
        <v>20.680018630647435</v>
      </c>
      <c r="BS92" s="1564">
        <f t="shared" si="238"/>
        <v>32.339691363941348</v>
      </c>
      <c r="BT92" s="1564">
        <f t="shared" si="238"/>
        <v>25.818312258990229</v>
      </c>
      <c r="BU92" s="1564">
        <f t="shared" si="238"/>
        <v>15.521241699335953</v>
      </c>
      <c r="BV92" s="1564">
        <f t="shared" si="238"/>
        <v>12.057120802778831</v>
      </c>
      <c r="BW92" s="1564">
        <f t="shared" ref="BW92:CD92" si="239">(BW71/BS71-1)*100</f>
        <v>3.5996233794452159</v>
      </c>
      <c r="BX92" s="1564">
        <f t="shared" si="239"/>
        <v>-1.6108339272986383</v>
      </c>
      <c r="BY92" s="1564">
        <f t="shared" si="239"/>
        <v>-3.1650391301336733</v>
      </c>
      <c r="BZ92" s="1564">
        <f t="shared" si="239"/>
        <v>-5.0699180271405968</v>
      </c>
      <c r="CA92" s="1564">
        <f t="shared" si="239"/>
        <v>0.25866890380312757</v>
      </c>
      <c r="CB92" s="1564">
        <f t="shared" si="239"/>
        <v>7.0921472037090538</v>
      </c>
      <c r="CC92" s="1564">
        <f t="shared" si="239"/>
        <v>11.865255328279201</v>
      </c>
      <c r="CD92" s="1564">
        <f t="shared" si="239"/>
        <v>13.533125317466087</v>
      </c>
      <c r="CE92" s="1564">
        <f t="shared" ref="CE92:CL92" si="240">(CE71/CA71-1)*100</f>
        <v>10.501359737814653</v>
      </c>
      <c r="CF92" s="1564">
        <f t="shared" si="240"/>
        <v>7.2786308597713623</v>
      </c>
      <c r="CG92" s="1564">
        <f t="shared" si="240"/>
        <v>1.9947573684547137</v>
      </c>
      <c r="CH92" s="1564">
        <f t="shared" si="240"/>
        <v>2.8825258852102964</v>
      </c>
      <c r="CI92" s="1564">
        <f t="shared" si="240"/>
        <v>6.802549378431233</v>
      </c>
      <c r="CJ92" s="1564">
        <f t="shared" si="240"/>
        <v>8.8404060785673764</v>
      </c>
      <c r="CK92" s="1564">
        <f t="shared" si="240"/>
        <v>5.3218830314047727</v>
      </c>
      <c r="CL92" s="1564">
        <f t="shared" si="240"/>
        <v>-0.74548052432130696</v>
      </c>
      <c r="CM92" s="1564">
        <f t="shared" ref="CM92:CT92" si="241">(CM71/CI71-1)*100</f>
        <v>-1.8906942392909798</v>
      </c>
      <c r="CN92" s="1564">
        <f t="shared" si="241"/>
        <v>-2.3637100979085779</v>
      </c>
      <c r="CO92" s="1564">
        <f t="shared" si="241"/>
        <v>-3.2258064516129226</v>
      </c>
      <c r="CP92" s="1564">
        <f t="shared" si="241"/>
        <v>7.4669837891969681</v>
      </c>
      <c r="CQ92" s="1564">
        <f t="shared" si="241"/>
        <v>2.6979825353809161</v>
      </c>
      <c r="CR92" s="1564">
        <f t="shared" si="241"/>
        <v>3.9577523289622052</v>
      </c>
      <c r="CS92" s="1564">
        <f t="shared" si="241"/>
        <v>9.102091020910219</v>
      </c>
      <c r="CT92" s="1564">
        <f t="shared" si="241"/>
        <v>11.118229470005826</v>
      </c>
      <c r="CU92" s="1564">
        <f t="shared" ref="CU92:DB92" si="242">(CU71/CQ71-1)*100</f>
        <v>10.202398404972723</v>
      </c>
      <c r="CV92" s="1564">
        <f t="shared" si="242"/>
        <v>8.1230452054794622</v>
      </c>
      <c r="CW92" s="1564">
        <f t="shared" si="242"/>
        <v>7.849994899661783</v>
      </c>
      <c r="CX92" s="1564">
        <f t="shared" si="242"/>
        <v>1.4341101200000095</v>
      </c>
      <c r="CY92" s="1564">
        <f t="shared" si="242"/>
        <v>4.0394735575999929</v>
      </c>
      <c r="CZ92" s="1564">
        <f t="shared" si="242"/>
        <v>4.2459010845000034</v>
      </c>
      <c r="DA92" s="1564">
        <f t="shared" si="242"/>
        <v>4.2459010845000034</v>
      </c>
      <c r="DB92" s="1564">
        <f t="shared" si="242"/>
        <v>4.091310030000006</v>
      </c>
      <c r="DC92"/>
      <c r="DD92"/>
      <c r="DE92"/>
      <c r="DF92"/>
      <c r="DG92"/>
      <c r="DH92"/>
      <c r="DI92"/>
      <c r="DJ92"/>
      <c r="DK92"/>
      <c r="DL92"/>
      <c r="DM92"/>
      <c r="DN92"/>
      <c r="DO92"/>
    </row>
    <row r="93" spans="1:119" s="699" customFormat="1" ht="12.75" customHeight="1">
      <c r="A93" s="664"/>
      <c r="B93" s="664"/>
      <c r="C93" s="944"/>
      <c r="D93" s="674"/>
      <c r="E93" s="3629" t="s">
        <v>1938</v>
      </c>
      <c r="F93" s="3630"/>
      <c r="G93" s="705"/>
      <c r="H93" s="705"/>
      <c r="I93" s="705"/>
      <c r="J93" s="705"/>
      <c r="K93" s="1564">
        <f>(4*K71/J72-1)*100</f>
        <v>12.256610316428262</v>
      </c>
      <c r="L93" s="1564">
        <f>((K71+3*L71)/J72-1)*100</f>
        <v>15.122670134373628</v>
      </c>
      <c r="M93" s="1564">
        <f>((K71+L71+2*M71)/J72-1)*100</f>
        <v>16.957087126137814</v>
      </c>
      <c r="N93" s="1621"/>
      <c r="O93" s="1564">
        <f>(4*O71/N72-1)*100</f>
        <v>16.726267174356835</v>
      </c>
      <c r="P93" s="1564">
        <f>((O71+3*P71)/N72-1)*100</f>
        <v>18.906632305888181</v>
      </c>
      <c r="Q93" s="1564">
        <f>((O71+P71+2*Q71)/N72-1)*100</f>
        <v>23.698802681298979</v>
      </c>
      <c r="R93" s="1621"/>
      <c r="S93" s="1564">
        <f>(4*S71/R72-1)*100</f>
        <v>16.837725381414682</v>
      </c>
      <c r="T93" s="1564">
        <f>((S71+3*T71)/R72-1)*100</f>
        <v>21.858529819694827</v>
      </c>
      <c r="U93" s="1564">
        <f>((S71+T71+2*U71)/R72-1)*100</f>
        <v>23.379565418400361</v>
      </c>
      <c r="V93" s="1621"/>
      <c r="W93" s="1564">
        <f>(4*W71/V72-1)*100</f>
        <v>-3.2028334583574569</v>
      </c>
      <c r="X93" s="1564">
        <f>((W71+3*X71)/V72-1)*100</f>
        <v>-1.0378585739652113</v>
      </c>
      <c r="Y93" s="1564">
        <f>((W71+X71+2*Y71)/V72-1)*100</f>
        <v>-5.3640101411981274</v>
      </c>
      <c r="Z93" s="1621"/>
      <c r="AA93" s="1564">
        <f>(4*AA71/Z72-1)*100</f>
        <v>-9.4217024041585375</v>
      </c>
      <c r="AB93" s="1564">
        <f>((AA71+3*AB71)/Z72-1)*100</f>
        <v>-10.076551332033789</v>
      </c>
      <c r="AC93" s="1564">
        <f>((AA71+AB71+2*AC71)/Z72-1)*100</f>
        <v>-8.5516163092917434</v>
      </c>
      <c r="AD93" s="1621"/>
      <c r="AE93" s="1564">
        <f>(4*AE71/AD72-1)*100</f>
        <v>8.4927887261917689</v>
      </c>
      <c r="AF93" s="1564">
        <f>((AE71+3*AF71)/AD72-1)*100</f>
        <v>6.3822525597269308</v>
      </c>
      <c r="AG93" s="1564">
        <f>((AE71+AF71+2*AG71)/AD72-1)*100</f>
        <v>7.8883628757018487</v>
      </c>
      <c r="AH93" s="1621"/>
      <c r="AI93" s="1564">
        <f>(4*AI71/AH72-1)*100</f>
        <v>8.8784458117339362</v>
      </c>
      <c r="AJ93" s="1564">
        <f>((AI71+3*AJ71)/AH72-1)*100</f>
        <v>7.6372268785427133</v>
      </c>
      <c r="AK93" s="1564">
        <f>((AI71+AJ71+2*AK71)/AH72-1)*100</f>
        <v>8.4724577297611745</v>
      </c>
      <c r="AL93" s="1621"/>
      <c r="AM93" s="1564">
        <f>(4*AM71/AL72-1)*100</f>
        <v>5.214941953826302</v>
      </c>
      <c r="AN93" s="1564">
        <f>((AM71+3*AN71)/AL72-1)*100</f>
        <v>10.306157369626456</v>
      </c>
      <c r="AO93" s="1564">
        <f>((AM71+AN71+2*AO71)/AL72-1)*100</f>
        <v>11.908459911724201</v>
      </c>
      <c r="AP93" s="1621"/>
      <c r="AQ93" s="1564">
        <f>(4*AQ71/AP72-1)*100</f>
        <v>9.4726349562346037</v>
      </c>
      <c r="AR93" s="1564">
        <f>((AQ71+3*AR71)/AP72-1)*100</f>
        <v>13.406846712145249</v>
      </c>
      <c r="AS93" s="1564">
        <f>((AQ71+AR71+2*AS71)/AP72-1)*100</f>
        <v>14.409868236613388</v>
      </c>
      <c r="AT93" s="1621"/>
      <c r="AU93" s="1564">
        <f>(4*AU71/AT72-1)*100</f>
        <v>20.286155583830599</v>
      </c>
      <c r="AV93" s="1564">
        <f>((AU71+3*AV71)/AT72-1)*100</f>
        <v>20.983909259775867</v>
      </c>
      <c r="AW93" s="1564">
        <f>((AU71+AV71+2*AW71)/AT72-1)*100</f>
        <v>26.556541311433012</v>
      </c>
      <c r="AX93" s="1621"/>
      <c r="AY93" s="1564">
        <f>(4*AY71/AX72-1)*100</f>
        <v>8.8819727076849375</v>
      </c>
      <c r="AZ93" s="1564">
        <f>((AY71+3*AZ71)/AX72-1)*100</f>
        <v>13.611167381816159</v>
      </c>
      <c r="BA93" s="1564">
        <f>((AY71+AZ71+2*BA71)/AX72-1)*100</f>
        <v>16.57612198670375</v>
      </c>
      <c r="BB93" s="1621"/>
      <c r="BC93" s="1564">
        <f>(4*BC71/BB72-1)*100</f>
        <v>15.803739181322584</v>
      </c>
      <c r="BD93" s="1564">
        <f>((BC71+3*BD71)/BB72-1)*100</f>
        <v>21.680475559799174</v>
      </c>
      <c r="BE93" s="1564">
        <f>((BC71+BD71+2*BE71)/BB72-1)*100</f>
        <v>21.738996519542898</v>
      </c>
      <c r="BF93" s="1621"/>
      <c r="BG93" s="1564">
        <f>(4*BG71/BF72-1)*100</f>
        <v>2.160338402658879</v>
      </c>
      <c r="BH93" s="1564">
        <f>((BG71+3*BH71)/BF72-1)*100</f>
        <v>1.5296102326518346</v>
      </c>
      <c r="BI93" s="1564">
        <f>((BG71+BH71+2*BI71)/BF72-1)*100</f>
        <v>-1.6403968174035666</v>
      </c>
      <c r="BJ93" s="1621"/>
      <c r="BK93" s="1564">
        <f>(4*BK71/BJ72-1)*100</f>
        <v>-29.795662234772713</v>
      </c>
      <c r="BL93" s="1564">
        <f>((BK71+3*BL71)/BJ72-1)*100</f>
        <v>-36.604306388986927</v>
      </c>
      <c r="BM93" s="1564">
        <f>((BK71+BL71+2*BM71)/BJ72-1)*100</f>
        <v>-39.362800852387856</v>
      </c>
      <c r="BN93" s="1621"/>
      <c r="BO93" s="1564">
        <f>(4*BO71/BN72-1)*100</f>
        <v>-10.22094098917885</v>
      </c>
      <c r="BP93" s="1564">
        <f>((BO71+3*BP71)/BN72-1)*100</f>
        <v>-5.5869887916012217</v>
      </c>
      <c r="BQ93" s="1564">
        <f>((BO71+BP71+2*BQ71)/BN72-1)*100</f>
        <v>0.21298108986080866</v>
      </c>
      <c r="BR93" s="1621"/>
      <c r="BS93" s="1564">
        <f>(4*BS71/BR72-1)*100</f>
        <v>17.411454568646654</v>
      </c>
      <c r="BT93" s="1564">
        <f>((BS71+3*BT71)/BR72-1)*100</f>
        <v>18.833708916195423</v>
      </c>
      <c r="BU93" s="1564">
        <f>((BS71+BT71+2*BU71)/BR72-1)*100</f>
        <v>20.572728432331331</v>
      </c>
      <c r="BV93" s="1621"/>
      <c r="BW93" s="1564">
        <f>(4*BW71/BV72-1)*100</f>
        <v>0.74481009983624613</v>
      </c>
      <c r="BX93" s="1564">
        <f>((BW71+3*BX71)/BV72-1)*100</f>
        <v>-1.8963604669589573</v>
      </c>
      <c r="BY93" s="1564">
        <f>((BW71+BX71+2*BY71)/BV72-1)*100</f>
        <v>-1.2695226524395586</v>
      </c>
      <c r="BZ93" s="1621"/>
      <c r="CA93" s="1564">
        <f>(4*CA71/BZ72-1)*100</f>
        <v>2.6722270945571003</v>
      </c>
      <c r="CB93" s="1564">
        <f>((CA71+3*CB71)/BZ72-1)*100</f>
        <v>5.0455513593814283</v>
      </c>
      <c r="CC93" s="1564">
        <f>((CA71+CB71+2*CC71)/BZ72-1)*100</f>
        <v>8.1169121726834881</v>
      </c>
      <c r="CD93" s="1621"/>
      <c r="CE93" s="1564">
        <f>(4*CE71/CD72-1)*100</f>
        <v>4.9279104798794826</v>
      </c>
      <c r="CF93" s="1564">
        <f>((CE71+3*CF71)/CD72-1)*100</f>
        <v>4.9875022760755394</v>
      </c>
      <c r="CG93" s="1564">
        <f>((CE71+CF71+2*CG71)/CD72-1)*100</f>
        <v>5.2987038784327423</v>
      </c>
      <c r="CH93" s="1621"/>
      <c r="CI93" s="1564">
        <f>(4*CI71/CH72-1)*100</f>
        <v>6.1860844469540099</v>
      </c>
      <c r="CJ93" s="1564">
        <f>((CI71+3*CJ71)/CH72-1)*100</f>
        <v>7.7671121149381905</v>
      </c>
      <c r="CK93" s="1564">
        <f>((CI71+CJ71+2*CK71)/CH72-1)*100</f>
        <v>6.3272476315954451</v>
      </c>
      <c r="CL93" s="1621"/>
      <c r="CM93" s="1564">
        <f>(4*CM71/CL72-1)*100</f>
        <v>-0.81385798551482091</v>
      </c>
      <c r="CN93" s="1564">
        <f>((CM71+3*CN71)/CL72-1)*100</f>
        <v>0.29717016351824554</v>
      </c>
      <c r="CO93" s="1564">
        <f>((CM71+CN71+2*CO71)/CL72-1)*100</f>
        <v>-1.4739042783543765</v>
      </c>
      <c r="CP93" s="1621"/>
      <c r="CQ93" s="1564">
        <f>(4*CQ71/CP72-1)*100</f>
        <v>1.9794282980504674</v>
      </c>
      <c r="CR93" s="1564">
        <f>((CQ71+3*CR71)/CP72-1)*100</f>
        <v>4.0739744049754778</v>
      </c>
      <c r="CS93" s="1564">
        <f>((CQ71+CR71+2*CS71)/CP72-1)*100</f>
        <v>4.7317904556871015</v>
      </c>
      <c r="CT93" s="1621"/>
      <c r="CU93" s="1564">
        <f>(4*CU71/CT72-1)*100</f>
        <v>5.2936743612729709</v>
      </c>
      <c r="CV93" s="1564">
        <f>((CU71+3*CV71)/CT72-1)*100</f>
        <v>5.9254364074406096</v>
      </c>
      <c r="CW93" s="1564">
        <f>((CU71+CV71+2*CW71)/CT72-1)*100</f>
        <v>6.4561165262214226</v>
      </c>
      <c r="CX93" s="1621"/>
      <c r="CY93" s="1564">
        <f>(4*CY71/CX72-1)*100</f>
        <v>2.6063724063282612</v>
      </c>
      <c r="CZ93" s="1564">
        <f>((CY71+3*CZ71)/CX72-1)*100</f>
        <v>3.3759201993757149</v>
      </c>
      <c r="DA93" s="1564">
        <f>((CY71+CZ71+2*DA71)/CX72-1)*100</f>
        <v>3.8940823800276858</v>
      </c>
      <c r="DB93" s="1621"/>
      <c r="DC93"/>
      <c r="DD93"/>
      <c r="DE93"/>
      <c r="DF93"/>
      <c r="DG93"/>
      <c r="DH93"/>
      <c r="DI93"/>
      <c r="DJ93"/>
      <c r="DK93"/>
      <c r="DL93"/>
      <c r="DM93"/>
      <c r="DN93"/>
      <c r="DO93"/>
    </row>
    <row r="94" spans="1:119">
      <c r="C94" s="1557"/>
      <c r="D94" s="828"/>
      <c r="E94" s="3631" t="s">
        <v>1807</v>
      </c>
      <c r="F94" s="828"/>
      <c r="G94" s="876"/>
      <c r="H94" s="876"/>
      <c r="I94" s="876"/>
      <c r="J94" s="876"/>
      <c r="K94" s="1620"/>
      <c r="L94" s="883">
        <f>(4*L71/(K71+3*L71)-1)*100</f>
        <v>0.82985677063722729</v>
      </c>
      <c r="M94" s="883">
        <f>(4*M71/(K71+L71+2*M71)-1)*100</f>
        <v>2.3852938996367978</v>
      </c>
      <c r="N94" s="883">
        <f>+(4*N71/N72-1)*100</f>
        <v>9.3483516960808579</v>
      </c>
      <c r="O94" s="1620"/>
      <c r="P94" s="883">
        <f>(4*P71/(O71+3*P71)-1)*100</f>
        <v>0.61122610495556451</v>
      </c>
      <c r="Q94" s="883">
        <f>(4*Q71/(O71+P71+2*Q71)-1)*100</f>
        <v>4.4616104868913986</v>
      </c>
      <c r="R94" s="883">
        <f>+(4*R71/R72-1)*100</f>
        <v>8.1507165973185423</v>
      </c>
      <c r="S94" s="1620"/>
      <c r="T94" s="883">
        <f>(4*T71/(S71+3*T71)-1)*100</f>
        <v>1.3733970710979593</v>
      </c>
      <c r="U94" s="883">
        <f>(4*U71/(S71+T71+2*U71)-1)*100</f>
        <v>2.5892756772960546</v>
      </c>
      <c r="V94" s="883">
        <f>+(4*V71/V72-1)*100</f>
        <v>-1.4632571477405265</v>
      </c>
      <c r="W94" s="1620"/>
      <c r="X94" s="883">
        <f>(4*X71/(W71+3*X71)-1)*100</f>
        <v>0.72922663596237669</v>
      </c>
      <c r="Y94" s="883">
        <f>(4*Y71/(W71+X71+2*Y71)-1)*100</f>
        <v>-3.808797559800936</v>
      </c>
      <c r="Z94" s="883">
        <f>+(4*Z71/Z72-1)*100</f>
        <v>-7.4114684860298823</v>
      </c>
      <c r="AA94" s="1620"/>
      <c r="AB94" s="883">
        <f>(4*AB71/(AA71+3*AB71)-1)*100</f>
        <v>-0.24274311004731652</v>
      </c>
      <c r="AC94" s="883">
        <f>(4*AC71/(AA71+AB71+2*AC71)-1)*100</f>
        <v>1.4288410511474003</v>
      </c>
      <c r="AD94" s="883">
        <f>+(4*AD71/AD72-1)*100</f>
        <v>3.9172079709346885</v>
      </c>
      <c r="AE94" s="1620"/>
      <c r="AF94" s="883">
        <f>(4*AF71/(AE71+3*AF71)-1)*100</f>
        <v>-0.66130584619206179</v>
      </c>
      <c r="AG94" s="883">
        <f>(4*AG71/(AE71+AF71+2*AG71)-1)*100</f>
        <v>0.7439155058931668</v>
      </c>
      <c r="AH94" s="883">
        <f>+(4*AH71/AH72-1)*100</f>
        <v>15.850976212392819</v>
      </c>
      <c r="AI94" s="1620"/>
      <c r="AJ94" s="883">
        <f>(4*AJ71/(AI71+3*AJ71)-1)*100</f>
        <v>-0.38438341120021757</v>
      </c>
      <c r="AK94" s="883">
        <f>(4*AK71/(AI71+AJ71+2*AK71)-1)*100</f>
        <v>0.38856979517458701</v>
      </c>
      <c r="AL94" s="883">
        <f>+(4*AL71/AL72-1)*100</f>
        <v>5.678258351541321</v>
      </c>
      <c r="AM94" s="1620"/>
      <c r="AN94" s="883">
        <f>(4*AN71/(AM71+3*AN71)-1)*100</f>
        <v>1.5385104927370108</v>
      </c>
      <c r="AO94" s="883">
        <f>(4*AO71/(AM71+AN71+2*AO71)-1)*100</f>
        <v>2.9482796474610273</v>
      </c>
      <c r="AP94" s="883">
        <f>+(4*AP71/AP72-1)*100</f>
        <v>4.9839578855558786</v>
      </c>
      <c r="AQ94" s="1620"/>
      <c r="AR94" s="883">
        <f>(4*AR71/(AQ71+3*AR71)-1)*100</f>
        <v>1.156371027549663</v>
      </c>
      <c r="AS94" s="883">
        <f>(4*AS71/(AQ71+AR71+2*AS71)-1)*100</f>
        <v>2.0229246644341226</v>
      </c>
      <c r="AT94" s="883">
        <f>+(4*AT71/AT72-1)*100</f>
        <v>2.1303812368594688</v>
      </c>
      <c r="AU94" s="1620"/>
      <c r="AV94" s="883">
        <f>(4*AV71/(AU71+3*AV71)-1)*100</f>
        <v>0.19224420840049383</v>
      </c>
      <c r="AW94" s="883">
        <f>(4*AW71/(AU71+AV71+2*AW71)-1)*100</f>
        <v>4.587053778611061</v>
      </c>
      <c r="AX94" s="883">
        <f>+(4*AX71/AX72-1)*100</f>
        <v>6.9372571407524619</v>
      </c>
      <c r="AY94" s="1620"/>
      <c r="AZ94" s="883">
        <f>(4*AZ71/(AY71+3*AZ71)-1)*100</f>
        <v>1.3875380924593284</v>
      </c>
      <c r="BA94" s="883">
        <f>(4*BA71/(AY71+AZ71+2*BA71)-1)*100</f>
        <v>3.8956115130643676</v>
      </c>
      <c r="BB94" s="883">
        <f>+(4*BB71/BB72-1)*100</f>
        <v>11.337665937721386</v>
      </c>
      <c r="BC94" s="1620"/>
      <c r="BD94" s="883">
        <f>(4*BD71/(BC71+3*BD71)-1)*100</f>
        <v>1.6098820432339345</v>
      </c>
      <c r="BE94" s="883">
        <f>(4*BE71/(BC71+BD71+2*BE71)-1)*100</f>
        <v>1.6571790006325138</v>
      </c>
      <c r="BF94" s="883">
        <f>+(4*BF71/BF72-1)*100</f>
        <v>3.0919528653439388</v>
      </c>
      <c r="BG94" s="1620"/>
      <c r="BH94" s="883">
        <f>(4*BH71/(BG71+3*BH71)-1)*100</f>
        <v>-0.20707527868364384</v>
      </c>
      <c r="BI94" s="883">
        <f>(4*BI71/(BG71+BH71+2*BI71)-1)*100</f>
        <v>-3.4366240448489127</v>
      </c>
      <c r="BJ94" s="883">
        <f>+(4*BJ71/BJ72-1)*100</f>
        <v>-9.9345020982860692</v>
      </c>
      <c r="BK94" s="1620"/>
      <c r="BL94" s="883">
        <f>(4*BL71/(BK71+3*BL71)-1)*100</f>
        <v>-3.5799719541367736</v>
      </c>
      <c r="BM94" s="883">
        <f>(4*BM71/(BK71+BL71+2*BM71)-1)*100</f>
        <v>-8.2920098314001045</v>
      </c>
      <c r="BN94" s="883">
        <f>+(4*BN71/BN72-1)*100</f>
        <v>-7.6221414280489679</v>
      </c>
      <c r="BO94" s="1620"/>
      <c r="BP94" s="883">
        <f>(4*BP71/(BO71+3*BP71)-1)*100</f>
        <v>1.6360570569202038</v>
      </c>
      <c r="BQ94" s="883">
        <f>(4*BQ71/(BO71+BP71+2*BQ71)-1)*100</f>
        <v>7.329011206045255</v>
      </c>
      <c r="BR94" s="883">
        <f>+(4*BR71/BR72-1)*100</f>
        <v>10.16624856499002</v>
      </c>
      <c r="BS94" s="1620"/>
      <c r="BT94" s="883">
        <f>(4*BT71/(BS71+3*BT71)-1)*100</f>
        <v>0.39894806519134018</v>
      </c>
      <c r="BU94" s="883">
        <f>(4*BU71/(BS71+BT71+2*BU71)-1)*100</f>
        <v>1.8354932557524517</v>
      </c>
      <c r="BV94" s="883">
        <f>+(4*BV71/BV72-1)*100</f>
        <v>2.2449949817759052</v>
      </c>
      <c r="BW94" s="1620"/>
      <c r="BX94" s="883">
        <f>(4*BX71/(BW71+3*BX71)-1)*100</f>
        <v>-0.89740828487328006</v>
      </c>
      <c r="BY94" s="883">
        <f>(4*BY71/(BW71+BX71+2*BY71)-1)*100</f>
        <v>-0.25681266942503278</v>
      </c>
      <c r="BZ94" s="883">
        <f>+(4*BZ71/BZ72-1)*100</f>
        <v>-1.3370084659304671</v>
      </c>
      <c r="CA94" s="1620"/>
      <c r="CB94" s="883">
        <f>(4*CB71/(CA71+3*CB71)-1)*100</f>
        <v>0.75310955869825058</v>
      </c>
      <c r="CC94" s="883">
        <f>(4*CC71/(CA71+CB71+2*CC71)-1)*100</f>
        <v>3.5724927987285993</v>
      </c>
      <c r="CD94" s="883">
        <f>+(4*CD71/CD72-1)*100</f>
        <v>3.5970270315008879</v>
      </c>
      <c r="CE94" s="1620"/>
      <c r="CF94" s="883">
        <f>(4*CF71/(CE71+3*CF71)-1)*100</f>
        <v>1.8920282542889133E-2</v>
      </c>
      <c r="CG94" s="883">
        <f>(4*CG71/(CE71+CF71+2*CG71)-1)*100</f>
        <v>0.31440608690183058</v>
      </c>
      <c r="CH94" s="883">
        <f>+(4*CH71/CH72-1)*100</f>
        <v>0.99127925214881341</v>
      </c>
      <c r="CI94" s="1620"/>
      <c r="CJ94" s="883">
        <f>(4*CJ71/(CI71+3*CJ71)-1)*100</f>
        <v>0.48902602317051347</v>
      </c>
      <c r="CK94" s="883">
        <f>(4*CK71/(CI71+CJ71+2*CK71)-1)*100</f>
        <v>-0.85853370703642407</v>
      </c>
      <c r="CL94" s="883">
        <f>+(4*CL71/CL72-1)*100</f>
        <v>-4.5650713059060655</v>
      </c>
      <c r="CM94" s="1620"/>
      <c r="CN94" s="883">
        <f>(4*CN71/(CM71+3*CN71)-1)*100</f>
        <v>0.36924542909892999</v>
      </c>
      <c r="CO94" s="883">
        <f>(4*CO71/(CM71+CN71+2*CO71)-1)*100</f>
        <v>-1.4216860165509715</v>
      </c>
      <c r="CP94" s="883">
        <f>+(4*CP71/CP72-1)*100</f>
        <v>2.6791053701710199</v>
      </c>
      <c r="CQ94" s="1620"/>
      <c r="CR94" s="883">
        <f>(4*CR71/(CQ71+3*CR71)-1)*100</f>
        <v>0.67085170873255606</v>
      </c>
      <c r="CS94" s="883">
        <f>(4*CS71/(CQ71+CR71+2*CS71)-1)*100</f>
        <v>1.2947339871240304</v>
      </c>
      <c r="CT94" s="883">
        <f>+(4*CT71/CT72-1)*100</f>
        <v>6.8971313312415905</v>
      </c>
      <c r="CU94" s="1620"/>
      <c r="CV94" s="883">
        <f>(4*CV71/(CU71+3*CV71)-1)*100</f>
        <v>0.19880715705764551</v>
      </c>
      <c r="CW94" s="883">
        <f>(4*CW71/(CU71+CV71+2*CW71)-1)*100</f>
        <v>0.69631270770691422</v>
      </c>
      <c r="CX94" s="883">
        <f>+(4*CX71/CX72-1)*100</f>
        <v>1.5603013029083179</v>
      </c>
      <c r="CY94" s="1620"/>
      <c r="CZ94" s="883">
        <f>(4*CZ71/(CY71+3*CZ71)-1)*100</f>
        <v>0.24813895781636841</v>
      </c>
      <c r="DA94" s="883">
        <f>(4*DA71/(CY71+CZ71+2*DA71)-1)*100</f>
        <v>0.7456421905090993</v>
      </c>
      <c r="DB94" s="883">
        <f>+(4*DB71/DB72-1)*100</f>
        <v>1.497462935311078</v>
      </c>
    </row>
    <row r="95" spans="1:119" ht="30" customHeight="1">
      <c r="E95" s="599"/>
      <c r="F95" s="3617"/>
      <c r="BN95" s="1312"/>
      <c r="BR95" s="1312"/>
      <c r="BV95" s="1312"/>
      <c r="CE95" s="1693"/>
      <c r="CF95" s="1693"/>
      <c r="CG95" s="1693"/>
      <c r="CH95" s="1693"/>
      <c r="CI95" s="1693"/>
      <c r="CJ95" s="1693"/>
      <c r="CK95" s="1693"/>
      <c r="CL95" s="1693"/>
      <c r="CM95" s="1693"/>
      <c r="CN95" s="1693"/>
      <c r="CO95" s="1693"/>
      <c r="CP95" s="3427">
        <f>1.007^4</f>
        <v>1.0282953744009995</v>
      </c>
      <c r="CQ95" s="1564"/>
      <c r="CR95" s="1564"/>
      <c r="CS95" s="1564"/>
      <c r="CT95" s="1564"/>
      <c r="CU95" s="557"/>
      <c r="CV95" s="557"/>
      <c r="CW95" s="557"/>
      <c r="CX95" s="557"/>
      <c r="CY95" s="557"/>
      <c r="CZ95" s="557"/>
      <c r="DA95" s="557"/>
      <c r="DB95" s="557"/>
    </row>
    <row r="96" spans="1:119" ht="30" customHeight="1">
      <c r="E96" s="599"/>
      <c r="F96" s="3617"/>
      <c r="CM96" s="557"/>
      <c r="CN96" s="557"/>
      <c r="CO96" s="557"/>
      <c r="CP96" s="557"/>
      <c r="CQ96" s="557"/>
      <c r="CR96" s="557"/>
      <c r="CS96" s="557"/>
      <c r="CT96" s="557"/>
      <c r="CU96" s="557"/>
      <c r="CV96" s="557"/>
      <c r="CW96" s="557"/>
      <c r="CX96" s="557"/>
      <c r="CY96" s="557"/>
      <c r="CZ96" s="557"/>
      <c r="DA96" s="557"/>
      <c r="DB96" s="557"/>
    </row>
    <row r="97" spans="1:119" ht="30" customHeight="1">
      <c r="C97" s="3767" t="s">
        <v>1068</v>
      </c>
      <c r="D97" s="3767"/>
      <c r="E97" s="3767"/>
      <c r="F97" s="3767"/>
      <c r="CM97" s="557"/>
      <c r="CN97" s="557"/>
      <c r="CO97" s="557"/>
      <c r="CP97" s="557"/>
      <c r="CQ97" s="557"/>
      <c r="CR97" s="557"/>
      <c r="CS97" s="557"/>
      <c r="CT97" s="557"/>
      <c r="CU97" s="557"/>
      <c r="CV97" s="557"/>
      <c r="CW97" s="557"/>
      <c r="CX97" s="557"/>
      <c r="CY97" s="557"/>
      <c r="CZ97" s="557"/>
      <c r="DA97" s="557"/>
      <c r="DB97" s="557"/>
    </row>
    <row r="98" spans="1:119" s="884" customFormat="1" ht="12.75" customHeight="1">
      <c r="A98" s="664"/>
      <c r="B98" s="664"/>
      <c r="C98" s="666"/>
      <c r="D98" s="1041"/>
      <c r="E98" s="3632"/>
      <c r="F98" s="1041"/>
      <c r="G98" s="1044"/>
      <c r="H98" s="1559"/>
      <c r="I98" s="1559"/>
      <c r="J98" s="1559"/>
      <c r="K98" s="1044"/>
      <c r="L98" s="1559"/>
      <c r="M98" s="1559"/>
      <c r="N98" s="1559"/>
      <c r="O98" s="1044"/>
      <c r="P98" s="1559"/>
      <c r="Q98" s="1559"/>
      <c r="R98" s="1559"/>
      <c r="S98" s="1044"/>
      <c r="T98" s="1559"/>
      <c r="U98" s="1559"/>
      <c r="V98" s="1559"/>
      <c r="W98" s="1044"/>
      <c r="X98" s="1559"/>
      <c r="Y98" s="1559"/>
      <c r="Z98" s="1559"/>
      <c r="AA98" s="1044"/>
      <c r="AB98" s="1559"/>
      <c r="AC98" s="1559"/>
      <c r="AD98" s="1559"/>
      <c r="AE98" s="1044"/>
      <c r="AF98" s="1559"/>
      <c r="AG98" s="1559"/>
      <c r="AH98" s="1559"/>
      <c r="AI98" s="1044"/>
      <c r="AJ98" s="1559"/>
      <c r="AK98" s="1559"/>
      <c r="AL98" s="1559"/>
      <c r="AM98" s="1044"/>
      <c r="AN98" s="1559"/>
      <c r="AO98" s="1559"/>
      <c r="AP98" s="1559"/>
      <c r="AQ98" s="1044"/>
      <c r="AR98" s="1559"/>
      <c r="AS98" s="1559"/>
      <c r="AT98" s="1559"/>
      <c r="AU98" s="1044"/>
      <c r="AV98" s="1559"/>
      <c r="AW98" s="1559"/>
      <c r="AX98" s="1559"/>
      <c r="AY98" s="1560"/>
      <c r="AZ98" s="1559"/>
      <c r="BA98" s="1560"/>
      <c r="BB98" s="1560"/>
      <c r="BC98" s="1560"/>
      <c r="BD98" s="1560"/>
      <c r="BE98" s="1560"/>
      <c r="BF98" s="1560"/>
      <c r="BG98" s="1560"/>
      <c r="BH98" s="1560"/>
      <c r="BI98" s="1560"/>
      <c r="BJ98" s="1560"/>
      <c r="BK98" s="1560"/>
      <c r="BL98" s="1560"/>
      <c r="BM98" s="1560"/>
      <c r="BN98" s="1560"/>
      <c r="BO98" s="1560"/>
      <c r="BP98" s="1560"/>
      <c r="BQ98" s="1560"/>
      <c r="BR98" s="1560"/>
      <c r="BS98" s="1560"/>
      <c r="BT98" s="1560"/>
      <c r="BU98" s="1560"/>
      <c r="BV98" s="1560"/>
      <c r="BW98" s="1560"/>
      <c r="BX98" s="1560"/>
      <c r="BY98" s="1560"/>
      <c r="BZ98" s="1560"/>
      <c r="CA98" s="1560"/>
      <c r="CB98" s="1560"/>
      <c r="CC98" s="1560"/>
      <c r="CD98" s="1560"/>
      <c r="CE98" s="1560"/>
      <c r="CF98" s="1560"/>
      <c r="CG98" s="1560"/>
      <c r="CH98" s="1560"/>
      <c r="CI98" s="1560"/>
      <c r="CJ98" s="1560"/>
      <c r="CK98" s="1560"/>
      <c r="CL98" s="1560"/>
      <c r="CM98" s="1560"/>
      <c r="CN98" s="1560"/>
      <c r="CO98" s="1560"/>
      <c r="CP98" s="1560"/>
      <c r="CQ98" s="1560"/>
      <c r="CR98" s="1560"/>
      <c r="CS98" s="1560"/>
      <c r="CT98" s="1560"/>
      <c r="CU98" s="1560"/>
      <c r="CV98" s="1560"/>
      <c r="CW98" s="1560"/>
      <c r="CX98" s="1560"/>
      <c r="CY98" s="1560"/>
      <c r="CZ98" s="1560"/>
      <c r="DA98" s="1560"/>
      <c r="DB98" s="1560"/>
      <c r="DC98"/>
      <c r="DD98"/>
      <c r="DE98"/>
      <c r="DF98"/>
      <c r="DG98"/>
      <c r="DH98"/>
      <c r="DI98"/>
      <c r="DJ98"/>
      <c r="DK98"/>
      <c r="DL98"/>
      <c r="DM98"/>
      <c r="DN98"/>
      <c r="DO98"/>
    </row>
    <row r="99" spans="1:119">
      <c r="E99" s="599"/>
      <c r="F99" s="3617"/>
      <c r="G99" s="3763">
        <f ca="1">OFFSET(InputY!$G$3,0,(COLUMN()-7)/4)</f>
        <v>1995</v>
      </c>
      <c r="H99" s="3764"/>
      <c r="I99" s="3764"/>
      <c r="J99" s="3765"/>
      <c r="K99" s="3763">
        <f ca="1">OFFSET(InputY!$G$3,0,(COLUMN()-7)/4)</f>
        <v>1996</v>
      </c>
      <c r="L99" s="3764"/>
      <c r="M99" s="3764"/>
      <c r="N99" s="3765"/>
      <c r="O99" s="3763">
        <f ca="1">OFFSET(InputY!$G$3,0,(COLUMN()-7)/4)</f>
        <v>1997</v>
      </c>
      <c r="P99" s="3764"/>
      <c r="Q99" s="3764"/>
      <c r="R99" s="3765"/>
      <c r="S99" s="3763">
        <f ca="1">OFFSET(InputY!$G$3,0,(COLUMN()-7)/4)</f>
        <v>1998</v>
      </c>
      <c r="T99" s="3764"/>
      <c r="U99" s="3764"/>
      <c r="V99" s="3765"/>
      <c r="W99" s="3763">
        <f ca="1">OFFSET(InputY!$G$3,0,(COLUMN()-7)/4)</f>
        <v>1999</v>
      </c>
      <c r="X99" s="3764"/>
      <c r="Y99" s="3764"/>
      <c r="Z99" s="3765"/>
      <c r="AA99" s="3763">
        <f ca="1">OFFSET(InputY!$G$3,0,(COLUMN()-7)/4)</f>
        <v>2000</v>
      </c>
      <c r="AB99" s="3764"/>
      <c r="AC99" s="3764"/>
      <c r="AD99" s="3765"/>
      <c r="AE99" s="3763">
        <f ca="1">OFFSET(InputY!$G$3,0,(COLUMN()-7)/4)</f>
        <v>2001</v>
      </c>
      <c r="AF99" s="3764"/>
      <c r="AG99" s="3764"/>
      <c r="AH99" s="3765"/>
      <c r="AI99" s="3763">
        <f ca="1">OFFSET(InputY!$G$3,0,(COLUMN()-7)/4)</f>
        <v>2002</v>
      </c>
      <c r="AJ99" s="3764"/>
      <c r="AK99" s="3764"/>
      <c r="AL99" s="3765"/>
      <c r="AM99" s="3763">
        <f ca="1">OFFSET(InputY!$G$3,0,(COLUMN()-7)/4)</f>
        <v>2003</v>
      </c>
      <c r="AN99" s="3764"/>
      <c r="AO99" s="3764"/>
      <c r="AP99" s="3765"/>
      <c r="AQ99" s="3763">
        <f ca="1">OFFSET(InputY!$G$3,0,(COLUMN()-7)/4)</f>
        <v>2004</v>
      </c>
      <c r="AR99" s="3764"/>
      <c r="AS99" s="3764"/>
      <c r="AT99" s="3765"/>
      <c r="AU99" s="3763">
        <f ca="1">OFFSET(InputY!$G$3,0,(COLUMN()-7)/4)</f>
        <v>2005</v>
      </c>
      <c r="AV99" s="3764"/>
      <c r="AW99" s="3764"/>
      <c r="AX99" s="3765"/>
      <c r="AY99" s="3763">
        <f ca="1">OFFSET(InputY!$G$3,0,(COLUMN()-7)/4)</f>
        <v>2006</v>
      </c>
      <c r="AZ99" s="3764"/>
      <c r="BA99" s="3764"/>
      <c r="BB99" s="3765"/>
      <c r="BC99" s="3763">
        <f ca="1">OFFSET(InputY!$G$3,0,(COLUMN()-7)/4)</f>
        <v>2007</v>
      </c>
      <c r="BD99" s="3764"/>
      <c r="BE99" s="3764"/>
      <c r="BF99" s="3765"/>
      <c r="BG99" s="3763">
        <f ca="1">OFFSET(InputY!$G$3,0,(COLUMN()-7)/4)</f>
        <v>2008</v>
      </c>
      <c r="BH99" s="3764"/>
      <c r="BI99" s="3764"/>
      <c r="BJ99" s="3765"/>
      <c r="BK99" s="3763">
        <f ca="1">OFFSET(InputY!$G$3,0,(COLUMN()-7)/4)</f>
        <v>2009</v>
      </c>
      <c r="BL99" s="3764"/>
      <c r="BM99" s="3764"/>
      <c r="BN99" s="3765"/>
      <c r="BO99" s="3763">
        <f ca="1">OFFSET(InputY!$G$3,0,(COLUMN()-7)/4)</f>
        <v>2010</v>
      </c>
      <c r="BP99" s="3764"/>
      <c r="BQ99" s="3764"/>
      <c r="BR99" s="3765"/>
      <c r="BS99" s="3763">
        <f ca="1">OFFSET(InputY!$G$3,0,(COLUMN()-7)/4)</f>
        <v>2011</v>
      </c>
      <c r="BT99" s="3764"/>
      <c r="BU99" s="3764"/>
      <c r="BV99" s="3765"/>
      <c r="BW99" s="3763">
        <f ca="1">OFFSET(InputY!$G$3,0,(COLUMN()-7)/4)</f>
        <v>2012</v>
      </c>
      <c r="BX99" s="3764"/>
      <c r="BY99" s="3764"/>
      <c r="BZ99" s="3765"/>
      <c r="CA99" s="3763">
        <f ca="1">OFFSET(InputY!$G$3,0,(COLUMN()-7)/4)</f>
        <v>2013</v>
      </c>
      <c r="CB99" s="3764"/>
      <c r="CC99" s="3764"/>
      <c r="CD99" s="3765"/>
      <c r="CE99" s="3763">
        <f ca="1">OFFSET(InputY!$G$3,0,(COLUMN()-7)/4)</f>
        <v>2014</v>
      </c>
      <c r="CF99" s="3764"/>
      <c r="CG99" s="3764"/>
      <c r="CH99" s="3765"/>
      <c r="CI99" s="3763">
        <f ca="1">OFFSET(InputY!$G$3,0,(COLUMN()-7)/4)</f>
        <v>2015</v>
      </c>
      <c r="CJ99" s="3764"/>
      <c r="CK99" s="3764"/>
      <c r="CL99" s="3765"/>
      <c r="CM99" s="3763">
        <f ca="1">OFFSET(InputY!$G$3,0,(COLUMN()-7)/4)</f>
        <v>2016</v>
      </c>
      <c r="CN99" s="3764"/>
      <c r="CO99" s="3764"/>
      <c r="CP99" s="3765"/>
      <c r="CQ99" s="3763">
        <f ca="1">OFFSET(InputY!$G$3,0,(COLUMN()-7)/4)</f>
        <v>2017</v>
      </c>
      <c r="CR99" s="3764"/>
      <c r="CS99" s="3764"/>
      <c r="CT99" s="3765"/>
      <c r="CU99" s="3763">
        <f ca="1">OFFSET(InputY!$G$3,0,(COLUMN()-7)/4)</f>
        <v>2018</v>
      </c>
      <c r="CV99" s="3764"/>
      <c r="CW99" s="3764"/>
      <c r="CX99" s="3765"/>
      <c r="CY99" s="3763">
        <f ca="1">OFFSET(InputY!$G$3,0,(COLUMN()-7)/4)</f>
        <v>2019</v>
      </c>
      <c r="CZ99" s="3764"/>
      <c r="DA99" s="3764"/>
      <c r="DB99" s="3765"/>
    </row>
    <row r="100" spans="1:119" s="699" customFormat="1" ht="12.75" customHeight="1">
      <c r="A100" s="664"/>
      <c r="B100" s="664"/>
      <c r="C100" s="666"/>
      <c r="D100" s="695"/>
      <c r="E100" s="3618" t="s">
        <v>1892</v>
      </c>
      <c r="F100" s="3619"/>
      <c r="G100" s="1566" t="s">
        <v>1842</v>
      </c>
      <c r="H100" s="1567" t="s">
        <v>1843</v>
      </c>
      <c r="I100" s="1567" t="s">
        <v>1844</v>
      </c>
      <c r="J100" s="1568" t="s">
        <v>1845</v>
      </c>
      <c r="K100" s="1566" t="s">
        <v>1842</v>
      </c>
      <c r="L100" s="1567" t="s">
        <v>1843</v>
      </c>
      <c r="M100" s="1567" t="s">
        <v>1844</v>
      </c>
      <c r="N100" s="1568" t="s">
        <v>1845</v>
      </c>
      <c r="O100" s="1566" t="s">
        <v>1842</v>
      </c>
      <c r="P100" s="1567" t="s">
        <v>1843</v>
      </c>
      <c r="Q100" s="1567" t="s">
        <v>1844</v>
      </c>
      <c r="R100" s="1568" t="s">
        <v>1845</v>
      </c>
      <c r="S100" s="1566" t="s">
        <v>1842</v>
      </c>
      <c r="T100" s="1567" t="s">
        <v>1843</v>
      </c>
      <c r="U100" s="1567" t="s">
        <v>1844</v>
      </c>
      <c r="V100" s="1568" t="s">
        <v>1845</v>
      </c>
      <c r="W100" s="1566" t="s">
        <v>1842</v>
      </c>
      <c r="X100" s="1567" t="s">
        <v>1843</v>
      </c>
      <c r="Y100" s="1567" t="s">
        <v>1844</v>
      </c>
      <c r="Z100" s="1568" t="s">
        <v>1845</v>
      </c>
      <c r="AA100" s="1566" t="s">
        <v>1842</v>
      </c>
      <c r="AB100" s="1567" t="s">
        <v>1843</v>
      </c>
      <c r="AC100" s="1567" t="s">
        <v>1844</v>
      </c>
      <c r="AD100" s="1568" t="s">
        <v>1845</v>
      </c>
      <c r="AE100" s="1566" t="s">
        <v>1842</v>
      </c>
      <c r="AF100" s="1567" t="s">
        <v>1843</v>
      </c>
      <c r="AG100" s="1567" t="s">
        <v>1844</v>
      </c>
      <c r="AH100" s="1568" t="s">
        <v>1845</v>
      </c>
      <c r="AI100" s="1566" t="s">
        <v>1842</v>
      </c>
      <c r="AJ100" s="1567" t="s">
        <v>1843</v>
      </c>
      <c r="AK100" s="1567" t="s">
        <v>1844</v>
      </c>
      <c r="AL100" s="1568" t="s">
        <v>1845</v>
      </c>
      <c r="AM100" s="1566" t="s">
        <v>1842</v>
      </c>
      <c r="AN100" s="1567" t="s">
        <v>1843</v>
      </c>
      <c r="AO100" s="1567" t="s">
        <v>1844</v>
      </c>
      <c r="AP100" s="1568" t="s">
        <v>1845</v>
      </c>
      <c r="AQ100" s="1566" t="s">
        <v>1842</v>
      </c>
      <c r="AR100" s="1567" t="s">
        <v>1843</v>
      </c>
      <c r="AS100" s="1567" t="s">
        <v>1844</v>
      </c>
      <c r="AT100" s="1568" t="s">
        <v>1845</v>
      </c>
      <c r="AU100" s="1566" t="s">
        <v>1842</v>
      </c>
      <c r="AV100" s="1567" t="s">
        <v>1843</v>
      </c>
      <c r="AW100" s="1567" t="s">
        <v>1844</v>
      </c>
      <c r="AX100" s="1568" t="s">
        <v>1845</v>
      </c>
      <c r="AY100" s="1566" t="s">
        <v>1842</v>
      </c>
      <c r="AZ100" s="1567" t="s">
        <v>1843</v>
      </c>
      <c r="BA100" s="1567" t="s">
        <v>1844</v>
      </c>
      <c r="BB100" s="1568" t="s">
        <v>1845</v>
      </c>
      <c r="BC100" s="1566" t="s">
        <v>1842</v>
      </c>
      <c r="BD100" s="1567" t="s">
        <v>1843</v>
      </c>
      <c r="BE100" s="1567" t="s">
        <v>1844</v>
      </c>
      <c r="BF100" s="1568" t="s">
        <v>1845</v>
      </c>
      <c r="BG100" s="1566" t="s">
        <v>1842</v>
      </c>
      <c r="BH100" s="1567" t="s">
        <v>1843</v>
      </c>
      <c r="BI100" s="1567" t="s">
        <v>1844</v>
      </c>
      <c r="BJ100" s="1568" t="s">
        <v>1845</v>
      </c>
      <c r="BK100" s="1566" t="s">
        <v>1842</v>
      </c>
      <c r="BL100" s="1567" t="s">
        <v>1843</v>
      </c>
      <c r="BM100" s="1567" t="s">
        <v>1844</v>
      </c>
      <c r="BN100" s="1568" t="s">
        <v>1845</v>
      </c>
      <c r="BO100" s="1566" t="s">
        <v>1842</v>
      </c>
      <c r="BP100" s="1567" t="s">
        <v>1843</v>
      </c>
      <c r="BQ100" s="1567" t="s">
        <v>1844</v>
      </c>
      <c r="BR100" s="1568" t="s">
        <v>1845</v>
      </c>
      <c r="BS100" s="1566" t="s">
        <v>1842</v>
      </c>
      <c r="BT100" s="1567" t="s">
        <v>1843</v>
      </c>
      <c r="BU100" s="1567" t="s">
        <v>1844</v>
      </c>
      <c r="BV100" s="1568" t="s">
        <v>1845</v>
      </c>
      <c r="BW100" s="1566" t="s">
        <v>1842</v>
      </c>
      <c r="BX100" s="1567" t="s">
        <v>1843</v>
      </c>
      <c r="BY100" s="1567" t="s">
        <v>1844</v>
      </c>
      <c r="BZ100" s="1568" t="s">
        <v>1845</v>
      </c>
      <c r="CA100" s="1566" t="s">
        <v>1842</v>
      </c>
      <c r="CB100" s="1567" t="s">
        <v>1843</v>
      </c>
      <c r="CC100" s="1567" t="s">
        <v>1844</v>
      </c>
      <c r="CD100" s="1568" t="s">
        <v>1845</v>
      </c>
      <c r="CE100" s="1566" t="s">
        <v>1842</v>
      </c>
      <c r="CF100" s="1567" t="s">
        <v>1843</v>
      </c>
      <c r="CG100" s="1567" t="s">
        <v>1844</v>
      </c>
      <c r="CH100" s="1568" t="s">
        <v>1845</v>
      </c>
      <c r="CI100" s="1566" t="s">
        <v>1842</v>
      </c>
      <c r="CJ100" s="1567" t="s">
        <v>1843</v>
      </c>
      <c r="CK100" s="1567" t="s">
        <v>1844</v>
      </c>
      <c r="CL100" s="1568" t="s">
        <v>1845</v>
      </c>
      <c r="CM100" s="1566" t="s">
        <v>1842</v>
      </c>
      <c r="CN100" s="1567" t="s">
        <v>1843</v>
      </c>
      <c r="CO100" s="1567" t="s">
        <v>1844</v>
      </c>
      <c r="CP100" s="1568" t="s">
        <v>1845</v>
      </c>
      <c r="CQ100" s="1566" t="s">
        <v>1842</v>
      </c>
      <c r="CR100" s="1567" t="s">
        <v>1843</v>
      </c>
      <c r="CS100" s="1567" t="s">
        <v>1844</v>
      </c>
      <c r="CT100" s="1568" t="s">
        <v>1845</v>
      </c>
      <c r="CU100" s="1566" t="s">
        <v>1842</v>
      </c>
      <c r="CV100" s="1567" t="s">
        <v>1843</v>
      </c>
      <c r="CW100" s="1567" t="s">
        <v>1844</v>
      </c>
      <c r="CX100" s="1568" t="s">
        <v>1845</v>
      </c>
      <c r="CY100" s="1566" t="s">
        <v>1842</v>
      </c>
      <c r="CZ100" s="1567" t="s">
        <v>1843</v>
      </c>
      <c r="DA100" s="1567" t="s">
        <v>1844</v>
      </c>
      <c r="DB100" s="1568" t="s">
        <v>1845</v>
      </c>
      <c r="DC100"/>
      <c r="DD100"/>
      <c r="DE100"/>
      <c r="DF100"/>
      <c r="DG100"/>
      <c r="DH100"/>
      <c r="DI100"/>
      <c r="DJ100"/>
      <c r="DK100"/>
      <c r="DL100"/>
      <c r="DM100"/>
      <c r="DN100"/>
      <c r="DO100"/>
    </row>
    <row r="101" spans="1:119" s="699" customFormat="1" ht="12.75" customHeight="1">
      <c r="A101" s="664"/>
      <c r="B101" s="664"/>
      <c r="C101" s="1561" t="s">
        <v>1767</v>
      </c>
      <c r="D101" s="668"/>
      <c r="E101" s="3620" t="str">
        <f>E22</f>
        <v xml:space="preserve">Household final consumption expenditure (domestic HH + NPISH)            </v>
      </c>
      <c r="F101" s="3621"/>
      <c r="G101" s="780">
        <f>G22</f>
        <v>1.62621640407785</v>
      </c>
      <c r="H101" s="780">
        <f t="shared" ref="H101:N101" si="243">H22</f>
        <v>1.6685588507877664</v>
      </c>
      <c r="I101" s="780">
        <f t="shared" si="243"/>
        <v>1.7066438832252087</v>
      </c>
      <c r="J101" s="780">
        <f t="shared" si="243"/>
        <v>1.7344184430027805</v>
      </c>
      <c r="K101" s="780">
        <f t="shared" si="243"/>
        <v>1.7539098702502318</v>
      </c>
      <c r="L101" s="780">
        <f t="shared" si="243"/>
        <v>1.776905699721965</v>
      </c>
      <c r="M101" s="780">
        <f t="shared" si="243"/>
        <v>1.7802942539388322</v>
      </c>
      <c r="N101" s="780">
        <f t="shared" si="243"/>
        <v>1.8378417516218721</v>
      </c>
      <c r="O101" s="780">
        <f t="shared" ref="O101:AX101" si="244">O22</f>
        <v>1.8682808155699722</v>
      </c>
      <c r="P101" s="780">
        <f t="shared" si="244"/>
        <v>1.8650949953660798</v>
      </c>
      <c r="Q101" s="780">
        <f t="shared" si="244"/>
        <v>1.9053521779425395</v>
      </c>
      <c r="R101" s="780">
        <f t="shared" si="244"/>
        <v>1.9386584800741427</v>
      </c>
      <c r="S101" s="780">
        <f t="shared" si="244"/>
        <v>1.9647822057460611</v>
      </c>
      <c r="T101" s="780">
        <f t="shared" si="244"/>
        <v>1.9483897126969416</v>
      </c>
      <c r="U101" s="780">
        <f t="shared" si="244"/>
        <v>2.0078197405004636</v>
      </c>
      <c r="V101" s="780">
        <f t="shared" si="244"/>
        <v>2.0156394810009268</v>
      </c>
      <c r="W101" s="780">
        <f t="shared" si="244"/>
        <v>2.0052421223354959</v>
      </c>
      <c r="X101" s="780">
        <f t="shared" si="244"/>
        <v>2.0949374420759965</v>
      </c>
      <c r="Y101" s="780">
        <f t="shared" si="244"/>
        <v>2.1180491195551436</v>
      </c>
      <c r="Z101" s="780">
        <f t="shared" si="244"/>
        <v>2.1133862372567198</v>
      </c>
      <c r="AA101" s="780">
        <f t="shared" si="244"/>
        <v>2.1536723818350323</v>
      </c>
      <c r="AB101" s="780">
        <f t="shared" si="244"/>
        <v>2.2209511121408712</v>
      </c>
      <c r="AC101" s="780">
        <f t="shared" si="244"/>
        <v>2.2410797034291012</v>
      </c>
      <c r="AD101" s="780">
        <f t="shared" si="244"/>
        <v>2.2661318350324375</v>
      </c>
      <c r="AE101" s="780">
        <f t="shared" si="244"/>
        <v>2.3153093141797965</v>
      </c>
      <c r="AF101" s="780">
        <f t="shared" si="244"/>
        <v>2.2809024559777571</v>
      </c>
      <c r="AG101" s="780">
        <f t="shared" si="244"/>
        <v>2.322376042632067</v>
      </c>
      <c r="AH101" s="780">
        <f t="shared" si="244"/>
        <v>2.3685993975903616</v>
      </c>
      <c r="AI101" s="780">
        <f t="shared" si="244"/>
        <v>2.4167632066728455</v>
      </c>
      <c r="AJ101" s="780">
        <f t="shared" si="244"/>
        <v>2.4448563484708066</v>
      </c>
      <c r="AK101" s="780">
        <f t="shared" si="244"/>
        <v>2.4770620945319739</v>
      </c>
      <c r="AL101" s="780">
        <f t="shared" si="244"/>
        <v>2.5211132993512511</v>
      </c>
      <c r="AM101" s="780">
        <f t="shared" si="244"/>
        <v>2.6566265060240961</v>
      </c>
      <c r="AN101" s="780">
        <f t="shared" si="244"/>
        <v>2.7109881835032437</v>
      </c>
      <c r="AO101" s="780">
        <f t="shared" si="244"/>
        <v>2.7391971733086193</v>
      </c>
      <c r="AP101" s="780">
        <f t="shared" si="244"/>
        <v>2.8600266450417058</v>
      </c>
      <c r="AQ101" s="780">
        <f t="shared" si="244"/>
        <v>2.9140987025023168</v>
      </c>
      <c r="AR101" s="780">
        <f t="shared" si="244"/>
        <v>3.0182460611677477</v>
      </c>
      <c r="AS101" s="780">
        <f t="shared" si="244"/>
        <v>3.1173250695088046</v>
      </c>
      <c r="AT101" s="780">
        <f t="shared" si="244"/>
        <v>3.1594068582020385</v>
      </c>
      <c r="AU101" s="780">
        <f t="shared" si="244"/>
        <v>4.1615000000000002</v>
      </c>
      <c r="AV101" s="780">
        <f t="shared" si="244"/>
        <v>4.3871000000000002</v>
      </c>
      <c r="AW101" s="780">
        <f t="shared" si="244"/>
        <v>4.4554999999999998</v>
      </c>
      <c r="AX101" s="780">
        <f t="shared" si="244"/>
        <v>4.6411000000000007</v>
      </c>
      <c r="AY101" s="780">
        <f t="shared" ref="AY101:BF101" si="245">AY22</f>
        <v>4.5007999999999999</v>
      </c>
      <c r="AZ101" s="780">
        <f t="shared" si="245"/>
        <v>4.7203999999999997</v>
      </c>
      <c r="BA101" s="780">
        <f t="shared" si="245"/>
        <v>5.0039999999999996</v>
      </c>
      <c r="BB101" s="780">
        <f t="shared" si="245"/>
        <v>5.0247999999999999</v>
      </c>
      <c r="BC101" s="780">
        <f t="shared" si="245"/>
        <v>5.2023999999999999</v>
      </c>
      <c r="BD101" s="780">
        <f t="shared" si="245"/>
        <v>5.3650000000000002</v>
      </c>
      <c r="BE101" s="780">
        <f t="shared" si="245"/>
        <v>5.3876999999999997</v>
      </c>
      <c r="BF101" s="780">
        <f t="shared" si="245"/>
        <v>5.6846000000000005</v>
      </c>
      <c r="BG101" s="780">
        <f t="shared" ref="BG101:BV101" si="246">BG22</f>
        <v>5.7126999999999999</v>
      </c>
      <c r="BH101" s="780">
        <f t="shared" si="246"/>
        <v>5.6909000000000001</v>
      </c>
      <c r="BI101" s="780">
        <f t="shared" si="246"/>
        <v>5.5774999999999997</v>
      </c>
      <c r="BJ101" s="780">
        <f t="shared" si="246"/>
        <v>5.4523999999999999</v>
      </c>
      <c r="BK101" s="780">
        <f t="shared" si="246"/>
        <v>4.8150000000000004</v>
      </c>
      <c r="BL101" s="780">
        <f t="shared" si="246"/>
        <v>4.7298999999999998</v>
      </c>
      <c r="BM101" s="780">
        <f t="shared" si="246"/>
        <v>4.6168000000000005</v>
      </c>
      <c r="BN101" s="780">
        <f t="shared" si="246"/>
        <v>4.4176000000000002</v>
      </c>
      <c r="BO101" s="780">
        <f t="shared" si="246"/>
        <v>4.4471999999999996</v>
      </c>
      <c r="BP101" s="780">
        <f t="shared" si="246"/>
        <v>4.4169999999999998</v>
      </c>
      <c r="BQ101" s="780">
        <f t="shared" si="246"/>
        <v>4.5338000000000003</v>
      </c>
      <c r="BR101" s="780">
        <f t="shared" si="246"/>
        <v>4.5543999999999993</v>
      </c>
      <c r="BS101" s="780">
        <f t="shared" si="246"/>
        <v>4.6109</v>
      </c>
      <c r="BT101" s="780">
        <f t="shared" si="246"/>
        <v>4.6718000000000002</v>
      </c>
      <c r="BU101" s="780">
        <f t="shared" si="246"/>
        <v>4.7290000000000001</v>
      </c>
      <c r="BV101" s="780">
        <f t="shared" si="246"/>
        <v>4.7896999999999998</v>
      </c>
      <c r="BW101" s="780">
        <f>BW22</f>
        <v>4.7778</v>
      </c>
      <c r="BX101" s="780">
        <f t="shared" ref="BX101:CD101" si="247">BX22</f>
        <v>4.7877000000000001</v>
      </c>
      <c r="BY101" s="780">
        <f t="shared" si="247"/>
        <v>4.8163999999999998</v>
      </c>
      <c r="BZ101" s="780">
        <f t="shared" si="247"/>
        <v>4.8941000000000008</v>
      </c>
      <c r="CA101" s="780">
        <f t="shared" si="247"/>
        <v>4.984</v>
      </c>
      <c r="CB101" s="780">
        <f t="shared" si="247"/>
        <v>5.0129999999999999</v>
      </c>
      <c r="CC101" s="780">
        <f t="shared" si="247"/>
        <v>5.0828999999999995</v>
      </c>
      <c r="CD101" s="780">
        <f t="shared" si="247"/>
        <v>5.1372</v>
      </c>
      <c r="CE101" s="780">
        <f t="shared" ref="CE101:CL101" si="248">CE22</f>
        <v>5.2076000000000002</v>
      </c>
      <c r="CF101" s="780">
        <f t="shared" si="248"/>
        <v>5.2261999999999995</v>
      </c>
      <c r="CG101" s="780">
        <f t="shared" si="248"/>
        <v>5.2426000000000004</v>
      </c>
      <c r="CH101" s="780">
        <f t="shared" si="248"/>
        <v>5.3221000000000007</v>
      </c>
      <c r="CI101" s="780">
        <f t="shared" si="248"/>
        <v>5.3858999999999995</v>
      </c>
      <c r="CJ101" s="780">
        <f t="shared" si="248"/>
        <v>5.4008000000000003</v>
      </c>
      <c r="CK101" s="780">
        <f t="shared" si="248"/>
        <v>5.5136000000000003</v>
      </c>
      <c r="CL101" s="780">
        <f t="shared" si="248"/>
        <v>5.5389999999999997</v>
      </c>
      <c r="CM101" s="780">
        <f t="shared" ref="CM101:CT101" si="249">CM22</f>
        <v>5.5525000000000002</v>
      </c>
      <c r="CN101" s="780">
        <f t="shared" si="249"/>
        <v>5.6966999999999999</v>
      </c>
      <c r="CO101" s="780">
        <f t="shared" si="249"/>
        <v>5.7766999999999999</v>
      </c>
      <c r="CP101" s="780">
        <f t="shared" si="249"/>
        <v>5.8323999999999998</v>
      </c>
      <c r="CQ101" s="780">
        <f t="shared" si="249"/>
        <v>5.8741000000000003</v>
      </c>
      <c r="CR101" s="780">
        <f t="shared" si="249"/>
        <v>5.9417</v>
      </c>
      <c r="CS101" s="780">
        <f t="shared" si="249"/>
        <v>5.9403999999999995</v>
      </c>
      <c r="CT101" s="780">
        <f t="shared" si="249"/>
        <v>6.0448000000000004</v>
      </c>
      <c r="CU101" s="780">
        <f t="shared" ref="CU101:DB101" si="250">CU22</f>
        <v>6.0901360000000011</v>
      </c>
      <c r="CV101" s="780">
        <f t="shared" si="250"/>
        <v>6.1358120200000013</v>
      </c>
      <c r="CW101" s="780">
        <f t="shared" si="250"/>
        <v>6.1818306101500013</v>
      </c>
      <c r="CX101" s="780">
        <f t="shared" si="250"/>
        <v>6.2281943397261266</v>
      </c>
      <c r="CY101" s="780">
        <f t="shared" si="250"/>
        <v>6.2805111721798257</v>
      </c>
      <c r="CZ101" s="780">
        <f t="shared" si="250"/>
        <v>6.3332674660261361</v>
      </c>
      <c r="DA101" s="780">
        <f t="shared" si="250"/>
        <v>6.3864669127407554</v>
      </c>
      <c r="DB101" s="780">
        <f t="shared" si="250"/>
        <v>6.4401132348077779</v>
      </c>
      <c r="DC101"/>
      <c r="DD101"/>
      <c r="DE101"/>
      <c r="DF101"/>
      <c r="DG101"/>
      <c r="DH101"/>
      <c r="DI101"/>
      <c r="DJ101"/>
      <c r="DK101"/>
      <c r="DL101"/>
      <c r="DM101"/>
      <c r="DN101"/>
      <c r="DO101"/>
    </row>
    <row r="102" spans="1:119" s="699" customFormat="1" ht="12.75" customHeight="1">
      <c r="A102" s="664"/>
      <c r="B102" s="664"/>
      <c r="C102" s="1562" t="s">
        <v>1767</v>
      </c>
      <c r="D102" s="674"/>
      <c r="E102" s="3629" t="str">
        <f>E41</f>
        <v xml:space="preserve">Government final consumption expenditure                                        </v>
      </c>
      <c r="F102" s="3630"/>
      <c r="G102" s="706">
        <f>G41</f>
        <v>0.81843721037998152</v>
      </c>
      <c r="H102" s="706">
        <f t="shared" ref="H102:N102" si="251">H41</f>
        <v>0.81655468025949962</v>
      </c>
      <c r="I102" s="706">
        <f t="shared" si="251"/>
        <v>0.81806070435588507</v>
      </c>
      <c r="J102" s="706">
        <f t="shared" si="251"/>
        <v>0.82501158480074144</v>
      </c>
      <c r="K102" s="706">
        <f t="shared" si="251"/>
        <v>0.81438253012048201</v>
      </c>
      <c r="L102" s="706">
        <f t="shared" si="251"/>
        <v>0.81357159406858204</v>
      </c>
      <c r="M102" s="706">
        <f t="shared" si="251"/>
        <v>0.82489573679332717</v>
      </c>
      <c r="N102" s="706">
        <f t="shared" si="251"/>
        <v>0.81678637627432804</v>
      </c>
      <c r="O102" s="706">
        <f t="shared" ref="O102:AX102" si="252">O41</f>
        <v>0.82437442075996292</v>
      </c>
      <c r="P102" s="706">
        <f t="shared" si="252"/>
        <v>0.84670412418906404</v>
      </c>
      <c r="Q102" s="706">
        <f t="shared" si="252"/>
        <v>0.85272822057460618</v>
      </c>
      <c r="R102" s="706">
        <f t="shared" si="252"/>
        <v>0.84838392029657095</v>
      </c>
      <c r="S102" s="706">
        <f t="shared" si="252"/>
        <v>0.88001042632066728</v>
      </c>
      <c r="T102" s="706">
        <f t="shared" si="252"/>
        <v>0.88096617238183517</v>
      </c>
      <c r="U102" s="706">
        <f t="shared" si="252"/>
        <v>0.88203776645041709</v>
      </c>
      <c r="V102" s="706">
        <f t="shared" si="252"/>
        <v>0.89255097312326237</v>
      </c>
      <c r="W102" s="706">
        <f t="shared" si="252"/>
        <v>0.85820203892493041</v>
      </c>
      <c r="X102" s="706">
        <f t="shared" si="252"/>
        <v>0.85304680259499532</v>
      </c>
      <c r="Y102" s="706">
        <f t="shared" si="252"/>
        <v>0.83711770157553289</v>
      </c>
      <c r="Z102" s="706">
        <f t="shared" si="252"/>
        <v>0.8364226135310473</v>
      </c>
      <c r="AA102" s="706">
        <f t="shared" si="252"/>
        <v>0.8540604726598704</v>
      </c>
      <c r="AB102" s="706">
        <f t="shared" si="252"/>
        <v>0.84583526413345689</v>
      </c>
      <c r="AC102" s="706">
        <f t="shared" si="252"/>
        <v>0.84873146431881374</v>
      </c>
      <c r="AD102" s="706">
        <f t="shared" si="252"/>
        <v>0.85258341056533837</v>
      </c>
      <c r="AE102" s="706">
        <f t="shared" si="252"/>
        <v>0.85652224281742362</v>
      </c>
      <c r="AF102" s="706">
        <f t="shared" si="252"/>
        <v>0.85907089898053757</v>
      </c>
      <c r="AG102" s="706">
        <f t="shared" si="252"/>
        <v>0.85768072289156638</v>
      </c>
      <c r="AH102" s="706">
        <f t="shared" si="252"/>
        <v>0.85950532900834109</v>
      </c>
      <c r="AI102" s="706">
        <f t="shared" si="252"/>
        <v>0.87268303985171447</v>
      </c>
      <c r="AJ102" s="706">
        <f t="shared" si="252"/>
        <v>0.86969995366079711</v>
      </c>
      <c r="AK102" s="706">
        <f t="shared" si="252"/>
        <v>0.88623725671918441</v>
      </c>
      <c r="AL102" s="706">
        <f t="shared" si="252"/>
        <v>0.88869902687673774</v>
      </c>
      <c r="AM102" s="706">
        <f t="shared" si="252"/>
        <v>0.89289851714550517</v>
      </c>
      <c r="AN102" s="706">
        <f t="shared" si="252"/>
        <v>0.90401992585727531</v>
      </c>
      <c r="AO102" s="706">
        <f t="shared" si="252"/>
        <v>0.9091751621872104</v>
      </c>
      <c r="AP102" s="706">
        <f t="shared" si="252"/>
        <v>0.91986214087117713</v>
      </c>
      <c r="AQ102" s="706">
        <f t="shared" si="252"/>
        <v>0.93040430954587594</v>
      </c>
      <c r="AR102" s="706">
        <f t="shared" si="252"/>
        <v>0.94885310472659867</v>
      </c>
      <c r="AS102" s="706">
        <f t="shared" si="252"/>
        <v>0.9545875810936052</v>
      </c>
      <c r="AT102" s="706">
        <f t="shared" si="252"/>
        <v>0.96058271547729368</v>
      </c>
      <c r="AU102" s="706">
        <f t="shared" si="252"/>
        <v>1.3931</v>
      </c>
      <c r="AV102" s="706">
        <f t="shared" si="252"/>
        <v>1.3956</v>
      </c>
      <c r="AW102" s="706">
        <f t="shared" si="252"/>
        <v>1.3995</v>
      </c>
      <c r="AX102" s="706">
        <f t="shared" si="252"/>
        <v>1.3957999999999999</v>
      </c>
      <c r="AY102" s="706">
        <f t="shared" ref="AY102:BF102" si="253">AY41</f>
        <v>1.4036999999999999</v>
      </c>
      <c r="AZ102" s="706">
        <f t="shared" si="253"/>
        <v>1.4102000000000001</v>
      </c>
      <c r="BA102" s="706">
        <f t="shared" si="253"/>
        <v>1.4405999999999999</v>
      </c>
      <c r="BB102" s="706">
        <f t="shared" si="253"/>
        <v>1.4470000000000001</v>
      </c>
      <c r="BC102" s="706">
        <f t="shared" si="253"/>
        <v>1.4535</v>
      </c>
      <c r="BD102" s="706">
        <f t="shared" si="253"/>
        <v>1.4619000000000002</v>
      </c>
      <c r="BE102" s="706">
        <f t="shared" si="253"/>
        <v>1.4362000000000001</v>
      </c>
      <c r="BF102" s="706">
        <f t="shared" si="253"/>
        <v>1.4554</v>
      </c>
      <c r="BG102" s="706">
        <f t="shared" ref="BG102:BV102" si="254">BG41</f>
        <v>1.4490999999999998</v>
      </c>
      <c r="BH102" s="706">
        <f t="shared" si="254"/>
        <v>1.4505999999999999</v>
      </c>
      <c r="BI102" s="706">
        <f t="shared" si="254"/>
        <v>1.4658</v>
      </c>
      <c r="BJ102" s="706">
        <f t="shared" si="254"/>
        <v>1.4590000000000001</v>
      </c>
      <c r="BK102" s="706">
        <f t="shared" si="254"/>
        <v>1.4550999999999998</v>
      </c>
      <c r="BL102" s="706">
        <f t="shared" si="254"/>
        <v>1.4484999999999999</v>
      </c>
      <c r="BM102" s="706">
        <f t="shared" si="254"/>
        <v>1.4235</v>
      </c>
      <c r="BN102" s="706">
        <f t="shared" si="254"/>
        <v>1.4170999999999998</v>
      </c>
      <c r="BO102" s="706">
        <f t="shared" si="254"/>
        <v>1.4037999999999999</v>
      </c>
      <c r="BP102" s="706">
        <f t="shared" si="254"/>
        <v>1.3900999999999999</v>
      </c>
      <c r="BQ102" s="706">
        <f t="shared" si="254"/>
        <v>1.3904000000000001</v>
      </c>
      <c r="BR102" s="706">
        <f t="shared" si="254"/>
        <v>1.3809</v>
      </c>
      <c r="BS102" s="706">
        <f t="shared" si="254"/>
        <v>1.38</v>
      </c>
      <c r="BT102" s="706">
        <f t="shared" si="254"/>
        <v>1.3847</v>
      </c>
      <c r="BU102" s="706">
        <f t="shared" si="254"/>
        <v>1.3865000000000001</v>
      </c>
      <c r="BV102" s="706">
        <f t="shared" si="254"/>
        <v>1.3913</v>
      </c>
      <c r="BW102" s="706">
        <f>BW41</f>
        <v>1.4005000000000001</v>
      </c>
      <c r="BX102" s="706">
        <f t="shared" ref="BX102:CD102" si="255">BX41</f>
        <v>1.4019999999999999</v>
      </c>
      <c r="BY102" s="706">
        <f t="shared" si="255"/>
        <v>1.4053</v>
      </c>
      <c r="BZ102" s="706">
        <f t="shared" si="255"/>
        <v>1.4080999999999999</v>
      </c>
      <c r="CA102" s="706">
        <f t="shared" si="255"/>
        <v>1.4109</v>
      </c>
      <c r="CB102" s="706">
        <f t="shared" si="255"/>
        <v>1.413</v>
      </c>
      <c r="CC102" s="706">
        <f t="shared" si="255"/>
        <v>1.4167000000000001</v>
      </c>
      <c r="CD102" s="706">
        <f t="shared" si="255"/>
        <v>1.4137</v>
      </c>
      <c r="CE102" s="706">
        <f t="shared" ref="CE102:CL102" si="256">CE41</f>
        <v>1.4157999999999999</v>
      </c>
      <c r="CF102" s="706">
        <f t="shared" si="256"/>
        <v>1.4173</v>
      </c>
      <c r="CG102" s="706">
        <f t="shared" si="256"/>
        <v>1.4170999999999998</v>
      </c>
      <c r="CH102" s="706">
        <f t="shared" si="256"/>
        <v>1.4220999999999999</v>
      </c>
      <c r="CI102" s="706">
        <f t="shared" si="256"/>
        <v>1.4177999999999999</v>
      </c>
      <c r="CJ102" s="706">
        <f t="shared" si="256"/>
        <v>1.4210999999999998</v>
      </c>
      <c r="CK102" s="706">
        <f t="shared" si="256"/>
        <v>1.4212</v>
      </c>
      <c r="CL102" s="706">
        <f t="shared" si="256"/>
        <v>1.4196</v>
      </c>
      <c r="CM102" s="706">
        <f t="shared" ref="CM102:CT102" si="257">CM41</f>
        <v>1.4294</v>
      </c>
      <c r="CN102" s="706">
        <f t="shared" si="257"/>
        <v>1.4327999999999999</v>
      </c>
      <c r="CO102" s="706">
        <f t="shared" si="257"/>
        <v>1.4419000000000002</v>
      </c>
      <c r="CP102" s="706">
        <f t="shared" si="257"/>
        <v>1.4504000000000001</v>
      </c>
      <c r="CQ102" s="706">
        <f t="shared" si="257"/>
        <v>1.4517</v>
      </c>
      <c r="CR102" s="706">
        <f t="shared" si="257"/>
        <v>1.4550000000000001</v>
      </c>
      <c r="CS102" s="706">
        <f t="shared" si="257"/>
        <v>1.4564000000000001</v>
      </c>
      <c r="CT102" s="706">
        <f t="shared" si="257"/>
        <v>1.4585999999999999</v>
      </c>
      <c r="CU102" s="706">
        <f t="shared" ref="CU102:DB102" si="258">CU41</f>
        <v>1.4658929999999997</v>
      </c>
      <c r="CV102" s="706">
        <f t="shared" si="258"/>
        <v>1.4746883579999996</v>
      </c>
      <c r="CW102" s="706">
        <f t="shared" si="258"/>
        <v>1.4835364881479995</v>
      </c>
      <c r="CX102" s="706">
        <f t="shared" si="258"/>
        <v>1.4924377070768875</v>
      </c>
      <c r="CY102" s="706">
        <f t="shared" si="258"/>
        <v>1.4969150201981181</v>
      </c>
      <c r="CZ102" s="706">
        <f t="shared" si="258"/>
        <v>1.5006573077486132</v>
      </c>
      <c r="DA102" s="706">
        <f t="shared" si="258"/>
        <v>1.5036586223641104</v>
      </c>
      <c r="DB102" s="706">
        <f t="shared" si="258"/>
        <v>1.5063652078843659</v>
      </c>
      <c r="DC102"/>
      <c r="DD102"/>
      <c r="DE102"/>
      <c r="DF102"/>
      <c r="DG102"/>
      <c r="DH102"/>
      <c r="DI102"/>
      <c r="DJ102"/>
      <c r="DK102"/>
      <c r="DL102"/>
      <c r="DM102"/>
      <c r="DN102"/>
      <c r="DO102"/>
    </row>
    <row r="103" spans="1:119" s="699" customFormat="1" ht="12.75" customHeight="1">
      <c r="A103" s="664"/>
      <c r="B103" s="664"/>
      <c r="C103" s="1562" t="s">
        <v>1767</v>
      </c>
      <c r="D103" s="674"/>
      <c r="E103" s="3629" t="str">
        <f>+E86</f>
        <v>Gross fixed capital formation</v>
      </c>
      <c r="F103" s="3630"/>
      <c r="G103" s="706">
        <f>G70</f>
        <v>0.39301436515291938</v>
      </c>
      <c r="H103" s="706">
        <f t="shared" ref="H103:BN103" si="259">H70</f>
        <v>0.41267956441149217</v>
      </c>
      <c r="I103" s="706">
        <f t="shared" si="259"/>
        <v>0.41540199258572758</v>
      </c>
      <c r="J103" s="706">
        <f t="shared" si="259"/>
        <v>0.4492875347544022</v>
      </c>
      <c r="K103" s="706">
        <f t="shared" si="259"/>
        <v>0.46877896200185359</v>
      </c>
      <c r="L103" s="706">
        <f t="shared" si="259"/>
        <v>0.48473702502316962</v>
      </c>
      <c r="M103" s="706">
        <f t="shared" si="259"/>
        <v>0.50005792400370708</v>
      </c>
      <c r="N103" s="706">
        <f t="shared" si="259"/>
        <v>0.54686051899907329</v>
      </c>
      <c r="O103" s="706">
        <f t="shared" si="259"/>
        <v>0.58375810936051908</v>
      </c>
      <c r="P103" s="706">
        <f t="shared" si="259"/>
        <v>0.59829703429101033</v>
      </c>
      <c r="Q103" s="706">
        <f t="shared" si="259"/>
        <v>0.64622914735866555</v>
      </c>
      <c r="R103" s="706">
        <f t="shared" si="259"/>
        <v>0.67750810936051908</v>
      </c>
      <c r="S103" s="706">
        <f t="shared" si="259"/>
        <v>0.73192771084337349</v>
      </c>
      <c r="T103" s="706">
        <f t="shared" si="259"/>
        <v>0.77386468952734011</v>
      </c>
      <c r="U103" s="706">
        <f t="shared" si="259"/>
        <v>0.79292168674698804</v>
      </c>
      <c r="V103" s="706">
        <f t="shared" si="259"/>
        <v>0.75136121408711776</v>
      </c>
      <c r="W103" s="706">
        <f t="shared" si="259"/>
        <v>0.73809661723818354</v>
      </c>
      <c r="X103" s="706">
        <f t="shared" si="259"/>
        <v>0.76010773864689529</v>
      </c>
      <c r="Y103" s="706">
        <f t="shared" si="259"/>
        <v>0.69413229842446711</v>
      </c>
      <c r="Z103" s="706">
        <f t="shared" si="259"/>
        <v>0.66030468025949962</v>
      </c>
      <c r="AA103" s="706">
        <f t="shared" si="259"/>
        <v>0.64596848934198337</v>
      </c>
      <c r="AB103" s="706">
        <f t="shared" si="259"/>
        <v>0.63974165894346613</v>
      </c>
      <c r="AC103" s="706">
        <f t="shared" si="259"/>
        <v>0.66149212233549592</v>
      </c>
      <c r="AD103" s="706">
        <f t="shared" si="259"/>
        <v>0.68341635773864684</v>
      </c>
      <c r="AE103" s="706">
        <f t="shared" si="259"/>
        <v>0.71350787766450408</v>
      </c>
      <c r="AF103" s="706">
        <f t="shared" si="259"/>
        <v>0.69500115848007404</v>
      </c>
      <c r="AG103" s="706">
        <f t="shared" si="259"/>
        <v>0.71481116774791476</v>
      </c>
      <c r="AH103" s="706">
        <f t="shared" si="259"/>
        <v>0.86570319740500468</v>
      </c>
      <c r="AI103" s="706">
        <f t="shared" si="259"/>
        <v>0.81360055607043558</v>
      </c>
      <c r="AJ103" s="706">
        <f t="shared" si="259"/>
        <v>0.80123378127896205</v>
      </c>
      <c r="AK103" s="706">
        <f t="shared" si="259"/>
        <v>0.81371640407784995</v>
      </c>
      <c r="AL103" s="706">
        <f t="shared" si="259"/>
        <v>0.87198795180722899</v>
      </c>
      <c r="AM103" s="706">
        <f t="shared" si="259"/>
        <v>0.8681649675625579</v>
      </c>
      <c r="AN103" s="706">
        <f t="shared" si="259"/>
        <v>0.9241774791473587</v>
      </c>
      <c r="AO103" s="706">
        <f t="shared" si="259"/>
        <v>0.95061978683966641</v>
      </c>
      <c r="AP103" s="706">
        <f t="shared" si="259"/>
        <v>0.97610634847080646</v>
      </c>
      <c r="AQ103" s="706">
        <f t="shared" si="259"/>
        <v>1.017840593141798</v>
      </c>
      <c r="AR103" s="706">
        <f t="shared" si="259"/>
        <v>1.0666126042632067</v>
      </c>
      <c r="AS103" s="706">
        <f t="shared" si="259"/>
        <v>1.0852641334569046</v>
      </c>
      <c r="AT103" s="706">
        <f t="shared" si="259"/>
        <v>1.0867991195551439</v>
      </c>
      <c r="AU103" s="706">
        <f t="shared" si="259"/>
        <v>1.28</v>
      </c>
      <c r="AV103" s="706">
        <f t="shared" si="259"/>
        <v>1.2899</v>
      </c>
      <c r="AW103" s="706">
        <f t="shared" si="259"/>
        <v>1.4085000000000001</v>
      </c>
      <c r="AX103" s="706">
        <f t="shared" si="259"/>
        <v>1.4517</v>
      </c>
      <c r="AY103" s="706">
        <f t="shared" si="259"/>
        <v>1.4781</v>
      </c>
      <c r="AZ103" s="706">
        <f t="shared" si="259"/>
        <v>1.5637000000000001</v>
      </c>
      <c r="BA103" s="706">
        <f t="shared" si="259"/>
        <v>1.6442000000000001</v>
      </c>
      <c r="BB103" s="706">
        <f t="shared" si="259"/>
        <v>1.8074000000000001</v>
      </c>
      <c r="BC103" s="706">
        <f t="shared" si="259"/>
        <v>1.8799000000000001</v>
      </c>
      <c r="BD103" s="706">
        <f t="shared" si="259"/>
        <v>2.0070999999999999</v>
      </c>
      <c r="BE103" s="706">
        <f t="shared" si="259"/>
        <v>2.0089999999999999</v>
      </c>
      <c r="BF103" s="706">
        <f t="shared" si="259"/>
        <v>2.0472000000000001</v>
      </c>
      <c r="BG103" s="706">
        <f t="shared" si="259"/>
        <v>2.0287000000000002</v>
      </c>
      <c r="BH103" s="706">
        <f t="shared" si="259"/>
        <v>2.012</v>
      </c>
      <c r="BI103" s="706">
        <f t="shared" si="259"/>
        <v>1.8860999999999999</v>
      </c>
      <c r="BJ103" s="706">
        <f t="shared" si="259"/>
        <v>1.7222999999999999</v>
      </c>
      <c r="BK103" s="706">
        <f t="shared" si="259"/>
        <v>1.3425</v>
      </c>
      <c r="BL103" s="706">
        <f t="shared" si="259"/>
        <v>1.1689000000000001</v>
      </c>
      <c r="BM103" s="706">
        <f t="shared" si="259"/>
        <v>1.0634000000000001</v>
      </c>
      <c r="BN103" s="706">
        <f t="shared" si="259"/>
        <v>1.0734999999999999</v>
      </c>
      <c r="BO103" s="706">
        <f t="shared" ref="BO103:BV103" si="260">BO70</f>
        <v>1.0432999999999999</v>
      </c>
      <c r="BP103" s="706">
        <f t="shared" si="260"/>
        <v>1.1151</v>
      </c>
      <c r="BQ103" s="706">
        <f t="shared" si="260"/>
        <v>1.2498999999999998</v>
      </c>
      <c r="BR103" s="706">
        <f t="shared" si="260"/>
        <v>1.2954999999999999</v>
      </c>
      <c r="BS103" s="706">
        <f t="shared" si="260"/>
        <v>1.3806999999999998</v>
      </c>
      <c r="BT103" s="706">
        <f t="shared" si="260"/>
        <v>1.4029999999999998</v>
      </c>
      <c r="BU103" s="706">
        <f t="shared" si="260"/>
        <v>1.4439</v>
      </c>
      <c r="BV103" s="706">
        <f t="shared" si="260"/>
        <v>1.4516999999999998</v>
      </c>
      <c r="BW103" s="706">
        <f>BW70</f>
        <v>1.4303999999999999</v>
      </c>
      <c r="BX103" s="706">
        <f t="shared" ref="BX103:CD103" si="261">BX70</f>
        <v>1.3803999999999998</v>
      </c>
      <c r="BY103" s="706">
        <f t="shared" si="261"/>
        <v>1.3981999999999999</v>
      </c>
      <c r="BZ103" s="706">
        <f t="shared" si="261"/>
        <v>1.3780999999999997</v>
      </c>
      <c r="CA103" s="706">
        <f t="shared" si="261"/>
        <v>1.4340999999999997</v>
      </c>
      <c r="CB103" s="706">
        <f t="shared" si="261"/>
        <v>1.4782999999999997</v>
      </c>
      <c r="CC103" s="706">
        <f t="shared" si="261"/>
        <v>1.5640999999999996</v>
      </c>
      <c r="CD103" s="706">
        <f t="shared" si="261"/>
        <v>1.5646</v>
      </c>
      <c r="CE103" s="706">
        <f t="shared" ref="CE103:CL103" si="262">CE70</f>
        <v>1.5847000000000002</v>
      </c>
      <c r="CF103" s="706">
        <f t="shared" si="262"/>
        <v>1.5859000000000005</v>
      </c>
      <c r="CG103" s="706">
        <f t="shared" si="262"/>
        <v>1.5953000000000002</v>
      </c>
      <c r="CH103" s="706">
        <f t="shared" si="262"/>
        <v>1.6097000000000006</v>
      </c>
      <c r="CI103" s="706">
        <f t="shared" si="262"/>
        <v>1.6925000000000001</v>
      </c>
      <c r="CJ103" s="706">
        <f t="shared" si="262"/>
        <v>1.7261000000000002</v>
      </c>
      <c r="CK103" s="706">
        <f t="shared" si="262"/>
        <v>1.6802000000000004</v>
      </c>
      <c r="CL103" s="706">
        <f t="shared" si="262"/>
        <v>1.5977000000000003</v>
      </c>
      <c r="CM103" s="706">
        <f t="shared" ref="CM103:CT103" si="263">CM70</f>
        <v>1.6605000000000003</v>
      </c>
      <c r="CN103" s="706">
        <f t="shared" si="263"/>
        <v>1.6853</v>
      </c>
      <c r="CO103" s="706">
        <f t="shared" si="263"/>
        <v>1.6259999999999999</v>
      </c>
      <c r="CP103" s="706">
        <f t="shared" si="263"/>
        <v>1.7169999999999999</v>
      </c>
      <c r="CQ103" s="706">
        <f t="shared" si="263"/>
        <v>1.7052999999999998</v>
      </c>
      <c r="CR103" s="706">
        <f t="shared" si="263"/>
        <v>1.7519999999999998</v>
      </c>
      <c r="CS103" s="706">
        <f t="shared" si="263"/>
        <v>1.7739999999999998</v>
      </c>
      <c r="CT103" s="706">
        <f t="shared" si="263"/>
        <v>1.9079000000000002</v>
      </c>
      <c r="CU103" s="706">
        <f t="shared" ref="CU103:DB103" si="264">CU70</f>
        <v>1.8792815</v>
      </c>
      <c r="CV103" s="706">
        <f t="shared" si="264"/>
        <v>1.894315752</v>
      </c>
      <c r="CW103" s="706">
        <f t="shared" si="264"/>
        <v>1.9132589095200001</v>
      </c>
      <c r="CX103" s="706">
        <f t="shared" si="264"/>
        <v>1.9352613869794801</v>
      </c>
      <c r="CY103" s="706">
        <f t="shared" si="264"/>
        <v>1.9551945792653687</v>
      </c>
      <c r="CZ103" s="706">
        <f t="shared" si="264"/>
        <v>1.9747465250580223</v>
      </c>
      <c r="DA103" s="706">
        <f t="shared" si="264"/>
        <v>1.9944939903086025</v>
      </c>
      <c r="DB103" s="706">
        <f t="shared" si="264"/>
        <v>2.0144389302116887</v>
      </c>
      <c r="DC103"/>
      <c r="DD103"/>
      <c r="DE103"/>
      <c r="DF103"/>
      <c r="DG103"/>
      <c r="DH103"/>
      <c r="DI103"/>
      <c r="DJ103"/>
      <c r="DK103"/>
      <c r="DL103"/>
      <c r="DM103"/>
      <c r="DN103"/>
      <c r="DO103"/>
    </row>
    <row r="104" spans="1:119" s="1960" customFormat="1" ht="12.75" customHeight="1">
      <c r="A104" s="1957"/>
      <c r="B104" s="1957"/>
      <c r="C104" s="1961" t="s">
        <v>1767</v>
      </c>
      <c r="D104" s="1958"/>
      <c r="E104" s="1959" t="s">
        <v>616</v>
      </c>
      <c r="F104" s="1958"/>
      <c r="G104" s="1959">
        <f>-SUM(G101:G103)+G105</f>
        <v>0</v>
      </c>
      <c r="H104" s="1959">
        <f t="shared" ref="H104:BN104" si="265">-SUM(H101:H103)+H105</f>
        <v>0</v>
      </c>
      <c r="I104" s="1959">
        <f t="shared" si="265"/>
        <v>0</v>
      </c>
      <c r="J104" s="1959">
        <f t="shared" si="265"/>
        <v>0</v>
      </c>
      <c r="K104" s="1959">
        <f t="shared" si="265"/>
        <v>0</v>
      </c>
      <c r="L104" s="1959">
        <f t="shared" si="265"/>
        <v>0</v>
      </c>
      <c r="M104" s="1959">
        <f t="shared" si="265"/>
        <v>0</v>
      </c>
      <c r="N104" s="1959">
        <f t="shared" si="265"/>
        <v>0</v>
      </c>
      <c r="O104" s="1959">
        <f t="shared" si="265"/>
        <v>0</v>
      </c>
      <c r="P104" s="1959">
        <f t="shared" si="265"/>
        <v>0</v>
      </c>
      <c r="Q104" s="1959">
        <f t="shared" si="265"/>
        <v>0</v>
      </c>
      <c r="R104" s="1959">
        <f t="shared" si="265"/>
        <v>0</v>
      </c>
      <c r="S104" s="1959">
        <f t="shared" si="265"/>
        <v>0</v>
      </c>
      <c r="T104" s="1959">
        <f t="shared" si="265"/>
        <v>0</v>
      </c>
      <c r="U104" s="1959">
        <f t="shared" si="265"/>
        <v>0</v>
      </c>
      <c r="V104" s="1959">
        <f t="shared" si="265"/>
        <v>0</v>
      </c>
      <c r="W104" s="1959">
        <f t="shared" si="265"/>
        <v>0</v>
      </c>
      <c r="X104" s="1959">
        <f t="shared" si="265"/>
        <v>0</v>
      </c>
      <c r="Y104" s="1959">
        <f t="shared" si="265"/>
        <v>0</v>
      </c>
      <c r="Z104" s="1959">
        <f t="shared" si="265"/>
        <v>0</v>
      </c>
      <c r="AA104" s="1959">
        <f t="shared" si="265"/>
        <v>0</v>
      </c>
      <c r="AB104" s="1959">
        <f t="shared" si="265"/>
        <v>0</v>
      </c>
      <c r="AC104" s="1959">
        <f t="shared" si="265"/>
        <v>0</v>
      </c>
      <c r="AD104" s="1959">
        <f t="shared" si="265"/>
        <v>0</v>
      </c>
      <c r="AE104" s="1959">
        <f t="shared" si="265"/>
        <v>0</v>
      </c>
      <c r="AF104" s="1959">
        <f t="shared" si="265"/>
        <v>0</v>
      </c>
      <c r="AG104" s="1959">
        <f t="shared" si="265"/>
        <v>0</v>
      </c>
      <c r="AH104" s="1959">
        <f t="shared" si="265"/>
        <v>0</v>
      </c>
      <c r="AI104" s="1959">
        <f t="shared" si="265"/>
        <v>0</v>
      </c>
      <c r="AJ104" s="1959">
        <f t="shared" si="265"/>
        <v>0</v>
      </c>
      <c r="AK104" s="1959">
        <f t="shared" si="265"/>
        <v>0</v>
      </c>
      <c r="AL104" s="1959">
        <f t="shared" si="265"/>
        <v>0</v>
      </c>
      <c r="AM104" s="1959">
        <f t="shared" si="265"/>
        <v>0</v>
      </c>
      <c r="AN104" s="1959">
        <f t="shared" si="265"/>
        <v>0</v>
      </c>
      <c r="AO104" s="1959">
        <f t="shared" si="265"/>
        <v>0</v>
      </c>
      <c r="AP104" s="1959">
        <f t="shared" si="265"/>
        <v>0</v>
      </c>
      <c r="AQ104" s="1959">
        <f t="shared" si="265"/>
        <v>0</v>
      </c>
      <c r="AR104" s="1959">
        <f t="shared" si="265"/>
        <v>0</v>
      </c>
      <c r="AS104" s="1959">
        <f t="shared" si="265"/>
        <v>0</v>
      </c>
      <c r="AT104" s="1959">
        <f t="shared" si="265"/>
        <v>0</v>
      </c>
      <c r="AU104" s="1959">
        <f t="shared" si="265"/>
        <v>0</v>
      </c>
      <c r="AV104" s="1959">
        <f t="shared" si="265"/>
        <v>0</v>
      </c>
      <c r="AW104" s="1959">
        <f t="shared" si="265"/>
        <v>0</v>
      </c>
      <c r="AX104" s="1959">
        <f t="shared" si="265"/>
        <v>0</v>
      </c>
      <c r="AY104" s="1959">
        <f t="shared" si="265"/>
        <v>0</v>
      </c>
      <c r="AZ104" s="1959">
        <f t="shared" si="265"/>
        <v>0</v>
      </c>
      <c r="BA104" s="1959">
        <f t="shared" si="265"/>
        <v>0</v>
      </c>
      <c r="BB104" s="1959">
        <f t="shared" si="265"/>
        <v>0</v>
      </c>
      <c r="BC104" s="1959">
        <f t="shared" si="265"/>
        <v>0</v>
      </c>
      <c r="BD104" s="1959">
        <f t="shared" si="265"/>
        <v>0</v>
      </c>
      <c r="BE104" s="1959">
        <f t="shared" si="265"/>
        <v>0</v>
      </c>
      <c r="BF104" s="1959">
        <f t="shared" si="265"/>
        <v>0</v>
      </c>
      <c r="BG104" s="1959">
        <f t="shared" si="265"/>
        <v>0</v>
      </c>
      <c r="BH104" s="1959">
        <f t="shared" si="265"/>
        <v>0</v>
      </c>
      <c r="BI104" s="1959">
        <f t="shared" si="265"/>
        <v>0</v>
      </c>
      <c r="BJ104" s="1959">
        <f t="shared" si="265"/>
        <v>0</v>
      </c>
      <c r="BK104" s="1959">
        <f t="shared" si="265"/>
        <v>0</v>
      </c>
      <c r="BL104" s="1959">
        <f t="shared" si="265"/>
        <v>0</v>
      </c>
      <c r="BM104" s="1959">
        <f t="shared" si="265"/>
        <v>0</v>
      </c>
      <c r="BN104" s="1959">
        <f t="shared" si="265"/>
        <v>0</v>
      </c>
      <c r="BO104" s="1959">
        <f t="shared" ref="BO104:BW104" si="266">-SUM(BO101:BO103)+BO105</f>
        <v>0</v>
      </c>
      <c r="BP104" s="1959">
        <f t="shared" si="266"/>
        <v>0</v>
      </c>
      <c r="BQ104" s="1959">
        <f t="shared" si="266"/>
        <v>0</v>
      </c>
      <c r="BR104" s="1959">
        <f t="shared" si="266"/>
        <v>0</v>
      </c>
      <c r="BS104" s="1959">
        <f t="shared" si="266"/>
        <v>0</v>
      </c>
      <c r="BT104" s="1959">
        <f t="shared" si="266"/>
        <v>0</v>
      </c>
      <c r="BU104" s="1959">
        <f t="shared" si="266"/>
        <v>0</v>
      </c>
      <c r="BV104" s="1959">
        <f t="shared" si="266"/>
        <v>0</v>
      </c>
      <c r="BW104" s="1959">
        <f t="shared" si="266"/>
        <v>0</v>
      </c>
      <c r="BX104" s="1959">
        <f t="shared" ref="BX104:CD104" si="267">-SUM(BX101:BX103)+BX105</f>
        <v>0</v>
      </c>
      <c r="BY104" s="1959">
        <f t="shared" si="267"/>
        <v>0</v>
      </c>
      <c r="BZ104" s="1959">
        <f t="shared" si="267"/>
        <v>0</v>
      </c>
      <c r="CA104" s="1959">
        <f t="shared" si="267"/>
        <v>0</v>
      </c>
      <c r="CB104" s="1959">
        <f t="shared" si="267"/>
        <v>0</v>
      </c>
      <c r="CC104" s="1959">
        <f t="shared" si="267"/>
        <v>0</v>
      </c>
      <c r="CD104" s="1959">
        <f t="shared" si="267"/>
        <v>0</v>
      </c>
      <c r="CE104" s="1959">
        <f t="shared" ref="CE104:CL104" si="268">-SUM(CE101:CE103)+CE105</f>
        <v>0</v>
      </c>
      <c r="CF104" s="1959">
        <f t="shared" si="268"/>
        <v>0</v>
      </c>
      <c r="CG104" s="1959">
        <f t="shared" si="268"/>
        <v>0</v>
      </c>
      <c r="CH104" s="1959">
        <f t="shared" si="268"/>
        <v>0</v>
      </c>
      <c r="CI104" s="1959">
        <f t="shared" si="268"/>
        <v>0</v>
      </c>
      <c r="CJ104" s="1959">
        <f t="shared" si="268"/>
        <v>0</v>
      </c>
      <c r="CK104" s="1959">
        <f t="shared" si="268"/>
        <v>0</v>
      </c>
      <c r="CL104" s="1959">
        <f t="shared" si="268"/>
        <v>0</v>
      </c>
      <c r="CM104" s="1959">
        <f t="shared" ref="CM104:CT104" si="269">-SUM(CM101:CM103)+CM105</f>
        <v>0</v>
      </c>
      <c r="CN104" s="1959">
        <f t="shared" si="269"/>
        <v>0</v>
      </c>
      <c r="CO104" s="1959">
        <f t="shared" si="269"/>
        <v>0</v>
      </c>
      <c r="CP104" s="1959">
        <f t="shared" si="269"/>
        <v>0</v>
      </c>
      <c r="CQ104" s="1959">
        <f t="shared" si="269"/>
        <v>0</v>
      </c>
      <c r="CR104" s="1959">
        <f t="shared" si="269"/>
        <v>0</v>
      </c>
      <c r="CS104" s="1959">
        <f t="shared" si="269"/>
        <v>0</v>
      </c>
      <c r="CT104" s="1959">
        <f t="shared" si="269"/>
        <v>0</v>
      </c>
      <c r="CU104" s="1959">
        <f t="shared" ref="CU104:DB104" si="270">-SUM(CU101:CU103)+CU105</f>
        <v>0</v>
      </c>
      <c r="CV104" s="1959">
        <f t="shared" si="270"/>
        <v>0</v>
      </c>
      <c r="CW104" s="1959">
        <f t="shared" si="270"/>
        <v>0</v>
      </c>
      <c r="CX104" s="1959">
        <f t="shared" si="270"/>
        <v>0</v>
      </c>
      <c r="CY104" s="1959">
        <f t="shared" si="270"/>
        <v>0</v>
      </c>
      <c r="CZ104" s="1959">
        <f t="shared" si="270"/>
        <v>0</v>
      </c>
      <c r="DA104" s="1959">
        <f t="shared" si="270"/>
        <v>0</v>
      </c>
      <c r="DB104" s="1959">
        <f t="shared" si="270"/>
        <v>0</v>
      </c>
      <c r="DC104"/>
      <c r="DD104"/>
      <c r="DE104"/>
      <c r="DF104"/>
      <c r="DG104"/>
      <c r="DH104"/>
      <c r="DI104"/>
      <c r="DJ104"/>
      <c r="DK104"/>
      <c r="DL104"/>
      <c r="DM104"/>
      <c r="DN104"/>
      <c r="DO104"/>
    </row>
    <row r="105" spans="1:119" s="699" customFormat="1" ht="12.75" customHeight="1">
      <c r="A105" s="665" t="str">
        <f>"Q" &amp; ROW(InputQ!A11)</f>
        <v>Q11</v>
      </c>
      <c r="B105" s="1953" t="s">
        <v>1940</v>
      </c>
      <c r="C105" s="1562" t="s">
        <v>1769</v>
      </c>
      <c r="D105" s="746"/>
      <c r="E105" s="3638" t="str">
        <f>+C97</f>
        <v>Domestic demand (excl. Inventories)</v>
      </c>
      <c r="F105" s="3633"/>
      <c r="G105" s="799">
        <f>+InputQ!G11/1000</f>
        <v>2.8376679796107505</v>
      </c>
      <c r="H105" s="799">
        <f>+InputQ!H11/1000</f>
        <v>2.8977930954587583</v>
      </c>
      <c r="I105" s="799">
        <f>+InputQ!I11/1000</f>
        <v>2.9401065801668209</v>
      </c>
      <c r="J105" s="799">
        <f>+InputQ!J11/1000</f>
        <v>3.0087175625579246</v>
      </c>
      <c r="K105" s="799">
        <f>+InputQ!K11/1000</f>
        <v>3.0370713623725676</v>
      </c>
      <c r="L105" s="799">
        <f>+InputQ!L11/1000</f>
        <v>3.0752143188137171</v>
      </c>
      <c r="M105" s="799">
        <f>+InputQ!M11/1000</f>
        <v>3.1052479147358669</v>
      </c>
      <c r="N105" s="799">
        <f>+InputQ!N11/1000</f>
        <v>3.2014886468952737</v>
      </c>
      <c r="O105" s="799">
        <f>+InputQ!O11/1000</f>
        <v>3.2764133456904543</v>
      </c>
      <c r="P105" s="799">
        <f>+InputQ!P11/1000</f>
        <v>3.3100961538461542</v>
      </c>
      <c r="Q105" s="799">
        <f>+InputQ!Q11/1000</f>
        <v>3.4043095458758117</v>
      </c>
      <c r="R105" s="799">
        <f>+InputQ!R11/1000</f>
        <v>3.4645505097312328</v>
      </c>
      <c r="S105" s="799">
        <f>+InputQ!S11/1000</f>
        <v>3.576720342910102</v>
      </c>
      <c r="T105" s="799">
        <f>+InputQ!T11/1000</f>
        <v>3.6032205746061168</v>
      </c>
      <c r="U105" s="799">
        <f>+InputQ!U11/1000</f>
        <v>3.6827791936978689</v>
      </c>
      <c r="V105" s="799">
        <f>+InputQ!V11/1000</f>
        <v>3.6595516682113072</v>
      </c>
      <c r="W105" s="799">
        <f>+InputQ!W11/1000</f>
        <v>3.60154077849861</v>
      </c>
      <c r="X105" s="799">
        <f>+InputQ!X11/1000</f>
        <v>3.7080919833178867</v>
      </c>
      <c r="Y105" s="799">
        <f>+InputQ!Y11/1000</f>
        <v>3.6492991195551436</v>
      </c>
      <c r="Z105" s="799">
        <f>+InputQ!Z11/1000</f>
        <v>3.6101135310472663</v>
      </c>
      <c r="AA105" s="799">
        <f>+InputQ!AA11/1000</f>
        <v>3.6537013438368864</v>
      </c>
      <c r="AB105" s="799">
        <f>+InputQ!AB11/1000</f>
        <v>3.7065280352177941</v>
      </c>
      <c r="AC105" s="799">
        <f>+InputQ!AC11/1000</f>
        <v>3.7513032900834111</v>
      </c>
      <c r="AD105" s="799">
        <f>+InputQ!AD11/1000</f>
        <v>3.8021316033364227</v>
      </c>
      <c r="AE105" s="799">
        <f>+InputQ!AE11/1000</f>
        <v>3.885339434661724</v>
      </c>
      <c r="AF105" s="799">
        <f>+InputQ!AF11/1000</f>
        <v>3.834974513438369</v>
      </c>
      <c r="AG105" s="799">
        <f>+InputQ!AG11/1000</f>
        <v>3.8948679332715477</v>
      </c>
      <c r="AH105" s="799">
        <f>+InputQ!AH11/1000</f>
        <v>4.0938079240037073</v>
      </c>
      <c r="AI105" s="799">
        <f>+InputQ!AI11/1000</f>
        <v>4.1030468025949958</v>
      </c>
      <c r="AJ105" s="799">
        <f>+InputQ!AJ11/1000</f>
        <v>4.1157900834105661</v>
      </c>
      <c r="AK105" s="799">
        <f>+InputQ!AK11/1000</f>
        <v>4.1770157553290082</v>
      </c>
      <c r="AL105" s="799">
        <f>+InputQ!AL11/1000</f>
        <v>4.2818002780352185</v>
      </c>
      <c r="AM105" s="799">
        <f>+InputQ!AM11/1000</f>
        <v>4.4176899907321596</v>
      </c>
      <c r="AN105" s="799">
        <f>+InputQ!AN11/1000</f>
        <v>4.5391855885078778</v>
      </c>
      <c r="AO105" s="799">
        <f>+InputQ!AO11/1000</f>
        <v>4.5989921223354955</v>
      </c>
      <c r="AP105" s="799">
        <f>+InputQ!AP11/1000</f>
        <v>4.7559951343836895</v>
      </c>
      <c r="AQ105" s="799">
        <f>+InputQ!AQ11/1000</f>
        <v>4.8623436051899906</v>
      </c>
      <c r="AR105" s="799">
        <f>+InputQ!AR11/1000</f>
        <v>5.0337117701575531</v>
      </c>
      <c r="AS105" s="799">
        <f>+InputQ!AS11/1000</f>
        <v>5.1571767840593141</v>
      </c>
      <c r="AT105" s="799">
        <f>+InputQ!AT11/1000</f>
        <v>5.2067886932344765</v>
      </c>
      <c r="AU105" s="799">
        <f>+InputQ!AU11/1000</f>
        <v>6.8346</v>
      </c>
      <c r="AV105" s="799">
        <f>+InputQ!AV11/1000</f>
        <v>7.0726000000000004</v>
      </c>
      <c r="AW105" s="799">
        <f>+InputQ!AW11/1000</f>
        <v>7.2634999999999996</v>
      </c>
      <c r="AX105" s="799">
        <f>+InputQ!AX11/1000</f>
        <v>7.4885999999999999</v>
      </c>
      <c r="AY105" s="799">
        <f>+InputQ!AY11/1000</f>
        <v>7.3826000000000001</v>
      </c>
      <c r="AZ105" s="799">
        <f>+InputQ!AZ11/1000</f>
        <v>7.6942999999999993</v>
      </c>
      <c r="BA105" s="799">
        <f>+InputQ!BA11/1000</f>
        <v>8.0888000000000009</v>
      </c>
      <c r="BB105" s="799">
        <f>+InputQ!BB11/1000</f>
        <v>8.2792000000000012</v>
      </c>
      <c r="BC105" s="799">
        <f>+InputQ!BC11/1000</f>
        <v>8.5358000000000001</v>
      </c>
      <c r="BD105" s="799">
        <f>+InputQ!BD11/1000</f>
        <v>8.8339999999999996</v>
      </c>
      <c r="BE105" s="799">
        <f>+InputQ!BE11/1000</f>
        <v>8.8329000000000004</v>
      </c>
      <c r="BF105" s="799">
        <f>+InputQ!BF11/1000</f>
        <v>9.1872000000000007</v>
      </c>
      <c r="BG105" s="799">
        <f>+InputQ!BG11/1000</f>
        <v>9.1905000000000001</v>
      </c>
      <c r="BH105" s="799">
        <f>+InputQ!BH11/1000</f>
        <v>9.1534999999999993</v>
      </c>
      <c r="BI105" s="799">
        <f>+InputQ!BI11/1000</f>
        <v>8.9293999999999993</v>
      </c>
      <c r="BJ105" s="799">
        <f>+InputQ!BJ11/1000</f>
        <v>8.6336999999999993</v>
      </c>
      <c r="BK105" s="799">
        <f>+InputQ!BK11/1000</f>
        <v>7.6126000000000005</v>
      </c>
      <c r="BL105" s="799">
        <f>+InputQ!BL11/1000</f>
        <v>7.3472999999999988</v>
      </c>
      <c r="BM105" s="799">
        <f>+InputQ!BM11/1000</f>
        <v>7.1037000000000008</v>
      </c>
      <c r="BN105" s="799">
        <f>+InputQ!BN11/1000</f>
        <v>6.9082000000000008</v>
      </c>
      <c r="BO105" s="799">
        <f>+InputQ!BO11/1000</f>
        <v>6.8943000000000003</v>
      </c>
      <c r="BP105" s="799">
        <f>+InputQ!BP11/1000</f>
        <v>6.922200000000001</v>
      </c>
      <c r="BQ105" s="799">
        <f>+InputQ!BQ11/1000</f>
        <v>7.1741000000000001</v>
      </c>
      <c r="BR105" s="799">
        <f>+InputQ!BR11/1000</f>
        <v>7.2307999999999995</v>
      </c>
      <c r="BS105" s="799">
        <f>+InputQ!BS11/1000</f>
        <v>7.371599999999999</v>
      </c>
      <c r="BT105" s="799">
        <f>+InputQ!BT11/1000</f>
        <v>7.4595000000000002</v>
      </c>
      <c r="BU105" s="799">
        <f>+InputQ!BU11/1000</f>
        <v>7.5593999999999992</v>
      </c>
      <c r="BV105" s="799">
        <f>+InputQ!BV11/1000</f>
        <v>7.6326999999999998</v>
      </c>
      <c r="BW105" s="799">
        <f>+InputQ!BW11/1000</f>
        <v>7.6087000000000007</v>
      </c>
      <c r="BX105" s="799">
        <f>+InputQ!BX11/1000</f>
        <v>7.5701000000000001</v>
      </c>
      <c r="BY105" s="799">
        <f>+InputQ!BY11/1000</f>
        <v>7.6198999999999995</v>
      </c>
      <c r="BZ105" s="799">
        <f>+InputQ!BZ11/1000</f>
        <v>7.6803000000000008</v>
      </c>
      <c r="CA105" s="799">
        <f>+InputQ!CA11/1000</f>
        <v>7.8289999999999997</v>
      </c>
      <c r="CB105" s="799">
        <f>+InputQ!CB11/1000</f>
        <v>7.9043000000000001</v>
      </c>
      <c r="CC105" s="799">
        <f>+InputQ!CC11/1000</f>
        <v>8.063699999999999</v>
      </c>
      <c r="CD105" s="799">
        <f>+InputQ!CD11/1000</f>
        <v>8.1155000000000008</v>
      </c>
      <c r="CE105" s="799">
        <f>+InputQ!CE11/1000</f>
        <v>8.2081</v>
      </c>
      <c r="CF105" s="799">
        <f>+InputQ!CF11/1000</f>
        <v>8.2294</v>
      </c>
      <c r="CG105" s="799">
        <f>+InputQ!CG11/1000</f>
        <v>8.2550000000000008</v>
      </c>
      <c r="CH105" s="799">
        <f>+InputQ!CH11/1000</f>
        <v>8.3539000000000012</v>
      </c>
      <c r="CI105" s="799">
        <f>+InputQ!CI11/1000</f>
        <v>8.4962</v>
      </c>
      <c r="CJ105" s="799">
        <f>+InputQ!CJ11/1000</f>
        <v>8.548</v>
      </c>
      <c r="CK105" s="799">
        <f>+InputQ!CK11/1000</f>
        <v>8.6150000000000002</v>
      </c>
      <c r="CL105" s="799">
        <f>+InputQ!CL11/1000</f>
        <v>8.5563000000000002</v>
      </c>
      <c r="CM105" s="799">
        <f>+InputQ!CM11/1000</f>
        <v>8.6424000000000003</v>
      </c>
      <c r="CN105" s="799">
        <f>+InputQ!CN11/1000</f>
        <v>8.8148</v>
      </c>
      <c r="CO105" s="799">
        <f>+InputQ!CO11/1000</f>
        <v>8.8445999999999998</v>
      </c>
      <c r="CP105" s="799">
        <f>+InputQ!CP11/1000</f>
        <v>8.9997999999999987</v>
      </c>
      <c r="CQ105" s="799">
        <f>+InputQ!CQ11/1000</f>
        <v>9.0311000000000003</v>
      </c>
      <c r="CR105" s="799">
        <f>+InputQ!CR11/1000</f>
        <v>9.1487000000000016</v>
      </c>
      <c r="CS105" s="799">
        <f>+InputQ!CS11/1000</f>
        <v>9.1707999999999998</v>
      </c>
      <c r="CT105" s="799">
        <f>+InputQ!CT11/1000</f>
        <v>9.4112999999999989</v>
      </c>
      <c r="CU105" s="3065">
        <f t="shared" ref="CU105:CX105" si="271">+CT105*(1+CU110/100)</f>
        <v>9.4353104999999999</v>
      </c>
      <c r="CV105" s="3065">
        <f t="shared" si="271"/>
        <v>9.5048161299999983</v>
      </c>
      <c r="CW105" s="3065">
        <f t="shared" si="271"/>
        <v>9.5786260078179968</v>
      </c>
      <c r="CX105" s="3065">
        <f t="shared" si="271"/>
        <v>9.6558934337824898</v>
      </c>
      <c r="CY105" s="3065">
        <f t="shared" ref="CY105" si="272">+CX105*(1+CY110/100)</f>
        <v>9.7326207716433082</v>
      </c>
      <c r="CZ105" s="3065">
        <f t="shared" ref="CZ105" si="273">+CY105*(1+CZ110/100)</f>
        <v>9.8086712988327687</v>
      </c>
      <c r="DA105" s="3065">
        <f t="shared" ref="DA105" si="274">+CZ105*(1+DA110/100)</f>
        <v>9.8846195254134663</v>
      </c>
      <c r="DB105" s="3065">
        <f t="shared" ref="DB105" si="275">+DA105*(1+DB110/100)</f>
        <v>9.9609173729038307</v>
      </c>
      <c r="DC105"/>
      <c r="DD105"/>
      <c r="DE105"/>
      <c r="DF105"/>
      <c r="DG105"/>
      <c r="DH105"/>
      <c r="DI105"/>
      <c r="DJ105"/>
      <c r="DK105"/>
      <c r="DL105"/>
      <c r="DM105"/>
      <c r="DN105"/>
      <c r="DO105"/>
    </row>
    <row r="106" spans="1:119" s="26" customFormat="1">
      <c r="A106" s="673"/>
      <c r="B106" s="673"/>
      <c r="C106" s="1613"/>
      <c r="D106" s="683"/>
      <c r="E106" s="684" t="s">
        <v>266</v>
      </c>
      <c r="F106" s="685"/>
      <c r="G106" s="1571"/>
      <c r="H106" s="1571"/>
      <c r="I106" s="1571"/>
      <c r="J106" s="1575">
        <f>SUM(G101:J103)</f>
        <v>11.684285217794255</v>
      </c>
      <c r="K106" s="1571"/>
      <c r="L106" s="1571"/>
      <c r="M106" s="1571"/>
      <c r="N106" s="1575">
        <f>SUM(K101:N103)</f>
        <v>12.419022242817423</v>
      </c>
      <c r="O106" s="1571"/>
      <c r="P106" s="1571"/>
      <c r="Q106" s="1571"/>
      <c r="R106" s="1575">
        <f>SUM(O101:R103)</f>
        <v>13.455369555143651</v>
      </c>
      <c r="S106" s="1571"/>
      <c r="T106" s="1571"/>
      <c r="U106" s="1571"/>
      <c r="V106" s="1575">
        <f>SUM(S101:V103)</f>
        <v>14.522271779425393</v>
      </c>
      <c r="W106" s="1571"/>
      <c r="X106" s="1571"/>
      <c r="Y106" s="1571"/>
      <c r="Z106" s="1575">
        <f>SUM(W101:Z103)</f>
        <v>14.569045412418909</v>
      </c>
      <c r="AA106" s="1571"/>
      <c r="AB106" s="1571"/>
      <c r="AC106" s="1571"/>
      <c r="AD106" s="1575">
        <f>SUM(AA101:AD103)</f>
        <v>14.913664272474515</v>
      </c>
      <c r="AE106" s="1571"/>
      <c r="AF106" s="1571"/>
      <c r="AG106" s="1571"/>
      <c r="AH106" s="1575">
        <f>SUM(AE101:AH103)</f>
        <v>15.708989805375348</v>
      </c>
      <c r="AI106" s="1571"/>
      <c r="AJ106" s="1571"/>
      <c r="AK106" s="1571"/>
      <c r="AL106" s="1575">
        <f>SUM(AI101:AL103)</f>
        <v>16.677652919369788</v>
      </c>
      <c r="AM106" s="1571"/>
      <c r="AN106" s="1571"/>
      <c r="AO106" s="1571"/>
      <c r="AP106" s="1575">
        <f>SUM(AM101:AP103)</f>
        <v>18.311862835959225</v>
      </c>
      <c r="AQ106" s="1571"/>
      <c r="AR106" s="1571"/>
      <c r="AS106" s="1571"/>
      <c r="AT106" s="1575">
        <f>SUM(AQ101:AT103)</f>
        <v>20.260020852641333</v>
      </c>
      <c r="AU106" s="1571"/>
      <c r="AV106" s="1571"/>
      <c r="AW106" s="1571"/>
      <c r="AX106" s="1575">
        <f>SUM(AU101:AX103)</f>
        <v>28.659300000000002</v>
      </c>
      <c r="AY106" s="1571"/>
      <c r="AZ106" s="1571"/>
      <c r="BA106" s="1571"/>
      <c r="BB106" s="1575">
        <f>SUM(AY101:BB103)</f>
        <v>31.444900000000004</v>
      </c>
      <c r="BC106" s="1571"/>
      <c r="BD106" s="1571"/>
      <c r="BE106" s="1571"/>
      <c r="BF106" s="1575">
        <f>SUM(BC101:BF103)</f>
        <v>35.389899999999997</v>
      </c>
      <c r="BG106" s="1571"/>
      <c r="BH106" s="1571"/>
      <c r="BI106" s="1571"/>
      <c r="BJ106" s="1575">
        <f>SUM(BG101:BJ103)</f>
        <v>35.9071</v>
      </c>
      <c r="BK106" s="1571"/>
      <c r="BL106" s="1571"/>
      <c r="BM106" s="1571"/>
      <c r="BN106" s="1575">
        <f>SUM(BK101:BN103)</f>
        <v>28.971800000000002</v>
      </c>
      <c r="BO106" s="1571"/>
      <c r="BP106" s="1571"/>
      <c r="BQ106" s="1571"/>
      <c r="BR106" s="1575">
        <f>SUM(BO101:BR103)</f>
        <v>28.221399999999996</v>
      </c>
      <c r="BS106" s="1571"/>
      <c r="BT106" s="1571"/>
      <c r="BU106" s="1571"/>
      <c r="BV106" s="1575">
        <f>SUM(BS101:BV103)</f>
        <v>30.023199999999999</v>
      </c>
      <c r="BW106" s="1571"/>
      <c r="BX106" s="1571"/>
      <c r="BY106" s="1571"/>
      <c r="BZ106" s="1575">
        <f>SUM(BW101:BZ103)</f>
        <v>30.478999999999999</v>
      </c>
      <c r="CA106" s="1571"/>
      <c r="CB106" s="1571"/>
      <c r="CC106" s="1571"/>
      <c r="CD106" s="1575">
        <f>SUM(CA101:CD103)</f>
        <v>31.912499999999998</v>
      </c>
      <c r="CE106" s="1571"/>
      <c r="CF106" s="1571"/>
      <c r="CG106" s="1571"/>
      <c r="CH106" s="1575">
        <f>SUM(CE101:CH103)</f>
        <v>33.046400000000013</v>
      </c>
      <c r="CI106" s="1571"/>
      <c r="CJ106" s="1571"/>
      <c r="CK106" s="1571"/>
      <c r="CL106" s="1575">
        <f>SUM(CI101:CL103)</f>
        <v>34.215499999999999</v>
      </c>
      <c r="CM106" s="1571"/>
      <c r="CN106" s="1571"/>
      <c r="CO106" s="1571"/>
      <c r="CP106" s="1575">
        <f>SUM(CM101:CP103)</f>
        <v>35.301600000000001</v>
      </c>
      <c r="CQ106" s="1571"/>
      <c r="CR106" s="1571"/>
      <c r="CS106" s="1571"/>
      <c r="CT106" s="1575">
        <f>SUM(CQ101:CT103)</f>
        <v>36.761900000000004</v>
      </c>
      <c r="CU106" s="1571"/>
      <c r="CV106" s="1571"/>
      <c r="CW106" s="1571"/>
      <c r="CX106" s="1575">
        <f>SUM(CU101:CX103)</f>
        <v>38.174646071600506</v>
      </c>
      <c r="CY106" s="1571"/>
      <c r="CZ106" s="1571"/>
      <c r="DA106" s="1571"/>
      <c r="DB106" s="1575">
        <f>SUM(CY101:DB103)</f>
        <v>39.386828968793388</v>
      </c>
      <c r="DC106"/>
      <c r="DD106"/>
      <c r="DE106"/>
      <c r="DF106"/>
      <c r="DG106"/>
      <c r="DH106"/>
      <c r="DI106"/>
      <c r="DJ106"/>
      <c r="DK106"/>
      <c r="DL106"/>
      <c r="DM106"/>
      <c r="DN106"/>
      <c r="DO106"/>
    </row>
    <row r="107" spans="1:119" s="1600" customFormat="1" ht="12.75" customHeight="1">
      <c r="A107" s="998"/>
      <c r="B107" s="998"/>
      <c r="C107" s="1614"/>
      <c r="D107" s="679"/>
      <c r="E107" s="1572" t="s">
        <v>1847</v>
      </c>
      <c r="F107" s="679"/>
      <c r="G107" s="1573"/>
      <c r="H107" s="2839" t="s">
        <v>757</v>
      </c>
      <c r="I107" s="2840">
        <f ca="1">+J107/J106*100</f>
        <v>124.77659983792545</v>
      </c>
      <c r="J107" s="1615">
        <f ca="1">OFFSET('VVP2'!$G$54,0,(COLUMN()-10)/4)</f>
        <v>14.579253810129012</v>
      </c>
      <c r="K107" s="1573"/>
      <c r="L107" s="2839" t="s">
        <v>757</v>
      </c>
      <c r="M107" s="2840">
        <f ca="1">+N107/N106*100</f>
        <v>126.2959827530285</v>
      </c>
      <c r="N107" s="1615">
        <f ca="1">OFFSET('VVP2'!$G$54,0,(COLUMN()-10)/4)</f>
        <v>15.684726189883465</v>
      </c>
      <c r="O107" s="1573"/>
      <c r="P107" s="2839" t="s">
        <v>757</v>
      </c>
      <c r="Q107" s="2840">
        <f ca="1">+R107/R106*100</f>
        <v>126.9185599620026</v>
      </c>
      <c r="R107" s="1615">
        <f ca="1">OFFSET('VVP2'!$G$54,0,(COLUMN()-10)/4)</f>
        <v>17.07736127695404</v>
      </c>
      <c r="S107" s="1573"/>
      <c r="T107" s="2839" t="s">
        <v>757</v>
      </c>
      <c r="U107" s="2840">
        <f ca="1">+V107/V106*100</f>
        <v>127.23308232931416</v>
      </c>
      <c r="V107" s="1615">
        <f ca="1">OFFSET('VVP2'!$G$54,0,(COLUMN()-10)/4)</f>
        <v>18.477134009203066</v>
      </c>
      <c r="W107" s="1573"/>
      <c r="X107" s="2839" t="s">
        <v>757</v>
      </c>
      <c r="Y107" s="2840">
        <f ca="1">+Z107/Z106*100</f>
        <v>127.36013803702761</v>
      </c>
      <c r="Z107" s="1615">
        <f ca="1">OFFSET('VVP2'!$G$54,0,(COLUMN()-10)/4)</f>
        <v>18.555156347933963</v>
      </c>
      <c r="AA107" s="1573"/>
      <c r="AB107" s="2839" t="s">
        <v>757</v>
      </c>
      <c r="AC107" s="2840">
        <f ca="1">+AD107/AD106*100</f>
        <v>127.51540836157156</v>
      </c>
      <c r="AD107" s="1615">
        <f ca="1">OFFSET('VVP2'!$G$54,0,(COLUMN()-10)/4)</f>
        <v>19.017219898719677</v>
      </c>
      <c r="AE107" s="1573"/>
      <c r="AF107" s="2839" t="s">
        <v>757</v>
      </c>
      <c r="AG107" s="2840">
        <f ca="1">+AH107/AH106*100</f>
        <v>127.34426586618579</v>
      </c>
      <c r="AH107" s="1615">
        <f ca="1">OFFSET('VVP2'!$G$54,0,(COLUMN()-10)/4)</f>
        <v>20.004497742649203</v>
      </c>
      <c r="AI107" s="1573"/>
      <c r="AJ107" s="2839" t="s">
        <v>757</v>
      </c>
      <c r="AK107" s="2840">
        <f ca="1">+AL107/AL106*100</f>
        <v>127.48641628664561</v>
      </c>
      <c r="AL107" s="1615">
        <f ca="1">OFFSET('VVP2'!$G$54,0,(COLUMN()-10)/4)</f>
        <v>21.261742027629673</v>
      </c>
      <c r="AM107" s="1573"/>
      <c r="AN107" s="2839" t="s">
        <v>757</v>
      </c>
      <c r="AO107" s="2840">
        <f ca="1">+AP107/AP106*100</f>
        <v>127.74744387730865</v>
      </c>
      <c r="AP107" s="1615">
        <f ca="1">OFFSET('VVP2'!$G$54,0,(COLUMN()-10)/4)</f>
        <v>23.392936699256751</v>
      </c>
      <c r="AQ107" s="1573"/>
      <c r="AR107" s="2839" t="s">
        <v>757</v>
      </c>
      <c r="AS107" s="2840">
        <f ca="1">+AT107/AT106*100</f>
        <v>128.39237096149745</v>
      </c>
      <c r="AT107" s="1615">
        <f ca="1">OFFSET('VVP2'!$G$54,0,(COLUMN()-10)/4)</f>
        <v>26.01232113</v>
      </c>
      <c r="AU107" s="1573"/>
      <c r="AV107" s="2839" t="s">
        <v>757</v>
      </c>
      <c r="AW107" s="2840">
        <f ca="1">+AX107/AX106*100</f>
        <v>99.965618699689102</v>
      </c>
      <c r="AX107" s="1615">
        <f ca="1">OFFSET('VVP2'!$G$54,0,(COLUMN()-10)/4)</f>
        <v>28.649446560000001</v>
      </c>
      <c r="AY107" s="1573"/>
      <c r="AZ107" s="2839" t="s">
        <v>757</v>
      </c>
      <c r="BA107" s="2840">
        <f ca="1">+BB107/BB106*100</f>
        <v>100.39110692035908</v>
      </c>
      <c r="BB107" s="1615">
        <f ca="1">OFFSET('VVP2'!$G$54,0,(COLUMN()-10)/4)</f>
        <v>31.567883179999999</v>
      </c>
      <c r="BC107" s="1573"/>
      <c r="BD107" s="2839" t="s">
        <v>757</v>
      </c>
      <c r="BE107" s="2840">
        <f ca="1">+BF107/BF106*100</f>
        <v>100.72525706486881</v>
      </c>
      <c r="BF107" s="1615">
        <f ca="1">OFFSET('VVP2'!$G$54,0,(COLUMN()-10)/4)</f>
        <v>35.646567750000003</v>
      </c>
      <c r="BG107" s="1573"/>
      <c r="BH107" s="2839" t="s">
        <v>757</v>
      </c>
      <c r="BI107" s="2840">
        <f ca="1">+BJ107/BJ106*100</f>
        <v>100.49634582018598</v>
      </c>
      <c r="BJ107" s="1615">
        <f ca="1">OFFSET('VVP2'!$G$54,0,(COLUMN()-10)/4)</f>
        <v>36.085323389999999</v>
      </c>
      <c r="BK107" s="1573"/>
      <c r="BL107" s="2839" t="s">
        <v>757</v>
      </c>
      <c r="BM107" s="2840">
        <f ca="1">+BN107/BN106*100</f>
        <v>99.96802073050344</v>
      </c>
      <c r="BN107" s="1615">
        <f ca="1">OFFSET('VVP2'!$G$54,0,(COLUMN()-10)/4)</f>
        <v>28.962535029999998</v>
      </c>
      <c r="BO107" s="1573"/>
      <c r="BP107" s="2839" t="s">
        <v>757</v>
      </c>
      <c r="BQ107" s="2840">
        <f ca="1">+BR107/BR106*100</f>
        <v>100.04896993062005</v>
      </c>
      <c r="BR107" s="1615">
        <f ca="1">OFFSET('VVP2'!$G$54,0,(COLUMN()-10)/4)</f>
        <v>28.235220000000002</v>
      </c>
      <c r="BS107" s="1573"/>
      <c r="BT107" s="2839" t="s">
        <v>757</v>
      </c>
      <c r="BU107" s="2840">
        <f ca="1">+BV107/BV106*100</f>
        <v>99.899011431159906</v>
      </c>
      <c r="BV107" s="1615">
        <f ca="1">OFFSET('VVP2'!$G$54,0,(COLUMN()-10)/4)</f>
        <v>29.99288</v>
      </c>
      <c r="BW107" s="1573"/>
      <c r="BX107" s="2839" t="s">
        <v>757</v>
      </c>
      <c r="BY107" s="2840">
        <f ca="1">+BZ107/BZ106*100</f>
        <v>100.22895085140588</v>
      </c>
      <c r="BZ107" s="1615">
        <f ca="1">OFFSET('VVP2'!$G$54,0,(COLUMN()-10)/4)</f>
        <v>30.548781930000001</v>
      </c>
      <c r="CA107" s="1573"/>
      <c r="CB107" s="2839" t="s">
        <v>757</v>
      </c>
      <c r="CC107" s="2840">
        <f ca="1">+CD107/CD106*100</f>
        <v>99.918925248726993</v>
      </c>
      <c r="CD107" s="1615">
        <f ca="1">OFFSET('VVP2'!$G$54,0,(COLUMN()-10)/4)</f>
        <v>31.886627019999999</v>
      </c>
      <c r="CE107" s="1573"/>
      <c r="CF107" s="2839" t="s">
        <v>757</v>
      </c>
      <c r="CG107" s="2840">
        <f ca="1">+CH107/CH106*100</f>
        <v>100.03685947637257</v>
      </c>
      <c r="CH107" s="1615">
        <f ca="1">OFFSET('VVP2'!$G$54,0,(COLUMN()-10)/4)</f>
        <v>33.058580730000003</v>
      </c>
      <c r="CI107" s="1573"/>
      <c r="CJ107" s="2839" t="s">
        <v>757</v>
      </c>
      <c r="CK107" s="2840">
        <f ca="1">+CL107/CL106*100</f>
        <v>99.993727024301847</v>
      </c>
      <c r="CL107" s="1615">
        <f ca="1">OFFSET('VVP2'!$G$54,0,(COLUMN()-10)/4)</f>
        <v>34.213353669999996</v>
      </c>
      <c r="CM107" s="1573"/>
      <c r="CN107" s="2839" t="s">
        <v>757</v>
      </c>
      <c r="CO107" s="2840">
        <f ca="1">+CP107/CP106*100</f>
        <v>100.0598221610352</v>
      </c>
      <c r="CP107" s="1615">
        <f ca="1">OFFSET('VVP2'!$G$54,0,(COLUMN()-10)/4)</f>
        <v>35.322718180000003</v>
      </c>
      <c r="CQ107" s="1573"/>
      <c r="CR107" s="2839" t="s">
        <v>757</v>
      </c>
      <c r="CS107" s="2840">
        <f ca="1">+CT107/CT106*100</f>
        <v>99.992861549593457</v>
      </c>
      <c r="CT107" s="1615">
        <f ca="1">OFFSET('VVP2'!$G$54,0,(COLUMN()-10)/4)</f>
        <v>36.759275770000002</v>
      </c>
      <c r="CU107" s="1573"/>
      <c r="CV107" s="2839" t="s">
        <v>757</v>
      </c>
      <c r="CW107" s="2840">
        <f ca="1">+CX107/CX106*100</f>
        <v>99.959874654840505</v>
      </c>
      <c r="CX107" s="1615">
        <f ca="1">OFFSET('VVP2'!$G$54,0,(COLUMN()-10)/4)</f>
        <v>38.159328363100862</v>
      </c>
      <c r="CY107" s="1573"/>
      <c r="CZ107" s="2839" t="s">
        <v>757</v>
      </c>
      <c r="DA107" s="2840">
        <f ca="1">+DB107/DB106*100</f>
        <v>99.962637261161007</v>
      </c>
      <c r="DB107" s="1615">
        <f ca="1">OFFSET('VVP2'!$G$54,0,(COLUMN()-10)/4)</f>
        <v>39.372112970748816</v>
      </c>
      <c r="DC107"/>
      <c r="DD107"/>
      <c r="DE107"/>
      <c r="DF107"/>
      <c r="DG107"/>
      <c r="DH107"/>
      <c r="DI107"/>
      <c r="DJ107"/>
      <c r="DK107"/>
      <c r="DL107"/>
      <c r="DM107"/>
      <c r="DN107"/>
      <c r="DO107"/>
    </row>
    <row r="108" spans="1:119">
      <c r="E108" s="599"/>
      <c r="F108" s="3617"/>
      <c r="AY108" s="217"/>
      <c r="BA108" s="217"/>
      <c r="BB108" s="217"/>
      <c r="BC108" s="217"/>
      <c r="BD108" s="217"/>
      <c r="BE108" s="217"/>
      <c r="BF108" s="217"/>
      <c r="BG108" s="217"/>
      <c r="BH108" s="217"/>
      <c r="BI108" s="217"/>
      <c r="BJ108" s="217"/>
      <c r="CM108" s="557"/>
      <c r="CN108" s="557"/>
      <c r="CO108" s="557"/>
      <c r="CP108" s="557"/>
      <c r="CQ108" s="557"/>
      <c r="CR108" s="557"/>
      <c r="CS108" s="557"/>
      <c r="CT108" s="557"/>
      <c r="CU108" s="557"/>
      <c r="CV108" s="557"/>
      <c r="CW108" s="557"/>
      <c r="CX108" s="557"/>
      <c r="CY108" s="557"/>
      <c r="CZ108" s="557"/>
      <c r="DA108" s="557"/>
      <c r="DB108" s="557"/>
    </row>
    <row r="109" spans="1:119" s="699" customFormat="1" ht="12.75" customHeight="1">
      <c r="A109" s="664"/>
      <c r="B109" s="664"/>
      <c r="C109" s="1553"/>
      <c r="D109" s="742"/>
      <c r="E109" s="3384" t="s">
        <v>762</v>
      </c>
      <c r="F109" s="3622"/>
      <c r="G109" s="1578" t="s">
        <v>1842</v>
      </c>
      <c r="H109" s="1579" t="s">
        <v>1843</v>
      </c>
      <c r="I109" s="1579" t="s">
        <v>1844</v>
      </c>
      <c r="J109" s="1580" t="s">
        <v>1845</v>
      </c>
      <c r="K109" s="1578" t="s">
        <v>1842</v>
      </c>
      <c r="L109" s="1579" t="s">
        <v>1843</v>
      </c>
      <c r="M109" s="1579" t="s">
        <v>1844</v>
      </c>
      <c r="N109" s="1580" t="s">
        <v>1845</v>
      </c>
      <c r="O109" s="1578" t="s">
        <v>1842</v>
      </c>
      <c r="P109" s="1579" t="s">
        <v>1843</v>
      </c>
      <c r="Q109" s="1579" t="s">
        <v>1844</v>
      </c>
      <c r="R109" s="1580" t="s">
        <v>1845</v>
      </c>
      <c r="S109" s="1578" t="s">
        <v>1842</v>
      </c>
      <c r="T109" s="1579" t="s">
        <v>1843</v>
      </c>
      <c r="U109" s="1579" t="s">
        <v>1844</v>
      </c>
      <c r="V109" s="1580" t="s">
        <v>1845</v>
      </c>
      <c r="W109" s="1578" t="s">
        <v>1842</v>
      </c>
      <c r="X109" s="1579" t="s">
        <v>1843</v>
      </c>
      <c r="Y109" s="1579" t="s">
        <v>1844</v>
      </c>
      <c r="Z109" s="1580" t="s">
        <v>1845</v>
      </c>
      <c r="AA109" s="1578" t="s">
        <v>1842</v>
      </c>
      <c r="AB109" s="1579" t="s">
        <v>1843</v>
      </c>
      <c r="AC109" s="1579" t="s">
        <v>1844</v>
      </c>
      <c r="AD109" s="1580" t="s">
        <v>1845</v>
      </c>
      <c r="AE109" s="1578" t="s">
        <v>1842</v>
      </c>
      <c r="AF109" s="1579" t="s">
        <v>1843</v>
      </c>
      <c r="AG109" s="1579" t="s">
        <v>1844</v>
      </c>
      <c r="AH109" s="1580" t="s">
        <v>1845</v>
      </c>
      <c r="AI109" s="1578" t="s">
        <v>1842</v>
      </c>
      <c r="AJ109" s="1579" t="s">
        <v>1843</v>
      </c>
      <c r="AK109" s="1579" t="s">
        <v>1844</v>
      </c>
      <c r="AL109" s="1580" t="s">
        <v>1845</v>
      </c>
      <c r="AM109" s="1578" t="s">
        <v>1842</v>
      </c>
      <c r="AN109" s="1579" t="s">
        <v>1843</v>
      </c>
      <c r="AO109" s="1579" t="s">
        <v>1844</v>
      </c>
      <c r="AP109" s="1580" t="s">
        <v>1845</v>
      </c>
      <c r="AQ109" s="1578" t="s">
        <v>1842</v>
      </c>
      <c r="AR109" s="1579" t="s">
        <v>1843</v>
      </c>
      <c r="AS109" s="1579" t="s">
        <v>1844</v>
      </c>
      <c r="AT109" s="1580" t="s">
        <v>1845</v>
      </c>
      <c r="AU109" s="1578" t="s">
        <v>1842</v>
      </c>
      <c r="AV109" s="1579" t="s">
        <v>1843</v>
      </c>
      <c r="AW109" s="1579" t="s">
        <v>1844</v>
      </c>
      <c r="AX109" s="1580" t="s">
        <v>1845</v>
      </c>
      <c r="AY109" s="1578" t="s">
        <v>1842</v>
      </c>
      <c r="AZ109" s="1579" t="s">
        <v>1843</v>
      </c>
      <c r="BA109" s="1579" t="s">
        <v>1844</v>
      </c>
      <c r="BB109" s="1580" t="s">
        <v>1845</v>
      </c>
      <c r="BC109" s="1578" t="s">
        <v>1842</v>
      </c>
      <c r="BD109" s="1579" t="s">
        <v>1843</v>
      </c>
      <c r="BE109" s="1579" t="s">
        <v>1844</v>
      </c>
      <c r="BF109" s="1580" t="s">
        <v>1845</v>
      </c>
      <c r="BG109" s="1578" t="s">
        <v>1842</v>
      </c>
      <c r="BH109" s="1579" t="s">
        <v>1843</v>
      </c>
      <c r="BI109" s="1579" t="s">
        <v>1844</v>
      </c>
      <c r="BJ109" s="1580" t="s">
        <v>1845</v>
      </c>
      <c r="BK109" s="1578" t="s">
        <v>1842</v>
      </c>
      <c r="BL109" s="1579" t="s">
        <v>1843</v>
      </c>
      <c r="BM109" s="1579" t="s">
        <v>1844</v>
      </c>
      <c r="BN109" s="1580" t="s">
        <v>1845</v>
      </c>
      <c r="BO109" s="1578" t="s">
        <v>1842</v>
      </c>
      <c r="BP109" s="1579" t="s">
        <v>1843</v>
      </c>
      <c r="BQ109" s="1579" t="s">
        <v>1844</v>
      </c>
      <c r="BR109" s="1580" t="s">
        <v>1845</v>
      </c>
      <c r="BS109" s="1578" t="s">
        <v>1842</v>
      </c>
      <c r="BT109" s="1579" t="s">
        <v>1843</v>
      </c>
      <c r="BU109" s="1579" t="s">
        <v>1844</v>
      </c>
      <c r="BV109" s="1580" t="s">
        <v>1845</v>
      </c>
      <c r="BW109" s="1578" t="s">
        <v>1842</v>
      </c>
      <c r="BX109" s="1579" t="s">
        <v>1843</v>
      </c>
      <c r="BY109" s="1579" t="s">
        <v>1844</v>
      </c>
      <c r="BZ109" s="1580" t="s">
        <v>1845</v>
      </c>
      <c r="CA109" s="1578" t="s">
        <v>1842</v>
      </c>
      <c r="CB109" s="1579" t="s">
        <v>1843</v>
      </c>
      <c r="CC109" s="1579" t="s">
        <v>1844</v>
      </c>
      <c r="CD109" s="1580" t="s">
        <v>1845</v>
      </c>
      <c r="CE109" s="1578" t="s">
        <v>1842</v>
      </c>
      <c r="CF109" s="1579" t="s">
        <v>1843</v>
      </c>
      <c r="CG109" s="1579" t="s">
        <v>1844</v>
      </c>
      <c r="CH109" s="1580" t="s">
        <v>1845</v>
      </c>
      <c r="CI109" s="1578" t="s">
        <v>1842</v>
      </c>
      <c r="CJ109" s="1579" t="s">
        <v>1843</v>
      </c>
      <c r="CK109" s="1579" t="s">
        <v>1844</v>
      </c>
      <c r="CL109" s="1580" t="s">
        <v>1845</v>
      </c>
      <c r="CM109" s="1578" t="s">
        <v>1842</v>
      </c>
      <c r="CN109" s="1579" t="s">
        <v>1843</v>
      </c>
      <c r="CO109" s="1579" t="s">
        <v>1844</v>
      </c>
      <c r="CP109" s="1580" t="s">
        <v>1845</v>
      </c>
      <c r="CQ109" s="1578" t="s">
        <v>1842</v>
      </c>
      <c r="CR109" s="1579" t="s">
        <v>1843</v>
      </c>
      <c r="CS109" s="1579" t="s">
        <v>1844</v>
      </c>
      <c r="CT109" s="1580" t="s">
        <v>1845</v>
      </c>
      <c r="CU109" s="1578" t="s">
        <v>1842</v>
      </c>
      <c r="CV109" s="1579" t="s">
        <v>1843</v>
      </c>
      <c r="CW109" s="1579" t="s">
        <v>1844</v>
      </c>
      <c r="CX109" s="1580" t="s">
        <v>1845</v>
      </c>
      <c r="CY109" s="1578" t="s">
        <v>1842</v>
      </c>
      <c r="CZ109" s="1579" t="s">
        <v>1843</v>
      </c>
      <c r="DA109" s="1579" t="s">
        <v>1844</v>
      </c>
      <c r="DB109" s="1580" t="s">
        <v>1845</v>
      </c>
      <c r="DC109"/>
      <c r="DD109"/>
      <c r="DE109"/>
      <c r="DF109"/>
      <c r="DG109"/>
      <c r="DH109"/>
      <c r="DI109"/>
      <c r="DJ109"/>
      <c r="DK109"/>
      <c r="DL109"/>
      <c r="DM109"/>
      <c r="DN109"/>
      <c r="DO109"/>
    </row>
    <row r="110" spans="1:119" s="699" customFormat="1" ht="12.75" customHeight="1">
      <c r="B110" s="664"/>
      <c r="C110" s="692"/>
      <c r="D110" s="689"/>
      <c r="E110" s="3623" t="str">
        <f>E105</f>
        <v>Domestic demand (excl. Inventories)</v>
      </c>
      <c r="F110" s="3624" t="s">
        <v>1123</v>
      </c>
      <c r="G110" s="978"/>
      <c r="H110" s="978">
        <f>(H105/G105-1)*100</f>
        <v>2.1188213800916733</v>
      </c>
      <c r="I110" s="978">
        <f t="shared" ref="I110:N110" si="276">(I105/H105-1)*100</f>
        <v>1.4601968917095531</v>
      </c>
      <c r="J110" s="978">
        <f t="shared" si="276"/>
        <v>2.3336222861421119</v>
      </c>
      <c r="K110" s="978">
        <f t="shared" si="276"/>
        <v>0.94238821774077497</v>
      </c>
      <c r="L110" s="978">
        <f t="shared" si="276"/>
        <v>1.2559124198962657</v>
      </c>
      <c r="M110" s="978">
        <f t="shared" si="276"/>
        <v>0.97663423776381819</v>
      </c>
      <c r="N110" s="978">
        <f t="shared" si="276"/>
        <v>3.0992930291555476</v>
      </c>
      <c r="O110" s="978">
        <f t="shared" ref="O110:AX110" si="277">(O105/N105-1)*100</f>
        <v>2.3403081209686816</v>
      </c>
      <c r="P110" s="978">
        <f t="shared" si="277"/>
        <v>1.028039035428896</v>
      </c>
      <c r="Q110" s="978">
        <f t="shared" si="277"/>
        <v>2.8462433612445492</v>
      </c>
      <c r="R110" s="978">
        <f t="shared" si="277"/>
        <v>1.7695501259102908</v>
      </c>
      <c r="S110" s="978">
        <f t="shared" si="277"/>
        <v>3.2376446198087327</v>
      </c>
      <c r="T110" s="978">
        <f t="shared" si="277"/>
        <v>0.74090868604095306</v>
      </c>
      <c r="U110" s="978">
        <f t="shared" si="277"/>
        <v>2.2079863678744927</v>
      </c>
      <c r="V110" s="978">
        <f t="shared" si="277"/>
        <v>-0.63070643839602258</v>
      </c>
      <c r="W110" s="978">
        <f t="shared" si="277"/>
        <v>-1.585191164715849</v>
      </c>
      <c r="X110" s="978">
        <f t="shared" si="277"/>
        <v>2.9584894735995571</v>
      </c>
      <c r="Y110" s="978">
        <f t="shared" si="277"/>
        <v>-1.585528730874064</v>
      </c>
      <c r="Z110" s="978">
        <f t="shared" si="277"/>
        <v>-1.0737839575248098</v>
      </c>
      <c r="AA110" s="978">
        <f t="shared" si="277"/>
        <v>1.2073806658644326</v>
      </c>
      <c r="AB110" s="978">
        <f t="shared" si="277"/>
        <v>1.4458404343862474</v>
      </c>
      <c r="AC110" s="978">
        <f t="shared" si="277"/>
        <v>1.2080106892537357</v>
      </c>
      <c r="AD110" s="978">
        <f t="shared" si="277"/>
        <v>1.3549507817023576</v>
      </c>
      <c r="AE110" s="978">
        <f t="shared" si="277"/>
        <v>2.1884521633150467</v>
      </c>
      <c r="AF110" s="978">
        <f t="shared" si="277"/>
        <v>-1.2962811118648165</v>
      </c>
      <c r="AG110" s="978">
        <f t="shared" si="277"/>
        <v>1.5617683930702064</v>
      </c>
      <c r="AH110" s="978">
        <f t="shared" si="277"/>
        <v>5.1077467616484018</v>
      </c>
      <c r="AI110" s="978">
        <f t="shared" si="277"/>
        <v>0.22567933725265998</v>
      </c>
      <c r="AJ110" s="978">
        <f t="shared" si="277"/>
        <v>0.31058092750759769</v>
      </c>
      <c r="AK110" s="978">
        <f t="shared" si="277"/>
        <v>1.487580043628145</v>
      </c>
      <c r="AL110" s="978">
        <f t="shared" si="277"/>
        <v>2.5085977368538126</v>
      </c>
      <c r="AM110" s="978">
        <f t="shared" si="277"/>
        <v>3.1736583650112893</v>
      </c>
      <c r="AN110" s="978">
        <f t="shared" si="277"/>
        <v>2.7502065113351737</v>
      </c>
      <c r="AO110" s="978">
        <f t="shared" si="277"/>
        <v>1.3175608853498666</v>
      </c>
      <c r="AP110" s="978">
        <f t="shared" si="277"/>
        <v>3.4138569467360602</v>
      </c>
      <c r="AQ110" s="978">
        <f t="shared" si="277"/>
        <v>2.2360929269555019</v>
      </c>
      <c r="AR110" s="978">
        <f t="shared" si="277"/>
        <v>3.5243943843180192</v>
      </c>
      <c r="AS110" s="978">
        <f t="shared" si="277"/>
        <v>2.4527628823272307</v>
      </c>
      <c r="AT110" s="978">
        <f t="shared" si="277"/>
        <v>0.96199745039788898</v>
      </c>
      <c r="AU110" s="978">
        <f t="shared" si="277"/>
        <v>31.263248859717429</v>
      </c>
      <c r="AV110" s="978">
        <f t="shared" si="277"/>
        <v>3.4822813332162861</v>
      </c>
      <c r="AW110" s="978">
        <f t="shared" si="277"/>
        <v>2.699148827870923</v>
      </c>
      <c r="AX110" s="978">
        <f t="shared" si="277"/>
        <v>3.0990569284780056</v>
      </c>
      <c r="AY110" s="978">
        <f t="shared" ref="AY110:BJ110" si="278">(AY105/AX105-1)*100</f>
        <v>-1.4154848703362477</v>
      </c>
      <c r="AZ110" s="978">
        <f t="shared" si="278"/>
        <v>4.2220897786687583</v>
      </c>
      <c r="BA110" s="978">
        <f t="shared" si="278"/>
        <v>5.1271720624358474</v>
      </c>
      <c r="BB110" s="978">
        <f t="shared" si="278"/>
        <v>2.3538720205716679</v>
      </c>
      <c r="BC110" s="978">
        <f t="shared" si="278"/>
        <v>3.0993332689148501</v>
      </c>
      <c r="BD110" s="978">
        <f t="shared" si="278"/>
        <v>3.4935214039691687</v>
      </c>
      <c r="BE110" s="978">
        <f t="shared" si="278"/>
        <v>-1.245189042335948E-2</v>
      </c>
      <c r="BF110" s="978">
        <f t="shared" si="278"/>
        <v>4.0111401691403703</v>
      </c>
      <c r="BG110" s="978">
        <f t="shared" si="278"/>
        <v>3.5919540229878422E-2</v>
      </c>
      <c r="BH110" s="978">
        <f t="shared" si="278"/>
        <v>-0.40258963059681685</v>
      </c>
      <c r="BI110" s="978">
        <f t="shared" si="278"/>
        <v>-2.4482438411536522</v>
      </c>
      <c r="BJ110" s="978">
        <f t="shared" si="278"/>
        <v>-3.3115326897663944</v>
      </c>
      <c r="BK110" s="978">
        <f t="shared" ref="BK110:BR110" si="279">(BK105/BJ105-1)*100</f>
        <v>-11.826910826181114</v>
      </c>
      <c r="BL110" s="978">
        <f t="shared" si="279"/>
        <v>-3.4850116911436468</v>
      </c>
      <c r="BM110" s="978">
        <f t="shared" si="279"/>
        <v>-3.3155036544036287</v>
      </c>
      <c r="BN110" s="978">
        <f t="shared" si="279"/>
        <v>-2.7520869406084114</v>
      </c>
      <c r="BO110" s="978">
        <f t="shared" si="279"/>
        <v>-0.20121015604644965</v>
      </c>
      <c r="BP110" s="978">
        <f t="shared" si="279"/>
        <v>0.40468212871502818</v>
      </c>
      <c r="BQ110" s="978">
        <f t="shared" si="279"/>
        <v>3.6390164976452422</v>
      </c>
      <c r="BR110" s="978">
        <f t="shared" si="279"/>
        <v>0.79034303954501617</v>
      </c>
      <c r="BS110" s="978">
        <f t="shared" ref="BS110:CA110" si="280">(BS105/BR105-1)*100</f>
        <v>1.9472257564861373</v>
      </c>
      <c r="BT110" s="978">
        <f t="shared" si="280"/>
        <v>1.1924141299039626</v>
      </c>
      <c r="BU110" s="978">
        <f t="shared" si="280"/>
        <v>1.3392318520007995</v>
      </c>
      <c r="BV110" s="978">
        <f t="shared" si="280"/>
        <v>0.96965367621770771</v>
      </c>
      <c r="BW110" s="978">
        <f t="shared" si="280"/>
        <v>-0.31443656897296446</v>
      </c>
      <c r="BX110" s="978">
        <f t="shared" si="280"/>
        <v>-0.50731399582057968</v>
      </c>
      <c r="BY110" s="978">
        <f t="shared" si="280"/>
        <v>0.65785128333839538</v>
      </c>
      <c r="BZ110" s="978">
        <f t="shared" si="280"/>
        <v>0.79266132101472042</v>
      </c>
      <c r="CA110" s="978">
        <f t="shared" si="280"/>
        <v>1.9361222868898187</v>
      </c>
      <c r="CB110" s="978">
        <f t="shared" ref="CB110:CL110" si="281">(CB105/CA105-1)*100</f>
        <v>0.9618086601098419</v>
      </c>
      <c r="CC110" s="978">
        <f t="shared" si="281"/>
        <v>2.0166238629606426</v>
      </c>
      <c r="CD110" s="978">
        <f t="shared" si="281"/>
        <v>0.64238500936297793</v>
      </c>
      <c r="CE110" s="978">
        <f t="shared" si="281"/>
        <v>1.1410264309038132</v>
      </c>
      <c r="CF110" s="978">
        <f t="shared" si="281"/>
        <v>0.25949976242980455</v>
      </c>
      <c r="CG110" s="978">
        <f t="shared" si="281"/>
        <v>0.31107978710478434</v>
      </c>
      <c r="CH110" s="978">
        <f t="shared" si="281"/>
        <v>1.1980617807389571</v>
      </c>
      <c r="CI110" s="978">
        <f t="shared" si="281"/>
        <v>1.7033960186260133</v>
      </c>
      <c r="CJ110" s="978">
        <f t="shared" si="281"/>
        <v>0.60968432946493234</v>
      </c>
      <c r="CK110" s="978">
        <f t="shared" si="281"/>
        <v>0.78380907814694645</v>
      </c>
      <c r="CL110" s="978">
        <f t="shared" si="281"/>
        <v>-0.68136970400464181</v>
      </c>
      <c r="CM110" s="978">
        <f>(CM105/CL105-1)*100</f>
        <v>1.0062760772763912</v>
      </c>
      <c r="CN110" s="978">
        <f>(CN105/CM105-1)*100</f>
        <v>1.9948162547440473</v>
      </c>
      <c r="CO110" s="978">
        <f>(CO105/CN105-1)*100</f>
        <v>0.33806779507192797</v>
      </c>
      <c r="CP110" s="978">
        <f>(CP105/CO105-1)*100</f>
        <v>1.7547430070325332</v>
      </c>
      <c r="CQ110" s="978">
        <f t="shared" ref="CQ110:CT110" si="282">(CQ105/CP105-1)*100</f>
        <v>0.34778550634460004</v>
      </c>
      <c r="CR110" s="978">
        <f t="shared" si="282"/>
        <v>1.3021669564062144</v>
      </c>
      <c r="CS110" s="978">
        <f t="shared" si="282"/>
        <v>0.24156437526641206</v>
      </c>
      <c r="CT110" s="978">
        <f t="shared" si="282"/>
        <v>2.6224538753434778</v>
      </c>
      <c r="CU110" s="1962">
        <f t="shared" ref="CU110:DB110" si="283">+(CT22*CU27+CT41*CU46+CT70*CU86)/(CT22+CT41+CT70)</f>
        <v>0.25512415925536319</v>
      </c>
      <c r="CV110" s="1962">
        <f t="shared" si="283"/>
        <v>0.73665440050966002</v>
      </c>
      <c r="CW110" s="1962">
        <f t="shared" si="283"/>
        <v>0.77655240047236962</v>
      </c>
      <c r="CX110" s="1962">
        <f t="shared" si="283"/>
        <v>0.80666502587561029</v>
      </c>
      <c r="CY110" s="1962">
        <f t="shared" si="283"/>
        <v>0.79461665962858952</v>
      </c>
      <c r="CZ110" s="1962">
        <f t="shared" si="283"/>
        <v>0.7813982376775449</v>
      </c>
      <c r="DA110" s="1962">
        <f t="shared" si="283"/>
        <v>0.77429678563838522</v>
      </c>
      <c r="DB110" s="1962">
        <f t="shared" si="283"/>
        <v>0.77188451507112787</v>
      </c>
      <c r="DC110"/>
      <c r="DD110"/>
      <c r="DE110"/>
      <c r="DF110"/>
      <c r="DG110"/>
      <c r="DH110"/>
      <c r="DI110"/>
      <c r="DJ110"/>
      <c r="DK110"/>
      <c r="DL110"/>
      <c r="DM110"/>
      <c r="DN110"/>
      <c r="DO110"/>
    </row>
    <row r="111" spans="1:119">
      <c r="C111" s="1555"/>
      <c r="D111" s="1581"/>
      <c r="E111" s="1582" t="s">
        <v>763</v>
      </c>
      <c r="F111" s="1649"/>
      <c r="G111" s="1583"/>
      <c r="H111" s="1583"/>
      <c r="I111" s="1583"/>
      <c r="J111" s="1583"/>
      <c r="K111" s="1583"/>
      <c r="L111" s="1583"/>
      <c r="M111" s="1583"/>
      <c r="N111" s="1586">
        <f>N106/J106*100-100</f>
        <v>6.2882496560784205</v>
      </c>
      <c r="O111" s="1583"/>
      <c r="P111" s="1583"/>
      <c r="Q111" s="1583"/>
      <c r="R111" s="1586">
        <f>R106/N106*100-100</f>
        <v>8.3448382011361844</v>
      </c>
      <c r="S111" s="1583"/>
      <c r="T111" s="1583"/>
      <c r="U111" s="1583"/>
      <c r="V111" s="1586">
        <f>V106/R106*100-100</f>
        <v>7.929193025203034</v>
      </c>
      <c r="W111" s="1583"/>
      <c r="X111" s="1583"/>
      <c r="Y111" s="1583"/>
      <c r="Z111" s="1586">
        <f>Z106/V106*100-100</f>
        <v>0.32208206611159085</v>
      </c>
      <c r="AA111" s="1583"/>
      <c r="AB111" s="1583"/>
      <c r="AC111" s="1583"/>
      <c r="AD111" s="1586">
        <f>AD106/Z106*100-100</f>
        <v>2.365418256997458</v>
      </c>
      <c r="AE111" s="1583"/>
      <c r="AF111" s="1583"/>
      <c r="AG111" s="1583"/>
      <c r="AH111" s="1586">
        <f>AH106/AD106*100-100</f>
        <v>5.332864669407428</v>
      </c>
      <c r="AI111" s="1583"/>
      <c r="AJ111" s="1583"/>
      <c r="AK111" s="1583"/>
      <c r="AL111" s="1586">
        <f>AL106/AH106*100-100</f>
        <v>6.166297935103259</v>
      </c>
      <c r="AM111" s="1583"/>
      <c r="AN111" s="1583"/>
      <c r="AO111" s="1583"/>
      <c r="AP111" s="1586">
        <f>AP106/AL106*100-100</f>
        <v>9.7988003737110319</v>
      </c>
      <c r="AQ111" s="1583"/>
      <c r="AR111" s="1583"/>
      <c r="AS111" s="1583"/>
      <c r="AT111" s="1586">
        <f>AT106/AP106*100-100</f>
        <v>10.638775716780088</v>
      </c>
      <c r="AU111" s="1583"/>
      <c r="AV111" s="1583"/>
      <c r="AW111" s="1583"/>
      <c r="AX111" s="1586">
        <f>AX106/AT106*100-100</f>
        <v>41.45740623096961</v>
      </c>
      <c r="AY111" s="1583"/>
      <c r="AZ111" s="1583"/>
      <c r="BA111" s="1583"/>
      <c r="BB111" s="1586">
        <f>BB106/AX106*100-100</f>
        <v>9.7197070409954307</v>
      </c>
      <c r="BC111" s="1583"/>
      <c r="BD111" s="1583"/>
      <c r="BE111" s="1583"/>
      <c r="BF111" s="1586">
        <f>BF106/BB106*100-100</f>
        <v>12.545754637476961</v>
      </c>
      <c r="BG111" s="1583"/>
      <c r="BH111" s="1583"/>
      <c r="BI111" s="1583"/>
      <c r="BJ111" s="1586">
        <f>BJ106/BF106*100-100</f>
        <v>1.4614339119353446</v>
      </c>
      <c r="BK111" s="1583"/>
      <c r="BL111" s="1583"/>
      <c r="BM111" s="1583"/>
      <c r="BN111" s="1586">
        <f>BN106/BJ106*100-100</f>
        <v>-19.314564529020714</v>
      </c>
      <c r="BO111" s="1583"/>
      <c r="BP111" s="1583"/>
      <c r="BQ111" s="1583"/>
      <c r="BR111" s="1586">
        <f>BR106/BN106*100-100</f>
        <v>-2.5901048605885961</v>
      </c>
      <c r="BS111" s="1583"/>
      <c r="BT111" s="1583"/>
      <c r="BU111" s="1583"/>
      <c r="BV111" s="1586">
        <f>BV106/BR106*100-100</f>
        <v>6.3845167142664963</v>
      </c>
      <c r="BW111" s="1583"/>
      <c r="BX111" s="1583"/>
      <c r="BY111" s="1583"/>
      <c r="BZ111" s="1586">
        <f>BZ106/BV106*100-100</f>
        <v>1.518159290148958</v>
      </c>
      <c r="CA111" s="1583"/>
      <c r="CB111" s="1583"/>
      <c r="CC111" s="1583"/>
      <c r="CD111" s="1586">
        <f>CD106/BZ106*100-100</f>
        <v>4.7032382952196627</v>
      </c>
      <c r="CE111" s="1583"/>
      <c r="CF111" s="1583"/>
      <c r="CG111" s="1583"/>
      <c r="CH111" s="1586">
        <f>CH106/CD106*100-100</f>
        <v>3.5531531531532039</v>
      </c>
      <c r="CI111" s="1583"/>
      <c r="CJ111" s="1583"/>
      <c r="CK111" s="1583"/>
      <c r="CL111" s="1586">
        <f>CL106/CH106*100-100</f>
        <v>3.5377529776314134</v>
      </c>
      <c r="CM111" s="1583"/>
      <c r="CN111" s="1583"/>
      <c r="CO111" s="1583"/>
      <c r="CP111" s="1586">
        <f>CP106/CL106*100-100</f>
        <v>3.1742923528809968</v>
      </c>
      <c r="CQ111" s="1583"/>
      <c r="CR111" s="1583"/>
      <c r="CS111" s="1583"/>
      <c r="CT111" s="1586">
        <f>CT106/CP106*100-100</f>
        <v>4.1366396990504768</v>
      </c>
      <c r="CU111" s="1583"/>
      <c r="CV111" s="1583"/>
      <c r="CW111" s="1583"/>
      <c r="CX111" s="1586">
        <f>CX106/CT106*100-100</f>
        <v>3.8429626096597218</v>
      </c>
      <c r="CY111" s="1583"/>
      <c r="CZ111" s="1583"/>
      <c r="DA111" s="1583"/>
      <c r="DB111" s="1586">
        <f>DB106/CX106*100-100</f>
        <v>3.1753611937077579</v>
      </c>
    </row>
    <row r="112" spans="1:119" s="699" customFormat="1" ht="12.75" customHeight="1">
      <c r="A112" s="664"/>
      <c r="B112" s="664"/>
      <c r="C112" s="666"/>
      <c r="D112" s="717"/>
      <c r="E112" s="1596" t="s">
        <v>1847</v>
      </c>
      <c r="F112" s="717"/>
      <c r="G112" s="1584"/>
      <c r="H112" s="1584"/>
      <c r="I112" s="1584"/>
      <c r="J112" s="1585"/>
      <c r="K112" s="1584"/>
      <c r="L112" s="1584"/>
      <c r="M112" s="1584"/>
      <c r="N112" s="1587">
        <f ca="1">N107/J107*100-100</f>
        <v>7.5825031524344553</v>
      </c>
      <c r="O112" s="1584"/>
      <c r="P112" s="1584"/>
      <c r="Q112" s="1584"/>
      <c r="R112" s="1587">
        <f ca="1">R107/N107*100-100</f>
        <v>8.8789250778812772</v>
      </c>
      <c r="S112" s="1584"/>
      <c r="T112" s="1584"/>
      <c r="U112" s="1584"/>
      <c r="V112" s="1587">
        <f ca="1">V107/R107*100-100</f>
        <v>8.1966570218200161</v>
      </c>
      <c r="W112" s="1584"/>
      <c r="X112" s="1584"/>
      <c r="Y112" s="1584"/>
      <c r="Z112" s="1587">
        <f ca="1">Z107/V107*100-100</f>
        <v>0.42226428997069831</v>
      </c>
      <c r="AA112" s="1584"/>
      <c r="AB112" s="1584"/>
      <c r="AC112" s="1584"/>
      <c r="AD112" s="1587">
        <f ca="1">AD107/Z107*100-100</f>
        <v>2.4902164235180919</v>
      </c>
      <c r="AE112" s="1584"/>
      <c r="AF112" s="1584"/>
      <c r="AG112" s="1584"/>
      <c r="AH112" s="1587">
        <f ca="1">AH107/AD107*100-100</f>
        <v>5.1914940732004311</v>
      </c>
      <c r="AI112" s="1584"/>
      <c r="AJ112" s="1584"/>
      <c r="AK112" s="1584"/>
      <c r="AL112" s="1587">
        <f ca="1">AL107/AH107*100-100</f>
        <v>6.2848080524413774</v>
      </c>
      <c r="AM112" s="1584"/>
      <c r="AN112" s="1584"/>
      <c r="AO112" s="1584"/>
      <c r="AP112" s="1587">
        <f ca="1">AP107/AL107*100-100</f>
        <v>10.023612688262261</v>
      </c>
      <c r="AQ112" s="1584"/>
      <c r="AR112" s="1584"/>
      <c r="AS112" s="1584"/>
      <c r="AT112" s="1587">
        <f ca="1">AT107/AP107*100-100</f>
        <v>11.19733047807749</v>
      </c>
      <c r="AU112" s="1584"/>
      <c r="AV112" s="1584"/>
      <c r="AW112" s="1584"/>
      <c r="AX112" s="1587">
        <f ca="1">AX107/AT107*100-100</f>
        <v>10.137985829179257</v>
      </c>
      <c r="AY112" s="1584"/>
      <c r="AZ112" s="1584"/>
      <c r="BA112" s="1584"/>
      <c r="BB112" s="1587">
        <f ca="1">BB107/AX107*100-100</f>
        <v>10.186712032597114</v>
      </c>
      <c r="BC112" s="1584"/>
      <c r="BD112" s="1584"/>
      <c r="BE112" s="1584"/>
      <c r="BF112" s="1587">
        <f ca="1">BF107/BB107*100-100</f>
        <v>12.920361326552538</v>
      </c>
      <c r="BG112" s="1584"/>
      <c r="BH112" s="1584"/>
      <c r="BI112" s="1584"/>
      <c r="BJ112" s="1587">
        <f ca="1">BJ107/BF107*100-100</f>
        <v>1.2308496096373744</v>
      </c>
      <c r="BK112" s="1584"/>
      <c r="BL112" s="1584"/>
      <c r="BM112" s="1584"/>
      <c r="BN112" s="1587">
        <f ca="1">BN107/BJ107*100-100</f>
        <v>-19.738740548391149</v>
      </c>
      <c r="BO112" s="1584"/>
      <c r="BP112" s="1584"/>
      <c r="BQ112" s="1584"/>
      <c r="BR112" s="1587">
        <f ca="1">BR107/BN107*100-100</f>
        <v>-2.5112271051088157</v>
      </c>
      <c r="BS112" s="1584"/>
      <c r="BT112" s="1584"/>
      <c r="BU112" s="1584"/>
      <c r="BV112" s="1587">
        <f ca="1">BV107/BR107*100-100</f>
        <v>6.2250621741215326</v>
      </c>
      <c r="BW112" s="1584"/>
      <c r="BX112" s="1584"/>
      <c r="BY112" s="1584"/>
      <c r="BZ112" s="1587">
        <f ca="1">BZ107/BV107*100-100</f>
        <v>1.853446317926128</v>
      </c>
      <c r="CA112" s="1584"/>
      <c r="CB112" s="1584"/>
      <c r="CC112" s="1584"/>
      <c r="CD112" s="1587">
        <f ca="1">CD107/BZ107*100-100</f>
        <v>4.3793729421538217</v>
      </c>
      <c r="CE112" s="1584"/>
      <c r="CF112" s="1584"/>
      <c r="CG112" s="1584"/>
      <c r="CH112" s="1587">
        <f ca="1">CH107/CD107*100-100</f>
        <v>3.6753768570909813</v>
      </c>
      <c r="CI112" s="1584"/>
      <c r="CJ112" s="1584"/>
      <c r="CK112" s="1584"/>
      <c r="CL112" s="1587">
        <f ca="1">CL107/CH107*100-100</f>
        <v>3.4931110607300297</v>
      </c>
      <c r="CM112" s="1584"/>
      <c r="CN112" s="1584"/>
      <c r="CO112" s="1584"/>
      <c r="CP112" s="1587">
        <f ca="1">CP107/CL107*100-100</f>
        <v>3.2424898204958907</v>
      </c>
      <c r="CQ112" s="1584"/>
      <c r="CR112" s="1584"/>
      <c r="CS112" s="1584"/>
      <c r="CT112" s="1587">
        <f ca="1">CT107/CP107*100-100</f>
        <v>4.0669508577439757</v>
      </c>
      <c r="CU112" s="1584"/>
      <c r="CV112" s="1584"/>
      <c r="CW112" s="1584"/>
      <c r="CX112" s="1587">
        <f ca="1">CX107/CT107*100-100</f>
        <v>3.8087055954553648</v>
      </c>
      <c r="CY112" s="1584"/>
      <c r="CZ112" s="1584"/>
      <c r="DA112" s="1584"/>
      <c r="DB112" s="1587">
        <f ca="1">DB107/CX107*100-100</f>
        <v>3.1782126669207571</v>
      </c>
      <c r="DC112"/>
      <c r="DD112"/>
      <c r="DE112"/>
      <c r="DF112"/>
      <c r="DG112"/>
      <c r="DH112"/>
      <c r="DI112"/>
      <c r="DJ112"/>
      <c r="DK112"/>
      <c r="DL112"/>
      <c r="DM112"/>
      <c r="DN112"/>
      <c r="DO112"/>
    </row>
    <row r="113" spans="1:119">
      <c r="E113" s="599"/>
      <c r="F113" s="3617"/>
      <c r="AY113" s="217"/>
      <c r="BC113" s="217"/>
      <c r="BD113" s="217"/>
      <c r="BG113" s="217"/>
      <c r="BH113" s="217"/>
      <c r="CM113" s="557"/>
      <c r="CN113" s="557"/>
      <c r="CO113" s="557"/>
      <c r="CP113" s="557"/>
      <c r="CQ113" s="557"/>
      <c r="CR113" s="557"/>
      <c r="CS113" s="557"/>
      <c r="CT113" s="557"/>
      <c r="CU113" s="557"/>
      <c r="CV113" s="557"/>
      <c r="CW113" s="557"/>
      <c r="CX113" s="557"/>
      <c r="CY113" s="557"/>
      <c r="CZ113" s="557"/>
      <c r="DA113" s="557"/>
      <c r="DB113" s="557"/>
    </row>
    <row r="114" spans="1:119" s="699" customFormat="1" ht="12.75" customHeight="1">
      <c r="A114" s="664"/>
      <c r="B114" s="664"/>
      <c r="C114" s="666"/>
      <c r="D114" s="858"/>
      <c r="E114" s="3625"/>
      <c r="F114" s="3626"/>
      <c r="G114" s="1588" t="str">
        <f t="shared" ref="G114:N114" si="284">G109</f>
        <v>Q1</v>
      </c>
      <c r="H114" s="1588" t="str">
        <f t="shared" si="284"/>
        <v>Q2</v>
      </c>
      <c r="I114" s="1588" t="str">
        <f t="shared" si="284"/>
        <v>Q3</v>
      </c>
      <c r="J114" s="1588" t="str">
        <f t="shared" si="284"/>
        <v>Q4</v>
      </c>
      <c r="K114" s="1593" t="str">
        <f t="shared" si="284"/>
        <v>Q1</v>
      </c>
      <c r="L114" s="1588" t="str">
        <f t="shared" si="284"/>
        <v>Q2</v>
      </c>
      <c r="M114" s="1588" t="str">
        <f t="shared" si="284"/>
        <v>Q3</v>
      </c>
      <c r="N114" s="1594" t="str">
        <f t="shared" si="284"/>
        <v>Q4</v>
      </c>
      <c r="O114" s="1593" t="str">
        <f t="shared" ref="O114:AX114" si="285">O109</f>
        <v>Q1</v>
      </c>
      <c r="P114" s="1588" t="str">
        <f t="shared" si="285"/>
        <v>Q2</v>
      </c>
      <c r="Q114" s="1588" t="str">
        <f t="shared" si="285"/>
        <v>Q3</v>
      </c>
      <c r="R114" s="1594" t="str">
        <f t="shared" si="285"/>
        <v>Q4</v>
      </c>
      <c r="S114" s="1593" t="str">
        <f t="shared" si="285"/>
        <v>Q1</v>
      </c>
      <c r="T114" s="1588" t="str">
        <f t="shared" si="285"/>
        <v>Q2</v>
      </c>
      <c r="U114" s="1588" t="str">
        <f t="shared" si="285"/>
        <v>Q3</v>
      </c>
      <c r="V114" s="1594" t="str">
        <f t="shared" si="285"/>
        <v>Q4</v>
      </c>
      <c r="W114" s="1593" t="str">
        <f t="shared" si="285"/>
        <v>Q1</v>
      </c>
      <c r="X114" s="1588" t="str">
        <f t="shared" si="285"/>
        <v>Q2</v>
      </c>
      <c r="Y114" s="1588" t="str">
        <f t="shared" si="285"/>
        <v>Q3</v>
      </c>
      <c r="Z114" s="1594" t="str">
        <f t="shared" si="285"/>
        <v>Q4</v>
      </c>
      <c r="AA114" s="1593" t="str">
        <f t="shared" si="285"/>
        <v>Q1</v>
      </c>
      <c r="AB114" s="1588" t="str">
        <f t="shared" si="285"/>
        <v>Q2</v>
      </c>
      <c r="AC114" s="1588" t="str">
        <f t="shared" si="285"/>
        <v>Q3</v>
      </c>
      <c r="AD114" s="1594" t="str">
        <f t="shared" si="285"/>
        <v>Q4</v>
      </c>
      <c r="AE114" s="1593" t="str">
        <f t="shared" si="285"/>
        <v>Q1</v>
      </c>
      <c r="AF114" s="1588" t="str">
        <f t="shared" si="285"/>
        <v>Q2</v>
      </c>
      <c r="AG114" s="1588" t="str">
        <f t="shared" si="285"/>
        <v>Q3</v>
      </c>
      <c r="AH114" s="1594" t="str">
        <f t="shared" si="285"/>
        <v>Q4</v>
      </c>
      <c r="AI114" s="1593" t="str">
        <f t="shared" si="285"/>
        <v>Q1</v>
      </c>
      <c r="AJ114" s="1588" t="str">
        <f t="shared" si="285"/>
        <v>Q2</v>
      </c>
      <c r="AK114" s="1588" t="str">
        <f t="shared" si="285"/>
        <v>Q3</v>
      </c>
      <c r="AL114" s="1594" t="str">
        <f t="shared" si="285"/>
        <v>Q4</v>
      </c>
      <c r="AM114" s="1593" t="str">
        <f t="shared" si="285"/>
        <v>Q1</v>
      </c>
      <c r="AN114" s="1588" t="str">
        <f t="shared" si="285"/>
        <v>Q2</v>
      </c>
      <c r="AO114" s="1588" t="str">
        <f t="shared" si="285"/>
        <v>Q3</v>
      </c>
      <c r="AP114" s="1594" t="str">
        <f t="shared" si="285"/>
        <v>Q4</v>
      </c>
      <c r="AQ114" s="1593" t="str">
        <f t="shared" si="285"/>
        <v>Q1</v>
      </c>
      <c r="AR114" s="1588" t="str">
        <f t="shared" si="285"/>
        <v>Q2</v>
      </c>
      <c r="AS114" s="1588" t="str">
        <f t="shared" si="285"/>
        <v>Q3</v>
      </c>
      <c r="AT114" s="1594" t="str">
        <f t="shared" si="285"/>
        <v>Q4</v>
      </c>
      <c r="AU114" s="1593" t="str">
        <f t="shared" si="285"/>
        <v>Q1</v>
      </c>
      <c r="AV114" s="1588" t="str">
        <f t="shared" si="285"/>
        <v>Q2</v>
      </c>
      <c r="AW114" s="1588" t="str">
        <f t="shared" si="285"/>
        <v>Q3</v>
      </c>
      <c r="AX114" s="1594" t="str">
        <f t="shared" si="285"/>
        <v>Q4</v>
      </c>
      <c r="AY114" s="1593" t="str">
        <f t="shared" ref="AY114:BJ114" si="286">AY109</f>
        <v>Q1</v>
      </c>
      <c r="AZ114" s="1588" t="str">
        <f t="shared" si="286"/>
        <v>Q2</v>
      </c>
      <c r="BA114" s="1588" t="str">
        <f t="shared" si="286"/>
        <v>Q3</v>
      </c>
      <c r="BB114" s="1594" t="str">
        <f t="shared" si="286"/>
        <v>Q4</v>
      </c>
      <c r="BC114" s="1593" t="str">
        <f t="shared" si="286"/>
        <v>Q1</v>
      </c>
      <c r="BD114" s="1588" t="str">
        <f t="shared" si="286"/>
        <v>Q2</v>
      </c>
      <c r="BE114" s="1588" t="str">
        <f t="shared" si="286"/>
        <v>Q3</v>
      </c>
      <c r="BF114" s="1594" t="str">
        <f t="shared" si="286"/>
        <v>Q4</v>
      </c>
      <c r="BG114" s="1593" t="str">
        <f t="shared" si="286"/>
        <v>Q1</v>
      </c>
      <c r="BH114" s="1588" t="str">
        <f t="shared" si="286"/>
        <v>Q2</v>
      </c>
      <c r="BI114" s="1588" t="str">
        <f t="shared" si="286"/>
        <v>Q3</v>
      </c>
      <c r="BJ114" s="1594" t="str">
        <f t="shared" si="286"/>
        <v>Q4</v>
      </c>
      <c r="BK114" s="1593" t="str">
        <f t="shared" ref="BK114:BV114" si="287">BK109</f>
        <v>Q1</v>
      </c>
      <c r="BL114" s="1588" t="str">
        <f t="shared" si="287"/>
        <v>Q2</v>
      </c>
      <c r="BM114" s="1588" t="str">
        <f t="shared" si="287"/>
        <v>Q3</v>
      </c>
      <c r="BN114" s="1594" t="str">
        <f t="shared" si="287"/>
        <v>Q4</v>
      </c>
      <c r="BO114" s="1593" t="str">
        <f t="shared" si="287"/>
        <v>Q1</v>
      </c>
      <c r="BP114" s="1588" t="str">
        <f t="shared" si="287"/>
        <v>Q2</v>
      </c>
      <c r="BQ114" s="1588" t="str">
        <f t="shared" si="287"/>
        <v>Q3</v>
      </c>
      <c r="BR114" s="1594" t="str">
        <f t="shared" si="287"/>
        <v>Q4</v>
      </c>
      <c r="BS114" s="1593" t="str">
        <f t="shared" si="287"/>
        <v>Q1</v>
      </c>
      <c r="BT114" s="1588" t="str">
        <f t="shared" si="287"/>
        <v>Q2</v>
      </c>
      <c r="BU114" s="1588" t="str">
        <f t="shared" si="287"/>
        <v>Q3</v>
      </c>
      <c r="BV114" s="1594" t="str">
        <f t="shared" si="287"/>
        <v>Q4</v>
      </c>
      <c r="BW114" s="1593" t="str">
        <f t="shared" ref="BW114:CD114" si="288">BW109</f>
        <v>Q1</v>
      </c>
      <c r="BX114" s="1588" t="str">
        <f t="shared" si="288"/>
        <v>Q2</v>
      </c>
      <c r="BY114" s="1588" t="str">
        <f t="shared" si="288"/>
        <v>Q3</v>
      </c>
      <c r="BZ114" s="1594" t="str">
        <f t="shared" si="288"/>
        <v>Q4</v>
      </c>
      <c r="CA114" s="1593" t="str">
        <f t="shared" si="288"/>
        <v>Q1</v>
      </c>
      <c r="CB114" s="1588" t="str">
        <f t="shared" si="288"/>
        <v>Q2</v>
      </c>
      <c r="CC114" s="1588" t="str">
        <f t="shared" si="288"/>
        <v>Q3</v>
      </c>
      <c r="CD114" s="1594" t="str">
        <f t="shared" si="288"/>
        <v>Q4</v>
      </c>
      <c r="CE114" s="1593" t="str">
        <f t="shared" ref="CE114:CL114" si="289">CE109</f>
        <v>Q1</v>
      </c>
      <c r="CF114" s="1588" t="str">
        <f t="shared" si="289"/>
        <v>Q2</v>
      </c>
      <c r="CG114" s="1588" t="str">
        <f t="shared" si="289"/>
        <v>Q3</v>
      </c>
      <c r="CH114" s="1594" t="str">
        <f t="shared" si="289"/>
        <v>Q4</v>
      </c>
      <c r="CI114" s="1593" t="str">
        <f t="shared" si="289"/>
        <v>Q1</v>
      </c>
      <c r="CJ114" s="1588" t="str">
        <f t="shared" si="289"/>
        <v>Q2</v>
      </c>
      <c r="CK114" s="1588" t="str">
        <f t="shared" si="289"/>
        <v>Q3</v>
      </c>
      <c r="CL114" s="1594" t="str">
        <f t="shared" si="289"/>
        <v>Q4</v>
      </c>
      <c r="CM114" s="1593" t="str">
        <f t="shared" ref="CM114:CT114" si="290">CM109</f>
        <v>Q1</v>
      </c>
      <c r="CN114" s="1588" t="str">
        <f t="shared" si="290"/>
        <v>Q2</v>
      </c>
      <c r="CO114" s="1588" t="str">
        <f t="shared" si="290"/>
        <v>Q3</v>
      </c>
      <c r="CP114" s="1594" t="str">
        <f t="shared" si="290"/>
        <v>Q4</v>
      </c>
      <c r="CQ114" s="1593" t="str">
        <f t="shared" si="290"/>
        <v>Q1</v>
      </c>
      <c r="CR114" s="1588" t="str">
        <f t="shared" si="290"/>
        <v>Q2</v>
      </c>
      <c r="CS114" s="1588" t="str">
        <f t="shared" si="290"/>
        <v>Q3</v>
      </c>
      <c r="CT114" s="1594" t="str">
        <f t="shared" si="290"/>
        <v>Q4</v>
      </c>
      <c r="CU114" s="1593" t="str">
        <f t="shared" ref="CU114:DB114" si="291">CU109</f>
        <v>Q1</v>
      </c>
      <c r="CV114" s="1588" t="str">
        <f t="shared" si="291"/>
        <v>Q2</v>
      </c>
      <c r="CW114" s="1588" t="str">
        <f t="shared" si="291"/>
        <v>Q3</v>
      </c>
      <c r="CX114" s="1594" t="str">
        <f t="shared" si="291"/>
        <v>Q4</v>
      </c>
      <c r="CY114" s="1593" t="str">
        <f t="shared" si="291"/>
        <v>Q1</v>
      </c>
      <c r="CZ114" s="1588" t="str">
        <f t="shared" si="291"/>
        <v>Q2</v>
      </c>
      <c r="DA114" s="1588" t="str">
        <f t="shared" si="291"/>
        <v>Q3</v>
      </c>
      <c r="DB114" s="1594" t="str">
        <f t="shared" si="291"/>
        <v>Q4</v>
      </c>
      <c r="DC114"/>
      <c r="DD114"/>
      <c r="DE114"/>
      <c r="DF114"/>
      <c r="DG114"/>
      <c r="DH114"/>
      <c r="DI114"/>
      <c r="DJ114"/>
      <c r="DK114"/>
      <c r="DL114"/>
      <c r="DM114"/>
      <c r="DN114"/>
      <c r="DO114"/>
    </row>
    <row r="115" spans="1:119" s="699" customFormat="1" ht="12.75" customHeight="1">
      <c r="A115" s="664"/>
      <c r="B115" s="664"/>
      <c r="C115" s="862"/>
      <c r="D115" s="863"/>
      <c r="E115" s="3627" t="s">
        <v>1848</v>
      </c>
      <c r="F115" s="3628"/>
      <c r="G115" s="705"/>
      <c r="H115" s="705"/>
      <c r="I115" s="705"/>
      <c r="J115" s="705"/>
      <c r="K115" s="1564">
        <f t="shared" ref="K115:AX115" si="292">(K105/G105-1)*100</f>
        <v>7.0270159932230625</v>
      </c>
      <c r="L115" s="1564">
        <f t="shared" si="292"/>
        <v>6.1226325520963742</v>
      </c>
      <c r="M115" s="1564">
        <f t="shared" si="292"/>
        <v>5.6168485755940134</v>
      </c>
      <c r="N115" s="1564">
        <f t="shared" si="292"/>
        <v>6.4070847571834122</v>
      </c>
      <c r="O115" s="1564">
        <f t="shared" si="292"/>
        <v>7.8806835520292884</v>
      </c>
      <c r="P115" s="1564">
        <f t="shared" si="292"/>
        <v>7.637901319445084</v>
      </c>
      <c r="Q115" s="1564">
        <f t="shared" si="292"/>
        <v>9.6308455669757098</v>
      </c>
      <c r="R115" s="1564">
        <f t="shared" si="292"/>
        <v>8.2168607123148885</v>
      </c>
      <c r="S115" s="1564">
        <f t="shared" si="292"/>
        <v>9.1657237819107618</v>
      </c>
      <c r="T115" s="1564">
        <f t="shared" si="292"/>
        <v>8.8554654347236408</v>
      </c>
      <c r="U115" s="1564">
        <f t="shared" si="292"/>
        <v>8.1799156060708977</v>
      </c>
      <c r="V115" s="1564">
        <f t="shared" si="292"/>
        <v>5.6284692035043271</v>
      </c>
      <c r="W115" s="1564">
        <f t="shared" si="292"/>
        <v>0.69394398244491118</v>
      </c>
      <c r="X115" s="1564">
        <f t="shared" si="292"/>
        <v>2.9104909494261033</v>
      </c>
      <c r="Y115" s="1564">
        <f t="shared" si="292"/>
        <v>-0.90909805833642165</v>
      </c>
      <c r="Z115" s="1564">
        <f t="shared" si="292"/>
        <v>-1.3509342576984329</v>
      </c>
      <c r="AA115" s="1564">
        <f t="shared" si="292"/>
        <v>1.4482847355131279</v>
      </c>
      <c r="AB115" s="1564">
        <f t="shared" si="292"/>
        <v>-4.2176626338519263E-2</v>
      </c>
      <c r="AC115" s="1564">
        <f t="shared" si="292"/>
        <v>2.7951715435347024</v>
      </c>
      <c r="AD115" s="1564">
        <f t="shared" si="292"/>
        <v>5.3188929001203311</v>
      </c>
      <c r="AE115" s="1564">
        <f t="shared" si="292"/>
        <v>6.3398200626213708</v>
      </c>
      <c r="AF115" s="1564">
        <f t="shared" si="292"/>
        <v>3.4654122942045174</v>
      </c>
      <c r="AG115" s="1564">
        <f t="shared" si="292"/>
        <v>3.827060413047656</v>
      </c>
      <c r="AH115" s="1564">
        <f t="shared" si="292"/>
        <v>7.6713893967093272</v>
      </c>
      <c r="AI115" s="1564">
        <f t="shared" si="292"/>
        <v>5.6033036905622779</v>
      </c>
      <c r="AJ115" s="1564">
        <f t="shared" si="292"/>
        <v>7.3224885586116395</v>
      </c>
      <c r="AK115" s="1564">
        <f t="shared" si="292"/>
        <v>7.2440921461608188</v>
      </c>
      <c r="AL115" s="1564">
        <f t="shared" si="292"/>
        <v>4.5921146649121836</v>
      </c>
      <c r="AM115" s="1564">
        <f t="shared" si="292"/>
        <v>7.6685254464600838</v>
      </c>
      <c r="AN115" s="1564">
        <f t="shared" si="292"/>
        <v>10.287101541059718</v>
      </c>
      <c r="AO115" s="1564">
        <f t="shared" si="292"/>
        <v>10.10234080319503</v>
      </c>
      <c r="AP115" s="1564">
        <f t="shared" si="292"/>
        <v>11.074660786515334</v>
      </c>
      <c r="AQ115" s="1564">
        <f t="shared" si="292"/>
        <v>10.065296917408562</v>
      </c>
      <c r="AR115" s="1564">
        <f t="shared" si="292"/>
        <v>10.894601509612123</v>
      </c>
      <c r="AS115" s="1564">
        <f t="shared" si="292"/>
        <v>12.137108454979417</v>
      </c>
      <c r="AT115" s="1564">
        <f t="shared" si="292"/>
        <v>9.4784276710409898</v>
      </c>
      <c r="AU115" s="1564">
        <f t="shared" si="292"/>
        <v>40.561847433094876</v>
      </c>
      <c r="AV115" s="1564">
        <f t="shared" si="292"/>
        <v>40.504667786702278</v>
      </c>
      <c r="AW115" s="1564">
        <f t="shared" si="292"/>
        <v>40.842563754092566</v>
      </c>
      <c r="AX115" s="1564">
        <f t="shared" si="292"/>
        <v>43.823773945933908</v>
      </c>
      <c r="AY115" s="1564">
        <f t="shared" ref="AY115:BF115" si="293">(AY105/AU105-1)*100</f>
        <v>8.0180259269013519</v>
      </c>
      <c r="AZ115" s="1564">
        <f t="shared" si="293"/>
        <v>8.7902610072674747</v>
      </c>
      <c r="BA115" s="1564">
        <f t="shared" si="293"/>
        <v>11.362290906587758</v>
      </c>
      <c r="BB115" s="1564">
        <f t="shared" si="293"/>
        <v>10.557380551772045</v>
      </c>
      <c r="BC115" s="1564">
        <f t="shared" si="293"/>
        <v>15.620513098366429</v>
      </c>
      <c r="BD115" s="1564">
        <f t="shared" si="293"/>
        <v>14.812263623721456</v>
      </c>
      <c r="BE115" s="1564">
        <f t="shared" si="293"/>
        <v>9.199139550984059</v>
      </c>
      <c r="BF115" s="1564">
        <f t="shared" si="293"/>
        <v>10.96724321190452</v>
      </c>
      <c r="BG115" s="1564">
        <f t="shared" ref="BG115:BN115" si="294">(BG105/BC105-1)*100</f>
        <v>7.670048501604998</v>
      </c>
      <c r="BH115" s="1564">
        <f t="shared" si="294"/>
        <v>3.6167081729680639</v>
      </c>
      <c r="BI115" s="1564">
        <f t="shared" si="294"/>
        <v>1.0925064248434646</v>
      </c>
      <c r="BJ115" s="1564">
        <f t="shared" si="294"/>
        <v>-6.0246865203761875</v>
      </c>
      <c r="BK115" s="1564">
        <f t="shared" si="294"/>
        <v>-17.168815624829982</v>
      </c>
      <c r="BL115" s="1564">
        <f t="shared" si="294"/>
        <v>-19.732342819686465</v>
      </c>
      <c r="BM115" s="1564">
        <f t="shared" si="294"/>
        <v>-20.445942616525169</v>
      </c>
      <c r="BN115" s="1564">
        <f t="shared" si="294"/>
        <v>-19.985637675619937</v>
      </c>
      <c r="BO115" s="1564">
        <f t="shared" ref="BO115:BV115" si="295">(BO105/BK105-1)*100</f>
        <v>-9.4356724378004913</v>
      </c>
      <c r="BP115" s="1564">
        <f t="shared" si="295"/>
        <v>-5.785798864889113</v>
      </c>
      <c r="BQ115" s="1564">
        <f t="shared" si="295"/>
        <v>0.9910328420400516</v>
      </c>
      <c r="BR115" s="1564">
        <f t="shared" si="295"/>
        <v>4.6698126863726985</v>
      </c>
      <c r="BS115" s="1564">
        <f t="shared" si="295"/>
        <v>6.9231103955441187</v>
      </c>
      <c r="BT115" s="1564">
        <f t="shared" si="295"/>
        <v>7.7619831845366916</v>
      </c>
      <c r="BU115" s="1564">
        <f t="shared" si="295"/>
        <v>5.3707085209294458</v>
      </c>
      <c r="BV115" s="1564">
        <f t="shared" si="295"/>
        <v>5.5581678375836718</v>
      </c>
      <c r="BW115" s="1564">
        <f t="shared" ref="BW115:CD115" si="296">(BW105/BS105-1)*100</f>
        <v>3.2163980682619941</v>
      </c>
      <c r="BX115" s="1564">
        <f t="shared" si="296"/>
        <v>1.4826731014143002</v>
      </c>
      <c r="BY115" s="1564">
        <f t="shared" si="296"/>
        <v>0.80032806836520809</v>
      </c>
      <c r="BZ115" s="1564">
        <f t="shared" si="296"/>
        <v>0.62363252846306949</v>
      </c>
      <c r="CA115" s="1564">
        <f t="shared" si="296"/>
        <v>2.8953697740744078</v>
      </c>
      <c r="CB115" s="1564">
        <f t="shared" si="296"/>
        <v>4.4147369255360003</v>
      </c>
      <c r="CC115" s="1564">
        <f t="shared" si="296"/>
        <v>5.8242234150054362</v>
      </c>
      <c r="CD115" s="1564">
        <f t="shared" si="296"/>
        <v>5.6664453211463073</v>
      </c>
      <c r="CE115" s="1564">
        <f t="shared" ref="CE115:CL115" si="297">(CE105/CA105-1)*100</f>
        <v>4.8422531613232955</v>
      </c>
      <c r="CF115" s="1564">
        <f t="shared" si="297"/>
        <v>4.1129511784724793</v>
      </c>
      <c r="CG115" s="1564">
        <f t="shared" si="297"/>
        <v>2.3723600828404079</v>
      </c>
      <c r="CH115" s="1564">
        <f t="shared" si="297"/>
        <v>2.9375885650914979</v>
      </c>
      <c r="CI115" s="1564">
        <f t="shared" si="297"/>
        <v>3.5099474908931505</v>
      </c>
      <c r="CJ115" s="1564">
        <f t="shared" si="297"/>
        <v>3.8714851629523483</v>
      </c>
      <c r="CK115" s="1564">
        <f t="shared" si="297"/>
        <v>4.3609933373712773</v>
      </c>
      <c r="CL115" s="1564">
        <f t="shared" si="297"/>
        <v>2.4228204790576635</v>
      </c>
      <c r="CM115" s="1564">
        <f t="shared" ref="CM115:CT115" si="298">(CM105/CI105-1)*100</f>
        <v>1.7207692850921719</v>
      </c>
      <c r="CN115" s="1564">
        <f t="shared" si="298"/>
        <v>3.1211979410388446</v>
      </c>
      <c r="CO115" s="1564">
        <f t="shared" si="298"/>
        <v>2.6651189785258156</v>
      </c>
      <c r="CP115" s="1564">
        <f t="shared" si="298"/>
        <v>5.183315218026463</v>
      </c>
      <c r="CQ115" s="1564">
        <f t="shared" si="298"/>
        <v>4.497593261131172</v>
      </c>
      <c r="CR115" s="1564">
        <f t="shared" si="298"/>
        <v>3.7879475427689879</v>
      </c>
      <c r="CS115" s="1564">
        <f t="shared" si="298"/>
        <v>3.6881260882346334</v>
      </c>
      <c r="CT115" s="1564">
        <f t="shared" si="298"/>
        <v>4.5723238294184343</v>
      </c>
      <c r="CU115" s="1564">
        <f t="shared" ref="CU115:DB115" si="299">(CU105/CQ105-1)*100</f>
        <v>4.4757615351396884</v>
      </c>
      <c r="CV115" s="1564">
        <f t="shared" si="299"/>
        <v>3.8925326002601013</v>
      </c>
      <c r="CW115" s="1564">
        <f t="shared" si="299"/>
        <v>4.4470057990360301</v>
      </c>
      <c r="CX115" s="1564">
        <f t="shared" si="299"/>
        <v>2.5989335562833116</v>
      </c>
      <c r="CY115" s="1564">
        <f t="shared" si="299"/>
        <v>3.1510385550460596</v>
      </c>
      <c r="CZ115" s="1564">
        <f t="shared" si="299"/>
        <v>3.1968547805329317</v>
      </c>
      <c r="DA115" s="1564">
        <f t="shared" si="299"/>
        <v>3.1945449936736203</v>
      </c>
      <c r="DB115" s="1564">
        <f t="shared" si="299"/>
        <v>3.1589406118979424</v>
      </c>
      <c r="DC115"/>
      <c r="DD115"/>
      <c r="DE115"/>
      <c r="DF115"/>
      <c r="DG115"/>
      <c r="DH115"/>
      <c r="DI115"/>
      <c r="DJ115"/>
      <c r="DK115"/>
      <c r="DL115"/>
      <c r="DM115"/>
      <c r="DN115"/>
      <c r="DO115"/>
    </row>
    <row r="116" spans="1:119" s="699" customFormat="1" ht="12.75" customHeight="1">
      <c r="A116" s="664"/>
      <c r="B116" s="664"/>
      <c r="C116" s="944"/>
      <c r="D116" s="674"/>
      <c r="E116" s="3629" t="s">
        <v>1938</v>
      </c>
      <c r="F116" s="3630"/>
      <c r="G116" s="705"/>
      <c r="H116" s="705"/>
      <c r="I116" s="705"/>
      <c r="J116" s="705"/>
      <c r="K116" s="1564">
        <f>(4*K105/J106-1)*100</f>
        <v>3.9711477685376861</v>
      </c>
      <c r="L116" s="1564">
        <f>((K105+3*L105)/J106-1)*100</f>
        <v>4.9504876869880032</v>
      </c>
      <c r="M116" s="1564">
        <f>((K105+L105+2*M105)/J106-1)*100</f>
        <v>5.4645729795382181</v>
      </c>
      <c r="N116" s="1621"/>
      <c r="O116" s="1564">
        <f>(4*O105/N106-1)*100</f>
        <v>5.5288663352021095</v>
      </c>
      <c r="P116" s="1564">
        <f>((O105+3*P105)/N106-1)*100</f>
        <v>6.3425247898807102</v>
      </c>
      <c r="Q116" s="1564">
        <f>((O105+P105+2*Q105)/N106-1)*100</f>
        <v>7.8597680991782104</v>
      </c>
      <c r="R116" s="1621"/>
      <c r="S116" s="1564">
        <f>(4*S105/R106-1)*100</f>
        <v>6.3284164214668204</v>
      </c>
      <c r="T116" s="1564">
        <f>((S105+3*T105)/R106-1)*100</f>
        <v>6.9192637762141462</v>
      </c>
      <c r="U116" s="1564">
        <f>((S105+T105+2*U105)/R106-1)*100</f>
        <v>8.1018194654607356</v>
      </c>
      <c r="V116" s="1621"/>
      <c r="W116" s="1564">
        <f>(4*W105/V106-1)*100</f>
        <v>-0.7995213641122767</v>
      </c>
      <c r="X116" s="1564">
        <f>((W105+3*X105)/V106-1)*100</f>
        <v>1.4016054245400644</v>
      </c>
      <c r="Y116" s="1564">
        <f>((W105+X105+2*Y105)/V106-1)*100</f>
        <v>0.59191304781374132</v>
      </c>
      <c r="Z116" s="1621"/>
      <c r="AA116" s="1564">
        <f>(4*AA105/Z106-1)*100</f>
        <v>0.31409033078879656</v>
      </c>
      <c r="AB116" s="1564">
        <f>((AA105+3*AB105)/Z106-1)*100</f>
        <v>1.4018765903307751</v>
      </c>
      <c r="AC116" s="1564">
        <f>((AA105+AB105+2*AC105)/Z106-1)*100</f>
        <v>2.0165394402035464</v>
      </c>
      <c r="AD116" s="1621"/>
      <c r="AE116" s="1564">
        <f>(4*AE105/AD106-1)*100</f>
        <v>4.2088480383113414</v>
      </c>
      <c r="AF116" s="1564">
        <f>((AE105+3*AF105)/AD106-1)*100</f>
        <v>3.1957183278019219</v>
      </c>
      <c r="AG116" s="1564">
        <f>((AE105+AF105+2*AG105)/AD106-1)*100</f>
        <v>3.9989202604580276</v>
      </c>
      <c r="AH116" s="1621"/>
      <c r="AI116" s="1564">
        <f>(4*AI105/AH106-1)*100</f>
        <v>4.4764011799410142</v>
      </c>
      <c r="AJ116" s="1564">
        <f>((AI105+3*AJ105)/AH106-1)*100</f>
        <v>4.7197640117994322</v>
      </c>
      <c r="AK116" s="1564">
        <f>((AI105+AJ105+2*AK105)/AH106-1)*100</f>
        <v>5.4992625368731618</v>
      </c>
      <c r="AL116" s="1621"/>
      <c r="AM116" s="1564">
        <f>(4*AM105/AL106-1)*100</f>
        <v>5.9547170597694432</v>
      </c>
      <c r="AN116" s="1564">
        <f>((AM105+3*AN105)/AL106-1)*100</f>
        <v>8.1401972055028757</v>
      </c>
      <c r="AO116" s="1564">
        <f>((AM105+AN105+2*AO105)/AL106-1)*100</f>
        <v>8.8574028472890198</v>
      </c>
      <c r="AP116" s="1621"/>
      <c r="AQ116" s="1564">
        <f>(4*AQ105/AP106-1)*100</f>
        <v>6.211883493180137</v>
      </c>
      <c r="AR116" s="1564">
        <f>((AQ105+3*AR105)/AP106-1)*100</f>
        <v>9.01937773616417</v>
      </c>
      <c r="AS116" s="1564">
        <f>((AQ105+AR105+2*AS105)/AP106-1)*100</f>
        <v>10.367848014778414</v>
      </c>
      <c r="AT116" s="1621"/>
      <c r="AU116" s="1564">
        <f>(4*AU105/AT106-1)*100</f>
        <v>34.937669604796319</v>
      </c>
      <c r="AV116" s="1564">
        <f>((AU105+3*AV105)/AT106-1)*100</f>
        <v>38.461851564889969</v>
      </c>
      <c r="AW116" s="1564">
        <f>((AU105+AV105+2*AW105)/AT106-1)*100</f>
        <v>40.346351106015675</v>
      </c>
      <c r="AX116" s="1621"/>
      <c r="AY116" s="1564">
        <f>(4*AY105/AX106-1)*100</f>
        <v>3.0395020115634219</v>
      </c>
      <c r="AZ116" s="1564">
        <f>((AY105+3*AZ105)/AX106-1)*100</f>
        <v>6.3023172233794833</v>
      </c>
      <c r="BA116" s="1564">
        <f>((AY105+AZ105+2*BA105)/AX106-1)*100</f>
        <v>9.0553502702438671</v>
      </c>
      <c r="BB116" s="1621"/>
      <c r="BC116" s="1564">
        <f>(4*BC105/BB106-1)*100</f>
        <v>8.5810417587589569</v>
      </c>
      <c r="BD116" s="1564">
        <f>((BC105+3*BD105)/BB106-1)*100</f>
        <v>11.426018209630161</v>
      </c>
      <c r="BE116" s="1564">
        <f>((BC105+BD105+2*BE105)/BB106-1)*100</f>
        <v>11.41902184455985</v>
      </c>
      <c r="BF116" s="1621"/>
      <c r="BG116" s="1564">
        <f>(4*BG105/BF106-1)*100</f>
        <v>3.8770948773520164</v>
      </c>
      <c r="BH116" s="1564">
        <f>((BG105+3*BH105)/BF106-1)*100</f>
        <v>3.5634460679459412</v>
      </c>
      <c r="BI116" s="1564">
        <f>((BG105+BH105+2*BI105)/BF106-1)*100</f>
        <v>2.2969830375332956</v>
      </c>
      <c r="BJ116" s="1621"/>
      <c r="BK116" s="1564">
        <f>(4*BK105/BJ106-1)*100</f>
        <v>-15.196715969822117</v>
      </c>
      <c r="BL116" s="1564">
        <f>((BK105+3*BL105)/BJ106-1)*100</f>
        <v>-17.413269242016206</v>
      </c>
      <c r="BM116" s="1564">
        <f>((BK105+BL105+2*BM105)/BJ106-1)*100</f>
        <v>-18.770103962726036</v>
      </c>
      <c r="BN116" s="1621"/>
      <c r="BO116" s="1564">
        <f>(4*BO105/BN106-1)*100</f>
        <v>-4.8136463733699735</v>
      </c>
      <c r="BP116" s="1564">
        <f>((BO105+3*BP105)/BN106-1)*100</f>
        <v>-4.5247447517931079</v>
      </c>
      <c r="BQ116" s="1564">
        <f>((BO105+BP105+2*BQ105)/BN106-1)*100</f>
        <v>-2.7858124106890036</v>
      </c>
      <c r="BR116" s="1621"/>
      <c r="BS116" s="1564">
        <f>(4*BS105/BR106-1)*100</f>
        <v>4.4824140545826952</v>
      </c>
      <c r="BT116" s="1564">
        <f>((BS105+3*BT105)/BR106-1)*100</f>
        <v>5.4168113559214248</v>
      </c>
      <c r="BU116" s="1564">
        <f>((BS105+BT105+2*BU105)/BR106-1)*100</f>
        <v>6.1247847378230746</v>
      </c>
      <c r="BV116" s="1621"/>
      <c r="BW116" s="1564">
        <f>(4*BW105/BV106-1)*100</f>
        <v>1.3709398065496092</v>
      </c>
      <c r="BX116" s="1564">
        <f>((BW105+3*BX105)/BV106-1)*100</f>
        <v>0.98523808254951106</v>
      </c>
      <c r="BY116" s="1564">
        <f>((BW105+BX105+2*BY105)/BV106-1)*100</f>
        <v>1.3169815342801483</v>
      </c>
      <c r="BZ116" s="1621"/>
      <c r="CA116" s="1564">
        <f>(4*CA105/BZ106-1)*100</f>
        <v>2.7461530890121155</v>
      </c>
      <c r="CB116" s="1564">
        <f>((CA105+3*CB105)/BZ106-1)*100</f>
        <v>3.4873191377669865</v>
      </c>
      <c r="CC116" s="1564">
        <f>((CA105+CB105+2*CC105)/BZ106-1)*100</f>
        <v>4.5332852127694334</v>
      </c>
      <c r="CD116" s="1621"/>
      <c r="CE116" s="1564">
        <f>(4*CE105/CD106-1)*100</f>
        <v>2.8825695260477957</v>
      </c>
      <c r="CF116" s="1564">
        <f>((CE105+3*CF105)/CD106-1)*100</f>
        <v>3.0828045436741336</v>
      </c>
      <c r="CG116" s="1564">
        <f>((CE105+CF105+2*CG105)/CD106-1)*100</f>
        <v>3.2432432432432767</v>
      </c>
      <c r="CH116" s="1621"/>
      <c r="CI116" s="1564">
        <f>(4*CI105/CH106-1)*100</f>
        <v>2.8396436525611968</v>
      </c>
      <c r="CJ116" s="1564">
        <f>((CI105+3*CJ105)/CH106-1)*100</f>
        <v>3.3098915464316425</v>
      </c>
      <c r="CK116" s="1564">
        <f>((CI105+CJ105+2*CK105)/CH106-1)*100</f>
        <v>3.715382008327639</v>
      </c>
      <c r="CL116" s="1621"/>
      <c r="CM116" s="1564">
        <f>(4*CM105/CL106-1)*100</f>
        <v>1.0349110783124615</v>
      </c>
      <c r="CN116" s="1564">
        <f>((CM105+3*CN105)/CL106-1)*100</f>
        <v>2.5465067001797514</v>
      </c>
      <c r="CO116" s="1564">
        <f>((CM105+CN105+2*CO105)/CL106-1)*100</f>
        <v>2.7206967602402488</v>
      </c>
      <c r="CP116" s="1621"/>
      <c r="CQ116" s="1564">
        <f>(4*CQ105/CP106-1)*100</f>
        <v>2.3307725428875825</v>
      </c>
      <c r="CR116" s="1564">
        <f>((CQ105+3*CR105)/CP106-1)*100</f>
        <v>3.3301606726040767</v>
      </c>
      <c r="CS116" s="1564">
        <f>((CQ105+CR105+2*CS105)/CP106-1)*100</f>
        <v>3.4553674620980246</v>
      </c>
      <c r="CT116" s="1621"/>
      <c r="CU116" s="1564">
        <f>(4*CU105/CT106-1)*100</f>
        <v>2.6640135575146884</v>
      </c>
      <c r="CV116" s="1564">
        <f>((CU105+3*CV105)/CT106-1)*100</f>
        <v>3.2312227877231425</v>
      </c>
      <c r="CW116" s="1564">
        <f>((CU105+CV105+2*CW105)/CT106-1)*100</f>
        <v>3.6327791698361311</v>
      </c>
      <c r="CX116" s="1621"/>
      <c r="CY116" s="1564">
        <f>(4*CY105/CX106-1)*100</f>
        <v>1.979945049274523</v>
      </c>
      <c r="CZ116" s="1564">
        <f>((CY105+3*CZ105)/CX106-1)*100</f>
        <v>2.5775971693242195</v>
      </c>
      <c r="DA116" s="1564">
        <f>((CY105+CZ105+2*DA105)/CX106-1)*100</f>
        <v>2.975495955016938</v>
      </c>
      <c r="DB116" s="1621"/>
      <c r="DC116"/>
      <c r="DD116"/>
      <c r="DE116"/>
      <c r="DF116"/>
      <c r="DG116"/>
      <c r="DH116"/>
      <c r="DI116"/>
      <c r="DJ116"/>
      <c r="DK116"/>
      <c r="DL116"/>
      <c r="DM116"/>
      <c r="DN116"/>
      <c r="DO116"/>
    </row>
    <row r="117" spans="1:119">
      <c r="C117" s="1557"/>
      <c r="D117" s="828"/>
      <c r="E117" s="3631" t="s">
        <v>1807</v>
      </c>
      <c r="F117" s="828"/>
      <c r="G117" s="876"/>
      <c r="H117" s="876"/>
      <c r="I117" s="876"/>
      <c r="J117" s="876"/>
      <c r="K117" s="1620"/>
      <c r="L117" s="883">
        <f>(4*L105/(K105+3*L105)-1)*100</f>
        <v>0.31104823491345801</v>
      </c>
      <c r="M117" s="883">
        <f>(4*M105/(K105+L105+2*M105)-1)*100</f>
        <v>0.796980358699928</v>
      </c>
      <c r="N117" s="883">
        <f>+(4*N105/N106-1)*100</f>
        <v>3.1156425779610419</v>
      </c>
      <c r="O117" s="1620"/>
      <c r="P117" s="883">
        <f>(4*P105/(O105+3*P105)-1)*100</f>
        <v>0.25504330034362699</v>
      </c>
      <c r="Q117" s="883">
        <f>(4*Q105/(O105+P105+2*Q105)-1)*100</f>
        <v>1.6581370660335937</v>
      </c>
      <c r="R117" s="883">
        <f>+(4*R105/R106-1)*100</f>
        <v>2.9938418423244739</v>
      </c>
      <c r="S117" s="1620"/>
      <c r="T117" s="883">
        <f>(4*T105/(S105+3*T105)-1)*100</f>
        <v>0.18420358623243427</v>
      </c>
      <c r="U117" s="883">
        <f>(4*U105/(S105+T105+2*U105)-1)*100</f>
        <v>1.276116178540776</v>
      </c>
      <c r="V117" s="883">
        <f>+(4*V105/V106-1)*100</f>
        <v>0.79832477439298888</v>
      </c>
      <c r="W117" s="1620"/>
      <c r="X117" s="883">
        <f>(4*X105/(W105+3*X105)-1)*100</f>
        <v>0.72356737004206639</v>
      </c>
      <c r="Y117" s="883">
        <f>(4*Y105/(W105+X105+2*Y105)-1)*100</f>
        <v>-7.5536337736648029E-2</v>
      </c>
      <c r="Z117" s="883">
        <f>+(4*Z105/Z106-1)*100</f>
        <v>-0.88263358778626344</v>
      </c>
      <c r="AA117" s="1620"/>
      <c r="AB117" s="883">
        <f>(4*AB105/(AA105+3*AB105)-1)*100</f>
        <v>0.35758255373539161</v>
      </c>
      <c r="AC117" s="883">
        <f>(4*AC105/(AA105+AB105+2*AC105)-1)*100</f>
        <v>0.95794101141111199</v>
      </c>
      <c r="AD117" s="883">
        <f>+(4*AD105/AD106-1)*100</f>
        <v>1.9771273879041873</v>
      </c>
      <c r="AE117" s="1620"/>
      <c r="AF117" s="883">
        <f>(4*AF105/(AE105+3*AF105)-1)*100</f>
        <v>-0.32725185596401696</v>
      </c>
      <c r="AG117" s="883">
        <f>(4*AG105/(AE105+AF105+2*AG105)-1)*100</f>
        <v>0.44759313653177646</v>
      </c>
      <c r="AH117" s="883">
        <f>+(4*AH105/AH106-1)*100</f>
        <v>4.2411504424778812</v>
      </c>
      <c r="AI117" s="1620"/>
      <c r="AJ117" s="883">
        <f>(4*AJ105/(AI105+3*AJ105)-1)*100</f>
        <v>7.7464788732406475E-2</v>
      </c>
      <c r="AK117" s="883">
        <f>(4*AK105/(AI105+AJ105+2*AK105)-1)*100</f>
        <v>0.81575875350383686</v>
      </c>
      <c r="AL117" s="883">
        <f>+(4*AL105/AL106-1)*100</f>
        <v>2.6955123418413995</v>
      </c>
      <c r="AM117" s="1620"/>
      <c r="AN117" s="883">
        <f>(4*AN105/(AM105+3*AN105)-1)*100</f>
        <v>0.67365642077270582</v>
      </c>
      <c r="AO117" s="883">
        <f>(4*AO105/(AM105+AN105+2*AO105)-1)*100</f>
        <v>1.3280667973728955</v>
      </c>
      <c r="AP117" s="883">
        <f>+(4*AP105/AP106-1)*100</f>
        <v>3.888832654300689</v>
      </c>
      <c r="AQ117" s="1620"/>
      <c r="AR117" s="883">
        <f>(4*AR105/(AQ105+3*AR105)-1)*100</f>
        <v>0.85840832497943165</v>
      </c>
      <c r="AS117" s="883">
        <f>(4*AS105/(AQ105+AR105+2*AS105)-1)*100</f>
        <v>2.069716619496309</v>
      </c>
      <c r="AT117" s="883">
        <f>+(4*AT105/AT106-1)*100</f>
        <v>2.7992760936503824</v>
      </c>
      <c r="AU117" s="1620"/>
      <c r="AV117" s="883">
        <f>(4*AV105/(AU105+3*AV105)-1)*100</f>
        <v>0.84841225706180357</v>
      </c>
      <c r="AW117" s="883">
        <f>(4*AW105/(AU105+AV105+2*AW105)-1)*100</f>
        <v>2.1797694325847106</v>
      </c>
      <c r="AX117" s="883">
        <f>+(4*AX105/AX106-1)*100</f>
        <v>4.5189519632370612</v>
      </c>
      <c r="AY117" s="1620"/>
      <c r="AZ117" s="883">
        <f>(4*AZ105/(AY105+3*AZ105)-1)*100</f>
        <v>1.0231245178972781</v>
      </c>
      <c r="BA117" s="883">
        <f>(4*BA105/(AY105+AZ105+2*BA105)-1)*100</f>
        <v>3.5217328704666651</v>
      </c>
      <c r="BB117" s="883">
        <f>+(4*BB105/BB106-1)*100</f>
        <v>5.3169194368562156</v>
      </c>
      <c r="BC117" s="1620"/>
      <c r="BD117" s="883">
        <f>(4*BD105/(BC105+3*BD105)-1)*100</f>
        <v>0.85108083270069024</v>
      </c>
      <c r="BE117" s="883">
        <f>(4*BE105/(BC105+BD105+2*BE105)-1)*100</f>
        <v>0.84485494753907542</v>
      </c>
      <c r="BF117" s="883">
        <f>+(4*BF105/BF106-1)*100</f>
        <v>3.8397961000172565</v>
      </c>
      <c r="BG117" s="1620"/>
      <c r="BH117" s="883">
        <f>(4*BH105/(BG105+3*BH105)-1)*100</f>
        <v>-0.10095222504160617</v>
      </c>
      <c r="BI117" s="883">
        <f>(4*BI105/(BG105+BH105+2*BI105)-1)*100</f>
        <v>-1.3402278276818391</v>
      </c>
      <c r="BJ117" s="883">
        <f>+(4*BJ105/BJ106-1)*100</f>
        <v>-3.821806829290042</v>
      </c>
      <c r="BK117" s="1620"/>
      <c r="BL117" s="883">
        <f>(4*BL105/(BK105+3*BL105)-1)*100</f>
        <v>-0.89463656443373729</v>
      </c>
      <c r="BM117" s="883">
        <f>(4*BM105/(BK105+BL105+2*BM105)-1)*100</f>
        <v>-2.5799439783593225</v>
      </c>
      <c r="BN117" s="883">
        <f>+(4*BN105/BN106-1)*100</f>
        <v>-4.6217356187741139</v>
      </c>
      <c r="BO117" s="1620"/>
      <c r="BP117" s="883">
        <f>(4*BP105/(BO105+3*BP105)-1)*100</f>
        <v>0.10086439703695937</v>
      </c>
      <c r="BQ117" s="883">
        <f>(4*BQ105/(BO105+BP105+2*BQ105)-1)*100</f>
        <v>1.8878241202640034</v>
      </c>
      <c r="BR117" s="883">
        <f>+(4*BR105/BR106-1)*100</f>
        <v>2.4867653624554453</v>
      </c>
      <c r="BS117" s="1620"/>
      <c r="BT117" s="883">
        <f>(4*BT105/(BS105+3*BT105)-1)*100</f>
        <v>0.29546119172707552</v>
      </c>
      <c r="BU117" s="883">
        <f>(4*BU105/(BS105+BT105+2*BU105)-1)*100</f>
        <v>0.96060420902905896</v>
      </c>
      <c r="BV117" s="883">
        <f>+(4*BV105/BV106-1)*100</f>
        <v>1.6906925311092724</v>
      </c>
      <c r="BW117" s="1620"/>
      <c r="BX117" s="883">
        <f>(4*BX105/(BW105+3*BX105)-1)*100</f>
        <v>-0.12731290609849788</v>
      </c>
      <c r="BY117" s="883">
        <f>(4*BY105/(BW105+BX105+2*BY105)-1)*100</f>
        <v>0.20053519885858684</v>
      </c>
      <c r="BZ117" s="883">
        <f>+(4*BZ105/BZ106-1)*100</f>
        <v>0.79464549361856207</v>
      </c>
      <c r="CA117" s="1620"/>
      <c r="CB117" s="883">
        <f>(4*CB105/(CA105+3*CB105)-1)*100</f>
        <v>0.23873007016064207</v>
      </c>
      <c r="CC117" s="883">
        <f>(4*CC105/(CA105+CB105+2*CC105)-1)*100</f>
        <v>1.2369470852806153</v>
      </c>
      <c r="CD117" s="883">
        <f>+(4*CD105/CD106-1)*100</f>
        <v>1.7218958088523584</v>
      </c>
      <c r="CE117" s="1620"/>
      <c r="CF117" s="883">
        <f>(4*CF105/(CE105+3*CF105)-1)*100</f>
        <v>6.4748923131152658E-2</v>
      </c>
      <c r="CG117" s="883">
        <f>(4*CG105/(CE105+CF105+2*CG105)-1)*100</f>
        <v>0.22004704454055002</v>
      </c>
      <c r="CH117" s="883">
        <f>+(4*CH105/CH106-1)*100</f>
        <v>1.1172170039701612</v>
      </c>
      <c r="CI117" s="1620"/>
      <c r="CJ117" s="883">
        <f>(4*CJ105/(CI105+3*CJ105)-1)*100</f>
        <v>0.15172728923673606</v>
      </c>
      <c r="CK117" s="883">
        <f>(4*CK105/(CI105+CJ105+2*CK105)-1)*100</f>
        <v>0.5420987214872941</v>
      </c>
      <c r="CL117" s="883">
        <f>+(4*CL105/CL106-1)*100</f>
        <v>2.8349724540044363E-2</v>
      </c>
      <c r="CM117" s="1620"/>
      <c r="CN117" s="883">
        <f>(4*CN105/(CM105+3*CN105)-1)*100</f>
        <v>0.49135287344528322</v>
      </c>
      <c r="CO117" s="883">
        <f>(4*CO105/(CM105+CN105+2*CO105)-1)*100</f>
        <v>0.66009605535701787</v>
      </c>
      <c r="CP117" s="883">
        <f>+(4*CP105/CP106-1)*100</f>
        <v>1.9761143970811412</v>
      </c>
      <c r="CQ117" s="1620"/>
      <c r="CR117" s="883">
        <f>(4*CR105/(CQ105+3*CR105)-1)*100</f>
        <v>0.32239316614215419</v>
      </c>
      <c r="CS117" s="883">
        <f>(4*CS105/(CQ105+CR105+2*CS105)-1)*100</f>
        <v>0.44302792335453312</v>
      </c>
      <c r="CT117" s="883">
        <f>+(4*CT105/CT106-1)*100</f>
        <v>2.4027593785957535</v>
      </c>
      <c r="CU117" s="1620"/>
      <c r="CV117" s="883">
        <f>(4*CV105/(CU105+3*CV105)-1)*100</f>
        <v>0.18315170381308921</v>
      </c>
      <c r="CW117" s="883">
        <f>(4*CW105/(CU105+CV105+2*CW105)-1)*100</f>
        <v>0.56992211368553924</v>
      </c>
      <c r="CX117" s="883">
        <f>+(4*CX105/CX106-1)*100</f>
        <v>1.1759838262480393</v>
      </c>
      <c r="CY117" s="1620"/>
      <c r="CZ117" s="883">
        <f>(4*CZ105/(CY105+3*CZ105)-1)*100</f>
        <v>0.19421138615778322</v>
      </c>
      <c r="DA117" s="883">
        <f>(4*DA105/(CY105+CZ105+2*DA105)-1)*100</f>
        <v>0.57986237745673019</v>
      </c>
      <c r="DB117" s="883">
        <f>+(4*DB105/DB106-1)*100</f>
        <v>1.1598814496691201</v>
      </c>
    </row>
    <row r="118" spans="1:119" s="884" customFormat="1" ht="30" customHeight="1">
      <c r="A118" s="664"/>
      <c r="B118" s="664"/>
      <c r="C118" s="666"/>
      <c r="D118" s="1041"/>
      <c r="E118" s="3632"/>
      <c r="F118" s="1041"/>
      <c r="G118" s="1044"/>
      <c r="H118" s="1559"/>
      <c r="I118" s="1559"/>
      <c r="J118" s="1559"/>
      <c r="K118" s="1044"/>
      <c r="L118" s="1559"/>
      <c r="M118" s="1559"/>
      <c r="N118" s="1559"/>
      <c r="O118" s="1044"/>
      <c r="P118" s="1559"/>
      <c r="Q118" s="1559"/>
      <c r="R118" s="1559"/>
      <c r="S118" s="1044"/>
      <c r="T118" s="1559"/>
      <c r="U118" s="1559"/>
      <c r="V118" s="1559"/>
      <c r="W118" s="1044"/>
      <c r="X118" s="1559"/>
      <c r="Y118" s="1559"/>
      <c r="Z118" s="1559"/>
      <c r="AA118" s="1044"/>
      <c r="AB118" s="1559"/>
      <c r="AC118" s="1559"/>
      <c r="AD118" s="1559"/>
      <c r="AE118" s="1044"/>
      <c r="AF118" s="1559"/>
      <c r="AG118" s="1559"/>
      <c r="AH118" s="1559"/>
      <c r="AI118" s="1044"/>
      <c r="AJ118" s="1559"/>
      <c r="AK118" s="1559"/>
      <c r="AL118" s="1559"/>
      <c r="AM118" s="1044"/>
      <c r="AN118" s="1559"/>
      <c r="AO118" s="1559"/>
      <c r="AP118" s="1559"/>
      <c r="AQ118" s="1044"/>
      <c r="AR118" s="1559"/>
      <c r="AS118" s="1559"/>
      <c r="AT118" s="1559"/>
      <c r="AU118" s="1044"/>
      <c r="AV118" s="1559"/>
      <c r="AW118" s="1559"/>
      <c r="AX118" s="1559"/>
      <c r="AY118" s="1560"/>
      <c r="AZ118" s="1559"/>
      <c r="BA118" s="1560"/>
      <c r="BB118" s="1560"/>
      <c r="BC118" s="1560"/>
      <c r="BD118" s="1560"/>
      <c r="BE118" s="1560"/>
      <c r="BF118" s="1560"/>
      <c r="BG118" s="1560"/>
      <c r="BH118" s="1560"/>
      <c r="BI118" s="1560"/>
      <c r="BJ118" s="1560"/>
      <c r="BK118" s="1560"/>
      <c r="BL118" s="1560"/>
      <c r="BM118" s="1560"/>
      <c r="BN118" s="1312"/>
      <c r="BO118" s="1560"/>
      <c r="BP118" s="1560"/>
      <c r="BQ118" s="1560"/>
      <c r="BR118" s="1312"/>
      <c r="BS118" s="1560"/>
      <c r="BT118" s="1560"/>
      <c r="BU118" s="1560"/>
      <c r="BV118" s="1312"/>
      <c r="BW118" s="1560"/>
      <c r="BX118" s="1560"/>
      <c r="BY118" s="1560"/>
      <c r="BZ118" s="1560"/>
      <c r="CA118" s="1560"/>
      <c r="CB118" s="1560"/>
      <c r="CC118" s="1560"/>
      <c r="CD118" s="1560"/>
      <c r="CE118" s="1560"/>
      <c r="CF118" s="1560"/>
      <c r="CG118" s="1560"/>
      <c r="CH118" s="1560"/>
      <c r="CI118" s="1560"/>
      <c r="CJ118" s="1560"/>
      <c r="CK118" s="1560"/>
      <c r="CL118" s="1560"/>
      <c r="CM118" s="1560"/>
      <c r="CN118" s="1560"/>
      <c r="CO118" s="1560"/>
      <c r="CP118" s="1560"/>
      <c r="CQ118" s="3729">
        <f>CQ149</f>
        <v>0.96963227363200399</v>
      </c>
      <c r="CR118" s="3729">
        <f t="shared" ref="CR118:DB118" si="300">CR149</f>
        <v>-0.78411506227766825</v>
      </c>
      <c r="CS118" s="3729">
        <f t="shared" si="300"/>
        <v>2.0301694952880922</v>
      </c>
      <c r="CT118" s="3729">
        <f t="shared" si="300"/>
        <v>0.52436901653614143</v>
      </c>
      <c r="CU118" s="3729">
        <f t="shared" si="300"/>
        <v>0.99892643016384974</v>
      </c>
      <c r="CV118" s="3729">
        <f t="shared" si="300"/>
        <v>0.99737581391350105</v>
      </c>
      <c r="CW118" s="3729">
        <f t="shared" si="300"/>
        <v>0.86426948405353454</v>
      </c>
      <c r="CX118" s="3729">
        <f t="shared" si="300"/>
        <v>0.59457503831887559</v>
      </c>
      <c r="CY118" s="3729">
        <f t="shared" si="300"/>
        <v>0.8079110092352495</v>
      </c>
      <c r="CZ118" s="3729">
        <f t="shared" si="300"/>
        <v>0.93684187936210372</v>
      </c>
      <c r="DA118" s="3729">
        <f t="shared" si="300"/>
        <v>0.94052166190287134</v>
      </c>
      <c r="DB118" s="3729">
        <f t="shared" si="300"/>
        <v>0.92032399104302232</v>
      </c>
      <c r="DC118"/>
      <c r="DD118"/>
      <c r="DE118"/>
      <c r="DF118"/>
      <c r="DG118"/>
      <c r="DH118"/>
      <c r="DI118"/>
      <c r="DJ118"/>
      <c r="DK118"/>
      <c r="DL118"/>
      <c r="DM118"/>
      <c r="DN118"/>
      <c r="DO118"/>
    </row>
    <row r="119" spans="1:119" s="884" customFormat="1" ht="30" customHeight="1">
      <c r="A119" s="664"/>
      <c r="B119" s="664"/>
      <c r="C119" s="666"/>
      <c r="D119" s="1041"/>
      <c r="E119" s="3632"/>
      <c r="F119" s="1041"/>
      <c r="G119" s="1044"/>
      <c r="H119" s="1559"/>
      <c r="I119" s="1559"/>
      <c r="J119" s="1559"/>
      <c r="K119" s="1044"/>
      <c r="L119" s="1559"/>
      <c r="M119" s="1559"/>
      <c r="N119" s="1559"/>
      <c r="O119" s="1044"/>
      <c r="P119" s="1559"/>
      <c r="Q119" s="1559"/>
      <c r="R119" s="1559"/>
      <c r="S119" s="1044"/>
      <c r="T119" s="1559"/>
      <c r="U119" s="1559"/>
      <c r="V119" s="1559"/>
      <c r="W119" s="1044"/>
      <c r="X119" s="1559"/>
      <c r="Y119" s="1559"/>
      <c r="Z119" s="1559"/>
      <c r="AA119" s="1044"/>
      <c r="AB119" s="1559"/>
      <c r="AC119" s="1559"/>
      <c r="AD119" s="1559"/>
      <c r="AE119" s="1044"/>
      <c r="AF119" s="1559"/>
      <c r="AG119" s="1559"/>
      <c r="AH119" s="1559"/>
      <c r="AI119" s="1044"/>
      <c r="AJ119" s="1559"/>
      <c r="AK119" s="1559"/>
      <c r="AL119" s="1559"/>
      <c r="AM119" s="1044"/>
      <c r="AN119" s="1559"/>
      <c r="AO119" s="1559"/>
      <c r="AP119" s="1559"/>
      <c r="AQ119" s="1044"/>
      <c r="AR119" s="1559"/>
      <c r="AS119" s="1559"/>
      <c r="AT119" s="1559"/>
      <c r="AU119" s="1044"/>
      <c r="AV119" s="1559"/>
      <c r="AW119" s="1559"/>
      <c r="AX119" s="1559"/>
      <c r="AY119" s="1560"/>
      <c r="AZ119" s="1559"/>
      <c r="BA119" s="1560"/>
      <c r="BB119" s="1560"/>
      <c r="BC119" s="1560"/>
      <c r="BD119" s="1560"/>
      <c r="BE119" s="1560"/>
      <c r="BF119" s="1560"/>
      <c r="BG119" s="1560"/>
      <c r="BH119" s="1560"/>
      <c r="BI119" s="1560"/>
      <c r="BJ119" s="1560"/>
      <c r="BK119" s="1560"/>
      <c r="BL119" s="1560"/>
      <c r="BM119" s="1560"/>
      <c r="BN119" s="1560"/>
      <c r="BO119" s="1560"/>
      <c r="BP119" s="1560"/>
      <c r="BQ119" s="1560"/>
      <c r="BR119" s="1560"/>
      <c r="BS119" s="1560"/>
      <c r="BT119" s="1560"/>
      <c r="BU119" s="1560"/>
      <c r="BV119" s="1560"/>
      <c r="BW119" s="1560"/>
      <c r="BX119" s="1560"/>
      <c r="BY119" s="1560"/>
      <c r="BZ119" s="1560"/>
      <c r="CA119" s="3392" t="s">
        <v>2429</v>
      </c>
      <c r="CB119" s="3393"/>
      <c r="CC119" s="3393"/>
      <c r="CD119" s="3393"/>
      <c r="CE119" s="3393"/>
      <c r="CF119" s="3393"/>
      <c r="CG119" s="3393"/>
      <c r="CH119" s="3393"/>
      <c r="CI119" s="3393"/>
      <c r="CJ119" s="3393"/>
      <c r="CK119" s="3393"/>
      <c r="CL119" s="3229"/>
      <c r="CM119" s="3229"/>
      <c r="CN119" s="3229"/>
      <c r="CO119" s="3229"/>
      <c r="CP119" s="3229">
        <f>CP206</f>
        <v>1.894176087052557</v>
      </c>
      <c r="CQ119" s="3229">
        <f>CQ206</f>
        <v>2.6623883444627463</v>
      </c>
      <c r="CR119" s="3229">
        <f t="shared" ref="CR119:DB119" si="301">CR206</f>
        <v>1.2840006757898377</v>
      </c>
      <c r="CS119" s="3229">
        <f t="shared" si="301"/>
        <v>2.385321100917432</v>
      </c>
      <c r="CT119" s="3229">
        <f t="shared" si="301"/>
        <v>1.4866405995438448</v>
      </c>
      <c r="CU119" s="3229">
        <f t="shared" si="301"/>
        <v>0.7172934141349282</v>
      </c>
      <c r="CV119" s="3229">
        <f t="shared" si="301"/>
        <v>0.71735688560220434</v>
      </c>
      <c r="CW119" s="3229">
        <f t="shared" si="301"/>
        <v>0.71742036040082702</v>
      </c>
      <c r="CX119" s="3229">
        <f t="shared" si="301"/>
        <v>0.73705413590036328</v>
      </c>
      <c r="CY119" s="3229">
        <f t="shared" si="301"/>
        <v>1.0565291535579697</v>
      </c>
      <c r="CZ119" s="3229">
        <f t="shared" si="301"/>
        <v>1.107003192825434</v>
      </c>
      <c r="DA119" s="3229">
        <f t="shared" si="301"/>
        <v>1.1092802960500661</v>
      </c>
      <c r="DB119" s="3229">
        <f t="shared" si="301"/>
        <v>1.0989007179173624</v>
      </c>
      <c r="DC119"/>
      <c r="DD119"/>
      <c r="DE119"/>
      <c r="DF119"/>
      <c r="DG119"/>
      <c r="DH119"/>
      <c r="DI119"/>
      <c r="DJ119"/>
      <c r="DK119"/>
      <c r="DL119"/>
      <c r="DM119"/>
      <c r="DN119"/>
      <c r="DO119"/>
    </row>
    <row r="120" spans="1:119" ht="30" customHeight="1">
      <c r="C120" s="3766" t="s">
        <v>1550</v>
      </c>
      <c r="D120" s="3766"/>
      <c r="E120" s="3766"/>
      <c r="F120" s="3766"/>
      <c r="BN120" s="1693">
        <f>BN264</f>
        <v>-14.933594183936719</v>
      </c>
      <c r="BR120" s="1693">
        <f>BR264</f>
        <v>1.6835163400115363</v>
      </c>
      <c r="BV120" s="1693">
        <f>BV264</f>
        <v>6.026099302924564</v>
      </c>
      <c r="BZ120" s="1693">
        <f>BZ264</f>
        <v>3.8202458900560572</v>
      </c>
      <c r="CA120" s="1287"/>
      <c r="CD120" s="1693">
        <f>CD264</f>
        <v>3.5066113559761476</v>
      </c>
      <c r="CH120" s="3056">
        <f>CH264</f>
        <v>3.5456196380487199</v>
      </c>
      <c r="CL120" s="1693">
        <f ca="1">CL264-CL265</f>
        <v>-7.1747787159779364E-3</v>
      </c>
      <c r="CM120" s="557"/>
      <c r="CN120" s="557"/>
      <c r="CO120" s="557"/>
      <c r="CP120" s="1693">
        <f ca="1">CP264-CP265</f>
        <v>-7.9565357451514274E-3</v>
      </c>
      <c r="CQ120" s="557">
        <v>0</v>
      </c>
      <c r="CR120" s="557">
        <v>-0.14729999999999932</v>
      </c>
      <c r="CS120" s="557">
        <v>0.24</v>
      </c>
      <c r="CT120" s="1693">
        <v>-0.33385810559559315</v>
      </c>
      <c r="CU120" s="557"/>
      <c r="CV120" s="557"/>
      <c r="CW120" s="557"/>
      <c r="CX120" s="1693"/>
      <c r="CY120" s="557"/>
      <c r="CZ120" s="557"/>
      <c r="DA120" s="557"/>
      <c r="DB120" s="1693">
        <f ca="1">DB264-DB265</f>
        <v>2.9574596246106921E-4</v>
      </c>
    </row>
    <row r="121" spans="1:119" s="884" customFormat="1" ht="12.75" customHeight="1">
      <c r="A121" s="664"/>
      <c r="B121" s="664"/>
      <c r="C121" s="666"/>
      <c r="D121" s="1041"/>
      <c r="E121" s="3632"/>
      <c r="F121" s="1041"/>
      <c r="G121" s="1044"/>
      <c r="H121" s="1559"/>
      <c r="I121" s="1559"/>
      <c r="J121" s="1559"/>
      <c r="K121" s="1044"/>
      <c r="L121" s="1559"/>
      <c r="M121" s="1559"/>
      <c r="N121" s="1559"/>
      <c r="O121" s="1044"/>
      <c r="P121" s="1559"/>
      <c r="Q121" s="1559"/>
      <c r="R121" s="1559"/>
      <c r="S121" s="1044"/>
      <c r="T121" s="1559"/>
      <c r="U121" s="1559"/>
      <c r="V121" s="1559"/>
      <c r="W121" s="1044"/>
      <c r="X121" s="1559"/>
      <c r="Y121" s="1559"/>
      <c r="Z121" s="1559"/>
      <c r="AA121" s="1044"/>
      <c r="AB121" s="1559"/>
      <c r="AC121" s="1559"/>
      <c r="AD121" s="1559"/>
      <c r="AE121" s="1044"/>
      <c r="AF121" s="1559"/>
      <c r="AG121" s="1559"/>
      <c r="AH121" s="1559"/>
      <c r="AI121" s="1044"/>
      <c r="AJ121" s="1559"/>
      <c r="AK121" s="1559"/>
      <c r="AL121" s="1559"/>
      <c r="AM121" s="1044"/>
      <c r="AN121" s="1559"/>
      <c r="AO121" s="1559"/>
      <c r="AP121" s="1559"/>
      <c r="AQ121" s="1044"/>
      <c r="AR121" s="1559"/>
      <c r="AS121" s="1559"/>
      <c r="AT121" s="1559"/>
      <c r="AU121" s="1044"/>
      <c r="AV121" s="1559"/>
      <c r="AW121" s="1559"/>
      <c r="AX121" s="1559"/>
      <c r="AY121" s="1560"/>
      <c r="AZ121" s="1559"/>
      <c r="BA121" s="1560"/>
      <c r="BB121" s="1560"/>
      <c r="BC121" s="1560"/>
      <c r="BD121" s="1560"/>
      <c r="BE121" s="1560"/>
      <c r="BF121" s="1560"/>
      <c r="BG121" s="1560"/>
      <c r="BH121" s="1560"/>
      <c r="BI121" s="1560"/>
      <c r="BJ121" s="1560"/>
      <c r="BK121" s="1044">
        <f t="shared" ref="BK121:CA121" si="302">BK15</f>
        <v>-13.108403623867538</v>
      </c>
      <c r="BL121" s="1044">
        <f t="shared" si="302"/>
        <v>-1.058459768461939</v>
      </c>
      <c r="BM121" s="1044">
        <f t="shared" si="302"/>
        <v>0.5886713469672511</v>
      </c>
      <c r="BN121" s="1044">
        <f t="shared" si="302"/>
        <v>-1.5447083983584742</v>
      </c>
      <c r="BO121" s="1044">
        <f t="shared" si="302"/>
        <v>0.98334189476771972</v>
      </c>
      <c r="BP121" s="1044">
        <f t="shared" si="302"/>
        <v>1.6728435433471578</v>
      </c>
      <c r="BQ121" s="1044">
        <f t="shared" si="302"/>
        <v>-6.861455772200209E-2</v>
      </c>
      <c r="BR121" s="1044">
        <f t="shared" si="302"/>
        <v>2.4846941694798952</v>
      </c>
      <c r="BS121" s="3206">
        <f t="shared" si="302"/>
        <v>1.903831390885613</v>
      </c>
      <c r="BT121" s="3206">
        <f t="shared" si="302"/>
        <v>1.5915845991590238</v>
      </c>
      <c r="BU121" s="3206">
        <f t="shared" si="302"/>
        <v>0.51637432419677776</v>
      </c>
      <c r="BV121" s="3206">
        <f t="shared" si="302"/>
        <v>1.2313222630576437</v>
      </c>
      <c r="BW121" s="3206">
        <f t="shared" si="302"/>
        <v>0.70224719101124045</v>
      </c>
      <c r="BX121" s="3206">
        <f t="shared" si="302"/>
        <v>0.1434172784926746</v>
      </c>
      <c r="BY121" s="1044">
        <f t="shared" si="302"/>
        <v>2.5055511029943078</v>
      </c>
      <c r="BZ121" s="1044">
        <f t="shared" si="302"/>
        <v>0.5268015073444543</v>
      </c>
      <c r="CA121" s="1044">
        <f t="shared" si="302"/>
        <v>0.21038136403626062</v>
      </c>
      <c r="CB121" s="1044">
        <f t="shared" ref="CB121:CH121" si="303">CB15</f>
        <v>0.90973865689492062</v>
      </c>
      <c r="CC121" s="1044">
        <f t="shared" si="303"/>
        <v>1.3504142026756316</v>
      </c>
      <c r="CD121" s="1044">
        <f t="shared" si="303"/>
        <v>0.89201293854193064</v>
      </c>
      <c r="CE121" s="1044">
        <f>CE15</f>
        <v>1.2330912364205915</v>
      </c>
      <c r="CF121" s="1044">
        <f t="shared" si="303"/>
        <v>0.66628500432412974</v>
      </c>
      <c r="CG121" s="1044">
        <f t="shared" si="303"/>
        <v>0.29040220705676134</v>
      </c>
      <c r="CH121" s="1044">
        <f t="shared" si="303"/>
        <v>0.23526856811930674</v>
      </c>
      <c r="CI121" s="1044">
        <f t="shared" ref="CI121:CO121" si="304">CI15</f>
        <v>0.47424740307415725</v>
      </c>
      <c r="CJ121" s="1044">
        <f>CJ15</f>
        <v>0.85776239023396261</v>
      </c>
      <c r="CK121" s="1044">
        <f t="shared" si="304"/>
        <v>0.74237727018968691</v>
      </c>
      <c r="CL121" s="1044">
        <f t="shared" si="304"/>
        <v>0.14030702478364798</v>
      </c>
      <c r="CM121" s="1044">
        <f t="shared" si="304"/>
        <v>0.33909081275829145</v>
      </c>
      <c r="CN121" s="1044">
        <f t="shared" si="304"/>
        <v>0.63482005608945791</v>
      </c>
      <c r="CO121" s="1044">
        <f t="shared" si="304"/>
        <v>1.033091579021006</v>
      </c>
      <c r="CP121" s="1044">
        <f>CP15</f>
        <v>1.1714061490167182</v>
      </c>
      <c r="CQ121" s="3229">
        <f t="shared" ref="CQ121:CX121" si="305">CQ15</f>
        <v>1.0859769800257935</v>
      </c>
      <c r="CR121" s="1044">
        <f t="shared" si="305"/>
        <v>0.71771144840040435</v>
      </c>
      <c r="CS121" s="1044">
        <f t="shared" si="305"/>
        <v>0.54789302080648916</v>
      </c>
      <c r="CT121" s="1044">
        <f t="shared" si="305"/>
        <v>1.3505683084466202</v>
      </c>
      <c r="CU121" s="1044">
        <f t="shared" si="305"/>
        <v>0.64000000000000046</v>
      </c>
      <c r="CV121" s="1044">
        <f t="shared" si="305"/>
        <v>0.64000000000000268</v>
      </c>
      <c r="CW121" s="1044">
        <f t="shared" si="305"/>
        <v>0.63999999999999979</v>
      </c>
      <c r="CX121" s="1044">
        <f t="shared" si="305"/>
        <v>0.72489778708730856</v>
      </c>
      <c r="CY121" s="1044">
        <f t="shared" ref="CY121:DB121" si="306">CY15</f>
        <v>0.64000000000000046</v>
      </c>
      <c r="CZ121" s="1044">
        <f t="shared" si="306"/>
        <v>0.64000000000000123</v>
      </c>
      <c r="DA121" s="1044">
        <f t="shared" si="306"/>
        <v>0.64000000000000123</v>
      </c>
      <c r="DB121" s="1044">
        <f t="shared" si="306"/>
        <v>0.61512319845919095</v>
      </c>
      <c r="DC121"/>
      <c r="DD121"/>
      <c r="DE121"/>
      <c r="DF121"/>
      <c r="DG121"/>
      <c r="DH121"/>
      <c r="DI121"/>
      <c r="DJ121"/>
      <c r="DK121"/>
      <c r="DL121"/>
      <c r="DM121"/>
      <c r="DN121"/>
      <c r="DO121"/>
    </row>
    <row r="122" spans="1:119">
      <c r="E122" s="599"/>
      <c r="F122" s="3617"/>
      <c r="G122" s="3763">
        <f ca="1">OFFSET(InputY!$G$3,0,(COLUMN()-7)/4)</f>
        <v>1995</v>
      </c>
      <c r="H122" s="3764"/>
      <c r="I122" s="3764"/>
      <c r="J122" s="3765"/>
      <c r="K122" s="3763">
        <f ca="1">OFFSET(InputY!$G$3,0,(COLUMN()-7)/4)</f>
        <v>1996</v>
      </c>
      <c r="L122" s="3764"/>
      <c r="M122" s="3764"/>
      <c r="N122" s="3765"/>
      <c r="O122" s="3763">
        <f ca="1">OFFSET(InputY!$G$3,0,(COLUMN()-7)/4)</f>
        <v>1997</v>
      </c>
      <c r="P122" s="3764"/>
      <c r="Q122" s="3764"/>
      <c r="R122" s="3765"/>
      <c r="S122" s="3763">
        <f ca="1">OFFSET(InputY!$G$3,0,(COLUMN()-7)/4)</f>
        <v>1998</v>
      </c>
      <c r="T122" s="3764"/>
      <c r="U122" s="3764"/>
      <c r="V122" s="3765"/>
      <c r="W122" s="3763">
        <f ca="1">OFFSET(InputY!$G$3,0,(COLUMN()-7)/4)</f>
        <v>1999</v>
      </c>
      <c r="X122" s="3764"/>
      <c r="Y122" s="3764"/>
      <c r="Z122" s="3765"/>
      <c r="AA122" s="3763">
        <f ca="1">OFFSET(InputY!$G$3,0,(COLUMN()-7)/4)</f>
        <v>2000</v>
      </c>
      <c r="AB122" s="3764"/>
      <c r="AC122" s="3764"/>
      <c r="AD122" s="3765"/>
      <c r="AE122" s="3763">
        <f ca="1">OFFSET(InputY!$G$3,0,(COLUMN()-7)/4)</f>
        <v>2001</v>
      </c>
      <c r="AF122" s="3764"/>
      <c r="AG122" s="3764"/>
      <c r="AH122" s="3765"/>
      <c r="AI122" s="3763">
        <f ca="1">OFFSET(InputY!$G$3,0,(COLUMN()-7)/4)</f>
        <v>2002</v>
      </c>
      <c r="AJ122" s="3764"/>
      <c r="AK122" s="3764"/>
      <c r="AL122" s="3765"/>
      <c r="AM122" s="3763">
        <f ca="1">OFFSET(InputY!$G$3,0,(COLUMN()-7)/4)</f>
        <v>2003</v>
      </c>
      <c r="AN122" s="3764"/>
      <c r="AO122" s="3764"/>
      <c r="AP122" s="3765"/>
      <c r="AQ122" s="3763">
        <f ca="1">OFFSET(InputY!$G$3,0,(COLUMN()-7)/4)</f>
        <v>2004</v>
      </c>
      <c r="AR122" s="3764"/>
      <c r="AS122" s="3764"/>
      <c r="AT122" s="3765"/>
      <c r="AU122" s="3763">
        <f ca="1">OFFSET(InputY!$G$3,0,(COLUMN()-7)/4)</f>
        <v>2005</v>
      </c>
      <c r="AV122" s="3764"/>
      <c r="AW122" s="3764"/>
      <c r="AX122" s="3765"/>
      <c r="AY122" s="3763">
        <f ca="1">OFFSET(InputY!$G$3,0,(COLUMN()-7)/4)</f>
        <v>2006</v>
      </c>
      <c r="AZ122" s="3764"/>
      <c r="BA122" s="3764"/>
      <c r="BB122" s="3765"/>
      <c r="BC122" s="3763">
        <f ca="1">OFFSET(InputY!$G$3,0,(COLUMN()-7)/4)</f>
        <v>2007</v>
      </c>
      <c r="BD122" s="3764"/>
      <c r="BE122" s="3764"/>
      <c r="BF122" s="3765"/>
      <c r="BG122" s="3763">
        <f ca="1">OFFSET(InputY!$G$3,0,(COLUMN()-7)/4)</f>
        <v>2008</v>
      </c>
      <c r="BH122" s="3764"/>
      <c r="BI122" s="3764"/>
      <c r="BJ122" s="3765"/>
      <c r="BK122" s="3763">
        <f ca="1">OFFSET(InputY!$G$3,0,(COLUMN()-7)/4)</f>
        <v>2009</v>
      </c>
      <c r="BL122" s="3764"/>
      <c r="BM122" s="3764"/>
      <c r="BN122" s="3765"/>
      <c r="BO122" s="3763">
        <f ca="1">OFFSET(InputY!$G$3,0,(COLUMN()-7)/4)</f>
        <v>2010</v>
      </c>
      <c r="BP122" s="3764"/>
      <c r="BQ122" s="3764"/>
      <c r="BR122" s="3765"/>
      <c r="BS122" s="3763">
        <f ca="1">OFFSET(InputY!$G$3,0,(COLUMN()-7)/4)</f>
        <v>2011</v>
      </c>
      <c r="BT122" s="3764"/>
      <c r="BU122" s="3764"/>
      <c r="BV122" s="3765"/>
      <c r="BW122" s="3763">
        <f ca="1">OFFSET(InputY!$G$3,0,(COLUMN()-7)/4)</f>
        <v>2012</v>
      </c>
      <c r="BX122" s="3764"/>
      <c r="BY122" s="3764"/>
      <c r="BZ122" s="3765"/>
      <c r="CA122" s="3763">
        <f ca="1">OFFSET(InputY!$G$3,0,(COLUMN()-7)/4)</f>
        <v>2013</v>
      </c>
      <c r="CB122" s="3764"/>
      <c r="CC122" s="3764"/>
      <c r="CD122" s="3765"/>
      <c r="CE122" s="3763">
        <f ca="1">OFFSET(InputY!$G$3,0,(COLUMN()-7)/4)</f>
        <v>2014</v>
      </c>
      <c r="CF122" s="3764"/>
      <c r="CG122" s="3764"/>
      <c r="CH122" s="3765"/>
      <c r="CI122" s="3763">
        <f ca="1">OFFSET(InputY!$G$3,0,(COLUMN()-7)/4)</f>
        <v>2015</v>
      </c>
      <c r="CJ122" s="3764"/>
      <c r="CK122" s="3764"/>
      <c r="CL122" s="3765"/>
      <c r="CM122" s="3763">
        <f ca="1">OFFSET(InputY!$G$3,0,(COLUMN()-7)/4)</f>
        <v>2016</v>
      </c>
      <c r="CN122" s="3764"/>
      <c r="CO122" s="3764"/>
      <c r="CP122" s="3765"/>
      <c r="CQ122" s="3763">
        <f ca="1">OFFSET(InputY!$G$3,0,(COLUMN()-7)/4)</f>
        <v>2017</v>
      </c>
      <c r="CR122" s="3764"/>
      <c r="CS122" s="3764"/>
      <c r="CT122" s="3765"/>
      <c r="CU122" s="3763">
        <f ca="1">OFFSET(InputY!$G$3,0,(COLUMN()-7)/4)</f>
        <v>2018</v>
      </c>
      <c r="CV122" s="3764"/>
      <c r="CW122" s="3764"/>
      <c r="CX122" s="3765"/>
      <c r="CY122" s="3763">
        <f ca="1">OFFSET(InputY!$G$3,0,(COLUMN()-7)/4)</f>
        <v>2019</v>
      </c>
      <c r="CZ122" s="3764"/>
      <c r="DA122" s="3764"/>
      <c r="DB122" s="3765"/>
    </row>
    <row r="123" spans="1:119" s="699" customFormat="1" ht="12.75" customHeight="1">
      <c r="A123" s="664"/>
      <c r="B123" s="664"/>
      <c r="C123" s="666"/>
      <c r="D123" s="695"/>
      <c r="E123" s="3618" t="s">
        <v>1892</v>
      </c>
      <c r="F123" s="3619"/>
      <c r="G123" s="1566" t="s">
        <v>1842</v>
      </c>
      <c r="H123" s="1567" t="s">
        <v>1843</v>
      </c>
      <c r="I123" s="1567" t="s">
        <v>1844</v>
      </c>
      <c r="J123" s="1568" t="s">
        <v>1845</v>
      </c>
      <c r="K123" s="1566" t="s">
        <v>1842</v>
      </c>
      <c r="L123" s="1567" t="s">
        <v>1843</v>
      </c>
      <c r="M123" s="1567" t="s">
        <v>1844</v>
      </c>
      <c r="N123" s="1568" t="s">
        <v>1845</v>
      </c>
      <c r="O123" s="1566" t="s">
        <v>1842</v>
      </c>
      <c r="P123" s="1567" t="s">
        <v>1843</v>
      </c>
      <c r="Q123" s="1567" t="s">
        <v>1844</v>
      </c>
      <c r="R123" s="1568" t="s">
        <v>1845</v>
      </c>
      <c r="S123" s="1566" t="s">
        <v>1842</v>
      </c>
      <c r="T123" s="1567" t="s">
        <v>1843</v>
      </c>
      <c r="U123" s="1567" t="s">
        <v>1844</v>
      </c>
      <c r="V123" s="1568" t="s">
        <v>1845</v>
      </c>
      <c r="W123" s="1566" t="s">
        <v>1842</v>
      </c>
      <c r="X123" s="1567" t="s">
        <v>1843</v>
      </c>
      <c r="Y123" s="1567" t="s">
        <v>1844</v>
      </c>
      <c r="Z123" s="1568" t="s">
        <v>1845</v>
      </c>
      <c r="AA123" s="1566" t="s">
        <v>1842</v>
      </c>
      <c r="AB123" s="1567" t="s">
        <v>1843</v>
      </c>
      <c r="AC123" s="1567" t="s">
        <v>1844</v>
      </c>
      <c r="AD123" s="1568" t="s">
        <v>1845</v>
      </c>
      <c r="AE123" s="1566" t="s">
        <v>1842</v>
      </c>
      <c r="AF123" s="1567" t="s">
        <v>1843</v>
      </c>
      <c r="AG123" s="1567" t="s">
        <v>1844</v>
      </c>
      <c r="AH123" s="1568" t="s">
        <v>1845</v>
      </c>
      <c r="AI123" s="1566" t="s">
        <v>1842</v>
      </c>
      <c r="AJ123" s="1567" t="s">
        <v>1843</v>
      </c>
      <c r="AK123" s="1567" t="s">
        <v>1844</v>
      </c>
      <c r="AL123" s="1568" t="s">
        <v>1845</v>
      </c>
      <c r="AM123" s="1566" t="s">
        <v>1842</v>
      </c>
      <c r="AN123" s="1567" t="s">
        <v>1843</v>
      </c>
      <c r="AO123" s="1567" t="s">
        <v>1844</v>
      </c>
      <c r="AP123" s="1568" t="s">
        <v>1845</v>
      </c>
      <c r="AQ123" s="1566" t="s">
        <v>1842</v>
      </c>
      <c r="AR123" s="1567" t="s">
        <v>1843</v>
      </c>
      <c r="AS123" s="1567" t="s">
        <v>1844</v>
      </c>
      <c r="AT123" s="1568" t="s">
        <v>1845</v>
      </c>
      <c r="AU123" s="1566" t="s">
        <v>1842</v>
      </c>
      <c r="AV123" s="1567" t="s">
        <v>1843</v>
      </c>
      <c r="AW123" s="1567" t="s">
        <v>1844</v>
      </c>
      <c r="AX123" s="1568" t="s">
        <v>1845</v>
      </c>
      <c r="AY123" s="1566" t="s">
        <v>1842</v>
      </c>
      <c r="AZ123" s="1567" t="s">
        <v>1843</v>
      </c>
      <c r="BA123" s="1567" t="s">
        <v>1844</v>
      </c>
      <c r="BB123" s="1568" t="s">
        <v>1845</v>
      </c>
      <c r="BC123" s="1566" t="s">
        <v>1842</v>
      </c>
      <c r="BD123" s="1567" t="s">
        <v>1843</v>
      </c>
      <c r="BE123" s="1567" t="s">
        <v>1844</v>
      </c>
      <c r="BF123" s="1568" t="s">
        <v>1845</v>
      </c>
      <c r="BG123" s="1566" t="s">
        <v>1842</v>
      </c>
      <c r="BH123" s="1567" t="s">
        <v>1843</v>
      </c>
      <c r="BI123" s="1567" t="s">
        <v>1844</v>
      </c>
      <c r="BJ123" s="1568" t="s">
        <v>1845</v>
      </c>
      <c r="BK123" s="1566" t="s">
        <v>1842</v>
      </c>
      <c r="BL123" s="1567" t="s">
        <v>1843</v>
      </c>
      <c r="BM123" s="1567" t="s">
        <v>1844</v>
      </c>
      <c r="BN123" s="1568" t="s">
        <v>1845</v>
      </c>
      <c r="BO123" s="1566" t="s">
        <v>1842</v>
      </c>
      <c r="BP123" s="1567" t="s">
        <v>1843</v>
      </c>
      <c r="BQ123" s="1567" t="s">
        <v>1844</v>
      </c>
      <c r="BR123" s="1568" t="s">
        <v>1845</v>
      </c>
      <c r="BS123" s="1566" t="s">
        <v>1842</v>
      </c>
      <c r="BT123" s="1567" t="s">
        <v>1843</v>
      </c>
      <c r="BU123" s="1567" t="s">
        <v>1844</v>
      </c>
      <c r="BV123" s="1568" t="s">
        <v>1845</v>
      </c>
      <c r="BW123" s="1566" t="s">
        <v>1842</v>
      </c>
      <c r="BX123" s="1567" t="s">
        <v>1843</v>
      </c>
      <c r="BY123" s="1567" t="s">
        <v>1844</v>
      </c>
      <c r="BZ123" s="1568" t="s">
        <v>1845</v>
      </c>
      <c r="CA123" s="1566" t="s">
        <v>1842</v>
      </c>
      <c r="CB123" s="1567" t="s">
        <v>1843</v>
      </c>
      <c r="CC123" s="1567" t="s">
        <v>1844</v>
      </c>
      <c r="CD123" s="1568" t="s">
        <v>1845</v>
      </c>
      <c r="CE123" s="1566" t="s">
        <v>1842</v>
      </c>
      <c r="CF123" s="1567" t="s">
        <v>1843</v>
      </c>
      <c r="CG123" s="1567" t="s">
        <v>1844</v>
      </c>
      <c r="CH123" s="1568" t="s">
        <v>1845</v>
      </c>
      <c r="CI123" s="1566" t="s">
        <v>1842</v>
      </c>
      <c r="CJ123" s="1567" t="s">
        <v>1843</v>
      </c>
      <c r="CK123" s="1567" t="s">
        <v>1844</v>
      </c>
      <c r="CL123" s="1568" t="s">
        <v>1845</v>
      </c>
      <c r="CM123" s="1566" t="s">
        <v>1842</v>
      </c>
      <c r="CN123" s="1567" t="s">
        <v>1843</v>
      </c>
      <c r="CO123" s="1567" t="s">
        <v>1844</v>
      </c>
      <c r="CP123" s="1568" t="s">
        <v>1845</v>
      </c>
      <c r="CQ123" s="1566" t="s">
        <v>1842</v>
      </c>
      <c r="CR123" s="1567" t="s">
        <v>1843</v>
      </c>
      <c r="CS123" s="1567" t="s">
        <v>1844</v>
      </c>
      <c r="CT123" s="1568" t="s">
        <v>1845</v>
      </c>
      <c r="CU123" s="1566" t="s">
        <v>1842</v>
      </c>
      <c r="CV123" s="1567" t="s">
        <v>1843</v>
      </c>
      <c r="CW123" s="1567" t="s">
        <v>1844</v>
      </c>
      <c r="CX123" s="1568" t="s">
        <v>1845</v>
      </c>
      <c r="CY123" s="1566" t="s">
        <v>1842</v>
      </c>
      <c r="CZ123" s="1567" t="s">
        <v>1843</v>
      </c>
      <c r="DA123" s="1567" t="s">
        <v>1844</v>
      </c>
      <c r="DB123" s="1568" t="s">
        <v>1845</v>
      </c>
      <c r="DC123"/>
      <c r="DD123"/>
      <c r="DE123"/>
      <c r="DF123"/>
      <c r="DG123"/>
      <c r="DH123"/>
      <c r="DI123"/>
      <c r="DJ123"/>
      <c r="DK123"/>
      <c r="DL123"/>
      <c r="DM123"/>
      <c r="DN123"/>
      <c r="DO123"/>
    </row>
    <row r="124" spans="1:119" s="699" customFormat="1" ht="12.75" customHeight="1">
      <c r="A124" s="664" t="str">
        <f>"Q" &amp; ROW(InputQ!A8)</f>
        <v>Q8</v>
      </c>
      <c r="C124" s="667"/>
      <c r="D124" s="668"/>
      <c r="E124" s="3620" t="s">
        <v>1567</v>
      </c>
      <c r="F124" s="3621"/>
      <c r="G124" s="780">
        <f>InputQ!G8/1000</f>
        <v>-2.1055375347544043E-2</v>
      </c>
      <c r="H124" s="780">
        <f>InputQ!H8/1000</f>
        <v>-8.4511121408711795E-2</v>
      </c>
      <c r="I124" s="780">
        <f>InputQ!I8/1000</f>
        <v>-6.9335032437442073E-2</v>
      </c>
      <c r="J124" s="780">
        <f>InputQ!J8/1000</f>
        <v>-0.11040315106580163</v>
      </c>
      <c r="K124" s="780">
        <f>InputQ!K8/1000</f>
        <v>-0.11173540315106584</v>
      </c>
      <c r="L124" s="780">
        <f>InputQ!L8/1000</f>
        <v>-9.1143419833178876E-2</v>
      </c>
      <c r="M124" s="780">
        <f>InputQ!M8/1000</f>
        <v>-3.8635310472659799E-2</v>
      </c>
      <c r="N124" s="780">
        <f>InputQ!N8/1000</f>
        <v>-5.1610287303058444E-2</v>
      </c>
      <c r="O124" s="780">
        <f>InputQ!O8/1000</f>
        <v>-1.1324142724745115E-2</v>
      </c>
      <c r="P124" s="780">
        <f>InputQ!P8/1000</f>
        <v>-3.4754402224291425E-4</v>
      </c>
      <c r="Q124" s="780">
        <f>InputQ!Q8/1000</f>
        <v>-6.4382530120481993E-2</v>
      </c>
      <c r="R124" s="780">
        <f>InputQ!R8/1000</f>
        <v>3.5565338276181593E-2</v>
      </c>
      <c r="S124" s="780">
        <f>InputQ!S8/1000</f>
        <v>-2.7166357738646865E-2</v>
      </c>
      <c r="T124" s="780">
        <f>InputQ!T8/1000</f>
        <v>-2.2879981464318461E-3</v>
      </c>
      <c r="U124" s="780">
        <f>InputQ!U8/1000</f>
        <v>1.734823911028718E-2</v>
      </c>
      <c r="V124" s="780">
        <f>InputQ!V8/1000</f>
        <v>-7.2549814643188146E-2</v>
      </c>
      <c r="W124" s="780">
        <f>InputQ!W8/1000</f>
        <v>-5.7518535681186221E-2</v>
      </c>
      <c r="X124" s="780">
        <f>InputQ!X8/1000</f>
        <v>-6.0414735866543084E-2</v>
      </c>
      <c r="Y124" s="780">
        <f>InputQ!Y8/1000</f>
        <v>-5.9893419833178765E-2</v>
      </c>
      <c r="Z124" s="780">
        <f>InputQ!Z8/1000</f>
        <v>-2.8382761816496783E-2</v>
      </c>
      <c r="AA124" s="780">
        <f>InputQ!AA8/1000</f>
        <v>-4.266102873030593E-2</v>
      </c>
      <c r="AB124" s="780">
        <f>InputQ!AB8/1000</f>
        <v>-4.7352873030583852E-2</v>
      </c>
      <c r="AC124" s="780">
        <f>InputQ!AC8/1000</f>
        <v>-7.4837812789620109E-2</v>
      </c>
      <c r="AD124" s="780">
        <f>InputQ!AD8/1000</f>
        <v>-8.7639017608897127E-2</v>
      </c>
      <c r="AE124" s="780">
        <f>InputQ!AE8/1000</f>
        <v>-7.5677710843373353E-2</v>
      </c>
      <c r="AF124" s="780">
        <f>InputQ!AF8/1000</f>
        <v>-4.8627201112140708E-2</v>
      </c>
      <c r="AG124" s="780">
        <f>InputQ!AG8/1000</f>
        <v>-3.4725440222428232E-2</v>
      </c>
      <c r="AH124" s="780">
        <f>InputQ!AH8/1000</f>
        <v>-2.5631371640407793E-2</v>
      </c>
      <c r="AI124" s="780">
        <f>InputQ!AI8/1000</f>
        <v>-2.930954587581084E-2</v>
      </c>
      <c r="AJ124" s="780">
        <f>InputQ!AJ8/1000</f>
        <v>3.2784986098239072E-2</v>
      </c>
      <c r="AK124" s="780">
        <f>InputQ!AK8/1000</f>
        <v>2.1084337349397627E-2</v>
      </c>
      <c r="AL124" s="780">
        <f>InputQ!AL8/1000</f>
        <v>-4.5962696941612764E-2</v>
      </c>
      <c r="AM124" s="780">
        <f>InputQ!AM8/1000</f>
        <v>-4.5615152919369732E-2</v>
      </c>
      <c r="AN124" s="780">
        <f>InputQ!AN8/1000</f>
        <v>-1.8130213160333596E-2</v>
      </c>
      <c r="AO124" s="780">
        <f>InputQ!AO8/1000</f>
        <v>4.7584569045412424E-2</v>
      </c>
      <c r="AP124" s="780">
        <f>InputQ!AP8/1000</f>
        <v>5.9053521779425293E-2</v>
      </c>
      <c r="AQ124" s="780">
        <f>InputQ!AQ8/1000</f>
        <v>0.13997335495829452</v>
      </c>
      <c r="AR124" s="780">
        <f>InputQ!AR8/1000</f>
        <v>9.5198100092678262E-2</v>
      </c>
      <c r="AS124" s="780">
        <f>InputQ!AS8/1000</f>
        <v>5.8561167747914852E-2</v>
      </c>
      <c r="AT124" s="780">
        <f>InputQ!AT8/1000</f>
        <v>0.10805722891566279</v>
      </c>
      <c r="AU124" s="780">
        <f>InputQ!AU8/1000</f>
        <v>-8.0400000000000096E-2</v>
      </c>
      <c r="AV124" s="780">
        <f>InputQ!AV8/1000</f>
        <v>4.5099999999999911E-2</v>
      </c>
      <c r="AW124" s="780">
        <f>InputQ!AW8/1000</f>
        <v>-0.12470000000000005</v>
      </c>
      <c r="AX124" s="780">
        <f>InputQ!AX8/1000</f>
        <v>1.4299999999999955E-2</v>
      </c>
      <c r="AY124" s="780">
        <f>InputQ!AY8/1000</f>
        <v>-5.3999999999998632E-3</v>
      </c>
      <c r="AZ124" s="780">
        <f>InputQ!AZ8/1000</f>
        <v>-0.26190000000000008</v>
      </c>
      <c r="BA124" s="780">
        <f>InputQ!BA8/1000</f>
        <v>-0.19</v>
      </c>
      <c r="BB124" s="780">
        <f>InputQ!BB8/1000</f>
        <v>-8.5100000000000134E-2</v>
      </c>
      <c r="BC124" s="780">
        <f>InputQ!BC8/1000</f>
        <v>-0.14980000000000018</v>
      </c>
      <c r="BD124" s="780">
        <f>InputQ!BD8/1000</f>
        <v>-2.0699999999999819E-2</v>
      </c>
      <c r="BE124" s="780">
        <f>InputQ!BE8/1000</f>
        <v>-3.3099999999999907E-2</v>
      </c>
      <c r="BF124" s="780">
        <f>InputQ!BF8/1000</f>
        <v>1.3499999999999773E-2</v>
      </c>
      <c r="BG124" s="780">
        <f>InputQ!BG8/1000</f>
        <v>7.8899999999999859E-2</v>
      </c>
      <c r="BH124" s="780">
        <f>InputQ!BH8/1000</f>
        <v>5.9300000000000179E-2</v>
      </c>
      <c r="BI124" s="780">
        <f>InputQ!BI8/1000</f>
        <v>0.16730000000000017</v>
      </c>
      <c r="BJ124" s="780">
        <f>InputQ!BJ8/1000</f>
        <v>6.6299999999999956E-2</v>
      </c>
      <c r="BK124" s="780">
        <f>InputQ!BK8/1000</f>
        <v>-0.52949999999999997</v>
      </c>
      <c r="BL124" s="780">
        <f>InputQ!BL8/1000</f>
        <v>-0.25370000000000004</v>
      </c>
      <c r="BM124" s="780">
        <f>InputQ!BM8/1000</f>
        <v>-5.400000000000011E-2</v>
      </c>
      <c r="BN124" s="780">
        <f>InputQ!BN8/1000</f>
        <v>-0.17160000000000003</v>
      </c>
      <c r="BO124" s="780">
        <f>InputQ!BO8/1000</f>
        <v>5.2100000000000139E-2</v>
      </c>
      <c r="BP124" s="780">
        <f>InputQ!BP8/1000</f>
        <v>0.16360000000000013</v>
      </c>
      <c r="BQ124" s="780">
        <f>InputQ!BQ8/1000</f>
        <v>-3.730000000000018E-2</v>
      </c>
      <c r="BR124" s="780">
        <f>InputQ!BR8/1000</f>
        <v>0.16770000000000004</v>
      </c>
      <c r="BS124" s="780">
        <f>InputQ!BS8/1000</f>
        <v>0.20920000000000005</v>
      </c>
      <c r="BT124" s="780">
        <f>InputQ!BT8/1000</f>
        <v>8.2000000000000003E-2</v>
      </c>
      <c r="BU124" s="780">
        <f>InputQ!BU8/1000</f>
        <v>-2.75E-2</v>
      </c>
      <c r="BV124" s="780">
        <f>InputQ!BV8/1000</f>
        <v>2.8999999999998636E-3</v>
      </c>
      <c r="BW124" s="780">
        <f>InputQ!BW8/1000</f>
        <v>-3.4900000000000091E-2</v>
      </c>
      <c r="BX124" s="780">
        <f>InputQ!BX8/1000</f>
        <v>-0.22880000000000017</v>
      </c>
      <c r="BY124" s="780">
        <f>InputQ!BY8/1000</f>
        <v>8.3700000000000052E-2</v>
      </c>
      <c r="BZ124" s="780">
        <f>InputQ!BZ8/1000</f>
        <v>-0.14619999999999983</v>
      </c>
      <c r="CA124" s="780">
        <f>InputQ!CA8/1000</f>
        <v>-0.25059999999999993</v>
      </c>
      <c r="CB124" s="780">
        <f>InputQ!CB8/1000</f>
        <v>-0.22539999999999985</v>
      </c>
      <c r="CC124" s="780">
        <f>InputQ!CC8/1000</f>
        <v>-0.16069999999999982</v>
      </c>
      <c r="CD124" s="780">
        <f>InputQ!CD8/1000</f>
        <v>-0.13759999999999992</v>
      </c>
      <c r="CE124" s="2872">
        <f>InputQ!CE8/1000</f>
        <v>-0.23320000000000005</v>
      </c>
      <c r="CF124" s="2872">
        <f>InputQ!CF8/1000</f>
        <v>-0.25740000000000007</v>
      </c>
      <c r="CG124" s="2872">
        <f>InputQ!CG8/1000</f>
        <v>-0.25720000000000004</v>
      </c>
      <c r="CH124" s="2872">
        <f>InputQ!CH8/1000</f>
        <v>-0.14370000000000005</v>
      </c>
      <c r="CI124" s="2872">
        <f>InputQ!CI8/1000</f>
        <v>1.609999999999991E-2</v>
      </c>
      <c r="CJ124" s="2872">
        <f>InputQ!CJ8/1000</f>
        <v>0.1289000000000001</v>
      </c>
      <c r="CK124" s="2872">
        <f>InputQ!CK8/1000</f>
        <v>-2.4799999999999954E-2</v>
      </c>
      <c r="CL124" s="2872">
        <f>InputQ!CL8/1000</f>
        <v>2.5799999999999955E-2</v>
      </c>
      <c r="CM124" s="3194">
        <f>InputQ!CM8/1000</f>
        <v>-0.14540000000000008</v>
      </c>
      <c r="CN124" s="3194">
        <f>InputQ!CN8/1000</f>
        <v>1.3400000000000091E-2</v>
      </c>
      <c r="CO124" s="3194">
        <f>InputQ!CO8/1000</f>
        <v>6.2000000000000458E-3</v>
      </c>
      <c r="CP124" s="3194">
        <f>InputQ!CP8/1000</f>
        <v>-1.9E-2</v>
      </c>
      <c r="CQ124" s="3194">
        <f>InputQ!CQ8/1000</f>
        <v>-3.0999999999999093E-3</v>
      </c>
      <c r="CR124" s="3194">
        <f>InputQ!CR8/1000</f>
        <v>-0.16420000000000004</v>
      </c>
      <c r="CS124" s="3194">
        <f>InputQ!CS8/1000</f>
        <v>-8.2000000000000458E-3</v>
      </c>
      <c r="CT124" s="3194">
        <f>InputQ!CT8/1000</f>
        <v>-0.17270000000000005</v>
      </c>
      <c r="CU124" s="740">
        <v>-0.10442368282288264</v>
      </c>
      <c r="CV124" s="740">
        <v>-8.0865304484714809E-2</v>
      </c>
      <c r="CW124" s="740">
        <v>-7.3226851125575018E-2</v>
      </c>
      <c r="CX124" s="740">
        <v>-9.3977546411801949E-2</v>
      </c>
      <c r="CY124" s="740">
        <v>-9.3453113124738488E-2</v>
      </c>
      <c r="CZ124" s="740">
        <v>-7.9199880867268521E-2</v>
      </c>
      <c r="DA124" s="740">
        <v>-6.3640321173351513E-2</v>
      </c>
      <c r="DB124" s="740">
        <v>-4.9553340891747399E-2</v>
      </c>
      <c r="DC124"/>
      <c r="DD124"/>
      <c r="DE124"/>
      <c r="DF124"/>
      <c r="DG124"/>
      <c r="DH124"/>
      <c r="DI124"/>
      <c r="DJ124"/>
      <c r="DK124"/>
      <c r="DL124"/>
      <c r="DM124"/>
      <c r="DN124"/>
      <c r="DO124"/>
    </row>
    <row r="125" spans="1:119" s="26" customFormat="1">
      <c r="A125" s="673"/>
      <c r="B125" s="673"/>
      <c r="C125" s="687"/>
      <c r="D125" s="683"/>
      <c r="E125" s="684" t="s">
        <v>266</v>
      </c>
      <c r="F125" s="685"/>
      <c r="G125" s="1570"/>
      <c r="H125" s="1571"/>
      <c r="I125" s="1571"/>
      <c r="J125" s="1575">
        <f>SUM(G124:J124)</f>
        <v>-0.28530468025949957</v>
      </c>
      <c r="K125" s="1570"/>
      <c r="L125" s="1571"/>
      <c r="M125" s="1571"/>
      <c r="N125" s="1575">
        <f>SUM(K124:N124)</f>
        <v>-0.29312442075996292</v>
      </c>
      <c r="O125" s="1570"/>
      <c r="P125" s="1571"/>
      <c r="Q125" s="1571"/>
      <c r="R125" s="1575">
        <f>SUM(O124:R124)</f>
        <v>-4.0488878591288427E-2</v>
      </c>
      <c r="S125" s="1570"/>
      <c r="T125" s="1571"/>
      <c r="U125" s="1571"/>
      <c r="V125" s="1575">
        <f>SUM(S124:V124)</f>
        <v>-8.4655931417979668E-2</v>
      </c>
      <c r="W125" s="1570"/>
      <c r="X125" s="1571"/>
      <c r="Y125" s="1571"/>
      <c r="Z125" s="1575">
        <f>SUM(W124:Z124)</f>
        <v>-0.20620945319740486</v>
      </c>
      <c r="AA125" s="1570"/>
      <c r="AB125" s="1571"/>
      <c r="AC125" s="1571"/>
      <c r="AD125" s="1575">
        <f>SUM(AA124:AD124)</f>
        <v>-0.25249073215940704</v>
      </c>
      <c r="AE125" s="1570"/>
      <c r="AF125" s="1571"/>
      <c r="AG125" s="1571"/>
      <c r="AH125" s="1575">
        <f>SUM(AE124:AH124)</f>
        <v>-0.18466172381835008</v>
      </c>
      <c r="AI125" s="1570"/>
      <c r="AJ125" s="1571"/>
      <c r="AK125" s="1571"/>
      <c r="AL125" s="1575">
        <f>SUM(AI124:AL124)</f>
        <v>-2.1402919369786905E-2</v>
      </c>
      <c r="AM125" s="1570"/>
      <c r="AN125" s="1571"/>
      <c r="AO125" s="1571"/>
      <c r="AP125" s="1575">
        <f>SUM(AM124:AP124)</f>
        <v>4.2892724745134392E-2</v>
      </c>
      <c r="AQ125" s="1570"/>
      <c r="AR125" s="1571"/>
      <c r="AS125" s="1571"/>
      <c r="AT125" s="1575">
        <f>SUM(AQ124:AT124)</f>
        <v>0.40178985171455039</v>
      </c>
      <c r="AU125" s="1570"/>
      <c r="AV125" s="1571"/>
      <c r="AW125" s="1571"/>
      <c r="AX125" s="1616">
        <f>SUM(AU124:AX124)</f>
        <v>-0.14570000000000027</v>
      </c>
      <c r="AY125" s="1570"/>
      <c r="AZ125" s="1571"/>
      <c r="BA125" s="1571"/>
      <c r="BB125" s="1616">
        <f>SUM(AY124:BB124)</f>
        <v>-0.5424000000000001</v>
      </c>
      <c r="BC125" s="1570"/>
      <c r="BD125" s="1571"/>
      <c r="BE125" s="1571"/>
      <c r="BF125" s="1616">
        <f>SUM(BC124:BF124)</f>
        <v>-0.19010000000000016</v>
      </c>
      <c r="BG125" s="1570"/>
      <c r="BH125" s="1571"/>
      <c r="BI125" s="1571"/>
      <c r="BJ125" s="1616">
        <f>SUM(BG124:BJ124)</f>
        <v>0.37180000000000019</v>
      </c>
      <c r="BK125" s="1570"/>
      <c r="BL125" s="1571"/>
      <c r="BM125" s="1571"/>
      <c r="BN125" s="1616">
        <f>SUM(BK124:BN124)</f>
        <v>-1.0088000000000001</v>
      </c>
      <c r="BO125" s="1570"/>
      <c r="BP125" s="1571"/>
      <c r="BQ125" s="1571"/>
      <c r="BR125" s="1616">
        <f>SUM(BO124:BR124)</f>
        <v>0.34610000000000019</v>
      </c>
      <c r="BS125" s="1570"/>
      <c r="BT125" s="1571"/>
      <c r="BU125" s="1571"/>
      <c r="BV125" s="1616">
        <f>SUM(BS124:BV124)</f>
        <v>0.26659999999999989</v>
      </c>
      <c r="BW125" s="1570"/>
      <c r="BX125" s="1571"/>
      <c r="BY125" s="1571"/>
      <c r="BZ125" s="1616">
        <f>SUM(BW124:BZ124)</f>
        <v>-0.32620000000000005</v>
      </c>
      <c r="CA125" s="1570"/>
      <c r="CB125" s="1571"/>
      <c r="CC125" s="1571"/>
      <c r="CD125" s="1616">
        <f>SUM(CA124:CD124)</f>
        <v>-0.77429999999999954</v>
      </c>
      <c r="CE125" s="1570"/>
      <c r="CF125" s="1571"/>
      <c r="CG125" s="1571"/>
      <c r="CH125" s="1616">
        <f>SUM(CE124:CH124)</f>
        <v>-0.89150000000000029</v>
      </c>
      <c r="CI125" s="1570"/>
      <c r="CJ125" s="1571"/>
      <c r="CK125" s="1571"/>
      <c r="CL125" s="1616">
        <f>SUM(CI124:CL124)</f>
        <v>0.14600000000000002</v>
      </c>
      <c r="CM125" s="1570"/>
      <c r="CN125" s="1571"/>
      <c r="CO125" s="1571"/>
      <c r="CP125" s="1616">
        <f>SUM(CM124:CP124)</f>
        <v>-0.14479999999999996</v>
      </c>
      <c r="CQ125" s="1570"/>
      <c r="CR125" s="1571"/>
      <c r="CS125" s="1571"/>
      <c r="CT125" s="1616">
        <f>SUM(CQ124:CT124)</f>
        <v>-0.34820000000000007</v>
      </c>
      <c r="CU125" s="1570"/>
      <c r="CV125" s="1571"/>
      <c r="CW125" s="1571"/>
      <c r="CX125" s="1616">
        <f>SUM(CU124:CX124)</f>
        <v>-0.35249338484497444</v>
      </c>
      <c r="CY125" s="1570"/>
      <c r="CZ125" s="1571"/>
      <c r="DA125" s="1571"/>
      <c r="DB125" s="1616">
        <f>SUM(CY124:DB124)</f>
        <v>-0.28584665605710591</v>
      </c>
      <c r="DC125"/>
      <c r="DD125"/>
      <c r="DE125"/>
      <c r="DF125"/>
      <c r="DG125"/>
      <c r="DH125"/>
      <c r="DI125"/>
      <c r="DJ125"/>
      <c r="DK125"/>
      <c r="DL125"/>
      <c r="DM125"/>
      <c r="DN125"/>
      <c r="DO125"/>
    </row>
    <row r="126" spans="1:119" s="699" customFormat="1" ht="12.75" customHeight="1">
      <c r="A126" s="664"/>
      <c r="B126" s="664"/>
      <c r="C126" s="669"/>
      <c r="D126" s="679"/>
      <c r="E126" s="1572" t="s">
        <v>1847</v>
      </c>
      <c r="F126" s="679"/>
      <c r="G126" s="1573"/>
      <c r="H126" s="2839" t="s">
        <v>757</v>
      </c>
      <c r="I126" s="2840">
        <f ca="1">+J126/J125*100</f>
        <v>0.88089919834539832</v>
      </c>
      <c r="J126" s="1574">
        <f ca="1">OFFSET('VVP2'!$G$64,0,(COLUMN()-10)/4)</f>
        <v>-2.5132466412478337E-3</v>
      </c>
      <c r="K126" s="1573"/>
      <c r="L126" s="2839" t="s">
        <v>757</v>
      </c>
      <c r="M126" s="2840">
        <f ca="1">+N126/N125*100</f>
        <v>0.86027907261669345</v>
      </c>
      <c r="N126" s="1574">
        <f ca="1">OFFSET('VVP2'!$G$64,0,(COLUMN()-10)/4)</f>
        <v>-2.5216880485268633E-3</v>
      </c>
      <c r="O126" s="1573"/>
      <c r="P126" s="2839" t="s">
        <v>757</v>
      </c>
      <c r="Q126" s="2840">
        <f ca="1">+R126/R125*100</f>
        <v>1.0136074618665387</v>
      </c>
      <c r="R126" s="1574">
        <f ca="1">OFFSET('VVP2'!$G$64,0,(COLUMN()-10)/4)</f>
        <v>-4.1039829462738306E-4</v>
      </c>
      <c r="S126" s="1573"/>
      <c r="T126" s="2839" t="s">
        <v>757</v>
      </c>
      <c r="U126" s="2840">
        <f ca="1">+V126/V125*100</f>
        <v>0.90921595137305167</v>
      </c>
      <c r="V126" s="1574">
        <f ca="1">OFFSET('VVP2'!$G$64,0,(COLUMN()-10)/4)</f>
        <v>-7.69705232235702E-4</v>
      </c>
      <c r="W126" s="1573"/>
      <c r="X126" s="2839" t="s">
        <v>757</v>
      </c>
      <c r="Y126" s="2840">
        <f ca="1">+Z126/Z125*100</f>
        <v>0.91124478699277622</v>
      </c>
      <c r="Z126" s="1574">
        <f ca="1">OFFSET('VVP2'!$G$64,0,(COLUMN()-10)/4)</f>
        <v>-1.8790728925476604E-3</v>
      </c>
      <c r="AA126" s="1573"/>
      <c r="AB126" s="2839" t="s">
        <v>757</v>
      </c>
      <c r="AC126" s="2840">
        <f ca="1">+AD126/AD125*100</f>
        <v>0.88473446784504839</v>
      </c>
      <c r="AD126" s="1574">
        <f ca="1">OFFSET('VVP2'!$G$64,0,(COLUMN()-10)/4)</f>
        <v>-2.2338725355285963E-3</v>
      </c>
      <c r="AE126" s="1573"/>
      <c r="AF126" s="2839" t="s">
        <v>757</v>
      </c>
      <c r="AG126" s="2840">
        <f ca="1">+AH126/AH125*100</f>
        <v>0.93186420579426021</v>
      </c>
      <c r="AH126" s="1574">
        <f ca="1">OFFSET('VVP2'!$G$64,0,(COLUMN()-10)/4)</f>
        <v>-1.7207965060658582E-3</v>
      </c>
      <c r="AI126" s="1573"/>
      <c r="AJ126" s="2839" t="s">
        <v>757</v>
      </c>
      <c r="AK126" s="2840">
        <f ca="1">+AL126/AL125*100</f>
        <v>0.90299149096793141</v>
      </c>
      <c r="AL126" s="1574">
        <f ca="1">OFFSET('VVP2'!$G$64,0,(COLUMN()-10)/4)</f>
        <v>-1.9326654072790298E-4</v>
      </c>
      <c r="AM126" s="1573"/>
      <c r="AN126" s="2839" t="s">
        <v>757</v>
      </c>
      <c r="AO126" s="2840">
        <f ca="1">+AP126/AP125*100</f>
        <v>0.87729089095404877</v>
      </c>
      <c r="AP126" s="1574">
        <f ca="1">OFFSET('VVP2'!$G$64,0,(COLUMN()-10)/4)</f>
        <v>3.7629396707105722E-4</v>
      </c>
      <c r="AQ126" s="1573"/>
      <c r="AR126" s="2839" t="s">
        <v>757</v>
      </c>
      <c r="AS126" s="2840">
        <f ca="1">+AT126/AT125*100</f>
        <v>3.2485141036545819</v>
      </c>
      <c r="AT126" s="1574">
        <f ca="1">OFFSET('VVP2'!$G$64,0,(COLUMN()-10)/4)</f>
        <v>1.30522E-2</v>
      </c>
      <c r="AU126" s="1573"/>
      <c r="AV126" s="2839" t="s">
        <v>757</v>
      </c>
      <c r="AW126" s="2840">
        <f ca="1">+AX126/AX125*100</f>
        <v>-83.959423472889341</v>
      </c>
      <c r="AX126" s="1617">
        <f ca="1">OFFSET('VVP2'!$G$64,0,(COLUMN()-10)/4)</f>
        <v>0.12232888</v>
      </c>
      <c r="AY126" s="1573"/>
      <c r="AZ126" s="2839" t="s">
        <v>757</v>
      </c>
      <c r="BA126" s="2840">
        <f ca="1">+BB126/BB125*100</f>
        <v>29.667101769911497</v>
      </c>
      <c r="BB126" s="1617">
        <f ca="1">OFFSET('VVP2'!$G$64,0,(COLUMN()-10)/4)</f>
        <v>-0.16091435999999998</v>
      </c>
      <c r="BC126" s="1573"/>
      <c r="BD126" s="2839" t="s">
        <v>757</v>
      </c>
      <c r="BE126" s="2840">
        <f ca="1">+BF126/BF125*100</f>
        <v>328.29637033140432</v>
      </c>
      <c r="BF126" s="1617">
        <f ca="1">OFFSET('VVP2'!$G$64,0,(COLUMN()-10)/4)</f>
        <v>-0.62409140000000007</v>
      </c>
      <c r="BG126" s="1573"/>
      <c r="BH126" s="2839" t="s">
        <v>757</v>
      </c>
      <c r="BI126" s="2840">
        <f ca="1">+BJ126/BJ125*100</f>
        <v>-273.04758741258729</v>
      </c>
      <c r="BJ126" s="1617">
        <f ca="1">OFFSET('VVP2'!$G$64,0,(COLUMN()-10)/4)</f>
        <v>-1.0151909299999999</v>
      </c>
      <c r="BK126" s="1573"/>
      <c r="BL126" s="2839" t="s">
        <v>757</v>
      </c>
      <c r="BM126" s="2840">
        <f ca="1">+BN126/BN125*100</f>
        <v>-176.08511796193494</v>
      </c>
      <c r="BN126" s="1617">
        <f ca="1">OFFSET('VVP2'!$G$64,0,(COLUMN()-10)/4)</f>
        <v>1.7763466699999999</v>
      </c>
      <c r="BO126" s="1573"/>
      <c r="BP126" s="2839" t="s">
        <v>757</v>
      </c>
      <c r="BQ126" s="2840">
        <f ca="1">+BR126/BR125*100</f>
        <v>92.068766252528121</v>
      </c>
      <c r="BR126" s="1617">
        <f ca="1">OFFSET('VVP2'!$G$64,0,(COLUMN()-10)/4)</f>
        <v>0.31864999999999999</v>
      </c>
      <c r="BS126" s="1573"/>
      <c r="BT126" s="2839" t="s">
        <v>757</v>
      </c>
      <c r="BU126" s="2840">
        <f ca="1">+BV126/BV125*100</f>
        <v>97.861965491372871</v>
      </c>
      <c r="BV126" s="1617">
        <f ca="1">OFFSET('VVP2'!$G$64,0,(COLUMN()-10)/4)</f>
        <v>0.26089999999999997</v>
      </c>
      <c r="BW126" s="1573"/>
      <c r="BX126" s="2839" t="s">
        <v>757</v>
      </c>
      <c r="BY126" s="2840">
        <f ca="1">+BZ126/BZ125*100</f>
        <v>-26.724377682403432</v>
      </c>
      <c r="BZ126" s="1617">
        <f ca="1">OFFSET('VVP2'!$G$64,0,(COLUMN()-10)/4)</f>
        <v>8.7174920000000003E-2</v>
      </c>
      <c r="CA126" s="1573"/>
      <c r="CB126" s="2839" t="s">
        <v>757</v>
      </c>
      <c r="CC126" s="2840">
        <f ca="1">+CD126/CD125*100</f>
        <v>-3.2066886219811463</v>
      </c>
      <c r="CD126" s="1617">
        <f ca="1">OFFSET('VVP2'!$G$64,0,(COLUMN()-10)/4)</f>
        <v>2.482939E-2</v>
      </c>
      <c r="CE126" s="1573"/>
      <c r="CF126" s="2839" t="s">
        <v>757</v>
      </c>
      <c r="CG126" s="2840">
        <f ca="1">+CH126/CH125*100</f>
        <v>-2.1188065058889505</v>
      </c>
      <c r="CH126" s="1617">
        <f ca="1">OFFSET('VVP2'!$G$64,0,(COLUMN()-10)/4)</f>
        <v>1.8889160000000002E-2</v>
      </c>
      <c r="CI126" s="1573"/>
      <c r="CJ126" s="2839" t="s">
        <v>757</v>
      </c>
      <c r="CK126" s="2840">
        <f ca="1">+CL126/CL125*100</f>
        <v>352.56549999999993</v>
      </c>
      <c r="CL126" s="1617">
        <f ca="1">OFFSET('VVP2'!$G$64,0,(COLUMN()-10)/4)</f>
        <v>0.51474562999999995</v>
      </c>
      <c r="CM126" s="1573"/>
      <c r="CN126" s="2839" t="s">
        <v>757</v>
      </c>
      <c r="CO126" s="2840">
        <f ca="1">+CP126/CP125*100</f>
        <v>-71.45404005524864</v>
      </c>
      <c r="CP126" s="1617">
        <f ca="1">OFFSET('VVP2'!$G$64,0,(COLUMN()-10)/4)</f>
        <v>0.10346545</v>
      </c>
      <c r="CQ126" s="1573"/>
      <c r="CR126" s="2839" t="s">
        <v>757</v>
      </c>
      <c r="CS126" s="2840">
        <f ca="1">+CT126/CT125*100</f>
        <v>-42.810080413555418</v>
      </c>
      <c r="CT126" s="1617">
        <f ca="1">OFFSET('VVP2'!$G$64,0,(COLUMN()-10)/4)</f>
        <v>0.14906469999999999</v>
      </c>
      <c r="CU126" s="1573"/>
      <c r="CV126" s="2839" t="s">
        <v>757</v>
      </c>
      <c r="CW126" s="2840">
        <f ca="1">+CX126/CX125*100</f>
        <v>-42.288651761665882</v>
      </c>
      <c r="CX126" s="1617">
        <f ca="1">OFFSET('VVP2'!$G$64,0,(COLUMN()-10)/4)</f>
        <v>0.14906469999999999</v>
      </c>
      <c r="CY126" s="1573"/>
      <c r="CZ126" s="2839" t="s">
        <v>757</v>
      </c>
      <c r="DA126" s="2840">
        <f ca="1">+DB126/DB125*100</f>
        <v>-52.148484805160756</v>
      </c>
      <c r="DB126" s="1617">
        <f ca="1">OFFSET('VVP2'!$G$64,0,(COLUMN()-10)/4)</f>
        <v>0.14906469999999999</v>
      </c>
      <c r="DC126"/>
      <c r="DD126"/>
      <c r="DE126"/>
      <c r="DF126"/>
      <c r="DG126"/>
      <c r="DH126"/>
      <c r="DI126"/>
      <c r="DJ126"/>
      <c r="DK126"/>
      <c r="DL126"/>
      <c r="DM126"/>
      <c r="DN126"/>
      <c r="DO126"/>
    </row>
    <row r="127" spans="1:119">
      <c r="E127" s="599"/>
      <c r="F127" s="3617"/>
      <c r="AY127" s="217"/>
      <c r="BF127" s="217"/>
      <c r="BJ127" s="217"/>
      <c r="CM127" s="557"/>
      <c r="CN127" s="557"/>
      <c r="CO127" s="557">
        <v>-0.19380653614508397</v>
      </c>
      <c r="CQ127" s="557">
        <v>-0.53093094241501049</v>
      </c>
      <c r="CR127" s="557"/>
      <c r="CS127" s="557"/>
      <c r="CT127" s="557"/>
      <c r="CU127" s="557">
        <v>0.21712576121147953</v>
      </c>
      <c r="CV127" s="557"/>
      <c r="CW127" s="557"/>
      <c r="CX127" s="557"/>
      <c r="CY127" s="557">
        <v>-0.15656413196711266</v>
      </c>
      <c r="CZ127" s="557"/>
      <c r="DA127" s="557"/>
      <c r="DB127" s="557"/>
      <c r="DC127" s="3218" t="s">
        <v>2468</v>
      </c>
    </row>
    <row r="128" spans="1:119" s="699" customFormat="1" ht="12.75" customHeight="1">
      <c r="A128" s="664"/>
      <c r="B128" s="664"/>
      <c r="C128" s="1553"/>
      <c r="D128" s="742"/>
      <c r="E128" s="3384" t="s">
        <v>762</v>
      </c>
      <c r="F128" s="3622"/>
      <c r="G128" s="1578" t="str">
        <f t="shared" ref="G128:N128" si="307">G123</f>
        <v>Q1</v>
      </c>
      <c r="H128" s="1579" t="str">
        <f t="shared" si="307"/>
        <v>Q2</v>
      </c>
      <c r="I128" s="1579" t="str">
        <f t="shared" si="307"/>
        <v>Q3</v>
      </c>
      <c r="J128" s="1580" t="str">
        <f t="shared" si="307"/>
        <v>Q4</v>
      </c>
      <c r="K128" s="1578" t="str">
        <f t="shared" si="307"/>
        <v>Q1</v>
      </c>
      <c r="L128" s="1579" t="str">
        <f t="shared" si="307"/>
        <v>Q2</v>
      </c>
      <c r="M128" s="1579" t="str">
        <f t="shared" si="307"/>
        <v>Q3</v>
      </c>
      <c r="N128" s="1580" t="str">
        <f t="shared" si="307"/>
        <v>Q4</v>
      </c>
      <c r="O128" s="1578" t="str">
        <f t="shared" ref="O128:AX128" si="308">O123</f>
        <v>Q1</v>
      </c>
      <c r="P128" s="1579" t="str">
        <f t="shared" si="308"/>
        <v>Q2</v>
      </c>
      <c r="Q128" s="1579" t="str">
        <f t="shared" si="308"/>
        <v>Q3</v>
      </c>
      <c r="R128" s="1580" t="str">
        <f t="shared" si="308"/>
        <v>Q4</v>
      </c>
      <c r="S128" s="1578" t="str">
        <f t="shared" si="308"/>
        <v>Q1</v>
      </c>
      <c r="T128" s="1579" t="str">
        <f t="shared" si="308"/>
        <v>Q2</v>
      </c>
      <c r="U128" s="1579" t="str">
        <f t="shared" si="308"/>
        <v>Q3</v>
      </c>
      <c r="V128" s="1580" t="str">
        <f t="shared" si="308"/>
        <v>Q4</v>
      </c>
      <c r="W128" s="1578" t="str">
        <f t="shared" si="308"/>
        <v>Q1</v>
      </c>
      <c r="X128" s="1579" t="str">
        <f t="shared" si="308"/>
        <v>Q2</v>
      </c>
      <c r="Y128" s="1579" t="str">
        <f t="shared" si="308"/>
        <v>Q3</v>
      </c>
      <c r="Z128" s="1580" t="str">
        <f t="shared" si="308"/>
        <v>Q4</v>
      </c>
      <c r="AA128" s="1578" t="str">
        <f t="shared" si="308"/>
        <v>Q1</v>
      </c>
      <c r="AB128" s="1579" t="str">
        <f t="shared" si="308"/>
        <v>Q2</v>
      </c>
      <c r="AC128" s="1579" t="str">
        <f t="shared" si="308"/>
        <v>Q3</v>
      </c>
      <c r="AD128" s="1580" t="str">
        <f t="shared" si="308"/>
        <v>Q4</v>
      </c>
      <c r="AE128" s="1578" t="str">
        <f t="shared" si="308"/>
        <v>Q1</v>
      </c>
      <c r="AF128" s="1579" t="str">
        <f t="shared" si="308"/>
        <v>Q2</v>
      </c>
      <c r="AG128" s="1579" t="str">
        <f t="shared" si="308"/>
        <v>Q3</v>
      </c>
      <c r="AH128" s="1580" t="str">
        <f t="shared" si="308"/>
        <v>Q4</v>
      </c>
      <c r="AI128" s="1578" t="str">
        <f t="shared" si="308"/>
        <v>Q1</v>
      </c>
      <c r="AJ128" s="1579" t="str">
        <f t="shared" si="308"/>
        <v>Q2</v>
      </c>
      <c r="AK128" s="1579" t="str">
        <f t="shared" si="308"/>
        <v>Q3</v>
      </c>
      <c r="AL128" s="1580" t="str">
        <f t="shared" si="308"/>
        <v>Q4</v>
      </c>
      <c r="AM128" s="1578" t="str">
        <f t="shared" si="308"/>
        <v>Q1</v>
      </c>
      <c r="AN128" s="1579" t="str">
        <f t="shared" si="308"/>
        <v>Q2</v>
      </c>
      <c r="AO128" s="1579" t="str">
        <f t="shared" si="308"/>
        <v>Q3</v>
      </c>
      <c r="AP128" s="1580" t="str">
        <f t="shared" si="308"/>
        <v>Q4</v>
      </c>
      <c r="AQ128" s="1578" t="str">
        <f t="shared" si="308"/>
        <v>Q1</v>
      </c>
      <c r="AR128" s="1579" t="str">
        <f t="shared" si="308"/>
        <v>Q2</v>
      </c>
      <c r="AS128" s="1579" t="str">
        <f t="shared" si="308"/>
        <v>Q3</v>
      </c>
      <c r="AT128" s="1580" t="str">
        <f t="shared" si="308"/>
        <v>Q4</v>
      </c>
      <c r="AU128" s="1578" t="str">
        <f t="shared" si="308"/>
        <v>Q1</v>
      </c>
      <c r="AV128" s="1579" t="str">
        <f t="shared" si="308"/>
        <v>Q2</v>
      </c>
      <c r="AW128" s="1579" t="str">
        <f t="shared" si="308"/>
        <v>Q3</v>
      </c>
      <c r="AX128" s="1580" t="str">
        <f t="shared" si="308"/>
        <v>Q4</v>
      </c>
      <c r="AY128" s="1578" t="str">
        <f t="shared" ref="AY128:BF128" si="309">AY123</f>
        <v>Q1</v>
      </c>
      <c r="AZ128" s="1579" t="str">
        <f t="shared" si="309"/>
        <v>Q2</v>
      </c>
      <c r="BA128" s="1554" t="str">
        <f t="shared" si="309"/>
        <v>Q3</v>
      </c>
      <c r="BB128" s="1554" t="str">
        <f t="shared" si="309"/>
        <v>Q4</v>
      </c>
      <c r="BC128" s="1554" t="str">
        <f t="shared" si="309"/>
        <v>Q1</v>
      </c>
      <c r="BD128" s="1554" t="str">
        <f t="shared" si="309"/>
        <v>Q2</v>
      </c>
      <c r="BE128" s="1554" t="str">
        <f t="shared" si="309"/>
        <v>Q3</v>
      </c>
      <c r="BF128" s="1580" t="str">
        <f t="shared" si="309"/>
        <v>Q4</v>
      </c>
      <c r="BG128" s="1554" t="str">
        <f t="shared" ref="BG128:BN128" si="310">BG123</f>
        <v>Q1</v>
      </c>
      <c r="BH128" s="1554" t="str">
        <f t="shared" si="310"/>
        <v>Q2</v>
      </c>
      <c r="BI128" s="1554" t="str">
        <f t="shared" si="310"/>
        <v>Q3</v>
      </c>
      <c r="BJ128" s="1580" t="str">
        <f t="shared" si="310"/>
        <v>Q4</v>
      </c>
      <c r="BK128" s="1554" t="str">
        <f t="shared" si="310"/>
        <v>Q1</v>
      </c>
      <c r="BL128" s="1554" t="str">
        <f t="shared" si="310"/>
        <v>Q2</v>
      </c>
      <c r="BM128" s="1554" t="str">
        <f t="shared" si="310"/>
        <v>Q3</v>
      </c>
      <c r="BN128" s="1554" t="str">
        <f t="shared" si="310"/>
        <v>Q4</v>
      </c>
      <c r="BO128" s="1554" t="str">
        <f t="shared" ref="BO128:CD128" si="311">BO123</f>
        <v>Q1</v>
      </c>
      <c r="BP128" s="1554" t="str">
        <f t="shared" si="311"/>
        <v>Q2</v>
      </c>
      <c r="BQ128" s="1554" t="str">
        <f t="shared" si="311"/>
        <v>Q3</v>
      </c>
      <c r="BR128" s="1554" t="str">
        <f t="shared" si="311"/>
        <v>Q4</v>
      </c>
      <c r="BS128" s="1554" t="str">
        <f t="shared" si="311"/>
        <v>Q1</v>
      </c>
      <c r="BT128" s="1554" t="str">
        <f t="shared" si="311"/>
        <v>Q2</v>
      </c>
      <c r="BU128" s="1554" t="str">
        <f t="shared" si="311"/>
        <v>Q3</v>
      </c>
      <c r="BV128" s="1554" t="str">
        <f t="shared" si="311"/>
        <v>Q4</v>
      </c>
      <c r="BW128" s="1554" t="str">
        <f t="shared" si="311"/>
        <v>Q1</v>
      </c>
      <c r="BX128" s="1554" t="str">
        <f t="shared" si="311"/>
        <v>Q2</v>
      </c>
      <c r="BY128" s="1554" t="str">
        <f t="shared" si="311"/>
        <v>Q3</v>
      </c>
      <c r="BZ128" s="1554" t="str">
        <f t="shared" si="311"/>
        <v>Q4</v>
      </c>
      <c r="CA128" s="1554" t="str">
        <f t="shared" si="311"/>
        <v>Q1</v>
      </c>
      <c r="CB128" s="1554" t="str">
        <f t="shared" si="311"/>
        <v>Q2</v>
      </c>
      <c r="CC128" s="1554" t="str">
        <f t="shared" si="311"/>
        <v>Q3</v>
      </c>
      <c r="CD128" s="1554" t="str">
        <f t="shared" si="311"/>
        <v>Q4</v>
      </c>
      <c r="CE128" s="1554" t="str">
        <f t="shared" ref="CE128:CL128" si="312">CE123</f>
        <v>Q1</v>
      </c>
      <c r="CF128" s="1554" t="str">
        <f t="shared" si="312"/>
        <v>Q2</v>
      </c>
      <c r="CG128" s="1554" t="str">
        <f t="shared" si="312"/>
        <v>Q3</v>
      </c>
      <c r="CH128" s="1554" t="str">
        <f t="shared" si="312"/>
        <v>Q4</v>
      </c>
      <c r="CI128" s="1554" t="str">
        <f t="shared" si="312"/>
        <v>Q1</v>
      </c>
      <c r="CJ128" s="1554" t="str">
        <f t="shared" si="312"/>
        <v>Q2</v>
      </c>
      <c r="CK128" s="1554" t="str">
        <f t="shared" si="312"/>
        <v>Q3</v>
      </c>
      <c r="CL128" s="1554" t="str">
        <f t="shared" si="312"/>
        <v>Q4</v>
      </c>
      <c r="CM128" s="1554" t="str">
        <f t="shared" ref="CM128:CT128" si="313">CM123</f>
        <v>Q1</v>
      </c>
      <c r="CN128" s="1554" t="str">
        <f t="shared" si="313"/>
        <v>Q2</v>
      </c>
      <c r="CO128" s="1554" t="str">
        <f t="shared" si="313"/>
        <v>Q3</v>
      </c>
      <c r="CP128" s="1554" t="str">
        <f t="shared" si="313"/>
        <v>Q4</v>
      </c>
      <c r="CQ128" s="1554" t="str">
        <f t="shared" si="313"/>
        <v>Q1</v>
      </c>
      <c r="CR128" s="1554" t="str">
        <f t="shared" si="313"/>
        <v>Q2</v>
      </c>
      <c r="CS128" s="1554" t="str">
        <f t="shared" si="313"/>
        <v>Q3</v>
      </c>
      <c r="CT128" s="1554" t="str">
        <f t="shared" si="313"/>
        <v>Q4</v>
      </c>
      <c r="CU128" s="1554" t="str">
        <f t="shared" ref="CU128:DB128" si="314">CU123</f>
        <v>Q1</v>
      </c>
      <c r="CV128" s="1554" t="str">
        <f t="shared" si="314"/>
        <v>Q2</v>
      </c>
      <c r="CW128" s="1554" t="str">
        <f t="shared" si="314"/>
        <v>Q3</v>
      </c>
      <c r="CX128" s="1554" t="str">
        <f t="shared" si="314"/>
        <v>Q4</v>
      </c>
      <c r="CY128" s="1554" t="str">
        <f t="shared" si="314"/>
        <v>Q1</v>
      </c>
      <c r="CZ128" s="1554" t="str">
        <f t="shared" si="314"/>
        <v>Q2</v>
      </c>
      <c r="DA128" s="1554" t="str">
        <f t="shared" si="314"/>
        <v>Q3</v>
      </c>
      <c r="DB128" s="1554" t="str">
        <f t="shared" si="314"/>
        <v>Q4</v>
      </c>
      <c r="DC128"/>
      <c r="DD128"/>
      <c r="DE128"/>
      <c r="DF128"/>
      <c r="DG128"/>
      <c r="DH128"/>
      <c r="DI128"/>
      <c r="DJ128"/>
      <c r="DK128"/>
      <c r="DL128"/>
      <c r="DM128"/>
      <c r="DN128"/>
      <c r="DO128"/>
    </row>
    <row r="129" spans="1:119" s="699" customFormat="1" ht="12.75" customHeight="1">
      <c r="A129" s="664"/>
      <c r="B129" s="1563"/>
      <c r="C129" s="692"/>
      <c r="D129" s="689"/>
      <c r="E129" s="3623" t="str">
        <f>E124</f>
        <v xml:space="preserve">Changes in inventories and net acquisition of valuables                         </v>
      </c>
      <c r="F129" s="3624" t="s">
        <v>1125</v>
      </c>
      <c r="G129" s="978"/>
      <c r="H129" s="978">
        <f t="shared" ref="H129:AM129" si="315">(H124/G124-1)*100</f>
        <v>301.37551581843161</v>
      </c>
      <c r="I129" s="978">
        <f t="shared" si="315"/>
        <v>-17.957505140507223</v>
      </c>
      <c r="J129" s="978">
        <f t="shared" si="315"/>
        <v>59.231411862990768</v>
      </c>
      <c r="K129" s="978">
        <f t="shared" si="315"/>
        <v>1.2067156348374297</v>
      </c>
      <c r="L129" s="978">
        <f t="shared" si="315"/>
        <v>-18.429237947122878</v>
      </c>
      <c r="M129" s="978">
        <f t="shared" si="315"/>
        <v>-57.610422624722048</v>
      </c>
      <c r="N129" s="978">
        <f t="shared" si="315"/>
        <v>33.583208395802487</v>
      </c>
      <c r="O129" s="978">
        <f t="shared" si="315"/>
        <v>-78.058361391694788</v>
      </c>
      <c r="P129" s="978">
        <f t="shared" si="315"/>
        <v>-96.930946291559238</v>
      </c>
      <c r="Q129" s="978">
        <f t="shared" si="315"/>
        <v>18424.99999999486</v>
      </c>
      <c r="R129" s="978">
        <f t="shared" si="315"/>
        <v>-155.24066576698141</v>
      </c>
      <c r="S129" s="978">
        <f t="shared" si="315"/>
        <v>-176.38436482084694</v>
      </c>
      <c r="T129" s="978">
        <f t="shared" si="315"/>
        <v>-91.577825159914838</v>
      </c>
      <c r="U129" s="978">
        <f t="shared" si="315"/>
        <v>-858.22784810127223</v>
      </c>
      <c r="V129" s="978">
        <f t="shared" si="315"/>
        <v>-518.19699499165574</v>
      </c>
      <c r="W129" s="978">
        <f t="shared" si="315"/>
        <v>-20.718562874251589</v>
      </c>
      <c r="X129" s="978">
        <f t="shared" si="315"/>
        <v>5.0352467270897261</v>
      </c>
      <c r="Y129" s="978">
        <f t="shared" si="315"/>
        <v>-0.86289549376813435</v>
      </c>
      <c r="Z129" s="978">
        <f t="shared" si="315"/>
        <v>-52.611218568665251</v>
      </c>
      <c r="AA129" s="978">
        <f t="shared" si="315"/>
        <v>50.306122448979785</v>
      </c>
      <c r="AB129" s="978">
        <f t="shared" si="315"/>
        <v>10.997963340121908</v>
      </c>
      <c r="AC129" s="978">
        <f t="shared" si="315"/>
        <v>58.042813455657758</v>
      </c>
      <c r="AD129" s="978">
        <f t="shared" si="315"/>
        <v>17.105263157894601</v>
      </c>
      <c r="AE129" s="978">
        <f t="shared" si="315"/>
        <v>-13.648380700595009</v>
      </c>
      <c r="AF129" s="978">
        <f t="shared" si="315"/>
        <v>-35.744355147340315</v>
      </c>
      <c r="AG129" s="978">
        <f t="shared" si="315"/>
        <v>-28.588445503275405</v>
      </c>
      <c r="AH129" s="978">
        <f t="shared" si="315"/>
        <v>-26.188490408673992</v>
      </c>
      <c r="AI129" s="978">
        <f t="shared" si="315"/>
        <v>14.350282485875287</v>
      </c>
      <c r="AJ129" s="978">
        <f t="shared" si="315"/>
        <v>-211.85770750988166</v>
      </c>
      <c r="AK129" s="978">
        <f t="shared" si="315"/>
        <v>-35.689045936395573</v>
      </c>
      <c r="AL129" s="978">
        <f t="shared" si="315"/>
        <v>-317.99450549450586</v>
      </c>
      <c r="AM129" s="978">
        <f t="shared" si="315"/>
        <v>-0.7561436672972488</v>
      </c>
      <c r="AN129" s="978">
        <f t="shared" ref="AN129:BE129" si="316">(AN124/AM124-1)*100</f>
        <v>-60.253968253968317</v>
      </c>
      <c r="AO129" s="978">
        <f t="shared" si="316"/>
        <v>-362.46006389776426</v>
      </c>
      <c r="AP129" s="978">
        <f t="shared" si="316"/>
        <v>24.102251978088638</v>
      </c>
      <c r="AQ129" s="978">
        <f t="shared" si="316"/>
        <v>137.02795487984312</v>
      </c>
      <c r="AR129" s="978">
        <f t="shared" si="316"/>
        <v>-31.988412993999592</v>
      </c>
      <c r="AS129" s="978">
        <f t="shared" si="316"/>
        <v>-38.484940675387676</v>
      </c>
      <c r="AT129" s="978">
        <f t="shared" si="316"/>
        <v>84.520276953511228</v>
      </c>
      <c r="AU129" s="978">
        <f t="shared" si="316"/>
        <v>-174.40501742160279</v>
      </c>
      <c r="AV129" s="978">
        <f t="shared" si="316"/>
        <v>-156.09452736318389</v>
      </c>
      <c r="AW129" s="978">
        <f t="shared" si="316"/>
        <v>-376.4966740576503</v>
      </c>
      <c r="AX129" s="978">
        <f t="shared" si="316"/>
        <v>-111.46752205292698</v>
      </c>
      <c r="AY129" s="978">
        <f t="shared" si="316"/>
        <v>-137.76223776223694</v>
      </c>
      <c r="AZ129" s="978">
        <f t="shared" si="316"/>
        <v>4750.0000000001246</v>
      </c>
      <c r="BA129" s="978">
        <f t="shared" si="316"/>
        <v>-27.453226422298606</v>
      </c>
      <c r="BB129" s="978">
        <f>(BB124/BA124-1)*100</f>
        <v>-55.210526315789402</v>
      </c>
      <c r="BC129" s="978">
        <f>(BC124/BB124-1)*100</f>
        <v>76.028202115158578</v>
      </c>
      <c r="BD129" s="978">
        <f>(BD124/BC124-1)*100</f>
        <v>-86.181575433912016</v>
      </c>
      <c r="BE129" s="978">
        <f t="shared" si="316"/>
        <v>59.903381642513033</v>
      </c>
      <c r="BF129" s="978">
        <f t="shared" ref="BF129:BN129" si="317">(BF124/BE124-1)*100</f>
        <v>-140.78549848942541</v>
      </c>
      <c r="BG129" s="978">
        <f t="shared" si="317"/>
        <v>484.44444444445321</v>
      </c>
      <c r="BH129" s="978">
        <f t="shared" si="317"/>
        <v>-24.841571609632084</v>
      </c>
      <c r="BI129" s="978">
        <f t="shared" si="317"/>
        <v>182.12478920741933</v>
      </c>
      <c r="BJ129" s="978">
        <f t="shared" si="317"/>
        <v>-60.370591751344961</v>
      </c>
      <c r="BK129" s="936">
        <f t="shared" si="317"/>
        <v>-898.64253393665194</v>
      </c>
      <c r="BL129" s="936">
        <f t="shared" si="317"/>
        <v>-52.086874409820581</v>
      </c>
      <c r="BM129" s="936">
        <f t="shared" si="317"/>
        <v>-78.715017737485184</v>
      </c>
      <c r="BN129" s="936">
        <f t="shared" si="317"/>
        <v>217.77777777777717</v>
      </c>
      <c r="BO129" s="936">
        <f t="shared" ref="BO129:CL129" si="318">(BO124/BN124-1)*100</f>
        <v>-130.36130536130543</v>
      </c>
      <c r="BP129" s="936">
        <f t="shared" si="318"/>
        <v>214.0115163147787</v>
      </c>
      <c r="BQ129" s="936">
        <f t="shared" si="318"/>
        <v>-122.79951100244509</v>
      </c>
      <c r="BR129" s="936">
        <f t="shared" si="318"/>
        <v>-549.59785522788002</v>
      </c>
      <c r="BS129" s="936">
        <f t="shared" si="318"/>
        <v>24.746571258199168</v>
      </c>
      <c r="BT129" s="936">
        <f t="shared" si="318"/>
        <v>-60.803059273422576</v>
      </c>
      <c r="BU129" s="936">
        <f t="shared" si="318"/>
        <v>-133.53658536585365</v>
      </c>
      <c r="BV129" s="936">
        <f t="shared" si="318"/>
        <v>-110.54545454545406</v>
      </c>
      <c r="BW129" s="936">
        <f t="shared" si="318"/>
        <v>-1303.4482758621286</v>
      </c>
      <c r="BX129" s="936">
        <f t="shared" si="318"/>
        <v>555.587392550142</v>
      </c>
      <c r="BY129" s="936">
        <f t="shared" si="318"/>
        <v>-136.58216783216784</v>
      </c>
      <c r="BZ129" s="936">
        <f t="shared" si="318"/>
        <v>-274.67144563918725</v>
      </c>
      <c r="CA129" s="936">
        <f t="shared" si="318"/>
        <v>71.409028727770334</v>
      </c>
      <c r="CB129" s="936">
        <f t="shared" si="318"/>
        <v>-10.055865921787744</v>
      </c>
      <c r="CC129" s="936">
        <f t="shared" si="318"/>
        <v>-28.70452528837626</v>
      </c>
      <c r="CD129" s="936">
        <f t="shared" si="318"/>
        <v>-14.37461107654009</v>
      </c>
      <c r="CE129" s="936">
        <f t="shared" si="318"/>
        <v>69.476744186046659</v>
      </c>
      <c r="CF129" s="936">
        <f>(CF124/CE124-1)*100</f>
        <v>10.377358490566046</v>
      </c>
      <c r="CG129" s="936">
        <f>(CG124/CF124-1)*100</f>
        <v>-7.7700077700093573E-2</v>
      </c>
      <c r="CH129" s="936">
        <f>(CH124/CG124-1)*100</f>
        <v>-44.129082426127518</v>
      </c>
      <c r="CI129" s="936">
        <f t="shared" si="318"/>
        <v>-111.20389700765476</v>
      </c>
      <c r="CJ129" s="936">
        <f t="shared" si="318"/>
        <v>700.62111801242747</v>
      </c>
      <c r="CK129" s="936">
        <f t="shared" si="318"/>
        <v>-119.23972071373153</v>
      </c>
      <c r="CL129" s="936">
        <f t="shared" si="318"/>
        <v>-204.03225806451616</v>
      </c>
      <c r="CM129" s="936">
        <f t="shared" ref="CM129:CT129" si="319">(CM124/CL124-1)*100</f>
        <v>-663.56589147286957</v>
      </c>
      <c r="CN129" s="936">
        <f t="shared" si="319"/>
        <v>-109.21595598349387</v>
      </c>
      <c r="CO129" s="936">
        <f t="shared" si="319"/>
        <v>-53.731343283582063</v>
      </c>
      <c r="CP129" s="936">
        <f t="shared" si="319"/>
        <v>-406.45161290322346</v>
      </c>
      <c r="CQ129" s="936">
        <f>(CQ124/CP124-1)*100</f>
        <v>-83.684210526316278</v>
      </c>
      <c r="CR129" s="936">
        <f>(CR124/CQ124-1)*100</f>
        <v>5196.7741935485437</v>
      </c>
      <c r="CS129" s="936">
        <f>(CS124/CR124-1)*100</f>
        <v>-95.006090133982923</v>
      </c>
      <c r="CT129" s="936">
        <f t="shared" si="319"/>
        <v>2006.0975609755985</v>
      </c>
      <c r="CU129" s="936">
        <f t="shared" ref="CU129:DB129" si="320">(CU124/CT124-1)*100</f>
        <v>-39.534636466194208</v>
      </c>
      <c r="CV129" s="936">
        <f t="shared" si="320"/>
        <v>-22.560378739108621</v>
      </c>
      <c r="CW129" s="936">
        <f t="shared" si="320"/>
        <v>-9.4458969861216708</v>
      </c>
      <c r="CX129" s="936">
        <f t="shared" si="320"/>
        <v>28.337549638235913</v>
      </c>
      <c r="CY129" s="936">
        <f t="shared" si="320"/>
        <v>-0.55804105032221107</v>
      </c>
      <c r="CZ129" s="936">
        <f t="shared" si="320"/>
        <v>-15.2517468716587</v>
      </c>
      <c r="DA129" s="936">
        <f t="shared" si="320"/>
        <v>-19.645938255883689</v>
      </c>
      <c r="DB129" s="936">
        <f t="shared" si="320"/>
        <v>-22.135306707884496</v>
      </c>
      <c r="DC129"/>
      <c r="DD129"/>
      <c r="DE129"/>
      <c r="DF129"/>
      <c r="DG129"/>
      <c r="DH129"/>
      <c r="DI129"/>
      <c r="DJ129"/>
      <c r="DK129"/>
      <c r="DL129"/>
      <c r="DM129"/>
      <c r="DN129"/>
      <c r="DO129"/>
    </row>
    <row r="130" spans="1:119">
      <c r="C130" s="1555"/>
      <c r="D130" s="1581"/>
      <c r="E130" s="1582" t="s">
        <v>763</v>
      </c>
      <c r="F130" s="1649"/>
      <c r="G130" s="1605"/>
      <c r="H130" s="1606"/>
      <c r="I130" s="1606"/>
      <c r="J130" s="1606"/>
      <c r="K130" s="1607"/>
      <c r="L130" s="1607"/>
      <c r="M130" s="1607"/>
      <c r="N130" s="1608">
        <f>N125/J125*100-100</f>
        <v>2.7408384935539374</v>
      </c>
      <c r="O130" s="1607"/>
      <c r="P130" s="1607"/>
      <c r="Q130" s="1607"/>
      <c r="R130" s="1608">
        <f>R125/N125*100-100</f>
        <v>-86.187135658531702</v>
      </c>
      <c r="S130" s="1607"/>
      <c r="T130" s="1607"/>
      <c r="U130" s="1607"/>
      <c r="V130" s="1608">
        <f>V125/R125*100-100</f>
        <v>109.08440629470584</v>
      </c>
      <c r="W130" s="1607"/>
      <c r="X130" s="1607"/>
      <c r="Y130" s="1607"/>
      <c r="Z130" s="1608">
        <f>Z125/V125*100-100</f>
        <v>143.5853575094078</v>
      </c>
      <c r="AA130" s="1607"/>
      <c r="AB130" s="1607"/>
      <c r="AC130" s="1607"/>
      <c r="AD130" s="1608">
        <f>AD125/Z125*100-100</f>
        <v>22.443820224719275</v>
      </c>
      <c r="AE130" s="1607"/>
      <c r="AF130" s="1607"/>
      <c r="AG130" s="1607"/>
      <c r="AH130" s="1608">
        <f>AH125/AD125*100-100</f>
        <v>-26.863959623767059</v>
      </c>
      <c r="AI130" s="1607"/>
      <c r="AJ130" s="1607"/>
      <c r="AK130" s="1607"/>
      <c r="AL130" s="1608">
        <f>AL125/AH125*100-100</f>
        <v>-88.40966122961099</v>
      </c>
      <c r="AM130" s="1607"/>
      <c r="AN130" s="1607"/>
      <c r="AO130" s="1607"/>
      <c r="AP130" s="1608">
        <f>AP125/AL125*100-100</f>
        <v>-300.40595399188032</v>
      </c>
      <c r="AQ130" s="1607"/>
      <c r="AR130" s="1607"/>
      <c r="AS130" s="1607"/>
      <c r="AT130" s="1608">
        <f>AT125/AP125*100-100</f>
        <v>836.7319378798104</v>
      </c>
      <c r="AU130" s="1607"/>
      <c r="AV130" s="1607"/>
      <c r="AW130" s="1607"/>
      <c r="AX130" s="1608">
        <f>AX125/AT125*100-100</f>
        <v>-136.26273769191963</v>
      </c>
      <c r="AY130" s="1607"/>
      <c r="AZ130" s="1607"/>
      <c r="BA130" s="1607"/>
      <c r="BB130" s="1608">
        <f>BB125/AX125*100-100</f>
        <v>272.27179135209269</v>
      </c>
      <c r="BC130" s="1607"/>
      <c r="BD130" s="1607"/>
      <c r="BE130" s="1607"/>
      <c r="BF130" s="1608">
        <f>BF125/BB125*100-100</f>
        <v>-64.952064896755132</v>
      </c>
      <c r="BG130" s="1607"/>
      <c r="BH130" s="1607"/>
      <c r="BI130" s="1607"/>
      <c r="BJ130" s="1608">
        <f>BJ125/BF125*100-100</f>
        <v>-295.58127301420302</v>
      </c>
      <c r="BK130" s="1607"/>
      <c r="BL130" s="1607"/>
      <c r="BM130" s="1607"/>
      <c r="BN130" s="1608">
        <f>BN125/BJ125*100-100</f>
        <v>-371.32867132867125</v>
      </c>
      <c r="BO130" s="1607"/>
      <c r="BP130" s="1607"/>
      <c r="BQ130" s="1607"/>
      <c r="BR130" s="1608">
        <f>BR125/BN125*100-100</f>
        <v>-134.30808881839812</v>
      </c>
      <c r="BS130" s="1607"/>
      <c r="BT130" s="1607"/>
      <c r="BU130" s="1607"/>
      <c r="BV130" s="1608">
        <f>BV125/BR125*100-100</f>
        <v>-22.970239815082422</v>
      </c>
      <c r="BW130" s="1607"/>
      <c r="BX130" s="1607"/>
      <c r="BY130" s="1607"/>
      <c r="BZ130" s="1608">
        <f>BZ125/BV125*100-100</f>
        <v>-222.35558889722438</v>
      </c>
      <c r="CA130" s="1607"/>
      <c r="CB130" s="1607"/>
      <c r="CC130" s="1607"/>
      <c r="CD130" s="1608">
        <f>CD125/BZ125*100-100</f>
        <v>137.36971183323098</v>
      </c>
      <c r="CE130" s="1607"/>
      <c r="CF130" s="1607"/>
      <c r="CG130" s="1607"/>
      <c r="CH130" s="1608">
        <f>CH125/CD125*100-100</f>
        <v>15.136252098669871</v>
      </c>
      <c r="CI130" s="1607"/>
      <c r="CJ130" s="1607"/>
      <c r="CK130" s="1607"/>
      <c r="CL130" s="1608">
        <f>CL125/CH125*100-100</f>
        <v>-116.3768928771733</v>
      </c>
      <c r="CM130" s="1607"/>
      <c r="CN130" s="1607"/>
      <c r="CO130" s="1607"/>
      <c r="CP130" s="1608">
        <f>CP125/CL125*100-100</f>
        <v>-199.17808219178079</v>
      </c>
      <c r="CQ130" s="1607"/>
      <c r="CR130" s="1607"/>
      <c r="CS130" s="1607"/>
      <c r="CT130" s="1608">
        <f>CT125/CP125*100-100</f>
        <v>140.46961325966865</v>
      </c>
      <c r="CU130" s="1607"/>
      <c r="CV130" s="1607"/>
      <c r="CW130" s="1607"/>
      <c r="CX130" s="1608">
        <f>CX125/CT125*100-100</f>
        <v>1.2330226435882707</v>
      </c>
      <c r="CY130" s="1607"/>
      <c r="CZ130" s="1607"/>
      <c r="DA130" s="1607"/>
      <c r="DB130" s="1608">
        <f>DB125/CX125*100-100</f>
        <v>-18.907228235553859</v>
      </c>
    </row>
    <row r="131" spans="1:119" s="699" customFormat="1" ht="12.75" customHeight="1">
      <c r="A131" s="664"/>
      <c r="B131" s="664"/>
      <c r="C131" s="666"/>
      <c r="D131" s="717"/>
      <c r="E131" s="1596" t="s">
        <v>1847</v>
      </c>
      <c r="F131" s="717"/>
      <c r="G131" s="1597"/>
      <c r="H131" s="1597"/>
      <c r="I131" s="1597"/>
      <c r="J131" s="1598"/>
      <c r="K131" s="1597"/>
      <c r="L131" s="1597"/>
      <c r="M131" s="1597"/>
      <c r="N131" s="1599">
        <f ca="1">N126/J126*100-100</f>
        <v>0.33587659645048973</v>
      </c>
      <c r="O131" s="1597"/>
      <c r="P131" s="1597"/>
      <c r="Q131" s="1597"/>
      <c r="R131" s="1599">
        <f ca="1">R126/N126*100-100</f>
        <v>-83.725255196925247</v>
      </c>
      <c r="S131" s="1597"/>
      <c r="T131" s="1597"/>
      <c r="U131" s="1597"/>
      <c r="V131" s="1599">
        <f ca="1">V126/R126*100-100</f>
        <v>87.550787201625184</v>
      </c>
      <c r="W131" s="1597"/>
      <c r="X131" s="1597"/>
      <c r="Y131" s="1597"/>
      <c r="Z131" s="1599">
        <f ca="1">Z126/V126*100-100</f>
        <v>144.12889686220086</v>
      </c>
      <c r="AA131" s="1597"/>
      <c r="AB131" s="1597"/>
      <c r="AC131" s="1597"/>
      <c r="AD131" s="1599">
        <f ca="1">AD126/Z126*100-100</f>
        <v>18.881632766246554</v>
      </c>
      <c r="AE131" s="1597"/>
      <c r="AF131" s="1597"/>
      <c r="AG131" s="1597"/>
      <c r="AH131" s="1599">
        <f ca="1">AH126/AD126*100-100</f>
        <v>-22.968008304078552</v>
      </c>
      <c r="AI131" s="1597"/>
      <c r="AJ131" s="1597"/>
      <c r="AK131" s="1597"/>
      <c r="AL131" s="1599">
        <f ca="1">AL126/AH126*100-100</f>
        <v>-88.768774224806208</v>
      </c>
      <c r="AM131" s="1597"/>
      <c r="AN131" s="1597"/>
      <c r="AO131" s="1597"/>
      <c r="AP131" s="1599">
        <f ca="1">AP126/AL126*100-100</f>
        <v>-294.70207603127528</v>
      </c>
      <c r="AQ131" s="1597"/>
      <c r="AR131" s="1597"/>
      <c r="AS131" s="1597"/>
      <c r="AT131" s="1599">
        <f ca="1">AT126/AP126*100-100</f>
        <v>3368.6179269877307</v>
      </c>
      <c r="AU131" s="1597"/>
      <c r="AV131" s="1597"/>
      <c r="AW131" s="1597"/>
      <c r="AX131" s="1599">
        <f ca="1">AX126/AT126*100-100</f>
        <v>837.2280535082208</v>
      </c>
      <c r="AY131" s="1597"/>
      <c r="AZ131" s="1597"/>
      <c r="BA131" s="1597"/>
      <c r="BB131" s="1599">
        <f ca="1">BB126/AX126*100-100</f>
        <v>-231.54241255212995</v>
      </c>
      <c r="BC131" s="1597"/>
      <c r="BD131" s="1597"/>
      <c r="BE131" s="1597"/>
      <c r="BF131" s="1599">
        <f ca="1">BF126/BB126*100-100</f>
        <v>287.84071228944401</v>
      </c>
      <c r="BG131" s="1597"/>
      <c r="BH131" s="1597"/>
      <c r="BI131" s="1597"/>
      <c r="BJ131" s="1599">
        <f ca="1">BJ126/BF126*100-100</f>
        <v>62.667027618070023</v>
      </c>
      <c r="BK131" s="1597"/>
      <c r="BL131" s="1597"/>
      <c r="BM131" s="1597"/>
      <c r="BN131" s="1599">
        <f ca="1">BN126/BJ126*100-100</f>
        <v>-274.9766095723491</v>
      </c>
      <c r="BO131" s="1597"/>
      <c r="BP131" s="1597"/>
      <c r="BQ131" s="1597"/>
      <c r="BR131" s="1599">
        <f ca="1">BR126/BN126*100-100</f>
        <v>-82.061497038750886</v>
      </c>
      <c r="BS131" s="1597"/>
      <c r="BT131" s="1597"/>
      <c r="BU131" s="1597"/>
      <c r="BV131" s="1599">
        <f ca="1">BV126/BR126*100-100</f>
        <v>-18.123332810293434</v>
      </c>
      <c r="BW131" s="1597"/>
      <c r="BX131" s="1597"/>
      <c r="BY131" s="1597"/>
      <c r="BZ131" s="1599">
        <f ca="1">BZ126/BV126*100-100</f>
        <v>-66.586845534687626</v>
      </c>
      <c r="CA131" s="1597"/>
      <c r="CB131" s="1597"/>
      <c r="CC131" s="1597"/>
      <c r="CD131" s="1599">
        <f ca="1">CD126/BZ126*100-100</f>
        <v>-71.517736982150367</v>
      </c>
      <c r="CE131" s="1597"/>
      <c r="CF131" s="1597"/>
      <c r="CG131" s="1597"/>
      <c r="CH131" s="1599">
        <f ca="1">CH126/CD126*100-100</f>
        <v>-23.924188230157881</v>
      </c>
      <c r="CI131" s="1597"/>
      <c r="CJ131" s="1597"/>
      <c r="CK131" s="1597"/>
      <c r="CL131" s="1599">
        <f ca="1">CL126/CH126*100-100</f>
        <v>2625.0848105474242</v>
      </c>
      <c r="CM131" s="1597"/>
      <c r="CN131" s="1597"/>
      <c r="CO131" s="1597"/>
      <c r="CP131" s="1599">
        <f ca="1">CP126/CL126*100-100</f>
        <v>-79.899693368936425</v>
      </c>
      <c r="CQ131" s="1597"/>
      <c r="CR131" s="1597"/>
      <c r="CS131" s="1597"/>
      <c r="CT131" s="1599">
        <f ca="1">CT126/CP126*100-100</f>
        <v>44.071958320386159</v>
      </c>
      <c r="CU131" s="1597"/>
      <c r="CV131" s="1597"/>
      <c r="CW131" s="1597"/>
      <c r="CX131" s="1599">
        <f ca="1">CX126/CT126*100-100</f>
        <v>0</v>
      </c>
      <c r="CY131" s="1597"/>
      <c r="CZ131" s="1597"/>
      <c r="DA131" s="1597"/>
      <c r="DB131" s="1599">
        <f ca="1">DB126/CX126*100-100</f>
        <v>0</v>
      </c>
      <c r="DC131"/>
      <c r="DD131"/>
      <c r="DE131"/>
      <c r="DF131"/>
      <c r="DG131"/>
      <c r="DH131"/>
      <c r="DI131"/>
      <c r="DJ131"/>
      <c r="DK131"/>
      <c r="DL131"/>
      <c r="DM131"/>
      <c r="DN131"/>
      <c r="DO131"/>
    </row>
    <row r="132" spans="1:119">
      <c r="E132" s="599"/>
      <c r="F132" s="3617"/>
      <c r="AY132" s="217"/>
      <c r="BF132" s="217"/>
      <c r="BJ132" s="217"/>
      <c r="CM132" s="557"/>
      <c r="CN132" s="557"/>
      <c r="CO132" s="557"/>
      <c r="CP132" s="557"/>
      <c r="CQ132" s="557"/>
      <c r="CR132" s="557"/>
      <c r="CS132" s="557"/>
      <c r="CT132" s="557"/>
      <c r="CU132" s="557"/>
      <c r="CV132" s="557"/>
      <c r="CW132" s="557"/>
      <c r="CX132" s="557"/>
      <c r="CY132" s="557"/>
      <c r="CZ132" s="557"/>
      <c r="DA132" s="557"/>
      <c r="DB132" s="557"/>
    </row>
    <row r="133" spans="1:119" s="699" customFormat="1" ht="12.75" customHeight="1">
      <c r="A133" s="664"/>
      <c r="B133" s="664"/>
      <c r="C133" s="666"/>
      <c r="D133" s="858"/>
      <c r="E133" s="3625" t="s">
        <v>1568</v>
      </c>
      <c r="F133" s="3626"/>
      <c r="G133" s="1622" t="str">
        <f t="shared" ref="G133:N133" si="321">G128</f>
        <v>Q1</v>
      </c>
      <c r="H133" s="1622" t="str">
        <f t="shared" si="321"/>
        <v>Q2</v>
      </c>
      <c r="I133" s="1622" t="str">
        <f t="shared" si="321"/>
        <v>Q3</v>
      </c>
      <c r="J133" s="1622" t="str">
        <f t="shared" si="321"/>
        <v>Q4</v>
      </c>
      <c r="K133" s="1623" t="str">
        <f t="shared" si="321"/>
        <v>Q1</v>
      </c>
      <c r="L133" s="1622" t="str">
        <f t="shared" si="321"/>
        <v>Q2</v>
      </c>
      <c r="M133" s="1622" t="str">
        <f t="shared" si="321"/>
        <v>Q3</v>
      </c>
      <c r="N133" s="1624" t="str">
        <f t="shared" si="321"/>
        <v>Q4</v>
      </c>
      <c r="O133" s="1623" t="str">
        <f t="shared" ref="O133:AX133" si="322">O128</f>
        <v>Q1</v>
      </c>
      <c r="P133" s="1622" t="str">
        <f t="shared" si="322"/>
        <v>Q2</v>
      </c>
      <c r="Q133" s="1622" t="str">
        <f t="shared" si="322"/>
        <v>Q3</v>
      </c>
      <c r="R133" s="1624" t="str">
        <f t="shared" si="322"/>
        <v>Q4</v>
      </c>
      <c r="S133" s="1623" t="str">
        <f t="shared" si="322"/>
        <v>Q1</v>
      </c>
      <c r="T133" s="1622" t="str">
        <f t="shared" si="322"/>
        <v>Q2</v>
      </c>
      <c r="U133" s="1622" t="str">
        <f t="shared" si="322"/>
        <v>Q3</v>
      </c>
      <c r="V133" s="1624" t="str">
        <f t="shared" si="322"/>
        <v>Q4</v>
      </c>
      <c r="W133" s="1623" t="str">
        <f t="shared" si="322"/>
        <v>Q1</v>
      </c>
      <c r="X133" s="1622" t="str">
        <f t="shared" si="322"/>
        <v>Q2</v>
      </c>
      <c r="Y133" s="1622" t="str">
        <f t="shared" si="322"/>
        <v>Q3</v>
      </c>
      <c r="Z133" s="1624" t="str">
        <f t="shared" si="322"/>
        <v>Q4</v>
      </c>
      <c r="AA133" s="1623" t="str">
        <f t="shared" si="322"/>
        <v>Q1</v>
      </c>
      <c r="AB133" s="1622" t="str">
        <f t="shared" si="322"/>
        <v>Q2</v>
      </c>
      <c r="AC133" s="1622" t="str">
        <f t="shared" si="322"/>
        <v>Q3</v>
      </c>
      <c r="AD133" s="1624" t="str">
        <f t="shared" si="322"/>
        <v>Q4</v>
      </c>
      <c r="AE133" s="1623" t="str">
        <f t="shared" si="322"/>
        <v>Q1</v>
      </c>
      <c r="AF133" s="1622" t="str">
        <f t="shared" si="322"/>
        <v>Q2</v>
      </c>
      <c r="AG133" s="1622" t="str">
        <f t="shared" si="322"/>
        <v>Q3</v>
      </c>
      <c r="AH133" s="1624" t="str">
        <f t="shared" si="322"/>
        <v>Q4</v>
      </c>
      <c r="AI133" s="1623" t="str">
        <f t="shared" si="322"/>
        <v>Q1</v>
      </c>
      <c r="AJ133" s="1622" t="str">
        <f t="shared" si="322"/>
        <v>Q2</v>
      </c>
      <c r="AK133" s="1622" t="str">
        <f t="shared" si="322"/>
        <v>Q3</v>
      </c>
      <c r="AL133" s="1624" t="str">
        <f t="shared" si="322"/>
        <v>Q4</v>
      </c>
      <c r="AM133" s="1623" t="str">
        <f t="shared" si="322"/>
        <v>Q1</v>
      </c>
      <c r="AN133" s="1622" t="str">
        <f t="shared" si="322"/>
        <v>Q2</v>
      </c>
      <c r="AO133" s="1622" t="str">
        <f t="shared" si="322"/>
        <v>Q3</v>
      </c>
      <c r="AP133" s="1624" t="str">
        <f t="shared" si="322"/>
        <v>Q4</v>
      </c>
      <c r="AQ133" s="1623" t="str">
        <f t="shared" si="322"/>
        <v>Q1</v>
      </c>
      <c r="AR133" s="1622" t="str">
        <f t="shared" si="322"/>
        <v>Q2</v>
      </c>
      <c r="AS133" s="1622" t="str">
        <f t="shared" si="322"/>
        <v>Q3</v>
      </c>
      <c r="AT133" s="1624" t="str">
        <f t="shared" si="322"/>
        <v>Q4</v>
      </c>
      <c r="AU133" s="1623" t="str">
        <f t="shared" si="322"/>
        <v>Q1</v>
      </c>
      <c r="AV133" s="1622" t="str">
        <f t="shared" si="322"/>
        <v>Q2</v>
      </c>
      <c r="AW133" s="1622" t="str">
        <f t="shared" si="322"/>
        <v>Q3</v>
      </c>
      <c r="AX133" s="1624" t="str">
        <f t="shared" si="322"/>
        <v>Q4</v>
      </c>
      <c r="AY133" s="1623" t="str">
        <f t="shared" ref="AY133:BF133" si="323">AY128</f>
        <v>Q1</v>
      </c>
      <c r="AZ133" s="1622" t="str">
        <f t="shared" si="323"/>
        <v>Q2</v>
      </c>
      <c r="BA133" s="1556" t="str">
        <f t="shared" si="323"/>
        <v>Q3</v>
      </c>
      <c r="BB133" s="1556" t="str">
        <f t="shared" si="323"/>
        <v>Q4</v>
      </c>
      <c r="BC133" s="1556" t="str">
        <f t="shared" si="323"/>
        <v>Q1</v>
      </c>
      <c r="BD133" s="1556" t="str">
        <f t="shared" si="323"/>
        <v>Q2</v>
      </c>
      <c r="BE133" s="1556" t="str">
        <f t="shared" si="323"/>
        <v>Q3</v>
      </c>
      <c r="BF133" s="1624" t="str">
        <f t="shared" si="323"/>
        <v>Q4</v>
      </c>
      <c r="BG133" s="1556" t="str">
        <f t="shared" ref="BG133:BN133" si="324">BG128</f>
        <v>Q1</v>
      </c>
      <c r="BH133" s="1556" t="str">
        <f t="shared" si="324"/>
        <v>Q2</v>
      </c>
      <c r="BI133" s="1556" t="str">
        <f t="shared" si="324"/>
        <v>Q3</v>
      </c>
      <c r="BJ133" s="1624" t="str">
        <f t="shared" si="324"/>
        <v>Q4</v>
      </c>
      <c r="BK133" s="1556" t="str">
        <f t="shared" si="324"/>
        <v>Q1</v>
      </c>
      <c r="BL133" s="1556" t="str">
        <f t="shared" si="324"/>
        <v>Q2</v>
      </c>
      <c r="BM133" s="1556" t="str">
        <f t="shared" si="324"/>
        <v>Q3</v>
      </c>
      <c r="BN133" s="1556" t="str">
        <f t="shared" si="324"/>
        <v>Q4</v>
      </c>
      <c r="BO133" s="1556" t="str">
        <f t="shared" ref="BO133:CD133" si="325">BO128</f>
        <v>Q1</v>
      </c>
      <c r="BP133" s="1556" t="str">
        <f t="shared" si="325"/>
        <v>Q2</v>
      </c>
      <c r="BQ133" s="1556" t="str">
        <f t="shared" si="325"/>
        <v>Q3</v>
      </c>
      <c r="BR133" s="1556" t="str">
        <f t="shared" si="325"/>
        <v>Q4</v>
      </c>
      <c r="BS133" s="1556" t="str">
        <f t="shared" si="325"/>
        <v>Q1</v>
      </c>
      <c r="BT133" s="1556" t="str">
        <f t="shared" si="325"/>
        <v>Q2</v>
      </c>
      <c r="BU133" s="1556" t="str">
        <f t="shared" si="325"/>
        <v>Q3</v>
      </c>
      <c r="BV133" s="1556" t="str">
        <f t="shared" si="325"/>
        <v>Q4</v>
      </c>
      <c r="BW133" s="1556" t="str">
        <f t="shared" si="325"/>
        <v>Q1</v>
      </c>
      <c r="BX133" s="1556" t="str">
        <f t="shared" si="325"/>
        <v>Q2</v>
      </c>
      <c r="BY133" s="1556" t="str">
        <f t="shared" si="325"/>
        <v>Q3</v>
      </c>
      <c r="BZ133" s="1556" t="str">
        <f t="shared" si="325"/>
        <v>Q4</v>
      </c>
      <c r="CA133" s="1556" t="str">
        <f t="shared" si="325"/>
        <v>Q1</v>
      </c>
      <c r="CB133" s="1556" t="str">
        <f t="shared" si="325"/>
        <v>Q2</v>
      </c>
      <c r="CC133" s="1556" t="str">
        <f t="shared" si="325"/>
        <v>Q3</v>
      </c>
      <c r="CD133" s="1556" t="str">
        <f t="shared" si="325"/>
        <v>Q4</v>
      </c>
      <c r="CE133" s="1556" t="str">
        <f t="shared" ref="CE133:CL133" si="326">CE128</f>
        <v>Q1</v>
      </c>
      <c r="CF133" s="1556" t="str">
        <f t="shared" si="326"/>
        <v>Q2</v>
      </c>
      <c r="CG133" s="1556" t="str">
        <f t="shared" si="326"/>
        <v>Q3</v>
      </c>
      <c r="CH133" s="1556" t="str">
        <f t="shared" si="326"/>
        <v>Q4</v>
      </c>
      <c r="CI133" s="1556" t="str">
        <f t="shared" si="326"/>
        <v>Q1</v>
      </c>
      <c r="CJ133" s="1556" t="str">
        <f t="shared" si="326"/>
        <v>Q2</v>
      </c>
      <c r="CK133" s="1556" t="str">
        <f t="shared" si="326"/>
        <v>Q3</v>
      </c>
      <c r="CL133" s="1556" t="str">
        <f t="shared" si="326"/>
        <v>Q4</v>
      </c>
      <c r="CM133" s="1556" t="str">
        <f t="shared" ref="CM133:CT133" si="327">CM128</f>
        <v>Q1</v>
      </c>
      <c r="CN133" s="1556" t="str">
        <f t="shared" si="327"/>
        <v>Q2</v>
      </c>
      <c r="CO133" s="1556" t="str">
        <f t="shared" si="327"/>
        <v>Q3</v>
      </c>
      <c r="CP133" s="1556" t="str">
        <f t="shared" si="327"/>
        <v>Q4</v>
      </c>
      <c r="CQ133" s="1556" t="str">
        <f t="shared" si="327"/>
        <v>Q1</v>
      </c>
      <c r="CR133" s="1556" t="str">
        <f t="shared" si="327"/>
        <v>Q2</v>
      </c>
      <c r="CS133" s="1556" t="str">
        <f t="shared" si="327"/>
        <v>Q3</v>
      </c>
      <c r="CT133" s="1556" t="str">
        <f t="shared" si="327"/>
        <v>Q4</v>
      </c>
      <c r="CU133" s="1556" t="str">
        <f t="shared" ref="CU133:DB133" si="328">CU128</f>
        <v>Q1</v>
      </c>
      <c r="CV133" s="1556" t="str">
        <f t="shared" si="328"/>
        <v>Q2</v>
      </c>
      <c r="CW133" s="1556" t="str">
        <f t="shared" si="328"/>
        <v>Q3</v>
      </c>
      <c r="CX133" s="1556" t="str">
        <f t="shared" si="328"/>
        <v>Q4</v>
      </c>
      <c r="CY133" s="1556" t="str">
        <f t="shared" si="328"/>
        <v>Q1</v>
      </c>
      <c r="CZ133" s="1556" t="str">
        <f t="shared" si="328"/>
        <v>Q2</v>
      </c>
      <c r="DA133" s="1556" t="str">
        <f t="shared" si="328"/>
        <v>Q3</v>
      </c>
      <c r="DB133" s="1556" t="str">
        <f t="shared" si="328"/>
        <v>Q4</v>
      </c>
      <c r="DC133"/>
      <c r="DD133"/>
      <c r="DE133"/>
      <c r="DF133"/>
      <c r="DG133"/>
      <c r="DH133"/>
      <c r="DI133"/>
      <c r="DJ133"/>
      <c r="DK133"/>
      <c r="DL133"/>
      <c r="DM133"/>
      <c r="DN133"/>
      <c r="DO133"/>
    </row>
    <row r="134" spans="1:119" s="699" customFormat="1" ht="12.75" customHeight="1">
      <c r="B134" s="664"/>
      <c r="C134" s="1625"/>
      <c r="D134" s="1626"/>
      <c r="E134" s="3639" t="s">
        <v>1569</v>
      </c>
      <c r="F134" s="3640"/>
      <c r="G134" s="1627">
        <f t="shared" ref="G134:AL134" si="329">G124/G258*100</f>
        <v>-0.74890548544939561</v>
      </c>
      <c r="H134" s="1627">
        <f t="shared" si="329"/>
        <v>-2.9461950869824225</v>
      </c>
      <c r="I134" s="1627">
        <f t="shared" si="329"/>
        <v>-2.4165219848992612</v>
      </c>
      <c r="J134" s="1627">
        <f t="shared" si="329"/>
        <v>-3.757849390285978</v>
      </c>
      <c r="K134" s="1627">
        <f t="shared" si="329"/>
        <v>-3.7643064133711919</v>
      </c>
      <c r="L134" s="1627">
        <f t="shared" si="329"/>
        <v>-3.0829365779110098</v>
      </c>
      <c r="M134" s="1627">
        <f t="shared" si="329"/>
        <v>-1.2630542431616096</v>
      </c>
      <c r="N134" s="1627">
        <f t="shared" si="329"/>
        <v>-1.6756309474555253</v>
      </c>
      <c r="O134" s="1627">
        <f t="shared" si="329"/>
        <v>-0.36240615441653473</v>
      </c>
      <c r="P134" s="1627">
        <f t="shared" si="329"/>
        <v>-1.0777797736665477E-2</v>
      </c>
      <c r="Q134" s="1627">
        <f t="shared" si="329"/>
        <v>-1.9391306623400433</v>
      </c>
      <c r="R134" s="1627">
        <f t="shared" si="329"/>
        <v>1.0510549064920598</v>
      </c>
      <c r="S134" s="1627">
        <f t="shared" si="329"/>
        <v>-0.78654983019579794</v>
      </c>
      <c r="T134" s="1627">
        <f t="shared" si="329"/>
        <v>-6.5112215546158606E-2</v>
      </c>
      <c r="U134" s="1627">
        <f t="shared" si="329"/>
        <v>0.48919124192507424</v>
      </c>
      <c r="V134" s="1627">
        <f t="shared" si="329"/>
        <v>-2.0456995394113613</v>
      </c>
      <c r="W134" s="1627">
        <f t="shared" si="329"/>
        <v>-1.6466159803003022</v>
      </c>
      <c r="X134" s="1627">
        <f t="shared" si="329"/>
        <v>-1.7231694422416071</v>
      </c>
      <c r="Y134" s="1627">
        <f t="shared" si="329"/>
        <v>-1.7356710617976083</v>
      </c>
      <c r="Z134" s="1627">
        <f t="shared" si="329"/>
        <v>-0.8213070515076859</v>
      </c>
      <c r="AA134" s="1627">
        <f t="shared" si="329"/>
        <v>-1.2082683947174169</v>
      </c>
      <c r="AB134" s="1627">
        <f t="shared" si="329"/>
        <v>-1.3251849990679121</v>
      </c>
      <c r="AC134" s="1627">
        <f t="shared" si="329"/>
        <v>-2.0669684995280555</v>
      </c>
      <c r="AD134" s="1627">
        <f t="shared" si="329"/>
        <v>-2.3812896422556933</v>
      </c>
      <c r="AE134" s="1627">
        <f t="shared" si="329"/>
        <v>-1.9996173713411096</v>
      </c>
      <c r="AF134" s="1627">
        <f t="shared" si="329"/>
        <v>-1.2855852130901473</v>
      </c>
      <c r="AG134" s="1627">
        <f t="shared" si="329"/>
        <v>-0.8979995356466135</v>
      </c>
      <c r="AH134" s="1627">
        <f t="shared" si="329"/>
        <v>-0.64734151104869353</v>
      </c>
      <c r="AI134" s="1627">
        <f t="shared" si="329"/>
        <v>-0.73750182189184998</v>
      </c>
      <c r="AJ134" s="1627">
        <f t="shared" si="329"/>
        <v>0.80117203258476977</v>
      </c>
      <c r="AK134" s="1627">
        <f t="shared" si="329"/>
        <v>0.50720043474323073</v>
      </c>
      <c r="AL134" s="1627">
        <f t="shared" si="329"/>
        <v>-1.0894337964742746</v>
      </c>
      <c r="AM134" s="1627">
        <f t="shared" ref="AM134:BN134" si="330">AM124/AM258*100</f>
        <v>-1.0372282626591227</v>
      </c>
      <c r="AN134" s="1627">
        <f t="shared" si="330"/>
        <v>-0.40600050587922354</v>
      </c>
      <c r="AO134" s="1627">
        <f t="shared" si="330"/>
        <v>1.0374308589902257</v>
      </c>
      <c r="AP134" s="1627">
        <f t="shared" si="330"/>
        <v>1.2660349944739011</v>
      </c>
      <c r="AQ134" s="1627">
        <f t="shared" si="330"/>
        <v>2.9556017612524421</v>
      </c>
      <c r="AR134" s="1627">
        <f t="shared" si="330"/>
        <v>1.9752062639337042</v>
      </c>
      <c r="AS134" s="1627">
        <f t="shared" si="330"/>
        <v>1.2047905618780934</v>
      </c>
      <c r="AT134" s="1627">
        <f t="shared" si="330"/>
        <v>2.1677870676482067</v>
      </c>
      <c r="AU134" s="1627">
        <f t="shared" si="330"/>
        <v>-1.2538207223504476</v>
      </c>
      <c r="AV134" s="1627">
        <f t="shared" si="330"/>
        <v>0.69349407224024584</v>
      </c>
      <c r="AW134" s="1627">
        <f t="shared" si="330"/>
        <v>-1.863808925955819</v>
      </c>
      <c r="AX134" s="1627">
        <f t="shared" si="330"/>
        <v>0.20892992811641573</v>
      </c>
      <c r="AY134" s="1627">
        <f t="shared" si="330"/>
        <v>-7.8636959370902329E-2</v>
      </c>
      <c r="AZ134" s="1627">
        <f t="shared" si="330"/>
        <v>-3.7246145969622857</v>
      </c>
      <c r="BA134" s="1627">
        <f t="shared" si="330"/>
        <v>-2.6558939878947152</v>
      </c>
      <c r="BB134" s="1627">
        <f t="shared" si="330"/>
        <v>-1.1552140743355162</v>
      </c>
      <c r="BC134" s="1627">
        <f t="shared" si="330"/>
        <v>-1.973987639516652</v>
      </c>
      <c r="BD134" s="1627">
        <f t="shared" si="330"/>
        <v>-0.26521120805626858</v>
      </c>
      <c r="BE134" s="1627">
        <f t="shared" si="330"/>
        <v>-0.41303235628096069</v>
      </c>
      <c r="BF134" s="1627">
        <f t="shared" si="330"/>
        <v>0.16547565056445301</v>
      </c>
      <c r="BG134" s="1627">
        <f t="shared" si="330"/>
        <v>0.9719382098598125</v>
      </c>
      <c r="BH134" s="1627">
        <f t="shared" si="330"/>
        <v>0.72425711738339438</v>
      </c>
      <c r="BI134" s="1627">
        <f t="shared" si="330"/>
        <v>2.065738134044552</v>
      </c>
      <c r="BJ134" s="1627">
        <f t="shared" si="330"/>
        <v>0.8284910965323331</v>
      </c>
      <c r="BK134" s="1628">
        <f t="shared" si="330"/>
        <v>-7.6148702092471421</v>
      </c>
      <c r="BL134" s="1628">
        <f t="shared" si="330"/>
        <v>-3.687553598162765</v>
      </c>
      <c r="BM134" s="1628">
        <f t="shared" si="330"/>
        <v>-0.78030171666377823</v>
      </c>
      <c r="BN134" s="1628">
        <f t="shared" si="330"/>
        <v>-2.518529390181258</v>
      </c>
      <c r="BO134" s="1628">
        <f t="shared" ref="BO134:CE134" si="331">BO124/BO258*100</f>
        <v>0.75721241188867294</v>
      </c>
      <c r="BP134" s="1628">
        <f t="shared" si="331"/>
        <v>2.3386128423580557</v>
      </c>
      <c r="BQ134" s="1628">
        <f t="shared" si="331"/>
        <v>-0.53355839102821101</v>
      </c>
      <c r="BR134" s="1628">
        <f t="shared" si="331"/>
        <v>2.3407076558029178</v>
      </c>
      <c r="BS134" s="1628">
        <f t="shared" si="331"/>
        <v>2.8654001561451339</v>
      </c>
      <c r="BT134" s="1628">
        <f t="shared" si="331"/>
        <v>1.1055533833978239</v>
      </c>
      <c r="BU134" s="1628">
        <f t="shared" si="331"/>
        <v>-0.3688601550553961</v>
      </c>
      <c r="BV134" s="1628">
        <f t="shared" si="331"/>
        <v>3.8424846300612991E-2</v>
      </c>
      <c r="BW134" s="1628">
        <f t="shared" si="331"/>
        <v>-0.45919844214626049</v>
      </c>
      <c r="BX134" s="1628">
        <f t="shared" si="331"/>
        <v>-3.0061357753806961</v>
      </c>
      <c r="BY134" s="1628">
        <f t="shared" si="331"/>
        <v>1.0728293470737529</v>
      </c>
      <c r="BZ134" s="1628">
        <f t="shared" si="331"/>
        <v>-1.8641063892182719</v>
      </c>
      <c r="CA134" s="1628">
        <f t="shared" si="331"/>
        <v>-3.188538565284881</v>
      </c>
      <c r="CB134" s="1628">
        <f t="shared" si="331"/>
        <v>-2.8420481912519371</v>
      </c>
      <c r="CC134" s="1628">
        <f t="shared" si="331"/>
        <v>-1.9992535456581215</v>
      </c>
      <c r="CD134" s="1628">
        <f t="shared" si="331"/>
        <v>-1.6967335413147207</v>
      </c>
      <c r="CE134" s="1628">
        <f t="shared" si="331"/>
        <v>-2.8405422853453843</v>
      </c>
      <c r="CF134" s="1628">
        <f t="shared" ref="CF134:CL134" si="332">CF124/CF258*100</f>
        <v>-3.1145636706838982</v>
      </c>
      <c r="CG134" s="1628">
        <f t="shared" si="332"/>
        <v>-3.1031320882196813</v>
      </c>
      <c r="CH134" s="1628">
        <f t="shared" si="332"/>
        <v>-1.7296789802477164</v>
      </c>
      <c r="CI134" s="1628">
        <f>CI124/CI258*100</f>
        <v>0.19287673858612858</v>
      </c>
      <c r="CJ134" s="1628">
        <f t="shared" si="332"/>
        <v>1.5310788820392227</v>
      </c>
      <c r="CK134" s="1628">
        <f t="shared" si="332"/>
        <v>-0.29240455585162778</v>
      </c>
      <c r="CL134" s="1628">
        <f t="shared" si="332"/>
        <v>0.30376885309596924</v>
      </c>
      <c r="CM134" s="1628">
        <f t="shared" ref="CM134:CT134" si="333">CM124/CM258*100</f>
        <v>-1.7061522394714927</v>
      </c>
      <c r="CN134" s="1628">
        <f t="shared" si="333"/>
        <v>0.15624635619505248</v>
      </c>
      <c r="CO134" s="1628">
        <f t="shared" si="333"/>
        <v>7.1553873141908017E-2</v>
      </c>
      <c r="CP134" s="1628">
        <f t="shared" si="333"/>
        <v>-0.21673910315640582</v>
      </c>
      <c r="CQ134" s="1628">
        <f>CQ124/CQ258*100</f>
        <v>-3.4982790723917051E-2</v>
      </c>
      <c r="CR134" s="1628">
        <f>CR124/CR258*100</f>
        <v>-1.8397552968594193</v>
      </c>
      <c r="CS134" s="1628">
        <f t="shared" si="333"/>
        <v>-9.1375083574772059E-2</v>
      </c>
      <c r="CT134" s="1628">
        <f t="shared" si="333"/>
        <v>-1.8988037646230984</v>
      </c>
      <c r="CU134" s="1628">
        <f t="shared" ref="CU134:DB134" si="334">CU124/CU258*100</f>
        <v>-1.1408173679182696</v>
      </c>
      <c r="CV134" s="1628">
        <f t="shared" si="334"/>
        <v>-0.87782655901667106</v>
      </c>
      <c r="CW134" s="1628">
        <f t="shared" si="334"/>
        <v>-0.78985290792442342</v>
      </c>
      <c r="CX134" s="1628">
        <f t="shared" si="334"/>
        <v>-1.0063826224170245</v>
      </c>
      <c r="CY134" s="1628">
        <f t="shared" si="334"/>
        <v>-0.99440241878043356</v>
      </c>
      <c r="CZ134" s="1628">
        <f t="shared" si="334"/>
        <v>-0.83737945049919571</v>
      </c>
      <c r="DA134" s="1628">
        <f t="shared" si="334"/>
        <v>-0.66858942834525592</v>
      </c>
      <c r="DB134" s="1628">
        <f t="shared" si="334"/>
        <v>-0.51741238415788593</v>
      </c>
      <c r="DC134"/>
      <c r="DD134"/>
      <c r="DE134"/>
      <c r="DF134"/>
      <c r="DG134"/>
      <c r="DH134"/>
      <c r="DI134"/>
      <c r="DJ134"/>
      <c r="DK134"/>
      <c r="DL134"/>
      <c r="DM134"/>
      <c r="DN134"/>
      <c r="DO134"/>
    </row>
    <row r="135" spans="1:119" ht="30" hidden="1" customHeight="1">
      <c r="E135" s="599"/>
      <c r="F135" s="3617"/>
      <c r="BB135" s="1693">
        <f>+BB134+BA134+AZ134+AY134</f>
        <v>-7.6143596185634195</v>
      </c>
      <c r="CM135" s="557"/>
      <c r="CN135" s="557"/>
      <c r="CO135" s="557"/>
      <c r="CP135" s="3681"/>
      <c r="CQ135" s="3680"/>
      <c r="CR135" s="3680"/>
      <c r="CS135" s="3680"/>
      <c r="CT135" s="3680"/>
      <c r="CU135" s="3681"/>
      <c r="CV135" s="557"/>
      <c r="CW135" s="557"/>
      <c r="CX135" s="557"/>
      <c r="CY135" s="557"/>
      <c r="CZ135" s="557"/>
      <c r="DA135" s="557"/>
      <c r="DB135" s="557"/>
    </row>
    <row r="136" spans="1:119" ht="30" hidden="1" customHeight="1">
      <c r="E136" s="599"/>
      <c r="F136" s="3617"/>
      <c r="CM136" s="557"/>
      <c r="CN136" s="557"/>
      <c r="CO136" s="557"/>
      <c r="CP136" s="557"/>
      <c r="CQ136" s="1693"/>
      <c r="CR136" s="557"/>
      <c r="CS136" s="557"/>
      <c r="CT136" s="557"/>
      <c r="CU136" s="557"/>
      <c r="CV136" s="557"/>
      <c r="CW136" s="557"/>
      <c r="CX136" s="557"/>
      <c r="CY136" s="557"/>
      <c r="CZ136" s="557"/>
      <c r="DA136" s="557"/>
      <c r="DB136" s="557"/>
    </row>
    <row r="137" spans="1:119" ht="30" customHeight="1">
      <c r="C137" s="3767" t="s">
        <v>2004</v>
      </c>
      <c r="D137" s="3767"/>
      <c r="E137" s="3767"/>
      <c r="F137" s="3767"/>
      <c r="CM137" s="557"/>
      <c r="CN137" s="557"/>
      <c r="CO137" s="557"/>
      <c r="CP137" s="557"/>
      <c r="CQ137" s="557"/>
      <c r="CR137" s="557"/>
      <c r="CS137" s="557"/>
      <c r="CT137" s="557"/>
      <c r="CU137" s="557"/>
      <c r="CV137" s="557"/>
      <c r="CW137" s="557"/>
      <c r="CX137" s="557"/>
      <c r="CY137" s="557"/>
      <c r="CZ137" s="557"/>
      <c r="DA137" s="557"/>
      <c r="DB137" s="557"/>
    </row>
    <row r="138" spans="1:119" s="884" customFormat="1" ht="12.75" customHeight="1">
      <c r="A138" s="664"/>
      <c r="B138" s="664"/>
      <c r="C138" s="666"/>
      <c r="D138" s="1041"/>
      <c r="E138" s="3632"/>
      <c r="F138" s="1041"/>
      <c r="G138" s="1044"/>
      <c r="H138" s="1559"/>
      <c r="I138" s="1559"/>
      <c r="J138" s="1559"/>
      <c r="K138" s="1044"/>
      <c r="L138" s="1559"/>
      <c r="M138" s="1559"/>
      <c r="N138" s="1559"/>
      <c r="O138" s="1044"/>
      <c r="P138" s="1559"/>
      <c r="Q138" s="1559"/>
      <c r="R138" s="1559"/>
      <c r="S138" s="1044"/>
      <c r="T138" s="1559"/>
      <c r="U138" s="1559"/>
      <c r="V138" s="1559"/>
      <c r="W138" s="1044"/>
      <c r="X138" s="1559"/>
      <c r="Y138" s="1559"/>
      <c r="Z138" s="1559"/>
      <c r="AA138" s="1044"/>
      <c r="AB138" s="1559"/>
      <c r="AC138" s="1559"/>
      <c r="AD138" s="1559"/>
      <c r="AE138" s="1044"/>
      <c r="AF138" s="1559"/>
      <c r="AG138" s="1559"/>
      <c r="AH138" s="1559"/>
      <c r="AI138" s="1044"/>
      <c r="AJ138" s="1559"/>
      <c r="AK138" s="1559"/>
      <c r="AL138" s="1559"/>
      <c r="AM138" s="1044"/>
      <c r="AN138" s="1559"/>
      <c r="AO138" s="1559"/>
      <c r="AP138" s="1559"/>
      <c r="AQ138" s="1044"/>
      <c r="AR138" s="1559"/>
      <c r="AS138" s="1559"/>
      <c r="AT138" s="1559"/>
      <c r="AU138" s="1044"/>
      <c r="AV138" s="1559"/>
      <c r="AW138" s="1559"/>
      <c r="AX138" s="1559"/>
      <c r="AY138" s="1560"/>
      <c r="AZ138" s="1559"/>
      <c r="BA138" s="1560"/>
      <c r="BB138" s="1560"/>
      <c r="BC138" s="1560"/>
      <c r="BD138" s="1560"/>
      <c r="BE138" s="1560"/>
      <c r="BF138" s="1560"/>
      <c r="BG138" s="1560"/>
      <c r="BH138" s="1560"/>
      <c r="BI138" s="1560"/>
      <c r="BJ138" s="1560"/>
      <c r="BK138" s="1560"/>
      <c r="BL138" s="1560"/>
      <c r="BM138" s="1560"/>
      <c r="BN138" s="1560"/>
      <c r="BO138" s="1560"/>
      <c r="BP138" s="1560"/>
      <c r="BQ138" s="1560"/>
      <c r="BR138" s="1560"/>
      <c r="BS138" s="1560"/>
      <c r="BT138" s="1560"/>
      <c r="BU138" s="1560"/>
      <c r="BV138" s="1560"/>
      <c r="BW138" s="1560"/>
      <c r="BX138" s="1560"/>
      <c r="BY138" s="1560"/>
      <c r="BZ138" s="1560"/>
      <c r="CA138" s="1560"/>
      <c r="CB138" s="1560"/>
      <c r="CC138" s="1560"/>
      <c r="CD138" s="1560"/>
      <c r="CE138" s="1560"/>
      <c r="CF138" s="1560"/>
      <c r="CG138" s="1560"/>
      <c r="CH138" s="1560"/>
      <c r="CI138" s="1560"/>
      <c r="CJ138" s="1560"/>
      <c r="CK138" s="1560"/>
      <c r="CL138" s="1560"/>
      <c r="CM138" s="1560"/>
      <c r="CN138" s="1560"/>
      <c r="CO138" s="1560"/>
      <c r="CP138" s="1560"/>
      <c r="CQ138" s="1560"/>
      <c r="CR138" s="1560"/>
      <c r="CS138" s="1560"/>
      <c r="CT138" s="1560"/>
      <c r="CU138" s="1560"/>
      <c r="CV138" s="1560"/>
      <c r="CW138" s="1560"/>
      <c r="CX138" s="1560"/>
      <c r="CY138" s="1560"/>
      <c r="CZ138" s="1560"/>
      <c r="DA138" s="1560"/>
      <c r="DB138" s="1560"/>
      <c r="DC138"/>
      <c r="DD138"/>
      <c r="DE138"/>
      <c r="DF138"/>
      <c r="DG138"/>
      <c r="DH138"/>
      <c r="DI138"/>
      <c r="DJ138"/>
      <c r="DK138"/>
      <c r="DL138"/>
      <c r="DM138"/>
      <c r="DN138"/>
      <c r="DO138"/>
    </row>
    <row r="139" spans="1:119" ht="12.75" customHeight="1">
      <c r="E139" s="599"/>
      <c r="F139" s="3617"/>
      <c r="G139" s="3763">
        <f ca="1">OFFSET(InputY!$G$3,0,(COLUMN()-7)/4)</f>
        <v>1995</v>
      </c>
      <c r="H139" s="3764"/>
      <c r="I139" s="3764"/>
      <c r="J139" s="3765"/>
      <c r="K139" s="3763">
        <f ca="1">OFFSET(InputY!$G$3,0,(COLUMN()-7)/4)</f>
        <v>1996</v>
      </c>
      <c r="L139" s="3764"/>
      <c r="M139" s="3764"/>
      <c r="N139" s="3765"/>
      <c r="O139" s="3763">
        <f ca="1">OFFSET(InputY!$G$3,0,(COLUMN()-7)/4)</f>
        <v>1997</v>
      </c>
      <c r="P139" s="3764"/>
      <c r="Q139" s="3764"/>
      <c r="R139" s="3765"/>
      <c r="S139" s="3763">
        <f ca="1">OFFSET(InputY!$G$3,0,(COLUMN()-7)/4)</f>
        <v>1998</v>
      </c>
      <c r="T139" s="3764"/>
      <c r="U139" s="3764"/>
      <c r="V139" s="3765"/>
      <c r="W139" s="3763">
        <f ca="1">OFFSET(InputY!$G$3,0,(COLUMN()-7)/4)</f>
        <v>1999</v>
      </c>
      <c r="X139" s="3764"/>
      <c r="Y139" s="3764"/>
      <c r="Z139" s="3765"/>
      <c r="AA139" s="3763">
        <f ca="1">OFFSET(InputY!$G$3,0,(COLUMN()-7)/4)</f>
        <v>2000</v>
      </c>
      <c r="AB139" s="3764"/>
      <c r="AC139" s="3764"/>
      <c r="AD139" s="3765"/>
      <c r="AE139" s="3763">
        <f ca="1">OFFSET(InputY!$G$3,0,(COLUMN()-7)/4)</f>
        <v>2001</v>
      </c>
      <c r="AF139" s="3764"/>
      <c r="AG139" s="3764"/>
      <c r="AH139" s="3765"/>
      <c r="AI139" s="3763">
        <f ca="1">OFFSET(InputY!$G$3,0,(COLUMN()-7)/4)</f>
        <v>2002</v>
      </c>
      <c r="AJ139" s="3764"/>
      <c r="AK139" s="3764"/>
      <c r="AL139" s="3765"/>
      <c r="AM139" s="3763">
        <f ca="1">OFFSET(InputY!$G$3,0,(COLUMN()-7)/4)</f>
        <v>2003</v>
      </c>
      <c r="AN139" s="3764"/>
      <c r="AO139" s="3764"/>
      <c r="AP139" s="3765"/>
      <c r="AQ139" s="3763">
        <f ca="1">OFFSET(InputY!$G$3,0,(COLUMN()-7)/4)</f>
        <v>2004</v>
      </c>
      <c r="AR139" s="3764"/>
      <c r="AS139" s="3764"/>
      <c r="AT139" s="3765"/>
      <c r="AU139" s="3763">
        <f ca="1">OFFSET(InputY!$G$3,0,(COLUMN()-7)/4)</f>
        <v>2005</v>
      </c>
      <c r="AV139" s="3764"/>
      <c r="AW139" s="3764"/>
      <c r="AX139" s="3765"/>
      <c r="AY139" s="3763">
        <f ca="1">OFFSET(InputY!$G$3,0,(COLUMN()-7)/4)</f>
        <v>2006</v>
      </c>
      <c r="AZ139" s="3764"/>
      <c r="BA139" s="3764"/>
      <c r="BB139" s="3765"/>
      <c r="BC139" s="3763">
        <f ca="1">OFFSET(InputY!$G$3,0,(COLUMN()-7)/4)</f>
        <v>2007</v>
      </c>
      <c r="BD139" s="3764"/>
      <c r="BE139" s="3764"/>
      <c r="BF139" s="3765"/>
      <c r="BG139" s="3763">
        <f ca="1">OFFSET(InputY!$G$3,0,(COLUMN()-7)/4)</f>
        <v>2008</v>
      </c>
      <c r="BH139" s="3764"/>
      <c r="BI139" s="3764"/>
      <c r="BJ139" s="3765"/>
      <c r="BK139" s="3763">
        <f ca="1">OFFSET(InputY!$G$3,0,(COLUMN()-7)/4)</f>
        <v>2009</v>
      </c>
      <c r="BL139" s="3764"/>
      <c r="BM139" s="3764"/>
      <c r="BN139" s="3765"/>
      <c r="BO139" s="3763">
        <f ca="1">OFFSET(InputY!$G$3,0,(COLUMN()-7)/4)</f>
        <v>2010</v>
      </c>
      <c r="BP139" s="3764"/>
      <c r="BQ139" s="3764"/>
      <c r="BR139" s="3765"/>
      <c r="BS139" s="3763">
        <f ca="1">OFFSET(InputY!$G$3,0,(COLUMN()-7)/4)</f>
        <v>2011</v>
      </c>
      <c r="BT139" s="3764"/>
      <c r="BU139" s="3764"/>
      <c r="BV139" s="3765"/>
      <c r="BW139" s="3763">
        <f ca="1">OFFSET(InputY!$G$3,0,(COLUMN()-7)/4)</f>
        <v>2012</v>
      </c>
      <c r="BX139" s="3764"/>
      <c r="BY139" s="3764"/>
      <c r="BZ139" s="3765"/>
      <c r="CA139" s="3763">
        <f ca="1">OFFSET(InputY!$G$3,0,(COLUMN()-7)/4)</f>
        <v>2013</v>
      </c>
      <c r="CB139" s="3764"/>
      <c r="CC139" s="3764"/>
      <c r="CD139" s="3765"/>
      <c r="CE139" s="3763">
        <f ca="1">OFFSET(InputY!$G$3,0,(COLUMN()-7)/4)</f>
        <v>2014</v>
      </c>
      <c r="CF139" s="3764"/>
      <c r="CG139" s="3764"/>
      <c r="CH139" s="3765"/>
      <c r="CI139" s="3763">
        <f ca="1">OFFSET(InputY!$G$3,0,(COLUMN()-7)/4)</f>
        <v>2015</v>
      </c>
      <c r="CJ139" s="3764"/>
      <c r="CK139" s="3764"/>
      <c r="CL139" s="3765"/>
      <c r="CM139" s="3763">
        <f ca="1">OFFSET(InputY!$G$3,0,(COLUMN()-7)/4)</f>
        <v>2016</v>
      </c>
      <c r="CN139" s="3764"/>
      <c r="CO139" s="3764"/>
      <c r="CP139" s="3765"/>
      <c r="CQ139" s="3763">
        <f ca="1">OFFSET(InputY!$G$3,0,(COLUMN()-7)/4)</f>
        <v>2017</v>
      </c>
      <c r="CR139" s="3764"/>
      <c r="CS139" s="3764"/>
      <c r="CT139" s="3765"/>
      <c r="CU139" s="3763">
        <f ca="1">OFFSET(InputY!$G$3,0,(COLUMN()-7)/4)</f>
        <v>2018</v>
      </c>
      <c r="CV139" s="3764"/>
      <c r="CW139" s="3764"/>
      <c r="CX139" s="3765"/>
      <c r="CY139" s="3763">
        <f ca="1">OFFSET(InputY!$G$3,0,(COLUMN()-7)/4)</f>
        <v>2019</v>
      </c>
      <c r="CZ139" s="3764"/>
      <c r="DA139" s="3764"/>
      <c r="DB139" s="3765"/>
    </row>
    <row r="140" spans="1:119" s="699" customFormat="1" ht="12.75" customHeight="1">
      <c r="A140" s="664"/>
      <c r="B140" s="664"/>
      <c r="C140" s="666"/>
      <c r="D140" s="695"/>
      <c r="E140" s="3618" t="s">
        <v>1892</v>
      </c>
      <c r="F140" s="3619"/>
      <c r="G140" s="1566" t="s">
        <v>1842</v>
      </c>
      <c r="H140" s="1567" t="s">
        <v>1843</v>
      </c>
      <c r="I140" s="1567" t="s">
        <v>1844</v>
      </c>
      <c r="J140" s="1568" t="s">
        <v>1845</v>
      </c>
      <c r="K140" s="1566" t="s">
        <v>1842</v>
      </c>
      <c r="L140" s="1567" t="s">
        <v>1843</v>
      </c>
      <c r="M140" s="1567" t="s">
        <v>1844</v>
      </c>
      <c r="N140" s="1568" t="s">
        <v>1845</v>
      </c>
      <c r="O140" s="1566" t="s">
        <v>1842</v>
      </c>
      <c r="P140" s="1567" t="s">
        <v>1843</v>
      </c>
      <c r="Q140" s="1567" t="s">
        <v>1844</v>
      </c>
      <c r="R140" s="1568" t="s">
        <v>1845</v>
      </c>
      <c r="S140" s="1566" t="s">
        <v>1842</v>
      </c>
      <c r="T140" s="1567" t="s">
        <v>1843</v>
      </c>
      <c r="U140" s="1567" t="s">
        <v>1844</v>
      </c>
      <c r="V140" s="1568" t="s">
        <v>1845</v>
      </c>
      <c r="W140" s="1566" t="s">
        <v>1842</v>
      </c>
      <c r="X140" s="1567" t="s">
        <v>1843</v>
      </c>
      <c r="Y140" s="1567" t="s">
        <v>1844</v>
      </c>
      <c r="Z140" s="1568" t="s">
        <v>1845</v>
      </c>
      <c r="AA140" s="1566" t="s">
        <v>1842</v>
      </c>
      <c r="AB140" s="1567" t="s">
        <v>1843</v>
      </c>
      <c r="AC140" s="1567" t="s">
        <v>1844</v>
      </c>
      <c r="AD140" s="1568" t="s">
        <v>1845</v>
      </c>
      <c r="AE140" s="1566" t="s">
        <v>1842</v>
      </c>
      <c r="AF140" s="1567" t="s">
        <v>1843</v>
      </c>
      <c r="AG140" s="1567" t="s">
        <v>1844</v>
      </c>
      <c r="AH140" s="1568" t="s">
        <v>1845</v>
      </c>
      <c r="AI140" s="1566" t="s">
        <v>1842</v>
      </c>
      <c r="AJ140" s="1567" t="s">
        <v>1843</v>
      </c>
      <c r="AK140" s="1567" t="s">
        <v>1844</v>
      </c>
      <c r="AL140" s="1568" t="s">
        <v>1845</v>
      </c>
      <c r="AM140" s="1566" t="s">
        <v>1842</v>
      </c>
      <c r="AN140" s="1567" t="s">
        <v>1843</v>
      </c>
      <c r="AO140" s="1567" t="s">
        <v>1844</v>
      </c>
      <c r="AP140" s="1568" t="s">
        <v>1845</v>
      </c>
      <c r="AQ140" s="1566" t="s">
        <v>1842</v>
      </c>
      <c r="AR140" s="1567" t="s">
        <v>1843</v>
      </c>
      <c r="AS140" s="1567" t="s">
        <v>1844</v>
      </c>
      <c r="AT140" s="1568" t="s">
        <v>1845</v>
      </c>
      <c r="AU140" s="1566" t="s">
        <v>1842</v>
      </c>
      <c r="AV140" s="1567" t="s">
        <v>1843</v>
      </c>
      <c r="AW140" s="1567" t="s">
        <v>1844</v>
      </c>
      <c r="AX140" s="1568" t="s">
        <v>1845</v>
      </c>
      <c r="AY140" s="1566" t="s">
        <v>1842</v>
      </c>
      <c r="AZ140" s="1567" t="s">
        <v>1843</v>
      </c>
      <c r="BA140" s="1567" t="s">
        <v>1844</v>
      </c>
      <c r="BB140" s="1568" t="s">
        <v>1845</v>
      </c>
      <c r="BC140" s="1566" t="s">
        <v>1842</v>
      </c>
      <c r="BD140" s="1567" t="s">
        <v>1843</v>
      </c>
      <c r="BE140" s="1567" t="s">
        <v>1844</v>
      </c>
      <c r="BF140" s="1568" t="s">
        <v>1845</v>
      </c>
      <c r="BG140" s="1566" t="s">
        <v>1842</v>
      </c>
      <c r="BH140" s="1567" t="s">
        <v>1843</v>
      </c>
      <c r="BI140" s="1567" t="s">
        <v>1844</v>
      </c>
      <c r="BJ140" s="1568" t="s">
        <v>1845</v>
      </c>
      <c r="BK140" s="1566" t="s">
        <v>1842</v>
      </c>
      <c r="BL140" s="1567" t="s">
        <v>1843</v>
      </c>
      <c r="BM140" s="1567" t="s">
        <v>1844</v>
      </c>
      <c r="BN140" s="1568" t="s">
        <v>1845</v>
      </c>
      <c r="BO140" s="1566" t="s">
        <v>1842</v>
      </c>
      <c r="BP140" s="1567" t="s">
        <v>1843</v>
      </c>
      <c r="BQ140" s="1567" t="s">
        <v>1844</v>
      </c>
      <c r="BR140" s="1568" t="s">
        <v>1845</v>
      </c>
      <c r="BS140" s="1566" t="s">
        <v>1842</v>
      </c>
      <c r="BT140" s="1567" t="s">
        <v>1843</v>
      </c>
      <c r="BU140" s="1567" t="s">
        <v>1844</v>
      </c>
      <c r="BV140" s="1568" t="s">
        <v>1845</v>
      </c>
      <c r="BW140" s="1566" t="s">
        <v>1842</v>
      </c>
      <c r="BX140" s="1567" t="s">
        <v>1843</v>
      </c>
      <c r="BY140" s="1567" t="s">
        <v>1844</v>
      </c>
      <c r="BZ140" s="1568" t="s">
        <v>1845</v>
      </c>
      <c r="CA140" s="1566" t="s">
        <v>1842</v>
      </c>
      <c r="CB140" s="1567" t="s">
        <v>1843</v>
      </c>
      <c r="CC140" s="1567" t="s">
        <v>1844</v>
      </c>
      <c r="CD140" s="1568" t="s">
        <v>1845</v>
      </c>
      <c r="CE140" s="1566" t="s">
        <v>1842</v>
      </c>
      <c r="CF140" s="1567" t="s">
        <v>1843</v>
      </c>
      <c r="CG140" s="1567" t="s">
        <v>1844</v>
      </c>
      <c r="CH140" s="1568" t="s">
        <v>1845</v>
      </c>
      <c r="CI140" s="1566" t="s">
        <v>1842</v>
      </c>
      <c r="CJ140" s="1567" t="s">
        <v>1843</v>
      </c>
      <c r="CK140" s="1567" t="s">
        <v>1844</v>
      </c>
      <c r="CL140" s="1568" t="s">
        <v>1845</v>
      </c>
      <c r="CM140" s="1566" t="s">
        <v>1842</v>
      </c>
      <c r="CN140" s="1567" t="s">
        <v>1843</v>
      </c>
      <c r="CO140" s="1567" t="s">
        <v>1844</v>
      </c>
      <c r="CP140" s="1568" t="s">
        <v>1845</v>
      </c>
      <c r="CQ140" s="1566" t="s">
        <v>1842</v>
      </c>
      <c r="CR140" s="1567" t="s">
        <v>1843</v>
      </c>
      <c r="CS140" s="1567" t="s">
        <v>1844</v>
      </c>
      <c r="CT140" s="1568" t="s">
        <v>1845</v>
      </c>
      <c r="CU140" s="1566" t="s">
        <v>1842</v>
      </c>
      <c r="CV140" s="1567" t="s">
        <v>1843</v>
      </c>
      <c r="CW140" s="1567" t="s">
        <v>1844</v>
      </c>
      <c r="CX140" s="1568" t="s">
        <v>1845</v>
      </c>
      <c r="CY140" s="1566" t="s">
        <v>1842</v>
      </c>
      <c r="CZ140" s="1567" t="s">
        <v>1843</v>
      </c>
      <c r="DA140" s="1567" t="s">
        <v>1844</v>
      </c>
      <c r="DB140" s="1568" t="s">
        <v>1845</v>
      </c>
      <c r="DC140"/>
      <c r="DD140"/>
      <c r="DE140"/>
      <c r="DF140"/>
      <c r="DG140"/>
      <c r="DH140"/>
      <c r="DI140"/>
      <c r="DJ140"/>
      <c r="DK140"/>
      <c r="DL140"/>
      <c r="DM140"/>
      <c r="DN140"/>
      <c r="DO140"/>
    </row>
    <row r="141" spans="1:119" s="699" customFormat="1" ht="12.75" customHeight="1">
      <c r="A141" s="664"/>
      <c r="B141" s="664"/>
      <c r="C141" s="1561" t="s">
        <v>1767</v>
      </c>
      <c r="D141" s="668"/>
      <c r="E141" s="3620" t="str">
        <f>E105</f>
        <v>Domestic demand (excl. Inventories)</v>
      </c>
      <c r="F141" s="3621"/>
      <c r="G141" s="780">
        <f t="shared" ref="G141:N141" si="335">G105</f>
        <v>2.8376679796107505</v>
      </c>
      <c r="H141" s="780">
        <f t="shared" si="335"/>
        <v>2.8977930954587583</v>
      </c>
      <c r="I141" s="780">
        <f t="shared" si="335"/>
        <v>2.9401065801668209</v>
      </c>
      <c r="J141" s="780">
        <f t="shared" si="335"/>
        <v>3.0087175625579246</v>
      </c>
      <c r="K141" s="780">
        <f t="shared" si="335"/>
        <v>3.0370713623725676</v>
      </c>
      <c r="L141" s="780">
        <f t="shared" si="335"/>
        <v>3.0752143188137171</v>
      </c>
      <c r="M141" s="780">
        <f t="shared" si="335"/>
        <v>3.1052479147358669</v>
      </c>
      <c r="N141" s="780">
        <f t="shared" si="335"/>
        <v>3.2014886468952737</v>
      </c>
      <c r="O141" s="780">
        <f t="shared" ref="O141:AX141" si="336">O105</f>
        <v>3.2764133456904543</v>
      </c>
      <c r="P141" s="780">
        <f t="shared" si="336"/>
        <v>3.3100961538461542</v>
      </c>
      <c r="Q141" s="780">
        <f t="shared" si="336"/>
        <v>3.4043095458758117</v>
      </c>
      <c r="R141" s="780">
        <f t="shared" si="336"/>
        <v>3.4645505097312328</v>
      </c>
      <c r="S141" s="780">
        <f t="shared" si="336"/>
        <v>3.576720342910102</v>
      </c>
      <c r="T141" s="780">
        <f t="shared" si="336"/>
        <v>3.6032205746061168</v>
      </c>
      <c r="U141" s="780">
        <f t="shared" si="336"/>
        <v>3.6827791936978689</v>
      </c>
      <c r="V141" s="780">
        <f t="shared" si="336"/>
        <v>3.6595516682113072</v>
      </c>
      <c r="W141" s="780">
        <f t="shared" si="336"/>
        <v>3.60154077849861</v>
      </c>
      <c r="X141" s="780">
        <f t="shared" si="336"/>
        <v>3.7080919833178867</v>
      </c>
      <c r="Y141" s="780">
        <f t="shared" si="336"/>
        <v>3.6492991195551436</v>
      </c>
      <c r="Z141" s="780">
        <f t="shared" si="336"/>
        <v>3.6101135310472663</v>
      </c>
      <c r="AA141" s="780">
        <f t="shared" si="336"/>
        <v>3.6537013438368864</v>
      </c>
      <c r="AB141" s="780">
        <f t="shared" si="336"/>
        <v>3.7065280352177941</v>
      </c>
      <c r="AC141" s="780">
        <f t="shared" si="336"/>
        <v>3.7513032900834111</v>
      </c>
      <c r="AD141" s="780">
        <f t="shared" si="336"/>
        <v>3.8021316033364227</v>
      </c>
      <c r="AE141" s="780">
        <f t="shared" si="336"/>
        <v>3.885339434661724</v>
      </c>
      <c r="AF141" s="780">
        <f t="shared" si="336"/>
        <v>3.834974513438369</v>
      </c>
      <c r="AG141" s="780">
        <f t="shared" si="336"/>
        <v>3.8948679332715477</v>
      </c>
      <c r="AH141" s="780">
        <f t="shared" si="336"/>
        <v>4.0938079240037073</v>
      </c>
      <c r="AI141" s="780">
        <f t="shared" si="336"/>
        <v>4.1030468025949958</v>
      </c>
      <c r="AJ141" s="780">
        <f t="shared" si="336"/>
        <v>4.1157900834105661</v>
      </c>
      <c r="AK141" s="780">
        <f t="shared" si="336"/>
        <v>4.1770157553290082</v>
      </c>
      <c r="AL141" s="780">
        <f t="shared" si="336"/>
        <v>4.2818002780352185</v>
      </c>
      <c r="AM141" s="780">
        <f t="shared" si="336"/>
        <v>4.4176899907321596</v>
      </c>
      <c r="AN141" s="780">
        <f t="shared" si="336"/>
        <v>4.5391855885078778</v>
      </c>
      <c r="AO141" s="780">
        <f t="shared" si="336"/>
        <v>4.5989921223354955</v>
      </c>
      <c r="AP141" s="780">
        <f t="shared" si="336"/>
        <v>4.7559951343836895</v>
      </c>
      <c r="AQ141" s="780">
        <f t="shared" si="336"/>
        <v>4.8623436051899906</v>
      </c>
      <c r="AR141" s="780">
        <f t="shared" si="336"/>
        <v>5.0337117701575531</v>
      </c>
      <c r="AS141" s="780">
        <f t="shared" si="336"/>
        <v>5.1571767840593141</v>
      </c>
      <c r="AT141" s="780">
        <f t="shared" si="336"/>
        <v>5.2067886932344765</v>
      </c>
      <c r="AU141" s="780">
        <f t="shared" si="336"/>
        <v>6.8346</v>
      </c>
      <c r="AV141" s="780">
        <f t="shared" si="336"/>
        <v>7.0726000000000004</v>
      </c>
      <c r="AW141" s="780">
        <f t="shared" si="336"/>
        <v>7.2634999999999996</v>
      </c>
      <c r="AX141" s="780">
        <f t="shared" si="336"/>
        <v>7.4885999999999999</v>
      </c>
      <c r="AY141" s="780">
        <f t="shared" ref="AY141:BF141" si="337">AY105</f>
        <v>7.3826000000000001</v>
      </c>
      <c r="AZ141" s="780">
        <f t="shared" si="337"/>
        <v>7.6942999999999993</v>
      </c>
      <c r="BA141" s="780">
        <f t="shared" si="337"/>
        <v>8.0888000000000009</v>
      </c>
      <c r="BB141" s="780">
        <f t="shared" si="337"/>
        <v>8.2792000000000012</v>
      </c>
      <c r="BC141" s="780">
        <f t="shared" si="337"/>
        <v>8.5358000000000001</v>
      </c>
      <c r="BD141" s="780">
        <f t="shared" si="337"/>
        <v>8.8339999999999996</v>
      </c>
      <c r="BE141" s="780">
        <f t="shared" si="337"/>
        <v>8.8329000000000004</v>
      </c>
      <c r="BF141" s="780">
        <f t="shared" si="337"/>
        <v>9.1872000000000007</v>
      </c>
      <c r="BG141" s="780">
        <f t="shared" ref="BG141:BV141" si="338">BG105</f>
        <v>9.1905000000000001</v>
      </c>
      <c r="BH141" s="780">
        <f t="shared" si="338"/>
        <v>9.1534999999999993</v>
      </c>
      <c r="BI141" s="780">
        <f t="shared" si="338"/>
        <v>8.9293999999999993</v>
      </c>
      <c r="BJ141" s="780">
        <f t="shared" si="338"/>
        <v>8.6336999999999993</v>
      </c>
      <c r="BK141" s="2872">
        <f t="shared" si="338"/>
        <v>7.6126000000000005</v>
      </c>
      <c r="BL141" s="780">
        <f t="shared" si="338"/>
        <v>7.3472999999999988</v>
      </c>
      <c r="BM141" s="780">
        <f t="shared" si="338"/>
        <v>7.1037000000000008</v>
      </c>
      <c r="BN141" s="780">
        <f t="shared" si="338"/>
        <v>6.9082000000000008</v>
      </c>
      <c r="BO141" s="2872">
        <f t="shared" si="338"/>
        <v>6.8943000000000003</v>
      </c>
      <c r="BP141" s="780">
        <f t="shared" si="338"/>
        <v>6.922200000000001</v>
      </c>
      <c r="BQ141" s="780">
        <f t="shared" si="338"/>
        <v>7.1741000000000001</v>
      </c>
      <c r="BR141" s="780">
        <f t="shared" si="338"/>
        <v>7.2307999999999995</v>
      </c>
      <c r="BS141" s="2872">
        <f t="shared" si="338"/>
        <v>7.371599999999999</v>
      </c>
      <c r="BT141" s="780">
        <f t="shared" si="338"/>
        <v>7.4595000000000002</v>
      </c>
      <c r="BU141" s="780">
        <f t="shared" si="338"/>
        <v>7.5593999999999992</v>
      </c>
      <c r="BV141" s="780">
        <f t="shared" si="338"/>
        <v>7.6326999999999998</v>
      </c>
      <c r="BW141" s="780">
        <f>BW105</f>
        <v>7.6087000000000007</v>
      </c>
      <c r="BX141" s="780">
        <f t="shared" ref="BX141:CD141" si="339">BX105</f>
        <v>7.5701000000000001</v>
      </c>
      <c r="BY141" s="780">
        <f t="shared" si="339"/>
        <v>7.6198999999999995</v>
      </c>
      <c r="BZ141" s="780">
        <f t="shared" si="339"/>
        <v>7.6803000000000008</v>
      </c>
      <c r="CA141" s="780">
        <f t="shared" si="339"/>
        <v>7.8289999999999997</v>
      </c>
      <c r="CB141" s="780">
        <f t="shared" si="339"/>
        <v>7.9043000000000001</v>
      </c>
      <c r="CC141" s="780">
        <f t="shared" si="339"/>
        <v>8.063699999999999</v>
      </c>
      <c r="CD141" s="780">
        <f t="shared" si="339"/>
        <v>8.1155000000000008</v>
      </c>
      <c r="CE141" s="780">
        <f t="shared" ref="CE141:CL141" si="340">CE105</f>
        <v>8.2081</v>
      </c>
      <c r="CF141" s="780">
        <f t="shared" si="340"/>
        <v>8.2294</v>
      </c>
      <c r="CG141" s="780">
        <f t="shared" si="340"/>
        <v>8.2550000000000008</v>
      </c>
      <c r="CH141" s="780">
        <f t="shared" si="340"/>
        <v>8.3539000000000012</v>
      </c>
      <c r="CI141" s="780">
        <f t="shared" si="340"/>
        <v>8.4962</v>
      </c>
      <c r="CJ141" s="780">
        <f t="shared" si="340"/>
        <v>8.548</v>
      </c>
      <c r="CK141" s="780">
        <f t="shared" si="340"/>
        <v>8.6150000000000002</v>
      </c>
      <c r="CL141" s="780">
        <f t="shared" si="340"/>
        <v>8.5563000000000002</v>
      </c>
      <c r="CM141" s="780">
        <f t="shared" ref="CM141:CT141" si="341">CM105</f>
        <v>8.6424000000000003</v>
      </c>
      <c r="CN141" s="780">
        <f t="shared" si="341"/>
        <v>8.8148</v>
      </c>
      <c r="CO141" s="780">
        <f t="shared" si="341"/>
        <v>8.8445999999999998</v>
      </c>
      <c r="CP141" s="780">
        <f t="shared" si="341"/>
        <v>8.9997999999999987</v>
      </c>
      <c r="CQ141" s="780">
        <f t="shared" si="341"/>
        <v>9.0311000000000003</v>
      </c>
      <c r="CR141" s="780">
        <f t="shared" si="341"/>
        <v>9.1487000000000016</v>
      </c>
      <c r="CS141" s="780">
        <f t="shared" si="341"/>
        <v>9.1707999999999998</v>
      </c>
      <c r="CT141" s="780">
        <f t="shared" si="341"/>
        <v>9.4112999999999989</v>
      </c>
      <c r="CU141" s="780">
        <f t="shared" ref="CU141:DB141" si="342">CU105</f>
        <v>9.4353104999999999</v>
      </c>
      <c r="CV141" s="780">
        <f t="shared" si="342"/>
        <v>9.5048161299999983</v>
      </c>
      <c r="CW141" s="780">
        <f t="shared" si="342"/>
        <v>9.5786260078179968</v>
      </c>
      <c r="CX141" s="780">
        <f t="shared" si="342"/>
        <v>9.6558934337824898</v>
      </c>
      <c r="CY141" s="780">
        <f t="shared" si="342"/>
        <v>9.7326207716433082</v>
      </c>
      <c r="CZ141" s="780">
        <f t="shared" si="342"/>
        <v>9.8086712988327687</v>
      </c>
      <c r="DA141" s="780">
        <f t="shared" si="342"/>
        <v>9.8846195254134663</v>
      </c>
      <c r="DB141" s="780">
        <f t="shared" si="342"/>
        <v>9.9609173729038307</v>
      </c>
      <c r="DC141"/>
      <c r="DD141"/>
      <c r="DE141"/>
      <c r="DF141"/>
      <c r="DG141"/>
      <c r="DH141"/>
      <c r="DI141"/>
      <c r="DJ141"/>
      <c r="DK141"/>
      <c r="DL141"/>
      <c r="DM141"/>
      <c r="DN141"/>
      <c r="DO141"/>
    </row>
    <row r="142" spans="1:119" s="699" customFormat="1" ht="12.75" customHeight="1">
      <c r="A142" s="664"/>
      <c r="B142" s="664"/>
      <c r="C142" s="1562" t="s">
        <v>1767</v>
      </c>
      <c r="D142" s="674"/>
      <c r="E142" s="3629" t="str">
        <f>E124</f>
        <v xml:space="preserve">Changes in inventories and net acquisition of valuables                         </v>
      </c>
      <c r="F142" s="3630"/>
      <c r="G142" s="706">
        <f t="shared" ref="G142:N142" si="343">G124</f>
        <v>-2.1055375347544043E-2</v>
      </c>
      <c r="H142" s="706">
        <f t="shared" si="343"/>
        <v>-8.4511121408711795E-2</v>
      </c>
      <c r="I142" s="706">
        <f t="shared" si="343"/>
        <v>-6.9335032437442073E-2</v>
      </c>
      <c r="J142" s="706">
        <f t="shared" si="343"/>
        <v>-0.11040315106580163</v>
      </c>
      <c r="K142" s="706">
        <f t="shared" si="343"/>
        <v>-0.11173540315106584</v>
      </c>
      <c r="L142" s="706">
        <f t="shared" si="343"/>
        <v>-9.1143419833178876E-2</v>
      </c>
      <c r="M142" s="706">
        <f t="shared" si="343"/>
        <v>-3.8635310472659799E-2</v>
      </c>
      <c r="N142" s="706">
        <f t="shared" si="343"/>
        <v>-5.1610287303058444E-2</v>
      </c>
      <c r="O142" s="706">
        <f t="shared" ref="O142:AX142" si="344">O124</f>
        <v>-1.1324142724745115E-2</v>
      </c>
      <c r="P142" s="706">
        <f t="shared" si="344"/>
        <v>-3.4754402224291425E-4</v>
      </c>
      <c r="Q142" s="706">
        <f t="shared" si="344"/>
        <v>-6.4382530120481993E-2</v>
      </c>
      <c r="R142" s="706">
        <f t="shared" si="344"/>
        <v>3.5565338276181593E-2</v>
      </c>
      <c r="S142" s="706">
        <f t="shared" si="344"/>
        <v>-2.7166357738646865E-2</v>
      </c>
      <c r="T142" s="706">
        <f t="shared" si="344"/>
        <v>-2.2879981464318461E-3</v>
      </c>
      <c r="U142" s="706">
        <f t="shared" si="344"/>
        <v>1.734823911028718E-2</v>
      </c>
      <c r="V142" s="706">
        <f t="shared" si="344"/>
        <v>-7.2549814643188146E-2</v>
      </c>
      <c r="W142" s="706">
        <f t="shared" si="344"/>
        <v>-5.7518535681186221E-2</v>
      </c>
      <c r="X142" s="706">
        <f t="shared" si="344"/>
        <v>-6.0414735866543084E-2</v>
      </c>
      <c r="Y142" s="706">
        <f t="shared" si="344"/>
        <v>-5.9893419833178765E-2</v>
      </c>
      <c r="Z142" s="706">
        <f t="shared" si="344"/>
        <v>-2.8382761816496783E-2</v>
      </c>
      <c r="AA142" s="706">
        <f t="shared" si="344"/>
        <v>-4.266102873030593E-2</v>
      </c>
      <c r="AB142" s="706">
        <f t="shared" si="344"/>
        <v>-4.7352873030583852E-2</v>
      </c>
      <c r="AC142" s="706">
        <f t="shared" si="344"/>
        <v>-7.4837812789620109E-2</v>
      </c>
      <c r="AD142" s="706">
        <f t="shared" si="344"/>
        <v>-8.7639017608897127E-2</v>
      </c>
      <c r="AE142" s="706">
        <f t="shared" si="344"/>
        <v>-7.5677710843373353E-2</v>
      </c>
      <c r="AF142" s="706">
        <f t="shared" si="344"/>
        <v>-4.8627201112140708E-2</v>
      </c>
      <c r="AG142" s="706">
        <f t="shared" si="344"/>
        <v>-3.4725440222428232E-2</v>
      </c>
      <c r="AH142" s="706">
        <f t="shared" si="344"/>
        <v>-2.5631371640407793E-2</v>
      </c>
      <c r="AI142" s="706">
        <f t="shared" si="344"/>
        <v>-2.930954587581084E-2</v>
      </c>
      <c r="AJ142" s="706">
        <f t="shared" si="344"/>
        <v>3.2784986098239072E-2</v>
      </c>
      <c r="AK142" s="706">
        <f t="shared" si="344"/>
        <v>2.1084337349397627E-2</v>
      </c>
      <c r="AL142" s="706">
        <f t="shared" si="344"/>
        <v>-4.5962696941612764E-2</v>
      </c>
      <c r="AM142" s="706">
        <f t="shared" si="344"/>
        <v>-4.5615152919369732E-2</v>
      </c>
      <c r="AN142" s="706">
        <f t="shared" si="344"/>
        <v>-1.8130213160333596E-2</v>
      </c>
      <c r="AO142" s="706">
        <f t="shared" si="344"/>
        <v>4.7584569045412424E-2</v>
      </c>
      <c r="AP142" s="706">
        <f t="shared" si="344"/>
        <v>5.9053521779425293E-2</v>
      </c>
      <c r="AQ142" s="706">
        <f t="shared" si="344"/>
        <v>0.13997335495829452</v>
      </c>
      <c r="AR142" s="706">
        <f t="shared" si="344"/>
        <v>9.5198100092678262E-2</v>
      </c>
      <c r="AS142" s="706">
        <f t="shared" si="344"/>
        <v>5.8561167747914852E-2</v>
      </c>
      <c r="AT142" s="706">
        <f t="shared" si="344"/>
        <v>0.10805722891566279</v>
      </c>
      <c r="AU142" s="706">
        <f t="shared" si="344"/>
        <v>-8.0400000000000096E-2</v>
      </c>
      <c r="AV142" s="706">
        <f t="shared" si="344"/>
        <v>4.5099999999999911E-2</v>
      </c>
      <c r="AW142" s="706">
        <f t="shared" si="344"/>
        <v>-0.12470000000000005</v>
      </c>
      <c r="AX142" s="706">
        <f t="shared" si="344"/>
        <v>1.4299999999999955E-2</v>
      </c>
      <c r="AY142" s="706">
        <f t="shared" ref="AY142:BF142" si="345">AY124</f>
        <v>-5.3999999999998632E-3</v>
      </c>
      <c r="AZ142" s="706">
        <f t="shared" si="345"/>
        <v>-0.26190000000000008</v>
      </c>
      <c r="BA142" s="706">
        <f t="shared" si="345"/>
        <v>-0.19</v>
      </c>
      <c r="BB142" s="706">
        <f t="shared" si="345"/>
        <v>-8.5100000000000134E-2</v>
      </c>
      <c r="BC142" s="706">
        <f t="shared" si="345"/>
        <v>-0.14980000000000018</v>
      </c>
      <c r="BD142" s="706">
        <f t="shared" si="345"/>
        <v>-2.0699999999999819E-2</v>
      </c>
      <c r="BE142" s="706">
        <f t="shared" si="345"/>
        <v>-3.3099999999999907E-2</v>
      </c>
      <c r="BF142" s="706">
        <f t="shared" si="345"/>
        <v>1.3499999999999773E-2</v>
      </c>
      <c r="BG142" s="706">
        <f t="shared" ref="BG142:BV142" si="346">BG124</f>
        <v>7.8899999999999859E-2</v>
      </c>
      <c r="BH142" s="706">
        <f t="shared" si="346"/>
        <v>5.9300000000000179E-2</v>
      </c>
      <c r="BI142" s="706">
        <f t="shared" si="346"/>
        <v>0.16730000000000017</v>
      </c>
      <c r="BJ142" s="706">
        <f t="shared" si="346"/>
        <v>6.6299999999999956E-2</v>
      </c>
      <c r="BK142" s="1564">
        <f t="shared" si="346"/>
        <v>-0.52949999999999997</v>
      </c>
      <c r="BL142" s="706">
        <f t="shared" si="346"/>
        <v>-0.25370000000000004</v>
      </c>
      <c r="BM142" s="706">
        <f t="shared" si="346"/>
        <v>-5.400000000000011E-2</v>
      </c>
      <c r="BN142" s="706">
        <f t="shared" si="346"/>
        <v>-0.17160000000000003</v>
      </c>
      <c r="BO142" s="1564">
        <f t="shared" si="346"/>
        <v>5.2100000000000139E-2</v>
      </c>
      <c r="BP142" s="706">
        <f t="shared" si="346"/>
        <v>0.16360000000000013</v>
      </c>
      <c r="BQ142" s="706">
        <f t="shared" si="346"/>
        <v>-3.730000000000018E-2</v>
      </c>
      <c r="BR142" s="706">
        <f t="shared" si="346"/>
        <v>0.16770000000000004</v>
      </c>
      <c r="BS142" s="1564">
        <f t="shared" si="346"/>
        <v>0.20920000000000005</v>
      </c>
      <c r="BT142" s="706">
        <f t="shared" si="346"/>
        <v>8.2000000000000003E-2</v>
      </c>
      <c r="BU142" s="706">
        <f t="shared" si="346"/>
        <v>-2.75E-2</v>
      </c>
      <c r="BV142" s="706">
        <f t="shared" si="346"/>
        <v>2.8999999999998636E-3</v>
      </c>
      <c r="BW142" s="706">
        <f>BW124</f>
        <v>-3.4900000000000091E-2</v>
      </c>
      <c r="BX142" s="706">
        <f t="shared" ref="BX142:CD142" si="347">BX124</f>
        <v>-0.22880000000000017</v>
      </c>
      <c r="BY142" s="706">
        <f t="shared" si="347"/>
        <v>8.3700000000000052E-2</v>
      </c>
      <c r="BZ142" s="706">
        <f t="shared" si="347"/>
        <v>-0.14619999999999983</v>
      </c>
      <c r="CA142" s="706">
        <f t="shared" si="347"/>
        <v>-0.25059999999999993</v>
      </c>
      <c r="CB142" s="706">
        <f t="shared" si="347"/>
        <v>-0.22539999999999985</v>
      </c>
      <c r="CC142" s="706">
        <f t="shared" si="347"/>
        <v>-0.16069999999999982</v>
      </c>
      <c r="CD142" s="706">
        <f t="shared" si="347"/>
        <v>-0.13759999999999992</v>
      </c>
      <c r="CE142" s="706">
        <f t="shared" ref="CE142:CL142" si="348">CE124</f>
        <v>-0.23320000000000005</v>
      </c>
      <c r="CF142" s="706">
        <f t="shared" si="348"/>
        <v>-0.25740000000000007</v>
      </c>
      <c r="CG142" s="706">
        <f t="shared" si="348"/>
        <v>-0.25720000000000004</v>
      </c>
      <c r="CH142" s="706">
        <f t="shared" si="348"/>
        <v>-0.14370000000000005</v>
      </c>
      <c r="CI142" s="706">
        <f t="shared" si="348"/>
        <v>1.609999999999991E-2</v>
      </c>
      <c r="CJ142" s="706">
        <f t="shared" si="348"/>
        <v>0.1289000000000001</v>
      </c>
      <c r="CK142" s="706">
        <f t="shared" si="348"/>
        <v>-2.4799999999999954E-2</v>
      </c>
      <c r="CL142" s="706">
        <f t="shared" si="348"/>
        <v>2.5799999999999955E-2</v>
      </c>
      <c r="CM142" s="706">
        <f t="shared" ref="CM142:CT142" si="349">CM124</f>
        <v>-0.14540000000000008</v>
      </c>
      <c r="CN142" s="706">
        <f t="shared" si="349"/>
        <v>1.3400000000000091E-2</v>
      </c>
      <c r="CO142" s="706">
        <f t="shared" si="349"/>
        <v>6.2000000000000458E-3</v>
      </c>
      <c r="CP142" s="706">
        <f t="shared" si="349"/>
        <v>-1.9E-2</v>
      </c>
      <c r="CQ142" s="706">
        <f>CQ124</f>
        <v>-3.0999999999999093E-3</v>
      </c>
      <c r="CR142" s="706">
        <f>CR124</f>
        <v>-0.16420000000000004</v>
      </c>
      <c r="CS142" s="706">
        <f t="shared" si="349"/>
        <v>-8.2000000000000458E-3</v>
      </c>
      <c r="CT142" s="706">
        <f t="shared" si="349"/>
        <v>-0.17270000000000005</v>
      </c>
      <c r="CU142" s="706">
        <f t="shared" ref="CU142:DB142" si="350">CU124</f>
        <v>-0.10442368282288264</v>
      </c>
      <c r="CV142" s="706">
        <f t="shared" si="350"/>
        <v>-8.0865304484714809E-2</v>
      </c>
      <c r="CW142" s="706">
        <f t="shared" si="350"/>
        <v>-7.3226851125575018E-2</v>
      </c>
      <c r="CX142" s="706">
        <f t="shared" si="350"/>
        <v>-9.3977546411801949E-2</v>
      </c>
      <c r="CY142" s="706">
        <f t="shared" si="350"/>
        <v>-9.3453113124738488E-2</v>
      </c>
      <c r="CZ142" s="706">
        <f t="shared" si="350"/>
        <v>-7.9199880867268521E-2</v>
      </c>
      <c r="DA142" s="706">
        <f t="shared" si="350"/>
        <v>-6.3640321173351513E-2</v>
      </c>
      <c r="DB142" s="706">
        <f t="shared" si="350"/>
        <v>-4.9553340891747399E-2</v>
      </c>
      <c r="DC142"/>
      <c r="DD142"/>
      <c r="DE142"/>
      <c r="DF142"/>
      <c r="DG142"/>
      <c r="DH142"/>
      <c r="DI142"/>
      <c r="DJ142"/>
      <c r="DK142"/>
      <c r="DL142"/>
      <c r="DM142"/>
      <c r="DN142"/>
      <c r="DO142"/>
    </row>
    <row r="143" spans="1:119" s="1960" customFormat="1" ht="12.75" customHeight="1">
      <c r="A143" s="1957"/>
      <c r="B143" s="1957"/>
      <c r="C143" s="1961" t="s">
        <v>1767</v>
      </c>
      <c r="D143" s="1958"/>
      <c r="E143" s="1959" t="s">
        <v>616</v>
      </c>
      <c r="F143" s="1958"/>
      <c r="G143" s="1959">
        <f>-SUM(G141:G142)+G144</f>
        <v>-2.2677247451343696E-2</v>
      </c>
      <c r="H143" s="1959">
        <f t="shared" ref="H143:BN143" si="351">-SUM(H141:H142)+H144</f>
        <v>-3.5854958294716965E-2</v>
      </c>
      <c r="I143" s="1959">
        <f t="shared" si="351"/>
        <v>-3.3422150139017504E-2</v>
      </c>
      <c r="J143" s="1959">
        <f t="shared" si="351"/>
        <v>-1.3235634847081013E-2</v>
      </c>
      <c r="K143" s="1959">
        <f t="shared" si="351"/>
        <v>-3.0989341983318042E-2</v>
      </c>
      <c r="L143" s="1959">
        <f t="shared" si="351"/>
        <v>-2.9888785912882465E-2</v>
      </c>
      <c r="M143" s="1959">
        <f t="shared" si="351"/>
        <v>-4.6339202965715032E-3</v>
      </c>
      <c r="N143" s="1959">
        <f t="shared" si="351"/>
        <v>-3.0294253938832671E-2</v>
      </c>
      <c r="O143" s="1959">
        <f t="shared" si="351"/>
        <v>-2.3024791473586603E-2</v>
      </c>
      <c r="P143" s="1959">
        <f t="shared" si="351"/>
        <v>9.6153846153845812E-3</v>
      </c>
      <c r="Q143" s="1959">
        <f t="shared" si="351"/>
        <v>-7.8487025023172841E-3</v>
      </c>
      <c r="R143" s="1959">
        <f t="shared" si="351"/>
        <v>-4.7150139017609227E-2</v>
      </c>
      <c r="S143" s="1959">
        <f t="shared" si="351"/>
        <v>-1.8275023169601834E-2</v>
      </c>
      <c r="T143" s="1959">
        <f t="shared" si="351"/>
        <v>-2.9396431881371754E-2</v>
      </c>
      <c r="U143" s="1959">
        <f t="shared" si="351"/>
        <v>-3.5449490268767647E-2</v>
      </c>
      <c r="V143" s="1959">
        <f t="shared" si="351"/>
        <v>1.2250926784058702E-2</v>
      </c>
      <c r="W143" s="1959">
        <f t="shared" si="351"/>
        <v>-1.2511584800741549E-2</v>
      </c>
      <c r="X143" s="1959">
        <f t="shared" si="351"/>
        <v>-5.9082483781276451E-3</v>
      </c>
      <c r="Y143" s="1959">
        <f t="shared" si="351"/>
        <v>-2.2271779425393934E-2</v>
      </c>
      <c r="Z143" s="1959">
        <f t="shared" si="351"/>
        <v>-2.1837349397590522E-2</v>
      </c>
      <c r="AA143" s="1959">
        <f t="shared" si="351"/>
        <v>-2.5196941612604107E-3</v>
      </c>
      <c r="AB143" s="1959">
        <f t="shared" si="351"/>
        <v>-2.8730305838739145E-2</v>
      </c>
      <c r="AC143" s="1959">
        <f t="shared" si="351"/>
        <v>-2.4791473586654789E-2</v>
      </c>
      <c r="AD143" s="1959">
        <f t="shared" si="351"/>
        <v>-2.0186515291936491E-2</v>
      </c>
      <c r="AE143" s="1959">
        <f t="shared" si="351"/>
        <v>-8.3410565338275511E-3</v>
      </c>
      <c r="AF143" s="1959">
        <f t="shared" si="351"/>
        <v>-7.240500463394639E-4</v>
      </c>
      <c r="AG143" s="1959">
        <f t="shared" si="351"/>
        <v>-1.2917052826690867E-2</v>
      </c>
      <c r="AH143" s="1959">
        <f t="shared" si="351"/>
        <v>-2.2764133456904645E-2</v>
      </c>
      <c r="AI143" s="1959">
        <f t="shared" si="351"/>
        <v>-4.0836422613530488E-3</v>
      </c>
      <c r="AJ143" s="1959">
        <f t="shared" si="351"/>
        <v>-2.7427015755329798E-2</v>
      </c>
      <c r="AK143" s="1959">
        <f t="shared" si="351"/>
        <v>-1.9404541241883067E-3</v>
      </c>
      <c r="AL143" s="1959">
        <f t="shared" si="351"/>
        <v>-2.4907321594067611E-3</v>
      </c>
      <c r="AM143" s="1959">
        <f t="shared" si="351"/>
        <v>-7.9355885078777888E-3</v>
      </c>
      <c r="AN143" s="1959">
        <f t="shared" si="351"/>
        <v>1.8825301204818956E-3</v>
      </c>
      <c r="AO143" s="1959">
        <f t="shared" si="351"/>
        <v>-9.8470806302053404E-4</v>
      </c>
      <c r="AP143" s="1959">
        <f t="shared" si="351"/>
        <v>-9.7312326228005119E-3</v>
      </c>
      <c r="AQ143" s="1959">
        <f t="shared" si="351"/>
        <v>-2.1287071362371179E-2</v>
      </c>
      <c r="AR143" s="1959">
        <f t="shared" si="351"/>
        <v>1.2453660797051569E-3</v>
      </c>
      <c r="AS143" s="1959">
        <f t="shared" si="351"/>
        <v>-6.8929564411499555E-3</v>
      </c>
      <c r="AT143" s="1959">
        <f t="shared" si="351"/>
        <v>-1.6797961075072365E-3</v>
      </c>
      <c r="AU143" s="1959">
        <f t="shared" si="351"/>
        <v>-1.3789972659870244</v>
      </c>
      <c r="AV143" s="1959">
        <f t="shared" si="351"/>
        <v>-1.5416747451343831</v>
      </c>
      <c r="AW143" s="1959">
        <f t="shared" si="351"/>
        <v>-1.4428720574606109</v>
      </c>
      <c r="AX143" s="1959">
        <f t="shared" si="351"/>
        <v>-1.6775987951807227</v>
      </c>
      <c r="AY143" s="1959">
        <f t="shared" si="351"/>
        <v>6.2699999999999534E-2</v>
      </c>
      <c r="AZ143" s="1959">
        <f t="shared" si="351"/>
        <v>-1.5899999999999359E-2</v>
      </c>
      <c r="BA143" s="1959">
        <f t="shared" si="351"/>
        <v>-1.3500000000000512E-2</v>
      </c>
      <c r="BB143" s="1959">
        <f t="shared" si="351"/>
        <v>0.11010000000000097</v>
      </c>
      <c r="BC143" s="1959">
        <f t="shared" si="351"/>
        <v>0.14220000000000077</v>
      </c>
      <c r="BD143" s="1959">
        <f t="shared" si="351"/>
        <v>0.1402000000000001</v>
      </c>
      <c r="BE143" s="1959">
        <f t="shared" si="351"/>
        <v>0.1338999999999988</v>
      </c>
      <c r="BF143" s="1959">
        <f t="shared" si="351"/>
        <v>7.1799999999999642E-2</v>
      </c>
      <c r="BG143" s="1959">
        <f t="shared" si="351"/>
        <v>0.17639999999999922</v>
      </c>
      <c r="BH143" s="1959">
        <f t="shared" si="351"/>
        <v>0.14130000000000109</v>
      </c>
      <c r="BI143" s="1959">
        <f t="shared" si="351"/>
        <v>0.11359999999999992</v>
      </c>
      <c r="BJ143" s="1959">
        <f t="shared" si="351"/>
        <v>-4.2999999999999261E-2</v>
      </c>
      <c r="BK143" s="1959">
        <f t="shared" si="351"/>
        <v>0.12499999999999911</v>
      </c>
      <c r="BL143" s="1959">
        <f t="shared" si="351"/>
        <v>2.4500000000001521E-2</v>
      </c>
      <c r="BM143" s="1959">
        <f t="shared" si="351"/>
        <v>-3.9400000000000546E-2</v>
      </c>
      <c r="BN143" s="1959">
        <f t="shared" si="351"/>
        <v>-3.0000000000107718E-4</v>
      </c>
      <c r="BO143" s="1959">
        <f t="shared" ref="BO143:BW143" si="352">-SUM(BO141:BO142)+BO144</f>
        <v>1.3999999999999346E-2</v>
      </c>
      <c r="BP143" s="1959">
        <f t="shared" si="352"/>
        <v>4.97999999999994E-2</v>
      </c>
      <c r="BQ143" s="1959">
        <f t="shared" si="352"/>
        <v>-1.6300000000000203E-2</v>
      </c>
      <c r="BR143" s="1959">
        <f t="shared" si="352"/>
        <v>-1.1699999999999378E-2</v>
      </c>
      <c r="BS143" s="1959">
        <f t="shared" si="352"/>
        <v>1.4200000000000657E-2</v>
      </c>
      <c r="BT143" s="1959">
        <f t="shared" si="352"/>
        <v>1.1600000000000499E-2</v>
      </c>
      <c r="BU143" s="1959">
        <f t="shared" si="352"/>
        <v>5.6000000000002714E-3</v>
      </c>
      <c r="BV143" s="1959">
        <f t="shared" si="352"/>
        <v>-4.7999999999994714E-3</v>
      </c>
      <c r="BW143" s="1959">
        <f t="shared" si="352"/>
        <v>-1.6999999999995907E-3</v>
      </c>
      <c r="BX143" s="1959">
        <f t="shared" ref="BX143:CD143" si="353">-SUM(BX141:BX142)+BX144</f>
        <v>-2.6299999999999102E-2</v>
      </c>
      <c r="BY143" s="1959">
        <f t="shared" si="353"/>
        <v>-9.2999999999996419E-3</v>
      </c>
      <c r="BZ143" s="1959">
        <f t="shared" si="353"/>
        <v>-2.6600000000001067E-2</v>
      </c>
      <c r="CA143" s="1959">
        <f t="shared" si="353"/>
        <v>-1.5500000000000291E-2</v>
      </c>
      <c r="CB143" s="1959">
        <f t="shared" si="353"/>
        <v>-1.980000000000004E-2</v>
      </c>
      <c r="CC143" s="1959">
        <f t="shared" si="353"/>
        <v>-1.1599999999999611E-2</v>
      </c>
      <c r="CD143" s="1959">
        <f t="shared" si="353"/>
        <v>-9.3000000000005301E-3</v>
      </c>
      <c r="CE143" s="1959">
        <f t="shared" ref="CE143:CL143" si="354">-SUM(CE141:CE142)+CE144</f>
        <v>-8.5000000000006182E-3</v>
      </c>
      <c r="CF143" s="1959">
        <f t="shared" si="354"/>
        <v>-7.1000000000003283E-3</v>
      </c>
      <c r="CG143" s="1959">
        <f t="shared" si="354"/>
        <v>-1.5700000000000713E-2</v>
      </c>
      <c r="CH143" s="1959">
        <f t="shared" si="354"/>
        <v>-2.1000000000004349E-3</v>
      </c>
      <c r="CI143" s="1959">
        <f>-SUM(CI141:CI142)+CI144</f>
        <v>5.3300000000000125E-2</v>
      </c>
      <c r="CJ143" s="1959">
        <f t="shared" si="354"/>
        <v>8.0200000000001381E-2</v>
      </c>
      <c r="CK143" s="1959">
        <f t="shared" si="354"/>
        <v>1.0099999999999554E-2</v>
      </c>
      <c r="CL143" s="1959">
        <f t="shared" si="354"/>
        <v>-6.0000000000037801E-4</v>
      </c>
      <c r="CM143" s="1959">
        <f t="shared" ref="CM143:CT143" si="355">-SUM(CM141:CM142)+CM144</f>
        <v>3.7000000000002586E-3</v>
      </c>
      <c r="CN143" s="1959">
        <f t="shared" si="355"/>
        <v>-9.9999999999766942E-5</v>
      </c>
      <c r="CO143" s="1959">
        <f t="shared" si="355"/>
        <v>1.3400000000000745E-2</v>
      </c>
      <c r="CP143" s="1959">
        <f t="shared" si="355"/>
        <v>1.2300000000001532E-2</v>
      </c>
      <c r="CQ143" s="1959">
        <f t="shared" si="355"/>
        <v>5.2299999999998903E-2</v>
      </c>
      <c r="CR143" s="1959">
        <f t="shared" si="355"/>
        <v>2.4599999999997735E-2</v>
      </c>
      <c r="CS143" s="1959">
        <f t="shared" si="355"/>
        <v>2.9400000000000759E-2</v>
      </c>
      <c r="CT143" s="1959">
        <f t="shared" si="355"/>
        <v>1.6000000000033765E-3</v>
      </c>
      <c r="CU143" s="1959">
        <f t="shared" ref="CU143:DB143" si="356">-SUM(CU141:CU142)+CU144</f>
        <v>1.6159828228854423E-3</v>
      </c>
      <c r="CV143" s="1959">
        <f t="shared" si="356"/>
        <v>1.6321002447181598E-3</v>
      </c>
      <c r="CW143" s="1959">
        <f t="shared" si="356"/>
        <v>1.6462059890844927E-3</v>
      </c>
      <c r="CX143" s="1959">
        <f t="shared" si="356"/>
        <v>1.655993918975085E-3</v>
      </c>
      <c r="CY143" s="1959">
        <f t="shared" si="356"/>
        <v>1.6693728761598692E-3</v>
      </c>
      <c r="CZ143" s="1959">
        <f t="shared" si="356"/>
        <v>1.6850122603848661E-3</v>
      </c>
      <c r="DA143" s="1959">
        <f t="shared" si="356"/>
        <v>1.7008601657018119E-3</v>
      </c>
      <c r="DB143" s="1959">
        <f t="shared" si="356"/>
        <v>1.7165135898604689E-3</v>
      </c>
      <c r="DC143"/>
      <c r="DD143"/>
      <c r="DE143"/>
      <c r="DF143"/>
      <c r="DG143"/>
      <c r="DH143"/>
      <c r="DI143"/>
      <c r="DJ143"/>
      <c r="DK143"/>
      <c r="DL143"/>
      <c r="DM143"/>
      <c r="DN143"/>
      <c r="DO143"/>
    </row>
    <row r="144" spans="1:119" s="699" customFormat="1" ht="12.75" customHeight="1">
      <c r="A144" s="665" t="str">
        <f>"Q" &amp; ROW(InputQ!A12)</f>
        <v>Q12</v>
      </c>
      <c r="B144" s="1953" t="s">
        <v>1940</v>
      </c>
      <c r="C144" s="1562" t="s">
        <v>1769</v>
      </c>
      <c r="D144" s="746"/>
      <c r="E144" s="3615" t="s">
        <v>911</v>
      </c>
      <c r="F144" s="3633"/>
      <c r="G144" s="799">
        <f>+InputQ!G12/1000</f>
        <v>2.7939353568118626</v>
      </c>
      <c r="H144" s="799">
        <f>+InputQ!H12/1000</f>
        <v>2.7774270157553294</v>
      </c>
      <c r="I144" s="799">
        <f>+InputQ!I12/1000</f>
        <v>2.8373493975903612</v>
      </c>
      <c r="J144" s="799">
        <f>+InputQ!J12/1000</f>
        <v>2.8850787766450421</v>
      </c>
      <c r="K144" s="799">
        <f>+InputQ!K12/1000</f>
        <v>2.8943466172381838</v>
      </c>
      <c r="L144" s="799">
        <f>+InputQ!L12/1000</f>
        <v>2.9541821130676555</v>
      </c>
      <c r="M144" s="799">
        <f>+InputQ!M12/1000</f>
        <v>3.0619786839666356</v>
      </c>
      <c r="N144" s="799">
        <f>+InputQ!N12/1000</f>
        <v>3.1195841056533826</v>
      </c>
      <c r="O144" s="799">
        <f>+InputQ!O12/1000</f>
        <v>3.2420644114921227</v>
      </c>
      <c r="P144" s="799">
        <f>+InputQ!P12/1000</f>
        <v>3.3193639944392959</v>
      </c>
      <c r="Q144" s="799">
        <f>+InputQ!Q12/1000</f>
        <v>3.3320783132530125</v>
      </c>
      <c r="R144" s="799">
        <f>+InputQ!R12/1000</f>
        <v>3.4529657089898054</v>
      </c>
      <c r="S144" s="799">
        <f>+InputQ!S12/1000</f>
        <v>3.5312789620018532</v>
      </c>
      <c r="T144" s="799">
        <f>+InputQ!T12/1000</f>
        <v>3.5715361445783134</v>
      </c>
      <c r="U144" s="799">
        <f>+InputQ!U12/1000</f>
        <v>3.6646779425393885</v>
      </c>
      <c r="V144" s="799">
        <f>+InputQ!V12/1000</f>
        <v>3.5992527803521779</v>
      </c>
      <c r="W144" s="799">
        <f>+InputQ!W12/1000</f>
        <v>3.5315106580166824</v>
      </c>
      <c r="X144" s="799">
        <f>+InputQ!X12/1000</f>
        <v>3.6417689990732161</v>
      </c>
      <c r="Y144" s="799">
        <f>+InputQ!Y12/1000</f>
        <v>3.5671339202965711</v>
      </c>
      <c r="Z144" s="799">
        <f>+InputQ!Z12/1000</f>
        <v>3.5598934198331791</v>
      </c>
      <c r="AA144" s="799">
        <f>+InputQ!AA12/1000</f>
        <v>3.60852062094532</v>
      </c>
      <c r="AB144" s="799">
        <f>+InputQ!AB12/1000</f>
        <v>3.630444856348471</v>
      </c>
      <c r="AC144" s="799">
        <f>+InputQ!AC12/1000</f>
        <v>3.6516740037071362</v>
      </c>
      <c r="AD144" s="799">
        <f>+InputQ!AD12/1000</f>
        <v>3.694306070435589</v>
      </c>
      <c r="AE144" s="799">
        <f>+InputQ!AE12/1000</f>
        <v>3.8013206672845232</v>
      </c>
      <c r="AF144" s="799">
        <f>+InputQ!AF12/1000</f>
        <v>3.7856232622798887</v>
      </c>
      <c r="AG144" s="799">
        <f>+InputQ!AG12/1000</f>
        <v>3.8472254402224286</v>
      </c>
      <c r="AH144" s="799">
        <f>+InputQ!AH12/1000</f>
        <v>4.0454124189063947</v>
      </c>
      <c r="AI144" s="799">
        <f>+InputQ!AI12/1000</f>
        <v>4.0696536144578319</v>
      </c>
      <c r="AJ144" s="799">
        <f>+InputQ!AJ12/1000</f>
        <v>4.1211480537534753</v>
      </c>
      <c r="AK144" s="799">
        <f>+InputQ!AK12/1000</f>
        <v>4.1961596385542173</v>
      </c>
      <c r="AL144" s="799">
        <f>+InputQ!AL12/1000</f>
        <v>4.2333468489341985</v>
      </c>
      <c r="AM144" s="799">
        <f>+InputQ!AM12/1000</f>
        <v>4.3641392493049125</v>
      </c>
      <c r="AN144" s="799">
        <f>+InputQ!AN12/1000</f>
        <v>4.5229379054680257</v>
      </c>
      <c r="AO144" s="799">
        <f>+InputQ!AO12/1000</f>
        <v>4.6455919833178871</v>
      </c>
      <c r="AP144" s="799">
        <f>+InputQ!AP12/1000</f>
        <v>4.8053174235403144</v>
      </c>
      <c r="AQ144" s="799">
        <f>+InputQ!AQ12/1000</f>
        <v>4.9810298887859137</v>
      </c>
      <c r="AR144" s="799">
        <f>+InputQ!AR12/1000</f>
        <v>5.1301552363299363</v>
      </c>
      <c r="AS144" s="799">
        <f>+InputQ!AS12/1000</f>
        <v>5.2088449953660794</v>
      </c>
      <c r="AT144" s="799">
        <f>+InputQ!AT12/1000</f>
        <v>5.3131661260426322</v>
      </c>
      <c r="AU144" s="799">
        <f>+InputQ!AU12/1000</f>
        <v>5.3752027340129755</v>
      </c>
      <c r="AV144" s="799">
        <f>+InputQ!AV12/1000</f>
        <v>5.5760252548656171</v>
      </c>
      <c r="AW144" s="799">
        <f>+InputQ!AW12/1000</f>
        <v>5.6959279425393889</v>
      </c>
      <c r="AX144" s="799">
        <f>+InputQ!AX12/1000</f>
        <v>5.8253012048192767</v>
      </c>
      <c r="AY144" s="799">
        <f>+InputQ!AY12/1000</f>
        <v>7.4398999999999997</v>
      </c>
      <c r="AZ144" s="799">
        <f>+InputQ!AZ12/1000</f>
        <v>7.4165000000000001</v>
      </c>
      <c r="BA144" s="799">
        <f>+InputQ!BA12/1000</f>
        <v>7.8853</v>
      </c>
      <c r="BB144" s="799">
        <f>+InputQ!BB12/1000</f>
        <v>8.3042000000000016</v>
      </c>
      <c r="BC144" s="799">
        <f>+InputQ!BC12/1000</f>
        <v>8.5282</v>
      </c>
      <c r="BD144" s="799">
        <f>+InputQ!BD12/1000</f>
        <v>8.9535</v>
      </c>
      <c r="BE144" s="799">
        <f>+InputQ!BE12/1000</f>
        <v>8.9337</v>
      </c>
      <c r="BF144" s="799">
        <f>+InputQ!BF12/1000</f>
        <v>9.2725000000000009</v>
      </c>
      <c r="BG144" s="799">
        <f>+InputQ!BG12/1000</f>
        <v>9.4457999999999984</v>
      </c>
      <c r="BH144" s="799">
        <f>+InputQ!BH12/1000</f>
        <v>9.3541000000000007</v>
      </c>
      <c r="BI144" s="799">
        <f>+InputQ!BI12/1000</f>
        <v>9.2103000000000002</v>
      </c>
      <c r="BJ144" s="799">
        <f>+InputQ!BJ12/1000</f>
        <v>8.657</v>
      </c>
      <c r="BK144" s="799">
        <f>+InputQ!BK12/1000</f>
        <v>7.2081</v>
      </c>
      <c r="BL144" s="799">
        <f>+InputQ!BL12/1000</f>
        <v>7.1181000000000001</v>
      </c>
      <c r="BM144" s="799">
        <f>+InputQ!BM12/1000</f>
        <v>7.0103</v>
      </c>
      <c r="BN144" s="799">
        <f>+InputQ!BN12/1000</f>
        <v>6.7363</v>
      </c>
      <c r="BO144" s="799">
        <f>+InputQ!BO12/1000</f>
        <v>6.9603999999999999</v>
      </c>
      <c r="BP144" s="799">
        <f>+InputQ!BP12/1000</f>
        <v>7.1356000000000002</v>
      </c>
      <c r="BQ144" s="799">
        <f>+InputQ!BQ12/1000</f>
        <v>7.1204999999999998</v>
      </c>
      <c r="BR144" s="799">
        <f>+InputQ!BR12/1000</f>
        <v>7.3868</v>
      </c>
      <c r="BS144" s="799">
        <f>+InputQ!BS12/1000</f>
        <v>7.5949999999999998</v>
      </c>
      <c r="BT144" s="799">
        <f>+InputQ!BT12/1000</f>
        <v>7.5531000000000006</v>
      </c>
      <c r="BU144" s="799">
        <f>+InputQ!BU12/1000</f>
        <v>7.5374999999999996</v>
      </c>
      <c r="BV144" s="799">
        <f>+InputQ!BV12/1000</f>
        <v>7.6307999999999998</v>
      </c>
      <c r="BW144" s="799">
        <f>+InputQ!BW12/1000</f>
        <v>7.5721000000000007</v>
      </c>
      <c r="BX144" s="799">
        <f>+InputQ!BX12/1000</f>
        <v>7.3150000000000004</v>
      </c>
      <c r="BY144" s="799">
        <f>+InputQ!BY12/1000</f>
        <v>7.6943000000000001</v>
      </c>
      <c r="BZ144" s="799">
        <f>+InputQ!BZ12/1000</f>
        <v>7.5075000000000003</v>
      </c>
      <c r="CA144" s="799">
        <f>+InputQ!CA12/1000</f>
        <v>7.5629</v>
      </c>
      <c r="CB144" s="799">
        <f>+InputQ!CB12/1000</f>
        <v>7.6591000000000005</v>
      </c>
      <c r="CC144" s="799">
        <f>+InputQ!CC12/1000</f>
        <v>7.8914</v>
      </c>
      <c r="CD144" s="799">
        <f>+InputQ!CD12/1000</f>
        <v>7.9686000000000003</v>
      </c>
      <c r="CE144" s="799">
        <f>+InputQ!CE12/1000</f>
        <v>7.9663999999999993</v>
      </c>
      <c r="CF144" s="799">
        <f>+InputQ!CF12/1000</f>
        <v>7.9648999999999992</v>
      </c>
      <c r="CG144" s="799">
        <f>+InputQ!CG12/1000</f>
        <v>7.9821</v>
      </c>
      <c r="CH144" s="799">
        <f>+InputQ!CH12/1000</f>
        <v>8.2081</v>
      </c>
      <c r="CI144" s="799">
        <f>+InputQ!CI12/1000</f>
        <v>8.5655999999999999</v>
      </c>
      <c r="CJ144" s="799">
        <f>+InputQ!CJ12/1000</f>
        <v>8.7571000000000012</v>
      </c>
      <c r="CK144" s="799">
        <f>+InputQ!CK12/1000</f>
        <v>8.6002999999999989</v>
      </c>
      <c r="CL144" s="799">
        <f>+InputQ!CL12/1000</f>
        <v>8.5815000000000001</v>
      </c>
      <c r="CM144" s="799">
        <f>+InputQ!CM12/1000</f>
        <v>8.5007000000000001</v>
      </c>
      <c r="CN144" s="799">
        <f>+InputQ!CN12/1000</f>
        <v>8.8281000000000009</v>
      </c>
      <c r="CO144" s="799">
        <f>+InputQ!CO12/1000</f>
        <v>8.8642000000000003</v>
      </c>
      <c r="CP144" s="799">
        <f>+InputQ!CP12/1000</f>
        <v>8.9931000000000001</v>
      </c>
      <c r="CQ144" s="799">
        <f>+InputQ!CQ12/1000</f>
        <v>9.0802999999999994</v>
      </c>
      <c r="CR144" s="799">
        <f>+InputQ!CR12/1000</f>
        <v>9.0091000000000001</v>
      </c>
      <c r="CS144" s="799">
        <f>+InputQ!CS12/1000</f>
        <v>9.1920000000000002</v>
      </c>
      <c r="CT144" s="799">
        <f>+InputQ!CT12/1000</f>
        <v>9.2402000000000015</v>
      </c>
      <c r="CU144" s="3065">
        <f t="shared" ref="CU144:CX144" si="357">+CT144*(1+CU149/100)</f>
        <v>9.3325028000000021</v>
      </c>
      <c r="CV144" s="3065">
        <f t="shared" si="357"/>
        <v>9.4255829257600023</v>
      </c>
      <c r="CW144" s="3065">
        <f t="shared" si="357"/>
        <v>9.5070453626815059</v>
      </c>
      <c r="CX144" s="3065">
        <f t="shared" si="357"/>
        <v>9.5635718812896631</v>
      </c>
      <c r="CY144" s="3065">
        <f t="shared" ref="CY144" si="358">+CX144*(1+CY149/100)</f>
        <v>9.6408370313947298</v>
      </c>
      <c r="CZ144" s="3065">
        <f t="shared" ref="CZ144" si="359">+CY144*(1+CZ149/100)</f>
        <v>9.7311564302258855</v>
      </c>
      <c r="DA144" s="3065">
        <f t="shared" ref="DA144" si="360">+CZ144*(1+DA149/100)</f>
        <v>9.8226800644058159</v>
      </c>
      <c r="DB144" s="3065">
        <f t="shared" ref="DB144" si="361">+DA144*(1+DB149/100)</f>
        <v>9.9130805456019431</v>
      </c>
      <c r="DC144"/>
      <c r="DD144"/>
      <c r="DE144"/>
      <c r="DF144"/>
      <c r="DG144"/>
      <c r="DH144"/>
      <c r="DI144"/>
      <c r="DJ144"/>
      <c r="DK144"/>
      <c r="DL144"/>
      <c r="DM144"/>
      <c r="DN144"/>
      <c r="DO144"/>
    </row>
    <row r="145" spans="1:119" s="26" customFormat="1" ht="12.75" customHeight="1">
      <c r="A145" s="673"/>
      <c r="B145" s="673"/>
      <c r="C145" s="1613"/>
      <c r="D145" s="683"/>
      <c r="E145" s="684" t="s">
        <v>266</v>
      </c>
      <c r="F145" s="685"/>
      <c r="G145" s="1571"/>
      <c r="H145" s="1571"/>
      <c r="I145" s="1571"/>
      <c r="J145" s="1575">
        <f>SUM(G141:J142)</f>
        <v>11.398980537534756</v>
      </c>
      <c r="K145" s="1571"/>
      <c r="L145" s="1571"/>
      <c r="M145" s="1571"/>
      <c r="N145" s="1575">
        <f>SUM(K141:N142)</f>
        <v>12.125897822057464</v>
      </c>
      <c r="O145" s="1571"/>
      <c r="P145" s="1571"/>
      <c r="Q145" s="1571"/>
      <c r="R145" s="1575">
        <f>SUM(O141:R142)</f>
        <v>13.414880676552363</v>
      </c>
      <c r="S145" s="1571"/>
      <c r="T145" s="1571"/>
      <c r="U145" s="1571"/>
      <c r="V145" s="1575">
        <f>SUM(S141:V142)</f>
        <v>14.437615848007415</v>
      </c>
      <c r="W145" s="1571"/>
      <c r="X145" s="1571"/>
      <c r="Y145" s="1571"/>
      <c r="Z145" s="1575">
        <f>SUM(W141:Z142)</f>
        <v>14.362835959221503</v>
      </c>
      <c r="AA145" s="1571"/>
      <c r="AB145" s="1571"/>
      <c r="AC145" s="1571"/>
      <c r="AD145" s="1575">
        <f>SUM(AA141:AD142)</f>
        <v>14.661173540315106</v>
      </c>
      <c r="AE145" s="1571"/>
      <c r="AF145" s="1571"/>
      <c r="AG145" s="1571"/>
      <c r="AH145" s="1575">
        <f>SUM(AE141:AH142)</f>
        <v>15.524328081556996</v>
      </c>
      <c r="AI145" s="1571"/>
      <c r="AJ145" s="1571"/>
      <c r="AK145" s="1571"/>
      <c r="AL145" s="1575">
        <f>SUM(AI141:AL142)</f>
        <v>16.656250000000004</v>
      </c>
      <c r="AM145" s="1571"/>
      <c r="AN145" s="1571"/>
      <c r="AO145" s="1571"/>
      <c r="AP145" s="1575">
        <f>SUM(AM141:AP142)</f>
        <v>18.354755560704355</v>
      </c>
      <c r="AQ145" s="1571"/>
      <c r="AR145" s="1571"/>
      <c r="AS145" s="1571"/>
      <c r="AT145" s="1575">
        <f>SUM(AQ141:AT142)</f>
        <v>20.661810704355879</v>
      </c>
      <c r="AU145" s="1571"/>
      <c r="AV145" s="1571"/>
      <c r="AW145" s="1571"/>
      <c r="AX145" s="1575">
        <f>SUM(AU141:AX142)</f>
        <v>28.5136</v>
      </c>
      <c r="AY145" s="1571"/>
      <c r="AZ145" s="1571"/>
      <c r="BA145" s="1571"/>
      <c r="BB145" s="1592">
        <f>SUM(AY141:BB142)</f>
        <v>30.9025</v>
      </c>
      <c r="BC145" s="1618"/>
      <c r="BD145" s="1618"/>
      <c r="BE145" s="1571"/>
      <c r="BF145" s="1575">
        <f>SUM(BC141:BF142)</f>
        <v>35.199800000000003</v>
      </c>
      <c r="BG145" s="1618"/>
      <c r="BH145" s="1618"/>
      <c r="BI145" s="1571"/>
      <c r="BJ145" s="1575">
        <f>SUM(BG141:BJ142)</f>
        <v>36.278899999999993</v>
      </c>
      <c r="BK145" s="1618"/>
      <c r="BL145" s="1618"/>
      <c r="BM145" s="1571"/>
      <c r="BN145" s="1575">
        <f>SUM(BK141:BN142)</f>
        <v>27.963000000000005</v>
      </c>
      <c r="BO145" s="1618"/>
      <c r="BP145" s="1618"/>
      <c r="BQ145" s="1571"/>
      <c r="BR145" s="1575">
        <f>SUM(BO141:BR142)</f>
        <v>28.567499999999995</v>
      </c>
      <c r="BS145" s="1618"/>
      <c r="BT145" s="1618"/>
      <c r="BU145" s="1571"/>
      <c r="BV145" s="1575">
        <f>SUM(BS141:BV142)</f>
        <v>30.2898</v>
      </c>
      <c r="BW145" s="1618"/>
      <c r="BX145" s="1618"/>
      <c r="BY145" s="1571"/>
      <c r="BZ145" s="1575">
        <f>SUM(BW141:BZ142)</f>
        <v>30.152799999999999</v>
      </c>
      <c r="CA145" s="1618"/>
      <c r="CB145" s="1618"/>
      <c r="CC145" s="1571"/>
      <c r="CD145" s="1575">
        <f>SUM(CA141:CD142)</f>
        <v>31.138200000000001</v>
      </c>
      <c r="CE145" s="1618"/>
      <c r="CF145" s="1618"/>
      <c r="CG145" s="1571"/>
      <c r="CH145" s="1575">
        <f>SUM(CE141:CH142)</f>
        <v>32.154900000000012</v>
      </c>
      <c r="CI145" s="1618"/>
      <c r="CJ145" s="1618"/>
      <c r="CK145" s="1571"/>
      <c r="CL145" s="1575">
        <f>SUM(CI141:CL142)</f>
        <v>34.361499999999999</v>
      </c>
      <c r="CM145" s="1618"/>
      <c r="CN145" s="1618"/>
      <c r="CO145" s="1571"/>
      <c r="CP145" s="1575">
        <f>SUM(CM141:CP142)</f>
        <v>35.156799999999997</v>
      </c>
      <c r="CQ145" s="1618"/>
      <c r="CR145" s="1618"/>
      <c r="CS145" s="1571"/>
      <c r="CT145" s="1575">
        <f>SUM(CQ141:CT142)</f>
        <v>36.413699999999992</v>
      </c>
      <c r="CU145" s="1618"/>
      <c r="CV145" s="1618"/>
      <c r="CW145" s="1571"/>
      <c r="CX145" s="1575">
        <f>SUM(CU141:CX142)</f>
        <v>37.822152686755508</v>
      </c>
      <c r="CY145" s="1618"/>
      <c r="CZ145" s="1618"/>
      <c r="DA145" s="1571"/>
      <c r="DB145" s="1575">
        <f>SUM(CY141:DB142)</f>
        <v>39.100982312736264</v>
      </c>
      <c r="DC145"/>
      <c r="DD145"/>
      <c r="DE145"/>
      <c r="DF145"/>
      <c r="DG145"/>
      <c r="DH145"/>
      <c r="DI145"/>
      <c r="DJ145"/>
      <c r="DK145"/>
      <c r="DL145"/>
      <c r="DM145"/>
      <c r="DN145"/>
      <c r="DO145"/>
    </row>
    <row r="146" spans="1:119" s="1600" customFormat="1" ht="12.75" customHeight="1">
      <c r="A146" s="998"/>
      <c r="B146" s="998"/>
      <c r="C146" s="1614"/>
      <c r="D146" s="679"/>
      <c r="E146" s="1572" t="s">
        <v>1847</v>
      </c>
      <c r="F146" s="679"/>
      <c r="G146" s="1573"/>
      <c r="H146" s="2839" t="s">
        <v>757</v>
      </c>
      <c r="I146" s="2840">
        <f ca="1">+J146/J145*100</f>
        <v>121.38169160931362</v>
      </c>
      <c r="J146" s="1615">
        <f ca="1">OFFSET('VVP2'!$G$72,0,(COLUMN()-10)/4)</f>
        <v>13.836275402676117</v>
      </c>
      <c r="K146" s="1573"/>
      <c r="L146" s="2839" t="s">
        <v>757</v>
      </c>
      <c r="M146" s="2840">
        <f ca="1">+N146/N145*100</f>
        <v>124.06835628495119</v>
      </c>
      <c r="N146" s="1615">
        <f ca="1">OFFSET('VVP2'!$G$72,0,(COLUMN()-10)/4)</f>
        <v>15.044402112619391</v>
      </c>
      <c r="O146" s="1573"/>
      <c r="P146" s="2839" t="s">
        <v>757</v>
      </c>
      <c r="Q146" s="2840">
        <f ca="1">+R146/R145*100</f>
        <v>126.01320092157633</v>
      </c>
      <c r="R146" s="1615">
        <f ca="1">OFFSET('VVP2'!$G$72,0,(COLUMN()-10)/4)</f>
        <v>16.904520540333646</v>
      </c>
      <c r="S146" s="1573"/>
      <c r="T146" s="2839" t="s">
        <v>757</v>
      </c>
      <c r="U146" s="2840">
        <f ca="1">+V146/V145*100</f>
        <v>126.66570563618696</v>
      </c>
      <c r="V146" s="1615">
        <f ca="1">OFFSET('VVP2'!$G$72,0,(COLUMN()-10)/4)</f>
        <v>18.287507990920549</v>
      </c>
      <c r="W146" s="1573"/>
      <c r="X146" s="2839" t="s">
        <v>757</v>
      </c>
      <c r="Y146" s="2840">
        <f ca="1">+Z146/Z145*100</f>
        <v>126.62618108809282</v>
      </c>
      <c r="Z146" s="1615">
        <f ca="1">OFFSET('VVP2'!$G$72,0,(COLUMN()-10)/4)</f>
        <v>18.187110671109533</v>
      </c>
      <c r="AA146" s="1573"/>
      <c r="AB146" s="2839" t="s">
        <v>757</v>
      </c>
      <c r="AC146" s="2840">
        <f ca="1">+AD146/AD145*100</f>
        <v>126.69822994257703</v>
      </c>
      <c r="AD146" s="1615">
        <f ca="1">OFFSET('VVP2'!$G$72,0,(COLUMN()-10)/4)</f>
        <v>18.575447364388694</v>
      </c>
      <c r="AE146" s="1573"/>
      <c r="AF146" s="2839" t="s">
        <v>757</v>
      </c>
      <c r="AG146" s="2840">
        <f ca="1">+AH146/AH145*100</f>
        <v>126.61963278851516</v>
      </c>
      <c r="AH146" s="1615">
        <f ca="1">OFFSET('VVP2'!$G$72,0,(COLUMN()-10)/4)</f>
        <v>19.65684720975181</v>
      </c>
      <c r="AI146" s="1573"/>
      <c r="AJ146" s="2839" t="s">
        <v>757</v>
      </c>
      <c r="AK146" s="2840">
        <f ca="1">+AL146/AL145*100</f>
        <v>126.79611645011811</v>
      </c>
      <c r="AL146" s="1615">
        <f ca="1">OFFSET('VVP2'!$G$72,0,(COLUMN()-10)/4)</f>
        <v>21.1194781462228</v>
      </c>
      <c r="AM146" s="1573"/>
      <c r="AN146" s="2839" t="s">
        <v>757</v>
      </c>
      <c r="AO146" s="2840">
        <f ca="1">+AP146/AP145*100</f>
        <v>127.04330525768934</v>
      </c>
      <c r="AP146" s="1615">
        <f ca="1">OFFSET('VVP2'!$G$72,0,(COLUMN()-10)/4)</f>
        <v>23.318488136288344</v>
      </c>
      <c r="AQ146" s="1573"/>
      <c r="AR146" s="2839" t="s">
        <v>757</v>
      </c>
      <c r="AS146" s="2840">
        <f ca="1">+AT146/AT145*100</f>
        <v>127.80696279650303</v>
      </c>
      <c r="AT146" s="1615">
        <f ca="1">OFFSET('VVP2'!$G$72,0,(COLUMN()-10)/4)</f>
        <v>26.40723272</v>
      </c>
      <c r="AU146" s="1573"/>
      <c r="AV146" s="2839" t="s">
        <v>757</v>
      </c>
      <c r="AW146" s="2840">
        <f ca="1">+AX146/AX145*100</f>
        <v>100.45542239492735</v>
      </c>
      <c r="AX146" s="1615">
        <f ca="1">OFFSET('VVP2'!$G$72,0,(COLUMN()-10)/4)</f>
        <v>28.643457320000003</v>
      </c>
      <c r="AY146" s="1573"/>
      <c r="AZ146" s="2839" t="s">
        <v>757</v>
      </c>
      <c r="BA146" s="2840">
        <f ca="1">+BB146/BB145*100</f>
        <v>100.73441886578756</v>
      </c>
      <c r="BB146" s="1619">
        <f ca="1">OFFSET('VVP2'!$G$72,0,(COLUMN()-10)/4)</f>
        <v>31.129453789999999</v>
      </c>
      <c r="BC146" s="1573"/>
      <c r="BD146" s="2839" t="s">
        <v>757</v>
      </c>
      <c r="BE146" s="2840">
        <f ca="1">+BF146/BF145*100</f>
        <v>101.62406164239567</v>
      </c>
      <c r="BF146" s="1615">
        <f ca="1">OFFSET('VVP2'!$G$72,0,(COLUMN()-10)/4)</f>
        <v>35.771466449999998</v>
      </c>
      <c r="BG146" s="1573"/>
      <c r="BH146" s="2839" t="s">
        <v>757</v>
      </c>
      <c r="BI146" s="2840">
        <f ca="1">+BJ146/BJ145*100</f>
        <v>101.70696120885694</v>
      </c>
      <c r="BJ146" s="1615">
        <f ca="1">OFFSET('VVP2'!$G$72,0,(COLUMN()-10)/4)</f>
        <v>36.898166749999994</v>
      </c>
      <c r="BK146" s="1573"/>
      <c r="BL146" s="2839" t="s">
        <v>757</v>
      </c>
      <c r="BM146" s="2840">
        <f ca="1">+BN146/BN145*100</f>
        <v>100.32436337302863</v>
      </c>
      <c r="BN146" s="1615">
        <f ca="1">OFFSET('VVP2'!$G$72,0,(COLUMN()-10)/4)</f>
        <v>28.05370173</v>
      </c>
      <c r="BO146" s="1573"/>
      <c r="BP146" s="2839" t="s">
        <v>757</v>
      </c>
      <c r="BQ146" s="2840">
        <f ca="1">+BR146/BR145*100</f>
        <v>99.952288439660464</v>
      </c>
      <c r="BR146" s="1615">
        <f ca="1">OFFSET('VVP2'!$G$72,0,(COLUMN()-10)/4)</f>
        <v>28.55387</v>
      </c>
      <c r="BS146" s="1573"/>
      <c r="BT146" s="2839" t="s">
        <v>757</v>
      </c>
      <c r="BU146" s="2840">
        <f ca="1">+BV146/BV145*100</f>
        <v>99.881082080436315</v>
      </c>
      <c r="BV146" s="1615">
        <f ca="1">OFFSET('VVP2'!$G$72,0,(COLUMN()-10)/4)</f>
        <v>30.253779999999999</v>
      </c>
      <c r="BW146" s="1573"/>
      <c r="BX146" s="2839" t="s">
        <v>757</v>
      </c>
      <c r="BY146" s="2840">
        <f ca="1">+BZ146/BZ145*100</f>
        <v>100.03059908200898</v>
      </c>
      <c r="BZ146" s="1615">
        <f ca="1">OFFSET('VVP2'!$G$72,0,(COLUMN()-10)/4)</f>
        <v>30.162026480000002</v>
      </c>
      <c r="CA146" s="1573"/>
      <c r="CB146" s="2839" t="s">
        <v>757</v>
      </c>
      <c r="CC146" s="2840">
        <f ca="1">+CD146/CD145*100</f>
        <v>99.610965630640166</v>
      </c>
      <c r="CD146" s="1615">
        <f ca="1">OFFSET('VVP2'!$G$72,0,(COLUMN()-10)/4)</f>
        <v>31.017061699999999</v>
      </c>
      <c r="CE146" s="1573"/>
      <c r="CF146" s="2839" t="s">
        <v>757</v>
      </c>
      <c r="CG146" s="2840">
        <f ca="1">+CH146/CH145*100</f>
        <v>99.737686200236951</v>
      </c>
      <c r="CH146" s="1615">
        <f ca="1">OFFSET('VVP2'!$G$72,0,(COLUMN()-10)/4)</f>
        <v>32.070553260000004</v>
      </c>
      <c r="CI146" s="1573"/>
      <c r="CJ146" s="2839" t="s">
        <v>757</v>
      </c>
      <c r="CK146" s="2840">
        <f ca="1">+CL146/CL145*100</f>
        <v>100.22270599362659</v>
      </c>
      <c r="CL146" s="1615">
        <f ca="1">OFFSET('VVP2'!$G$72,0,(COLUMN()-10)/4)</f>
        <v>34.438025119999999</v>
      </c>
      <c r="CM146" s="1573"/>
      <c r="CN146" s="2839" t="s">
        <v>757</v>
      </c>
      <c r="CO146" s="2840">
        <f ca="1">+CP146/CP145*100</f>
        <v>100.31207376666818</v>
      </c>
      <c r="CP146" s="1615">
        <f ca="1">OFFSET('VVP2'!$G$72,0,(COLUMN()-10)/4)</f>
        <v>35.266515149999996</v>
      </c>
      <c r="CQ146" s="1573"/>
      <c r="CR146" s="2839" t="s">
        <v>757</v>
      </c>
      <c r="CS146" s="2840">
        <f ca="1">+CT146/CT145*100</f>
        <v>100.85504865203787</v>
      </c>
      <c r="CT146" s="1615">
        <f ca="1">OFFSET('VVP2'!$G$72,0,(COLUMN()-10)/4)</f>
        <v>36.725054851007108</v>
      </c>
      <c r="CU146" s="1573"/>
      <c r="CV146" s="2839" t="s">
        <v>757</v>
      </c>
      <c r="CW146" s="2840">
        <f ca="1">+CX146/CX145*100</f>
        <v>100.85591037029164</v>
      </c>
      <c r="CX146" s="1615">
        <f ca="1">OFFSET('VVP2'!$G$72,0,(COLUMN()-10)/4)</f>
        <v>38.14587641386899</v>
      </c>
      <c r="CY146" s="1573"/>
      <c r="CZ146" s="2839" t="s">
        <v>757</v>
      </c>
      <c r="DA146" s="2840">
        <f ca="1">+DB146/DB145*100</f>
        <v>100.70373011626343</v>
      </c>
      <c r="DB146" s="1615">
        <f ca="1">OFFSET('VVP2'!$G$72,0,(COLUMN()-10)/4)</f>
        <v>39.376147701025829</v>
      </c>
      <c r="DC146"/>
      <c r="DD146"/>
      <c r="DE146"/>
      <c r="DF146"/>
      <c r="DG146"/>
      <c r="DH146"/>
      <c r="DI146"/>
      <c r="DJ146"/>
      <c r="DK146"/>
      <c r="DL146"/>
      <c r="DM146"/>
      <c r="DN146"/>
      <c r="DO146"/>
    </row>
    <row r="147" spans="1:119" ht="12.75" customHeight="1">
      <c r="E147" s="599"/>
      <c r="F147" s="3617"/>
      <c r="AY147" s="217"/>
      <c r="BF147" s="217"/>
      <c r="BJ147" s="217"/>
      <c r="CM147" s="557"/>
      <c r="CN147" s="557"/>
      <c r="CO147" s="557"/>
      <c r="CP147" s="557"/>
      <c r="CQ147" s="557"/>
      <c r="CR147" s="557"/>
      <c r="CS147" s="557"/>
      <c r="CT147" s="557"/>
      <c r="CU147" s="557"/>
      <c r="CV147" s="557"/>
      <c r="CW147" s="557"/>
      <c r="CX147" s="557"/>
      <c r="CY147" s="557"/>
      <c r="CZ147" s="557"/>
      <c r="DA147" s="557"/>
      <c r="DB147" s="557"/>
    </row>
    <row r="148" spans="1:119" s="699" customFormat="1" ht="12.75" customHeight="1">
      <c r="A148" s="664"/>
      <c r="B148" s="664"/>
      <c r="C148" s="1553"/>
      <c r="D148" s="742"/>
      <c r="E148" s="3384" t="s">
        <v>762</v>
      </c>
      <c r="F148" s="3622"/>
      <c r="G148" s="1578" t="str">
        <f t="shared" ref="G148:N148" si="362">G140</f>
        <v>Q1</v>
      </c>
      <c r="H148" s="1579" t="str">
        <f t="shared" si="362"/>
        <v>Q2</v>
      </c>
      <c r="I148" s="1579" t="str">
        <f t="shared" si="362"/>
        <v>Q3</v>
      </c>
      <c r="J148" s="1580" t="str">
        <f t="shared" si="362"/>
        <v>Q4</v>
      </c>
      <c r="K148" s="1578" t="str">
        <f t="shared" si="362"/>
        <v>Q1</v>
      </c>
      <c r="L148" s="1579" t="str">
        <f t="shared" si="362"/>
        <v>Q2</v>
      </c>
      <c r="M148" s="1579" t="str">
        <f t="shared" si="362"/>
        <v>Q3</v>
      </c>
      <c r="N148" s="1580" t="str">
        <f t="shared" si="362"/>
        <v>Q4</v>
      </c>
      <c r="O148" s="1578" t="str">
        <f t="shared" ref="O148:AX148" si="363">O140</f>
        <v>Q1</v>
      </c>
      <c r="P148" s="1579" t="str">
        <f t="shared" si="363"/>
        <v>Q2</v>
      </c>
      <c r="Q148" s="1579" t="str">
        <f t="shared" si="363"/>
        <v>Q3</v>
      </c>
      <c r="R148" s="1580" t="str">
        <f t="shared" si="363"/>
        <v>Q4</v>
      </c>
      <c r="S148" s="1578" t="str">
        <f t="shared" si="363"/>
        <v>Q1</v>
      </c>
      <c r="T148" s="1579" t="str">
        <f t="shared" si="363"/>
        <v>Q2</v>
      </c>
      <c r="U148" s="1579" t="str">
        <f t="shared" si="363"/>
        <v>Q3</v>
      </c>
      <c r="V148" s="1580" t="str">
        <f t="shared" si="363"/>
        <v>Q4</v>
      </c>
      <c r="W148" s="1578" t="str">
        <f t="shared" si="363"/>
        <v>Q1</v>
      </c>
      <c r="X148" s="1579" t="str">
        <f t="shared" si="363"/>
        <v>Q2</v>
      </c>
      <c r="Y148" s="1579" t="str">
        <f t="shared" si="363"/>
        <v>Q3</v>
      </c>
      <c r="Z148" s="1580" t="str">
        <f t="shared" si="363"/>
        <v>Q4</v>
      </c>
      <c r="AA148" s="1578" t="str">
        <f t="shared" si="363"/>
        <v>Q1</v>
      </c>
      <c r="AB148" s="1579" t="str">
        <f t="shared" si="363"/>
        <v>Q2</v>
      </c>
      <c r="AC148" s="1579" t="str">
        <f t="shared" si="363"/>
        <v>Q3</v>
      </c>
      <c r="AD148" s="1580" t="str">
        <f t="shared" si="363"/>
        <v>Q4</v>
      </c>
      <c r="AE148" s="1578" t="str">
        <f t="shared" si="363"/>
        <v>Q1</v>
      </c>
      <c r="AF148" s="1579" t="str">
        <f t="shared" si="363"/>
        <v>Q2</v>
      </c>
      <c r="AG148" s="1579" t="str">
        <f t="shared" si="363"/>
        <v>Q3</v>
      </c>
      <c r="AH148" s="1580" t="str">
        <f t="shared" si="363"/>
        <v>Q4</v>
      </c>
      <c r="AI148" s="1578" t="str">
        <f t="shared" si="363"/>
        <v>Q1</v>
      </c>
      <c r="AJ148" s="1579" t="str">
        <f t="shared" si="363"/>
        <v>Q2</v>
      </c>
      <c r="AK148" s="1579" t="str">
        <f t="shared" si="363"/>
        <v>Q3</v>
      </c>
      <c r="AL148" s="1580" t="str">
        <f t="shared" si="363"/>
        <v>Q4</v>
      </c>
      <c r="AM148" s="1578" t="str">
        <f t="shared" si="363"/>
        <v>Q1</v>
      </c>
      <c r="AN148" s="1579" t="str">
        <f t="shared" si="363"/>
        <v>Q2</v>
      </c>
      <c r="AO148" s="1579" t="str">
        <f t="shared" si="363"/>
        <v>Q3</v>
      </c>
      <c r="AP148" s="1580" t="str">
        <f t="shared" si="363"/>
        <v>Q4</v>
      </c>
      <c r="AQ148" s="1578" t="str">
        <f t="shared" si="363"/>
        <v>Q1</v>
      </c>
      <c r="AR148" s="1579" t="str">
        <f t="shared" si="363"/>
        <v>Q2</v>
      </c>
      <c r="AS148" s="1579" t="str">
        <f t="shared" si="363"/>
        <v>Q3</v>
      </c>
      <c r="AT148" s="1580" t="str">
        <f t="shared" si="363"/>
        <v>Q4</v>
      </c>
      <c r="AU148" s="1578" t="str">
        <f t="shared" si="363"/>
        <v>Q1</v>
      </c>
      <c r="AV148" s="1579" t="str">
        <f t="shared" si="363"/>
        <v>Q2</v>
      </c>
      <c r="AW148" s="1579" t="str">
        <f t="shared" si="363"/>
        <v>Q3</v>
      </c>
      <c r="AX148" s="1580" t="str">
        <f t="shared" si="363"/>
        <v>Q4</v>
      </c>
      <c r="AY148" s="1578" t="str">
        <f t="shared" ref="AY148:BF148" si="364">AY140</f>
        <v>Q1</v>
      </c>
      <c r="AZ148" s="1579" t="str">
        <f t="shared" si="364"/>
        <v>Q2</v>
      </c>
      <c r="BA148" s="1579" t="str">
        <f t="shared" si="364"/>
        <v>Q3</v>
      </c>
      <c r="BB148" s="1579" t="str">
        <f t="shared" si="364"/>
        <v>Q4</v>
      </c>
      <c r="BC148" s="1579" t="str">
        <f t="shared" si="364"/>
        <v>Q1</v>
      </c>
      <c r="BD148" s="1579" t="str">
        <f t="shared" si="364"/>
        <v>Q2</v>
      </c>
      <c r="BE148" s="1579" t="str">
        <f t="shared" si="364"/>
        <v>Q3</v>
      </c>
      <c r="BF148" s="1580" t="str">
        <f t="shared" si="364"/>
        <v>Q4</v>
      </c>
      <c r="BG148" s="1579" t="str">
        <f t="shared" ref="BG148:BN148" si="365">BG140</f>
        <v>Q1</v>
      </c>
      <c r="BH148" s="1579" t="str">
        <f t="shared" si="365"/>
        <v>Q2</v>
      </c>
      <c r="BI148" s="1579" t="str">
        <f t="shared" si="365"/>
        <v>Q3</v>
      </c>
      <c r="BJ148" s="1580" t="str">
        <f t="shared" si="365"/>
        <v>Q4</v>
      </c>
      <c r="BK148" s="1579" t="str">
        <f t="shared" si="365"/>
        <v>Q1</v>
      </c>
      <c r="BL148" s="1579" t="str">
        <f t="shared" si="365"/>
        <v>Q2</v>
      </c>
      <c r="BM148" s="1579" t="str">
        <f t="shared" si="365"/>
        <v>Q3</v>
      </c>
      <c r="BN148" s="1579" t="str">
        <f t="shared" si="365"/>
        <v>Q4</v>
      </c>
      <c r="BO148" s="1579" t="str">
        <f t="shared" ref="BO148:BZ148" si="366">BO140</f>
        <v>Q1</v>
      </c>
      <c r="BP148" s="1579" t="str">
        <f t="shared" si="366"/>
        <v>Q2</v>
      </c>
      <c r="BQ148" s="1579" t="str">
        <f t="shared" si="366"/>
        <v>Q3</v>
      </c>
      <c r="BR148" s="1579" t="str">
        <f t="shared" si="366"/>
        <v>Q4</v>
      </c>
      <c r="BS148" s="1579" t="str">
        <f>BS140</f>
        <v>Q1</v>
      </c>
      <c r="BT148" s="1579" t="str">
        <f>BT140</f>
        <v>Q2</v>
      </c>
      <c r="BU148" s="1579" t="str">
        <f>BU140</f>
        <v>Q3</v>
      </c>
      <c r="BV148" s="1579" t="str">
        <f>BV140</f>
        <v>Q4</v>
      </c>
      <c r="BW148" s="1579" t="str">
        <f t="shared" si="366"/>
        <v>Q1</v>
      </c>
      <c r="BX148" s="1579" t="str">
        <f t="shared" si="366"/>
        <v>Q2</v>
      </c>
      <c r="BY148" s="1579" t="str">
        <f t="shared" si="366"/>
        <v>Q3</v>
      </c>
      <c r="BZ148" s="1579" t="str">
        <f t="shared" si="366"/>
        <v>Q4</v>
      </c>
      <c r="CA148" s="1579" t="str">
        <f t="shared" ref="CA148:CH148" si="367">CA140</f>
        <v>Q1</v>
      </c>
      <c r="CB148" s="1579" t="str">
        <f t="shared" si="367"/>
        <v>Q2</v>
      </c>
      <c r="CC148" s="1579" t="str">
        <f t="shared" si="367"/>
        <v>Q3</v>
      </c>
      <c r="CD148" s="1579" t="str">
        <f t="shared" si="367"/>
        <v>Q4</v>
      </c>
      <c r="CE148" s="1579" t="str">
        <f t="shared" si="367"/>
        <v>Q1</v>
      </c>
      <c r="CF148" s="1579" t="str">
        <f t="shared" si="367"/>
        <v>Q2</v>
      </c>
      <c r="CG148" s="1579" t="str">
        <f t="shared" si="367"/>
        <v>Q3</v>
      </c>
      <c r="CH148" s="1579" t="str">
        <f t="shared" si="367"/>
        <v>Q4</v>
      </c>
      <c r="CI148" s="1579" t="str">
        <f t="shared" ref="CI148:CP148" si="368">CI140</f>
        <v>Q1</v>
      </c>
      <c r="CJ148" s="1579" t="str">
        <f t="shared" si="368"/>
        <v>Q2</v>
      </c>
      <c r="CK148" s="1579" t="str">
        <f t="shared" si="368"/>
        <v>Q3</v>
      </c>
      <c r="CL148" s="1579" t="str">
        <f t="shared" si="368"/>
        <v>Q4</v>
      </c>
      <c r="CM148" s="1579" t="str">
        <f t="shared" si="368"/>
        <v>Q1</v>
      </c>
      <c r="CN148" s="1579" t="str">
        <f t="shared" si="368"/>
        <v>Q2</v>
      </c>
      <c r="CO148" s="1579" t="str">
        <f t="shared" si="368"/>
        <v>Q3</v>
      </c>
      <c r="CP148" s="1579" t="str">
        <f t="shared" si="368"/>
        <v>Q4</v>
      </c>
      <c r="CQ148" s="1579" t="str">
        <f t="shared" ref="CQ148:CX148" si="369">CQ140</f>
        <v>Q1</v>
      </c>
      <c r="CR148" s="1579" t="str">
        <f t="shared" si="369"/>
        <v>Q2</v>
      </c>
      <c r="CS148" s="1579" t="str">
        <f t="shared" si="369"/>
        <v>Q3</v>
      </c>
      <c r="CT148" s="1579" t="str">
        <f t="shared" si="369"/>
        <v>Q4</v>
      </c>
      <c r="CU148" s="1579" t="str">
        <f t="shared" si="369"/>
        <v>Q1</v>
      </c>
      <c r="CV148" s="1579" t="str">
        <f t="shared" si="369"/>
        <v>Q2</v>
      </c>
      <c r="CW148" s="1579" t="str">
        <f t="shared" si="369"/>
        <v>Q3</v>
      </c>
      <c r="CX148" s="1579" t="str">
        <f t="shared" si="369"/>
        <v>Q4</v>
      </c>
      <c r="CY148" s="1579" t="str">
        <f t="shared" ref="CY148:DB148" si="370">CY140</f>
        <v>Q1</v>
      </c>
      <c r="CZ148" s="1579" t="str">
        <f t="shared" si="370"/>
        <v>Q2</v>
      </c>
      <c r="DA148" s="1579" t="str">
        <f t="shared" si="370"/>
        <v>Q3</v>
      </c>
      <c r="DB148" s="1579" t="str">
        <f t="shared" si="370"/>
        <v>Q4</v>
      </c>
      <c r="DC148"/>
      <c r="DD148"/>
      <c r="DE148"/>
      <c r="DF148"/>
      <c r="DG148"/>
      <c r="DH148"/>
      <c r="DI148"/>
      <c r="DJ148"/>
      <c r="DK148"/>
      <c r="DL148"/>
      <c r="DM148"/>
      <c r="DN148"/>
      <c r="DO148"/>
    </row>
    <row r="149" spans="1:119" s="699" customFormat="1" ht="12.75" customHeight="1">
      <c r="B149" s="664"/>
      <c r="C149" s="692"/>
      <c r="D149" s="689"/>
      <c r="E149" s="3623" t="s">
        <v>2004</v>
      </c>
      <c r="F149" s="3624" t="s">
        <v>1124</v>
      </c>
      <c r="G149" s="978"/>
      <c r="H149" s="978">
        <f t="shared" ref="H149:AM149" si="371">(H144/G144-1)*100</f>
        <v>-0.5908633861654855</v>
      </c>
      <c r="I149" s="978">
        <f t="shared" si="371"/>
        <v>2.1574781801686926</v>
      </c>
      <c r="J149" s="978">
        <f t="shared" si="371"/>
        <v>1.6821819369590374</v>
      </c>
      <c r="K149" s="978">
        <f t="shared" si="371"/>
        <v>0.32123353678124023</v>
      </c>
      <c r="L149" s="978">
        <f t="shared" si="371"/>
        <v>2.0673230867755299</v>
      </c>
      <c r="M149" s="978">
        <f t="shared" si="371"/>
        <v>3.6489480598419499</v>
      </c>
      <c r="N149" s="978">
        <f t="shared" si="371"/>
        <v>1.881313609019708</v>
      </c>
      <c r="O149" s="978">
        <f t="shared" si="371"/>
        <v>3.9261741851030152</v>
      </c>
      <c r="P149" s="978">
        <f t="shared" si="371"/>
        <v>2.3842704257561964</v>
      </c>
      <c r="Q149" s="978">
        <f t="shared" si="371"/>
        <v>0.38303478723682449</v>
      </c>
      <c r="R149" s="978">
        <f t="shared" si="371"/>
        <v>3.6279878313776548</v>
      </c>
      <c r="S149" s="978">
        <f t="shared" si="371"/>
        <v>2.2679997315976586</v>
      </c>
      <c r="T149" s="978">
        <f t="shared" si="371"/>
        <v>1.1400170592480885</v>
      </c>
      <c r="U149" s="978">
        <f t="shared" si="371"/>
        <v>2.6078917919525102</v>
      </c>
      <c r="V149" s="978">
        <f t="shared" si="371"/>
        <v>-1.7852909099530634</v>
      </c>
      <c r="W149" s="978">
        <f t="shared" si="371"/>
        <v>-1.8821162743914654</v>
      </c>
      <c r="X149" s="978">
        <f t="shared" si="371"/>
        <v>3.1221296417792921</v>
      </c>
      <c r="Y149" s="978">
        <f t="shared" si="371"/>
        <v>-2.0494182578751907</v>
      </c>
      <c r="Z149" s="978">
        <f t="shared" si="371"/>
        <v>-0.20297809460403382</v>
      </c>
      <c r="AA149" s="978">
        <f t="shared" si="371"/>
        <v>1.3659735103648041</v>
      </c>
      <c r="AB149" s="978">
        <f t="shared" si="371"/>
        <v>0.60756852201131473</v>
      </c>
      <c r="AC149" s="978">
        <f t="shared" si="371"/>
        <v>0.58475333460972223</v>
      </c>
      <c r="AD149" s="978">
        <f t="shared" si="371"/>
        <v>1.1674663917198957</v>
      </c>
      <c r="AE149" s="978">
        <f t="shared" si="371"/>
        <v>2.8967442006318844</v>
      </c>
      <c r="AF149" s="978">
        <f t="shared" si="371"/>
        <v>-0.4129460884405689</v>
      </c>
      <c r="AG149" s="978">
        <f t="shared" si="371"/>
        <v>1.6272664677530635</v>
      </c>
      <c r="AH149" s="978">
        <f t="shared" si="371"/>
        <v>5.1514261839698205</v>
      </c>
      <c r="AI149" s="978">
        <f t="shared" si="371"/>
        <v>0.59922680412372031</v>
      </c>
      <c r="AJ149" s="978">
        <f t="shared" si="371"/>
        <v>1.2653273269426224</v>
      </c>
      <c r="AK149" s="978">
        <f t="shared" si="371"/>
        <v>1.8201623388031996</v>
      </c>
      <c r="AL149" s="978">
        <f t="shared" si="371"/>
        <v>0.88622010560099884</v>
      </c>
      <c r="AM149" s="978">
        <f t="shared" si="371"/>
        <v>3.0895743967599198</v>
      </c>
      <c r="AN149" s="978">
        <f t="shared" ref="AN149:BE149" si="372">(AN144/AM144-1)*100</f>
        <v>3.6387165278561007</v>
      </c>
      <c r="AO149" s="978">
        <f t="shared" si="372"/>
        <v>2.7118231647969004</v>
      </c>
      <c r="AP149" s="978">
        <f t="shared" si="372"/>
        <v>3.4382149959788499</v>
      </c>
      <c r="AQ149" s="978">
        <f t="shared" si="372"/>
        <v>3.6566255620246402</v>
      </c>
      <c r="AR149" s="978">
        <f t="shared" si="372"/>
        <v>2.993865744105606</v>
      </c>
      <c r="AS149" s="978">
        <f t="shared" si="372"/>
        <v>1.5338670159314116</v>
      </c>
      <c r="AT149" s="978">
        <f t="shared" si="372"/>
        <v>2.0027689587492015</v>
      </c>
      <c r="AU149" s="978">
        <f t="shared" si="372"/>
        <v>1.1676015110137383</v>
      </c>
      <c r="AV149" s="978">
        <f t="shared" si="372"/>
        <v>3.7360920283412868</v>
      </c>
      <c r="AW149" s="978">
        <f t="shared" si="372"/>
        <v>2.1503254055233123</v>
      </c>
      <c r="AX149" s="978">
        <f t="shared" si="372"/>
        <v>2.2713289842323681</v>
      </c>
      <c r="AY149" s="978">
        <f t="shared" si="372"/>
        <v>27.717001034126177</v>
      </c>
      <c r="AZ149" s="978">
        <f t="shared" si="372"/>
        <v>-0.31452035645640475</v>
      </c>
      <c r="BA149" s="978">
        <f t="shared" si="372"/>
        <v>6.3210409222679065</v>
      </c>
      <c r="BB149" s="978">
        <f>(BB144/BA144-1)*100</f>
        <v>5.3124167755190133</v>
      </c>
      <c r="BC149" s="978">
        <f>(BC144/BB144-1)*100</f>
        <v>2.6974302160352348</v>
      </c>
      <c r="BD149" s="978">
        <f>(BD144/BC144-1)*100</f>
        <v>4.9869843577777351</v>
      </c>
      <c r="BE149" s="978">
        <f t="shared" si="372"/>
        <v>-0.22114256994471004</v>
      </c>
      <c r="BF149" s="978">
        <f t="shared" ref="BF149:BN149" si="373">(BF144/BE144-1)*100</f>
        <v>3.7923816559768175</v>
      </c>
      <c r="BG149" s="978">
        <f t="shared" si="373"/>
        <v>1.8689673766513648</v>
      </c>
      <c r="BH149" s="978">
        <f t="shared" si="373"/>
        <v>-0.97080183785384078</v>
      </c>
      <c r="BI149" s="978">
        <f t="shared" si="373"/>
        <v>-1.5372938069937336</v>
      </c>
      <c r="BJ149" s="978">
        <f t="shared" si="373"/>
        <v>-6.0074047533739456</v>
      </c>
      <c r="BK149" s="978">
        <f t="shared" si="373"/>
        <v>-16.736744830772786</v>
      </c>
      <c r="BL149" s="978">
        <f t="shared" si="373"/>
        <v>-1.2485953302534658</v>
      </c>
      <c r="BM149" s="978">
        <f t="shared" si="373"/>
        <v>-1.5144490805130584</v>
      </c>
      <c r="BN149" s="978">
        <f t="shared" si="373"/>
        <v>-3.9085345848251851</v>
      </c>
      <c r="BO149" s="978">
        <f t="shared" ref="BO149:BZ149" si="374">(BO144/BN144-1)*100</f>
        <v>3.3267520745809964</v>
      </c>
      <c r="BP149" s="978">
        <f t="shared" si="374"/>
        <v>2.5170967185794035</v>
      </c>
      <c r="BQ149" s="978">
        <f t="shared" si="374"/>
        <v>-0.21161500084085905</v>
      </c>
      <c r="BR149" s="978">
        <f t="shared" si="374"/>
        <v>3.7399059054841644</v>
      </c>
      <c r="BS149" s="978">
        <f t="shared" si="374"/>
        <v>2.8185411815671246</v>
      </c>
      <c r="BT149" s="978">
        <f t="shared" si="374"/>
        <v>-0.55167873601051909</v>
      </c>
      <c r="BU149" s="978">
        <f t="shared" si="374"/>
        <v>-0.20653771299202761</v>
      </c>
      <c r="BV149" s="978">
        <f t="shared" si="374"/>
        <v>1.237810945273643</v>
      </c>
      <c r="BW149" s="978">
        <f t="shared" si="374"/>
        <v>-0.76925093043977988</v>
      </c>
      <c r="BX149" s="978">
        <f t="shared" si="374"/>
        <v>-3.3953592794601306</v>
      </c>
      <c r="BY149" s="978">
        <f t="shared" si="374"/>
        <v>5.1852358168147594</v>
      </c>
      <c r="BZ149" s="978">
        <f t="shared" si="374"/>
        <v>-2.4277712072573232</v>
      </c>
      <c r="CA149" s="978">
        <f t="shared" ref="CA149:CL149" si="375">(CA144/BZ144-1)*100</f>
        <v>0.73792873792872804</v>
      </c>
      <c r="CB149" s="978">
        <f t="shared" si="375"/>
        <v>1.2719988364251922</v>
      </c>
      <c r="CC149" s="978">
        <f t="shared" si="375"/>
        <v>3.032993432648734</v>
      </c>
      <c r="CD149" s="978">
        <f t="shared" si="375"/>
        <v>0.97828015307803717</v>
      </c>
      <c r="CE149" s="978">
        <f t="shared" si="375"/>
        <v>-2.7608362824094179E-2</v>
      </c>
      <c r="CF149" s="978">
        <f t="shared" si="375"/>
        <v>-1.8829082145011E-2</v>
      </c>
      <c r="CG149" s="978">
        <f t="shared" si="375"/>
        <v>0.21594746952253718</v>
      </c>
      <c r="CH149" s="978">
        <f t="shared" si="375"/>
        <v>2.8313351123137931</v>
      </c>
      <c r="CI149" s="978">
        <f t="shared" si="375"/>
        <v>4.355453759091632</v>
      </c>
      <c r="CJ149" s="978">
        <f t="shared" si="375"/>
        <v>2.2356869337816443</v>
      </c>
      <c r="CK149" s="978">
        <f t="shared" si="375"/>
        <v>-1.7905470989254657</v>
      </c>
      <c r="CL149" s="978">
        <f t="shared" si="375"/>
        <v>-0.21859702568514106</v>
      </c>
      <c r="CM149" s="978">
        <f t="shared" ref="CM149" si="376">(CM144/CL144-1)*100</f>
        <v>-0.94156033327507105</v>
      </c>
      <c r="CN149" s="978">
        <f t="shared" ref="CN149" si="377">(CN144/CM144-1)*100</f>
        <v>3.8514475278506488</v>
      </c>
      <c r="CO149" s="978">
        <f t="shared" ref="CO149" si="378">(CO144/CN144-1)*100</f>
        <v>0.4089215119901235</v>
      </c>
      <c r="CP149" s="978">
        <f t="shared" ref="CP149" si="379">(CP144/CO144-1)*100</f>
        <v>1.4541639403442996</v>
      </c>
      <c r="CQ149" s="978">
        <f t="shared" ref="CQ149" si="380">(CQ144/CP144-1)*100</f>
        <v>0.96963227363200399</v>
      </c>
      <c r="CR149" s="978">
        <f t="shared" ref="CR149" si="381">(CR144/CQ144-1)*100</f>
        <v>-0.78411506227766825</v>
      </c>
      <c r="CS149" s="978">
        <f t="shared" ref="CS149" si="382">(CS144/CR144-1)*100</f>
        <v>2.0301694952880922</v>
      </c>
      <c r="CT149" s="978">
        <f t="shared" ref="CT149" si="383">(CT144/CS144-1)*100</f>
        <v>0.52436901653614143</v>
      </c>
      <c r="CU149" s="1962">
        <f t="shared" ref="CU149:DB149" si="384">+(CT105*CU110+CT124*CU129)/(CT105+CT124)</f>
        <v>0.99892643016384974</v>
      </c>
      <c r="CV149" s="1962">
        <f t="shared" si="384"/>
        <v>0.99737581391350105</v>
      </c>
      <c r="CW149" s="1962">
        <f t="shared" si="384"/>
        <v>0.86426948405353454</v>
      </c>
      <c r="CX149" s="1962">
        <f t="shared" si="384"/>
        <v>0.59457503831887559</v>
      </c>
      <c r="CY149" s="1962">
        <f t="shared" si="384"/>
        <v>0.8079110092352495</v>
      </c>
      <c r="CZ149" s="1962">
        <f t="shared" si="384"/>
        <v>0.93684187936210372</v>
      </c>
      <c r="DA149" s="1962">
        <f t="shared" si="384"/>
        <v>0.94052166190287134</v>
      </c>
      <c r="DB149" s="1962">
        <f t="shared" si="384"/>
        <v>0.92032399104302232</v>
      </c>
      <c r="DC149"/>
      <c r="DD149"/>
      <c r="DE149"/>
      <c r="DF149"/>
      <c r="DG149"/>
      <c r="DH149"/>
      <c r="DI149"/>
      <c r="DJ149"/>
      <c r="DK149"/>
      <c r="DL149"/>
      <c r="DM149"/>
      <c r="DN149"/>
      <c r="DO149"/>
    </row>
    <row r="150" spans="1:119" ht="12.75" customHeight="1">
      <c r="C150" s="1555"/>
      <c r="D150" s="1581"/>
      <c r="E150" s="1582" t="s">
        <v>763</v>
      </c>
      <c r="F150" s="1649"/>
      <c r="G150" s="1605"/>
      <c r="H150" s="1606"/>
      <c r="I150" s="1606"/>
      <c r="J150" s="1606"/>
      <c r="K150" s="1607"/>
      <c r="L150" s="1607"/>
      <c r="M150" s="1607"/>
      <c r="N150" s="1608">
        <f>N145/J145*100-100</f>
        <v>6.3770376844587418</v>
      </c>
      <c r="O150" s="1607"/>
      <c r="P150" s="1607"/>
      <c r="Q150" s="1607"/>
      <c r="R150" s="1608">
        <f>R145/N145*100-100</f>
        <v>10.629999307351824</v>
      </c>
      <c r="S150" s="1607"/>
      <c r="T150" s="1607"/>
      <c r="U150" s="1607"/>
      <c r="V150" s="1608">
        <f>V145/R145*100-100</f>
        <v>7.6238857140389769</v>
      </c>
      <c r="W150" s="1607"/>
      <c r="X150" s="1607"/>
      <c r="Y150" s="1607"/>
      <c r="Z150" s="1608">
        <f>Z145/V145*100-100</f>
        <v>-0.51795178354349503</v>
      </c>
      <c r="AA150" s="1607"/>
      <c r="AB150" s="1607"/>
      <c r="AC150" s="1607"/>
      <c r="AD150" s="1608">
        <f>AD145/Z145*100-100</f>
        <v>2.0771495402484277</v>
      </c>
      <c r="AE150" s="1607"/>
      <c r="AF150" s="1607"/>
      <c r="AG150" s="1607"/>
      <c r="AH150" s="1608">
        <f>AH145/AD145*100-100</f>
        <v>5.8873495963225508</v>
      </c>
      <c r="AI150" s="1607"/>
      <c r="AJ150" s="1607"/>
      <c r="AK150" s="1607"/>
      <c r="AL150" s="1608">
        <f>AL145/AH145*100-100</f>
        <v>7.2912780024775259</v>
      </c>
      <c r="AM150" s="1607"/>
      <c r="AN150" s="1607"/>
      <c r="AO150" s="1607"/>
      <c r="AP150" s="1608">
        <f>AP145/AL145*100-100</f>
        <v>10.197406743440766</v>
      </c>
      <c r="AQ150" s="1607"/>
      <c r="AR150" s="1607"/>
      <c r="AS150" s="1607"/>
      <c r="AT150" s="1608">
        <f>AT145/AP145*100-100</f>
        <v>12.569250165285183</v>
      </c>
      <c r="AU150" s="1607"/>
      <c r="AV150" s="1607"/>
      <c r="AW150" s="1607"/>
      <c r="AX150" s="1608">
        <f>AX145/AT145*100-100</f>
        <v>38.00145789734114</v>
      </c>
      <c r="AY150" s="1607"/>
      <c r="AZ150" s="1607"/>
      <c r="BA150" s="1609"/>
      <c r="BB150" s="1610">
        <f>BB145/AX145*100-100</f>
        <v>8.3781072891532489</v>
      </c>
      <c r="BC150" s="1609"/>
      <c r="BD150" s="1609"/>
      <c r="BE150" s="1609"/>
      <c r="BF150" s="1608">
        <f>BF145/BB145*100-100</f>
        <v>13.905994660626163</v>
      </c>
      <c r="BG150" s="1609"/>
      <c r="BH150" s="1609"/>
      <c r="BI150" s="1609"/>
      <c r="BJ150" s="1608">
        <f>BJ145/BF145*100-100</f>
        <v>3.0656424184227973</v>
      </c>
      <c r="BK150" s="1609"/>
      <c r="BL150" s="1609"/>
      <c r="BM150" s="1609"/>
      <c r="BN150" s="1608">
        <f>BN145/BJ145*100-100</f>
        <v>-22.922139315139077</v>
      </c>
      <c r="BO150" s="1609"/>
      <c r="BP150" s="1609"/>
      <c r="BQ150" s="1609"/>
      <c r="BR150" s="1608">
        <f>BR145/BN145*100-100</f>
        <v>2.1617852161784867</v>
      </c>
      <c r="BS150" s="1609"/>
      <c r="BT150" s="1609"/>
      <c r="BU150" s="1609"/>
      <c r="BV150" s="1608">
        <f>BV145/BR145*100-100</f>
        <v>6.0288789708585142</v>
      </c>
      <c r="BW150" s="1609"/>
      <c r="BX150" s="1609"/>
      <c r="BY150" s="1609"/>
      <c r="BZ150" s="1608">
        <f>BZ145/BV145*100-100</f>
        <v>-0.45229747307674018</v>
      </c>
      <c r="CA150" s="1609"/>
      <c r="CB150" s="1609"/>
      <c r="CC150" s="1609"/>
      <c r="CD150" s="1608">
        <f>CD145/BZ145*100-100</f>
        <v>3.2680215436045756</v>
      </c>
      <c r="CE150" s="1609"/>
      <c r="CF150" s="1609"/>
      <c r="CG150" s="1609"/>
      <c r="CH150" s="3390">
        <f>CH145/CD145*100-100</f>
        <v>3.2651212979556021</v>
      </c>
      <c r="CI150" s="1609"/>
      <c r="CJ150" s="1609"/>
      <c r="CK150" s="1609"/>
      <c r="CL150" s="3390">
        <f>CL145/CH145*100-100</f>
        <v>6.8624066627480858</v>
      </c>
      <c r="CM150" s="1609"/>
      <c r="CN150" s="1609"/>
      <c r="CO150" s="1609"/>
      <c r="CP150" s="1608">
        <f>CP145/CL145*100-100</f>
        <v>2.3145089707957993</v>
      </c>
      <c r="CQ150" s="1609"/>
      <c r="CR150" s="1609"/>
      <c r="CS150" s="1609"/>
      <c r="CT150" s="1608">
        <f>CT145/CP145*100-100</f>
        <v>3.575126291357563</v>
      </c>
      <c r="CU150" s="1609"/>
      <c r="CV150" s="1609"/>
      <c r="CW150" s="1609"/>
      <c r="CX150" s="1608">
        <f>CX145/CT145*100-100</f>
        <v>3.8679197300892696</v>
      </c>
      <c r="CY150" s="1609"/>
      <c r="CZ150" s="1609"/>
      <c r="DA150" s="1609"/>
      <c r="DB150" s="1608">
        <f>DB145/CX145*100-100</f>
        <v>3.3811656268538428</v>
      </c>
    </row>
    <row r="151" spans="1:119" s="699" customFormat="1" ht="12.75" customHeight="1">
      <c r="A151" s="664"/>
      <c r="B151" s="664"/>
      <c r="C151" s="666"/>
      <c r="D151" s="717"/>
      <c r="E151" s="1596" t="s">
        <v>1847</v>
      </c>
      <c r="F151" s="717"/>
      <c r="G151" s="1597"/>
      <c r="H151" s="1597"/>
      <c r="I151" s="1597"/>
      <c r="J151" s="1598"/>
      <c r="K151" s="1597"/>
      <c r="L151" s="1597"/>
      <c r="M151" s="1597"/>
      <c r="N151" s="1599">
        <f ca="1">N146/J146*100-100</f>
        <v>8.7315890641321374</v>
      </c>
      <c r="O151" s="1597"/>
      <c r="P151" s="1597"/>
      <c r="Q151" s="1597"/>
      <c r="R151" s="1599">
        <f ca="1">R146/N146*100-100</f>
        <v>12.364189774972644</v>
      </c>
      <c r="S151" s="1597"/>
      <c r="T151" s="1597"/>
      <c r="U151" s="1597"/>
      <c r="V151" s="1599">
        <f ca="1">V146/R146*100-100</f>
        <v>8.1811693344814955</v>
      </c>
      <c r="W151" s="1597"/>
      <c r="X151" s="1597"/>
      <c r="Y151" s="1597"/>
      <c r="Z151" s="1599">
        <f ca="1">Z146/V146*100-100</f>
        <v>-0.54899399010986372</v>
      </c>
      <c r="AA151" s="1597"/>
      <c r="AB151" s="1597"/>
      <c r="AC151" s="1597"/>
      <c r="AD151" s="1599">
        <f ca="1">AD146/Z146*100-100</f>
        <v>2.1352302754501693</v>
      </c>
      <c r="AE151" s="1597"/>
      <c r="AF151" s="1597"/>
      <c r="AG151" s="1597"/>
      <c r="AH151" s="1599">
        <f ca="1">AH146/AD146*100-100</f>
        <v>5.8216624566269388</v>
      </c>
      <c r="AI151" s="1597"/>
      <c r="AJ151" s="1597"/>
      <c r="AK151" s="1597"/>
      <c r="AL151" s="1599">
        <f ca="1">AL146/AH146*100-100</f>
        <v>7.4408216173414274</v>
      </c>
      <c r="AM151" s="1597"/>
      <c r="AN151" s="1597"/>
      <c r="AO151" s="1597"/>
      <c r="AP151" s="1599">
        <f ca="1">AP146/AL146*100-100</f>
        <v>10.412236395428337</v>
      </c>
      <c r="AQ151" s="1597"/>
      <c r="AR151" s="1597"/>
      <c r="AS151" s="1597"/>
      <c r="AT151" s="1599">
        <f ca="1">AT146/AP146*100-100</f>
        <v>13.245904132630869</v>
      </c>
      <c r="AU151" s="1597"/>
      <c r="AV151" s="1597"/>
      <c r="AW151" s="1597"/>
      <c r="AX151" s="1599">
        <f ca="1">AX146/AT146*100-100</f>
        <v>8.4682277151530485</v>
      </c>
      <c r="AY151" s="1597"/>
      <c r="AZ151" s="1597"/>
      <c r="BA151" s="1611"/>
      <c r="BB151" s="1612">
        <f ca="1">BB146/AX146*100-100</f>
        <v>8.6791075610281609</v>
      </c>
      <c r="BC151" s="1611"/>
      <c r="BD151" s="1611"/>
      <c r="BE151" s="1611"/>
      <c r="BF151" s="1599">
        <f ca="1">BF146/BB146*100-100</f>
        <v>14.911963092301988</v>
      </c>
      <c r="BG151" s="1611"/>
      <c r="BH151" s="1611"/>
      <c r="BI151" s="1611"/>
      <c r="BJ151" s="1599">
        <f ca="1">BJ146/BF146*100-100</f>
        <v>3.1497179506880286</v>
      </c>
      <c r="BK151" s="1611"/>
      <c r="BL151" s="1611"/>
      <c r="BM151" s="1611"/>
      <c r="BN151" s="1599">
        <f ca="1">BN146/BJ146*100-100</f>
        <v>-23.969930755435144</v>
      </c>
      <c r="BO151" s="1611"/>
      <c r="BP151" s="1611"/>
      <c r="BQ151" s="1611"/>
      <c r="BR151" s="1599">
        <f ca="1">BR146/BN146*100-100</f>
        <v>1.7828958003967443</v>
      </c>
      <c r="BS151" s="1611"/>
      <c r="BT151" s="1611"/>
      <c r="BU151" s="1611"/>
      <c r="BV151" s="1599">
        <f ca="1">BV146/BR146*100-100</f>
        <v>5.9533436273261771</v>
      </c>
      <c r="BW151" s="1611"/>
      <c r="BX151" s="1611"/>
      <c r="BY151" s="1611"/>
      <c r="BZ151" s="1599">
        <f ca="1">BZ146/BV146*100-100</f>
        <v>-0.30327952407928649</v>
      </c>
      <c r="CA151" s="1611"/>
      <c r="CB151" s="1611"/>
      <c r="CC151" s="1611"/>
      <c r="CD151" s="1599">
        <f ca="1">CD146/BZ146*100-100</f>
        <v>2.8348069403325979</v>
      </c>
      <c r="CE151" s="1611"/>
      <c r="CF151" s="1611"/>
      <c r="CG151" s="1611"/>
      <c r="CH151" s="3391">
        <f ca="1">CH146/CD146*100-100</f>
        <v>3.3964905192808885</v>
      </c>
      <c r="CI151" s="1611"/>
      <c r="CJ151" s="1611"/>
      <c r="CK151" s="1611"/>
      <c r="CL151" s="3391">
        <f ca="1">CL146/CH146*100-100</f>
        <v>7.3820736449621052</v>
      </c>
      <c r="CM151" s="1611"/>
      <c r="CN151" s="1611"/>
      <c r="CO151" s="1611"/>
      <c r="CP151" s="1599">
        <f ca="1">CP146/CL146*100-100</f>
        <v>2.4057419875649373</v>
      </c>
      <c r="CQ151" s="1611"/>
      <c r="CR151" s="1611"/>
      <c r="CS151" s="1611"/>
      <c r="CT151" s="1599">
        <f ca="1">CT146/CP146*100-100</f>
        <v>4.1357636126038102</v>
      </c>
      <c r="CU151" s="1611"/>
      <c r="CV151" s="1611"/>
      <c r="CW151" s="1611"/>
      <c r="CX151" s="1599">
        <f ca="1">CX146/CT146*100-100</f>
        <v>3.8688071906934738</v>
      </c>
      <c r="CY151" s="1611"/>
      <c r="CZ151" s="1611"/>
      <c r="DA151" s="1611"/>
      <c r="DB151" s="1599">
        <f ca="1">DB146/CX146*100-100</f>
        <v>3.225175045944269</v>
      </c>
      <c r="DC151"/>
      <c r="DD151"/>
      <c r="DE151"/>
      <c r="DF151"/>
      <c r="DG151"/>
      <c r="DH151"/>
      <c r="DI151"/>
      <c r="DJ151"/>
      <c r="DK151"/>
      <c r="DL151"/>
      <c r="DM151"/>
      <c r="DN151"/>
      <c r="DO151"/>
    </row>
    <row r="152" spans="1:119" ht="12.75" customHeight="1">
      <c r="E152" s="599"/>
      <c r="F152" s="3617"/>
      <c r="AY152" s="217"/>
      <c r="BF152" s="217"/>
      <c r="BJ152" s="217"/>
      <c r="CM152" s="557"/>
      <c r="CN152" s="557"/>
      <c r="CO152" s="557"/>
      <c r="CP152" s="557"/>
      <c r="CQ152" s="557"/>
      <c r="CR152" s="557"/>
      <c r="CS152" s="557"/>
      <c r="CT152" s="557"/>
      <c r="CU152" s="557"/>
      <c r="CV152" s="557"/>
      <c r="CW152" s="557"/>
      <c r="CX152" s="557"/>
      <c r="CY152" s="557"/>
      <c r="CZ152" s="557"/>
      <c r="DA152" s="557"/>
      <c r="DB152" s="557"/>
    </row>
    <row r="153" spans="1:119" s="699" customFormat="1" ht="12.75" customHeight="1">
      <c r="A153" s="664"/>
      <c r="B153" s="664"/>
      <c r="C153" s="666"/>
      <c r="D153" s="858"/>
      <c r="E153" s="3625"/>
      <c r="F153" s="3626"/>
      <c r="G153" s="1588" t="str">
        <f t="shared" ref="G153:AX153" si="385">G148</f>
        <v>Q1</v>
      </c>
      <c r="H153" s="1588" t="str">
        <f t="shared" si="385"/>
        <v>Q2</v>
      </c>
      <c r="I153" s="1588" t="str">
        <f t="shared" si="385"/>
        <v>Q3</v>
      </c>
      <c r="J153" s="1588" t="str">
        <f t="shared" si="385"/>
        <v>Q4</v>
      </c>
      <c r="K153" s="1593" t="str">
        <f t="shared" si="385"/>
        <v>Q1</v>
      </c>
      <c r="L153" s="1588" t="str">
        <f t="shared" si="385"/>
        <v>Q2</v>
      </c>
      <c r="M153" s="1588" t="str">
        <f t="shared" si="385"/>
        <v>Q3</v>
      </c>
      <c r="N153" s="1594" t="str">
        <f t="shared" si="385"/>
        <v>Q4</v>
      </c>
      <c r="O153" s="1593" t="str">
        <f t="shared" si="385"/>
        <v>Q1</v>
      </c>
      <c r="P153" s="1588" t="str">
        <f t="shared" si="385"/>
        <v>Q2</v>
      </c>
      <c r="Q153" s="1588" t="str">
        <f t="shared" si="385"/>
        <v>Q3</v>
      </c>
      <c r="R153" s="1594" t="str">
        <f t="shared" si="385"/>
        <v>Q4</v>
      </c>
      <c r="S153" s="1593" t="str">
        <f t="shared" si="385"/>
        <v>Q1</v>
      </c>
      <c r="T153" s="1588" t="str">
        <f t="shared" si="385"/>
        <v>Q2</v>
      </c>
      <c r="U153" s="1588" t="str">
        <f t="shared" si="385"/>
        <v>Q3</v>
      </c>
      <c r="V153" s="1594" t="str">
        <f t="shared" si="385"/>
        <v>Q4</v>
      </c>
      <c r="W153" s="1593" t="str">
        <f t="shared" si="385"/>
        <v>Q1</v>
      </c>
      <c r="X153" s="1588" t="str">
        <f t="shared" si="385"/>
        <v>Q2</v>
      </c>
      <c r="Y153" s="1588" t="str">
        <f t="shared" si="385"/>
        <v>Q3</v>
      </c>
      <c r="Z153" s="1594" t="str">
        <f t="shared" si="385"/>
        <v>Q4</v>
      </c>
      <c r="AA153" s="1593" t="str">
        <f t="shared" si="385"/>
        <v>Q1</v>
      </c>
      <c r="AB153" s="1588" t="str">
        <f t="shared" si="385"/>
        <v>Q2</v>
      </c>
      <c r="AC153" s="1588" t="str">
        <f t="shared" si="385"/>
        <v>Q3</v>
      </c>
      <c r="AD153" s="1594" t="str">
        <f t="shared" si="385"/>
        <v>Q4</v>
      </c>
      <c r="AE153" s="1593" t="str">
        <f t="shared" si="385"/>
        <v>Q1</v>
      </c>
      <c r="AF153" s="1588" t="str">
        <f t="shared" si="385"/>
        <v>Q2</v>
      </c>
      <c r="AG153" s="1588" t="str">
        <f t="shared" si="385"/>
        <v>Q3</v>
      </c>
      <c r="AH153" s="1594" t="str">
        <f t="shared" si="385"/>
        <v>Q4</v>
      </c>
      <c r="AI153" s="1593" t="str">
        <f t="shared" si="385"/>
        <v>Q1</v>
      </c>
      <c r="AJ153" s="1588" t="str">
        <f t="shared" si="385"/>
        <v>Q2</v>
      </c>
      <c r="AK153" s="1588" t="str">
        <f t="shared" si="385"/>
        <v>Q3</v>
      </c>
      <c r="AL153" s="1594" t="str">
        <f t="shared" si="385"/>
        <v>Q4</v>
      </c>
      <c r="AM153" s="1593" t="str">
        <f t="shared" si="385"/>
        <v>Q1</v>
      </c>
      <c r="AN153" s="1588" t="str">
        <f t="shared" si="385"/>
        <v>Q2</v>
      </c>
      <c r="AO153" s="1588" t="str">
        <f t="shared" si="385"/>
        <v>Q3</v>
      </c>
      <c r="AP153" s="1594" t="str">
        <f t="shared" si="385"/>
        <v>Q4</v>
      </c>
      <c r="AQ153" s="1593" t="str">
        <f t="shared" si="385"/>
        <v>Q1</v>
      </c>
      <c r="AR153" s="1588" t="str">
        <f t="shared" si="385"/>
        <v>Q2</v>
      </c>
      <c r="AS153" s="1588" t="str">
        <f t="shared" si="385"/>
        <v>Q3</v>
      </c>
      <c r="AT153" s="1594" t="str">
        <f t="shared" si="385"/>
        <v>Q4</v>
      </c>
      <c r="AU153" s="1593" t="str">
        <f t="shared" si="385"/>
        <v>Q1</v>
      </c>
      <c r="AV153" s="1588" t="str">
        <f t="shared" si="385"/>
        <v>Q2</v>
      </c>
      <c r="AW153" s="1588" t="str">
        <f t="shared" si="385"/>
        <v>Q3</v>
      </c>
      <c r="AX153" s="1594" t="str">
        <f t="shared" si="385"/>
        <v>Q4</v>
      </c>
      <c r="AY153" s="1593" t="str">
        <f t="shared" ref="AY153:BD153" si="386">AY148</f>
        <v>Q1</v>
      </c>
      <c r="AZ153" s="1588" t="str">
        <f t="shared" si="386"/>
        <v>Q2</v>
      </c>
      <c r="BA153" s="1588" t="str">
        <f t="shared" si="386"/>
        <v>Q3</v>
      </c>
      <c r="BB153" s="1594" t="str">
        <f t="shared" si="386"/>
        <v>Q4</v>
      </c>
      <c r="BC153" s="1593" t="str">
        <f t="shared" si="386"/>
        <v>Q1</v>
      </c>
      <c r="BD153" s="1588" t="str">
        <f t="shared" si="386"/>
        <v>Q2</v>
      </c>
      <c r="BE153" s="1588" t="str">
        <f t="shared" ref="BE153:BN153" si="387">BE148</f>
        <v>Q3</v>
      </c>
      <c r="BF153" s="1594" t="str">
        <f t="shared" si="387"/>
        <v>Q4</v>
      </c>
      <c r="BG153" s="1593" t="str">
        <f t="shared" si="387"/>
        <v>Q1</v>
      </c>
      <c r="BH153" s="1588" t="str">
        <f t="shared" si="387"/>
        <v>Q2</v>
      </c>
      <c r="BI153" s="1588" t="str">
        <f t="shared" si="387"/>
        <v>Q3</v>
      </c>
      <c r="BJ153" s="1594" t="str">
        <f t="shared" si="387"/>
        <v>Q4</v>
      </c>
      <c r="BK153" s="1593" t="str">
        <f t="shared" si="387"/>
        <v>Q1</v>
      </c>
      <c r="BL153" s="1588" t="str">
        <f t="shared" si="387"/>
        <v>Q2</v>
      </c>
      <c r="BM153" s="1588" t="str">
        <f t="shared" si="387"/>
        <v>Q3</v>
      </c>
      <c r="BN153" s="1594" t="str">
        <f t="shared" si="387"/>
        <v>Q4</v>
      </c>
      <c r="BO153" s="1593" t="str">
        <f t="shared" ref="BO153:BV153" si="388">BO148</f>
        <v>Q1</v>
      </c>
      <c r="BP153" s="1588" t="str">
        <f t="shared" si="388"/>
        <v>Q2</v>
      </c>
      <c r="BQ153" s="1588" t="str">
        <f t="shared" si="388"/>
        <v>Q3</v>
      </c>
      <c r="BR153" s="1594" t="str">
        <f t="shared" si="388"/>
        <v>Q4</v>
      </c>
      <c r="BS153" s="1593" t="str">
        <f t="shared" si="388"/>
        <v>Q1</v>
      </c>
      <c r="BT153" s="1588" t="str">
        <f t="shared" si="388"/>
        <v>Q2</v>
      </c>
      <c r="BU153" s="1588" t="str">
        <f t="shared" si="388"/>
        <v>Q3</v>
      </c>
      <c r="BV153" s="1594" t="str">
        <f t="shared" si="388"/>
        <v>Q4</v>
      </c>
      <c r="BW153" s="1593" t="str">
        <f t="shared" ref="BW153:CD153" si="389">BW148</f>
        <v>Q1</v>
      </c>
      <c r="BX153" s="1588" t="str">
        <f t="shared" si="389"/>
        <v>Q2</v>
      </c>
      <c r="BY153" s="1588" t="str">
        <f t="shared" si="389"/>
        <v>Q3</v>
      </c>
      <c r="BZ153" s="1594" t="str">
        <f t="shared" si="389"/>
        <v>Q4</v>
      </c>
      <c r="CA153" s="1593" t="str">
        <f t="shared" si="389"/>
        <v>Q1</v>
      </c>
      <c r="CB153" s="1588" t="str">
        <f t="shared" si="389"/>
        <v>Q2</v>
      </c>
      <c r="CC153" s="1588" t="str">
        <f t="shared" si="389"/>
        <v>Q3</v>
      </c>
      <c r="CD153" s="1594" t="str">
        <f t="shared" si="389"/>
        <v>Q4</v>
      </c>
      <c r="CE153" s="1593" t="str">
        <f t="shared" ref="CE153:CL153" si="390">CE148</f>
        <v>Q1</v>
      </c>
      <c r="CF153" s="1588" t="str">
        <f t="shared" si="390"/>
        <v>Q2</v>
      </c>
      <c r="CG153" s="1588" t="str">
        <f t="shared" si="390"/>
        <v>Q3</v>
      </c>
      <c r="CH153" s="1594" t="str">
        <f t="shared" si="390"/>
        <v>Q4</v>
      </c>
      <c r="CI153" s="1593" t="str">
        <f t="shared" si="390"/>
        <v>Q1</v>
      </c>
      <c r="CJ153" s="1588" t="str">
        <f t="shared" si="390"/>
        <v>Q2</v>
      </c>
      <c r="CK153" s="1588" t="str">
        <f t="shared" si="390"/>
        <v>Q3</v>
      </c>
      <c r="CL153" s="1594" t="str">
        <f t="shared" si="390"/>
        <v>Q4</v>
      </c>
      <c r="CM153" s="1593" t="str">
        <f t="shared" ref="CM153:CT153" si="391">CM148</f>
        <v>Q1</v>
      </c>
      <c r="CN153" s="1588" t="str">
        <f t="shared" si="391"/>
        <v>Q2</v>
      </c>
      <c r="CO153" s="1588" t="str">
        <f t="shared" si="391"/>
        <v>Q3</v>
      </c>
      <c r="CP153" s="1594" t="str">
        <f t="shared" si="391"/>
        <v>Q4</v>
      </c>
      <c r="CQ153" s="1593" t="str">
        <f t="shared" si="391"/>
        <v>Q1</v>
      </c>
      <c r="CR153" s="1588" t="str">
        <f t="shared" si="391"/>
        <v>Q2</v>
      </c>
      <c r="CS153" s="1588" t="str">
        <f t="shared" si="391"/>
        <v>Q3</v>
      </c>
      <c r="CT153" s="1594" t="str">
        <f t="shared" si="391"/>
        <v>Q4</v>
      </c>
      <c r="CU153" s="1593" t="str">
        <f t="shared" ref="CU153:DB153" si="392">CU148</f>
        <v>Q1</v>
      </c>
      <c r="CV153" s="1588" t="str">
        <f t="shared" si="392"/>
        <v>Q2</v>
      </c>
      <c r="CW153" s="1588" t="str">
        <f t="shared" si="392"/>
        <v>Q3</v>
      </c>
      <c r="CX153" s="1594" t="str">
        <f t="shared" si="392"/>
        <v>Q4</v>
      </c>
      <c r="CY153" s="1593" t="str">
        <f t="shared" si="392"/>
        <v>Q1</v>
      </c>
      <c r="CZ153" s="1588" t="str">
        <f t="shared" si="392"/>
        <v>Q2</v>
      </c>
      <c r="DA153" s="1588" t="str">
        <f t="shared" si="392"/>
        <v>Q3</v>
      </c>
      <c r="DB153" s="1594" t="str">
        <f t="shared" si="392"/>
        <v>Q4</v>
      </c>
      <c r="DC153"/>
      <c r="DD153"/>
      <c r="DE153"/>
      <c r="DF153"/>
      <c r="DG153"/>
      <c r="DH153"/>
      <c r="DI153"/>
      <c r="DJ153"/>
      <c r="DK153"/>
      <c r="DL153"/>
      <c r="DM153"/>
      <c r="DN153"/>
      <c r="DO153"/>
    </row>
    <row r="154" spans="1:119" s="699" customFormat="1" ht="12.75" customHeight="1">
      <c r="A154" s="664"/>
      <c r="B154" s="664"/>
      <c r="C154" s="862"/>
      <c r="D154" s="863"/>
      <c r="E154" s="3627" t="s">
        <v>1848</v>
      </c>
      <c r="F154" s="3628"/>
      <c r="G154" s="705"/>
      <c r="H154" s="705"/>
      <c r="I154" s="705"/>
      <c r="J154" s="705"/>
      <c r="K154" s="1564">
        <f t="shared" ref="K154:AX154" si="393">(K144/G144-1)*100</f>
        <v>3.5939006312909028</v>
      </c>
      <c r="L154" s="1564">
        <f t="shared" si="393"/>
        <v>6.3639871114401503</v>
      </c>
      <c r="M154" s="1564">
        <f t="shared" si="393"/>
        <v>7.9168708149599976</v>
      </c>
      <c r="N154" s="1564">
        <f t="shared" si="393"/>
        <v>8.1282123353678024</v>
      </c>
      <c r="O154" s="1564">
        <f t="shared" si="393"/>
        <v>12.013688760806907</v>
      </c>
      <c r="P154" s="1564">
        <f t="shared" si="393"/>
        <v>12.361522323091689</v>
      </c>
      <c r="Q154" s="1564">
        <f t="shared" si="393"/>
        <v>8.8210813060421778</v>
      </c>
      <c r="R154" s="1564">
        <f t="shared" si="393"/>
        <v>10.686732335001349</v>
      </c>
      <c r="S154" s="1564">
        <f t="shared" si="393"/>
        <v>8.9206910721623558</v>
      </c>
      <c r="T154" s="1564">
        <f t="shared" si="393"/>
        <v>7.5970020329636734</v>
      </c>
      <c r="U154" s="1564">
        <f t="shared" si="393"/>
        <v>9.9817470664928187</v>
      </c>
      <c r="V154" s="1564">
        <f t="shared" si="393"/>
        <v>4.236563108099034</v>
      </c>
      <c r="W154" s="1564">
        <f t="shared" si="393"/>
        <v>6.5612492618827289E-3</v>
      </c>
      <c r="X154" s="1564">
        <f t="shared" si="393"/>
        <v>1.9664606951134367</v>
      </c>
      <c r="Y154" s="1564">
        <f t="shared" si="393"/>
        <v>-2.6617351857998628</v>
      </c>
      <c r="Z154" s="1564">
        <f t="shared" si="393"/>
        <v>-1.0935425467712645</v>
      </c>
      <c r="AA154" s="1564">
        <f t="shared" si="393"/>
        <v>2.1806521453877403</v>
      </c>
      <c r="AB154" s="1564">
        <f t="shared" si="393"/>
        <v>-0.31095170307691156</v>
      </c>
      <c r="AC154" s="1564">
        <f t="shared" si="393"/>
        <v>2.369972232596651</v>
      </c>
      <c r="AD154" s="1564">
        <f t="shared" si="393"/>
        <v>3.7757492921995484</v>
      </c>
      <c r="AE154" s="1564">
        <f t="shared" si="393"/>
        <v>5.3429110317428474</v>
      </c>
      <c r="AF154" s="1564">
        <f t="shared" si="393"/>
        <v>4.2743633926861868</v>
      </c>
      <c r="AG154" s="1564">
        <f t="shared" si="393"/>
        <v>5.3551175794107175</v>
      </c>
      <c r="AH154" s="1564">
        <f t="shared" si="393"/>
        <v>9.5039864531150542</v>
      </c>
      <c r="AI154" s="1564">
        <f t="shared" si="393"/>
        <v>7.0589400542467873</v>
      </c>
      <c r="AJ154" s="1564">
        <f t="shared" si="393"/>
        <v>8.8631321245505212</v>
      </c>
      <c r="AK154" s="1564">
        <f t="shared" si="393"/>
        <v>9.0697621897513514</v>
      </c>
      <c r="AL154" s="1564">
        <f t="shared" si="393"/>
        <v>4.6456185567010477</v>
      </c>
      <c r="AM154" s="1564">
        <f t="shared" si="393"/>
        <v>7.2361351295572751</v>
      </c>
      <c r="AN154" s="1564">
        <f t="shared" si="393"/>
        <v>9.7494641413963912</v>
      </c>
      <c r="AO154" s="1564">
        <f t="shared" si="393"/>
        <v>10.71056355040203</v>
      </c>
      <c r="AP154" s="1564">
        <f t="shared" si="393"/>
        <v>13.511072799293956</v>
      </c>
      <c r="AQ154" s="1564">
        <f t="shared" si="393"/>
        <v>14.13544812025085</v>
      </c>
      <c r="AR154" s="1564">
        <f t="shared" si="393"/>
        <v>13.42528558987761</v>
      </c>
      <c r="AS154" s="1564">
        <f t="shared" si="393"/>
        <v>12.12446151256521</v>
      </c>
      <c r="AT154" s="1564">
        <f t="shared" si="393"/>
        <v>10.568473583336369</v>
      </c>
      <c r="AU154" s="1564">
        <f t="shared" si="393"/>
        <v>7.9134808268162882</v>
      </c>
      <c r="AV154" s="1564">
        <f t="shared" si="393"/>
        <v>8.6911603644698197</v>
      </c>
      <c r="AW154" s="1564">
        <f t="shared" si="393"/>
        <v>9.351073944542998</v>
      </c>
      <c r="AX154" s="1564">
        <f t="shared" si="393"/>
        <v>9.6389811014265128</v>
      </c>
      <c r="AY154" s="1564">
        <f t="shared" ref="AY154:BE154" si="394">(AY144/AU144-1)*100</f>
        <v>38.411523586303488</v>
      </c>
      <c r="AZ154" s="1564">
        <f t="shared" si="394"/>
        <v>33.006929865111225</v>
      </c>
      <c r="BA154" s="1564">
        <f t="shared" si="394"/>
        <v>38.437495690729072</v>
      </c>
      <c r="BB154" s="1564">
        <f t="shared" si="394"/>
        <v>42.554002068252373</v>
      </c>
      <c r="BC154" s="1564">
        <f t="shared" si="394"/>
        <v>14.627884783397626</v>
      </c>
      <c r="BD154" s="1564">
        <f t="shared" si="394"/>
        <v>20.724061214858768</v>
      </c>
      <c r="BE154" s="1564">
        <f t="shared" si="394"/>
        <v>13.295626038324482</v>
      </c>
      <c r="BF154" s="1564">
        <f t="shared" ref="BF154:BN154" si="395">(BF144/BB144-1)*100</f>
        <v>11.66036463476312</v>
      </c>
      <c r="BG154" s="1564">
        <f t="shared" si="395"/>
        <v>10.759597570413426</v>
      </c>
      <c r="BH154" s="1564">
        <f t="shared" si="395"/>
        <v>4.4742279555481268</v>
      </c>
      <c r="BI154" s="1564">
        <f t="shared" si="395"/>
        <v>3.0961415762785771</v>
      </c>
      <c r="BJ154" s="1564">
        <f t="shared" si="395"/>
        <v>-6.6379077918576552</v>
      </c>
      <c r="BK154" s="1564">
        <f t="shared" si="395"/>
        <v>-23.689893921107785</v>
      </c>
      <c r="BL154" s="1564">
        <f t="shared" si="395"/>
        <v>-23.903956553810634</v>
      </c>
      <c r="BM154" s="1564">
        <f t="shared" si="395"/>
        <v>-23.88630120625821</v>
      </c>
      <c r="BN154" s="1564">
        <f t="shared" si="395"/>
        <v>-22.186669747025533</v>
      </c>
      <c r="BO154" s="1564">
        <f t="shared" ref="BO154:BV154" si="396">(BO144/BK144-1)*100</f>
        <v>-3.4364118144864841</v>
      </c>
      <c r="BP154" s="1564">
        <f t="shared" si="396"/>
        <v>0.24585212345991092</v>
      </c>
      <c r="BQ154" s="1564">
        <f t="shared" si="396"/>
        <v>1.571972668787347</v>
      </c>
      <c r="BR154" s="1564">
        <f t="shared" si="396"/>
        <v>9.6566364324629284</v>
      </c>
      <c r="BS154" s="1564">
        <f t="shared" si="396"/>
        <v>9.1172921096488668</v>
      </c>
      <c r="BT154" s="1564">
        <f t="shared" si="396"/>
        <v>5.8509445596726328</v>
      </c>
      <c r="BU154" s="1564">
        <f t="shared" si="396"/>
        <v>5.8563303138824407</v>
      </c>
      <c r="BV154" s="1564">
        <f t="shared" si="396"/>
        <v>3.3031894731142097</v>
      </c>
      <c r="BW154" s="1564">
        <f t="shared" ref="BW154:CD154" si="397">(BW144/BS144-1)*100</f>
        <v>-0.30151415404869875</v>
      </c>
      <c r="BX154" s="1564">
        <f t="shared" si="397"/>
        <v>-3.1523480425255879</v>
      </c>
      <c r="BY154" s="1564">
        <f t="shared" si="397"/>
        <v>2.0802653399668358</v>
      </c>
      <c r="BZ154" s="1564">
        <f t="shared" si="397"/>
        <v>-1.6158200974995984</v>
      </c>
      <c r="CA154" s="1564">
        <f t="shared" si="397"/>
        <v>-0.12149865955284334</v>
      </c>
      <c r="CB154" s="1564">
        <f t="shared" si="397"/>
        <v>4.704032809295966</v>
      </c>
      <c r="CC154" s="1564">
        <f t="shared" si="397"/>
        <v>2.5616365361371463</v>
      </c>
      <c r="CD154" s="1564">
        <f t="shared" si="397"/>
        <v>6.1418581418581475</v>
      </c>
      <c r="CE154" s="1564">
        <f t="shared" ref="CE154:CL154" si="398">(CE144/CA144-1)*100</f>
        <v>5.3352549947771166</v>
      </c>
      <c r="CF154" s="1564">
        <f t="shared" si="398"/>
        <v>3.9926362105207946</v>
      </c>
      <c r="CG154" s="1564">
        <f t="shared" si="398"/>
        <v>1.1493524596396076</v>
      </c>
      <c r="CH154" s="1564">
        <f t="shared" si="398"/>
        <v>3.0055467710764727</v>
      </c>
      <c r="CI154" s="1564">
        <f t="shared" si="398"/>
        <v>7.5215906808596245</v>
      </c>
      <c r="CJ154" s="1564">
        <f t="shared" si="398"/>
        <v>9.9461386834737588</v>
      </c>
      <c r="CK154" s="1564">
        <f t="shared" si="398"/>
        <v>7.7448290550105714</v>
      </c>
      <c r="CL154" s="1564">
        <f t="shared" si="398"/>
        <v>4.5491648493561243</v>
      </c>
      <c r="CM154" s="1564">
        <f t="shared" ref="CM154:CT154" si="399">(CM144/CI144-1)*100</f>
        <v>-0.75768189035210209</v>
      </c>
      <c r="CN154" s="1564">
        <f t="shared" si="399"/>
        <v>0.81077068892669857</v>
      </c>
      <c r="CO154" s="1564">
        <f t="shared" si="399"/>
        <v>3.0684976105484818</v>
      </c>
      <c r="CP154" s="1564">
        <f t="shared" si="399"/>
        <v>4.7963642719804245</v>
      </c>
      <c r="CQ154" s="1564">
        <f t="shared" si="399"/>
        <v>6.8182620254802373</v>
      </c>
      <c r="CR154" s="1564">
        <f t="shared" si="399"/>
        <v>2.0502712928036404</v>
      </c>
      <c r="CS154" s="1564">
        <f t="shared" si="399"/>
        <v>3.6980212540330681</v>
      </c>
      <c r="CT154" s="1564">
        <f t="shared" si="399"/>
        <v>2.7476620964962173</v>
      </c>
      <c r="CU154" s="1564">
        <f t="shared" ref="CU154:DB154" si="400">(CU144/CQ144-1)*100</f>
        <v>2.7774721099523392</v>
      </c>
      <c r="CV154" s="1564">
        <f t="shared" si="400"/>
        <v>4.6229137845068102</v>
      </c>
      <c r="CW154" s="1564">
        <f t="shared" si="400"/>
        <v>3.4273864521486619</v>
      </c>
      <c r="CX154" s="1564">
        <f t="shared" si="400"/>
        <v>3.4996199356037927</v>
      </c>
      <c r="CY154" s="1564">
        <f t="shared" si="400"/>
        <v>3.303875048338889</v>
      </c>
      <c r="CZ154" s="1564">
        <f t="shared" si="400"/>
        <v>3.2419586870405137</v>
      </c>
      <c r="DA154" s="1564">
        <f t="shared" si="400"/>
        <v>3.320008369406624</v>
      </c>
      <c r="DB154" s="1564">
        <f t="shared" si="400"/>
        <v>3.6545829178747047</v>
      </c>
      <c r="DC154"/>
      <c r="DD154"/>
      <c r="DE154"/>
      <c r="DF154"/>
      <c r="DG154"/>
      <c r="DH154"/>
      <c r="DI154"/>
      <c r="DJ154"/>
      <c r="DK154"/>
      <c r="DL154"/>
      <c r="DM154"/>
      <c r="DN154"/>
      <c r="DO154"/>
    </row>
    <row r="155" spans="1:119" s="699" customFormat="1" ht="12.75" customHeight="1">
      <c r="A155" s="664"/>
      <c r="B155" s="664"/>
      <c r="C155" s="944"/>
      <c r="D155" s="674"/>
      <c r="E155" s="3629" t="s">
        <v>1938</v>
      </c>
      <c r="F155" s="3630"/>
      <c r="G155" s="705"/>
      <c r="H155" s="705"/>
      <c r="I155" s="705"/>
      <c r="J155" s="705"/>
      <c r="K155" s="1564">
        <f>(4*K144/J145-1)*100</f>
        <v>1.5651042725314035</v>
      </c>
      <c r="L155" s="1564">
        <f>((K144+3*L144)/J145-1)*100</f>
        <v>3.1398634090816557</v>
      </c>
      <c r="M155" s="1564">
        <f>((K144+L144+2*M144)/J145-1)*100</f>
        <v>5.0312004553030309</v>
      </c>
      <c r="N155" s="1621"/>
      <c r="O155" s="1564">
        <f>(4*O144/N145-1)*100</f>
        <v>6.9467831270913605</v>
      </c>
      <c r="P155" s="1564">
        <f>((O144+3*P144)/N145-1)*100</f>
        <v>8.8592085181389955</v>
      </c>
      <c r="Q155" s="1564">
        <f>((O144+P144+2*Q144)/N145-1)*100</f>
        <v>9.0689137127611943</v>
      </c>
      <c r="R155" s="1621"/>
      <c r="S155" s="1564">
        <f>(4*S144/R145-1)*100</f>
        <v>5.2943830704097028</v>
      </c>
      <c r="T155" s="1564">
        <f>((S144+3*T144)/R145-1)*100</f>
        <v>6.1946635174842113</v>
      </c>
      <c r="U155" s="1564">
        <f>((S144+T144+2*U144)/R145-1)*100</f>
        <v>7.5832975308135486</v>
      </c>
      <c r="V155" s="1621"/>
      <c r="W155" s="1564">
        <f>(4*W144/V145-1)*100</f>
        <v>-2.1580655644310331</v>
      </c>
      <c r="X155" s="1564">
        <f>((W144+3*X144)/V145-1)*100</f>
        <v>0.13299846339633881</v>
      </c>
      <c r="Y155" s="1564">
        <f>((W144+X144+2*Y144)/V145-1)*100</f>
        <v>-0.90089909368468168</v>
      </c>
      <c r="Z155" s="1621"/>
      <c r="AA155" s="1564">
        <f>(4*AA144/Z145-1)*100</f>
        <v>0.49604774963702969</v>
      </c>
      <c r="AB155" s="1564">
        <f>((AA144+3*AB144)/Z145-1)*100</f>
        <v>0.95398451363122305</v>
      </c>
      <c r="AC155" s="1564">
        <f>((AA144+AB144+2*AC144)/Z145-1)*100</f>
        <v>1.2495967091466387</v>
      </c>
      <c r="AD155" s="1621"/>
      <c r="AE155" s="1564">
        <f>(4*AE144/AD145-1)*100</f>
        <v>3.7112249393051799</v>
      </c>
      <c r="AF155" s="1564">
        <f>((AE144+3*AF144)/AD145-1)*100</f>
        <v>3.3900213543096802</v>
      </c>
      <c r="AG155" s="1564">
        <f>((AE144+AF144+2*AG144)/AD145-1)*100</f>
        <v>4.2303657888550728</v>
      </c>
      <c r="AH155" s="1621"/>
      <c r="AI155" s="1564">
        <f>(4*AI144/AH145-1)*100</f>
        <v>4.8587376684626316</v>
      </c>
      <c r="AJ155" s="1564">
        <f>((AI144+3*AJ144)/AH145-1)*100</f>
        <v>5.8538423652672256</v>
      </c>
      <c r="AK155" s="1564">
        <f>((AI144+AJ144+2*AK144)/AH145-1)*100</f>
        <v>6.8202170052087396</v>
      </c>
      <c r="AL155" s="1621"/>
      <c r="AM155" s="1564">
        <f>(4*AM144/AL145-1)*100</f>
        <v>4.8048450114500429</v>
      </c>
      <c r="AN155" s="1564">
        <f>((AM144+3*AN144)/AL145-1)*100</f>
        <v>7.6650084245192263</v>
      </c>
      <c r="AO155" s="1564">
        <f>((AM144+AN144+2*AO144)/AL145-1)*100</f>
        <v>9.1377778396020126</v>
      </c>
      <c r="AP155" s="1621"/>
      <c r="AQ155" s="1564">
        <f>(4*AQ144/AP145-1)*100</f>
        <v>8.5501764883164419</v>
      </c>
      <c r="AR155" s="1564">
        <f>((AQ144+3*AR144)/AP145-1)*100</f>
        <v>10.987561400103839</v>
      </c>
      <c r="AS155" s="1564">
        <f>((AQ144+AR144+2*AS144)/AP145-1)*100</f>
        <v>11.844993238690794</v>
      </c>
      <c r="AT155" s="1621"/>
      <c r="AU155" s="1564">
        <f>(4*AU144/AT145-1)*100</f>
        <v>4.0606326507441448</v>
      </c>
      <c r="AV155" s="1564">
        <f>((AU144+3*AV144)/AT145-1)*100</f>
        <v>6.9764834015736188</v>
      </c>
      <c r="AW155" s="1564">
        <f>((AU144+AV144+2*AW144)/AT145-1)*100</f>
        <v>8.1371046984137116</v>
      </c>
      <c r="AX155" s="1621"/>
      <c r="AY155" s="1564">
        <f>(4*AY144/AX145-1)*100</f>
        <v>4.3698445654003715</v>
      </c>
      <c r="AZ155" s="1564">
        <f>((AY144+3*AZ144)/AX145-1)*100</f>
        <v>4.1236462600303003</v>
      </c>
      <c r="BA155" s="1564">
        <f>((AY144+AZ144+2*BA144)/AX145-1)*100</f>
        <v>7.411901689018574</v>
      </c>
      <c r="BB155" s="1621"/>
      <c r="BC155" s="1564">
        <f>(4*BC144/BB145-1)*100</f>
        <v>10.38847989644851</v>
      </c>
      <c r="BD155" s="1564">
        <f>((BC144+3*BD144)/BB145-1)*100</f>
        <v>14.517272065366882</v>
      </c>
      <c r="BE155" s="1564">
        <f>((BC144+BD144+2*BE144)/BB145-1)*100</f>
        <v>14.389127093277242</v>
      </c>
      <c r="BF155" s="1621"/>
      <c r="BG155" s="1564">
        <f>(4*BG144/BF145-1)*100</f>
        <v>7.339246245717268</v>
      </c>
      <c r="BH155" s="1564">
        <f>((BG144+3*BH144)/BF145-1)*100</f>
        <v>6.5577077142483731</v>
      </c>
      <c r="BI155" s="1564">
        <f>((BG144+BH144+2*BI144)/BF145-1)*100</f>
        <v>5.740657617372813</v>
      </c>
      <c r="BJ155" s="1621"/>
      <c r="BK155" s="1564">
        <f>(4*BK144/BJ145-1)*100</f>
        <v>-20.525705024132467</v>
      </c>
      <c r="BL155" s="1564">
        <f>((BK144+3*BL144)/BJ145-1)*100</f>
        <v>-21.269939275997874</v>
      </c>
      <c r="BM155" s="1564">
        <f>((BK144+BL144+2*BM144)/BJ145-1)*100</f>
        <v>-21.864224108228182</v>
      </c>
      <c r="BN155" s="1621"/>
      <c r="BO155" s="1564">
        <f>(4*BO144/BN145-1)*100</f>
        <v>-0.43414512033760344</v>
      </c>
      <c r="BP155" s="1564">
        <f>((BO144+3*BP144)/BN145-1)*100</f>
        <v>1.4454815291635281</v>
      </c>
      <c r="BQ155" s="1564">
        <f>((BO144+BP144+2*BQ144)/BN145-1)*100</f>
        <v>1.3374816722096838</v>
      </c>
      <c r="BR155" s="1621"/>
      <c r="BS155" s="1564">
        <f>(4*BS144/BR145-1)*100</f>
        <v>6.3446223855780248</v>
      </c>
      <c r="BT155" s="1564">
        <f>((BS144+3*BT144)/BR145-1)*100</f>
        <v>5.9046118841340922</v>
      </c>
      <c r="BU155" s="1564">
        <f>((BS144+BT144+2*BU144)/BR145-1)*100</f>
        <v>5.7953968670692246</v>
      </c>
      <c r="BV155" s="1621"/>
      <c r="BW155" s="1564">
        <f>(4*BW144/BV145-1)*100</f>
        <v>-4.6220179730327438E-3</v>
      </c>
      <c r="BX155" s="1564">
        <f>((BW144+3*BX144)/BV145-1)*100</f>
        <v>-2.5510237769810318</v>
      </c>
      <c r="BY155" s="1564">
        <f>((BW144+BX144+2*BY144)/BV145-1)*100</f>
        <v>-4.6550323871397126E-2</v>
      </c>
      <c r="BZ155" s="1621"/>
      <c r="CA155" s="1564">
        <f>(4*CA144/BZ145-1)*100</f>
        <v>0.32766442917406824</v>
      </c>
      <c r="CB155" s="1564">
        <f>((CA144+3*CB144)/BZ145-1)*100</f>
        <v>1.2847894722878062</v>
      </c>
      <c r="CC155" s="1564">
        <f>((CA144+CB144+2*CC144)/BZ145-1)*100</f>
        <v>2.8256082353877776</v>
      </c>
      <c r="CD155" s="1621"/>
      <c r="CE155" s="1564">
        <f>(4*CE144/CD145-1)*100</f>
        <v>2.3360374074288037</v>
      </c>
      <c r="CF155" s="1564">
        <f>((CE144+3*CF144)/CD145-1)*100</f>
        <v>2.3215857050182587</v>
      </c>
      <c r="CG155" s="1564">
        <f>((CE144+CF144+2*CG144)/CD145-1)*100</f>
        <v>2.4320609412233019</v>
      </c>
      <c r="CH155" s="1621"/>
      <c r="CI155" s="1564">
        <f>(4*CI144/CH145-1)*100</f>
        <v>6.5542110222702732</v>
      </c>
      <c r="CJ155" s="1564">
        <f>((CI144+3*CJ144)/CH145-1)*100</f>
        <v>8.3408749521845404</v>
      </c>
      <c r="CK155" s="1564">
        <f>((CI144+CJ144+2*CK144)/CH145-1)*100</f>
        <v>7.3655959122870485</v>
      </c>
      <c r="CL155" s="1621"/>
      <c r="CM155" s="1564">
        <f>(4*CM144/CL145-1)*100</f>
        <v>-1.0439008774354996</v>
      </c>
      <c r="CN155" s="1564">
        <f>((CM144+3*CN144)/CL145-1)*100</f>
        <v>1.8145307975496072</v>
      </c>
      <c r="CO155" s="1564">
        <f>((CM144+CN144+2*CO144)/CL145-1)*100</f>
        <v>2.0246496806018532</v>
      </c>
      <c r="CP155" s="1621"/>
      <c r="CQ155" s="1564">
        <f>(4*CQ144/CP145-1)*100</f>
        <v>3.3120192964092299</v>
      </c>
      <c r="CR155" s="1564">
        <f>((CQ144+3*CR144)/CP145-1)*100</f>
        <v>2.7044554680744515</v>
      </c>
      <c r="CS155" s="1564">
        <f>((CQ144+CR144+2*CS144)/CP145-1)*100</f>
        <v>3.7449369680972122</v>
      </c>
      <c r="CT155" s="1621"/>
      <c r="CU155" s="1564">
        <f>(4*CU144/CT145-1)*100</f>
        <v>2.516391358197656</v>
      </c>
      <c r="CV155" s="1564">
        <f>((CU144+3*CV144)/CT145-1)*100</f>
        <v>3.2832466277253225</v>
      </c>
      <c r="CW155" s="1564">
        <f>((CU144+CV144+2*CW144)/CT145-1)*100</f>
        <v>3.7306740351104706</v>
      </c>
      <c r="CX155" s="1621"/>
      <c r="CY155" s="1564">
        <f>(4*CY144/CX145-1)*100</f>
        <v>1.9596860204177613</v>
      </c>
      <c r="CZ155" s="1564">
        <f>((CY144+3*CZ144)/CX145-1)*100</f>
        <v>2.6760867994467974</v>
      </c>
      <c r="DA155" s="1564">
        <f>((CY144+CZ144+2*DA144)/CX145-1)*100</f>
        <v>3.1600552025037754</v>
      </c>
      <c r="DB155" s="1621"/>
      <c r="DC155"/>
      <c r="DD155"/>
      <c r="DE155"/>
      <c r="DF155"/>
      <c r="DG155"/>
      <c r="DH155"/>
      <c r="DI155"/>
      <c r="DJ155"/>
      <c r="DK155"/>
      <c r="DL155"/>
      <c r="DM155"/>
      <c r="DN155"/>
      <c r="DO155"/>
    </row>
    <row r="156" spans="1:119" ht="12.75" customHeight="1">
      <c r="C156" s="1557"/>
      <c r="D156" s="828"/>
      <c r="E156" s="3631" t="s">
        <v>1807</v>
      </c>
      <c r="F156" s="828"/>
      <c r="G156" s="876"/>
      <c r="H156" s="876"/>
      <c r="I156" s="876"/>
      <c r="J156" s="876"/>
      <c r="K156" s="1620"/>
      <c r="L156" s="883">
        <f>(4*L144/(K144+3*L144)-1)*100</f>
        <v>0.5089397007454366</v>
      </c>
      <c r="M156" s="883">
        <f>(4*M144/(K144+L144+2*M144)-1)*100</f>
        <v>2.3005133216896567</v>
      </c>
      <c r="N156" s="883">
        <f>+(4*N144/N145-1)*100</f>
        <v>2.9064948899286236</v>
      </c>
      <c r="O156" s="1620"/>
      <c r="P156" s="883">
        <f>(4*P144/(O144+3*P144)-1)*100</f>
        <v>0.58559596292029337</v>
      </c>
      <c r="Q156" s="883">
        <f>(4*Q144/(O144+P144+2*Q144)-1)*100</f>
        <v>0.77673857392812629</v>
      </c>
      <c r="R156" s="883">
        <f>+(4*R144/R145-1)*100</f>
        <v>2.959267167398183</v>
      </c>
      <c r="S156" s="1620"/>
      <c r="T156" s="883">
        <f>(4*T144/(S144+3*T144)-1)*100</f>
        <v>0.28258810039807347</v>
      </c>
      <c r="U156" s="883">
        <f>(4*U144/(S144+T144+2*U144)-1)*100</f>
        <v>1.5696930048122448</v>
      </c>
      <c r="V156" s="883">
        <f>+(4*V144/V145-1)*100</f>
        <v>-0.28124260283810543</v>
      </c>
      <c r="W156" s="1620"/>
      <c r="X156" s="883">
        <f>(4*X144/(W144+3*X144)-1)*100</f>
        <v>0.76267366502058564</v>
      </c>
      <c r="Y156" s="883">
        <f>(4*Y144/(W144+X144+2*Y144)-1)*100</f>
        <v>-0.27266599326735141</v>
      </c>
      <c r="Z156" s="883">
        <f>+(4*Z144/Z145-1)*100</f>
        <v>-0.85820293595741948</v>
      </c>
      <c r="AA156" s="1620"/>
      <c r="AB156" s="883">
        <f>(4*AB144/(AA144+3*AB144)-1)*100</f>
        <v>0.15120313352015025</v>
      </c>
      <c r="AC156" s="883">
        <f>(4*AC144/(AA144+AB144+2*AC144)-1)*100</f>
        <v>0.44272550023201074</v>
      </c>
      <c r="AD156" s="883">
        <f>+(4*AD144/AD145-1)*100</f>
        <v>0.79155151603746976</v>
      </c>
      <c r="AE156" s="1620"/>
      <c r="AF156" s="883">
        <f>(4*AF144/(AE144+3*AF144)-1)*100</f>
        <v>-0.10355724881636608</v>
      </c>
      <c r="AG156" s="883">
        <f>(4*AG144/(AE144+AF144+2*AG144)-1)*100</f>
        <v>0.70351530221592906</v>
      </c>
      <c r="AH156" s="883">
        <f>+(4*AH144/AH145-1)*100</f>
        <v>4.2341387699058375</v>
      </c>
      <c r="AI156" s="1620"/>
      <c r="AJ156" s="883">
        <f>(4*AJ144/(AI144+3*AJ144)-1)*100</f>
        <v>0.3133580776944811</v>
      </c>
      <c r="AK156" s="883">
        <f>(4*AK144/(AI144+AJ144+2*AK144)-1)*100</f>
        <v>1.2151971246039839</v>
      </c>
      <c r="AL156" s="883">
        <f>+(4*AL144/AL145-1)*100</f>
        <v>1.6638642896017464</v>
      </c>
      <c r="AM156" s="1620"/>
      <c r="AN156" s="883">
        <f>(4*AN144/(AM144+3*AN144)-1)*100</f>
        <v>0.8855131470358879</v>
      </c>
      <c r="AO156" s="883">
        <f>(4*AO144/(AM144+AN144+2*AO144)-1)*100</f>
        <v>2.2230223736136923</v>
      </c>
      <c r="AP156" s="883">
        <f>+(4*AP144/AP145-1)*100</f>
        <v>4.7209243979910109</v>
      </c>
      <c r="AQ156" s="1620"/>
      <c r="AR156" s="883">
        <f>(4*AR144/(AQ144+3*AR144)-1)*100</f>
        <v>0.73202945178119094</v>
      </c>
      <c r="AS156" s="883">
        <f>(4*AS144/(AQ144+AR144+2*AS144)-1)*100</f>
        <v>1.4930426722684409</v>
      </c>
      <c r="AT156" s="883">
        <f>+(4*AT144/AT145-1)*100</f>
        <v>2.859641917492195</v>
      </c>
      <c r="AU156" s="1620"/>
      <c r="AV156" s="883">
        <f>(4*AV144/(AU144+3*AV144)-1)*100</f>
        <v>0.9085644053449915</v>
      </c>
      <c r="AW156" s="883">
        <f>(4*AW144/(AU144+AV144+2*AW144)-1)*100</f>
        <v>1.9720997275303409</v>
      </c>
      <c r="AX156" s="883">
        <f>+(4*AX144/AX145-1)*100</f>
        <v>-18.280382626967107</v>
      </c>
      <c r="AY156" s="1620"/>
      <c r="AZ156" s="883">
        <f>(4*AZ144/(AY144+3*AZ144)-1)*100</f>
        <v>-7.8816008407034399E-2</v>
      </c>
      <c r="BA156" s="883">
        <f>(4*BA144/(AY144+AZ144+2*BA144)-1)*100</f>
        <v>2.984947921768355</v>
      </c>
      <c r="BB156" s="883">
        <f>+(4*BB144/BB145-1)*100</f>
        <v>7.489038103713308</v>
      </c>
      <c r="BC156" s="1620"/>
      <c r="BD156" s="883">
        <f>(4*BD144/(BC144+3*BD144)-1)*100</f>
        <v>1.2017960535425143</v>
      </c>
      <c r="BE156" s="883">
        <f>(4*BE144/(BC144+BD144+2*BE144)-1)*100</f>
        <v>1.0911168884073508</v>
      </c>
      <c r="BF156" s="883">
        <f>+(4*BF144/BF145-1)*100</f>
        <v>5.3699168745277026</v>
      </c>
      <c r="BG156" s="1620"/>
      <c r="BH156" s="883">
        <f>(4*BH144/(BG144+3*BH144)-1)*100</f>
        <v>-0.24448052553980304</v>
      </c>
      <c r="BI156" s="883">
        <f>(4*BI144/(BG144+BH144+2*BI144)-1)*100</f>
        <v>-1.019062076006505</v>
      </c>
      <c r="BJ156" s="883">
        <f>+(4*BJ144/BJ145-1)*100</f>
        <v>-4.550578986683707</v>
      </c>
      <c r="BK156" s="1620"/>
      <c r="BL156" s="883">
        <f>(4*BL144/(BK144+3*BL144)-1)*100</f>
        <v>-0.31509957146459433</v>
      </c>
      <c r="BM156" s="883">
        <f>(4*BM144/(BK144+BL144+2*BM144)-1)*100</f>
        <v>-1.0780758321927042</v>
      </c>
      <c r="BN156" s="883">
        <f>+(4*BN144/BN145-1)*100</f>
        <v>-3.6398097485963787</v>
      </c>
      <c r="BO156" s="1620"/>
      <c r="BP156" s="883">
        <f>(4*BP144/(BO144+3*BP144)-1)*100</f>
        <v>0.61761470994670109</v>
      </c>
      <c r="BQ156" s="883">
        <f>(4*BQ144/(BO144+BP144+2*BQ144)-1)*100</f>
        <v>0.5116984860782603</v>
      </c>
      <c r="BR156" s="883">
        <f>+(4*BR144/BR145-1)*100</f>
        <v>3.4294215454625077</v>
      </c>
      <c r="BS156" s="1620"/>
      <c r="BT156" s="883">
        <f>(4*BT144/(BS144+3*BT144)-1)*100</f>
        <v>-0.13849271012714715</v>
      </c>
      <c r="BU156" s="883">
        <f>(4*BU144/(BS144+BT144+2*BU144)-1)*100</f>
        <v>-0.24186797515807212</v>
      </c>
      <c r="BV156" s="883">
        <f>+(4*BV144/BV145-1)*100</f>
        <v>0.77055642493513155</v>
      </c>
      <c r="BW156" s="1620"/>
      <c r="BX156" s="883">
        <f>(4*BX144/(BW144+3*BX144)-1)*100</f>
        <v>-0.87102052708428745</v>
      </c>
      <c r="BY156" s="883">
        <f>(4*BY144/(BW144+BX144+2*BY144)-1)*100</f>
        <v>1.6564439467956049</v>
      </c>
      <c r="BZ156" s="883">
        <f>+(4*BZ144/BZ145-1)*100</f>
        <v>-0.4072590273540011</v>
      </c>
      <c r="CA156" s="1620"/>
      <c r="CB156" s="883">
        <f>(4*CB144/(CA144+3*CB144)-1)*100</f>
        <v>0.31499466277236099</v>
      </c>
      <c r="CC156" s="883">
        <f>(4*CC144/(CA144+CB144+2*CC144)-1)*100</f>
        <v>1.8087521932087736</v>
      </c>
      <c r="CD156" s="883">
        <f>+(4*CD144/CD145-1)*100</f>
        <v>2.3642985143649931</v>
      </c>
      <c r="CE156" s="1620"/>
      <c r="CF156" s="883">
        <f>(4*CF144/(CE144+3*CF144)-1)*100</f>
        <v>-4.7079353820200787E-3</v>
      </c>
      <c r="CG156" s="883">
        <f>(4*CG144/(CE144+CF144+2*CG144)-1)*100</f>
        <v>0.10314934708659518</v>
      </c>
      <c r="CH156" s="883">
        <f>+(4*CH144/CH145-1)*100</f>
        <v>2.1069883594723837</v>
      </c>
      <c r="CI156" s="1620"/>
      <c r="CJ156" s="883">
        <f>(4*CJ144/(CI144+3*CJ144)-1)*100</f>
        <v>0.54970448001976369</v>
      </c>
      <c r="CK156" s="883">
        <f>(4*CK144/(CI144+CJ144+2*CK144)-1)*100</f>
        <v>-0.35367418526039973</v>
      </c>
      <c r="CL156" s="883">
        <f>+(4*CL144/CL145-1)*100</f>
        <v>-0.10331330122375082</v>
      </c>
      <c r="CM156" s="1620"/>
      <c r="CN156" s="883">
        <f>(4*CN144/(CM144+3*CN144)-1)*100</f>
        <v>0.93582964127483237</v>
      </c>
      <c r="CO156" s="883">
        <f>(4*CO144/(CM144+CN144+2*CO144)-1)*100</f>
        <v>1.1398514427849227</v>
      </c>
      <c r="CP156" s="883">
        <f>+(4*CP144/CP145-1)*100</f>
        <v>2.3198925954580618</v>
      </c>
      <c r="CQ156" s="1620"/>
      <c r="CR156" s="883">
        <f>(4*CR144/(CQ144+3*CR144)-1)*100</f>
        <v>-0.19718840354938649</v>
      </c>
      <c r="CS156" s="883">
        <f>(4*CS144/(CQ144+CR144+2*CS144)-1)*100</f>
        <v>0.80771192156476879</v>
      </c>
      <c r="CT156" s="883">
        <f>+(4*CT144/CT145-1)*100</f>
        <v>1.5024564930232742</v>
      </c>
      <c r="CU156" s="1620"/>
      <c r="CV156" s="883">
        <f>(4*CV144/(CU144+3*CV144)-1)*100</f>
        <v>0.24749262975558572</v>
      </c>
      <c r="CW156" s="883">
        <f>(4*CW144/(CU144+CV144+2*CW144)-1)*100</f>
        <v>0.67776078493722025</v>
      </c>
      <c r="CX156" s="883">
        <f>+(4*CX144/CX145-1)*100</f>
        <v>1.1425442702378774</v>
      </c>
      <c r="CY156" s="1620"/>
      <c r="CZ156" s="883">
        <f>(4*CZ144/(CY144+3*CZ144)-1)*100</f>
        <v>0.23257631559603364</v>
      </c>
      <c r="DA156" s="883">
        <f>(4*DA144/(CY144+CZ144+2*DA144)-1)*100</f>
        <v>0.70062841796130204</v>
      </c>
      <c r="DB156" s="883">
        <f>+(4*DB144/DB145-1)*100</f>
        <v>1.4100409684385973</v>
      </c>
    </row>
    <row r="157" spans="1:119" s="884" customFormat="1" ht="30" customHeight="1">
      <c r="A157" s="664"/>
      <c r="B157" s="664"/>
      <c r="C157" s="666"/>
      <c r="D157" s="1041"/>
      <c r="E157" s="3632"/>
      <c r="F157" s="1041"/>
      <c r="G157" s="1044"/>
      <c r="H157" s="1559"/>
      <c r="I157" s="1559"/>
      <c r="J157" s="1559"/>
      <c r="K157" s="1044"/>
      <c r="L157" s="1559"/>
      <c r="M157" s="1559"/>
      <c r="N157" s="1559"/>
      <c r="O157" s="1044"/>
      <c r="P157" s="1559"/>
      <c r="Q157" s="1559"/>
      <c r="R157" s="1559"/>
      <c r="S157" s="1044"/>
      <c r="T157" s="1559"/>
      <c r="U157" s="1559"/>
      <c r="V157" s="1559"/>
      <c r="W157" s="1044"/>
      <c r="X157" s="1559"/>
      <c r="Y157" s="1559"/>
      <c r="Z157" s="1559"/>
      <c r="AA157" s="1044"/>
      <c r="AB157" s="1559"/>
      <c r="AC157" s="1559"/>
      <c r="AD157" s="1559"/>
      <c r="AE157" s="1044"/>
      <c r="AF157" s="1559"/>
      <c r="AG157" s="1559"/>
      <c r="AH157" s="1559"/>
      <c r="AI157" s="1044"/>
      <c r="AJ157" s="1559"/>
      <c r="AK157" s="1559"/>
      <c r="AL157" s="1559"/>
      <c r="AM157" s="1044"/>
      <c r="AN157" s="1559"/>
      <c r="AO157" s="1559"/>
      <c r="AP157" s="1559"/>
      <c r="AQ157" s="1044"/>
      <c r="AR157" s="1559"/>
      <c r="AS157" s="1559"/>
      <c r="AT157" s="1559"/>
      <c r="AU157" s="1044"/>
      <c r="AV157" s="1559"/>
      <c r="AW157" s="1559"/>
      <c r="AX157" s="1559"/>
      <c r="AY157" s="1560"/>
      <c r="AZ157" s="1559"/>
      <c r="BA157" s="1560"/>
      <c r="BB157" s="1560"/>
      <c r="BC157" s="1560"/>
      <c r="BD157" s="1560"/>
      <c r="BE157" s="1560"/>
      <c r="BF157" s="1560"/>
      <c r="BG157" s="1560"/>
      <c r="BH157" s="1560"/>
      <c r="BI157" s="1560"/>
      <c r="BJ157" s="1560"/>
      <c r="BK157" s="1560"/>
      <c r="BL157" s="1560"/>
      <c r="BM157" s="1560"/>
      <c r="BN157" s="1560"/>
      <c r="BO157" s="1560"/>
      <c r="BP157" s="1560"/>
      <c r="BQ157" s="1560"/>
      <c r="BR157" s="1560"/>
      <c r="BS157" s="1560"/>
      <c r="BT157" s="1560"/>
      <c r="BU157" s="1560"/>
      <c r="BV157" s="1560"/>
      <c r="BW157" s="1560"/>
      <c r="BX157" s="1560"/>
      <c r="BY157" s="1560"/>
      <c r="BZ157" s="1560"/>
      <c r="CA157" s="1560"/>
      <c r="CB157" s="1560"/>
      <c r="CC157" s="1560"/>
      <c r="CD157" s="1560"/>
      <c r="CE157" s="1560"/>
      <c r="CF157" s="1560"/>
      <c r="CG157" s="1560"/>
      <c r="CH157" s="1560"/>
      <c r="CI157" s="1560"/>
      <c r="CJ157" s="1560"/>
      <c r="CK157" s="1560"/>
      <c r="CL157" s="1560"/>
      <c r="CM157"/>
      <c r="CN157"/>
      <c r="CO157"/>
      <c r="CP157"/>
      <c r="CQ157"/>
      <c r="CR157"/>
      <c r="CS157"/>
      <c r="CT157"/>
      <c r="CU157"/>
      <c r="CV157"/>
      <c r="CW157"/>
      <c r="CX157"/>
      <c r="CY157" s="3649"/>
      <c r="CZ157" s="3649"/>
      <c r="DA157" s="3649"/>
      <c r="DB157" s="3649"/>
      <c r="DC157"/>
      <c r="DD157"/>
      <c r="DE157"/>
      <c r="DF157"/>
      <c r="DG157"/>
      <c r="DH157"/>
      <c r="DI157"/>
      <c r="DJ157"/>
      <c r="DK157"/>
      <c r="DL157"/>
      <c r="DM157"/>
      <c r="DN157"/>
      <c r="DO157"/>
    </row>
    <row r="158" spans="1:119" s="884" customFormat="1" ht="30" customHeight="1">
      <c r="A158" s="664"/>
      <c r="B158" s="664"/>
      <c r="C158" s="666"/>
      <c r="D158" s="1041"/>
      <c r="E158" s="3632"/>
      <c r="F158" s="1041"/>
      <c r="G158" s="1044"/>
      <c r="H158" s="1559"/>
      <c r="I158" s="1559"/>
      <c r="J158" s="1559"/>
      <c r="K158" s="1044"/>
      <c r="L158" s="1559"/>
      <c r="M158" s="1559"/>
      <c r="N158" s="1559"/>
      <c r="O158" s="1044"/>
      <c r="P158" s="1559"/>
      <c r="Q158" s="1559"/>
      <c r="R158" s="1559"/>
      <c r="S158" s="1044"/>
      <c r="T158" s="1559"/>
      <c r="U158" s="1559"/>
      <c r="V158" s="1559"/>
      <c r="W158" s="1044"/>
      <c r="X158" s="1559"/>
      <c r="Y158" s="1559"/>
      <c r="Z158" s="1559"/>
      <c r="AA158" s="1044"/>
      <c r="AB158" s="1559"/>
      <c r="AC158" s="1559"/>
      <c r="AD158" s="1559"/>
      <c r="AE158" s="1044"/>
      <c r="AF158" s="1559"/>
      <c r="AG158" s="1559"/>
      <c r="AH158" s="1559"/>
      <c r="AI158" s="1044"/>
      <c r="AJ158" s="1559"/>
      <c r="AK158" s="1559"/>
      <c r="AL158" s="1559"/>
      <c r="AM158" s="1044"/>
      <c r="AN158" s="1559"/>
      <c r="AO158" s="1559"/>
      <c r="AP158" s="1559"/>
      <c r="AQ158" s="1044"/>
      <c r="AR158" s="1559"/>
      <c r="AS158" s="1559"/>
      <c r="AT158" s="1559"/>
      <c r="AU158" s="1044"/>
      <c r="AV158" s="1559"/>
      <c r="AW158" s="1559"/>
      <c r="AX158" s="1559"/>
      <c r="AY158" s="1560"/>
      <c r="AZ158" s="1559"/>
      <c r="BA158" s="1560"/>
      <c r="BB158" s="1560"/>
      <c r="BC158" s="1560"/>
      <c r="BD158" s="1560"/>
      <c r="BE158" s="1560"/>
      <c r="BF158" s="1560"/>
      <c r="BG158" s="1560"/>
      <c r="BH158" s="1560"/>
      <c r="BI158" s="1560"/>
      <c r="BJ158" s="1560"/>
      <c r="BK158" s="1560"/>
      <c r="BL158" s="1560"/>
      <c r="BM158" s="1560"/>
      <c r="BN158" s="1560"/>
      <c r="BO158" s="1560"/>
      <c r="BP158" s="1560"/>
      <c r="BQ158" s="1560"/>
      <c r="BR158" s="1560"/>
      <c r="BS158" s="1560"/>
      <c r="BT158" s="1560"/>
      <c r="BU158" s="1560"/>
      <c r="BV158" s="1560"/>
      <c r="BW158" s="1560"/>
      <c r="BX158" s="1560"/>
      <c r="BY158" s="1560"/>
      <c r="BZ158" s="1560"/>
      <c r="CA158" s="1560"/>
      <c r="CB158" s="1560"/>
      <c r="CC158" s="1560"/>
      <c r="CD158" s="1560"/>
      <c r="CE158" s="1560"/>
      <c r="CF158" s="1560"/>
      <c r="CG158" s="1560"/>
      <c r="CH158" s="1560"/>
      <c r="CI158" s="1560"/>
      <c r="CJ158" s="1560"/>
      <c r="CK158" s="1560"/>
      <c r="CL158" s="1560"/>
      <c r="CM158"/>
      <c r="CN158"/>
      <c r="CO158"/>
      <c r="CP158"/>
      <c r="CQ158"/>
      <c r="CR158"/>
      <c r="CS158"/>
      <c r="CT158"/>
      <c r="CU158"/>
      <c r="CV158"/>
      <c r="CW158"/>
      <c r="CX158"/>
      <c r="CY158" s="3649"/>
      <c r="CZ158" s="3649"/>
      <c r="DA158" s="3649"/>
      <c r="DB158" s="3649"/>
      <c r="DC158"/>
      <c r="DD158"/>
      <c r="DE158"/>
      <c r="DF158"/>
      <c r="DG158"/>
      <c r="DH158"/>
      <c r="DI158"/>
      <c r="DJ158"/>
      <c r="DK158"/>
      <c r="DL158"/>
      <c r="DM158"/>
      <c r="DN158"/>
      <c r="DO158"/>
    </row>
    <row r="159" spans="1:119" ht="30" customHeight="1">
      <c r="A159" s="664"/>
      <c r="C159" s="3766" t="s">
        <v>912</v>
      </c>
      <c r="D159" s="3766"/>
      <c r="E159" s="3766"/>
      <c r="F159" s="3766"/>
      <c r="CT159"/>
      <c r="CX159"/>
      <c r="DB159" s="3649"/>
    </row>
    <row r="160" spans="1:119" ht="12.75" customHeight="1">
      <c r="A160" s="664"/>
      <c r="E160" s="599"/>
      <c r="F160" s="3617"/>
      <c r="CT160"/>
      <c r="CX160"/>
      <c r="DB160" s="3649"/>
    </row>
    <row r="161" spans="1:119" ht="12.75" customHeight="1">
      <c r="A161" s="664"/>
      <c r="E161" s="599"/>
      <c r="F161" s="3617"/>
      <c r="G161" s="3763">
        <f ca="1">OFFSET(InputY!$G$3,0,(COLUMN()-7)/4)</f>
        <v>1995</v>
      </c>
      <c r="H161" s="3764"/>
      <c r="I161" s="3764"/>
      <c r="J161" s="3765"/>
      <c r="K161" s="3763">
        <f ca="1">OFFSET(InputY!$G$3,0,(COLUMN()-7)/4)</f>
        <v>1996</v>
      </c>
      <c r="L161" s="3764"/>
      <c r="M161" s="3764"/>
      <c r="N161" s="3765"/>
      <c r="O161" s="3763">
        <f ca="1">OFFSET(InputY!$G$3,0,(COLUMN()-7)/4)</f>
        <v>1997</v>
      </c>
      <c r="P161" s="3764"/>
      <c r="Q161" s="3764"/>
      <c r="R161" s="3765"/>
      <c r="S161" s="3763">
        <f ca="1">OFFSET(InputY!$G$3,0,(COLUMN()-7)/4)</f>
        <v>1998</v>
      </c>
      <c r="T161" s="3764"/>
      <c r="U161" s="3764"/>
      <c r="V161" s="3765"/>
      <c r="W161" s="3763">
        <f ca="1">OFFSET(InputY!$G$3,0,(COLUMN()-7)/4)</f>
        <v>1999</v>
      </c>
      <c r="X161" s="3764"/>
      <c r="Y161" s="3764"/>
      <c r="Z161" s="3765"/>
      <c r="AA161" s="3763">
        <f ca="1">OFFSET(InputY!$G$3,0,(COLUMN()-7)/4)</f>
        <v>2000</v>
      </c>
      <c r="AB161" s="3764"/>
      <c r="AC161" s="3764"/>
      <c r="AD161" s="3765"/>
      <c r="AE161" s="3763">
        <f ca="1">OFFSET(InputY!$G$3,0,(COLUMN()-7)/4)</f>
        <v>2001</v>
      </c>
      <c r="AF161" s="3764"/>
      <c r="AG161" s="3764"/>
      <c r="AH161" s="3765"/>
      <c r="AI161" s="3763">
        <f ca="1">OFFSET(InputY!$G$3,0,(COLUMN()-7)/4)</f>
        <v>2002</v>
      </c>
      <c r="AJ161" s="3764"/>
      <c r="AK161" s="3764"/>
      <c r="AL161" s="3765"/>
      <c r="AM161" s="3763">
        <f ca="1">OFFSET(InputY!$G$3,0,(COLUMN()-7)/4)</f>
        <v>2003</v>
      </c>
      <c r="AN161" s="3764"/>
      <c r="AO161" s="3764"/>
      <c r="AP161" s="3765"/>
      <c r="AQ161" s="3763">
        <f ca="1">OFFSET(InputY!$G$3,0,(COLUMN()-7)/4)</f>
        <v>2004</v>
      </c>
      <c r="AR161" s="3764"/>
      <c r="AS161" s="3764"/>
      <c r="AT161" s="3765"/>
      <c r="AU161" s="3763">
        <f ca="1">OFFSET(InputY!$G$3,0,(COLUMN()-7)/4)</f>
        <v>2005</v>
      </c>
      <c r="AV161" s="3764"/>
      <c r="AW161" s="3764"/>
      <c r="AX161" s="3765"/>
      <c r="AY161" s="3763">
        <f ca="1">OFFSET(InputY!$G$3,0,(COLUMN()-7)/4)</f>
        <v>2006</v>
      </c>
      <c r="AZ161" s="3764"/>
      <c r="BA161" s="3764"/>
      <c r="BB161" s="3765"/>
      <c r="BC161" s="3763">
        <f ca="1">OFFSET(InputY!$G$3,0,(COLUMN()-7)/4)</f>
        <v>2007</v>
      </c>
      <c r="BD161" s="3764"/>
      <c r="BE161" s="3764"/>
      <c r="BF161" s="3765"/>
      <c r="BG161" s="3763">
        <f ca="1">OFFSET(InputY!$G$3,0,(COLUMN()-7)/4)</f>
        <v>2008</v>
      </c>
      <c r="BH161" s="3764"/>
      <c r="BI161" s="3764"/>
      <c r="BJ161" s="3765"/>
      <c r="BK161" s="3763">
        <f ca="1">OFFSET(InputY!$G$3,0,(COLUMN()-7)/4)</f>
        <v>2009</v>
      </c>
      <c r="BL161" s="3764"/>
      <c r="BM161" s="3764"/>
      <c r="BN161" s="3765"/>
      <c r="BO161" s="3763">
        <f ca="1">OFFSET(InputY!$G$3,0,(COLUMN()-7)/4)</f>
        <v>2010</v>
      </c>
      <c r="BP161" s="3764"/>
      <c r="BQ161" s="3764"/>
      <c r="BR161" s="3765"/>
      <c r="BS161" s="3763">
        <f ca="1">OFFSET(InputY!$G$3,0,(COLUMN()-7)/4)</f>
        <v>2011</v>
      </c>
      <c r="BT161" s="3764"/>
      <c r="BU161" s="3764"/>
      <c r="BV161" s="3765"/>
      <c r="BW161" s="3763">
        <f ca="1">OFFSET(InputY!$G$3,0,(COLUMN()-7)/4)</f>
        <v>2012</v>
      </c>
      <c r="BX161" s="3764"/>
      <c r="BY161" s="3764"/>
      <c r="BZ161" s="3765"/>
      <c r="CA161" s="3763">
        <f ca="1">OFFSET(InputY!$G$3,0,(COLUMN()-7)/4)</f>
        <v>2013</v>
      </c>
      <c r="CB161" s="3764"/>
      <c r="CC161" s="3764"/>
      <c r="CD161" s="3765"/>
      <c r="CE161" s="3763">
        <f ca="1">OFFSET(InputY!$G$3,0,(COLUMN()-7)/4)</f>
        <v>2014</v>
      </c>
      <c r="CF161" s="3764"/>
      <c r="CG161" s="3764"/>
      <c r="CH161" s="3765"/>
      <c r="CI161" s="3763">
        <f ca="1">OFFSET(InputY!$G$3,0,(COLUMN()-7)/4)</f>
        <v>2015</v>
      </c>
      <c r="CJ161" s="3764"/>
      <c r="CK161" s="3764"/>
      <c r="CL161" s="3765"/>
      <c r="CM161" s="3763">
        <f ca="1">OFFSET(InputY!$G$3,0,(COLUMN()-7)/4)</f>
        <v>2016</v>
      </c>
      <c r="CN161" s="3764"/>
      <c r="CO161" s="3764"/>
      <c r="CP161" s="3765"/>
      <c r="CQ161" s="3763">
        <f ca="1">OFFSET(InputY!$G$3,0,(COLUMN()-7)/4)</f>
        <v>2017</v>
      </c>
      <c r="CR161" s="3764"/>
      <c r="CS161" s="3764"/>
      <c r="CT161" s="3765"/>
      <c r="CU161" s="3763">
        <f ca="1">OFFSET(InputY!$G$3,0,(COLUMN()-7)/4)</f>
        <v>2018</v>
      </c>
      <c r="CV161" s="3764"/>
      <c r="CW161" s="3764"/>
      <c r="CX161" s="3765"/>
      <c r="CY161" s="3763">
        <f ca="1">OFFSET(InputY!$G$3,0,(COLUMN()-7)/4)</f>
        <v>2019</v>
      </c>
      <c r="CZ161" s="3764"/>
      <c r="DA161" s="3764"/>
      <c r="DB161" s="3765"/>
    </row>
    <row r="162" spans="1:119" s="699" customFormat="1" ht="12.75" customHeight="1">
      <c r="A162" s="664"/>
      <c r="B162" s="664"/>
      <c r="C162" s="666"/>
      <c r="D162" s="695"/>
      <c r="E162" s="3618" t="s">
        <v>1892</v>
      </c>
      <c r="F162" s="3619"/>
      <c r="G162" s="1566" t="s">
        <v>1842</v>
      </c>
      <c r="H162" s="1567" t="s">
        <v>1843</v>
      </c>
      <c r="I162" s="1567" t="s">
        <v>1844</v>
      </c>
      <c r="J162" s="1568" t="s">
        <v>1845</v>
      </c>
      <c r="K162" s="1566" t="s">
        <v>1842</v>
      </c>
      <c r="L162" s="1567" t="s">
        <v>1843</v>
      </c>
      <c r="M162" s="1567" t="s">
        <v>1844</v>
      </c>
      <c r="N162" s="1568" t="s">
        <v>1845</v>
      </c>
      <c r="O162" s="1566" t="s">
        <v>1842</v>
      </c>
      <c r="P162" s="1567" t="s">
        <v>1843</v>
      </c>
      <c r="Q162" s="1567" t="s">
        <v>1844</v>
      </c>
      <c r="R162" s="1568" t="s">
        <v>1845</v>
      </c>
      <c r="S162" s="1566" t="s">
        <v>1842</v>
      </c>
      <c r="T162" s="1567" t="s">
        <v>1843</v>
      </c>
      <c r="U162" s="1567" t="s">
        <v>1844</v>
      </c>
      <c r="V162" s="1568" t="s">
        <v>1845</v>
      </c>
      <c r="W162" s="1566" t="s">
        <v>1842</v>
      </c>
      <c r="X162" s="1567" t="s">
        <v>1843</v>
      </c>
      <c r="Y162" s="1567" t="s">
        <v>1844</v>
      </c>
      <c r="Z162" s="1568" t="s">
        <v>1845</v>
      </c>
      <c r="AA162" s="1566" t="s">
        <v>1842</v>
      </c>
      <c r="AB162" s="1567" t="s">
        <v>1843</v>
      </c>
      <c r="AC162" s="1567" t="s">
        <v>1844</v>
      </c>
      <c r="AD162" s="1568" t="s">
        <v>1845</v>
      </c>
      <c r="AE162" s="1566" t="s">
        <v>1842</v>
      </c>
      <c r="AF162" s="1567" t="s">
        <v>1843</v>
      </c>
      <c r="AG162" s="1567" t="s">
        <v>1844</v>
      </c>
      <c r="AH162" s="1568" t="s">
        <v>1845</v>
      </c>
      <c r="AI162" s="1566" t="s">
        <v>1842</v>
      </c>
      <c r="AJ162" s="1567" t="s">
        <v>1843</v>
      </c>
      <c r="AK162" s="1567" t="s">
        <v>1844</v>
      </c>
      <c r="AL162" s="1568" t="s">
        <v>1845</v>
      </c>
      <c r="AM162" s="1566" t="s">
        <v>1842</v>
      </c>
      <c r="AN162" s="1567" t="s">
        <v>1843</v>
      </c>
      <c r="AO162" s="1567" t="s">
        <v>1844</v>
      </c>
      <c r="AP162" s="1568" t="s">
        <v>1845</v>
      </c>
      <c r="AQ162" s="1566" t="s">
        <v>1842</v>
      </c>
      <c r="AR162" s="1567" t="s">
        <v>1843</v>
      </c>
      <c r="AS162" s="1567" t="s">
        <v>1844</v>
      </c>
      <c r="AT162" s="1568" t="s">
        <v>1845</v>
      </c>
      <c r="AU162" s="1566" t="s">
        <v>1842</v>
      </c>
      <c r="AV162" s="1567" t="s">
        <v>1843</v>
      </c>
      <c r="AW162" s="1567" t="s">
        <v>1844</v>
      </c>
      <c r="AX162" s="1568" t="s">
        <v>1845</v>
      </c>
      <c r="AY162" s="1566" t="s">
        <v>1842</v>
      </c>
      <c r="AZ162" s="1567" t="s">
        <v>1843</v>
      </c>
      <c r="BA162" s="1567" t="s">
        <v>1844</v>
      </c>
      <c r="BB162" s="1568" t="s">
        <v>1845</v>
      </c>
      <c r="BC162" s="1566" t="s">
        <v>1842</v>
      </c>
      <c r="BD162" s="1567" t="s">
        <v>1843</v>
      </c>
      <c r="BE162" s="1567" t="s">
        <v>1844</v>
      </c>
      <c r="BF162" s="1568" t="s">
        <v>1845</v>
      </c>
      <c r="BG162" s="1566" t="s">
        <v>1842</v>
      </c>
      <c r="BH162" s="1567" t="s">
        <v>1843</v>
      </c>
      <c r="BI162" s="1567" t="s">
        <v>1844</v>
      </c>
      <c r="BJ162" s="1568" t="s">
        <v>1845</v>
      </c>
      <c r="BK162" s="1566" t="s">
        <v>1842</v>
      </c>
      <c r="BL162" s="1567" t="s">
        <v>1843</v>
      </c>
      <c r="BM162" s="1567" t="s">
        <v>1844</v>
      </c>
      <c r="BN162" s="1568" t="s">
        <v>1845</v>
      </c>
      <c r="BO162" s="1566" t="s">
        <v>1842</v>
      </c>
      <c r="BP162" s="1567" t="s">
        <v>1843</v>
      </c>
      <c r="BQ162" s="1567" t="s">
        <v>1844</v>
      </c>
      <c r="BR162" s="1568" t="s">
        <v>1845</v>
      </c>
      <c r="BS162" s="1566" t="s">
        <v>1842</v>
      </c>
      <c r="BT162" s="1567" t="s">
        <v>1843</v>
      </c>
      <c r="BU162" s="1567" t="s">
        <v>1844</v>
      </c>
      <c r="BV162" s="1568" t="s">
        <v>1845</v>
      </c>
      <c r="BW162" s="1566" t="s">
        <v>1842</v>
      </c>
      <c r="BX162" s="1567" t="s">
        <v>1843</v>
      </c>
      <c r="BY162" s="1567" t="s">
        <v>1844</v>
      </c>
      <c r="BZ162" s="1568" t="s">
        <v>1845</v>
      </c>
      <c r="CA162" s="1566" t="s">
        <v>1842</v>
      </c>
      <c r="CB162" s="1567" t="s">
        <v>1843</v>
      </c>
      <c r="CC162" s="1567" t="s">
        <v>1844</v>
      </c>
      <c r="CD162" s="1568" t="s">
        <v>1845</v>
      </c>
      <c r="CE162" s="1566" t="s">
        <v>1842</v>
      </c>
      <c r="CF162" s="1567" t="s">
        <v>1843</v>
      </c>
      <c r="CG162" s="1567" t="s">
        <v>1844</v>
      </c>
      <c r="CH162" s="1568" t="s">
        <v>1845</v>
      </c>
      <c r="CI162" s="1566" t="s">
        <v>1842</v>
      </c>
      <c r="CJ162" s="1567" t="s">
        <v>1843</v>
      </c>
      <c r="CK162" s="1567" t="s">
        <v>1844</v>
      </c>
      <c r="CL162" s="1568" t="s">
        <v>1845</v>
      </c>
      <c r="CM162" s="1566" t="s">
        <v>1842</v>
      </c>
      <c r="CN162" s="1567" t="s">
        <v>1843</v>
      </c>
      <c r="CO162" s="1567" t="s">
        <v>1844</v>
      </c>
      <c r="CP162" s="1568" t="s">
        <v>1845</v>
      </c>
      <c r="CQ162" s="1566" t="s">
        <v>1842</v>
      </c>
      <c r="CR162" s="1567" t="s">
        <v>1843</v>
      </c>
      <c r="CS162" s="1567" t="s">
        <v>1844</v>
      </c>
      <c r="CT162" s="1568" t="s">
        <v>1845</v>
      </c>
      <c r="CU162" s="1566" t="s">
        <v>1842</v>
      </c>
      <c r="CV162" s="1567" t="s">
        <v>1843</v>
      </c>
      <c r="CW162" s="1567" t="s">
        <v>1844</v>
      </c>
      <c r="CX162" s="1568" t="s">
        <v>1845</v>
      </c>
      <c r="CY162" s="1566" t="s">
        <v>1842</v>
      </c>
      <c r="CZ162" s="1567" t="s">
        <v>1843</v>
      </c>
      <c r="DA162" s="1567" t="s">
        <v>1844</v>
      </c>
      <c r="DB162" s="1568" t="s">
        <v>1845</v>
      </c>
      <c r="DC162"/>
      <c r="DD162"/>
      <c r="DE162"/>
      <c r="DF162"/>
      <c r="DG162"/>
      <c r="DH162"/>
      <c r="DI162"/>
      <c r="DJ162"/>
      <c r="DK162"/>
      <c r="DL162"/>
      <c r="DM162"/>
      <c r="DN162"/>
      <c r="DO162"/>
    </row>
    <row r="163" spans="1:119" s="699" customFormat="1" ht="12.75" hidden="1" customHeight="1">
      <c r="A163" s="664" t="str">
        <f>"Q" &amp; ROW(InputQ!A29)</f>
        <v>Q29</v>
      </c>
      <c r="C163" s="3069" t="s">
        <v>1767</v>
      </c>
      <c r="D163" s="668"/>
      <c r="E163" s="3620" t="s">
        <v>1782</v>
      </c>
      <c r="F163" s="3621"/>
      <c r="G163" s="780">
        <f>InputQ!G29/1000</f>
        <v>0.90231116774791476</v>
      </c>
      <c r="H163" s="780">
        <f>InputQ!H29/1000</f>
        <v>0.94578313253012047</v>
      </c>
      <c r="I163" s="780">
        <f>InputQ!I29/1000</f>
        <v>0.99661144578313254</v>
      </c>
      <c r="J163" s="780">
        <f>InputQ!J29/1000</f>
        <v>1.0429506487488416</v>
      </c>
      <c r="K163" s="780">
        <f>InputQ!K29/1000</f>
        <v>1.0650486561631143</v>
      </c>
      <c r="L163" s="780">
        <f>InputQ!L29/1000</f>
        <v>1.1022358665430956</v>
      </c>
      <c r="M163" s="780">
        <f>InputQ!M29/1000</f>
        <v>1.1570898980537534</v>
      </c>
      <c r="N163" s="780">
        <f>InputQ!N29/1000</f>
        <v>1.222515060240964</v>
      </c>
      <c r="O163" s="780">
        <f>InputQ!O29/1000</f>
        <v>1.287100324374421</v>
      </c>
      <c r="P163" s="780">
        <f>InputQ!P29/1000</f>
        <v>1.2966288229842446</v>
      </c>
      <c r="Q163" s="780">
        <f>InputQ!Q29/1000</f>
        <v>1.3149328081556999</v>
      </c>
      <c r="R163" s="780">
        <f>InputQ!R29/1000</f>
        <v>1.4410333642261355</v>
      </c>
      <c r="S163" s="780">
        <f>InputQ!S29/1000</f>
        <v>1.4774675625579239</v>
      </c>
      <c r="T163" s="780">
        <f>InputQ!T29/1000</f>
        <v>1.4664909638554218</v>
      </c>
      <c r="U163" s="780">
        <f>InputQ!U29/1000</f>
        <v>1.3313832252085265</v>
      </c>
      <c r="V163" s="780">
        <f>InputQ!V29/1000</f>
        <v>1.2534754402224282</v>
      </c>
      <c r="W163" s="780">
        <f>InputQ!W29/1000</f>
        <v>1.1620134383688601</v>
      </c>
      <c r="X163" s="780">
        <f>InputQ!X29/1000</f>
        <v>1.0677131603336423</v>
      </c>
      <c r="Y163" s="780">
        <f>InputQ!Y29/1000</f>
        <v>1.0504228452270623</v>
      </c>
      <c r="Z163" s="780">
        <f>InputQ!Z29/1000</f>
        <v>1.0602409638554218</v>
      </c>
      <c r="AA163" s="780">
        <f>InputQ!AA29/1000</f>
        <v>1.1919022242817423</v>
      </c>
      <c r="AB163" s="780">
        <f>InputQ!AB29/1000</f>
        <v>1.2020099629286378</v>
      </c>
      <c r="AC163" s="780">
        <f>InputQ!AC29/1000</f>
        <v>1.3066786376274329</v>
      </c>
      <c r="AD163" s="780">
        <f>InputQ!AD29/1000</f>
        <v>1.3319914272474516</v>
      </c>
      <c r="AE163" s="780">
        <f>InputQ!AE29/1000</f>
        <v>1.4655641797961074</v>
      </c>
      <c r="AF163" s="780">
        <f>InputQ!AF29/1000</f>
        <v>1.5596327618164969</v>
      </c>
      <c r="AG163" s="780">
        <f>InputQ!AG29/1000</f>
        <v>1.5776760889712695</v>
      </c>
      <c r="AH163" s="780">
        <f>InputQ!AH29/1000</f>
        <v>1.6481116774791476</v>
      </c>
      <c r="AI163" s="780">
        <f>InputQ!AI29/1000</f>
        <v>1.7377490732159409</v>
      </c>
      <c r="AJ163" s="780">
        <f>InputQ!AJ29/1000</f>
        <v>1.8634151992585728</v>
      </c>
      <c r="AK163" s="780">
        <f>InputQ!AK29/1000</f>
        <v>1.8522937905468027</v>
      </c>
      <c r="AL163" s="780">
        <f>InputQ!AL29/1000</f>
        <v>1.9785391566265063</v>
      </c>
      <c r="AM163" s="780">
        <f>InputQ!AM29/1000</f>
        <v>2.0750695088044484</v>
      </c>
      <c r="AN163" s="780">
        <f>InputQ!AN29/1000</f>
        <v>1.9273053753475442</v>
      </c>
      <c r="AO163" s="780">
        <f>InputQ!AO29/1000</f>
        <v>1.9966983317886933</v>
      </c>
      <c r="AP163" s="780">
        <f>InputQ!AP29/1000</f>
        <v>2.0689295644114924</v>
      </c>
      <c r="AQ163" s="780">
        <f>InputQ!AQ29/1000</f>
        <v>1.915720574606117</v>
      </c>
      <c r="AR163" s="780">
        <f>InputQ!AR29/1000</f>
        <v>2.0166531510658019</v>
      </c>
      <c r="AS163" s="780">
        <f>InputQ!AS29/1000</f>
        <v>2.0788635310472658</v>
      </c>
      <c r="AT163" s="780">
        <f>InputQ!AT29/1000</f>
        <v>2.2136526876737723</v>
      </c>
      <c r="AU163" s="780" t="e">
        <f>InputQ!AU29/1000</f>
        <v>#VALUE!</v>
      </c>
      <c r="AV163" s="780" t="e">
        <f>InputQ!AV29/1000</f>
        <v>#VALUE!</v>
      </c>
      <c r="AW163" s="780" t="e">
        <f>InputQ!AW29/1000</f>
        <v>#VALUE!</v>
      </c>
      <c r="AX163" s="780" t="e">
        <f>InputQ!AX29/1000</f>
        <v>#VALUE!</v>
      </c>
      <c r="AY163" s="780" t="e">
        <f>InputQ!AY29/1000</f>
        <v>#VALUE!</v>
      </c>
      <c r="AZ163" s="780" t="e">
        <f>InputQ!AZ29/1000</f>
        <v>#VALUE!</v>
      </c>
      <c r="BA163" s="780" t="e">
        <f>InputQ!BA29/1000</f>
        <v>#VALUE!</v>
      </c>
      <c r="BB163" s="780" t="e">
        <f>InputQ!BB29/1000</f>
        <v>#VALUE!</v>
      </c>
      <c r="BC163" s="780" t="e">
        <f>InputQ!BC29/1000</f>
        <v>#VALUE!</v>
      </c>
      <c r="BD163" s="780" t="e">
        <f>InputQ!BD29/1000</f>
        <v>#VALUE!</v>
      </c>
      <c r="BE163" s="780" t="e">
        <f>InputQ!BE29/1000</f>
        <v>#VALUE!</v>
      </c>
      <c r="BF163" s="780" t="e">
        <f>InputQ!BF29/1000</f>
        <v>#VALUE!</v>
      </c>
      <c r="BG163" s="780" t="e">
        <f>InputQ!BG29/1000</f>
        <v>#VALUE!</v>
      </c>
      <c r="BH163" s="780" t="e">
        <f>InputQ!BH29/1000</f>
        <v>#VALUE!</v>
      </c>
      <c r="BI163" s="780" t="e">
        <f>InputQ!BI29/1000</f>
        <v>#VALUE!</v>
      </c>
      <c r="BJ163" s="780" t="e">
        <f>InputQ!BJ29/1000</f>
        <v>#VALUE!</v>
      </c>
      <c r="BK163" s="780" t="e">
        <f>InputQ!BK29/1000</f>
        <v>#VALUE!</v>
      </c>
      <c r="BL163" s="780" t="e">
        <f>InputQ!BL29/1000</f>
        <v>#VALUE!</v>
      </c>
      <c r="BM163" s="780" t="e">
        <f>InputQ!BM29/1000</f>
        <v>#VALUE!</v>
      </c>
      <c r="BN163" s="780" t="e">
        <f>InputQ!BN29/1000</f>
        <v>#VALUE!</v>
      </c>
      <c r="BO163" s="780" t="e">
        <f>InputQ!BO29/1000</f>
        <v>#VALUE!</v>
      </c>
      <c r="BP163" s="780" t="e">
        <f>InputQ!BP29/1000</f>
        <v>#VALUE!</v>
      </c>
      <c r="BQ163" s="780" t="e">
        <f>InputQ!BQ29/1000</f>
        <v>#VALUE!</v>
      </c>
      <c r="BR163" s="780" t="e">
        <f>InputQ!BR29/1000</f>
        <v>#VALUE!</v>
      </c>
      <c r="BS163" s="780" t="e">
        <f>InputQ!BS29/1000</f>
        <v>#VALUE!</v>
      </c>
      <c r="BT163" s="780" t="e">
        <f>InputQ!BT29/1000</f>
        <v>#VALUE!</v>
      </c>
      <c r="BU163" s="780" t="e">
        <f>InputQ!BU29/1000</f>
        <v>#VALUE!</v>
      </c>
      <c r="BV163" s="780" t="e">
        <f>InputQ!BV29/1000</f>
        <v>#VALUE!</v>
      </c>
      <c r="BW163" s="780" t="e">
        <f>InputQ!BW29/1000</f>
        <v>#VALUE!</v>
      </c>
      <c r="BX163" s="780" t="e">
        <f>InputQ!BX29/1000</f>
        <v>#VALUE!</v>
      </c>
      <c r="BY163" s="780" t="e">
        <f>InputQ!BY29/1000</f>
        <v>#VALUE!</v>
      </c>
      <c r="BZ163" s="780" t="e">
        <f>InputQ!BZ29/1000</f>
        <v>#VALUE!</v>
      </c>
      <c r="CA163" s="780" t="e">
        <f>InputQ!CA29/1000</f>
        <v>#VALUE!</v>
      </c>
      <c r="CB163" s="780" t="e">
        <f>InputQ!CB29/1000</f>
        <v>#VALUE!</v>
      </c>
      <c r="CC163" s="780" t="e">
        <f>InputQ!CC29/1000</f>
        <v>#VALUE!</v>
      </c>
      <c r="CD163" s="780" t="e">
        <f>InputQ!CD29/1000</f>
        <v>#VALUE!</v>
      </c>
      <c r="CE163" s="780" t="e">
        <f>InputQ!CE29/1000</f>
        <v>#VALUE!</v>
      </c>
      <c r="CF163" s="780" t="e">
        <f>InputQ!CF29/1000</f>
        <v>#VALUE!</v>
      </c>
      <c r="CG163" s="1591" t="e">
        <f t="shared" ref="CG163:CL163" si="401">+CF163*(1+CG176/100)</f>
        <v>#VALUE!</v>
      </c>
      <c r="CH163" s="1591" t="e">
        <f t="shared" si="401"/>
        <v>#VALUE!</v>
      </c>
      <c r="CI163" s="1591" t="e">
        <f t="shared" si="401"/>
        <v>#VALUE!</v>
      </c>
      <c r="CJ163" s="1591" t="e">
        <f t="shared" si="401"/>
        <v>#VALUE!</v>
      </c>
      <c r="CK163" s="1591" t="e">
        <f t="shared" si="401"/>
        <v>#VALUE!</v>
      </c>
      <c r="CL163" s="1591" t="e">
        <f t="shared" si="401"/>
        <v>#VALUE!</v>
      </c>
      <c r="CM163" s="1591" t="e">
        <f t="shared" ref="CM163:CT163" si="402">+CL163*(1+CM176/100)</f>
        <v>#VALUE!</v>
      </c>
      <c r="CN163" s="1591" t="e">
        <f t="shared" si="402"/>
        <v>#VALUE!</v>
      </c>
      <c r="CO163" s="1591" t="e">
        <f t="shared" si="402"/>
        <v>#VALUE!</v>
      </c>
      <c r="CP163" s="1591" t="e">
        <f t="shared" si="402"/>
        <v>#VALUE!</v>
      </c>
      <c r="CQ163" s="1591" t="e">
        <f t="shared" si="402"/>
        <v>#VALUE!</v>
      </c>
      <c r="CR163" s="1591" t="e">
        <f t="shared" si="402"/>
        <v>#VALUE!</v>
      </c>
      <c r="CS163" s="1591" t="e">
        <f t="shared" si="402"/>
        <v>#VALUE!</v>
      </c>
      <c r="CT163" s="1591" t="e">
        <f t="shared" si="402"/>
        <v>#VALUE!</v>
      </c>
      <c r="CU163" s="1591" t="e">
        <f t="shared" ref="CU163:DB163" si="403">+CT163*(1+CU176/100)</f>
        <v>#VALUE!</v>
      </c>
      <c r="CV163" s="1591" t="e">
        <f t="shared" si="403"/>
        <v>#VALUE!</v>
      </c>
      <c r="CW163" s="1591" t="e">
        <f t="shared" si="403"/>
        <v>#VALUE!</v>
      </c>
      <c r="CX163" s="1591" t="e">
        <f t="shared" si="403"/>
        <v>#VALUE!</v>
      </c>
      <c r="CY163" s="1591" t="e">
        <f t="shared" si="403"/>
        <v>#VALUE!</v>
      </c>
      <c r="CZ163" s="1591" t="e">
        <f t="shared" si="403"/>
        <v>#VALUE!</v>
      </c>
      <c r="DA163" s="1591" t="e">
        <f t="shared" si="403"/>
        <v>#VALUE!</v>
      </c>
      <c r="DB163" s="1591" t="e">
        <f t="shared" si="403"/>
        <v>#VALUE!</v>
      </c>
      <c r="DC163"/>
      <c r="DD163"/>
      <c r="DE163"/>
      <c r="DF163"/>
      <c r="DG163"/>
      <c r="DH163"/>
      <c r="DI163"/>
      <c r="DJ163"/>
      <c r="DK163"/>
      <c r="DL163"/>
      <c r="DM163"/>
      <c r="DN163"/>
      <c r="DO163"/>
    </row>
    <row r="164" spans="1:119" s="699" customFormat="1" ht="12.75" hidden="1" customHeight="1">
      <c r="A164" s="664"/>
      <c r="C164" s="3070"/>
      <c r="D164" s="679"/>
      <c r="E164" s="680" t="s">
        <v>266</v>
      </c>
      <c r="F164" s="1908"/>
      <c r="G164" s="3064"/>
      <c r="H164" s="3064"/>
      <c r="I164" s="3066"/>
      <c r="J164" s="1575">
        <f>SUM(G163:J163)</f>
        <v>3.8876563948100094</v>
      </c>
      <c r="K164" s="3064"/>
      <c r="L164" s="3064"/>
      <c r="M164" s="3066"/>
      <c r="N164" s="1575">
        <f>SUM(K163:N163)</f>
        <v>4.5468894810009273</v>
      </c>
      <c r="O164" s="3064"/>
      <c r="P164" s="3064"/>
      <c r="Q164" s="3066"/>
      <c r="R164" s="1575">
        <f>SUM(O163:R163)</f>
        <v>5.3396953197405015</v>
      </c>
      <c r="S164" s="3064"/>
      <c r="T164" s="3064"/>
      <c r="U164" s="3066"/>
      <c r="V164" s="1575">
        <f>SUM(S163:V163)</f>
        <v>5.5288171918443005</v>
      </c>
      <c r="W164" s="3064"/>
      <c r="X164" s="3064"/>
      <c r="Y164" s="3066"/>
      <c r="Z164" s="1575">
        <f>SUM(W163:Z163)</f>
        <v>4.3403904077849864</v>
      </c>
      <c r="AA164" s="3064"/>
      <c r="AB164" s="3064"/>
      <c r="AC164" s="3066"/>
      <c r="AD164" s="1575">
        <f>SUM(AA163:AD163)</f>
        <v>5.0325822520852643</v>
      </c>
      <c r="AE164" s="3064"/>
      <c r="AF164" s="3064"/>
      <c r="AG164" s="3066"/>
      <c r="AH164" s="1575">
        <f>SUM(AE163:AH163)</f>
        <v>6.2509847080630214</v>
      </c>
      <c r="AI164" s="3064"/>
      <c r="AJ164" s="3064"/>
      <c r="AK164" s="3066"/>
      <c r="AL164" s="1575">
        <f>SUM(AI163:AL163)</f>
        <v>7.4319972196478226</v>
      </c>
      <c r="AM164" s="3064"/>
      <c r="AN164" s="3064"/>
      <c r="AO164" s="3066"/>
      <c r="AP164" s="1575">
        <f>SUM(AM163:AP163)</f>
        <v>8.0680027803521774</v>
      </c>
      <c r="AQ164" s="3064"/>
      <c r="AR164" s="3064"/>
      <c r="AS164" s="3066"/>
      <c r="AT164" s="1575">
        <f>SUM(AQ163:AT163)</f>
        <v>8.2248899443929577</v>
      </c>
      <c r="AU164" s="3064"/>
      <c r="AV164" s="3064"/>
      <c r="AW164" s="3066"/>
      <c r="AX164" s="1575" t="e">
        <f>SUM(AU163:AX163)</f>
        <v>#VALUE!</v>
      </c>
      <c r="AY164" s="3064"/>
      <c r="AZ164" s="3064"/>
      <c r="BA164" s="3066"/>
      <c r="BB164" s="1575" t="e">
        <f>SUM(AY163:BB163)</f>
        <v>#VALUE!</v>
      </c>
      <c r="BC164" s="3064"/>
      <c r="BD164" s="3064"/>
      <c r="BE164" s="3066"/>
      <c r="BF164" s="1575" t="e">
        <f>SUM(BC163:BF163)</f>
        <v>#VALUE!</v>
      </c>
      <c r="BG164" s="3064"/>
      <c r="BH164" s="3064"/>
      <c r="BI164" s="3066"/>
      <c r="BJ164" s="1575" t="e">
        <f>SUM(BG163:BJ163)</f>
        <v>#VALUE!</v>
      </c>
      <c r="BK164" s="3064"/>
      <c r="BL164" s="3064"/>
      <c r="BM164" s="3066"/>
      <c r="BN164" s="1575" t="e">
        <f>SUM(BK163:BN163)</f>
        <v>#VALUE!</v>
      </c>
      <c r="BO164" s="3064"/>
      <c r="BP164" s="3064"/>
      <c r="BQ164" s="3066"/>
      <c r="BR164" s="1575" t="e">
        <f>SUM(BO163:BR163)</f>
        <v>#VALUE!</v>
      </c>
      <c r="BS164" s="3064"/>
      <c r="BT164" s="3064"/>
      <c r="BU164" s="3066"/>
      <c r="BV164" s="1575" t="e">
        <f>SUM(BS163:BV163)</f>
        <v>#VALUE!</v>
      </c>
      <c r="BW164" s="3064"/>
      <c r="BX164" s="3064"/>
      <c r="BY164" s="3066"/>
      <c r="BZ164" s="1575" t="e">
        <f>SUM(BW163:BZ163)</f>
        <v>#VALUE!</v>
      </c>
      <c r="CA164" s="3064"/>
      <c r="CB164" s="3064"/>
      <c r="CC164" s="3066"/>
      <c r="CD164" s="1575" t="e">
        <f>SUM(CA163:CD163)</f>
        <v>#VALUE!</v>
      </c>
      <c r="CE164" s="3064"/>
      <c r="CF164" s="3064"/>
      <c r="CG164" s="3066"/>
      <c r="CH164" s="1575" t="e">
        <f>SUM(CE163:CH163)</f>
        <v>#VALUE!</v>
      </c>
      <c r="CI164" s="3064"/>
      <c r="CJ164" s="3064"/>
      <c r="CK164" s="3066"/>
      <c r="CL164" s="1575" t="e">
        <f>SUM(CI163:CL163)</f>
        <v>#VALUE!</v>
      </c>
      <c r="CM164" s="3064"/>
      <c r="CN164" s="3064"/>
      <c r="CO164" s="3066"/>
      <c r="CP164" s="1575" t="e">
        <f>SUM(CM163:CP163)</f>
        <v>#VALUE!</v>
      </c>
      <c r="CQ164" s="3064"/>
      <c r="CR164" s="3064"/>
      <c r="CS164" s="3066"/>
      <c r="CT164" s="1575" t="e">
        <f>SUM(CQ163:CT163)</f>
        <v>#VALUE!</v>
      </c>
      <c r="CU164" s="3064"/>
      <c r="CV164" s="3064"/>
      <c r="CW164" s="3066"/>
      <c r="CX164" s="1575" t="e">
        <f>SUM(CU163:CX163)</f>
        <v>#VALUE!</v>
      </c>
      <c r="CY164" s="3064"/>
      <c r="CZ164" s="3064"/>
      <c r="DA164" s="3066"/>
      <c r="DB164" s="1575" t="e">
        <f>SUM(CY163:DB163)</f>
        <v>#VALUE!</v>
      </c>
      <c r="DC164"/>
      <c r="DD164"/>
      <c r="DE164"/>
      <c r="DF164"/>
      <c r="DG164"/>
      <c r="DH164"/>
      <c r="DI164"/>
      <c r="DJ164"/>
      <c r="DK164"/>
      <c r="DL164"/>
      <c r="DM164"/>
      <c r="DN164"/>
      <c r="DO164"/>
    </row>
    <row r="165" spans="1:119" s="699" customFormat="1" ht="12.75" hidden="1" customHeight="1">
      <c r="A165" s="664"/>
      <c r="C165" s="3070"/>
      <c r="D165" s="679"/>
      <c r="E165" s="680" t="s">
        <v>1847</v>
      </c>
      <c r="F165" s="1908"/>
      <c r="G165" s="3064"/>
      <c r="H165" s="3067" t="s">
        <v>757</v>
      </c>
      <c r="I165" s="3064">
        <f ca="1">+J165/J164*100</f>
        <v>100.50657062003714</v>
      </c>
      <c r="J165" s="1575">
        <f ca="1">OFFSET('VVP2'!$G$82,0,(COLUMN()-10)/4)</f>
        <v>3.9073501199141121</v>
      </c>
      <c r="K165" s="3064"/>
      <c r="L165" s="3067" t="s">
        <v>757</v>
      </c>
      <c r="M165" s="3064">
        <f ca="1">+N165/N164*100</f>
        <v>100.59540175446926</v>
      </c>
      <c r="N165" s="1575">
        <f ca="1">OFFSET('VVP2'!$G$82,0,(COLUMN()-10)/4)</f>
        <v>4.5739617407445854</v>
      </c>
      <c r="O165" s="3064"/>
      <c r="P165" s="3067" t="s">
        <v>757</v>
      </c>
      <c r="Q165" s="3064">
        <f ca="1">+R165/R164*100</f>
        <v>101.4702587929176</v>
      </c>
      <c r="R165" s="1575">
        <f ca="1">OFFSET('VVP2'!$G$82,0,(COLUMN()-10)/4)</f>
        <v>5.4182026596939963</v>
      </c>
      <c r="S165" s="3064"/>
      <c r="T165" s="3067" t="s">
        <v>757</v>
      </c>
      <c r="U165" s="3064">
        <f ca="1">+V165/V164*100</f>
        <v>100.78405556233712</v>
      </c>
      <c r="V165" s="1575">
        <f ca="1">OFFSET('VVP2'!$G$82,0,(COLUMN()-10)/4)</f>
        <v>5.5721661905684066</v>
      </c>
      <c r="W165" s="3064"/>
      <c r="X165" s="3067" t="s">
        <v>757</v>
      </c>
      <c r="Y165" s="3064">
        <f ca="1">+Z165/Z164*100</f>
        <v>101.32560717144545</v>
      </c>
      <c r="Z165" s="1575">
        <f ca="1">OFFSET('VVP2'!$G$82,0,(COLUMN()-10)/4)</f>
        <v>4.3979269342993144</v>
      </c>
      <c r="AA165" s="3064"/>
      <c r="AB165" s="3067" t="s">
        <v>757</v>
      </c>
      <c r="AC165" s="3064">
        <f ca="1">+AD165/AD164*100</f>
        <v>100.46552576135865</v>
      </c>
      <c r="AD165" s="1575">
        <f ca="1">OFFSET('VVP2'!$G$82,0,(COLUMN()-10)/4)</f>
        <v>5.0560102189302842</v>
      </c>
      <c r="AE165" s="3064"/>
      <c r="AF165" s="3067" t="s">
        <v>757</v>
      </c>
      <c r="AG165" s="3064">
        <f ca="1">+AH165/AH164*100</f>
        <v>100.74481332597891</v>
      </c>
      <c r="AH165" s="1575">
        <f ca="1">OFFSET('VVP2'!$G$82,0,(COLUMN()-10)/4)</f>
        <v>6.2975428751735789</v>
      </c>
      <c r="AI165" s="3064"/>
      <c r="AJ165" s="3067" t="s">
        <v>757</v>
      </c>
      <c r="AK165" s="3064">
        <f ca="1">+AL165/AL164*100</f>
        <v>100.94004009612492</v>
      </c>
      <c r="AL165" s="1575">
        <f ca="1">OFFSET('VVP2'!$G$82,0,(COLUMN()-10)/4)</f>
        <v>7.5018609734554005</v>
      </c>
      <c r="AM165" s="3064"/>
      <c r="AN165" s="3067" t="s">
        <v>757</v>
      </c>
      <c r="AO165" s="3064">
        <f ca="1">+AP165/AP164*100</f>
        <v>101.41688222866505</v>
      </c>
      <c r="AP165" s="1575">
        <f ca="1">OFFSET('VVP2'!$G$82,0,(COLUMN()-10)/4)</f>
        <v>8.1823168779551896</v>
      </c>
      <c r="AQ165" s="3064"/>
      <c r="AR165" s="3067" t="s">
        <v>757</v>
      </c>
      <c r="AS165" s="3064">
        <f ca="1">+AT165/AT164*100</f>
        <v>101.54676909316909</v>
      </c>
      <c r="AT165" s="1575">
        <f ca="1">OFFSET('VVP2'!$G$82,0,(COLUMN()-10)/4)</f>
        <v>8.3521099999999997</v>
      </c>
      <c r="AU165" s="3064"/>
      <c r="AV165" s="3067" t="s">
        <v>757</v>
      </c>
      <c r="AW165" s="3064" t="e">
        <f ca="1">+AX165/AX164*100</f>
        <v>#VALUE!</v>
      </c>
      <c r="AX165" s="1575">
        <f ca="1">OFFSET('VVP2'!$G$82,0,(COLUMN()-10)/4)</f>
        <v>10.43451</v>
      </c>
      <c r="AY165" s="3064"/>
      <c r="AZ165" s="3067" t="s">
        <v>757</v>
      </c>
      <c r="BA165" s="3064" t="e">
        <f ca="1">+BB165/BB164*100</f>
        <v>#VALUE!</v>
      </c>
      <c r="BB165" s="1575">
        <f ca="1">OFFSET('VVP2'!$G$82,0,(COLUMN()-10)/4)</f>
        <v>11.827110000000001</v>
      </c>
      <c r="BC165" s="3064"/>
      <c r="BD165" s="3067" t="s">
        <v>757</v>
      </c>
      <c r="BE165" s="3064" t="e">
        <f ca="1">+BF165/BF164*100</f>
        <v>#VALUE!</v>
      </c>
      <c r="BF165" s="1575">
        <f ca="1">OFFSET('VVP2'!$G$82,0,(COLUMN()-10)/4)</f>
        <v>12.2881</v>
      </c>
      <c r="BG165" s="3064"/>
      <c r="BH165" s="3067" t="s">
        <v>757</v>
      </c>
      <c r="BI165" s="3064" t="e">
        <f ca="1">+BJ165/BJ164*100</f>
        <v>#VALUE!</v>
      </c>
      <c r="BJ165" s="1575">
        <f ca="1">OFFSET('VVP2'!$G$82,0,(COLUMN()-10)/4)</f>
        <v>14.26449</v>
      </c>
      <c r="BK165" s="3064"/>
      <c r="BL165" s="3067" t="s">
        <v>757</v>
      </c>
      <c r="BM165" s="3064" t="e">
        <f ca="1">+BN165/BN164*100</f>
        <v>#VALUE!</v>
      </c>
      <c r="BN165" s="1575">
        <f ca="1">OFFSET('VVP2'!$G$82,0,(COLUMN()-10)/4)</f>
        <v>12.42754</v>
      </c>
      <c r="BO165" s="3064"/>
      <c r="BP165" s="3067" t="s">
        <v>757</v>
      </c>
      <c r="BQ165" s="3064" t="e">
        <f ca="1">+BR165/BR164*100</f>
        <v>#VALUE!</v>
      </c>
      <c r="BR165" s="1575">
        <f ca="1">OFFSET('VVP2'!$G$82,0,(COLUMN()-10)/4)</f>
        <v>14.891</v>
      </c>
      <c r="BS165" s="3064"/>
      <c r="BT165" s="3067" t="s">
        <v>757</v>
      </c>
      <c r="BU165" s="3064" t="e">
        <f ca="1">+BV165/BV164*100</f>
        <v>#VALUE!</v>
      </c>
      <c r="BV165" s="1575">
        <f ca="1">OFFSET('VVP2'!$G$82,0,(COLUMN()-10)/4)</f>
        <v>17.204669999999997</v>
      </c>
      <c r="BW165" s="3064"/>
      <c r="BX165" s="3067" t="s">
        <v>757</v>
      </c>
      <c r="BY165" s="3064" t="e">
        <f ca="1">+BZ165/BZ164*100</f>
        <v>#VALUE!</v>
      </c>
      <c r="BZ165" s="1575">
        <f ca="1">OFFSET('VVP2'!$G$82,0,(COLUMN()-10)/4)</f>
        <v>19.202400000000001</v>
      </c>
      <c r="CA165" s="3064"/>
      <c r="CB165" s="3067" t="s">
        <v>757</v>
      </c>
      <c r="CC165" s="3064" t="e">
        <f ca="1">+CD165/CD164*100</f>
        <v>#VALUE!</v>
      </c>
      <c r="CD165" s="1575">
        <f ca="1">OFFSET('VVP2'!$G$82,0,(COLUMN()-10)/4)</f>
        <v>20.987580000000001</v>
      </c>
      <c r="CE165" s="3064"/>
      <c r="CF165" s="3067" t="s">
        <v>757</v>
      </c>
      <c r="CG165" s="3064" t="e">
        <f ca="1">+CH165/CH164*100</f>
        <v>#VALUE!</v>
      </c>
      <c r="CH165" s="1575">
        <f ca="1">OFFSET('VVP2'!$G$82,0,(COLUMN()-10)/4)</f>
        <v>21.368490000000001</v>
      </c>
      <c r="CI165" s="3064"/>
      <c r="CJ165" s="3067" t="s">
        <v>757</v>
      </c>
      <c r="CK165" s="3064" t="e">
        <f ca="1">+CL165/CL164*100</f>
        <v>#VALUE!</v>
      </c>
      <c r="CL165" s="1575">
        <f ca="1">OFFSET('VVP2'!$G$82,0,(COLUMN()-10)/4)</f>
        <v>21.201090000000001</v>
      </c>
      <c r="CM165" s="3064"/>
      <c r="CN165" s="3067" t="s">
        <v>757</v>
      </c>
      <c r="CO165" s="3064" t="e">
        <f ca="1">+CP165/CP164*100</f>
        <v>#VALUE!</v>
      </c>
      <c r="CP165" s="1575">
        <f ca="1">OFFSET('VVP2'!$G$82,0,(COLUMN()-10)/4)</f>
        <v>21.49098</v>
      </c>
      <c r="CQ165" s="3064"/>
      <c r="CR165" s="3067" t="s">
        <v>757</v>
      </c>
      <c r="CS165" s="3064" t="e">
        <f ca="1">+CT165/CT164*100</f>
        <v>#VALUE!</v>
      </c>
      <c r="CT165" s="1575">
        <f ca="1">OFFSET('VVP2'!$G$82,0,(COLUMN()-10)/4)</f>
        <v>24.115099999999998</v>
      </c>
      <c r="CU165" s="3064"/>
      <c r="CV165" s="3067" t="s">
        <v>757</v>
      </c>
      <c r="CW165" s="3064" t="e">
        <f ca="1">+CX165/CX164*100</f>
        <v>#VALUE!</v>
      </c>
      <c r="CX165" s="1575">
        <f ca="1">OFFSET('VVP2'!$G$82,0,(COLUMN()-10)/4)</f>
        <v>25.369085200000001</v>
      </c>
      <c r="CY165" s="3064"/>
      <c r="CZ165" s="3067" t="s">
        <v>757</v>
      </c>
      <c r="DA165" s="3064" t="e">
        <f ca="1">+DB165/DB164*100</f>
        <v>#VALUE!</v>
      </c>
      <c r="DB165" s="1575">
        <f ca="1">OFFSET('VVP2'!$G$82,0,(COLUMN()-10)/4)</f>
        <v>26.485324948800002</v>
      </c>
      <c r="DC165"/>
      <c r="DD165"/>
      <c r="DE165"/>
      <c r="DF165"/>
      <c r="DG165"/>
      <c r="DH165"/>
      <c r="DI165"/>
      <c r="DJ165"/>
      <c r="DK165"/>
      <c r="DL165"/>
      <c r="DM165"/>
      <c r="DN165"/>
      <c r="DO165"/>
    </row>
    <row r="166" spans="1:119" s="699" customFormat="1" ht="12.75" hidden="1" customHeight="1">
      <c r="A166" s="664" t="str">
        <f>"Q" &amp; ROW(InputQ!A30)</f>
        <v>Q30</v>
      </c>
      <c r="C166" s="3070" t="s">
        <v>1767</v>
      </c>
      <c r="D166" s="674"/>
      <c r="E166" s="3629" t="s">
        <v>1783</v>
      </c>
      <c r="F166" s="3630"/>
      <c r="G166" s="706">
        <f>InputQ!G30/1000</f>
        <v>0.20395041705282671</v>
      </c>
      <c r="H166" s="706">
        <f>InputQ!H30/1000</f>
        <v>0.207483781278962</v>
      </c>
      <c r="I166" s="706">
        <f>InputQ!I30/1000</f>
        <v>0.2016913809082484</v>
      </c>
      <c r="J166" s="706">
        <f>InputQ!J30/1000</f>
        <v>0.19951923076923078</v>
      </c>
      <c r="K166" s="706">
        <f>InputQ!K30/1000</f>
        <v>0.24971037998146434</v>
      </c>
      <c r="L166" s="706">
        <f>InputQ!L30/1000</f>
        <v>0.25613994439295645</v>
      </c>
      <c r="M166" s="706">
        <f>InputQ!M30/1000</f>
        <v>0.26731927710843378</v>
      </c>
      <c r="N166" s="706">
        <f>InputQ!N30/1000</f>
        <v>0.28087349397590361</v>
      </c>
      <c r="O166" s="706">
        <f>InputQ!O30/1000</f>
        <v>0.29486214087117701</v>
      </c>
      <c r="P166" s="706">
        <f>InputQ!P30/1000</f>
        <v>0.29926436515291938</v>
      </c>
      <c r="Q166" s="706">
        <f>InputQ!Q30/1000</f>
        <v>0.32677826691380907</v>
      </c>
      <c r="R166" s="706">
        <f>InputQ!R30/1000</f>
        <v>0.352264828544949</v>
      </c>
      <c r="S166" s="706">
        <f>InputQ!S30/1000</f>
        <v>0.35420528266913809</v>
      </c>
      <c r="T166" s="706">
        <f>InputQ!T30/1000</f>
        <v>0.35967910101946249</v>
      </c>
      <c r="U166" s="706">
        <f>InputQ!U30/1000</f>
        <v>0.3589550509731233</v>
      </c>
      <c r="V166" s="706">
        <f>InputQ!V30/1000</f>
        <v>0.35313368860055605</v>
      </c>
      <c r="W166" s="706">
        <f>InputQ!W30/1000</f>
        <v>0.35379981464318816</v>
      </c>
      <c r="X166" s="706">
        <f>InputQ!X30/1000</f>
        <v>0.36199606116774796</v>
      </c>
      <c r="Y166" s="706">
        <f>InputQ!Y30/1000</f>
        <v>0.36121408711770159</v>
      </c>
      <c r="Z166" s="706">
        <f>InputQ!Z30/1000</f>
        <v>0.35345227062094536</v>
      </c>
      <c r="AA166" s="706">
        <f>InputQ!AA30/1000</f>
        <v>0.34010078776645042</v>
      </c>
      <c r="AB166" s="706">
        <f>InputQ!AB30/1000</f>
        <v>0.33789967562557927</v>
      </c>
      <c r="AC166" s="706">
        <f>InputQ!AC30/1000</f>
        <v>0.33419253938832261</v>
      </c>
      <c r="AD166" s="706">
        <f>InputQ!AD30/1000</f>
        <v>0.32871872103799815</v>
      </c>
      <c r="AE166" s="706">
        <f>InputQ!AE30/1000</f>
        <v>0.34519810009267843</v>
      </c>
      <c r="AF166" s="706">
        <f>InputQ!AF30/1000</f>
        <v>0.35322057460611678</v>
      </c>
      <c r="AG166" s="706">
        <f>InputQ!AG30/1000</f>
        <v>0.37071362372567196</v>
      </c>
      <c r="AH166" s="706">
        <f>InputQ!AH30/1000</f>
        <v>0.39052363299351256</v>
      </c>
      <c r="AI166" s="706">
        <f>InputQ!AI30/1000</f>
        <v>0.40903035217794254</v>
      </c>
      <c r="AJ166" s="706">
        <f>InputQ!AJ30/1000</f>
        <v>0.42348239110287306</v>
      </c>
      <c r="AK166" s="706">
        <f>InputQ!AK30/1000</f>
        <v>0.42710264133456904</v>
      </c>
      <c r="AL166" s="706">
        <f>InputQ!AL30/1000</f>
        <v>0.4405410101946246</v>
      </c>
      <c r="AM166" s="706">
        <f>InputQ!AM30/1000</f>
        <v>0.45493512511584799</v>
      </c>
      <c r="AN166" s="706">
        <f>InputQ!AN30/1000</f>
        <v>0.44172845227062096</v>
      </c>
      <c r="AO166" s="706">
        <f>InputQ!AO30/1000</f>
        <v>0.44531974050046341</v>
      </c>
      <c r="AP166" s="706">
        <f>InputQ!AP30/1000</f>
        <v>0.457483781278962</v>
      </c>
      <c r="AQ166" s="706">
        <f>InputQ!AQ30/1000</f>
        <v>0.47442655236329934</v>
      </c>
      <c r="AR166" s="706">
        <f>InputQ!AR30/1000</f>
        <v>0.48198563484708068</v>
      </c>
      <c r="AS166" s="706">
        <f>InputQ!AS30/1000</f>
        <v>0.51986793327154768</v>
      </c>
      <c r="AT166" s="706">
        <f>InputQ!AT30/1000</f>
        <v>0.53837465245597771</v>
      </c>
      <c r="AU166" s="706" t="e">
        <f>InputQ!AU30/1000</f>
        <v>#VALUE!</v>
      </c>
      <c r="AV166" s="706" t="e">
        <f>InputQ!AV30/1000</f>
        <v>#VALUE!</v>
      </c>
      <c r="AW166" s="706" t="e">
        <f>InputQ!AW30/1000</f>
        <v>#VALUE!</v>
      </c>
      <c r="AX166" s="706" t="e">
        <f>InputQ!AX30/1000</f>
        <v>#VALUE!</v>
      </c>
      <c r="AY166" s="706" t="e">
        <f>InputQ!AY30/1000</f>
        <v>#VALUE!</v>
      </c>
      <c r="AZ166" s="706" t="e">
        <f>InputQ!AZ30/1000</f>
        <v>#VALUE!</v>
      </c>
      <c r="BA166" s="706" t="e">
        <f>InputQ!BA30/1000</f>
        <v>#VALUE!</v>
      </c>
      <c r="BB166" s="706" t="e">
        <f>InputQ!BB30/1000</f>
        <v>#VALUE!</v>
      </c>
      <c r="BC166" s="706" t="e">
        <f>InputQ!BC30/1000</f>
        <v>#VALUE!</v>
      </c>
      <c r="BD166" s="706" t="e">
        <f>InputQ!BD30/1000</f>
        <v>#VALUE!</v>
      </c>
      <c r="BE166" s="706" t="e">
        <f>InputQ!BE30/1000</f>
        <v>#VALUE!</v>
      </c>
      <c r="BF166" s="706" t="e">
        <f>InputQ!BF30/1000</f>
        <v>#VALUE!</v>
      </c>
      <c r="BG166" s="706" t="e">
        <f>InputQ!BG30/1000</f>
        <v>#VALUE!</v>
      </c>
      <c r="BH166" s="706" t="e">
        <f>InputQ!BH30/1000</f>
        <v>#VALUE!</v>
      </c>
      <c r="BI166" s="706" t="e">
        <f>InputQ!BI30/1000</f>
        <v>#VALUE!</v>
      </c>
      <c r="BJ166" s="1564" t="e">
        <f>InputQ!BJ30/1000</f>
        <v>#VALUE!</v>
      </c>
      <c r="BK166" s="1564" t="e">
        <f>InputQ!BK30/1000</f>
        <v>#VALUE!</v>
      </c>
      <c r="BL166" s="1564" t="e">
        <f>InputQ!BL30/1000</f>
        <v>#VALUE!</v>
      </c>
      <c r="BM166" s="1564" t="e">
        <f>InputQ!BM30/1000</f>
        <v>#VALUE!</v>
      </c>
      <c r="BN166" s="1564" t="e">
        <f>InputQ!BN30/1000</f>
        <v>#VALUE!</v>
      </c>
      <c r="BO166" s="1564" t="e">
        <f>InputQ!BO30/1000</f>
        <v>#VALUE!</v>
      </c>
      <c r="BP166" s="1564" t="e">
        <f>InputQ!BP30/1000</f>
        <v>#VALUE!</v>
      </c>
      <c r="BQ166" s="1564" t="e">
        <f>InputQ!BQ30/1000</f>
        <v>#VALUE!</v>
      </c>
      <c r="BR166" s="1564" t="e">
        <f>InputQ!BR30/1000</f>
        <v>#VALUE!</v>
      </c>
      <c r="BS166" s="1564" t="e">
        <f>InputQ!BS30/1000</f>
        <v>#VALUE!</v>
      </c>
      <c r="BT166" s="1564" t="e">
        <f>InputQ!BT30/1000</f>
        <v>#VALUE!</v>
      </c>
      <c r="BU166" s="1564" t="e">
        <f>InputQ!BU30/1000</f>
        <v>#VALUE!</v>
      </c>
      <c r="BV166" s="1564" t="e">
        <f>InputQ!BV30/1000</f>
        <v>#VALUE!</v>
      </c>
      <c r="BW166" s="1564" t="e">
        <f>InputQ!BW30/1000</f>
        <v>#VALUE!</v>
      </c>
      <c r="BX166" s="1564" t="e">
        <f>InputQ!BX30/1000</f>
        <v>#VALUE!</v>
      </c>
      <c r="BY166" s="1564" t="e">
        <f>InputQ!BY30/1000</f>
        <v>#VALUE!</v>
      </c>
      <c r="BZ166" s="1564" t="e">
        <f>InputQ!BZ30/1000</f>
        <v>#VALUE!</v>
      </c>
      <c r="CA166" s="1564" t="e">
        <f>InputQ!CA30/1000</f>
        <v>#VALUE!</v>
      </c>
      <c r="CB166" s="1564" t="e">
        <f>InputQ!CB30/1000</f>
        <v>#VALUE!</v>
      </c>
      <c r="CC166" s="1564" t="e">
        <f>InputQ!CC30/1000</f>
        <v>#VALUE!</v>
      </c>
      <c r="CD166" s="1564" t="e">
        <f>InputQ!CD30/1000</f>
        <v>#VALUE!</v>
      </c>
      <c r="CE166" s="1564" t="e">
        <f>InputQ!CE30/1000</f>
        <v>#VALUE!</v>
      </c>
      <c r="CF166" s="1564" t="e">
        <f>InputQ!CF30/1000</f>
        <v>#VALUE!</v>
      </c>
      <c r="CG166" s="3065" t="e">
        <f t="shared" ref="CG166:CL166" si="404">+CF166*(1+CG179/100)</f>
        <v>#VALUE!</v>
      </c>
      <c r="CH166" s="3065" t="e">
        <f t="shared" si="404"/>
        <v>#VALUE!</v>
      </c>
      <c r="CI166" s="3065" t="e">
        <f t="shared" si="404"/>
        <v>#VALUE!</v>
      </c>
      <c r="CJ166" s="3065" t="e">
        <f t="shared" si="404"/>
        <v>#VALUE!</v>
      </c>
      <c r="CK166" s="3065" t="e">
        <f t="shared" si="404"/>
        <v>#VALUE!</v>
      </c>
      <c r="CL166" s="3065" t="e">
        <f t="shared" si="404"/>
        <v>#VALUE!</v>
      </c>
      <c r="CM166" s="3065" t="e">
        <f t="shared" ref="CM166:CT166" si="405">+CL166*(1+CM179/100)</f>
        <v>#VALUE!</v>
      </c>
      <c r="CN166" s="3065" t="e">
        <f t="shared" si="405"/>
        <v>#VALUE!</v>
      </c>
      <c r="CO166" s="3065" t="e">
        <f t="shared" si="405"/>
        <v>#VALUE!</v>
      </c>
      <c r="CP166" s="3065" t="e">
        <f t="shared" si="405"/>
        <v>#VALUE!</v>
      </c>
      <c r="CQ166" s="3065" t="e">
        <f t="shared" si="405"/>
        <v>#VALUE!</v>
      </c>
      <c r="CR166" s="3065" t="e">
        <f t="shared" si="405"/>
        <v>#VALUE!</v>
      </c>
      <c r="CS166" s="3065" t="e">
        <f t="shared" si="405"/>
        <v>#VALUE!</v>
      </c>
      <c r="CT166" s="3065" t="e">
        <f t="shared" si="405"/>
        <v>#VALUE!</v>
      </c>
      <c r="CU166" s="3065" t="e">
        <f t="shared" ref="CU166:DB166" si="406">+CT166*(1+CU179/100)</f>
        <v>#VALUE!</v>
      </c>
      <c r="CV166" s="3065" t="e">
        <f t="shared" si="406"/>
        <v>#VALUE!</v>
      </c>
      <c r="CW166" s="3065" t="e">
        <f t="shared" si="406"/>
        <v>#VALUE!</v>
      </c>
      <c r="CX166" s="3065" t="e">
        <f t="shared" si="406"/>
        <v>#VALUE!</v>
      </c>
      <c r="CY166" s="3065" t="e">
        <f t="shared" si="406"/>
        <v>#VALUE!</v>
      </c>
      <c r="CZ166" s="3065" t="e">
        <f t="shared" si="406"/>
        <v>#VALUE!</v>
      </c>
      <c r="DA166" s="3065" t="e">
        <f t="shared" si="406"/>
        <v>#VALUE!</v>
      </c>
      <c r="DB166" s="3065" t="e">
        <f t="shared" si="406"/>
        <v>#VALUE!</v>
      </c>
      <c r="DC166"/>
      <c r="DD166"/>
      <c r="DE166"/>
      <c r="DF166"/>
      <c r="DG166"/>
      <c r="DH166"/>
      <c r="DI166"/>
      <c r="DJ166"/>
      <c r="DK166"/>
      <c r="DL166"/>
      <c r="DM166"/>
      <c r="DN166"/>
      <c r="DO166"/>
    </row>
    <row r="167" spans="1:119" s="699" customFormat="1" ht="12.75" hidden="1" customHeight="1">
      <c r="A167" s="664"/>
      <c r="C167" s="3070"/>
      <c r="D167" s="679"/>
      <c r="E167" s="680" t="s">
        <v>266</v>
      </c>
      <c r="F167" s="1908"/>
      <c r="G167" s="3064"/>
      <c r="H167" s="3064"/>
      <c r="I167" s="3066"/>
      <c r="J167" s="1575">
        <f>SUM(G166:J166)</f>
        <v>0.81264481000926803</v>
      </c>
      <c r="K167" s="3064"/>
      <c r="L167" s="3064"/>
      <c r="M167" s="3066"/>
      <c r="N167" s="1575">
        <f>SUM(K166:N166)</f>
        <v>1.0540430954587583</v>
      </c>
      <c r="O167" s="3064"/>
      <c r="P167" s="3064"/>
      <c r="Q167" s="3066"/>
      <c r="R167" s="1575">
        <f>SUM(O166:R166)</f>
        <v>1.2731696014828544</v>
      </c>
      <c r="S167" s="3064"/>
      <c r="T167" s="3064"/>
      <c r="U167" s="3066"/>
      <c r="V167" s="1575">
        <f>SUM(S166:V166)</f>
        <v>1.4259731232622801</v>
      </c>
      <c r="W167" s="3064"/>
      <c r="X167" s="3064"/>
      <c r="Y167" s="3066"/>
      <c r="Z167" s="1575">
        <f>SUM(W166:Z166)</f>
        <v>1.4304622335495831</v>
      </c>
      <c r="AA167" s="3064"/>
      <c r="AB167" s="3064"/>
      <c r="AC167" s="3066"/>
      <c r="AD167" s="1575">
        <f>SUM(AA166:AD166)</f>
        <v>1.3409117238183503</v>
      </c>
      <c r="AE167" s="3064"/>
      <c r="AF167" s="3064"/>
      <c r="AG167" s="3066"/>
      <c r="AH167" s="1575">
        <f>SUM(AE166:AH166)</f>
        <v>1.4596559314179798</v>
      </c>
      <c r="AI167" s="3064"/>
      <c r="AJ167" s="3064"/>
      <c r="AK167" s="3066"/>
      <c r="AL167" s="1575">
        <f>SUM(AI166:AL166)</f>
        <v>1.7001563948100091</v>
      </c>
      <c r="AM167" s="3064"/>
      <c r="AN167" s="3064"/>
      <c r="AO167" s="3066"/>
      <c r="AP167" s="1575">
        <f>SUM(AM166:AP166)</f>
        <v>1.7994670991658943</v>
      </c>
      <c r="AQ167" s="3064"/>
      <c r="AR167" s="3064"/>
      <c r="AS167" s="3066"/>
      <c r="AT167" s="1575">
        <f>SUM(AQ166:AT166)</f>
        <v>2.0146547729379054</v>
      </c>
      <c r="AU167" s="3064"/>
      <c r="AV167" s="3064"/>
      <c r="AW167" s="3066"/>
      <c r="AX167" s="1575" t="e">
        <f>SUM(AU166:AX166)</f>
        <v>#VALUE!</v>
      </c>
      <c r="AY167" s="3064"/>
      <c r="AZ167" s="3064"/>
      <c r="BA167" s="3066"/>
      <c r="BB167" s="1575" t="e">
        <f>SUM(AY166:BB166)</f>
        <v>#VALUE!</v>
      </c>
      <c r="BC167" s="3064"/>
      <c r="BD167" s="3064"/>
      <c r="BE167" s="3066"/>
      <c r="BF167" s="1575" t="e">
        <f>SUM(BC166:BF166)</f>
        <v>#VALUE!</v>
      </c>
      <c r="BG167" s="3064"/>
      <c r="BH167" s="3064"/>
      <c r="BI167" s="3066"/>
      <c r="BJ167" s="1575" t="e">
        <f>SUM(BG166:BJ166)</f>
        <v>#VALUE!</v>
      </c>
      <c r="BK167" s="3064"/>
      <c r="BL167" s="3064"/>
      <c r="BM167" s="3066"/>
      <c r="BN167" s="1575" t="e">
        <f>SUM(BK166:BN166)</f>
        <v>#VALUE!</v>
      </c>
      <c r="BO167" s="3064"/>
      <c r="BP167" s="3064"/>
      <c r="BQ167" s="3066"/>
      <c r="BR167" s="1575" t="e">
        <f>SUM(BO166:BR166)</f>
        <v>#VALUE!</v>
      </c>
      <c r="BS167" s="3064"/>
      <c r="BT167" s="3064"/>
      <c r="BU167" s="3066"/>
      <c r="BV167" s="1575" t="e">
        <f>SUM(BS166:BV166)</f>
        <v>#VALUE!</v>
      </c>
      <c r="BW167" s="3064"/>
      <c r="BX167" s="3064"/>
      <c r="BY167" s="3066"/>
      <c r="BZ167" s="1575" t="e">
        <f>SUM(BW166:BZ166)</f>
        <v>#VALUE!</v>
      </c>
      <c r="CA167" s="3064"/>
      <c r="CB167" s="3064"/>
      <c r="CC167" s="3066"/>
      <c r="CD167" s="1575" t="e">
        <f>SUM(CA166:CD166)</f>
        <v>#VALUE!</v>
      </c>
      <c r="CE167" s="3064"/>
      <c r="CF167" s="3064"/>
      <c r="CG167" s="3066"/>
      <c r="CH167" s="1575" t="e">
        <f>SUM(CE166:CH166)</f>
        <v>#VALUE!</v>
      </c>
      <c r="CI167" s="3064"/>
      <c r="CJ167" s="3064"/>
      <c r="CK167" s="3066"/>
      <c r="CL167" s="1575" t="e">
        <f>SUM(CI166:CL166)</f>
        <v>#VALUE!</v>
      </c>
      <c r="CM167" s="3064"/>
      <c r="CN167" s="3064"/>
      <c r="CO167" s="3066"/>
      <c r="CP167" s="1575" t="e">
        <f>SUM(CM166:CP166)</f>
        <v>#VALUE!</v>
      </c>
      <c r="CQ167" s="3064"/>
      <c r="CR167" s="3064"/>
      <c r="CS167" s="3066"/>
      <c r="CT167" s="1575" t="e">
        <f>SUM(CQ166:CT166)</f>
        <v>#VALUE!</v>
      </c>
      <c r="CU167" s="3064"/>
      <c r="CV167" s="3064"/>
      <c r="CW167" s="3066"/>
      <c r="CX167" s="1575" t="e">
        <f>SUM(CU166:CX166)</f>
        <v>#VALUE!</v>
      </c>
      <c r="CY167" s="3064"/>
      <c r="CZ167" s="3064"/>
      <c r="DA167" s="3066"/>
      <c r="DB167" s="1575" t="e">
        <f>SUM(CY166:DB166)</f>
        <v>#VALUE!</v>
      </c>
      <c r="DC167"/>
      <c r="DD167"/>
      <c r="DE167"/>
      <c r="DF167"/>
      <c r="DG167"/>
      <c r="DH167"/>
      <c r="DI167"/>
      <c r="DJ167"/>
      <c r="DK167"/>
      <c r="DL167"/>
      <c r="DM167"/>
      <c r="DN167"/>
      <c r="DO167"/>
    </row>
    <row r="168" spans="1:119" s="699" customFormat="1" ht="12.75" hidden="1" customHeight="1">
      <c r="A168" s="664"/>
      <c r="C168" s="3070"/>
      <c r="D168" s="679"/>
      <c r="E168" s="680" t="s">
        <v>1847</v>
      </c>
      <c r="F168" s="1908"/>
      <c r="G168" s="3064"/>
      <c r="H168" s="3067" t="s">
        <v>757</v>
      </c>
      <c r="I168" s="3064">
        <f ca="1">+J168/J167*100</f>
        <v>135.33933798573332</v>
      </c>
      <c r="J168" s="1575">
        <f ca="1">OFFSET('VVP2'!$G$81,0,(COLUMN()-10)/4)</f>
        <v>1.0998281060419637</v>
      </c>
      <c r="K168" s="3064"/>
      <c r="L168" s="3067" t="s">
        <v>757</v>
      </c>
      <c r="M168" s="3064">
        <f ca="1">+N168/N167*100</f>
        <v>135.69074751654702</v>
      </c>
      <c r="N168" s="1575">
        <f ca="1">OFFSET('VVP2'!$G$81,0,(COLUMN()-10)/4)</f>
        <v>1.4302389553745405</v>
      </c>
      <c r="O168" s="3064"/>
      <c r="P168" s="3067" t="s">
        <v>757</v>
      </c>
      <c r="Q168" s="3064">
        <f ca="1">+R168/R167*100</f>
        <v>135.30946821926261</v>
      </c>
      <c r="R168" s="1575">
        <f ca="1">OFFSET('VVP2'!$G$81,0,(COLUMN()-10)/4)</f>
        <v>1.7227190172957554</v>
      </c>
      <c r="S168" s="3064"/>
      <c r="T168" s="3067" t="s">
        <v>757</v>
      </c>
      <c r="U168" s="3064">
        <f ca="1">+V168/V167*100</f>
        <v>135.33069279639881</v>
      </c>
      <c r="V168" s="1575">
        <f ca="1">OFFSET('VVP2'!$G$81,0,(COLUMN()-10)/4)</f>
        <v>1.9297793068012896</v>
      </c>
      <c r="W168" s="3064"/>
      <c r="X168" s="3067" t="s">
        <v>757</v>
      </c>
      <c r="Y168" s="3064">
        <f ca="1">+Z168/Z167*100</f>
        <v>135.30548272841574</v>
      </c>
      <c r="Z168" s="1575">
        <f ca="1">OFFSET('VVP2'!$G$81,0,(COLUMN()-10)/4)</f>
        <v>1.9354938303519413</v>
      </c>
      <c r="AA168" s="3064"/>
      <c r="AB168" s="3067" t="s">
        <v>757</v>
      </c>
      <c r="AC168" s="3064">
        <f ca="1">+AD168/AD167*100</f>
        <v>135.74399488415386</v>
      </c>
      <c r="AD168" s="1575">
        <f ca="1">OFFSET('VVP2'!$G$81,0,(COLUMN()-10)/4)</f>
        <v>1.8202071417810006</v>
      </c>
      <c r="AE168" s="3064"/>
      <c r="AF168" s="3067" t="s">
        <v>757</v>
      </c>
      <c r="AG168" s="3064">
        <f ca="1">+AH168/AH167*100</f>
        <v>135.33926786805722</v>
      </c>
      <c r="AH168" s="1575">
        <f ca="1">OFFSET('VVP2'!$G$81,0,(COLUMN()-10)/4)</f>
        <v>1.9754876509737651</v>
      </c>
      <c r="AI168" s="3064"/>
      <c r="AJ168" s="3067" t="s">
        <v>757</v>
      </c>
      <c r="AK168" s="3064">
        <f ca="1">+AL168/AL167*100</f>
        <v>135.32617427250113</v>
      </c>
      <c r="AL168" s="1575">
        <f ca="1">OFFSET('VVP2'!$G$81,0,(COLUMN()-10)/4)</f>
        <v>2.3007566057456654</v>
      </c>
      <c r="AM168" s="3064"/>
      <c r="AN168" s="3067" t="s">
        <v>757</v>
      </c>
      <c r="AO168" s="3064">
        <f ca="1">+AP168/AP167*100</f>
        <v>135.3005585190586</v>
      </c>
      <c r="AP168" s="1575">
        <f ca="1">OFFSET('VVP2'!$G$81,0,(COLUMN()-10)/4)</f>
        <v>2.434689035538157</v>
      </c>
      <c r="AQ168" s="3064"/>
      <c r="AR168" s="3067" t="s">
        <v>757</v>
      </c>
      <c r="AS168" s="3064">
        <f ca="1">+AT168/AT167*100</f>
        <v>135.14772042206954</v>
      </c>
      <c r="AT168" s="1575">
        <f ca="1">OFFSET('VVP2'!$G$81,0,(COLUMN()-10)/4)</f>
        <v>2.7227600000000001</v>
      </c>
      <c r="AU168" s="3064"/>
      <c r="AV168" s="3067" t="s">
        <v>757</v>
      </c>
      <c r="AW168" s="3064" t="e">
        <f ca="1">+AX168/AX167*100</f>
        <v>#VALUE!</v>
      </c>
      <c r="AX168" s="1575">
        <f ca="1">OFFSET('VVP2'!$G$81,0,(COLUMN()-10)/4)</f>
        <v>2.9383000000000004</v>
      </c>
      <c r="AY168" s="3064"/>
      <c r="AZ168" s="3067" t="s">
        <v>757</v>
      </c>
      <c r="BA168" s="3064" t="e">
        <f ca="1">+BB168/BB167*100</f>
        <v>#VALUE!</v>
      </c>
      <c r="BB168" s="1575">
        <f ca="1">OFFSET('VVP2'!$G$81,0,(COLUMN()-10)/4)</f>
        <v>3.2352300000000001</v>
      </c>
      <c r="BC168" s="3064"/>
      <c r="BD168" s="3067" t="s">
        <v>757</v>
      </c>
      <c r="BE168" s="3064" t="e">
        <f ca="1">+BF168/BF167*100</f>
        <v>#VALUE!</v>
      </c>
      <c r="BF168" s="1575">
        <f ca="1">OFFSET('VVP2'!$G$81,0,(COLUMN()-10)/4)</f>
        <v>3.2526899999999999</v>
      </c>
      <c r="BG168" s="3064"/>
      <c r="BH168" s="3067" t="s">
        <v>757</v>
      </c>
      <c r="BI168" s="3064" t="e">
        <f ca="1">+BJ168/BJ167*100</f>
        <v>#VALUE!</v>
      </c>
      <c r="BJ168" s="1575">
        <f ca="1">OFFSET('VVP2'!$G$81,0,(COLUMN()-10)/4)</f>
        <v>3.3791599999999997</v>
      </c>
      <c r="BK168" s="3064"/>
      <c r="BL168" s="3067" t="s">
        <v>757</v>
      </c>
      <c r="BM168" s="3064" t="e">
        <f ca="1">+BN168/BN167*100</f>
        <v>#VALUE!</v>
      </c>
      <c r="BN168" s="1575">
        <f ca="1">OFFSET('VVP2'!$G$81,0,(COLUMN()-10)/4)</f>
        <v>2.96034</v>
      </c>
      <c r="BO168" s="3064"/>
      <c r="BP168" s="3067" t="s">
        <v>757</v>
      </c>
      <c r="BQ168" s="3064" t="e">
        <f ca="1">+BR168/BR167*100</f>
        <v>#VALUE!</v>
      </c>
      <c r="BR168" s="1575">
        <f ca="1">OFFSET('VVP2'!$G$81,0,(COLUMN()-10)/4)</f>
        <v>3.4228700000000001</v>
      </c>
      <c r="BS168" s="3064"/>
      <c r="BT168" s="3067" t="s">
        <v>757</v>
      </c>
      <c r="BU168" s="3064" t="e">
        <f ca="1">+BV168/BV167*100</f>
        <v>#VALUE!</v>
      </c>
      <c r="BV168" s="1575">
        <f ca="1">OFFSET('VVP2'!$G$81,0,(COLUMN()-10)/4)</f>
        <v>3.9303499999999998</v>
      </c>
      <c r="BW168" s="3064"/>
      <c r="BX168" s="3067" t="s">
        <v>757</v>
      </c>
      <c r="BY168" s="3064" t="e">
        <f ca="1">+BZ168/BZ167*100</f>
        <v>#VALUE!</v>
      </c>
      <c r="BZ168" s="1575">
        <f ca="1">OFFSET('VVP2'!$G$81,0,(COLUMN()-10)/4)</f>
        <v>4.56433</v>
      </c>
      <c r="CA168" s="3064"/>
      <c r="CB168" s="3067" t="s">
        <v>757</v>
      </c>
      <c r="CC168" s="3064" t="e">
        <f ca="1">+CD168/CD167*100</f>
        <v>#VALUE!</v>
      </c>
      <c r="CD168" s="1575">
        <f ca="1">OFFSET('VVP2'!$G$81,0,(COLUMN()-10)/4)</f>
        <v>5.1346400000000001</v>
      </c>
      <c r="CE168" s="3064"/>
      <c r="CF168" s="3067" t="s">
        <v>757</v>
      </c>
      <c r="CG168" s="3064" t="e">
        <f ca="1">+CH168/CH167*100</f>
        <v>#VALUE!</v>
      </c>
      <c r="CH168" s="1575">
        <f ca="1">OFFSET('VVP2'!$G$81,0,(COLUMN()-10)/4)</f>
        <v>5.6348199999999995</v>
      </c>
      <c r="CI168" s="3064"/>
      <c r="CJ168" s="3067" t="s">
        <v>757</v>
      </c>
      <c r="CK168" s="3064" t="e">
        <f ca="1">+CL168/CL167*100</f>
        <v>#VALUE!</v>
      </c>
      <c r="CL168" s="1575">
        <f ca="1">OFFSET('VVP2'!$G$81,0,(COLUMN()-10)/4)</f>
        <v>5.7097199999999999</v>
      </c>
      <c r="CM168" s="3064"/>
      <c r="CN168" s="3067" t="s">
        <v>757</v>
      </c>
      <c r="CO168" s="3064" t="e">
        <f ca="1">+CP168/CP167*100</f>
        <v>#VALUE!</v>
      </c>
      <c r="CP168" s="1575">
        <f ca="1">OFFSET('VVP2'!$G$81,0,(COLUMN()-10)/4)</f>
        <v>6.3447200000000006</v>
      </c>
      <c r="CQ168" s="3064"/>
      <c r="CR168" s="3067" t="s">
        <v>757</v>
      </c>
      <c r="CS168" s="3064" t="e">
        <f ca="1">+CT168/CT167*100</f>
        <v>#VALUE!</v>
      </c>
      <c r="CT168" s="1575">
        <f ca="1">OFFSET('VVP2'!$G$81,0,(COLUMN()-10)/4)</f>
        <v>7.3929099999999996</v>
      </c>
      <c r="CU168" s="3064"/>
      <c r="CV168" s="3067" t="s">
        <v>757</v>
      </c>
      <c r="CW168" s="3064" t="e">
        <f ca="1">+CX168/CX167*100</f>
        <v>#VALUE!</v>
      </c>
      <c r="CX168" s="1575">
        <f ca="1">OFFSET('VVP2'!$G$81,0,(COLUMN()-10)/4)</f>
        <v>7.873449149999999</v>
      </c>
      <c r="CY168" s="3064"/>
      <c r="CZ168" s="3067" t="s">
        <v>757</v>
      </c>
      <c r="DA168" s="3064" t="e">
        <f ca="1">+DB168/DB167*100</f>
        <v>#VALUE!</v>
      </c>
      <c r="DB168" s="1575">
        <f ca="1">OFFSET('VVP2'!$G$81,0,(COLUMN()-10)/4)</f>
        <v>8.227754361749998</v>
      </c>
      <c r="DC168"/>
      <c r="DD168"/>
      <c r="DE168"/>
      <c r="DF168"/>
      <c r="DG168"/>
      <c r="DH168"/>
      <c r="DI168"/>
      <c r="DJ168"/>
      <c r="DK168"/>
      <c r="DL168"/>
      <c r="DM168"/>
      <c r="DN168"/>
      <c r="DO168"/>
    </row>
    <row r="169" spans="1:119" s="699" customFormat="1" ht="12.75" hidden="1" customHeight="1">
      <c r="A169" s="664"/>
      <c r="C169" s="3070" t="s">
        <v>1767</v>
      </c>
      <c r="D169" s="674"/>
      <c r="E169" s="3629" t="s">
        <v>616</v>
      </c>
      <c r="F169" s="3630"/>
      <c r="G169" s="706">
        <f t="shared" ref="G169:AL169" si="407">G170-G163-G166</f>
        <v>2.4617701575531947E-3</v>
      </c>
      <c r="H169" s="706">
        <f t="shared" si="407"/>
        <v>-8.022474513438238E-3</v>
      </c>
      <c r="I169" s="706">
        <f t="shared" si="407"/>
        <v>-3.8519462465247956E-3</v>
      </c>
      <c r="J169" s="706">
        <f t="shared" si="407"/>
        <v>-2.461770157553278E-3</v>
      </c>
      <c r="K169" s="706">
        <f t="shared" si="407"/>
        <v>-7.8197405004635789E-3</v>
      </c>
      <c r="L169" s="706">
        <f t="shared" si="407"/>
        <v>-8.8334105653383177E-3</v>
      </c>
      <c r="M169" s="706">
        <f t="shared" si="407"/>
        <v>4.9235403151054458E-4</v>
      </c>
      <c r="N169" s="706">
        <f t="shared" si="407"/>
        <v>-7.0667284522706875E-3</v>
      </c>
      <c r="O169" s="706">
        <f t="shared" si="407"/>
        <v>-2.5834105653382955E-2</v>
      </c>
      <c r="P169" s="706">
        <f t="shared" si="407"/>
        <v>6.6322984244671646E-3</v>
      </c>
      <c r="Q169" s="706">
        <f t="shared" si="407"/>
        <v>-4.7208063021315638E-3</v>
      </c>
      <c r="R169" s="706">
        <f t="shared" si="407"/>
        <v>-1.4133456904541264E-2</v>
      </c>
      <c r="S169" s="706">
        <f t="shared" si="407"/>
        <v>5.7924003707632288E-5</v>
      </c>
      <c r="T169" s="706">
        <f t="shared" si="407"/>
        <v>-1.891218721037996E-2</v>
      </c>
      <c r="U169" s="706">
        <f t="shared" si="407"/>
        <v>8.6886005560615764E-5</v>
      </c>
      <c r="V169" s="706">
        <f t="shared" si="407"/>
        <v>-1.2743280815569857E-2</v>
      </c>
      <c r="W169" s="706">
        <f t="shared" si="407"/>
        <v>-9.9629286376274329E-3</v>
      </c>
      <c r="X169" s="706">
        <f t="shared" si="407"/>
        <v>8.9782205746091748E-4</v>
      </c>
      <c r="Y169" s="706">
        <f t="shared" si="407"/>
        <v>7.5011584800739883E-3</v>
      </c>
      <c r="Z169" s="706">
        <f t="shared" si="407"/>
        <v>-8.8334105653383177E-3</v>
      </c>
      <c r="AA169" s="706">
        <f t="shared" si="407"/>
        <v>-7.5590824837810655E-3</v>
      </c>
      <c r="AB169" s="706">
        <f t="shared" si="407"/>
        <v>-5.0973123262281761E-3</v>
      </c>
      <c r="AC169" s="706">
        <f t="shared" si="407"/>
        <v>8.5727525486559708E-3</v>
      </c>
      <c r="AD169" s="706">
        <f t="shared" si="407"/>
        <v>-3.7940222428175518E-3</v>
      </c>
      <c r="AE169" s="706">
        <f t="shared" si="407"/>
        <v>1.3843836886005711E-2</v>
      </c>
      <c r="AF169" s="706">
        <f t="shared" si="407"/>
        <v>-1.6421455050973144E-2</v>
      </c>
      <c r="AG169" s="706">
        <f t="shared" si="407"/>
        <v>-1.9114921223352122E-3</v>
      </c>
      <c r="AH169" s="706">
        <f t="shared" si="407"/>
        <v>-1.1903382761816572E-2</v>
      </c>
      <c r="AI169" s="706">
        <f t="shared" si="407"/>
        <v>-2.0186515291937102E-2</v>
      </c>
      <c r="AJ169" s="706">
        <f t="shared" si="407"/>
        <v>1.7232391102872946E-2</v>
      </c>
      <c r="AK169" s="706">
        <f t="shared" si="407"/>
        <v>-5.531742354031477E-3</v>
      </c>
      <c r="AL169" s="706">
        <f t="shared" si="407"/>
        <v>-1.4596848934198159E-2</v>
      </c>
      <c r="AM169" s="706">
        <f t="shared" ref="AM169:BN169" si="408">AM170-AM163-AM166</f>
        <v>1.4452038924930966E-2</v>
      </c>
      <c r="AN169" s="706">
        <f t="shared" si="408"/>
        <v>-2.3430259499536921E-2</v>
      </c>
      <c r="AO169" s="706">
        <f t="shared" si="408"/>
        <v>-9.5864226135307096E-3</v>
      </c>
      <c r="AP169" s="706">
        <f t="shared" si="408"/>
        <v>-1.3554216867470437E-2</v>
      </c>
      <c r="AQ169" s="706">
        <f t="shared" si="408"/>
        <v>-6.5164504170527326E-3</v>
      </c>
      <c r="AR169" s="706">
        <f t="shared" si="408"/>
        <v>-1.0049814643188104E-2</v>
      </c>
      <c r="AS169" s="706">
        <f t="shared" si="408"/>
        <v>7.5301204819275824E-3</v>
      </c>
      <c r="AT169" s="706">
        <f t="shared" si="408"/>
        <v>-6.139944392956731E-3</v>
      </c>
      <c r="AU169" s="706" t="e">
        <f t="shared" si="408"/>
        <v>#VALUE!</v>
      </c>
      <c r="AV169" s="706" t="e">
        <f t="shared" si="408"/>
        <v>#VALUE!</v>
      </c>
      <c r="AW169" s="706" t="e">
        <f t="shared" si="408"/>
        <v>#VALUE!</v>
      </c>
      <c r="AX169" s="706" t="e">
        <f t="shared" si="408"/>
        <v>#VALUE!</v>
      </c>
      <c r="AY169" s="706" t="e">
        <f t="shared" si="408"/>
        <v>#VALUE!</v>
      </c>
      <c r="AZ169" s="706" t="e">
        <f t="shared" si="408"/>
        <v>#VALUE!</v>
      </c>
      <c r="BA169" s="706" t="e">
        <f t="shared" si="408"/>
        <v>#VALUE!</v>
      </c>
      <c r="BB169" s="706" t="e">
        <f t="shared" si="408"/>
        <v>#VALUE!</v>
      </c>
      <c r="BC169" s="706" t="e">
        <f t="shared" si="408"/>
        <v>#VALUE!</v>
      </c>
      <c r="BD169" s="706" t="e">
        <f t="shared" si="408"/>
        <v>#VALUE!</v>
      </c>
      <c r="BE169" s="706" t="e">
        <f t="shared" si="408"/>
        <v>#VALUE!</v>
      </c>
      <c r="BF169" s="706" t="e">
        <f t="shared" si="408"/>
        <v>#VALUE!</v>
      </c>
      <c r="BG169" s="706" t="e">
        <f t="shared" si="408"/>
        <v>#VALUE!</v>
      </c>
      <c r="BH169" s="706" t="e">
        <f t="shared" si="408"/>
        <v>#VALUE!</v>
      </c>
      <c r="BI169" s="706" t="e">
        <f t="shared" si="408"/>
        <v>#VALUE!</v>
      </c>
      <c r="BJ169" s="706" t="e">
        <f t="shared" si="408"/>
        <v>#VALUE!</v>
      </c>
      <c r="BK169" s="706" t="e">
        <f t="shared" si="408"/>
        <v>#VALUE!</v>
      </c>
      <c r="BL169" s="706" t="e">
        <f t="shared" si="408"/>
        <v>#VALUE!</v>
      </c>
      <c r="BM169" s="706" t="e">
        <f t="shared" si="408"/>
        <v>#VALUE!</v>
      </c>
      <c r="BN169" s="706" t="e">
        <f t="shared" si="408"/>
        <v>#VALUE!</v>
      </c>
      <c r="BO169" s="706" t="e">
        <f t="shared" ref="BO169:BV169" si="409">BO170-BO163-BO166</f>
        <v>#VALUE!</v>
      </c>
      <c r="BP169" s="706" t="e">
        <f t="shared" si="409"/>
        <v>#VALUE!</v>
      </c>
      <c r="BQ169" s="706" t="e">
        <f t="shared" si="409"/>
        <v>#VALUE!</v>
      </c>
      <c r="BR169" s="706" t="e">
        <f t="shared" si="409"/>
        <v>#VALUE!</v>
      </c>
      <c r="BS169" s="706" t="e">
        <f t="shared" si="409"/>
        <v>#VALUE!</v>
      </c>
      <c r="BT169" s="706" t="e">
        <f t="shared" si="409"/>
        <v>#VALUE!</v>
      </c>
      <c r="BU169" s="706" t="e">
        <f t="shared" si="409"/>
        <v>#VALUE!</v>
      </c>
      <c r="BV169" s="706" t="e">
        <f t="shared" si="409"/>
        <v>#VALUE!</v>
      </c>
      <c r="BW169" s="706" t="e">
        <f t="shared" ref="BW169:CD169" si="410">BW170-BW163-BW166</f>
        <v>#VALUE!</v>
      </c>
      <c r="BX169" s="706" t="e">
        <f t="shared" si="410"/>
        <v>#VALUE!</v>
      </c>
      <c r="BY169" s="706" t="e">
        <f t="shared" si="410"/>
        <v>#VALUE!</v>
      </c>
      <c r="BZ169" s="706" t="e">
        <f t="shared" si="410"/>
        <v>#VALUE!</v>
      </c>
      <c r="CA169" s="706" t="e">
        <f t="shared" si="410"/>
        <v>#VALUE!</v>
      </c>
      <c r="CB169" s="706" t="e">
        <f t="shared" si="410"/>
        <v>#VALUE!</v>
      </c>
      <c r="CC169" s="706" t="e">
        <f t="shared" si="410"/>
        <v>#VALUE!</v>
      </c>
      <c r="CD169" s="706" t="e">
        <f t="shared" si="410"/>
        <v>#VALUE!</v>
      </c>
      <c r="CE169" s="706" t="e">
        <f t="shared" ref="CE169:CL169" si="411">CE170-CE163-CE166</f>
        <v>#VALUE!</v>
      </c>
      <c r="CF169" s="706" t="e">
        <f t="shared" si="411"/>
        <v>#VALUE!</v>
      </c>
      <c r="CG169" s="706" t="e">
        <f t="shared" si="411"/>
        <v>#VALUE!</v>
      </c>
      <c r="CH169" s="706" t="e">
        <f t="shared" si="411"/>
        <v>#VALUE!</v>
      </c>
      <c r="CI169" s="706" t="e">
        <f t="shared" si="411"/>
        <v>#VALUE!</v>
      </c>
      <c r="CJ169" s="706" t="e">
        <f t="shared" si="411"/>
        <v>#VALUE!</v>
      </c>
      <c r="CK169" s="706" t="e">
        <f t="shared" si="411"/>
        <v>#VALUE!</v>
      </c>
      <c r="CL169" s="706" t="e">
        <f t="shared" si="411"/>
        <v>#VALUE!</v>
      </c>
      <c r="CM169" s="706" t="e">
        <f t="shared" ref="CM169:CT169" si="412">CM170-CM163-CM166</f>
        <v>#VALUE!</v>
      </c>
      <c r="CN169" s="706" t="e">
        <f t="shared" si="412"/>
        <v>#VALUE!</v>
      </c>
      <c r="CO169" s="706" t="e">
        <f t="shared" si="412"/>
        <v>#VALUE!</v>
      </c>
      <c r="CP169" s="706" t="e">
        <f t="shared" si="412"/>
        <v>#VALUE!</v>
      </c>
      <c r="CQ169" s="706" t="e">
        <f t="shared" si="412"/>
        <v>#VALUE!</v>
      </c>
      <c r="CR169" s="706" t="e">
        <f t="shared" si="412"/>
        <v>#VALUE!</v>
      </c>
      <c r="CS169" s="706" t="e">
        <f t="shared" si="412"/>
        <v>#VALUE!</v>
      </c>
      <c r="CT169" s="706" t="e">
        <f t="shared" si="412"/>
        <v>#VALUE!</v>
      </c>
      <c r="CU169" s="706" t="e">
        <f t="shared" ref="CU169:DB169" si="413">CU170-CU163-CU166</f>
        <v>#VALUE!</v>
      </c>
      <c r="CV169" s="706" t="e">
        <f t="shared" si="413"/>
        <v>#VALUE!</v>
      </c>
      <c r="CW169" s="706" t="e">
        <f t="shared" si="413"/>
        <v>#VALUE!</v>
      </c>
      <c r="CX169" s="706" t="e">
        <f t="shared" si="413"/>
        <v>#VALUE!</v>
      </c>
      <c r="CY169" s="706" t="e">
        <f t="shared" si="413"/>
        <v>#VALUE!</v>
      </c>
      <c r="CZ169" s="706" t="e">
        <f t="shared" si="413"/>
        <v>#VALUE!</v>
      </c>
      <c r="DA169" s="706" t="e">
        <f t="shared" si="413"/>
        <v>#VALUE!</v>
      </c>
      <c r="DB169" s="706" t="e">
        <f t="shared" si="413"/>
        <v>#VALUE!</v>
      </c>
      <c r="DC169"/>
      <c r="DD169"/>
      <c r="DE169"/>
      <c r="DF169"/>
      <c r="DG169"/>
      <c r="DH169"/>
      <c r="DI169"/>
      <c r="DJ169"/>
      <c r="DK169"/>
      <c r="DL169"/>
      <c r="DM169"/>
      <c r="DN169"/>
      <c r="DO169"/>
    </row>
    <row r="170" spans="1:119" s="699" customFormat="1" ht="12.75" customHeight="1">
      <c r="A170" s="665" t="str">
        <f>"Q" &amp; ROW(InputQ!A9)</f>
        <v>Q9</v>
      </c>
      <c r="B170" s="1953" t="s">
        <v>1940</v>
      </c>
      <c r="C170" s="3071"/>
      <c r="D170" s="746"/>
      <c r="E170" s="3615" t="s">
        <v>1788</v>
      </c>
      <c r="F170" s="3633"/>
      <c r="G170" s="799">
        <f>InputQ!G9/1000</f>
        <v>1.1087233549582947</v>
      </c>
      <c r="H170" s="799">
        <f>InputQ!H9/1000</f>
        <v>1.1452444392956442</v>
      </c>
      <c r="I170" s="799">
        <f>InputQ!I9/1000</f>
        <v>1.1944508804448561</v>
      </c>
      <c r="J170" s="799">
        <f>InputQ!J9/1000</f>
        <v>1.2400081093605191</v>
      </c>
      <c r="K170" s="799">
        <f>InputQ!K9/1000</f>
        <v>1.306939295644115</v>
      </c>
      <c r="L170" s="799">
        <f>InputQ!L9/1000</f>
        <v>1.3495424003707137</v>
      </c>
      <c r="M170" s="799">
        <f>InputQ!M9/1000</f>
        <v>1.4249015291936977</v>
      </c>
      <c r="N170" s="799">
        <f>InputQ!N9/1000</f>
        <v>1.4963218257645969</v>
      </c>
      <c r="O170" s="799">
        <f>InputQ!O9/1000</f>
        <v>1.5561283595922151</v>
      </c>
      <c r="P170" s="799">
        <f>InputQ!P9/1000</f>
        <v>1.6025254865616312</v>
      </c>
      <c r="Q170" s="799">
        <f>InputQ!Q9/1000</f>
        <v>1.6369902687673774</v>
      </c>
      <c r="R170" s="799">
        <f>InputQ!R9/1000</f>
        <v>1.7791647358665432</v>
      </c>
      <c r="S170" s="799">
        <f>InputQ!S9/1000</f>
        <v>1.8317307692307696</v>
      </c>
      <c r="T170" s="799">
        <f>InputQ!T9/1000</f>
        <v>1.8072578776645043</v>
      </c>
      <c r="U170" s="799">
        <f>InputQ!U9/1000</f>
        <v>1.6904251621872104</v>
      </c>
      <c r="V170" s="799">
        <f>InputQ!V9/1000</f>
        <v>1.5938658480074144</v>
      </c>
      <c r="W170" s="799">
        <f>InputQ!W9/1000</f>
        <v>1.5058503243744208</v>
      </c>
      <c r="X170" s="799">
        <f>InputQ!X9/1000</f>
        <v>1.4306070435588512</v>
      </c>
      <c r="Y170" s="799">
        <f>InputQ!Y9/1000</f>
        <v>1.4191380908248379</v>
      </c>
      <c r="Z170" s="799">
        <f>InputQ!Z9/1000</f>
        <v>1.4048598239110288</v>
      </c>
      <c r="AA170" s="799">
        <f>InputQ!AA9/1000</f>
        <v>1.5244439295644117</v>
      </c>
      <c r="AB170" s="799">
        <f>InputQ!AB9/1000</f>
        <v>1.5348123262279889</v>
      </c>
      <c r="AC170" s="799">
        <f>InputQ!AC9/1000</f>
        <v>1.6494439295644114</v>
      </c>
      <c r="AD170" s="799">
        <f>InputQ!AD9/1000</f>
        <v>1.6569161260426322</v>
      </c>
      <c r="AE170" s="799">
        <f>InputQ!AE9/1000</f>
        <v>1.8246061167747916</v>
      </c>
      <c r="AF170" s="799">
        <f>InputQ!AF9/1000</f>
        <v>1.8964318813716405</v>
      </c>
      <c r="AG170" s="799">
        <f>InputQ!AG9/1000</f>
        <v>1.9464782205746063</v>
      </c>
      <c r="AH170" s="799">
        <f>InputQ!AH9/1000</f>
        <v>2.0267319277108435</v>
      </c>
      <c r="AI170" s="799">
        <f>InputQ!AI9/1000</f>
        <v>2.1265929101019463</v>
      </c>
      <c r="AJ170" s="799">
        <f>InputQ!AJ9/1000</f>
        <v>2.3041299814643188</v>
      </c>
      <c r="AK170" s="799">
        <f>InputQ!AK9/1000</f>
        <v>2.2738646895273402</v>
      </c>
      <c r="AL170" s="799">
        <f>InputQ!AL9/1000</f>
        <v>2.4044833178869327</v>
      </c>
      <c r="AM170" s="799">
        <f>InputQ!AM9/1000</f>
        <v>2.5444566728452274</v>
      </c>
      <c r="AN170" s="799">
        <f>InputQ!AN9/1000</f>
        <v>2.3456035681186282</v>
      </c>
      <c r="AO170" s="799">
        <f>InputQ!AO9/1000</f>
        <v>2.432431649675626</v>
      </c>
      <c r="AP170" s="799">
        <f>InputQ!AP9/1000</f>
        <v>2.512859128822984</v>
      </c>
      <c r="AQ170" s="799">
        <f>InputQ!AQ9/1000</f>
        <v>2.3836306765523636</v>
      </c>
      <c r="AR170" s="799">
        <f>InputQ!AR9/1000</f>
        <v>2.4885889712696945</v>
      </c>
      <c r="AS170" s="799">
        <f>InputQ!AS9/1000</f>
        <v>2.6062615848007411</v>
      </c>
      <c r="AT170" s="799">
        <f>InputQ!AT9/1000</f>
        <v>2.7458873957367933</v>
      </c>
      <c r="AU170" s="799">
        <f>InputQ!AU9/1000</f>
        <v>3.1394000000000002</v>
      </c>
      <c r="AV170" s="799">
        <f>InputQ!AV9/1000</f>
        <v>3.2578</v>
      </c>
      <c r="AW170" s="799">
        <f>InputQ!AW9/1000</f>
        <v>3.4220999999999999</v>
      </c>
      <c r="AX170" s="799">
        <f>InputQ!AX9/1000</f>
        <v>3.5585</v>
      </c>
      <c r="AY170" s="799">
        <f>InputQ!AY9/1000</f>
        <v>3.7168999999999999</v>
      </c>
      <c r="AZ170" s="799">
        <f>InputQ!AZ9/1000</f>
        <v>3.7915999999999999</v>
      </c>
      <c r="BA170" s="799">
        <f>InputQ!BA9/1000</f>
        <v>3.7291999999999996</v>
      </c>
      <c r="BB170" s="799">
        <f>InputQ!BB9/1000</f>
        <v>3.8324000000000003</v>
      </c>
      <c r="BC170" s="799">
        <f>InputQ!BC9/1000</f>
        <v>3.7545000000000002</v>
      </c>
      <c r="BD170" s="799">
        <f>InputQ!BD9/1000</f>
        <v>3.7699000000000003</v>
      </c>
      <c r="BE170" s="799">
        <f>InputQ!BE9/1000</f>
        <v>3.9954000000000001</v>
      </c>
      <c r="BF170" s="799">
        <f>InputQ!BF9/1000</f>
        <v>4.0289000000000001</v>
      </c>
      <c r="BG170" s="799">
        <f>InputQ!BG9/1000</f>
        <v>4.3838999999999997</v>
      </c>
      <c r="BH170" s="799">
        <f>InputQ!BH9/1000</f>
        <v>4.5638000000000005</v>
      </c>
      <c r="BI170" s="799">
        <f>InputQ!BI9/1000</f>
        <v>4.4291999999999998</v>
      </c>
      <c r="BJ170" s="799">
        <f>InputQ!BJ9/1000</f>
        <v>4.2975000000000003</v>
      </c>
      <c r="BK170" s="3065">
        <f t="shared" ref="BK170:BV170" si="414">+BJ170*(1+BK183/100)</f>
        <v>3.9638</v>
      </c>
      <c r="BL170" s="3065">
        <f t="shared" si="414"/>
        <v>3.7111000000000001</v>
      </c>
      <c r="BM170" s="3065">
        <f t="shared" si="414"/>
        <v>3.7893000000000003</v>
      </c>
      <c r="BN170" s="3065">
        <f t="shared" si="414"/>
        <v>3.9276</v>
      </c>
      <c r="BO170" s="3065">
        <f t="shared" si="414"/>
        <v>4.1646000000000001</v>
      </c>
      <c r="BP170" s="3065">
        <f t="shared" si="414"/>
        <v>4.4939</v>
      </c>
      <c r="BQ170" s="3065">
        <f t="shared" si="414"/>
        <v>4.7133000000000003</v>
      </c>
      <c r="BR170" s="3065">
        <f t="shared" si="414"/>
        <v>4.9558</v>
      </c>
      <c r="BS170" s="3065">
        <f t="shared" si="414"/>
        <v>5.1071</v>
      </c>
      <c r="BT170" s="3065">
        <f t="shared" si="414"/>
        <v>5.2733999999999996</v>
      </c>
      <c r="BU170" s="3065">
        <f t="shared" si="414"/>
        <v>5.3451000000000004</v>
      </c>
      <c r="BV170" s="3065">
        <f t="shared" si="414"/>
        <v>5.4053000000000004</v>
      </c>
      <c r="BW170" s="3065">
        <f t="shared" ref="BW170:CB170" si="415">+BV170*(1+BW183/100)</f>
        <v>5.6359999999999992</v>
      </c>
      <c r="BX170" s="3065">
        <f t="shared" si="415"/>
        <v>5.7936999999999985</v>
      </c>
      <c r="BY170" s="3065">
        <f t="shared" si="415"/>
        <v>6.0389999999999988</v>
      </c>
      <c r="BZ170" s="3065">
        <f t="shared" si="415"/>
        <v>6.2845999999999984</v>
      </c>
      <c r="CA170" s="3065">
        <f t="shared" si="415"/>
        <v>6.4562999999999988</v>
      </c>
      <c r="CB170" s="3065">
        <f t="shared" si="415"/>
        <v>6.4623999999999979</v>
      </c>
      <c r="CC170" s="3065">
        <f t="shared" ref="CC170:CH170" si="416">+CB170*(1+CC183/100)</f>
        <v>6.5490999999999984</v>
      </c>
      <c r="CD170" s="3065">
        <f t="shared" si="416"/>
        <v>6.6232999999999986</v>
      </c>
      <c r="CE170" s="3065">
        <f t="shared" si="416"/>
        <v>6.6323999999999979</v>
      </c>
      <c r="CF170" s="3065">
        <f t="shared" si="416"/>
        <v>6.7684999999999995</v>
      </c>
      <c r="CG170" s="3065">
        <f t="shared" si="416"/>
        <v>6.7944999999999993</v>
      </c>
      <c r="CH170" s="3065">
        <f t="shared" si="416"/>
        <v>6.7630999999999997</v>
      </c>
      <c r="CI170" s="3065">
        <f t="shared" ref="CI170:CP170" si="417">+CH170*(1+CI183/100)</f>
        <v>6.6734999999999989</v>
      </c>
      <c r="CJ170" s="3065">
        <f t="shared" si="417"/>
        <v>6.6971999999999987</v>
      </c>
      <c r="CK170" s="3065">
        <f t="shared" si="417"/>
        <v>6.7103999999999999</v>
      </c>
      <c r="CL170" s="3065">
        <f t="shared" si="417"/>
        <v>6.7561999999999989</v>
      </c>
      <c r="CM170" s="3065">
        <f t="shared" si="417"/>
        <v>6.7990999999999993</v>
      </c>
      <c r="CN170" s="3065">
        <f t="shared" si="417"/>
        <v>6.8430999999999997</v>
      </c>
      <c r="CO170" s="3065">
        <f t="shared" si="417"/>
        <v>6.9790999999999999</v>
      </c>
      <c r="CP170" s="3065">
        <f t="shared" si="417"/>
        <v>7.1503000000000005</v>
      </c>
      <c r="CQ170" s="3065">
        <f t="shared" ref="CQ170:CX170" si="418">+CP170*(1+CQ183/100)</f>
        <v>7.4928999999999997</v>
      </c>
      <c r="CR170" s="3065">
        <f t="shared" si="418"/>
        <v>7.7769000000000004</v>
      </c>
      <c r="CS170" s="3065">
        <f t="shared" si="418"/>
        <v>7.9944000000000006</v>
      </c>
      <c r="CT170" s="3065">
        <f t="shared" si="418"/>
        <v>8.2017000000000024</v>
      </c>
      <c r="CU170" s="3065">
        <f t="shared" si="418"/>
        <v>8.2345068000000019</v>
      </c>
      <c r="CV170" s="3065">
        <f t="shared" si="418"/>
        <v>8.2674448272000021</v>
      </c>
      <c r="CW170" s="3065">
        <f t="shared" si="418"/>
        <v>8.3129157737496033</v>
      </c>
      <c r="CX170" s="3065">
        <f t="shared" si="418"/>
        <v>8.3877320157133486</v>
      </c>
      <c r="CY170" s="3065">
        <f t="shared" ref="CY170" si="419">+CX170*(1+CY183/100)</f>
        <v>8.5001276247239073</v>
      </c>
      <c r="CZ170" s="3065">
        <f t="shared" ref="CZ170" si="420">+CY170*(1+CZ183/100)</f>
        <v>8.6106292838453165</v>
      </c>
      <c r="DA170" s="3065">
        <f t="shared" ref="DA170" si="421">+CZ170*(1+DA183/100)</f>
        <v>8.7225674645353042</v>
      </c>
      <c r="DB170" s="3065">
        <f t="shared" ref="DB170" si="422">+DA170*(1+DB183/100)</f>
        <v>8.8359608415742628</v>
      </c>
      <c r="DC170"/>
      <c r="DD170"/>
      <c r="DE170"/>
      <c r="DF170"/>
      <c r="DG170"/>
      <c r="DH170"/>
      <c r="DI170"/>
      <c r="DJ170"/>
      <c r="DK170"/>
      <c r="DL170"/>
      <c r="DM170"/>
      <c r="DN170"/>
      <c r="DO170"/>
    </row>
    <row r="171" spans="1:119" s="699" customFormat="1" ht="12.75" customHeight="1">
      <c r="A171" s="664" t="str">
        <f>"Q" &amp; ROW(InputQ!A9)</f>
        <v>Q9</v>
      </c>
      <c r="C171" s="667"/>
      <c r="D171" s="668"/>
      <c r="E171" s="3620" t="s">
        <v>1788</v>
      </c>
      <c r="F171" s="3620"/>
      <c r="G171" s="780">
        <f>InputQ!G9/1000</f>
        <v>1.1087233549582947</v>
      </c>
      <c r="H171" s="780">
        <f>InputQ!H9/1000</f>
        <v>1.1452444392956442</v>
      </c>
      <c r="I171" s="780">
        <f>InputQ!I9/1000</f>
        <v>1.1944508804448561</v>
      </c>
      <c r="J171" s="780">
        <f>InputQ!J9/1000</f>
        <v>1.2400081093605191</v>
      </c>
      <c r="K171" s="780">
        <f>InputQ!K9/1000</f>
        <v>1.306939295644115</v>
      </c>
      <c r="L171" s="780">
        <f>InputQ!L9/1000</f>
        <v>1.3495424003707137</v>
      </c>
      <c r="M171" s="780">
        <f>InputQ!M9/1000</f>
        <v>1.4249015291936977</v>
      </c>
      <c r="N171" s="780">
        <f>InputQ!N9/1000</f>
        <v>1.4963218257645969</v>
      </c>
      <c r="O171" s="780">
        <f>InputQ!O9/1000</f>
        <v>1.5561283595922151</v>
      </c>
      <c r="P171" s="780">
        <f>InputQ!P9/1000</f>
        <v>1.6025254865616312</v>
      </c>
      <c r="Q171" s="780">
        <f>InputQ!Q9/1000</f>
        <v>1.6369902687673774</v>
      </c>
      <c r="R171" s="780">
        <f>InputQ!R9/1000</f>
        <v>1.7791647358665432</v>
      </c>
      <c r="S171" s="780">
        <f>InputQ!S9/1000</f>
        <v>1.8317307692307696</v>
      </c>
      <c r="T171" s="780">
        <f>InputQ!T9/1000</f>
        <v>1.8072578776645043</v>
      </c>
      <c r="U171" s="780">
        <f>InputQ!U9/1000</f>
        <v>1.6904251621872104</v>
      </c>
      <c r="V171" s="780">
        <f>InputQ!V9/1000</f>
        <v>1.5938658480074144</v>
      </c>
      <c r="W171" s="780">
        <f>InputQ!W9/1000</f>
        <v>1.5058503243744208</v>
      </c>
      <c r="X171" s="780">
        <f>InputQ!X9/1000</f>
        <v>1.4306070435588512</v>
      </c>
      <c r="Y171" s="780">
        <f>InputQ!Y9/1000</f>
        <v>1.4191380908248379</v>
      </c>
      <c r="Z171" s="780">
        <f>InputQ!Z9/1000</f>
        <v>1.4048598239110288</v>
      </c>
      <c r="AA171" s="780">
        <f>InputQ!AA9/1000</f>
        <v>1.5244439295644117</v>
      </c>
      <c r="AB171" s="780">
        <f>InputQ!AB9/1000</f>
        <v>1.5348123262279889</v>
      </c>
      <c r="AC171" s="780">
        <f>InputQ!AC9/1000</f>
        <v>1.6494439295644114</v>
      </c>
      <c r="AD171" s="780">
        <f>InputQ!AD9/1000</f>
        <v>1.6569161260426322</v>
      </c>
      <c r="AE171" s="780">
        <f>InputQ!AE9/1000</f>
        <v>1.8246061167747916</v>
      </c>
      <c r="AF171" s="780">
        <f>InputQ!AF9/1000</f>
        <v>1.8964318813716405</v>
      </c>
      <c r="AG171" s="780">
        <f>InputQ!AG9/1000</f>
        <v>1.9464782205746063</v>
      </c>
      <c r="AH171" s="780">
        <f>InputQ!AH9/1000</f>
        <v>2.0267319277108435</v>
      </c>
      <c r="AI171" s="780">
        <f>InputQ!AI9/1000</f>
        <v>2.1265929101019463</v>
      </c>
      <c r="AJ171" s="780">
        <f>InputQ!AJ9/1000</f>
        <v>2.3041299814643188</v>
      </c>
      <c r="AK171" s="780">
        <f>InputQ!AK9/1000</f>
        <v>2.2738646895273402</v>
      </c>
      <c r="AL171" s="780">
        <f>InputQ!AL9/1000</f>
        <v>2.4044833178869327</v>
      </c>
      <c r="AM171" s="780">
        <f>InputQ!AM9/1000</f>
        <v>2.5444566728452274</v>
      </c>
      <c r="AN171" s="780">
        <f>InputQ!AN9/1000</f>
        <v>2.3456035681186282</v>
      </c>
      <c r="AO171" s="780">
        <f>InputQ!AO9/1000</f>
        <v>2.432431649675626</v>
      </c>
      <c r="AP171" s="780">
        <f>InputQ!AP9/1000</f>
        <v>2.512859128822984</v>
      </c>
      <c r="AQ171" s="780">
        <f>InputQ!AQ9/1000</f>
        <v>2.3836306765523636</v>
      </c>
      <c r="AR171" s="780">
        <f>InputQ!AR9/1000</f>
        <v>2.4885889712696945</v>
      </c>
      <c r="AS171" s="780">
        <f>InputQ!AS9/1000</f>
        <v>2.6062615848007411</v>
      </c>
      <c r="AT171" s="780">
        <f>InputQ!AT9/1000</f>
        <v>2.7458873957367933</v>
      </c>
      <c r="AU171" s="780">
        <f>InputQ!AU9/1000</f>
        <v>3.1394000000000002</v>
      </c>
      <c r="AV171" s="780">
        <f>InputQ!AV9/1000</f>
        <v>3.2578</v>
      </c>
      <c r="AW171" s="780">
        <f>InputQ!AW9/1000</f>
        <v>3.4220999999999999</v>
      </c>
      <c r="AX171" s="780">
        <f>InputQ!AX9/1000</f>
        <v>3.5585</v>
      </c>
      <c r="AY171" s="780">
        <f>InputQ!AY9/1000</f>
        <v>3.7168999999999999</v>
      </c>
      <c r="AZ171" s="780">
        <f>InputQ!AZ9/1000</f>
        <v>3.7915999999999999</v>
      </c>
      <c r="BA171" s="780">
        <f>InputQ!BA9/1000</f>
        <v>3.7291999999999996</v>
      </c>
      <c r="BB171" s="780">
        <f>InputQ!BB9/1000</f>
        <v>3.8324000000000003</v>
      </c>
      <c r="BC171" s="780">
        <f>InputQ!BC9/1000</f>
        <v>3.7545000000000002</v>
      </c>
      <c r="BD171" s="780">
        <f>InputQ!BD9/1000</f>
        <v>3.7699000000000003</v>
      </c>
      <c r="BE171" s="780">
        <f>InputQ!BE9/1000</f>
        <v>3.9954000000000001</v>
      </c>
      <c r="BF171" s="780">
        <f>InputQ!BF9/1000</f>
        <v>4.0289000000000001</v>
      </c>
      <c r="BG171" s="780">
        <f>InputQ!BG9/1000</f>
        <v>4.3838999999999997</v>
      </c>
      <c r="BH171" s="780">
        <f>InputQ!BH9/1000</f>
        <v>4.5638000000000005</v>
      </c>
      <c r="BI171" s="780">
        <f>InputQ!BI9/1000</f>
        <v>4.4291999999999998</v>
      </c>
      <c r="BJ171" s="780">
        <f>InputQ!BJ9/1000</f>
        <v>4.2975000000000003</v>
      </c>
      <c r="BK171" s="780">
        <f>InputQ!BK9/1000</f>
        <v>3.9638</v>
      </c>
      <c r="BL171" s="780">
        <f>InputQ!BL9/1000</f>
        <v>3.7111000000000001</v>
      </c>
      <c r="BM171" s="780">
        <f>InputQ!BM9/1000</f>
        <v>3.7893000000000003</v>
      </c>
      <c r="BN171" s="780">
        <f>InputQ!BN9/1000</f>
        <v>3.9276</v>
      </c>
      <c r="BO171" s="780">
        <f>InputQ!BO9/1000</f>
        <v>4.1646000000000001</v>
      </c>
      <c r="BP171" s="780">
        <f>InputQ!BP9/1000</f>
        <v>4.4939</v>
      </c>
      <c r="BQ171" s="780">
        <f>InputQ!BQ9/1000</f>
        <v>4.7133000000000003</v>
      </c>
      <c r="BR171" s="780">
        <f>InputQ!BR9/1000</f>
        <v>4.9558</v>
      </c>
      <c r="BS171" s="780">
        <f>InputQ!BS9/1000</f>
        <v>5.1071</v>
      </c>
      <c r="BT171" s="780">
        <f>InputQ!BT9/1000</f>
        <v>5.2733999999999996</v>
      </c>
      <c r="BU171" s="780">
        <f>InputQ!BU9/1000</f>
        <v>5.3451000000000004</v>
      </c>
      <c r="BV171" s="780">
        <f>InputQ!BV9/1000</f>
        <v>5.4053000000000004</v>
      </c>
      <c r="BW171" s="780">
        <f>InputQ!BW9/1000</f>
        <v>5.6360000000000001</v>
      </c>
      <c r="BX171" s="780">
        <f>InputQ!BX9/1000</f>
        <v>5.7936999999999994</v>
      </c>
      <c r="BY171" s="780">
        <f>InputQ!BY9/1000</f>
        <v>6.0389999999999997</v>
      </c>
      <c r="BZ171" s="780">
        <f>InputQ!BZ9/1000</f>
        <v>6.2846000000000002</v>
      </c>
      <c r="CA171" s="780">
        <f>InputQ!CA9/1000</f>
        <v>6.4563000000000006</v>
      </c>
      <c r="CB171" s="780">
        <f>InputQ!CB9/1000</f>
        <v>6.4623999999999997</v>
      </c>
      <c r="CC171" s="780">
        <f>InputQ!CC9/1000</f>
        <v>6.5491000000000001</v>
      </c>
      <c r="CD171" s="780">
        <f>InputQ!CD9/1000</f>
        <v>6.6233000000000004</v>
      </c>
      <c r="CE171" s="780">
        <f>InputQ!CE9/1000</f>
        <v>6.6323999999999996</v>
      </c>
      <c r="CF171" s="780">
        <f>InputQ!CF9/1000</f>
        <v>6.7685000000000004</v>
      </c>
      <c r="CG171" s="780">
        <f>InputQ!CG9/1000</f>
        <v>6.7945000000000002</v>
      </c>
      <c r="CH171" s="780">
        <f>InputQ!CH9/1000</f>
        <v>6.7631000000000006</v>
      </c>
      <c r="CI171" s="780">
        <f>InputQ!CI9/1000</f>
        <v>6.6734999999999998</v>
      </c>
      <c r="CJ171" s="780">
        <f>InputQ!CJ9/1000</f>
        <v>6.6971999999999996</v>
      </c>
      <c r="CK171" s="780">
        <f>InputQ!CK9/1000</f>
        <v>6.7103999999999999</v>
      </c>
      <c r="CL171" s="780">
        <f>InputQ!CL9/1000</f>
        <v>6.7561999999999998</v>
      </c>
      <c r="CM171" s="780">
        <f>InputQ!CM9/1000</f>
        <v>6.7991000000000001</v>
      </c>
      <c r="CN171" s="780">
        <f>InputQ!CN9/1000</f>
        <v>6.8431000000000006</v>
      </c>
      <c r="CO171" s="2872">
        <f>InputQ!CO9/1000</f>
        <v>6.9791000000000007</v>
      </c>
      <c r="CP171" s="2872">
        <f>InputQ!CP9/1000</f>
        <v>7.1503000000000005</v>
      </c>
      <c r="CQ171" s="2872">
        <f>InputQ!CQ9/1000</f>
        <v>7.4928999999999997</v>
      </c>
      <c r="CR171" s="2872">
        <f>InputQ!CR9/1000</f>
        <v>7.7768999999999995</v>
      </c>
      <c r="CS171" s="2872">
        <f>InputQ!CS9/1000</f>
        <v>7.9943999999999997</v>
      </c>
      <c r="CT171" s="2872">
        <f>InputQ!CT9/1000</f>
        <v>8.2017000000000007</v>
      </c>
      <c r="CU171" s="1591">
        <f>CT171*(1+CU184/100)</f>
        <v>8.2345068000000001</v>
      </c>
      <c r="CV171" s="1591">
        <f t="shared" ref="CV171:CX171" si="423">CU171*(1+CV184/100)</f>
        <v>8.2674448272000003</v>
      </c>
      <c r="CW171" s="1591">
        <f t="shared" si="423"/>
        <v>8.3129157737496016</v>
      </c>
      <c r="CX171" s="1591">
        <f t="shared" si="423"/>
        <v>8.3877320157133468</v>
      </c>
      <c r="CY171" s="1591">
        <f t="shared" ref="CY171" si="424">CX171*(1+CY184/100)</f>
        <v>8.5001276247239055</v>
      </c>
      <c r="CZ171" s="1591">
        <f t="shared" ref="CZ171" si="425">CY171*(1+CZ184/100)</f>
        <v>8.6106292838453147</v>
      </c>
      <c r="DA171" s="1591">
        <f t="shared" ref="DA171" si="426">CZ171*(1+DA184/100)</f>
        <v>8.7225674645353024</v>
      </c>
      <c r="DB171" s="1591">
        <f t="shared" ref="DB171" si="427">DA171*(1+DB184/100)</f>
        <v>8.835960841574261</v>
      </c>
      <c r="DC171"/>
      <c r="DD171"/>
      <c r="DE171"/>
      <c r="DF171"/>
      <c r="DG171"/>
      <c r="DH171"/>
      <c r="DI171"/>
      <c r="DJ171"/>
      <c r="DK171"/>
      <c r="DL171"/>
      <c r="DM171"/>
      <c r="DN171"/>
      <c r="DO171"/>
    </row>
    <row r="172" spans="1:119" s="26" customFormat="1" ht="12.75" customHeight="1">
      <c r="A172" s="664"/>
      <c r="B172" s="673"/>
      <c r="C172" s="687"/>
      <c r="D172" s="683"/>
      <c r="E172" s="684" t="s">
        <v>266</v>
      </c>
      <c r="F172" s="685"/>
      <c r="G172" s="1570"/>
      <c r="H172" s="1571"/>
      <c r="I172" s="1571"/>
      <c r="J172" s="1575">
        <f>SUM(G171:J171)</f>
        <v>4.6884267840593141</v>
      </c>
      <c r="K172" s="1570"/>
      <c r="L172" s="1571"/>
      <c r="M172" s="1571"/>
      <c r="N172" s="1575">
        <f>SUM(K171:N171)</f>
        <v>5.5777050509731234</v>
      </c>
      <c r="O172" s="1570"/>
      <c r="P172" s="1571"/>
      <c r="Q172" s="1571"/>
      <c r="R172" s="1575">
        <f>SUM(O171:R171)</f>
        <v>6.5748088507877673</v>
      </c>
      <c r="S172" s="1570"/>
      <c r="T172" s="1571"/>
      <c r="U172" s="1571"/>
      <c r="V172" s="1575">
        <f>SUM(S171:V171)</f>
        <v>6.9232796570898989</v>
      </c>
      <c r="W172" s="1570"/>
      <c r="X172" s="1571"/>
      <c r="Y172" s="1571"/>
      <c r="Z172" s="1575">
        <f>SUM(W171:Z171)</f>
        <v>5.7604552826691382</v>
      </c>
      <c r="AA172" s="1570"/>
      <c r="AB172" s="1571"/>
      <c r="AC172" s="1571"/>
      <c r="AD172" s="1575">
        <f>SUM(AA171:AD171)</f>
        <v>6.3656163113994442</v>
      </c>
      <c r="AE172" s="1570"/>
      <c r="AF172" s="1571"/>
      <c r="AG172" s="1571"/>
      <c r="AH172" s="1575">
        <f>SUM(AE171:AH171)</f>
        <v>7.6942481464318817</v>
      </c>
      <c r="AI172" s="1570"/>
      <c r="AJ172" s="1571"/>
      <c r="AK172" s="1571"/>
      <c r="AL172" s="1575">
        <f>SUM(AI171:AL171)</f>
        <v>9.1090708989805371</v>
      </c>
      <c r="AM172" s="1570"/>
      <c r="AN172" s="1571"/>
      <c r="AO172" s="1571"/>
      <c r="AP172" s="1575">
        <f>SUM(AM171:AP171)</f>
        <v>9.8353510194624647</v>
      </c>
      <c r="AQ172" s="1570"/>
      <c r="AR172" s="1571"/>
      <c r="AS172" s="1571"/>
      <c r="AT172" s="1575">
        <f>SUM(AQ171:AT171)</f>
        <v>10.224368628359592</v>
      </c>
      <c r="AU172" s="1570"/>
      <c r="AV172" s="1571"/>
      <c r="AW172" s="1571"/>
      <c r="AX172" s="1575">
        <f>SUM(AU171:AX171)</f>
        <v>13.377800000000001</v>
      </c>
      <c r="AY172" s="1570"/>
      <c r="AZ172" s="1571"/>
      <c r="BA172" s="1571"/>
      <c r="BB172" s="1575">
        <f>SUM(AY171:BB171)</f>
        <v>15.0701</v>
      </c>
      <c r="BC172" s="1570"/>
      <c r="BD172" s="1571"/>
      <c r="BE172" s="1571"/>
      <c r="BF172" s="1575">
        <f>SUM(BC171:BF171)</f>
        <v>15.5487</v>
      </c>
      <c r="BG172" s="1570"/>
      <c r="BH172" s="1571"/>
      <c r="BI172" s="1571"/>
      <c r="BJ172" s="1575">
        <f>SUM(BG171:BJ171)</f>
        <v>17.674400000000002</v>
      </c>
      <c r="BK172" s="1570"/>
      <c r="BL172" s="1571"/>
      <c r="BM172" s="1571"/>
      <c r="BN172" s="1575">
        <f>SUM(BK171:BN171)</f>
        <v>15.3918</v>
      </c>
      <c r="BO172" s="1570"/>
      <c r="BP172" s="1571"/>
      <c r="BQ172" s="1571"/>
      <c r="BR172" s="1575">
        <f>SUM(BO171:BR171)</f>
        <v>18.3276</v>
      </c>
      <c r="BS172" s="1570"/>
      <c r="BT172" s="1571"/>
      <c r="BU172" s="1571"/>
      <c r="BV172" s="1575">
        <f>SUM(BS171:BV171)</f>
        <v>21.1309</v>
      </c>
      <c r="BW172" s="1570"/>
      <c r="BX172" s="1571"/>
      <c r="BY172" s="1571"/>
      <c r="BZ172" s="1575">
        <f>SUM(BW171:BZ171)</f>
        <v>23.753299999999999</v>
      </c>
      <c r="CA172" s="1570"/>
      <c r="CB172" s="1571"/>
      <c r="CC172" s="1571"/>
      <c r="CD172" s="1575">
        <f>SUM(CA171:CD171)</f>
        <v>26.091100000000001</v>
      </c>
      <c r="CE172" s="1570"/>
      <c r="CF172" s="1571"/>
      <c r="CG172" s="1571"/>
      <c r="CH172" s="1575">
        <f>SUM(CE171:CH171)</f>
        <v>26.958500000000001</v>
      </c>
      <c r="CI172" s="1570"/>
      <c r="CJ172" s="1571"/>
      <c r="CK172" s="1571"/>
      <c r="CL172" s="1575">
        <f>SUM(CI171:CL171)</f>
        <v>26.837299999999999</v>
      </c>
      <c r="CM172" s="1570"/>
      <c r="CN172" s="1571"/>
      <c r="CO172" s="1571"/>
      <c r="CP172" s="1575">
        <f>SUM(CM171:CP171)</f>
        <v>27.771600000000003</v>
      </c>
      <c r="CQ172" s="1570"/>
      <c r="CR172" s="1571"/>
      <c r="CS172" s="1571"/>
      <c r="CT172" s="1575">
        <f>SUM(CQ171:CT171)</f>
        <v>31.465899999999998</v>
      </c>
      <c r="CU172" s="1570"/>
      <c r="CV172" s="1571"/>
      <c r="CW172" s="1571"/>
      <c r="CX172" s="1575">
        <f>SUM(CU171:CX171)</f>
        <v>33.202599416662949</v>
      </c>
      <c r="CY172" s="1570"/>
      <c r="CZ172" s="1571"/>
      <c r="DA172" s="1571"/>
      <c r="DB172" s="1575">
        <f>SUM(CY171:DB171)</f>
        <v>34.669285214678787</v>
      </c>
      <c r="DC172"/>
      <c r="DD172"/>
      <c r="DE172"/>
      <c r="DF172"/>
      <c r="DG172"/>
      <c r="DH172"/>
      <c r="DI172"/>
      <c r="DJ172"/>
      <c r="DK172"/>
      <c r="DL172"/>
      <c r="DM172"/>
      <c r="DN172"/>
      <c r="DO172"/>
    </row>
    <row r="173" spans="1:119" s="699" customFormat="1" ht="12.75" customHeight="1">
      <c r="A173" s="664"/>
      <c r="B173" s="664"/>
      <c r="C173" s="669"/>
      <c r="D173" s="679"/>
      <c r="E173" s="1572" t="s">
        <v>1847</v>
      </c>
      <c r="F173" s="679"/>
      <c r="G173" s="1573"/>
      <c r="H173" s="2839" t="s">
        <v>757</v>
      </c>
      <c r="I173" s="2840">
        <f ca="1">+J173/J172*100</f>
        <v>107.68777525057425</v>
      </c>
      <c r="J173" s="1574">
        <f ca="1">OFFSET('VVP2'!$G$83,0,(COLUMN()-10)/4)</f>
        <v>5.0488624980055201</v>
      </c>
      <c r="K173" s="1573"/>
      <c r="L173" s="2839" t="s">
        <v>757</v>
      </c>
      <c r="M173" s="2840">
        <f ca="1">+N173/N172*100</f>
        <v>107.75748254025288</v>
      </c>
      <c r="N173" s="1574">
        <f ca="1">OFFSET('VVP2'!$G$83,0,(COLUMN()-10)/4)</f>
        <v>6.0103945464491666</v>
      </c>
      <c r="O173" s="1573"/>
      <c r="P173" s="2839" t="s">
        <v>757</v>
      </c>
      <c r="Q173" s="2840">
        <f ca="1">+R173/R172*100</f>
        <v>108.63664825197681</v>
      </c>
      <c r="R173" s="1574">
        <f ca="1">OFFSET('VVP2'!$G$83,0,(COLUMN()-10)/4)</f>
        <v>7.1426519644701454</v>
      </c>
      <c r="S173" s="1573"/>
      <c r="T173" s="2839" t="s">
        <v>757</v>
      </c>
      <c r="U173" s="2840">
        <f ca="1">+V173/V172*100</f>
        <v>107.9754659717893</v>
      </c>
      <c r="V173" s="1574">
        <f ca="1">OFFSET('VVP2'!$G$83,0,(COLUMN()-10)/4)</f>
        <v>7.475443470272916</v>
      </c>
      <c r="W173" s="1573"/>
      <c r="X173" s="2839" t="s">
        <v>757</v>
      </c>
      <c r="Y173" s="2840">
        <f ca="1">+Z173/Z172*100</f>
        <v>108.52543594407835</v>
      </c>
      <c r="Z173" s="1574">
        <f ca="1">OFFSET('VVP2'!$G$83,0,(COLUMN()-10)/4)</f>
        <v>6.2515592078803728</v>
      </c>
      <c r="AA173" s="1573"/>
      <c r="AB173" s="2839" t="s">
        <v>757</v>
      </c>
      <c r="AC173" s="2840">
        <f ca="1">+AD173/AD172*100</f>
        <v>107.59419736694242</v>
      </c>
      <c r="AD173" s="1574">
        <f ca="1">OFFSET('VVP2'!$G$83,0,(COLUMN()-10)/4)</f>
        <v>6.8490337777093986</v>
      </c>
      <c r="AE173" s="1573"/>
      <c r="AF173" s="2839" t="s">
        <v>757</v>
      </c>
      <c r="AG173" s="2840">
        <f ca="1">+AH173/AH172*100</f>
        <v>107.89429293144626</v>
      </c>
      <c r="AH173" s="1574">
        <f ca="1">OFFSET('VVP2'!$G$83,0,(COLUMN()-10)/4)</f>
        <v>8.3016546339835884</v>
      </c>
      <c r="AI173" s="1573"/>
      <c r="AJ173" s="2839" t="s">
        <v>757</v>
      </c>
      <c r="AK173" s="2840">
        <f ca="1">+AL173/AL172*100</f>
        <v>108.09751503588735</v>
      </c>
      <c r="AL173" s="1574">
        <f ca="1">OFFSET('VVP2'!$G$83,0,(COLUMN()-10)/4)</f>
        <v>9.8466792846551261</v>
      </c>
      <c r="AM173" s="1573"/>
      <c r="AN173" s="2839" t="s">
        <v>757</v>
      </c>
      <c r="AO173" s="2840">
        <f ca="1">+AP173/AP172*100</f>
        <v>108.55108716129298</v>
      </c>
      <c r="AP173" s="1574">
        <f ca="1">OFFSET('VVP2'!$G$83,0,(COLUMN()-10)/4)</f>
        <v>10.676380457755817</v>
      </c>
      <c r="AQ173" s="1573"/>
      <c r="AR173" s="2839" t="s">
        <v>757</v>
      </c>
      <c r="AS173" s="2840">
        <f ca="1">+AT173/AT172*100</f>
        <v>108.59154636897459</v>
      </c>
      <c r="AT173" s="1574">
        <f ca="1">OFFSET('VVP2'!$G$83,0,(COLUMN()-10)/4)</f>
        <v>11.102799999999998</v>
      </c>
      <c r="AU173" s="1573"/>
      <c r="AV173" s="2839" t="s">
        <v>757</v>
      </c>
      <c r="AW173" s="2840">
        <f ca="1">+AX173/AX172*100</f>
        <v>100.04148664204877</v>
      </c>
      <c r="AX173" s="1574">
        <f ca="1">OFFSET('VVP2'!$G$83,0,(COLUMN()-10)/4)</f>
        <v>13.38335</v>
      </c>
      <c r="AY173" s="1573"/>
      <c r="AZ173" s="2839" t="s">
        <v>757</v>
      </c>
      <c r="BA173" s="2840">
        <f ca="1">+BB173/BB172*100</f>
        <v>100.03656246474807</v>
      </c>
      <c r="BB173" s="1574">
        <f ca="1">OFFSET('VVP2'!$G$83,0,(COLUMN()-10)/4)</f>
        <v>15.075610000000001</v>
      </c>
      <c r="BC173" s="1573"/>
      <c r="BD173" s="2839" t="s">
        <v>757</v>
      </c>
      <c r="BE173" s="2840">
        <f ca="1">+BF173/BF172*100</f>
        <v>100.03543704618392</v>
      </c>
      <c r="BF173" s="1574">
        <f ca="1">OFFSET('VVP2'!$G$83,0,(COLUMN()-10)/4)</f>
        <v>15.554209999999999</v>
      </c>
      <c r="BG173" s="1573"/>
      <c r="BH173" s="2839" t="s">
        <v>757</v>
      </c>
      <c r="BI173" s="2840">
        <f ca="1">+BJ173/BJ172*100</f>
        <v>99.891028832661917</v>
      </c>
      <c r="BJ173" s="1574">
        <f ca="1">OFFSET('VVP2'!$G$83,0,(COLUMN()-10)/4)</f>
        <v>17.655139999999999</v>
      </c>
      <c r="BK173" s="1573"/>
      <c r="BL173" s="2839" t="s">
        <v>757</v>
      </c>
      <c r="BM173" s="2840">
        <f ca="1">+BN173/BN172*100</f>
        <v>100.03566834288389</v>
      </c>
      <c r="BN173" s="1574">
        <f ca="1">OFFSET('VVP2'!$G$83,0,(COLUMN()-10)/4)</f>
        <v>15.397290000000002</v>
      </c>
      <c r="BO173" s="1573"/>
      <c r="BP173" s="2839" t="s">
        <v>757</v>
      </c>
      <c r="BQ173" s="2840">
        <f ca="1">+BR173/BR172*100</f>
        <v>99.925140225670575</v>
      </c>
      <c r="BR173" s="1574">
        <f ca="1">OFFSET('VVP2'!$G$83,0,(COLUMN()-10)/4)</f>
        <v>18.313880000000001</v>
      </c>
      <c r="BS173" s="1573"/>
      <c r="BT173" s="2839" t="s">
        <v>757</v>
      </c>
      <c r="BU173" s="2840">
        <f ca="1">+BV173/BV172*100</f>
        <v>100.0194975131206</v>
      </c>
      <c r="BV173" s="1574">
        <f ca="1">OFFSET('VVP2'!$G$83,0,(COLUMN()-10)/4)</f>
        <v>21.135020000000001</v>
      </c>
      <c r="BW173" s="1573"/>
      <c r="BX173" s="2839" t="s">
        <v>757</v>
      </c>
      <c r="BY173" s="2840">
        <f ca="1">+BZ173/BZ172*100</f>
        <v>100.00021049706777</v>
      </c>
      <c r="BZ173" s="1574">
        <f ca="1">OFFSET('VVP2'!$G$83,0,(COLUMN()-10)/4)</f>
        <v>23.753349999999998</v>
      </c>
      <c r="CA173" s="1573"/>
      <c r="CB173" s="2839" t="s">
        <v>757</v>
      </c>
      <c r="CC173" s="2840">
        <f ca="1">+CD173/CD172*100</f>
        <v>100.01640406115496</v>
      </c>
      <c r="CD173" s="1574">
        <f ca="1">OFFSET('VVP2'!$G$83,0,(COLUMN()-10)/4)</f>
        <v>26.095380000000002</v>
      </c>
      <c r="CE173" s="1573"/>
      <c r="CF173" s="2839" t="s">
        <v>757</v>
      </c>
      <c r="CG173" s="2840">
        <f ca="1">+CH173/CH172*100</f>
        <v>99.962423725355649</v>
      </c>
      <c r="CH173" s="1574">
        <f ca="1">OFFSET('VVP2'!$G$83,0,(COLUMN()-10)/4)</f>
        <v>26.948370000000001</v>
      </c>
      <c r="CI173" s="1573"/>
      <c r="CJ173" s="2839" t="s">
        <v>757</v>
      </c>
      <c r="CK173" s="2840">
        <f ca="1">+CL173/CL172*100</f>
        <v>100.04985598402226</v>
      </c>
      <c r="CL173" s="1574">
        <f ca="1">OFFSET('VVP2'!$G$83,0,(COLUMN()-10)/4)</f>
        <v>26.850680000000001</v>
      </c>
      <c r="CM173" s="1573"/>
      <c r="CN173" s="2839" t="s">
        <v>757</v>
      </c>
      <c r="CO173" s="2840">
        <f ca="1">+CP173/CP172*100</f>
        <v>100.02401734145671</v>
      </c>
      <c r="CP173" s="1574">
        <f ca="1">OFFSET('VVP2'!$G$83,0,(COLUMN()-10)/4)</f>
        <v>27.778269999999999</v>
      </c>
      <c r="CQ173" s="1573"/>
      <c r="CR173" s="2839" t="s">
        <v>757</v>
      </c>
      <c r="CS173" s="2840">
        <f ca="1">+CT173/CT172*100</f>
        <v>99.96755217552969</v>
      </c>
      <c r="CT173" s="1574">
        <f ca="1">OFFSET('VVP2'!$G$83,0,(COLUMN()-10)/4)</f>
        <v>31.455689999999997</v>
      </c>
      <c r="CU173" s="1573"/>
      <c r="CV173" s="2839" t="s">
        <v>757</v>
      </c>
      <c r="CW173" s="2840">
        <f ca="1">+CX173/CX172*100</f>
        <v>99.964691603119036</v>
      </c>
      <c r="CX173" s="1574">
        <f ca="1">OFFSET('VVP2'!$G$83,0,(COLUMN()-10)/4)</f>
        <v>33.190876111086119</v>
      </c>
      <c r="CY173" s="1573"/>
      <c r="CZ173" s="2839" t="s">
        <v>757</v>
      </c>
      <c r="DA173" s="2840">
        <f ca="1">+DB173/DB172*100</f>
        <v>99.971594473451376</v>
      </c>
      <c r="DB173" s="1574">
        <f ca="1">OFFSET('VVP2'!$G$83,0,(COLUMN()-10)/4)</f>
        <v>34.659437221662913</v>
      </c>
      <c r="DC173"/>
      <c r="DD173"/>
      <c r="DE173"/>
      <c r="DF173"/>
      <c r="DG173"/>
      <c r="DH173"/>
      <c r="DI173"/>
      <c r="DJ173"/>
      <c r="DK173"/>
      <c r="DL173"/>
      <c r="DM173"/>
      <c r="DN173"/>
      <c r="DO173"/>
    </row>
    <row r="174" spans="1:119" ht="12.75" customHeight="1">
      <c r="A174" s="664"/>
      <c r="E174" s="599"/>
      <c r="F174" s="3617"/>
      <c r="AY174" s="217"/>
      <c r="BA174" s="217"/>
      <c r="BB174" s="217"/>
      <c r="BC174" s="217"/>
      <c r="BD174" s="217"/>
      <c r="BE174" s="217"/>
      <c r="BF174" s="217"/>
      <c r="BG174" s="217"/>
      <c r="BH174" s="217"/>
      <c r="BI174" s="217"/>
      <c r="BJ174" s="217"/>
      <c r="CM174" s="557"/>
      <c r="CN174" s="557"/>
      <c r="CO174" s="557"/>
      <c r="CP174" s="557"/>
      <c r="CQ174" s="557"/>
      <c r="CR174" s="557"/>
      <c r="CS174" s="557"/>
      <c r="CT174" s="557"/>
      <c r="CU174" s="557"/>
      <c r="CV174" s="557"/>
      <c r="CW174" s="557"/>
      <c r="CX174" s="557"/>
      <c r="CY174" s="557"/>
      <c r="CZ174" s="557"/>
      <c r="DA174" s="557"/>
      <c r="DB174" s="557"/>
    </row>
    <row r="175" spans="1:119" s="699" customFormat="1">
      <c r="A175" s="664"/>
      <c r="B175" s="664"/>
      <c r="C175" s="1553"/>
      <c r="D175" s="742"/>
      <c r="E175" s="3384" t="s">
        <v>762</v>
      </c>
      <c r="F175" s="3622"/>
      <c r="G175" s="1578" t="str">
        <f t="shared" ref="G175:N175" si="428">G162</f>
        <v>Q1</v>
      </c>
      <c r="H175" s="1579" t="str">
        <f t="shared" si="428"/>
        <v>Q2</v>
      </c>
      <c r="I175" s="1579" t="str">
        <f t="shared" si="428"/>
        <v>Q3</v>
      </c>
      <c r="J175" s="1580" t="str">
        <f t="shared" si="428"/>
        <v>Q4</v>
      </c>
      <c r="K175" s="1578" t="str">
        <f t="shared" si="428"/>
        <v>Q1</v>
      </c>
      <c r="L175" s="1579" t="str">
        <f t="shared" si="428"/>
        <v>Q2</v>
      </c>
      <c r="M175" s="1579" t="str">
        <f t="shared" si="428"/>
        <v>Q3</v>
      </c>
      <c r="N175" s="1580" t="str">
        <f t="shared" si="428"/>
        <v>Q4</v>
      </c>
      <c r="O175" s="1578" t="str">
        <f t="shared" ref="O175:V175" si="429">O162</f>
        <v>Q1</v>
      </c>
      <c r="P175" s="1579" t="str">
        <f t="shared" si="429"/>
        <v>Q2</v>
      </c>
      <c r="Q175" s="1579" t="str">
        <f t="shared" si="429"/>
        <v>Q3</v>
      </c>
      <c r="R175" s="1580" t="str">
        <f t="shared" si="429"/>
        <v>Q4</v>
      </c>
      <c r="S175" s="1578" t="str">
        <f t="shared" si="429"/>
        <v>Q1</v>
      </c>
      <c r="T175" s="1579" t="str">
        <f t="shared" si="429"/>
        <v>Q2</v>
      </c>
      <c r="U175" s="1579" t="str">
        <f t="shared" si="429"/>
        <v>Q3</v>
      </c>
      <c r="V175" s="1580" t="str">
        <f t="shared" si="429"/>
        <v>Q4</v>
      </c>
      <c r="W175" s="1578" t="str">
        <f t="shared" ref="W175:BJ175" si="430">W162</f>
        <v>Q1</v>
      </c>
      <c r="X175" s="1579" t="str">
        <f t="shared" si="430"/>
        <v>Q2</v>
      </c>
      <c r="Y175" s="1579" t="str">
        <f t="shared" si="430"/>
        <v>Q3</v>
      </c>
      <c r="Z175" s="1580" t="str">
        <f t="shared" si="430"/>
        <v>Q4</v>
      </c>
      <c r="AA175" s="1578" t="str">
        <f t="shared" si="430"/>
        <v>Q1</v>
      </c>
      <c r="AB175" s="1579" t="str">
        <f t="shared" si="430"/>
        <v>Q2</v>
      </c>
      <c r="AC175" s="1579" t="str">
        <f t="shared" si="430"/>
        <v>Q3</v>
      </c>
      <c r="AD175" s="1580" t="str">
        <f t="shared" si="430"/>
        <v>Q4</v>
      </c>
      <c r="AE175" s="1578" t="str">
        <f t="shared" si="430"/>
        <v>Q1</v>
      </c>
      <c r="AF175" s="1579" t="str">
        <f t="shared" si="430"/>
        <v>Q2</v>
      </c>
      <c r="AG175" s="1579" t="str">
        <f t="shared" si="430"/>
        <v>Q3</v>
      </c>
      <c r="AH175" s="1580" t="str">
        <f t="shared" si="430"/>
        <v>Q4</v>
      </c>
      <c r="AI175" s="1578" t="str">
        <f t="shared" si="430"/>
        <v>Q1</v>
      </c>
      <c r="AJ175" s="1579" t="str">
        <f t="shared" si="430"/>
        <v>Q2</v>
      </c>
      <c r="AK175" s="1579" t="str">
        <f t="shared" si="430"/>
        <v>Q3</v>
      </c>
      <c r="AL175" s="1580" t="str">
        <f t="shared" si="430"/>
        <v>Q4</v>
      </c>
      <c r="AM175" s="1578" t="str">
        <f t="shared" si="430"/>
        <v>Q1</v>
      </c>
      <c r="AN175" s="1579" t="str">
        <f t="shared" si="430"/>
        <v>Q2</v>
      </c>
      <c r="AO175" s="1579" t="str">
        <f t="shared" si="430"/>
        <v>Q3</v>
      </c>
      <c r="AP175" s="1580" t="str">
        <f t="shared" si="430"/>
        <v>Q4</v>
      </c>
      <c r="AQ175" s="1578" t="str">
        <f t="shared" si="430"/>
        <v>Q1</v>
      </c>
      <c r="AR175" s="1579" t="str">
        <f t="shared" si="430"/>
        <v>Q2</v>
      </c>
      <c r="AS175" s="1579" t="str">
        <f t="shared" si="430"/>
        <v>Q3</v>
      </c>
      <c r="AT175" s="1580" t="str">
        <f t="shared" si="430"/>
        <v>Q4</v>
      </c>
      <c r="AU175" s="1578" t="str">
        <f t="shared" si="430"/>
        <v>Q1</v>
      </c>
      <c r="AV175" s="1579" t="str">
        <f t="shared" si="430"/>
        <v>Q2</v>
      </c>
      <c r="AW175" s="1579" t="str">
        <f t="shared" si="430"/>
        <v>Q3</v>
      </c>
      <c r="AX175" s="1580" t="str">
        <f t="shared" si="430"/>
        <v>Q4</v>
      </c>
      <c r="AY175" s="1578" t="str">
        <f t="shared" si="430"/>
        <v>Q1</v>
      </c>
      <c r="AZ175" s="1579" t="str">
        <f t="shared" si="430"/>
        <v>Q2</v>
      </c>
      <c r="BA175" s="1579" t="str">
        <f t="shared" si="430"/>
        <v>Q3</v>
      </c>
      <c r="BB175" s="1580" t="str">
        <f t="shared" si="430"/>
        <v>Q4</v>
      </c>
      <c r="BC175" s="1578" t="str">
        <f t="shared" si="430"/>
        <v>Q1</v>
      </c>
      <c r="BD175" s="1579" t="str">
        <f t="shared" si="430"/>
        <v>Q2</v>
      </c>
      <c r="BE175" s="1579" t="str">
        <f t="shared" si="430"/>
        <v>Q3</v>
      </c>
      <c r="BF175" s="1580" t="str">
        <f t="shared" si="430"/>
        <v>Q4</v>
      </c>
      <c r="BG175" s="1578" t="str">
        <f t="shared" si="430"/>
        <v>Q1</v>
      </c>
      <c r="BH175" s="1579" t="str">
        <f t="shared" si="430"/>
        <v>Q2</v>
      </c>
      <c r="BI175" s="1579" t="str">
        <f t="shared" si="430"/>
        <v>Q3</v>
      </c>
      <c r="BJ175" s="1580" t="str">
        <f t="shared" si="430"/>
        <v>Q4</v>
      </c>
      <c r="BK175" s="1579" t="str">
        <f t="shared" ref="BK175:BR175" si="431">BK162</f>
        <v>Q1</v>
      </c>
      <c r="BL175" s="1579" t="str">
        <f t="shared" si="431"/>
        <v>Q2</v>
      </c>
      <c r="BM175" s="1579" t="str">
        <f t="shared" si="431"/>
        <v>Q3</v>
      </c>
      <c r="BN175" s="1579" t="str">
        <f t="shared" si="431"/>
        <v>Q4</v>
      </c>
      <c r="BO175" s="1579" t="str">
        <f t="shared" si="431"/>
        <v>Q1</v>
      </c>
      <c r="BP175" s="1579" t="str">
        <f t="shared" si="431"/>
        <v>Q2</v>
      </c>
      <c r="BQ175" s="1579" t="str">
        <f t="shared" si="431"/>
        <v>Q3</v>
      </c>
      <c r="BR175" s="1579" t="str">
        <f t="shared" si="431"/>
        <v>Q4</v>
      </c>
      <c r="BS175" s="1579" t="str">
        <f t="shared" ref="BS175:CD175" si="432">BS162</f>
        <v>Q1</v>
      </c>
      <c r="BT175" s="1579" t="str">
        <f t="shared" si="432"/>
        <v>Q2</v>
      </c>
      <c r="BU175" s="1579" t="str">
        <f t="shared" si="432"/>
        <v>Q3</v>
      </c>
      <c r="BV175" s="1579" t="str">
        <f t="shared" si="432"/>
        <v>Q4</v>
      </c>
      <c r="BW175" s="1579" t="str">
        <f t="shared" si="432"/>
        <v>Q1</v>
      </c>
      <c r="BX175" s="1579" t="str">
        <f t="shared" si="432"/>
        <v>Q2</v>
      </c>
      <c r="BY175" s="1579" t="str">
        <f t="shared" si="432"/>
        <v>Q3</v>
      </c>
      <c r="BZ175" s="1579" t="str">
        <f t="shared" si="432"/>
        <v>Q4</v>
      </c>
      <c r="CA175" s="1579" t="str">
        <f t="shared" si="432"/>
        <v>Q1</v>
      </c>
      <c r="CB175" s="1579" t="str">
        <f t="shared" si="432"/>
        <v>Q2</v>
      </c>
      <c r="CC175" s="1579" t="str">
        <f t="shared" si="432"/>
        <v>Q3</v>
      </c>
      <c r="CD175" s="1579" t="str">
        <f t="shared" si="432"/>
        <v>Q4</v>
      </c>
      <c r="CE175" s="1579" t="str">
        <f t="shared" ref="CE175:CL175" si="433">CE162</f>
        <v>Q1</v>
      </c>
      <c r="CF175" s="1579" t="str">
        <f t="shared" si="433"/>
        <v>Q2</v>
      </c>
      <c r="CG175" s="1579" t="str">
        <f t="shared" si="433"/>
        <v>Q3</v>
      </c>
      <c r="CH175" s="1579" t="str">
        <f t="shared" si="433"/>
        <v>Q4</v>
      </c>
      <c r="CI175" s="1579" t="str">
        <f t="shared" si="433"/>
        <v>Q1</v>
      </c>
      <c r="CJ175" s="1579" t="str">
        <f t="shared" si="433"/>
        <v>Q2</v>
      </c>
      <c r="CK175" s="1579" t="str">
        <f t="shared" si="433"/>
        <v>Q3</v>
      </c>
      <c r="CL175" s="1579" t="str">
        <f t="shared" si="433"/>
        <v>Q4</v>
      </c>
      <c r="CM175" s="1579" t="str">
        <f t="shared" ref="CM175:CT175" si="434">CM162</f>
        <v>Q1</v>
      </c>
      <c r="CN175" s="1579" t="str">
        <f t="shared" si="434"/>
        <v>Q2</v>
      </c>
      <c r="CO175" s="1579" t="str">
        <f t="shared" si="434"/>
        <v>Q3</v>
      </c>
      <c r="CP175" s="1579" t="str">
        <f t="shared" si="434"/>
        <v>Q4</v>
      </c>
      <c r="CQ175" s="1579" t="str">
        <f t="shared" si="434"/>
        <v>Q1</v>
      </c>
      <c r="CR175" s="1579" t="str">
        <f t="shared" si="434"/>
        <v>Q2</v>
      </c>
      <c r="CS175" s="1579" t="str">
        <f t="shared" si="434"/>
        <v>Q3</v>
      </c>
      <c r="CT175" s="1579" t="str">
        <f t="shared" si="434"/>
        <v>Q4</v>
      </c>
      <c r="CU175" s="1579" t="str">
        <f t="shared" ref="CU175:DB175" si="435">CU162</f>
        <v>Q1</v>
      </c>
      <c r="CV175" s="1579" t="str">
        <f t="shared" si="435"/>
        <v>Q2</v>
      </c>
      <c r="CW175" s="1579" t="str">
        <f t="shared" si="435"/>
        <v>Q3</v>
      </c>
      <c r="CX175" s="1579" t="str">
        <f t="shared" si="435"/>
        <v>Q4</v>
      </c>
      <c r="CY175" s="1579" t="str">
        <f t="shared" si="435"/>
        <v>Q1</v>
      </c>
      <c r="CZ175" s="1579" t="str">
        <f t="shared" si="435"/>
        <v>Q2</v>
      </c>
      <c r="DA175" s="1579" t="str">
        <f t="shared" si="435"/>
        <v>Q3</v>
      </c>
      <c r="DB175" s="1579" t="str">
        <f t="shared" si="435"/>
        <v>Q4</v>
      </c>
      <c r="DC175"/>
      <c r="DD175"/>
      <c r="DE175"/>
      <c r="DF175"/>
      <c r="DG175"/>
      <c r="DH175"/>
      <c r="DI175"/>
      <c r="DJ175"/>
      <c r="DK175"/>
      <c r="DL175"/>
      <c r="DM175"/>
      <c r="DN175"/>
      <c r="DO175"/>
    </row>
    <row r="176" spans="1:119" ht="12.75" hidden="1" customHeight="1">
      <c r="A176" s="664"/>
      <c r="C176" s="929"/>
      <c r="E176" s="599" t="s">
        <v>1782</v>
      </c>
      <c r="F176" s="3617"/>
      <c r="H176" s="217">
        <f>(H163/G163-1)*100</f>
        <v>4.8178462526079269</v>
      </c>
      <c r="I176" s="217">
        <f t="shared" ref="I176:N176" si="436">(I163/H163-1)*100</f>
        <v>5.3742038216560539</v>
      </c>
      <c r="J176" s="217">
        <f t="shared" si="436"/>
        <v>4.6496759757054473</v>
      </c>
      <c r="K176" s="217">
        <f t="shared" si="436"/>
        <v>2.1187970342395612</v>
      </c>
      <c r="L176" s="217">
        <f t="shared" si="436"/>
        <v>3.491597324196416</v>
      </c>
      <c r="M176" s="217">
        <f t="shared" si="436"/>
        <v>4.9766146408113832</v>
      </c>
      <c r="N176" s="217">
        <f t="shared" si="436"/>
        <v>5.6542851421706342</v>
      </c>
      <c r="O176" s="217">
        <f t="shared" ref="O176:V176" si="437">(O163/N163-1)*100</f>
        <v>5.282983108668371</v>
      </c>
      <c r="P176" s="217">
        <f t="shared" si="437"/>
        <v>0.74030737382144718</v>
      </c>
      <c r="Q176" s="217">
        <f t="shared" si="437"/>
        <v>1.4116595934777987</v>
      </c>
      <c r="R176" s="217">
        <f t="shared" si="437"/>
        <v>9.589885908109764</v>
      </c>
      <c r="S176" s="217">
        <f t="shared" si="437"/>
        <v>2.5283382908593666</v>
      </c>
      <c r="T176" s="217">
        <f t="shared" si="437"/>
        <v>-0.74293331242403227</v>
      </c>
      <c r="U176" s="217">
        <f t="shared" si="437"/>
        <v>-9.2129949639577333</v>
      </c>
      <c r="V176" s="217">
        <f t="shared" si="437"/>
        <v>-5.8516423754622622</v>
      </c>
      <c r="W176" s="217">
        <f t="shared" ref="W176:BJ176" si="438">(W163/V163-1)*100</f>
        <v>-7.2966728280961179</v>
      </c>
      <c r="X176" s="217">
        <f t="shared" si="438"/>
        <v>-8.1152484920990915</v>
      </c>
      <c r="Y176" s="217">
        <f t="shared" si="438"/>
        <v>-1.6193782889383002</v>
      </c>
      <c r="Z176" s="217">
        <f t="shared" si="438"/>
        <v>0.93468251123547397</v>
      </c>
      <c r="AA176" s="217">
        <f t="shared" si="438"/>
        <v>12.418050699300686</v>
      </c>
      <c r="AB176" s="217">
        <f t="shared" si="438"/>
        <v>0.84803421295622794</v>
      </c>
      <c r="AC176" s="217">
        <f t="shared" si="438"/>
        <v>8.7078042551140822</v>
      </c>
      <c r="AD176" s="217">
        <f t="shared" si="438"/>
        <v>1.9371855398186977</v>
      </c>
      <c r="AE176" s="217">
        <f t="shared" si="438"/>
        <v>10.028048966102032</v>
      </c>
      <c r="AF176" s="217">
        <f t="shared" si="438"/>
        <v>6.4185917830958727</v>
      </c>
      <c r="AG176" s="217">
        <f t="shared" si="438"/>
        <v>1.156895879370845</v>
      </c>
      <c r="AH176" s="217">
        <f t="shared" si="438"/>
        <v>4.4645151815545292</v>
      </c>
      <c r="AI176" s="217">
        <f t="shared" si="438"/>
        <v>5.4387938003022551</v>
      </c>
      <c r="AJ176" s="217">
        <f t="shared" si="438"/>
        <v>7.2315461408976489</v>
      </c>
      <c r="AK176" s="217">
        <f t="shared" si="438"/>
        <v>-0.59682934410941746</v>
      </c>
      <c r="AL176" s="217">
        <f t="shared" si="438"/>
        <v>6.8156232409781747</v>
      </c>
      <c r="AM176" s="217">
        <f t="shared" si="438"/>
        <v>4.8788699407157798</v>
      </c>
      <c r="AN176" s="217">
        <f t="shared" si="438"/>
        <v>-7.1209245198749276</v>
      </c>
      <c r="AO176" s="217">
        <f t="shared" si="438"/>
        <v>3.6005169356535305</v>
      </c>
      <c r="AP176" s="217">
        <f t="shared" si="438"/>
        <v>3.617533578950427</v>
      </c>
      <c r="AQ176" s="217">
        <f t="shared" si="438"/>
        <v>-7.4052298560949747</v>
      </c>
      <c r="AR176" s="217">
        <f t="shared" si="438"/>
        <v>5.2686481419889297</v>
      </c>
      <c r="AS176" s="217">
        <f t="shared" si="438"/>
        <v>3.0848329048843048</v>
      </c>
      <c r="AT176" s="217">
        <f t="shared" si="438"/>
        <v>6.4837905236907911</v>
      </c>
      <c r="AU176" s="217" t="e">
        <f t="shared" si="438"/>
        <v>#VALUE!</v>
      </c>
      <c r="AV176" s="217" t="e">
        <f t="shared" si="438"/>
        <v>#VALUE!</v>
      </c>
      <c r="AW176" s="217" t="e">
        <f t="shared" si="438"/>
        <v>#VALUE!</v>
      </c>
      <c r="AX176" s="217" t="e">
        <f t="shared" si="438"/>
        <v>#VALUE!</v>
      </c>
      <c r="AY176" s="217" t="e">
        <f t="shared" si="438"/>
        <v>#VALUE!</v>
      </c>
      <c r="AZ176" s="217" t="e">
        <f t="shared" si="438"/>
        <v>#VALUE!</v>
      </c>
      <c r="BA176" s="217" t="e">
        <f t="shared" si="438"/>
        <v>#VALUE!</v>
      </c>
      <c r="BB176" s="217" t="e">
        <f t="shared" si="438"/>
        <v>#VALUE!</v>
      </c>
      <c r="BC176" s="217" t="e">
        <f t="shared" si="438"/>
        <v>#VALUE!</v>
      </c>
      <c r="BD176" s="217" t="e">
        <f t="shared" si="438"/>
        <v>#VALUE!</v>
      </c>
      <c r="BE176" s="217" t="e">
        <f t="shared" si="438"/>
        <v>#VALUE!</v>
      </c>
      <c r="BF176" s="217" t="e">
        <f t="shared" si="438"/>
        <v>#VALUE!</v>
      </c>
      <c r="BG176" s="217" t="e">
        <f t="shared" si="438"/>
        <v>#VALUE!</v>
      </c>
      <c r="BH176" s="217" t="e">
        <f t="shared" si="438"/>
        <v>#VALUE!</v>
      </c>
      <c r="BI176" s="217" t="e">
        <f t="shared" si="438"/>
        <v>#VALUE!</v>
      </c>
      <c r="BJ176" s="217" t="e">
        <f t="shared" si="438"/>
        <v>#VALUE!</v>
      </c>
      <c r="BK176" s="2860" t="e">
        <f>(BK163/BJ163-1)*100</f>
        <v>#VALUE!</v>
      </c>
      <c r="BL176" s="2860" t="e">
        <f t="shared" ref="BL176:BQ176" si="439">(BL163/BK163-1)*100</f>
        <v>#VALUE!</v>
      </c>
      <c r="BM176" s="2860" t="e">
        <f t="shared" si="439"/>
        <v>#VALUE!</v>
      </c>
      <c r="BN176" s="2860" t="e">
        <f t="shared" si="439"/>
        <v>#VALUE!</v>
      </c>
      <c r="BO176" s="2860" t="e">
        <f t="shared" si="439"/>
        <v>#VALUE!</v>
      </c>
      <c r="BP176" s="2860" t="e">
        <f t="shared" si="439"/>
        <v>#VALUE!</v>
      </c>
      <c r="BQ176" s="2860" t="e">
        <f t="shared" si="439"/>
        <v>#VALUE!</v>
      </c>
      <c r="BR176" s="2860" t="e">
        <f>(BR163/BQ163-1)*100</f>
        <v>#VALUE!</v>
      </c>
      <c r="BS176" s="2860" t="e">
        <f>(BS163/BR163-1)*100</f>
        <v>#VALUE!</v>
      </c>
      <c r="BT176" s="2860" t="e">
        <f>(BT163/BS163-1)*100</f>
        <v>#VALUE!</v>
      </c>
      <c r="BU176" s="2860" t="e">
        <f>(BU163/BT163-1)*100</f>
        <v>#VALUE!</v>
      </c>
      <c r="BV176" s="2860" t="e">
        <f>(BV163/BU163-1)*100</f>
        <v>#VALUE!</v>
      </c>
      <c r="BW176" s="2860" t="e">
        <f t="shared" ref="BW176:CF176" si="440">(BW163/BV163-1)*100</f>
        <v>#VALUE!</v>
      </c>
      <c r="BX176" s="2860" t="e">
        <f t="shared" si="440"/>
        <v>#VALUE!</v>
      </c>
      <c r="BY176" s="2860" t="e">
        <f t="shared" si="440"/>
        <v>#VALUE!</v>
      </c>
      <c r="BZ176" s="2860" t="e">
        <f t="shared" si="440"/>
        <v>#VALUE!</v>
      </c>
      <c r="CA176" s="2860" t="e">
        <f t="shared" si="440"/>
        <v>#VALUE!</v>
      </c>
      <c r="CB176" s="2860" t="e">
        <f t="shared" si="440"/>
        <v>#VALUE!</v>
      </c>
      <c r="CC176" s="2860" t="e">
        <f t="shared" si="440"/>
        <v>#VALUE!</v>
      </c>
      <c r="CD176" s="2860" t="e">
        <f t="shared" si="440"/>
        <v>#VALUE!</v>
      </c>
      <c r="CE176" s="2860" t="e">
        <f t="shared" si="440"/>
        <v>#VALUE!</v>
      </c>
      <c r="CF176" s="2860" t="e">
        <f t="shared" si="440"/>
        <v>#VALUE!</v>
      </c>
      <c r="CG176" s="740">
        <v>-5</v>
      </c>
      <c r="CH176" s="740">
        <v>-4</v>
      </c>
      <c r="CI176" s="740">
        <v>3</v>
      </c>
      <c r="CJ176" s="740">
        <v>3</v>
      </c>
      <c r="CK176" s="740">
        <v>4.5</v>
      </c>
      <c r="CL176" s="740">
        <v>4</v>
      </c>
      <c r="CM176" s="740">
        <v>0.2</v>
      </c>
      <c r="CN176" s="740">
        <v>0.2</v>
      </c>
      <c r="CO176" s="740">
        <v>0.3</v>
      </c>
      <c r="CP176" s="740">
        <v>0.3</v>
      </c>
      <c r="CQ176" s="740">
        <v>0.35</v>
      </c>
      <c r="CR176" s="740">
        <v>0.39</v>
      </c>
      <c r="CS176" s="740">
        <v>0.43</v>
      </c>
      <c r="CT176" s="740">
        <v>0.47</v>
      </c>
      <c r="CU176" s="740">
        <v>0.35</v>
      </c>
      <c r="CV176" s="740">
        <v>0.39</v>
      </c>
      <c r="CW176" s="740">
        <v>0.43</v>
      </c>
      <c r="CX176" s="740">
        <v>0.47</v>
      </c>
      <c r="CY176" s="740">
        <v>0.35</v>
      </c>
      <c r="CZ176" s="740">
        <v>0.39</v>
      </c>
      <c r="DA176" s="740">
        <v>0.43</v>
      </c>
      <c r="DB176" s="740">
        <v>0.47</v>
      </c>
    </row>
    <row r="177" spans="1:119" ht="12.75" hidden="1" customHeight="1">
      <c r="C177" s="3072"/>
      <c r="D177" s="717"/>
      <c r="E177" s="3068" t="s">
        <v>266</v>
      </c>
      <c r="F177" s="3634"/>
      <c r="G177" s="2854"/>
      <c r="H177" s="2854"/>
      <c r="I177" s="2854"/>
      <c r="J177" s="2854"/>
      <c r="K177" s="2854"/>
      <c r="L177" s="2854"/>
      <c r="M177" s="2854"/>
      <c r="N177" s="1608">
        <f>N164/J164*100-100</f>
        <v>16.957082088607137</v>
      </c>
      <c r="O177" s="2854"/>
      <c r="P177" s="2854"/>
      <c r="Q177" s="2854"/>
      <c r="R177" s="1608">
        <f>R164/N164*100-100</f>
        <v>17.436224083569556</v>
      </c>
      <c r="S177" s="2854"/>
      <c r="T177" s="2854"/>
      <c r="U177" s="2854"/>
      <c r="V177" s="1608">
        <f>V164/R164*100-100</f>
        <v>3.5418101741615686</v>
      </c>
      <c r="W177" s="2854"/>
      <c r="X177" s="2854"/>
      <c r="Y177" s="2854"/>
      <c r="Z177" s="1608">
        <f>Z164/V164*100-100</f>
        <v>-21.495136171483352</v>
      </c>
      <c r="AA177" s="2854"/>
      <c r="AB177" s="2854"/>
      <c r="AC177" s="2854"/>
      <c r="AD177" s="1608">
        <f>AD164/Z164*100-100</f>
        <v>15.947686250959194</v>
      </c>
      <c r="AE177" s="2854"/>
      <c r="AF177" s="2854"/>
      <c r="AG177" s="2854"/>
      <c r="AH177" s="1608">
        <f>AH164/AD164*100-100</f>
        <v>24.210284004258625</v>
      </c>
      <c r="AI177" s="2854"/>
      <c r="AJ177" s="2854"/>
      <c r="AK177" s="2854"/>
      <c r="AL177" s="1608">
        <f>AL164/AH164*100-100</f>
        <v>18.893223495834775</v>
      </c>
      <c r="AM177" s="2854"/>
      <c r="AN177" s="2854"/>
      <c r="AO177" s="2854"/>
      <c r="AP177" s="1608">
        <f>AP164/AL164*100-100</f>
        <v>8.5576668277399222</v>
      </c>
      <c r="AQ177" s="2854"/>
      <c r="AR177" s="2854"/>
      <c r="AS177" s="2854"/>
      <c r="AT177" s="1608">
        <f>AT164/AP164*100-100</f>
        <v>1.9445601137228579</v>
      </c>
      <c r="AU177" s="2854"/>
      <c r="AV177" s="2854"/>
      <c r="AW177" s="2854"/>
      <c r="AX177" s="1608" t="e">
        <f>AX164/AT164*100-100</f>
        <v>#VALUE!</v>
      </c>
      <c r="AY177" s="2854"/>
      <c r="AZ177" s="2854"/>
      <c r="BA177" s="2854"/>
      <c r="BB177" s="1608" t="e">
        <f>BB164/AX164*100-100</f>
        <v>#VALUE!</v>
      </c>
      <c r="BC177" s="2854"/>
      <c r="BD177" s="2854"/>
      <c r="BE177" s="2854"/>
      <c r="BF177" s="1608" t="e">
        <f>BF164/BB164*100-100</f>
        <v>#VALUE!</v>
      </c>
      <c r="BG177" s="2854"/>
      <c r="BH177" s="2854"/>
      <c r="BI177" s="2854"/>
      <c r="BJ177" s="1608" t="e">
        <f>BJ164/BF164*100-100</f>
        <v>#VALUE!</v>
      </c>
      <c r="BK177" s="2854"/>
      <c r="BL177" s="2854"/>
      <c r="BM177" s="2854"/>
      <c r="BN177" s="1610" t="e">
        <f>BN164/BJ164*100-100</f>
        <v>#VALUE!</v>
      </c>
      <c r="BO177" s="2854"/>
      <c r="BP177" s="2854"/>
      <c r="BQ177" s="2854"/>
      <c r="BR177" s="1610" t="e">
        <f>BR164/BN164*100-100</f>
        <v>#VALUE!</v>
      </c>
      <c r="BS177" s="2854"/>
      <c r="BT177" s="2854"/>
      <c r="BU177" s="2854"/>
      <c r="BV177" s="1610" t="e">
        <f>BV164/BR164*100-100</f>
        <v>#VALUE!</v>
      </c>
      <c r="BW177" s="2854"/>
      <c r="BX177" s="2854"/>
      <c r="BY177" s="2854"/>
      <c r="BZ177" s="1610" t="e">
        <f>BZ164/BV164*100-100</f>
        <v>#VALUE!</v>
      </c>
      <c r="CA177" s="2854"/>
      <c r="CB177" s="2854"/>
      <c r="CC177" s="2854"/>
      <c r="CD177" s="1610" t="e">
        <f>CD164/BZ164*100-100</f>
        <v>#VALUE!</v>
      </c>
      <c r="CE177" s="2854"/>
      <c r="CF177" s="2854"/>
      <c r="CG177" s="2854"/>
      <c r="CH177" s="1610" t="e">
        <f>CH164/CD164*100-100</f>
        <v>#VALUE!</v>
      </c>
      <c r="CI177" s="2854"/>
      <c r="CJ177" s="2854"/>
      <c r="CK177" s="2854"/>
      <c r="CL177" s="1610" t="e">
        <f>CL164/CH164*100-100</f>
        <v>#VALUE!</v>
      </c>
      <c r="CM177" s="2854"/>
      <c r="CN177" s="2854"/>
      <c r="CO177" s="2854"/>
      <c r="CP177" s="1610" t="e">
        <f>CP164/CL164*100-100</f>
        <v>#VALUE!</v>
      </c>
      <c r="CQ177" s="2854"/>
      <c r="CR177" s="2854"/>
      <c r="CS177" s="2854"/>
      <c r="CT177" s="1610" t="e">
        <f>CT164/CP164*100-100</f>
        <v>#VALUE!</v>
      </c>
      <c r="CU177" s="2854"/>
      <c r="CV177" s="2854"/>
      <c r="CW177" s="2854"/>
      <c r="CX177" s="1610" t="e">
        <f>CX164/CT164*100-100</f>
        <v>#VALUE!</v>
      </c>
      <c r="CY177" s="2854"/>
      <c r="CZ177" s="2854"/>
      <c r="DA177" s="2854"/>
      <c r="DB177" s="1610" t="e">
        <f>DB164/CX164*100-100</f>
        <v>#VALUE!</v>
      </c>
    </row>
    <row r="178" spans="1:119" ht="12.75" hidden="1" customHeight="1">
      <c r="C178" s="3072"/>
      <c r="D178" s="717"/>
      <c r="E178" s="3068" t="s">
        <v>1847</v>
      </c>
      <c r="F178" s="3634"/>
      <c r="G178" s="2854"/>
      <c r="H178" s="2854"/>
      <c r="I178" s="2854"/>
      <c r="J178" s="2854"/>
      <c r="K178" s="2854"/>
      <c r="L178" s="2854"/>
      <c r="M178" s="2854"/>
      <c r="N178" s="1599">
        <f ca="1">N165/J165*100-100</f>
        <v>17.060452746044845</v>
      </c>
      <c r="O178" s="2854"/>
      <c r="P178" s="2854"/>
      <c r="Q178" s="2854"/>
      <c r="R178" s="1599">
        <f ca="1">R165/N165*100-100</f>
        <v>18.457542209611461</v>
      </c>
      <c r="S178" s="2854"/>
      <c r="T178" s="2854"/>
      <c r="U178" s="2854"/>
      <c r="V178" s="1599">
        <f ca="1">V165/R165*100-100</f>
        <v>2.841597860850527</v>
      </c>
      <c r="W178" s="2854"/>
      <c r="X178" s="2854"/>
      <c r="Y178" s="2854"/>
      <c r="Z178" s="1599">
        <f ca="1">Z165/V165*100-100</f>
        <v>-21.073299254007182</v>
      </c>
      <c r="AA178" s="2854"/>
      <c r="AB178" s="2854"/>
      <c r="AC178" s="2854"/>
      <c r="AD178" s="1599">
        <f ca="1">AD165/Z165*100-100</f>
        <v>14.963488353992332</v>
      </c>
      <c r="AE178" s="2854"/>
      <c r="AF178" s="2854"/>
      <c r="AG178" s="2854"/>
      <c r="AH178" s="1599">
        <f ca="1">AH165/AD165*100-100</f>
        <v>24.555580437611724</v>
      </c>
      <c r="AI178" s="2854"/>
      <c r="AJ178" s="2854"/>
      <c r="AK178" s="2854"/>
      <c r="AL178" s="1599">
        <f ca="1">AL165/AH165*100-100</f>
        <v>19.123618880461009</v>
      </c>
      <c r="AM178" s="2854"/>
      <c r="AN178" s="2854"/>
      <c r="AO178" s="2854"/>
      <c r="AP178" s="1599">
        <f ca="1">AP165/AL165*100-100</f>
        <v>9.0704947333403823</v>
      </c>
      <c r="AQ178" s="2854"/>
      <c r="AR178" s="2854"/>
      <c r="AS178" s="2854"/>
      <c r="AT178" s="1599">
        <f ca="1">AT165/AP165*100-100</f>
        <v>2.0751227870710665</v>
      </c>
      <c r="AU178" s="2854"/>
      <c r="AV178" s="2854"/>
      <c r="AW178" s="2854"/>
      <c r="AX178" s="1599">
        <f ca="1">AX165/AT165*100-100</f>
        <v>24.93262181652301</v>
      </c>
      <c r="AY178" s="2854"/>
      <c r="AZ178" s="2854"/>
      <c r="BA178" s="2854"/>
      <c r="BB178" s="1599">
        <f ca="1">BB165/AX165*100-100</f>
        <v>13.346098666827672</v>
      </c>
      <c r="BC178" s="2854"/>
      <c r="BD178" s="2854"/>
      <c r="BE178" s="2854"/>
      <c r="BF178" s="1599">
        <f ca="1">BF165/BB165*100-100</f>
        <v>3.8977400227105221</v>
      </c>
      <c r="BG178" s="2854"/>
      <c r="BH178" s="2854"/>
      <c r="BI178" s="2854"/>
      <c r="BJ178" s="1599">
        <f ca="1">BJ165/BF165*100-100</f>
        <v>16.083772104719202</v>
      </c>
      <c r="BK178" s="2854"/>
      <c r="BL178" s="2854"/>
      <c r="BM178" s="2854"/>
      <c r="BN178" s="1612">
        <f ca="1">BN165/BJ165*100-100</f>
        <v>-12.877782521492179</v>
      </c>
      <c r="BO178" s="2854"/>
      <c r="BP178" s="2854"/>
      <c r="BQ178" s="2854"/>
      <c r="BR178" s="1612">
        <f ca="1">BR165/BN165*100-100</f>
        <v>19.822587575658574</v>
      </c>
      <c r="BS178" s="2854"/>
      <c r="BT178" s="2854"/>
      <c r="BU178" s="2854"/>
      <c r="BV178" s="1612">
        <f ca="1">BV165/BR165*100-100</f>
        <v>15.537371566718122</v>
      </c>
      <c r="BW178" s="2854"/>
      <c r="BX178" s="2854"/>
      <c r="BY178" s="2854"/>
      <c r="BZ178" s="1612">
        <f ca="1">BZ165/BV165*100-100</f>
        <v>11.611556629682539</v>
      </c>
      <c r="CA178" s="2854"/>
      <c r="CB178" s="2854"/>
      <c r="CC178" s="2854"/>
      <c r="CD178" s="1612">
        <f ca="1">CD165/BZ165*100-100</f>
        <v>9.2966504186976664</v>
      </c>
      <c r="CE178" s="2854"/>
      <c r="CF178" s="2854"/>
      <c r="CG178" s="2854"/>
      <c r="CH178" s="1612">
        <f ca="1">CH165/CD165*100-100</f>
        <v>1.8149305446363968</v>
      </c>
      <c r="CI178" s="2854"/>
      <c r="CJ178" s="2854"/>
      <c r="CK178" s="2854"/>
      <c r="CL178" s="1612">
        <f ca="1">CL165/CH165*100-100</f>
        <v>-0.78339648707044773</v>
      </c>
      <c r="CM178" s="2854"/>
      <c r="CN178" s="2854"/>
      <c r="CO178" s="2854"/>
      <c r="CP178" s="1612">
        <f ca="1">CP165/CL165*100-100</f>
        <v>1.367335358700899</v>
      </c>
      <c r="CQ178" s="2854"/>
      <c r="CR178" s="2854"/>
      <c r="CS178" s="2854"/>
      <c r="CT178" s="1612">
        <f ca="1">CT165/CP165*100-100</f>
        <v>12.210331962525657</v>
      </c>
      <c r="CU178" s="2854"/>
      <c r="CV178" s="2854"/>
      <c r="CW178" s="2854"/>
      <c r="CX178" s="1612">
        <f ca="1">CX165/CT165*100-100</f>
        <v>5.2000000000000028</v>
      </c>
      <c r="CY178" s="2854"/>
      <c r="CZ178" s="2854"/>
      <c r="DA178" s="2854"/>
      <c r="DB178" s="1612">
        <f ca="1">DB165/CX165*100-100</f>
        <v>4.4000000000000057</v>
      </c>
    </row>
    <row r="179" spans="1:119" ht="12.75" hidden="1" customHeight="1">
      <c r="C179" s="3072"/>
      <c r="D179" s="674"/>
      <c r="E179" s="3545" t="s">
        <v>1783</v>
      </c>
      <c r="F179" s="3057"/>
      <c r="G179" s="2853"/>
      <c r="H179" s="2853">
        <f>(H166/G166-1)*100</f>
        <v>1.73246236864526</v>
      </c>
      <c r="I179" s="2853">
        <f t="shared" ref="I179:N179" si="441">(I166/H166-1)*100</f>
        <v>-2.7917364600781536</v>
      </c>
      <c r="J179" s="2853">
        <f t="shared" si="441"/>
        <v>-1.076967260195294</v>
      </c>
      <c r="K179" s="2853">
        <f t="shared" si="441"/>
        <v>25.156045870227906</v>
      </c>
      <c r="L179" s="2853">
        <f t="shared" si="441"/>
        <v>2.5748086290883654</v>
      </c>
      <c r="M179" s="2853">
        <f t="shared" si="441"/>
        <v>4.3645409317051298</v>
      </c>
      <c r="N179" s="2853">
        <f t="shared" si="441"/>
        <v>5.0704225352112386</v>
      </c>
      <c r="O179" s="2853">
        <f t="shared" ref="O179:V179" si="442">(O166/N166-1)*100</f>
        <v>4.9804083316147718</v>
      </c>
      <c r="P179" s="2853">
        <f t="shared" si="442"/>
        <v>1.4929771142323967</v>
      </c>
      <c r="Q179" s="2853">
        <f t="shared" si="442"/>
        <v>9.1938449627407159</v>
      </c>
      <c r="R179" s="2853">
        <f t="shared" si="442"/>
        <v>7.7993441460604496</v>
      </c>
      <c r="S179" s="2853">
        <f t="shared" si="442"/>
        <v>0.55085094137961033</v>
      </c>
      <c r="T179" s="2853">
        <f t="shared" si="442"/>
        <v>1.5453802125919847</v>
      </c>
      <c r="U179" s="2853">
        <f t="shared" si="442"/>
        <v>-0.20130445285448939</v>
      </c>
      <c r="V179" s="2853">
        <f t="shared" si="442"/>
        <v>-1.6217524608681755</v>
      </c>
      <c r="W179" s="2853">
        <f t="shared" ref="W179:BJ179" si="443">(W166/V166-1)*100</f>
        <v>0.1886328221110567</v>
      </c>
      <c r="X179" s="2853">
        <f t="shared" si="443"/>
        <v>2.3166339227242982</v>
      </c>
      <c r="Y179" s="2853">
        <f t="shared" si="443"/>
        <v>-0.21601728138251897</v>
      </c>
      <c r="Z179" s="2853">
        <f t="shared" si="443"/>
        <v>-2.1488133418858135</v>
      </c>
      <c r="AA179" s="2853">
        <f t="shared" si="443"/>
        <v>-3.7774500163880842</v>
      </c>
      <c r="AB179" s="2853">
        <f t="shared" si="443"/>
        <v>-0.64719407306479404</v>
      </c>
      <c r="AC179" s="2853">
        <f t="shared" si="443"/>
        <v>-1.0971115110996688</v>
      </c>
      <c r="AD179" s="2853">
        <f t="shared" si="443"/>
        <v>-1.6379235635670564</v>
      </c>
      <c r="AE179" s="2853">
        <f t="shared" si="443"/>
        <v>5.0132158590308507</v>
      </c>
      <c r="AF179" s="2853">
        <f t="shared" si="443"/>
        <v>2.3240204715160528</v>
      </c>
      <c r="AG179" s="2853">
        <f t="shared" si="443"/>
        <v>4.9524434240734827</v>
      </c>
      <c r="AH179" s="2853">
        <f t="shared" si="443"/>
        <v>5.3437500000000027</v>
      </c>
      <c r="AI179" s="2853">
        <f t="shared" si="443"/>
        <v>4.7389498665084462</v>
      </c>
      <c r="AJ179" s="2853">
        <f t="shared" si="443"/>
        <v>3.5332436451178895</v>
      </c>
      <c r="AK179" s="2853">
        <f t="shared" si="443"/>
        <v>0.85487621392421609</v>
      </c>
      <c r="AL179" s="2853">
        <f t="shared" si="443"/>
        <v>3.1464026581677462</v>
      </c>
      <c r="AM179" s="2853">
        <f t="shared" si="443"/>
        <v>3.2673722963644902</v>
      </c>
      <c r="AN179" s="2853">
        <f t="shared" si="443"/>
        <v>-2.9029793735676046</v>
      </c>
      <c r="AO179" s="2853">
        <f t="shared" si="443"/>
        <v>0.81300813008129413</v>
      </c>
      <c r="AP179" s="2853">
        <f t="shared" si="443"/>
        <v>2.7315296566077008</v>
      </c>
      <c r="AQ179" s="2853">
        <f t="shared" si="443"/>
        <v>3.7034692327171381</v>
      </c>
      <c r="AR179" s="2853">
        <f t="shared" si="443"/>
        <v>1.5933093217752381</v>
      </c>
      <c r="AS179" s="2853">
        <f t="shared" si="443"/>
        <v>7.859632255738469</v>
      </c>
      <c r="AT179" s="2853">
        <f t="shared" si="443"/>
        <v>3.5598885793871826</v>
      </c>
      <c r="AU179" s="2853" t="e">
        <f t="shared" si="443"/>
        <v>#VALUE!</v>
      </c>
      <c r="AV179" s="2853" t="e">
        <f t="shared" si="443"/>
        <v>#VALUE!</v>
      </c>
      <c r="AW179" s="2853" t="e">
        <f t="shared" si="443"/>
        <v>#VALUE!</v>
      </c>
      <c r="AX179" s="2853" t="e">
        <f t="shared" si="443"/>
        <v>#VALUE!</v>
      </c>
      <c r="AY179" s="2853" t="e">
        <f t="shared" si="443"/>
        <v>#VALUE!</v>
      </c>
      <c r="AZ179" s="2853" t="e">
        <f t="shared" si="443"/>
        <v>#VALUE!</v>
      </c>
      <c r="BA179" s="2853" t="e">
        <f t="shared" si="443"/>
        <v>#VALUE!</v>
      </c>
      <c r="BB179" s="2853" t="e">
        <f t="shared" si="443"/>
        <v>#VALUE!</v>
      </c>
      <c r="BC179" s="2853" t="e">
        <f t="shared" si="443"/>
        <v>#VALUE!</v>
      </c>
      <c r="BD179" s="2853" t="e">
        <f t="shared" si="443"/>
        <v>#VALUE!</v>
      </c>
      <c r="BE179" s="2853" t="e">
        <f t="shared" si="443"/>
        <v>#VALUE!</v>
      </c>
      <c r="BF179" s="2853" t="e">
        <f t="shared" si="443"/>
        <v>#VALUE!</v>
      </c>
      <c r="BG179" s="2853" t="e">
        <f t="shared" si="443"/>
        <v>#VALUE!</v>
      </c>
      <c r="BH179" s="2853" t="e">
        <f t="shared" si="443"/>
        <v>#VALUE!</v>
      </c>
      <c r="BI179" s="2853" t="e">
        <f t="shared" si="443"/>
        <v>#VALUE!</v>
      </c>
      <c r="BJ179" s="2853" t="e">
        <f t="shared" si="443"/>
        <v>#VALUE!</v>
      </c>
      <c r="BK179" s="2853" t="e">
        <f t="shared" ref="BK179:CB179" si="444">(BK166/BJ166-1)*100</f>
        <v>#VALUE!</v>
      </c>
      <c r="BL179" s="2853" t="e">
        <f t="shared" si="444"/>
        <v>#VALUE!</v>
      </c>
      <c r="BM179" s="2853" t="e">
        <f t="shared" si="444"/>
        <v>#VALUE!</v>
      </c>
      <c r="BN179" s="2853" t="e">
        <f t="shared" si="444"/>
        <v>#VALUE!</v>
      </c>
      <c r="BO179" s="2853" t="e">
        <f t="shared" si="444"/>
        <v>#VALUE!</v>
      </c>
      <c r="BP179" s="2853" t="e">
        <f t="shared" si="444"/>
        <v>#VALUE!</v>
      </c>
      <c r="BQ179" s="2853" t="e">
        <f t="shared" si="444"/>
        <v>#VALUE!</v>
      </c>
      <c r="BR179" s="2853" t="e">
        <f t="shared" si="444"/>
        <v>#VALUE!</v>
      </c>
      <c r="BS179" s="2853" t="e">
        <f t="shared" si="444"/>
        <v>#VALUE!</v>
      </c>
      <c r="BT179" s="2853" t="e">
        <f t="shared" si="444"/>
        <v>#VALUE!</v>
      </c>
      <c r="BU179" s="2853" t="e">
        <f t="shared" si="444"/>
        <v>#VALUE!</v>
      </c>
      <c r="BV179" s="2853" t="e">
        <f t="shared" si="444"/>
        <v>#VALUE!</v>
      </c>
      <c r="BW179" s="2853" t="e">
        <f t="shared" si="444"/>
        <v>#VALUE!</v>
      </c>
      <c r="BX179" s="2853" t="e">
        <f t="shared" si="444"/>
        <v>#VALUE!</v>
      </c>
      <c r="BY179" s="2853" t="e">
        <f t="shared" si="444"/>
        <v>#VALUE!</v>
      </c>
      <c r="BZ179" s="2853" t="e">
        <f t="shared" si="444"/>
        <v>#VALUE!</v>
      </c>
      <c r="CA179" s="2853" t="e">
        <f t="shared" si="444"/>
        <v>#VALUE!</v>
      </c>
      <c r="CB179" s="2853" t="e">
        <f t="shared" si="444"/>
        <v>#VALUE!</v>
      </c>
      <c r="CC179" s="2853" t="e">
        <f>(CC166/CB166-1)*100</f>
        <v>#VALUE!</v>
      </c>
      <c r="CD179" s="2853" t="e">
        <f>(CD166/CC166-1)*100</f>
        <v>#VALUE!</v>
      </c>
      <c r="CE179" s="2853" t="e">
        <f>(CE166/CD166-1)*100</f>
        <v>#VALUE!</v>
      </c>
      <c r="CF179" s="2853" t="e">
        <f>(CF166/CE166-1)*100</f>
        <v>#VALUE!</v>
      </c>
      <c r="CG179" s="3346">
        <v>16</v>
      </c>
      <c r="CH179" s="3346">
        <v>12</v>
      </c>
      <c r="CI179" s="3353">
        <v>-0.5</v>
      </c>
      <c r="CJ179" s="3353">
        <v>0</v>
      </c>
      <c r="CK179" s="3346">
        <v>-9</v>
      </c>
      <c r="CL179" s="3346">
        <v>-6</v>
      </c>
      <c r="CM179" s="740">
        <v>6.5</v>
      </c>
      <c r="CN179" s="740">
        <v>6.5</v>
      </c>
      <c r="CO179" s="740">
        <v>6.5</v>
      </c>
      <c r="CP179" s="740">
        <v>6.5</v>
      </c>
      <c r="CQ179" s="740">
        <v>6.5</v>
      </c>
      <c r="CR179" s="740">
        <v>6.5</v>
      </c>
      <c r="CS179" s="740">
        <v>6.5</v>
      </c>
      <c r="CT179" s="740">
        <v>6.5</v>
      </c>
      <c r="CU179" s="740">
        <v>6.5</v>
      </c>
      <c r="CV179" s="740">
        <v>6.5</v>
      </c>
      <c r="CW179" s="740">
        <v>6.5</v>
      </c>
      <c r="CX179" s="740">
        <v>6.5</v>
      </c>
      <c r="CY179" s="740">
        <v>6.5</v>
      </c>
      <c r="CZ179" s="740">
        <v>6.5</v>
      </c>
      <c r="DA179" s="740">
        <v>6.5</v>
      </c>
      <c r="DB179" s="740">
        <v>6.5</v>
      </c>
    </row>
    <row r="180" spans="1:119" ht="12.75" hidden="1" customHeight="1">
      <c r="C180" s="3072"/>
      <c r="D180" s="717"/>
      <c r="E180" s="3068" t="s">
        <v>266</v>
      </c>
      <c r="F180" s="3634"/>
      <c r="G180" s="2854"/>
      <c r="H180" s="2854"/>
      <c r="I180" s="2854"/>
      <c r="J180" s="2854"/>
      <c r="K180" s="2854"/>
      <c r="L180" s="2854"/>
      <c r="M180" s="2854"/>
      <c r="N180" s="1608">
        <f>N167/J167*100-100</f>
        <v>29.705263908193444</v>
      </c>
      <c r="O180" s="2854"/>
      <c r="P180" s="2854"/>
      <c r="Q180" s="2854"/>
      <c r="R180" s="1608">
        <f>R167/N167*100-100</f>
        <v>20.78914106720886</v>
      </c>
      <c r="S180" s="2854"/>
      <c r="T180" s="2854"/>
      <c r="U180" s="2854"/>
      <c r="V180" s="1608">
        <f>V167/R167*100-100</f>
        <v>12.00181983621475</v>
      </c>
      <c r="W180" s="2854"/>
      <c r="X180" s="2854"/>
      <c r="Y180" s="2854"/>
      <c r="Z180" s="1608">
        <f>Z167/V167*100-100</f>
        <v>0.31481030140547261</v>
      </c>
      <c r="AA180" s="2854"/>
      <c r="AB180" s="2854"/>
      <c r="AC180" s="2854"/>
      <c r="AD180" s="1608">
        <f>AD167/Z167*100-100</f>
        <v>-6.2602498430888431</v>
      </c>
      <c r="AE180" s="2854"/>
      <c r="AF180" s="2854"/>
      <c r="AG180" s="2854"/>
      <c r="AH180" s="1608">
        <f>AH167/AD167*100-100</f>
        <v>8.8554828398021783</v>
      </c>
      <c r="AI180" s="2854"/>
      <c r="AJ180" s="2854"/>
      <c r="AK180" s="2854"/>
      <c r="AL180" s="1608">
        <f>AL167/AH167*100-100</f>
        <v>16.476517391218053</v>
      </c>
      <c r="AM180" s="2854"/>
      <c r="AN180" s="2854"/>
      <c r="AO180" s="2854"/>
      <c r="AP180" s="1608">
        <f>AP167/AL167*100-100</f>
        <v>5.841268759688603</v>
      </c>
      <c r="AQ180" s="2854"/>
      <c r="AR180" s="2854"/>
      <c r="AS180" s="2854"/>
      <c r="AT180" s="1608">
        <f>AT167/AP167*100-100</f>
        <v>11.958411124702238</v>
      </c>
      <c r="AU180" s="2854"/>
      <c r="AV180" s="2854"/>
      <c r="AW180" s="2854"/>
      <c r="AX180" s="1608" t="e">
        <f>AX167/AT167*100-100</f>
        <v>#VALUE!</v>
      </c>
      <c r="AY180" s="2854"/>
      <c r="AZ180" s="2854"/>
      <c r="BA180" s="2854"/>
      <c r="BB180" s="1608" t="e">
        <f>BB167/AX167*100-100</f>
        <v>#VALUE!</v>
      </c>
      <c r="BC180" s="2854"/>
      <c r="BD180" s="2854"/>
      <c r="BE180" s="2854"/>
      <c r="BF180" s="1608" t="e">
        <f>BF167/BB167*100-100</f>
        <v>#VALUE!</v>
      </c>
      <c r="BG180" s="2854"/>
      <c r="BH180" s="2854"/>
      <c r="BI180" s="2854"/>
      <c r="BJ180" s="1608" t="e">
        <f>BJ167/BF167*100-100</f>
        <v>#VALUE!</v>
      </c>
      <c r="BK180" s="2854"/>
      <c r="BL180" s="2854"/>
      <c r="BM180" s="2854"/>
      <c r="BN180" s="1610" t="e">
        <f>BN167/BJ167*100-100</f>
        <v>#VALUE!</v>
      </c>
      <c r="BO180" s="2854"/>
      <c r="BP180" s="2854"/>
      <c r="BQ180" s="2854"/>
      <c r="BR180" s="1610" t="e">
        <f>BR167/BN167*100-100</f>
        <v>#VALUE!</v>
      </c>
      <c r="BS180" s="2854"/>
      <c r="BT180" s="2854"/>
      <c r="BU180" s="2854"/>
      <c r="BV180" s="1610" t="e">
        <f>BV167/BR167*100-100</f>
        <v>#VALUE!</v>
      </c>
      <c r="BW180" s="2854"/>
      <c r="BX180" s="2854"/>
      <c r="BY180" s="2854"/>
      <c r="BZ180" s="1610" t="e">
        <f>BZ167/BV167*100-100</f>
        <v>#VALUE!</v>
      </c>
      <c r="CA180" s="2854"/>
      <c r="CB180" s="2854"/>
      <c r="CC180" s="2854"/>
      <c r="CD180" s="1610" t="e">
        <f>CD167/BZ167*100-100</f>
        <v>#VALUE!</v>
      </c>
      <c r="CE180" s="2854"/>
      <c r="CF180" s="2854"/>
      <c r="CG180" s="2854"/>
      <c r="CH180" s="1610" t="e">
        <f>CH167/CD167*100-100</f>
        <v>#VALUE!</v>
      </c>
      <c r="CI180" s="2854"/>
      <c r="CJ180" s="2854"/>
      <c r="CK180" s="2854"/>
      <c r="CL180" s="1610" t="e">
        <f>CL167/CH167*100-100</f>
        <v>#VALUE!</v>
      </c>
      <c r="CM180" s="2854"/>
      <c r="CN180" s="2854"/>
      <c r="CO180" s="2854"/>
      <c r="CP180" s="1610" t="e">
        <f>CP167/CL167*100-100</f>
        <v>#VALUE!</v>
      </c>
      <c r="CQ180" s="2854"/>
      <c r="CR180" s="2854"/>
      <c r="CS180" s="2854"/>
      <c r="CT180" s="1610" t="e">
        <f>CT167/CP167*100-100</f>
        <v>#VALUE!</v>
      </c>
      <c r="CU180" s="2854"/>
      <c r="CV180" s="2854"/>
      <c r="CW180" s="2854"/>
      <c r="CX180" s="1610" t="e">
        <f>CX167/CT167*100-100</f>
        <v>#VALUE!</v>
      </c>
      <c r="CY180" s="2854"/>
      <c r="CZ180" s="2854"/>
      <c r="DA180" s="2854"/>
      <c r="DB180" s="1610" t="e">
        <f>DB167/CX167*100-100</f>
        <v>#VALUE!</v>
      </c>
    </row>
    <row r="181" spans="1:119" ht="12.75" hidden="1" customHeight="1">
      <c r="C181" s="3072"/>
      <c r="D181" s="717"/>
      <c r="E181" s="3068" t="s">
        <v>1847</v>
      </c>
      <c r="F181" s="3634"/>
      <c r="G181" s="2854"/>
      <c r="H181" s="2854"/>
      <c r="I181" s="2854"/>
      <c r="J181" s="2854"/>
      <c r="K181" s="2854"/>
      <c r="L181" s="2854"/>
      <c r="M181" s="2854"/>
      <c r="N181" s="1599">
        <f ca="1">N168/J168*100-100</f>
        <v>30.04204452654443</v>
      </c>
      <c r="O181" s="2854"/>
      <c r="P181" s="2854"/>
      <c r="Q181" s="2854"/>
      <c r="R181" s="1599">
        <f ca="1">R168/N168*100-100</f>
        <v>20.449733998793391</v>
      </c>
      <c r="S181" s="2854"/>
      <c r="T181" s="2854"/>
      <c r="U181" s="2854"/>
      <c r="V181" s="1599">
        <f ca="1">V168/R168*100-100</f>
        <v>12.019388387002763</v>
      </c>
      <c r="W181" s="2854"/>
      <c r="X181" s="2854"/>
      <c r="Y181" s="2854"/>
      <c r="Z181" s="1599">
        <f ca="1">Z168/V168*100-100</f>
        <v>0.29612316447334308</v>
      </c>
      <c r="AA181" s="2854"/>
      <c r="AB181" s="2854"/>
      <c r="AC181" s="2854"/>
      <c r="AD181" s="1599">
        <f ca="1">AD168/Z168*100-100</f>
        <v>-5.956448259510978</v>
      </c>
      <c r="AE181" s="2854"/>
      <c r="AF181" s="2854"/>
      <c r="AG181" s="2854"/>
      <c r="AH181" s="1599">
        <f ca="1">AH168/AD168*100-100</f>
        <v>8.5309251693644512</v>
      </c>
      <c r="AI181" s="2854"/>
      <c r="AJ181" s="2854"/>
      <c r="AK181" s="2854"/>
      <c r="AL181" s="1599">
        <f ca="1">AL168/AH168*100-100</f>
        <v>16.46524870006489</v>
      </c>
      <c r="AM181" s="2854"/>
      <c r="AN181" s="2854"/>
      <c r="AO181" s="2854"/>
      <c r="AP181" s="1599">
        <f ca="1">AP168/AL168*100-100</f>
        <v>5.8212341739244806</v>
      </c>
      <c r="AQ181" s="2854"/>
      <c r="AR181" s="2854"/>
      <c r="AS181" s="2854"/>
      <c r="AT181" s="1599">
        <f ca="1">AT168/AP168*100-100</f>
        <v>11.831940763563196</v>
      </c>
      <c r="AU181" s="2854"/>
      <c r="AV181" s="2854"/>
      <c r="AW181" s="2854"/>
      <c r="AX181" s="1599">
        <f ca="1">AX168/AT168*100-100</f>
        <v>7.9162320586463721</v>
      </c>
      <c r="AY181" s="2854"/>
      <c r="AZ181" s="2854"/>
      <c r="BA181" s="2854"/>
      <c r="BB181" s="1599">
        <f ca="1">BB168/AX168*100-100</f>
        <v>10.105503182112102</v>
      </c>
      <c r="BC181" s="2854"/>
      <c r="BD181" s="2854"/>
      <c r="BE181" s="2854"/>
      <c r="BF181" s="1599">
        <f ca="1">BF168/BB168*100-100</f>
        <v>0.53968342281692117</v>
      </c>
      <c r="BG181" s="2854"/>
      <c r="BH181" s="2854"/>
      <c r="BI181" s="2854"/>
      <c r="BJ181" s="1599">
        <f ca="1">BJ168/BF168*100-100</f>
        <v>3.8881664099560567</v>
      </c>
      <c r="BK181" s="2854"/>
      <c r="BL181" s="2854"/>
      <c r="BM181" s="2854"/>
      <c r="BN181" s="1612">
        <f ca="1">BN168/BJ168*100-100</f>
        <v>-12.394204476852238</v>
      </c>
      <c r="BO181" s="2854"/>
      <c r="BP181" s="2854"/>
      <c r="BQ181" s="2854"/>
      <c r="BR181" s="1612">
        <f ca="1">BR168/BN168*100-100</f>
        <v>15.62421883972786</v>
      </c>
      <c r="BS181" s="2854"/>
      <c r="BT181" s="2854"/>
      <c r="BU181" s="2854"/>
      <c r="BV181" s="1612">
        <f ca="1">BV168/BR168*100-100</f>
        <v>14.826154659686154</v>
      </c>
      <c r="BW181" s="2854"/>
      <c r="BX181" s="2854"/>
      <c r="BY181" s="2854"/>
      <c r="BZ181" s="1612">
        <f ca="1">BZ168/BV168*100-100</f>
        <v>16.130370068823382</v>
      </c>
      <c r="CA181" s="2854"/>
      <c r="CB181" s="2854"/>
      <c r="CC181" s="2854"/>
      <c r="CD181" s="1612">
        <f ca="1">CD168/BZ168*100-100</f>
        <v>12.494933538986004</v>
      </c>
      <c r="CE181" s="2854"/>
      <c r="CF181" s="2854"/>
      <c r="CG181" s="2854"/>
      <c r="CH181" s="3347">
        <f ca="1">CH168/CD168*100-100</f>
        <v>9.7412866335322406</v>
      </c>
      <c r="CI181" s="2854"/>
      <c r="CJ181" s="2854"/>
      <c r="CK181" s="2854"/>
      <c r="CL181" s="1612">
        <f ca="1">CL168/CH168*100-100</f>
        <v>1.3292350066195695</v>
      </c>
      <c r="CM181" s="2854"/>
      <c r="CN181" s="2854"/>
      <c r="CO181" s="2854"/>
      <c r="CP181" s="1612">
        <f ca="1">CP168/CL168*100-100</f>
        <v>11.121385987403954</v>
      </c>
      <c r="CQ181" s="2854"/>
      <c r="CR181" s="2854"/>
      <c r="CS181" s="2854"/>
      <c r="CT181" s="1612">
        <f ca="1">CT168/CP168*100-100</f>
        <v>16.520666002597423</v>
      </c>
      <c r="CU181" s="2854"/>
      <c r="CV181" s="2854"/>
      <c r="CW181" s="2854"/>
      <c r="CX181" s="1612">
        <f ca="1">CX168/CT168*100-100</f>
        <v>6.5</v>
      </c>
      <c r="CY181" s="2854"/>
      <c r="CZ181" s="2854"/>
      <c r="DA181" s="2854"/>
      <c r="DB181" s="1612">
        <f ca="1">DB168/CX168*100-100</f>
        <v>4.5</v>
      </c>
    </row>
    <row r="182" spans="1:119" ht="12.75" hidden="1" customHeight="1">
      <c r="C182" s="3072"/>
      <c r="D182" s="674"/>
      <c r="E182" s="3635" t="s">
        <v>616</v>
      </c>
      <c r="F182" s="3057"/>
      <c r="G182" s="2853"/>
      <c r="H182" s="2853">
        <f>(H169/G169-1)*100</f>
        <v>-425.88235294118385</v>
      </c>
      <c r="I182" s="2853">
        <f t="shared" ref="I182:BN182" si="445">(I169/H169-1)*100</f>
        <v>-51.98555956678328</v>
      </c>
      <c r="J182" s="2853">
        <f t="shared" si="445"/>
        <v>-36.090225563914004</v>
      </c>
      <c r="K182" s="2853">
        <f t="shared" si="445"/>
        <v>217.6470588235386</v>
      </c>
      <c r="L182" s="2853">
        <f t="shared" si="445"/>
        <v>12.9629629629608</v>
      </c>
      <c r="M182" s="2853">
        <f t="shared" si="445"/>
        <v>-105.57377049180197</v>
      </c>
      <c r="N182" s="2853">
        <f t="shared" si="445"/>
        <v>-1535.294117647403</v>
      </c>
      <c r="O182" s="2853">
        <f t="shared" si="445"/>
        <v>265.57377049180258</v>
      </c>
      <c r="P182" s="2853">
        <f t="shared" si="445"/>
        <v>-125.67264573991037</v>
      </c>
      <c r="Q182" s="2853">
        <f t="shared" si="445"/>
        <v>-171.17903930130876</v>
      </c>
      <c r="R182" s="2853">
        <f t="shared" si="445"/>
        <v>199.38650306748764</v>
      </c>
      <c r="S182" s="2853">
        <f t="shared" si="445"/>
        <v>-100.40983606557728</v>
      </c>
      <c r="T182" s="2853">
        <f t="shared" si="445"/>
        <v>-32749.999999720352</v>
      </c>
      <c r="U182" s="2853">
        <f t="shared" si="445"/>
        <v>-100.45941807044363</v>
      </c>
      <c r="V182" s="2853">
        <f t="shared" si="445"/>
        <v>-14766.666666681487</v>
      </c>
      <c r="W182" s="2853">
        <f t="shared" si="445"/>
        <v>-21.818181818181117</v>
      </c>
      <c r="X182" s="2853">
        <f t="shared" si="445"/>
        <v>-109.0116279069798</v>
      </c>
      <c r="Y182" s="2853">
        <f t="shared" si="445"/>
        <v>735.48387096744023</v>
      </c>
      <c r="Z182" s="2853">
        <f t="shared" si="445"/>
        <v>-217.76061776062073</v>
      </c>
      <c r="AA182" s="2853">
        <f t="shared" si="445"/>
        <v>-14.42622950819954</v>
      </c>
      <c r="AB182" s="2853">
        <f t="shared" si="445"/>
        <v>-32.567049808424741</v>
      </c>
      <c r="AC182" s="2853">
        <f t="shared" si="445"/>
        <v>-268.18181818180824</v>
      </c>
      <c r="AD182" s="2853">
        <f t="shared" si="445"/>
        <v>-144.25675675675924</v>
      </c>
      <c r="AE182" s="2853">
        <f t="shared" si="445"/>
        <v>-464.88549618319774</v>
      </c>
      <c r="AF182" s="2853">
        <f t="shared" si="445"/>
        <v>-218.6192468619235</v>
      </c>
      <c r="AG182" s="2853">
        <f t="shared" si="445"/>
        <v>-88.359788359790102</v>
      </c>
      <c r="AH182" s="2853">
        <f t="shared" si="445"/>
        <v>522.72727272736915</v>
      </c>
      <c r="AI182" s="2853">
        <f t="shared" si="445"/>
        <v>69.586374695863711</v>
      </c>
      <c r="AJ182" s="2853">
        <f t="shared" si="445"/>
        <v>-185.36585365853563</v>
      </c>
      <c r="AK182" s="2853">
        <f t="shared" si="445"/>
        <v>-132.10084033613444</v>
      </c>
      <c r="AL182" s="2853">
        <f t="shared" si="445"/>
        <v>163.87434554973672</v>
      </c>
      <c r="AM182" s="2853">
        <f t="shared" si="445"/>
        <v>-199.00793650794094</v>
      </c>
      <c r="AN182" s="2853">
        <f t="shared" si="445"/>
        <v>-262.12424849699084</v>
      </c>
      <c r="AO182" s="2853">
        <f t="shared" si="445"/>
        <v>-59.085290482078619</v>
      </c>
      <c r="AP182" s="2853">
        <f t="shared" si="445"/>
        <v>41.389728096687527</v>
      </c>
      <c r="AQ182" s="2853">
        <f t="shared" si="445"/>
        <v>-51.923076923079591</v>
      </c>
      <c r="AR182" s="2853">
        <f t="shared" si="445"/>
        <v>54.222222222223948</v>
      </c>
      <c r="AS182" s="2853">
        <f t="shared" si="445"/>
        <v>-174.92795389048888</v>
      </c>
      <c r="AT182" s="2853">
        <f t="shared" si="445"/>
        <v>-181.53846153846678</v>
      </c>
      <c r="AU182" s="2853" t="e">
        <f t="shared" si="445"/>
        <v>#VALUE!</v>
      </c>
      <c r="AV182" s="2853" t="e">
        <f t="shared" si="445"/>
        <v>#VALUE!</v>
      </c>
      <c r="AW182" s="2853" t="e">
        <f t="shared" si="445"/>
        <v>#VALUE!</v>
      </c>
      <c r="AX182" s="2853" t="e">
        <f t="shared" si="445"/>
        <v>#VALUE!</v>
      </c>
      <c r="AY182" s="2853" t="e">
        <f t="shared" si="445"/>
        <v>#VALUE!</v>
      </c>
      <c r="AZ182" s="2853" t="e">
        <f t="shared" si="445"/>
        <v>#VALUE!</v>
      </c>
      <c r="BA182" s="2853" t="e">
        <f t="shared" si="445"/>
        <v>#VALUE!</v>
      </c>
      <c r="BB182" s="2853" t="e">
        <f t="shared" si="445"/>
        <v>#VALUE!</v>
      </c>
      <c r="BC182" s="2853" t="e">
        <f t="shared" si="445"/>
        <v>#VALUE!</v>
      </c>
      <c r="BD182" s="2853" t="e">
        <f t="shared" si="445"/>
        <v>#VALUE!</v>
      </c>
      <c r="BE182" s="2853" t="e">
        <f t="shared" si="445"/>
        <v>#VALUE!</v>
      </c>
      <c r="BF182" s="2853" t="e">
        <f t="shared" si="445"/>
        <v>#VALUE!</v>
      </c>
      <c r="BG182" s="2853" t="e">
        <f t="shared" si="445"/>
        <v>#VALUE!</v>
      </c>
      <c r="BH182" s="2853" t="e">
        <f t="shared" si="445"/>
        <v>#VALUE!</v>
      </c>
      <c r="BI182" s="2853" t="e">
        <f t="shared" si="445"/>
        <v>#VALUE!</v>
      </c>
      <c r="BJ182" s="2853" t="e">
        <f t="shared" si="445"/>
        <v>#VALUE!</v>
      </c>
      <c r="BK182" s="2853" t="e">
        <f t="shared" si="445"/>
        <v>#VALUE!</v>
      </c>
      <c r="BL182" s="2853" t="e">
        <f t="shared" si="445"/>
        <v>#VALUE!</v>
      </c>
      <c r="BM182" s="2853" t="e">
        <f t="shared" si="445"/>
        <v>#VALUE!</v>
      </c>
      <c r="BN182" s="2853" t="e">
        <f t="shared" si="445"/>
        <v>#VALUE!</v>
      </c>
      <c r="BO182" s="2853" t="e">
        <f t="shared" ref="BO182:BV182" si="446">(BO169/BN169-1)*100</f>
        <v>#VALUE!</v>
      </c>
      <c r="BP182" s="2853" t="e">
        <f t="shared" si="446"/>
        <v>#VALUE!</v>
      </c>
      <c r="BQ182" s="2853" t="e">
        <f t="shared" si="446"/>
        <v>#VALUE!</v>
      </c>
      <c r="BR182" s="2853" t="e">
        <f t="shared" si="446"/>
        <v>#VALUE!</v>
      </c>
      <c r="BS182" s="2853" t="e">
        <f t="shared" si="446"/>
        <v>#VALUE!</v>
      </c>
      <c r="BT182" s="2853" t="e">
        <f t="shared" si="446"/>
        <v>#VALUE!</v>
      </c>
      <c r="BU182" s="2853" t="e">
        <f t="shared" si="446"/>
        <v>#VALUE!</v>
      </c>
      <c r="BV182" s="2853" t="e">
        <f t="shared" si="446"/>
        <v>#VALUE!</v>
      </c>
      <c r="BW182" s="2853" t="e">
        <f t="shared" ref="BW182:CD182" si="447">(BW169/BV169-1)*100</f>
        <v>#VALUE!</v>
      </c>
      <c r="BX182" s="2853" t="e">
        <f t="shared" si="447"/>
        <v>#VALUE!</v>
      </c>
      <c r="BY182" s="2853" t="e">
        <f t="shared" si="447"/>
        <v>#VALUE!</v>
      </c>
      <c r="BZ182" s="2853" t="e">
        <f t="shared" si="447"/>
        <v>#VALUE!</v>
      </c>
      <c r="CA182" s="2853" t="e">
        <f t="shared" si="447"/>
        <v>#VALUE!</v>
      </c>
      <c r="CB182" s="2853" t="e">
        <f t="shared" si="447"/>
        <v>#VALUE!</v>
      </c>
      <c r="CC182" s="2853" t="e">
        <f t="shared" si="447"/>
        <v>#VALUE!</v>
      </c>
      <c r="CD182" s="2853" t="e">
        <f t="shared" si="447"/>
        <v>#VALUE!</v>
      </c>
      <c r="CE182" s="2853" t="e">
        <f t="shared" ref="CE182:CL182" si="448">(CE169/CD169-1)*100</f>
        <v>#VALUE!</v>
      </c>
      <c r="CF182" s="2853" t="e">
        <f t="shared" si="448"/>
        <v>#VALUE!</v>
      </c>
      <c r="CG182" s="2853" t="e">
        <f t="shared" si="448"/>
        <v>#VALUE!</v>
      </c>
      <c r="CH182" s="2853" t="e">
        <f t="shared" si="448"/>
        <v>#VALUE!</v>
      </c>
      <c r="CI182" s="2853" t="e">
        <f t="shared" si="448"/>
        <v>#VALUE!</v>
      </c>
      <c r="CJ182" s="2853" t="e">
        <f t="shared" si="448"/>
        <v>#VALUE!</v>
      </c>
      <c r="CK182" s="2853" t="e">
        <f t="shared" si="448"/>
        <v>#VALUE!</v>
      </c>
      <c r="CL182" s="2853" t="e">
        <f t="shared" si="448"/>
        <v>#VALUE!</v>
      </c>
      <c r="CM182" s="2853" t="e">
        <f t="shared" ref="CM182:CT182" si="449">(CM169/CL169-1)*100</f>
        <v>#VALUE!</v>
      </c>
      <c r="CN182" s="2853" t="e">
        <f t="shared" si="449"/>
        <v>#VALUE!</v>
      </c>
      <c r="CO182" s="2853" t="e">
        <f t="shared" si="449"/>
        <v>#VALUE!</v>
      </c>
      <c r="CP182" s="2853" t="e">
        <f t="shared" si="449"/>
        <v>#VALUE!</v>
      </c>
      <c r="CQ182" s="2853" t="e">
        <f t="shared" si="449"/>
        <v>#VALUE!</v>
      </c>
      <c r="CR182" s="2853" t="e">
        <f t="shared" si="449"/>
        <v>#VALUE!</v>
      </c>
      <c r="CS182" s="2853" t="e">
        <f t="shared" si="449"/>
        <v>#VALUE!</v>
      </c>
      <c r="CT182" s="2853" t="e">
        <f t="shared" si="449"/>
        <v>#VALUE!</v>
      </c>
      <c r="CU182" s="2853" t="e">
        <f t="shared" ref="CU182:DB182" si="450">(CU169/CT169-1)*100</f>
        <v>#VALUE!</v>
      </c>
      <c r="CV182" s="2853" t="e">
        <f t="shared" si="450"/>
        <v>#VALUE!</v>
      </c>
      <c r="CW182" s="2853" t="e">
        <f t="shared" si="450"/>
        <v>#VALUE!</v>
      </c>
      <c r="CX182" s="2853" t="e">
        <f t="shared" si="450"/>
        <v>#VALUE!</v>
      </c>
      <c r="CY182" s="2853" t="e">
        <f t="shared" si="450"/>
        <v>#VALUE!</v>
      </c>
      <c r="CZ182" s="2853" t="e">
        <f t="shared" si="450"/>
        <v>#VALUE!</v>
      </c>
      <c r="DA182" s="2853" t="e">
        <f t="shared" si="450"/>
        <v>#VALUE!</v>
      </c>
      <c r="DB182" s="2853" t="e">
        <f t="shared" si="450"/>
        <v>#VALUE!</v>
      </c>
    </row>
    <row r="183" spans="1:119">
      <c r="C183" s="3072"/>
      <c r="D183" s="717"/>
      <c r="E183" s="3636" t="s">
        <v>1788</v>
      </c>
      <c r="F183" s="3634"/>
      <c r="G183" s="2854"/>
      <c r="H183" s="2854">
        <f>(H170/G170-1)*100</f>
        <v>3.2939762812810303</v>
      </c>
      <c r="I183" s="2854">
        <f t="shared" ref="I183:BJ183" si="451">(I170/H170-1)*100</f>
        <v>4.2965885238853696</v>
      </c>
      <c r="J183" s="2854">
        <f t="shared" si="451"/>
        <v>3.8140730323456884</v>
      </c>
      <c r="K183" s="2854">
        <f t="shared" si="451"/>
        <v>5.3976410136634456</v>
      </c>
      <c r="L183" s="2854">
        <f t="shared" si="451"/>
        <v>3.2597615565306048</v>
      </c>
      <c r="M183" s="2854">
        <f t="shared" si="451"/>
        <v>5.5840504753524645</v>
      </c>
      <c r="N183" s="2854">
        <f t="shared" si="451"/>
        <v>5.0122969979064846</v>
      </c>
      <c r="O183" s="2854">
        <f t="shared" si="451"/>
        <v>3.9969031259072807</v>
      </c>
      <c r="P183" s="2854">
        <f t="shared" si="451"/>
        <v>2.9815745393634741</v>
      </c>
      <c r="Q183" s="2854">
        <f t="shared" si="451"/>
        <v>2.150654232632121</v>
      </c>
      <c r="R183" s="2854">
        <f t="shared" si="451"/>
        <v>8.6851137610133975</v>
      </c>
      <c r="S183" s="2854">
        <f t="shared" si="451"/>
        <v>2.9545343556185211</v>
      </c>
      <c r="T183" s="2854">
        <f t="shared" si="451"/>
        <v>-1.3360528729089771</v>
      </c>
      <c r="U183" s="2854">
        <f t="shared" si="451"/>
        <v>-6.464639989743759</v>
      </c>
      <c r="V183" s="2854">
        <f t="shared" si="451"/>
        <v>-5.712131855329206</v>
      </c>
      <c r="W183" s="2854">
        <f t="shared" si="451"/>
        <v>-5.5221412606981328</v>
      </c>
      <c r="X183" s="2854">
        <f t="shared" si="451"/>
        <v>-4.9967303919682848</v>
      </c>
      <c r="Y183" s="2854">
        <f t="shared" si="451"/>
        <v>-0.80168434691070267</v>
      </c>
      <c r="Z183" s="2854">
        <f t="shared" si="451"/>
        <v>-1.0061224489795961</v>
      </c>
      <c r="AA183" s="2854">
        <f t="shared" si="451"/>
        <v>8.5121735007318566</v>
      </c>
      <c r="AB183" s="2854">
        <f t="shared" si="451"/>
        <v>0.68014286799908952</v>
      </c>
      <c r="AC183" s="2854">
        <f t="shared" si="451"/>
        <v>7.4687700494395548</v>
      </c>
      <c r="AD183" s="2854">
        <f t="shared" si="451"/>
        <v>0.45301306363254579</v>
      </c>
      <c r="AE183" s="2854">
        <f t="shared" si="451"/>
        <v>10.12060828526482</v>
      </c>
      <c r="AF183" s="2854">
        <f t="shared" si="451"/>
        <v>3.9365079365079492</v>
      </c>
      <c r="AG183" s="2854">
        <f t="shared" si="451"/>
        <v>2.6389737324373774</v>
      </c>
      <c r="AH183" s="2854">
        <f t="shared" si="451"/>
        <v>4.1230210689203739</v>
      </c>
      <c r="AI183" s="2854">
        <f t="shared" si="451"/>
        <v>4.9271924434473036</v>
      </c>
      <c r="AJ183" s="2854">
        <f t="shared" si="451"/>
        <v>8.348427690086746</v>
      </c>
      <c r="AK183" s="2854">
        <f t="shared" si="451"/>
        <v>-1.3135236371406567</v>
      </c>
      <c r="AL183" s="2854">
        <f t="shared" si="451"/>
        <v>5.7443448135316988</v>
      </c>
      <c r="AM183" s="2854">
        <f t="shared" si="451"/>
        <v>5.8213485582134794</v>
      </c>
      <c r="AN183" s="2854">
        <f t="shared" si="451"/>
        <v>-7.8151499630072401</v>
      </c>
      <c r="AO183" s="2854">
        <f t="shared" si="451"/>
        <v>3.7017372729630127</v>
      </c>
      <c r="AP183" s="2854">
        <f t="shared" si="451"/>
        <v>3.3064640956338209</v>
      </c>
      <c r="AQ183" s="2854">
        <f t="shared" si="451"/>
        <v>-5.1426859065971886</v>
      </c>
      <c r="AR183" s="2854">
        <f t="shared" si="451"/>
        <v>4.4032951811620702</v>
      </c>
      <c r="AS183" s="2854">
        <f t="shared" si="451"/>
        <v>4.7284873030281505</v>
      </c>
      <c r="AT183" s="2854">
        <f t="shared" si="451"/>
        <v>5.3573214503995104</v>
      </c>
      <c r="AU183" s="2854">
        <f t="shared" si="451"/>
        <v>14.330981120135021</v>
      </c>
      <c r="AV183" s="2854">
        <f t="shared" si="451"/>
        <v>3.7714212906924782</v>
      </c>
      <c r="AW183" s="2854">
        <f t="shared" si="451"/>
        <v>5.0432807416047609</v>
      </c>
      <c r="AX183" s="2854">
        <f t="shared" si="451"/>
        <v>3.985856637737073</v>
      </c>
      <c r="AY183" s="2854">
        <f t="shared" si="451"/>
        <v>4.4513137557959714</v>
      </c>
      <c r="AZ183" s="2854">
        <f t="shared" si="451"/>
        <v>2.0097392988780882</v>
      </c>
      <c r="BA183" s="2854">
        <f t="shared" si="451"/>
        <v>-1.645743221858853</v>
      </c>
      <c r="BB183" s="2854">
        <f t="shared" si="451"/>
        <v>2.7673495655904823</v>
      </c>
      <c r="BC183" s="2854">
        <f t="shared" si="451"/>
        <v>-2.0326688237136015</v>
      </c>
      <c r="BD183" s="2854">
        <f t="shared" si="451"/>
        <v>0.41017445731788005</v>
      </c>
      <c r="BE183" s="2854">
        <f t="shared" si="451"/>
        <v>5.9815910236345804</v>
      </c>
      <c r="BF183" s="2854">
        <f t="shared" si="451"/>
        <v>0.83846423386895186</v>
      </c>
      <c r="BG183" s="2854">
        <f t="shared" si="451"/>
        <v>8.8113380823549683</v>
      </c>
      <c r="BH183" s="2854">
        <f t="shared" si="451"/>
        <v>4.103651999361313</v>
      </c>
      <c r="BI183" s="2854">
        <f t="shared" si="451"/>
        <v>-2.9492966387659525</v>
      </c>
      <c r="BJ183" s="2854">
        <f t="shared" si="451"/>
        <v>-2.9734489298293032</v>
      </c>
      <c r="BK183" s="2854">
        <f t="shared" ref="BK183:BV183" si="452">IF(UPPER($F184)="N",BK184,(BJ163*BK176+BJ166*BK179)/(BJ163+BJ166))</f>
        <v>-7.7649796393251975</v>
      </c>
      <c r="BL183" s="2854">
        <f t="shared" si="452"/>
        <v>-6.3751955194510268</v>
      </c>
      <c r="BM183" s="2854">
        <f t="shared" si="452"/>
        <v>2.1071919377004145</v>
      </c>
      <c r="BN183" s="2854">
        <f t="shared" si="452"/>
        <v>3.6497506135697799</v>
      </c>
      <c r="BO183" s="2854">
        <f t="shared" si="452"/>
        <v>6.0342193706080183</v>
      </c>
      <c r="BP183" s="2854">
        <f t="shared" si="452"/>
        <v>7.9071219324785114</v>
      </c>
      <c r="BQ183" s="2854">
        <f t="shared" si="452"/>
        <v>4.8821736131200222</v>
      </c>
      <c r="BR183" s="2854">
        <f t="shared" si="452"/>
        <v>5.1450151698385405</v>
      </c>
      <c r="BS183" s="2854">
        <f t="shared" si="452"/>
        <v>3.0529884176116795</v>
      </c>
      <c r="BT183" s="2854">
        <f t="shared" si="452"/>
        <v>3.2562511014078366</v>
      </c>
      <c r="BU183" s="2854">
        <f t="shared" si="452"/>
        <v>1.3596541130959316</v>
      </c>
      <c r="BV183" s="2854">
        <f t="shared" si="452"/>
        <v>1.1262651774522459</v>
      </c>
      <c r="BW183" s="2854">
        <f t="shared" ref="BW183:CD183" si="453">IF(UPPER($F184)="N",BW184,(BV163*BW176+BV166*BW179)/(BV163+BV166))</f>
        <v>4.2680332266479049</v>
      </c>
      <c r="BX183" s="2854">
        <f t="shared" si="453"/>
        <v>2.7980837473385201</v>
      </c>
      <c r="BY183" s="2854">
        <f t="shared" si="453"/>
        <v>4.2339092462502448</v>
      </c>
      <c r="BZ183" s="2854">
        <f t="shared" si="453"/>
        <v>4.0668984931280017</v>
      </c>
      <c r="CA183" s="2854">
        <f t="shared" si="453"/>
        <v>2.7320752315183272</v>
      </c>
      <c r="CB183" s="2854">
        <f t="shared" si="453"/>
        <v>9.4481359292464262E-2</v>
      </c>
      <c r="CC183" s="2854">
        <f t="shared" si="453"/>
        <v>1.341606833374609</v>
      </c>
      <c r="CD183" s="2854">
        <f t="shared" si="453"/>
        <v>1.1329801041364496</v>
      </c>
      <c r="CE183" s="2854">
        <f t="shared" ref="CE183:CL183" si="454">IF(UPPER($F184)="N",CE184,(CD163*CE176+CD166*CE179)/(CD163+CD166))</f>
        <v>0.13739374631980272</v>
      </c>
      <c r="CF183" s="2854">
        <f t="shared" si="454"/>
        <v>2.0520475242747915</v>
      </c>
      <c r="CG183" s="2854">
        <f t="shared" si="454"/>
        <v>0.38413237792715993</v>
      </c>
      <c r="CH183" s="2854">
        <f t="shared" si="454"/>
        <v>-0.46213849437044541</v>
      </c>
      <c r="CI183" s="2854">
        <f t="shared" si="454"/>
        <v>-1.3248362437343952</v>
      </c>
      <c r="CJ183" s="2854">
        <f t="shared" si="454"/>
        <v>0.35513598561474069</v>
      </c>
      <c r="CK183" s="2854">
        <f t="shared" si="454"/>
        <v>0.19709729439170154</v>
      </c>
      <c r="CL183" s="2854">
        <f t="shared" si="454"/>
        <v>0.68252265140675838</v>
      </c>
      <c r="CM183" s="2854">
        <f t="shared" ref="CM183:CT183" si="455">IF(UPPER($F184)="N",CM184,(CL163*CM176+CL166*CM179)/(CL163+CL166))</f>
        <v>0.63497232171931817</v>
      </c>
      <c r="CN183" s="2854">
        <f t="shared" si="455"/>
        <v>0.6471444750040467</v>
      </c>
      <c r="CO183" s="2854">
        <f t="shared" si="455"/>
        <v>1.9874033698177751</v>
      </c>
      <c r="CP183" s="2854">
        <f t="shared" si="455"/>
        <v>2.4530383573813319</v>
      </c>
      <c r="CQ183" s="2854">
        <f t="shared" si="455"/>
        <v>4.7914073535376023</v>
      </c>
      <c r="CR183" s="2854">
        <f t="shared" si="455"/>
        <v>3.7902547745198856</v>
      </c>
      <c r="CS183" s="2854">
        <f t="shared" si="455"/>
        <v>2.7967442039887436</v>
      </c>
      <c r="CT183" s="2854">
        <f t="shared" si="455"/>
        <v>2.593065145601936</v>
      </c>
      <c r="CU183" s="2854">
        <f t="shared" ref="CU183:DB183" si="456">IF(UPPER($F184)="N",CU184,(CT163*CU176+CT166*CU179)/(CT163+CT166))</f>
        <v>0.4</v>
      </c>
      <c r="CV183" s="2854">
        <f t="shared" si="456"/>
        <v>0.4</v>
      </c>
      <c r="CW183" s="2854">
        <f t="shared" si="456"/>
        <v>0.55000000000000004</v>
      </c>
      <c r="CX183" s="2854">
        <f t="shared" si="456"/>
        <v>0.9</v>
      </c>
      <c r="CY183" s="2854">
        <f t="shared" si="456"/>
        <v>1.34</v>
      </c>
      <c r="CZ183" s="2854">
        <f t="shared" si="456"/>
        <v>1.3</v>
      </c>
      <c r="DA183" s="2854">
        <f t="shared" si="456"/>
        <v>1.3</v>
      </c>
      <c r="DB183" s="2854">
        <f t="shared" si="456"/>
        <v>1.3</v>
      </c>
    </row>
    <row r="184" spans="1:119" s="699" customFormat="1" ht="12.75" customHeight="1">
      <c r="A184" s="664"/>
      <c r="B184" s="664"/>
      <c r="C184" s="1576"/>
      <c r="D184" s="689"/>
      <c r="E184" s="3623" t="s">
        <v>1788</v>
      </c>
      <c r="F184" s="3637" t="s">
        <v>235</v>
      </c>
      <c r="G184" s="978"/>
      <c r="H184" s="978">
        <f>(H171/G171-1)*100</f>
        <v>3.2939762812810303</v>
      </c>
      <c r="I184" s="978">
        <f t="shared" ref="I184:AN184" si="457">(I171/H171-1)*100</f>
        <v>4.2965885238853696</v>
      </c>
      <c r="J184" s="978">
        <f t="shared" si="457"/>
        <v>3.8140730323456884</v>
      </c>
      <c r="K184" s="978">
        <f t="shared" si="457"/>
        <v>5.3976410136634456</v>
      </c>
      <c r="L184" s="978">
        <f t="shared" si="457"/>
        <v>3.2597615565306048</v>
      </c>
      <c r="M184" s="978">
        <f t="shared" si="457"/>
        <v>5.5840504753524645</v>
      </c>
      <c r="N184" s="978">
        <f t="shared" si="457"/>
        <v>5.0122969979064846</v>
      </c>
      <c r="O184" s="978">
        <f t="shared" si="457"/>
        <v>3.9969031259072807</v>
      </c>
      <c r="P184" s="978">
        <f t="shared" si="457"/>
        <v>2.9815745393634741</v>
      </c>
      <c r="Q184" s="978">
        <f t="shared" si="457"/>
        <v>2.150654232632121</v>
      </c>
      <c r="R184" s="978">
        <f t="shared" si="457"/>
        <v>8.6851137610133975</v>
      </c>
      <c r="S184" s="978">
        <f t="shared" si="457"/>
        <v>2.9545343556185211</v>
      </c>
      <c r="T184" s="978">
        <f t="shared" si="457"/>
        <v>-1.3360528729089771</v>
      </c>
      <c r="U184" s="978">
        <f t="shared" si="457"/>
        <v>-6.464639989743759</v>
      </c>
      <c r="V184" s="978">
        <f t="shared" si="457"/>
        <v>-5.712131855329206</v>
      </c>
      <c r="W184" s="978">
        <f t="shared" si="457"/>
        <v>-5.5221412606981328</v>
      </c>
      <c r="X184" s="978">
        <f t="shared" si="457"/>
        <v>-4.9967303919682848</v>
      </c>
      <c r="Y184" s="978">
        <f t="shared" si="457"/>
        <v>-0.80168434691070267</v>
      </c>
      <c r="Z184" s="978">
        <f t="shared" si="457"/>
        <v>-1.0061224489795961</v>
      </c>
      <c r="AA184" s="978">
        <f t="shared" si="457"/>
        <v>8.5121735007318566</v>
      </c>
      <c r="AB184" s="978">
        <f t="shared" si="457"/>
        <v>0.68014286799908952</v>
      </c>
      <c r="AC184" s="978">
        <f t="shared" si="457"/>
        <v>7.4687700494395548</v>
      </c>
      <c r="AD184" s="978">
        <f t="shared" si="457"/>
        <v>0.45301306363254579</v>
      </c>
      <c r="AE184" s="978">
        <f t="shared" si="457"/>
        <v>10.12060828526482</v>
      </c>
      <c r="AF184" s="978">
        <f t="shared" si="457"/>
        <v>3.9365079365079492</v>
      </c>
      <c r="AG184" s="978">
        <f t="shared" si="457"/>
        <v>2.6389737324373774</v>
      </c>
      <c r="AH184" s="978">
        <f t="shared" si="457"/>
        <v>4.1230210689203739</v>
      </c>
      <c r="AI184" s="978">
        <f t="shared" si="457"/>
        <v>4.9271924434473036</v>
      </c>
      <c r="AJ184" s="978">
        <f t="shared" si="457"/>
        <v>8.348427690086746</v>
      </c>
      <c r="AK184" s="978">
        <f t="shared" si="457"/>
        <v>-1.3135236371406567</v>
      </c>
      <c r="AL184" s="978">
        <f t="shared" si="457"/>
        <v>5.7443448135316988</v>
      </c>
      <c r="AM184" s="978">
        <f t="shared" si="457"/>
        <v>5.8213485582134794</v>
      </c>
      <c r="AN184" s="978">
        <f t="shared" si="457"/>
        <v>-7.8151499630072401</v>
      </c>
      <c r="AO184" s="978">
        <f t="shared" ref="AO184:BJ184" si="458">(AO171/AN171-1)*100</f>
        <v>3.7017372729630127</v>
      </c>
      <c r="AP184" s="978">
        <f t="shared" si="458"/>
        <v>3.3064640956338209</v>
      </c>
      <c r="AQ184" s="978">
        <f t="shared" si="458"/>
        <v>-5.1426859065971886</v>
      </c>
      <c r="AR184" s="978">
        <f t="shared" si="458"/>
        <v>4.4032951811620702</v>
      </c>
      <c r="AS184" s="978">
        <f t="shared" si="458"/>
        <v>4.7284873030281505</v>
      </c>
      <c r="AT184" s="978">
        <f t="shared" si="458"/>
        <v>5.3573214503995104</v>
      </c>
      <c r="AU184" s="978">
        <f t="shared" si="458"/>
        <v>14.330981120135021</v>
      </c>
      <c r="AV184" s="978">
        <f t="shared" si="458"/>
        <v>3.7714212906924782</v>
      </c>
      <c r="AW184" s="978">
        <f t="shared" si="458"/>
        <v>5.0432807416047609</v>
      </c>
      <c r="AX184" s="978">
        <f t="shared" si="458"/>
        <v>3.985856637737073</v>
      </c>
      <c r="AY184" s="978">
        <f t="shared" si="458"/>
        <v>4.4513137557959714</v>
      </c>
      <c r="AZ184" s="978">
        <f t="shared" si="458"/>
        <v>2.0097392988780882</v>
      </c>
      <c r="BA184" s="978">
        <f t="shared" si="458"/>
        <v>-1.645743221858853</v>
      </c>
      <c r="BB184" s="978">
        <f t="shared" si="458"/>
        <v>2.7673495655904823</v>
      </c>
      <c r="BC184" s="978">
        <f t="shared" si="458"/>
        <v>-2.0326688237136015</v>
      </c>
      <c r="BD184" s="978">
        <f t="shared" si="458"/>
        <v>0.41017445731788005</v>
      </c>
      <c r="BE184" s="978">
        <f t="shared" si="458"/>
        <v>5.9815910236345804</v>
      </c>
      <c r="BF184" s="978">
        <f t="shared" si="458"/>
        <v>0.83846423386895186</v>
      </c>
      <c r="BG184" s="978">
        <f t="shared" si="458"/>
        <v>8.8113380823549683</v>
      </c>
      <c r="BH184" s="978">
        <f t="shared" si="458"/>
        <v>4.103651999361313</v>
      </c>
      <c r="BI184" s="978">
        <f t="shared" si="458"/>
        <v>-2.9492966387659525</v>
      </c>
      <c r="BJ184" s="978">
        <f t="shared" si="458"/>
        <v>-2.9734489298293032</v>
      </c>
      <c r="BK184" s="978">
        <f t="shared" ref="BK184:BR184" si="459">(BK171/BJ171-1)*100</f>
        <v>-7.7649796393251975</v>
      </c>
      <c r="BL184" s="978">
        <f t="shared" si="459"/>
        <v>-6.3751955194510268</v>
      </c>
      <c r="BM184" s="978">
        <f t="shared" si="459"/>
        <v>2.1071919377004145</v>
      </c>
      <c r="BN184" s="978">
        <f t="shared" si="459"/>
        <v>3.6497506135697799</v>
      </c>
      <c r="BO184" s="978">
        <f t="shared" si="459"/>
        <v>6.0342193706080183</v>
      </c>
      <c r="BP184" s="978">
        <f t="shared" si="459"/>
        <v>7.9071219324785114</v>
      </c>
      <c r="BQ184" s="978">
        <f t="shared" si="459"/>
        <v>4.8821736131200222</v>
      </c>
      <c r="BR184" s="978">
        <f t="shared" si="459"/>
        <v>5.1450151698385405</v>
      </c>
      <c r="BS184" s="978">
        <f t="shared" ref="BS184:CD184" si="460">(BS171/BR171-1)*100</f>
        <v>3.0529884176116795</v>
      </c>
      <c r="BT184" s="978">
        <f t="shared" si="460"/>
        <v>3.2562511014078366</v>
      </c>
      <c r="BU184" s="978">
        <f t="shared" si="460"/>
        <v>1.3596541130959316</v>
      </c>
      <c r="BV184" s="978">
        <f t="shared" si="460"/>
        <v>1.1262651774522459</v>
      </c>
      <c r="BW184" s="978">
        <f t="shared" si="460"/>
        <v>4.2680332266479049</v>
      </c>
      <c r="BX184" s="978">
        <f t="shared" si="460"/>
        <v>2.7980837473385201</v>
      </c>
      <c r="BY184" s="978">
        <f t="shared" si="460"/>
        <v>4.2339092462502448</v>
      </c>
      <c r="BZ184" s="978">
        <f t="shared" si="460"/>
        <v>4.0668984931280017</v>
      </c>
      <c r="CA184" s="978">
        <f t="shared" si="460"/>
        <v>2.7320752315183272</v>
      </c>
      <c r="CB184" s="978">
        <f t="shared" si="460"/>
        <v>9.4481359292464262E-2</v>
      </c>
      <c r="CC184" s="978">
        <f t="shared" si="460"/>
        <v>1.341606833374609</v>
      </c>
      <c r="CD184" s="978">
        <f t="shared" si="460"/>
        <v>1.1329801041364496</v>
      </c>
      <c r="CE184" s="978">
        <f t="shared" ref="CE184:CL184" si="461">(CE171/CD171-1)*100</f>
        <v>0.13739374631980272</v>
      </c>
      <c r="CF184" s="978">
        <f t="shared" si="461"/>
        <v>2.0520475242747915</v>
      </c>
      <c r="CG184" s="978">
        <f t="shared" si="461"/>
        <v>0.38413237792715993</v>
      </c>
      <c r="CH184" s="978">
        <f t="shared" si="461"/>
        <v>-0.46213849437044541</v>
      </c>
      <c r="CI184" s="978">
        <f t="shared" si="461"/>
        <v>-1.3248362437343952</v>
      </c>
      <c r="CJ184" s="978">
        <f t="shared" si="461"/>
        <v>0.35513598561474069</v>
      </c>
      <c r="CK184" s="978">
        <f t="shared" si="461"/>
        <v>0.19709729439170154</v>
      </c>
      <c r="CL184" s="978">
        <f t="shared" si="461"/>
        <v>0.68252265140675838</v>
      </c>
      <c r="CM184" s="978">
        <f>(CM171/CL171-1)*100</f>
        <v>0.63497232171931817</v>
      </c>
      <c r="CN184" s="978">
        <f>(CN171/CM171-1)*100</f>
        <v>0.6471444750040467</v>
      </c>
      <c r="CO184" s="978">
        <f>(CO171/CN171-1)*100</f>
        <v>1.9874033698177751</v>
      </c>
      <c r="CP184" s="978">
        <f>(CP171/CO171-1)*100</f>
        <v>2.4530383573813319</v>
      </c>
      <c r="CQ184" s="978">
        <f t="shared" ref="CQ184:CT184" si="462">(CQ171/CP171-1)*100</f>
        <v>4.7914073535376023</v>
      </c>
      <c r="CR184" s="978">
        <f t="shared" si="462"/>
        <v>3.7902547745198856</v>
      </c>
      <c r="CS184" s="978">
        <f t="shared" si="462"/>
        <v>2.7967442039887436</v>
      </c>
      <c r="CT184" s="978">
        <f t="shared" si="462"/>
        <v>2.593065145601936</v>
      </c>
      <c r="CU184" s="3716">
        <v>0.4</v>
      </c>
      <c r="CV184" s="3716">
        <v>0.4</v>
      </c>
      <c r="CW184" s="3716">
        <v>0.55000000000000004</v>
      </c>
      <c r="CX184" s="3716">
        <v>0.9</v>
      </c>
      <c r="CY184" s="740">
        <v>1.34</v>
      </c>
      <c r="CZ184" s="740">
        <v>1.3</v>
      </c>
      <c r="DA184" s="740">
        <v>1.3</v>
      </c>
      <c r="DB184" s="740">
        <v>1.3</v>
      </c>
      <c r="DC184" s="3432"/>
      <c r="DE184"/>
      <c r="DF184"/>
      <c r="DG184"/>
      <c r="DH184"/>
      <c r="DI184"/>
      <c r="DJ184"/>
      <c r="DK184"/>
      <c r="DL184"/>
      <c r="DM184"/>
      <c r="DN184"/>
      <c r="DO184"/>
    </row>
    <row r="185" spans="1:119" ht="12.75" customHeight="1">
      <c r="A185" s="664"/>
      <c r="C185" s="1577"/>
      <c r="D185" s="1581"/>
      <c r="E185" s="1582" t="s">
        <v>266</v>
      </c>
      <c r="F185" s="1649"/>
      <c r="G185" s="1605"/>
      <c r="H185" s="1606"/>
      <c r="I185" s="1606"/>
      <c r="J185" s="1606"/>
      <c r="K185" s="1607"/>
      <c r="L185" s="1607"/>
      <c r="M185" s="1607"/>
      <c r="N185" s="1608">
        <f>N172/J172*100-100</f>
        <v>18.967519551278087</v>
      </c>
      <c r="O185" s="1607"/>
      <c r="P185" s="1607"/>
      <c r="Q185" s="1607"/>
      <c r="R185" s="1608">
        <f>R172/N172*100-100</f>
        <v>17.876596031923242</v>
      </c>
      <c r="S185" s="1607"/>
      <c r="T185" s="1607"/>
      <c r="U185" s="1607"/>
      <c r="V185" s="1608">
        <f>V172/R172*100-100</f>
        <v>5.3000903024029213</v>
      </c>
      <c r="W185" s="1607"/>
      <c r="X185" s="1607"/>
      <c r="Y185" s="1607"/>
      <c r="Z185" s="1608">
        <f>Z172/V172*100-100</f>
        <v>-16.795860228323306</v>
      </c>
      <c r="AA185" s="1607"/>
      <c r="AB185" s="1607"/>
      <c r="AC185" s="1607"/>
      <c r="AD185" s="1608">
        <f>AD172/Z172*100-100</f>
        <v>10.505437487744899</v>
      </c>
      <c r="AE185" s="1607"/>
      <c r="AF185" s="1607"/>
      <c r="AG185" s="1607"/>
      <c r="AH185" s="1608">
        <f>AH172/AD172*100-100</f>
        <v>20.872006260464431</v>
      </c>
      <c r="AI185" s="1607"/>
      <c r="AJ185" s="1607"/>
      <c r="AK185" s="1607"/>
      <c r="AL185" s="1608">
        <f>AL172/AH172*100-100</f>
        <v>18.388057229539228</v>
      </c>
      <c r="AM185" s="1607"/>
      <c r="AN185" s="1607"/>
      <c r="AO185" s="1607"/>
      <c r="AP185" s="1608">
        <f>AP172/AL172*100-100</f>
        <v>7.9731525699641992</v>
      </c>
      <c r="AQ185" s="1607"/>
      <c r="AR185" s="1607"/>
      <c r="AS185" s="1607"/>
      <c r="AT185" s="1608">
        <f>AT172/AP172*100-100</f>
        <v>3.9552996952251931</v>
      </c>
      <c r="AU185" s="1607"/>
      <c r="AV185" s="1607"/>
      <c r="AW185" s="1607"/>
      <c r="AX185" s="1608">
        <f>AX172/AT172*100-100</f>
        <v>30.842309058513962</v>
      </c>
      <c r="AY185" s="1607"/>
      <c r="AZ185" s="1607"/>
      <c r="BA185" s="1607"/>
      <c r="BB185" s="1608">
        <f>BB172/AX172*100-100</f>
        <v>12.650062043086294</v>
      </c>
      <c r="BC185" s="1607"/>
      <c r="BD185" s="1607"/>
      <c r="BE185" s="1607"/>
      <c r="BF185" s="1608">
        <f>BF172/BB172*100-100</f>
        <v>3.1758249779364434</v>
      </c>
      <c r="BG185" s="1607"/>
      <c r="BH185" s="1607"/>
      <c r="BI185" s="1607"/>
      <c r="BJ185" s="1608">
        <f>BJ172/BF172*100-100</f>
        <v>13.671239396219633</v>
      </c>
      <c r="BK185" s="1609"/>
      <c r="BL185" s="1609"/>
      <c r="BM185" s="1609"/>
      <c r="BN185" s="1610">
        <f>BN172/BJ172*100-100</f>
        <v>-12.914724120762244</v>
      </c>
      <c r="BO185" s="1609"/>
      <c r="BP185" s="1609"/>
      <c r="BQ185" s="1609"/>
      <c r="BR185" s="1610">
        <f>BR172/BN172*100-100</f>
        <v>19.073792538884348</v>
      </c>
      <c r="BS185" s="1609"/>
      <c r="BT185" s="1609"/>
      <c r="BU185" s="1609"/>
      <c r="BV185" s="1610">
        <f>BV172/BR172*100-100</f>
        <v>15.295510596040955</v>
      </c>
      <c r="BW185" s="1609"/>
      <c r="BX185" s="1609"/>
      <c r="BY185" s="1609"/>
      <c r="BZ185" s="1610">
        <f>BZ172/BV172*100-100</f>
        <v>12.41026174938122</v>
      </c>
      <c r="CA185" s="1609"/>
      <c r="CB185" s="1609"/>
      <c r="CC185" s="1609"/>
      <c r="CD185" s="1610">
        <f>CD172/BZ172*100-100</f>
        <v>9.8420009009274594</v>
      </c>
      <c r="CE185" s="1609"/>
      <c r="CF185" s="1609"/>
      <c r="CG185" s="1609"/>
      <c r="CH185" s="1610">
        <f>CH172/CD172*100-100</f>
        <v>3.3245052910762638</v>
      </c>
      <c r="CI185" s="1609"/>
      <c r="CJ185" s="1609"/>
      <c r="CK185" s="1609"/>
      <c r="CL185" s="1610">
        <f>CL172/CH172*100-100</f>
        <v>-0.44957990986146967</v>
      </c>
      <c r="CM185" s="1609"/>
      <c r="CN185" s="1609"/>
      <c r="CO185" s="1609"/>
      <c r="CP185" s="1610">
        <f>CP172/CL172*100-100</f>
        <v>3.4813487198786817</v>
      </c>
      <c r="CQ185" s="1609"/>
      <c r="CR185" s="1609"/>
      <c r="CS185" s="1609"/>
      <c r="CT185" s="3722">
        <f>CT172/CP172*100-100</f>
        <v>13.302438462314001</v>
      </c>
      <c r="CU185" s="1609"/>
      <c r="CV185" s="1609"/>
      <c r="CW185" s="1609"/>
      <c r="CX185" s="1610">
        <f>CX172/CT172*100-100</f>
        <v>5.5193063496132453</v>
      </c>
      <c r="CY185" s="1609"/>
      <c r="CZ185" s="1609"/>
      <c r="DA185" s="1609"/>
      <c r="DB185" s="1610">
        <f>DB172/CX172*100-100</f>
        <v>4.4173824453026782</v>
      </c>
    </row>
    <row r="186" spans="1:119" s="699" customFormat="1" ht="12.75" customHeight="1">
      <c r="A186" s="664"/>
      <c r="B186" s="664"/>
      <c r="C186" s="666"/>
      <c r="D186" s="717"/>
      <c r="E186" s="1596" t="s">
        <v>1847</v>
      </c>
      <c r="F186" s="717"/>
      <c r="G186" s="1597"/>
      <c r="H186" s="1597"/>
      <c r="I186" s="1597"/>
      <c r="J186" s="1598"/>
      <c r="K186" s="1597"/>
      <c r="L186" s="1597"/>
      <c r="M186" s="1597"/>
      <c r="N186" s="1599">
        <f ca="1">N173/J173*100-100</f>
        <v>19.044528323429006</v>
      </c>
      <c r="O186" s="1597"/>
      <c r="P186" s="1597"/>
      <c r="Q186" s="1597"/>
      <c r="R186" s="1599">
        <f ca="1">R173/N173*100-100</f>
        <v>18.838320999906671</v>
      </c>
      <c r="S186" s="1597"/>
      <c r="T186" s="1597"/>
      <c r="U186" s="1597"/>
      <c r="V186" s="1599">
        <f ca="1">V173/R173*100-100</f>
        <v>4.6592149170669757</v>
      </c>
      <c r="W186" s="1597"/>
      <c r="X186" s="1597"/>
      <c r="Y186" s="1597"/>
      <c r="Z186" s="1599">
        <f ca="1">Z173/V173*100-100</f>
        <v>-16.372062303186169</v>
      </c>
      <c r="AA186" s="1597"/>
      <c r="AB186" s="1597"/>
      <c r="AC186" s="1597"/>
      <c r="AD186" s="1599">
        <f ca="1">AD173/Z173*100-100</f>
        <v>9.5572088492080809</v>
      </c>
      <c r="AE186" s="1597"/>
      <c r="AF186" s="1597"/>
      <c r="AG186" s="1597"/>
      <c r="AH186" s="1599">
        <f ca="1">AH173/AD173*100-100</f>
        <v>21.209135528019061</v>
      </c>
      <c r="AI186" s="1597"/>
      <c r="AJ186" s="1597"/>
      <c r="AK186" s="1597"/>
      <c r="AL186" s="1599">
        <f ca="1">AL173/AH173*100-100</f>
        <v>18.611044650627079</v>
      </c>
      <c r="AM186" s="1597"/>
      <c r="AN186" s="1597"/>
      <c r="AO186" s="1597"/>
      <c r="AP186" s="1599">
        <f ca="1">AP173/AL173*100-100</f>
        <v>8.4262028762699828</v>
      </c>
      <c r="AQ186" s="1597"/>
      <c r="AR186" s="1597"/>
      <c r="AS186" s="1597"/>
      <c r="AT186" s="1599">
        <f ca="1">AT173/AP173*100-100</f>
        <v>3.9940459590348354</v>
      </c>
      <c r="AU186" s="1597"/>
      <c r="AV186" s="1597"/>
      <c r="AW186" s="1597"/>
      <c r="AX186" s="1599">
        <f ca="1">AX173/AT173*100-100</f>
        <v>20.540314154987939</v>
      </c>
      <c r="AY186" s="1597"/>
      <c r="AZ186" s="1597"/>
      <c r="BA186" s="1597"/>
      <c r="BB186" s="1599">
        <f ca="1">BB173/AX173*100-100</f>
        <v>12.644517254648505</v>
      </c>
      <c r="BC186" s="1597"/>
      <c r="BD186" s="1597"/>
      <c r="BE186" s="1597"/>
      <c r="BF186" s="1599">
        <f ca="1">BF173/BB173*100-100</f>
        <v>3.1746642424419207</v>
      </c>
      <c r="BG186" s="1597"/>
      <c r="BH186" s="1597"/>
      <c r="BI186" s="1597"/>
      <c r="BJ186" s="1599">
        <f ca="1">BJ173/BF173*100-100</f>
        <v>13.507146939638858</v>
      </c>
      <c r="BK186" s="1611"/>
      <c r="BL186" s="1611"/>
      <c r="BM186" s="1611"/>
      <c r="BN186" s="1612">
        <f ca="1">BN173/BJ173*100-100</f>
        <v>-12.78862699474486</v>
      </c>
      <c r="BO186" s="1611"/>
      <c r="BP186" s="1611"/>
      <c r="BQ186" s="1611"/>
      <c r="BR186" s="1612">
        <f ca="1">BR173/BN173*100-100</f>
        <v>18.942229444272328</v>
      </c>
      <c r="BS186" s="1611"/>
      <c r="BT186" s="1611"/>
      <c r="BU186" s="1611"/>
      <c r="BV186" s="1612">
        <f ca="1">BV173/BR173*100-100</f>
        <v>15.404381813138457</v>
      </c>
      <c r="BW186" s="1611"/>
      <c r="BX186" s="1611"/>
      <c r="BY186" s="1611"/>
      <c r="BZ186" s="1612">
        <f ca="1">BZ173/BV173*100-100</f>
        <v>12.388585390503522</v>
      </c>
      <c r="CA186" s="1611"/>
      <c r="CB186" s="1611"/>
      <c r="CC186" s="1611"/>
      <c r="CD186" s="1612">
        <f ca="1">CD173/BZ173*100-100</f>
        <v>9.8597881982962718</v>
      </c>
      <c r="CE186" s="1611"/>
      <c r="CF186" s="1611"/>
      <c r="CG186" s="1611"/>
      <c r="CH186" s="1612">
        <f ca="1">CH173/CD173*100-100</f>
        <v>3.2687395240076995</v>
      </c>
      <c r="CI186" s="1611"/>
      <c r="CJ186" s="1611"/>
      <c r="CK186" s="1611"/>
      <c r="CL186" s="1612">
        <f ca="1">CL173/CH173*100-100</f>
        <v>-0.36250801068858607</v>
      </c>
      <c r="CM186" s="1611"/>
      <c r="CN186" s="1611"/>
      <c r="CO186" s="1611"/>
      <c r="CP186" s="1612">
        <f ca="1">CP173/CL173*100-100</f>
        <v>3.4546238679988619</v>
      </c>
      <c r="CQ186" s="1611"/>
      <c r="CR186" s="1611"/>
      <c r="CS186" s="1611"/>
      <c r="CT186" s="3723">
        <f ca="1">CT173/CP173*100-100</f>
        <v>13.23847741418021</v>
      </c>
      <c r="CU186" s="1611"/>
      <c r="CV186" s="1611"/>
      <c r="CW186" s="1611"/>
      <c r="CX186" s="1612">
        <f ca="1">CX173/CT173*100-100</f>
        <v>5.5162869137066224</v>
      </c>
      <c r="CY186" s="1611"/>
      <c r="CZ186" s="1611"/>
      <c r="DA186" s="1611"/>
      <c r="DB186" s="1612">
        <f ca="1">DB173/CX173*100-100</f>
        <v>4.4245927876736033</v>
      </c>
      <c r="DC186"/>
      <c r="DD186"/>
      <c r="DE186"/>
      <c r="DF186"/>
      <c r="DG186"/>
      <c r="DH186"/>
      <c r="DI186"/>
      <c r="DJ186"/>
      <c r="DK186"/>
      <c r="DL186"/>
      <c r="DM186"/>
      <c r="DN186"/>
      <c r="DO186"/>
    </row>
    <row r="187" spans="1:119" ht="12.75" customHeight="1">
      <c r="A187" s="664"/>
      <c r="E187" s="599"/>
      <c r="F187" s="3617"/>
      <c r="AY187" s="217"/>
      <c r="BA187" s="217"/>
      <c r="BB187" s="217"/>
      <c r="BC187" s="217"/>
      <c r="BD187" s="217"/>
      <c r="BE187" s="217"/>
      <c r="BF187" s="217"/>
      <c r="BG187" s="217"/>
      <c r="BH187" s="217"/>
      <c r="BI187" s="217"/>
      <c r="BJ187" s="217"/>
      <c r="BK187" s="1602"/>
      <c r="BL187" s="1602"/>
      <c r="BM187" s="1602"/>
      <c r="BN187" s="1602"/>
      <c r="BO187" s="1602"/>
      <c r="BP187" s="1602"/>
      <c r="BQ187" s="1602"/>
      <c r="BR187" s="1602"/>
      <c r="BS187" s="1602"/>
      <c r="BT187" s="1602"/>
      <c r="BU187" s="1602"/>
      <c r="BV187" s="1602"/>
      <c r="BW187" s="1602"/>
      <c r="BX187" s="1602"/>
      <c r="BY187" s="1602"/>
      <c r="BZ187" s="1602"/>
      <c r="CA187" s="1602"/>
      <c r="CB187" s="1602"/>
      <c r="CC187" s="1602"/>
      <c r="CD187" s="1602"/>
      <c r="CE187" s="1602"/>
      <c r="CF187" s="1602"/>
      <c r="CG187" s="1602"/>
      <c r="CH187" s="1602"/>
      <c r="CI187" s="1602"/>
      <c r="CJ187" s="1602"/>
      <c r="CK187" s="1602"/>
      <c r="CL187" s="1602"/>
      <c r="CM187" s="1602"/>
      <c r="CN187" s="1602"/>
      <c r="CO187" s="1602"/>
      <c r="CP187" s="1602"/>
      <c r="CQ187" s="1602"/>
      <c r="CR187" s="1602"/>
      <c r="CS187" s="1602"/>
      <c r="CT187" s="1602"/>
      <c r="CU187" s="1602"/>
      <c r="CV187" s="1602"/>
      <c r="CW187" s="1602"/>
      <c r="CX187" s="1602"/>
      <c r="CY187" s="1602"/>
      <c r="CZ187" s="1602"/>
      <c r="DA187" s="1602"/>
      <c r="DB187" s="1602"/>
    </row>
    <row r="188" spans="1:119" s="699" customFormat="1" ht="12.75" customHeight="1">
      <c r="A188" s="664"/>
      <c r="B188" s="664"/>
      <c r="C188" s="666"/>
      <c r="D188" s="858"/>
      <c r="E188" s="3625"/>
      <c r="F188" s="3626"/>
      <c r="G188" s="1588" t="str">
        <f>G175</f>
        <v>Q1</v>
      </c>
      <c r="H188" s="1588" t="str">
        <f t="shared" ref="H188:BN188" si="463">H175</f>
        <v>Q2</v>
      </c>
      <c r="I188" s="1588" t="str">
        <f t="shared" si="463"/>
        <v>Q3</v>
      </c>
      <c r="J188" s="1588" t="str">
        <f t="shared" si="463"/>
        <v>Q4</v>
      </c>
      <c r="K188" s="1593" t="str">
        <f t="shared" si="463"/>
        <v>Q1</v>
      </c>
      <c r="L188" s="1588" t="str">
        <f t="shared" si="463"/>
        <v>Q2</v>
      </c>
      <c r="M188" s="1588" t="str">
        <f t="shared" si="463"/>
        <v>Q3</v>
      </c>
      <c r="N188" s="1594" t="str">
        <f t="shared" si="463"/>
        <v>Q4</v>
      </c>
      <c r="O188" s="1593" t="str">
        <f t="shared" si="463"/>
        <v>Q1</v>
      </c>
      <c r="P188" s="1588" t="str">
        <f t="shared" si="463"/>
        <v>Q2</v>
      </c>
      <c r="Q188" s="1588" t="str">
        <f t="shared" si="463"/>
        <v>Q3</v>
      </c>
      <c r="R188" s="1594" t="str">
        <f t="shared" si="463"/>
        <v>Q4</v>
      </c>
      <c r="S188" s="1593" t="str">
        <f t="shared" si="463"/>
        <v>Q1</v>
      </c>
      <c r="T188" s="1588" t="str">
        <f t="shared" si="463"/>
        <v>Q2</v>
      </c>
      <c r="U188" s="1588" t="str">
        <f t="shared" si="463"/>
        <v>Q3</v>
      </c>
      <c r="V188" s="1594" t="str">
        <f t="shared" si="463"/>
        <v>Q4</v>
      </c>
      <c r="W188" s="1593" t="str">
        <f t="shared" si="463"/>
        <v>Q1</v>
      </c>
      <c r="X188" s="1588" t="str">
        <f t="shared" si="463"/>
        <v>Q2</v>
      </c>
      <c r="Y188" s="1588" t="str">
        <f t="shared" si="463"/>
        <v>Q3</v>
      </c>
      <c r="Z188" s="1594" t="str">
        <f t="shared" si="463"/>
        <v>Q4</v>
      </c>
      <c r="AA188" s="1593" t="str">
        <f t="shared" si="463"/>
        <v>Q1</v>
      </c>
      <c r="AB188" s="1588" t="str">
        <f t="shared" si="463"/>
        <v>Q2</v>
      </c>
      <c r="AC188" s="1588" t="str">
        <f t="shared" si="463"/>
        <v>Q3</v>
      </c>
      <c r="AD188" s="1594" t="str">
        <f t="shared" si="463"/>
        <v>Q4</v>
      </c>
      <c r="AE188" s="1593" t="str">
        <f t="shared" si="463"/>
        <v>Q1</v>
      </c>
      <c r="AF188" s="1588" t="str">
        <f t="shared" si="463"/>
        <v>Q2</v>
      </c>
      <c r="AG188" s="1588" t="str">
        <f t="shared" si="463"/>
        <v>Q3</v>
      </c>
      <c r="AH188" s="1594" t="str">
        <f t="shared" si="463"/>
        <v>Q4</v>
      </c>
      <c r="AI188" s="1593" t="str">
        <f t="shared" si="463"/>
        <v>Q1</v>
      </c>
      <c r="AJ188" s="1588" t="str">
        <f t="shared" si="463"/>
        <v>Q2</v>
      </c>
      <c r="AK188" s="1588" t="str">
        <f t="shared" si="463"/>
        <v>Q3</v>
      </c>
      <c r="AL188" s="1594" t="str">
        <f t="shared" si="463"/>
        <v>Q4</v>
      </c>
      <c r="AM188" s="1593" t="str">
        <f t="shared" si="463"/>
        <v>Q1</v>
      </c>
      <c r="AN188" s="1588" t="str">
        <f t="shared" si="463"/>
        <v>Q2</v>
      </c>
      <c r="AO188" s="1588" t="str">
        <f t="shared" si="463"/>
        <v>Q3</v>
      </c>
      <c r="AP188" s="1594" t="str">
        <f t="shared" si="463"/>
        <v>Q4</v>
      </c>
      <c r="AQ188" s="1593" t="str">
        <f t="shared" si="463"/>
        <v>Q1</v>
      </c>
      <c r="AR188" s="1588" t="str">
        <f t="shared" si="463"/>
        <v>Q2</v>
      </c>
      <c r="AS188" s="1588" t="str">
        <f t="shared" si="463"/>
        <v>Q3</v>
      </c>
      <c r="AT188" s="1594" t="str">
        <f t="shared" si="463"/>
        <v>Q4</v>
      </c>
      <c r="AU188" s="1593" t="str">
        <f t="shared" si="463"/>
        <v>Q1</v>
      </c>
      <c r="AV188" s="1588" t="str">
        <f t="shared" si="463"/>
        <v>Q2</v>
      </c>
      <c r="AW188" s="1588" t="str">
        <f t="shared" si="463"/>
        <v>Q3</v>
      </c>
      <c r="AX188" s="1594" t="str">
        <f t="shared" si="463"/>
        <v>Q4</v>
      </c>
      <c r="AY188" s="1593" t="str">
        <f t="shared" si="463"/>
        <v>Q1</v>
      </c>
      <c r="AZ188" s="1588" t="str">
        <f t="shared" si="463"/>
        <v>Q2</v>
      </c>
      <c r="BA188" s="1588" t="str">
        <f t="shared" si="463"/>
        <v>Q3</v>
      </c>
      <c r="BB188" s="1594" t="str">
        <f t="shared" si="463"/>
        <v>Q4</v>
      </c>
      <c r="BC188" s="1593" t="str">
        <f t="shared" si="463"/>
        <v>Q1</v>
      </c>
      <c r="BD188" s="1588" t="str">
        <f t="shared" si="463"/>
        <v>Q2</v>
      </c>
      <c r="BE188" s="1588" t="str">
        <f t="shared" si="463"/>
        <v>Q3</v>
      </c>
      <c r="BF188" s="1594" t="str">
        <f t="shared" si="463"/>
        <v>Q4</v>
      </c>
      <c r="BG188" s="1593" t="str">
        <f t="shared" si="463"/>
        <v>Q1</v>
      </c>
      <c r="BH188" s="1588" t="str">
        <f t="shared" si="463"/>
        <v>Q2</v>
      </c>
      <c r="BI188" s="1588" t="str">
        <f t="shared" si="463"/>
        <v>Q3</v>
      </c>
      <c r="BJ188" s="1594" t="str">
        <f t="shared" si="463"/>
        <v>Q4</v>
      </c>
      <c r="BK188" s="1593" t="str">
        <f t="shared" si="463"/>
        <v>Q1</v>
      </c>
      <c r="BL188" s="1588" t="str">
        <f t="shared" si="463"/>
        <v>Q2</v>
      </c>
      <c r="BM188" s="1588" t="str">
        <f t="shared" si="463"/>
        <v>Q3</v>
      </c>
      <c r="BN188" s="1594" t="str">
        <f t="shared" si="463"/>
        <v>Q4</v>
      </c>
      <c r="BO188" s="1593" t="str">
        <f t="shared" ref="BO188:BV188" si="464">BO175</f>
        <v>Q1</v>
      </c>
      <c r="BP188" s="1588" t="str">
        <f t="shared" si="464"/>
        <v>Q2</v>
      </c>
      <c r="BQ188" s="1588" t="str">
        <f t="shared" si="464"/>
        <v>Q3</v>
      </c>
      <c r="BR188" s="1594" t="str">
        <f t="shared" si="464"/>
        <v>Q4</v>
      </c>
      <c r="BS188" s="1593" t="str">
        <f t="shared" si="464"/>
        <v>Q1</v>
      </c>
      <c r="BT188" s="1588" t="str">
        <f t="shared" si="464"/>
        <v>Q2</v>
      </c>
      <c r="BU188" s="1588" t="str">
        <f t="shared" si="464"/>
        <v>Q3</v>
      </c>
      <c r="BV188" s="1594" t="str">
        <f t="shared" si="464"/>
        <v>Q4</v>
      </c>
      <c r="BW188" s="1593" t="str">
        <f t="shared" ref="BW188:CD188" si="465">BW175</f>
        <v>Q1</v>
      </c>
      <c r="BX188" s="1588" t="str">
        <f t="shared" si="465"/>
        <v>Q2</v>
      </c>
      <c r="BY188" s="1588" t="str">
        <f t="shared" si="465"/>
        <v>Q3</v>
      </c>
      <c r="BZ188" s="1594" t="str">
        <f t="shared" si="465"/>
        <v>Q4</v>
      </c>
      <c r="CA188" s="1593" t="str">
        <f t="shared" si="465"/>
        <v>Q1</v>
      </c>
      <c r="CB188" s="1588" t="str">
        <f t="shared" si="465"/>
        <v>Q2</v>
      </c>
      <c r="CC188" s="1588" t="str">
        <f t="shared" si="465"/>
        <v>Q3</v>
      </c>
      <c r="CD188" s="1594" t="str">
        <f t="shared" si="465"/>
        <v>Q4</v>
      </c>
      <c r="CE188" s="1593" t="str">
        <f t="shared" ref="CE188:CL188" si="466">CE175</f>
        <v>Q1</v>
      </c>
      <c r="CF188" s="1588" t="str">
        <f t="shared" si="466"/>
        <v>Q2</v>
      </c>
      <c r="CG188" s="1588" t="str">
        <f t="shared" si="466"/>
        <v>Q3</v>
      </c>
      <c r="CH188" s="1594" t="str">
        <f t="shared" si="466"/>
        <v>Q4</v>
      </c>
      <c r="CI188" s="1593" t="str">
        <f t="shared" si="466"/>
        <v>Q1</v>
      </c>
      <c r="CJ188" s="1588" t="str">
        <f t="shared" si="466"/>
        <v>Q2</v>
      </c>
      <c r="CK188" s="1588" t="str">
        <f t="shared" si="466"/>
        <v>Q3</v>
      </c>
      <c r="CL188" s="1594" t="str">
        <f t="shared" si="466"/>
        <v>Q4</v>
      </c>
      <c r="CM188" s="1593" t="str">
        <f t="shared" ref="CM188:CT188" si="467">CM175</f>
        <v>Q1</v>
      </c>
      <c r="CN188" s="1588" t="str">
        <f t="shared" si="467"/>
        <v>Q2</v>
      </c>
      <c r="CO188" s="1588" t="str">
        <f t="shared" si="467"/>
        <v>Q3</v>
      </c>
      <c r="CP188" s="1594" t="str">
        <f t="shared" si="467"/>
        <v>Q4</v>
      </c>
      <c r="CQ188" s="1593" t="str">
        <f t="shared" si="467"/>
        <v>Q1</v>
      </c>
      <c r="CR188" s="1588" t="str">
        <f t="shared" si="467"/>
        <v>Q2</v>
      </c>
      <c r="CS188" s="1588" t="str">
        <f t="shared" si="467"/>
        <v>Q3</v>
      </c>
      <c r="CT188" s="1594" t="str">
        <f t="shared" si="467"/>
        <v>Q4</v>
      </c>
      <c r="CU188" s="1593" t="str">
        <f t="shared" ref="CU188:DB188" si="468">CU175</f>
        <v>Q1</v>
      </c>
      <c r="CV188" s="1588" t="str">
        <f t="shared" si="468"/>
        <v>Q2</v>
      </c>
      <c r="CW188" s="1588" t="str">
        <f t="shared" si="468"/>
        <v>Q3</v>
      </c>
      <c r="CX188" s="1594" t="str">
        <f t="shared" si="468"/>
        <v>Q4</v>
      </c>
      <c r="CY188" s="1593" t="str">
        <f t="shared" si="468"/>
        <v>Q1</v>
      </c>
      <c r="CZ188" s="1588" t="str">
        <f t="shared" si="468"/>
        <v>Q2</v>
      </c>
      <c r="DA188" s="1588" t="str">
        <f t="shared" si="468"/>
        <v>Q3</v>
      </c>
      <c r="DB188" s="1594" t="str">
        <f t="shared" si="468"/>
        <v>Q4</v>
      </c>
      <c r="DC188"/>
      <c r="DD188"/>
      <c r="DE188"/>
      <c r="DF188"/>
      <c r="DG188"/>
      <c r="DH188"/>
      <c r="DI188"/>
      <c r="DJ188"/>
      <c r="DK188"/>
      <c r="DL188"/>
      <c r="DM188"/>
      <c r="DN188"/>
      <c r="DO188"/>
    </row>
    <row r="189" spans="1:119" s="699" customFormat="1" ht="12.75" customHeight="1">
      <c r="A189" s="664"/>
      <c r="B189" s="664"/>
      <c r="C189" s="862"/>
      <c r="D189" s="863"/>
      <c r="E189" s="3627" t="s">
        <v>1848</v>
      </c>
      <c r="F189" s="3628"/>
      <c r="G189" s="705"/>
      <c r="H189" s="705"/>
      <c r="I189" s="705"/>
      <c r="J189" s="705"/>
      <c r="K189" s="1564">
        <f t="shared" ref="K189:AP189" si="469">(K171/G171-1)*100</f>
        <v>17.877853821639423</v>
      </c>
      <c r="L189" s="1564">
        <f t="shared" si="469"/>
        <v>17.838808385807848</v>
      </c>
      <c r="M189" s="1564">
        <f t="shared" si="469"/>
        <v>19.293438727510793</v>
      </c>
      <c r="N189" s="1564">
        <f t="shared" si="469"/>
        <v>20.670325820390055</v>
      </c>
      <c r="O189" s="1564">
        <f t="shared" si="469"/>
        <v>19.066613482249693</v>
      </c>
      <c r="P189" s="1564">
        <f t="shared" si="469"/>
        <v>18.74584200699616</v>
      </c>
      <c r="Q189" s="1564">
        <f t="shared" si="469"/>
        <v>14.884448870912026</v>
      </c>
      <c r="R189" s="1564">
        <f t="shared" si="469"/>
        <v>18.90254524339494</v>
      </c>
      <c r="S189" s="1564">
        <f t="shared" si="469"/>
        <v>17.710776102735927</v>
      </c>
      <c r="T189" s="1564">
        <f t="shared" si="469"/>
        <v>12.775609050820513</v>
      </c>
      <c r="U189" s="1564">
        <f t="shared" si="469"/>
        <v>3.2642157036198105</v>
      </c>
      <c r="V189" s="1564">
        <f t="shared" si="469"/>
        <v>-10.414937083882736</v>
      </c>
      <c r="W189" s="1564">
        <f t="shared" si="469"/>
        <v>-17.790848433102504</v>
      </c>
      <c r="X189" s="1564">
        <f t="shared" si="469"/>
        <v>-20.841012163266605</v>
      </c>
      <c r="Y189" s="1564">
        <f t="shared" si="469"/>
        <v>-16.048452036253359</v>
      </c>
      <c r="Z189" s="1564">
        <f t="shared" si="469"/>
        <v>-11.858339541729512</v>
      </c>
      <c r="AA189" s="1564">
        <f t="shared" si="469"/>
        <v>1.2347578566757722</v>
      </c>
      <c r="AB189" s="1564">
        <f t="shared" si="469"/>
        <v>7.2839906065268245</v>
      </c>
      <c r="AC189" s="1564">
        <f t="shared" si="469"/>
        <v>16.228571428571414</v>
      </c>
      <c r="AD189" s="1564">
        <f t="shared" si="469"/>
        <v>17.941740367369661</v>
      </c>
      <c r="AE189" s="1564">
        <f t="shared" si="469"/>
        <v>19.689946044532249</v>
      </c>
      <c r="AF189" s="1564">
        <f t="shared" si="469"/>
        <v>23.56115786692834</v>
      </c>
      <c r="AG189" s="1564">
        <f t="shared" si="469"/>
        <v>18.008147211687042</v>
      </c>
      <c r="AH189" s="1564">
        <f t="shared" si="469"/>
        <v>22.31952455864359</v>
      </c>
      <c r="AI189" s="1564">
        <f t="shared" si="469"/>
        <v>16.550793650793636</v>
      </c>
      <c r="AJ189" s="1564">
        <f t="shared" si="469"/>
        <v>21.498167379352463</v>
      </c>
      <c r="AK189" s="1564">
        <f t="shared" si="469"/>
        <v>16.819426258778702</v>
      </c>
      <c r="AL189" s="1564">
        <f t="shared" si="469"/>
        <v>18.638448677460385</v>
      </c>
      <c r="AM189" s="1564">
        <f t="shared" si="469"/>
        <v>19.649447750827353</v>
      </c>
      <c r="AN189" s="1564">
        <f t="shared" si="469"/>
        <v>1.7999673190291166</v>
      </c>
      <c r="AO189" s="1564">
        <f t="shared" si="469"/>
        <v>6.9734562869370409</v>
      </c>
      <c r="AP189" s="1564">
        <f t="shared" si="469"/>
        <v>4.5072390450723754</v>
      </c>
      <c r="AQ189" s="1564">
        <f t="shared" ref="AQ189:BN189" si="470">(AQ171/AM171-1)*100</f>
        <v>-6.320641966877238</v>
      </c>
      <c r="AR189" s="1564">
        <f t="shared" si="470"/>
        <v>6.0958895652496237</v>
      </c>
      <c r="AS189" s="1564">
        <f t="shared" si="470"/>
        <v>7.1463440770595188</v>
      </c>
      <c r="AT189" s="1564">
        <f t="shared" si="470"/>
        <v>9.2734313770688424</v>
      </c>
      <c r="AU189" s="1564">
        <f t="shared" si="470"/>
        <v>31.70664528201015</v>
      </c>
      <c r="AV189" s="1564">
        <f t="shared" si="470"/>
        <v>30.909524940064692</v>
      </c>
      <c r="AW189" s="1564">
        <f t="shared" si="470"/>
        <v>31.303013479425278</v>
      </c>
      <c r="AX189" s="1564">
        <f t="shared" si="470"/>
        <v>29.593806560489398</v>
      </c>
      <c r="AY189" s="1564">
        <f t="shared" si="470"/>
        <v>18.395234758234036</v>
      </c>
      <c r="AZ189" s="1564">
        <f t="shared" si="470"/>
        <v>16.385290686966659</v>
      </c>
      <c r="BA189" s="1564">
        <f t="shared" si="470"/>
        <v>8.9740217994798357</v>
      </c>
      <c r="BB189" s="1564">
        <f t="shared" si="470"/>
        <v>7.6970633693972168</v>
      </c>
      <c r="BC189" s="1564">
        <f t="shared" si="470"/>
        <v>1.0115956845758722</v>
      </c>
      <c r="BD189" s="1564">
        <f t="shared" si="470"/>
        <v>-0.57231775503744364</v>
      </c>
      <c r="BE189" s="1564">
        <f t="shared" si="470"/>
        <v>7.1382602166684572</v>
      </c>
      <c r="BF189" s="1564">
        <f t="shared" si="470"/>
        <v>5.1273353512159447</v>
      </c>
      <c r="BG189" s="1564">
        <f t="shared" si="470"/>
        <v>16.763883339991992</v>
      </c>
      <c r="BH189" s="1564">
        <f t="shared" si="470"/>
        <v>21.058914029549868</v>
      </c>
      <c r="BI189" s="1564">
        <f t="shared" si="470"/>
        <v>10.857486109025372</v>
      </c>
      <c r="BJ189" s="1564">
        <f t="shared" si="470"/>
        <v>6.6668321378043682</v>
      </c>
      <c r="BK189" s="1564">
        <f t="shared" si="470"/>
        <v>-9.5827915782750406</v>
      </c>
      <c r="BL189" s="1564">
        <f t="shared" si="470"/>
        <v>-18.683991410666557</v>
      </c>
      <c r="BM189" s="1564">
        <f t="shared" si="470"/>
        <v>-14.447304253589799</v>
      </c>
      <c r="BN189" s="1564">
        <f t="shared" si="470"/>
        <v>-8.6073298429319429</v>
      </c>
      <c r="BO189" s="1564">
        <f t="shared" ref="BO189:BV189" si="471">(BO171/BK171-1)*100</f>
        <v>5.0658459054442773</v>
      </c>
      <c r="BP189" s="1564">
        <f t="shared" si="471"/>
        <v>21.093476327773431</v>
      </c>
      <c r="BQ189" s="1564">
        <f t="shared" si="471"/>
        <v>24.384450954002055</v>
      </c>
      <c r="BR189" s="1564">
        <f t="shared" si="471"/>
        <v>26.178836948772787</v>
      </c>
      <c r="BS189" s="1564">
        <f t="shared" si="471"/>
        <v>22.631225087643458</v>
      </c>
      <c r="BT189" s="1564">
        <f t="shared" si="471"/>
        <v>17.345735330114142</v>
      </c>
      <c r="BU189" s="1564">
        <f t="shared" si="471"/>
        <v>13.40462096620203</v>
      </c>
      <c r="BV189" s="1564">
        <f t="shared" si="471"/>
        <v>9.0701803946890536</v>
      </c>
      <c r="BW189" s="1564">
        <f t="shared" ref="BW189:CD189" si="472">(BW171/BS171-1)*100</f>
        <v>10.356170821013876</v>
      </c>
      <c r="BX189" s="1564">
        <f t="shared" si="472"/>
        <v>9.8664997914059249</v>
      </c>
      <c r="BY189" s="1564">
        <f t="shared" si="472"/>
        <v>12.981983498905535</v>
      </c>
      <c r="BZ189" s="1564">
        <f t="shared" si="472"/>
        <v>16.267367213660666</v>
      </c>
      <c r="CA189" s="1564">
        <f t="shared" si="472"/>
        <v>14.554648687012083</v>
      </c>
      <c r="CB189" s="1564">
        <f t="shared" si="472"/>
        <v>11.541847178832176</v>
      </c>
      <c r="CC189" s="1564">
        <f t="shared" si="472"/>
        <v>8.446762709057797</v>
      </c>
      <c r="CD189" s="1564">
        <f t="shared" si="472"/>
        <v>5.3893644782484262</v>
      </c>
      <c r="CE189" s="1564">
        <f t="shared" ref="CE189:CL189" si="473">(CE171/CA171-1)*100</f>
        <v>2.7275684215417373</v>
      </c>
      <c r="CF189" s="1564">
        <f t="shared" si="473"/>
        <v>4.7366303540480326</v>
      </c>
      <c r="CG189" s="1564">
        <f t="shared" si="473"/>
        <v>3.7470797514162157</v>
      </c>
      <c r="CH189" s="1564">
        <f t="shared" si="473"/>
        <v>2.1107303006054456</v>
      </c>
      <c r="CI189" s="1564">
        <f t="shared" si="473"/>
        <v>0.61968518183463939</v>
      </c>
      <c r="CJ189" s="1564">
        <f t="shared" si="473"/>
        <v>-1.0534091748541141</v>
      </c>
      <c r="CK189" s="1564">
        <f t="shared" si="473"/>
        <v>-1.2377658400176683</v>
      </c>
      <c r="CL189" s="1564">
        <f t="shared" si="473"/>
        <v>-0.10202421966258868</v>
      </c>
      <c r="CM189" s="1564">
        <f t="shared" ref="CM189:CT189" si="474">(CM171/CI171-1)*100</f>
        <v>1.8820708773507278</v>
      </c>
      <c r="CN189" s="1564">
        <f t="shared" si="474"/>
        <v>2.1785223675566012</v>
      </c>
      <c r="CO189" s="1564">
        <f t="shared" si="474"/>
        <v>4.0042322365283933</v>
      </c>
      <c r="CP189" s="1564">
        <f t="shared" si="474"/>
        <v>5.8331606524377744</v>
      </c>
      <c r="CQ189" s="1564">
        <f t="shared" si="474"/>
        <v>10.204291744495597</v>
      </c>
      <c r="CR189" s="1564">
        <f t="shared" si="474"/>
        <v>13.645862255410535</v>
      </c>
      <c r="CS189" s="1564">
        <f t="shared" si="474"/>
        <v>14.547721052857799</v>
      </c>
      <c r="CT189" s="1564">
        <f t="shared" si="474"/>
        <v>14.704278142175852</v>
      </c>
      <c r="CU189" s="1564">
        <f t="shared" ref="CU189:DB189" si="475">(CU171/CQ171-1)*100</f>
        <v>9.8974602623817187</v>
      </c>
      <c r="CV189" s="1564">
        <f t="shared" si="475"/>
        <v>6.3077167920379651</v>
      </c>
      <c r="CW189" s="1564">
        <f t="shared" si="475"/>
        <v>3.9842361371660306</v>
      </c>
      <c r="CX189" s="1564">
        <f t="shared" si="475"/>
        <v>2.2682128792000045</v>
      </c>
      <c r="CY189" s="1564">
        <f t="shared" si="475"/>
        <v>3.2257041153199939</v>
      </c>
      <c r="CZ189" s="1564">
        <f t="shared" si="475"/>
        <v>4.151034132289988</v>
      </c>
      <c r="DA189" s="1564">
        <f t="shared" si="475"/>
        <v>4.9278941581399449</v>
      </c>
      <c r="DB189" s="1564">
        <f t="shared" si="475"/>
        <v>5.3438620239799617</v>
      </c>
      <c r="DC189"/>
      <c r="DD189"/>
      <c r="DE189"/>
      <c r="DF189"/>
      <c r="DG189"/>
      <c r="DH189"/>
      <c r="DI189"/>
      <c r="DJ189"/>
      <c r="DK189"/>
      <c r="DL189"/>
      <c r="DM189"/>
      <c r="DN189"/>
      <c r="DO189"/>
    </row>
    <row r="190" spans="1:119" s="699" customFormat="1" ht="12.75" customHeight="1">
      <c r="A190" s="664"/>
      <c r="B190" s="664"/>
      <c r="C190" s="944"/>
      <c r="D190" s="674"/>
      <c r="E190" s="3629" t="s">
        <v>1938</v>
      </c>
      <c r="F190" s="3630"/>
      <c r="G190" s="705"/>
      <c r="H190" s="705"/>
      <c r="I190" s="705"/>
      <c r="J190" s="705"/>
      <c r="K190" s="1564">
        <f>(4*K171/J172-1)*100</f>
        <v>11.50344077785055</v>
      </c>
      <c r="L190" s="1564">
        <f>((K171+3*L171)/J172-1)*100</f>
        <v>14.229500500364466</v>
      </c>
      <c r="M190" s="1564">
        <f>((K171+L171+2*M171)/J172-1)*100</f>
        <v>17.444187741688388</v>
      </c>
      <c r="N190" s="1621"/>
      <c r="O190" s="1564">
        <f>(4*O171/N172-1)*100</f>
        <v>11.596317508450738</v>
      </c>
      <c r="P190" s="1564">
        <f>((O171+3*P171)/N172-1)*100</f>
        <v>14.091813050725133</v>
      </c>
      <c r="Q190" s="1564">
        <f>((O171+P171+2*Q171)/N172-1)*100</f>
        <v>15.327618167373714</v>
      </c>
      <c r="R190" s="1621"/>
      <c r="S190" s="1564">
        <f>(4*S171/R172-1)*100</f>
        <v>11.439332202717889</v>
      </c>
      <c r="T190" s="1564">
        <f>((S171+3*T171)/R172-1)*100</f>
        <v>10.322665903134132</v>
      </c>
      <c r="U190" s="1564">
        <f>((S171+T171+2*U171)/R172-1)*100</f>
        <v>6.7687157236305806</v>
      </c>
      <c r="V190" s="1621"/>
      <c r="W190" s="1564">
        <f>(4*W171/V172-1)*100</f>
        <v>-12.997862345061861</v>
      </c>
      <c r="X190" s="1564">
        <f>((W171+3*X171)/V172-1)*100</f>
        <v>-16.258309035461636</v>
      </c>
      <c r="Y190" s="1564">
        <f>((W171+X171+2*Y171)/V172-1)*100</f>
        <v>-16.58962463448611</v>
      </c>
      <c r="Z190" s="1621"/>
      <c r="AA190" s="1564">
        <f>(4*AA171/Z172-1)*100</f>
        <v>5.8557947078136108</v>
      </c>
      <c r="AB190" s="1564">
        <f>((AA171+3*AB171)/Z172-1)*100</f>
        <v>6.3957726863653086</v>
      </c>
      <c r="AC190" s="1564">
        <f>((AA171+AB171+2*AC171)/Z172-1)*100</f>
        <v>10.375722107422437</v>
      </c>
      <c r="AD190" s="1621"/>
      <c r="AE190" s="1564">
        <f>(4*AE171/AD172-1)*100</f>
        <v>14.65385455339594</v>
      </c>
      <c r="AF190" s="1564">
        <f>((AE171+3*AF171)/AD172-1)*100</f>
        <v>18.038873116400978</v>
      </c>
      <c r="AG190" s="1564">
        <f>((AE171+AF171+2*AG171)/AD172-1)*100</f>
        <v>19.611268835990401</v>
      </c>
      <c r="AH190" s="1621"/>
      <c r="AI190" s="1564">
        <f>(4*AI171/AH172-1)*100</f>
        <v>10.554942841978864</v>
      </c>
      <c r="AJ190" s="1564">
        <f>((AI171+3*AJ171)/AH172-1)*100</f>
        <v>17.477142437713368</v>
      </c>
      <c r="AK190" s="1564">
        <f>((AI171+AJ171+2*AK171)/AH172-1)*100</f>
        <v>16.690443299318304</v>
      </c>
      <c r="AL190" s="1621"/>
      <c r="AM190" s="1564">
        <f>(4*AM171/AL172-1)*100</f>
        <v>11.732873794186682</v>
      </c>
      <c r="AN190" s="1564">
        <f>((AM171+3*AN171)/AL172-1)*100</f>
        <v>5.183805060441693</v>
      </c>
      <c r="AO190" s="1564">
        <f>((AM171+AN171+2*AO171)/AL172-1)*100</f>
        <v>7.0902142325717676</v>
      </c>
      <c r="AP190" s="1621"/>
      <c r="AQ190" s="1564">
        <f>(4*AQ171/AP172-1)*100</f>
        <v>-3.0586433840309568</v>
      </c>
      <c r="AR190" s="1564">
        <f>((AQ171+3*AR171)/AP172-1)*100</f>
        <v>0.14281717928712467</v>
      </c>
      <c r="AS190" s="1564">
        <f>((AQ171+AR171+2*AS171)/AP172-1)*100</f>
        <v>2.5356674862704098</v>
      </c>
      <c r="AT190" s="1621"/>
      <c r="AU190" s="1564">
        <f>(4*AU171/AT172-1)*100</f>
        <v>22.820297824245749</v>
      </c>
      <c r="AV190" s="1564">
        <f>((AU171+3*AV171)/AT172-1)*100</f>
        <v>26.294350970322398</v>
      </c>
      <c r="AW190" s="1564">
        <f>((AU171+AV171+2*AW171)/AT172-1)*100</f>
        <v>29.508241352644404</v>
      </c>
      <c r="AX190" s="1621"/>
      <c r="AY190" s="1564">
        <f>(4*AY171/AX172-1)*100</f>
        <v>11.136360238604247</v>
      </c>
      <c r="AZ190" s="1564">
        <f>((AY171+3*AZ171)/AX172-1)*100</f>
        <v>12.811523568897719</v>
      </c>
      <c r="BA190" s="1564">
        <f>((AY171+AZ171+2*BA171)/AX172-1)*100</f>
        <v>11.878634753098405</v>
      </c>
      <c r="BB190" s="1621"/>
      <c r="BC190" s="1564">
        <f>(4*BC171/BB172-1)*100</f>
        <v>-0.34571767937836562</v>
      </c>
      <c r="BD190" s="1564">
        <f>((BC171+3*BD171)/BB172-1)*100</f>
        <v>-3.9150370601381823E-2</v>
      </c>
      <c r="BE190" s="1564">
        <f>((BC171+BD171+2*BE171)/BB172-1)*100</f>
        <v>2.9535305007929669</v>
      </c>
      <c r="BF190" s="1621"/>
      <c r="BG190" s="1564">
        <f>(4*BG171/BF172-1)*100</f>
        <v>12.778560265488426</v>
      </c>
      <c r="BH190" s="1564">
        <f>((BG171+3*BH171)/BF172-1)*100</f>
        <v>16.249589997877646</v>
      </c>
      <c r="BI190" s="1564">
        <f>((BG171+BH171+2*BI171)/BF172-1)*100</f>
        <v>14.518255545479697</v>
      </c>
      <c r="BJ190" s="1621"/>
      <c r="BK190" s="1564">
        <f>(4*BK171/BJ172-1)*100</f>
        <v>-10.29285293984521</v>
      </c>
      <c r="BL190" s="1564">
        <f>((BK171+3*BL171)/BJ172-1)*100</f>
        <v>-14.582107454849957</v>
      </c>
      <c r="BM190" s="1564">
        <f>((BK171+BL171+2*BM171)/BJ172-1)*100</f>
        <v>-13.697211786538732</v>
      </c>
      <c r="BN190" s="1621"/>
      <c r="BO190" s="1564">
        <f>(4*BO171/BN172-1)*100</f>
        <v>8.2290570303668265</v>
      </c>
      <c r="BP190" s="1564">
        <f>((BO171+3*BP171)/BN172-1)*100</f>
        <v>14.647409659688936</v>
      </c>
      <c r="BQ190" s="1564">
        <f>((BO171+BP171+2*BQ171)/BN172-1)*100</f>
        <v>17.498278304032013</v>
      </c>
      <c r="BR190" s="1621"/>
      <c r="BS190" s="1564">
        <f>(4*BS171/BR172-1)*100</f>
        <v>11.462493725310452</v>
      </c>
      <c r="BT190" s="1564">
        <f>((BS171+3*BT171)/BR172-1)*100</f>
        <v>14.184617735000749</v>
      </c>
      <c r="BU190" s="1564">
        <f>((BS171+BT171+2*BU171)/BR172-1)*100</f>
        <v>14.967044239289384</v>
      </c>
      <c r="BV190" s="1621"/>
      <c r="BW190" s="1564">
        <f>(4*BW171/BV172-1)*100</f>
        <v>6.687363055998552</v>
      </c>
      <c r="BX190" s="1564">
        <f>((BW171+3*BX171)/BV172-1)*100</f>
        <v>8.9262643805990027</v>
      </c>
      <c r="BY190" s="1564">
        <f>((BW171+BX171+2*BY171)/BV172-1)*100</f>
        <v>11.247982811901046</v>
      </c>
      <c r="BZ190" s="1621"/>
      <c r="CA190" s="1564">
        <f>(4*CA171/BZ172-1)*100</f>
        <v>8.7225774944955212</v>
      </c>
      <c r="CB190" s="1564">
        <f>((CA171+3*CB171)/BZ172-1)*100</f>
        <v>8.7996194213014522</v>
      </c>
      <c r="CC190" s="1564">
        <f>((CA171+CB171+2*CC171)/BZ172-1)*100</f>
        <v>9.5296232523480953</v>
      </c>
      <c r="CD190" s="1621"/>
      <c r="CE190" s="1564">
        <f>(4*CE171/CD172-1)*100</f>
        <v>1.6806497234689077</v>
      </c>
      <c r="CF190" s="1564">
        <f>((CE171+3*CF171)/CD172-1)*100</f>
        <v>3.2455511649566393</v>
      </c>
      <c r="CG190" s="1564">
        <f>((CE171+CF171+2*CG171)/CD172-1)*100</f>
        <v>3.4448528425401692</v>
      </c>
      <c r="CH190" s="1621"/>
      <c r="CI190" s="1564">
        <f>(4*CI171/CH172-1)*100</f>
        <v>-0.98113767457388423</v>
      </c>
      <c r="CJ190" s="1564">
        <f>((CI171+3*CJ171)/CH172-1)*100</f>
        <v>-0.71739896507595491</v>
      </c>
      <c r="CK190" s="1564">
        <f>((CI171+CJ171+2*CK171)/CH172-1)*100</f>
        <v>-0.61947066787840788</v>
      </c>
      <c r="CL190" s="1621"/>
      <c r="CM190" s="1564">
        <f>(4*CM171/CL172-1)*100</f>
        <v>1.3380630689376449</v>
      </c>
      <c r="CN190" s="1564">
        <f>((CM171+3*CN171)/CL172-1)*100</f>
        <v>1.8299158261076975</v>
      </c>
      <c r="CO190" s="1564">
        <f>((CM171+CN171+2*CO171)/CL172-1)*100</f>
        <v>2.8434305984581298</v>
      </c>
      <c r="CP190" s="1621"/>
      <c r="CQ190" s="1564">
        <f>(4*CQ171/CP172-1)*100</f>
        <v>7.9217617998242673</v>
      </c>
      <c r="CR190" s="1564">
        <f>((CQ171+3*CR171)/CP172-1)*100</f>
        <v>10.98964409684713</v>
      </c>
      <c r="CS190" s="1564">
        <f>((CQ171+CR171+2*CS171)/CP172-1)*100</f>
        <v>12.555992452721476</v>
      </c>
      <c r="CT190" s="1621"/>
      <c r="CU190" s="1564">
        <f>(4*CU171/CT172-1)*100</f>
        <v>4.6784843274783272</v>
      </c>
      <c r="CV190" s="1564">
        <f>((CU171+3*CV171)/CT172-1)*100</f>
        <v>4.9925197804607579</v>
      </c>
      <c r="CW190" s="1564">
        <f>((CU171+CV171+2*CW171)/CT172-1)*100</f>
        <v>5.2815370756889468</v>
      </c>
      <c r="CX190" s="1621"/>
      <c r="CY190" s="1564">
        <f>(4*CY171/CX172-1)*100</f>
        <v>2.4031584762975955</v>
      </c>
      <c r="CZ190" s="1564">
        <f>((CY171+3*CZ171)/CX172-1)*100</f>
        <v>3.4015892714414964</v>
      </c>
      <c r="DA190" s="1564">
        <f>((CY171+CZ171+2*DA171)/CX172-1)*100</f>
        <v>4.0758628684286702</v>
      </c>
      <c r="DB190" s="1621"/>
      <c r="DC190"/>
      <c r="DD190"/>
      <c r="DE190"/>
      <c r="DF190"/>
      <c r="DG190"/>
      <c r="DH190"/>
      <c r="DI190"/>
      <c r="DJ190"/>
      <c r="DK190"/>
      <c r="DL190"/>
      <c r="DM190"/>
      <c r="DN190"/>
      <c r="DO190"/>
    </row>
    <row r="191" spans="1:119" ht="12.75" customHeight="1">
      <c r="C191" s="1557"/>
      <c r="D191" s="828"/>
      <c r="E191" s="3631" t="s">
        <v>1807</v>
      </c>
      <c r="F191" s="828"/>
      <c r="G191" s="876"/>
      <c r="H191" s="876"/>
      <c r="I191" s="876"/>
      <c r="J191" s="876"/>
      <c r="K191" s="1620"/>
      <c r="L191" s="883">
        <f>(4*L171/(K171+3*L171)-1)*100</f>
        <v>0.79549203156010773</v>
      </c>
      <c r="M191" s="883">
        <f>(4*M171/(K171+L171+2*M171)-1)*100</f>
        <v>3.5109219917841772</v>
      </c>
      <c r="N191" s="883">
        <f>+(4*N171/N172-1)*100</f>
        <v>7.3073468094938976</v>
      </c>
      <c r="O191" s="1620"/>
      <c r="P191" s="883">
        <f>(4*P171/(O171+3*P171)-1)*100</f>
        <v>0.72908986647006735</v>
      </c>
      <c r="Q191" s="883">
        <f>(4*Q171/(O171+P171+2*Q171)-1)*100</f>
        <v>1.7928376540931046</v>
      </c>
      <c r="R191" s="883">
        <f>+(4*R171/R172-1)*100</f>
        <v>8.2413056405964191</v>
      </c>
      <c r="S191" s="1620"/>
      <c r="T191" s="883">
        <f>(4*T171/(S171+3*T171)-1)*100</f>
        <v>-0.33739404030360687</v>
      </c>
      <c r="U191" s="883">
        <f>(4*U171/(S171+T171+2*U171)-1)*100</f>
        <v>-3.6772684327566862</v>
      </c>
      <c r="V191" s="883">
        <f>+(4*V171/V172-1)*100</f>
        <v>-7.9126698933682516</v>
      </c>
      <c r="W191" s="1620"/>
      <c r="X191" s="883">
        <f>(4*X171/(W171+3*X171)-1)*100</f>
        <v>-1.2978189847238863</v>
      </c>
      <c r="Y191" s="883">
        <f>(4*Y171/(W171+X171+2*Y171)-1)*100</f>
        <v>-1.7001855659762311</v>
      </c>
      <c r="Z191" s="883">
        <f>+(4*Z171/Z172-1)*100</f>
        <v>-2.4480007239928159</v>
      </c>
      <c r="AA191" s="1620"/>
      <c r="AB191" s="883">
        <f>(4*AB171/(AA171+3*AB171)-1)*100</f>
        <v>0.16917275468060211</v>
      </c>
      <c r="AC191" s="883">
        <f>(4*AC171/(AA171+AB171+2*AC171)-1)*100</f>
        <v>3.7688922900325217</v>
      </c>
      <c r="AD191" s="883">
        <f>+(4*AD171/AD172-1)*100</f>
        <v>4.116619349202888</v>
      </c>
      <c r="AE191" s="1620"/>
      <c r="AF191" s="883">
        <f>(4*AF171/(AE171+3*AF171)-1)*100</f>
        <v>0.95590502621030193</v>
      </c>
      <c r="AG191" s="883">
        <f>(4*AG171/(AE171+AF171+2*AG171)-1)*100</f>
        <v>2.2579270890390024</v>
      </c>
      <c r="AH191" s="883">
        <f>+(4*AH171/AH172-1)*100</f>
        <v>5.3634813507134949</v>
      </c>
      <c r="AI191" s="1620"/>
      <c r="AJ191" s="883">
        <f>(4*AJ171/(AI171+3*AJ171)-1)*100</f>
        <v>1.9641266525258105</v>
      </c>
      <c r="AK191" s="883">
        <f>(4*AK171/(AI171+AJ171+2*AK171)-1)*100</f>
        <v>1.3031921756857967</v>
      </c>
      <c r="AL191" s="883">
        <f>+(4*AL171/AL172-1)*100</f>
        <v>5.5863257428827806</v>
      </c>
      <c r="AM191" s="1620"/>
      <c r="AN191" s="883">
        <f>(4*AN171/(AM171+3*AN171)-1)*100</f>
        <v>-2.0754363373657103</v>
      </c>
      <c r="AO191" s="883">
        <f>(4*AO171/(AM171+AN171+2*AO171)-1)*100</f>
        <v>-0.25829973457475175</v>
      </c>
      <c r="AP191" s="883">
        <f>+(4*AP171/AP172-1)*100</f>
        <v>2.1970288137340033</v>
      </c>
      <c r="AQ191" s="1620"/>
      <c r="AR191" s="883">
        <f>(4*AR171/(AQ171+3*AR171)-1)*100</f>
        <v>1.0656316160903234</v>
      </c>
      <c r="AS191" s="883">
        <f>(4*AS171/(AQ171+AR171+2*AS171)-1)*100</f>
        <v>3.3744392687087288</v>
      </c>
      <c r="AT191" s="883">
        <f>+(4*AT171/AT172-1)*100</f>
        <v>7.4252111028334955</v>
      </c>
      <c r="AU191" s="1620"/>
      <c r="AV191" s="883">
        <f>(4*AV171/(AU171+3*AV171)-1)*100</f>
        <v>0.91691964562294892</v>
      </c>
      <c r="AW191" s="883">
        <f>(4*AW171/(AU171+AV171+2*AW171)-1)*100</f>
        <v>3.3757759753500372</v>
      </c>
      <c r="AX191" s="883">
        <f>+(4*AX171/AX172-1)*100</f>
        <v>6.4001554814693051</v>
      </c>
      <c r="AY191" s="1620"/>
      <c r="AZ191" s="883">
        <f>(4*AZ171/(AY171+3*AZ171)-1)*100</f>
        <v>0.49497405858849319</v>
      </c>
      <c r="BA191" s="883">
        <f>(4*BA171/(AY171+AZ171+2*BA171)-1)*100</f>
        <v>-0.33473865663564695</v>
      </c>
      <c r="BB191" s="883">
        <f>+(4*BB171/BB172-1)*100</f>
        <v>1.7219527408577351</v>
      </c>
      <c r="BC191" s="1620"/>
      <c r="BD191" s="883">
        <f>(4*BD171/(BC171+3*BD171)-1)*100</f>
        <v>0.10222912600734713</v>
      </c>
      <c r="BE191" s="883">
        <f>(4*BE171/(BC171+BD171+2*BE171)-1)*100</f>
        <v>3.0060843559863937</v>
      </c>
      <c r="BF191" s="883">
        <f>+(4*BF171/BF172-1)*100</f>
        <v>3.6459639712644876</v>
      </c>
      <c r="BG191" s="1620"/>
      <c r="BH191" s="883">
        <f>(4*BH171/(BG171+3*BH171)-1)*100</f>
        <v>0.99528085287656776</v>
      </c>
      <c r="BI191" s="883">
        <f>(4*BI171/(BG171+BH171+2*BI171)-1)*100</f>
        <v>-0.50151352626347512</v>
      </c>
      <c r="BJ191" s="883">
        <f>+(4*BJ171/BJ172-1)*100</f>
        <v>-2.7406870954601037</v>
      </c>
      <c r="BK191" s="1620"/>
      <c r="BL191" s="883">
        <f>(4*BL171/(BK171+3*BL171)-1)*100</f>
        <v>-1.673831398083081</v>
      </c>
      <c r="BM191" s="883">
        <f>(4*BM171/(BK171+BL171+2*BM171)-1)*100</f>
        <v>-0.63133051430819265</v>
      </c>
      <c r="BN191" s="883">
        <f>+(4*BN171/BN172-1)*100</f>
        <v>2.0699333411296816</v>
      </c>
      <c r="BO191" s="1620"/>
      <c r="BP191" s="883">
        <f>(4*BP171/(BO171+3*BP171)-1)*100</f>
        <v>1.8661135762171099</v>
      </c>
      <c r="BQ191" s="883">
        <f>(4*BQ171/(BO171+BP171+2*BQ171)-1)*100</f>
        <v>4.2471426754621122</v>
      </c>
      <c r="BR191" s="883">
        <f>+(4*BR171/BR172-1)*100</f>
        <v>8.1603701521203007</v>
      </c>
      <c r="BS191" s="1620"/>
      <c r="BT191" s="883">
        <f>(4*BT171/(BS171+3*BT171)-1)*100</f>
        <v>0.79465578454935848</v>
      </c>
      <c r="BU191" s="883">
        <f>(4*BU171/(BS171+BT171+2*BU171)-1)*100</f>
        <v>1.469813532535702</v>
      </c>
      <c r="BV191" s="883">
        <f>+(4*BV171/BV172-1)*100</f>
        <v>2.3202987094728567</v>
      </c>
      <c r="BW191" s="1620"/>
      <c r="BX191" s="883">
        <f>(4*BX171/(BW171+3*BX171)-1)*100</f>
        <v>0.68514278514670846</v>
      </c>
      <c r="BY191" s="883">
        <f>(4*BY171/(BW171+BX171+2*BY171)-1)*100</f>
        <v>2.7578197782003322</v>
      </c>
      <c r="BZ191" s="883">
        <f>+(4*BZ171/BZ172-1)*100</f>
        <v>5.8311897715264793</v>
      </c>
      <c r="CA191" s="1620"/>
      <c r="CB191" s="883">
        <f>(4*CB171/(CA171+3*CB171)-1)*100</f>
        <v>2.360361406157363E-2</v>
      </c>
      <c r="CC191" s="883">
        <f>(4*CC171/(CA171+CB171+2*CC171)-1)*100</f>
        <v>0.68993615688264232</v>
      </c>
      <c r="CD191" s="883">
        <f>+(4*CD171/CD172-1)*100</f>
        <v>1.5411385491604479</v>
      </c>
      <c r="CE191" s="1620"/>
      <c r="CF191" s="883">
        <f>(4*CF171/(CE171+3*CF171)-1)*100</f>
        <v>0.5052361171435038</v>
      </c>
      <c r="CG191" s="883">
        <f>(4*CG171/(CE171+CF171+2*CG171)-1)*100</f>
        <v>0.69692736912698727</v>
      </c>
      <c r="CH191" s="883">
        <f>+(4*CH171/CH172-1)*100</f>
        <v>0.34831314798673407</v>
      </c>
      <c r="CI191" s="1620"/>
      <c r="CJ191" s="883">
        <f>(4*CJ171/(CI171+3*CJ171)-1)*100</f>
        <v>8.8548146653666393E-2</v>
      </c>
      <c r="CK191" s="883">
        <f>(4*CK171/(CI171+CJ171+2*CK171)-1)*100</f>
        <v>0.18699960808465921</v>
      </c>
      <c r="CL191" s="883">
        <f>+(4*CL171/CL172-1)*100</f>
        <v>0.69865448461656765</v>
      </c>
      <c r="CM191" s="1620"/>
      <c r="CN191" s="883">
        <f>(4*CN171/(CM171+3*CN171)-1)*100</f>
        <v>0.16100466913540057</v>
      </c>
      <c r="CO191" s="883">
        <f>(4*CO171/(CM171+CN171+2*CO171)-1)*100</f>
        <v>1.1449109433196769</v>
      </c>
      <c r="CP191" s="883">
        <f>+(4*CP171/CP172-1)*100</f>
        <v>2.9872243586973601</v>
      </c>
      <c r="CQ191" s="1620"/>
      <c r="CR191" s="883">
        <f>(4*CR171/(CQ171+3*CR171)-1)*100</f>
        <v>0.92137193578945009</v>
      </c>
      <c r="CS191" s="883">
        <f>(4*CS171/(CQ171+CR171+2*CS171)-1)*100</f>
        <v>2.300166994043229</v>
      </c>
      <c r="CT191" s="883">
        <f>+(4*CT171/CT172-1)*100</f>
        <v>4.2614385731855942</v>
      </c>
      <c r="CU191" s="1620"/>
      <c r="CV191" s="883">
        <f>(4*CV171/(CU171+3*CV171)-1)*100</f>
        <v>9.9700897308085956E-2</v>
      </c>
      <c r="CW191" s="883">
        <f>(4*CW171/(CU171+CV171+2*CW171)-1)*100</f>
        <v>0.37394569882904793</v>
      </c>
      <c r="CX191" s="883">
        <f>+(4*CX171/CX172-1)*100</f>
        <v>1.0491005292062372</v>
      </c>
      <c r="CY191" s="1620"/>
      <c r="CZ191" s="883">
        <f>(4*CZ171/(CY171+3*CZ171)-1)*100</f>
        <v>0.32186184699181108</v>
      </c>
      <c r="DA191" s="883">
        <f>(4*DA171/(CY171+CZ171+2*DA171)-1)*100</f>
        <v>0.96764401877529327</v>
      </c>
      <c r="DB191" s="883">
        <f>+(4*DB171/DB172-1)*100</f>
        <v>1.9456938539149649</v>
      </c>
    </row>
    <row r="192" spans="1:119" ht="30" customHeight="1">
      <c r="E192" s="599"/>
      <c r="F192" s="3617"/>
      <c r="BF192" s="217"/>
      <c r="BJ192" s="217"/>
      <c r="BN192" s="1312">
        <f>(BM189+BN189)/2</f>
        <v>-11.527317048260871</v>
      </c>
      <c r="BR192" s="1312">
        <f>(BQ189+BR189)/2</f>
        <v>25.281643951387423</v>
      </c>
      <c r="BV192" s="1312">
        <f>(BU189+BV189)/2</f>
        <v>11.237400680445543</v>
      </c>
      <c r="CM192" s="557"/>
      <c r="CN192" s="557"/>
      <c r="CO192" s="557"/>
      <c r="CP192" s="557"/>
      <c r="CQ192" s="557"/>
      <c r="CR192" s="557"/>
      <c r="CS192" s="557"/>
      <c r="CT192" s="557"/>
      <c r="CU192" s="557"/>
      <c r="CV192" s="557"/>
      <c r="CW192" s="557"/>
      <c r="CX192" s="557"/>
      <c r="CY192" s="557"/>
      <c r="CZ192" s="557"/>
      <c r="DA192" s="557"/>
      <c r="DB192" s="557"/>
    </row>
    <row r="193" spans="1:119" ht="30" customHeight="1">
      <c r="E193" s="599"/>
      <c r="F193" s="3617"/>
      <c r="CM193" s="557"/>
      <c r="CN193" s="557"/>
      <c r="CO193" s="557"/>
      <c r="CP193" s="557"/>
      <c r="CQ193" s="557"/>
      <c r="CR193" s="557"/>
      <c r="CS193" s="557"/>
      <c r="CT193" s="557"/>
      <c r="CU193" s="557"/>
      <c r="CV193" s="557"/>
      <c r="CW193" s="557"/>
      <c r="CX193" s="557"/>
      <c r="CY193" s="557"/>
      <c r="CZ193" s="557"/>
      <c r="DA193" s="557"/>
      <c r="DB193" s="557"/>
    </row>
    <row r="194" spans="1:119" ht="30" customHeight="1">
      <c r="C194" s="3767" t="s">
        <v>1359</v>
      </c>
      <c r="D194" s="3767"/>
      <c r="E194" s="3767"/>
      <c r="F194" s="3767"/>
      <c r="CM194" s="557"/>
      <c r="CN194" s="557"/>
      <c r="CO194" s="557"/>
      <c r="CP194" s="557"/>
      <c r="CQ194" s="557"/>
      <c r="CR194" s="557"/>
      <c r="CS194" s="557"/>
      <c r="CT194" s="557"/>
      <c r="CU194" s="557"/>
      <c r="CV194" s="557"/>
      <c r="CW194" s="557"/>
      <c r="CX194" s="557"/>
      <c r="CY194" s="557"/>
      <c r="CZ194" s="557"/>
      <c r="DA194" s="557"/>
      <c r="DB194" s="557"/>
    </row>
    <row r="195" spans="1:119" s="884" customFormat="1" ht="12.75" customHeight="1">
      <c r="A195" s="664"/>
      <c r="B195" s="664"/>
      <c r="C195" s="666"/>
      <c r="D195" s="1041"/>
      <c r="E195" s="3632"/>
      <c r="F195" s="1041"/>
      <c r="G195" s="1044"/>
      <c r="H195" s="1559"/>
      <c r="I195" s="1559"/>
      <c r="J195" s="1559"/>
      <c r="K195" s="1044"/>
      <c r="L195" s="1559"/>
      <c r="M195" s="1559"/>
      <c r="N195" s="1559"/>
      <c r="O195" s="1044"/>
      <c r="P195" s="1559"/>
      <c r="Q195" s="1559"/>
      <c r="R195" s="1559"/>
      <c r="S195" s="1044"/>
      <c r="T195" s="1559"/>
      <c r="U195" s="1559"/>
      <c r="V195" s="1559"/>
      <c r="W195" s="1044"/>
      <c r="X195" s="1559"/>
      <c r="Y195" s="1559"/>
      <c r="Z195" s="1559"/>
      <c r="AA195" s="1044"/>
      <c r="AB195" s="1559"/>
      <c r="AC195" s="1559"/>
      <c r="AD195" s="1559"/>
      <c r="AE195" s="1044"/>
      <c r="AF195" s="1559"/>
      <c r="AG195" s="1559"/>
      <c r="AH195" s="1559"/>
      <c r="AI195" s="1044"/>
      <c r="AJ195" s="1559"/>
      <c r="AK195" s="1559"/>
      <c r="AL195" s="1559"/>
      <c r="AM195" s="1044"/>
      <c r="AN195" s="1559"/>
      <c r="AO195" s="1559"/>
      <c r="AP195" s="1559"/>
      <c r="AQ195" s="1044"/>
      <c r="AR195" s="1559"/>
      <c r="AS195" s="1559"/>
      <c r="AT195" s="1559"/>
      <c r="AU195" s="1044"/>
      <c r="AV195" s="1559"/>
      <c r="AW195" s="1559"/>
      <c r="AX195" s="1559"/>
      <c r="AY195" s="1560"/>
      <c r="AZ195" s="1559"/>
      <c r="BA195" s="1560"/>
      <c r="BB195" s="1560"/>
      <c r="BC195" s="1560"/>
      <c r="BD195" s="1560"/>
      <c r="BE195" s="1560"/>
      <c r="BF195" s="1560"/>
      <c r="BG195" s="1560"/>
      <c r="BH195" s="1560"/>
      <c r="BI195" s="1560"/>
      <c r="BJ195" s="1560"/>
      <c r="BK195" s="1560"/>
      <c r="BL195" s="1560"/>
      <c r="BM195" s="1560"/>
      <c r="BN195" s="1560"/>
      <c r="BO195" s="1560"/>
      <c r="BP195" s="1560"/>
      <c r="BQ195" s="1560"/>
      <c r="BR195" s="1560"/>
      <c r="BS195" s="1560"/>
      <c r="BT195" s="1560"/>
      <c r="BU195" s="1560"/>
      <c r="BV195" s="1560"/>
      <c r="BW195" s="1560"/>
      <c r="BX195" s="1560"/>
      <c r="BY195" s="1560"/>
      <c r="BZ195" s="1560"/>
      <c r="CA195" s="1560"/>
      <c r="CB195" s="1560"/>
      <c r="CC195" s="1560"/>
      <c r="CD195" s="1560"/>
      <c r="CE195" s="1560"/>
      <c r="CF195" s="1560"/>
      <c r="CG195" s="1560"/>
      <c r="CH195" s="1560"/>
      <c r="CI195" s="1560"/>
      <c r="CJ195" s="1560"/>
      <c r="CK195" s="1560"/>
      <c r="CL195" s="1560"/>
      <c r="CM195" s="1560"/>
      <c r="CN195" s="1560"/>
      <c r="CO195" s="1560"/>
      <c r="CP195" s="1560"/>
      <c r="CQ195" s="1560"/>
      <c r="CR195" s="1560"/>
      <c r="CS195" s="1560"/>
      <c r="CT195" s="1560"/>
      <c r="CU195" s="1560"/>
      <c r="CV195" s="1560"/>
      <c r="CW195" s="1560"/>
      <c r="CX195" s="1560"/>
      <c r="CY195" s="1560"/>
      <c r="CZ195" s="1560"/>
      <c r="DA195" s="1560"/>
      <c r="DB195" s="1560"/>
      <c r="DC195"/>
      <c r="DD195"/>
      <c r="DE195"/>
      <c r="DF195"/>
      <c r="DG195"/>
      <c r="DH195"/>
      <c r="DI195"/>
      <c r="DJ195"/>
      <c r="DK195"/>
      <c r="DL195"/>
      <c r="DM195"/>
      <c r="DN195"/>
      <c r="DO195"/>
    </row>
    <row r="196" spans="1:119" ht="12.75" customHeight="1">
      <c r="E196" s="599"/>
      <c r="F196" s="3617"/>
      <c r="G196" s="3763">
        <f ca="1">OFFSET(InputY!$G$3,0,(COLUMN()-7)/4)</f>
        <v>1995</v>
      </c>
      <c r="H196" s="3764"/>
      <c r="I196" s="3764"/>
      <c r="J196" s="3765"/>
      <c r="K196" s="3763">
        <f ca="1">OFFSET(InputY!$G$3,0,(COLUMN()-7)/4)</f>
        <v>1996</v>
      </c>
      <c r="L196" s="3764"/>
      <c r="M196" s="3764"/>
      <c r="N196" s="3765"/>
      <c r="O196" s="3763">
        <f ca="1">OFFSET(InputY!$G$3,0,(COLUMN()-7)/4)</f>
        <v>1997</v>
      </c>
      <c r="P196" s="3764"/>
      <c r="Q196" s="3764"/>
      <c r="R196" s="3765"/>
      <c r="S196" s="3763">
        <f ca="1">OFFSET(InputY!$G$3,0,(COLUMN()-7)/4)</f>
        <v>1998</v>
      </c>
      <c r="T196" s="3764"/>
      <c r="U196" s="3764"/>
      <c r="V196" s="3765"/>
      <c r="W196" s="3763">
        <f ca="1">OFFSET(InputY!$G$3,0,(COLUMN()-7)/4)</f>
        <v>1999</v>
      </c>
      <c r="X196" s="3764"/>
      <c r="Y196" s="3764"/>
      <c r="Z196" s="3765"/>
      <c r="AA196" s="3763">
        <f ca="1">OFFSET(InputY!$G$3,0,(COLUMN()-7)/4)</f>
        <v>2000</v>
      </c>
      <c r="AB196" s="3764"/>
      <c r="AC196" s="3764"/>
      <c r="AD196" s="3765"/>
      <c r="AE196" s="3763">
        <f ca="1">OFFSET(InputY!$G$3,0,(COLUMN()-7)/4)</f>
        <v>2001</v>
      </c>
      <c r="AF196" s="3764"/>
      <c r="AG196" s="3764"/>
      <c r="AH196" s="3765"/>
      <c r="AI196" s="3763">
        <f ca="1">OFFSET(InputY!$G$3,0,(COLUMN()-7)/4)</f>
        <v>2002</v>
      </c>
      <c r="AJ196" s="3764"/>
      <c r="AK196" s="3764"/>
      <c r="AL196" s="3765"/>
      <c r="AM196" s="3763">
        <f ca="1">OFFSET(InputY!$G$3,0,(COLUMN()-7)/4)</f>
        <v>2003</v>
      </c>
      <c r="AN196" s="3764"/>
      <c r="AO196" s="3764"/>
      <c r="AP196" s="3765"/>
      <c r="AQ196" s="3763">
        <f ca="1">OFFSET(InputY!$G$3,0,(COLUMN()-7)/4)</f>
        <v>2004</v>
      </c>
      <c r="AR196" s="3764"/>
      <c r="AS196" s="3764"/>
      <c r="AT196" s="3765"/>
      <c r="AU196" s="3763">
        <f ca="1">OFFSET(InputY!$G$3,0,(COLUMN()-7)/4)</f>
        <v>2005</v>
      </c>
      <c r="AV196" s="3764"/>
      <c r="AW196" s="3764"/>
      <c r="AX196" s="3765"/>
      <c r="AY196" s="3763">
        <f ca="1">OFFSET(InputY!$G$3,0,(COLUMN()-7)/4)</f>
        <v>2006</v>
      </c>
      <c r="AZ196" s="3764"/>
      <c r="BA196" s="3764"/>
      <c r="BB196" s="3765"/>
      <c r="BC196" s="3763">
        <f ca="1">OFFSET(InputY!$G$3,0,(COLUMN()-7)/4)</f>
        <v>2007</v>
      </c>
      <c r="BD196" s="3764"/>
      <c r="BE196" s="3764"/>
      <c r="BF196" s="3765"/>
      <c r="BG196" s="3763">
        <f ca="1">OFFSET(InputY!$G$3,0,(COLUMN()-7)/4)</f>
        <v>2008</v>
      </c>
      <c r="BH196" s="3764"/>
      <c r="BI196" s="3764"/>
      <c r="BJ196" s="3765"/>
      <c r="BK196" s="3763">
        <f ca="1">OFFSET(InputY!$G$3,0,(COLUMN()-7)/4)</f>
        <v>2009</v>
      </c>
      <c r="BL196" s="3764"/>
      <c r="BM196" s="3764"/>
      <c r="BN196" s="3765"/>
      <c r="BO196" s="3763">
        <f ca="1">OFFSET(InputY!$G$3,0,(COLUMN()-7)/4)</f>
        <v>2010</v>
      </c>
      <c r="BP196" s="3764"/>
      <c r="BQ196" s="3764"/>
      <c r="BR196" s="3765"/>
      <c r="BS196" s="3763">
        <f ca="1">OFFSET(InputY!$G$3,0,(COLUMN()-7)/4)</f>
        <v>2011</v>
      </c>
      <c r="BT196" s="3764"/>
      <c r="BU196" s="3764"/>
      <c r="BV196" s="3765"/>
      <c r="BW196" s="3763">
        <f ca="1">OFFSET(InputY!$G$3,0,(COLUMN()-7)/4)</f>
        <v>2012</v>
      </c>
      <c r="BX196" s="3764"/>
      <c r="BY196" s="3764"/>
      <c r="BZ196" s="3765"/>
      <c r="CA196" s="3763">
        <f ca="1">OFFSET(InputY!$G$3,0,(COLUMN()-7)/4)</f>
        <v>2013</v>
      </c>
      <c r="CB196" s="3764"/>
      <c r="CC196" s="3764"/>
      <c r="CD196" s="3765"/>
      <c r="CE196" s="3763">
        <f ca="1">OFFSET(InputY!$G$3,0,(COLUMN()-7)/4)</f>
        <v>2014</v>
      </c>
      <c r="CF196" s="3764"/>
      <c r="CG196" s="3764"/>
      <c r="CH196" s="3765"/>
      <c r="CI196" s="3763">
        <f ca="1">OFFSET(InputY!$G$3,0,(COLUMN()-7)/4)</f>
        <v>2015</v>
      </c>
      <c r="CJ196" s="3764"/>
      <c r="CK196" s="3764"/>
      <c r="CL196" s="3765"/>
      <c r="CM196" s="3763">
        <f ca="1">OFFSET(InputY!$G$3,0,(COLUMN()-7)/4)</f>
        <v>2016</v>
      </c>
      <c r="CN196" s="3764"/>
      <c r="CO196" s="3764"/>
      <c r="CP196" s="3765"/>
      <c r="CQ196" s="3763">
        <f ca="1">OFFSET(InputY!$G$3,0,(COLUMN()-7)/4)</f>
        <v>2017</v>
      </c>
      <c r="CR196" s="3764"/>
      <c r="CS196" s="3764"/>
      <c r="CT196" s="3765"/>
      <c r="CU196" s="3763">
        <f ca="1">OFFSET(InputY!$G$3,0,(COLUMN()-7)/4)</f>
        <v>2018</v>
      </c>
      <c r="CV196" s="3764"/>
      <c r="CW196" s="3764"/>
      <c r="CX196" s="3765"/>
      <c r="CY196" s="3763">
        <f ca="1">OFFSET(InputY!$G$3,0,(COLUMN()-7)/4)</f>
        <v>2019</v>
      </c>
      <c r="CZ196" s="3764"/>
      <c r="DA196" s="3764"/>
      <c r="DB196" s="3765"/>
    </row>
    <row r="197" spans="1:119" s="699" customFormat="1" ht="12.75" customHeight="1">
      <c r="A197" s="664"/>
      <c r="B197" s="664"/>
      <c r="C197" s="666"/>
      <c r="D197" s="695"/>
      <c r="E197" s="3618" t="s">
        <v>1892</v>
      </c>
      <c r="F197" s="3619"/>
      <c r="G197" s="1566" t="s">
        <v>1842</v>
      </c>
      <c r="H197" s="1567" t="s">
        <v>1843</v>
      </c>
      <c r="I197" s="1567" t="s">
        <v>1844</v>
      </c>
      <c r="J197" s="1568" t="s">
        <v>1845</v>
      </c>
      <c r="K197" s="1566" t="s">
        <v>1842</v>
      </c>
      <c r="L197" s="1567" t="s">
        <v>1843</v>
      </c>
      <c r="M197" s="1567" t="s">
        <v>1844</v>
      </c>
      <c r="N197" s="1568" t="s">
        <v>1845</v>
      </c>
      <c r="O197" s="1566" t="s">
        <v>1842</v>
      </c>
      <c r="P197" s="1567" t="s">
        <v>1843</v>
      </c>
      <c r="Q197" s="1567" t="s">
        <v>1844</v>
      </c>
      <c r="R197" s="1568" t="s">
        <v>1845</v>
      </c>
      <c r="S197" s="1566" t="s">
        <v>1842</v>
      </c>
      <c r="T197" s="1567" t="s">
        <v>1843</v>
      </c>
      <c r="U197" s="1567" t="s">
        <v>1844</v>
      </c>
      <c r="V197" s="1568" t="s">
        <v>1845</v>
      </c>
      <c r="W197" s="1566" t="s">
        <v>1842</v>
      </c>
      <c r="X197" s="1567" t="s">
        <v>1843</v>
      </c>
      <c r="Y197" s="1567" t="s">
        <v>1844</v>
      </c>
      <c r="Z197" s="1568" t="s">
        <v>1845</v>
      </c>
      <c r="AA197" s="1566" t="s">
        <v>1842</v>
      </c>
      <c r="AB197" s="1567" t="s">
        <v>1843</v>
      </c>
      <c r="AC197" s="1567" t="s">
        <v>1844</v>
      </c>
      <c r="AD197" s="1568" t="s">
        <v>1845</v>
      </c>
      <c r="AE197" s="1566" t="s">
        <v>1842</v>
      </c>
      <c r="AF197" s="1567" t="s">
        <v>1843</v>
      </c>
      <c r="AG197" s="1567" t="s">
        <v>1844</v>
      </c>
      <c r="AH197" s="1568" t="s">
        <v>1845</v>
      </c>
      <c r="AI197" s="1566" t="s">
        <v>1842</v>
      </c>
      <c r="AJ197" s="1567" t="s">
        <v>1843</v>
      </c>
      <c r="AK197" s="1567" t="s">
        <v>1844</v>
      </c>
      <c r="AL197" s="1568" t="s">
        <v>1845</v>
      </c>
      <c r="AM197" s="1566" t="s">
        <v>1842</v>
      </c>
      <c r="AN197" s="1567" t="s">
        <v>1843</v>
      </c>
      <c r="AO197" s="1567" t="s">
        <v>1844</v>
      </c>
      <c r="AP197" s="1568" t="s">
        <v>1845</v>
      </c>
      <c r="AQ197" s="1566" t="s">
        <v>1842</v>
      </c>
      <c r="AR197" s="1567" t="s">
        <v>1843</v>
      </c>
      <c r="AS197" s="1567" t="s">
        <v>1844</v>
      </c>
      <c r="AT197" s="1568" t="s">
        <v>1845</v>
      </c>
      <c r="AU197" s="1566" t="s">
        <v>1842</v>
      </c>
      <c r="AV197" s="1567" t="s">
        <v>1843</v>
      </c>
      <c r="AW197" s="1567" t="s">
        <v>1844</v>
      </c>
      <c r="AX197" s="1568" t="s">
        <v>1845</v>
      </c>
      <c r="AY197" s="1566" t="s">
        <v>1842</v>
      </c>
      <c r="AZ197" s="1567" t="s">
        <v>1843</v>
      </c>
      <c r="BA197" s="1567" t="s">
        <v>1844</v>
      </c>
      <c r="BB197" s="1568" t="s">
        <v>1845</v>
      </c>
      <c r="BC197" s="1566" t="s">
        <v>1842</v>
      </c>
      <c r="BD197" s="1567" t="s">
        <v>1843</v>
      </c>
      <c r="BE197" s="1567" t="s">
        <v>1844</v>
      </c>
      <c r="BF197" s="1568" t="s">
        <v>1845</v>
      </c>
      <c r="BG197" s="1566" t="s">
        <v>1842</v>
      </c>
      <c r="BH197" s="1567" t="s">
        <v>1843</v>
      </c>
      <c r="BI197" s="1567" t="s">
        <v>1844</v>
      </c>
      <c r="BJ197" s="1568" t="s">
        <v>1845</v>
      </c>
      <c r="BK197" s="1566" t="s">
        <v>1842</v>
      </c>
      <c r="BL197" s="1567" t="s">
        <v>1843</v>
      </c>
      <c r="BM197" s="1567" t="s">
        <v>1844</v>
      </c>
      <c r="BN197" s="1568" t="s">
        <v>1845</v>
      </c>
      <c r="BO197" s="1566" t="s">
        <v>1842</v>
      </c>
      <c r="BP197" s="1567" t="s">
        <v>1843</v>
      </c>
      <c r="BQ197" s="1567" t="s">
        <v>1844</v>
      </c>
      <c r="BR197" s="1568" t="s">
        <v>1845</v>
      </c>
      <c r="BS197" s="1566" t="s">
        <v>1842</v>
      </c>
      <c r="BT197" s="1567" t="s">
        <v>1843</v>
      </c>
      <c r="BU197" s="1567" t="s">
        <v>1844</v>
      </c>
      <c r="BV197" s="1568" t="s">
        <v>1845</v>
      </c>
      <c r="BW197" s="1566" t="s">
        <v>1842</v>
      </c>
      <c r="BX197" s="1567" t="s">
        <v>1843</v>
      </c>
      <c r="BY197" s="1567" t="s">
        <v>1844</v>
      </c>
      <c r="BZ197" s="1568" t="s">
        <v>1845</v>
      </c>
      <c r="CA197" s="1566" t="s">
        <v>1842</v>
      </c>
      <c r="CB197" s="1567" t="s">
        <v>1843</v>
      </c>
      <c r="CC197" s="1567" t="s">
        <v>1844</v>
      </c>
      <c r="CD197" s="1568" t="s">
        <v>1845</v>
      </c>
      <c r="CE197" s="1566" t="s">
        <v>1842</v>
      </c>
      <c r="CF197" s="1567" t="s">
        <v>1843</v>
      </c>
      <c r="CG197" s="1567" t="s">
        <v>1844</v>
      </c>
      <c r="CH197" s="1568" t="s">
        <v>1845</v>
      </c>
      <c r="CI197" s="1566" t="s">
        <v>1842</v>
      </c>
      <c r="CJ197" s="1567" t="s">
        <v>1843</v>
      </c>
      <c r="CK197" s="1567" t="s">
        <v>1844</v>
      </c>
      <c r="CL197" s="1568" t="s">
        <v>1845</v>
      </c>
      <c r="CM197" s="1566" t="s">
        <v>1842</v>
      </c>
      <c r="CN197" s="1567" t="s">
        <v>1843</v>
      </c>
      <c r="CO197" s="1567" t="s">
        <v>1844</v>
      </c>
      <c r="CP197" s="1568" t="s">
        <v>1845</v>
      </c>
      <c r="CQ197" s="1566" t="s">
        <v>1842</v>
      </c>
      <c r="CR197" s="1567" t="s">
        <v>1843</v>
      </c>
      <c r="CS197" s="1567" t="s">
        <v>1844</v>
      </c>
      <c r="CT197" s="1568" t="s">
        <v>1845</v>
      </c>
      <c r="CU197" s="1566" t="s">
        <v>1842</v>
      </c>
      <c r="CV197" s="1567" t="s">
        <v>1843</v>
      </c>
      <c r="CW197" s="1567" t="s">
        <v>1844</v>
      </c>
      <c r="CX197" s="1568" t="s">
        <v>1845</v>
      </c>
      <c r="CY197" s="1566" t="s">
        <v>1842</v>
      </c>
      <c r="CZ197" s="1567" t="s">
        <v>1843</v>
      </c>
      <c r="DA197" s="1567" t="s">
        <v>1844</v>
      </c>
      <c r="DB197" s="1568" t="s">
        <v>1845</v>
      </c>
      <c r="DC197"/>
      <c r="DD197"/>
      <c r="DE197"/>
      <c r="DF197"/>
      <c r="DG197"/>
      <c r="DH197"/>
      <c r="DI197"/>
      <c r="DJ197"/>
      <c r="DK197"/>
      <c r="DL197"/>
      <c r="DM197"/>
      <c r="DN197"/>
      <c r="DO197"/>
    </row>
    <row r="198" spans="1:119" s="699" customFormat="1" ht="12.75" customHeight="1">
      <c r="A198" s="664"/>
      <c r="B198" s="664"/>
      <c r="C198" s="1561" t="s">
        <v>1767</v>
      </c>
      <c r="D198" s="668"/>
      <c r="E198" s="3620" t="str">
        <f>E144</f>
        <v>Dom. demand incl. ch. in invent. &amp; incl. net acq. of val.</v>
      </c>
      <c r="F198" s="3621"/>
      <c r="G198" s="780">
        <f>G144</f>
        <v>2.7939353568118626</v>
      </c>
      <c r="H198" s="780">
        <f t="shared" ref="H198:AX198" si="476">H144</f>
        <v>2.7774270157553294</v>
      </c>
      <c r="I198" s="780">
        <f t="shared" si="476"/>
        <v>2.8373493975903612</v>
      </c>
      <c r="J198" s="780">
        <f t="shared" si="476"/>
        <v>2.8850787766450421</v>
      </c>
      <c r="K198" s="780">
        <f t="shared" si="476"/>
        <v>2.8943466172381838</v>
      </c>
      <c r="L198" s="780">
        <f t="shared" si="476"/>
        <v>2.9541821130676555</v>
      </c>
      <c r="M198" s="780">
        <f t="shared" si="476"/>
        <v>3.0619786839666356</v>
      </c>
      <c r="N198" s="780">
        <f t="shared" si="476"/>
        <v>3.1195841056533826</v>
      </c>
      <c r="O198" s="780">
        <f>O144</f>
        <v>3.2420644114921227</v>
      </c>
      <c r="P198" s="780">
        <f>P144</f>
        <v>3.3193639944392959</v>
      </c>
      <c r="Q198" s="780">
        <f>Q144</f>
        <v>3.3320783132530125</v>
      </c>
      <c r="R198" s="780">
        <f>R144</f>
        <v>3.4529657089898054</v>
      </c>
      <c r="S198" s="780">
        <f t="shared" si="476"/>
        <v>3.5312789620018532</v>
      </c>
      <c r="T198" s="780">
        <f t="shared" si="476"/>
        <v>3.5715361445783134</v>
      </c>
      <c r="U198" s="780">
        <f t="shared" si="476"/>
        <v>3.6646779425393885</v>
      </c>
      <c r="V198" s="780">
        <f t="shared" si="476"/>
        <v>3.5992527803521779</v>
      </c>
      <c r="W198" s="780">
        <f t="shared" si="476"/>
        <v>3.5315106580166824</v>
      </c>
      <c r="X198" s="780">
        <f t="shared" si="476"/>
        <v>3.6417689990732161</v>
      </c>
      <c r="Y198" s="780">
        <f t="shared" si="476"/>
        <v>3.5671339202965711</v>
      </c>
      <c r="Z198" s="780">
        <f t="shared" si="476"/>
        <v>3.5598934198331791</v>
      </c>
      <c r="AA198" s="780">
        <f t="shared" si="476"/>
        <v>3.60852062094532</v>
      </c>
      <c r="AB198" s="780">
        <f t="shared" si="476"/>
        <v>3.630444856348471</v>
      </c>
      <c r="AC198" s="780">
        <f t="shared" si="476"/>
        <v>3.6516740037071362</v>
      </c>
      <c r="AD198" s="780">
        <f t="shared" si="476"/>
        <v>3.694306070435589</v>
      </c>
      <c r="AE198" s="780">
        <f t="shared" si="476"/>
        <v>3.8013206672845232</v>
      </c>
      <c r="AF198" s="780">
        <f t="shared" si="476"/>
        <v>3.7856232622798887</v>
      </c>
      <c r="AG198" s="780">
        <f t="shared" si="476"/>
        <v>3.8472254402224286</v>
      </c>
      <c r="AH198" s="780">
        <f t="shared" si="476"/>
        <v>4.0454124189063947</v>
      </c>
      <c r="AI198" s="780">
        <f t="shared" si="476"/>
        <v>4.0696536144578319</v>
      </c>
      <c r="AJ198" s="780">
        <f t="shared" si="476"/>
        <v>4.1211480537534753</v>
      </c>
      <c r="AK198" s="780">
        <f t="shared" si="476"/>
        <v>4.1961596385542173</v>
      </c>
      <c r="AL198" s="780">
        <f t="shared" si="476"/>
        <v>4.2333468489341985</v>
      </c>
      <c r="AM198" s="780">
        <f t="shared" si="476"/>
        <v>4.3641392493049125</v>
      </c>
      <c r="AN198" s="780">
        <f t="shared" si="476"/>
        <v>4.5229379054680257</v>
      </c>
      <c r="AO198" s="780">
        <f t="shared" si="476"/>
        <v>4.6455919833178871</v>
      </c>
      <c r="AP198" s="780">
        <f t="shared" si="476"/>
        <v>4.8053174235403144</v>
      </c>
      <c r="AQ198" s="780">
        <f>AQ144</f>
        <v>4.9810298887859137</v>
      </c>
      <c r="AR198" s="780">
        <f>AR144</f>
        <v>5.1301552363299363</v>
      </c>
      <c r="AS198" s="780">
        <f>AS144</f>
        <v>5.2088449953660794</v>
      </c>
      <c r="AT198" s="780">
        <f>AT144</f>
        <v>5.3131661260426322</v>
      </c>
      <c r="AU198" s="780">
        <f t="shared" si="476"/>
        <v>5.3752027340129755</v>
      </c>
      <c r="AV198" s="780">
        <f t="shared" si="476"/>
        <v>5.5760252548656171</v>
      </c>
      <c r="AW198" s="780">
        <f t="shared" si="476"/>
        <v>5.6959279425393889</v>
      </c>
      <c r="AX198" s="780">
        <f t="shared" si="476"/>
        <v>5.8253012048192767</v>
      </c>
      <c r="AY198" s="780">
        <f t="shared" ref="AY198:BD198" si="477">AY144</f>
        <v>7.4398999999999997</v>
      </c>
      <c r="AZ198" s="780">
        <f t="shared" si="477"/>
        <v>7.4165000000000001</v>
      </c>
      <c r="BA198" s="780">
        <f t="shared" si="477"/>
        <v>7.8853</v>
      </c>
      <c r="BB198" s="780">
        <f t="shared" si="477"/>
        <v>8.3042000000000016</v>
      </c>
      <c r="BC198" s="780">
        <f t="shared" si="477"/>
        <v>8.5282</v>
      </c>
      <c r="BD198" s="780">
        <f t="shared" si="477"/>
        <v>8.9535</v>
      </c>
      <c r="BE198" s="780">
        <f t="shared" ref="BE198:BJ198" si="478">BE144</f>
        <v>8.9337</v>
      </c>
      <c r="BF198" s="780">
        <f t="shared" si="478"/>
        <v>9.2725000000000009</v>
      </c>
      <c r="BG198" s="780">
        <f t="shared" si="478"/>
        <v>9.4457999999999984</v>
      </c>
      <c r="BH198" s="780">
        <f t="shared" si="478"/>
        <v>9.3541000000000007</v>
      </c>
      <c r="BI198" s="780">
        <f t="shared" si="478"/>
        <v>9.2103000000000002</v>
      </c>
      <c r="BJ198" s="780">
        <f t="shared" si="478"/>
        <v>8.657</v>
      </c>
      <c r="BK198" s="780">
        <f t="shared" ref="BK198:BV198" si="479">BK144</f>
        <v>7.2081</v>
      </c>
      <c r="BL198" s="780">
        <f t="shared" si="479"/>
        <v>7.1181000000000001</v>
      </c>
      <c r="BM198" s="780">
        <f t="shared" si="479"/>
        <v>7.0103</v>
      </c>
      <c r="BN198" s="780">
        <f t="shared" si="479"/>
        <v>6.7363</v>
      </c>
      <c r="BO198" s="780">
        <f t="shared" si="479"/>
        <v>6.9603999999999999</v>
      </c>
      <c r="BP198" s="780">
        <f t="shared" si="479"/>
        <v>7.1356000000000002</v>
      </c>
      <c r="BQ198" s="780">
        <f t="shared" si="479"/>
        <v>7.1204999999999998</v>
      </c>
      <c r="BR198" s="780">
        <f t="shared" si="479"/>
        <v>7.3868</v>
      </c>
      <c r="BS198" s="780">
        <f t="shared" si="479"/>
        <v>7.5949999999999998</v>
      </c>
      <c r="BT198" s="780">
        <f t="shared" si="479"/>
        <v>7.5531000000000006</v>
      </c>
      <c r="BU198" s="780">
        <f t="shared" si="479"/>
        <v>7.5374999999999996</v>
      </c>
      <c r="BV198" s="780">
        <f t="shared" si="479"/>
        <v>7.6307999999999998</v>
      </c>
      <c r="BW198" s="780">
        <f>BW144</f>
        <v>7.5721000000000007</v>
      </c>
      <c r="BX198" s="780">
        <f t="shared" ref="BX198:CD198" si="480">BX144</f>
        <v>7.3150000000000004</v>
      </c>
      <c r="BY198" s="780">
        <f t="shared" si="480"/>
        <v>7.6943000000000001</v>
      </c>
      <c r="BZ198" s="780">
        <f t="shared" si="480"/>
        <v>7.5075000000000003</v>
      </c>
      <c r="CA198" s="780">
        <f t="shared" si="480"/>
        <v>7.5629</v>
      </c>
      <c r="CB198" s="780">
        <f t="shared" si="480"/>
        <v>7.6591000000000005</v>
      </c>
      <c r="CC198" s="780">
        <f t="shared" si="480"/>
        <v>7.8914</v>
      </c>
      <c r="CD198" s="780">
        <f t="shared" si="480"/>
        <v>7.9686000000000003</v>
      </c>
      <c r="CE198" s="780">
        <f t="shared" ref="CE198:CL198" si="481">CE144</f>
        <v>7.9663999999999993</v>
      </c>
      <c r="CF198" s="780">
        <f t="shared" si="481"/>
        <v>7.9648999999999992</v>
      </c>
      <c r="CG198" s="780">
        <f t="shared" si="481"/>
        <v>7.9821</v>
      </c>
      <c r="CH198" s="780">
        <f t="shared" si="481"/>
        <v>8.2081</v>
      </c>
      <c r="CI198" s="780">
        <f>CI144</f>
        <v>8.5655999999999999</v>
      </c>
      <c r="CJ198" s="780">
        <f t="shared" si="481"/>
        <v>8.7571000000000012</v>
      </c>
      <c r="CK198" s="780">
        <f t="shared" si="481"/>
        <v>8.6002999999999989</v>
      </c>
      <c r="CL198" s="780">
        <f t="shared" si="481"/>
        <v>8.5815000000000001</v>
      </c>
      <c r="CM198" s="780">
        <f t="shared" ref="CM198:CT198" si="482">CM144</f>
        <v>8.5007000000000001</v>
      </c>
      <c r="CN198" s="780">
        <f t="shared" si="482"/>
        <v>8.8281000000000009</v>
      </c>
      <c r="CO198" s="780">
        <f t="shared" si="482"/>
        <v>8.8642000000000003</v>
      </c>
      <c r="CP198" s="780">
        <f t="shared" si="482"/>
        <v>8.9931000000000001</v>
      </c>
      <c r="CQ198" s="780">
        <f t="shared" si="482"/>
        <v>9.0802999999999994</v>
      </c>
      <c r="CR198" s="780">
        <f t="shared" si="482"/>
        <v>9.0091000000000001</v>
      </c>
      <c r="CS198" s="780">
        <f t="shared" si="482"/>
        <v>9.1920000000000002</v>
      </c>
      <c r="CT198" s="780">
        <f t="shared" si="482"/>
        <v>9.2402000000000015</v>
      </c>
      <c r="CU198" s="780">
        <f t="shared" ref="CU198:DB198" si="483">CU144</f>
        <v>9.3325028000000021</v>
      </c>
      <c r="CV198" s="780">
        <f t="shared" si="483"/>
        <v>9.4255829257600023</v>
      </c>
      <c r="CW198" s="780">
        <f t="shared" si="483"/>
        <v>9.5070453626815059</v>
      </c>
      <c r="CX198" s="780">
        <f t="shared" si="483"/>
        <v>9.5635718812896631</v>
      </c>
      <c r="CY198" s="780">
        <f t="shared" si="483"/>
        <v>9.6408370313947298</v>
      </c>
      <c r="CZ198" s="780">
        <f t="shared" si="483"/>
        <v>9.7311564302258855</v>
      </c>
      <c r="DA198" s="780">
        <f t="shared" si="483"/>
        <v>9.8226800644058159</v>
      </c>
      <c r="DB198" s="780">
        <f t="shared" si="483"/>
        <v>9.9130805456019431</v>
      </c>
      <c r="DC198"/>
      <c r="DD198"/>
      <c r="DE198"/>
      <c r="DF198"/>
      <c r="DG198"/>
      <c r="DH198"/>
      <c r="DI198"/>
      <c r="DJ198"/>
      <c r="DK198"/>
      <c r="DL198"/>
      <c r="DM198"/>
      <c r="DN198"/>
      <c r="DO198"/>
    </row>
    <row r="199" spans="1:119" s="699" customFormat="1" ht="12.75" customHeight="1">
      <c r="A199" s="664"/>
      <c r="B199" s="664"/>
      <c r="C199" s="1562" t="s">
        <v>1767</v>
      </c>
      <c r="D199" s="674"/>
      <c r="E199" s="3629" t="str">
        <f>E171</f>
        <v>Export of goods and services</v>
      </c>
      <c r="F199" s="3630"/>
      <c r="G199" s="706">
        <f t="shared" ref="G199:AL199" si="484">G171</f>
        <v>1.1087233549582947</v>
      </c>
      <c r="H199" s="706">
        <f t="shared" si="484"/>
        <v>1.1452444392956442</v>
      </c>
      <c r="I199" s="706">
        <f t="shared" si="484"/>
        <v>1.1944508804448561</v>
      </c>
      <c r="J199" s="706">
        <f t="shared" si="484"/>
        <v>1.2400081093605191</v>
      </c>
      <c r="K199" s="706">
        <f t="shared" si="484"/>
        <v>1.306939295644115</v>
      </c>
      <c r="L199" s="706">
        <f t="shared" si="484"/>
        <v>1.3495424003707137</v>
      </c>
      <c r="M199" s="706">
        <f t="shared" si="484"/>
        <v>1.4249015291936977</v>
      </c>
      <c r="N199" s="706">
        <f t="shared" si="484"/>
        <v>1.4963218257645969</v>
      </c>
      <c r="O199" s="706">
        <f t="shared" si="484"/>
        <v>1.5561283595922151</v>
      </c>
      <c r="P199" s="706">
        <f t="shared" si="484"/>
        <v>1.6025254865616312</v>
      </c>
      <c r="Q199" s="706">
        <f t="shared" si="484"/>
        <v>1.6369902687673774</v>
      </c>
      <c r="R199" s="706">
        <f t="shared" si="484"/>
        <v>1.7791647358665432</v>
      </c>
      <c r="S199" s="706">
        <f t="shared" si="484"/>
        <v>1.8317307692307696</v>
      </c>
      <c r="T199" s="706">
        <f t="shared" si="484"/>
        <v>1.8072578776645043</v>
      </c>
      <c r="U199" s="706">
        <f t="shared" si="484"/>
        <v>1.6904251621872104</v>
      </c>
      <c r="V199" s="706">
        <f t="shared" si="484"/>
        <v>1.5938658480074144</v>
      </c>
      <c r="W199" s="706">
        <f t="shared" si="484"/>
        <v>1.5058503243744208</v>
      </c>
      <c r="X199" s="706">
        <f t="shared" si="484"/>
        <v>1.4306070435588512</v>
      </c>
      <c r="Y199" s="706">
        <f t="shared" si="484"/>
        <v>1.4191380908248379</v>
      </c>
      <c r="Z199" s="706">
        <f t="shared" si="484"/>
        <v>1.4048598239110288</v>
      </c>
      <c r="AA199" s="706">
        <f t="shared" si="484"/>
        <v>1.5244439295644117</v>
      </c>
      <c r="AB199" s="706">
        <f t="shared" si="484"/>
        <v>1.5348123262279889</v>
      </c>
      <c r="AC199" s="706">
        <f t="shared" si="484"/>
        <v>1.6494439295644114</v>
      </c>
      <c r="AD199" s="706">
        <f t="shared" si="484"/>
        <v>1.6569161260426322</v>
      </c>
      <c r="AE199" s="706">
        <f t="shared" si="484"/>
        <v>1.8246061167747916</v>
      </c>
      <c r="AF199" s="706">
        <f t="shared" si="484"/>
        <v>1.8964318813716405</v>
      </c>
      <c r="AG199" s="706">
        <f t="shared" si="484"/>
        <v>1.9464782205746063</v>
      </c>
      <c r="AH199" s="706">
        <f t="shared" si="484"/>
        <v>2.0267319277108435</v>
      </c>
      <c r="AI199" s="706">
        <f t="shared" si="484"/>
        <v>2.1265929101019463</v>
      </c>
      <c r="AJ199" s="706">
        <f t="shared" si="484"/>
        <v>2.3041299814643188</v>
      </c>
      <c r="AK199" s="706">
        <f t="shared" si="484"/>
        <v>2.2738646895273402</v>
      </c>
      <c r="AL199" s="706">
        <f t="shared" si="484"/>
        <v>2.4044833178869327</v>
      </c>
      <c r="AM199" s="706">
        <f t="shared" ref="AM199:BJ199" si="485">AM171</f>
        <v>2.5444566728452274</v>
      </c>
      <c r="AN199" s="706">
        <f t="shared" si="485"/>
        <v>2.3456035681186282</v>
      </c>
      <c r="AO199" s="706">
        <f t="shared" si="485"/>
        <v>2.432431649675626</v>
      </c>
      <c r="AP199" s="706">
        <f t="shared" si="485"/>
        <v>2.512859128822984</v>
      </c>
      <c r="AQ199" s="706">
        <f t="shared" si="485"/>
        <v>2.3836306765523636</v>
      </c>
      <c r="AR199" s="706">
        <f t="shared" si="485"/>
        <v>2.4885889712696945</v>
      </c>
      <c r="AS199" s="706">
        <f t="shared" si="485"/>
        <v>2.6062615848007411</v>
      </c>
      <c r="AT199" s="706">
        <f t="shared" si="485"/>
        <v>2.7458873957367933</v>
      </c>
      <c r="AU199" s="706">
        <f t="shared" si="485"/>
        <v>3.1394000000000002</v>
      </c>
      <c r="AV199" s="706">
        <f t="shared" si="485"/>
        <v>3.2578</v>
      </c>
      <c r="AW199" s="706">
        <f t="shared" si="485"/>
        <v>3.4220999999999999</v>
      </c>
      <c r="AX199" s="706">
        <f t="shared" si="485"/>
        <v>3.5585</v>
      </c>
      <c r="AY199" s="706">
        <f t="shared" si="485"/>
        <v>3.7168999999999999</v>
      </c>
      <c r="AZ199" s="706">
        <f t="shared" si="485"/>
        <v>3.7915999999999999</v>
      </c>
      <c r="BA199" s="706">
        <f t="shared" si="485"/>
        <v>3.7291999999999996</v>
      </c>
      <c r="BB199" s="706">
        <f t="shared" si="485"/>
        <v>3.8324000000000003</v>
      </c>
      <c r="BC199" s="706">
        <f t="shared" si="485"/>
        <v>3.7545000000000002</v>
      </c>
      <c r="BD199" s="706">
        <f t="shared" si="485"/>
        <v>3.7699000000000003</v>
      </c>
      <c r="BE199" s="706">
        <f t="shared" si="485"/>
        <v>3.9954000000000001</v>
      </c>
      <c r="BF199" s="706">
        <f t="shared" si="485"/>
        <v>4.0289000000000001</v>
      </c>
      <c r="BG199" s="706">
        <f t="shared" si="485"/>
        <v>4.3838999999999997</v>
      </c>
      <c r="BH199" s="706">
        <f t="shared" si="485"/>
        <v>4.5638000000000005</v>
      </c>
      <c r="BI199" s="706">
        <f t="shared" si="485"/>
        <v>4.4291999999999998</v>
      </c>
      <c r="BJ199" s="706">
        <f t="shared" si="485"/>
        <v>4.2975000000000003</v>
      </c>
      <c r="BK199" s="706">
        <f t="shared" ref="BK199:BV199" si="486">BK171</f>
        <v>3.9638</v>
      </c>
      <c r="BL199" s="706">
        <f t="shared" si="486"/>
        <v>3.7111000000000001</v>
      </c>
      <c r="BM199" s="706">
        <f t="shared" si="486"/>
        <v>3.7893000000000003</v>
      </c>
      <c r="BN199" s="706">
        <f t="shared" si="486"/>
        <v>3.9276</v>
      </c>
      <c r="BO199" s="706">
        <f t="shared" si="486"/>
        <v>4.1646000000000001</v>
      </c>
      <c r="BP199" s="706">
        <f t="shared" si="486"/>
        <v>4.4939</v>
      </c>
      <c r="BQ199" s="706">
        <f t="shared" si="486"/>
        <v>4.7133000000000003</v>
      </c>
      <c r="BR199" s="706">
        <f t="shared" si="486"/>
        <v>4.9558</v>
      </c>
      <c r="BS199" s="706">
        <f t="shared" si="486"/>
        <v>5.1071</v>
      </c>
      <c r="BT199" s="706">
        <f t="shared" si="486"/>
        <v>5.2733999999999996</v>
      </c>
      <c r="BU199" s="706">
        <f t="shared" si="486"/>
        <v>5.3451000000000004</v>
      </c>
      <c r="BV199" s="706">
        <f t="shared" si="486"/>
        <v>5.4053000000000004</v>
      </c>
      <c r="BW199" s="706">
        <f>BW171</f>
        <v>5.6360000000000001</v>
      </c>
      <c r="BX199" s="706">
        <f t="shared" ref="BX199:CD199" si="487">BX171</f>
        <v>5.7936999999999994</v>
      </c>
      <c r="BY199" s="706">
        <f t="shared" si="487"/>
        <v>6.0389999999999997</v>
      </c>
      <c r="BZ199" s="706">
        <f t="shared" si="487"/>
        <v>6.2846000000000002</v>
      </c>
      <c r="CA199" s="706">
        <f t="shared" si="487"/>
        <v>6.4563000000000006</v>
      </c>
      <c r="CB199" s="706">
        <f t="shared" si="487"/>
        <v>6.4623999999999997</v>
      </c>
      <c r="CC199" s="706">
        <f t="shared" si="487"/>
        <v>6.5491000000000001</v>
      </c>
      <c r="CD199" s="706">
        <f t="shared" si="487"/>
        <v>6.6233000000000004</v>
      </c>
      <c r="CE199" s="706">
        <f t="shared" ref="CE199:CL199" si="488">CE171</f>
        <v>6.6323999999999996</v>
      </c>
      <c r="CF199" s="706">
        <f t="shared" si="488"/>
        <v>6.7685000000000004</v>
      </c>
      <c r="CG199" s="706">
        <f t="shared" si="488"/>
        <v>6.7945000000000002</v>
      </c>
      <c r="CH199" s="706">
        <f t="shared" si="488"/>
        <v>6.7631000000000006</v>
      </c>
      <c r="CI199" s="706">
        <f t="shared" si="488"/>
        <v>6.6734999999999998</v>
      </c>
      <c r="CJ199" s="706">
        <f t="shared" si="488"/>
        <v>6.6971999999999996</v>
      </c>
      <c r="CK199" s="706">
        <f t="shared" si="488"/>
        <v>6.7103999999999999</v>
      </c>
      <c r="CL199" s="706">
        <f t="shared" si="488"/>
        <v>6.7561999999999998</v>
      </c>
      <c r="CM199" s="706">
        <f t="shared" ref="CM199:CT199" si="489">CM171</f>
        <v>6.7991000000000001</v>
      </c>
      <c r="CN199" s="706">
        <f t="shared" si="489"/>
        <v>6.8431000000000006</v>
      </c>
      <c r="CO199" s="706">
        <f t="shared" si="489"/>
        <v>6.9791000000000007</v>
      </c>
      <c r="CP199" s="706">
        <f t="shared" si="489"/>
        <v>7.1503000000000005</v>
      </c>
      <c r="CQ199" s="706">
        <f t="shared" si="489"/>
        <v>7.4928999999999997</v>
      </c>
      <c r="CR199" s="706">
        <f t="shared" si="489"/>
        <v>7.7768999999999995</v>
      </c>
      <c r="CS199" s="706">
        <f t="shared" si="489"/>
        <v>7.9943999999999997</v>
      </c>
      <c r="CT199" s="706">
        <f t="shared" si="489"/>
        <v>8.2017000000000007</v>
      </c>
      <c r="CU199" s="706">
        <f t="shared" ref="CU199:DB199" si="490">CU171</f>
        <v>8.2345068000000001</v>
      </c>
      <c r="CV199" s="706">
        <f t="shared" si="490"/>
        <v>8.2674448272000003</v>
      </c>
      <c r="CW199" s="706">
        <f t="shared" si="490"/>
        <v>8.3129157737496016</v>
      </c>
      <c r="CX199" s="706">
        <f t="shared" si="490"/>
        <v>8.3877320157133468</v>
      </c>
      <c r="CY199" s="706">
        <f t="shared" si="490"/>
        <v>8.5001276247239055</v>
      </c>
      <c r="CZ199" s="706">
        <f t="shared" si="490"/>
        <v>8.6106292838453147</v>
      </c>
      <c r="DA199" s="706">
        <f t="shared" si="490"/>
        <v>8.7225674645353024</v>
      </c>
      <c r="DB199" s="706">
        <f t="shared" si="490"/>
        <v>8.835960841574261</v>
      </c>
      <c r="DC199"/>
      <c r="DD199"/>
      <c r="DE199"/>
      <c r="DF199"/>
      <c r="DG199"/>
      <c r="DH199"/>
      <c r="DI199"/>
      <c r="DJ199"/>
      <c r="DK199"/>
      <c r="DL199"/>
      <c r="DM199"/>
      <c r="DN199"/>
      <c r="DO199"/>
    </row>
    <row r="200" spans="1:119" s="1960" customFormat="1" ht="12.75" customHeight="1">
      <c r="A200" s="1957"/>
      <c r="B200" s="1957"/>
      <c r="C200" s="1961" t="s">
        <v>1767</v>
      </c>
      <c r="D200" s="1958"/>
      <c r="E200" s="1959" t="s">
        <v>616</v>
      </c>
      <c r="F200" s="1958"/>
      <c r="G200" s="1959">
        <f>-SUM(G198:G199)+G201</f>
        <v>0</v>
      </c>
      <c r="H200" s="1959">
        <f t="shared" ref="H200:BN200" si="491">-SUM(H198:H199)+H201</f>
        <v>0</v>
      </c>
      <c r="I200" s="1959">
        <f t="shared" si="491"/>
        <v>0</v>
      </c>
      <c r="J200" s="1959">
        <f t="shared" si="491"/>
        <v>0</v>
      </c>
      <c r="K200" s="1959">
        <f t="shared" si="491"/>
        <v>0</v>
      </c>
      <c r="L200" s="1959">
        <f t="shared" si="491"/>
        <v>0</v>
      </c>
      <c r="M200" s="1959">
        <f t="shared" si="491"/>
        <v>0</v>
      </c>
      <c r="N200" s="1959">
        <f t="shared" si="491"/>
        <v>0</v>
      </c>
      <c r="O200" s="1959">
        <f t="shared" si="491"/>
        <v>0</v>
      </c>
      <c r="P200" s="1959">
        <f t="shared" si="491"/>
        <v>0</v>
      </c>
      <c r="Q200" s="1959">
        <f t="shared" si="491"/>
        <v>0</v>
      </c>
      <c r="R200" s="1959">
        <f t="shared" si="491"/>
        <v>0</v>
      </c>
      <c r="S200" s="1959">
        <f t="shared" si="491"/>
        <v>0</v>
      </c>
      <c r="T200" s="1959">
        <f t="shared" si="491"/>
        <v>0</v>
      </c>
      <c r="U200" s="1959">
        <f t="shared" si="491"/>
        <v>0</v>
      </c>
      <c r="V200" s="1959">
        <f t="shared" si="491"/>
        <v>0</v>
      </c>
      <c r="W200" s="1959">
        <f t="shared" si="491"/>
        <v>0</v>
      </c>
      <c r="X200" s="1959">
        <f t="shared" si="491"/>
        <v>0</v>
      </c>
      <c r="Y200" s="1959">
        <f t="shared" si="491"/>
        <v>0</v>
      </c>
      <c r="Z200" s="1959">
        <f t="shared" si="491"/>
        <v>0</v>
      </c>
      <c r="AA200" s="1959">
        <f t="shared" si="491"/>
        <v>0</v>
      </c>
      <c r="AB200" s="1959">
        <f t="shared" si="491"/>
        <v>0</v>
      </c>
      <c r="AC200" s="1959">
        <f t="shared" si="491"/>
        <v>0</v>
      </c>
      <c r="AD200" s="1959">
        <f t="shared" si="491"/>
        <v>0</v>
      </c>
      <c r="AE200" s="1959">
        <f t="shared" si="491"/>
        <v>0</v>
      </c>
      <c r="AF200" s="1959">
        <f t="shared" si="491"/>
        <v>0</v>
      </c>
      <c r="AG200" s="1959">
        <f t="shared" si="491"/>
        <v>0</v>
      </c>
      <c r="AH200" s="1959">
        <f t="shared" si="491"/>
        <v>0</v>
      </c>
      <c r="AI200" s="1959">
        <f t="shared" si="491"/>
        <v>0</v>
      </c>
      <c r="AJ200" s="1959">
        <f t="shared" si="491"/>
        <v>0</v>
      </c>
      <c r="AK200" s="1959">
        <f t="shared" si="491"/>
        <v>0</v>
      </c>
      <c r="AL200" s="1959">
        <f t="shared" si="491"/>
        <v>0</v>
      </c>
      <c r="AM200" s="1959">
        <f t="shared" si="491"/>
        <v>0</v>
      </c>
      <c r="AN200" s="1959">
        <f t="shared" si="491"/>
        <v>0</v>
      </c>
      <c r="AO200" s="1959">
        <f t="shared" si="491"/>
        <v>0</v>
      </c>
      <c r="AP200" s="1959">
        <f t="shared" si="491"/>
        <v>0</v>
      </c>
      <c r="AQ200" s="1959">
        <f t="shared" si="491"/>
        <v>0</v>
      </c>
      <c r="AR200" s="1959">
        <f t="shared" si="491"/>
        <v>0</v>
      </c>
      <c r="AS200" s="1959">
        <f t="shared" si="491"/>
        <v>0</v>
      </c>
      <c r="AT200" s="1959">
        <f t="shared" si="491"/>
        <v>0</v>
      </c>
      <c r="AU200" s="1959">
        <f t="shared" si="491"/>
        <v>0</v>
      </c>
      <c r="AV200" s="1959">
        <f t="shared" si="491"/>
        <v>0</v>
      </c>
      <c r="AW200" s="1959">
        <f t="shared" si="491"/>
        <v>0</v>
      </c>
      <c r="AX200" s="1959">
        <f t="shared" si="491"/>
        <v>0</v>
      </c>
      <c r="AY200" s="1959">
        <f t="shared" si="491"/>
        <v>0</v>
      </c>
      <c r="AZ200" s="1959">
        <f t="shared" si="491"/>
        <v>0</v>
      </c>
      <c r="BA200" s="1959">
        <f t="shared" si="491"/>
        <v>0</v>
      </c>
      <c r="BB200" s="1959">
        <f t="shared" si="491"/>
        <v>0</v>
      </c>
      <c r="BC200" s="1959">
        <f t="shared" si="491"/>
        <v>0</v>
      </c>
      <c r="BD200" s="1959">
        <f t="shared" si="491"/>
        <v>0</v>
      </c>
      <c r="BE200" s="1959">
        <f t="shared" si="491"/>
        <v>0</v>
      </c>
      <c r="BF200" s="1959">
        <f t="shared" si="491"/>
        <v>0</v>
      </c>
      <c r="BG200" s="1959">
        <f t="shared" si="491"/>
        <v>0</v>
      </c>
      <c r="BH200" s="1959">
        <f t="shared" si="491"/>
        <v>0</v>
      </c>
      <c r="BI200" s="1959">
        <f t="shared" si="491"/>
        <v>0</v>
      </c>
      <c r="BJ200" s="1959">
        <f t="shared" si="491"/>
        <v>0</v>
      </c>
      <c r="BK200" s="1959">
        <f t="shared" si="491"/>
        <v>0</v>
      </c>
      <c r="BL200" s="1959">
        <f t="shared" si="491"/>
        <v>0</v>
      </c>
      <c r="BM200" s="1959">
        <f t="shared" si="491"/>
        <v>0</v>
      </c>
      <c r="BN200" s="1959">
        <f t="shared" si="491"/>
        <v>0</v>
      </c>
      <c r="BO200" s="1959">
        <f t="shared" ref="BO200:BW200" si="492">-SUM(BO198:BO199)+BO201</f>
        <v>0</v>
      </c>
      <c r="BP200" s="1959">
        <f t="shared" si="492"/>
        <v>0</v>
      </c>
      <c r="BQ200" s="1959">
        <f t="shared" si="492"/>
        <v>0</v>
      </c>
      <c r="BR200" s="1959">
        <f t="shared" si="492"/>
        <v>0</v>
      </c>
      <c r="BS200" s="1959">
        <f t="shared" si="492"/>
        <v>0</v>
      </c>
      <c r="BT200" s="1959">
        <f t="shared" si="492"/>
        <v>0</v>
      </c>
      <c r="BU200" s="1959">
        <f t="shared" si="492"/>
        <v>0</v>
      </c>
      <c r="BV200" s="1959">
        <f t="shared" si="492"/>
        <v>0</v>
      </c>
      <c r="BW200" s="1959">
        <f t="shared" si="492"/>
        <v>0</v>
      </c>
      <c r="BX200" s="1959">
        <f t="shared" ref="BX200:CD200" si="493">-SUM(BX198:BX199)+BX201</f>
        <v>0</v>
      </c>
      <c r="BY200" s="1959">
        <f t="shared" si="493"/>
        <v>0</v>
      </c>
      <c r="BZ200" s="1959">
        <f t="shared" si="493"/>
        <v>0</v>
      </c>
      <c r="CA200" s="1959">
        <f t="shared" si="493"/>
        <v>0</v>
      </c>
      <c r="CB200" s="1959">
        <f t="shared" si="493"/>
        <v>0</v>
      </c>
      <c r="CC200" s="1959">
        <f t="shared" si="493"/>
        <v>0</v>
      </c>
      <c r="CD200" s="1959">
        <f t="shared" si="493"/>
        <v>0</v>
      </c>
      <c r="CE200" s="1959">
        <f t="shared" ref="CE200:CL200" si="494">-SUM(CE198:CE199)+CE201</f>
        <v>0</v>
      </c>
      <c r="CF200" s="1959">
        <f t="shared" si="494"/>
        <v>0</v>
      </c>
      <c r="CG200" s="1959">
        <f t="shared" si="494"/>
        <v>0</v>
      </c>
      <c r="CH200" s="1959">
        <f t="shared" si="494"/>
        <v>0</v>
      </c>
      <c r="CI200" s="1959">
        <f t="shared" si="494"/>
        <v>0</v>
      </c>
      <c r="CJ200" s="1959">
        <f t="shared" si="494"/>
        <v>0</v>
      </c>
      <c r="CK200" s="1959">
        <f t="shared" si="494"/>
        <v>0</v>
      </c>
      <c r="CL200" s="1959">
        <f t="shared" si="494"/>
        <v>0</v>
      </c>
      <c r="CM200" s="1959">
        <f t="shared" ref="CM200:CT200" si="495">-SUM(CM198:CM199)+CM201</f>
        <v>0</v>
      </c>
      <c r="CN200" s="1959">
        <f t="shared" si="495"/>
        <v>0</v>
      </c>
      <c r="CO200" s="1959">
        <f t="shared" si="495"/>
        <v>0</v>
      </c>
      <c r="CP200" s="1959">
        <f t="shared" si="495"/>
        <v>0</v>
      </c>
      <c r="CQ200" s="1959">
        <f t="shared" si="495"/>
        <v>0</v>
      </c>
      <c r="CR200" s="1959">
        <f t="shared" si="495"/>
        <v>0</v>
      </c>
      <c r="CS200" s="1959">
        <f t="shared" si="495"/>
        <v>0</v>
      </c>
      <c r="CT200" s="1959">
        <f t="shared" si="495"/>
        <v>0</v>
      </c>
      <c r="CU200" s="1959">
        <f t="shared" ref="CU200:DB200" si="496">-SUM(CU198:CU199)+CU201</f>
        <v>0</v>
      </c>
      <c r="CV200" s="1959">
        <f t="shared" si="496"/>
        <v>0</v>
      </c>
      <c r="CW200" s="1959">
        <f t="shared" si="496"/>
        <v>0</v>
      </c>
      <c r="CX200" s="1959">
        <f t="shared" si="496"/>
        <v>0</v>
      </c>
      <c r="CY200" s="1959">
        <f t="shared" si="496"/>
        <v>0</v>
      </c>
      <c r="CZ200" s="1959">
        <f t="shared" si="496"/>
        <v>0</v>
      </c>
      <c r="DA200" s="1959">
        <f t="shared" si="496"/>
        <v>0</v>
      </c>
      <c r="DB200" s="1959">
        <f t="shared" si="496"/>
        <v>0</v>
      </c>
      <c r="DC200"/>
      <c r="DD200"/>
      <c r="DE200"/>
      <c r="DF200"/>
      <c r="DG200"/>
      <c r="DH200"/>
      <c r="DI200"/>
      <c r="DJ200"/>
      <c r="DK200"/>
      <c r="DL200"/>
      <c r="DM200"/>
      <c r="DN200"/>
      <c r="DO200"/>
    </row>
    <row r="201" spans="1:119" s="699" customFormat="1" ht="12.75" customHeight="1">
      <c r="A201" s="665" t="str">
        <f>"Q" &amp; ROW(InputQ!A13)</f>
        <v>Q13</v>
      </c>
      <c r="B201" s="1953" t="s">
        <v>1940</v>
      </c>
      <c r="C201" s="1562" t="s">
        <v>1769</v>
      </c>
      <c r="D201" s="746"/>
      <c r="E201" s="3615" t="s">
        <v>1085</v>
      </c>
      <c r="F201" s="3633"/>
      <c r="G201" s="799">
        <f>InputQ!G13/1000</f>
        <v>3.9026587117701572</v>
      </c>
      <c r="H201" s="799">
        <f>InputQ!H13/1000</f>
        <v>3.9226714550509731</v>
      </c>
      <c r="I201" s="799">
        <f>InputQ!I13/1000</f>
        <v>4.0318002780352176</v>
      </c>
      <c r="J201" s="799">
        <f>InputQ!J13/1000</f>
        <v>4.1250868860055618</v>
      </c>
      <c r="K201" s="799">
        <f>InputQ!K13/1000</f>
        <v>4.2012859128822981</v>
      </c>
      <c r="L201" s="799">
        <f>InputQ!L13/1000</f>
        <v>4.303724513438369</v>
      </c>
      <c r="M201" s="799">
        <f>InputQ!M13/1000</f>
        <v>4.4868802131603331</v>
      </c>
      <c r="N201" s="799">
        <f>InputQ!N13/1000</f>
        <v>4.6159059314179798</v>
      </c>
      <c r="O201" s="799">
        <f>InputQ!O13/1000</f>
        <v>4.7981927710843371</v>
      </c>
      <c r="P201" s="799">
        <f>InputQ!P13/1000</f>
        <v>4.9218894810009273</v>
      </c>
      <c r="Q201" s="799">
        <f>InputQ!Q13/1000</f>
        <v>4.9690685820203901</v>
      </c>
      <c r="R201" s="799">
        <f>InputQ!R13/1000</f>
        <v>5.2321304448563488</v>
      </c>
      <c r="S201" s="799">
        <f>InputQ!S13/1000</f>
        <v>5.3630097312326237</v>
      </c>
      <c r="T201" s="799">
        <f>InputQ!T13/1000</f>
        <v>5.3787940222428174</v>
      </c>
      <c r="U201" s="799">
        <f>InputQ!U13/1000</f>
        <v>5.3551031047265987</v>
      </c>
      <c r="V201" s="799">
        <f>InputQ!V13/1000</f>
        <v>5.1931186283595929</v>
      </c>
      <c r="W201" s="799">
        <f>InputQ!W13/1000</f>
        <v>5.0373609823911032</v>
      </c>
      <c r="X201" s="799">
        <f>InputQ!X13/1000</f>
        <v>5.072376042632067</v>
      </c>
      <c r="Y201" s="799">
        <f>InputQ!Y13/1000</f>
        <v>4.9862720111214092</v>
      </c>
      <c r="Z201" s="799">
        <f>InputQ!Z13/1000</f>
        <v>4.9647532437442079</v>
      </c>
      <c r="AA201" s="799">
        <f>InputQ!AA13/1000</f>
        <v>5.1329645505097314</v>
      </c>
      <c r="AB201" s="799">
        <f>InputQ!AB13/1000</f>
        <v>5.1652571825764602</v>
      </c>
      <c r="AC201" s="799">
        <f>InputQ!AC13/1000</f>
        <v>5.3011179332715477</v>
      </c>
      <c r="AD201" s="799">
        <f>InputQ!AD13/1000</f>
        <v>5.3512221964782212</v>
      </c>
      <c r="AE201" s="799">
        <f>InputQ!AE13/1000</f>
        <v>5.625926784059315</v>
      </c>
      <c r="AF201" s="799">
        <f>InputQ!AF13/1000</f>
        <v>5.682055143651529</v>
      </c>
      <c r="AG201" s="799">
        <f>InputQ!AG13/1000</f>
        <v>5.7937036607970347</v>
      </c>
      <c r="AH201" s="799">
        <f>InputQ!AH13/1000</f>
        <v>6.0721443466172387</v>
      </c>
      <c r="AI201" s="799">
        <f>InputQ!AI13/1000</f>
        <v>6.1962465245597773</v>
      </c>
      <c r="AJ201" s="799">
        <f>InputQ!AJ13/1000</f>
        <v>6.4252780352177945</v>
      </c>
      <c r="AK201" s="799">
        <f>InputQ!AK13/1000</f>
        <v>6.4700243280815579</v>
      </c>
      <c r="AL201" s="799">
        <f>InputQ!AL13/1000</f>
        <v>6.6378301668211313</v>
      </c>
      <c r="AM201" s="799">
        <f>InputQ!AM13/1000</f>
        <v>6.9085959221501394</v>
      </c>
      <c r="AN201" s="799">
        <f>InputQ!AN13/1000</f>
        <v>6.8685414735866539</v>
      </c>
      <c r="AO201" s="799">
        <f>InputQ!AO13/1000</f>
        <v>7.0780236329935127</v>
      </c>
      <c r="AP201" s="799">
        <f>InputQ!AP13/1000</f>
        <v>7.3181765523632984</v>
      </c>
      <c r="AQ201" s="799">
        <f>InputQ!AQ13/1000</f>
        <v>7.3646605653382773</v>
      </c>
      <c r="AR201" s="799">
        <f>InputQ!AR13/1000</f>
        <v>7.6187442075996303</v>
      </c>
      <c r="AS201" s="799">
        <f>InputQ!AS13/1000</f>
        <v>7.8151065801668214</v>
      </c>
      <c r="AT201" s="799">
        <f>InputQ!AT13/1000</f>
        <v>8.0590535217794255</v>
      </c>
      <c r="AU201" s="799">
        <f>InputQ!AU13/1000</f>
        <v>8.5146027340129748</v>
      </c>
      <c r="AV201" s="799">
        <f>InputQ!AV13/1000</f>
        <v>8.8338252548656158</v>
      </c>
      <c r="AW201" s="799">
        <f>InputQ!AW13/1000</f>
        <v>9.1180279425393884</v>
      </c>
      <c r="AX201" s="799">
        <f>InputQ!AX13/1000</f>
        <v>9.3838012048192763</v>
      </c>
      <c r="AY201" s="799">
        <f>InputQ!AY13/1000</f>
        <v>11.156799999999999</v>
      </c>
      <c r="AZ201" s="799">
        <f>InputQ!AZ13/1000</f>
        <v>11.2081</v>
      </c>
      <c r="BA201" s="799">
        <f>InputQ!BA13/1000</f>
        <v>11.6145</v>
      </c>
      <c r="BB201" s="799">
        <f>InputQ!BB13/1000</f>
        <v>12.1366</v>
      </c>
      <c r="BC201" s="799">
        <f>InputQ!BC13/1000</f>
        <v>12.2827</v>
      </c>
      <c r="BD201" s="799">
        <f>InputQ!BD13/1000</f>
        <v>12.7234</v>
      </c>
      <c r="BE201" s="799">
        <f>InputQ!BE13/1000</f>
        <v>12.9291</v>
      </c>
      <c r="BF201" s="799">
        <f>InputQ!BF13/1000</f>
        <v>13.301399999999999</v>
      </c>
      <c r="BG201" s="799">
        <f>InputQ!BG13/1000</f>
        <v>13.829699999999999</v>
      </c>
      <c r="BH201" s="799">
        <f>InputQ!BH13/1000</f>
        <v>13.917900000000001</v>
      </c>
      <c r="BI201" s="799">
        <f>InputQ!BI13/1000</f>
        <v>13.6395</v>
      </c>
      <c r="BJ201" s="799">
        <f>InputQ!BJ13/1000</f>
        <v>12.954499999999999</v>
      </c>
      <c r="BK201" s="799">
        <f>InputQ!BK13/1000</f>
        <v>11.171900000000001</v>
      </c>
      <c r="BL201" s="799">
        <f>InputQ!BL13/1000</f>
        <v>10.8292</v>
      </c>
      <c r="BM201" s="799">
        <f>InputQ!BM13/1000</f>
        <v>10.7996</v>
      </c>
      <c r="BN201" s="799">
        <f>InputQ!BN13/1000</f>
        <v>10.6639</v>
      </c>
      <c r="BO201" s="799">
        <f>InputQ!BO13/1000</f>
        <v>11.125</v>
      </c>
      <c r="BP201" s="799">
        <f>InputQ!BP13/1000</f>
        <v>11.6295</v>
      </c>
      <c r="BQ201" s="799">
        <f>InputQ!BQ13/1000</f>
        <v>11.8338</v>
      </c>
      <c r="BR201" s="799">
        <f>InputQ!BR13/1000</f>
        <v>12.342600000000001</v>
      </c>
      <c r="BS201" s="799">
        <f>InputQ!BS13/1000</f>
        <v>12.7021</v>
      </c>
      <c r="BT201" s="799">
        <f>InputQ!BT13/1000</f>
        <v>12.826499999999999</v>
      </c>
      <c r="BU201" s="799">
        <f>InputQ!BU13/1000</f>
        <v>12.8826</v>
      </c>
      <c r="BV201" s="799">
        <f>InputQ!BV13/1000</f>
        <v>13.036100000000001</v>
      </c>
      <c r="BW201" s="799">
        <f>InputQ!BW13/1000</f>
        <v>13.2081</v>
      </c>
      <c r="BX201" s="799">
        <f>InputQ!BX13/1000</f>
        <v>13.108700000000001</v>
      </c>
      <c r="BY201" s="799">
        <f>InputQ!BY13/1000</f>
        <v>13.7333</v>
      </c>
      <c r="BZ201" s="799">
        <f>InputQ!BZ13/1000</f>
        <v>13.7921</v>
      </c>
      <c r="CA201" s="799">
        <f>InputQ!CA13/1000</f>
        <v>14.019200000000001</v>
      </c>
      <c r="CB201" s="799">
        <f>InputQ!CB13/1000</f>
        <v>14.121499999999999</v>
      </c>
      <c r="CC201" s="799">
        <f>InputQ!CC13/1000</f>
        <v>14.4405</v>
      </c>
      <c r="CD201" s="799">
        <f>InputQ!CD13/1000</f>
        <v>14.591900000000001</v>
      </c>
      <c r="CE201" s="799">
        <f>InputQ!CE13/1000</f>
        <v>14.598799999999999</v>
      </c>
      <c r="CF201" s="799">
        <f>InputQ!CF13/1000</f>
        <v>14.7334</v>
      </c>
      <c r="CG201" s="799">
        <f>InputQ!CG13/1000</f>
        <v>14.7766</v>
      </c>
      <c r="CH201" s="799">
        <f>InputQ!CH13/1000</f>
        <v>14.971200000000001</v>
      </c>
      <c r="CI201" s="799">
        <f>InputQ!CI13/1000</f>
        <v>15.239100000000001</v>
      </c>
      <c r="CJ201" s="799">
        <f>InputQ!CJ13/1000</f>
        <v>15.4543</v>
      </c>
      <c r="CK201" s="799">
        <f>InputQ!CK13/1000</f>
        <v>15.310699999999999</v>
      </c>
      <c r="CL201" s="799">
        <f>InputQ!CL13/1000</f>
        <v>15.3377</v>
      </c>
      <c r="CM201" s="799">
        <f>InputQ!CM13/1000</f>
        <v>15.299800000000001</v>
      </c>
      <c r="CN201" s="799">
        <f>InputQ!CN13/1000</f>
        <v>15.671200000000001</v>
      </c>
      <c r="CO201" s="799">
        <f>InputQ!CO13/1000</f>
        <v>15.843300000000001</v>
      </c>
      <c r="CP201" s="799">
        <f>InputQ!CP13/1000</f>
        <v>16.1434</v>
      </c>
      <c r="CQ201" s="799">
        <f>InputQ!CQ13/1000</f>
        <v>16.573199999999996</v>
      </c>
      <c r="CR201" s="799">
        <f>InputQ!CR13/1000</f>
        <v>16.786000000000001</v>
      </c>
      <c r="CS201" s="799">
        <f>InputQ!CS13/1000</f>
        <v>17.186400000000003</v>
      </c>
      <c r="CT201" s="799">
        <f>InputQ!CT13/1000</f>
        <v>17.4419</v>
      </c>
      <c r="CU201" s="3065">
        <f t="shared" ref="CU201:CX201" si="497">+CT201*(1+CU206/100)</f>
        <v>17.567009600000002</v>
      </c>
      <c r="CV201" s="3065">
        <f t="shared" si="497"/>
        <v>17.693027752959999</v>
      </c>
      <c r="CW201" s="3065">
        <f t="shared" si="497"/>
        <v>17.819961136431104</v>
      </c>
      <c r="CX201" s="3065">
        <f t="shared" si="497"/>
        <v>17.951303897003008</v>
      </c>
      <c r="CY201" s="3065">
        <f t="shared" ref="CY201" si="498">+CX201*(1+CY206/100)</f>
        <v>18.14096465611863</v>
      </c>
      <c r="CZ201" s="3065">
        <f t="shared" ref="CZ201" si="499">+CY201*(1+CZ206/100)</f>
        <v>18.341785714071197</v>
      </c>
      <c r="DA201" s="3065">
        <f t="shared" ref="DA201" si="500">+CZ201*(1+DA206/100)</f>
        <v>18.545247528941115</v>
      </c>
      <c r="DB201" s="3065">
        <f t="shared" ref="DB201" si="501">+DA201*(1+DB206/100)</f>
        <v>18.749041387176199</v>
      </c>
      <c r="DC201"/>
      <c r="DD201"/>
      <c r="DE201"/>
      <c r="DF201"/>
      <c r="DG201"/>
      <c r="DH201"/>
      <c r="DI201"/>
      <c r="DJ201"/>
      <c r="DK201"/>
      <c r="DL201"/>
      <c r="DM201"/>
      <c r="DN201"/>
      <c r="DO201"/>
    </row>
    <row r="202" spans="1:119" s="26" customFormat="1" ht="12.75" customHeight="1">
      <c r="A202" s="673"/>
      <c r="B202" s="673"/>
      <c r="C202" s="1613"/>
      <c r="D202" s="683"/>
      <c r="E202" s="684" t="s">
        <v>266</v>
      </c>
      <c r="F202" s="685"/>
      <c r="G202" s="1571"/>
      <c r="H202" s="1571"/>
      <c r="I202" s="1571"/>
      <c r="J202" s="1575">
        <f>SUM(G198:J199)</f>
        <v>15.982217330861907</v>
      </c>
      <c r="K202" s="1571"/>
      <c r="L202" s="1571"/>
      <c r="M202" s="1571"/>
      <c r="N202" s="1575">
        <f>SUM(K198:N199)</f>
        <v>17.60779657089898</v>
      </c>
      <c r="O202" s="1571"/>
      <c r="P202" s="1571"/>
      <c r="Q202" s="1571"/>
      <c r="R202" s="1575">
        <f>SUM(O198:R199)</f>
        <v>19.921281278962006</v>
      </c>
      <c r="S202" s="1571"/>
      <c r="T202" s="1571"/>
      <c r="U202" s="1571"/>
      <c r="V202" s="1575">
        <f>SUM(S198:V199)</f>
        <v>21.290025486561632</v>
      </c>
      <c r="W202" s="1571"/>
      <c r="X202" s="1571"/>
      <c r="Y202" s="1571"/>
      <c r="Z202" s="1575">
        <f>SUM(W198:Z199)</f>
        <v>20.060762279888788</v>
      </c>
      <c r="AA202" s="1571"/>
      <c r="AB202" s="1571"/>
      <c r="AC202" s="1571"/>
      <c r="AD202" s="1575">
        <f>SUM(AA198:AD199)</f>
        <v>20.950561862835961</v>
      </c>
      <c r="AE202" s="1571"/>
      <c r="AF202" s="1571"/>
      <c r="AG202" s="1571"/>
      <c r="AH202" s="1575">
        <f>SUM(AE198:AH199)</f>
        <v>23.173829935125116</v>
      </c>
      <c r="AI202" s="1571"/>
      <c r="AJ202" s="1571"/>
      <c r="AK202" s="1571"/>
      <c r="AL202" s="1575">
        <f>SUM(AI198:AL199)</f>
        <v>25.729379054680262</v>
      </c>
      <c r="AM202" s="1571"/>
      <c r="AN202" s="1571"/>
      <c r="AO202" s="1571"/>
      <c r="AP202" s="1575">
        <f>SUM(AM198:AP199)</f>
        <v>28.173337581093605</v>
      </c>
      <c r="AQ202" s="1571"/>
      <c r="AR202" s="1571"/>
      <c r="AS202" s="1571"/>
      <c r="AT202" s="1575">
        <f>SUM(AQ198:AT199)</f>
        <v>30.857564874884154</v>
      </c>
      <c r="AU202" s="1571"/>
      <c r="AV202" s="1571"/>
      <c r="AW202" s="1571"/>
      <c r="AX202" s="1575">
        <f>SUM(AU198:AX199)</f>
        <v>35.850257136237254</v>
      </c>
      <c r="AY202" s="1571"/>
      <c r="AZ202" s="1571"/>
      <c r="BA202" s="1571"/>
      <c r="BB202" s="1575">
        <f>SUM(AY198:BB199)</f>
        <v>46.116000000000007</v>
      </c>
      <c r="BC202" s="1618"/>
      <c r="BD202" s="1618"/>
      <c r="BE202" s="1571"/>
      <c r="BF202" s="1575">
        <f>SUM(BC198:BF199)</f>
        <v>51.236600000000003</v>
      </c>
      <c r="BG202" s="1618"/>
      <c r="BH202" s="1618"/>
      <c r="BI202" s="1571"/>
      <c r="BJ202" s="1575">
        <f>SUM(BG198:BJ199)</f>
        <v>54.3416</v>
      </c>
      <c r="BK202" s="1618"/>
      <c r="BL202" s="1618"/>
      <c r="BM202" s="1618"/>
      <c r="BN202" s="1592">
        <f>SUM(BK198:BN199)</f>
        <v>43.464599999999997</v>
      </c>
      <c r="BO202" s="1618"/>
      <c r="BP202" s="1618"/>
      <c r="BQ202" s="1618"/>
      <c r="BR202" s="1592">
        <f>SUM(BO198:BR199)</f>
        <v>46.930899999999994</v>
      </c>
      <c r="BS202" s="1618"/>
      <c r="BT202" s="1618"/>
      <c r="BU202" s="1618"/>
      <c r="BV202" s="1592">
        <f>SUM(BS198:BV199)</f>
        <v>51.447300000000013</v>
      </c>
      <c r="BW202" s="1618"/>
      <c r="BX202" s="1618"/>
      <c r="BY202" s="1618"/>
      <c r="BZ202" s="1592">
        <f>SUM(BW198:BZ199)</f>
        <v>53.842200000000005</v>
      </c>
      <c r="CA202" s="1618"/>
      <c r="CB202" s="1618"/>
      <c r="CC202" s="1618"/>
      <c r="CD202" s="1592">
        <f>SUM(CA198:CD199)</f>
        <v>57.173100000000005</v>
      </c>
      <c r="CE202" s="1618"/>
      <c r="CF202" s="1618"/>
      <c r="CG202" s="1618"/>
      <c r="CH202" s="1592">
        <f>SUM(CE198:CH199)</f>
        <v>59.08</v>
      </c>
      <c r="CI202" s="1618"/>
      <c r="CJ202" s="1618"/>
      <c r="CK202" s="1618"/>
      <c r="CL202" s="1592">
        <f>SUM(CI198:CL199)</f>
        <v>61.341799999999999</v>
      </c>
      <c r="CM202" s="1618"/>
      <c r="CN202" s="1618"/>
      <c r="CO202" s="1618"/>
      <c r="CP202" s="1592">
        <f>SUM(CM198:CP199)</f>
        <v>62.95770000000001</v>
      </c>
      <c r="CQ202" s="1618"/>
      <c r="CR202" s="1618"/>
      <c r="CS202" s="1618"/>
      <c r="CT202" s="1592">
        <f>SUM(CQ198:CT199)</f>
        <v>67.987499999999997</v>
      </c>
      <c r="CU202" s="1618"/>
      <c r="CV202" s="1618"/>
      <c r="CW202" s="1618"/>
      <c r="CX202" s="1592">
        <f>SUM(CU198:CX199)</f>
        <v>71.031302386394117</v>
      </c>
      <c r="CY202" s="1618"/>
      <c r="CZ202" s="1618"/>
      <c r="DA202" s="1618"/>
      <c r="DB202" s="1592">
        <f>SUM(CY198:DB199)</f>
        <v>73.777039286307158</v>
      </c>
      <c r="DC202"/>
      <c r="DD202"/>
      <c r="DE202"/>
      <c r="DF202"/>
      <c r="DG202"/>
      <c r="DH202"/>
      <c r="DI202"/>
      <c r="DJ202"/>
      <c r="DK202"/>
      <c r="DL202"/>
      <c r="DM202"/>
      <c r="DN202"/>
      <c r="DO202"/>
    </row>
    <row r="203" spans="1:119" s="1600" customFormat="1" ht="12.75" customHeight="1">
      <c r="A203" s="998"/>
      <c r="B203" s="998"/>
      <c r="C203" s="1614"/>
      <c r="D203" s="679"/>
      <c r="E203" s="1572" t="s">
        <v>1847</v>
      </c>
      <c r="F203" s="679"/>
      <c r="G203" s="1573"/>
      <c r="H203" s="2839" t="s">
        <v>757</v>
      </c>
      <c r="I203" s="2840">
        <f ca="1">+J203/J202*100</f>
        <v>116.98769643856825</v>
      </c>
      <c r="J203" s="1615">
        <f ca="1">OFFSET('VVP2'!$G$94,0,(COLUMN()-10)/4)</f>
        <v>18.697227895180973</v>
      </c>
      <c r="K203" s="1573"/>
      <c r="L203" s="2839" t="s">
        <v>757</v>
      </c>
      <c r="M203" s="2840">
        <f ca="1">+N203/N202*100</f>
        <v>118.74610448161565</v>
      </c>
      <c r="N203" s="1615">
        <f ca="1">OFFSET('VVP2'!$G$94,0,(COLUMN()-10)/4)</f>
        <v>20.908572512990041</v>
      </c>
      <c r="O203" s="1573"/>
      <c r="P203" s="2839" t="s">
        <v>757</v>
      </c>
      <c r="Q203" s="2840">
        <f ca="1">+R203/R202*100</f>
        <v>120.069691173438</v>
      </c>
      <c r="R203" s="1615">
        <f ca="1">OFFSET('VVP2'!$G$94,0,(COLUMN()-10)/4)</f>
        <v>23.919420909441602</v>
      </c>
      <c r="S203" s="1573"/>
      <c r="T203" s="2839" t="s">
        <v>757</v>
      </c>
      <c r="U203" s="2840">
        <f ca="1">+V203/V202*100</f>
        <v>120.27918541499557</v>
      </c>
      <c r="V203" s="1615">
        <f ca="1">OFFSET('VVP2'!$G$94,0,(COLUMN()-10)/4)</f>
        <v>25.607469229881275</v>
      </c>
      <c r="W203" s="1573"/>
      <c r="X203" s="2839" t="s">
        <v>757</v>
      </c>
      <c r="Y203" s="2840">
        <f ca="1">+Z203/Z202*100</f>
        <v>121.12429185251423</v>
      </c>
      <c r="Z203" s="1615">
        <f ca="1">OFFSET('VVP2'!$G$94,0,(COLUMN()-10)/4)</f>
        <v>24.298456251731583</v>
      </c>
      <c r="AA203" s="1573"/>
      <c r="AB203" s="2839" t="s">
        <v>757</v>
      </c>
      <c r="AC203" s="2840">
        <f ca="1">+AD203/AD202*100</f>
        <v>120.69484412085689</v>
      </c>
      <c r="AD203" s="1615">
        <f ca="1">OFFSET('VVP2'!$G$94,0,(COLUMN()-10)/4)</f>
        <v>25.286247982793554</v>
      </c>
      <c r="AE203" s="1573"/>
      <c r="AF203" s="2839" t="s">
        <v>757</v>
      </c>
      <c r="AG203" s="2840">
        <f ca="1">+AH203/AH202*100</f>
        <v>120.42402873643556</v>
      </c>
      <c r="AH203" s="1615">
        <f ca="1">OFFSET('VVP2'!$G$94,0,(COLUMN()-10)/4)</f>
        <v>27.906859620407776</v>
      </c>
      <c r="AI203" s="1573"/>
      <c r="AJ203" s="2839" t="s">
        <v>757</v>
      </c>
      <c r="AK203" s="2840">
        <f ca="1">+AL203/AL202*100</f>
        <v>120.40516714784656</v>
      </c>
      <c r="AL203" s="1615">
        <f ca="1">OFFSET('VVP2'!$G$94,0,(COLUMN()-10)/4)</f>
        <v>30.979501856890789</v>
      </c>
      <c r="AM203" s="1573"/>
      <c r="AN203" s="2839" t="s">
        <v>757</v>
      </c>
      <c r="AO203" s="2840">
        <f ca="1">+AP203/AP202*100</f>
        <v>120.68557950150158</v>
      </c>
      <c r="AP203" s="1615">
        <f ca="1">OFFSET('VVP2'!$G$94,0,(COLUMN()-10)/4)</f>
        <v>34.001155724657146</v>
      </c>
      <c r="AQ203" s="1573"/>
      <c r="AR203" s="2839" t="s">
        <v>757</v>
      </c>
      <c r="AS203" s="2840">
        <f ca="1">+AT203/AT202*100</f>
        <v>121.46455072515086</v>
      </c>
      <c r="AT203" s="1615">
        <f ca="1">OFFSET('VVP2'!$G$94,0,(COLUMN()-10)/4)</f>
        <v>37.481002539999999</v>
      </c>
      <c r="AU203" s="1573"/>
      <c r="AV203" s="2839" t="s">
        <v>757</v>
      </c>
      <c r="AW203" s="2840">
        <f ca="1">+AX203/AX202*100</f>
        <v>117.27289040140114</v>
      </c>
      <c r="AX203" s="1615">
        <f ca="1">OFFSET('VVP2'!$G$94,0,(COLUMN()-10)/4)</f>
        <v>42.042632760000004</v>
      </c>
      <c r="AY203" s="1573"/>
      <c r="AZ203" s="2839" t="s">
        <v>757</v>
      </c>
      <c r="BA203" s="2840">
        <f ca="1">+BB203/BB202*100</f>
        <v>100.28805306184402</v>
      </c>
      <c r="BB203" s="1615">
        <f ca="1">OFFSET('VVP2'!$G$94,0,(COLUMN()-10)/4)</f>
        <v>46.248838550000002</v>
      </c>
      <c r="BC203" s="1573"/>
      <c r="BD203" s="2839" t="s">
        <v>757</v>
      </c>
      <c r="BE203" s="2840">
        <f ca="1">+BF203/BF202*100</f>
        <v>100.17319246398083</v>
      </c>
      <c r="BF203" s="1615">
        <f ca="1">OFFSET('VVP2'!$G$94,0,(COLUMN()-10)/4)</f>
        <v>51.325337930000003</v>
      </c>
      <c r="BG203" s="1573"/>
      <c r="BH203" s="2839" t="s">
        <v>757</v>
      </c>
      <c r="BI203" s="2840">
        <f ca="1">+BJ203/BJ202*100</f>
        <v>100.43768311937815</v>
      </c>
      <c r="BJ203" s="1615">
        <f ca="1">OFFSET('VVP2'!$G$94,0,(COLUMN()-10)/4)</f>
        <v>54.579444009999996</v>
      </c>
      <c r="BK203" s="1573"/>
      <c r="BL203" s="2839" t="s">
        <v>757</v>
      </c>
      <c r="BM203" s="2840">
        <f ca="1">+BN203/BN202*100</f>
        <v>100.22789861174381</v>
      </c>
      <c r="BN203" s="1619">
        <f ca="1">OFFSET('VVP2'!$G$94,0,(COLUMN()-10)/4)</f>
        <v>43.563655220000001</v>
      </c>
      <c r="BO203" s="1573"/>
      <c r="BP203" s="2839" t="s">
        <v>757</v>
      </c>
      <c r="BQ203" s="2840">
        <f ca="1">+BR203/BR202*100</f>
        <v>99.865440466728757</v>
      </c>
      <c r="BR203" s="1619">
        <f ca="1">OFFSET('VVP2'!$G$94,0,(COLUMN()-10)/4)</f>
        <v>46.867750000000001</v>
      </c>
      <c r="BS203" s="1573"/>
      <c r="BT203" s="2839" t="s">
        <v>757</v>
      </c>
      <c r="BU203" s="2840">
        <f ca="1">+BV203/BV202*100</f>
        <v>99.886291408878577</v>
      </c>
      <c r="BV203" s="1619">
        <f ca="1">OFFSET('VVP2'!$G$94,0,(COLUMN()-10)/4)</f>
        <v>51.388800000000003</v>
      </c>
      <c r="BW203" s="1573"/>
      <c r="BX203" s="2839" t="s">
        <v>757</v>
      </c>
      <c r="BY203" s="2840">
        <f ca="1">+BZ203/BZ202*100</f>
        <v>100.27065392944567</v>
      </c>
      <c r="BZ203" s="1619">
        <f ca="1">OFFSET('VVP2'!$G$94,0,(COLUMN()-10)/4)</f>
        <v>53.987926030000004</v>
      </c>
      <c r="CA203" s="1573"/>
      <c r="CB203" s="2839" t="s">
        <v>757</v>
      </c>
      <c r="CC203" s="2840">
        <f ca="1">+CD203/CD202*100</f>
        <v>100.10116444621684</v>
      </c>
      <c r="CD203" s="1619">
        <f ca="1">OFFSET('VVP2'!$G$94,0,(COLUMN()-10)/4)</f>
        <v>57.230938850000001</v>
      </c>
      <c r="CE203" s="1573"/>
      <c r="CF203" s="2839" t="s">
        <v>757</v>
      </c>
      <c r="CG203" s="2840">
        <f ca="1">+CH203/CH202*100</f>
        <v>100.10352515233582</v>
      </c>
      <c r="CH203" s="1619">
        <f ca="1">OFFSET('VVP2'!$G$94,0,(COLUMN()-10)/4)</f>
        <v>59.141162659999999</v>
      </c>
      <c r="CI203" s="1573"/>
      <c r="CJ203" s="2839" t="s">
        <v>757</v>
      </c>
      <c r="CK203" s="2840">
        <f ca="1">+CL203/CL202*100</f>
        <v>100.14712699985979</v>
      </c>
      <c r="CL203" s="1619">
        <f ca="1">OFFSET('VVP2'!$G$94,0,(COLUMN()-10)/4)</f>
        <v>61.432050349999997</v>
      </c>
      <c r="CM203" s="1573"/>
      <c r="CN203" s="2839" t="s">
        <v>757</v>
      </c>
      <c r="CO203" s="2840">
        <f ca="1">+CP203/CP202*100</f>
        <v>100.36436095981904</v>
      </c>
      <c r="CP203" s="1619">
        <f ca="1">OFFSET('VVP2'!$G$94,0,(COLUMN()-10)/4)</f>
        <v>63.187093279999999</v>
      </c>
      <c r="CQ203" s="1573"/>
      <c r="CR203" s="2839" t="s">
        <v>757</v>
      </c>
      <c r="CS203" s="2840">
        <f ca="1">+CT203/CT202*100</f>
        <v>100.02533908439051</v>
      </c>
      <c r="CT203" s="1619">
        <f ca="1">OFFSET('VVP2'!$G$94,0,(COLUMN()-10)/4)</f>
        <v>68.004727410000001</v>
      </c>
      <c r="CU203" s="1573"/>
      <c r="CV203" s="2839" t="s">
        <v>757</v>
      </c>
      <c r="CW203" s="2840">
        <f ca="1">+CX203/CX202*100</f>
        <v>100.15907890633819</v>
      </c>
      <c r="CX203" s="1619">
        <f ca="1">OFFSET('VVP2'!$G$94,0,(COLUMN()-10)/4)</f>
        <v>71.144298205388168</v>
      </c>
      <c r="CY203" s="1573"/>
      <c r="CZ203" s="2839" t="s">
        <v>757</v>
      </c>
      <c r="DA203" s="2840">
        <f ca="1">+DB203/DB202*100</f>
        <v>100.06984171687184</v>
      </c>
      <c r="DB203" s="1619">
        <f ca="1">OFFSET('VVP2'!$G$94,0,(COLUMN()-10)/4)</f>
        <v>73.828566437201914</v>
      </c>
      <c r="DC203"/>
      <c r="DD203"/>
      <c r="DE203"/>
      <c r="DF203"/>
      <c r="DG203"/>
      <c r="DH203"/>
      <c r="DI203"/>
      <c r="DJ203"/>
      <c r="DK203"/>
      <c r="DL203"/>
      <c r="DM203"/>
      <c r="DN203"/>
      <c r="DO203"/>
    </row>
    <row r="204" spans="1:119" ht="12.75" customHeight="1">
      <c r="E204" s="599"/>
      <c r="F204" s="3617"/>
      <c r="AY204" s="217"/>
      <c r="BF204" s="217"/>
      <c r="BJ204" s="217"/>
      <c r="CM204" s="557"/>
      <c r="CN204" s="557"/>
      <c r="CO204" s="557"/>
      <c r="CP204" s="557"/>
      <c r="CQ204" s="557"/>
      <c r="CR204" s="557"/>
      <c r="CS204" s="557"/>
      <c r="CT204" s="557"/>
      <c r="CU204" s="557"/>
      <c r="CV204" s="557"/>
      <c r="CW204" s="557"/>
      <c r="CX204" s="557"/>
      <c r="CY204" s="557"/>
      <c r="CZ204" s="557"/>
      <c r="DA204" s="557"/>
      <c r="DB204" s="557"/>
    </row>
    <row r="205" spans="1:119" s="699" customFormat="1" ht="12.75" customHeight="1">
      <c r="A205" s="664"/>
      <c r="B205" s="664"/>
      <c r="C205" s="1553"/>
      <c r="D205" s="742"/>
      <c r="E205" s="3384" t="s">
        <v>762</v>
      </c>
      <c r="F205" s="3622"/>
      <c r="G205" s="1578" t="str">
        <f t="shared" ref="G205:BD205" si="502">G197</f>
        <v>Q1</v>
      </c>
      <c r="H205" s="1579" t="str">
        <f t="shared" si="502"/>
        <v>Q2</v>
      </c>
      <c r="I205" s="1579" t="str">
        <f t="shared" si="502"/>
        <v>Q3</v>
      </c>
      <c r="J205" s="1580" t="str">
        <f t="shared" si="502"/>
        <v>Q4</v>
      </c>
      <c r="K205" s="1578" t="str">
        <f t="shared" si="502"/>
        <v>Q1</v>
      </c>
      <c r="L205" s="1579" t="str">
        <f t="shared" si="502"/>
        <v>Q2</v>
      </c>
      <c r="M205" s="1579" t="str">
        <f t="shared" si="502"/>
        <v>Q3</v>
      </c>
      <c r="N205" s="1580" t="str">
        <f t="shared" si="502"/>
        <v>Q4</v>
      </c>
      <c r="O205" s="1578" t="str">
        <f>O197</f>
        <v>Q1</v>
      </c>
      <c r="P205" s="1579" t="str">
        <f>P197</f>
        <v>Q2</v>
      </c>
      <c r="Q205" s="1579" t="str">
        <f>Q197</f>
        <v>Q3</v>
      </c>
      <c r="R205" s="1580" t="str">
        <f>R197</f>
        <v>Q4</v>
      </c>
      <c r="S205" s="1578" t="str">
        <f t="shared" si="502"/>
        <v>Q1</v>
      </c>
      <c r="T205" s="1579" t="str">
        <f t="shared" si="502"/>
        <v>Q2</v>
      </c>
      <c r="U205" s="1579" t="str">
        <f t="shared" si="502"/>
        <v>Q3</v>
      </c>
      <c r="V205" s="1580" t="str">
        <f t="shared" si="502"/>
        <v>Q4</v>
      </c>
      <c r="W205" s="1578" t="str">
        <f t="shared" si="502"/>
        <v>Q1</v>
      </c>
      <c r="X205" s="1579" t="str">
        <f t="shared" si="502"/>
        <v>Q2</v>
      </c>
      <c r="Y205" s="1579" t="str">
        <f t="shared" si="502"/>
        <v>Q3</v>
      </c>
      <c r="Z205" s="1580" t="str">
        <f t="shared" si="502"/>
        <v>Q4</v>
      </c>
      <c r="AA205" s="1578" t="str">
        <f t="shared" si="502"/>
        <v>Q1</v>
      </c>
      <c r="AB205" s="1579" t="str">
        <f t="shared" si="502"/>
        <v>Q2</v>
      </c>
      <c r="AC205" s="1579" t="str">
        <f t="shared" si="502"/>
        <v>Q3</v>
      </c>
      <c r="AD205" s="1580" t="str">
        <f t="shared" si="502"/>
        <v>Q4</v>
      </c>
      <c r="AE205" s="1578" t="str">
        <f t="shared" si="502"/>
        <v>Q1</v>
      </c>
      <c r="AF205" s="1579" t="str">
        <f t="shared" si="502"/>
        <v>Q2</v>
      </c>
      <c r="AG205" s="1579" t="str">
        <f t="shared" si="502"/>
        <v>Q3</v>
      </c>
      <c r="AH205" s="1580" t="str">
        <f t="shared" si="502"/>
        <v>Q4</v>
      </c>
      <c r="AI205" s="1578" t="str">
        <f t="shared" si="502"/>
        <v>Q1</v>
      </c>
      <c r="AJ205" s="1579" t="str">
        <f t="shared" si="502"/>
        <v>Q2</v>
      </c>
      <c r="AK205" s="1579" t="str">
        <f t="shared" si="502"/>
        <v>Q3</v>
      </c>
      <c r="AL205" s="1580" t="str">
        <f t="shared" si="502"/>
        <v>Q4</v>
      </c>
      <c r="AM205" s="1578" t="str">
        <f t="shared" si="502"/>
        <v>Q1</v>
      </c>
      <c r="AN205" s="1579" t="str">
        <f t="shared" si="502"/>
        <v>Q2</v>
      </c>
      <c r="AO205" s="1579" t="str">
        <f t="shared" si="502"/>
        <v>Q3</v>
      </c>
      <c r="AP205" s="1580" t="str">
        <f t="shared" si="502"/>
        <v>Q4</v>
      </c>
      <c r="AQ205" s="1578" t="str">
        <f>AQ197</f>
        <v>Q1</v>
      </c>
      <c r="AR205" s="1579" t="str">
        <f>AR197</f>
        <v>Q2</v>
      </c>
      <c r="AS205" s="1579" t="str">
        <f>AS197</f>
        <v>Q3</v>
      </c>
      <c r="AT205" s="1580" t="str">
        <f>AT197</f>
        <v>Q4</v>
      </c>
      <c r="AU205" s="1578" t="str">
        <f t="shared" si="502"/>
        <v>Q1</v>
      </c>
      <c r="AV205" s="1579" t="str">
        <f t="shared" si="502"/>
        <v>Q2</v>
      </c>
      <c r="AW205" s="1579" t="str">
        <f t="shared" si="502"/>
        <v>Q3</v>
      </c>
      <c r="AX205" s="1580" t="str">
        <f t="shared" si="502"/>
        <v>Q4</v>
      </c>
      <c r="AY205" s="1578" t="str">
        <f>AY197</f>
        <v>Q1</v>
      </c>
      <c r="AZ205" s="1579" t="str">
        <f>AZ197</f>
        <v>Q2</v>
      </c>
      <c r="BA205" s="1579" t="str">
        <f t="shared" si="502"/>
        <v>Q3</v>
      </c>
      <c r="BB205" s="1579" t="str">
        <f t="shared" si="502"/>
        <v>Q4</v>
      </c>
      <c r="BC205" s="1579" t="str">
        <f t="shared" si="502"/>
        <v>Q1</v>
      </c>
      <c r="BD205" s="1579" t="str">
        <f t="shared" si="502"/>
        <v>Q2</v>
      </c>
      <c r="BE205" s="1579" t="str">
        <f t="shared" ref="BE205:BJ205" si="503">BE197</f>
        <v>Q3</v>
      </c>
      <c r="BF205" s="1580" t="str">
        <f t="shared" si="503"/>
        <v>Q4</v>
      </c>
      <c r="BG205" s="1579" t="str">
        <f t="shared" si="503"/>
        <v>Q1</v>
      </c>
      <c r="BH205" s="1579" t="str">
        <f t="shared" si="503"/>
        <v>Q2</v>
      </c>
      <c r="BI205" s="1579" t="str">
        <f t="shared" si="503"/>
        <v>Q3</v>
      </c>
      <c r="BJ205" s="1580" t="str">
        <f t="shared" si="503"/>
        <v>Q4</v>
      </c>
      <c r="BK205" s="1579" t="str">
        <f t="shared" ref="BK205:BR205" si="504">BK197</f>
        <v>Q1</v>
      </c>
      <c r="BL205" s="1579" t="str">
        <f t="shared" si="504"/>
        <v>Q2</v>
      </c>
      <c r="BM205" s="1579" t="str">
        <f t="shared" si="504"/>
        <v>Q3</v>
      </c>
      <c r="BN205" s="1579" t="str">
        <f t="shared" si="504"/>
        <v>Q4</v>
      </c>
      <c r="BO205" s="1579" t="str">
        <f t="shared" si="504"/>
        <v>Q1</v>
      </c>
      <c r="BP205" s="1579" t="str">
        <f t="shared" si="504"/>
        <v>Q2</v>
      </c>
      <c r="BQ205" s="1579" t="str">
        <f t="shared" si="504"/>
        <v>Q3</v>
      </c>
      <c r="BR205" s="1579" t="str">
        <f t="shared" si="504"/>
        <v>Q4</v>
      </c>
      <c r="BS205" s="1579" t="str">
        <f t="shared" ref="BS205:CD205" si="505">BS197</f>
        <v>Q1</v>
      </c>
      <c r="BT205" s="1579" t="str">
        <f t="shared" si="505"/>
        <v>Q2</v>
      </c>
      <c r="BU205" s="1579" t="str">
        <f t="shared" si="505"/>
        <v>Q3</v>
      </c>
      <c r="BV205" s="1579" t="str">
        <f t="shared" si="505"/>
        <v>Q4</v>
      </c>
      <c r="BW205" s="1579" t="str">
        <f t="shared" si="505"/>
        <v>Q1</v>
      </c>
      <c r="BX205" s="1579" t="str">
        <f t="shared" si="505"/>
        <v>Q2</v>
      </c>
      <c r="BY205" s="1579" t="str">
        <f t="shared" si="505"/>
        <v>Q3</v>
      </c>
      <c r="BZ205" s="1579" t="str">
        <f t="shared" si="505"/>
        <v>Q4</v>
      </c>
      <c r="CA205" s="1579" t="str">
        <f t="shared" si="505"/>
        <v>Q1</v>
      </c>
      <c r="CB205" s="1579" t="str">
        <f t="shared" si="505"/>
        <v>Q2</v>
      </c>
      <c r="CC205" s="1579" t="str">
        <f t="shared" si="505"/>
        <v>Q3</v>
      </c>
      <c r="CD205" s="1579" t="str">
        <f t="shared" si="505"/>
        <v>Q4</v>
      </c>
      <c r="CE205" s="1579" t="str">
        <f t="shared" ref="CE205:CL205" si="506">CE197</f>
        <v>Q1</v>
      </c>
      <c r="CF205" s="1579" t="str">
        <f t="shared" si="506"/>
        <v>Q2</v>
      </c>
      <c r="CG205" s="1579" t="str">
        <f t="shared" si="506"/>
        <v>Q3</v>
      </c>
      <c r="CH205" s="1579" t="str">
        <f t="shared" si="506"/>
        <v>Q4</v>
      </c>
      <c r="CI205" s="1579" t="str">
        <f t="shared" si="506"/>
        <v>Q1</v>
      </c>
      <c r="CJ205" s="1579" t="str">
        <f t="shared" si="506"/>
        <v>Q2</v>
      </c>
      <c r="CK205" s="1579" t="str">
        <f t="shared" si="506"/>
        <v>Q3</v>
      </c>
      <c r="CL205" s="1579" t="str">
        <f t="shared" si="506"/>
        <v>Q4</v>
      </c>
      <c r="CM205" s="1579" t="str">
        <f t="shared" ref="CM205:CT205" si="507">CM197</f>
        <v>Q1</v>
      </c>
      <c r="CN205" s="1579" t="str">
        <f t="shared" si="507"/>
        <v>Q2</v>
      </c>
      <c r="CO205" s="1579" t="str">
        <f t="shared" si="507"/>
        <v>Q3</v>
      </c>
      <c r="CP205" s="1579" t="str">
        <f t="shared" si="507"/>
        <v>Q4</v>
      </c>
      <c r="CQ205" s="1579" t="str">
        <f t="shared" si="507"/>
        <v>Q1</v>
      </c>
      <c r="CR205" s="1579" t="str">
        <f t="shared" si="507"/>
        <v>Q2</v>
      </c>
      <c r="CS205" s="1579" t="str">
        <f t="shared" si="507"/>
        <v>Q3</v>
      </c>
      <c r="CT205" s="1579" t="str">
        <f t="shared" si="507"/>
        <v>Q4</v>
      </c>
      <c r="CU205" s="1579" t="str">
        <f t="shared" ref="CU205:DB205" si="508">CU197</f>
        <v>Q1</v>
      </c>
      <c r="CV205" s="1579" t="str">
        <f t="shared" si="508"/>
        <v>Q2</v>
      </c>
      <c r="CW205" s="1579" t="str">
        <f t="shared" si="508"/>
        <v>Q3</v>
      </c>
      <c r="CX205" s="1579" t="str">
        <f t="shared" si="508"/>
        <v>Q4</v>
      </c>
      <c r="CY205" s="1579" t="str">
        <f t="shared" si="508"/>
        <v>Q1</v>
      </c>
      <c r="CZ205" s="1579" t="str">
        <f t="shared" si="508"/>
        <v>Q2</v>
      </c>
      <c r="DA205" s="1579" t="str">
        <f t="shared" si="508"/>
        <v>Q3</v>
      </c>
      <c r="DB205" s="1579" t="str">
        <f t="shared" si="508"/>
        <v>Q4</v>
      </c>
      <c r="DC205"/>
      <c r="DD205"/>
      <c r="DE205"/>
      <c r="DF205"/>
      <c r="DG205"/>
      <c r="DH205"/>
      <c r="DI205"/>
      <c r="DJ205"/>
      <c r="DK205"/>
      <c r="DL205"/>
      <c r="DM205"/>
      <c r="DN205"/>
      <c r="DO205"/>
    </row>
    <row r="206" spans="1:119" s="699" customFormat="1" ht="12.75" customHeight="1">
      <c r="B206" s="664"/>
      <c r="C206" s="692"/>
      <c r="D206" s="689"/>
      <c r="E206" s="3623" t="str">
        <f>E201</f>
        <v xml:space="preserve">Final demand                                                                    </v>
      </c>
      <c r="F206" s="3624" t="s">
        <v>1126</v>
      </c>
      <c r="G206" s="978"/>
      <c r="H206" s="978">
        <f>(H201/G201-1)*100</f>
        <v>0.51279767868142034</v>
      </c>
      <c r="I206" s="978">
        <f t="shared" ref="I206:BE206" si="509">(I201/H201-1)*100</f>
        <v>2.782002628431357</v>
      </c>
      <c r="J206" s="978">
        <f t="shared" si="509"/>
        <v>2.3137705624596272</v>
      </c>
      <c r="K206" s="978">
        <f t="shared" si="509"/>
        <v>1.8472102281104075</v>
      </c>
      <c r="L206" s="978">
        <f t="shared" si="509"/>
        <v>2.4382677751582094</v>
      </c>
      <c r="M206" s="978">
        <f t="shared" si="509"/>
        <v>4.2557486927906396</v>
      </c>
      <c r="N206" s="978">
        <f t="shared" si="509"/>
        <v>2.8756220832284685</v>
      </c>
      <c r="O206" s="978">
        <f>(O201/N201-1)*100</f>
        <v>3.9491021345480437</v>
      </c>
      <c r="P206" s="978">
        <f>(P201/O201-1)*100</f>
        <v>2.5779854169684757</v>
      </c>
      <c r="Q206" s="978">
        <f>(Q201/P201-1)*100</f>
        <v>0.95855669253810394</v>
      </c>
      <c r="R206" s="978">
        <f>(R201/Q201-1)*100</f>
        <v>5.2939873639055168</v>
      </c>
      <c r="S206" s="978">
        <f t="shared" si="509"/>
        <v>2.501453045860913</v>
      </c>
      <c r="T206" s="978">
        <f t="shared" si="509"/>
        <v>0.29431777679369553</v>
      </c>
      <c r="U206" s="978">
        <f t="shared" si="509"/>
        <v>-0.4404503577986052</v>
      </c>
      <c r="V206" s="978">
        <f t="shared" si="509"/>
        <v>-3.0248619531532905</v>
      </c>
      <c r="W206" s="978">
        <f t="shared" si="509"/>
        <v>-2.999308452495153</v>
      </c>
      <c r="X206" s="978">
        <f t="shared" si="509"/>
        <v>0.6951072270453551</v>
      </c>
      <c r="Y206" s="978">
        <f t="shared" si="509"/>
        <v>-1.6975088358389567</v>
      </c>
      <c r="Z206" s="978">
        <f t="shared" si="509"/>
        <v>-0.43156023837459534</v>
      </c>
      <c r="AA206" s="978">
        <f t="shared" si="509"/>
        <v>3.3881101135786906</v>
      </c>
      <c r="AB206" s="978">
        <f t="shared" si="509"/>
        <v>0.62912244471904355</v>
      </c>
      <c r="AC206" s="978">
        <f t="shared" si="509"/>
        <v>2.6302804660603529</v>
      </c>
      <c r="AD206" s="978">
        <f t="shared" si="509"/>
        <v>0.94516409250589017</v>
      </c>
      <c r="AE206" s="978">
        <f t="shared" si="509"/>
        <v>5.1334924526565962</v>
      </c>
      <c r="AF206" s="978">
        <f t="shared" si="509"/>
        <v>0.99767312563061594</v>
      </c>
      <c r="AG206" s="978">
        <f t="shared" si="509"/>
        <v>1.9649319537183407</v>
      </c>
      <c r="AH206" s="978">
        <f t="shared" si="509"/>
        <v>4.8059186682996247</v>
      </c>
      <c r="AI206" s="978">
        <f t="shared" si="509"/>
        <v>2.0437949241387088</v>
      </c>
      <c r="AJ206" s="978">
        <f t="shared" si="509"/>
        <v>3.6962943574019524</v>
      </c>
      <c r="AK206" s="978">
        <f t="shared" si="509"/>
        <v>0.69641021942556947</v>
      </c>
      <c r="AL206" s="978">
        <f t="shared" si="509"/>
        <v>2.5935889917948707</v>
      </c>
      <c r="AM206" s="978">
        <f t="shared" si="509"/>
        <v>4.0791305068698103</v>
      </c>
      <c r="AN206" s="978">
        <f t="shared" si="509"/>
        <v>-0.57977697660770433</v>
      </c>
      <c r="AO206" s="978">
        <f t="shared" si="509"/>
        <v>3.0498783506284877</v>
      </c>
      <c r="AP206" s="978">
        <f t="shared" si="509"/>
        <v>3.3929375179017063</v>
      </c>
      <c r="AQ206" s="978">
        <f>(AQ201/AP201-1)*100</f>
        <v>0.63518572751524172</v>
      </c>
      <c r="AR206" s="978">
        <f>(AR201/AQ201-1)*100</f>
        <v>3.4500387357591977</v>
      </c>
      <c r="AS206" s="978">
        <f>(AS201/AR201-1)*100</f>
        <v>2.5773587774652107</v>
      </c>
      <c r="AT206" s="978">
        <f>(AT201/AS201-1)*100</f>
        <v>3.1214793951971576</v>
      </c>
      <c r="AU206" s="978">
        <f t="shared" si="509"/>
        <v>5.6526391219817285</v>
      </c>
      <c r="AV206" s="978">
        <f t="shared" si="509"/>
        <v>3.7491182011047286</v>
      </c>
      <c r="AW206" s="978">
        <f t="shared" si="509"/>
        <v>3.2172097531274479</v>
      </c>
      <c r="AX206" s="978">
        <f t="shared" si="509"/>
        <v>2.9148107897316811</v>
      </c>
      <c r="AY206" s="978">
        <f t="shared" si="509"/>
        <v>18.894249318390898</v>
      </c>
      <c r="AZ206" s="978">
        <f t="shared" si="509"/>
        <v>0.45980926430517766</v>
      </c>
      <c r="BA206" s="978">
        <f t="shared" si="509"/>
        <v>3.6259490903899794</v>
      </c>
      <c r="BB206" s="978">
        <f>(BB201/BA201-1)*100</f>
        <v>4.4952430151965261</v>
      </c>
      <c r="BC206" s="978">
        <f>(BC201/BB201-1)*100</f>
        <v>1.2037967799878091</v>
      </c>
      <c r="BD206" s="978">
        <f>(BD201/BC201-1)*100</f>
        <v>3.5879733283398663</v>
      </c>
      <c r="BE206" s="978">
        <f t="shared" si="509"/>
        <v>1.6167062263231502</v>
      </c>
      <c r="BF206" s="978">
        <f t="shared" ref="BF206:BL206" si="510">(BF201/BE201-1)*100</f>
        <v>2.8795507807968024</v>
      </c>
      <c r="BG206" s="978">
        <f t="shared" si="510"/>
        <v>3.9717623708782623</v>
      </c>
      <c r="BH206" s="978">
        <f t="shared" si="510"/>
        <v>0.63775786893427444</v>
      </c>
      <c r="BI206" s="978">
        <f t="shared" si="510"/>
        <v>-2.0003017696635372</v>
      </c>
      <c r="BJ206" s="978">
        <f t="shared" si="510"/>
        <v>-5.0221782323399022</v>
      </c>
      <c r="BK206" s="978">
        <f t="shared" si="510"/>
        <v>-13.760469334980108</v>
      </c>
      <c r="BL206" s="978">
        <f t="shared" si="510"/>
        <v>-3.0675176111494062</v>
      </c>
      <c r="BM206" s="978">
        <f t="shared" ref="BM206:BR206" si="511">(BM201/BL201-1)*100</f>
        <v>-0.27333505706792494</v>
      </c>
      <c r="BN206" s="978">
        <f t="shared" si="511"/>
        <v>-1.25652801955628</v>
      </c>
      <c r="BO206" s="978">
        <f t="shared" si="511"/>
        <v>4.3239340203865329</v>
      </c>
      <c r="BP206" s="978">
        <f t="shared" si="511"/>
        <v>4.5348314606741491</v>
      </c>
      <c r="BQ206" s="978">
        <f t="shared" si="511"/>
        <v>1.7567393267122311</v>
      </c>
      <c r="BR206" s="978">
        <f t="shared" si="511"/>
        <v>4.2995487501901408</v>
      </c>
      <c r="BS206" s="978">
        <f t="shared" ref="BS206:CB206" si="512">(BS201/BR201-1)*100</f>
        <v>2.9126764214995049</v>
      </c>
      <c r="BT206" s="978">
        <f t="shared" si="512"/>
        <v>0.9793656167090381</v>
      </c>
      <c r="BU206" s="978">
        <f t="shared" si="512"/>
        <v>0.43737574552684677</v>
      </c>
      <c r="BV206" s="978">
        <f t="shared" si="512"/>
        <v>1.1915296601617831</v>
      </c>
      <c r="BW206" s="978">
        <f t="shared" si="512"/>
        <v>1.3194130146285898</v>
      </c>
      <c r="BX206" s="978">
        <f t="shared" si="512"/>
        <v>-0.7525684996327997</v>
      </c>
      <c r="BY206" s="978">
        <f t="shared" si="512"/>
        <v>4.764774539046579</v>
      </c>
      <c r="BZ206" s="978">
        <f t="shared" si="512"/>
        <v>0.4281563790203391</v>
      </c>
      <c r="CA206" s="978">
        <f t="shared" si="512"/>
        <v>1.646594789770961</v>
      </c>
      <c r="CB206" s="978">
        <f t="shared" si="512"/>
        <v>0.72971353572242048</v>
      </c>
      <c r="CC206" s="978">
        <f t="shared" ref="CC206:CL206" si="513">(CC201/CB201-1)*100</f>
        <v>2.2589668236377314</v>
      </c>
      <c r="CD206" s="978">
        <f t="shared" si="513"/>
        <v>1.0484401509643027</v>
      </c>
      <c r="CE206" s="978">
        <f t="shared" si="513"/>
        <v>4.728650826826275E-2</v>
      </c>
      <c r="CF206" s="978">
        <f t="shared" si="513"/>
        <v>0.92199358851412505</v>
      </c>
      <c r="CG206" s="978">
        <f t="shared" si="513"/>
        <v>0.29321134293509576</v>
      </c>
      <c r="CH206" s="978">
        <f t="shared" si="513"/>
        <v>1.316947064954066</v>
      </c>
      <c r="CI206" s="978">
        <f t="shared" si="513"/>
        <v>1.7894357165758157</v>
      </c>
      <c r="CJ206" s="978">
        <f t="shared" si="513"/>
        <v>1.4121568859053246</v>
      </c>
      <c r="CK206" s="978">
        <f t="shared" si="513"/>
        <v>-0.92919122833128309</v>
      </c>
      <c r="CL206" s="978">
        <f t="shared" si="513"/>
        <v>0.17634726041266813</v>
      </c>
      <c r="CM206" s="978">
        <f>(CM201/CL201-1)*100</f>
        <v>-0.24710354225209175</v>
      </c>
      <c r="CN206" s="978">
        <f>(CN201/CM201-1)*100</f>
        <v>2.4274827121923082</v>
      </c>
      <c r="CO206" s="978">
        <f>(CO201/CN201-1)*100</f>
        <v>1.0981928633416738</v>
      </c>
      <c r="CP206" s="978">
        <f>(CP201/CO201-1)*100</f>
        <v>1.894176087052557</v>
      </c>
      <c r="CQ206" s="1962">
        <f t="shared" ref="CQ206" si="514">(CP144*CQ149+CP170*CQ183)/(CP144+CP170)</f>
        <v>2.6623883444627463</v>
      </c>
      <c r="CR206" s="1962">
        <f t="shared" ref="CR206" si="515">(CQ144*CR149+CQ170*CR183)/(CQ144+CQ170)</f>
        <v>1.2840006757898377</v>
      </c>
      <c r="CS206" s="1962">
        <f t="shared" ref="CS206:CX206" si="516">(CR144*CS149+CR170*CS183)/(CR144+CR170)</f>
        <v>2.385321100917432</v>
      </c>
      <c r="CT206" s="1962">
        <f t="shared" si="516"/>
        <v>1.4866405995438448</v>
      </c>
      <c r="CU206" s="1962">
        <f t="shared" si="516"/>
        <v>0.7172934141349282</v>
      </c>
      <c r="CV206" s="1962">
        <f t="shared" si="516"/>
        <v>0.71735688560220434</v>
      </c>
      <c r="CW206" s="1962">
        <f t="shared" si="516"/>
        <v>0.71742036040082702</v>
      </c>
      <c r="CX206" s="1962">
        <f t="shared" si="516"/>
        <v>0.73705413590036328</v>
      </c>
      <c r="CY206" s="1962">
        <f t="shared" ref="CY206" si="517">(CX144*CY149+CX170*CY183)/(CX144+CX170)</f>
        <v>1.0565291535579697</v>
      </c>
      <c r="CZ206" s="1962">
        <f t="shared" ref="CZ206" si="518">(CY144*CZ149+CY170*CZ183)/(CY144+CY170)</f>
        <v>1.107003192825434</v>
      </c>
      <c r="DA206" s="1962">
        <f t="shared" ref="DA206" si="519">(CZ144*DA149+CZ170*DA183)/(CZ144+CZ170)</f>
        <v>1.1092802960500661</v>
      </c>
      <c r="DB206" s="1962">
        <f t="shared" ref="DB206" si="520">(DA144*DB149+DA170*DB183)/(DA144+DA170)</f>
        <v>1.0989007179173624</v>
      </c>
      <c r="DD206"/>
      <c r="DE206"/>
      <c r="DF206"/>
      <c r="DG206"/>
      <c r="DH206"/>
      <c r="DI206"/>
      <c r="DJ206"/>
      <c r="DK206"/>
      <c r="DL206"/>
      <c r="DM206"/>
      <c r="DN206"/>
      <c r="DO206"/>
    </row>
    <row r="207" spans="1:119" ht="12.75" customHeight="1">
      <c r="C207" s="1555"/>
      <c r="D207" s="1581"/>
      <c r="E207" s="1582" t="s">
        <v>763</v>
      </c>
      <c r="F207" s="1649"/>
      <c r="G207" s="1605"/>
      <c r="H207" s="1606"/>
      <c r="I207" s="1606"/>
      <c r="J207" s="1606"/>
      <c r="K207" s="1607"/>
      <c r="L207" s="1607"/>
      <c r="M207" s="1607"/>
      <c r="N207" s="1608">
        <f>N202/J202*100-100</f>
        <v>10.17117466484487</v>
      </c>
      <c r="O207" s="1607"/>
      <c r="P207" s="1607"/>
      <c r="Q207" s="1607"/>
      <c r="R207" s="1608">
        <f>R202/N202*100-100</f>
        <v>13.138979080929431</v>
      </c>
      <c r="S207" s="1607"/>
      <c r="T207" s="1607"/>
      <c r="U207" s="1607"/>
      <c r="V207" s="1608">
        <f>V202/R202*100-100</f>
        <v>6.87076392543635</v>
      </c>
      <c r="W207" s="1607"/>
      <c r="X207" s="1607"/>
      <c r="Y207" s="1607"/>
      <c r="Z207" s="1608">
        <f>Z202/V202*100-100</f>
        <v>-5.7738926026592168</v>
      </c>
      <c r="AA207" s="1607"/>
      <c r="AB207" s="1607"/>
      <c r="AC207" s="1607"/>
      <c r="AD207" s="1608">
        <f>AD202/Z202*100-100</f>
        <v>4.4355222923867359</v>
      </c>
      <c r="AE207" s="1607"/>
      <c r="AF207" s="1607"/>
      <c r="AG207" s="1607"/>
      <c r="AH207" s="1608">
        <f>AH202/AD202*100-100</f>
        <v>10.611973496677393</v>
      </c>
      <c r="AI207" s="1607"/>
      <c r="AJ207" s="1607"/>
      <c r="AK207" s="1607"/>
      <c r="AL207" s="1608">
        <f>AL202/AH202*100-100</f>
        <v>11.02773743791758</v>
      </c>
      <c r="AM207" s="1607"/>
      <c r="AN207" s="1607"/>
      <c r="AO207" s="1607"/>
      <c r="AP207" s="1608">
        <f>AP202/AL202*100-100</f>
        <v>9.4987077660110941</v>
      </c>
      <c r="AQ207" s="1607"/>
      <c r="AR207" s="1607"/>
      <c r="AS207" s="1607"/>
      <c r="AT207" s="1608">
        <f>AT202/AP202*100-100</f>
        <v>9.5275445660788876</v>
      </c>
      <c r="AU207" s="1607"/>
      <c r="AV207" s="1607"/>
      <c r="AW207" s="1607"/>
      <c r="AX207" s="1608">
        <f>AX202/AT202*100-100</f>
        <v>16.179799934300036</v>
      </c>
      <c r="AY207" s="1607"/>
      <c r="AZ207" s="1607"/>
      <c r="BA207" s="1609"/>
      <c r="BB207" s="1610">
        <f>BB202/AX202*100-100</f>
        <v>28.635060621046961</v>
      </c>
      <c r="BC207" s="1609"/>
      <c r="BD207" s="1609"/>
      <c r="BE207" s="1609"/>
      <c r="BF207" s="1608">
        <f>BF202/BB202*100-100</f>
        <v>11.103738398820354</v>
      </c>
      <c r="BG207" s="1609"/>
      <c r="BH207" s="1609"/>
      <c r="BI207" s="1609"/>
      <c r="BJ207" s="1608">
        <f>BJ202/BF202*100-100</f>
        <v>6.0601210853179026</v>
      </c>
      <c r="BK207" s="1609"/>
      <c r="BL207" s="1609"/>
      <c r="BM207" s="1609"/>
      <c r="BN207" s="1610">
        <f>BN202/BJ202*100-100</f>
        <v>-20.01597302987031</v>
      </c>
      <c r="BO207" s="1609"/>
      <c r="BP207" s="1609"/>
      <c r="BQ207" s="1609"/>
      <c r="BR207" s="1610">
        <f>BR202/BN202*100-100</f>
        <v>7.974995743662646</v>
      </c>
      <c r="BS207" s="1609"/>
      <c r="BT207" s="1609"/>
      <c r="BU207" s="1609"/>
      <c r="BV207" s="1610">
        <f>BV202/BR202*100-100</f>
        <v>9.6235103098385508</v>
      </c>
      <c r="BW207" s="1609"/>
      <c r="BX207" s="1609"/>
      <c r="BY207" s="1609"/>
      <c r="BZ207" s="1610">
        <f>BZ202/BV202*100-100</f>
        <v>4.6550547842160626</v>
      </c>
      <c r="CA207" s="1609"/>
      <c r="CB207" s="1609"/>
      <c r="CC207" s="1609"/>
      <c r="CD207" s="1610">
        <f>CD202/BZ202*100-100</f>
        <v>6.1864114022086767</v>
      </c>
      <c r="CE207" s="1609"/>
      <c r="CF207" s="1609"/>
      <c r="CG207" s="1609"/>
      <c r="CH207" s="1610">
        <f>CH202/CD202*100-100</f>
        <v>3.3353097872950599</v>
      </c>
      <c r="CI207" s="1609"/>
      <c r="CJ207" s="1609"/>
      <c r="CK207" s="1609"/>
      <c r="CL207" s="3355">
        <f>CL202/CH202*100-100</f>
        <v>3.8283683141502962</v>
      </c>
      <c r="CM207" s="1609"/>
      <c r="CN207" s="1609"/>
      <c r="CO207" s="1609"/>
      <c r="CP207" s="1610">
        <f>CP202/CL202*100-100</f>
        <v>2.634255923367121</v>
      </c>
      <c r="CQ207" s="1609"/>
      <c r="CR207" s="1609"/>
      <c r="CS207" s="1609"/>
      <c r="CT207" s="1610">
        <f>CT202/CP202*100-100</f>
        <v>7.9891736832825586</v>
      </c>
      <c r="CU207" s="1609"/>
      <c r="CV207" s="1609"/>
      <c r="CW207" s="1609"/>
      <c r="CX207" s="1610">
        <f>CX202/CT202*100-100</f>
        <v>4.4770029584763762</v>
      </c>
      <c r="CY207" s="1609"/>
      <c r="CZ207" s="1609"/>
      <c r="DA207" s="1609"/>
      <c r="DB207" s="1610">
        <f>DB202/CX202*100-100</f>
        <v>3.8655308401595221</v>
      </c>
    </row>
    <row r="208" spans="1:119" s="699" customFormat="1" ht="12.75" customHeight="1">
      <c r="A208" s="664"/>
      <c r="B208" s="664"/>
      <c r="C208" s="666"/>
      <c r="D208" s="717"/>
      <c r="E208" s="1596" t="s">
        <v>1847</v>
      </c>
      <c r="F208" s="717"/>
      <c r="G208" s="1597"/>
      <c r="H208" s="1597"/>
      <c r="I208" s="1597"/>
      <c r="J208" s="1598"/>
      <c r="K208" s="1597"/>
      <c r="L208" s="1597"/>
      <c r="M208" s="1597"/>
      <c r="N208" s="1599">
        <f ca="1">N203/J203*100-100</f>
        <v>11.827125551478247</v>
      </c>
      <c r="O208" s="1597"/>
      <c r="P208" s="1597"/>
      <c r="Q208" s="1597"/>
      <c r="R208" s="1599">
        <f ca="1">R203/N203*100-100</f>
        <v>14.400066740955111</v>
      </c>
      <c r="S208" s="1597"/>
      <c r="T208" s="1597"/>
      <c r="U208" s="1597"/>
      <c r="V208" s="1599">
        <f ca="1">V203/R203*100-100</f>
        <v>7.0572290476035704</v>
      </c>
      <c r="W208" s="1597"/>
      <c r="X208" s="1597"/>
      <c r="Y208" s="1597"/>
      <c r="Z208" s="1599">
        <f ca="1">Z203/V203*100-100</f>
        <v>-5.1118404805977775</v>
      </c>
      <c r="AA208" s="1597"/>
      <c r="AB208" s="1597"/>
      <c r="AC208" s="1597"/>
      <c r="AD208" s="1599">
        <f ca="1">AD203/Z203*100-100</f>
        <v>4.0652448074415304</v>
      </c>
      <c r="AE208" s="1597"/>
      <c r="AF208" s="1597"/>
      <c r="AG208" s="1597"/>
      <c r="AH208" s="1599">
        <f ca="1">AH203/AD203*100-100</f>
        <v>10.363782081855149</v>
      </c>
      <c r="AI208" s="1597"/>
      <c r="AJ208" s="1597"/>
      <c r="AK208" s="1597"/>
      <c r="AL208" s="1599">
        <f ca="1">AL203/AH203*100-100</f>
        <v>11.01034755711477</v>
      </c>
      <c r="AM208" s="1597"/>
      <c r="AN208" s="1597"/>
      <c r="AO208" s="1597"/>
      <c r="AP208" s="1599">
        <f ca="1">AP203/AL203*100-100</f>
        <v>9.7537199975804327</v>
      </c>
      <c r="AQ208" s="1597"/>
      <c r="AR208" s="1597"/>
      <c r="AS208" s="1597"/>
      <c r="AT208" s="1599">
        <f ca="1">AT203/AP203*100-100</f>
        <v>10.234495684566738</v>
      </c>
      <c r="AU208" s="1597"/>
      <c r="AV208" s="1597"/>
      <c r="AW208" s="1597"/>
      <c r="AX208" s="1599">
        <f ca="1">AX203/AT203*100-100</f>
        <v>12.17051282214716</v>
      </c>
      <c r="AY208" s="1597"/>
      <c r="AZ208" s="1597"/>
      <c r="BA208" s="1611"/>
      <c r="BB208" s="1612">
        <f ca="1">BB203/AX203*100-100</f>
        <v>10.004620343381163</v>
      </c>
      <c r="BC208" s="1611"/>
      <c r="BD208" s="1611"/>
      <c r="BE208" s="1611"/>
      <c r="BF208" s="1599">
        <f ca="1">BF203/BB203*100-100</f>
        <v>10.976490522052245</v>
      </c>
      <c r="BG208" s="1611"/>
      <c r="BH208" s="1611"/>
      <c r="BI208" s="1611"/>
      <c r="BJ208" s="1599">
        <f ca="1">BJ203/BF203*100-100</f>
        <v>6.3401551967141359</v>
      </c>
      <c r="BK208" s="1611"/>
      <c r="BL208" s="1611"/>
      <c r="BM208" s="1611"/>
      <c r="BN208" s="1612">
        <f ca="1">BN203/BJ203*100-100</f>
        <v>-20.183035920962638</v>
      </c>
      <c r="BO208" s="1611"/>
      <c r="BP208" s="1611"/>
      <c r="BQ208" s="1611"/>
      <c r="BR208" s="1612">
        <f ca="1">BR203/BN203*100-100</f>
        <v>7.5845214624761184</v>
      </c>
      <c r="BS208" s="1611"/>
      <c r="BT208" s="1611"/>
      <c r="BU208" s="1611"/>
      <c r="BV208" s="1612">
        <f ca="1">BV203/BR203*100-100</f>
        <v>9.6463986429901354</v>
      </c>
      <c r="BW208" s="1611"/>
      <c r="BX208" s="1611"/>
      <c r="BY208" s="1611"/>
      <c r="BZ208" s="1612">
        <f ca="1">BZ203/BV203*100-100</f>
        <v>5.0577675096518959</v>
      </c>
      <c r="CA208" s="1611"/>
      <c r="CB208" s="1611"/>
      <c r="CC208" s="1611"/>
      <c r="CD208" s="1612">
        <f ca="1">CD203/BZ203*100-100</f>
        <v>6.0069223963111966</v>
      </c>
      <c r="CE208" s="1611"/>
      <c r="CF208" s="1611"/>
      <c r="CG208" s="1611"/>
      <c r="CH208" s="1612">
        <f ca="1">CH203/CD203*100-100</f>
        <v>3.3377467649213628</v>
      </c>
      <c r="CI208" s="1611"/>
      <c r="CJ208" s="1611"/>
      <c r="CK208" s="1611"/>
      <c r="CL208" s="3394">
        <f ca="1">CL203/CH203*100-100</f>
        <v>3.8735925824965705</v>
      </c>
      <c r="CM208" s="1611"/>
      <c r="CN208" s="1611"/>
      <c r="CO208" s="1611"/>
      <c r="CP208" s="1612">
        <f ca="1">CP203/CL203*100-100</f>
        <v>2.8568848345463209</v>
      </c>
      <c r="CQ208" s="1611"/>
      <c r="CR208" s="1611"/>
      <c r="CS208" s="1611"/>
      <c r="CT208" s="1612">
        <f ca="1">CT203/CP203*100-100</f>
        <v>7.624395869345804</v>
      </c>
      <c r="CU208" s="1611"/>
      <c r="CV208" s="1611"/>
      <c r="CW208" s="1611"/>
      <c r="CX208" s="1612">
        <f ca="1">CX203/CT203*100-100</f>
        <v>4.6166949195453952</v>
      </c>
      <c r="CY208" s="1611"/>
      <c r="CZ208" s="1611"/>
      <c r="DA208" s="1611"/>
      <c r="DB208" s="1612">
        <f ca="1">DB203/CX203*100-100</f>
        <v>3.7729913703898887</v>
      </c>
      <c r="DC208"/>
      <c r="DD208"/>
      <c r="DE208"/>
      <c r="DF208"/>
      <c r="DG208"/>
      <c r="DH208"/>
      <c r="DI208"/>
      <c r="DJ208"/>
      <c r="DK208"/>
      <c r="DL208"/>
      <c r="DM208"/>
      <c r="DN208"/>
      <c r="DO208"/>
    </row>
    <row r="209" spans="1:119" ht="12.75" customHeight="1">
      <c r="E209" s="599"/>
      <c r="F209" s="3617"/>
      <c r="AY209" s="217"/>
      <c r="BF209" s="217"/>
      <c r="BJ209" s="217"/>
      <c r="CM209" s="557"/>
      <c r="CN209" s="557"/>
      <c r="CO209" s="557"/>
      <c r="CP209" s="557"/>
      <c r="CQ209" s="557"/>
      <c r="CR209" s="557"/>
      <c r="CS209" s="557"/>
      <c r="CT209" s="557"/>
      <c r="CU209" s="557"/>
      <c r="CV209" s="557"/>
      <c r="CW209" s="557"/>
      <c r="CX209" s="557"/>
      <c r="CY209" s="557"/>
      <c r="CZ209" s="557"/>
      <c r="DA209" s="557"/>
      <c r="DB209" s="557"/>
    </row>
    <row r="210" spans="1:119" s="699" customFormat="1" ht="12.75" customHeight="1">
      <c r="A210" s="664"/>
      <c r="B210" s="664"/>
      <c r="C210" s="666"/>
      <c r="D210" s="858"/>
      <c r="E210" s="3625"/>
      <c r="F210" s="3626"/>
      <c r="G210" s="1588" t="str">
        <f t="shared" ref="G210:AX210" si="521">G205</f>
        <v>Q1</v>
      </c>
      <c r="H210" s="1588" t="str">
        <f t="shared" si="521"/>
        <v>Q2</v>
      </c>
      <c r="I210" s="1588" t="str">
        <f t="shared" si="521"/>
        <v>Q3</v>
      </c>
      <c r="J210" s="1588" t="str">
        <f t="shared" si="521"/>
        <v>Q4</v>
      </c>
      <c r="K210" s="1593" t="str">
        <f t="shared" si="521"/>
        <v>Q1</v>
      </c>
      <c r="L210" s="1588" t="str">
        <f t="shared" si="521"/>
        <v>Q2</v>
      </c>
      <c r="M210" s="1588" t="str">
        <f t="shared" si="521"/>
        <v>Q3</v>
      </c>
      <c r="N210" s="1594" t="str">
        <f t="shared" si="521"/>
        <v>Q4</v>
      </c>
      <c r="O210" s="1593" t="str">
        <f t="shared" si="521"/>
        <v>Q1</v>
      </c>
      <c r="P210" s="1588" t="str">
        <f t="shared" si="521"/>
        <v>Q2</v>
      </c>
      <c r="Q210" s="1588" t="str">
        <f t="shared" si="521"/>
        <v>Q3</v>
      </c>
      <c r="R210" s="1594" t="str">
        <f t="shared" si="521"/>
        <v>Q4</v>
      </c>
      <c r="S210" s="1593" t="str">
        <f t="shared" si="521"/>
        <v>Q1</v>
      </c>
      <c r="T210" s="1588" t="str">
        <f t="shared" si="521"/>
        <v>Q2</v>
      </c>
      <c r="U210" s="1588" t="str">
        <f t="shared" si="521"/>
        <v>Q3</v>
      </c>
      <c r="V210" s="1594" t="str">
        <f t="shared" si="521"/>
        <v>Q4</v>
      </c>
      <c r="W210" s="1593" t="str">
        <f t="shared" si="521"/>
        <v>Q1</v>
      </c>
      <c r="X210" s="1588" t="str">
        <f t="shared" si="521"/>
        <v>Q2</v>
      </c>
      <c r="Y210" s="1588" t="str">
        <f t="shared" si="521"/>
        <v>Q3</v>
      </c>
      <c r="Z210" s="1594" t="str">
        <f t="shared" si="521"/>
        <v>Q4</v>
      </c>
      <c r="AA210" s="1593" t="str">
        <f t="shared" si="521"/>
        <v>Q1</v>
      </c>
      <c r="AB210" s="1588" t="str">
        <f t="shared" si="521"/>
        <v>Q2</v>
      </c>
      <c r="AC210" s="1588" t="str">
        <f t="shared" si="521"/>
        <v>Q3</v>
      </c>
      <c r="AD210" s="1594" t="str">
        <f t="shared" si="521"/>
        <v>Q4</v>
      </c>
      <c r="AE210" s="1593" t="str">
        <f t="shared" si="521"/>
        <v>Q1</v>
      </c>
      <c r="AF210" s="1588" t="str">
        <f t="shared" si="521"/>
        <v>Q2</v>
      </c>
      <c r="AG210" s="1588" t="str">
        <f t="shared" si="521"/>
        <v>Q3</v>
      </c>
      <c r="AH210" s="1594" t="str">
        <f t="shared" si="521"/>
        <v>Q4</v>
      </c>
      <c r="AI210" s="1593" t="str">
        <f t="shared" si="521"/>
        <v>Q1</v>
      </c>
      <c r="AJ210" s="1588" t="str">
        <f t="shared" si="521"/>
        <v>Q2</v>
      </c>
      <c r="AK210" s="1588" t="str">
        <f t="shared" si="521"/>
        <v>Q3</v>
      </c>
      <c r="AL210" s="1594" t="str">
        <f t="shared" si="521"/>
        <v>Q4</v>
      </c>
      <c r="AM210" s="1593" t="str">
        <f t="shared" si="521"/>
        <v>Q1</v>
      </c>
      <c r="AN210" s="1588" t="str">
        <f t="shared" si="521"/>
        <v>Q2</v>
      </c>
      <c r="AO210" s="1588" t="str">
        <f t="shared" si="521"/>
        <v>Q3</v>
      </c>
      <c r="AP210" s="1594" t="str">
        <f t="shared" si="521"/>
        <v>Q4</v>
      </c>
      <c r="AQ210" s="1593" t="str">
        <f t="shared" si="521"/>
        <v>Q1</v>
      </c>
      <c r="AR210" s="1588" t="str">
        <f t="shared" si="521"/>
        <v>Q2</v>
      </c>
      <c r="AS210" s="1588" t="str">
        <f t="shared" si="521"/>
        <v>Q3</v>
      </c>
      <c r="AT210" s="1594" t="str">
        <f t="shared" si="521"/>
        <v>Q4</v>
      </c>
      <c r="AU210" s="1593" t="str">
        <f t="shared" si="521"/>
        <v>Q1</v>
      </c>
      <c r="AV210" s="1588" t="str">
        <f t="shared" si="521"/>
        <v>Q2</v>
      </c>
      <c r="AW210" s="1588" t="str">
        <f t="shared" si="521"/>
        <v>Q3</v>
      </c>
      <c r="AX210" s="1594" t="str">
        <f t="shared" si="521"/>
        <v>Q4</v>
      </c>
      <c r="AY210" s="1593" t="str">
        <f t="shared" ref="AY210:BD210" si="522">AY205</f>
        <v>Q1</v>
      </c>
      <c r="AZ210" s="1588" t="str">
        <f t="shared" si="522"/>
        <v>Q2</v>
      </c>
      <c r="BA210" s="1588" t="str">
        <f t="shared" si="522"/>
        <v>Q3</v>
      </c>
      <c r="BB210" s="1594" t="str">
        <f t="shared" si="522"/>
        <v>Q4</v>
      </c>
      <c r="BC210" s="1593" t="str">
        <f t="shared" si="522"/>
        <v>Q1</v>
      </c>
      <c r="BD210" s="1588" t="str">
        <f t="shared" si="522"/>
        <v>Q2</v>
      </c>
      <c r="BE210" s="1588" t="str">
        <f t="shared" ref="BE210:BN210" si="523">BE205</f>
        <v>Q3</v>
      </c>
      <c r="BF210" s="1594" t="str">
        <f t="shared" si="523"/>
        <v>Q4</v>
      </c>
      <c r="BG210" s="1593" t="str">
        <f t="shared" si="523"/>
        <v>Q1</v>
      </c>
      <c r="BH210" s="1588" t="str">
        <f t="shared" si="523"/>
        <v>Q2</v>
      </c>
      <c r="BI210" s="1588" t="str">
        <f t="shared" si="523"/>
        <v>Q3</v>
      </c>
      <c r="BJ210" s="1594" t="str">
        <f t="shared" si="523"/>
        <v>Q4</v>
      </c>
      <c r="BK210" s="1593" t="str">
        <f t="shared" si="523"/>
        <v>Q1</v>
      </c>
      <c r="BL210" s="1588" t="str">
        <f t="shared" si="523"/>
        <v>Q2</v>
      </c>
      <c r="BM210" s="1588" t="str">
        <f t="shared" si="523"/>
        <v>Q3</v>
      </c>
      <c r="BN210" s="1594" t="str">
        <f t="shared" si="523"/>
        <v>Q4</v>
      </c>
      <c r="BO210" s="1593" t="str">
        <f t="shared" ref="BO210:BV210" si="524">BO205</f>
        <v>Q1</v>
      </c>
      <c r="BP210" s="1588" t="str">
        <f t="shared" si="524"/>
        <v>Q2</v>
      </c>
      <c r="BQ210" s="1588" t="str">
        <f t="shared" si="524"/>
        <v>Q3</v>
      </c>
      <c r="BR210" s="1594" t="str">
        <f t="shared" si="524"/>
        <v>Q4</v>
      </c>
      <c r="BS210" s="1593" t="str">
        <f t="shared" si="524"/>
        <v>Q1</v>
      </c>
      <c r="BT210" s="1588" t="str">
        <f t="shared" si="524"/>
        <v>Q2</v>
      </c>
      <c r="BU210" s="1588" t="str">
        <f t="shared" si="524"/>
        <v>Q3</v>
      </c>
      <c r="BV210" s="1594" t="str">
        <f t="shared" si="524"/>
        <v>Q4</v>
      </c>
      <c r="BW210" s="1593" t="str">
        <f t="shared" ref="BW210:CD210" si="525">BW205</f>
        <v>Q1</v>
      </c>
      <c r="BX210" s="1588" t="str">
        <f t="shared" si="525"/>
        <v>Q2</v>
      </c>
      <c r="BY210" s="1588" t="str">
        <f t="shared" si="525"/>
        <v>Q3</v>
      </c>
      <c r="BZ210" s="1594" t="str">
        <f t="shared" si="525"/>
        <v>Q4</v>
      </c>
      <c r="CA210" s="1593" t="str">
        <f t="shared" si="525"/>
        <v>Q1</v>
      </c>
      <c r="CB210" s="1588" t="str">
        <f t="shared" si="525"/>
        <v>Q2</v>
      </c>
      <c r="CC210" s="1588" t="str">
        <f t="shared" si="525"/>
        <v>Q3</v>
      </c>
      <c r="CD210" s="1594" t="str">
        <f t="shared" si="525"/>
        <v>Q4</v>
      </c>
      <c r="CE210" s="1593" t="str">
        <f t="shared" ref="CE210:CL210" si="526">CE205</f>
        <v>Q1</v>
      </c>
      <c r="CF210" s="1588" t="str">
        <f t="shared" si="526"/>
        <v>Q2</v>
      </c>
      <c r="CG210" s="1588" t="str">
        <f t="shared" si="526"/>
        <v>Q3</v>
      </c>
      <c r="CH210" s="1594" t="str">
        <f t="shared" si="526"/>
        <v>Q4</v>
      </c>
      <c r="CI210" s="1593" t="str">
        <f t="shared" si="526"/>
        <v>Q1</v>
      </c>
      <c r="CJ210" s="1588" t="str">
        <f t="shared" si="526"/>
        <v>Q2</v>
      </c>
      <c r="CK210" s="1588" t="str">
        <f t="shared" si="526"/>
        <v>Q3</v>
      </c>
      <c r="CL210" s="1594" t="str">
        <f t="shared" si="526"/>
        <v>Q4</v>
      </c>
      <c r="CM210" s="1593" t="str">
        <f t="shared" ref="CM210:CT210" si="527">CM205</f>
        <v>Q1</v>
      </c>
      <c r="CN210" s="1588" t="str">
        <f t="shared" si="527"/>
        <v>Q2</v>
      </c>
      <c r="CO210" s="1588" t="str">
        <f t="shared" si="527"/>
        <v>Q3</v>
      </c>
      <c r="CP210" s="1594" t="str">
        <f t="shared" si="527"/>
        <v>Q4</v>
      </c>
      <c r="CQ210" s="1593" t="str">
        <f t="shared" si="527"/>
        <v>Q1</v>
      </c>
      <c r="CR210" s="1588" t="str">
        <f t="shared" si="527"/>
        <v>Q2</v>
      </c>
      <c r="CS210" s="1588" t="str">
        <f t="shared" si="527"/>
        <v>Q3</v>
      </c>
      <c r="CT210" s="1594" t="str">
        <f t="shared" si="527"/>
        <v>Q4</v>
      </c>
      <c r="CU210" s="1593" t="str">
        <f t="shared" ref="CU210:DB210" si="528">CU205</f>
        <v>Q1</v>
      </c>
      <c r="CV210" s="1588" t="str">
        <f t="shared" si="528"/>
        <v>Q2</v>
      </c>
      <c r="CW210" s="1588" t="str">
        <f t="shared" si="528"/>
        <v>Q3</v>
      </c>
      <c r="CX210" s="1594" t="str">
        <f t="shared" si="528"/>
        <v>Q4</v>
      </c>
      <c r="CY210" s="1593" t="str">
        <f t="shared" si="528"/>
        <v>Q1</v>
      </c>
      <c r="CZ210" s="1588" t="str">
        <f t="shared" si="528"/>
        <v>Q2</v>
      </c>
      <c r="DA210" s="1588" t="str">
        <f t="shared" si="528"/>
        <v>Q3</v>
      </c>
      <c r="DB210" s="1594" t="str">
        <f t="shared" si="528"/>
        <v>Q4</v>
      </c>
      <c r="DC210"/>
      <c r="DD210"/>
      <c r="DE210"/>
      <c r="DF210"/>
      <c r="DG210"/>
      <c r="DH210"/>
      <c r="DI210"/>
      <c r="DJ210"/>
      <c r="DK210"/>
      <c r="DL210"/>
      <c r="DM210"/>
      <c r="DN210"/>
      <c r="DO210"/>
    </row>
    <row r="211" spans="1:119" s="699" customFormat="1" ht="12.75" customHeight="1">
      <c r="A211" s="664"/>
      <c r="B211" s="664"/>
      <c r="C211" s="862"/>
      <c r="D211" s="863"/>
      <c r="E211" s="3627" t="s">
        <v>1848</v>
      </c>
      <c r="F211" s="3628"/>
      <c r="G211" s="705"/>
      <c r="H211" s="705"/>
      <c r="I211" s="705"/>
      <c r="J211" s="705"/>
      <c r="K211" s="1564">
        <f t="shared" ref="K211:AX211" si="529">(K201/G201-1)*100</f>
        <v>7.6518912661130534</v>
      </c>
      <c r="L211" s="1564">
        <f t="shared" si="529"/>
        <v>9.714121173638901</v>
      </c>
      <c r="M211" s="1564">
        <f t="shared" si="529"/>
        <v>11.287263845988061</v>
      </c>
      <c r="N211" s="1564">
        <f t="shared" si="529"/>
        <v>11.898392906038691</v>
      </c>
      <c r="O211" s="1564">
        <f t="shared" si="529"/>
        <v>14.207718079166142</v>
      </c>
      <c r="P211" s="1564">
        <f t="shared" si="529"/>
        <v>14.363488314187855</v>
      </c>
      <c r="Q211" s="1564">
        <f t="shared" si="529"/>
        <v>10.746628970520877</v>
      </c>
      <c r="R211" s="1564">
        <f t="shared" si="529"/>
        <v>13.350023215249296</v>
      </c>
      <c r="S211" s="1564">
        <f t="shared" si="529"/>
        <v>11.771452025689344</v>
      </c>
      <c r="T211" s="1564">
        <f t="shared" si="529"/>
        <v>9.2831125730391761</v>
      </c>
      <c r="U211" s="1564">
        <f t="shared" si="529"/>
        <v>7.7687501457114116</v>
      </c>
      <c r="V211" s="1564">
        <f t="shared" si="529"/>
        <v>-0.7456201046192934</v>
      </c>
      <c r="W211" s="1564">
        <f t="shared" si="529"/>
        <v>-6.0721267564560977</v>
      </c>
      <c r="X211" s="1564">
        <f t="shared" si="529"/>
        <v>-5.6967784663927716</v>
      </c>
      <c r="Y211" s="1564">
        <f t="shared" si="529"/>
        <v>-6.8874695107111306</v>
      </c>
      <c r="Z211" s="1564">
        <f t="shared" si="529"/>
        <v>-4.3974613514176752</v>
      </c>
      <c r="AA211" s="1564">
        <f t="shared" si="529"/>
        <v>1.8978899557293039</v>
      </c>
      <c r="AB211" s="1564">
        <f t="shared" si="529"/>
        <v>1.8311169984983389</v>
      </c>
      <c r="AC211" s="1564">
        <f t="shared" si="529"/>
        <v>6.314254847066203</v>
      </c>
      <c r="AD211" s="1564">
        <f t="shared" si="529"/>
        <v>7.7842529882221179</v>
      </c>
      <c r="AE211" s="1564">
        <f t="shared" si="529"/>
        <v>9.603850342208764</v>
      </c>
      <c r="AF211" s="1564">
        <f t="shared" si="529"/>
        <v>10.005270653673183</v>
      </c>
      <c r="AG211" s="1564">
        <f t="shared" si="529"/>
        <v>9.2921103383468928</v>
      </c>
      <c r="AH211" s="1564">
        <f t="shared" si="529"/>
        <v>13.472102702322374</v>
      </c>
      <c r="AI211" s="1564">
        <f t="shared" si="529"/>
        <v>10.137347363218897</v>
      </c>
      <c r="AJ211" s="1564">
        <f t="shared" si="529"/>
        <v>13.080177379071323</v>
      </c>
      <c r="AK211" s="1564">
        <f t="shared" si="529"/>
        <v>11.673373490964533</v>
      </c>
      <c r="AL211" s="1564">
        <f t="shared" si="529"/>
        <v>9.3160799202514522</v>
      </c>
      <c r="AM211" s="1564">
        <f t="shared" si="529"/>
        <v>11.496466365030123</v>
      </c>
      <c r="AN211" s="1564">
        <f t="shared" si="529"/>
        <v>6.898743306348365</v>
      </c>
      <c r="AO211" s="1564">
        <f t="shared" si="529"/>
        <v>9.3971718510096345</v>
      </c>
      <c r="AP211" s="1564">
        <f t="shared" si="529"/>
        <v>10.249529868101259</v>
      </c>
      <c r="AQ211" s="1564">
        <f t="shared" si="529"/>
        <v>6.6014085687934987</v>
      </c>
      <c r="AR211" s="1564">
        <f t="shared" si="529"/>
        <v>10.922300417023333</v>
      </c>
      <c r="AS211" s="1564">
        <f t="shared" si="529"/>
        <v>10.413683047587874</v>
      </c>
      <c r="AT211" s="1564">
        <f t="shared" si="529"/>
        <v>10.123791959854689</v>
      </c>
      <c r="AU211" s="1564">
        <f t="shared" si="529"/>
        <v>15.614326803965572</v>
      </c>
      <c r="AV211" s="1564">
        <f t="shared" si="529"/>
        <v>15.948573861476456</v>
      </c>
      <c r="AW211" s="1564">
        <f t="shared" si="529"/>
        <v>16.671831010969452</v>
      </c>
      <c r="AX211" s="1564">
        <f t="shared" si="529"/>
        <v>16.438005771518306</v>
      </c>
      <c r="AY211" s="1564">
        <f t="shared" ref="AY211:BE211" si="530">(AY201/AU201-1)*100</f>
        <v>31.031362807243301</v>
      </c>
      <c r="AZ211" s="1564">
        <f t="shared" si="530"/>
        <v>26.877085256204825</v>
      </c>
      <c r="BA211" s="1564">
        <f t="shared" si="530"/>
        <v>27.379517514017838</v>
      </c>
      <c r="BB211" s="1564">
        <f t="shared" si="530"/>
        <v>29.335646984581864</v>
      </c>
      <c r="BC211" s="1564">
        <f t="shared" si="530"/>
        <v>10.091603327118893</v>
      </c>
      <c r="BD211" s="1564">
        <f t="shared" si="530"/>
        <v>13.519686655186881</v>
      </c>
      <c r="BE211" s="1564">
        <f t="shared" si="530"/>
        <v>11.318610357742486</v>
      </c>
      <c r="BF211" s="1564">
        <f t="shared" ref="BF211:BN211" si="531">(BF201/BB201-1)*100</f>
        <v>9.5974160802860808</v>
      </c>
      <c r="BG211" s="1564">
        <f t="shared" si="531"/>
        <v>12.594950621605982</v>
      </c>
      <c r="BH211" s="1564">
        <f t="shared" si="531"/>
        <v>9.3882138422120001</v>
      </c>
      <c r="BI211" s="1564">
        <f t="shared" si="531"/>
        <v>5.4945819894656189</v>
      </c>
      <c r="BJ211" s="1564">
        <f t="shared" si="531"/>
        <v>-2.6079961507811222</v>
      </c>
      <c r="BK211" s="1564">
        <f t="shared" si="531"/>
        <v>-19.218059683145682</v>
      </c>
      <c r="BL211" s="1564">
        <f t="shared" si="531"/>
        <v>-22.192284755602497</v>
      </c>
      <c r="BM211" s="1564">
        <f t="shared" si="531"/>
        <v>-20.821144470105214</v>
      </c>
      <c r="BN211" s="1564">
        <f t="shared" si="531"/>
        <v>-17.681886603110886</v>
      </c>
      <c r="BO211" s="1564">
        <f t="shared" ref="BO211:BV211" si="532">(BO201/BK201-1)*100</f>
        <v>-0.41980325638433236</v>
      </c>
      <c r="BP211" s="1564">
        <f t="shared" si="532"/>
        <v>7.3902042625493936</v>
      </c>
      <c r="BQ211" s="1564">
        <f t="shared" si="532"/>
        <v>9.5762806029852996</v>
      </c>
      <c r="BR211" s="1564">
        <f t="shared" si="532"/>
        <v>15.741895554159369</v>
      </c>
      <c r="BS211" s="1564">
        <f t="shared" si="532"/>
        <v>14.176179775280895</v>
      </c>
      <c r="BT211" s="1564">
        <f t="shared" si="532"/>
        <v>10.29278988778537</v>
      </c>
      <c r="BU211" s="1564">
        <f t="shared" si="532"/>
        <v>8.862749074684384</v>
      </c>
      <c r="BV211" s="1564">
        <f t="shared" si="532"/>
        <v>5.6187513165783631</v>
      </c>
      <c r="BW211" s="1564">
        <f t="shared" ref="BW211:CD211" si="533">(BW201/BS201-1)*100</f>
        <v>3.9835932641059335</v>
      </c>
      <c r="BX211" s="1564">
        <f t="shared" si="533"/>
        <v>2.2001325381047154</v>
      </c>
      <c r="BY211" s="1564">
        <f t="shared" si="533"/>
        <v>6.6034806638411547</v>
      </c>
      <c r="BZ211" s="1564">
        <f t="shared" si="533"/>
        <v>5.7992804596466607</v>
      </c>
      <c r="CA211" s="1564">
        <f t="shared" si="533"/>
        <v>6.140928672557</v>
      </c>
      <c r="CB211" s="1564">
        <f t="shared" si="533"/>
        <v>7.726166591652861</v>
      </c>
      <c r="CC211" s="1564">
        <f t="shared" si="533"/>
        <v>5.1495270619588807</v>
      </c>
      <c r="CD211" s="1564">
        <f t="shared" si="533"/>
        <v>5.7989718752039288</v>
      </c>
      <c r="CE211" s="1564">
        <f t="shared" ref="CE211:CL211" si="534">(CE201/CA201-1)*100</f>
        <v>4.134330061629754</v>
      </c>
      <c r="CF211" s="1564">
        <f t="shared" si="534"/>
        <v>4.3331090889777935</v>
      </c>
      <c r="CG211" s="1564">
        <f t="shared" si="534"/>
        <v>2.3274817353969635</v>
      </c>
      <c r="CH211" s="1564">
        <f t="shared" si="534"/>
        <v>2.5993873313276517</v>
      </c>
      <c r="CI211" s="1564">
        <f t="shared" si="534"/>
        <v>4.3859769296106688</v>
      </c>
      <c r="CJ211" s="1564">
        <f t="shared" si="534"/>
        <v>4.892964285229473</v>
      </c>
      <c r="CK211" s="1564">
        <f t="shared" si="534"/>
        <v>3.6144985991364731</v>
      </c>
      <c r="CL211" s="1564">
        <f t="shared" si="534"/>
        <v>2.4480335577642398</v>
      </c>
      <c r="CM211" s="1564">
        <f t="shared" ref="CM211:CT211" si="535">(CM201/CI201-1)*100</f>
        <v>0.39831748594076899</v>
      </c>
      <c r="CN211" s="1564">
        <f t="shared" si="535"/>
        <v>1.4034928790045642</v>
      </c>
      <c r="CO211" s="1564">
        <f t="shared" si="535"/>
        <v>3.4786129961399626</v>
      </c>
      <c r="CP211" s="1564">
        <f t="shared" si="535"/>
        <v>5.2530692346310026</v>
      </c>
      <c r="CQ211" s="1564">
        <f t="shared" si="535"/>
        <v>8.3229846141779298</v>
      </c>
      <c r="CR211" s="1564">
        <f t="shared" si="535"/>
        <v>7.1136862524886491</v>
      </c>
      <c r="CS211" s="1564">
        <f t="shared" si="535"/>
        <v>8.4774005415538589</v>
      </c>
      <c r="CT211" s="1564">
        <f t="shared" si="535"/>
        <v>8.0435348191830727</v>
      </c>
      <c r="CU211" s="1564">
        <f t="shared" ref="CU211:DB211" si="536">(CU201/CQ201-1)*100</f>
        <v>5.9964858928873488</v>
      </c>
      <c r="CV211" s="1564">
        <f t="shared" si="536"/>
        <v>5.4034776180150068</v>
      </c>
      <c r="CW211" s="1564">
        <f t="shared" si="536"/>
        <v>3.6864098149181901</v>
      </c>
      <c r="CX211" s="1564">
        <f t="shared" si="536"/>
        <v>2.9205757228456086</v>
      </c>
      <c r="CY211" s="1564">
        <f t="shared" si="536"/>
        <v>3.2672325523100287</v>
      </c>
      <c r="CZ211" s="1564">
        <f t="shared" si="536"/>
        <v>3.6667435905799683</v>
      </c>
      <c r="DA211" s="1564">
        <f t="shared" si="536"/>
        <v>4.0700784191231243</v>
      </c>
      <c r="DB211" s="1564">
        <f t="shared" si="536"/>
        <v>4.4438971940437888</v>
      </c>
      <c r="DC211"/>
      <c r="DD211"/>
      <c r="DE211"/>
      <c r="DF211"/>
      <c r="DG211"/>
      <c r="DH211"/>
      <c r="DI211"/>
      <c r="DJ211"/>
      <c r="DK211"/>
      <c r="DL211"/>
      <c r="DM211"/>
      <c r="DN211"/>
      <c r="DO211"/>
    </row>
    <row r="212" spans="1:119" s="699" customFormat="1" ht="12.75" customHeight="1">
      <c r="A212" s="664"/>
      <c r="B212" s="664"/>
      <c r="C212" s="944"/>
      <c r="D212" s="674"/>
      <c r="E212" s="3629" t="s">
        <v>1938</v>
      </c>
      <c r="F212" s="3630"/>
      <c r="G212" s="705"/>
      <c r="H212" s="705"/>
      <c r="I212" s="705"/>
      <c r="J212" s="705"/>
      <c r="K212" s="1564">
        <f>(4*K201/J202-1)*100</f>
        <v>5.1490122029451024</v>
      </c>
      <c r="L212" s="1564">
        <f>((K201+3*L201)/J202-1)*100</f>
        <v>7.0718730632763016</v>
      </c>
      <c r="M212" s="1564">
        <f>((K201+L201+2*M201)/J202-1)*100</f>
        <v>9.3638666700493367</v>
      </c>
      <c r="N212" s="1621"/>
      <c r="O212" s="1564">
        <f>(4*O201/N202-1)*100</f>
        <v>9.0015494389452009</v>
      </c>
      <c r="P212" s="1564">
        <f>((O201+3*P201)/N202-1)*100</f>
        <v>11.109082475549471</v>
      </c>
      <c r="Q212" s="1564">
        <f>((O201+P201+2*Q201)/N202-1)*100</f>
        <v>11.644971231754631</v>
      </c>
      <c r="R212" s="1621"/>
      <c r="S212" s="1564">
        <f>(4*S201/R202-1)*100</f>
        <v>7.6840320887645586</v>
      </c>
      <c r="T212" s="1564">
        <f>((S201+3*T201)/R202-1)*100</f>
        <v>7.9217320256686596</v>
      </c>
      <c r="U212" s="1564">
        <f>((S201+T201+2*U201)/R202-1)*100</f>
        <v>7.6838867065401439</v>
      </c>
      <c r="V212" s="1621"/>
      <c r="W212" s="1564">
        <f>(4*W201/V202-1)*100</f>
        <v>-5.3573517688701671</v>
      </c>
      <c r="X212" s="1564">
        <f>((W201+3*X201)/V202-1)*100</f>
        <v>-4.8639508530789026</v>
      </c>
      <c r="Y212" s="1564">
        <f>((W201+X201+2*Y201)/V202-1)*100</f>
        <v>-5.6728181939377116</v>
      </c>
      <c r="Z212" s="1621"/>
      <c r="AA212" s="1564">
        <f>(4*AA201/Z202-1)*100</f>
        <v>2.3483450707275422</v>
      </c>
      <c r="AB212" s="1564">
        <f>((AA201+3*AB201)/Z202-1)*100</f>
        <v>2.8312673787063591</v>
      </c>
      <c r="AC212" s="1564">
        <f>((AA201+AB201+2*AC201)/Z202-1)*100</f>
        <v>4.1857597833274029</v>
      </c>
      <c r="AD212" s="1621"/>
      <c r="AE212" s="1564">
        <f>(4*AE201/AD202-1)*100</f>
        <v>7.4133824360883116</v>
      </c>
      <c r="AF212" s="1564">
        <f>((AE201+3*AF201)/AD202-1)*100</f>
        <v>8.2171082735100995</v>
      </c>
      <c r="AG212" s="1564">
        <f>((AE201+AF201+2*AG201)/AD202-1)*100</f>
        <v>9.2829366544047822</v>
      </c>
      <c r="AH212" s="1621"/>
      <c r="AI212" s="1564">
        <f>(4*AI201/AH202-1)*100</f>
        <v>6.9524811721860758</v>
      </c>
      <c r="AJ212" s="1564">
        <f>((AI201+3*AJ201)/AH202-1)*100</f>
        <v>9.9174400671877549</v>
      </c>
      <c r="AK212" s="1564">
        <f>((AI201+AJ201+2*AK201)/AH202-1)*100</f>
        <v>10.30361958942494</v>
      </c>
      <c r="AL212" s="1621"/>
      <c r="AM212" s="1564">
        <f>(4*AM201/AL202-1)*100</f>
        <v>7.404005475109865</v>
      </c>
      <c r="AN212" s="1564">
        <f>((AM201+3*AN201)/AL202-1)*100</f>
        <v>6.9369777033354785</v>
      </c>
      <c r="AO212" s="1564">
        <f>((AM201+AN201+2*AO201)/AL202-1)*100</f>
        <v>8.5653276060802632</v>
      </c>
      <c r="AP212" s="1621"/>
      <c r="AQ212" s="1564">
        <f>(4*AQ201/AP202-1)*100</f>
        <v>4.5621314001577096</v>
      </c>
      <c r="AR212" s="1564">
        <f>((AQ201+3*AR201)/AP202-1)*100</f>
        <v>7.2677069273383577</v>
      </c>
      <c r="AS212" s="1564">
        <f>((AQ201+AR201+2*AS201)/AP202-1)*100</f>
        <v>8.661665821998854</v>
      </c>
      <c r="AT212" s="1621"/>
      <c r="AU212" s="1564">
        <f>(4*AU201/AT202-1)*100</f>
        <v>10.372970369327494</v>
      </c>
      <c r="AV212" s="1564">
        <f>((AU201+3*AV201)/AT202-1)*100</f>
        <v>13.476480210239794</v>
      </c>
      <c r="AW212" s="1564">
        <f>((AU201+AV201+2*AW201)/AT202-1)*100</f>
        <v>15.318509474869767</v>
      </c>
      <c r="AX212" s="1621"/>
      <c r="AY212" s="1564">
        <f>(4*AY201/AX202-1)*100</f>
        <v>24.482231272174214</v>
      </c>
      <c r="AZ212" s="1564">
        <f>((AY201+3*AZ201)/AX202-1)*100</f>
        <v>24.91151689602664</v>
      </c>
      <c r="BA212" s="1564">
        <f>((AY201+AZ201+2*BA201)/AX202-1)*100</f>
        <v>27.178725181064102</v>
      </c>
      <c r="BB212" s="1621"/>
      <c r="BC212" s="1564">
        <f>(4*BC201/BB202-1)*100</f>
        <v>6.537427357099479</v>
      </c>
      <c r="BD212" s="1564">
        <f>((BC201+3*BD201)/BB202-1)*100</f>
        <v>9.4043282158036146</v>
      </c>
      <c r="BE212" s="1564">
        <f>((BC201+BD201+2*BE201)/BB202-1)*100</f>
        <v>10.29642640298376</v>
      </c>
      <c r="BF212" s="1621"/>
      <c r="BG212" s="1564">
        <f>(4*BG201/BF202-1)*100</f>
        <v>7.9673514636021681</v>
      </c>
      <c r="BH212" s="1564">
        <f>((BG201+3*BH201)/BF202-1)*100</f>
        <v>8.4837791734814427</v>
      </c>
      <c r="BI212" s="1564">
        <f>((BG201+BH201+2*BI201)/BF202-1)*100</f>
        <v>7.39705601074232</v>
      </c>
      <c r="BJ212" s="1621"/>
      <c r="BK212" s="1564">
        <f>(4*BK201/BJ202-1)*100</f>
        <v>-17.76539520367453</v>
      </c>
      <c r="BL212" s="1564">
        <f>((BK201+3*BL201)/BJ202-1)*100</f>
        <v>-19.65731594211433</v>
      </c>
      <c r="BM212" s="1564">
        <f>((BK201+BL201+2*BM201)/BJ202-1)*100</f>
        <v>-19.766256422335736</v>
      </c>
      <c r="BN212" s="1621"/>
      <c r="BO212" s="1564">
        <f>(4*BO201/BN202-1)*100</f>
        <v>2.3821684773355889</v>
      </c>
      <c r="BP212" s="1564">
        <f>((BO201+3*BP201)/BN202-1)*100</f>
        <v>5.8643125670085672</v>
      </c>
      <c r="BQ212" s="1564">
        <f>((BO201+BP201+2*BQ201)/BN202-1)*100</f>
        <v>6.8043879386903372</v>
      </c>
      <c r="BR212" s="1621"/>
      <c r="BS212" s="1564">
        <f>(4*BS201/BR202-1)*100</f>
        <v>8.2621471141614666</v>
      </c>
      <c r="BT212" s="1564">
        <f>((BS201+3*BT201)/BR202-1)*100</f>
        <v>9.0573587977217827</v>
      </c>
      <c r="BU212" s="1564">
        <f>((BS201+BT201+2*BU201)/BR202-1)*100</f>
        <v>9.2964336929400648</v>
      </c>
      <c r="BV212" s="1621"/>
      <c r="BW212" s="1564">
        <f>(4*BW201/BV202-1)*100</f>
        <v>2.6922695651666606</v>
      </c>
      <c r="BX212" s="1564">
        <f>((BW201+3*BX201)/BV202-1)*100</f>
        <v>2.1126473109375876</v>
      </c>
      <c r="BY212" s="1564">
        <f>((BW201+BX201+2*BY201)/BV202-1)*100</f>
        <v>4.5407630721145509</v>
      </c>
      <c r="BZ212" s="1621"/>
      <c r="CA212" s="1564">
        <f>(4*CA201/BZ202-1)*100</f>
        <v>4.150276177422163</v>
      </c>
      <c r="CB212" s="1564">
        <f>((CA201+3*CB201)/BZ202-1)*100</f>
        <v>4.720275174491384</v>
      </c>
      <c r="CC212" s="1564">
        <f>((CA201+CB201+2*CC201)/BZ202-1)*100</f>
        <v>5.9052193261047936</v>
      </c>
      <c r="CD212" s="1621"/>
      <c r="CE212" s="1564">
        <f>(4*CE201/CD202-1)*100</f>
        <v>2.1375437049941048</v>
      </c>
      <c r="CF212" s="1564">
        <f>((CE201+3*CF201)/CD202-1)*100</f>
        <v>2.8438199083135052</v>
      </c>
      <c r="CG212" s="1564">
        <f>((CE201+CF201+2*CG201)/CD202-1)*100</f>
        <v>2.9949399280430722</v>
      </c>
      <c r="CH212" s="1621"/>
      <c r="CI212" s="1564">
        <f>(4*CI201/CH202-1)*100</f>
        <v>3.1760324983073795</v>
      </c>
      <c r="CJ212" s="1564">
        <f>((CI201+3*CJ201)/CH202-1)*100</f>
        <v>4.2687880839539671</v>
      </c>
      <c r="CK212" s="1564">
        <f>((CI201+CJ201+2*CK201)/CH202-1)*100</f>
        <v>3.7826675693974243</v>
      </c>
      <c r="CL212" s="1621"/>
      <c r="CM212" s="1564">
        <f>(4*CM201/CL202-1)*100</f>
        <v>-0.23246790932119898</v>
      </c>
      <c r="CN212" s="1564">
        <f>((CM201+3*CN201)/CL202-1)*100</f>
        <v>1.5839117860904084</v>
      </c>
      <c r="CO212" s="1564">
        <f>((CM201+CN201+2*CO201)/CL202-1)*100</f>
        <v>2.145029979557167</v>
      </c>
      <c r="CP212" s="1621"/>
      <c r="CQ212" s="1564">
        <f>(4*CQ201/CP202-1)*100</f>
        <v>5.2973663269146876</v>
      </c>
      <c r="CR212" s="1564">
        <f>((CQ201+3*CR201)/CP202-1)*100</f>
        <v>6.3113804983345956</v>
      </c>
      <c r="CS212" s="1564">
        <f>((CQ201+CR201+2*CS201)/CP202-1)*100</f>
        <v>7.5833456431858126</v>
      </c>
      <c r="CT212" s="1621"/>
      <c r="CU212" s="1564">
        <f>(4*CU201/CT202-1)*100</f>
        <v>3.3543495495495623</v>
      </c>
      <c r="CV212" s="1564">
        <f>((CU201+3*CV201)/CT202-1)*100</f>
        <v>3.9104142068468351</v>
      </c>
      <c r="CW212" s="1564">
        <f>((CU201+CV201+2*CW201)/CT202-1)*100</f>
        <v>4.2838163277399754</v>
      </c>
      <c r="CX212" s="1621"/>
      <c r="CY212" s="1564">
        <f>(4*CY201/CX202-1)*100</f>
        <v>2.1575786823443632</v>
      </c>
      <c r="CZ212" s="1564">
        <f>((CY201+3*CZ201)/CX202-1)*100</f>
        <v>3.0057444256393895</v>
      </c>
      <c r="DA212" s="1564">
        <f>((CY201+CZ201+2*DA201)/CX202-1)*100</f>
        <v>3.5786237282407596</v>
      </c>
      <c r="DB212" s="1621"/>
      <c r="DC212"/>
      <c r="DD212"/>
      <c r="DE212"/>
      <c r="DF212"/>
      <c r="DG212"/>
      <c r="DH212"/>
      <c r="DI212"/>
      <c r="DJ212"/>
      <c r="DK212"/>
      <c r="DL212"/>
      <c r="DM212"/>
      <c r="DN212"/>
      <c r="DO212"/>
    </row>
    <row r="213" spans="1:119" ht="12.75" customHeight="1">
      <c r="C213" s="1557"/>
      <c r="D213" s="828"/>
      <c r="E213" s="3631" t="s">
        <v>1807</v>
      </c>
      <c r="F213" s="828"/>
      <c r="G213" s="876"/>
      <c r="H213" s="876"/>
      <c r="I213" s="876"/>
      <c r="J213" s="876"/>
      <c r="K213" s="1620"/>
      <c r="L213" s="883">
        <f>(4*L201/(K201+3*L201)-1)*100</f>
        <v>0.59861997532406619</v>
      </c>
      <c r="M213" s="883">
        <f>(4*M201/(K201+L201+2*M201)-1)*100</f>
        <v>2.6818247344272628</v>
      </c>
      <c r="N213" s="883">
        <f>+(4*N201/N202-1)*100</f>
        <v>4.860501149742924</v>
      </c>
      <c r="O213" s="1620"/>
      <c r="P213" s="883">
        <f>(4*P201/(O201+3*P201)-1)*100</f>
        <v>0.63227145481650204</v>
      </c>
      <c r="Q213" s="883">
        <f>(4*Q201/(O201+P201+2*Q201)-1)*100</f>
        <v>1.1092302275181654</v>
      </c>
      <c r="R213" s="883">
        <f>+(4*R201/R202-1)*100</f>
        <v>5.0561030003983376</v>
      </c>
      <c r="S213" s="1620"/>
      <c r="T213" s="883">
        <f>(4*T201/(S201+3*T201)-1)*100</f>
        <v>7.3417383889395893E-2</v>
      </c>
      <c r="U213" s="883">
        <f>(4*U201/(S201+T201+2*U201)-1)*100</f>
        <v>-0.14729409541039962</v>
      </c>
      <c r="V213" s="883">
        <f>+(4*V201/V202-1)*100</f>
        <v>-2.4309551599641877</v>
      </c>
      <c r="W213" s="1620"/>
      <c r="X213" s="883">
        <f>(4*X201/(W201+3*X201)-1)*100</f>
        <v>0.17287555390959053</v>
      </c>
      <c r="Y213" s="883">
        <f>(4*Y201/(W201+X201+2*Y201)-1)*100</f>
        <v>-0.68315448059635964</v>
      </c>
      <c r="Z213" s="883">
        <f>+(4*Z201/Z202-1)*100</f>
        <v>-1.0056911202931396</v>
      </c>
      <c r="AA213" s="1620"/>
      <c r="AB213" s="883">
        <f>(4*AB201/(AA201+3*AB201)-1)*100</f>
        <v>0.15654198062811098</v>
      </c>
      <c r="AC213" s="883">
        <f>(4*AC201/(AA201+AB201+2*AC201)-1)*100</f>
        <v>1.454581231093699</v>
      </c>
      <c r="AD213" s="883">
        <f>+(4*AD201/AD202-1)*100</f>
        <v>2.1685667718670976</v>
      </c>
      <c r="AE213" s="1620"/>
      <c r="AF213" s="883">
        <f>(4*AF201/(AE201+3*AF201)-1)*100</f>
        <v>0.24756585788339169</v>
      </c>
      <c r="AG213" s="883">
        <f>(4*AG201/(AE201+AF201+2*AG201)-1)*100</f>
        <v>1.2204439541979362</v>
      </c>
      <c r="AH213" s="883">
        <f>+(4*AH201/AH202-1)*100</f>
        <v>4.8103721070904548</v>
      </c>
      <c r="AI213" s="1620"/>
      <c r="AJ213" s="883">
        <f>(4*AJ201/(AI201+3*AJ201)-1)*100</f>
        <v>0.89914724275155233</v>
      </c>
      <c r="AK213" s="883">
        <f>(4*AK201/(AI201+AJ201+2*AK201)-1)*100</f>
        <v>1.2461052130660955</v>
      </c>
      <c r="AL213" s="883">
        <f>+(4*AL201/AL202-1)*100</f>
        <v>3.1945645126431721</v>
      </c>
      <c r="AM213" s="1620"/>
      <c r="AN213" s="883">
        <f>(4*AN201/(AM201+3*AN201)-1)*100</f>
        <v>-0.14557726173697327</v>
      </c>
      <c r="AO213" s="883">
        <f>(4*AO201/(AM201+AN201+2*AO201)-1)*100</f>
        <v>1.3564864688323297</v>
      </c>
      <c r="AP213" s="883">
        <f>+(4*AP201/AP202-1)*100</f>
        <v>3.9021597110927564</v>
      </c>
      <c r="AQ213" s="1620"/>
      <c r="AR213" s="883">
        <f>(4*AR201/(AQ201+3*AR201)-1)*100</f>
        <v>0.84075490648003459</v>
      </c>
      <c r="AS213" s="883">
        <f>(4*AS201/(AQ201+AR201+2*AS201)-1)*100</f>
        <v>2.1128126339251541</v>
      </c>
      <c r="AT213" s="883">
        <f>+(4*AT201/AT202-1)*100</f>
        <v>4.467783565629535</v>
      </c>
      <c r="AU213" s="1620"/>
      <c r="AV213" s="883">
        <f>(4*AV201/(AU201+3*AV201)-1)*100</f>
        <v>0.91164554838805145</v>
      </c>
      <c r="AW213" s="883">
        <f>(4*AW201/(AU201+AV201+2*AW201)-1)*100</f>
        <v>2.4944239723813988</v>
      </c>
      <c r="AX213" s="883">
        <f>+(4*AX201/AX202-1)*100</f>
        <v>4.6999598263319342</v>
      </c>
      <c r="AY213" s="1620"/>
      <c r="AZ213" s="883">
        <f>(4*AZ201/(AY201+3*AZ201)-1)*100</f>
        <v>0.11455725741440492</v>
      </c>
      <c r="BA213" s="883">
        <f>(4*BA201/(AY201+AZ201+2*BA201)-1)*100</f>
        <v>1.8952096662053552</v>
      </c>
      <c r="BB213" s="883">
        <f>+(4*BB201/BB202-1)*100</f>
        <v>5.2701882210078654</v>
      </c>
      <c r="BC213" s="1620"/>
      <c r="BD213" s="883">
        <f>(4*BD201/(BC201+3*BD201)-1)*100</f>
        <v>0.87348794618347103</v>
      </c>
      <c r="BE213" s="883">
        <f>(4*BE201/(BC201+BD201+2*BE201)-1)*100</f>
        <v>1.6752417707508016</v>
      </c>
      <c r="BF213" s="883">
        <f>+(4*BF201/BF202-1)*100</f>
        <v>3.8429560119133566</v>
      </c>
      <c r="BG213" s="1620"/>
      <c r="BH213" s="883">
        <f>(4*BH201/(BG201+3*BH201)-1)*100</f>
        <v>0.15868046934877089</v>
      </c>
      <c r="BI213" s="883">
        <f>(4*BI201/(BG201+BH201+2*BI201)-1)*100</f>
        <v>-0.85158814100817493</v>
      </c>
      <c r="BJ213" s="883">
        <f>+(4*BJ201/BJ202-1)*100</f>
        <v>-4.6439560116006913</v>
      </c>
      <c r="BK213" s="1620"/>
      <c r="BL213" s="883">
        <f>(4*BL201/(BK201+3*BL201)-1)*100</f>
        <v>-0.7849379860053407</v>
      </c>
      <c r="BM213" s="883">
        <f>(4*BM201/(BK201+BL201+2*BM201)-1)*100</f>
        <v>-0.92178264828454148</v>
      </c>
      <c r="BN213" s="883">
        <f>+(4*BN201/BN202-1)*100</f>
        <v>-1.8612848156890793</v>
      </c>
      <c r="BO213" s="1620"/>
      <c r="BP213" s="883">
        <f>(4*BP201/(BO201+3*BP201)-1)*100</f>
        <v>1.0964173557760137</v>
      </c>
      <c r="BQ213" s="883">
        <f>(4*BQ201/(BO201+BP201+2*BQ201)-1)*100</f>
        <v>1.966951085797497</v>
      </c>
      <c r="BR213" s="883">
        <f>+(4*BR201/BR202-1)*100</f>
        <v>5.1980677975491885</v>
      </c>
      <c r="BS213" s="1620"/>
      <c r="BT213" s="883">
        <f>(4*BT201/(BS201+3*BT201)-1)*100</f>
        <v>0.24305609828529917</v>
      </c>
      <c r="BU213" s="883">
        <f>(4*BU201/(BS201+BT201+2*BU201)-1)*100</f>
        <v>0.46126432434330233</v>
      </c>
      <c r="BV213" s="883">
        <f>+(4*BV201/BV202-1)*100</f>
        <v>1.3549787841149907</v>
      </c>
      <c r="BW213" s="1620"/>
      <c r="BX213" s="883">
        <f>(4*BX201/(BW201+3*BX201)-1)*100</f>
        <v>-0.18921007648351473</v>
      </c>
      <c r="BY213" s="883">
        <f>(4*BY201/(BW201+BX201+2*BY201)-1)*100</f>
        <v>2.1378343503757558</v>
      </c>
      <c r="BZ213" s="883">
        <f>+(4*BZ201/BZ202-1)*100</f>
        <v>2.4631237207989098</v>
      </c>
      <c r="CA213" s="1620"/>
      <c r="CB213" s="883">
        <f>(4*CB201/(CA201+3*CB201)-1)*100</f>
        <v>0.18143541484505477</v>
      </c>
      <c r="CC213" s="883">
        <f>(4*CC201/(CA201+CB201+2*CC201)-1)*100</f>
        <v>1.2982776732366696</v>
      </c>
      <c r="CD213" s="883">
        <f>+(4*CD201/CD202-1)*100</f>
        <v>2.0892692542471947</v>
      </c>
      <c r="CE213" s="1620"/>
      <c r="CF213" s="883">
        <f>(4*CF201/(CE201+3*CF201)-1)*100</f>
        <v>0.22891545774588185</v>
      </c>
      <c r="CG213" s="883">
        <f>(4*CG201/(CE201+CF201+2*CG201)-1)*100</f>
        <v>0.37530525393389969</v>
      </c>
      <c r="CH213" s="883">
        <f>+(4*CH201/CH202-1)*100</f>
        <v>1.3622207176709589</v>
      </c>
      <c r="CI213" s="1620"/>
      <c r="CJ213" s="883">
        <f>(4*CJ201/(CI201+3*CJ201)-1)*100</f>
        <v>0.34933930716536388</v>
      </c>
      <c r="CK213" s="883">
        <f>(4*CK201/(CI201+CJ201+2*CK201)-1)*100</f>
        <v>-0.11742678765975789</v>
      </c>
      <c r="CL213" s="883">
        <f>+(4*CL201/CL202-1)*100</f>
        <v>1.4671887685069329E-2</v>
      </c>
      <c r="CM213" s="1620"/>
      <c r="CN213" s="883">
        <f>(4*CN201/(CM201+3*CN201)-1)*100</f>
        <v>0.5960194757467896</v>
      </c>
      <c r="CO213" s="883">
        <f>(4*CO201/(CM201+CN201+2*CO201)-1)*100</f>
        <v>1.1420801307423289</v>
      </c>
      <c r="CP213" s="883">
        <f>+(4*CP201/CP202-1)*100</f>
        <v>2.5666439530033447</v>
      </c>
      <c r="CQ213" s="1620"/>
      <c r="CR213" s="883">
        <f>(4*CR201/(CQ201+3*CR201)-1)*100</f>
        <v>0.31793842034806286</v>
      </c>
      <c r="CS213" s="883">
        <f>(4*CS201/(CQ201+CR201+2*CS201)-1)*100</f>
        <v>1.496486151302201</v>
      </c>
      <c r="CT213" s="883">
        <f>+(4*CT201/CT202-1)*100</f>
        <v>2.6182754182754175</v>
      </c>
      <c r="CU213" s="1620"/>
      <c r="CV213" s="883">
        <f>(4*CV201/(CU201+3*CV201)-1)*100</f>
        <v>0.17837950813746062</v>
      </c>
      <c r="CW213" s="883">
        <f>(4*CW201/(CU201+CV201+2*CW201)-1)*100</f>
        <v>0.53580414136633614</v>
      </c>
      <c r="CX213" s="883">
        <f>+(4*CX201/CX202-1)*100</f>
        <v>1.0895382396453934</v>
      </c>
      <c r="CY213" s="1620"/>
      <c r="CZ213" s="883">
        <f>(4*CZ201/(CY201+3*CZ201)-1)*100</f>
        <v>0.27447198795380601</v>
      </c>
      <c r="DA213" s="883">
        <f>(4*DA201/(CY201+CZ201+2*DA201)-1)*100</f>
        <v>0.82604034137185867</v>
      </c>
      <c r="DB213" s="883">
        <f>+(4*DB201/DB202-1)*100</f>
        <v>1.6524467153887334</v>
      </c>
    </row>
    <row r="214" spans="1:119" s="884" customFormat="1" ht="30" customHeight="1">
      <c r="A214" s="664"/>
      <c r="B214" s="664"/>
      <c r="C214" s="666"/>
      <c r="D214" s="1041"/>
      <c r="E214" s="3632"/>
      <c r="F214" s="1041"/>
      <c r="G214" s="1044"/>
      <c r="H214" s="1559"/>
      <c r="I214" s="1559"/>
      <c r="J214" s="1559"/>
      <c r="K214" s="1044"/>
      <c r="L214" s="1559"/>
      <c r="M214" s="1559"/>
      <c r="N214" s="1559"/>
      <c r="O214" s="1044"/>
      <c r="P214" s="1559"/>
      <c r="Q214" s="1559"/>
      <c r="R214" s="1559"/>
      <c r="S214" s="1044"/>
      <c r="T214" s="1559"/>
      <c r="U214" s="1559"/>
      <c r="V214" s="1559"/>
      <c r="W214" s="1044"/>
      <c r="X214" s="1559"/>
      <c r="Y214" s="1559"/>
      <c r="Z214" s="1559"/>
      <c r="AA214" s="1044"/>
      <c r="AB214" s="1559"/>
      <c r="AC214" s="1559"/>
      <c r="AD214" s="1559"/>
      <c r="AE214" s="1044"/>
      <c r="AF214" s="1559"/>
      <c r="AG214" s="1559"/>
      <c r="AH214" s="1559"/>
      <c r="AI214" s="1044"/>
      <c r="AJ214" s="1559"/>
      <c r="AK214" s="1559"/>
      <c r="AL214" s="1559"/>
      <c r="AM214" s="1044"/>
      <c r="AN214" s="1559"/>
      <c r="AO214" s="1559"/>
      <c r="AP214" s="1559"/>
      <c r="AQ214" s="1044"/>
      <c r="AR214" s="1559"/>
      <c r="AS214" s="1559"/>
      <c r="AT214" s="1559"/>
      <c r="AU214" s="1044"/>
      <c r="AV214" s="1559"/>
      <c r="AW214" s="1559"/>
      <c r="AX214" s="1559"/>
      <c r="AY214" s="1560"/>
      <c r="AZ214" s="1559"/>
      <c r="BA214" s="1560"/>
      <c r="BB214" s="1560"/>
      <c r="BC214" s="1560"/>
      <c r="BD214" s="1560"/>
      <c r="BE214" s="1560"/>
      <c r="BF214" s="1560"/>
      <c r="BG214" s="1560"/>
      <c r="BH214" s="1560"/>
      <c r="BI214" s="1560"/>
      <c r="BJ214" s="1560"/>
      <c r="BK214" s="1560"/>
      <c r="BL214" s="1560"/>
      <c r="BM214" s="1560"/>
      <c r="BN214" s="1560"/>
      <c r="BO214" s="1560"/>
      <c r="BP214" s="1560"/>
      <c r="BQ214" s="1560"/>
      <c r="BR214" s="1560"/>
      <c r="BS214" s="1560"/>
      <c r="BT214" s="1560"/>
      <c r="BU214" s="1560"/>
      <c r="BV214" s="1560"/>
      <c r="BW214" s="1560"/>
      <c r="BX214" s="1560"/>
      <c r="BY214" s="1560"/>
      <c r="BZ214" s="1560"/>
      <c r="CA214" s="1560"/>
      <c r="CB214" s="1560"/>
      <c r="CC214" s="1560"/>
      <c r="CD214" s="1560"/>
      <c r="CE214" s="1560"/>
      <c r="CF214" s="1560"/>
      <c r="CG214" s="1560"/>
      <c r="CH214" s="1560"/>
      <c r="CI214" s="1560"/>
      <c r="CJ214" s="1560"/>
      <c r="CK214" s="1560"/>
      <c r="CL214" s="1560"/>
      <c r="CM214" s="1560"/>
      <c r="CN214" s="1560"/>
      <c r="CO214" s="1560"/>
      <c r="CP214" s="1560"/>
      <c r="CQ214" s="1560"/>
      <c r="CR214" s="1560"/>
      <c r="CS214" s="1560"/>
      <c r="CT214" s="1560"/>
      <c r="CU214" s="1560"/>
      <c r="CV214" s="1560"/>
      <c r="CW214" s="1560"/>
      <c r="CX214" s="1560"/>
      <c r="CY214" s="1560"/>
      <c r="CZ214" s="1560"/>
      <c r="DA214" s="1560"/>
      <c r="DB214" s="1560"/>
      <c r="DC214"/>
      <c r="DD214"/>
      <c r="DE214"/>
      <c r="DF214"/>
      <c r="DG214"/>
      <c r="DH214"/>
      <c r="DI214"/>
      <c r="DJ214"/>
      <c r="DK214"/>
      <c r="DL214"/>
      <c r="DM214"/>
      <c r="DN214"/>
      <c r="DO214"/>
    </row>
    <row r="215" spans="1:119" s="884" customFormat="1" ht="30" customHeight="1">
      <c r="A215" s="664"/>
      <c r="B215" s="664"/>
      <c r="C215" s="666"/>
      <c r="D215" s="1041"/>
      <c r="E215" s="3632"/>
      <c r="F215" s="1041"/>
      <c r="G215" s="1044"/>
      <c r="H215" s="1559"/>
      <c r="I215" s="1559"/>
      <c r="J215" s="1559"/>
      <c r="K215" s="1044"/>
      <c r="L215" s="1559"/>
      <c r="M215" s="1559"/>
      <c r="N215" s="1559"/>
      <c r="O215" s="1044"/>
      <c r="P215" s="1559"/>
      <c r="Q215" s="1559"/>
      <c r="R215" s="1559"/>
      <c r="S215" s="1044"/>
      <c r="T215" s="1559"/>
      <c r="U215" s="1559"/>
      <c r="V215" s="1559"/>
      <c r="W215" s="1044"/>
      <c r="X215" s="1559"/>
      <c r="Y215" s="1559"/>
      <c r="Z215" s="1559"/>
      <c r="AA215" s="1044"/>
      <c r="AB215" s="1559"/>
      <c r="AC215" s="1559"/>
      <c r="AD215" s="1559"/>
      <c r="AE215" s="1044"/>
      <c r="AF215" s="1559"/>
      <c r="AG215" s="1559"/>
      <c r="AH215" s="1559"/>
      <c r="AI215" s="1044"/>
      <c r="AJ215" s="1559"/>
      <c r="AK215" s="1559"/>
      <c r="AL215" s="1559"/>
      <c r="AM215" s="1044"/>
      <c r="AN215" s="1559"/>
      <c r="AO215" s="1559"/>
      <c r="AP215" s="1559"/>
      <c r="AQ215" s="1044"/>
      <c r="AR215" s="1559"/>
      <c r="AS215" s="1559"/>
      <c r="AT215" s="1559"/>
      <c r="AU215" s="1044"/>
      <c r="AV215" s="1559"/>
      <c r="AW215" s="1559"/>
      <c r="AX215" s="1559"/>
      <c r="AY215" s="1560"/>
      <c r="AZ215" s="1559"/>
      <c r="BA215" s="1560"/>
      <c r="BB215" s="1560"/>
      <c r="BC215" s="1560"/>
      <c r="BD215" s="1560"/>
      <c r="BE215" s="1560"/>
      <c r="BF215" s="1560"/>
      <c r="BG215" s="1560"/>
      <c r="BH215" s="1560"/>
      <c r="BI215" s="1560"/>
      <c r="BJ215" s="1560"/>
      <c r="BK215" s="1560"/>
      <c r="BL215" s="1560"/>
      <c r="BM215" s="1560"/>
      <c r="BN215" s="1560"/>
      <c r="BO215" s="1560"/>
      <c r="BP215" s="1560"/>
      <c r="BQ215" s="1560"/>
      <c r="BR215" s="1560"/>
      <c r="BS215" s="1560"/>
      <c r="BT215" s="1560"/>
      <c r="BU215" s="1560"/>
      <c r="BV215" s="1560"/>
      <c r="BW215" s="1560"/>
      <c r="BX215" s="1560"/>
      <c r="BY215" s="1560"/>
      <c r="BZ215" s="1560"/>
      <c r="CA215" s="1560"/>
      <c r="CB215" s="1560"/>
      <c r="CC215" s="1560"/>
      <c r="CD215" s="1560"/>
      <c r="CE215" s="1560"/>
      <c r="CF215" s="1560"/>
      <c r="CG215" s="1560"/>
      <c r="CH215" s="1560"/>
      <c r="CI215" s="1560"/>
      <c r="CJ215" s="1560"/>
      <c r="CK215" s="1560"/>
      <c r="CL215" s="1560"/>
      <c r="CM215" s="1560"/>
      <c r="CN215" s="1560"/>
      <c r="CO215" s="1560"/>
      <c r="CP215" s="1560"/>
      <c r="CQ215" s="1560"/>
      <c r="CR215" s="1560"/>
      <c r="CS215" s="1560"/>
      <c r="CT215" s="1560"/>
      <c r="CU215" s="1560"/>
      <c r="CV215" s="1560"/>
      <c r="CW215" s="1560"/>
      <c r="CX215" s="1560"/>
      <c r="CY215" s="1560"/>
      <c r="CZ215" s="1560"/>
      <c r="DA215" s="1560"/>
      <c r="DB215" s="1560"/>
      <c r="DC215"/>
      <c r="DD215"/>
      <c r="DE215"/>
      <c r="DF215"/>
      <c r="DG215"/>
      <c r="DH215"/>
      <c r="DI215"/>
      <c r="DJ215"/>
      <c r="DK215"/>
      <c r="DL215"/>
      <c r="DM215"/>
      <c r="DN215"/>
      <c r="DO215"/>
    </row>
    <row r="216" spans="1:119" ht="30" customHeight="1">
      <c r="C216" s="3766" t="s">
        <v>1086</v>
      </c>
      <c r="D216" s="3766"/>
      <c r="E216" s="3766"/>
      <c r="F216" s="3766"/>
      <c r="CM216" s="557"/>
      <c r="CN216" s="557"/>
      <c r="CO216" s="557"/>
      <c r="CP216" s="557"/>
      <c r="CQ216" s="557"/>
      <c r="CR216" s="557"/>
      <c r="CS216" s="557"/>
      <c r="CT216" s="557"/>
      <c r="CU216" s="557"/>
      <c r="CV216" s="557"/>
      <c r="CW216" s="557"/>
      <c r="CX216" s="557"/>
      <c r="CY216" s="557"/>
      <c r="CZ216" s="557"/>
      <c r="DA216" s="557"/>
      <c r="DB216" s="557"/>
    </row>
    <row r="217" spans="1:119" ht="12.75" customHeight="1">
      <c r="A217" s="664"/>
      <c r="E217" s="599"/>
      <c r="F217" s="3617"/>
      <c r="CM217" s="557"/>
      <c r="CN217" s="557"/>
      <c r="CO217" s="557"/>
      <c r="CP217" s="557"/>
      <c r="CQ217" s="557"/>
      <c r="CR217" s="557"/>
      <c r="CS217" s="557"/>
      <c r="CT217" s="557"/>
      <c r="CU217" s="557"/>
      <c r="CV217" s="557"/>
      <c r="CW217" s="557"/>
      <c r="CX217" s="557"/>
      <c r="CY217" s="557"/>
      <c r="CZ217" s="557"/>
      <c r="DA217" s="557"/>
      <c r="DB217" s="557"/>
    </row>
    <row r="218" spans="1:119" ht="12.75" customHeight="1">
      <c r="A218" s="664"/>
      <c r="E218" s="599"/>
      <c r="F218" s="3617"/>
      <c r="G218" s="3763">
        <f ca="1">OFFSET(InputY!$G$3,0,(COLUMN()-7)/4)</f>
        <v>1995</v>
      </c>
      <c r="H218" s="3764"/>
      <c r="I218" s="3764"/>
      <c r="J218" s="3765"/>
      <c r="K218" s="3763">
        <f ca="1">OFFSET(InputY!$G$3,0,(COLUMN()-7)/4)</f>
        <v>1996</v>
      </c>
      <c r="L218" s="3764"/>
      <c r="M218" s="3764"/>
      <c r="N218" s="3765"/>
      <c r="O218" s="3763">
        <f ca="1">OFFSET(InputY!$G$3,0,(COLUMN()-7)/4)</f>
        <v>1997</v>
      </c>
      <c r="P218" s="3764"/>
      <c r="Q218" s="3764"/>
      <c r="R218" s="3765"/>
      <c r="S218" s="3763">
        <f ca="1">OFFSET(InputY!$G$3,0,(COLUMN()-7)/4)</f>
        <v>1998</v>
      </c>
      <c r="T218" s="3764"/>
      <c r="U218" s="3764"/>
      <c r="V218" s="3765"/>
      <c r="W218" s="3763">
        <f ca="1">OFFSET(InputY!$G$3,0,(COLUMN()-7)/4)</f>
        <v>1999</v>
      </c>
      <c r="X218" s="3764"/>
      <c r="Y218" s="3764"/>
      <c r="Z218" s="3765"/>
      <c r="AA218" s="3763">
        <f ca="1">OFFSET(InputY!$G$3,0,(COLUMN()-7)/4)</f>
        <v>2000</v>
      </c>
      <c r="AB218" s="3764"/>
      <c r="AC218" s="3764"/>
      <c r="AD218" s="3765"/>
      <c r="AE218" s="3763">
        <f ca="1">OFFSET(InputY!$G$3,0,(COLUMN()-7)/4)</f>
        <v>2001</v>
      </c>
      <c r="AF218" s="3764"/>
      <c r="AG218" s="3764"/>
      <c r="AH218" s="3765"/>
      <c r="AI218" s="3763">
        <f ca="1">OFFSET(InputY!$G$3,0,(COLUMN()-7)/4)</f>
        <v>2002</v>
      </c>
      <c r="AJ218" s="3764"/>
      <c r="AK218" s="3764"/>
      <c r="AL218" s="3765"/>
      <c r="AM218" s="3763">
        <f ca="1">OFFSET(InputY!$G$3,0,(COLUMN()-7)/4)</f>
        <v>2003</v>
      </c>
      <c r="AN218" s="3764"/>
      <c r="AO218" s="3764"/>
      <c r="AP218" s="3765"/>
      <c r="AQ218" s="3763">
        <f ca="1">OFFSET(InputY!$G$3,0,(COLUMN()-7)/4)</f>
        <v>2004</v>
      </c>
      <c r="AR218" s="3764"/>
      <c r="AS218" s="3764"/>
      <c r="AT218" s="3765"/>
      <c r="AU218" s="3763">
        <f ca="1">OFFSET(InputY!$G$3,0,(COLUMN()-7)/4)</f>
        <v>2005</v>
      </c>
      <c r="AV218" s="3764"/>
      <c r="AW218" s="3764"/>
      <c r="AX218" s="3765"/>
      <c r="AY218" s="3763">
        <f ca="1">OFFSET(InputY!$G$3,0,(COLUMN()-7)/4)</f>
        <v>2006</v>
      </c>
      <c r="AZ218" s="3764"/>
      <c r="BA218" s="3764"/>
      <c r="BB218" s="3765"/>
      <c r="BC218" s="3763">
        <f ca="1">OFFSET(InputY!$G$3,0,(COLUMN()-7)/4)</f>
        <v>2007</v>
      </c>
      <c r="BD218" s="3764"/>
      <c r="BE218" s="3764"/>
      <c r="BF218" s="3765"/>
      <c r="BG218" s="3763">
        <f ca="1">OFFSET(InputY!$G$3,0,(COLUMN()-7)/4)</f>
        <v>2008</v>
      </c>
      <c r="BH218" s="3764"/>
      <c r="BI218" s="3764"/>
      <c r="BJ218" s="3765"/>
      <c r="BK218" s="3763">
        <f ca="1">OFFSET(InputY!$G$3,0,(COLUMN()-7)/4)</f>
        <v>2009</v>
      </c>
      <c r="BL218" s="3764"/>
      <c r="BM218" s="3764"/>
      <c r="BN218" s="3765"/>
      <c r="BO218" s="3763">
        <f ca="1">OFFSET(InputY!$G$3,0,(COLUMN()-7)/4)</f>
        <v>2010</v>
      </c>
      <c r="BP218" s="3764"/>
      <c r="BQ218" s="3764"/>
      <c r="BR218" s="3765"/>
      <c r="BS218" s="3763">
        <f ca="1">OFFSET(InputY!$G$3,0,(COLUMN()-7)/4)</f>
        <v>2011</v>
      </c>
      <c r="BT218" s="3764"/>
      <c r="BU218" s="3764"/>
      <c r="BV218" s="3765"/>
      <c r="BW218" s="3763">
        <f ca="1">OFFSET(InputY!$G$3,0,(COLUMN()-7)/4)</f>
        <v>2012</v>
      </c>
      <c r="BX218" s="3764"/>
      <c r="BY218" s="3764"/>
      <c r="BZ218" s="3765"/>
      <c r="CA218" s="3763">
        <f ca="1">OFFSET(InputY!$G$3,0,(COLUMN()-7)/4)</f>
        <v>2013</v>
      </c>
      <c r="CB218" s="3764"/>
      <c r="CC218" s="3764"/>
      <c r="CD218" s="3765"/>
      <c r="CE218" s="3763">
        <f ca="1">OFFSET(InputY!$G$3,0,(COLUMN()-7)/4)</f>
        <v>2014</v>
      </c>
      <c r="CF218" s="3764"/>
      <c r="CG218" s="3764"/>
      <c r="CH218" s="3765"/>
      <c r="CI218" s="3763">
        <f ca="1">OFFSET(InputY!$G$3,0,(COLUMN()-7)/4)</f>
        <v>2015</v>
      </c>
      <c r="CJ218" s="3764"/>
      <c r="CK218" s="3764"/>
      <c r="CL218" s="3765"/>
      <c r="CM218" s="3763">
        <f ca="1">OFFSET(InputY!$G$3,0,(COLUMN()-7)/4)</f>
        <v>2016</v>
      </c>
      <c r="CN218" s="3764"/>
      <c r="CO218" s="3764"/>
      <c r="CP218" s="3765"/>
      <c r="CQ218" s="3763">
        <f ca="1">OFFSET(InputY!$G$3,0,(COLUMN()-7)/4)</f>
        <v>2017</v>
      </c>
      <c r="CR218" s="3764"/>
      <c r="CS218" s="3764"/>
      <c r="CT218" s="3765"/>
      <c r="CU218" s="3763">
        <f ca="1">OFFSET(InputY!$G$3,0,(COLUMN()-7)/4)</f>
        <v>2018</v>
      </c>
      <c r="CV218" s="3764"/>
      <c r="CW218" s="3764"/>
      <c r="CX218" s="3765"/>
      <c r="CY218" s="3763">
        <f ca="1">OFFSET(InputY!$G$3,0,(COLUMN()-7)/4)</f>
        <v>2019</v>
      </c>
      <c r="CZ218" s="3764"/>
      <c r="DA218" s="3764"/>
      <c r="DB218" s="3765"/>
    </row>
    <row r="219" spans="1:119" s="699" customFormat="1" ht="12.75" customHeight="1">
      <c r="A219" s="664"/>
      <c r="B219" s="664"/>
      <c r="C219" s="666"/>
      <c r="D219" s="695"/>
      <c r="E219" s="3618" t="s">
        <v>1892</v>
      </c>
      <c r="F219" s="3619"/>
      <c r="G219" s="1566" t="s">
        <v>1842</v>
      </c>
      <c r="H219" s="1567" t="s">
        <v>1843</v>
      </c>
      <c r="I219" s="1567" t="s">
        <v>1844</v>
      </c>
      <c r="J219" s="1568" t="s">
        <v>1845</v>
      </c>
      <c r="K219" s="1566" t="s">
        <v>1842</v>
      </c>
      <c r="L219" s="1567" t="s">
        <v>1843</v>
      </c>
      <c r="M219" s="1567" t="s">
        <v>1844</v>
      </c>
      <c r="N219" s="1568" t="s">
        <v>1845</v>
      </c>
      <c r="O219" s="1566" t="s">
        <v>1842</v>
      </c>
      <c r="P219" s="1567" t="s">
        <v>1843</v>
      </c>
      <c r="Q219" s="1567" t="s">
        <v>1844</v>
      </c>
      <c r="R219" s="1568" t="s">
        <v>1845</v>
      </c>
      <c r="S219" s="1566" t="s">
        <v>1842</v>
      </c>
      <c r="T219" s="1567" t="s">
        <v>1843</v>
      </c>
      <c r="U219" s="1567" t="s">
        <v>1844</v>
      </c>
      <c r="V219" s="1568" t="s">
        <v>1845</v>
      </c>
      <c r="W219" s="1566" t="s">
        <v>1842</v>
      </c>
      <c r="X219" s="1567" t="s">
        <v>1843</v>
      </c>
      <c r="Y219" s="1567" t="s">
        <v>1844</v>
      </c>
      <c r="Z219" s="1568" t="s">
        <v>1845</v>
      </c>
      <c r="AA219" s="1566" t="s">
        <v>1842</v>
      </c>
      <c r="AB219" s="1567" t="s">
        <v>1843</v>
      </c>
      <c r="AC219" s="1567" t="s">
        <v>1844</v>
      </c>
      <c r="AD219" s="1568" t="s">
        <v>1845</v>
      </c>
      <c r="AE219" s="1566" t="s">
        <v>1842</v>
      </c>
      <c r="AF219" s="1567" t="s">
        <v>1843</v>
      </c>
      <c r="AG219" s="1567" t="s">
        <v>1844</v>
      </c>
      <c r="AH219" s="1568" t="s">
        <v>1845</v>
      </c>
      <c r="AI219" s="1566" t="s">
        <v>1842</v>
      </c>
      <c r="AJ219" s="1567" t="s">
        <v>1843</v>
      </c>
      <c r="AK219" s="1567" t="s">
        <v>1844</v>
      </c>
      <c r="AL219" s="1568" t="s">
        <v>1845</v>
      </c>
      <c r="AM219" s="1566" t="s">
        <v>1842</v>
      </c>
      <c r="AN219" s="1567" t="s">
        <v>1843</v>
      </c>
      <c r="AO219" s="1567" t="s">
        <v>1844</v>
      </c>
      <c r="AP219" s="1568" t="s">
        <v>1845</v>
      </c>
      <c r="AQ219" s="1566" t="s">
        <v>1842</v>
      </c>
      <c r="AR219" s="1567" t="s">
        <v>1843</v>
      </c>
      <c r="AS219" s="1567" t="s">
        <v>1844</v>
      </c>
      <c r="AT219" s="1568" t="s">
        <v>1845</v>
      </c>
      <c r="AU219" s="1566" t="s">
        <v>1842</v>
      </c>
      <c r="AV219" s="1567" t="s">
        <v>1843</v>
      </c>
      <c r="AW219" s="1567" t="s">
        <v>1844</v>
      </c>
      <c r="AX219" s="1568" t="s">
        <v>1845</v>
      </c>
      <c r="AY219" s="1566" t="s">
        <v>1842</v>
      </c>
      <c r="AZ219" s="1567" t="s">
        <v>1843</v>
      </c>
      <c r="BA219" s="1567" t="s">
        <v>1844</v>
      </c>
      <c r="BB219" s="1568" t="s">
        <v>1845</v>
      </c>
      <c r="BC219" s="1566" t="s">
        <v>1842</v>
      </c>
      <c r="BD219" s="1567" t="s">
        <v>1843</v>
      </c>
      <c r="BE219" s="1567" t="s">
        <v>1844</v>
      </c>
      <c r="BF219" s="1568" t="s">
        <v>1845</v>
      </c>
      <c r="BG219" s="1566" t="s">
        <v>1842</v>
      </c>
      <c r="BH219" s="1567" t="s">
        <v>1843</v>
      </c>
      <c r="BI219" s="1567" t="s">
        <v>1844</v>
      </c>
      <c r="BJ219" s="1568" t="s">
        <v>1845</v>
      </c>
      <c r="BK219" s="1566" t="s">
        <v>1842</v>
      </c>
      <c r="BL219" s="1567" t="s">
        <v>1843</v>
      </c>
      <c r="BM219" s="1567" t="s">
        <v>1844</v>
      </c>
      <c r="BN219" s="1568" t="s">
        <v>1845</v>
      </c>
      <c r="BO219" s="1566" t="s">
        <v>1842</v>
      </c>
      <c r="BP219" s="1567" t="s">
        <v>1843</v>
      </c>
      <c r="BQ219" s="1567" t="s">
        <v>1844</v>
      </c>
      <c r="BR219" s="1568" t="s">
        <v>1845</v>
      </c>
      <c r="BS219" s="1566" t="s">
        <v>1842</v>
      </c>
      <c r="BT219" s="1567" t="s">
        <v>1843</v>
      </c>
      <c r="BU219" s="1567" t="s">
        <v>1844</v>
      </c>
      <c r="BV219" s="1568" t="s">
        <v>1845</v>
      </c>
      <c r="BW219" s="1566" t="s">
        <v>1842</v>
      </c>
      <c r="BX219" s="1567" t="s">
        <v>1843</v>
      </c>
      <c r="BY219" s="1567" t="s">
        <v>1844</v>
      </c>
      <c r="BZ219" s="1568" t="s">
        <v>1845</v>
      </c>
      <c r="CA219" s="1566" t="s">
        <v>1842</v>
      </c>
      <c r="CB219" s="1567" t="s">
        <v>1843</v>
      </c>
      <c r="CC219" s="1567" t="s">
        <v>1844</v>
      </c>
      <c r="CD219" s="1568" t="s">
        <v>1845</v>
      </c>
      <c r="CE219" s="1566" t="s">
        <v>1842</v>
      </c>
      <c r="CF219" s="1567" t="s">
        <v>1843</v>
      </c>
      <c r="CG219" s="1567" t="s">
        <v>1844</v>
      </c>
      <c r="CH219" s="1568" t="s">
        <v>1845</v>
      </c>
      <c r="CI219" s="1566" t="s">
        <v>1842</v>
      </c>
      <c r="CJ219" s="1567" t="s">
        <v>1843</v>
      </c>
      <c r="CK219" s="1567" t="s">
        <v>1844</v>
      </c>
      <c r="CL219" s="1568" t="s">
        <v>1845</v>
      </c>
      <c r="CM219" s="1566" t="s">
        <v>1842</v>
      </c>
      <c r="CN219" s="1567" t="s">
        <v>1843</v>
      </c>
      <c r="CO219" s="1567" t="s">
        <v>1844</v>
      </c>
      <c r="CP219" s="1568" t="s">
        <v>1845</v>
      </c>
      <c r="CQ219" s="1566" t="s">
        <v>1842</v>
      </c>
      <c r="CR219" s="1567" t="s">
        <v>1843</v>
      </c>
      <c r="CS219" s="1567" t="s">
        <v>1844</v>
      </c>
      <c r="CT219" s="1568" t="s">
        <v>1845</v>
      </c>
      <c r="CU219" s="1566" t="s">
        <v>1842</v>
      </c>
      <c r="CV219" s="1567" t="s">
        <v>1843</v>
      </c>
      <c r="CW219" s="1567" t="s">
        <v>1844</v>
      </c>
      <c r="CX219" s="1568" t="s">
        <v>1845</v>
      </c>
      <c r="CY219" s="1566" t="s">
        <v>1842</v>
      </c>
      <c r="CZ219" s="1567" t="s">
        <v>1843</v>
      </c>
      <c r="DA219" s="1567" t="s">
        <v>1844</v>
      </c>
      <c r="DB219" s="1568" t="s">
        <v>1845</v>
      </c>
      <c r="DC219"/>
      <c r="DD219"/>
      <c r="DE219"/>
      <c r="DF219"/>
      <c r="DG219"/>
      <c r="DH219"/>
      <c r="DI219"/>
      <c r="DJ219"/>
      <c r="DK219"/>
      <c r="DL219"/>
      <c r="DM219"/>
      <c r="DN219"/>
      <c r="DO219"/>
    </row>
    <row r="220" spans="1:119" s="699" customFormat="1" ht="12.75" hidden="1" customHeight="1">
      <c r="A220" s="664" t="str">
        <f>"Q" &amp; ROW(InputQ!A68)</f>
        <v>Q68</v>
      </c>
      <c r="C220" s="3069" t="s">
        <v>1767</v>
      </c>
      <c r="D220" s="668"/>
      <c r="E220" s="3620" t="s">
        <v>1786</v>
      </c>
      <c r="F220" s="3621"/>
      <c r="G220" s="780" t="e">
        <f>InputQ!G68/1000</f>
        <v>#VALUE!</v>
      </c>
      <c r="H220" s="780" t="e">
        <f>InputQ!H68/1000</f>
        <v>#VALUE!</v>
      </c>
      <c r="I220" s="780" t="e">
        <f>InputQ!I68/1000</f>
        <v>#VALUE!</v>
      </c>
      <c r="J220" s="780" t="e">
        <f>InputQ!J68/1000</f>
        <v>#VALUE!</v>
      </c>
      <c r="K220" s="780" t="e">
        <f>InputQ!K68/1000</f>
        <v>#VALUE!</v>
      </c>
      <c r="L220" s="780" t="e">
        <f>InputQ!L68/1000</f>
        <v>#VALUE!</v>
      </c>
      <c r="M220" s="780" t="e">
        <f>InputQ!M68/1000</f>
        <v>#VALUE!</v>
      </c>
      <c r="N220" s="780" t="e">
        <f>InputQ!N68/1000</f>
        <v>#VALUE!</v>
      </c>
      <c r="O220" s="780" t="e">
        <f>InputQ!O68/1000</f>
        <v>#VALUE!</v>
      </c>
      <c r="P220" s="780" t="e">
        <f>InputQ!P68/1000</f>
        <v>#VALUE!</v>
      </c>
      <c r="Q220" s="780" t="e">
        <f>InputQ!Q68/1000</f>
        <v>#VALUE!</v>
      </c>
      <c r="R220" s="780" t="e">
        <f>InputQ!R68/1000</f>
        <v>#VALUE!</v>
      </c>
      <c r="S220" s="780" t="e">
        <f>InputQ!S68/1000</f>
        <v>#VALUE!</v>
      </c>
      <c r="T220" s="780" t="e">
        <f>InputQ!T68/1000</f>
        <v>#VALUE!</v>
      </c>
      <c r="U220" s="780" t="e">
        <f>InputQ!U68/1000</f>
        <v>#VALUE!</v>
      </c>
      <c r="V220" s="780" t="e">
        <f>InputQ!V68/1000</f>
        <v>#VALUE!</v>
      </c>
      <c r="W220" s="780" t="e">
        <f>InputQ!W68/1000</f>
        <v>#VALUE!</v>
      </c>
      <c r="X220" s="780" t="e">
        <f>InputQ!X68/1000</f>
        <v>#VALUE!</v>
      </c>
      <c r="Y220" s="780" t="e">
        <f>InputQ!Y68/1000</f>
        <v>#VALUE!</v>
      </c>
      <c r="Z220" s="780" t="e">
        <f>InputQ!Z68/1000</f>
        <v>#VALUE!</v>
      </c>
      <c r="AA220" s="780" t="e">
        <f>InputQ!AA68/1000</f>
        <v>#VALUE!</v>
      </c>
      <c r="AB220" s="780" t="e">
        <f>InputQ!AB68/1000</f>
        <v>#VALUE!</v>
      </c>
      <c r="AC220" s="780" t="e">
        <f>InputQ!AC68/1000</f>
        <v>#VALUE!</v>
      </c>
      <c r="AD220" s="780" t="e">
        <f>InputQ!AD68/1000</f>
        <v>#VALUE!</v>
      </c>
      <c r="AE220" s="780" t="e">
        <f>InputQ!AE68/1000</f>
        <v>#VALUE!</v>
      </c>
      <c r="AF220" s="780" t="e">
        <f>InputQ!AF68/1000</f>
        <v>#VALUE!</v>
      </c>
      <c r="AG220" s="780" t="e">
        <f>InputQ!AG68/1000</f>
        <v>#VALUE!</v>
      </c>
      <c r="AH220" s="780" t="e">
        <f>InputQ!AH68/1000</f>
        <v>#VALUE!</v>
      </c>
      <c r="AI220" s="780" t="e">
        <f>InputQ!AI68/1000</f>
        <v>#VALUE!</v>
      </c>
      <c r="AJ220" s="780" t="e">
        <f>InputQ!AJ68/1000</f>
        <v>#VALUE!</v>
      </c>
      <c r="AK220" s="780" t="e">
        <f>InputQ!AK68/1000</f>
        <v>#VALUE!</v>
      </c>
      <c r="AL220" s="780" t="e">
        <f>InputQ!AL68/1000</f>
        <v>#VALUE!</v>
      </c>
      <c r="AM220" s="780" t="e">
        <f>InputQ!AM68/1000</f>
        <v>#VALUE!</v>
      </c>
      <c r="AN220" s="780" t="e">
        <f>InputQ!AN68/1000</f>
        <v>#VALUE!</v>
      </c>
      <c r="AO220" s="780" t="e">
        <f>InputQ!AO68/1000</f>
        <v>#VALUE!</v>
      </c>
      <c r="AP220" s="780" t="e">
        <f>InputQ!AP68/1000</f>
        <v>#VALUE!</v>
      </c>
      <c r="AQ220" s="780" t="e">
        <f>InputQ!AQ68/1000</f>
        <v>#VALUE!</v>
      </c>
      <c r="AR220" s="780" t="e">
        <f>InputQ!AR68/1000</f>
        <v>#VALUE!</v>
      </c>
      <c r="AS220" s="780" t="e">
        <f>InputQ!AS68/1000</f>
        <v>#VALUE!</v>
      </c>
      <c r="AT220" s="780" t="e">
        <f>InputQ!AT68/1000</f>
        <v>#VALUE!</v>
      </c>
      <c r="AU220" s="780" t="e">
        <f>InputQ!AU68/1000</f>
        <v>#VALUE!</v>
      </c>
      <c r="AV220" s="780" t="e">
        <f>InputQ!AV68/1000</f>
        <v>#VALUE!</v>
      </c>
      <c r="AW220" s="780" t="e">
        <f>InputQ!AW68/1000</f>
        <v>#VALUE!</v>
      </c>
      <c r="AX220" s="780" t="e">
        <f>InputQ!AX68/1000</f>
        <v>#VALUE!</v>
      </c>
      <c r="AY220" s="780" t="e">
        <f>InputQ!AY68/1000</f>
        <v>#VALUE!</v>
      </c>
      <c r="AZ220" s="780" t="e">
        <f>InputQ!AZ68/1000</f>
        <v>#VALUE!</v>
      </c>
      <c r="BA220" s="780" t="e">
        <f>InputQ!BA68/1000</f>
        <v>#VALUE!</v>
      </c>
      <c r="BB220" s="780" t="e">
        <f>InputQ!BB68/1000</f>
        <v>#VALUE!</v>
      </c>
      <c r="BC220" s="780" t="e">
        <f>InputQ!BC68/1000</f>
        <v>#VALUE!</v>
      </c>
      <c r="BD220" s="780" t="e">
        <f>InputQ!BD68/1000</f>
        <v>#VALUE!</v>
      </c>
      <c r="BE220" s="780" t="e">
        <f>InputQ!BE68/1000</f>
        <v>#VALUE!</v>
      </c>
      <c r="BF220" s="780" t="e">
        <f>InputQ!BF68/1000</f>
        <v>#VALUE!</v>
      </c>
      <c r="BG220" s="780" t="e">
        <f>InputQ!BG68/1000</f>
        <v>#VALUE!</v>
      </c>
      <c r="BH220" s="780" t="e">
        <f>InputQ!BH68/1000</f>
        <v>#VALUE!</v>
      </c>
      <c r="BI220" s="780" t="e">
        <f>InputQ!BI68/1000</f>
        <v>#VALUE!</v>
      </c>
      <c r="BJ220" s="780" t="e">
        <f>InputQ!BJ68/1000</f>
        <v>#VALUE!</v>
      </c>
      <c r="BK220" s="1591" t="e">
        <f t="shared" ref="BK220:BV220" si="537">+BJ220*(1+BK233/100)</f>
        <v>#VALUE!</v>
      </c>
      <c r="BL220" s="1591" t="e">
        <f t="shared" si="537"/>
        <v>#VALUE!</v>
      </c>
      <c r="BM220" s="1591" t="e">
        <f t="shared" si="537"/>
        <v>#VALUE!</v>
      </c>
      <c r="BN220" s="1591" t="e">
        <f t="shared" si="537"/>
        <v>#VALUE!</v>
      </c>
      <c r="BO220" s="1591" t="e">
        <f t="shared" si="537"/>
        <v>#VALUE!</v>
      </c>
      <c r="BP220" s="1591" t="e">
        <f t="shared" si="537"/>
        <v>#VALUE!</v>
      </c>
      <c r="BQ220" s="1591" t="e">
        <f t="shared" si="537"/>
        <v>#VALUE!</v>
      </c>
      <c r="BR220" s="1591" t="e">
        <f t="shared" si="537"/>
        <v>#VALUE!</v>
      </c>
      <c r="BS220" s="1591" t="e">
        <f t="shared" si="537"/>
        <v>#VALUE!</v>
      </c>
      <c r="BT220" s="1591" t="e">
        <f t="shared" si="537"/>
        <v>#VALUE!</v>
      </c>
      <c r="BU220" s="1591" t="e">
        <f t="shared" si="537"/>
        <v>#VALUE!</v>
      </c>
      <c r="BV220" s="1591" t="e">
        <f t="shared" si="537"/>
        <v>#VALUE!</v>
      </c>
      <c r="BW220" s="1591" t="e">
        <f t="shared" ref="BW220:CD220" si="538">+BV220*(1+BW233/100)</f>
        <v>#VALUE!</v>
      </c>
      <c r="BX220" s="1591" t="e">
        <f t="shared" si="538"/>
        <v>#VALUE!</v>
      </c>
      <c r="BY220" s="1591" t="e">
        <f t="shared" si="538"/>
        <v>#VALUE!</v>
      </c>
      <c r="BZ220" s="1591" t="e">
        <f t="shared" si="538"/>
        <v>#VALUE!</v>
      </c>
      <c r="CA220" s="1591" t="e">
        <f t="shared" si="538"/>
        <v>#VALUE!</v>
      </c>
      <c r="CB220" s="1591" t="e">
        <f t="shared" si="538"/>
        <v>#VALUE!</v>
      </c>
      <c r="CC220" s="1591" t="e">
        <f t="shared" si="538"/>
        <v>#VALUE!</v>
      </c>
      <c r="CD220" s="1591" t="e">
        <f t="shared" si="538"/>
        <v>#VALUE!</v>
      </c>
      <c r="CE220" s="1591" t="e">
        <f t="shared" ref="CE220:CL220" si="539">+CD220*(1+CE233/100)</f>
        <v>#VALUE!</v>
      </c>
      <c r="CF220" s="1591" t="e">
        <f t="shared" si="539"/>
        <v>#VALUE!</v>
      </c>
      <c r="CG220" s="1591" t="e">
        <f t="shared" si="539"/>
        <v>#VALUE!</v>
      </c>
      <c r="CH220" s="1591" t="e">
        <f t="shared" si="539"/>
        <v>#VALUE!</v>
      </c>
      <c r="CI220" s="1591" t="e">
        <f t="shared" si="539"/>
        <v>#VALUE!</v>
      </c>
      <c r="CJ220" s="1591" t="e">
        <f t="shared" si="539"/>
        <v>#VALUE!</v>
      </c>
      <c r="CK220" s="1591" t="e">
        <f t="shared" si="539"/>
        <v>#VALUE!</v>
      </c>
      <c r="CL220" s="1591" t="e">
        <f t="shared" si="539"/>
        <v>#VALUE!</v>
      </c>
      <c r="CM220" s="1591" t="e">
        <f t="shared" ref="CM220:CT220" si="540">+CL220*(1+CM233/100)</f>
        <v>#VALUE!</v>
      </c>
      <c r="CN220" s="1591" t="e">
        <f t="shared" si="540"/>
        <v>#VALUE!</v>
      </c>
      <c r="CO220" s="1591" t="e">
        <f t="shared" si="540"/>
        <v>#VALUE!</v>
      </c>
      <c r="CP220" s="1591" t="e">
        <f t="shared" si="540"/>
        <v>#VALUE!</v>
      </c>
      <c r="CQ220" s="1591" t="e">
        <f t="shared" si="540"/>
        <v>#VALUE!</v>
      </c>
      <c r="CR220" s="1591" t="e">
        <f t="shared" si="540"/>
        <v>#VALUE!</v>
      </c>
      <c r="CS220" s="1591" t="e">
        <f t="shared" si="540"/>
        <v>#VALUE!</v>
      </c>
      <c r="CT220" s="1591" t="e">
        <f t="shared" si="540"/>
        <v>#VALUE!</v>
      </c>
      <c r="CU220" s="1591" t="e">
        <f t="shared" ref="CU220:DB220" si="541">+CT220*(1+CU233/100)</f>
        <v>#VALUE!</v>
      </c>
      <c r="CV220" s="1591" t="e">
        <f t="shared" si="541"/>
        <v>#VALUE!</v>
      </c>
      <c r="CW220" s="1591" t="e">
        <f t="shared" si="541"/>
        <v>#VALUE!</v>
      </c>
      <c r="CX220" s="1591" t="e">
        <f t="shared" si="541"/>
        <v>#VALUE!</v>
      </c>
      <c r="CY220" s="1591" t="e">
        <f t="shared" si="541"/>
        <v>#VALUE!</v>
      </c>
      <c r="CZ220" s="1591" t="e">
        <f t="shared" si="541"/>
        <v>#VALUE!</v>
      </c>
      <c r="DA220" s="1591" t="e">
        <f t="shared" si="541"/>
        <v>#VALUE!</v>
      </c>
      <c r="DB220" s="1591" t="e">
        <f t="shared" si="541"/>
        <v>#VALUE!</v>
      </c>
      <c r="DC220"/>
      <c r="DD220"/>
      <c r="DE220"/>
      <c r="DF220"/>
      <c r="DG220"/>
      <c r="DH220"/>
      <c r="DI220"/>
      <c r="DJ220"/>
      <c r="DK220"/>
      <c r="DL220"/>
      <c r="DM220"/>
      <c r="DN220"/>
      <c r="DO220"/>
    </row>
    <row r="221" spans="1:119" s="699" customFormat="1" ht="12.75" hidden="1" customHeight="1">
      <c r="A221" s="664"/>
      <c r="C221" s="3070"/>
      <c r="D221" s="679"/>
      <c r="E221" s="680" t="s">
        <v>266</v>
      </c>
      <c r="F221" s="1908"/>
      <c r="G221" s="3064"/>
      <c r="H221" s="3064"/>
      <c r="I221" s="3066"/>
      <c r="J221" s="1575" t="e">
        <f>SUM(G220:J220)</f>
        <v>#VALUE!</v>
      </c>
      <c r="K221" s="3064"/>
      <c r="L221" s="3064"/>
      <c r="M221" s="3066"/>
      <c r="N221" s="1575" t="e">
        <f>SUM(K220:N220)</f>
        <v>#VALUE!</v>
      </c>
      <c r="O221" s="3064"/>
      <c r="P221" s="3064"/>
      <c r="Q221" s="3066"/>
      <c r="R221" s="1575" t="e">
        <f>SUM(O220:R220)</f>
        <v>#VALUE!</v>
      </c>
      <c r="S221" s="3064"/>
      <c r="T221" s="3064"/>
      <c r="U221" s="3066"/>
      <c r="V221" s="1575" t="e">
        <f>SUM(S220:V220)</f>
        <v>#VALUE!</v>
      </c>
      <c r="W221" s="3064"/>
      <c r="X221" s="3064"/>
      <c r="Y221" s="3066"/>
      <c r="Z221" s="1575" t="e">
        <f>SUM(W220:Z220)</f>
        <v>#VALUE!</v>
      </c>
      <c r="AA221" s="3064"/>
      <c r="AB221" s="3064"/>
      <c r="AC221" s="3066"/>
      <c r="AD221" s="1575" t="e">
        <f>SUM(AA220:AD220)</f>
        <v>#VALUE!</v>
      </c>
      <c r="AE221" s="3064"/>
      <c r="AF221" s="3064"/>
      <c r="AG221" s="3066"/>
      <c r="AH221" s="1575" t="e">
        <f>SUM(AE220:AH220)</f>
        <v>#VALUE!</v>
      </c>
      <c r="AI221" s="3064"/>
      <c r="AJ221" s="3064"/>
      <c r="AK221" s="3066"/>
      <c r="AL221" s="1575" t="e">
        <f>SUM(AI220:AL220)</f>
        <v>#VALUE!</v>
      </c>
      <c r="AM221" s="3064"/>
      <c r="AN221" s="3064"/>
      <c r="AO221" s="3066"/>
      <c r="AP221" s="1575" t="e">
        <f>SUM(AM220:AP220)</f>
        <v>#VALUE!</v>
      </c>
      <c r="AQ221" s="3064"/>
      <c r="AR221" s="3064"/>
      <c r="AS221" s="3066"/>
      <c r="AT221" s="1575" t="e">
        <f>SUM(AQ220:AT220)</f>
        <v>#VALUE!</v>
      </c>
      <c r="AU221" s="3064"/>
      <c r="AV221" s="3064"/>
      <c r="AW221" s="3066"/>
      <c r="AX221" s="1575" t="e">
        <f>SUM(AU220:AX220)</f>
        <v>#VALUE!</v>
      </c>
      <c r="AY221" s="3064"/>
      <c r="AZ221" s="3064"/>
      <c r="BA221" s="3066"/>
      <c r="BB221" s="1575" t="e">
        <f>SUM(AY220:BB220)</f>
        <v>#VALUE!</v>
      </c>
      <c r="BC221" s="3064"/>
      <c r="BD221" s="3064"/>
      <c r="BE221" s="3066"/>
      <c r="BF221" s="1575" t="e">
        <f>SUM(BC220:BF220)</f>
        <v>#VALUE!</v>
      </c>
      <c r="BG221" s="3064"/>
      <c r="BH221" s="3064"/>
      <c r="BI221" s="3066"/>
      <c r="BJ221" s="1575" t="e">
        <f>SUM(BG220:BJ220)</f>
        <v>#VALUE!</v>
      </c>
      <c r="BK221" s="3064"/>
      <c r="BL221" s="3064"/>
      <c r="BM221" s="3066"/>
      <c r="BN221" s="1575" t="e">
        <f>SUM(BK220:BN220)</f>
        <v>#VALUE!</v>
      </c>
      <c r="BO221" s="3064"/>
      <c r="BP221" s="3064"/>
      <c r="BQ221" s="3066"/>
      <c r="BR221" s="1575" t="e">
        <f>SUM(BO220:BR220)</f>
        <v>#VALUE!</v>
      </c>
      <c r="BS221" s="3064"/>
      <c r="BT221" s="3064"/>
      <c r="BU221" s="3066"/>
      <c r="BV221" s="1575" t="e">
        <f>SUM(BS220:BV220)</f>
        <v>#VALUE!</v>
      </c>
      <c r="BW221" s="3064"/>
      <c r="BX221" s="3064"/>
      <c r="BY221" s="3066"/>
      <c r="BZ221" s="1575" t="e">
        <f>SUM(BW220:BZ220)</f>
        <v>#VALUE!</v>
      </c>
      <c r="CA221" s="3064"/>
      <c r="CB221" s="3064"/>
      <c r="CC221" s="3066"/>
      <c r="CD221" s="1575" t="e">
        <f>SUM(CA220:CD220)</f>
        <v>#VALUE!</v>
      </c>
      <c r="CE221" s="3064"/>
      <c r="CF221" s="3064"/>
      <c r="CG221" s="3066"/>
      <c r="CH221" s="1575" t="e">
        <f>SUM(CE220:CH220)</f>
        <v>#VALUE!</v>
      </c>
      <c r="CI221" s="3064"/>
      <c r="CJ221" s="3064"/>
      <c r="CK221" s="3066"/>
      <c r="CL221" s="1575" t="e">
        <f>SUM(CI220:CL220)</f>
        <v>#VALUE!</v>
      </c>
      <c r="CM221" s="3064"/>
      <c r="CN221" s="3064"/>
      <c r="CO221" s="3066"/>
      <c r="CP221" s="1575" t="e">
        <f>SUM(CM220:CP220)</f>
        <v>#VALUE!</v>
      </c>
      <c r="CQ221" s="3064"/>
      <c r="CR221" s="3064"/>
      <c r="CS221" s="3066"/>
      <c r="CT221" s="1575" t="e">
        <f>SUM(CQ220:CT220)</f>
        <v>#VALUE!</v>
      </c>
      <c r="CU221" s="3064"/>
      <c r="CV221" s="3064"/>
      <c r="CW221" s="3066"/>
      <c r="CX221" s="1575" t="e">
        <f>SUM(CU220:CX220)</f>
        <v>#VALUE!</v>
      </c>
      <c r="CY221" s="3064"/>
      <c r="CZ221" s="3064"/>
      <c r="DA221" s="3066"/>
      <c r="DB221" s="1575" t="e">
        <f>SUM(CY220:DB220)</f>
        <v>#VALUE!</v>
      </c>
      <c r="DC221"/>
      <c r="DD221"/>
      <c r="DE221"/>
      <c r="DF221"/>
      <c r="DG221"/>
      <c r="DH221"/>
      <c r="DI221"/>
      <c r="DJ221"/>
      <c r="DK221"/>
      <c r="DL221"/>
      <c r="DM221"/>
      <c r="DN221"/>
      <c r="DO221"/>
    </row>
    <row r="222" spans="1:119" s="699" customFormat="1" ht="12.75" hidden="1" customHeight="1">
      <c r="A222" s="664"/>
      <c r="C222" s="3070"/>
      <c r="D222" s="679"/>
      <c r="E222" s="680" t="s">
        <v>1847</v>
      </c>
      <c r="F222" s="1908"/>
      <c r="G222" s="3064"/>
      <c r="H222" s="3067" t="s">
        <v>757</v>
      </c>
      <c r="I222" s="3064" t="e">
        <f ca="1">+J222/J221*100</f>
        <v>#VALUE!</v>
      </c>
      <c r="J222" s="1575">
        <f ca="1">OFFSET('VVP2'!$G$104,0,(COLUMN()-10)/4)</f>
        <v>4.2202361070355128</v>
      </c>
      <c r="K222" s="3064"/>
      <c r="L222" s="3067" t="s">
        <v>757</v>
      </c>
      <c r="M222" s="3064" t="e">
        <f ca="1">+N222/N221*100</f>
        <v>#VALUE!</v>
      </c>
      <c r="N222" s="1575">
        <f ca="1">OFFSET('VVP2'!$G$104,0,(COLUMN()-10)/4)</f>
        <v>5.1459241982483732</v>
      </c>
      <c r="O222" s="3064"/>
      <c r="P222" s="3067" t="s">
        <v>757</v>
      </c>
      <c r="Q222" s="3064" t="e">
        <f ca="1">+R222/R221*100</f>
        <v>#VALUE!</v>
      </c>
      <c r="R222" s="1575">
        <f ca="1">OFFSET('VVP2'!$G$104,0,(COLUMN()-10)/4)</f>
        <v>6.4227812286901109</v>
      </c>
      <c r="S222" s="3064"/>
      <c r="T222" s="3067" t="s">
        <v>757</v>
      </c>
      <c r="U222" s="3064" t="e">
        <f ca="1">+V222/V221*100</f>
        <v>#VALUE!</v>
      </c>
      <c r="V222" s="1575">
        <f ca="1">OFFSET('VVP2'!$G$104,0,(COLUMN()-10)/4)</f>
        <v>6.8746831285953274</v>
      </c>
      <c r="W222" s="3064"/>
      <c r="X222" s="3067" t="s">
        <v>757</v>
      </c>
      <c r="Y222" s="3064" t="e">
        <f ca="1">+Z222/Z221*100</f>
        <v>#VALUE!</v>
      </c>
      <c r="Z222" s="1575">
        <f ca="1">OFFSET('VVP2'!$G$104,0,(COLUMN()-10)/4)</f>
        <v>5.9261647298424043</v>
      </c>
      <c r="AA222" s="3064"/>
      <c r="AB222" s="3067" t="s">
        <v>757</v>
      </c>
      <c r="AC222" s="3064" t="e">
        <f ca="1">+AD222/AD221*100</f>
        <v>#VALUE!</v>
      </c>
      <c r="AD222" s="1575">
        <f ca="1">OFFSET('VVP2'!$G$104,0,(COLUMN()-10)/4)</f>
        <v>6.4440649774249561</v>
      </c>
      <c r="AE222" s="3064"/>
      <c r="AF222" s="3067" t="s">
        <v>757</v>
      </c>
      <c r="AG222" s="3064" t="e">
        <f ca="1">+AH222/AH221*100</f>
        <v>#VALUE!</v>
      </c>
      <c r="AH222" s="1575">
        <f ca="1">OFFSET('VVP2'!$G$104,0,(COLUMN()-10)/4)</f>
        <v>7.7323226323786374</v>
      </c>
      <c r="AI222" s="3064"/>
      <c r="AJ222" s="3067" t="s">
        <v>757</v>
      </c>
      <c r="AK222" s="3064" t="e">
        <f ca="1">+AL222/AL221*100</f>
        <v>#VALUE!</v>
      </c>
      <c r="AL222" s="1575">
        <f ca="1">OFFSET('VVP2'!$G$104,0,(COLUMN()-10)/4)</f>
        <v>9.1730083482807512</v>
      </c>
      <c r="AM222" s="3064"/>
      <c r="AN222" s="3067" t="s">
        <v>757</v>
      </c>
      <c r="AO222" s="3064" t="e">
        <f ca="1">+AP222/AP221*100</f>
        <v>#VALUE!</v>
      </c>
      <c r="AP222" s="1575">
        <f ca="1">OFFSET('VVP2'!$G$104,0,(COLUMN()-10)/4)</f>
        <v>9.9220561771248814</v>
      </c>
      <c r="AQ222" s="3064"/>
      <c r="AR222" s="3067" t="s">
        <v>757</v>
      </c>
      <c r="AS222" s="3064" t="e">
        <f ca="1">+AT222/AT221*100</f>
        <v>#VALUE!</v>
      </c>
      <c r="AT222" s="1575">
        <f ca="1">OFFSET('VVP2'!$G$104,0,(COLUMN()-10)/4)</f>
        <v>11.380469999999999</v>
      </c>
      <c r="AU222" s="3064"/>
      <c r="AV222" s="3067" t="s">
        <v>757</v>
      </c>
      <c r="AW222" s="3064" t="e">
        <f ca="1">+AX222/AX221*100</f>
        <v>#VALUE!</v>
      </c>
      <c r="AX222" s="1575">
        <f ca="1">OFFSET('VVP2'!$G$104,0,(COLUMN()-10)/4)</f>
        <v>13.640180000000001</v>
      </c>
      <c r="AY222" s="3064"/>
      <c r="AZ222" s="3067" t="s">
        <v>757</v>
      </c>
      <c r="BA222" s="3064" t="e">
        <f ca="1">+BB222/BB221*100</f>
        <v>#VALUE!</v>
      </c>
      <c r="BB222" s="1575">
        <f ca="1">OFFSET('VVP2'!$G$104,0,(COLUMN()-10)/4)</f>
        <v>15.54504</v>
      </c>
      <c r="BC222" s="3064"/>
      <c r="BD222" s="3067" t="s">
        <v>757</v>
      </c>
      <c r="BE222" s="3064" t="e">
        <f ca="1">+BF222/BF221*100</f>
        <v>#VALUE!</v>
      </c>
      <c r="BF222" s="1575">
        <f ca="1">OFFSET('VVP2'!$G$104,0,(COLUMN()-10)/4)</f>
        <v>17.068759999999997</v>
      </c>
      <c r="BG222" s="3064"/>
      <c r="BH222" s="3067" t="s">
        <v>757</v>
      </c>
      <c r="BI222" s="3064" t="e">
        <f ca="1">+BJ222/BJ221*100</f>
        <v>#VALUE!</v>
      </c>
      <c r="BJ222" s="1575">
        <f ca="1">OFFSET('VVP2'!$G$104,0,(COLUMN()-10)/4)</f>
        <v>19.23555</v>
      </c>
      <c r="BK222" s="3064"/>
      <c r="BL222" s="3067" t="s">
        <v>757</v>
      </c>
      <c r="BM222" s="3064" t="e">
        <f ca="1">+BN222/BN221*100</f>
        <v>#VALUE!</v>
      </c>
      <c r="BN222" s="1575">
        <f ca="1">OFFSET('VVP2'!$G$104,0,(COLUMN()-10)/4)</f>
        <v>13.549799999999999</v>
      </c>
      <c r="BO222" s="3064"/>
      <c r="BP222" s="3067" t="s">
        <v>757</v>
      </c>
      <c r="BQ222" s="3064" t="e">
        <f ca="1">+BR222/BR221*100</f>
        <v>#VALUE!</v>
      </c>
      <c r="BR222" s="1575">
        <f ca="1">OFFSET('VVP2'!$G$104,0,(COLUMN()-10)/4)</f>
        <v>16.539330000000003</v>
      </c>
      <c r="BS222" s="3064"/>
      <c r="BT222" s="3067" t="s">
        <v>757</v>
      </c>
      <c r="BU222" s="3064" t="e">
        <f ca="1">+BV222/BV221*100</f>
        <v>#VALUE!</v>
      </c>
      <c r="BV222" s="1575">
        <f ca="1">OFFSET('VVP2'!$G$104,0,(COLUMN()-10)/4)</f>
        <v>18.97306</v>
      </c>
      <c r="BW222" s="3064"/>
      <c r="BX222" s="3067" t="s">
        <v>757</v>
      </c>
      <c r="BY222" s="3064" t="e">
        <f ca="1">+BZ222/BZ221*100</f>
        <v>#VALUE!</v>
      </c>
      <c r="BZ222" s="1575">
        <f ca="1">OFFSET('VVP2'!$G$104,0,(COLUMN()-10)/4)</f>
        <v>19.879450000000002</v>
      </c>
      <c r="CA222" s="3064"/>
      <c r="CB222" s="3067" t="s">
        <v>757</v>
      </c>
      <c r="CC222" s="3064" t="e">
        <f ca="1">+CD222/CD221*100</f>
        <v>#VALUE!</v>
      </c>
      <c r="CD222" s="1575">
        <f ca="1">OFFSET('VVP2'!$G$104,0,(COLUMN()-10)/4)</f>
        <v>21.409669999999998</v>
      </c>
      <c r="CE222" s="3064"/>
      <c r="CF222" s="3067" t="s">
        <v>757</v>
      </c>
      <c r="CG222" s="3064" t="e">
        <f ca="1">+CH222/CH221*100</f>
        <v>#VALUE!</v>
      </c>
      <c r="CH222" s="1575">
        <f ca="1">OFFSET('VVP2'!$G$104,0,(COLUMN()-10)/4)</f>
        <v>22.005839999999999</v>
      </c>
      <c r="CI222" s="3064"/>
      <c r="CJ222" s="3067" t="s">
        <v>757</v>
      </c>
      <c r="CK222" s="3064" t="e">
        <f ca="1">+CL222/CL221*100</f>
        <v>#VALUE!</v>
      </c>
      <c r="CL222" s="1575">
        <f ca="1">OFFSET('VVP2'!$G$104,0,(COLUMN()-10)/4)</f>
        <v>23.611000000000001</v>
      </c>
      <c r="CM222" s="3064"/>
      <c r="CN222" s="3067" t="s">
        <v>757</v>
      </c>
      <c r="CO222" s="3064" t="e">
        <f ca="1">+CP222/CP221*100</f>
        <v>#VALUE!</v>
      </c>
      <c r="CP222" s="1575">
        <f ca="1">OFFSET('VVP2'!$G$104,0,(COLUMN()-10)/4)</f>
        <v>24.316970000000001</v>
      </c>
      <c r="CQ222" s="3064"/>
      <c r="CR222" s="3067" t="s">
        <v>757</v>
      </c>
      <c r="CS222" s="3064" t="e">
        <f ca="1">+CT222/CT221*100</f>
        <v>#VALUE!</v>
      </c>
      <c r="CT222" s="1575">
        <f ca="1">OFFSET('VVP2'!$G$104,0,(COLUMN()-10)/4)</f>
        <v>27.416919999999998</v>
      </c>
      <c r="CU222" s="3064"/>
      <c r="CV222" s="3067" t="s">
        <v>757</v>
      </c>
      <c r="CW222" s="3064" t="e">
        <f ca="1">+CX222/CX221*100</f>
        <v>#VALUE!</v>
      </c>
      <c r="CX222" s="1575">
        <f ca="1">OFFSET('VVP2'!$G$104,0,(COLUMN()-10)/4)</f>
        <v>29.199019799999995</v>
      </c>
      <c r="CY222" s="3064"/>
      <c r="CZ222" s="3067" t="s">
        <v>757</v>
      </c>
      <c r="DA222" s="3064" t="e">
        <f ca="1">+DB222/DB221*100</f>
        <v>#VALUE!</v>
      </c>
      <c r="DB222" s="1575">
        <f ca="1">OFFSET('VVP2'!$G$104,0,(COLUMN()-10)/4)</f>
        <v>30.717368829599994</v>
      </c>
      <c r="DC222"/>
      <c r="DD222"/>
      <c r="DE222"/>
      <c r="DF222"/>
      <c r="DG222"/>
      <c r="DH222"/>
      <c r="DI222"/>
      <c r="DJ222"/>
      <c r="DK222"/>
      <c r="DL222"/>
      <c r="DM222"/>
      <c r="DN222"/>
      <c r="DO222"/>
    </row>
    <row r="223" spans="1:119" s="699" customFormat="1" ht="12.75" hidden="1" customHeight="1">
      <c r="A223" s="664" t="str">
        <f>"Q" &amp; ROW(InputQ!A69)</f>
        <v>Q69</v>
      </c>
      <c r="C223" s="3070" t="s">
        <v>1767</v>
      </c>
      <c r="D223" s="674"/>
      <c r="E223" s="3629" t="s">
        <v>1785</v>
      </c>
      <c r="F223" s="3630"/>
      <c r="G223" s="706" t="e">
        <f>InputQ!G69/1000</f>
        <v>#VALUE!</v>
      </c>
      <c r="H223" s="706" t="e">
        <f>InputQ!H69/1000</f>
        <v>#VALUE!</v>
      </c>
      <c r="I223" s="706" t="e">
        <f>InputQ!I69/1000</f>
        <v>#VALUE!</v>
      </c>
      <c r="J223" s="706" t="e">
        <f>InputQ!J69/1000</f>
        <v>#VALUE!</v>
      </c>
      <c r="K223" s="706" t="e">
        <f>InputQ!K69/1000</f>
        <v>#VALUE!</v>
      </c>
      <c r="L223" s="706" t="e">
        <f>InputQ!L69/1000</f>
        <v>#VALUE!</v>
      </c>
      <c r="M223" s="706" t="e">
        <f>InputQ!M69/1000</f>
        <v>#VALUE!</v>
      </c>
      <c r="N223" s="706" t="e">
        <f>InputQ!N69/1000</f>
        <v>#VALUE!</v>
      </c>
      <c r="O223" s="706" t="e">
        <f>InputQ!O69/1000</f>
        <v>#VALUE!</v>
      </c>
      <c r="P223" s="706" t="e">
        <f>InputQ!P69/1000</f>
        <v>#VALUE!</v>
      </c>
      <c r="Q223" s="706" t="e">
        <f>InputQ!Q69/1000</f>
        <v>#VALUE!</v>
      </c>
      <c r="R223" s="706" t="e">
        <f>InputQ!R69/1000</f>
        <v>#VALUE!</v>
      </c>
      <c r="S223" s="706" t="e">
        <f>InputQ!S69/1000</f>
        <v>#VALUE!</v>
      </c>
      <c r="T223" s="706" t="e">
        <f>InputQ!T69/1000</f>
        <v>#VALUE!</v>
      </c>
      <c r="U223" s="706" t="e">
        <f>InputQ!U69/1000</f>
        <v>#VALUE!</v>
      </c>
      <c r="V223" s="706" t="e">
        <f>InputQ!V69/1000</f>
        <v>#VALUE!</v>
      </c>
      <c r="W223" s="706" t="e">
        <f>InputQ!W69/1000</f>
        <v>#VALUE!</v>
      </c>
      <c r="X223" s="706" t="e">
        <f>InputQ!X69/1000</f>
        <v>#VALUE!</v>
      </c>
      <c r="Y223" s="706" t="e">
        <f>InputQ!Y69/1000</f>
        <v>#VALUE!</v>
      </c>
      <c r="Z223" s="706" t="e">
        <f>InputQ!Z69/1000</f>
        <v>#VALUE!</v>
      </c>
      <c r="AA223" s="706" t="e">
        <f>InputQ!AA69/1000</f>
        <v>#VALUE!</v>
      </c>
      <c r="AB223" s="706" t="e">
        <f>InputQ!AB69/1000</f>
        <v>#VALUE!</v>
      </c>
      <c r="AC223" s="706" t="e">
        <f>InputQ!AC69/1000</f>
        <v>#VALUE!</v>
      </c>
      <c r="AD223" s="706" t="e">
        <f>InputQ!AD69/1000</f>
        <v>#VALUE!</v>
      </c>
      <c r="AE223" s="706" t="e">
        <f>InputQ!AE69/1000</f>
        <v>#VALUE!</v>
      </c>
      <c r="AF223" s="706" t="e">
        <f>InputQ!AF69/1000</f>
        <v>#VALUE!</v>
      </c>
      <c r="AG223" s="706" t="e">
        <f>InputQ!AG69/1000</f>
        <v>#VALUE!</v>
      </c>
      <c r="AH223" s="706" t="e">
        <f>InputQ!AH69/1000</f>
        <v>#VALUE!</v>
      </c>
      <c r="AI223" s="706" t="e">
        <f>InputQ!AI69/1000</f>
        <v>#VALUE!</v>
      </c>
      <c r="AJ223" s="706" t="e">
        <f>InputQ!AJ69/1000</f>
        <v>#VALUE!</v>
      </c>
      <c r="AK223" s="706" t="e">
        <f>InputQ!AK69/1000</f>
        <v>#VALUE!</v>
      </c>
      <c r="AL223" s="706" t="e">
        <f>InputQ!AL69/1000</f>
        <v>#VALUE!</v>
      </c>
      <c r="AM223" s="706" t="e">
        <f>InputQ!AM69/1000</f>
        <v>#VALUE!</v>
      </c>
      <c r="AN223" s="706" t="e">
        <f>InputQ!AN69/1000</f>
        <v>#VALUE!</v>
      </c>
      <c r="AO223" s="706" t="e">
        <f>InputQ!AO69/1000</f>
        <v>#VALUE!</v>
      </c>
      <c r="AP223" s="706" t="e">
        <f>InputQ!AP69/1000</f>
        <v>#VALUE!</v>
      </c>
      <c r="AQ223" s="706" t="e">
        <f>InputQ!AQ69/1000</f>
        <v>#VALUE!</v>
      </c>
      <c r="AR223" s="706" t="e">
        <f>InputQ!AR69/1000</f>
        <v>#VALUE!</v>
      </c>
      <c r="AS223" s="706" t="e">
        <f>InputQ!AS69/1000</f>
        <v>#VALUE!</v>
      </c>
      <c r="AT223" s="706" t="e">
        <f>InputQ!AT69/1000</f>
        <v>#VALUE!</v>
      </c>
      <c r="AU223" s="706" t="e">
        <f>InputQ!AU69/1000</f>
        <v>#VALUE!</v>
      </c>
      <c r="AV223" s="706" t="e">
        <f>InputQ!AV69/1000</f>
        <v>#VALUE!</v>
      </c>
      <c r="AW223" s="706" t="e">
        <f>InputQ!AW69/1000</f>
        <v>#VALUE!</v>
      </c>
      <c r="AX223" s="706" t="e">
        <f>InputQ!AX69/1000</f>
        <v>#VALUE!</v>
      </c>
      <c r="AY223" s="706" t="e">
        <f>InputQ!AY69/1000</f>
        <v>#VALUE!</v>
      </c>
      <c r="AZ223" s="706" t="e">
        <f>InputQ!AZ69/1000</f>
        <v>#VALUE!</v>
      </c>
      <c r="BA223" s="706" t="e">
        <f>InputQ!BA69/1000</f>
        <v>#VALUE!</v>
      </c>
      <c r="BB223" s="706" t="e">
        <f>InputQ!BB69/1000</f>
        <v>#VALUE!</v>
      </c>
      <c r="BC223" s="706" t="e">
        <f>InputQ!BC69/1000</f>
        <v>#VALUE!</v>
      </c>
      <c r="BD223" s="706" t="e">
        <f>InputQ!BD69/1000</f>
        <v>#VALUE!</v>
      </c>
      <c r="BE223" s="706" t="e">
        <f>InputQ!BE69/1000</f>
        <v>#VALUE!</v>
      </c>
      <c r="BF223" s="706" t="e">
        <f>InputQ!BF69/1000</f>
        <v>#VALUE!</v>
      </c>
      <c r="BG223" s="706" t="e">
        <f>InputQ!BG69/1000</f>
        <v>#VALUE!</v>
      </c>
      <c r="BH223" s="706" t="e">
        <f>InputQ!BH69/1000</f>
        <v>#VALUE!</v>
      </c>
      <c r="BI223" s="706" t="e">
        <f>InputQ!BI69/1000</f>
        <v>#VALUE!</v>
      </c>
      <c r="BJ223" s="706" t="e">
        <f>InputQ!BJ69/1000</f>
        <v>#VALUE!</v>
      </c>
      <c r="BK223" s="3065" t="e">
        <f t="shared" ref="BK223:BV223" si="542">+BJ223*(1+BK236/100)</f>
        <v>#VALUE!</v>
      </c>
      <c r="BL223" s="3065" t="e">
        <f t="shared" si="542"/>
        <v>#VALUE!</v>
      </c>
      <c r="BM223" s="3065" t="e">
        <f t="shared" si="542"/>
        <v>#VALUE!</v>
      </c>
      <c r="BN223" s="3065" t="e">
        <f t="shared" si="542"/>
        <v>#VALUE!</v>
      </c>
      <c r="BO223" s="3065" t="e">
        <f t="shared" si="542"/>
        <v>#VALUE!</v>
      </c>
      <c r="BP223" s="3065" t="e">
        <f t="shared" si="542"/>
        <v>#VALUE!</v>
      </c>
      <c r="BQ223" s="3065" t="e">
        <f t="shared" si="542"/>
        <v>#VALUE!</v>
      </c>
      <c r="BR223" s="3065" t="e">
        <f t="shared" si="542"/>
        <v>#VALUE!</v>
      </c>
      <c r="BS223" s="3065" t="e">
        <f t="shared" si="542"/>
        <v>#VALUE!</v>
      </c>
      <c r="BT223" s="3065" t="e">
        <f t="shared" si="542"/>
        <v>#VALUE!</v>
      </c>
      <c r="BU223" s="3065" t="e">
        <f t="shared" si="542"/>
        <v>#VALUE!</v>
      </c>
      <c r="BV223" s="3065" t="e">
        <f t="shared" si="542"/>
        <v>#VALUE!</v>
      </c>
      <c r="BW223" s="3065" t="e">
        <f t="shared" ref="BW223:CD223" si="543">+BV223*(1+BW236/100)</f>
        <v>#VALUE!</v>
      </c>
      <c r="BX223" s="3065" t="e">
        <f t="shared" si="543"/>
        <v>#VALUE!</v>
      </c>
      <c r="BY223" s="3065" t="e">
        <f t="shared" si="543"/>
        <v>#VALUE!</v>
      </c>
      <c r="BZ223" s="3065" t="e">
        <f t="shared" si="543"/>
        <v>#VALUE!</v>
      </c>
      <c r="CA223" s="3065" t="e">
        <f t="shared" si="543"/>
        <v>#VALUE!</v>
      </c>
      <c r="CB223" s="3065" t="e">
        <f t="shared" si="543"/>
        <v>#VALUE!</v>
      </c>
      <c r="CC223" s="3065" t="e">
        <f t="shared" si="543"/>
        <v>#VALUE!</v>
      </c>
      <c r="CD223" s="3065" t="e">
        <f t="shared" si="543"/>
        <v>#VALUE!</v>
      </c>
      <c r="CE223" s="3065" t="e">
        <f t="shared" ref="CE223:CL223" si="544">+CD223*(1+CE236/100)</f>
        <v>#VALUE!</v>
      </c>
      <c r="CF223" s="3065" t="e">
        <f t="shared" si="544"/>
        <v>#VALUE!</v>
      </c>
      <c r="CG223" s="3065" t="e">
        <f t="shared" si="544"/>
        <v>#VALUE!</v>
      </c>
      <c r="CH223" s="3065" t="e">
        <f t="shared" si="544"/>
        <v>#VALUE!</v>
      </c>
      <c r="CI223" s="3065" t="e">
        <f t="shared" si="544"/>
        <v>#VALUE!</v>
      </c>
      <c r="CJ223" s="3065" t="e">
        <f t="shared" si="544"/>
        <v>#VALUE!</v>
      </c>
      <c r="CK223" s="3065" t="e">
        <f t="shared" si="544"/>
        <v>#VALUE!</v>
      </c>
      <c r="CL223" s="3065" t="e">
        <f t="shared" si="544"/>
        <v>#VALUE!</v>
      </c>
      <c r="CM223" s="3065" t="e">
        <f t="shared" ref="CM223:CT223" si="545">+CL223*(1+CM236/100)</f>
        <v>#VALUE!</v>
      </c>
      <c r="CN223" s="3065" t="e">
        <f t="shared" si="545"/>
        <v>#VALUE!</v>
      </c>
      <c r="CO223" s="3065" t="e">
        <f t="shared" si="545"/>
        <v>#VALUE!</v>
      </c>
      <c r="CP223" s="3065" t="e">
        <f t="shared" si="545"/>
        <v>#VALUE!</v>
      </c>
      <c r="CQ223" s="3065" t="e">
        <f t="shared" si="545"/>
        <v>#VALUE!</v>
      </c>
      <c r="CR223" s="3065" t="e">
        <f t="shared" si="545"/>
        <v>#VALUE!</v>
      </c>
      <c r="CS223" s="3065" t="e">
        <f t="shared" si="545"/>
        <v>#VALUE!</v>
      </c>
      <c r="CT223" s="3065" t="e">
        <f t="shared" si="545"/>
        <v>#VALUE!</v>
      </c>
      <c r="CU223" s="3065" t="e">
        <f t="shared" ref="CU223:DB223" si="546">+CT223*(1+CU236/100)</f>
        <v>#VALUE!</v>
      </c>
      <c r="CV223" s="3065" t="e">
        <f t="shared" si="546"/>
        <v>#VALUE!</v>
      </c>
      <c r="CW223" s="3065" t="e">
        <f t="shared" si="546"/>
        <v>#VALUE!</v>
      </c>
      <c r="CX223" s="3065" t="e">
        <f t="shared" si="546"/>
        <v>#VALUE!</v>
      </c>
      <c r="CY223" s="3065" t="e">
        <f t="shared" si="546"/>
        <v>#VALUE!</v>
      </c>
      <c r="CZ223" s="3065" t="e">
        <f t="shared" si="546"/>
        <v>#VALUE!</v>
      </c>
      <c r="DA223" s="3065" t="e">
        <f t="shared" si="546"/>
        <v>#VALUE!</v>
      </c>
      <c r="DB223" s="3065" t="e">
        <f t="shared" si="546"/>
        <v>#VALUE!</v>
      </c>
      <c r="DC223"/>
      <c r="DD223"/>
      <c r="DE223"/>
      <c r="DF223"/>
      <c r="DG223"/>
      <c r="DH223"/>
      <c r="DI223"/>
      <c r="DJ223"/>
      <c r="DK223"/>
      <c r="DL223"/>
      <c r="DM223"/>
      <c r="DN223"/>
      <c r="DO223"/>
    </row>
    <row r="224" spans="1:119" s="699" customFormat="1" ht="12.75" hidden="1" customHeight="1">
      <c r="A224" s="664"/>
      <c r="C224" s="3070"/>
      <c r="D224" s="679"/>
      <c r="E224" s="680" t="s">
        <v>266</v>
      </c>
      <c r="F224" s="1908"/>
      <c r="G224" s="3064"/>
      <c r="H224" s="3064"/>
      <c r="I224" s="3066"/>
      <c r="J224" s="1575" t="e">
        <f>SUM(G223:J223)</f>
        <v>#VALUE!</v>
      </c>
      <c r="K224" s="3064"/>
      <c r="L224" s="3064"/>
      <c r="M224" s="3066"/>
      <c r="N224" s="1575" t="e">
        <f>SUM(K223:N223)</f>
        <v>#VALUE!</v>
      </c>
      <c r="O224" s="3064"/>
      <c r="P224" s="3064"/>
      <c r="Q224" s="3066"/>
      <c r="R224" s="1575" t="e">
        <f>SUM(O223:R223)</f>
        <v>#VALUE!</v>
      </c>
      <c r="S224" s="3064"/>
      <c r="T224" s="3064"/>
      <c r="U224" s="3066"/>
      <c r="V224" s="1575" t="e">
        <f>SUM(S223:V223)</f>
        <v>#VALUE!</v>
      </c>
      <c r="W224" s="3064"/>
      <c r="X224" s="3064"/>
      <c r="Y224" s="3066"/>
      <c r="Z224" s="1575" t="e">
        <f>SUM(W223:Z223)</f>
        <v>#VALUE!</v>
      </c>
      <c r="AA224" s="3064"/>
      <c r="AB224" s="3064"/>
      <c r="AC224" s="3066"/>
      <c r="AD224" s="1575" t="e">
        <f>SUM(AA223:AD223)</f>
        <v>#VALUE!</v>
      </c>
      <c r="AE224" s="3064"/>
      <c r="AF224" s="3064"/>
      <c r="AG224" s="3066"/>
      <c r="AH224" s="1575" t="e">
        <f>SUM(AE223:AH223)</f>
        <v>#VALUE!</v>
      </c>
      <c r="AI224" s="3064"/>
      <c r="AJ224" s="3064"/>
      <c r="AK224" s="3066"/>
      <c r="AL224" s="1575" t="e">
        <f>SUM(AI223:AL223)</f>
        <v>#VALUE!</v>
      </c>
      <c r="AM224" s="3064"/>
      <c r="AN224" s="3064"/>
      <c r="AO224" s="3066"/>
      <c r="AP224" s="1575" t="e">
        <f>SUM(AM223:AP223)</f>
        <v>#VALUE!</v>
      </c>
      <c r="AQ224" s="3064"/>
      <c r="AR224" s="3064"/>
      <c r="AS224" s="3066"/>
      <c r="AT224" s="1575" t="e">
        <f>SUM(AQ223:AT223)</f>
        <v>#VALUE!</v>
      </c>
      <c r="AU224" s="3064"/>
      <c r="AV224" s="3064"/>
      <c r="AW224" s="3066"/>
      <c r="AX224" s="1575" t="e">
        <f>SUM(AU223:AX223)</f>
        <v>#VALUE!</v>
      </c>
      <c r="AY224" s="3064"/>
      <c r="AZ224" s="3064"/>
      <c r="BA224" s="3066"/>
      <c r="BB224" s="1575" t="e">
        <f>SUM(AY223:BB223)</f>
        <v>#VALUE!</v>
      </c>
      <c r="BC224" s="3064"/>
      <c r="BD224" s="3064"/>
      <c r="BE224" s="3066"/>
      <c r="BF224" s="1575" t="e">
        <f>SUM(BC223:BF223)</f>
        <v>#VALUE!</v>
      </c>
      <c r="BG224" s="3064"/>
      <c r="BH224" s="3064"/>
      <c r="BI224" s="3066"/>
      <c r="BJ224" s="1575" t="e">
        <f>SUM(BG223:BJ223)</f>
        <v>#VALUE!</v>
      </c>
      <c r="BK224" s="3064"/>
      <c r="BL224" s="3064"/>
      <c r="BM224" s="3066"/>
      <c r="BN224" s="1575" t="e">
        <f>SUM(BK223:BN223)</f>
        <v>#VALUE!</v>
      </c>
      <c r="BO224" s="3064"/>
      <c r="BP224" s="3064"/>
      <c r="BQ224" s="3066"/>
      <c r="BR224" s="1575" t="e">
        <f>SUM(BO223:BR223)</f>
        <v>#VALUE!</v>
      </c>
      <c r="BS224" s="3064"/>
      <c r="BT224" s="3064"/>
      <c r="BU224" s="3066"/>
      <c r="BV224" s="1575" t="e">
        <f>SUM(BS223:BV223)</f>
        <v>#VALUE!</v>
      </c>
      <c r="BW224" s="3064"/>
      <c r="BX224" s="3064"/>
      <c r="BY224" s="3066"/>
      <c r="BZ224" s="1575" t="e">
        <f>SUM(BW223:BZ223)</f>
        <v>#VALUE!</v>
      </c>
      <c r="CA224" s="3064"/>
      <c r="CB224" s="3064"/>
      <c r="CC224" s="3066"/>
      <c r="CD224" s="1575" t="e">
        <f>SUM(CA223:CD223)</f>
        <v>#VALUE!</v>
      </c>
      <c r="CE224" s="3064"/>
      <c r="CF224" s="3064"/>
      <c r="CG224" s="3066"/>
      <c r="CH224" s="1575" t="e">
        <f>SUM(CE223:CH223)</f>
        <v>#VALUE!</v>
      </c>
      <c r="CI224" s="3064"/>
      <c r="CJ224" s="3064"/>
      <c r="CK224" s="3066"/>
      <c r="CL224" s="1575" t="e">
        <f>SUM(CI223:CL223)</f>
        <v>#VALUE!</v>
      </c>
      <c r="CM224" s="3064"/>
      <c r="CN224" s="3064"/>
      <c r="CO224" s="3066"/>
      <c r="CP224" s="1575" t="e">
        <f>SUM(CM223:CP223)</f>
        <v>#VALUE!</v>
      </c>
      <c r="CQ224" s="3064"/>
      <c r="CR224" s="3064"/>
      <c r="CS224" s="3066"/>
      <c r="CT224" s="1575" t="e">
        <f>SUM(CQ223:CT223)</f>
        <v>#VALUE!</v>
      </c>
      <c r="CU224" s="3064"/>
      <c r="CV224" s="3064"/>
      <c r="CW224" s="3066"/>
      <c r="CX224" s="1575" t="e">
        <f>SUM(CU223:CX223)</f>
        <v>#VALUE!</v>
      </c>
      <c r="CY224" s="3064"/>
      <c r="CZ224" s="3064"/>
      <c r="DA224" s="3066"/>
      <c r="DB224" s="1575" t="e">
        <f>SUM(CY223:DB223)</f>
        <v>#VALUE!</v>
      </c>
      <c r="DC224"/>
      <c r="DD224"/>
      <c r="DE224"/>
      <c r="DF224"/>
      <c r="DG224"/>
      <c r="DH224"/>
      <c r="DI224"/>
      <c r="DJ224"/>
      <c r="DK224"/>
      <c r="DL224"/>
      <c r="DM224"/>
      <c r="DN224"/>
      <c r="DO224"/>
    </row>
    <row r="225" spans="1:119" s="699" customFormat="1" ht="12.75" hidden="1" customHeight="1">
      <c r="A225" s="664"/>
      <c r="C225" s="3070"/>
      <c r="D225" s="679"/>
      <c r="E225" s="680" t="s">
        <v>1847</v>
      </c>
      <c r="F225" s="1908"/>
      <c r="G225" s="3064"/>
      <c r="H225" s="3067" t="s">
        <v>757</v>
      </c>
      <c r="I225" s="3064" t="e">
        <f ca="1">+J225/J224*100</f>
        <v>#VALUE!</v>
      </c>
      <c r="J225" s="1575">
        <f ca="1">OFFSET('VVP2'!$G$103,0,(COLUMN()-10)/4)</f>
        <v>0.7087974246077573</v>
      </c>
      <c r="K225" s="3064"/>
      <c r="L225" s="3067" t="s">
        <v>757</v>
      </c>
      <c r="M225" s="3064" t="e">
        <f ca="1">+N225/N224*100</f>
        <v>#VALUE!</v>
      </c>
      <c r="N225" s="1575">
        <f ca="1">OFFSET('VVP2'!$G$103,0,(COLUMN()-10)/4)</f>
        <v>0.93164550545415559</v>
      </c>
      <c r="O225" s="3064"/>
      <c r="P225" s="3067" t="s">
        <v>757</v>
      </c>
      <c r="Q225" s="3064" t="e">
        <f ca="1">+R225/R224*100</f>
        <v>#VALUE!</v>
      </c>
      <c r="R225" s="1575">
        <f ca="1">OFFSET('VVP2'!$G$103,0,(COLUMN()-10)/4)</f>
        <v>1.1732587156015639</v>
      </c>
      <c r="S225" s="3064"/>
      <c r="T225" s="3067" t="s">
        <v>757</v>
      </c>
      <c r="U225" s="3064" t="e">
        <f ca="1">+V225/V224*100</f>
        <v>#VALUE!</v>
      </c>
      <c r="V225" s="1575">
        <f ca="1">OFFSET('VVP2'!$G$103,0,(COLUMN()-10)/4)</f>
        <v>1.1838226201112128</v>
      </c>
      <c r="W225" s="3064"/>
      <c r="X225" s="3067" t="s">
        <v>757</v>
      </c>
      <c r="Y225" s="3064" t="e">
        <f ca="1">+Z225/Z224*100</f>
        <v>#VALUE!</v>
      </c>
      <c r="Z225" s="1575">
        <f ca="1">OFFSET('VVP2'!$G$103,0,(COLUMN()-10)/4)</f>
        <v>1.1443580797618031</v>
      </c>
      <c r="AA225" s="3064"/>
      <c r="AB225" s="3067" t="s">
        <v>757</v>
      </c>
      <c r="AC225" s="3064" t="e">
        <f ca="1">+AD225/AD224*100</f>
        <v>#VALUE!</v>
      </c>
      <c r="AD225" s="1575">
        <f ca="1">OFFSET('VVP2'!$G$103,0,(COLUMN()-10)/4)</f>
        <v>0.95477899588265791</v>
      </c>
      <c r="AE225" s="3064"/>
      <c r="AF225" s="3067" t="s">
        <v>757</v>
      </c>
      <c r="AG225" s="3064" t="e">
        <f ca="1">+AH225/AH224*100</f>
        <v>#VALUE!</v>
      </c>
      <c r="AH225" s="1575">
        <f ca="1">OFFSET('VVP2'!$G$103,0,(COLUMN()-10)/4)</f>
        <v>0.94845688037273612</v>
      </c>
      <c r="AI225" s="3064"/>
      <c r="AJ225" s="3067" t="s">
        <v>757</v>
      </c>
      <c r="AK225" s="3064" t="e">
        <f ca="1">+AL225/AL224*100</f>
        <v>#VALUE!</v>
      </c>
      <c r="AL225" s="1575">
        <f ca="1">OFFSET('VVP2'!$G$103,0,(COLUMN()-10)/4)</f>
        <v>1.1208351366324842</v>
      </c>
      <c r="AM225" s="3064"/>
      <c r="AN225" s="3067" t="s">
        <v>757</v>
      </c>
      <c r="AO225" s="3064" t="e">
        <f ca="1">+AP225/AP224*100</f>
        <v>#VALUE!</v>
      </c>
      <c r="AP225" s="1575">
        <f ca="1">OFFSET('VVP2'!$G$103,0,(COLUMN()-10)/4)</f>
        <v>1.2786705799559077</v>
      </c>
      <c r="AQ225" s="3064"/>
      <c r="AR225" s="3067" t="s">
        <v>757</v>
      </c>
      <c r="AS225" s="3064" t="e">
        <f ca="1">+AT225/AT224*100</f>
        <v>#VALUE!</v>
      </c>
      <c r="AT225" s="1575">
        <f ca="1">OFFSET('VVP2'!$G$103,0,(COLUMN()-10)/4)</f>
        <v>1.51332</v>
      </c>
      <c r="AU225" s="3064"/>
      <c r="AV225" s="3067" t="s">
        <v>757</v>
      </c>
      <c r="AW225" s="3064" t="e">
        <f ca="1">+AX225/AX224*100</f>
        <v>#VALUE!</v>
      </c>
      <c r="AX225" s="1575">
        <f ca="1">OFFSET('VVP2'!$G$103,0,(COLUMN()-10)/4)</f>
        <v>1.8679600000000001</v>
      </c>
      <c r="AY225" s="3064"/>
      <c r="AZ225" s="3067" t="s">
        <v>757</v>
      </c>
      <c r="BA225" s="3064" t="e">
        <f ca="1">+BB225/BB224*100</f>
        <v>#VALUE!</v>
      </c>
      <c r="BB225" s="1575">
        <f ca="1">OFFSET('VVP2'!$G$103,0,(COLUMN()-10)/4)</f>
        <v>2.1709099999999997</v>
      </c>
      <c r="BC225" s="3064"/>
      <c r="BD225" s="3067" t="s">
        <v>757</v>
      </c>
      <c r="BE225" s="3064" t="e">
        <f ca="1">+BF225/BF224*100</f>
        <v>#VALUE!</v>
      </c>
      <c r="BF225" s="1575">
        <f ca="1">OFFSET('VVP2'!$G$103,0,(COLUMN()-10)/4)</f>
        <v>2.55402</v>
      </c>
      <c r="BG225" s="3064"/>
      <c r="BH225" s="3067" t="s">
        <v>757</v>
      </c>
      <c r="BI225" s="3064" t="e">
        <f ca="1">+BJ225/BJ224*100</f>
        <v>#VALUE!</v>
      </c>
      <c r="BJ225" s="1575">
        <f ca="1">OFFSET('VVP2'!$G$103,0,(COLUMN()-10)/4)</f>
        <v>2.7825100000000003</v>
      </c>
      <c r="BK225" s="3064"/>
      <c r="BL225" s="3067" t="s">
        <v>757</v>
      </c>
      <c r="BM225" s="3064" t="e">
        <f ca="1">+BN225/BN224*100</f>
        <v>#VALUE!</v>
      </c>
      <c r="BN225" s="1575">
        <f ca="1">OFFSET('VVP2'!$G$103,0,(COLUMN()-10)/4)</f>
        <v>2.3010000000000002</v>
      </c>
      <c r="BO225" s="3064"/>
      <c r="BP225" s="3067" t="s">
        <v>757</v>
      </c>
      <c r="BQ225" s="3064" t="e">
        <f ca="1">+BR225/BR224*100</f>
        <v>#VALUE!</v>
      </c>
      <c r="BR225" s="1575">
        <f ca="1">OFFSET('VVP2'!$G$103,0,(COLUMN()-10)/4)</f>
        <v>2.3007600000000004</v>
      </c>
      <c r="BS225" s="3064"/>
      <c r="BT225" s="3067" t="s">
        <v>757</v>
      </c>
      <c r="BU225" s="3064" t="e">
        <f ca="1">+BV225/BV224*100</f>
        <v>#VALUE!</v>
      </c>
      <c r="BV225" s="1575">
        <f ca="1">OFFSET('VVP2'!$G$103,0,(COLUMN()-10)/4)</f>
        <v>2.6943299999999999</v>
      </c>
      <c r="BW225" s="3064"/>
      <c r="BX225" s="3067" t="s">
        <v>757</v>
      </c>
      <c r="BY225" s="3064" t="e">
        <f ca="1">+BZ225/BZ224*100</f>
        <v>#VALUE!</v>
      </c>
      <c r="BZ225" s="1575">
        <f ca="1">OFFSET('VVP2'!$G$103,0,(COLUMN()-10)/4)</f>
        <v>3.2643200000000001</v>
      </c>
      <c r="CA225" s="3064"/>
      <c r="CB225" s="3067" t="s">
        <v>757</v>
      </c>
      <c r="CC225" s="3064" t="e">
        <f ca="1">+CD225/CD224*100</f>
        <v>#VALUE!</v>
      </c>
      <c r="CD225" s="1575">
        <f ca="1">OFFSET('VVP2'!$G$103,0,(COLUMN()-10)/4)</f>
        <v>3.8811799999999996</v>
      </c>
      <c r="CE225" s="3064"/>
      <c r="CF225" s="3067" t="s">
        <v>757</v>
      </c>
      <c r="CG225" s="3064" t="e">
        <f ca="1">+CH225/CH224*100</f>
        <v>#VALUE!</v>
      </c>
      <c r="CH225" s="1575">
        <f ca="1">OFFSET('VVP2'!$G$103,0,(COLUMN()-10)/4)</f>
        <v>4.0761199999999995</v>
      </c>
      <c r="CI225" s="3064"/>
      <c r="CJ225" s="3067" t="s">
        <v>757</v>
      </c>
      <c r="CK225" s="3064" t="e">
        <f ca="1">+CL225/CL224*100</f>
        <v>#VALUE!</v>
      </c>
      <c r="CL225" s="1575">
        <f ca="1">OFFSET('VVP2'!$G$103,0,(COLUMN()-10)/4)</f>
        <v>4.0676100000000002</v>
      </c>
      <c r="CM225" s="3064"/>
      <c r="CN225" s="3067" t="s">
        <v>757</v>
      </c>
      <c r="CO225" s="3064" t="e">
        <f ca="1">+CP225/CP224*100</f>
        <v>#VALUE!</v>
      </c>
      <c r="CP225" s="1575">
        <f ca="1">OFFSET('VVP2'!$G$103,0,(COLUMN()-10)/4)</f>
        <v>4.33568</v>
      </c>
      <c r="CQ225" s="3064"/>
      <c r="CR225" s="3067" t="s">
        <v>757</v>
      </c>
      <c r="CS225" s="3064" t="e">
        <f ca="1">+CT225/CT224*100</f>
        <v>#VALUE!</v>
      </c>
      <c r="CT225" s="1575">
        <f ca="1">OFFSET('VVP2'!$G$103,0,(COLUMN()-10)/4)</f>
        <v>4.9055299999999997</v>
      </c>
      <c r="CU225" s="3064"/>
      <c r="CV225" s="3067" t="s">
        <v>757</v>
      </c>
      <c r="CW225" s="3064" t="e">
        <f ca="1">+CX225/CX224*100</f>
        <v>#VALUE!</v>
      </c>
      <c r="CX225" s="1575">
        <f ca="1">OFFSET('VVP2'!$G$103,0,(COLUMN()-10)/4)</f>
        <v>5.2243894499999994</v>
      </c>
      <c r="CY225" s="3064"/>
      <c r="CZ225" s="3067" t="s">
        <v>757</v>
      </c>
      <c r="DA225" s="3064" t="e">
        <f ca="1">+DB225/DB224*100</f>
        <v>#VALUE!</v>
      </c>
      <c r="DB225" s="1575">
        <f ca="1">OFFSET('VVP2'!$G$103,0,(COLUMN()-10)/4)</f>
        <v>5.4803845330499987</v>
      </c>
      <c r="DC225"/>
      <c r="DD225"/>
      <c r="DE225"/>
      <c r="DF225"/>
      <c r="DG225"/>
      <c r="DH225"/>
      <c r="DI225"/>
      <c r="DJ225"/>
      <c r="DK225"/>
      <c r="DL225"/>
      <c r="DM225"/>
      <c r="DN225"/>
      <c r="DO225"/>
    </row>
    <row r="226" spans="1:119" s="699" customFormat="1" ht="12.75" hidden="1" customHeight="1">
      <c r="A226" s="664"/>
      <c r="C226" s="3070" t="s">
        <v>1767</v>
      </c>
      <c r="D226" s="674"/>
      <c r="E226" s="3629" t="s">
        <v>616</v>
      </c>
      <c r="F226" s="3630"/>
      <c r="G226" s="706" t="e">
        <f t="shared" ref="G226:AL226" si="547">G227-G220-G223</f>
        <v>#VALUE!</v>
      </c>
      <c r="H226" s="706" t="e">
        <f t="shared" si="547"/>
        <v>#VALUE!</v>
      </c>
      <c r="I226" s="706" t="e">
        <f t="shared" si="547"/>
        <v>#VALUE!</v>
      </c>
      <c r="J226" s="706" t="e">
        <f t="shared" si="547"/>
        <v>#VALUE!</v>
      </c>
      <c r="K226" s="706" t="e">
        <f t="shared" si="547"/>
        <v>#VALUE!</v>
      </c>
      <c r="L226" s="706" t="e">
        <f t="shared" si="547"/>
        <v>#VALUE!</v>
      </c>
      <c r="M226" s="706" t="e">
        <f t="shared" si="547"/>
        <v>#VALUE!</v>
      </c>
      <c r="N226" s="706" t="e">
        <f t="shared" si="547"/>
        <v>#VALUE!</v>
      </c>
      <c r="O226" s="706" t="e">
        <f t="shared" si="547"/>
        <v>#VALUE!</v>
      </c>
      <c r="P226" s="706" t="e">
        <f t="shared" si="547"/>
        <v>#VALUE!</v>
      </c>
      <c r="Q226" s="706" t="e">
        <f t="shared" si="547"/>
        <v>#VALUE!</v>
      </c>
      <c r="R226" s="706" t="e">
        <f t="shared" si="547"/>
        <v>#VALUE!</v>
      </c>
      <c r="S226" s="706" t="e">
        <f t="shared" si="547"/>
        <v>#VALUE!</v>
      </c>
      <c r="T226" s="706" t="e">
        <f t="shared" si="547"/>
        <v>#VALUE!</v>
      </c>
      <c r="U226" s="706" t="e">
        <f t="shared" si="547"/>
        <v>#VALUE!</v>
      </c>
      <c r="V226" s="706" t="e">
        <f t="shared" si="547"/>
        <v>#VALUE!</v>
      </c>
      <c r="W226" s="706" t="e">
        <f t="shared" si="547"/>
        <v>#VALUE!</v>
      </c>
      <c r="X226" s="706" t="e">
        <f t="shared" si="547"/>
        <v>#VALUE!</v>
      </c>
      <c r="Y226" s="706" t="e">
        <f t="shared" si="547"/>
        <v>#VALUE!</v>
      </c>
      <c r="Z226" s="706" t="e">
        <f t="shared" si="547"/>
        <v>#VALUE!</v>
      </c>
      <c r="AA226" s="706" t="e">
        <f t="shared" si="547"/>
        <v>#VALUE!</v>
      </c>
      <c r="AB226" s="706" t="e">
        <f t="shared" si="547"/>
        <v>#VALUE!</v>
      </c>
      <c r="AC226" s="706" t="e">
        <f t="shared" si="547"/>
        <v>#VALUE!</v>
      </c>
      <c r="AD226" s="706" t="e">
        <f t="shared" si="547"/>
        <v>#VALUE!</v>
      </c>
      <c r="AE226" s="706" t="e">
        <f t="shared" si="547"/>
        <v>#VALUE!</v>
      </c>
      <c r="AF226" s="706" t="e">
        <f t="shared" si="547"/>
        <v>#VALUE!</v>
      </c>
      <c r="AG226" s="706" t="e">
        <f t="shared" si="547"/>
        <v>#VALUE!</v>
      </c>
      <c r="AH226" s="706" t="e">
        <f t="shared" si="547"/>
        <v>#VALUE!</v>
      </c>
      <c r="AI226" s="706" t="e">
        <f t="shared" si="547"/>
        <v>#VALUE!</v>
      </c>
      <c r="AJ226" s="706" t="e">
        <f t="shared" si="547"/>
        <v>#VALUE!</v>
      </c>
      <c r="AK226" s="706" t="e">
        <f t="shared" si="547"/>
        <v>#VALUE!</v>
      </c>
      <c r="AL226" s="706" t="e">
        <f t="shared" si="547"/>
        <v>#VALUE!</v>
      </c>
      <c r="AM226" s="706" t="e">
        <f t="shared" ref="AM226:BN226" si="548">AM227-AM220-AM223</f>
        <v>#VALUE!</v>
      </c>
      <c r="AN226" s="706" t="e">
        <f t="shared" si="548"/>
        <v>#VALUE!</v>
      </c>
      <c r="AO226" s="706" t="e">
        <f t="shared" si="548"/>
        <v>#VALUE!</v>
      </c>
      <c r="AP226" s="706" t="e">
        <f t="shared" si="548"/>
        <v>#VALUE!</v>
      </c>
      <c r="AQ226" s="706" t="e">
        <f t="shared" si="548"/>
        <v>#VALUE!</v>
      </c>
      <c r="AR226" s="706" t="e">
        <f t="shared" si="548"/>
        <v>#VALUE!</v>
      </c>
      <c r="AS226" s="706" t="e">
        <f t="shared" si="548"/>
        <v>#VALUE!</v>
      </c>
      <c r="AT226" s="706" t="e">
        <f t="shared" si="548"/>
        <v>#VALUE!</v>
      </c>
      <c r="AU226" s="706" t="e">
        <f t="shared" si="548"/>
        <v>#VALUE!</v>
      </c>
      <c r="AV226" s="706" t="e">
        <f t="shared" si="548"/>
        <v>#VALUE!</v>
      </c>
      <c r="AW226" s="706" t="e">
        <f t="shared" si="548"/>
        <v>#VALUE!</v>
      </c>
      <c r="AX226" s="706" t="e">
        <f t="shared" si="548"/>
        <v>#VALUE!</v>
      </c>
      <c r="AY226" s="706" t="e">
        <f t="shared" si="548"/>
        <v>#VALUE!</v>
      </c>
      <c r="AZ226" s="706" t="e">
        <f t="shared" si="548"/>
        <v>#VALUE!</v>
      </c>
      <c r="BA226" s="706" t="e">
        <f t="shared" si="548"/>
        <v>#VALUE!</v>
      </c>
      <c r="BB226" s="706" t="e">
        <f t="shared" si="548"/>
        <v>#VALUE!</v>
      </c>
      <c r="BC226" s="706" t="e">
        <f t="shared" si="548"/>
        <v>#VALUE!</v>
      </c>
      <c r="BD226" s="706" t="e">
        <f t="shared" si="548"/>
        <v>#VALUE!</v>
      </c>
      <c r="BE226" s="706" t="e">
        <f t="shared" si="548"/>
        <v>#VALUE!</v>
      </c>
      <c r="BF226" s="706" t="e">
        <f t="shared" si="548"/>
        <v>#VALUE!</v>
      </c>
      <c r="BG226" s="706" t="e">
        <f t="shared" si="548"/>
        <v>#VALUE!</v>
      </c>
      <c r="BH226" s="706" t="e">
        <f t="shared" si="548"/>
        <v>#VALUE!</v>
      </c>
      <c r="BI226" s="706" t="e">
        <f t="shared" si="548"/>
        <v>#VALUE!</v>
      </c>
      <c r="BJ226" s="706" t="e">
        <f t="shared" si="548"/>
        <v>#VALUE!</v>
      </c>
      <c r="BK226" s="706" t="e">
        <f t="shared" si="548"/>
        <v>#VALUE!</v>
      </c>
      <c r="BL226" s="706" t="e">
        <f t="shared" si="548"/>
        <v>#VALUE!</v>
      </c>
      <c r="BM226" s="706" t="e">
        <f t="shared" si="548"/>
        <v>#VALUE!</v>
      </c>
      <c r="BN226" s="706" t="e">
        <f t="shared" si="548"/>
        <v>#VALUE!</v>
      </c>
      <c r="BO226" s="706" t="e">
        <f t="shared" ref="BO226:BV226" si="549">BO227-BO220-BO223</f>
        <v>#VALUE!</v>
      </c>
      <c r="BP226" s="706" t="e">
        <f t="shared" si="549"/>
        <v>#VALUE!</v>
      </c>
      <c r="BQ226" s="706" t="e">
        <f t="shared" si="549"/>
        <v>#VALUE!</v>
      </c>
      <c r="BR226" s="706" t="e">
        <f t="shared" si="549"/>
        <v>#VALUE!</v>
      </c>
      <c r="BS226" s="706" t="e">
        <f t="shared" si="549"/>
        <v>#VALUE!</v>
      </c>
      <c r="BT226" s="706" t="e">
        <f t="shared" si="549"/>
        <v>#VALUE!</v>
      </c>
      <c r="BU226" s="706" t="e">
        <f t="shared" si="549"/>
        <v>#VALUE!</v>
      </c>
      <c r="BV226" s="706" t="e">
        <f t="shared" si="549"/>
        <v>#VALUE!</v>
      </c>
      <c r="BW226" s="706" t="e">
        <f t="shared" ref="BW226:CD226" si="550">BW227-BW220-BW223</f>
        <v>#VALUE!</v>
      </c>
      <c r="BX226" s="706" t="e">
        <f t="shared" si="550"/>
        <v>#VALUE!</v>
      </c>
      <c r="BY226" s="706" t="e">
        <f t="shared" si="550"/>
        <v>#VALUE!</v>
      </c>
      <c r="BZ226" s="706" t="e">
        <f t="shared" si="550"/>
        <v>#VALUE!</v>
      </c>
      <c r="CA226" s="706" t="e">
        <f t="shared" si="550"/>
        <v>#VALUE!</v>
      </c>
      <c r="CB226" s="706" t="e">
        <f t="shared" si="550"/>
        <v>#VALUE!</v>
      </c>
      <c r="CC226" s="706" t="e">
        <f t="shared" si="550"/>
        <v>#VALUE!</v>
      </c>
      <c r="CD226" s="706" t="e">
        <f t="shared" si="550"/>
        <v>#VALUE!</v>
      </c>
      <c r="CE226" s="706" t="e">
        <f t="shared" ref="CE226:CL226" si="551">CE227-CE220-CE223</f>
        <v>#VALUE!</v>
      </c>
      <c r="CF226" s="706" t="e">
        <f t="shared" si="551"/>
        <v>#VALUE!</v>
      </c>
      <c r="CG226" s="706" t="e">
        <f t="shared" si="551"/>
        <v>#VALUE!</v>
      </c>
      <c r="CH226" s="706" t="e">
        <f t="shared" si="551"/>
        <v>#VALUE!</v>
      </c>
      <c r="CI226" s="706" t="e">
        <f t="shared" si="551"/>
        <v>#VALUE!</v>
      </c>
      <c r="CJ226" s="706" t="e">
        <f t="shared" si="551"/>
        <v>#VALUE!</v>
      </c>
      <c r="CK226" s="706" t="e">
        <f t="shared" si="551"/>
        <v>#VALUE!</v>
      </c>
      <c r="CL226" s="706" t="e">
        <f t="shared" si="551"/>
        <v>#VALUE!</v>
      </c>
      <c r="CM226" s="706" t="e">
        <f t="shared" ref="CM226:CT226" si="552">CM227-CM220-CM223</f>
        <v>#VALUE!</v>
      </c>
      <c r="CN226" s="706" t="e">
        <f t="shared" si="552"/>
        <v>#VALUE!</v>
      </c>
      <c r="CO226" s="706" t="e">
        <f t="shared" si="552"/>
        <v>#VALUE!</v>
      </c>
      <c r="CP226" s="706" t="e">
        <f t="shared" si="552"/>
        <v>#VALUE!</v>
      </c>
      <c r="CQ226" s="706" t="e">
        <f t="shared" si="552"/>
        <v>#VALUE!</v>
      </c>
      <c r="CR226" s="706" t="e">
        <f t="shared" si="552"/>
        <v>#VALUE!</v>
      </c>
      <c r="CS226" s="706" t="e">
        <f t="shared" si="552"/>
        <v>#VALUE!</v>
      </c>
      <c r="CT226" s="706" t="e">
        <f t="shared" si="552"/>
        <v>#VALUE!</v>
      </c>
      <c r="CU226" s="706" t="e">
        <f t="shared" ref="CU226:DB226" si="553">CU227-CU220-CU223</f>
        <v>#VALUE!</v>
      </c>
      <c r="CV226" s="706" t="e">
        <f t="shared" si="553"/>
        <v>#VALUE!</v>
      </c>
      <c r="CW226" s="706" t="e">
        <f t="shared" si="553"/>
        <v>#VALUE!</v>
      </c>
      <c r="CX226" s="706" t="e">
        <f t="shared" si="553"/>
        <v>#VALUE!</v>
      </c>
      <c r="CY226" s="706" t="e">
        <f t="shared" si="553"/>
        <v>#VALUE!</v>
      </c>
      <c r="CZ226" s="706" t="e">
        <f t="shared" si="553"/>
        <v>#VALUE!</v>
      </c>
      <c r="DA226" s="706" t="e">
        <f t="shared" si="553"/>
        <v>#VALUE!</v>
      </c>
      <c r="DB226" s="706" t="e">
        <f t="shared" si="553"/>
        <v>#VALUE!</v>
      </c>
      <c r="DC226"/>
      <c r="DD226"/>
      <c r="DE226"/>
      <c r="DF226"/>
      <c r="DG226"/>
      <c r="DH226"/>
      <c r="DI226"/>
      <c r="DJ226"/>
      <c r="DK226"/>
      <c r="DL226"/>
      <c r="DM226"/>
      <c r="DN226"/>
      <c r="DO226"/>
    </row>
    <row r="227" spans="1:119" s="699" customFormat="1" ht="12.75" customHeight="1">
      <c r="A227" s="665" t="str">
        <f>"Q" &amp; ROW(InputQ!A10)</f>
        <v>Q10</v>
      </c>
      <c r="B227" s="1953" t="s">
        <v>1940</v>
      </c>
      <c r="C227" s="3071"/>
      <c r="D227" s="746"/>
      <c r="E227" s="3615" t="s">
        <v>1787</v>
      </c>
      <c r="F227" s="3633"/>
      <c r="G227" s="799">
        <f>InputQ!G10/1000</f>
        <v>1.0779367469879519</v>
      </c>
      <c r="H227" s="799">
        <f>InputQ!H10/1000</f>
        <v>1.0671628822984245</v>
      </c>
      <c r="I227" s="799">
        <f>InputQ!I10/1000</f>
        <v>1.1193524096385543</v>
      </c>
      <c r="J227" s="799">
        <f>InputQ!J10/1000</f>
        <v>1.1610576923076923</v>
      </c>
      <c r="K227" s="799">
        <f>InputQ!K10/1000</f>
        <v>1.2340998609823912</v>
      </c>
      <c r="L227" s="799">
        <f>InputQ!L10/1000</f>
        <v>1.290315106580167</v>
      </c>
      <c r="M227" s="799">
        <f>InputQ!M10/1000</f>
        <v>1.385339434661724</v>
      </c>
      <c r="N227" s="799">
        <f>InputQ!N10/1000</f>
        <v>1.4781916126042631</v>
      </c>
      <c r="O227" s="799">
        <f>InputQ!O10/1000</f>
        <v>1.5776181649675625</v>
      </c>
      <c r="P227" s="799">
        <f>InputQ!P10/1000</f>
        <v>1.6937847544022244</v>
      </c>
      <c r="Q227" s="799">
        <f>InputQ!Q10/1000</f>
        <v>1.7048482391102873</v>
      </c>
      <c r="R227" s="799">
        <f>InputQ!R10/1000</f>
        <v>1.7935298887859128</v>
      </c>
      <c r="S227" s="799">
        <f>InputQ!S10/1000</f>
        <v>1.8474281742354033</v>
      </c>
      <c r="T227" s="799">
        <f>InputQ!T10/1000</f>
        <v>1.8497161723818352</v>
      </c>
      <c r="U227" s="799">
        <f>InputQ!U10/1000</f>
        <v>1.8743917979610751</v>
      </c>
      <c r="V227" s="799">
        <f>InputQ!V10/1000</f>
        <v>1.643246061167748</v>
      </c>
      <c r="W227" s="799">
        <f>InputQ!W10/1000</f>
        <v>1.5583005097312328</v>
      </c>
      <c r="X227" s="799">
        <f>InputQ!X10/1000</f>
        <v>1.6137337812789618</v>
      </c>
      <c r="Y227" s="799">
        <f>InputQ!Y10/1000</f>
        <v>1.5832657553290082</v>
      </c>
      <c r="Z227" s="799">
        <f>InputQ!Z10/1000</f>
        <v>1.5414156626506024</v>
      </c>
      <c r="AA227" s="799">
        <f>InputQ!AA10/1000</f>
        <v>1.584974513438369</v>
      </c>
      <c r="AB227" s="799">
        <f>InputQ!AB10/1000</f>
        <v>1.5929969879518073</v>
      </c>
      <c r="AC227" s="799">
        <f>InputQ!AC10/1000</f>
        <v>1.7012859128822984</v>
      </c>
      <c r="AD227" s="799">
        <f>InputQ!AD10/1000</f>
        <v>1.7029657089898056</v>
      </c>
      <c r="AE227" s="799">
        <f>InputQ!AE10/1000</f>
        <v>1.8408537998146433</v>
      </c>
      <c r="AF227" s="799">
        <f>InputQ!AF10/1000</f>
        <v>1.8904077849860983</v>
      </c>
      <c r="AG227" s="799">
        <f>InputQ!AG10/1000</f>
        <v>1.965940685820204</v>
      </c>
      <c r="AH227" s="799">
        <f>InputQ!AH10/1000</f>
        <v>2.1130386932344765</v>
      </c>
      <c r="AI227" s="799">
        <f>InputQ!AI10/1000</f>
        <v>2.1773053753475442</v>
      </c>
      <c r="AJ227" s="799">
        <f>InputQ!AJ10/1000</f>
        <v>2.3408827618164967</v>
      </c>
      <c r="AK227" s="799">
        <f>InputQ!AK10/1000</f>
        <v>2.3221153846153846</v>
      </c>
      <c r="AL227" s="799">
        <f>InputQ!AL10/1000</f>
        <v>2.4178637627432811</v>
      </c>
      <c r="AM227" s="799">
        <f>InputQ!AM10/1000</f>
        <v>2.4491427247451343</v>
      </c>
      <c r="AN227" s="799">
        <f>InputQ!AN10/1000</f>
        <v>2.4241485171455053</v>
      </c>
      <c r="AO227" s="799">
        <f>InputQ!AO10/1000</f>
        <v>2.5226772474513437</v>
      </c>
      <c r="AP227" s="799">
        <f>InputQ!AP10/1000</f>
        <v>2.6362662187210382</v>
      </c>
      <c r="AQ227" s="799">
        <f>InputQ!AQ10/1000</f>
        <v>2.6648227525486563</v>
      </c>
      <c r="AR227" s="799">
        <f>InputQ!AR10/1000</f>
        <v>2.8150486561631136</v>
      </c>
      <c r="AS227" s="799">
        <f>InputQ!AS10/1000</f>
        <v>2.9284059314179798</v>
      </c>
      <c r="AT227" s="799">
        <f>InputQ!AT10/1000</f>
        <v>2.9964376737720113</v>
      </c>
      <c r="AU227" s="799">
        <f>InputQ!AU10/1000</f>
        <v>3.5524</v>
      </c>
      <c r="AV227" s="799">
        <f>InputQ!AV10/1000</f>
        <v>3.8249</v>
      </c>
      <c r="AW227" s="799">
        <f>InputQ!AW10/1000</f>
        <v>3.9149000000000003</v>
      </c>
      <c r="AX227" s="799">
        <f>InputQ!AX10/1000</f>
        <v>4.2856999999999994</v>
      </c>
      <c r="AY227" s="799">
        <f>InputQ!AY10/1000</f>
        <v>4.2988</v>
      </c>
      <c r="AZ227" s="799">
        <f>InputQ!AZ10/1000</f>
        <v>4.2541000000000002</v>
      </c>
      <c r="BA227" s="799">
        <f>InputQ!BA10/1000</f>
        <v>4.5179</v>
      </c>
      <c r="BB227" s="799">
        <f>InputQ!BB10/1000</f>
        <v>4.7205000000000004</v>
      </c>
      <c r="BC227" s="799">
        <f>InputQ!BC10/1000</f>
        <v>4.7086000000000006</v>
      </c>
      <c r="BD227" s="799">
        <f>InputQ!BD10/1000</f>
        <v>4.9444999999999997</v>
      </c>
      <c r="BE227" s="799">
        <f>InputQ!BE10/1000</f>
        <v>4.9571999999999994</v>
      </c>
      <c r="BF227" s="799">
        <f>InputQ!BF10/1000</f>
        <v>5.0981000000000005</v>
      </c>
      <c r="BG227" s="799">
        <f>InputQ!BG10/1000</f>
        <v>5.4121999999999995</v>
      </c>
      <c r="BH227" s="799">
        <f>InputQ!BH10/1000</f>
        <v>5.6598999999999995</v>
      </c>
      <c r="BI227" s="799">
        <f>InputQ!BI10/1000</f>
        <v>5.6408000000000005</v>
      </c>
      <c r="BJ227" s="799">
        <f>InputQ!BJ10/1000</f>
        <v>5.1716000000000006</v>
      </c>
      <c r="BK227" s="3065">
        <f t="shared" ref="BK227:BV227" si="554">+BJ227*(1+BK240/100)</f>
        <v>3.8961999999999999</v>
      </c>
      <c r="BL227" s="3065">
        <f t="shared" si="554"/>
        <v>3.8328000000000002</v>
      </c>
      <c r="BM227" s="3065">
        <f t="shared" si="554"/>
        <v>4.0282999999999998</v>
      </c>
      <c r="BN227" s="3065">
        <f t="shared" si="554"/>
        <v>4.1734</v>
      </c>
      <c r="BO227" s="3065">
        <f t="shared" si="554"/>
        <v>4.202</v>
      </c>
      <c r="BP227" s="3065">
        <f t="shared" si="554"/>
        <v>4.5721000000000007</v>
      </c>
      <c r="BQ227" s="3065">
        <f t="shared" si="554"/>
        <v>4.8536000000000001</v>
      </c>
      <c r="BR227" s="3065">
        <f t="shared" si="554"/>
        <v>5.2694999999999999</v>
      </c>
      <c r="BS227" s="3065">
        <f t="shared" si="554"/>
        <v>5.5288000000000004</v>
      </c>
      <c r="BT227" s="3065">
        <f t="shared" si="554"/>
        <v>5.3873999999999995</v>
      </c>
      <c r="BU227" s="3065">
        <f t="shared" si="554"/>
        <v>5.4032999999999998</v>
      </c>
      <c r="BV227" s="3065">
        <f t="shared" si="554"/>
        <v>5.4695999999999998</v>
      </c>
      <c r="BW227" s="3065">
        <f t="shared" ref="BW227:CD227" si="555">+BV227*(1+BW240/100)</f>
        <v>5.3171999999999988</v>
      </c>
      <c r="BX227" s="3065">
        <f t="shared" si="555"/>
        <v>5.2624999999999993</v>
      </c>
      <c r="BY227" s="3065">
        <f t="shared" si="555"/>
        <v>6.0242999999999993</v>
      </c>
      <c r="BZ227" s="3065">
        <f t="shared" si="555"/>
        <v>6.1990999999999996</v>
      </c>
      <c r="CA227" s="3065">
        <f t="shared" si="555"/>
        <v>6.3516999999999992</v>
      </c>
      <c r="CB227" s="3065">
        <f t="shared" si="555"/>
        <v>6.0376999999999992</v>
      </c>
      <c r="CC227" s="3065">
        <f t="shared" si="555"/>
        <v>6.3659999999999988</v>
      </c>
      <c r="CD227" s="3065">
        <f t="shared" si="555"/>
        <v>6.579299999999999</v>
      </c>
      <c r="CE227" s="3065">
        <f t="shared" ref="CE227:CL227" si="556">+CD227*(1+CE240/100)</f>
        <v>6.2537999999999991</v>
      </c>
      <c r="CF227" s="3065">
        <f t="shared" si="556"/>
        <v>6.4989999999999988</v>
      </c>
      <c r="CG227" s="3065">
        <f t="shared" si="556"/>
        <v>6.5823999999999989</v>
      </c>
      <c r="CH227" s="3065">
        <f t="shared" si="556"/>
        <v>6.6985999999999999</v>
      </c>
      <c r="CI227" s="3065">
        <f t="shared" si="556"/>
        <v>6.8022999999999989</v>
      </c>
      <c r="CJ227" s="3065">
        <f t="shared" si="556"/>
        <v>6.9772999999999996</v>
      </c>
      <c r="CK227" s="3065">
        <f t="shared" si="556"/>
        <v>6.9282999999999992</v>
      </c>
      <c r="CL227" s="3065">
        <f t="shared" si="556"/>
        <v>6.9745999999999997</v>
      </c>
      <c r="CM227" s="3065">
        <f t="shared" ref="CM227:CS227" si="557">+CL227*(1+CM240/100)</f>
        <v>6.9072999999999993</v>
      </c>
      <c r="CN227" s="3065">
        <f t="shared" si="557"/>
        <v>7.0656999999999988</v>
      </c>
      <c r="CO227" s="3065">
        <f t="shared" si="557"/>
        <v>7.1443999999999992</v>
      </c>
      <c r="CP227" s="3065">
        <f t="shared" si="557"/>
        <v>7.3040000000000003</v>
      </c>
      <c r="CQ227" s="3065">
        <f t="shared" si="557"/>
        <v>7.7539999999999996</v>
      </c>
      <c r="CR227" s="3065">
        <f t="shared" si="557"/>
        <v>7.9197999999999995</v>
      </c>
      <c r="CS227" s="3065">
        <f t="shared" si="557"/>
        <v>8.1814999999999998</v>
      </c>
      <c r="CT227" s="3065">
        <f>+CS227*(1+CT240/100)</f>
        <v>8.4259000000000004</v>
      </c>
      <c r="CU227" s="3065">
        <f t="shared" ref="CU227:DB227" si="558">+CT227*(1+CU240/100)</f>
        <v>8.4933072000000003</v>
      </c>
      <c r="CV227" s="3065">
        <f t="shared" si="558"/>
        <v>8.5612536576</v>
      </c>
      <c r="CW227" s="3065">
        <f t="shared" si="558"/>
        <v>8.6297436868608006</v>
      </c>
      <c r="CX227" s="3065">
        <f t="shared" si="558"/>
        <v>8.6944667645122564</v>
      </c>
      <c r="CY227" s="3065">
        <f t="shared" si="558"/>
        <v>8.8248837659799388</v>
      </c>
      <c r="CZ227" s="3065">
        <f t="shared" si="558"/>
        <v>8.9660819062356172</v>
      </c>
      <c r="DA227" s="3065">
        <f t="shared" si="558"/>
        <v>9.1095392167353868</v>
      </c>
      <c r="DB227" s="3065">
        <f t="shared" si="558"/>
        <v>9.2552918442031533</v>
      </c>
      <c r="DC227"/>
      <c r="DD227"/>
      <c r="DE227"/>
      <c r="DF227"/>
      <c r="DG227"/>
      <c r="DH227"/>
      <c r="DI227"/>
      <c r="DJ227"/>
      <c r="DK227"/>
      <c r="DL227"/>
      <c r="DM227"/>
      <c r="DN227"/>
      <c r="DO227"/>
    </row>
    <row r="228" spans="1:119" s="699" customFormat="1" ht="12.75" customHeight="1">
      <c r="A228" s="664" t="str">
        <f>"Q" &amp; ROW(InputQ!A10)</f>
        <v>Q10</v>
      </c>
      <c r="C228" s="667"/>
      <c r="D228" s="668"/>
      <c r="E228" s="3620" t="s">
        <v>1787</v>
      </c>
      <c r="F228" s="3620"/>
      <c r="G228" s="780">
        <f>InputQ!G10/1000</f>
        <v>1.0779367469879519</v>
      </c>
      <c r="H228" s="780">
        <f>InputQ!H10/1000</f>
        <v>1.0671628822984245</v>
      </c>
      <c r="I228" s="780">
        <f>InputQ!I10/1000</f>
        <v>1.1193524096385543</v>
      </c>
      <c r="J228" s="780">
        <f>InputQ!J10/1000</f>
        <v>1.1610576923076923</v>
      </c>
      <c r="K228" s="780">
        <f>InputQ!K10/1000</f>
        <v>1.2340998609823912</v>
      </c>
      <c r="L228" s="780">
        <f>InputQ!L10/1000</f>
        <v>1.290315106580167</v>
      </c>
      <c r="M228" s="780">
        <f>InputQ!M10/1000</f>
        <v>1.385339434661724</v>
      </c>
      <c r="N228" s="780">
        <f>InputQ!N10/1000</f>
        <v>1.4781916126042631</v>
      </c>
      <c r="O228" s="780">
        <f>InputQ!O10/1000</f>
        <v>1.5776181649675625</v>
      </c>
      <c r="P228" s="780">
        <f>InputQ!P10/1000</f>
        <v>1.6937847544022244</v>
      </c>
      <c r="Q228" s="780">
        <f>InputQ!Q10/1000</f>
        <v>1.7048482391102873</v>
      </c>
      <c r="R228" s="780">
        <f>InputQ!R10/1000</f>
        <v>1.7935298887859128</v>
      </c>
      <c r="S228" s="780">
        <f>InputQ!S10/1000</f>
        <v>1.8474281742354033</v>
      </c>
      <c r="T228" s="780">
        <f>InputQ!T10/1000</f>
        <v>1.8497161723818352</v>
      </c>
      <c r="U228" s="780">
        <f>InputQ!U10/1000</f>
        <v>1.8743917979610751</v>
      </c>
      <c r="V228" s="780">
        <f>InputQ!V10/1000</f>
        <v>1.643246061167748</v>
      </c>
      <c r="W228" s="780">
        <f>InputQ!W10/1000</f>
        <v>1.5583005097312328</v>
      </c>
      <c r="X228" s="780">
        <f>InputQ!X10/1000</f>
        <v>1.6137337812789618</v>
      </c>
      <c r="Y228" s="780">
        <f>InputQ!Y10/1000</f>
        <v>1.5832657553290082</v>
      </c>
      <c r="Z228" s="780">
        <f>InputQ!Z10/1000</f>
        <v>1.5414156626506024</v>
      </c>
      <c r="AA228" s="780">
        <f>InputQ!AA10/1000</f>
        <v>1.584974513438369</v>
      </c>
      <c r="AB228" s="780">
        <f>InputQ!AB10/1000</f>
        <v>1.5929969879518073</v>
      </c>
      <c r="AC228" s="780">
        <f>InputQ!AC10/1000</f>
        <v>1.7012859128822984</v>
      </c>
      <c r="AD228" s="780">
        <f>InputQ!AD10/1000</f>
        <v>1.7029657089898056</v>
      </c>
      <c r="AE228" s="780">
        <f>InputQ!AE10/1000</f>
        <v>1.8408537998146433</v>
      </c>
      <c r="AF228" s="780">
        <f>InputQ!AF10/1000</f>
        <v>1.8904077849860983</v>
      </c>
      <c r="AG228" s="780">
        <f>InputQ!AG10/1000</f>
        <v>1.965940685820204</v>
      </c>
      <c r="AH228" s="780">
        <f>InputQ!AH10/1000</f>
        <v>2.1130386932344765</v>
      </c>
      <c r="AI228" s="780">
        <f>InputQ!AI10/1000</f>
        <v>2.1773053753475442</v>
      </c>
      <c r="AJ228" s="780">
        <f>InputQ!AJ10/1000</f>
        <v>2.3408827618164967</v>
      </c>
      <c r="AK228" s="780">
        <f>InputQ!AK10/1000</f>
        <v>2.3221153846153846</v>
      </c>
      <c r="AL228" s="780">
        <f>InputQ!AL10/1000</f>
        <v>2.4178637627432811</v>
      </c>
      <c r="AM228" s="780">
        <f>InputQ!AM10/1000</f>
        <v>2.4491427247451343</v>
      </c>
      <c r="AN228" s="780">
        <f>InputQ!AN10/1000</f>
        <v>2.4241485171455053</v>
      </c>
      <c r="AO228" s="780">
        <f>InputQ!AO10/1000</f>
        <v>2.5226772474513437</v>
      </c>
      <c r="AP228" s="780">
        <f>InputQ!AP10/1000</f>
        <v>2.6362662187210382</v>
      </c>
      <c r="AQ228" s="780">
        <f>InputQ!AQ10/1000</f>
        <v>2.6648227525486563</v>
      </c>
      <c r="AR228" s="780">
        <f>InputQ!AR10/1000</f>
        <v>2.8150486561631136</v>
      </c>
      <c r="AS228" s="780">
        <f>InputQ!AS10/1000</f>
        <v>2.9284059314179798</v>
      </c>
      <c r="AT228" s="780">
        <f>InputQ!AT10/1000</f>
        <v>2.9964376737720113</v>
      </c>
      <c r="AU228" s="780">
        <f>InputQ!AU10/1000</f>
        <v>3.5524</v>
      </c>
      <c r="AV228" s="780">
        <f>InputQ!AV10/1000</f>
        <v>3.8249</v>
      </c>
      <c r="AW228" s="780">
        <f>InputQ!AW10/1000</f>
        <v>3.9149000000000003</v>
      </c>
      <c r="AX228" s="780">
        <f>InputQ!AX10/1000</f>
        <v>4.2856999999999994</v>
      </c>
      <c r="AY228" s="780">
        <f>InputQ!AY10/1000</f>
        <v>4.2988</v>
      </c>
      <c r="AZ228" s="780">
        <f>InputQ!AZ10/1000</f>
        <v>4.2541000000000002</v>
      </c>
      <c r="BA228" s="780">
        <f>InputQ!BA10/1000</f>
        <v>4.5179</v>
      </c>
      <c r="BB228" s="780">
        <f>InputQ!BB10/1000</f>
        <v>4.7205000000000004</v>
      </c>
      <c r="BC228" s="780">
        <f>InputQ!BC10/1000</f>
        <v>4.7086000000000006</v>
      </c>
      <c r="BD228" s="780">
        <f>InputQ!BD10/1000</f>
        <v>4.9444999999999997</v>
      </c>
      <c r="BE228" s="780">
        <f>InputQ!BE10/1000</f>
        <v>4.9571999999999994</v>
      </c>
      <c r="BF228" s="780">
        <f>InputQ!BF10/1000</f>
        <v>5.0981000000000005</v>
      </c>
      <c r="BG228" s="780">
        <f>InputQ!BG10/1000</f>
        <v>5.4121999999999995</v>
      </c>
      <c r="BH228" s="780">
        <f>InputQ!BH10/1000</f>
        <v>5.6598999999999995</v>
      </c>
      <c r="BI228" s="780">
        <f>InputQ!BI10/1000</f>
        <v>5.6408000000000005</v>
      </c>
      <c r="BJ228" s="780">
        <f>InputQ!BJ10/1000</f>
        <v>5.1716000000000006</v>
      </c>
      <c r="BK228" s="780">
        <f>InputQ!BK10/1000</f>
        <v>3.8961999999999999</v>
      </c>
      <c r="BL228" s="780">
        <f>InputQ!BL10/1000</f>
        <v>3.8328000000000002</v>
      </c>
      <c r="BM228" s="780">
        <f>InputQ!BM10/1000</f>
        <v>4.0282999999999998</v>
      </c>
      <c r="BN228" s="780">
        <f>InputQ!BN10/1000</f>
        <v>4.1734</v>
      </c>
      <c r="BO228" s="780">
        <f>InputQ!BO10/1000</f>
        <v>4.202</v>
      </c>
      <c r="BP228" s="780">
        <f>InputQ!BP10/1000</f>
        <v>4.5721000000000007</v>
      </c>
      <c r="BQ228" s="780">
        <f>InputQ!BQ10/1000</f>
        <v>4.8536000000000001</v>
      </c>
      <c r="BR228" s="780">
        <f>InputQ!BR10/1000</f>
        <v>5.2694999999999999</v>
      </c>
      <c r="BS228" s="780">
        <f>InputQ!BS10/1000</f>
        <v>5.5288000000000004</v>
      </c>
      <c r="BT228" s="780">
        <f>InputQ!BT10/1000</f>
        <v>5.3873999999999995</v>
      </c>
      <c r="BU228" s="780">
        <f>InputQ!BU10/1000</f>
        <v>5.4032999999999998</v>
      </c>
      <c r="BV228" s="780">
        <f>InputQ!BV10/1000</f>
        <v>5.4696000000000007</v>
      </c>
      <c r="BW228" s="780">
        <f>InputQ!BW10/1000</f>
        <v>5.3171999999999997</v>
      </c>
      <c r="BX228" s="780">
        <f>InputQ!BX10/1000</f>
        <v>5.2625000000000002</v>
      </c>
      <c r="BY228" s="780">
        <f>InputQ!BY10/1000</f>
        <v>6.0243000000000002</v>
      </c>
      <c r="BZ228" s="780">
        <f>InputQ!BZ10/1000</f>
        <v>6.1991000000000005</v>
      </c>
      <c r="CA228" s="780">
        <f>InputQ!CA10/1000</f>
        <v>6.3517000000000001</v>
      </c>
      <c r="CB228" s="780">
        <f>InputQ!CB10/1000</f>
        <v>6.0377000000000001</v>
      </c>
      <c r="CC228" s="780">
        <f>InputQ!CC10/1000</f>
        <v>6.3659999999999997</v>
      </c>
      <c r="CD228" s="780">
        <f>InputQ!CD10/1000</f>
        <v>6.5792999999999999</v>
      </c>
      <c r="CE228" s="780">
        <f>InputQ!CE10/1000</f>
        <v>6.2538</v>
      </c>
      <c r="CF228" s="780">
        <f>InputQ!CF10/1000</f>
        <v>6.4989999999999997</v>
      </c>
      <c r="CG228" s="780">
        <f>InputQ!CG10/1000</f>
        <v>6.5823999999999998</v>
      </c>
      <c r="CH228" s="780">
        <f>InputQ!CH10/1000</f>
        <v>6.6986000000000008</v>
      </c>
      <c r="CI228" s="780">
        <f>InputQ!CI10/1000</f>
        <v>6.8022999999999998</v>
      </c>
      <c r="CJ228" s="780">
        <f>InputQ!CJ10/1000</f>
        <v>6.9773000000000005</v>
      </c>
      <c r="CK228" s="780">
        <f>InputQ!CK10/1000</f>
        <v>6.9283000000000001</v>
      </c>
      <c r="CL228" s="780">
        <f>InputQ!CL10/1000</f>
        <v>6.9746000000000006</v>
      </c>
      <c r="CM228" s="780">
        <f>InputQ!CM10/1000</f>
        <v>6.9073000000000002</v>
      </c>
      <c r="CN228" s="780">
        <f>InputQ!CN10/1000</f>
        <v>7.0656999999999996</v>
      </c>
      <c r="CO228" s="780">
        <f>InputQ!CO10/1000</f>
        <v>7.1443999999999992</v>
      </c>
      <c r="CP228" s="780">
        <f>InputQ!CP10/1000</f>
        <v>7.3040000000000003</v>
      </c>
      <c r="CQ228" s="780">
        <f>InputQ!CQ10/1000</f>
        <v>7.7539999999999996</v>
      </c>
      <c r="CR228" s="780">
        <f>InputQ!CR10/1000</f>
        <v>7.9198000000000004</v>
      </c>
      <c r="CS228" s="780">
        <f>InputQ!CS10/1000</f>
        <v>8.1814999999999998</v>
      </c>
      <c r="CT228" s="780">
        <f>InputQ!CT10/1000</f>
        <v>8.4259000000000004</v>
      </c>
      <c r="CU228" s="1591">
        <f t="shared" ref="CU228:CX228" si="559">CT228*(1+CU241/100)</f>
        <v>8.4933072000000003</v>
      </c>
      <c r="CV228" s="1591">
        <f t="shared" si="559"/>
        <v>8.5612536576</v>
      </c>
      <c r="CW228" s="1591">
        <f t="shared" si="559"/>
        <v>8.6297436868608006</v>
      </c>
      <c r="CX228" s="1591">
        <f t="shared" si="559"/>
        <v>8.6944667645122564</v>
      </c>
      <c r="CY228" s="1591">
        <f t="shared" ref="CY228" si="560">CX228*(1+CY241/100)</f>
        <v>8.8248837659799388</v>
      </c>
      <c r="CZ228" s="1591">
        <f t="shared" ref="CZ228" si="561">CY228*(1+CZ241/100)</f>
        <v>8.9660819062356172</v>
      </c>
      <c r="DA228" s="1591">
        <f t="shared" ref="DA228" si="562">CZ228*(1+DA241/100)</f>
        <v>9.1095392167353868</v>
      </c>
      <c r="DB228" s="1591">
        <f t="shared" ref="DB228" si="563">DA228*(1+DB241/100)</f>
        <v>9.2552918442031533</v>
      </c>
      <c r="DC228"/>
      <c r="DD228"/>
      <c r="DE228"/>
      <c r="DF228"/>
      <c r="DG228"/>
      <c r="DH228"/>
      <c r="DI228"/>
      <c r="DJ228"/>
      <c r="DK228"/>
      <c r="DL228"/>
      <c r="DM228"/>
      <c r="DN228"/>
      <c r="DO228"/>
    </row>
    <row r="229" spans="1:119" s="26" customFormat="1" ht="12.75" customHeight="1">
      <c r="A229" s="664"/>
      <c r="B229" s="673"/>
      <c r="C229" s="687"/>
      <c r="D229" s="683"/>
      <c r="E229" s="684" t="s">
        <v>266</v>
      </c>
      <c r="F229" s="685"/>
      <c r="G229" s="1570"/>
      <c r="H229" s="1571"/>
      <c r="I229" s="1571"/>
      <c r="J229" s="1575">
        <f>SUM(G228:J228)</f>
        <v>4.4255097312326228</v>
      </c>
      <c r="K229" s="1570"/>
      <c r="L229" s="1571"/>
      <c r="M229" s="1571"/>
      <c r="N229" s="1575">
        <f>SUM(K228:N228)</f>
        <v>5.387946014828545</v>
      </c>
      <c r="O229" s="1570"/>
      <c r="P229" s="1571"/>
      <c r="Q229" s="1571"/>
      <c r="R229" s="1575">
        <f>SUM(O228:R228)</f>
        <v>6.7697810472659867</v>
      </c>
      <c r="S229" s="1570"/>
      <c r="T229" s="1571"/>
      <c r="U229" s="1571"/>
      <c r="V229" s="1575">
        <f>SUM(S228:V228)</f>
        <v>7.2147822057460615</v>
      </c>
      <c r="W229" s="1570"/>
      <c r="X229" s="1571"/>
      <c r="Y229" s="1571"/>
      <c r="Z229" s="1575">
        <f>SUM(W228:Z228)</f>
        <v>6.2967157089898054</v>
      </c>
      <c r="AA229" s="1570"/>
      <c r="AB229" s="1571"/>
      <c r="AC229" s="1571"/>
      <c r="AD229" s="1575">
        <f>SUM(AA228:AD228)</f>
        <v>6.5822231232622803</v>
      </c>
      <c r="AE229" s="1570"/>
      <c r="AF229" s="1571"/>
      <c r="AG229" s="1571"/>
      <c r="AH229" s="1575">
        <f>SUM(AE228:AH228)</f>
        <v>7.8102409638554215</v>
      </c>
      <c r="AI229" s="1570"/>
      <c r="AJ229" s="1571"/>
      <c r="AK229" s="1571"/>
      <c r="AL229" s="1575">
        <f>SUM(AI228:AL228)</f>
        <v>9.2581672845227061</v>
      </c>
      <c r="AM229" s="1570"/>
      <c r="AN229" s="1571"/>
      <c r="AO229" s="1571"/>
      <c r="AP229" s="1575">
        <f>SUM(AM228:AP228)</f>
        <v>10.032234708063021</v>
      </c>
      <c r="AQ229" s="1570"/>
      <c r="AR229" s="1571"/>
      <c r="AS229" s="1571"/>
      <c r="AT229" s="1575">
        <f>SUM(AQ228:AT228)</f>
        <v>11.404715013901761</v>
      </c>
      <c r="AU229" s="1570"/>
      <c r="AV229" s="1571"/>
      <c r="AW229" s="1571"/>
      <c r="AX229" s="1575">
        <f>SUM(AU228:AX228)</f>
        <v>15.5779</v>
      </c>
      <c r="AY229" s="1570"/>
      <c r="AZ229" s="1571"/>
      <c r="BA229" s="1571"/>
      <c r="BB229" s="1575">
        <f>SUM(AY228:BB228)</f>
        <v>17.791300000000003</v>
      </c>
      <c r="BC229" s="1570"/>
      <c r="BD229" s="1571"/>
      <c r="BE229" s="1571"/>
      <c r="BF229" s="1575">
        <f>SUM(BC228:BF228)</f>
        <v>19.708399999999997</v>
      </c>
      <c r="BG229" s="1570"/>
      <c r="BH229" s="1571"/>
      <c r="BI229" s="1571"/>
      <c r="BJ229" s="1575">
        <f>SUM(BG228:BJ228)</f>
        <v>21.884499999999999</v>
      </c>
      <c r="BK229" s="1570"/>
      <c r="BL229" s="1571"/>
      <c r="BM229" s="1571"/>
      <c r="BN229" s="1575">
        <f>SUM(BK228:BN228)</f>
        <v>15.930700000000002</v>
      </c>
      <c r="BO229" s="1570"/>
      <c r="BP229" s="1571"/>
      <c r="BQ229" s="1571"/>
      <c r="BR229" s="1575">
        <f>SUM(BO228:BR228)</f>
        <v>18.897200000000002</v>
      </c>
      <c r="BS229" s="1570"/>
      <c r="BT229" s="1571"/>
      <c r="BU229" s="1571"/>
      <c r="BV229" s="1575">
        <f>SUM(BS228:BV228)</f>
        <v>21.789099999999998</v>
      </c>
      <c r="BW229" s="1570"/>
      <c r="BX229" s="1571"/>
      <c r="BY229" s="1571"/>
      <c r="BZ229" s="1575">
        <f>SUM(BW228:BZ228)</f>
        <v>22.803100000000001</v>
      </c>
      <c r="CA229" s="1570"/>
      <c r="CB229" s="1571"/>
      <c r="CC229" s="1571"/>
      <c r="CD229" s="1575">
        <f>SUM(CA228:CD228)</f>
        <v>25.334700000000002</v>
      </c>
      <c r="CE229" s="1570"/>
      <c r="CF229" s="1571"/>
      <c r="CG229" s="1571"/>
      <c r="CH229" s="1575">
        <f>SUM(CE228:CH228)</f>
        <v>26.033799999999999</v>
      </c>
      <c r="CI229" s="1570"/>
      <c r="CJ229" s="1571"/>
      <c r="CK229" s="1571"/>
      <c r="CL229" s="1575">
        <f>SUM(CI228:CL228)</f>
        <v>27.682500000000005</v>
      </c>
      <c r="CM229" s="1570"/>
      <c r="CN229" s="1571"/>
      <c r="CO229" s="1571"/>
      <c r="CP229" s="1575">
        <f>SUM(CM228:CP228)</f>
        <v>28.421399999999998</v>
      </c>
      <c r="CQ229" s="1570"/>
      <c r="CR229" s="1571"/>
      <c r="CS229" s="1571"/>
      <c r="CT229" s="1575">
        <f>SUM(CQ228:CT228)</f>
        <v>32.281199999999998</v>
      </c>
      <c r="CU229" s="1570"/>
      <c r="CV229" s="1571"/>
      <c r="CW229" s="1571"/>
      <c r="CX229" s="1575">
        <f>SUM(CU228:CX228)</f>
        <v>34.378771308973057</v>
      </c>
      <c r="CY229" s="1570"/>
      <c r="CZ229" s="1571"/>
      <c r="DA229" s="1571"/>
      <c r="DB229" s="1575">
        <f>SUM(CY228:DB228)</f>
        <v>36.155796733154091</v>
      </c>
      <c r="DC229"/>
      <c r="DD229"/>
      <c r="DE229"/>
      <c r="DF229"/>
      <c r="DG229"/>
      <c r="DH229"/>
      <c r="DI229"/>
      <c r="DJ229"/>
      <c r="DK229"/>
      <c r="DL229"/>
      <c r="DM229"/>
      <c r="DN229"/>
      <c r="DO229"/>
    </row>
    <row r="230" spans="1:119" s="699" customFormat="1" ht="12.75" customHeight="1">
      <c r="A230" s="664"/>
      <c r="B230" s="664"/>
      <c r="C230" s="669"/>
      <c r="D230" s="679"/>
      <c r="E230" s="1572" t="s">
        <v>1847</v>
      </c>
      <c r="F230" s="679"/>
      <c r="G230" s="1573"/>
      <c r="H230" s="2839" t="s">
        <v>757</v>
      </c>
      <c r="I230" s="2840">
        <f ca="1">+J230/J229*100</f>
        <v>110.96390767107245</v>
      </c>
      <c r="J230" s="1574">
        <f ca="1">OFFSET('VVP2'!$G$105,0,(COLUMN()-10)/4)</f>
        <v>4.9107185321392937</v>
      </c>
      <c r="K230" s="1573"/>
      <c r="L230" s="2839" t="s">
        <v>757</v>
      </c>
      <c r="M230" s="2840">
        <f ca="1">+N230/N229*100</f>
        <v>112.25695652254217</v>
      </c>
      <c r="N230" s="1574">
        <f ca="1">OFFSET('VVP2'!$G$105,0,(COLUMN()-10)/4)</f>
        <v>6.0483442153241231</v>
      </c>
      <c r="O230" s="1573"/>
      <c r="P230" s="2839" t="s">
        <v>757</v>
      </c>
      <c r="Q230" s="2840">
        <f ca="1">+R230/R229*100</f>
        <v>111.64898218072565</v>
      </c>
      <c r="R230" s="1574">
        <f ca="1">OFFSET('VVP2'!$G$105,0,(COLUMN()-10)/4)</f>
        <v>7.558391635136144</v>
      </c>
      <c r="S230" s="1573"/>
      <c r="T230" s="2839" t="s">
        <v>757</v>
      </c>
      <c r="U230" s="2840">
        <f ca="1">+V230/V229*100</f>
        <v>111.19520806953216</v>
      </c>
      <c r="V230" s="1574">
        <f ca="1">OFFSET('VVP2'!$G$105,0,(COLUMN()-10)/4)</f>
        <v>8.0224920854429147</v>
      </c>
      <c r="W230" s="1573"/>
      <c r="X230" s="2839" t="s">
        <v>757</v>
      </c>
      <c r="Y230" s="2840">
        <f ca="1">+Z230/Z229*100</f>
        <v>111.67111252328412</v>
      </c>
      <c r="Z230" s="1574">
        <f ca="1">OFFSET('VVP2'!$G$105,0,(COLUMN()-10)/4)</f>
        <v>7.0316124846573125</v>
      </c>
      <c r="AA230" s="1573"/>
      <c r="AB230" s="2839" t="s">
        <v>757</v>
      </c>
      <c r="AC230" s="2840">
        <f ca="1">+AD230/AD229*100</f>
        <v>112.14312385556011</v>
      </c>
      <c r="AD230" s="1574">
        <f ca="1">OFFSET('VVP2'!$G$105,0,(COLUMN()-10)/4)</f>
        <v>7.3815106295693358</v>
      </c>
      <c r="AE230" s="1573"/>
      <c r="AF230" s="2839" t="s">
        <v>757</v>
      </c>
      <c r="AG230" s="2840">
        <f ca="1">+AH230/AH229*100</f>
        <v>111.1221332714511</v>
      </c>
      <c r="AH230" s="1574">
        <f ca="1">OFFSET('VVP2'!$G$105,0,(COLUMN()-10)/4)</f>
        <v>8.6789063726768898</v>
      </c>
      <c r="AI230" s="1573"/>
      <c r="AJ230" s="2839" t="s">
        <v>757</v>
      </c>
      <c r="AK230" s="2840">
        <f ca="1">+AL230/AL229*100</f>
        <v>111.16291432545309</v>
      </c>
      <c r="AL230" s="1574">
        <f ca="1">OFFSET('VVP2'!$G$105,0,(COLUMN()-10)/4)</f>
        <v>10.291648566601102</v>
      </c>
      <c r="AM230" s="1573"/>
      <c r="AN230" s="2839" t="s">
        <v>757</v>
      </c>
      <c r="AO230" s="2840">
        <f ca="1">+AP230/AP229*100</f>
        <v>111.6711027075947</v>
      </c>
      <c r="AP230" s="1574">
        <f ca="1">OFFSET('VVP2'!$G$105,0,(COLUMN()-10)/4)</f>
        <v>11.203107124708019</v>
      </c>
      <c r="AQ230" s="1573"/>
      <c r="AR230" s="2839" t="s">
        <v>757</v>
      </c>
      <c r="AS230" s="2840">
        <f ca="1">+AT230/AT229*100</f>
        <v>113.10488674444237</v>
      </c>
      <c r="AT230" s="1574">
        <f ca="1">OFFSET('VVP2'!$G$105,0,(COLUMN()-10)/4)</f>
        <v>12.899290000000001</v>
      </c>
      <c r="AU230" s="1573"/>
      <c r="AV230" s="2839" t="s">
        <v>757</v>
      </c>
      <c r="AW230" s="2840">
        <f ca="1">+AX230/AX229*100</f>
        <v>99.64789862561706</v>
      </c>
      <c r="AX230" s="1574">
        <f ca="1">OFFSET('VVP2'!$G$105,0,(COLUMN()-10)/4)</f>
        <v>15.52305</v>
      </c>
      <c r="AY230" s="1573"/>
      <c r="AZ230" s="2839" t="s">
        <v>757</v>
      </c>
      <c r="BA230" s="2840">
        <f ca="1">+BB230/BB229*100</f>
        <v>99.691590833722074</v>
      </c>
      <c r="BB230" s="1574">
        <f ca="1">OFFSET('VVP2'!$G$105,0,(COLUMN()-10)/4)</f>
        <v>17.736429999999999</v>
      </c>
      <c r="BC230" s="1573"/>
      <c r="BD230" s="2839" t="s">
        <v>757</v>
      </c>
      <c r="BE230" s="2840">
        <f ca="1">+BF230/BF229*100</f>
        <v>99.721641533559307</v>
      </c>
      <c r="BF230" s="1574">
        <f ca="1">OFFSET('VVP2'!$G$105,0,(COLUMN()-10)/4)</f>
        <v>19.65354</v>
      </c>
      <c r="BG230" s="1573"/>
      <c r="BH230" s="2839" t="s">
        <v>757</v>
      </c>
      <c r="BI230" s="2840">
        <f ca="1">+BJ230/BJ229*100</f>
        <v>100.75085105896868</v>
      </c>
      <c r="BJ230" s="1574">
        <f ca="1">OFFSET('VVP2'!$G$105,0,(COLUMN()-10)/4)</f>
        <v>22.048819999999999</v>
      </c>
      <c r="BK230" s="1573"/>
      <c r="BL230" s="2839" t="s">
        <v>757</v>
      </c>
      <c r="BM230" s="2840">
        <f ca="1">+BN230/BN229*100</f>
        <v>99.65569623431486</v>
      </c>
      <c r="BN230" s="1574">
        <f ca="1">OFFSET('VVP2'!$G$105,0,(COLUMN()-10)/4)</f>
        <v>15.87585</v>
      </c>
      <c r="BO230" s="1573"/>
      <c r="BP230" s="2839" t="s">
        <v>757</v>
      </c>
      <c r="BQ230" s="2840">
        <f ca="1">+BR230/BR229*100</f>
        <v>99.6977859153737</v>
      </c>
      <c r="BR230" s="1574">
        <f ca="1">OFFSET('VVP2'!$G$105,0,(COLUMN()-10)/4)</f>
        <v>18.84009</v>
      </c>
      <c r="BS230" s="1573"/>
      <c r="BT230" s="2839" t="s">
        <v>757</v>
      </c>
      <c r="BU230" s="2840">
        <f ca="1">+BV230/BV229*100</f>
        <v>99.441417956684774</v>
      </c>
      <c r="BV230" s="1574">
        <f ca="1">OFFSET('VVP2'!$G$105,0,(COLUMN()-10)/4)</f>
        <v>21.667390000000001</v>
      </c>
      <c r="BW230" s="1573"/>
      <c r="BX230" s="2839" t="s">
        <v>757</v>
      </c>
      <c r="BY230" s="2840">
        <f ca="1">+BZ230/BZ229*100</f>
        <v>101.33350290092136</v>
      </c>
      <c r="BZ230" s="1574">
        <f ca="1">OFFSET('VVP2'!$G$105,0,(COLUMN()-10)/4)</f>
        <v>23.10718</v>
      </c>
      <c r="CA230" s="1573"/>
      <c r="CB230" s="2839" t="s">
        <v>757</v>
      </c>
      <c r="CC230" s="2840">
        <f ca="1">+CD230/CD229*100</f>
        <v>99.519157519133842</v>
      </c>
      <c r="CD230" s="1574">
        <f ca="1">OFFSET('VVP2'!$G$105,0,(COLUMN()-10)/4)</f>
        <v>25.212880000000002</v>
      </c>
      <c r="CE230" s="1573"/>
      <c r="CF230" s="2839" t="s">
        <v>757</v>
      </c>
      <c r="CG230" s="2840">
        <f ca="1">+CH230/CH229*100</f>
        <v>99.845508531217121</v>
      </c>
      <c r="CH230" s="1574">
        <f ca="1">OFFSET('VVP2'!$G$105,0,(COLUMN()-10)/4)</f>
        <v>25.993580000000001</v>
      </c>
      <c r="CI230" s="1573"/>
      <c r="CJ230" s="2839" t="s">
        <v>757</v>
      </c>
      <c r="CK230" s="2840">
        <f ca="1">+CL230/CL229*100</f>
        <v>99.721267949065279</v>
      </c>
      <c r="CL230" s="1574">
        <f ca="1">OFFSET('VVP2'!$G$105,0,(COLUMN()-10)/4)</f>
        <v>27.605340000000002</v>
      </c>
      <c r="CM230" s="1573"/>
      <c r="CN230" s="2839" t="s">
        <v>757</v>
      </c>
      <c r="CO230" s="2840">
        <f ca="1">+CP230/CP229*100</f>
        <v>100.55521543625578</v>
      </c>
      <c r="CP230" s="1574">
        <f ca="1">OFFSET('VVP2'!$G$105,0,(COLUMN()-10)/4)</f>
        <v>28.5792</v>
      </c>
      <c r="CQ230" s="1573"/>
      <c r="CR230" s="2839" t="s">
        <v>757</v>
      </c>
      <c r="CS230" s="2840">
        <f ca="1">+CT230/CT229*100</f>
        <v>99.875035624450149</v>
      </c>
      <c r="CT230" s="1574">
        <f ca="1">OFFSET('VVP2'!$G$105,0,(COLUMN()-10)/4)</f>
        <v>32.240859999999998</v>
      </c>
      <c r="CU230" s="1573"/>
      <c r="CV230" s="2839" t="s">
        <v>757</v>
      </c>
      <c r="CW230" s="2840">
        <f ca="1">+CX230/CX229*100</f>
        <v>99.877088658598908</v>
      </c>
      <c r="CX230" s="1574">
        <f ca="1">OFFSET('VVP2'!$G$105,0,(COLUMN()-10)/4)</f>
        <v>34.336515899999988</v>
      </c>
      <c r="CY230" s="1573"/>
      <c r="CZ230" s="2839" t="s">
        <v>757</v>
      </c>
      <c r="DA230" s="2840">
        <f ca="1">+DB230/DB229*100</f>
        <v>99.860228259814861</v>
      </c>
      <c r="DB230" s="1574">
        <f ca="1">OFFSET('VVP2'!$G$105,0,(COLUMN()-10)/4)</f>
        <v>36.105261146882356</v>
      </c>
      <c r="DC230"/>
      <c r="DD230"/>
      <c r="DE230"/>
      <c r="DF230"/>
      <c r="DG230"/>
      <c r="DH230"/>
      <c r="DI230"/>
      <c r="DJ230"/>
      <c r="DK230"/>
      <c r="DL230"/>
      <c r="DM230"/>
      <c r="DN230"/>
      <c r="DO230"/>
    </row>
    <row r="231" spans="1:119" ht="12.75" customHeight="1">
      <c r="A231" s="664"/>
      <c r="E231" s="599"/>
      <c r="F231" s="3617"/>
      <c r="AY231" s="217"/>
      <c r="BA231" s="217"/>
      <c r="BB231" s="217"/>
      <c r="BC231" s="217"/>
      <c r="BD231" s="217"/>
      <c r="BE231" s="217"/>
      <c r="BF231" s="217"/>
      <c r="BG231" s="217"/>
      <c r="BH231" s="217"/>
      <c r="BI231" s="217"/>
      <c r="BJ231" s="217"/>
      <c r="CM231" s="557"/>
      <c r="CN231" s="557"/>
      <c r="CO231" s="557"/>
      <c r="CP231" s="557"/>
      <c r="CQ231" s="557"/>
      <c r="CR231" s="557"/>
      <c r="CS231" s="557"/>
      <c r="CT231" s="557"/>
      <c r="CU231" s="557"/>
      <c r="CV231" s="557"/>
      <c r="CW231" s="557"/>
      <c r="CX231" s="557"/>
      <c r="CY231" s="557"/>
      <c r="CZ231" s="557"/>
      <c r="DA231" s="557"/>
      <c r="DB231" s="557"/>
    </row>
    <row r="232" spans="1:119" s="699" customFormat="1" ht="12.75" customHeight="1">
      <c r="A232" s="664"/>
      <c r="B232" s="664"/>
      <c r="C232" s="1553"/>
      <c r="D232" s="742"/>
      <c r="E232" s="3384" t="s">
        <v>762</v>
      </c>
      <c r="F232" s="3622"/>
      <c r="G232" s="1578" t="str">
        <f t="shared" ref="G232:N232" si="564">G219</f>
        <v>Q1</v>
      </c>
      <c r="H232" s="1579" t="str">
        <f t="shared" si="564"/>
        <v>Q2</v>
      </c>
      <c r="I232" s="1579" t="str">
        <f t="shared" si="564"/>
        <v>Q3</v>
      </c>
      <c r="J232" s="1580" t="str">
        <f t="shared" si="564"/>
        <v>Q4</v>
      </c>
      <c r="K232" s="1578" t="str">
        <f t="shared" si="564"/>
        <v>Q1</v>
      </c>
      <c r="L232" s="1579" t="str">
        <f t="shared" si="564"/>
        <v>Q2</v>
      </c>
      <c r="M232" s="1579" t="str">
        <f t="shared" si="564"/>
        <v>Q3</v>
      </c>
      <c r="N232" s="1580" t="str">
        <f t="shared" si="564"/>
        <v>Q4</v>
      </c>
      <c r="O232" s="1578" t="str">
        <f t="shared" ref="O232:BJ232" si="565">O219</f>
        <v>Q1</v>
      </c>
      <c r="P232" s="1579" t="str">
        <f t="shared" si="565"/>
        <v>Q2</v>
      </c>
      <c r="Q232" s="1579" t="str">
        <f t="shared" si="565"/>
        <v>Q3</v>
      </c>
      <c r="R232" s="1580" t="str">
        <f t="shared" si="565"/>
        <v>Q4</v>
      </c>
      <c r="S232" s="1578" t="str">
        <f t="shared" si="565"/>
        <v>Q1</v>
      </c>
      <c r="T232" s="1579" t="str">
        <f t="shared" si="565"/>
        <v>Q2</v>
      </c>
      <c r="U232" s="1579" t="str">
        <f t="shared" si="565"/>
        <v>Q3</v>
      </c>
      <c r="V232" s="1580" t="str">
        <f t="shared" si="565"/>
        <v>Q4</v>
      </c>
      <c r="W232" s="1578" t="str">
        <f t="shared" si="565"/>
        <v>Q1</v>
      </c>
      <c r="X232" s="1579" t="str">
        <f t="shared" si="565"/>
        <v>Q2</v>
      </c>
      <c r="Y232" s="1579" t="str">
        <f t="shared" si="565"/>
        <v>Q3</v>
      </c>
      <c r="Z232" s="1580" t="str">
        <f t="shared" si="565"/>
        <v>Q4</v>
      </c>
      <c r="AA232" s="1578" t="str">
        <f t="shared" si="565"/>
        <v>Q1</v>
      </c>
      <c r="AB232" s="1579" t="str">
        <f t="shared" si="565"/>
        <v>Q2</v>
      </c>
      <c r="AC232" s="1579" t="str">
        <f t="shared" si="565"/>
        <v>Q3</v>
      </c>
      <c r="AD232" s="1580" t="str">
        <f t="shared" si="565"/>
        <v>Q4</v>
      </c>
      <c r="AE232" s="1578" t="str">
        <f t="shared" si="565"/>
        <v>Q1</v>
      </c>
      <c r="AF232" s="1579" t="str">
        <f t="shared" si="565"/>
        <v>Q2</v>
      </c>
      <c r="AG232" s="1579" t="str">
        <f t="shared" si="565"/>
        <v>Q3</v>
      </c>
      <c r="AH232" s="1580" t="str">
        <f t="shared" si="565"/>
        <v>Q4</v>
      </c>
      <c r="AI232" s="1578" t="str">
        <f t="shared" si="565"/>
        <v>Q1</v>
      </c>
      <c r="AJ232" s="1579" t="str">
        <f t="shared" si="565"/>
        <v>Q2</v>
      </c>
      <c r="AK232" s="1579" t="str">
        <f t="shared" si="565"/>
        <v>Q3</v>
      </c>
      <c r="AL232" s="1580" t="str">
        <f t="shared" si="565"/>
        <v>Q4</v>
      </c>
      <c r="AM232" s="1578" t="str">
        <f t="shared" si="565"/>
        <v>Q1</v>
      </c>
      <c r="AN232" s="1579" t="str">
        <f t="shared" si="565"/>
        <v>Q2</v>
      </c>
      <c r="AO232" s="1579" t="str">
        <f t="shared" si="565"/>
        <v>Q3</v>
      </c>
      <c r="AP232" s="1580" t="str">
        <f t="shared" si="565"/>
        <v>Q4</v>
      </c>
      <c r="AQ232" s="1578" t="str">
        <f t="shared" si="565"/>
        <v>Q1</v>
      </c>
      <c r="AR232" s="1579" t="str">
        <f t="shared" si="565"/>
        <v>Q2</v>
      </c>
      <c r="AS232" s="1579" t="str">
        <f t="shared" si="565"/>
        <v>Q3</v>
      </c>
      <c r="AT232" s="1580" t="str">
        <f t="shared" si="565"/>
        <v>Q4</v>
      </c>
      <c r="AU232" s="1578" t="str">
        <f t="shared" si="565"/>
        <v>Q1</v>
      </c>
      <c r="AV232" s="1579" t="str">
        <f t="shared" si="565"/>
        <v>Q2</v>
      </c>
      <c r="AW232" s="1579" t="str">
        <f t="shared" si="565"/>
        <v>Q3</v>
      </c>
      <c r="AX232" s="1580" t="str">
        <f t="shared" si="565"/>
        <v>Q4</v>
      </c>
      <c r="AY232" s="1578" t="str">
        <f t="shared" si="565"/>
        <v>Q1</v>
      </c>
      <c r="AZ232" s="1579" t="str">
        <f t="shared" si="565"/>
        <v>Q2</v>
      </c>
      <c r="BA232" s="1579" t="str">
        <f t="shared" si="565"/>
        <v>Q3</v>
      </c>
      <c r="BB232" s="1580" t="str">
        <f t="shared" si="565"/>
        <v>Q4</v>
      </c>
      <c r="BC232" s="1578" t="str">
        <f t="shared" si="565"/>
        <v>Q1</v>
      </c>
      <c r="BD232" s="1579" t="str">
        <f t="shared" si="565"/>
        <v>Q2</v>
      </c>
      <c r="BE232" s="1579" t="str">
        <f t="shared" si="565"/>
        <v>Q3</v>
      </c>
      <c r="BF232" s="1580" t="str">
        <f t="shared" si="565"/>
        <v>Q4</v>
      </c>
      <c r="BG232" s="1578" t="str">
        <f t="shared" si="565"/>
        <v>Q1</v>
      </c>
      <c r="BH232" s="1579" t="str">
        <f t="shared" si="565"/>
        <v>Q2</v>
      </c>
      <c r="BI232" s="1579" t="str">
        <f t="shared" si="565"/>
        <v>Q3</v>
      </c>
      <c r="BJ232" s="1580" t="str">
        <f t="shared" si="565"/>
        <v>Q4</v>
      </c>
      <c r="BK232" s="1579" t="str">
        <f t="shared" ref="BK232:BR232" si="566">BK219</f>
        <v>Q1</v>
      </c>
      <c r="BL232" s="1579" t="str">
        <f t="shared" si="566"/>
        <v>Q2</v>
      </c>
      <c r="BM232" s="1579" t="str">
        <f t="shared" si="566"/>
        <v>Q3</v>
      </c>
      <c r="BN232" s="1579" t="str">
        <f t="shared" si="566"/>
        <v>Q4</v>
      </c>
      <c r="BO232" s="1579" t="str">
        <f t="shared" si="566"/>
        <v>Q1</v>
      </c>
      <c r="BP232" s="1579" t="str">
        <f t="shared" si="566"/>
        <v>Q2</v>
      </c>
      <c r="BQ232" s="1579" t="str">
        <f t="shared" si="566"/>
        <v>Q3</v>
      </c>
      <c r="BR232" s="1579" t="str">
        <f t="shared" si="566"/>
        <v>Q4</v>
      </c>
      <c r="BS232" s="1579" t="str">
        <f t="shared" ref="BS232:CD232" si="567">BS219</f>
        <v>Q1</v>
      </c>
      <c r="BT232" s="1579" t="str">
        <f t="shared" si="567"/>
        <v>Q2</v>
      </c>
      <c r="BU232" s="1579" t="str">
        <f t="shared" si="567"/>
        <v>Q3</v>
      </c>
      <c r="BV232" s="1579" t="str">
        <f t="shared" si="567"/>
        <v>Q4</v>
      </c>
      <c r="BW232" s="1579" t="str">
        <f t="shared" si="567"/>
        <v>Q1</v>
      </c>
      <c r="BX232" s="1579" t="str">
        <f t="shared" si="567"/>
        <v>Q2</v>
      </c>
      <c r="BY232" s="1579" t="str">
        <f t="shared" si="567"/>
        <v>Q3</v>
      </c>
      <c r="BZ232" s="1579" t="str">
        <f t="shared" si="567"/>
        <v>Q4</v>
      </c>
      <c r="CA232" s="1579" t="str">
        <f t="shared" si="567"/>
        <v>Q1</v>
      </c>
      <c r="CB232" s="1579" t="str">
        <f t="shared" si="567"/>
        <v>Q2</v>
      </c>
      <c r="CC232" s="1579" t="str">
        <f t="shared" si="567"/>
        <v>Q3</v>
      </c>
      <c r="CD232" s="1579" t="str">
        <f t="shared" si="567"/>
        <v>Q4</v>
      </c>
      <c r="CE232" s="1579" t="str">
        <f t="shared" ref="CE232:CL232" si="568">CE219</f>
        <v>Q1</v>
      </c>
      <c r="CF232" s="1579" t="str">
        <f t="shared" si="568"/>
        <v>Q2</v>
      </c>
      <c r="CG232" s="1579" t="str">
        <f t="shared" si="568"/>
        <v>Q3</v>
      </c>
      <c r="CH232" s="1579" t="str">
        <f t="shared" si="568"/>
        <v>Q4</v>
      </c>
      <c r="CI232" s="1579" t="str">
        <f t="shared" si="568"/>
        <v>Q1</v>
      </c>
      <c r="CJ232" s="1579" t="str">
        <f t="shared" si="568"/>
        <v>Q2</v>
      </c>
      <c r="CK232" s="1579" t="str">
        <f t="shared" si="568"/>
        <v>Q3</v>
      </c>
      <c r="CL232" s="1579" t="str">
        <f t="shared" si="568"/>
        <v>Q4</v>
      </c>
      <c r="CM232" s="1579" t="str">
        <f t="shared" ref="CM232:CT232" si="569">CM219</f>
        <v>Q1</v>
      </c>
      <c r="CN232" s="1579" t="str">
        <f t="shared" si="569"/>
        <v>Q2</v>
      </c>
      <c r="CO232" s="1579" t="str">
        <f t="shared" si="569"/>
        <v>Q3</v>
      </c>
      <c r="CP232" s="1579" t="str">
        <f t="shared" si="569"/>
        <v>Q4</v>
      </c>
      <c r="CQ232" s="1579" t="str">
        <f t="shared" si="569"/>
        <v>Q1</v>
      </c>
      <c r="CR232" s="1579" t="str">
        <f t="shared" si="569"/>
        <v>Q2</v>
      </c>
      <c r="CS232" s="1579" t="str">
        <f t="shared" si="569"/>
        <v>Q3</v>
      </c>
      <c r="CT232" s="1579" t="str">
        <f t="shared" si="569"/>
        <v>Q4</v>
      </c>
      <c r="CU232" s="1579" t="str">
        <f t="shared" ref="CU232:DB232" si="570">CU219</f>
        <v>Q1</v>
      </c>
      <c r="CV232" s="1579" t="str">
        <f t="shared" si="570"/>
        <v>Q2</v>
      </c>
      <c r="CW232" s="1579" t="str">
        <f t="shared" si="570"/>
        <v>Q3</v>
      </c>
      <c r="CX232" s="1579" t="str">
        <f t="shared" si="570"/>
        <v>Q4</v>
      </c>
      <c r="CY232" s="1579" t="str">
        <f t="shared" si="570"/>
        <v>Q1</v>
      </c>
      <c r="CZ232" s="1579" t="str">
        <f t="shared" si="570"/>
        <v>Q2</v>
      </c>
      <c r="DA232" s="1579" t="str">
        <f t="shared" si="570"/>
        <v>Q3</v>
      </c>
      <c r="DB232" s="1579" t="str">
        <f t="shared" si="570"/>
        <v>Q4</v>
      </c>
      <c r="DC232"/>
      <c r="DD232"/>
      <c r="DE232"/>
      <c r="DF232"/>
      <c r="DG232"/>
      <c r="DH232"/>
      <c r="DI232"/>
      <c r="DJ232"/>
      <c r="DK232"/>
      <c r="DL232"/>
      <c r="DM232"/>
      <c r="DN232"/>
      <c r="DO232"/>
    </row>
    <row r="233" spans="1:119" ht="12.75" hidden="1" customHeight="1">
      <c r="A233" s="664"/>
      <c r="C233" s="929"/>
      <c r="E233" s="599" t="s">
        <v>1786</v>
      </c>
      <c r="F233" s="3617"/>
      <c r="H233" s="217" t="e">
        <f t="shared" ref="H233:N233" si="571">(H220/G220-1)*100</f>
        <v>#VALUE!</v>
      </c>
      <c r="I233" s="217" t="e">
        <f t="shared" si="571"/>
        <v>#VALUE!</v>
      </c>
      <c r="J233" s="217" t="e">
        <f t="shared" si="571"/>
        <v>#VALUE!</v>
      </c>
      <c r="K233" s="217" t="e">
        <f t="shared" si="571"/>
        <v>#VALUE!</v>
      </c>
      <c r="L233" s="217" t="e">
        <f t="shared" si="571"/>
        <v>#VALUE!</v>
      </c>
      <c r="M233" s="217" t="e">
        <f t="shared" si="571"/>
        <v>#VALUE!</v>
      </c>
      <c r="N233" s="217" t="e">
        <f t="shared" si="571"/>
        <v>#VALUE!</v>
      </c>
      <c r="O233" s="217" t="e">
        <f t="shared" ref="O233:BJ233" si="572">(O220/N220-1)*100</f>
        <v>#VALUE!</v>
      </c>
      <c r="P233" s="217" t="e">
        <f t="shared" si="572"/>
        <v>#VALUE!</v>
      </c>
      <c r="Q233" s="217" t="e">
        <f t="shared" si="572"/>
        <v>#VALUE!</v>
      </c>
      <c r="R233" s="217" t="e">
        <f t="shared" si="572"/>
        <v>#VALUE!</v>
      </c>
      <c r="S233" s="217" t="e">
        <f t="shared" si="572"/>
        <v>#VALUE!</v>
      </c>
      <c r="T233" s="217" t="e">
        <f t="shared" si="572"/>
        <v>#VALUE!</v>
      </c>
      <c r="U233" s="217" t="e">
        <f t="shared" si="572"/>
        <v>#VALUE!</v>
      </c>
      <c r="V233" s="217" t="e">
        <f t="shared" si="572"/>
        <v>#VALUE!</v>
      </c>
      <c r="W233" s="217" t="e">
        <f t="shared" si="572"/>
        <v>#VALUE!</v>
      </c>
      <c r="X233" s="217" t="e">
        <f t="shared" si="572"/>
        <v>#VALUE!</v>
      </c>
      <c r="Y233" s="217" t="e">
        <f t="shared" si="572"/>
        <v>#VALUE!</v>
      </c>
      <c r="Z233" s="217" t="e">
        <f t="shared" si="572"/>
        <v>#VALUE!</v>
      </c>
      <c r="AA233" s="217" t="e">
        <f t="shared" si="572"/>
        <v>#VALUE!</v>
      </c>
      <c r="AB233" s="217" t="e">
        <f t="shared" si="572"/>
        <v>#VALUE!</v>
      </c>
      <c r="AC233" s="217" t="e">
        <f t="shared" si="572"/>
        <v>#VALUE!</v>
      </c>
      <c r="AD233" s="217" t="e">
        <f t="shared" si="572"/>
        <v>#VALUE!</v>
      </c>
      <c r="AE233" s="217" t="e">
        <f t="shared" si="572"/>
        <v>#VALUE!</v>
      </c>
      <c r="AF233" s="217" t="e">
        <f t="shared" si="572"/>
        <v>#VALUE!</v>
      </c>
      <c r="AG233" s="217" t="e">
        <f t="shared" si="572"/>
        <v>#VALUE!</v>
      </c>
      <c r="AH233" s="217" t="e">
        <f t="shared" si="572"/>
        <v>#VALUE!</v>
      </c>
      <c r="AI233" s="217" t="e">
        <f t="shared" si="572"/>
        <v>#VALUE!</v>
      </c>
      <c r="AJ233" s="217" t="e">
        <f t="shared" si="572"/>
        <v>#VALUE!</v>
      </c>
      <c r="AK233" s="217" t="e">
        <f t="shared" si="572"/>
        <v>#VALUE!</v>
      </c>
      <c r="AL233" s="217" t="e">
        <f t="shared" si="572"/>
        <v>#VALUE!</v>
      </c>
      <c r="AM233" s="217" t="e">
        <f t="shared" si="572"/>
        <v>#VALUE!</v>
      </c>
      <c r="AN233" s="217" t="e">
        <f t="shared" si="572"/>
        <v>#VALUE!</v>
      </c>
      <c r="AO233" s="217" t="e">
        <f t="shared" si="572"/>
        <v>#VALUE!</v>
      </c>
      <c r="AP233" s="217" t="e">
        <f t="shared" si="572"/>
        <v>#VALUE!</v>
      </c>
      <c r="AQ233" s="217" t="e">
        <f t="shared" si="572"/>
        <v>#VALUE!</v>
      </c>
      <c r="AR233" s="217" t="e">
        <f t="shared" si="572"/>
        <v>#VALUE!</v>
      </c>
      <c r="AS233" s="217" t="e">
        <f t="shared" si="572"/>
        <v>#VALUE!</v>
      </c>
      <c r="AT233" s="217" t="e">
        <f t="shared" si="572"/>
        <v>#VALUE!</v>
      </c>
      <c r="AU233" s="217" t="e">
        <f t="shared" si="572"/>
        <v>#VALUE!</v>
      </c>
      <c r="AV233" s="217" t="e">
        <f t="shared" si="572"/>
        <v>#VALUE!</v>
      </c>
      <c r="AW233" s="217" t="e">
        <f t="shared" si="572"/>
        <v>#VALUE!</v>
      </c>
      <c r="AX233" s="217" t="e">
        <f t="shared" si="572"/>
        <v>#VALUE!</v>
      </c>
      <c r="AY233" s="217" t="e">
        <f t="shared" si="572"/>
        <v>#VALUE!</v>
      </c>
      <c r="AZ233" s="217" t="e">
        <f t="shared" si="572"/>
        <v>#VALUE!</v>
      </c>
      <c r="BA233" s="217" t="e">
        <f t="shared" si="572"/>
        <v>#VALUE!</v>
      </c>
      <c r="BB233" s="217" t="e">
        <f t="shared" si="572"/>
        <v>#VALUE!</v>
      </c>
      <c r="BC233" s="217" t="e">
        <f t="shared" si="572"/>
        <v>#VALUE!</v>
      </c>
      <c r="BD233" s="217" t="e">
        <f t="shared" si="572"/>
        <v>#VALUE!</v>
      </c>
      <c r="BE233" s="217" t="e">
        <f t="shared" si="572"/>
        <v>#VALUE!</v>
      </c>
      <c r="BF233" s="217" t="e">
        <f t="shared" si="572"/>
        <v>#VALUE!</v>
      </c>
      <c r="BG233" s="217" t="e">
        <f t="shared" si="572"/>
        <v>#VALUE!</v>
      </c>
      <c r="BH233" s="217" t="e">
        <f t="shared" si="572"/>
        <v>#VALUE!</v>
      </c>
      <c r="BI233" s="217" t="e">
        <f>(BI220/BH220-1)*100</f>
        <v>#VALUE!</v>
      </c>
      <c r="BJ233" s="217" t="e">
        <f t="shared" si="572"/>
        <v>#VALUE!</v>
      </c>
      <c r="BK233" s="740">
        <v>0</v>
      </c>
      <c r="BL233" s="740">
        <v>0</v>
      </c>
      <c r="BM233" s="740">
        <v>0</v>
      </c>
      <c r="BN233" s="740">
        <v>0</v>
      </c>
      <c r="BO233" s="740">
        <v>0</v>
      </c>
      <c r="BP233" s="740">
        <v>0</v>
      </c>
      <c r="BQ233" s="740">
        <v>0</v>
      </c>
      <c r="BR233" s="740">
        <v>0</v>
      </c>
      <c r="BS233" s="740">
        <v>0</v>
      </c>
      <c r="BT233" s="740">
        <v>0</v>
      </c>
      <c r="BU233" s="740">
        <v>0</v>
      </c>
      <c r="BV233" s="740">
        <v>0</v>
      </c>
      <c r="BW233" s="740">
        <v>0.54</v>
      </c>
      <c r="BX233" s="740">
        <v>0.53</v>
      </c>
      <c r="BY233" s="740">
        <v>0.52</v>
      </c>
      <c r="BZ233" s="740">
        <v>0.5</v>
      </c>
      <c r="CA233" s="740">
        <v>0.54</v>
      </c>
      <c r="CB233" s="740">
        <v>0.53</v>
      </c>
      <c r="CC233" s="740">
        <v>0.52</v>
      </c>
      <c r="CD233" s="740">
        <v>0.5</v>
      </c>
      <c r="CE233" s="740">
        <v>0.54</v>
      </c>
      <c r="CF233" s="740">
        <v>0.53</v>
      </c>
      <c r="CG233" s="740">
        <v>0.52</v>
      </c>
      <c r="CH233" s="740">
        <v>0.5</v>
      </c>
      <c r="CI233" s="740">
        <v>0.54</v>
      </c>
      <c r="CJ233" s="740">
        <v>0.53</v>
      </c>
      <c r="CK233" s="740">
        <v>0.52</v>
      </c>
      <c r="CL233" s="740">
        <v>0.5</v>
      </c>
      <c r="CM233" s="740">
        <v>0.49</v>
      </c>
      <c r="CN233" s="740">
        <v>0.47699999999999998</v>
      </c>
      <c r="CO233" s="740">
        <v>0.46400000000000002</v>
      </c>
      <c r="CP233" s="740">
        <v>0.45100000000000001</v>
      </c>
      <c r="CQ233" s="740">
        <v>0.438</v>
      </c>
      <c r="CR233" s="740">
        <v>0.42499999999999999</v>
      </c>
      <c r="CS233" s="740">
        <v>0.41199999999999998</v>
      </c>
      <c r="CT233" s="740">
        <v>0.39900000000000002</v>
      </c>
      <c r="CU233" s="740">
        <v>0.438</v>
      </c>
      <c r="CV233" s="740">
        <v>0.42499999999999999</v>
      </c>
      <c r="CW233" s="740">
        <v>0.41199999999999998</v>
      </c>
      <c r="CX233" s="740">
        <v>0.39900000000000002</v>
      </c>
      <c r="CY233" s="740">
        <v>0.438</v>
      </c>
      <c r="CZ233" s="740">
        <v>0.42499999999999999</v>
      </c>
      <c r="DA233" s="740">
        <v>0.41199999999999998</v>
      </c>
      <c r="DB233" s="740">
        <v>0.39900000000000002</v>
      </c>
    </row>
    <row r="234" spans="1:119" ht="12.75" hidden="1" customHeight="1">
      <c r="C234" s="3072"/>
      <c r="D234" s="717"/>
      <c r="E234" s="3068" t="s">
        <v>266</v>
      </c>
      <c r="F234" s="3634"/>
      <c r="G234" s="2854"/>
      <c r="H234" s="2854"/>
      <c r="I234" s="2854"/>
      <c r="J234" s="2854"/>
      <c r="K234" s="2854"/>
      <c r="L234" s="2854"/>
      <c r="M234" s="2854"/>
      <c r="N234" s="1608" t="e">
        <f>N221/J221*100-100</f>
        <v>#VALUE!</v>
      </c>
      <c r="O234" s="2854"/>
      <c r="P234" s="2854"/>
      <c r="Q234" s="2854"/>
      <c r="R234" s="1608" t="e">
        <f>R221/N221*100-100</f>
        <v>#VALUE!</v>
      </c>
      <c r="S234" s="2854"/>
      <c r="T234" s="2854"/>
      <c r="U234" s="2854"/>
      <c r="V234" s="1608" t="e">
        <f>V221/R221*100-100</f>
        <v>#VALUE!</v>
      </c>
      <c r="W234" s="2854"/>
      <c r="X234" s="2854"/>
      <c r="Y234" s="2854"/>
      <c r="Z234" s="1608" t="e">
        <f>Z221/V221*100-100</f>
        <v>#VALUE!</v>
      </c>
      <c r="AA234" s="2854"/>
      <c r="AB234" s="2854"/>
      <c r="AC234" s="2854"/>
      <c r="AD234" s="1608" t="e">
        <f>AD221/Z221*100-100</f>
        <v>#VALUE!</v>
      </c>
      <c r="AE234" s="2854"/>
      <c r="AF234" s="2854"/>
      <c r="AG234" s="2854"/>
      <c r="AH234" s="1608" t="e">
        <f>AH221/AD221*100-100</f>
        <v>#VALUE!</v>
      </c>
      <c r="AI234" s="2854"/>
      <c r="AJ234" s="2854"/>
      <c r="AK234" s="2854"/>
      <c r="AL234" s="1608" t="e">
        <f>AL221/AH221*100-100</f>
        <v>#VALUE!</v>
      </c>
      <c r="AM234" s="2854"/>
      <c r="AN234" s="2854"/>
      <c r="AO234" s="2854"/>
      <c r="AP234" s="1608" t="e">
        <f>AP221/AL221*100-100</f>
        <v>#VALUE!</v>
      </c>
      <c r="AQ234" s="2854"/>
      <c r="AR234" s="2854"/>
      <c r="AS234" s="2854"/>
      <c r="AT234" s="1608" t="e">
        <f>AT221/AP221*100-100</f>
        <v>#VALUE!</v>
      </c>
      <c r="AU234" s="2854"/>
      <c r="AV234" s="2854"/>
      <c r="AW234" s="2854"/>
      <c r="AX234" s="1608" t="e">
        <f>AX221/AT221*100-100</f>
        <v>#VALUE!</v>
      </c>
      <c r="AY234" s="2854"/>
      <c r="AZ234" s="2854"/>
      <c r="BA234" s="2854"/>
      <c r="BB234" s="1608" t="e">
        <f>BB221/AX221*100-100</f>
        <v>#VALUE!</v>
      </c>
      <c r="BC234" s="2854"/>
      <c r="BD234" s="2854"/>
      <c r="BE234" s="2854"/>
      <c r="BF234" s="1608" t="e">
        <f>BF221/BB221*100-100</f>
        <v>#VALUE!</v>
      </c>
      <c r="BG234" s="2854"/>
      <c r="BH234" s="2854"/>
      <c r="BI234" s="2854"/>
      <c r="BJ234" s="1608" t="e">
        <f>BJ221/BF221*100-100</f>
        <v>#VALUE!</v>
      </c>
      <c r="BK234" s="2854"/>
      <c r="BL234" s="2854"/>
      <c r="BM234" s="2854"/>
      <c r="BN234" s="1608" t="e">
        <f>BN221/BJ221*100-100</f>
        <v>#VALUE!</v>
      </c>
      <c r="BO234" s="2854"/>
      <c r="BP234" s="2854"/>
      <c r="BQ234" s="2854"/>
      <c r="BR234" s="1608" t="e">
        <f>BR221/BN221*100-100</f>
        <v>#VALUE!</v>
      </c>
      <c r="BS234" s="2854"/>
      <c r="BT234" s="2854"/>
      <c r="BU234" s="2854"/>
      <c r="BV234" s="1608" t="e">
        <f>BV221/BR221*100-100</f>
        <v>#VALUE!</v>
      </c>
      <c r="BW234" s="2854"/>
      <c r="BX234" s="2854"/>
      <c r="BY234" s="2854"/>
      <c r="BZ234" s="1608" t="e">
        <f>BZ221/BV221*100-100</f>
        <v>#VALUE!</v>
      </c>
      <c r="CA234" s="2854"/>
      <c r="CB234" s="2854"/>
      <c r="CC234" s="2854"/>
      <c r="CD234" s="1608" t="e">
        <f>CD221/BZ221*100-100</f>
        <v>#VALUE!</v>
      </c>
      <c r="CE234" s="2854"/>
      <c r="CF234" s="2854"/>
      <c r="CG234" s="2854"/>
      <c r="CH234" s="1608" t="e">
        <f>CH221/CD221*100-100</f>
        <v>#VALUE!</v>
      </c>
      <c r="CI234" s="2854"/>
      <c r="CJ234" s="2854"/>
      <c r="CK234" s="2854"/>
      <c r="CL234" s="1608" t="e">
        <f>CL221/CH221*100-100</f>
        <v>#VALUE!</v>
      </c>
      <c r="CM234" s="2854"/>
      <c r="CN234" s="2854"/>
      <c r="CO234" s="2854"/>
      <c r="CP234" s="1608" t="e">
        <f>CP221/CL221*100-100</f>
        <v>#VALUE!</v>
      </c>
      <c r="CQ234" s="2854"/>
      <c r="CR234" s="2854"/>
      <c r="CS234" s="2854"/>
      <c r="CT234" s="1608" t="e">
        <f>CT221/CP221*100-100</f>
        <v>#VALUE!</v>
      </c>
      <c r="CU234" s="2854"/>
      <c r="CV234" s="2854"/>
      <c r="CW234" s="2854"/>
      <c r="CX234" s="1608" t="e">
        <f>CX221/CT221*100-100</f>
        <v>#VALUE!</v>
      </c>
      <c r="CY234" s="2854"/>
      <c r="CZ234" s="2854"/>
      <c r="DA234" s="2854"/>
      <c r="DB234" s="1608" t="e">
        <f>DB221/CX221*100-100</f>
        <v>#VALUE!</v>
      </c>
    </row>
    <row r="235" spans="1:119" ht="12.75" hidden="1" customHeight="1">
      <c r="C235" s="3072"/>
      <c r="D235" s="717"/>
      <c r="E235" s="3068" t="s">
        <v>1847</v>
      </c>
      <c r="F235" s="3634"/>
      <c r="G235" s="2854"/>
      <c r="H235" s="2854"/>
      <c r="I235" s="2854"/>
      <c r="J235" s="2854"/>
      <c r="K235" s="2854"/>
      <c r="L235" s="2854"/>
      <c r="M235" s="2854"/>
      <c r="N235" s="1599">
        <f ca="1">N222/J222*100-100</f>
        <v>21.934509533001133</v>
      </c>
      <c r="O235" s="2854"/>
      <c r="P235" s="2854"/>
      <c r="Q235" s="2854"/>
      <c r="R235" s="1599">
        <f ca="1">R222/N222*100-100</f>
        <v>24.812977829645618</v>
      </c>
      <c r="S235" s="2854"/>
      <c r="T235" s="2854"/>
      <c r="U235" s="2854"/>
      <c r="V235" s="1599">
        <f ca="1">V222/R222*100-100</f>
        <v>7.0359223491312832</v>
      </c>
      <c r="W235" s="2854"/>
      <c r="X235" s="2854"/>
      <c r="Y235" s="2854"/>
      <c r="Z235" s="1599">
        <f ca="1">Z222/V222*100-100</f>
        <v>-13.797267175959703</v>
      </c>
      <c r="AA235" s="2854"/>
      <c r="AB235" s="2854"/>
      <c r="AC235" s="2854"/>
      <c r="AD235" s="1599">
        <f ca="1">AD222/Z222*100-100</f>
        <v>8.7392145036833142</v>
      </c>
      <c r="AE235" s="2854"/>
      <c r="AF235" s="2854"/>
      <c r="AG235" s="2854"/>
      <c r="AH235" s="1599">
        <f ca="1">AH222/AD222*100-100</f>
        <v>19.991382139484088</v>
      </c>
      <c r="AI235" s="2854"/>
      <c r="AJ235" s="2854"/>
      <c r="AK235" s="2854"/>
      <c r="AL235" s="1599">
        <f ca="1">AL222/AH222*100-100</f>
        <v>18.63199176233708</v>
      </c>
      <c r="AM235" s="2854"/>
      <c r="AN235" s="2854"/>
      <c r="AO235" s="2854"/>
      <c r="AP235" s="1599">
        <f ca="1">AP222/AL222*100-100</f>
        <v>8.1657816106154542</v>
      </c>
      <c r="AQ235" s="2854"/>
      <c r="AR235" s="2854"/>
      <c r="AS235" s="2854"/>
      <c r="AT235" s="1599">
        <f ca="1">AT222/AP222*100-100</f>
        <v>14.698705559009667</v>
      </c>
      <c r="AU235" s="2854"/>
      <c r="AV235" s="2854"/>
      <c r="AW235" s="2854"/>
      <c r="AX235" s="1599">
        <f ca="1">AX222/AT222*100-100</f>
        <v>19.856034065376932</v>
      </c>
      <c r="AY235" s="2854"/>
      <c r="AZ235" s="2854"/>
      <c r="BA235" s="2854"/>
      <c r="BB235" s="1599">
        <f ca="1">BB222/AX222*100-100</f>
        <v>13.965064977148401</v>
      </c>
      <c r="BC235" s="2854"/>
      <c r="BD235" s="2854"/>
      <c r="BE235" s="2854"/>
      <c r="BF235" s="1599">
        <f ca="1">BF222/BB222*100-100</f>
        <v>9.8019689881788423</v>
      </c>
      <c r="BG235" s="2854"/>
      <c r="BH235" s="2854"/>
      <c r="BI235" s="2854"/>
      <c r="BJ235" s="1599">
        <f ca="1">BJ222/BF222*100-100</f>
        <v>12.694478099170652</v>
      </c>
      <c r="BK235" s="2854"/>
      <c r="BL235" s="2854"/>
      <c r="BM235" s="2854"/>
      <c r="BN235" s="1599">
        <f ca="1">BN222/BJ222*100-100</f>
        <v>-29.558551744036436</v>
      </c>
      <c r="BO235" s="2854"/>
      <c r="BP235" s="2854"/>
      <c r="BQ235" s="2854"/>
      <c r="BR235" s="1599">
        <f ca="1">BR222/BN222*100-100</f>
        <v>22.063277686755555</v>
      </c>
      <c r="BS235" s="2854"/>
      <c r="BT235" s="2854"/>
      <c r="BU235" s="2854"/>
      <c r="BV235" s="1599">
        <f ca="1">BV222/BR222*100-100</f>
        <v>14.714804045871247</v>
      </c>
      <c r="BW235" s="2854"/>
      <c r="BX235" s="2854"/>
      <c r="BY235" s="2854"/>
      <c r="BZ235" s="1599">
        <f ca="1">BZ222/BV222*100-100</f>
        <v>4.7772473180393717</v>
      </c>
      <c r="CA235" s="2854"/>
      <c r="CB235" s="2854"/>
      <c r="CC235" s="2854"/>
      <c r="CD235" s="1599">
        <f ca="1">CD222/BZ222*100-100</f>
        <v>7.6974966611249158</v>
      </c>
      <c r="CE235" s="2854"/>
      <c r="CF235" s="2854"/>
      <c r="CG235" s="2854"/>
      <c r="CH235" s="1599">
        <f ca="1">CH222/CD222*100-100</f>
        <v>2.7845828543831033</v>
      </c>
      <c r="CI235" s="2854"/>
      <c r="CJ235" s="2854"/>
      <c r="CK235" s="2854"/>
      <c r="CL235" s="1599">
        <f ca="1">CL222/CH222*100-100</f>
        <v>7.2942455275508706</v>
      </c>
      <c r="CM235" s="2854"/>
      <c r="CN235" s="2854"/>
      <c r="CO235" s="2854"/>
      <c r="CP235" s="1599">
        <f ca="1">CP222/CL222*100-100</f>
        <v>2.9900046588454501</v>
      </c>
      <c r="CQ235" s="2854"/>
      <c r="CR235" s="2854"/>
      <c r="CS235" s="2854"/>
      <c r="CT235" s="1599">
        <f ca="1">CT222/CP222*100-100</f>
        <v>12.74809320404637</v>
      </c>
      <c r="CU235" s="2854"/>
      <c r="CV235" s="2854"/>
      <c r="CW235" s="2854"/>
      <c r="CX235" s="1599">
        <f ca="1">CX222/CT222*100-100</f>
        <v>6.5</v>
      </c>
      <c r="CY235" s="2854"/>
      <c r="CZ235" s="2854"/>
      <c r="DA235" s="2854"/>
      <c r="DB235" s="1599">
        <f ca="1">DB222/CX222*100-100</f>
        <v>5.2000000000000028</v>
      </c>
    </row>
    <row r="236" spans="1:119" ht="12.75" hidden="1" customHeight="1">
      <c r="C236" s="3072"/>
      <c r="D236" s="674"/>
      <c r="E236" s="3545" t="s">
        <v>1785</v>
      </c>
      <c r="F236" s="3057"/>
      <c r="G236" s="2853"/>
      <c r="H236" s="2853" t="e">
        <f t="shared" ref="H236:N236" si="573">(H223/G223-1)*100</f>
        <v>#VALUE!</v>
      </c>
      <c r="I236" s="2853" t="e">
        <f t="shared" si="573"/>
        <v>#VALUE!</v>
      </c>
      <c r="J236" s="2853" t="e">
        <f t="shared" si="573"/>
        <v>#VALUE!</v>
      </c>
      <c r="K236" s="2853" t="e">
        <f t="shared" si="573"/>
        <v>#VALUE!</v>
      </c>
      <c r="L236" s="2853" t="e">
        <f t="shared" si="573"/>
        <v>#VALUE!</v>
      </c>
      <c r="M236" s="2853" t="e">
        <f t="shared" si="573"/>
        <v>#VALUE!</v>
      </c>
      <c r="N236" s="2853" t="e">
        <f t="shared" si="573"/>
        <v>#VALUE!</v>
      </c>
      <c r="O236" s="2853" t="e">
        <f t="shared" ref="O236:BJ236" si="574">(O223/N223-1)*100</f>
        <v>#VALUE!</v>
      </c>
      <c r="P236" s="2853" t="e">
        <f t="shared" si="574"/>
        <v>#VALUE!</v>
      </c>
      <c r="Q236" s="2853" t="e">
        <f t="shared" si="574"/>
        <v>#VALUE!</v>
      </c>
      <c r="R236" s="2853" t="e">
        <f t="shared" si="574"/>
        <v>#VALUE!</v>
      </c>
      <c r="S236" s="2853" t="e">
        <f t="shared" si="574"/>
        <v>#VALUE!</v>
      </c>
      <c r="T236" s="2853" t="e">
        <f t="shared" si="574"/>
        <v>#VALUE!</v>
      </c>
      <c r="U236" s="2853" t="e">
        <f t="shared" si="574"/>
        <v>#VALUE!</v>
      </c>
      <c r="V236" s="2853" t="e">
        <f t="shared" si="574"/>
        <v>#VALUE!</v>
      </c>
      <c r="W236" s="2853" t="e">
        <f t="shared" si="574"/>
        <v>#VALUE!</v>
      </c>
      <c r="X236" s="2853" t="e">
        <f t="shared" si="574"/>
        <v>#VALUE!</v>
      </c>
      <c r="Y236" s="2853" t="e">
        <f t="shared" si="574"/>
        <v>#VALUE!</v>
      </c>
      <c r="Z236" s="2853" t="e">
        <f t="shared" si="574"/>
        <v>#VALUE!</v>
      </c>
      <c r="AA236" s="2853" t="e">
        <f t="shared" si="574"/>
        <v>#VALUE!</v>
      </c>
      <c r="AB236" s="2853" t="e">
        <f t="shared" si="574"/>
        <v>#VALUE!</v>
      </c>
      <c r="AC236" s="2853" t="e">
        <f t="shared" si="574"/>
        <v>#VALUE!</v>
      </c>
      <c r="AD236" s="2853" t="e">
        <f t="shared" si="574"/>
        <v>#VALUE!</v>
      </c>
      <c r="AE236" s="2853" t="e">
        <f t="shared" si="574"/>
        <v>#VALUE!</v>
      </c>
      <c r="AF236" s="2853" t="e">
        <f t="shared" si="574"/>
        <v>#VALUE!</v>
      </c>
      <c r="AG236" s="2853" t="e">
        <f t="shared" si="574"/>
        <v>#VALUE!</v>
      </c>
      <c r="AH236" s="2853" t="e">
        <f t="shared" si="574"/>
        <v>#VALUE!</v>
      </c>
      <c r="AI236" s="2853" t="e">
        <f t="shared" si="574"/>
        <v>#VALUE!</v>
      </c>
      <c r="AJ236" s="2853" t="e">
        <f t="shared" si="574"/>
        <v>#VALUE!</v>
      </c>
      <c r="AK236" s="2853" t="e">
        <f t="shared" si="574"/>
        <v>#VALUE!</v>
      </c>
      <c r="AL236" s="2853" t="e">
        <f t="shared" si="574"/>
        <v>#VALUE!</v>
      </c>
      <c r="AM236" s="2853" t="e">
        <f t="shared" si="574"/>
        <v>#VALUE!</v>
      </c>
      <c r="AN236" s="2853" t="e">
        <f t="shared" si="574"/>
        <v>#VALUE!</v>
      </c>
      <c r="AO236" s="2853" t="e">
        <f t="shared" si="574"/>
        <v>#VALUE!</v>
      </c>
      <c r="AP236" s="2853" t="e">
        <f t="shared" si="574"/>
        <v>#VALUE!</v>
      </c>
      <c r="AQ236" s="2853" t="e">
        <f t="shared" si="574"/>
        <v>#VALUE!</v>
      </c>
      <c r="AR236" s="2853" t="e">
        <f t="shared" si="574"/>
        <v>#VALUE!</v>
      </c>
      <c r="AS236" s="2853" t="e">
        <f t="shared" si="574"/>
        <v>#VALUE!</v>
      </c>
      <c r="AT236" s="2853" t="e">
        <f t="shared" si="574"/>
        <v>#VALUE!</v>
      </c>
      <c r="AU236" s="2853" t="e">
        <f t="shared" si="574"/>
        <v>#VALUE!</v>
      </c>
      <c r="AV236" s="2853" t="e">
        <f t="shared" si="574"/>
        <v>#VALUE!</v>
      </c>
      <c r="AW236" s="2853" t="e">
        <f t="shared" si="574"/>
        <v>#VALUE!</v>
      </c>
      <c r="AX236" s="2853" t="e">
        <f t="shared" si="574"/>
        <v>#VALUE!</v>
      </c>
      <c r="AY236" s="2853" t="e">
        <f t="shared" si="574"/>
        <v>#VALUE!</v>
      </c>
      <c r="AZ236" s="2853" t="e">
        <f t="shared" si="574"/>
        <v>#VALUE!</v>
      </c>
      <c r="BA236" s="2853" t="e">
        <f t="shared" si="574"/>
        <v>#VALUE!</v>
      </c>
      <c r="BB236" s="2853" t="e">
        <f t="shared" si="574"/>
        <v>#VALUE!</v>
      </c>
      <c r="BC236" s="2853" t="e">
        <f t="shared" si="574"/>
        <v>#VALUE!</v>
      </c>
      <c r="BD236" s="2853" t="e">
        <f t="shared" si="574"/>
        <v>#VALUE!</v>
      </c>
      <c r="BE236" s="2853" t="e">
        <f t="shared" si="574"/>
        <v>#VALUE!</v>
      </c>
      <c r="BF236" s="2853" t="e">
        <f t="shared" si="574"/>
        <v>#VALUE!</v>
      </c>
      <c r="BG236" s="2853" t="e">
        <f t="shared" si="574"/>
        <v>#VALUE!</v>
      </c>
      <c r="BH236" s="2853" t="e">
        <f t="shared" si="574"/>
        <v>#VALUE!</v>
      </c>
      <c r="BI236" s="2853" t="e">
        <f t="shared" si="574"/>
        <v>#VALUE!</v>
      </c>
      <c r="BJ236" s="2853" t="e">
        <f t="shared" si="574"/>
        <v>#VALUE!</v>
      </c>
      <c r="BK236" s="2880">
        <v>0</v>
      </c>
      <c r="BL236" s="2880">
        <v>0</v>
      </c>
      <c r="BM236" s="2880">
        <v>0</v>
      </c>
      <c r="BN236" s="740">
        <v>0</v>
      </c>
      <c r="BO236" s="2880">
        <v>0</v>
      </c>
      <c r="BP236" s="2880">
        <v>0</v>
      </c>
      <c r="BQ236" s="2880">
        <v>0</v>
      </c>
      <c r="BR236" s="740">
        <v>0</v>
      </c>
      <c r="BS236" s="2880">
        <v>0</v>
      </c>
      <c r="BT236" s="2880">
        <v>0</v>
      </c>
      <c r="BU236" s="2880">
        <v>0</v>
      </c>
      <c r="BV236" s="740">
        <v>0</v>
      </c>
      <c r="BW236" s="740">
        <v>0.54</v>
      </c>
      <c r="BX236" s="740">
        <v>0.53</v>
      </c>
      <c r="BY236" s="740">
        <v>0.52</v>
      </c>
      <c r="BZ236" s="740">
        <v>0.5</v>
      </c>
      <c r="CA236" s="740">
        <v>0.54</v>
      </c>
      <c r="CB236" s="740">
        <v>0.53</v>
      </c>
      <c r="CC236" s="740">
        <v>0.52</v>
      </c>
      <c r="CD236" s="740">
        <v>0.5</v>
      </c>
      <c r="CE236" s="740">
        <v>0.54</v>
      </c>
      <c r="CF236" s="740">
        <v>0.53</v>
      </c>
      <c r="CG236" s="740">
        <v>0.52</v>
      </c>
      <c r="CH236" s="740">
        <v>0.5</v>
      </c>
      <c r="CI236" s="740">
        <v>0.54</v>
      </c>
      <c r="CJ236" s="740">
        <v>0.53</v>
      </c>
      <c r="CK236" s="740">
        <v>0.52</v>
      </c>
      <c r="CL236" s="740">
        <v>0.5</v>
      </c>
      <c r="CM236" s="740">
        <v>0.49</v>
      </c>
      <c r="CN236" s="740">
        <v>0.47699999999999998</v>
      </c>
      <c r="CO236" s="740">
        <v>0.46400000000000002</v>
      </c>
      <c r="CP236" s="740">
        <v>0.45100000000000001</v>
      </c>
      <c r="CQ236" s="740">
        <v>0.438</v>
      </c>
      <c r="CR236" s="740">
        <v>0.42499999999999999</v>
      </c>
      <c r="CS236" s="740">
        <v>0.41199999999999998</v>
      </c>
      <c r="CT236" s="740">
        <v>0.39900000000000002</v>
      </c>
      <c r="CU236" s="740">
        <v>0.438</v>
      </c>
      <c r="CV236" s="740">
        <v>0.42499999999999999</v>
      </c>
      <c r="CW236" s="740">
        <v>0.41199999999999998</v>
      </c>
      <c r="CX236" s="740">
        <v>0.39900000000000002</v>
      </c>
      <c r="CY236" s="740">
        <v>0.438</v>
      </c>
      <c r="CZ236" s="740">
        <v>0.42499999999999999</v>
      </c>
      <c r="DA236" s="740">
        <v>0.41199999999999998</v>
      </c>
      <c r="DB236" s="740">
        <v>0.39900000000000002</v>
      </c>
    </row>
    <row r="237" spans="1:119" ht="12.75" hidden="1" customHeight="1">
      <c r="C237" s="3072"/>
      <c r="D237" s="717"/>
      <c r="E237" s="3068" t="s">
        <v>266</v>
      </c>
      <c r="F237" s="3634"/>
      <c r="G237" s="2854"/>
      <c r="H237" s="2854"/>
      <c r="I237" s="2854"/>
      <c r="J237" s="2854"/>
      <c r="K237" s="2854"/>
      <c r="L237" s="2854"/>
      <c r="M237" s="2854"/>
      <c r="N237" s="1608" t="e">
        <f>N224/J224*100-100</f>
        <v>#VALUE!</v>
      </c>
      <c r="O237" s="2854"/>
      <c r="P237" s="2854"/>
      <c r="Q237" s="2854"/>
      <c r="R237" s="1608" t="e">
        <f>R224/N224*100-100</f>
        <v>#VALUE!</v>
      </c>
      <c r="S237" s="2854"/>
      <c r="T237" s="2854"/>
      <c r="U237" s="2854"/>
      <c r="V237" s="1608" t="e">
        <f>V224/R224*100-100</f>
        <v>#VALUE!</v>
      </c>
      <c r="W237" s="2854"/>
      <c r="X237" s="2854"/>
      <c r="Y237" s="2854"/>
      <c r="Z237" s="1608" t="e">
        <f>Z224/V224*100-100</f>
        <v>#VALUE!</v>
      </c>
      <c r="AA237" s="2854"/>
      <c r="AB237" s="2854"/>
      <c r="AC237" s="2854"/>
      <c r="AD237" s="1608" t="e">
        <f>AD224/Z224*100-100</f>
        <v>#VALUE!</v>
      </c>
      <c r="AE237" s="2854"/>
      <c r="AF237" s="2854"/>
      <c r="AG237" s="2854"/>
      <c r="AH237" s="1608" t="e">
        <f>AH224/AD224*100-100</f>
        <v>#VALUE!</v>
      </c>
      <c r="AI237" s="2854"/>
      <c r="AJ237" s="2854"/>
      <c r="AK237" s="2854"/>
      <c r="AL237" s="1608" t="e">
        <f>AL224/AH224*100-100</f>
        <v>#VALUE!</v>
      </c>
      <c r="AM237" s="2854"/>
      <c r="AN237" s="2854"/>
      <c r="AO237" s="2854"/>
      <c r="AP237" s="1608" t="e">
        <f>AP224/AL224*100-100</f>
        <v>#VALUE!</v>
      </c>
      <c r="AQ237" s="2854"/>
      <c r="AR237" s="2854"/>
      <c r="AS237" s="2854"/>
      <c r="AT237" s="1608" t="e">
        <f>AT224/AP224*100-100</f>
        <v>#VALUE!</v>
      </c>
      <c r="AU237" s="2854"/>
      <c r="AV237" s="2854"/>
      <c r="AW237" s="2854"/>
      <c r="AX237" s="1608" t="e">
        <f>AX224/AT224*100-100</f>
        <v>#VALUE!</v>
      </c>
      <c r="AY237" s="2854"/>
      <c r="AZ237" s="2854"/>
      <c r="BA237" s="2854"/>
      <c r="BB237" s="1608" t="e">
        <f>BB224/AX224*100-100</f>
        <v>#VALUE!</v>
      </c>
      <c r="BC237" s="2854"/>
      <c r="BD237" s="2854"/>
      <c r="BE237" s="2854"/>
      <c r="BF237" s="1608" t="e">
        <f>BF224/BB224*100-100</f>
        <v>#VALUE!</v>
      </c>
      <c r="BG237" s="2854"/>
      <c r="BH237" s="2854"/>
      <c r="BI237" s="2854"/>
      <c r="BJ237" s="1608" t="e">
        <f>BJ224/BF224*100-100</f>
        <v>#VALUE!</v>
      </c>
      <c r="BK237" s="2854"/>
      <c r="BL237" s="2854"/>
      <c r="BM237" s="2854"/>
      <c r="BN237" s="1608" t="e">
        <f>BN224/BJ224*100-100</f>
        <v>#VALUE!</v>
      </c>
      <c r="BO237" s="2854"/>
      <c r="BP237" s="2854"/>
      <c r="BQ237" s="2854"/>
      <c r="BR237" s="1608" t="e">
        <f>BR224/BN224*100-100</f>
        <v>#VALUE!</v>
      </c>
      <c r="BS237" s="2854"/>
      <c r="BT237" s="2854"/>
      <c r="BU237" s="2854"/>
      <c r="BV237" s="1608" t="e">
        <f>BV224/BR224*100-100</f>
        <v>#VALUE!</v>
      </c>
      <c r="BW237" s="2854"/>
      <c r="BX237" s="2854"/>
      <c r="BY237" s="2854"/>
      <c r="BZ237" s="1608" t="e">
        <f>BZ224/BV224*100-100</f>
        <v>#VALUE!</v>
      </c>
      <c r="CA237" s="2854"/>
      <c r="CB237" s="2854"/>
      <c r="CC237" s="2854"/>
      <c r="CD237" s="1608" t="e">
        <f>CD224/BZ224*100-100</f>
        <v>#VALUE!</v>
      </c>
      <c r="CE237" s="2854"/>
      <c r="CF237" s="2854"/>
      <c r="CG237" s="2854"/>
      <c r="CH237" s="1608" t="e">
        <f>CH224/CD224*100-100</f>
        <v>#VALUE!</v>
      </c>
      <c r="CI237" s="2854"/>
      <c r="CJ237" s="2854"/>
      <c r="CK237" s="2854"/>
      <c r="CL237" s="1608" t="e">
        <f>CL224/CH224*100-100</f>
        <v>#VALUE!</v>
      </c>
      <c r="CM237" s="2854"/>
      <c r="CN237" s="2854"/>
      <c r="CO237" s="2854"/>
      <c r="CP237" s="1608" t="e">
        <f>CP224/CL224*100-100</f>
        <v>#VALUE!</v>
      </c>
      <c r="CQ237" s="2854"/>
      <c r="CR237" s="2854"/>
      <c r="CS237" s="2854"/>
      <c r="CT237" s="1608" t="e">
        <f>CT224/CP224*100-100</f>
        <v>#VALUE!</v>
      </c>
      <c r="CU237" s="2854"/>
      <c r="CV237" s="2854"/>
      <c r="CW237" s="2854"/>
      <c r="CX237" s="1608" t="e">
        <f>CX224/CT224*100-100</f>
        <v>#VALUE!</v>
      </c>
      <c r="CY237" s="2854"/>
      <c r="CZ237" s="2854"/>
      <c r="DA237" s="2854"/>
      <c r="DB237" s="1608" t="e">
        <f>DB224/CX224*100-100</f>
        <v>#VALUE!</v>
      </c>
    </row>
    <row r="238" spans="1:119" ht="12.75" hidden="1" customHeight="1">
      <c r="C238" s="3072"/>
      <c r="D238" s="717"/>
      <c r="E238" s="3068" t="s">
        <v>1847</v>
      </c>
      <c r="F238" s="3634"/>
      <c r="G238" s="2854"/>
      <c r="H238" s="2854"/>
      <c r="I238" s="2854"/>
      <c r="J238" s="2854"/>
      <c r="K238" s="2854"/>
      <c r="L238" s="2854"/>
      <c r="M238" s="2854"/>
      <c r="N238" s="1599">
        <f ca="1">N225/J225*100-100</f>
        <v>31.440306229910561</v>
      </c>
      <c r="O238" s="2854"/>
      <c r="P238" s="2854"/>
      <c r="Q238" s="2854"/>
      <c r="R238" s="1599">
        <f ca="1">R225/N225*100-100</f>
        <v>25.934028418848797</v>
      </c>
      <c r="S238" s="2854"/>
      <c r="T238" s="2854"/>
      <c r="U238" s="2854"/>
      <c r="V238" s="1599">
        <f ca="1">V225/R225*100-100</f>
        <v>0.90039003070457113</v>
      </c>
      <c r="W238" s="2854"/>
      <c r="X238" s="2854"/>
      <c r="Y238" s="2854"/>
      <c r="Z238" s="1599">
        <f ca="1">Z225/V225*100-100</f>
        <v>-3.3336531739613235</v>
      </c>
      <c r="AA238" s="2854"/>
      <c r="AB238" s="2854"/>
      <c r="AC238" s="2854"/>
      <c r="AD238" s="1599">
        <f ca="1">AD225/Z225*100-100</f>
        <v>-16.56641284156494</v>
      </c>
      <c r="AE238" s="2854"/>
      <c r="AF238" s="2854"/>
      <c r="AG238" s="2854"/>
      <c r="AH238" s="1599">
        <f ca="1">AH225/AD225*100-100</f>
        <v>-0.66215485857826195</v>
      </c>
      <c r="AI238" s="2854"/>
      <c r="AJ238" s="2854"/>
      <c r="AK238" s="2854"/>
      <c r="AL238" s="1599">
        <f ca="1">AL225/AH225*100-100</f>
        <v>18.174601273597688</v>
      </c>
      <c r="AM238" s="2854"/>
      <c r="AN238" s="2854"/>
      <c r="AO238" s="2854"/>
      <c r="AP238" s="1599">
        <f ca="1">AP225/AL225*100-100</f>
        <v>14.081949982192327</v>
      </c>
      <c r="AQ238" s="2854"/>
      <c r="AR238" s="2854"/>
      <c r="AS238" s="2854"/>
      <c r="AT238" s="1599">
        <f ca="1">AT225/AP225*100-100</f>
        <v>18.351045509484052</v>
      </c>
      <c r="AU238" s="2854"/>
      <c r="AV238" s="2854"/>
      <c r="AW238" s="2854"/>
      <c r="AX238" s="1599">
        <f ca="1">AX225/AT225*100-100</f>
        <v>23.434567705442348</v>
      </c>
      <c r="AY238" s="2854"/>
      <c r="AZ238" s="2854"/>
      <c r="BA238" s="2854"/>
      <c r="BB238" s="1599">
        <f ca="1">BB225/AX225*100-100</f>
        <v>16.218227371035752</v>
      </c>
      <c r="BC238" s="2854"/>
      <c r="BD238" s="2854"/>
      <c r="BE238" s="2854"/>
      <c r="BF238" s="1599">
        <f ca="1">BF225/BB225*100-100</f>
        <v>17.647438171089561</v>
      </c>
      <c r="BG238" s="2854"/>
      <c r="BH238" s="2854"/>
      <c r="BI238" s="2854"/>
      <c r="BJ238" s="1599">
        <f ca="1">BJ225/BF225*100-100</f>
        <v>8.9462885960172684</v>
      </c>
      <c r="BK238" s="2854"/>
      <c r="BL238" s="2854"/>
      <c r="BM238" s="2854"/>
      <c r="BN238" s="1599">
        <f ca="1">BN225/BJ225*100-100</f>
        <v>-17.30487940744149</v>
      </c>
      <c r="BO238" s="2854"/>
      <c r="BP238" s="2854"/>
      <c r="BQ238" s="2854"/>
      <c r="BR238" s="1599">
        <f ca="1">BR225/BN225*100-100</f>
        <v>-1.0430247718375085E-2</v>
      </c>
      <c r="BS238" s="2854"/>
      <c r="BT238" s="2854"/>
      <c r="BU238" s="2854"/>
      <c r="BV238" s="1599">
        <f ca="1">BV225/BR225*100-100</f>
        <v>17.106086684399926</v>
      </c>
      <c r="BW238" s="2854"/>
      <c r="BX238" s="2854"/>
      <c r="BY238" s="2854"/>
      <c r="BZ238" s="1599">
        <f ca="1">BZ225/BV225*100-100</f>
        <v>21.155166590580961</v>
      </c>
      <c r="CA238" s="2854"/>
      <c r="CB238" s="2854"/>
      <c r="CC238" s="2854"/>
      <c r="CD238" s="1599">
        <f ca="1">CD225/BZ225*100-100</f>
        <v>18.897044407411016</v>
      </c>
      <c r="CE238" s="2854"/>
      <c r="CF238" s="2854"/>
      <c r="CG238" s="2854"/>
      <c r="CH238" s="1599">
        <f ca="1">CH225/CD225*100-100</f>
        <v>5.0226992821770722</v>
      </c>
      <c r="CI238" s="2854"/>
      <c r="CJ238" s="2854"/>
      <c r="CK238" s="2854"/>
      <c r="CL238" s="1599">
        <f ca="1">CL225/CH225*100-100</f>
        <v>-0.20877697418131902</v>
      </c>
      <c r="CM238" s="2854"/>
      <c r="CN238" s="2854"/>
      <c r="CO238" s="2854"/>
      <c r="CP238" s="1599">
        <f ca="1">CP225/CL225*100-100</f>
        <v>6.590356499271067</v>
      </c>
      <c r="CQ238" s="2854"/>
      <c r="CR238" s="2854"/>
      <c r="CS238" s="2854"/>
      <c r="CT238" s="1599">
        <f ca="1">CT225/CP225*100-100</f>
        <v>13.143267030777167</v>
      </c>
      <c r="CU238" s="2854"/>
      <c r="CV238" s="2854"/>
      <c r="CW238" s="2854"/>
      <c r="CX238" s="1599">
        <f ca="1">CX225/CT225*100-100</f>
        <v>6.5</v>
      </c>
      <c r="CY238" s="2854"/>
      <c r="CZ238" s="2854"/>
      <c r="DA238" s="2854"/>
      <c r="DB238" s="1599">
        <f ca="1">DB225/CX225*100-100</f>
        <v>4.8999999999999915</v>
      </c>
    </row>
    <row r="239" spans="1:119" ht="12.75" hidden="1" customHeight="1">
      <c r="C239" s="3072"/>
      <c r="D239" s="674"/>
      <c r="E239" s="3635" t="s">
        <v>616</v>
      </c>
      <c r="F239" s="3057"/>
      <c r="G239" s="2853"/>
      <c r="H239" s="2853" t="e">
        <f t="shared" ref="H239:N241" si="575">(H226/G226-1)*100</f>
        <v>#VALUE!</v>
      </c>
      <c r="I239" s="2853" t="e">
        <f t="shared" si="575"/>
        <v>#VALUE!</v>
      </c>
      <c r="J239" s="2853" t="e">
        <f t="shared" si="575"/>
        <v>#VALUE!</v>
      </c>
      <c r="K239" s="2853" t="e">
        <f t="shared" si="575"/>
        <v>#VALUE!</v>
      </c>
      <c r="L239" s="2853" t="e">
        <f t="shared" si="575"/>
        <v>#VALUE!</v>
      </c>
      <c r="M239" s="2853" t="e">
        <f t="shared" si="575"/>
        <v>#VALUE!</v>
      </c>
      <c r="N239" s="2853" t="e">
        <f t="shared" si="575"/>
        <v>#VALUE!</v>
      </c>
      <c r="O239" s="2853" t="e">
        <f t="shared" ref="O239:BN239" si="576">(O226/N226-1)*100</f>
        <v>#VALUE!</v>
      </c>
      <c r="P239" s="2853" t="e">
        <f t="shared" si="576"/>
        <v>#VALUE!</v>
      </c>
      <c r="Q239" s="2853" t="e">
        <f t="shared" si="576"/>
        <v>#VALUE!</v>
      </c>
      <c r="R239" s="2853" t="e">
        <f t="shared" si="576"/>
        <v>#VALUE!</v>
      </c>
      <c r="S239" s="2853" t="e">
        <f t="shared" si="576"/>
        <v>#VALUE!</v>
      </c>
      <c r="T239" s="2853" t="e">
        <f t="shared" si="576"/>
        <v>#VALUE!</v>
      </c>
      <c r="U239" s="2853" t="e">
        <f t="shared" si="576"/>
        <v>#VALUE!</v>
      </c>
      <c r="V239" s="2853" t="e">
        <f t="shared" si="576"/>
        <v>#VALUE!</v>
      </c>
      <c r="W239" s="2853" t="e">
        <f t="shared" si="576"/>
        <v>#VALUE!</v>
      </c>
      <c r="X239" s="2853" t="e">
        <f t="shared" si="576"/>
        <v>#VALUE!</v>
      </c>
      <c r="Y239" s="2853" t="e">
        <f t="shared" si="576"/>
        <v>#VALUE!</v>
      </c>
      <c r="Z239" s="2853" t="e">
        <f t="shared" si="576"/>
        <v>#VALUE!</v>
      </c>
      <c r="AA239" s="2853" t="e">
        <f t="shared" si="576"/>
        <v>#VALUE!</v>
      </c>
      <c r="AB239" s="2853" t="e">
        <f t="shared" si="576"/>
        <v>#VALUE!</v>
      </c>
      <c r="AC239" s="2853" t="e">
        <f t="shared" si="576"/>
        <v>#VALUE!</v>
      </c>
      <c r="AD239" s="2853" t="e">
        <f t="shared" si="576"/>
        <v>#VALUE!</v>
      </c>
      <c r="AE239" s="2853" t="e">
        <f t="shared" si="576"/>
        <v>#VALUE!</v>
      </c>
      <c r="AF239" s="2853" t="e">
        <f t="shared" si="576"/>
        <v>#VALUE!</v>
      </c>
      <c r="AG239" s="2853" t="e">
        <f t="shared" si="576"/>
        <v>#VALUE!</v>
      </c>
      <c r="AH239" s="2853" t="e">
        <f t="shared" si="576"/>
        <v>#VALUE!</v>
      </c>
      <c r="AI239" s="2853" t="e">
        <f t="shared" si="576"/>
        <v>#VALUE!</v>
      </c>
      <c r="AJ239" s="2853" t="e">
        <f t="shared" si="576"/>
        <v>#VALUE!</v>
      </c>
      <c r="AK239" s="2853" t="e">
        <f t="shared" si="576"/>
        <v>#VALUE!</v>
      </c>
      <c r="AL239" s="2853" t="e">
        <f t="shared" si="576"/>
        <v>#VALUE!</v>
      </c>
      <c r="AM239" s="2853" t="e">
        <f t="shared" si="576"/>
        <v>#VALUE!</v>
      </c>
      <c r="AN239" s="2853" t="e">
        <f t="shared" si="576"/>
        <v>#VALUE!</v>
      </c>
      <c r="AO239" s="2853" t="e">
        <f t="shared" si="576"/>
        <v>#VALUE!</v>
      </c>
      <c r="AP239" s="2853" t="e">
        <f t="shared" si="576"/>
        <v>#VALUE!</v>
      </c>
      <c r="AQ239" s="2853" t="e">
        <f t="shared" si="576"/>
        <v>#VALUE!</v>
      </c>
      <c r="AR239" s="2853" t="e">
        <f t="shared" si="576"/>
        <v>#VALUE!</v>
      </c>
      <c r="AS239" s="2853" t="e">
        <f t="shared" si="576"/>
        <v>#VALUE!</v>
      </c>
      <c r="AT239" s="2853" t="e">
        <f t="shared" si="576"/>
        <v>#VALUE!</v>
      </c>
      <c r="AU239" s="2853" t="e">
        <f t="shared" si="576"/>
        <v>#VALUE!</v>
      </c>
      <c r="AV239" s="2853" t="e">
        <f t="shared" si="576"/>
        <v>#VALUE!</v>
      </c>
      <c r="AW239" s="2853" t="e">
        <f t="shared" si="576"/>
        <v>#VALUE!</v>
      </c>
      <c r="AX239" s="2853" t="e">
        <f t="shared" si="576"/>
        <v>#VALUE!</v>
      </c>
      <c r="AY239" s="2853" t="e">
        <f t="shared" si="576"/>
        <v>#VALUE!</v>
      </c>
      <c r="AZ239" s="2853" t="e">
        <f t="shared" si="576"/>
        <v>#VALUE!</v>
      </c>
      <c r="BA239" s="2853" t="e">
        <f t="shared" si="576"/>
        <v>#VALUE!</v>
      </c>
      <c r="BB239" s="2853" t="e">
        <f t="shared" si="576"/>
        <v>#VALUE!</v>
      </c>
      <c r="BC239" s="2853" t="e">
        <f t="shared" si="576"/>
        <v>#VALUE!</v>
      </c>
      <c r="BD239" s="2853" t="e">
        <f t="shared" si="576"/>
        <v>#VALUE!</v>
      </c>
      <c r="BE239" s="2853" t="e">
        <f t="shared" si="576"/>
        <v>#VALUE!</v>
      </c>
      <c r="BF239" s="2853" t="e">
        <f t="shared" si="576"/>
        <v>#VALUE!</v>
      </c>
      <c r="BG239" s="2853" t="e">
        <f t="shared" si="576"/>
        <v>#VALUE!</v>
      </c>
      <c r="BH239" s="2853" t="e">
        <f t="shared" si="576"/>
        <v>#VALUE!</v>
      </c>
      <c r="BI239" s="2853" t="e">
        <f t="shared" si="576"/>
        <v>#VALUE!</v>
      </c>
      <c r="BJ239" s="2853" t="e">
        <f t="shared" si="576"/>
        <v>#VALUE!</v>
      </c>
      <c r="BK239" s="2853" t="e">
        <f t="shared" si="576"/>
        <v>#VALUE!</v>
      </c>
      <c r="BL239" s="2853" t="e">
        <f t="shared" si="576"/>
        <v>#VALUE!</v>
      </c>
      <c r="BM239" s="2853" t="e">
        <f t="shared" si="576"/>
        <v>#VALUE!</v>
      </c>
      <c r="BN239" s="2853" t="e">
        <f t="shared" si="576"/>
        <v>#VALUE!</v>
      </c>
      <c r="BO239" s="2853" t="e">
        <f t="shared" ref="BO239:BV239" si="577">(BO226/BN226-1)*100</f>
        <v>#VALUE!</v>
      </c>
      <c r="BP239" s="2853" t="e">
        <f t="shared" si="577"/>
        <v>#VALUE!</v>
      </c>
      <c r="BQ239" s="2853" t="e">
        <f t="shared" si="577"/>
        <v>#VALUE!</v>
      </c>
      <c r="BR239" s="2853" t="e">
        <f t="shared" si="577"/>
        <v>#VALUE!</v>
      </c>
      <c r="BS239" s="2853" t="e">
        <f t="shared" si="577"/>
        <v>#VALUE!</v>
      </c>
      <c r="BT239" s="2853" t="e">
        <f t="shared" si="577"/>
        <v>#VALUE!</v>
      </c>
      <c r="BU239" s="2853" t="e">
        <f t="shared" si="577"/>
        <v>#VALUE!</v>
      </c>
      <c r="BV239" s="2853" t="e">
        <f t="shared" si="577"/>
        <v>#VALUE!</v>
      </c>
      <c r="BW239" s="2853" t="e">
        <f t="shared" ref="BW239:CD239" si="578">(BW226/BV226-1)*100</f>
        <v>#VALUE!</v>
      </c>
      <c r="BX239" s="2853" t="e">
        <f t="shared" si="578"/>
        <v>#VALUE!</v>
      </c>
      <c r="BY239" s="2853" t="e">
        <f t="shared" si="578"/>
        <v>#VALUE!</v>
      </c>
      <c r="BZ239" s="2853" t="e">
        <f t="shared" si="578"/>
        <v>#VALUE!</v>
      </c>
      <c r="CA239" s="2853" t="e">
        <f t="shared" si="578"/>
        <v>#VALUE!</v>
      </c>
      <c r="CB239" s="2853" t="e">
        <f t="shared" si="578"/>
        <v>#VALUE!</v>
      </c>
      <c r="CC239" s="2853" t="e">
        <f t="shared" si="578"/>
        <v>#VALUE!</v>
      </c>
      <c r="CD239" s="2853" t="e">
        <f t="shared" si="578"/>
        <v>#VALUE!</v>
      </c>
      <c r="CE239" s="2853" t="e">
        <f t="shared" ref="CE239:CL239" si="579">(CE226/CD226-1)*100</f>
        <v>#VALUE!</v>
      </c>
      <c r="CF239" s="2853" t="e">
        <f t="shared" si="579"/>
        <v>#VALUE!</v>
      </c>
      <c r="CG239" s="2853" t="e">
        <f t="shared" si="579"/>
        <v>#VALUE!</v>
      </c>
      <c r="CH239" s="2853" t="e">
        <f t="shared" si="579"/>
        <v>#VALUE!</v>
      </c>
      <c r="CI239" s="2853" t="e">
        <f t="shared" si="579"/>
        <v>#VALUE!</v>
      </c>
      <c r="CJ239" s="2853" t="e">
        <f t="shared" si="579"/>
        <v>#VALUE!</v>
      </c>
      <c r="CK239" s="2853" t="e">
        <f t="shared" si="579"/>
        <v>#VALUE!</v>
      </c>
      <c r="CL239" s="2853" t="e">
        <f t="shared" si="579"/>
        <v>#VALUE!</v>
      </c>
      <c r="CM239" s="2853" t="e">
        <f t="shared" ref="CM239:CT239" si="580">(CM226/CL226-1)*100</f>
        <v>#VALUE!</v>
      </c>
      <c r="CN239" s="2853" t="e">
        <f t="shared" si="580"/>
        <v>#VALUE!</v>
      </c>
      <c r="CO239" s="2853" t="e">
        <f t="shared" si="580"/>
        <v>#VALUE!</v>
      </c>
      <c r="CP239" s="2853" t="e">
        <f t="shared" si="580"/>
        <v>#VALUE!</v>
      </c>
      <c r="CQ239" s="2853" t="e">
        <f t="shared" si="580"/>
        <v>#VALUE!</v>
      </c>
      <c r="CR239" s="2853" t="e">
        <f t="shared" si="580"/>
        <v>#VALUE!</v>
      </c>
      <c r="CS239" s="2853" t="e">
        <f t="shared" si="580"/>
        <v>#VALUE!</v>
      </c>
      <c r="CT239" s="2853" t="e">
        <f t="shared" si="580"/>
        <v>#VALUE!</v>
      </c>
      <c r="CU239" s="2853" t="e">
        <f t="shared" ref="CU239:DB239" si="581">(CU226/CT226-1)*100</f>
        <v>#VALUE!</v>
      </c>
      <c r="CV239" s="2853" t="e">
        <f t="shared" si="581"/>
        <v>#VALUE!</v>
      </c>
      <c r="CW239" s="2853" t="e">
        <f t="shared" si="581"/>
        <v>#VALUE!</v>
      </c>
      <c r="CX239" s="2853" t="e">
        <f t="shared" si="581"/>
        <v>#VALUE!</v>
      </c>
      <c r="CY239" s="2853" t="e">
        <f t="shared" si="581"/>
        <v>#VALUE!</v>
      </c>
      <c r="CZ239" s="2853" t="e">
        <f t="shared" si="581"/>
        <v>#VALUE!</v>
      </c>
      <c r="DA239" s="2853" t="e">
        <f t="shared" si="581"/>
        <v>#VALUE!</v>
      </c>
      <c r="DB239" s="2853" t="e">
        <f t="shared" si="581"/>
        <v>#VALUE!</v>
      </c>
    </row>
    <row r="240" spans="1:119" ht="12.75" customHeight="1">
      <c r="C240" s="3072"/>
      <c r="D240" s="717"/>
      <c r="E240" s="3636" t="s">
        <v>1787</v>
      </c>
      <c r="F240" s="3634"/>
      <c r="G240" s="2854"/>
      <c r="H240" s="2854">
        <f t="shared" si="575"/>
        <v>-0.99948950804698011</v>
      </c>
      <c r="I240" s="2854">
        <f t="shared" si="575"/>
        <v>4.890493120199757</v>
      </c>
      <c r="J240" s="2854">
        <f t="shared" si="575"/>
        <v>3.7258402545990776</v>
      </c>
      <c r="K240" s="2854">
        <f t="shared" si="575"/>
        <v>6.2910025193943619</v>
      </c>
      <c r="L240" s="2854">
        <f t="shared" si="575"/>
        <v>4.5551618126774773</v>
      </c>
      <c r="M240" s="2854">
        <f t="shared" si="575"/>
        <v>7.3644280840366338</v>
      </c>
      <c r="N240" s="2854">
        <f t="shared" si="575"/>
        <v>6.7024857316078545</v>
      </c>
      <c r="O240" s="2854">
        <f t="shared" ref="O240:BJ240" si="582">(O227/N227-1)*100</f>
        <v>6.7262289621661919</v>
      </c>
      <c r="P240" s="2854">
        <f t="shared" si="582"/>
        <v>7.3634160669701965</v>
      </c>
      <c r="Q240" s="2854">
        <f t="shared" si="582"/>
        <v>0.65318126635089957</v>
      </c>
      <c r="R240" s="2854">
        <f t="shared" si="582"/>
        <v>5.2017327783912215</v>
      </c>
      <c r="S240" s="2854">
        <f t="shared" si="582"/>
        <v>3.0051512264440472</v>
      </c>
      <c r="T240" s="2854">
        <f t="shared" si="582"/>
        <v>0.12384774565747936</v>
      </c>
      <c r="U240" s="2854">
        <f t="shared" si="582"/>
        <v>1.3340222650194855</v>
      </c>
      <c r="V240" s="2854">
        <f t="shared" si="582"/>
        <v>-12.331772740617131</v>
      </c>
      <c r="W240" s="2854">
        <f t="shared" si="582"/>
        <v>-5.1693750220310868</v>
      </c>
      <c r="X240" s="2854">
        <f t="shared" si="582"/>
        <v>3.5572902146640439</v>
      </c>
      <c r="Y240" s="2854">
        <f t="shared" si="582"/>
        <v>-1.8880453705199307</v>
      </c>
      <c r="Z240" s="2854">
        <f t="shared" si="582"/>
        <v>-2.6432765653867873</v>
      </c>
      <c r="AA240" s="2854">
        <f t="shared" si="582"/>
        <v>2.825899064296733</v>
      </c>
      <c r="AB240" s="2854">
        <f t="shared" si="582"/>
        <v>0.50615795051711654</v>
      </c>
      <c r="AC240" s="2854">
        <f t="shared" si="582"/>
        <v>6.7978110284893534</v>
      </c>
      <c r="AD240" s="2854">
        <f t="shared" si="582"/>
        <v>9.8736849273106664E-2</v>
      </c>
      <c r="AE240" s="2854">
        <f t="shared" si="582"/>
        <v>8.0969387755101874</v>
      </c>
      <c r="AF240" s="2854">
        <f t="shared" si="582"/>
        <v>2.6919022671134885</v>
      </c>
      <c r="AG240" s="2854">
        <f t="shared" si="582"/>
        <v>3.9955876945704238</v>
      </c>
      <c r="AH240" s="2854">
        <f t="shared" si="582"/>
        <v>7.4823217442545609</v>
      </c>
      <c r="AI240" s="2854">
        <f t="shared" si="582"/>
        <v>3.0414342301840813</v>
      </c>
      <c r="AJ240" s="2854">
        <f t="shared" si="582"/>
        <v>7.5128362020803863</v>
      </c>
      <c r="AK240" s="2854">
        <f t="shared" si="582"/>
        <v>-0.80172221809813315</v>
      </c>
      <c r="AL240" s="2854">
        <f t="shared" si="582"/>
        <v>4.1233256005388075</v>
      </c>
      <c r="AM240" s="2854">
        <f t="shared" si="582"/>
        <v>1.2936610608020649</v>
      </c>
      <c r="AN240" s="2854">
        <f t="shared" si="582"/>
        <v>-1.020528830235079</v>
      </c>
      <c r="AO240" s="2854">
        <f t="shared" si="582"/>
        <v>4.0644675690851839</v>
      </c>
      <c r="AP240" s="2854">
        <f t="shared" si="582"/>
        <v>4.5027151762855544</v>
      </c>
      <c r="AQ240" s="2854">
        <f t="shared" si="582"/>
        <v>1.0832188959077227</v>
      </c>
      <c r="AR240" s="2854">
        <f t="shared" si="582"/>
        <v>5.6373694449576517</v>
      </c>
      <c r="AS240" s="2854">
        <f t="shared" si="582"/>
        <v>4.0268318278154025</v>
      </c>
      <c r="AT240" s="2854">
        <f t="shared" si="582"/>
        <v>2.3231663897460342</v>
      </c>
      <c r="AU240" s="2854">
        <f t="shared" si="582"/>
        <v>18.554109471201706</v>
      </c>
      <c r="AV240" s="2854">
        <f t="shared" si="582"/>
        <v>7.6708703974777581</v>
      </c>
      <c r="AW240" s="2854">
        <f t="shared" si="582"/>
        <v>2.3530026928808567</v>
      </c>
      <c r="AX240" s="2854">
        <f t="shared" si="582"/>
        <v>9.4715062964571004</v>
      </c>
      <c r="AY240" s="2854">
        <f t="shared" si="582"/>
        <v>0.30566768555897461</v>
      </c>
      <c r="AZ240" s="2854">
        <f t="shared" si="582"/>
        <v>-1.0398250674606757</v>
      </c>
      <c r="BA240" s="2854">
        <f t="shared" si="582"/>
        <v>6.2010766084483082</v>
      </c>
      <c r="BB240" s="2854">
        <f t="shared" si="582"/>
        <v>4.4843843378560955</v>
      </c>
      <c r="BC240" s="2854">
        <f t="shared" si="582"/>
        <v>-0.25209193941319041</v>
      </c>
      <c r="BD240" s="2854">
        <f t="shared" si="582"/>
        <v>5.0099817355476972</v>
      </c>
      <c r="BE240" s="2854">
        <f t="shared" si="582"/>
        <v>0.25685104661745672</v>
      </c>
      <c r="BF240" s="2854">
        <f t="shared" si="582"/>
        <v>2.842330347776989</v>
      </c>
      <c r="BG240" s="2854">
        <f t="shared" si="582"/>
        <v>6.1611188481983215</v>
      </c>
      <c r="BH240" s="2854">
        <f t="shared" si="582"/>
        <v>4.5766970917556549</v>
      </c>
      <c r="BI240" s="2854">
        <f t="shared" si="582"/>
        <v>-0.33746179261116005</v>
      </c>
      <c r="BJ240" s="2854">
        <f t="shared" si="582"/>
        <v>-8.3179690823996566</v>
      </c>
      <c r="BK240" s="2854">
        <f t="shared" ref="BK240:BV240" si="583">IF(UPPER($F241)="N",BK241,(BJ220*BK233+BJ223*BK236)/(BJ220+BJ223))</f>
        <v>-24.661613427179219</v>
      </c>
      <c r="BL240" s="2854">
        <f t="shared" si="583"/>
        <v>-1.6272265284122955</v>
      </c>
      <c r="BM240" s="2854">
        <f t="shared" si="583"/>
        <v>5.1007096639532401</v>
      </c>
      <c r="BN240" s="2854">
        <f t="shared" si="583"/>
        <v>3.602015738649067</v>
      </c>
      <c r="BO240" s="2854">
        <f t="shared" si="583"/>
        <v>0.68529256721139298</v>
      </c>
      <c r="BP240" s="2854">
        <f t="shared" si="583"/>
        <v>8.807710613993347</v>
      </c>
      <c r="BQ240" s="2854">
        <f t="shared" si="583"/>
        <v>6.1569082041075029</v>
      </c>
      <c r="BR240" s="2854">
        <f t="shared" si="583"/>
        <v>8.5688973133344337</v>
      </c>
      <c r="BS240" s="2854">
        <f t="shared" si="583"/>
        <v>4.920770471581748</v>
      </c>
      <c r="BT240" s="2854">
        <f t="shared" si="583"/>
        <v>-2.5575170018810711</v>
      </c>
      <c r="BU240" s="2854">
        <f t="shared" si="583"/>
        <v>0.29513308831718987</v>
      </c>
      <c r="BV240" s="2854">
        <f t="shared" si="583"/>
        <v>1.2270279273777218</v>
      </c>
      <c r="BW240" s="2854">
        <f t="shared" ref="BW240:CD240" si="584">IF(UPPER($F241)="N",BW241,(BV220*BW233+BV223*BW236)/(BV220+BV223))</f>
        <v>-2.7863097849934348</v>
      </c>
      <c r="BX240" s="2854">
        <f t="shared" si="584"/>
        <v>-1.0287369292108495</v>
      </c>
      <c r="BY240" s="2854">
        <f t="shared" si="584"/>
        <v>14.476009501187658</v>
      </c>
      <c r="BZ240" s="2854">
        <f t="shared" si="584"/>
        <v>2.901581926530894</v>
      </c>
      <c r="CA240" s="2854">
        <f t="shared" si="584"/>
        <v>2.4616476585310743</v>
      </c>
      <c r="CB240" s="2854">
        <f t="shared" si="584"/>
        <v>-4.943558417431559</v>
      </c>
      <c r="CC240" s="2854">
        <f t="shared" si="584"/>
        <v>5.4375010351623843</v>
      </c>
      <c r="CD240" s="2854">
        <f t="shared" si="584"/>
        <v>3.3506126295947292</v>
      </c>
      <c r="CE240" s="2854">
        <f t="shared" ref="CE240:CL240" si="585">IF(UPPER($F241)="N",CE241,(CD220*CE233+CD223*CE236)/(CD220+CD223))</f>
        <v>-4.9473348228534881</v>
      </c>
      <c r="CF240" s="2854">
        <f t="shared" si="585"/>
        <v>3.9208161437845668</v>
      </c>
      <c r="CG240" s="2854">
        <f t="shared" si="585"/>
        <v>1.2832743498999877</v>
      </c>
      <c r="CH240" s="2854">
        <f t="shared" si="585"/>
        <v>1.765313563441917</v>
      </c>
      <c r="CI240" s="2854">
        <f t="shared" si="585"/>
        <v>1.5480846744095667</v>
      </c>
      <c r="CJ240" s="2854">
        <f t="shared" si="585"/>
        <v>2.5726592476074339</v>
      </c>
      <c r="CK240" s="2854">
        <f t="shared" si="585"/>
        <v>-0.70227738523498395</v>
      </c>
      <c r="CL240" s="2854">
        <f t="shared" si="585"/>
        <v>0.66827360247103673</v>
      </c>
      <c r="CM240" s="2854">
        <f t="shared" ref="CM240:CS240" si="586">IF(UPPER($F241)="N",CM241,(CL220*CM233+CL223*CM236)/(CL220+CL223))</f>
        <v>-0.96492988845239269</v>
      </c>
      <c r="CN240" s="2854">
        <f t="shared" si="586"/>
        <v>2.293226007267668</v>
      </c>
      <c r="CO240" s="2854">
        <f t="shared" si="586"/>
        <v>1.1138316090408606</v>
      </c>
      <c r="CP240" s="2854">
        <f t="shared" si="586"/>
        <v>2.233917473825664</v>
      </c>
      <c r="CQ240" s="2854">
        <f t="shared" si="586"/>
        <v>6.1610076670317593</v>
      </c>
      <c r="CR240" s="2854">
        <f t="shared" si="586"/>
        <v>2.1382512251741037</v>
      </c>
      <c r="CS240" s="2854">
        <f t="shared" si="586"/>
        <v>3.3043763731407383</v>
      </c>
      <c r="CT240" s="2854">
        <f>IF(UPPER($F241)="N",CT241,(CS220*CT233+CS223*CT236)/(CS220+CS223))</f>
        <v>2.9872272810609335</v>
      </c>
      <c r="CU240" s="2854">
        <f t="shared" ref="CU240:DB240" si="587">IF(UPPER($F241)="N",CU241,(CT220*CU233+CT223*CU236)/(CT220+CT223))</f>
        <v>0.8</v>
      </c>
      <c r="CV240" s="2854">
        <f t="shared" si="587"/>
        <v>0.8</v>
      </c>
      <c r="CW240" s="2854">
        <f t="shared" si="587"/>
        <v>0.8</v>
      </c>
      <c r="CX240" s="2854">
        <f t="shared" si="587"/>
        <v>0.75</v>
      </c>
      <c r="CY240" s="2854">
        <f t="shared" si="587"/>
        <v>1.5</v>
      </c>
      <c r="CZ240" s="2854">
        <f t="shared" si="587"/>
        <v>1.6</v>
      </c>
      <c r="DA240" s="2854">
        <f t="shared" si="587"/>
        <v>1.6</v>
      </c>
      <c r="DB240" s="2854">
        <f t="shared" si="587"/>
        <v>1.6</v>
      </c>
    </row>
    <row r="241" spans="1:119" s="699" customFormat="1" ht="12.75" customHeight="1">
      <c r="A241" s="664"/>
      <c r="B241" s="664"/>
      <c r="C241" s="1576"/>
      <c r="D241" s="689"/>
      <c r="E241" s="3623" t="s">
        <v>1787</v>
      </c>
      <c r="F241" s="3637" t="s">
        <v>235</v>
      </c>
      <c r="G241" s="978"/>
      <c r="H241" s="978">
        <f t="shared" si="575"/>
        <v>-0.99948950804698011</v>
      </c>
      <c r="I241" s="978">
        <f t="shared" si="575"/>
        <v>4.890493120199757</v>
      </c>
      <c r="J241" s="978">
        <f t="shared" si="575"/>
        <v>3.7258402545990776</v>
      </c>
      <c r="K241" s="978">
        <f t="shared" si="575"/>
        <v>6.2910025193943619</v>
      </c>
      <c r="L241" s="978">
        <f t="shared" si="575"/>
        <v>4.5551618126774773</v>
      </c>
      <c r="M241" s="978">
        <f t="shared" si="575"/>
        <v>7.3644280840366338</v>
      </c>
      <c r="N241" s="978">
        <f t="shared" si="575"/>
        <v>6.7024857316078545</v>
      </c>
      <c r="O241" s="978">
        <f t="shared" ref="O241:BJ241" si="588">(O228/N228-1)*100</f>
        <v>6.7262289621661919</v>
      </c>
      <c r="P241" s="978">
        <f t="shared" si="588"/>
        <v>7.3634160669701965</v>
      </c>
      <c r="Q241" s="978">
        <f t="shared" si="588"/>
        <v>0.65318126635089957</v>
      </c>
      <c r="R241" s="978">
        <f t="shared" si="588"/>
        <v>5.2017327783912215</v>
      </c>
      <c r="S241" s="978">
        <f t="shared" si="588"/>
        <v>3.0051512264440472</v>
      </c>
      <c r="T241" s="978">
        <f t="shared" si="588"/>
        <v>0.12384774565747936</v>
      </c>
      <c r="U241" s="978">
        <f t="shared" si="588"/>
        <v>1.3340222650194855</v>
      </c>
      <c r="V241" s="978">
        <f t="shared" si="588"/>
        <v>-12.331772740617131</v>
      </c>
      <c r="W241" s="978">
        <f t="shared" si="588"/>
        <v>-5.1693750220310868</v>
      </c>
      <c r="X241" s="978">
        <f t="shared" si="588"/>
        <v>3.5572902146640439</v>
      </c>
      <c r="Y241" s="978">
        <f t="shared" si="588"/>
        <v>-1.8880453705199307</v>
      </c>
      <c r="Z241" s="978">
        <f t="shared" si="588"/>
        <v>-2.6432765653867873</v>
      </c>
      <c r="AA241" s="978">
        <f t="shared" si="588"/>
        <v>2.825899064296733</v>
      </c>
      <c r="AB241" s="978">
        <f t="shared" si="588"/>
        <v>0.50615795051711654</v>
      </c>
      <c r="AC241" s="978">
        <f t="shared" si="588"/>
        <v>6.7978110284893534</v>
      </c>
      <c r="AD241" s="978">
        <f t="shared" si="588"/>
        <v>9.8736849273106664E-2</v>
      </c>
      <c r="AE241" s="978">
        <f t="shared" si="588"/>
        <v>8.0969387755101874</v>
      </c>
      <c r="AF241" s="978">
        <f t="shared" si="588"/>
        <v>2.6919022671134885</v>
      </c>
      <c r="AG241" s="978">
        <f t="shared" si="588"/>
        <v>3.9955876945704238</v>
      </c>
      <c r="AH241" s="978">
        <f t="shared" si="588"/>
        <v>7.4823217442545609</v>
      </c>
      <c r="AI241" s="978">
        <f t="shared" si="588"/>
        <v>3.0414342301840813</v>
      </c>
      <c r="AJ241" s="978">
        <f t="shared" si="588"/>
        <v>7.5128362020803863</v>
      </c>
      <c r="AK241" s="978">
        <f t="shared" si="588"/>
        <v>-0.80172221809813315</v>
      </c>
      <c r="AL241" s="978">
        <f t="shared" si="588"/>
        <v>4.1233256005388075</v>
      </c>
      <c r="AM241" s="978">
        <f t="shared" si="588"/>
        <v>1.2936610608020649</v>
      </c>
      <c r="AN241" s="978">
        <f t="shared" si="588"/>
        <v>-1.020528830235079</v>
      </c>
      <c r="AO241" s="978">
        <f t="shared" si="588"/>
        <v>4.0644675690851839</v>
      </c>
      <c r="AP241" s="978">
        <f t="shared" si="588"/>
        <v>4.5027151762855544</v>
      </c>
      <c r="AQ241" s="978">
        <f t="shared" si="588"/>
        <v>1.0832188959077227</v>
      </c>
      <c r="AR241" s="978">
        <f t="shared" si="588"/>
        <v>5.6373694449576517</v>
      </c>
      <c r="AS241" s="978">
        <f t="shared" si="588"/>
        <v>4.0268318278154025</v>
      </c>
      <c r="AT241" s="978">
        <f t="shared" si="588"/>
        <v>2.3231663897460342</v>
      </c>
      <c r="AU241" s="978">
        <f t="shared" si="588"/>
        <v>18.554109471201706</v>
      </c>
      <c r="AV241" s="978">
        <f t="shared" si="588"/>
        <v>7.6708703974777581</v>
      </c>
      <c r="AW241" s="978">
        <f t="shared" si="588"/>
        <v>2.3530026928808567</v>
      </c>
      <c r="AX241" s="978">
        <f t="shared" si="588"/>
        <v>9.4715062964571004</v>
      </c>
      <c r="AY241" s="978">
        <f t="shared" si="588"/>
        <v>0.30566768555897461</v>
      </c>
      <c r="AZ241" s="978">
        <f t="shared" si="588"/>
        <v>-1.0398250674606757</v>
      </c>
      <c r="BA241" s="978">
        <f t="shared" si="588"/>
        <v>6.2010766084483082</v>
      </c>
      <c r="BB241" s="978">
        <f t="shared" si="588"/>
        <v>4.4843843378560955</v>
      </c>
      <c r="BC241" s="978">
        <f t="shared" si="588"/>
        <v>-0.25209193941319041</v>
      </c>
      <c r="BD241" s="978">
        <f t="shared" si="588"/>
        <v>5.0099817355476972</v>
      </c>
      <c r="BE241" s="978">
        <f t="shared" si="588"/>
        <v>0.25685104661745672</v>
      </c>
      <c r="BF241" s="978">
        <f t="shared" si="588"/>
        <v>2.842330347776989</v>
      </c>
      <c r="BG241" s="978">
        <f t="shared" si="588"/>
        <v>6.1611188481983215</v>
      </c>
      <c r="BH241" s="978">
        <f t="shared" si="588"/>
        <v>4.5766970917556549</v>
      </c>
      <c r="BI241" s="978">
        <f t="shared" si="588"/>
        <v>-0.33746179261116005</v>
      </c>
      <c r="BJ241" s="978">
        <f t="shared" si="588"/>
        <v>-8.3179690823996566</v>
      </c>
      <c r="BK241" s="978">
        <f t="shared" ref="BK241:BR241" si="589">(BK228/BJ228-1)*100</f>
        <v>-24.661613427179219</v>
      </c>
      <c r="BL241" s="978">
        <f t="shared" si="589"/>
        <v>-1.6272265284122955</v>
      </c>
      <c r="BM241" s="978">
        <f t="shared" si="589"/>
        <v>5.1007096639532401</v>
      </c>
      <c r="BN241" s="978">
        <f t="shared" si="589"/>
        <v>3.602015738649067</v>
      </c>
      <c r="BO241" s="978">
        <f t="shared" si="589"/>
        <v>0.68529256721139298</v>
      </c>
      <c r="BP241" s="978">
        <f t="shared" si="589"/>
        <v>8.807710613993347</v>
      </c>
      <c r="BQ241" s="978">
        <f t="shared" si="589"/>
        <v>6.1569082041075029</v>
      </c>
      <c r="BR241" s="978">
        <f t="shared" si="589"/>
        <v>8.5688973133344337</v>
      </c>
      <c r="BS241" s="978">
        <f t="shared" ref="BS241:CE241" si="590">(BS228/BR228-1)*100</f>
        <v>4.920770471581748</v>
      </c>
      <c r="BT241" s="978">
        <f t="shared" si="590"/>
        <v>-2.5575170018810711</v>
      </c>
      <c r="BU241" s="978">
        <f t="shared" si="590"/>
        <v>0.29513308831718987</v>
      </c>
      <c r="BV241" s="978">
        <f t="shared" si="590"/>
        <v>1.2270279273777218</v>
      </c>
      <c r="BW241" s="978">
        <f t="shared" si="590"/>
        <v>-2.7863097849934348</v>
      </c>
      <c r="BX241" s="978">
        <f t="shared" si="590"/>
        <v>-1.0287369292108495</v>
      </c>
      <c r="BY241" s="978">
        <f t="shared" si="590"/>
        <v>14.476009501187658</v>
      </c>
      <c r="BZ241" s="978">
        <f t="shared" si="590"/>
        <v>2.901581926530894</v>
      </c>
      <c r="CA241" s="978">
        <f t="shared" si="590"/>
        <v>2.4616476585310743</v>
      </c>
      <c r="CB241" s="978">
        <f t="shared" si="590"/>
        <v>-4.943558417431559</v>
      </c>
      <c r="CC241" s="978">
        <f t="shared" si="590"/>
        <v>5.4375010351623843</v>
      </c>
      <c r="CD241" s="978">
        <f t="shared" si="590"/>
        <v>3.3506126295947292</v>
      </c>
      <c r="CE241" s="978">
        <f t="shared" si="590"/>
        <v>-4.9473348228534881</v>
      </c>
      <c r="CF241" s="978">
        <f t="shared" ref="CF241:CL241" si="591">(CF228/CE228-1)*100</f>
        <v>3.9208161437845668</v>
      </c>
      <c r="CG241" s="978">
        <f t="shared" si="591"/>
        <v>1.2832743498999877</v>
      </c>
      <c r="CH241" s="978">
        <f t="shared" si="591"/>
        <v>1.765313563441917</v>
      </c>
      <c r="CI241" s="978">
        <f t="shared" si="591"/>
        <v>1.5480846744095667</v>
      </c>
      <c r="CJ241" s="978">
        <f t="shared" si="591"/>
        <v>2.5726592476074339</v>
      </c>
      <c r="CK241" s="978">
        <f t="shared" si="591"/>
        <v>-0.70227738523498395</v>
      </c>
      <c r="CL241" s="978">
        <f t="shared" si="591"/>
        <v>0.66827360247103673</v>
      </c>
      <c r="CM241" s="978">
        <f>(CM228/CL228-1)*100</f>
        <v>-0.96492988845239269</v>
      </c>
      <c r="CN241" s="978">
        <f>(CN228/CM228-1)*100</f>
        <v>2.293226007267668</v>
      </c>
      <c r="CO241" s="978">
        <f>(CO228/CN228-1)*100</f>
        <v>1.1138316090408606</v>
      </c>
      <c r="CP241" s="978">
        <f>(CP228/CO228-1)*100</f>
        <v>2.233917473825664</v>
      </c>
      <c r="CQ241" s="978">
        <f>(CQ228/CP228-1)*100</f>
        <v>6.1610076670317593</v>
      </c>
      <c r="CR241" s="978">
        <f t="shared" ref="CR241:CT241" si="592">(CR228/CQ228-1)*100</f>
        <v>2.1382512251741037</v>
      </c>
      <c r="CS241" s="978">
        <f t="shared" si="592"/>
        <v>3.3043763731407383</v>
      </c>
      <c r="CT241" s="978">
        <f t="shared" si="592"/>
        <v>2.9872272810609335</v>
      </c>
      <c r="CU241" s="740">
        <v>0.8</v>
      </c>
      <c r="CV241" s="740">
        <v>0.8</v>
      </c>
      <c r="CW241" s="740">
        <v>0.8</v>
      </c>
      <c r="CX241" s="740">
        <v>0.75</v>
      </c>
      <c r="CY241" s="740">
        <v>1.5</v>
      </c>
      <c r="CZ241" s="740">
        <v>1.6</v>
      </c>
      <c r="DA241" s="740">
        <v>1.6</v>
      </c>
      <c r="DB241" s="740">
        <v>1.6</v>
      </c>
      <c r="DC241" s="3432"/>
      <c r="DD241"/>
      <c r="DE241"/>
      <c r="DF241"/>
      <c r="DG241"/>
      <c r="DH241"/>
      <c r="DI241"/>
      <c r="DJ241"/>
      <c r="DK241"/>
      <c r="DL241"/>
      <c r="DM241"/>
      <c r="DN241"/>
      <c r="DO241"/>
    </row>
    <row r="242" spans="1:119" ht="12.75" customHeight="1">
      <c r="A242" s="664"/>
      <c r="C242" s="1577"/>
      <c r="D242" s="1581"/>
      <c r="E242" s="1582" t="s">
        <v>266</v>
      </c>
      <c r="F242" s="1649"/>
      <c r="G242" s="1605"/>
      <c r="H242" s="1606"/>
      <c r="I242" s="1606"/>
      <c r="J242" s="1606"/>
      <c r="K242" s="1607"/>
      <c r="L242" s="1607"/>
      <c r="M242" s="1607"/>
      <c r="N242" s="1608">
        <f>N229/J229*100-100</f>
        <v>21.747467343786809</v>
      </c>
      <c r="O242" s="1607"/>
      <c r="P242" s="1607"/>
      <c r="Q242" s="1607"/>
      <c r="R242" s="1608">
        <f>R229/N229*100-100</f>
        <v>25.646786894939112</v>
      </c>
      <c r="S242" s="1607"/>
      <c r="T242" s="1607"/>
      <c r="U242" s="1607"/>
      <c r="V242" s="1608">
        <f>V229/R229*100-100</f>
        <v>6.5733463958895726</v>
      </c>
      <c r="W242" s="1607"/>
      <c r="X242" s="1607"/>
      <c r="Y242" s="1607"/>
      <c r="Z242" s="1608">
        <f>Z229/V229*100-100</f>
        <v>-12.724798484215938</v>
      </c>
      <c r="AA242" s="1607"/>
      <c r="AB242" s="1607"/>
      <c r="AC242" s="1607"/>
      <c r="AD242" s="1608">
        <f>AD229/Z229*100-100</f>
        <v>4.5342274840970873</v>
      </c>
      <c r="AE242" s="1607"/>
      <c r="AF242" s="1607"/>
      <c r="AG242" s="1607"/>
      <c r="AH242" s="1608">
        <f>AH229/AD229*100-100</f>
        <v>18.65658179002159</v>
      </c>
      <c r="AI242" s="1607"/>
      <c r="AJ242" s="1607"/>
      <c r="AK242" s="1607"/>
      <c r="AL242" s="1608">
        <f>AL229/AH229*100-100</f>
        <v>18.53881752647662</v>
      </c>
      <c r="AM242" s="1607"/>
      <c r="AN242" s="1607"/>
      <c r="AO242" s="1607"/>
      <c r="AP242" s="1608">
        <f>AP229/AL229*100-100</f>
        <v>8.3609142042006255</v>
      </c>
      <c r="AQ242" s="1607"/>
      <c r="AR242" s="1607"/>
      <c r="AS242" s="1607"/>
      <c r="AT242" s="1608">
        <f>AT229/AP229*100-100</f>
        <v>13.680703709370576</v>
      </c>
      <c r="AU242" s="1607"/>
      <c r="AV242" s="1607"/>
      <c r="AW242" s="1607"/>
      <c r="AX242" s="1608">
        <f>AX229/AT229*100-100</f>
        <v>36.59175157828443</v>
      </c>
      <c r="AY242" s="1607"/>
      <c r="AZ242" s="1607"/>
      <c r="BA242" s="1607"/>
      <c r="BB242" s="1608">
        <f>BB229/AX229*100-100</f>
        <v>14.208590374825889</v>
      </c>
      <c r="BC242" s="1607"/>
      <c r="BD242" s="1607"/>
      <c r="BE242" s="1607"/>
      <c r="BF242" s="1608">
        <f>BF229/BB229*100-100</f>
        <v>10.775491391860029</v>
      </c>
      <c r="BG242" s="1607"/>
      <c r="BH242" s="1607"/>
      <c r="BI242" s="1607"/>
      <c r="BJ242" s="1608">
        <f>BJ229/BF229*100-100</f>
        <v>11.041484849099874</v>
      </c>
      <c r="BK242" s="1607"/>
      <c r="BL242" s="1607"/>
      <c r="BM242" s="1607"/>
      <c r="BN242" s="1608">
        <f>BN229/BJ229*100-100</f>
        <v>-27.205556444058558</v>
      </c>
      <c r="BO242" s="1607"/>
      <c r="BP242" s="1607"/>
      <c r="BQ242" s="1607"/>
      <c r="BR242" s="1608">
        <f>BR229/BN229*100-100</f>
        <v>18.621278412122507</v>
      </c>
      <c r="BS242" s="1607"/>
      <c r="BT242" s="1607"/>
      <c r="BU242" s="1607"/>
      <c r="BV242" s="1608">
        <f>BV229/BR229*100-100</f>
        <v>15.30332536037082</v>
      </c>
      <c r="BW242" s="1607"/>
      <c r="BX242" s="1607"/>
      <c r="BY242" s="1607"/>
      <c r="BZ242" s="1608">
        <f>BZ229/BV229*100-100</f>
        <v>4.6537029982881535</v>
      </c>
      <c r="CA242" s="1607"/>
      <c r="CB242" s="1607"/>
      <c r="CC242" s="1607"/>
      <c r="CD242" s="1608">
        <f>CD229/BZ229*100-100</f>
        <v>11.101999289570273</v>
      </c>
      <c r="CE242" s="1607"/>
      <c r="CF242" s="1607"/>
      <c r="CG242" s="1607"/>
      <c r="CH242" s="1608">
        <f>CH229/CD229*100-100</f>
        <v>2.7594563977469448</v>
      </c>
      <c r="CI242" s="1609"/>
      <c r="CJ242" s="1609"/>
      <c r="CK242" s="1609"/>
      <c r="CL242" s="1610">
        <f>CL229/CH229*100-100</f>
        <v>6.332921048790439</v>
      </c>
      <c r="CM242" s="1609"/>
      <c r="CN242" s="1609"/>
      <c r="CO242" s="1609"/>
      <c r="CP242" s="1610">
        <f>CP229/CL229*100-100</f>
        <v>2.6691953400162447</v>
      </c>
      <c r="CQ242" s="1609"/>
      <c r="CR242" s="1609"/>
      <c r="CS242" s="1609"/>
      <c r="CT242" s="1610">
        <f>CT229/CP229*100-100</f>
        <v>13.580611792522546</v>
      </c>
      <c r="CU242" s="1609"/>
      <c r="CV242" s="1609"/>
      <c r="CW242" s="1609"/>
      <c r="CX242" s="1610">
        <f>CX229/CT229*100-100</f>
        <v>6.4978108278907172</v>
      </c>
      <c r="CY242" s="1609"/>
      <c r="CZ242" s="1609"/>
      <c r="DA242" s="1609"/>
      <c r="DB242" s="3738">
        <f>DB229/CX229*100-100</f>
        <v>5.1689614157828316</v>
      </c>
    </row>
    <row r="243" spans="1:119" s="699" customFormat="1" ht="12.75" customHeight="1">
      <c r="A243" s="664"/>
      <c r="B243" s="664"/>
      <c r="C243" s="666"/>
      <c r="D243" s="717"/>
      <c r="E243" s="1596" t="s">
        <v>1847</v>
      </c>
      <c r="F243" s="717"/>
      <c r="G243" s="1597"/>
      <c r="H243" s="1597"/>
      <c r="I243" s="1597"/>
      <c r="J243" s="1598"/>
      <c r="K243" s="1597"/>
      <c r="L243" s="1597"/>
      <c r="M243" s="1597"/>
      <c r="N243" s="1599">
        <f ca="1">N230/J230*100-100</f>
        <v>23.166175697902133</v>
      </c>
      <c r="O243" s="1597"/>
      <c r="P243" s="1597"/>
      <c r="Q243" s="1597"/>
      <c r="R243" s="1599">
        <f ca="1">R230/N230*100-100</f>
        <v>24.966294345254951</v>
      </c>
      <c r="S243" s="1597"/>
      <c r="T243" s="1597"/>
      <c r="U243" s="1597"/>
      <c r="V243" s="1599">
        <f ca="1">V230/R230*100-100</f>
        <v>6.1402011527074194</v>
      </c>
      <c r="W243" s="1597"/>
      <c r="X243" s="1597"/>
      <c r="Y243" s="1597"/>
      <c r="Z243" s="1599">
        <f ca="1">Z230/V230*100-100</f>
        <v>-12.35126928431113</v>
      </c>
      <c r="AA243" s="1597"/>
      <c r="AB243" s="1597"/>
      <c r="AC243" s="1597"/>
      <c r="AD243" s="1599">
        <f ca="1">AD230/Z230*100-100</f>
        <v>4.9760726387508782</v>
      </c>
      <c r="AE243" s="1597"/>
      <c r="AF243" s="1597"/>
      <c r="AG243" s="1597"/>
      <c r="AH243" s="1599">
        <f ca="1">AH230/AD230*100-100</f>
        <v>17.576290385742467</v>
      </c>
      <c r="AI243" s="1597"/>
      <c r="AJ243" s="1597"/>
      <c r="AK243" s="1597"/>
      <c r="AL243" s="1599">
        <f ca="1">AL230/AH230*100-100</f>
        <v>18.582320452280499</v>
      </c>
      <c r="AM243" s="1597"/>
      <c r="AN243" s="1597"/>
      <c r="AO243" s="1597"/>
      <c r="AP243" s="1599">
        <f ca="1">AP230/AL230*100-100</f>
        <v>8.85629306333702</v>
      </c>
      <c r="AQ243" s="1597"/>
      <c r="AR243" s="1597"/>
      <c r="AS243" s="1597"/>
      <c r="AT243" s="1599">
        <f ca="1">AT230/AP230*100-100</f>
        <v>15.140289710799209</v>
      </c>
      <c r="AU243" s="1597"/>
      <c r="AV243" s="1597"/>
      <c r="AW243" s="1597"/>
      <c r="AX243" s="1599">
        <f ca="1">AX230/AT230*100-100</f>
        <v>20.340344313524227</v>
      </c>
      <c r="AY243" s="1597"/>
      <c r="AZ243" s="1597"/>
      <c r="BA243" s="1597"/>
      <c r="BB243" s="1599">
        <f ca="1">BB230/AX230*100-100</f>
        <v>14.258666950116108</v>
      </c>
      <c r="BC243" s="1597"/>
      <c r="BD243" s="1597"/>
      <c r="BE243" s="1597"/>
      <c r="BF243" s="1599">
        <f ca="1">BF230/BB230*100-100</f>
        <v>10.808883185624168</v>
      </c>
      <c r="BG243" s="1597"/>
      <c r="BH243" s="1597"/>
      <c r="BI243" s="1597"/>
      <c r="BJ243" s="1599">
        <f ca="1">BJ230/BF230*100-100</f>
        <v>12.187524486682804</v>
      </c>
      <c r="BK243" s="1597"/>
      <c r="BL243" s="1597"/>
      <c r="BM243" s="1597"/>
      <c r="BN243" s="1599">
        <f ca="1">BN230/BJ230*100-100</f>
        <v>-27.996827041084288</v>
      </c>
      <c r="BO243" s="1597"/>
      <c r="BP243" s="1597"/>
      <c r="BQ243" s="1597"/>
      <c r="BR243" s="1599">
        <f ca="1">BR230/BN230*100-100</f>
        <v>18.67137822541784</v>
      </c>
      <c r="BS243" s="1597"/>
      <c r="BT243" s="1597"/>
      <c r="BU243" s="1597"/>
      <c r="BV243" s="1599">
        <f ca="1">BV230/BR230*100-100</f>
        <v>15.006828523642952</v>
      </c>
      <c r="BW243" s="1597"/>
      <c r="BX243" s="1597"/>
      <c r="BY243" s="1597"/>
      <c r="BZ243" s="1599">
        <f ca="1">BZ230/BV230*100-100</f>
        <v>6.6449627758580903</v>
      </c>
      <c r="CA243" s="1597"/>
      <c r="CB243" s="1597"/>
      <c r="CC243" s="1597"/>
      <c r="CD243" s="1599">
        <f ca="1">CD230/BZ230*100-100</f>
        <v>9.1127519671374984</v>
      </c>
      <c r="CE243" s="1597"/>
      <c r="CF243" s="1597"/>
      <c r="CG243" s="1597"/>
      <c r="CH243" s="1599">
        <f ca="1">CH230/CD230*100-100</f>
        <v>3.0964332515761868</v>
      </c>
      <c r="CI243" s="1611"/>
      <c r="CJ243" s="1611"/>
      <c r="CK243" s="1611"/>
      <c r="CL243" s="1612">
        <f ca="1">CL230/CH230*100-100</f>
        <v>6.200607996282173</v>
      </c>
      <c r="CM243" s="1611"/>
      <c r="CN243" s="1611"/>
      <c r="CO243" s="1611"/>
      <c r="CP243" s="1612">
        <f ca="1">CP230/CL230*100-100</f>
        <v>3.5277957090910519</v>
      </c>
      <c r="CQ243" s="1611"/>
      <c r="CR243" s="1611"/>
      <c r="CS243" s="1611"/>
      <c r="CT243" s="1612">
        <f ca="1">CT230/CP230*100-100</f>
        <v>12.812325047587052</v>
      </c>
      <c r="CU243" s="1611"/>
      <c r="CV243" s="1611"/>
      <c r="CW243" s="1611"/>
      <c r="CX243" s="1612">
        <f ca="1">CX230/CT230*100-100</f>
        <v>6.4999999999999716</v>
      </c>
      <c r="CY243" s="1611"/>
      <c r="CZ243" s="1611"/>
      <c r="DA243" s="1611"/>
      <c r="DB243" s="3739">
        <f ca="1">DB230/CX230*100-100</f>
        <v>5.1512076881462718</v>
      </c>
      <c r="DC243"/>
      <c r="DD243"/>
      <c r="DE243"/>
      <c r="DF243"/>
      <c r="DG243"/>
      <c r="DH243"/>
      <c r="DI243"/>
      <c r="DJ243"/>
      <c r="DK243"/>
      <c r="DL243"/>
      <c r="DM243"/>
      <c r="DN243"/>
      <c r="DO243"/>
    </row>
    <row r="244" spans="1:119" ht="12.75" customHeight="1">
      <c r="A244" s="664"/>
      <c r="E244" s="599"/>
      <c r="F244" s="3617"/>
      <c r="AY244" s="217"/>
      <c r="BA244" s="217"/>
      <c r="BB244" s="217"/>
      <c r="BC244" s="217"/>
      <c r="BD244" s="217"/>
      <c r="BE244" s="217"/>
      <c r="BF244" s="217"/>
      <c r="BG244" s="217"/>
      <c r="BH244" s="217"/>
      <c r="BI244" s="217"/>
      <c r="BJ244" s="217"/>
      <c r="BK244" s="1602"/>
      <c r="BL244" s="1602"/>
      <c r="BM244" s="1602"/>
      <c r="BN244" s="1602"/>
      <c r="BO244" s="1602"/>
      <c r="BP244" s="1602"/>
      <c r="BQ244" s="1602"/>
      <c r="BR244" s="1602"/>
      <c r="BS244" s="1602"/>
      <c r="BT244" s="1602"/>
      <c r="BU244" s="1602"/>
      <c r="BV244" s="1602"/>
      <c r="BW244" s="1602"/>
      <c r="BX244" s="1602"/>
      <c r="BY244" s="1602"/>
      <c r="BZ244" s="1602"/>
      <c r="CA244" s="1602"/>
      <c r="CB244" s="1602"/>
      <c r="CC244" s="1602"/>
      <c r="CD244" s="1602"/>
      <c r="CE244" s="1602"/>
      <c r="CF244" s="1602"/>
      <c r="CG244" s="1602"/>
      <c r="CH244" s="1602"/>
      <c r="CI244" s="1602"/>
      <c r="CJ244" s="1602"/>
      <c r="CK244" s="1602"/>
      <c r="CL244" s="1602"/>
      <c r="CM244" s="1602"/>
      <c r="CN244" s="1602"/>
      <c r="CO244" s="1602"/>
      <c r="CQ244" s="1602"/>
      <c r="CR244" s="1602"/>
      <c r="CS244" s="1602"/>
      <c r="CT244" s="1602"/>
      <c r="CU244" s="1602"/>
      <c r="CV244" s="1602"/>
      <c r="CW244" s="1602"/>
      <c r="CX244" s="1602"/>
      <c r="CY244" s="1602"/>
      <c r="CZ244" s="1602"/>
      <c r="DA244" s="1602"/>
      <c r="DB244" s="1602"/>
    </row>
    <row r="245" spans="1:119" s="699" customFormat="1" ht="12.75" customHeight="1">
      <c r="A245" s="664"/>
      <c r="B245" s="664"/>
      <c r="C245" s="666"/>
      <c r="D245" s="858"/>
      <c r="E245" s="3625"/>
      <c r="F245" s="3626"/>
      <c r="G245" s="1588" t="str">
        <f>G232</f>
        <v>Q1</v>
      </c>
      <c r="H245" s="1588" t="str">
        <f t="shared" ref="H245:BN245" si="593">H232</f>
        <v>Q2</v>
      </c>
      <c r="I245" s="1588" t="str">
        <f t="shared" si="593"/>
        <v>Q3</v>
      </c>
      <c r="J245" s="1588" t="str">
        <f t="shared" si="593"/>
        <v>Q4</v>
      </c>
      <c r="K245" s="1593" t="str">
        <f t="shared" si="593"/>
        <v>Q1</v>
      </c>
      <c r="L245" s="1588" t="str">
        <f t="shared" si="593"/>
        <v>Q2</v>
      </c>
      <c r="M245" s="1588" t="str">
        <f t="shared" si="593"/>
        <v>Q3</v>
      </c>
      <c r="N245" s="1594" t="str">
        <f t="shared" si="593"/>
        <v>Q4</v>
      </c>
      <c r="O245" s="1593" t="str">
        <f t="shared" si="593"/>
        <v>Q1</v>
      </c>
      <c r="P245" s="1588" t="str">
        <f t="shared" si="593"/>
        <v>Q2</v>
      </c>
      <c r="Q245" s="1588" t="str">
        <f t="shared" si="593"/>
        <v>Q3</v>
      </c>
      <c r="R245" s="1594" t="str">
        <f t="shared" si="593"/>
        <v>Q4</v>
      </c>
      <c r="S245" s="1593" t="str">
        <f t="shared" si="593"/>
        <v>Q1</v>
      </c>
      <c r="T245" s="1588" t="str">
        <f t="shared" si="593"/>
        <v>Q2</v>
      </c>
      <c r="U245" s="1588" t="str">
        <f t="shared" si="593"/>
        <v>Q3</v>
      </c>
      <c r="V245" s="1594" t="str">
        <f t="shared" si="593"/>
        <v>Q4</v>
      </c>
      <c r="W245" s="1593" t="str">
        <f t="shared" si="593"/>
        <v>Q1</v>
      </c>
      <c r="X245" s="1588" t="str">
        <f t="shared" si="593"/>
        <v>Q2</v>
      </c>
      <c r="Y245" s="1588" t="str">
        <f t="shared" si="593"/>
        <v>Q3</v>
      </c>
      <c r="Z245" s="1594" t="str">
        <f t="shared" si="593"/>
        <v>Q4</v>
      </c>
      <c r="AA245" s="1593" t="str">
        <f t="shared" si="593"/>
        <v>Q1</v>
      </c>
      <c r="AB245" s="1588" t="str">
        <f t="shared" si="593"/>
        <v>Q2</v>
      </c>
      <c r="AC245" s="1588" t="str">
        <f t="shared" si="593"/>
        <v>Q3</v>
      </c>
      <c r="AD245" s="1594" t="str">
        <f t="shared" si="593"/>
        <v>Q4</v>
      </c>
      <c r="AE245" s="1593" t="str">
        <f t="shared" si="593"/>
        <v>Q1</v>
      </c>
      <c r="AF245" s="1588" t="str">
        <f t="shared" si="593"/>
        <v>Q2</v>
      </c>
      <c r="AG245" s="1588" t="str">
        <f t="shared" si="593"/>
        <v>Q3</v>
      </c>
      <c r="AH245" s="1594" t="str">
        <f t="shared" si="593"/>
        <v>Q4</v>
      </c>
      <c r="AI245" s="1593" t="str">
        <f t="shared" si="593"/>
        <v>Q1</v>
      </c>
      <c r="AJ245" s="1588" t="str">
        <f t="shared" si="593"/>
        <v>Q2</v>
      </c>
      <c r="AK245" s="1588" t="str">
        <f t="shared" si="593"/>
        <v>Q3</v>
      </c>
      <c r="AL245" s="1594" t="str">
        <f t="shared" si="593"/>
        <v>Q4</v>
      </c>
      <c r="AM245" s="1593" t="str">
        <f t="shared" si="593"/>
        <v>Q1</v>
      </c>
      <c r="AN245" s="1588" t="str">
        <f t="shared" si="593"/>
        <v>Q2</v>
      </c>
      <c r="AO245" s="1588" t="str">
        <f t="shared" si="593"/>
        <v>Q3</v>
      </c>
      <c r="AP245" s="1594" t="str">
        <f t="shared" si="593"/>
        <v>Q4</v>
      </c>
      <c r="AQ245" s="1593" t="str">
        <f t="shared" si="593"/>
        <v>Q1</v>
      </c>
      <c r="AR245" s="1588" t="str">
        <f t="shared" si="593"/>
        <v>Q2</v>
      </c>
      <c r="AS245" s="1588" t="str">
        <f t="shared" si="593"/>
        <v>Q3</v>
      </c>
      <c r="AT245" s="1594" t="str">
        <f t="shared" si="593"/>
        <v>Q4</v>
      </c>
      <c r="AU245" s="1593" t="str">
        <f t="shared" si="593"/>
        <v>Q1</v>
      </c>
      <c r="AV245" s="1588" t="str">
        <f t="shared" si="593"/>
        <v>Q2</v>
      </c>
      <c r="AW245" s="1588" t="str">
        <f t="shared" si="593"/>
        <v>Q3</v>
      </c>
      <c r="AX245" s="1594" t="str">
        <f t="shared" si="593"/>
        <v>Q4</v>
      </c>
      <c r="AY245" s="1593" t="str">
        <f t="shared" si="593"/>
        <v>Q1</v>
      </c>
      <c r="AZ245" s="1588" t="str">
        <f t="shared" si="593"/>
        <v>Q2</v>
      </c>
      <c r="BA245" s="1588" t="str">
        <f t="shared" si="593"/>
        <v>Q3</v>
      </c>
      <c r="BB245" s="1594" t="str">
        <f t="shared" si="593"/>
        <v>Q4</v>
      </c>
      <c r="BC245" s="1593" t="str">
        <f t="shared" si="593"/>
        <v>Q1</v>
      </c>
      <c r="BD245" s="1588" t="str">
        <f t="shared" si="593"/>
        <v>Q2</v>
      </c>
      <c r="BE245" s="1588" t="str">
        <f t="shared" si="593"/>
        <v>Q3</v>
      </c>
      <c r="BF245" s="1594" t="str">
        <f t="shared" si="593"/>
        <v>Q4</v>
      </c>
      <c r="BG245" s="1593" t="str">
        <f t="shared" si="593"/>
        <v>Q1</v>
      </c>
      <c r="BH245" s="1588" t="str">
        <f t="shared" si="593"/>
        <v>Q2</v>
      </c>
      <c r="BI245" s="1588" t="str">
        <f t="shared" si="593"/>
        <v>Q3</v>
      </c>
      <c r="BJ245" s="1594" t="str">
        <f t="shared" si="593"/>
        <v>Q4</v>
      </c>
      <c r="BK245" s="1593" t="str">
        <f t="shared" si="593"/>
        <v>Q1</v>
      </c>
      <c r="BL245" s="1588" t="str">
        <f t="shared" si="593"/>
        <v>Q2</v>
      </c>
      <c r="BM245" s="1588" t="str">
        <f t="shared" si="593"/>
        <v>Q3</v>
      </c>
      <c r="BN245" s="1594" t="str">
        <f t="shared" si="593"/>
        <v>Q4</v>
      </c>
      <c r="BO245" s="1593" t="str">
        <f t="shared" ref="BO245:BV245" si="594">BO232</f>
        <v>Q1</v>
      </c>
      <c r="BP245" s="1588" t="str">
        <f t="shared" si="594"/>
        <v>Q2</v>
      </c>
      <c r="BQ245" s="1588" t="str">
        <f t="shared" si="594"/>
        <v>Q3</v>
      </c>
      <c r="BR245" s="1594" t="str">
        <f t="shared" si="594"/>
        <v>Q4</v>
      </c>
      <c r="BS245" s="1593" t="str">
        <f t="shared" si="594"/>
        <v>Q1</v>
      </c>
      <c r="BT245" s="1588" t="str">
        <f t="shared" si="594"/>
        <v>Q2</v>
      </c>
      <c r="BU245" s="1588" t="str">
        <f t="shared" si="594"/>
        <v>Q3</v>
      </c>
      <c r="BV245" s="1594" t="str">
        <f t="shared" si="594"/>
        <v>Q4</v>
      </c>
      <c r="BW245" s="1593" t="str">
        <f t="shared" ref="BW245:CD245" si="595">BW232</f>
        <v>Q1</v>
      </c>
      <c r="BX245" s="1588" t="str">
        <f t="shared" si="595"/>
        <v>Q2</v>
      </c>
      <c r="BY245" s="1588" t="str">
        <f t="shared" si="595"/>
        <v>Q3</v>
      </c>
      <c r="BZ245" s="1594" t="str">
        <f t="shared" si="595"/>
        <v>Q4</v>
      </c>
      <c r="CA245" s="1593" t="str">
        <f t="shared" si="595"/>
        <v>Q1</v>
      </c>
      <c r="CB245" s="1588" t="str">
        <f t="shared" si="595"/>
        <v>Q2</v>
      </c>
      <c r="CC245" s="1588" t="str">
        <f t="shared" si="595"/>
        <v>Q3</v>
      </c>
      <c r="CD245" s="1594" t="str">
        <f t="shared" si="595"/>
        <v>Q4</v>
      </c>
      <c r="CE245" s="1593" t="str">
        <f t="shared" ref="CE245:CL245" si="596">CE232</f>
        <v>Q1</v>
      </c>
      <c r="CF245" s="1588" t="str">
        <f t="shared" si="596"/>
        <v>Q2</v>
      </c>
      <c r="CG245" s="1588" t="str">
        <f t="shared" si="596"/>
        <v>Q3</v>
      </c>
      <c r="CH245" s="1594" t="str">
        <f t="shared" si="596"/>
        <v>Q4</v>
      </c>
      <c r="CI245" s="1593" t="str">
        <f t="shared" si="596"/>
        <v>Q1</v>
      </c>
      <c r="CJ245" s="1588" t="str">
        <f t="shared" si="596"/>
        <v>Q2</v>
      </c>
      <c r="CK245" s="1588" t="str">
        <f t="shared" si="596"/>
        <v>Q3</v>
      </c>
      <c r="CL245" s="1594" t="str">
        <f t="shared" si="596"/>
        <v>Q4</v>
      </c>
      <c r="CM245" s="1593" t="str">
        <f t="shared" ref="CM245:CT245" si="597">CM232</f>
        <v>Q1</v>
      </c>
      <c r="CN245" s="1588" t="str">
        <f t="shared" si="597"/>
        <v>Q2</v>
      </c>
      <c r="CO245" s="1588" t="str">
        <f t="shared" si="597"/>
        <v>Q3</v>
      </c>
      <c r="CP245" s="1594" t="str">
        <f t="shared" si="597"/>
        <v>Q4</v>
      </c>
      <c r="CQ245" s="1593" t="str">
        <f t="shared" si="597"/>
        <v>Q1</v>
      </c>
      <c r="CR245" s="1588" t="str">
        <f t="shared" si="597"/>
        <v>Q2</v>
      </c>
      <c r="CS245" s="1588" t="str">
        <f t="shared" si="597"/>
        <v>Q3</v>
      </c>
      <c r="CT245" s="1594" t="str">
        <f t="shared" si="597"/>
        <v>Q4</v>
      </c>
      <c r="CU245" s="1593" t="str">
        <f t="shared" ref="CU245:DB245" si="598">CU232</f>
        <v>Q1</v>
      </c>
      <c r="CV245" s="1588" t="str">
        <f t="shared" si="598"/>
        <v>Q2</v>
      </c>
      <c r="CW245" s="1588" t="str">
        <f t="shared" si="598"/>
        <v>Q3</v>
      </c>
      <c r="CX245" s="1594" t="str">
        <f t="shared" si="598"/>
        <v>Q4</v>
      </c>
      <c r="CY245" s="1593" t="str">
        <f t="shared" si="598"/>
        <v>Q1</v>
      </c>
      <c r="CZ245" s="1588" t="str">
        <f t="shared" si="598"/>
        <v>Q2</v>
      </c>
      <c r="DA245" s="1588" t="str">
        <f t="shared" si="598"/>
        <v>Q3</v>
      </c>
      <c r="DB245" s="1594" t="str">
        <f t="shared" si="598"/>
        <v>Q4</v>
      </c>
      <c r="DC245"/>
      <c r="DD245"/>
      <c r="DE245"/>
      <c r="DF245"/>
      <c r="DG245"/>
      <c r="DH245"/>
      <c r="DI245"/>
      <c r="DJ245"/>
      <c r="DK245"/>
      <c r="DL245"/>
      <c r="DM245"/>
      <c r="DN245"/>
      <c r="DO245"/>
    </row>
    <row r="246" spans="1:119" s="699" customFormat="1" ht="12.75" customHeight="1">
      <c r="A246" s="664"/>
      <c r="B246" s="664"/>
      <c r="C246" s="862"/>
      <c r="D246" s="863"/>
      <c r="E246" s="3627" t="s">
        <v>1848</v>
      </c>
      <c r="F246" s="3628"/>
      <c r="G246" s="705"/>
      <c r="H246" s="705"/>
      <c r="I246" s="705"/>
      <c r="J246" s="705"/>
      <c r="K246" s="1564">
        <f t="shared" ref="K246:AP246" si="599">(K228/G228-1)*100</f>
        <v>14.487224267175369</v>
      </c>
      <c r="L246" s="1564">
        <f t="shared" si="599"/>
        <v>20.91079328032135</v>
      </c>
      <c r="M246" s="1564">
        <f t="shared" si="599"/>
        <v>23.762581179331942</v>
      </c>
      <c r="N246" s="1564">
        <f t="shared" si="599"/>
        <v>27.314225847489325</v>
      </c>
      <c r="O246" s="1564">
        <f t="shared" si="599"/>
        <v>27.835535425124959</v>
      </c>
      <c r="P246" s="1564">
        <f t="shared" si="599"/>
        <v>31.269078829233244</v>
      </c>
      <c r="Q246" s="1564">
        <f t="shared" si="599"/>
        <v>23.063575355925803</v>
      </c>
      <c r="R246" s="1564">
        <f t="shared" si="599"/>
        <v>21.332706361801755</v>
      </c>
      <c r="S246" s="1564">
        <f t="shared" si="599"/>
        <v>17.102364517550317</v>
      </c>
      <c r="T246" s="1564">
        <f t="shared" si="599"/>
        <v>9.2060940786211418</v>
      </c>
      <c r="U246" s="1564">
        <f t="shared" si="599"/>
        <v>9.9447889238087228</v>
      </c>
      <c r="V246" s="1564">
        <f t="shared" si="599"/>
        <v>-8.3792206953348209</v>
      </c>
      <c r="W246" s="1564">
        <f t="shared" si="599"/>
        <v>-15.650279049350967</v>
      </c>
      <c r="X246" s="1564">
        <f t="shared" si="599"/>
        <v>-12.757762224623059</v>
      </c>
      <c r="Y246" s="1564">
        <f t="shared" si="599"/>
        <v>-15.531760379486714</v>
      </c>
      <c r="Z246" s="1564">
        <f t="shared" si="599"/>
        <v>-6.1969050724382306</v>
      </c>
      <c r="AA246" s="1564">
        <f t="shared" si="599"/>
        <v>1.7117368274323974</v>
      </c>
      <c r="AB246" s="1564">
        <f t="shared" si="599"/>
        <v>-1.2850194727112685</v>
      </c>
      <c r="AC246" s="1564">
        <f t="shared" si="599"/>
        <v>7.4542228401046406</v>
      </c>
      <c r="AD246" s="1564">
        <f t="shared" si="599"/>
        <v>10.480628311600482</v>
      </c>
      <c r="AE246" s="1564">
        <f t="shared" si="599"/>
        <v>16.144063150970279</v>
      </c>
      <c r="AF246" s="1564">
        <f t="shared" si="599"/>
        <v>18.66989073323273</v>
      </c>
      <c r="AG246" s="1564">
        <f t="shared" si="599"/>
        <v>15.55616083892275</v>
      </c>
      <c r="AH246" s="1564">
        <f t="shared" si="599"/>
        <v>24.079931972789105</v>
      </c>
      <c r="AI246" s="1564">
        <f t="shared" si="599"/>
        <v>18.276930822359638</v>
      </c>
      <c r="AJ246" s="1564">
        <f t="shared" si="599"/>
        <v>23.829513420762339</v>
      </c>
      <c r="AK246" s="1564">
        <f t="shared" si="599"/>
        <v>18.117265763111369</v>
      </c>
      <c r="AL246" s="1564">
        <f t="shared" si="599"/>
        <v>14.425910442851464</v>
      </c>
      <c r="AM246" s="1564">
        <f t="shared" si="599"/>
        <v>12.485035515709363</v>
      </c>
      <c r="AN246" s="1564">
        <f t="shared" si="599"/>
        <v>3.557023729987896</v>
      </c>
      <c r="AO246" s="1564">
        <f t="shared" si="599"/>
        <v>8.6370326024595165</v>
      </c>
      <c r="AP246" s="1564">
        <f t="shared" si="599"/>
        <v>9.0328685736188916</v>
      </c>
      <c r="AQ246" s="1564">
        <f t="shared" ref="AQ246:BN246" si="600">(AQ228/AM228-1)*100</f>
        <v>8.8063478548791494</v>
      </c>
      <c r="AR246" s="1564">
        <f t="shared" si="600"/>
        <v>16.125255373293012</v>
      </c>
      <c r="AS246" s="1564">
        <f t="shared" si="600"/>
        <v>16.083257752316229</v>
      </c>
      <c r="AT246" s="1564">
        <f t="shared" si="600"/>
        <v>13.66218071958254</v>
      </c>
      <c r="AU246" s="1564">
        <f t="shared" si="600"/>
        <v>33.307177620067165</v>
      </c>
      <c r="AV246" s="1564">
        <f t="shared" si="600"/>
        <v>35.873317557974474</v>
      </c>
      <c r="AW246" s="1564">
        <f t="shared" si="600"/>
        <v>33.687067014795467</v>
      </c>
      <c r="AX246" s="1564">
        <f t="shared" si="600"/>
        <v>43.026502353543819</v>
      </c>
      <c r="AY246" s="1564">
        <f t="shared" si="600"/>
        <v>21.011147393311557</v>
      </c>
      <c r="AZ246" s="1564">
        <f t="shared" si="600"/>
        <v>11.221208397605164</v>
      </c>
      <c r="BA246" s="1564">
        <f t="shared" si="600"/>
        <v>15.40269227821911</v>
      </c>
      <c r="BB246" s="1564">
        <f t="shared" si="600"/>
        <v>10.145367151223873</v>
      </c>
      <c r="BC246" s="1564">
        <f t="shared" si="600"/>
        <v>9.5328929003442919</v>
      </c>
      <c r="BD246" s="1564">
        <f t="shared" si="600"/>
        <v>16.229049622716897</v>
      </c>
      <c r="BE246" s="1564">
        <f t="shared" si="600"/>
        <v>9.7235441244825971</v>
      </c>
      <c r="BF246" s="1564">
        <f t="shared" si="600"/>
        <v>7.9991526321364192</v>
      </c>
      <c r="BG246" s="1564">
        <f t="shared" si="600"/>
        <v>14.942870492290684</v>
      </c>
      <c r="BH246" s="1564">
        <f t="shared" si="600"/>
        <v>14.46860147638791</v>
      </c>
      <c r="BI246" s="1564">
        <f t="shared" si="600"/>
        <v>13.790042766077647</v>
      </c>
      <c r="BJ246" s="1564">
        <f t="shared" si="600"/>
        <v>1.4417135795688596</v>
      </c>
      <c r="BK246" s="1564">
        <f t="shared" si="600"/>
        <v>-28.010790436421416</v>
      </c>
      <c r="BL246" s="1564">
        <f t="shared" si="600"/>
        <v>-32.281489072245087</v>
      </c>
      <c r="BM246" s="1564">
        <f t="shared" si="600"/>
        <v>-28.586370727556385</v>
      </c>
      <c r="BN246" s="1564">
        <f t="shared" si="600"/>
        <v>-19.301570113697895</v>
      </c>
      <c r="BO246" s="1564">
        <f t="shared" ref="BO246:BV246" si="601">(BO228/BK228-1)*100</f>
        <v>7.8486730660643822</v>
      </c>
      <c r="BP246" s="1564">
        <f t="shared" si="601"/>
        <v>19.288770611563354</v>
      </c>
      <c r="BQ246" s="1564">
        <f t="shared" si="601"/>
        <v>20.487550579648996</v>
      </c>
      <c r="BR246" s="1564">
        <f t="shared" si="601"/>
        <v>26.263957444769261</v>
      </c>
      <c r="BS246" s="1564">
        <f t="shared" si="601"/>
        <v>31.575440266539758</v>
      </c>
      <c r="BT246" s="1564">
        <f t="shared" si="601"/>
        <v>17.832068414951529</v>
      </c>
      <c r="BU246" s="1564">
        <f t="shared" si="601"/>
        <v>11.32561397725398</v>
      </c>
      <c r="BV246" s="1564">
        <f t="shared" si="601"/>
        <v>3.7973242243097172</v>
      </c>
      <c r="BW246" s="1564">
        <f t="shared" ref="BW246:CD246" si="602">(BW228/BS228-1)*100</f>
        <v>-3.8272319490667117</v>
      </c>
      <c r="BX246" s="1564">
        <f t="shared" si="602"/>
        <v>-2.318372498793464</v>
      </c>
      <c r="BY246" s="1564">
        <f t="shared" si="602"/>
        <v>11.49297651435235</v>
      </c>
      <c r="BZ246" s="1564">
        <f t="shared" si="602"/>
        <v>13.337355565306419</v>
      </c>
      <c r="CA246" s="1564">
        <f t="shared" si="602"/>
        <v>19.455728578951327</v>
      </c>
      <c r="CB246" s="1564">
        <f t="shared" si="602"/>
        <v>14.730641330166261</v>
      </c>
      <c r="CC246" s="1564">
        <f t="shared" si="602"/>
        <v>5.672028285443953</v>
      </c>
      <c r="CD246" s="1564">
        <f t="shared" si="602"/>
        <v>6.1331483602458325</v>
      </c>
      <c r="CE246" s="1564">
        <f t="shared" ref="CE246:CL246" si="603">(CE228/CA228-1)*100</f>
        <v>-1.5413196467087609</v>
      </c>
      <c r="CF246" s="1564">
        <f t="shared" si="603"/>
        <v>7.6403266144392745</v>
      </c>
      <c r="CG246" s="1564">
        <f t="shared" si="603"/>
        <v>3.3993088281495387</v>
      </c>
      <c r="CH246" s="1564">
        <f t="shared" si="603"/>
        <v>1.8132628091134473</v>
      </c>
      <c r="CI246" s="1564">
        <f t="shared" si="603"/>
        <v>8.7706674342000071</v>
      </c>
      <c r="CJ246" s="1564">
        <f t="shared" si="603"/>
        <v>7.3595937836590464</v>
      </c>
      <c r="CK246" s="1564">
        <f t="shared" si="603"/>
        <v>5.2549222168206233</v>
      </c>
      <c r="CL246" s="1564">
        <f t="shared" si="603"/>
        <v>4.1202639357477588</v>
      </c>
      <c r="CM246" s="1564">
        <f t="shared" ref="CM246:CT246" si="604">(CM228/CI228-1)*100</f>
        <v>1.5435955485644692</v>
      </c>
      <c r="CN246" s="1564">
        <f t="shared" si="604"/>
        <v>1.2669657317300187</v>
      </c>
      <c r="CO246" s="1564">
        <f t="shared" si="604"/>
        <v>3.1190912633690671</v>
      </c>
      <c r="CP246" s="1564">
        <f t="shared" si="604"/>
        <v>4.72285148969116</v>
      </c>
      <c r="CQ246" s="1564">
        <f t="shared" si="604"/>
        <v>12.258045835565268</v>
      </c>
      <c r="CR246" s="1564">
        <f t="shared" si="604"/>
        <v>12.087974298371007</v>
      </c>
      <c r="CS246" s="1564">
        <f t="shared" si="604"/>
        <v>14.516264486870845</v>
      </c>
      <c r="CT246" s="1564">
        <f t="shared" si="604"/>
        <v>15.360076670317646</v>
      </c>
      <c r="CU246" s="1564">
        <f t="shared" ref="CU246:DB246" si="605">(CU228/CQ228-1)*100</f>
        <v>9.5345266958988937</v>
      </c>
      <c r="CV246" s="1564">
        <f t="shared" si="605"/>
        <v>8.099366872900827</v>
      </c>
      <c r="CW246" s="1564">
        <f t="shared" si="605"/>
        <v>5.4787470129047389</v>
      </c>
      <c r="CX246" s="1564">
        <f t="shared" si="605"/>
        <v>3.1873955840000079</v>
      </c>
      <c r="CY246" s="1564">
        <f t="shared" si="605"/>
        <v>3.9039747199999919</v>
      </c>
      <c r="CZ246" s="1564">
        <f t="shared" si="605"/>
        <v>4.7286094399999756</v>
      </c>
      <c r="DA246" s="1564">
        <f t="shared" si="605"/>
        <v>5.5597888799999717</v>
      </c>
      <c r="DB246" s="1564">
        <f t="shared" si="605"/>
        <v>6.4503677439999851</v>
      </c>
      <c r="DC246"/>
      <c r="DD246"/>
      <c r="DE246"/>
      <c r="DF246"/>
      <c r="DG246"/>
      <c r="DH246"/>
      <c r="DI246"/>
      <c r="DJ246"/>
      <c r="DK246"/>
      <c r="DL246"/>
      <c r="DM246"/>
      <c r="DN246"/>
      <c r="DO246"/>
    </row>
    <row r="247" spans="1:119" s="699" customFormat="1" ht="12.75" customHeight="1">
      <c r="A247" s="664"/>
      <c r="B247" s="664"/>
      <c r="C247" s="944"/>
      <c r="D247" s="674"/>
      <c r="E247" s="3629" t="s">
        <v>1938</v>
      </c>
      <c r="F247" s="3630"/>
      <c r="G247" s="705"/>
      <c r="H247" s="705"/>
      <c r="I247" s="705"/>
      <c r="J247" s="705"/>
      <c r="K247" s="1564">
        <f>(4*K228/J229-1)*100</f>
        <v>11.544200413601757</v>
      </c>
      <c r="L247" s="1564">
        <f>((K228+3*L228)/J229-1)*100</f>
        <v>15.354964529724358</v>
      </c>
      <c r="M247" s="1564">
        <f>((K228+L228+2*M228)/J229-1)*100</f>
        <v>19.649354728933808</v>
      </c>
      <c r="N247" s="1621"/>
      <c r="O247" s="1564">
        <f>(4*O228/N229-1)*100</f>
        <v>17.122046926653578</v>
      </c>
      <c r="P247" s="1564">
        <f>((O228+3*P228)/N229-1)*100</f>
        <v>23.590184642674771</v>
      </c>
      <c r="Q247" s="1564">
        <f>((O228+P228+2*Q228)/N229-1)*100</f>
        <v>24.000860053215778</v>
      </c>
      <c r="R247" s="1621"/>
      <c r="S247" s="1564">
        <f>(4*S228/R229-1)*100</f>
        <v>9.1573367786538462</v>
      </c>
      <c r="T247" s="1564">
        <f>((S228+3*T228)/R229-1)*100</f>
        <v>9.2587284542689616</v>
      </c>
      <c r="U247" s="1564">
        <f>((S228+T228+2*U228)/R229-1)*100</f>
        <v>9.9877217675521166</v>
      </c>
      <c r="V247" s="1621"/>
      <c r="W247" s="1564">
        <f>(4*W228/V229-1)*100</f>
        <v>-13.605125405440122</v>
      </c>
      <c r="X247" s="1564">
        <f>((W228+3*X228)/V229-1)*100</f>
        <v>-11.300138090497459</v>
      </c>
      <c r="Y247" s="1564">
        <f>((W228+X228+2*Y228)/V229-1)*100</f>
        <v>-12.144738109765896</v>
      </c>
      <c r="Z247" s="1621"/>
      <c r="AA247" s="1564">
        <f>(4*AA228/Z229-1)*100</f>
        <v>0.68579155800252423</v>
      </c>
      <c r="AB247" s="1564">
        <f>((AA228+3*AB228)/Z229-1)*100</f>
        <v>1.0680134122614815</v>
      </c>
      <c r="AC247" s="1564">
        <f>((AA228+AB228+2*AC228)/Z229-1)*100</f>
        <v>4.507550146495376</v>
      </c>
      <c r="AD247" s="1621"/>
      <c r="AE247" s="1564">
        <f>(4*AE228/AD229-1)*100</f>
        <v>11.868210198397499</v>
      </c>
      <c r="AF247" s="1564">
        <f>((AE228+3*AF228)/AD229-1)*100</f>
        <v>14.126747363279968</v>
      </c>
      <c r="AG247" s="1564">
        <f>((AE228+AF228+2*AG228)/AD229-1)*100</f>
        <v>16.421804805716512</v>
      </c>
      <c r="AH247" s="1621"/>
      <c r="AI247" s="1564">
        <f>(4*AI228/AH229-1)*100</f>
        <v>11.510279153935166</v>
      </c>
      <c r="AJ247" s="1564">
        <f>((AI228+3*AJ228)/AH229-1)*100</f>
        <v>17.793467619923465</v>
      </c>
      <c r="AK247" s="1564">
        <f>((AI228+AJ228+2*AK228)/AH229-1)*100</f>
        <v>17.312883799578739</v>
      </c>
      <c r="AL247" s="1621"/>
      <c r="AM247" s="1564">
        <f>(4*AM228/AL229-1)*100</f>
        <v>5.8154448705836748</v>
      </c>
      <c r="AN247" s="1564">
        <f>((AM228+3*AN228)/AL229-1)*100</f>
        <v>5.0055370292742873</v>
      </c>
      <c r="AO247" s="1564">
        <f>((AM228+AN228+2*AO228)/AL229-1)*100</f>
        <v>7.1340086214986886</v>
      </c>
      <c r="AP247" s="1621"/>
      <c r="AQ247" s="1564">
        <f>(4*AQ228/AP229-1)*100</f>
        <v>6.2504149910650675</v>
      </c>
      <c r="AR247" s="1564">
        <f>((AQ228+3*AR228)/AP229-1)*100</f>
        <v>10.742711313450325</v>
      </c>
      <c r="AS247" s="1564">
        <f>((AQ228+AR228+2*AS228)/AP229-1)*100</f>
        <v>13.002572222879794</v>
      </c>
      <c r="AT247" s="1621"/>
      <c r="AU247" s="1564">
        <f>(4*AU228/AT229-1)*100</f>
        <v>24.594082207922142</v>
      </c>
      <c r="AV247" s="1564">
        <f>((AU228+3*AV228)/AT229-1)*100</f>
        <v>31.762170134744604</v>
      </c>
      <c r="AW247" s="1564">
        <f>((AU228+AV228+2*AW228)/AT229-1)*100</f>
        <v>33.340464724136694</v>
      </c>
      <c r="AX247" s="1621"/>
      <c r="AY247" s="1564">
        <f>(4*AY228/AX229-1)*100</f>
        <v>10.382015547666889</v>
      </c>
      <c r="AZ247" s="1564">
        <f>((AY228+3*AZ228)/AX229-1)*100</f>
        <v>9.5211806469421401</v>
      </c>
      <c r="BA247" s="1564">
        <f>((AY228+AZ228+2*BA228)/AX229-1)*100</f>
        <v>12.908029965528112</v>
      </c>
      <c r="BB247" s="1621"/>
      <c r="BC247" s="1564">
        <f>(4*BC228/BB229-1)*100</f>
        <v>5.862977972379757</v>
      </c>
      <c r="BD247" s="1564">
        <f>((BC228+3*BD228)/BB229-1)*100</f>
        <v>9.8407648682220739</v>
      </c>
      <c r="BE247" s="1564">
        <f>((BC228+BD228+2*BE228)/BB229-1)*100</f>
        <v>9.9835312765227613</v>
      </c>
      <c r="BF247" s="1621"/>
      <c r="BG247" s="1564">
        <f>(4*BG228/BF229-1)*100</f>
        <v>9.8455480911692419</v>
      </c>
      <c r="BH247" s="1564">
        <f>((BG228+3*BH228)/BF229-1)*100</f>
        <v>13.616021594852956</v>
      </c>
      <c r="BI247" s="1564">
        <f>((BG228+BH228+2*BI228)/BF229-1)*100</f>
        <v>13.422195612023312</v>
      </c>
      <c r="BJ247" s="1621"/>
      <c r="BK247" s="1564">
        <f>(4*BK228/BJ229-1)*100</f>
        <v>-28.78612716763006</v>
      </c>
      <c r="BL247" s="1564">
        <f>((BK228+3*BL228)/BJ229-1)*100</f>
        <v>-29.655235440608642</v>
      </c>
      <c r="BM247" s="1564">
        <f>((BK228+BL228+2*BM228)/BJ229-1)*100</f>
        <v>-27.868582786903971</v>
      </c>
      <c r="BN247" s="1621"/>
      <c r="BO247" s="1564">
        <f>(4*BO228/BN229-1)*100</f>
        <v>5.5069770945407104</v>
      </c>
      <c r="BP247" s="1564">
        <f>((BO228+3*BP228)/BN229-1)*100</f>
        <v>12.476539009585274</v>
      </c>
      <c r="BQ247" s="1564">
        <f>((BO228+BP228+2*BQ228)/BN229-1)*100</f>
        <v>16.010595893463563</v>
      </c>
      <c r="BR247" s="1621"/>
      <c r="BS247" s="1564">
        <f>(4*BS228/BR229-1)*100</f>
        <v>17.028977837986581</v>
      </c>
      <c r="BT247" s="1564">
        <f>((BS228+3*BT228)/BR229-1)*100</f>
        <v>14.784200833985972</v>
      </c>
      <c r="BU247" s="1564">
        <f>((BS228+BT228+2*BU228)/BR229-1)*100</f>
        <v>14.952479732447133</v>
      </c>
      <c r="BV247" s="1621"/>
      <c r="BW247" s="1564">
        <f>(4*BW228/BV229-1)*100</f>
        <v>-2.3878911933030711</v>
      </c>
      <c r="BX247" s="1564">
        <f>((BW228+3*BX228)/BV229-1)*100</f>
        <v>-3.1410200513100395</v>
      </c>
      <c r="BY247" s="1564">
        <f>((BW228+BX228+2*BY228)/BV229-1)*100</f>
        <v>3.8514670179126353</v>
      </c>
      <c r="BZ247" s="1621"/>
      <c r="CA247" s="1564">
        <f>(4*CA228/BZ229-1)*100</f>
        <v>11.418184369669039</v>
      </c>
      <c r="CB247" s="1564">
        <f>((CA228+3*CB228)/BZ229-1)*100</f>
        <v>7.2871670957018964</v>
      </c>
      <c r="CC247" s="1564">
        <f>((CA228+CB228+2*CC228)/BZ229-1)*100</f>
        <v>10.166600155242044</v>
      </c>
      <c r="CD247" s="1621"/>
      <c r="CE247" s="1564">
        <f>(4*CE228/CD229-1)*100</f>
        <v>-1.2611161766273193</v>
      </c>
      <c r="CF247" s="1564">
        <f>((CE228+3*CF228)/CD229-1)*100</f>
        <v>1.6424113962272946</v>
      </c>
      <c r="CG247" s="1564">
        <f>((CE228+CF228+2*CG228)/CD229-1)*100</f>
        <v>2.3007969306918952</v>
      </c>
      <c r="CH247" s="1621"/>
      <c r="CI247" s="1564">
        <f>(4*CI228/CH229-1)*100</f>
        <v>4.5148998609499946</v>
      </c>
      <c r="CJ247" s="1564">
        <f>((CI228+3*CJ228)/CH229-1)*100</f>
        <v>6.5315090382502827</v>
      </c>
      <c r="CK247" s="1564">
        <f>((CI228+CJ228+2*CK228)/CH229-1)*100</f>
        <v>6.1550753251542245</v>
      </c>
      <c r="CL247" s="1621"/>
      <c r="CM247" s="1564">
        <f>(4*CM228/CL229-1)*100</f>
        <v>-0.19254041361872476</v>
      </c>
      <c r="CN247" s="1564">
        <f>((CM228+3*CN228)/CL229-1)*100</f>
        <v>1.5240675517023128</v>
      </c>
      <c r="CO247" s="1564">
        <f>((CM228+CN228+2*CO228)/CL229-1)*100</f>
        <v>2.0926578163099174</v>
      </c>
      <c r="CP247" s="1621"/>
      <c r="CQ247" s="1564">
        <f>(4*CQ228/CP229-1)*100</f>
        <v>9.1290365710344989</v>
      </c>
      <c r="CR247" s="1564">
        <f>((CQ228+3*CR228)/CP229-1)*100</f>
        <v>10.879126292160123</v>
      </c>
      <c r="CS247" s="1564">
        <f>((CQ228+CR228+2*CS228)/CP229-1)*100</f>
        <v>12.720696376673924</v>
      </c>
      <c r="CT247" s="1621"/>
      <c r="CU247" s="1564">
        <f>(4*CU228/CT229-1)*100</f>
        <v>5.2415300546448274</v>
      </c>
      <c r="CV247" s="1564">
        <f>((CU228+3*CV228)/CT229-1)*100</f>
        <v>5.8729792349726972</v>
      </c>
      <c r="CW247" s="1564">
        <f>((CU228+CV228+2*CW228)/CT229-1)*100</f>
        <v>6.2973130841530223</v>
      </c>
      <c r="CX247" s="1621"/>
      <c r="CY247" s="1564">
        <f>(4*CY228/CX229-1)*100</f>
        <v>2.6782916314009642</v>
      </c>
      <c r="CZ247" s="1564">
        <f>((CY228+3*CZ228)/CX229-1)*100</f>
        <v>3.9104311309777762</v>
      </c>
      <c r="DA247" s="1564">
        <f>((CY228+CZ228+2*DA228)/CX229-1)*100</f>
        <v>4.7450002853578033</v>
      </c>
      <c r="DB247" s="1621"/>
      <c r="DC247"/>
      <c r="DD247"/>
      <c r="DE247"/>
      <c r="DF247"/>
      <c r="DG247"/>
      <c r="DH247"/>
      <c r="DI247"/>
      <c r="DJ247"/>
      <c r="DK247"/>
      <c r="DL247"/>
      <c r="DM247"/>
      <c r="DN247"/>
      <c r="DO247"/>
    </row>
    <row r="248" spans="1:119" ht="12.75" customHeight="1">
      <c r="C248" s="1557"/>
      <c r="D248" s="828"/>
      <c r="E248" s="3631" t="s">
        <v>1807</v>
      </c>
      <c r="F248" s="828"/>
      <c r="G248" s="876"/>
      <c r="H248" s="876"/>
      <c r="I248" s="876"/>
      <c r="J248" s="876"/>
      <c r="K248" s="1620"/>
      <c r="L248" s="883">
        <f>(4*L228/(K228+3*L228)-1)*100</f>
        <v>1.1011703835658526</v>
      </c>
      <c r="M248" s="883">
        <f>(4*M228/(K228+L228+2*M228)-1)*100</f>
        <v>4.650793911250406</v>
      </c>
      <c r="N248" s="883">
        <f>+(4*N228/N229-1)*100</f>
        <v>9.7406402021124947</v>
      </c>
      <c r="O248" s="1620"/>
      <c r="P248" s="883">
        <f>(4*P228/(O228+3*P228)-1)*100</f>
        <v>1.7445122455104212</v>
      </c>
      <c r="Q248" s="883">
        <f>(4*Q228/(O228+P228+2*Q228)-1)*100</f>
        <v>2.0699221882653829</v>
      </c>
      <c r="R248" s="883">
        <f>+(4*R228/R229-1)*100</f>
        <v>5.9726969757900594</v>
      </c>
      <c r="S248" s="1620"/>
      <c r="T248" s="883">
        <f>(4*T228/(S228+3*T228)-1)*100</f>
        <v>3.0933203857630431E-2</v>
      </c>
      <c r="U248" s="883">
        <f>(4*U228/(S228+T228+2*U228)-1)*100</f>
        <v>0.69352335536168042</v>
      </c>
      <c r="V248" s="883">
        <f>+(4*V228/V229-1)*100</f>
        <v>-8.895597161116287</v>
      </c>
      <c r="W248" s="1620"/>
      <c r="X248" s="883">
        <f>(4*X228/(W228+3*X228)-1)*100</f>
        <v>0.86621228989598453</v>
      </c>
      <c r="Y248" s="883">
        <f>(4*Y228/(W228+X228+2*Y228)-1)*100</f>
        <v>-8.6814281406211169E-2</v>
      </c>
      <c r="Z248" s="883">
        <f>+(4*Z228/Z229-1)*100</f>
        <v>-2.0812922870297568</v>
      </c>
      <c r="AA248" s="1620"/>
      <c r="AB248" s="883">
        <f>(4*AB228/(AA228+3*AB228)-1)*100</f>
        <v>0.12606093703779742</v>
      </c>
      <c r="AC248" s="883">
        <f>(4*AC228/(AA228+AB228+2*AC228)-1)*100</f>
        <v>3.4130969618815676</v>
      </c>
      <c r="AD248" s="883">
        <f>+(4*AD228/AD229-1)*100</f>
        <v>3.4887865147775088</v>
      </c>
      <c r="AE248" s="1620"/>
      <c r="AF248" s="883">
        <f>(4*AF228/(AE228+3*AF228)-1)*100</f>
        <v>0.65965756408625786</v>
      </c>
      <c r="AG248" s="883">
        <f>(4*AG228/(AE228+AF228+2*AG228)-1)*100</f>
        <v>2.6179830910114887</v>
      </c>
      <c r="AH248" s="883">
        <f>+(4*AH228/AH229-1)*100</f>
        <v>8.2188732979323156</v>
      </c>
      <c r="AI248" s="1620"/>
      <c r="AJ248" s="883">
        <f>(4*AJ228/(AI228+3*AJ228)-1)*100</f>
        <v>1.7780240259903879</v>
      </c>
      <c r="AK248" s="883">
        <f>(4*AK228/(AI228+AJ228+2*AK228)-1)*100</f>
        <v>1.3756479959539991</v>
      </c>
      <c r="AL248" s="883">
        <f>+(4*AL228/AL229-1)*100</f>
        <v>4.4640343358380408</v>
      </c>
      <c r="AM248" s="1620"/>
      <c r="AN248" s="883">
        <f>(4*AN228/(AM228+3*AN228)-1)*100</f>
        <v>-0.25710004260173225</v>
      </c>
      <c r="AO248" s="883">
        <f>(4*AO228/(AM228+AN228+2*AO228)-1)*100</f>
        <v>1.7347454237001125</v>
      </c>
      <c r="AP248" s="883">
        <f>+(4*AP228/AP229-1)*100</f>
        <v>5.1118238532533944</v>
      </c>
      <c r="AQ248" s="1620"/>
      <c r="AR248" s="883">
        <f>(4*AR228/(AQ228+3*AR228)-1)*100</f>
        <v>1.352172156254472</v>
      </c>
      <c r="AS248" s="883">
        <f>(4*AS228/(AQ228+AR228+2*AS228)-1)*100</f>
        <v>3.3249623818124796</v>
      </c>
      <c r="AT248" s="883">
        <f>+(4*AT228/AT229-1)*100</f>
        <v>5.0946970658892532</v>
      </c>
      <c r="AU248" s="1620"/>
      <c r="AV248" s="883">
        <f>(4*AV228/(AU228+3*AV228)-1)*100</f>
        <v>1.8133904745426532</v>
      </c>
      <c r="AW248" s="883">
        <f>(4*AW228/(AU228+AV228+2*AW228)-1)*100</f>
        <v>2.9755837733690171</v>
      </c>
      <c r="AX248" s="883">
        <f>+(4*AX228/AX229-1)*100</f>
        <v>10.045641581984732</v>
      </c>
      <c r="AY248" s="1620"/>
      <c r="AZ248" s="883">
        <f>(4*AZ228/(AY228+3*AZ228)-1)*100</f>
        <v>-0.26199951937447841</v>
      </c>
      <c r="BA248" s="883">
        <f>(4*BA228/(AY228+AZ228+2*BA228)-1)*100</f>
        <v>2.7455127439776517</v>
      </c>
      <c r="BB248" s="883">
        <f>+(4*BB228/BB229-1)*100</f>
        <v>6.1305244698251382</v>
      </c>
      <c r="BC248" s="1620"/>
      <c r="BD248" s="883">
        <f>(4*BD228/(BC228+3*BD228)-1)*100</f>
        <v>1.2071374110254274</v>
      </c>
      <c r="BE248" s="883">
        <f>(4*BE228/(BC228+BD228+2*BE228)-1)*100</f>
        <v>1.3353775392870748</v>
      </c>
      <c r="BF248" s="883">
        <f>+(4*BF228/BF229-1)*100</f>
        <v>3.470601367944659</v>
      </c>
      <c r="BG248" s="1620"/>
      <c r="BH248" s="883">
        <f>(4*BH228/(BG228+3*BH228)-1)*100</f>
        <v>1.106203582545473</v>
      </c>
      <c r="BI248" s="883">
        <f>(4*BI228/(BG228+BH228+2*BI228)-1)*100</f>
        <v>0.93720502646095216</v>
      </c>
      <c r="BJ248" s="883">
        <f>+(4*BJ228/BJ229-1)*100</f>
        <v>-5.4746510087047788</v>
      </c>
      <c r="BK248" s="1620"/>
      <c r="BL248" s="883">
        <f>(4*BL228/(BK228+3*BL228)-1)*100</f>
        <v>-0.41183272056435349</v>
      </c>
      <c r="BM248" s="883">
        <f>(4*BM228/(BK228+BL228+2*BM228)-1)*100</f>
        <v>2.0753091425096404</v>
      </c>
      <c r="BN248" s="883">
        <f>+(4*BN228/BN229-1)*100</f>
        <v>4.788866779237555</v>
      </c>
      <c r="BO248" s="1620"/>
      <c r="BP248" s="883">
        <f>(4*BP228/(BO228+3*BP228)-1)*100</f>
        <v>2.065486123125515</v>
      </c>
      <c r="BQ248" s="883">
        <f>(4*BQ228/(BO228+BP228+2*BQ228)-1)*100</f>
        <v>5.0488872536022855</v>
      </c>
      <c r="BR248" s="883">
        <f>+(4*BR228/BR229-1)*100</f>
        <v>11.540334017738063</v>
      </c>
      <c r="BS248" s="1620"/>
      <c r="BT248" s="883">
        <f>(4*BT228/(BS228+3*BT228)-1)*100</f>
        <v>-0.65188326955880616</v>
      </c>
      <c r="BU248" s="883">
        <f>(4*BU228/(BS228+BT228+2*BU228)-1)*100</f>
        <v>-0.50453900970409693</v>
      </c>
      <c r="BV248" s="883">
        <f>+(4*BV228/BV229-1)*100</f>
        <v>0.40983794649620542</v>
      </c>
      <c r="BW248" s="1620"/>
      <c r="BX248" s="883">
        <f>(4*BX228/(BW228+3*BX228)-1)*100</f>
        <v>-0.2591839732381862</v>
      </c>
      <c r="BY248" s="883">
        <f>(4*BY228/(BW228+BX228+2*BY228)-1)*100</f>
        <v>6.4914288744625237</v>
      </c>
      <c r="BZ248" s="883">
        <f>+(4*BZ228/BZ229-1)*100</f>
        <v>8.7413553420368384</v>
      </c>
      <c r="CA248" s="1620"/>
      <c r="CB248" s="883">
        <f>(4*CB228/(CA228+3*CB228)-1)*100</f>
        <v>-1.2834766685196675</v>
      </c>
      <c r="CC248" s="883">
        <f>(4*CC228/(CA228+CB228+2*CC228)-1)*100</f>
        <v>1.3637774964770921</v>
      </c>
      <c r="CD248" s="883">
        <f>+(4*CD228/CD229-1)*100</f>
        <v>3.8780802614595711</v>
      </c>
      <c r="CE248" s="1620"/>
      <c r="CF248" s="883">
        <f>(4*CF228/(CE228+3*CF228)-1)*100</f>
        <v>0.9522034266896684</v>
      </c>
      <c r="CG248" s="883">
        <f>(4*CG228/(CE228+CF228+2*CG228)-1)*100</f>
        <v>1.5896533629657039</v>
      </c>
      <c r="CH248" s="883">
        <f>+(4*CH228/CH229-1)*100</f>
        <v>2.9215865528658957</v>
      </c>
      <c r="CI248" s="1620"/>
      <c r="CJ248" s="883">
        <f>(4*CJ228/(CI228+3*CJ228)-1)*100</f>
        <v>0.63098989695034025</v>
      </c>
      <c r="CK248" s="883">
        <f>(4*CK228/(CI228+CJ228+2*CK228)-1)*100</f>
        <v>0.27862007077672502</v>
      </c>
      <c r="CL248" s="883">
        <f>+(4*CL228/CL229-1)*100</f>
        <v>0.7799151088232481</v>
      </c>
      <c r="CM248" s="1620"/>
      <c r="CN248" s="883">
        <f>(4*CN228/(CM228+3*CN228)-1)*100</f>
        <v>0.56361281507522065</v>
      </c>
      <c r="CO248" s="883">
        <f>(4*CO228/(CM228+CN228+2*CO228)-1)*100</f>
        <v>1.117409365291655</v>
      </c>
      <c r="CP248" s="883">
        <f>+(4*CP228/CP229-1)*100</f>
        <v>2.7957806441625044</v>
      </c>
      <c r="CQ248" s="1620"/>
      <c r="CR248" s="883">
        <f>(4*CR228/(CQ228+3*CR228)-1)*100</f>
        <v>0.5261253942767441</v>
      </c>
      <c r="CS248" s="883">
        <f>(4*CS228/(CQ228+CR228+2*CS228)-1)*100</f>
        <v>2.1512760325625546</v>
      </c>
      <c r="CT248" s="883">
        <f>+(4*CT228/CT229-1)*100</f>
        <v>4.4062798161158989</v>
      </c>
      <c r="CU248" s="1620"/>
      <c r="CV248" s="883">
        <f>(4*CV228/(CU228+3*CV228)-1)*100</f>
        <v>0.19880715705764551</v>
      </c>
      <c r="CW248" s="883">
        <f>(4*CW228/(CU228+CV228+2*CW228)-1)*100</f>
        <v>0.59720880130529341</v>
      </c>
      <c r="CX248" s="883">
        <f>+(4*CX228/CX229-1)*100</f>
        <v>1.160878454582237</v>
      </c>
      <c r="CY248" s="1620"/>
      <c r="CZ248" s="883">
        <f>(4*CZ228/(CY228+3*CZ228)-1)*100</f>
        <v>0.39525691699604515</v>
      </c>
      <c r="DA248" s="883">
        <f>(4*DA228/(CY228+CZ228+2*DA228)-1)*100</f>
        <v>1.1888704162614783</v>
      </c>
      <c r="DB248" s="883">
        <f>+(4*DB228/DB229-1)*100</f>
        <v>2.3934492442397204</v>
      </c>
    </row>
    <row r="249" spans="1:119" ht="30" customHeight="1">
      <c r="E249" s="599"/>
      <c r="F249" s="3617"/>
      <c r="BN249" s="1312">
        <f>(BM246+BN246)/2</f>
        <v>-23.943970420627139</v>
      </c>
      <c r="BR249" s="1312">
        <f>(BQ246+BR246)/2</f>
        <v>23.375754012209129</v>
      </c>
      <c r="BV249" s="1312"/>
      <c r="CM249" s="557"/>
      <c r="CN249" s="557"/>
      <c r="CO249" s="557"/>
      <c r="CP249" s="557"/>
      <c r="CQ249" s="3721"/>
      <c r="CR249" s="557"/>
      <c r="CS249" s="557"/>
      <c r="CT249" s="557"/>
      <c r="CU249" s="557"/>
      <c r="CV249" s="557"/>
      <c r="CW249" s="557"/>
      <c r="CX249" s="557"/>
      <c r="CY249" s="557"/>
      <c r="CZ249" s="557"/>
      <c r="DA249" s="557"/>
      <c r="DB249" s="557"/>
    </row>
    <row r="250" spans="1:119" ht="30" customHeight="1">
      <c r="E250" s="599"/>
      <c r="F250" s="3617"/>
      <c r="BW250" s="1693"/>
      <c r="CL250" s="3162">
        <f t="shared" ref="CL250:DB250" si="606">CL228/CL171</f>
        <v>1.032325863651165</v>
      </c>
      <c r="CM250" s="3162">
        <f t="shared" si="606"/>
        <v>1.0159138709535085</v>
      </c>
      <c r="CN250" s="3162">
        <f t="shared" si="606"/>
        <v>1.0325291169206936</v>
      </c>
      <c r="CO250" s="3162">
        <f t="shared" si="606"/>
        <v>1.0236850023642015</v>
      </c>
      <c r="CP250" s="3162">
        <f t="shared" si="606"/>
        <v>1.0214956015831502</v>
      </c>
      <c r="CQ250" s="3162">
        <f>CQ228/CQ171</f>
        <v>1.0348463211840542</v>
      </c>
      <c r="CR250" s="3162">
        <f t="shared" si="606"/>
        <v>1.0183749308850572</v>
      </c>
      <c r="CS250" s="3162">
        <f t="shared" si="606"/>
        <v>1.0234038827179026</v>
      </c>
      <c r="CT250" s="3162">
        <f t="shared" si="606"/>
        <v>1.0273357962373655</v>
      </c>
      <c r="CU250" s="3162">
        <f t="shared" si="606"/>
        <v>1.0314287675371159</v>
      </c>
      <c r="CV250" s="3162">
        <f t="shared" si="606"/>
        <v>1.035538045495431</v>
      </c>
      <c r="CW250" s="3162">
        <f t="shared" si="606"/>
        <v>1.0381127298452455</v>
      </c>
      <c r="CX250" s="3162">
        <f t="shared" si="606"/>
        <v>1.0365694502666849</v>
      </c>
      <c r="CY250" s="3162">
        <f t="shared" si="606"/>
        <v>1.0382060312025705</v>
      </c>
      <c r="CZ250" s="3162">
        <f t="shared" si="606"/>
        <v>1.0412806788764184</v>
      </c>
      <c r="DA250" s="3162">
        <f t="shared" si="606"/>
        <v>1.0443644321208698</v>
      </c>
      <c r="DB250" s="3162">
        <f t="shared" si="606"/>
        <v>1.047457317902077</v>
      </c>
    </row>
    <row r="251" spans="1:119" ht="30" customHeight="1">
      <c r="C251" s="3768" t="s">
        <v>1269</v>
      </c>
      <c r="D251" s="3768"/>
      <c r="E251" s="3768"/>
      <c r="F251" s="3768"/>
      <c r="CM251" s="557"/>
      <c r="CN251" s="557"/>
      <c r="CO251" s="557"/>
      <c r="CP251" s="557"/>
      <c r="CQ251" s="557"/>
      <c r="CR251" s="557"/>
      <c r="CS251" s="557"/>
      <c r="CT251" s="557"/>
      <c r="CU251" s="557"/>
      <c r="CV251" s="557"/>
      <c r="CW251" s="557"/>
      <c r="CX251" s="557"/>
      <c r="CY251" s="557"/>
      <c r="CZ251" s="557"/>
      <c r="DA251" s="557"/>
      <c r="DB251" s="557"/>
    </row>
    <row r="252" spans="1:119">
      <c r="E252" s="599"/>
      <c r="F252" s="3617"/>
      <c r="Z252" s="1693"/>
      <c r="AD252" s="1693"/>
      <c r="AH252" s="1693"/>
      <c r="AL252" s="1693"/>
      <c r="AP252" s="1693"/>
      <c r="AT252" s="1693"/>
      <c r="AX252" s="1693"/>
      <c r="BB252" s="1693"/>
      <c r="BF252" s="1693"/>
      <c r="BJ252" s="1693"/>
      <c r="BX252" s="3056"/>
      <c r="CM252" s="557"/>
      <c r="CN252" s="557"/>
      <c r="CO252" s="557"/>
      <c r="CP252" s="557"/>
      <c r="CQ252" s="557"/>
      <c r="CR252" s="557"/>
      <c r="CS252" s="557"/>
      <c r="CT252" s="557"/>
      <c r="CU252" s="557"/>
      <c r="CV252" s="557"/>
      <c r="CW252" s="557"/>
      <c r="CX252" s="557"/>
      <c r="CY252" s="557"/>
      <c r="CZ252" s="557"/>
      <c r="DA252" s="557"/>
      <c r="DB252" s="557"/>
    </row>
    <row r="253" spans="1:119">
      <c r="E253" s="599"/>
      <c r="F253" s="3617"/>
      <c r="G253" s="3763">
        <f ca="1">OFFSET(InputY!$G$3,0,(COLUMN()-7)/4)</f>
        <v>1995</v>
      </c>
      <c r="H253" s="3764"/>
      <c r="I253" s="3764"/>
      <c r="J253" s="3765"/>
      <c r="K253" s="3763">
        <f ca="1">OFFSET(InputY!$G$3,0,(COLUMN()-7)/4)</f>
        <v>1996</v>
      </c>
      <c r="L253" s="3764"/>
      <c r="M253" s="3764"/>
      <c r="N253" s="3765"/>
      <c r="O253" s="3763">
        <f ca="1">OFFSET(InputY!$G$3,0,(COLUMN()-7)/4)</f>
        <v>1997</v>
      </c>
      <c r="P253" s="3764"/>
      <c r="Q253" s="3764"/>
      <c r="R253" s="3765"/>
      <c r="S253" s="3763">
        <f ca="1">OFFSET(InputY!$G$3,0,(COLUMN()-7)/4)</f>
        <v>1998</v>
      </c>
      <c r="T253" s="3764"/>
      <c r="U253" s="3764"/>
      <c r="V253" s="3765"/>
      <c r="W253" s="3763">
        <f ca="1">OFFSET(InputY!$G$3,0,(COLUMN()-7)/4)</f>
        <v>1999</v>
      </c>
      <c r="X253" s="3764"/>
      <c r="Y253" s="3764"/>
      <c r="Z253" s="3765"/>
      <c r="AA253" s="3763">
        <f ca="1">OFFSET(InputY!$G$3,0,(COLUMN()-7)/4)</f>
        <v>2000</v>
      </c>
      <c r="AB253" s="3764"/>
      <c r="AC253" s="3764"/>
      <c r="AD253" s="3765"/>
      <c r="AE253" s="3763">
        <f ca="1">OFFSET(InputY!$G$3,0,(COLUMN()-7)/4)</f>
        <v>2001</v>
      </c>
      <c r="AF253" s="3764"/>
      <c r="AG253" s="3764"/>
      <c r="AH253" s="3765"/>
      <c r="AI253" s="3763">
        <f ca="1">OFFSET(InputY!$G$3,0,(COLUMN()-7)/4)</f>
        <v>2002</v>
      </c>
      <c r="AJ253" s="3764"/>
      <c r="AK253" s="3764"/>
      <c r="AL253" s="3765"/>
      <c r="AM253" s="3763">
        <f ca="1">OFFSET(InputY!$G$3,0,(COLUMN()-7)/4)</f>
        <v>2003</v>
      </c>
      <c r="AN253" s="3764"/>
      <c r="AO253" s="3764"/>
      <c r="AP253" s="3765"/>
      <c r="AQ253" s="3763">
        <f ca="1">OFFSET(InputY!$G$3,0,(COLUMN()-7)/4)</f>
        <v>2004</v>
      </c>
      <c r="AR253" s="3764"/>
      <c r="AS253" s="3764"/>
      <c r="AT253" s="3765"/>
      <c r="AU253" s="3763">
        <f ca="1">OFFSET(InputY!$G$3,0,(COLUMN()-7)/4)</f>
        <v>2005</v>
      </c>
      <c r="AV253" s="3764"/>
      <c r="AW253" s="3764"/>
      <c r="AX253" s="3765"/>
      <c r="AY253" s="3763">
        <f ca="1">OFFSET(InputY!$G$3,0,(COLUMN()-7)/4)</f>
        <v>2006</v>
      </c>
      <c r="AZ253" s="3764"/>
      <c r="BA253" s="3764"/>
      <c r="BB253" s="3765"/>
      <c r="BC253" s="3763">
        <f ca="1">OFFSET(InputY!$G$3,0,(COLUMN()-7)/4)</f>
        <v>2007</v>
      </c>
      <c r="BD253" s="3764"/>
      <c r="BE253" s="3764"/>
      <c r="BF253" s="3765"/>
      <c r="BG253" s="3763">
        <f ca="1">OFFSET(InputY!$G$3,0,(COLUMN()-7)/4)</f>
        <v>2008</v>
      </c>
      <c r="BH253" s="3764"/>
      <c r="BI253" s="3764"/>
      <c r="BJ253" s="3765"/>
      <c r="BK253" s="3763">
        <f ca="1">OFFSET(InputY!$G$3,0,(COLUMN()-7)/4)</f>
        <v>2009</v>
      </c>
      <c r="BL253" s="3764"/>
      <c r="BM253" s="3764"/>
      <c r="BN253" s="3765"/>
      <c r="BO253" s="3763">
        <f ca="1">OFFSET(InputY!$G$3,0,(COLUMN()-7)/4)</f>
        <v>2010</v>
      </c>
      <c r="BP253" s="3764"/>
      <c r="BQ253" s="3764"/>
      <c r="BR253" s="3765"/>
      <c r="BS253" s="3763">
        <f ca="1">OFFSET(InputY!$G$3,0,(COLUMN()-7)/4)</f>
        <v>2011</v>
      </c>
      <c r="BT253" s="3764"/>
      <c r="BU253" s="3764"/>
      <c r="BV253" s="3765"/>
      <c r="BW253" s="3763">
        <f ca="1">OFFSET(InputY!$G$3,0,(COLUMN()-7)/4)</f>
        <v>2012</v>
      </c>
      <c r="BX253" s="3764"/>
      <c r="BY253" s="3764"/>
      <c r="BZ253" s="3765"/>
      <c r="CA253" s="3763">
        <f ca="1">OFFSET(InputY!$G$3,0,(COLUMN()-7)/4)</f>
        <v>2013</v>
      </c>
      <c r="CB253" s="3764"/>
      <c r="CC253" s="3764"/>
      <c r="CD253" s="3765"/>
      <c r="CE253" s="3763">
        <f ca="1">OFFSET(InputY!$G$3,0,(COLUMN()-7)/4)</f>
        <v>2014</v>
      </c>
      <c r="CF253" s="3764"/>
      <c r="CG253" s="3764"/>
      <c r="CH253" s="3765"/>
      <c r="CI253" s="3763">
        <f ca="1">OFFSET(InputY!$G$3,0,(COLUMN()-7)/4)</f>
        <v>2015</v>
      </c>
      <c r="CJ253" s="3764"/>
      <c r="CK253" s="3764"/>
      <c r="CL253" s="3765"/>
      <c r="CM253" s="3763">
        <f ca="1">OFFSET(InputY!$G$3,0,(COLUMN()-7)/4)</f>
        <v>2016</v>
      </c>
      <c r="CN253" s="3764"/>
      <c r="CO253" s="3764"/>
      <c r="CP253" s="3765"/>
      <c r="CQ253" s="3763">
        <f ca="1">OFFSET(InputY!$G$3,0,(COLUMN()-7)/4)</f>
        <v>2017</v>
      </c>
      <c r="CR253" s="3764"/>
      <c r="CS253" s="3764"/>
      <c r="CT253" s="3765"/>
      <c r="CU253" s="3763">
        <f ca="1">OFFSET(InputY!$G$3,0,(COLUMN()-7)/4)</f>
        <v>2018</v>
      </c>
      <c r="CV253" s="3764"/>
      <c r="CW253" s="3764"/>
      <c r="CX253" s="3765"/>
      <c r="CY253" s="3763">
        <f ca="1">OFFSET(InputY!$G$3,0,(COLUMN()-7)/4)</f>
        <v>2019</v>
      </c>
      <c r="CZ253" s="3764"/>
      <c r="DA253" s="3764"/>
      <c r="DB253" s="3765"/>
    </row>
    <row r="254" spans="1:119" s="699" customFormat="1" ht="12.75" customHeight="1">
      <c r="A254" s="664"/>
      <c r="B254" s="664"/>
      <c r="C254" s="666"/>
      <c r="D254" s="695"/>
      <c r="E254" s="3618" t="s">
        <v>1892</v>
      </c>
      <c r="F254" s="3619"/>
      <c r="G254" s="1566" t="s">
        <v>1842</v>
      </c>
      <c r="H254" s="1567" t="s">
        <v>1843</v>
      </c>
      <c r="I254" s="1567" t="s">
        <v>1844</v>
      </c>
      <c r="J254" s="1568" t="s">
        <v>1845</v>
      </c>
      <c r="K254" s="1566" t="s">
        <v>1842</v>
      </c>
      <c r="L254" s="1567" t="s">
        <v>1843</v>
      </c>
      <c r="M254" s="1567" t="s">
        <v>1844</v>
      </c>
      <c r="N254" s="1568" t="s">
        <v>1845</v>
      </c>
      <c r="O254" s="1566" t="s">
        <v>1842</v>
      </c>
      <c r="P254" s="1567" t="s">
        <v>1843</v>
      </c>
      <c r="Q254" s="1567" t="s">
        <v>1844</v>
      </c>
      <c r="R254" s="1568" t="s">
        <v>1845</v>
      </c>
      <c r="S254" s="1566" t="s">
        <v>1842</v>
      </c>
      <c r="T254" s="1567" t="s">
        <v>1843</v>
      </c>
      <c r="U254" s="1567" t="s">
        <v>1844</v>
      </c>
      <c r="V254" s="1568" t="s">
        <v>1845</v>
      </c>
      <c r="W254" s="1566" t="s">
        <v>1842</v>
      </c>
      <c r="X254" s="1567" t="s">
        <v>1843</v>
      </c>
      <c r="Y254" s="1567" t="s">
        <v>1844</v>
      </c>
      <c r="Z254" s="1568" t="s">
        <v>1845</v>
      </c>
      <c r="AA254" s="1566" t="s">
        <v>1842</v>
      </c>
      <c r="AB254" s="1567" t="s">
        <v>1843</v>
      </c>
      <c r="AC254" s="1567" t="s">
        <v>1844</v>
      </c>
      <c r="AD254" s="1568" t="s">
        <v>1845</v>
      </c>
      <c r="AE254" s="1566" t="s">
        <v>1842</v>
      </c>
      <c r="AF254" s="1567" t="s">
        <v>1843</v>
      </c>
      <c r="AG254" s="1567" t="s">
        <v>1844</v>
      </c>
      <c r="AH254" s="1568" t="s">
        <v>1845</v>
      </c>
      <c r="AI254" s="1566" t="s">
        <v>1842</v>
      </c>
      <c r="AJ254" s="1567" t="s">
        <v>1843</v>
      </c>
      <c r="AK254" s="1567" t="s">
        <v>1844</v>
      </c>
      <c r="AL254" s="1568" t="s">
        <v>1845</v>
      </c>
      <c r="AM254" s="1566" t="s">
        <v>1842</v>
      </c>
      <c r="AN254" s="1567" t="s">
        <v>1843</v>
      </c>
      <c r="AO254" s="1567" t="s">
        <v>1844</v>
      </c>
      <c r="AP254" s="1568" t="s">
        <v>1845</v>
      </c>
      <c r="AQ254" s="1566" t="s">
        <v>1842</v>
      </c>
      <c r="AR254" s="1567" t="s">
        <v>1843</v>
      </c>
      <c r="AS254" s="1567" t="s">
        <v>1844</v>
      </c>
      <c r="AT254" s="1568" t="s">
        <v>1845</v>
      </c>
      <c r="AU254" s="1566" t="s">
        <v>1842</v>
      </c>
      <c r="AV254" s="1567" t="s">
        <v>1843</v>
      </c>
      <c r="AW254" s="1567" t="s">
        <v>1844</v>
      </c>
      <c r="AX254" s="1568" t="s">
        <v>1845</v>
      </c>
      <c r="AY254" s="1566" t="s">
        <v>1842</v>
      </c>
      <c r="AZ254" s="1567" t="s">
        <v>1843</v>
      </c>
      <c r="BA254" s="1567" t="s">
        <v>1844</v>
      </c>
      <c r="BB254" s="1568" t="s">
        <v>1845</v>
      </c>
      <c r="BC254" s="1566" t="s">
        <v>1842</v>
      </c>
      <c r="BD254" s="1567" t="s">
        <v>1843</v>
      </c>
      <c r="BE254" s="1567" t="s">
        <v>1844</v>
      </c>
      <c r="BF254" s="1568" t="s">
        <v>1845</v>
      </c>
      <c r="BG254" s="1566" t="s">
        <v>1842</v>
      </c>
      <c r="BH254" s="1567" t="s">
        <v>1843</v>
      </c>
      <c r="BI254" s="1567" t="s">
        <v>1844</v>
      </c>
      <c r="BJ254" s="1568" t="s">
        <v>1845</v>
      </c>
      <c r="BK254" s="1566" t="s">
        <v>1842</v>
      </c>
      <c r="BL254" s="1567" t="s">
        <v>1843</v>
      </c>
      <c r="BM254" s="1567" t="s">
        <v>1844</v>
      </c>
      <c r="BN254" s="1568" t="s">
        <v>1845</v>
      </c>
      <c r="BO254" s="1566" t="s">
        <v>1842</v>
      </c>
      <c r="BP254" s="1567" t="s">
        <v>1843</v>
      </c>
      <c r="BQ254" s="1567" t="s">
        <v>1844</v>
      </c>
      <c r="BR254" s="1568" t="s">
        <v>1845</v>
      </c>
      <c r="BS254" s="1566" t="s">
        <v>1842</v>
      </c>
      <c r="BT254" s="1567" t="s">
        <v>1843</v>
      </c>
      <c r="BU254" s="1567" t="s">
        <v>1844</v>
      </c>
      <c r="BV254" s="1568" t="s">
        <v>1845</v>
      </c>
      <c r="BW254" s="1566" t="s">
        <v>1842</v>
      </c>
      <c r="BX254" s="1567" t="s">
        <v>1843</v>
      </c>
      <c r="BY254" s="1567" t="s">
        <v>1844</v>
      </c>
      <c r="BZ254" s="1568" t="s">
        <v>1845</v>
      </c>
      <c r="CA254" s="1566" t="s">
        <v>1842</v>
      </c>
      <c r="CB254" s="1567" t="s">
        <v>1843</v>
      </c>
      <c r="CC254" s="1567" t="s">
        <v>1844</v>
      </c>
      <c r="CD254" s="1568" t="s">
        <v>1845</v>
      </c>
      <c r="CE254" s="1566" t="s">
        <v>1842</v>
      </c>
      <c r="CF254" s="1567" t="s">
        <v>1843</v>
      </c>
      <c r="CG254" s="1567" t="s">
        <v>1844</v>
      </c>
      <c r="CH254" s="1568" t="s">
        <v>1845</v>
      </c>
      <c r="CI254" s="1566" t="s">
        <v>1842</v>
      </c>
      <c r="CJ254" s="1567" t="s">
        <v>1843</v>
      </c>
      <c r="CK254" s="1567" t="s">
        <v>1844</v>
      </c>
      <c r="CL254" s="1568" t="s">
        <v>1845</v>
      </c>
      <c r="CM254" s="1566" t="s">
        <v>1842</v>
      </c>
      <c r="CN254" s="1567" t="s">
        <v>1843</v>
      </c>
      <c r="CO254" s="1567" t="s">
        <v>1844</v>
      </c>
      <c r="CP254" s="1568" t="s">
        <v>1845</v>
      </c>
      <c r="CQ254" s="1566" t="s">
        <v>1842</v>
      </c>
      <c r="CR254" s="1567" t="s">
        <v>1843</v>
      </c>
      <c r="CS254" s="1567" t="s">
        <v>1844</v>
      </c>
      <c r="CT254" s="1568" t="s">
        <v>1845</v>
      </c>
      <c r="CU254" s="1566" t="s">
        <v>1842</v>
      </c>
      <c r="CV254" s="1567" t="s">
        <v>1843</v>
      </c>
      <c r="CW254" s="1567" t="s">
        <v>1844</v>
      </c>
      <c r="CX254" s="1568" t="s">
        <v>1845</v>
      </c>
      <c r="CY254" s="1566" t="s">
        <v>1842</v>
      </c>
      <c r="CZ254" s="1567" t="s">
        <v>1843</v>
      </c>
      <c r="DA254" s="1567" t="s">
        <v>1844</v>
      </c>
      <c r="DB254" s="1568" t="s">
        <v>1845</v>
      </c>
      <c r="DC254"/>
      <c r="DD254"/>
      <c r="DE254"/>
      <c r="DF254"/>
      <c r="DG254"/>
      <c r="DH254"/>
      <c r="DI254"/>
      <c r="DJ254"/>
      <c r="DK254"/>
      <c r="DL254"/>
      <c r="DM254"/>
      <c r="DN254"/>
      <c r="DO254"/>
    </row>
    <row r="255" spans="1:119" s="699" customFormat="1" ht="12.75" customHeight="1">
      <c r="A255" s="664"/>
      <c r="B255" s="664"/>
      <c r="C255" s="1561" t="s">
        <v>1767</v>
      </c>
      <c r="D255" s="668"/>
      <c r="E255" s="3620" t="str">
        <f>E201</f>
        <v xml:space="preserve">Final demand                                                                    </v>
      </c>
      <c r="F255" s="3621"/>
      <c r="G255" s="780">
        <f>G201</f>
        <v>3.9026587117701572</v>
      </c>
      <c r="H255" s="780">
        <f t="shared" ref="H255:AX255" si="607">H201</f>
        <v>3.9226714550509731</v>
      </c>
      <c r="I255" s="780">
        <f t="shared" si="607"/>
        <v>4.0318002780352176</v>
      </c>
      <c r="J255" s="780">
        <f t="shared" si="607"/>
        <v>4.1250868860055618</v>
      </c>
      <c r="K255" s="780">
        <f t="shared" si="607"/>
        <v>4.2012859128822981</v>
      </c>
      <c r="L255" s="780">
        <f t="shared" si="607"/>
        <v>4.303724513438369</v>
      </c>
      <c r="M255" s="780">
        <f t="shared" si="607"/>
        <v>4.4868802131603331</v>
      </c>
      <c r="N255" s="780">
        <f t="shared" si="607"/>
        <v>4.6159059314179798</v>
      </c>
      <c r="O255" s="780">
        <f>O201</f>
        <v>4.7981927710843371</v>
      </c>
      <c r="P255" s="780">
        <f>P201</f>
        <v>4.9218894810009273</v>
      </c>
      <c r="Q255" s="780">
        <f>Q201</f>
        <v>4.9690685820203901</v>
      </c>
      <c r="R255" s="780">
        <f>R201</f>
        <v>5.2321304448563488</v>
      </c>
      <c r="S255" s="780">
        <f t="shared" si="607"/>
        <v>5.3630097312326237</v>
      </c>
      <c r="T255" s="780">
        <f t="shared" si="607"/>
        <v>5.3787940222428174</v>
      </c>
      <c r="U255" s="780">
        <f t="shared" si="607"/>
        <v>5.3551031047265987</v>
      </c>
      <c r="V255" s="780">
        <f t="shared" si="607"/>
        <v>5.1931186283595929</v>
      </c>
      <c r="W255" s="780">
        <f t="shared" si="607"/>
        <v>5.0373609823911032</v>
      </c>
      <c r="X255" s="780">
        <f t="shared" si="607"/>
        <v>5.072376042632067</v>
      </c>
      <c r="Y255" s="780">
        <f t="shared" si="607"/>
        <v>4.9862720111214092</v>
      </c>
      <c r="Z255" s="780">
        <f t="shared" si="607"/>
        <v>4.9647532437442079</v>
      </c>
      <c r="AA255" s="780">
        <f t="shared" si="607"/>
        <v>5.1329645505097314</v>
      </c>
      <c r="AB255" s="780">
        <f t="shared" si="607"/>
        <v>5.1652571825764602</v>
      </c>
      <c r="AC255" s="780">
        <f t="shared" si="607"/>
        <v>5.3011179332715477</v>
      </c>
      <c r="AD255" s="780">
        <f t="shared" si="607"/>
        <v>5.3512221964782212</v>
      </c>
      <c r="AE255" s="780">
        <f t="shared" si="607"/>
        <v>5.625926784059315</v>
      </c>
      <c r="AF255" s="780">
        <f t="shared" si="607"/>
        <v>5.682055143651529</v>
      </c>
      <c r="AG255" s="780">
        <f t="shared" si="607"/>
        <v>5.7937036607970347</v>
      </c>
      <c r="AH255" s="780">
        <f t="shared" si="607"/>
        <v>6.0721443466172387</v>
      </c>
      <c r="AI255" s="780">
        <f t="shared" si="607"/>
        <v>6.1962465245597773</v>
      </c>
      <c r="AJ255" s="780">
        <f t="shared" si="607"/>
        <v>6.4252780352177945</v>
      </c>
      <c r="AK255" s="780">
        <f t="shared" si="607"/>
        <v>6.4700243280815579</v>
      </c>
      <c r="AL255" s="780">
        <f t="shared" si="607"/>
        <v>6.6378301668211313</v>
      </c>
      <c r="AM255" s="780">
        <f t="shared" si="607"/>
        <v>6.9085959221501394</v>
      </c>
      <c r="AN255" s="780">
        <f t="shared" si="607"/>
        <v>6.8685414735866539</v>
      </c>
      <c r="AO255" s="780">
        <f t="shared" si="607"/>
        <v>7.0780236329935127</v>
      </c>
      <c r="AP255" s="780">
        <f t="shared" si="607"/>
        <v>7.3181765523632984</v>
      </c>
      <c r="AQ255" s="780">
        <f>AQ201</f>
        <v>7.3646605653382773</v>
      </c>
      <c r="AR255" s="780">
        <f>AR201</f>
        <v>7.6187442075996303</v>
      </c>
      <c r="AS255" s="780">
        <f>AS201</f>
        <v>7.8151065801668214</v>
      </c>
      <c r="AT255" s="780">
        <f>AT201</f>
        <v>8.0590535217794255</v>
      </c>
      <c r="AU255" s="780">
        <f t="shared" si="607"/>
        <v>8.5146027340129748</v>
      </c>
      <c r="AV255" s="780">
        <f t="shared" si="607"/>
        <v>8.8338252548656158</v>
      </c>
      <c r="AW255" s="780">
        <f t="shared" si="607"/>
        <v>9.1180279425393884</v>
      </c>
      <c r="AX255" s="780">
        <f t="shared" si="607"/>
        <v>9.3838012048192763</v>
      </c>
      <c r="AY255" s="780">
        <f t="shared" ref="AY255:BD255" si="608">AY201</f>
        <v>11.156799999999999</v>
      </c>
      <c r="AZ255" s="780">
        <f t="shared" si="608"/>
        <v>11.2081</v>
      </c>
      <c r="BA255" s="780">
        <f t="shared" si="608"/>
        <v>11.6145</v>
      </c>
      <c r="BB255" s="780">
        <f t="shared" si="608"/>
        <v>12.1366</v>
      </c>
      <c r="BC255" s="780">
        <f t="shared" si="608"/>
        <v>12.2827</v>
      </c>
      <c r="BD255" s="780">
        <f t="shared" si="608"/>
        <v>12.7234</v>
      </c>
      <c r="BE255" s="780">
        <f t="shared" ref="BE255:BN255" si="609">BE201</f>
        <v>12.9291</v>
      </c>
      <c r="BF255" s="780">
        <f t="shared" si="609"/>
        <v>13.301399999999999</v>
      </c>
      <c r="BG255" s="780">
        <f t="shared" si="609"/>
        <v>13.829699999999999</v>
      </c>
      <c r="BH255" s="780">
        <f t="shared" si="609"/>
        <v>13.917900000000001</v>
      </c>
      <c r="BI255" s="780">
        <f t="shared" si="609"/>
        <v>13.6395</v>
      </c>
      <c r="BJ255" s="780">
        <f t="shared" si="609"/>
        <v>12.954499999999999</v>
      </c>
      <c r="BK255" s="780">
        <f t="shared" si="609"/>
        <v>11.171900000000001</v>
      </c>
      <c r="BL255" s="780">
        <f t="shared" si="609"/>
        <v>10.8292</v>
      </c>
      <c r="BM255" s="780">
        <f t="shared" si="609"/>
        <v>10.7996</v>
      </c>
      <c r="BN255" s="780">
        <f t="shared" si="609"/>
        <v>10.6639</v>
      </c>
      <c r="BO255" s="780">
        <f t="shared" ref="BO255:BZ255" si="610">BO201</f>
        <v>11.125</v>
      </c>
      <c r="BP255" s="780">
        <f t="shared" si="610"/>
        <v>11.6295</v>
      </c>
      <c r="BQ255" s="780">
        <f t="shared" si="610"/>
        <v>11.8338</v>
      </c>
      <c r="BR255" s="780">
        <f t="shared" si="610"/>
        <v>12.342600000000001</v>
      </c>
      <c r="BS255" s="780">
        <f>BS201</f>
        <v>12.7021</v>
      </c>
      <c r="BT255" s="780">
        <f>BT201</f>
        <v>12.826499999999999</v>
      </c>
      <c r="BU255" s="780">
        <f>BU201</f>
        <v>12.8826</v>
      </c>
      <c r="BV255" s="780">
        <f>BV201</f>
        <v>13.036100000000001</v>
      </c>
      <c r="BW255" s="780">
        <f>BW201</f>
        <v>13.2081</v>
      </c>
      <c r="BX255" s="780">
        <f t="shared" si="610"/>
        <v>13.108700000000001</v>
      </c>
      <c r="BY255" s="780">
        <f t="shared" si="610"/>
        <v>13.7333</v>
      </c>
      <c r="BZ255" s="780">
        <f t="shared" si="610"/>
        <v>13.7921</v>
      </c>
      <c r="CA255" s="780">
        <f t="shared" ref="CA255:CH255" si="611">CA201</f>
        <v>14.019200000000001</v>
      </c>
      <c r="CB255" s="780">
        <f t="shared" si="611"/>
        <v>14.121499999999999</v>
      </c>
      <c r="CC255" s="780">
        <f t="shared" si="611"/>
        <v>14.4405</v>
      </c>
      <c r="CD255" s="780">
        <f t="shared" si="611"/>
        <v>14.591900000000001</v>
      </c>
      <c r="CE255" s="780">
        <f t="shared" si="611"/>
        <v>14.598799999999999</v>
      </c>
      <c r="CF255" s="780">
        <f t="shared" si="611"/>
        <v>14.7334</v>
      </c>
      <c r="CG255" s="780">
        <f t="shared" si="611"/>
        <v>14.7766</v>
      </c>
      <c r="CH255" s="780">
        <f t="shared" si="611"/>
        <v>14.971200000000001</v>
      </c>
      <c r="CI255" s="780">
        <f>CI201</f>
        <v>15.239100000000001</v>
      </c>
      <c r="CJ255" s="780">
        <f t="shared" ref="CJ255:CP255" si="612">CJ201</f>
        <v>15.4543</v>
      </c>
      <c r="CK255" s="780">
        <f t="shared" si="612"/>
        <v>15.310699999999999</v>
      </c>
      <c r="CL255" s="780">
        <f t="shared" si="612"/>
        <v>15.3377</v>
      </c>
      <c r="CM255" s="780">
        <f t="shared" si="612"/>
        <v>15.299800000000001</v>
      </c>
      <c r="CN255" s="780">
        <f t="shared" si="612"/>
        <v>15.671200000000001</v>
      </c>
      <c r="CO255" s="780">
        <f t="shared" si="612"/>
        <v>15.843300000000001</v>
      </c>
      <c r="CP255" s="780">
        <f t="shared" si="612"/>
        <v>16.1434</v>
      </c>
      <c r="CQ255" s="780">
        <f t="shared" ref="CQ255:CX255" si="613">CQ201</f>
        <v>16.573199999999996</v>
      </c>
      <c r="CR255" s="780">
        <f t="shared" si="613"/>
        <v>16.786000000000001</v>
      </c>
      <c r="CS255" s="780">
        <f t="shared" si="613"/>
        <v>17.186400000000003</v>
      </c>
      <c r="CT255" s="780">
        <f t="shared" si="613"/>
        <v>17.4419</v>
      </c>
      <c r="CU255" s="780">
        <f t="shared" si="613"/>
        <v>17.567009600000002</v>
      </c>
      <c r="CV255" s="780">
        <f t="shared" si="613"/>
        <v>17.693027752959999</v>
      </c>
      <c r="CW255" s="780">
        <f t="shared" si="613"/>
        <v>17.819961136431104</v>
      </c>
      <c r="CX255" s="780">
        <f t="shared" si="613"/>
        <v>17.951303897003008</v>
      </c>
      <c r="CY255" s="780">
        <f t="shared" ref="CY255:DB255" si="614">CY201</f>
        <v>18.14096465611863</v>
      </c>
      <c r="CZ255" s="780">
        <f t="shared" si="614"/>
        <v>18.341785714071197</v>
      </c>
      <c r="DA255" s="780">
        <f t="shared" si="614"/>
        <v>18.545247528941115</v>
      </c>
      <c r="DB255" s="780">
        <f t="shared" si="614"/>
        <v>18.749041387176199</v>
      </c>
      <c r="DC255" s="3508"/>
      <c r="DD255"/>
      <c r="DE255"/>
      <c r="DF255"/>
      <c r="DG255"/>
      <c r="DH255"/>
      <c r="DI255"/>
      <c r="DJ255"/>
      <c r="DK255"/>
      <c r="DL255"/>
      <c r="DM255"/>
      <c r="DN255"/>
      <c r="DO255"/>
    </row>
    <row r="256" spans="1:119" s="699" customFormat="1" ht="12.75" customHeight="1">
      <c r="A256" s="664"/>
      <c r="B256" s="664"/>
      <c r="C256" s="1562" t="s">
        <v>401</v>
      </c>
      <c r="D256" s="674"/>
      <c r="E256" s="3629" t="s">
        <v>1787</v>
      </c>
      <c r="F256" s="3630"/>
      <c r="G256" s="706">
        <f>G227</f>
        <v>1.0779367469879519</v>
      </c>
      <c r="H256" s="706">
        <f t="shared" ref="H256:BN256" si="615">H227</f>
        <v>1.0671628822984245</v>
      </c>
      <c r="I256" s="706">
        <f t="shared" si="615"/>
        <v>1.1193524096385543</v>
      </c>
      <c r="J256" s="706">
        <f t="shared" si="615"/>
        <v>1.1610576923076923</v>
      </c>
      <c r="K256" s="706">
        <f t="shared" si="615"/>
        <v>1.2340998609823912</v>
      </c>
      <c r="L256" s="706">
        <f t="shared" si="615"/>
        <v>1.290315106580167</v>
      </c>
      <c r="M256" s="706">
        <f t="shared" si="615"/>
        <v>1.385339434661724</v>
      </c>
      <c r="N256" s="706">
        <f t="shared" si="615"/>
        <v>1.4781916126042631</v>
      </c>
      <c r="O256" s="706">
        <f t="shared" si="615"/>
        <v>1.5776181649675625</v>
      </c>
      <c r="P256" s="706">
        <f t="shared" si="615"/>
        <v>1.6937847544022244</v>
      </c>
      <c r="Q256" s="706">
        <f t="shared" si="615"/>
        <v>1.7048482391102873</v>
      </c>
      <c r="R256" s="706">
        <f t="shared" si="615"/>
        <v>1.7935298887859128</v>
      </c>
      <c r="S256" s="706">
        <f t="shared" si="615"/>
        <v>1.8474281742354033</v>
      </c>
      <c r="T256" s="706">
        <f t="shared" si="615"/>
        <v>1.8497161723818352</v>
      </c>
      <c r="U256" s="706">
        <f t="shared" si="615"/>
        <v>1.8743917979610751</v>
      </c>
      <c r="V256" s="706">
        <f t="shared" si="615"/>
        <v>1.643246061167748</v>
      </c>
      <c r="W256" s="706">
        <f t="shared" si="615"/>
        <v>1.5583005097312328</v>
      </c>
      <c r="X256" s="706">
        <f t="shared" si="615"/>
        <v>1.6137337812789618</v>
      </c>
      <c r="Y256" s="706">
        <f t="shared" si="615"/>
        <v>1.5832657553290082</v>
      </c>
      <c r="Z256" s="706">
        <f t="shared" si="615"/>
        <v>1.5414156626506024</v>
      </c>
      <c r="AA256" s="706">
        <f t="shared" si="615"/>
        <v>1.584974513438369</v>
      </c>
      <c r="AB256" s="706">
        <f t="shared" si="615"/>
        <v>1.5929969879518073</v>
      </c>
      <c r="AC256" s="706">
        <f t="shared" si="615"/>
        <v>1.7012859128822984</v>
      </c>
      <c r="AD256" s="706">
        <f t="shared" si="615"/>
        <v>1.7029657089898056</v>
      </c>
      <c r="AE256" s="706">
        <f t="shared" si="615"/>
        <v>1.8408537998146433</v>
      </c>
      <c r="AF256" s="706">
        <f t="shared" si="615"/>
        <v>1.8904077849860983</v>
      </c>
      <c r="AG256" s="706">
        <f t="shared" si="615"/>
        <v>1.965940685820204</v>
      </c>
      <c r="AH256" s="706">
        <f t="shared" si="615"/>
        <v>2.1130386932344765</v>
      </c>
      <c r="AI256" s="706">
        <f t="shared" si="615"/>
        <v>2.1773053753475442</v>
      </c>
      <c r="AJ256" s="706">
        <f t="shared" si="615"/>
        <v>2.3408827618164967</v>
      </c>
      <c r="AK256" s="706">
        <f t="shared" si="615"/>
        <v>2.3221153846153846</v>
      </c>
      <c r="AL256" s="706">
        <f t="shared" si="615"/>
        <v>2.4178637627432811</v>
      </c>
      <c r="AM256" s="706">
        <f t="shared" si="615"/>
        <v>2.4491427247451343</v>
      </c>
      <c r="AN256" s="706">
        <f t="shared" si="615"/>
        <v>2.4241485171455053</v>
      </c>
      <c r="AO256" s="706">
        <f t="shared" si="615"/>
        <v>2.5226772474513437</v>
      </c>
      <c r="AP256" s="706">
        <f t="shared" si="615"/>
        <v>2.6362662187210382</v>
      </c>
      <c r="AQ256" s="706">
        <f t="shared" si="615"/>
        <v>2.6648227525486563</v>
      </c>
      <c r="AR256" s="706">
        <f t="shared" si="615"/>
        <v>2.8150486561631136</v>
      </c>
      <c r="AS256" s="706">
        <f t="shared" si="615"/>
        <v>2.9284059314179798</v>
      </c>
      <c r="AT256" s="706">
        <f t="shared" si="615"/>
        <v>2.9964376737720113</v>
      </c>
      <c r="AU256" s="706">
        <f t="shared" si="615"/>
        <v>3.5524</v>
      </c>
      <c r="AV256" s="706">
        <f t="shared" si="615"/>
        <v>3.8249</v>
      </c>
      <c r="AW256" s="706">
        <f t="shared" si="615"/>
        <v>3.9149000000000003</v>
      </c>
      <c r="AX256" s="706">
        <f t="shared" si="615"/>
        <v>4.2856999999999994</v>
      </c>
      <c r="AY256" s="706">
        <f t="shared" si="615"/>
        <v>4.2988</v>
      </c>
      <c r="AZ256" s="706">
        <f t="shared" si="615"/>
        <v>4.2541000000000002</v>
      </c>
      <c r="BA256" s="706">
        <f t="shared" si="615"/>
        <v>4.5179</v>
      </c>
      <c r="BB256" s="706">
        <f t="shared" si="615"/>
        <v>4.7205000000000004</v>
      </c>
      <c r="BC256" s="706">
        <f t="shared" si="615"/>
        <v>4.7086000000000006</v>
      </c>
      <c r="BD256" s="706">
        <f t="shared" si="615"/>
        <v>4.9444999999999997</v>
      </c>
      <c r="BE256" s="706">
        <f t="shared" si="615"/>
        <v>4.9571999999999994</v>
      </c>
      <c r="BF256" s="706">
        <f t="shared" si="615"/>
        <v>5.0981000000000005</v>
      </c>
      <c r="BG256" s="706">
        <f t="shared" si="615"/>
        <v>5.4121999999999995</v>
      </c>
      <c r="BH256" s="706">
        <f t="shared" si="615"/>
        <v>5.6598999999999995</v>
      </c>
      <c r="BI256" s="706">
        <f t="shared" si="615"/>
        <v>5.6408000000000005</v>
      </c>
      <c r="BJ256" s="706">
        <f t="shared" si="615"/>
        <v>5.1716000000000006</v>
      </c>
      <c r="BK256" s="706">
        <f t="shared" si="615"/>
        <v>3.8961999999999999</v>
      </c>
      <c r="BL256" s="706">
        <f t="shared" si="615"/>
        <v>3.8328000000000002</v>
      </c>
      <c r="BM256" s="706">
        <f t="shared" si="615"/>
        <v>4.0282999999999998</v>
      </c>
      <c r="BN256" s="706">
        <f t="shared" si="615"/>
        <v>4.1734</v>
      </c>
      <c r="BO256" s="706">
        <f t="shared" ref="BO256:BV256" si="616">BO227</f>
        <v>4.202</v>
      </c>
      <c r="BP256" s="706">
        <f t="shared" si="616"/>
        <v>4.5721000000000007</v>
      </c>
      <c r="BQ256" s="706">
        <f t="shared" si="616"/>
        <v>4.8536000000000001</v>
      </c>
      <c r="BR256" s="706">
        <f t="shared" si="616"/>
        <v>5.2694999999999999</v>
      </c>
      <c r="BS256" s="706">
        <f t="shared" si="616"/>
        <v>5.5288000000000004</v>
      </c>
      <c r="BT256" s="706">
        <f t="shared" si="616"/>
        <v>5.3873999999999995</v>
      </c>
      <c r="BU256" s="706">
        <f t="shared" si="616"/>
        <v>5.4032999999999998</v>
      </c>
      <c r="BV256" s="706">
        <f t="shared" si="616"/>
        <v>5.4695999999999998</v>
      </c>
      <c r="BW256" s="706">
        <f>BW227</f>
        <v>5.3171999999999988</v>
      </c>
      <c r="BX256" s="706">
        <f t="shared" ref="BX256:CD256" si="617">BX227</f>
        <v>5.2624999999999993</v>
      </c>
      <c r="BY256" s="706">
        <f t="shared" si="617"/>
        <v>6.0242999999999993</v>
      </c>
      <c r="BZ256" s="706">
        <f t="shared" si="617"/>
        <v>6.1990999999999996</v>
      </c>
      <c r="CA256" s="706">
        <f t="shared" si="617"/>
        <v>6.3516999999999992</v>
      </c>
      <c r="CB256" s="706">
        <f t="shared" si="617"/>
        <v>6.0376999999999992</v>
      </c>
      <c r="CC256" s="706">
        <f t="shared" si="617"/>
        <v>6.3659999999999988</v>
      </c>
      <c r="CD256" s="706">
        <f t="shared" si="617"/>
        <v>6.579299999999999</v>
      </c>
      <c r="CE256" s="706">
        <f t="shared" ref="CE256:CL256" si="618">CE227</f>
        <v>6.2537999999999991</v>
      </c>
      <c r="CF256" s="706">
        <f t="shared" si="618"/>
        <v>6.4989999999999988</v>
      </c>
      <c r="CG256" s="706">
        <f t="shared" si="618"/>
        <v>6.5823999999999989</v>
      </c>
      <c r="CH256" s="706">
        <f t="shared" si="618"/>
        <v>6.6985999999999999</v>
      </c>
      <c r="CI256" s="706">
        <f t="shared" si="618"/>
        <v>6.8022999999999989</v>
      </c>
      <c r="CJ256" s="706">
        <f t="shared" si="618"/>
        <v>6.9772999999999996</v>
      </c>
      <c r="CK256" s="706">
        <f t="shared" si="618"/>
        <v>6.9282999999999992</v>
      </c>
      <c r="CL256" s="706">
        <f t="shared" si="618"/>
        <v>6.9745999999999997</v>
      </c>
      <c r="CM256" s="706">
        <f t="shared" ref="CM256:CT256" si="619">CM227</f>
        <v>6.9072999999999993</v>
      </c>
      <c r="CN256" s="706">
        <f t="shared" si="619"/>
        <v>7.0656999999999988</v>
      </c>
      <c r="CO256" s="706">
        <f t="shared" si="619"/>
        <v>7.1443999999999992</v>
      </c>
      <c r="CP256" s="706">
        <f t="shared" si="619"/>
        <v>7.3040000000000003</v>
      </c>
      <c r="CQ256" s="706">
        <f t="shared" si="619"/>
        <v>7.7539999999999996</v>
      </c>
      <c r="CR256" s="706">
        <f t="shared" si="619"/>
        <v>7.9197999999999995</v>
      </c>
      <c r="CS256" s="706">
        <f t="shared" si="619"/>
        <v>8.1814999999999998</v>
      </c>
      <c r="CT256" s="706">
        <f t="shared" si="619"/>
        <v>8.4259000000000004</v>
      </c>
      <c r="CU256" s="706">
        <f t="shared" ref="CU256:DB256" si="620">CU227</f>
        <v>8.4933072000000003</v>
      </c>
      <c r="CV256" s="706">
        <f t="shared" si="620"/>
        <v>8.5612536576</v>
      </c>
      <c r="CW256" s="706">
        <f t="shared" si="620"/>
        <v>8.6297436868608006</v>
      </c>
      <c r="CX256" s="706">
        <f t="shared" si="620"/>
        <v>8.6944667645122564</v>
      </c>
      <c r="CY256" s="706">
        <f t="shared" si="620"/>
        <v>8.8248837659799388</v>
      </c>
      <c r="CZ256" s="706">
        <f t="shared" si="620"/>
        <v>8.9660819062356172</v>
      </c>
      <c r="DA256" s="706">
        <f t="shared" si="620"/>
        <v>9.1095392167353868</v>
      </c>
      <c r="DB256" s="706">
        <f t="shared" si="620"/>
        <v>9.2552918442031533</v>
      </c>
      <c r="DC256"/>
      <c r="DD256"/>
      <c r="DE256"/>
      <c r="DF256"/>
      <c r="DG256"/>
      <c r="DH256"/>
      <c r="DI256"/>
      <c r="DJ256"/>
      <c r="DK256"/>
      <c r="DL256"/>
      <c r="DM256"/>
      <c r="DN256"/>
      <c r="DO256"/>
    </row>
    <row r="257" spans="1:119" s="1960" customFormat="1" ht="12.75" customHeight="1">
      <c r="A257" s="1957"/>
      <c r="B257" s="1957"/>
      <c r="C257" s="3062" t="s">
        <v>1767</v>
      </c>
      <c r="D257" s="678"/>
      <c r="E257" s="3641" t="s">
        <v>1781</v>
      </c>
      <c r="F257" s="3642"/>
      <c r="G257" s="3063">
        <f>-G255+G256+G258</f>
        <v>-1.3235634847080568E-2</v>
      </c>
      <c r="H257" s="3063">
        <f t="shared" ref="H257:BN257" si="621">-H255+H256+H258</f>
        <v>1.2974976830398166E-2</v>
      </c>
      <c r="I257" s="3063">
        <f t="shared" si="621"/>
        <v>-4.3240268767377188E-2</v>
      </c>
      <c r="J257" s="3063">
        <f t="shared" si="621"/>
        <v>-2.6094763670065468E-2</v>
      </c>
      <c r="K257" s="3063">
        <f t="shared" si="621"/>
        <v>1.1005560704360207E-3</v>
      </c>
      <c r="L257" s="3063">
        <f t="shared" si="621"/>
        <v>-5.7026181649675767E-2</v>
      </c>
      <c r="M257" s="3063">
        <f t="shared" si="621"/>
        <v>-4.266102873030464E-2</v>
      </c>
      <c r="N257" s="3063">
        <f t="shared" si="621"/>
        <v>-5.7663345690454282E-2</v>
      </c>
      <c r="O257" s="3063">
        <f t="shared" si="621"/>
        <v>-9.5864226135310204E-2</v>
      </c>
      <c r="P257" s="3063">
        <f t="shared" si="621"/>
        <v>-3.4754402224286274E-3</v>
      </c>
      <c r="Q257" s="3063">
        <f t="shared" si="621"/>
        <v>5.5954587581092508E-2</v>
      </c>
      <c r="R257" s="3063">
        <f t="shared" si="621"/>
        <v>-5.4825069508805058E-2</v>
      </c>
      <c r="S257" s="3063">
        <f t="shared" si="621"/>
        <v>-6.1718025949954569E-2</v>
      </c>
      <c r="T257" s="3063">
        <f t="shared" si="621"/>
        <v>-1.5147126969416114E-2</v>
      </c>
      <c r="U257" s="3063">
        <f t="shared" si="621"/>
        <v>6.5598934198332515E-2</v>
      </c>
      <c r="V257" s="3063">
        <f t="shared" si="621"/>
        <v>-3.4175162187217722E-3</v>
      </c>
      <c r="W257" s="3063">
        <f t="shared" si="621"/>
        <v>1.4075532900834187E-2</v>
      </c>
      <c r="X257" s="3063">
        <f t="shared" si="621"/>
        <v>4.7381835032437092E-2</v>
      </c>
      <c r="Y257" s="3063">
        <f t="shared" si="621"/>
        <v>4.7729379054679555E-2</v>
      </c>
      <c r="Z257" s="3063">
        <f t="shared" si="621"/>
        <v>3.2466404077849731E-2</v>
      </c>
      <c r="AA257" s="3063">
        <f t="shared" si="621"/>
        <v>-1.7232391102872668E-2</v>
      </c>
      <c r="AB257" s="3063">
        <f t="shared" si="621"/>
        <v>1.0426320667282774E-3</v>
      </c>
      <c r="AC257" s="3063">
        <f t="shared" si="621"/>
        <v>2.082367933271545E-2</v>
      </c>
      <c r="AD257" s="3063">
        <f t="shared" si="621"/>
        <v>3.2060936051899525E-2</v>
      </c>
      <c r="AE257" s="3063">
        <f t="shared" si="621"/>
        <v>-4.6339202965794968E-4</v>
      </c>
      <c r="AF257" s="3063">
        <f t="shared" si="621"/>
        <v>-9.1519925857270756E-3</v>
      </c>
      <c r="AG257" s="3063">
        <f t="shared" si="621"/>
        <v>3.9214550509730994E-2</v>
      </c>
      <c r="AH257" s="3063">
        <f t="shared" si="621"/>
        <v>3.7650602409566858E-4</v>
      </c>
      <c r="AI257" s="3063">
        <f t="shared" si="621"/>
        <v>-4.4775254865616176E-2</v>
      </c>
      <c r="AJ257" s="3063">
        <f t="shared" si="621"/>
        <v>7.7328544949022415E-3</v>
      </c>
      <c r="AK257" s="3063">
        <f t="shared" si="621"/>
        <v>9.0940685820184441E-3</v>
      </c>
      <c r="AL257" s="3063">
        <f t="shared" si="621"/>
        <v>-1.0136700648741837E-3</v>
      </c>
      <c r="AM257" s="3063">
        <f t="shared" si="621"/>
        <v>-6.1660101946246826E-2</v>
      </c>
      <c r="AN257" s="3063">
        <f t="shared" si="621"/>
        <v>2.1171223354959245E-2</v>
      </c>
      <c r="AO257" s="3063">
        <f t="shared" si="621"/>
        <v>3.1423772011121009E-2</v>
      </c>
      <c r="AP257" s="3063">
        <f t="shared" si="621"/>
        <v>-1.7464087117700977E-2</v>
      </c>
      <c r="AQ257" s="3063">
        <f t="shared" si="621"/>
        <v>3.6028730305837975E-2</v>
      </c>
      <c r="AR257" s="3063">
        <f t="shared" si="621"/>
        <v>1.5958063021313862E-2</v>
      </c>
      <c r="AS257" s="3063">
        <f t="shared" si="621"/>
        <v>-2.600787766450452E-2</v>
      </c>
      <c r="AT257" s="3063">
        <f t="shared" si="621"/>
        <v>-7.793674698795261E-2</v>
      </c>
      <c r="AU257" s="3063">
        <f t="shared" si="621"/>
        <v>1.4501972659870255</v>
      </c>
      <c r="AV257" s="3063">
        <f t="shared" si="621"/>
        <v>1.4943747451343841</v>
      </c>
      <c r="AW257" s="3063">
        <f t="shared" si="621"/>
        <v>1.4874720574606126</v>
      </c>
      <c r="AX257" s="3063">
        <f t="shared" si="621"/>
        <v>1.7462987951807225</v>
      </c>
      <c r="AY257" s="3063">
        <f t="shared" si="621"/>
        <v>9.0000000000012292E-3</v>
      </c>
      <c r="AZ257" s="3063">
        <f t="shared" si="621"/>
        <v>7.7600000000000335E-2</v>
      </c>
      <c r="BA257" s="3063">
        <f t="shared" si="621"/>
        <v>5.7299999999999685E-2</v>
      </c>
      <c r="BB257" s="3063">
        <f t="shared" si="621"/>
        <v>-4.9499999999999211E-2</v>
      </c>
      <c r="BC257" s="3063">
        <f t="shared" si="621"/>
        <v>1.4600000000000612E-2</v>
      </c>
      <c r="BD257" s="3063">
        <f t="shared" si="621"/>
        <v>2.6200000000000223E-2</v>
      </c>
      <c r="BE257" s="3063">
        <f t="shared" si="621"/>
        <v>4.1999999999998927E-2</v>
      </c>
      <c r="BF257" s="3063">
        <f t="shared" si="621"/>
        <v>-4.4999999999998153E-2</v>
      </c>
      <c r="BG257" s="3063">
        <f t="shared" si="621"/>
        <v>-0.29969999999999963</v>
      </c>
      <c r="BH257" s="3063">
        <f t="shared" si="621"/>
        <v>-7.0300000000003138E-2</v>
      </c>
      <c r="BI257" s="3063">
        <f t="shared" si="621"/>
        <v>0.10010000000000119</v>
      </c>
      <c r="BJ257" s="3063">
        <f t="shared" si="621"/>
        <v>0.21960000000000068</v>
      </c>
      <c r="BK257" s="3063">
        <f t="shared" si="621"/>
        <v>-0.32220000000000049</v>
      </c>
      <c r="BL257" s="3063">
        <f t="shared" si="621"/>
        <v>-0.11650000000000027</v>
      </c>
      <c r="BM257" s="3063">
        <f t="shared" si="621"/>
        <v>0.14909999999999979</v>
      </c>
      <c r="BN257" s="3063">
        <f t="shared" si="621"/>
        <v>0.3230000000000004</v>
      </c>
      <c r="BO257" s="3063">
        <f t="shared" ref="BO257:BW257" si="622">-BO255+BO256+BO258</f>
        <v>-4.2500000000000426E-2</v>
      </c>
      <c r="BP257" s="3063">
        <f t="shared" si="622"/>
        <v>-6.1799999999998967E-2</v>
      </c>
      <c r="BQ257" s="3063">
        <f t="shared" si="622"/>
        <v>1.0600000000000165E-2</v>
      </c>
      <c r="BR257" s="3063">
        <f t="shared" si="622"/>
        <v>9.139999999999926E-2</v>
      </c>
      <c r="BS257" s="3063">
        <f t="shared" si="622"/>
        <v>0.12760000000000016</v>
      </c>
      <c r="BT257" s="3063">
        <f t="shared" si="622"/>
        <v>-2.1999999999999353E-2</v>
      </c>
      <c r="BU257" s="3063">
        <f t="shared" si="622"/>
        <v>-2.3900000000000254E-2</v>
      </c>
      <c r="BV257" s="3063">
        <f t="shared" si="622"/>
        <v>-1.9300000000001205E-2</v>
      </c>
      <c r="BW257" s="3063">
        <f t="shared" si="622"/>
        <v>-0.29070000000000107</v>
      </c>
      <c r="BX257" s="3063">
        <f t="shared" ref="BX257:CD257" si="623">-BX255+BX256+BX258</f>
        <v>-0.23510000000000097</v>
      </c>
      <c r="BY257" s="3063">
        <f t="shared" si="623"/>
        <v>9.279999999999955E-2</v>
      </c>
      <c r="BZ257" s="3063">
        <f t="shared" si="623"/>
        <v>0.24989999999999934</v>
      </c>
      <c r="CA257" s="3063">
        <f t="shared" si="623"/>
        <v>0.19189999999999774</v>
      </c>
      <c r="CB257" s="3063">
        <f t="shared" si="623"/>
        <v>-0.1529000000000007</v>
      </c>
      <c r="CC257" s="3063">
        <f t="shared" si="623"/>
        <v>-3.6500000000000199E-2</v>
      </c>
      <c r="CD257" s="3063">
        <f t="shared" si="623"/>
        <v>9.7099999999997522E-2</v>
      </c>
      <c r="CE257" s="3063">
        <f t="shared" ref="CE257:CL257" si="624">-CE255+CE256+CE258</f>
        <v>-0.13529999999999731</v>
      </c>
      <c r="CF257" s="3063">
        <f t="shared" si="624"/>
        <v>2.9999999999999361E-2</v>
      </c>
      <c r="CG257" s="3063">
        <f t="shared" si="624"/>
        <v>9.4199999999997175E-2</v>
      </c>
      <c r="CH257" s="3063">
        <f t="shared" si="624"/>
        <v>3.5299999999999443E-2</v>
      </c>
      <c r="CI257" s="3063">
        <f t="shared" si="624"/>
        <v>-8.95000000000028E-2</v>
      </c>
      <c r="CJ257" s="3063">
        <f t="shared" si="624"/>
        <v>-5.8100000000001373E-2</v>
      </c>
      <c r="CK257" s="3063">
        <f t="shared" si="624"/>
        <v>9.8999999999998423E-2</v>
      </c>
      <c r="CL257" s="3063">
        <f t="shared" si="624"/>
        <v>0.13020000000000032</v>
      </c>
      <c r="CM257" s="3063">
        <f t="shared" ref="CM257:CT257" si="625">-CM255+CM256+CM258</f>
        <v>0.12959999999999816</v>
      </c>
      <c r="CN257" s="3063">
        <f t="shared" si="625"/>
        <v>-2.9300000000002768E-2</v>
      </c>
      <c r="CO257" s="3063">
        <f t="shared" si="625"/>
        <v>-3.410000000000224E-2</v>
      </c>
      <c r="CP257" s="3063">
        <f t="shared" si="625"/>
        <v>-7.3100000000000165E-2</v>
      </c>
      <c r="CQ257" s="3063">
        <f t="shared" si="625"/>
        <v>4.2300000000002669E-2</v>
      </c>
      <c r="CR257" s="3063">
        <f t="shared" si="625"/>
        <v>5.8899999999997732E-2</v>
      </c>
      <c r="CS257" s="3063">
        <f t="shared" si="625"/>
        <v>-3.0900000000002592E-2</v>
      </c>
      <c r="CT257" s="3063">
        <f t="shared" si="625"/>
        <v>7.9200000000000159E-2</v>
      </c>
      <c r="CU257" s="3063">
        <f t="shared" ref="CU257:DB257" si="626">-CU255+CU256+CU258</f>
        <v>7.9706879999998037E-2</v>
      </c>
      <c r="CV257" s="3063">
        <f t="shared" si="626"/>
        <v>8.0217004032000716E-2</v>
      </c>
      <c r="CW257" s="3063">
        <f t="shared" si="626"/>
        <v>8.0730392857805811E-2</v>
      </c>
      <c r="CX257" s="3063">
        <f t="shared" si="626"/>
        <v>8.1315605689137982E-2</v>
      </c>
      <c r="CY257" s="3063">
        <f t="shared" si="626"/>
        <v>8.1836025565548809E-2</v>
      </c>
      <c r="CZ257" s="3063">
        <f t="shared" si="626"/>
        <v>8.2359776129166562E-2</v>
      </c>
      <c r="DA257" s="3063">
        <f t="shared" si="626"/>
        <v>8.288687869639233E-2</v>
      </c>
      <c r="DB257" s="3063">
        <f t="shared" si="626"/>
        <v>8.3396735115735865E-2</v>
      </c>
      <c r="DC257"/>
      <c r="DD257"/>
      <c r="DE257"/>
      <c r="DF257"/>
      <c r="DG257"/>
      <c r="DH257"/>
      <c r="DI257"/>
      <c r="DJ257"/>
      <c r="DK257"/>
      <c r="DL257"/>
      <c r="DM257"/>
      <c r="DN257"/>
      <c r="DO257"/>
    </row>
    <row r="258" spans="1:119" s="699" customFormat="1" ht="12.75" customHeight="1">
      <c r="A258" s="665" t="str">
        <f>"Q" &amp; ROW(InputQ!A15)</f>
        <v>Q15</v>
      </c>
      <c r="B258" s="1953" t="s">
        <v>1940</v>
      </c>
      <c r="C258" s="1562" t="s">
        <v>1769</v>
      </c>
      <c r="D258" s="746"/>
      <c r="E258" s="3615" t="s">
        <v>1840</v>
      </c>
      <c r="F258" s="3633"/>
      <c r="G258" s="799">
        <f>+InputQ!G15/1000</f>
        <v>2.8114863299351249</v>
      </c>
      <c r="H258" s="799">
        <f>+InputQ!H15/1000</f>
        <v>2.868483549582947</v>
      </c>
      <c r="I258" s="799">
        <f>+InputQ!I15/1000</f>
        <v>2.8692075996292861</v>
      </c>
      <c r="J258" s="799">
        <f>+InputQ!J15/1000</f>
        <v>2.9379344300278039</v>
      </c>
      <c r="K258" s="799">
        <f>+InputQ!K15/1000</f>
        <v>2.9682866079703429</v>
      </c>
      <c r="L258" s="799">
        <f>+InputQ!L15/1000</f>
        <v>2.9563832252085263</v>
      </c>
      <c r="M258" s="799">
        <f>+InputQ!M15/1000</f>
        <v>3.0588797497683045</v>
      </c>
      <c r="N258" s="799">
        <f>+InputQ!N15/1000</f>
        <v>3.0800509731232624</v>
      </c>
      <c r="O258" s="799">
        <f>+InputQ!O15/1000</f>
        <v>3.1247103799814644</v>
      </c>
      <c r="P258" s="799">
        <f>+InputQ!P15/1000</f>
        <v>3.2246292863762744</v>
      </c>
      <c r="Q258" s="799">
        <f>+InputQ!Q15/1000</f>
        <v>3.3201749304911954</v>
      </c>
      <c r="R258" s="799">
        <f>+InputQ!R15/1000</f>
        <v>3.383775486561631</v>
      </c>
      <c r="S258" s="799">
        <f>+InputQ!S15/1000</f>
        <v>3.4538635310472658</v>
      </c>
      <c r="T258" s="799">
        <f>+InputQ!T15/1000</f>
        <v>3.5139307228915664</v>
      </c>
      <c r="U258" s="799">
        <f>+InputQ!U15/1000</f>
        <v>3.5463102409638561</v>
      </c>
      <c r="V258" s="799">
        <f>+InputQ!V15/1000</f>
        <v>3.5464550509731234</v>
      </c>
      <c r="W258" s="799">
        <f>+InputQ!W15/1000</f>
        <v>3.4931360055607046</v>
      </c>
      <c r="X258" s="799">
        <f>+InputQ!X15/1000</f>
        <v>3.5060240963855422</v>
      </c>
      <c r="Y258" s="799">
        <f>+InputQ!Y15/1000</f>
        <v>3.4507356348470806</v>
      </c>
      <c r="Z258" s="799">
        <f>+InputQ!Z15/1000</f>
        <v>3.455803985171455</v>
      </c>
      <c r="AA258" s="799">
        <f>+InputQ!AA15/1000</f>
        <v>3.5307576459684897</v>
      </c>
      <c r="AB258" s="799">
        <f>+InputQ!AB15/1000</f>
        <v>3.5733028266913811</v>
      </c>
      <c r="AC258" s="799">
        <f>+InputQ!AC15/1000</f>
        <v>3.620655699721965</v>
      </c>
      <c r="AD258" s="799">
        <f>+InputQ!AD15/1000</f>
        <v>3.6803174235403153</v>
      </c>
      <c r="AE258" s="799">
        <f>+InputQ!AE15/1000</f>
        <v>3.784609592215014</v>
      </c>
      <c r="AF258" s="799">
        <f>+InputQ!AF15/1000</f>
        <v>3.7824953660797038</v>
      </c>
      <c r="AG258" s="799">
        <f>+InputQ!AG15/1000</f>
        <v>3.8669775254865617</v>
      </c>
      <c r="AH258" s="799">
        <f>+InputQ!AH15/1000</f>
        <v>3.9594821594068579</v>
      </c>
      <c r="AI258" s="799">
        <f>+InputQ!AI15/1000</f>
        <v>3.9741658943466174</v>
      </c>
      <c r="AJ258" s="799">
        <f>+InputQ!AJ15/1000</f>
        <v>4.0921281278962001</v>
      </c>
      <c r="AK258" s="799">
        <f>+InputQ!AK15/1000</f>
        <v>4.1570030120481922</v>
      </c>
      <c r="AL258" s="799">
        <f>+InputQ!AL15/1000</f>
        <v>4.2189527340129755</v>
      </c>
      <c r="AM258" s="799">
        <f>+InputQ!AM15/1000</f>
        <v>4.3977930954587583</v>
      </c>
      <c r="AN258" s="799">
        <f>+InputQ!AN15/1000</f>
        <v>4.4655641797961083</v>
      </c>
      <c r="AO258" s="799">
        <f>+InputQ!AO15/1000</f>
        <v>4.58677015755329</v>
      </c>
      <c r="AP258" s="799">
        <f>+InputQ!AP15/1000</f>
        <v>4.6644462465245597</v>
      </c>
      <c r="AQ258" s="799">
        <f>+InputQ!AQ15/1000</f>
        <v>4.735866543095459</v>
      </c>
      <c r="AR258" s="799">
        <f>+InputQ!AR15/1000</f>
        <v>4.819653614457831</v>
      </c>
      <c r="AS258" s="799">
        <f>+InputQ!AS15/1000</f>
        <v>4.8606927710843371</v>
      </c>
      <c r="AT258" s="799">
        <f>+InputQ!AT15/1000</f>
        <v>4.984679101019462</v>
      </c>
      <c r="AU258" s="799">
        <f>+InputQ!AU15/1000</f>
        <v>6.4123999999999999</v>
      </c>
      <c r="AV258" s="799">
        <f>+InputQ!AV15/1000</f>
        <v>6.5033000000000003</v>
      </c>
      <c r="AW258" s="799">
        <f>+InputQ!AW15/1000</f>
        <v>6.6906000000000008</v>
      </c>
      <c r="AX258" s="799">
        <f>+InputQ!AX15/1000</f>
        <v>6.8443999999999994</v>
      </c>
      <c r="AY258" s="799">
        <f>+InputQ!AY15/1000</f>
        <v>6.867</v>
      </c>
      <c r="AZ258" s="799">
        <f>+InputQ!AZ15/1000</f>
        <v>7.0316000000000001</v>
      </c>
      <c r="BA258" s="799">
        <f>+InputQ!BA15/1000</f>
        <v>7.1538999999999993</v>
      </c>
      <c r="BB258" s="799">
        <f>+InputQ!BB15/1000</f>
        <v>7.3666</v>
      </c>
      <c r="BC258" s="799">
        <f>+InputQ!BC15/1000</f>
        <v>7.5887000000000002</v>
      </c>
      <c r="BD258" s="799">
        <f>+InputQ!BD15/1000</f>
        <v>7.8051000000000004</v>
      </c>
      <c r="BE258" s="799">
        <f>+InputQ!BE15/1000</f>
        <v>8.0138999999999996</v>
      </c>
      <c r="BF258" s="799">
        <f>+InputQ!BF15/1000</f>
        <v>8.1583000000000006</v>
      </c>
      <c r="BG258" s="799">
        <f>+InputQ!BG15/1000</f>
        <v>8.1178000000000008</v>
      </c>
      <c r="BH258" s="799">
        <f>+InputQ!BH15/1000</f>
        <v>8.1876999999999995</v>
      </c>
      <c r="BI258" s="799">
        <f>+InputQ!BI15/1000</f>
        <v>8.0988000000000007</v>
      </c>
      <c r="BJ258" s="799">
        <f>+InputQ!BJ15/1000</f>
        <v>8.0024999999999995</v>
      </c>
      <c r="BK258" s="799">
        <f>+InputQ!BK15/1000</f>
        <v>6.9535</v>
      </c>
      <c r="BL258" s="799">
        <f>+InputQ!BL15/1000</f>
        <v>6.8798999999999992</v>
      </c>
      <c r="BM258" s="799">
        <f>+InputQ!BM15/1000</f>
        <v>6.9203999999999999</v>
      </c>
      <c r="BN258" s="799">
        <f>+InputQ!BN15/1000</f>
        <v>6.8135000000000003</v>
      </c>
      <c r="BO258" s="799">
        <f>+InputQ!BO15/1000</f>
        <v>6.8804999999999996</v>
      </c>
      <c r="BP258" s="799">
        <f>+InputQ!BP15/1000</f>
        <v>6.9956000000000005</v>
      </c>
      <c r="BQ258" s="799">
        <f>+InputQ!BQ15/1000</f>
        <v>6.9908000000000001</v>
      </c>
      <c r="BR258" s="799">
        <f>+InputQ!BR15/1000</f>
        <v>7.1645000000000003</v>
      </c>
      <c r="BS258" s="799">
        <f>+InputQ!BS15/1000</f>
        <v>7.3008999999999995</v>
      </c>
      <c r="BT258" s="799">
        <f>+InputQ!BT15/1000</f>
        <v>7.4171000000000005</v>
      </c>
      <c r="BU258" s="799">
        <f>+InputQ!BU15/1000</f>
        <v>7.4554</v>
      </c>
      <c r="BV258" s="799">
        <f>+InputQ!BV15/1000</f>
        <v>7.5472000000000001</v>
      </c>
      <c r="BW258" s="799">
        <f>+InputQ!BW15/1000</f>
        <v>7.6002000000000001</v>
      </c>
      <c r="BX258" s="799">
        <f>+InputQ!BX15/1000</f>
        <v>7.6111000000000004</v>
      </c>
      <c r="BY258" s="799">
        <f>+InputQ!BY15/1000</f>
        <v>7.8018000000000001</v>
      </c>
      <c r="BZ258" s="799">
        <f>+InputQ!BZ15/1000</f>
        <v>7.8428999999999993</v>
      </c>
      <c r="CA258" s="799">
        <f>+InputQ!CA15/1000</f>
        <v>7.8593999999999999</v>
      </c>
      <c r="CB258" s="799">
        <f>+InputQ!CB15/1000</f>
        <v>7.9308999999999994</v>
      </c>
      <c r="CC258" s="799">
        <f>+InputQ!CC15/1000</f>
        <v>8.0380000000000003</v>
      </c>
      <c r="CD258" s="799">
        <f>+InputQ!CD15/1000</f>
        <v>8.1097000000000001</v>
      </c>
      <c r="CE258" s="799">
        <f>+InputQ!CE15/1000</f>
        <v>8.2097000000000016</v>
      </c>
      <c r="CF258" s="799">
        <f>+InputQ!CF15/1000</f>
        <v>8.2644000000000002</v>
      </c>
      <c r="CG258" s="799">
        <f>+InputQ!CG15/1000</f>
        <v>8.2883999999999993</v>
      </c>
      <c r="CH258" s="799">
        <f>+InputQ!CH15/1000</f>
        <v>8.3079000000000001</v>
      </c>
      <c r="CI258" s="799">
        <f>+InputQ!CI15/1000</f>
        <v>8.3472999999999988</v>
      </c>
      <c r="CJ258" s="799">
        <f>+InputQ!CJ15/1000</f>
        <v>8.4188999999999989</v>
      </c>
      <c r="CK258" s="799">
        <f>+InputQ!CK15/1000</f>
        <v>8.4813999999999989</v>
      </c>
      <c r="CL258" s="799">
        <f>+InputQ!CL15/1000</f>
        <v>8.4932999999999996</v>
      </c>
      <c r="CM258" s="799">
        <f>+InputQ!CM15/1000</f>
        <v>8.5221</v>
      </c>
      <c r="CN258" s="799">
        <f>+InputQ!CN15/1000</f>
        <v>8.5762</v>
      </c>
      <c r="CO258" s="799">
        <f>+InputQ!CO15/1000</f>
        <v>8.6647999999999996</v>
      </c>
      <c r="CP258" s="799">
        <f>+InputQ!CP15/1000</f>
        <v>8.7662999999999993</v>
      </c>
      <c r="CQ258" s="799">
        <f>+InputQ!CQ15/1000</f>
        <v>8.8614999999999995</v>
      </c>
      <c r="CR258" s="799">
        <f>+InputQ!CR15/1000</f>
        <v>8.9251000000000005</v>
      </c>
      <c r="CS258" s="799">
        <f>+InputQ!CS15/1000</f>
        <v>8.9740000000000002</v>
      </c>
      <c r="CT258" s="2878">
        <f>+InputQ!CT15/1000</f>
        <v>9.0952000000000002</v>
      </c>
      <c r="CU258" s="1591">
        <f>+CT258*(1+CU263/100)</f>
        <v>9.15340928</v>
      </c>
      <c r="CV258" s="1591">
        <f t="shared" ref="CV258:CX258" si="627">+CU258*(1+CV263/100)</f>
        <v>9.2119910993919998</v>
      </c>
      <c r="CW258" s="1591">
        <f t="shared" si="627"/>
        <v>9.2709478424281091</v>
      </c>
      <c r="CX258" s="1591">
        <f t="shared" si="627"/>
        <v>9.3381527381798897</v>
      </c>
      <c r="CY258" s="1591">
        <f t="shared" ref="CY258" si="628">+CX258*(1+CY263/100)</f>
        <v>9.3979169157042399</v>
      </c>
      <c r="CZ258" s="1591">
        <f t="shared" ref="CZ258" si="629">+CY258*(1+CZ263/100)</f>
        <v>9.458063583964746</v>
      </c>
      <c r="DA258" s="1591">
        <f t="shared" ref="DA258" si="630">+CZ258*(1+DA263/100)</f>
        <v>9.5185951909021203</v>
      </c>
      <c r="DB258" s="1591">
        <f t="shared" ref="DB258" si="631">+DA258*(1+DB263/100)</f>
        <v>9.5771462780887813</v>
      </c>
      <c r="DC258"/>
      <c r="DD258"/>
      <c r="DE258"/>
      <c r="DF258"/>
      <c r="DG258"/>
      <c r="DH258"/>
      <c r="DI258"/>
      <c r="DJ258"/>
      <c r="DK258"/>
      <c r="DL258"/>
      <c r="DM258"/>
      <c r="DN258"/>
      <c r="DO258"/>
    </row>
    <row r="259" spans="1:119" s="26" customFormat="1">
      <c r="A259" s="673"/>
      <c r="B259" s="673"/>
      <c r="C259" s="1613"/>
      <c r="D259" s="683"/>
      <c r="E259" s="684" t="s">
        <v>266</v>
      </c>
      <c r="F259" s="685"/>
      <c r="G259" s="1571"/>
      <c r="H259" s="1571"/>
      <c r="I259" s="1571"/>
      <c r="J259" s="1575">
        <f>SUM(G258:J258)</f>
        <v>11.487111909175162</v>
      </c>
      <c r="K259" s="1571"/>
      <c r="L259" s="1571"/>
      <c r="M259" s="1571"/>
      <c r="N259" s="1575">
        <f>SUM(K258:N258)</f>
        <v>12.063600556070435</v>
      </c>
      <c r="O259" s="1571"/>
      <c r="P259" s="1571"/>
      <c r="Q259" s="1571"/>
      <c r="R259" s="1575">
        <f>SUM(O258:R258)</f>
        <v>13.053290083410566</v>
      </c>
      <c r="S259" s="1571"/>
      <c r="T259" s="1571"/>
      <c r="U259" s="1571"/>
      <c r="V259" s="1575">
        <f>SUM(S258:V258)</f>
        <v>14.060559545875812</v>
      </c>
      <c r="W259" s="1571"/>
      <c r="X259" s="1571"/>
      <c r="Y259" s="1571"/>
      <c r="Z259" s="1575">
        <f>SUM(W258:Z258)</f>
        <v>13.905699721964782</v>
      </c>
      <c r="AA259" s="1571"/>
      <c r="AB259" s="1571"/>
      <c r="AC259" s="1571"/>
      <c r="AD259" s="1575">
        <f>SUM(AA258:AD258)</f>
        <v>14.405033595922152</v>
      </c>
      <c r="AE259" s="1571"/>
      <c r="AF259" s="1571"/>
      <c r="AG259" s="1571"/>
      <c r="AH259" s="1575">
        <f>SUM(AE258:AH258)</f>
        <v>15.393564643188139</v>
      </c>
      <c r="AI259" s="1571"/>
      <c r="AJ259" s="1571"/>
      <c r="AK259" s="1571"/>
      <c r="AL259" s="1575">
        <f>SUM(AI258:AL258)</f>
        <v>16.442249768303988</v>
      </c>
      <c r="AM259" s="1571"/>
      <c r="AN259" s="1571"/>
      <c r="AO259" s="1571"/>
      <c r="AP259" s="1575">
        <f>SUM(AM258:AP258)</f>
        <v>18.114573679332715</v>
      </c>
      <c r="AQ259" s="1571"/>
      <c r="AR259" s="1571"/>
      <c r="AS259" s="1571"/>
      <c r="AT259" s="1575">
        <f>SUM(AQ258:AT258)</f>
        <v>19.40089202965709</v>
      </c>
      <c r="AU259" s="1571"/>
      <c r="AV259" s="1571"/>
      <c r="AW259" s="1571"/>
      <c r="AX259" s="1575">
        <f>SUM(AU258:AX258)</f>
        <v>26.450700000000001</v>
      </c>
      <c r="AY259" s="1571"/>
      <c r="AZ259" s="1571"/>
      <c r="BA259" s="1618"/>
      <c r="BB259" s="1592">
        <f>SUM(AY258:BB258)</f>
        <v>28.4191</v>
      </c>
      <c r="BC259" s="1618"/>
      <c r="BD259" s="1618"/>
      <c r="BE259" s="1618"/>
      <c r="BF259" s="1575">
        <f>SUM(BC258:BF258)</f>
        <v>31.565999999999999</v>
      </c>
      <c r="BG259" s="1618"/>
      <c r="BH259" s="1618"/>
      <c r="BI259" s="1618"/>
      <c r="BJ259" s="1575">
        <f>SUM(BG258:BJ258)</f>
        <v>32.406800000000004</v>
      </c>
      <c r="BK259" s="1618"/>
      <c r="BL259" s="1618"/>
      <c r="BM259" s="1618"/>
      <c r="BN259" s="1575">
        <f>SUM(BK258:BN258)</f>
        <v>27.567299999999999</v>
      </c>
      <c r="BO259" s="1618"/>
      <c r="BP259" s="1618"/>
      <c r="BQ259" s="1618"/>
      <c r="BR259" s="1575">
        <f>SUM(BO258:BR258)</f>
        <v>28.031400000000001</v>
      </c>
      <c r="BS259" s="1618"/>
      <c r="BT259" s="1618"/>
      <c r="BU259" s="1618"/>
      <c r="BV259" s="1575">
        <f>SUM(BS258:BV258)</f>
        <v>29.720600000000001</v>
      </c>
      <c r="BW259" s="1618"/>
      <c r="BX259" s="1618"/>
      <c r="BY259" s="1618"/>
      <c r="BZ259" s="1575">
        <f>SUM(BW258:BZ258)</f>
        <v>30.856000000000002</v>
      </c>
      <c r="CA259" s="1618"/>
      <c r="CB259" s="1618"/>
      <c r="CC259" s="1618"/>
      <c r="CD259" s="1575">
        <f>SUM(CA258:CD258)</f>
        <v>31.937999999999999</v>
      </c>
      <c r="CE259" s="1618"/>
      <c r="CF259" s="1618"/>
      <c r="CG259" s="1618"/>
      <c r="CH259" s="1575">
        <f>SUM(CE258:CH258)</f>
        <v>33.070399999999999</v>
      </c>
      <c r="CI259" s="1618"/>
      <c r="CJ259" s="1618"/>
      <c r="CK259" s="1618"/>
      <c r="CL259" s="1575">
        <f>SUM(CI258:CL258)</f>
        <v>33.740899999999996</v>
      </c>
      <c r="CM259" s="1618"/>
      <c r="CN259" s="1618"/>
      <c r="CO259" s="1618"/>
      <c r="CP259" s="1575">
        <f>SUM(CM258:CP258)</f>
        <v>34.529400000000003</v>
      </c>
      <c r="CQ259" s="1618"/>
      <c r="CR259" s="1618"/>
      <c r="CS259" s="1618"/>
      <c r="CT259" s="1575">
        <f>SUM(CQ258:CT258)</f>
        <v>35.855800000000002</v>
      </c>
      <c r="CU259" s="1618"/>
      <c r="CV259" s="1618"/>
      <c r="CW259" s="1618"/>
      <c r="CX259" s="1575">
        <f>SUM(CU258:CX258)</f>
        <v>36.97450096</v>
      </c>
      <c r="CY259" s="1618"/>
      <c r="CZ259" s="1618"/>
      <c r="DA259" s="1618"/>
      <c r="DB259" s="1575">
        <f>SUM(CY258:DB258)</f>
        <v>37.951721968659889</v>
      </c>
      <c r="DC259"/>
      <c r="DD259"/>
      <c r="DE259"/>
      <c r="DF259"/>
      <c r="DG259"/>
      <c r="DH259"/>
      <c r="DI259"/>
      <c r="DJ259"/>
      <c r="DK259"/>
      <c r="DL259"/>
      <c r="DM259"/>
      <c r="DN259"/>
      <c r="DO259"/>
    </row>
    <row r="260" spans="1:119" s="1600" customFormat="1" ht="12.75" customHeight="1">
      <c r="A260" s="998"/>
      <c r="B260" s="998"/>
      <c r="C260" s="1614"/>
      <c r="D260" s="679"/>
      <c r="E260" s="1572" t="s">
        <v>1847</v>
      </c>
      <c r="F260" s="679"/>
      <c r="G260" s="1573"/>
      <c r="H260" s="2839" t="s">
        <v>757</v>
      </c>
      <c r="I260" s="2840">
        <f ca="1">+J260/J259*100</f>
        <v>125.90093132177206</v>
      </c>
      <c r="J260" s="1615">
        <f ca="1">OFFSET('VVP2'!$G$125,0,(COLUMN()-10)/4)</f>
        <v>14.462380875625723</v>
      </c>
      <c r="K260" s="1573"/>
      <c r="L260" s="2839" t="s">
        <v>757</v>
      </c>
      <c r="M260" s="2840">
        <f ca="1">+N260/N259*100</f>
        <v>126.16540744605398</v>
      </c>
      <c r="N260" s="1615">
        <f ca="1">OFFSET('VVP2'!$G$125,0,(COLUMN()-10)/4)</f>
        <v>15.220090794230698</v>
      </c>
      <c r="O260" s="1573"/>
      <c r="P260" s="2839" t="s">
        <v>757</v>
      </c>
      <c r="Q260" s="2840">
        <f ca="1">+R260/R259*100</f>
        <v>126.09114430972552</v>
      </c>
      <c r="R260" s="1615">
        <f ca="1">OFFSET('VVP2'!$G$125,0,(COLUMN()-10)/4)</f>
        <v>16.459042836240307</v>
      </c>
      <c r="S260" s="1573"/>
      <c r="T260" s="2839" t="s">
        <v>757</v>
      </c>
      <c r="U260" s="2840">
        <f ca="1">+V260/V259*100</f>
        <v>125.98196906513606</v>
      </c>
      <c r="V260" s="1615">
        <f ca="1">OFFSET('VVP2'!$G$125,0,(COLUMN()-10)/4)</f>
        <v>17.713769777470301</v>
      </c>
      <c r="W260" s="1573"/>
      <c r="X260" s="2839" t="s">
        <v>757</v>
      </c>
      <c r="Y260" s="2840">
        <f ca="1">+Z260/Z259*100</f>
        <v>126.08372291842873</v>
      </c>
      <c r="Z260" s="1615">
        <f ca="1">OFFSET('VVP2'!$G$125,0,(COLUMN()-10)/4)</f>
        <v>17.532823907310789</v>
      </c>
      <c r="AA260" s="1573"/>
      <c r="AB260" s="2839" t="s">
        <v>757</v>
      </c>
      <c r="AC260" s="2840">
        <f ca="1">+AD260/AD259*100</f>
        <v>126.12088174429856</v>
      </c>
      <c r="AD260" s="1615">
        <f ca="1">OFFSET('VVP2'!$G$125,0,(COLUMN()-10)/4)</f>
        <v>18.167755386739458</v>
      </c>
      <c r="AE260" s="1573"/>
      <c r="AF260" s="2839" t="s">
        <v>757</v>
      </c>
      <c r="AG260" s="2840">
        <f ca="1">+AH260/AH259*100</f>
        <v>125.92874906579968</v>
      </c>
      <c r="AH260" s="1615">
        <f ca="1">OFFSET('VVP2'!$G$125,0,(COLUMN()-10)/4)</f>
        <v>19.384923391802051</v>
      </c>
      <c r="AI260" s="1573"/>
      <c r="AJ260" s="2839" t="s">
        <v>757</v>
      </c>
      <c r="AK260" s="2840">
        <f ca="1">+AL260/AL259*100</f>
        <v>125.95882108985836</v>
      </c>
      <c r="AL260" s="1615">
        <f ca="1">OFFSET('VVP2'!$G$125,0,(COLUMN()-10)/4)</f>
        <v>20.710463968805673</v>
      </c>
      <c r="AM260" s="1573"/>
      <c r="AN260" s="2839" t="s">
        <v>757</v>
      </c>
      <c r="AO260" s="2840">
        <f ca="1">+AP260/AP259*100</f>
        <v>126.0788596178696</v>
      </c>
      <c r="AP260" s="1615">
        <f ca="1">OFFSET('VVP2'!$G$125,0,(COLUMN()-10)/4)</f>
        <v>22.838647919541451</v>
      </c>
      <c r="AQ260" s="1573"/>
      <c r="AR260" s="2839" t="s">
        <v>757</v>
      </c>
      <c r="AS260" s="2840">
        <f ca="1">+AT260/AT259*100</f>
        <v>126.48763759154707</v>
      </c>
      <c r="AT260" s="1615">
        <f ca="1">OFFSET('VVP2'!$G$125,0,(COLUMN()-10)/4)</f>
        <v>24.539729999999999</v>
      </c>
      <c r="AU260" s="1573"/>
      <c r="AV260" s="2839" t="s">
        <v>757</v>
      </c>
      <c r="AW260" s="2840">
        <f ca="1">+AX260/AX259*100</f>
        <v>99.944462717432799</v>
      </c>
      <c r="AX260" s="1615">
        <f ca="1">OFFSET('VVP2'!$G$125,0,(COLUMN()-10)/4)</f>
        <v>26.43601</v>
      </c>
      <c r="AY260" s="1573"/>
      <c r="AZ260" s="2839" t="s">
        <v>757</v>
      </c>
      <c r="BA260" s="2840">
        <f ca="1">+BB260/BB259*100</f>
        <v>99.911608742008013</v>
      </c>
      <c r="BB260" s="1619">
        <f ca="1">OFFSET('VVP2'!$G$125,0,(COLUMN()-10)/4)</f>
        <v>28.393979999999999</v>
      </c>
      <c r="BC260" s="1573"/>
      <c r="BD260" s="2839" t="s">
        <v>757</v>
      </c>
      <c r="BE260" s="2840">
        <f ca="1">+BF260/BF259*100</f>
        <v>99.924000506874478</v>
      </c>
      <c r="BF260" s="1615">
        <f ca="1">OFFSET('VVP2'!$G$125,0,(COLUMN()-10)/4)</f>
        <v>31.542009999999998</v>
      </c>
      <c r="BG260" s="1573"/>
      <c r="BH260" s="2839" t="s">
        <v>757</v>
      </c>
      <c r="BI260" s="2840">
        <f ca="1">+BJ260/BJ259*100</f>
        <v>99.88940592715106</v>
      </c>
      <c r="BJ260" s="1615">
        <f ca="1">OFFSET('VVP2'!$G$125,0,(COLUMN()-10)/4)</f>
        <v>32.370959999999997</v>
      </c>
      <c r="BK260" s="1573"/>
      <c r="BL260" s="2839" t="s">
        <v>757</v>
      </c>
      <c r="BM260" s="2840">
        <f ca="1">+BN260/BN259*100</f>
        <v>100.0296365621588</v>
      </c>
      <c r="BN260" s="1615">
        <f ca="1">OFFSET('VVP2'!$G$125,0,(COLUMN()-10)/4)</f>
        <v>27.575470000000003</v>
      </c>
      <c r="BO260" s="1573"/>
      <c r="BP260" s="2839" t="s">
        <v>757</v>
      </c>
      <c r="BQ260" s="2840">
        <f ca="1">+BR260/BR259*100</f>
        <v>99.986657819445341</v>
      </c>
      <c r="BR260" s="1615">
        <f ca="1">OFFSET('VVP2'!$G$125,0,(COLUMN()-10)/4)</f>
        <v>28.027660000000001</v>
      </c>
      <c r="BS260" s="1573"/>
      <c r="BT260" s="2839" t="s">
        <v>757</v>
      </c>
      <c r="BU260" s="2840">
        <f ca="1">+BV260/BV259*100</f>
        <v>100.0027253823947</v>
      </c>
      <c r="BV260" s="1615">
        <f ca="1">OFFSET('VVP2'!$G$125,0,(COLUMN()-10)/4)</f>
        <v>29.721409999999999</v>
      </c>
      <c r="BW260" s="1573"/>
      <c r="BX260" s="2839" t="s">
        <v>757</v>
      </c>
      <c r="BY260" s="2840">
        <f ca="1">+BZ260/BZ259*100</f>
        <v>100.00917163598653</v>
      </c>
      <c r="BZ260" s="1615">
        <f ca="1">OFFSET('VVP2'!$G$125,0,(COLUMN()-10)/4)</f>
        <v>30.858830000000001</v>
      </c>
      <c r="CA260" s="1573"/>
      <c r="CB260" s="2839" t="s">
        <v>757</v>
      </c>
      <c r="CC260" s="2840">
        <f ca="1">+CD260/CD259*100</f>
        <v>100.00140897989856</v>
      </c>
      <c r="CD260" s="1615">
        <f ca="1">OFFSET('VVP2'!$G$125,0,(COLUMN()-10)/4)</f>
        <v>31.93845</v>
      </c>
      <c r="CE260" s="1573"/>
      <c r="CF260" s="2839" t="s">
        <v>757</v>
      </c>
      <c r="CG260" s="2840">
        <f ca="1">+CH260/CH259*100</f>
        <v>99.993649910493971</v>
      </c>
      <c r="CH260" s="1615">
        <f ca="1">OFFSET('VVP2'!$G$125,0,(COLUMN()-10)/4)</f>
        <v>33.068300000000001</v>
      </c>
      <c r="CI260" s="1573"/>
      <c r="CJ260" s="2839" t="s">
        <v>757</v>
      </c>
      <c r="CK260" s="2840">
        <f ca="1">+CL260/CL259*100</f>
        <v>100.00068166527865</v>
      </c>
      <c r="CL260" s="1615">
        <f ca="1">OFFSET('VVP2'!$G$125,0,(COLUMN()-10)/4)</f>
        <v>33.741129999999998</v>
      </c>
      <c r="CM260" s="1573"/>
      <c r="CN260" s="2839" t="s">
        <v>757</v>
      </c>
      <c r="CO260" s="2840">
        <f ca="1">+CP260/CP259*100</f>
        <v>100.0084565616547</v>
      </c>
      <c r="CP260" s="1615">
        <f ca="1">OFFSET('VVP2'!$G$125,0,(COLUMN()-10)/4)</f>
        <v>34.532319999999999</v>
      </c>
      <c r="CQ260" s="1573"/>
      <c r="CR260" s="2839" t="s">
        <v>757</v>
      </c>
      <c r="CS260" s="2840">
        <f ca="1">+CT260/CT259*100</f>
        <v>99.996485924174053</v>
      </c>
      <c r="CT260" s="1615">
        <f ca="1">OFFSET('VVP2'!$G$125,0,(COLUMN()-10)/4)</f>
        <v>35.85454</v>
      </c>
      <c r="CU260" s="1573"/>
      <c r="CV260" s="2839" t="s">
        <v>757</v>
      </c>
      <c r="CW260" s="2840">
        <f ca="1">+CX260/CX259*100</f>
        <v>99.997055475935866</v>
      </c>
      <c r="CX260" s="1615">
        <f ca="1">OFFSET('VVP2'!$G$125,0,(COLUMN()-10)/4)</f>
        <v>36.973412236921639</v>
      </c>
      <c r="CY260" s="1573"/>
      <c r="CZ260" s="2839" t="s">
        <v>757</v>
      </c>
      <c r="DA260" s="2840">
        <f ca="1">+DB260/DB259*100</f>
        <v>99.996767353636812</v>
      </c>
      <c r="DB260" s="1615">
        <f ca="1">OFFSET('VVP2'!$G$125,0,(COLUMN()-10)/4)</f>
        <v>37.950495123699902</v>
      </c>
      <c r="DC260"/>
      <c r="DD260"/>
      <c r="DE260"/>
      <c r="DF260"/>
      <c r="DG260"/>
      <c r="DH260"/>
      <c r="DI260"/>
      <c r="DJ260"/>
      <c r="DK260"/>
      <c r="DL260"/>
      <c r="DM260"/>
      <c r="DN260"/>
      <c r="DO260"/>
    </row>
    <row r="261" spans="1:119">
      <c r="E261" s="599"/>
      <c r="F261" s="3617"/>
      <c r="AY261" s="217"/>
      <c r="BC261" s="1917"/>
      <c r="BD261" s="1917"/>
      <c r="BF261" s="217"/>
      <c r="BG261" s="1917"/>
      <c r="BH261" s="1917"/>
      <c r="BJ261" s="217"/>
      <c r="BK261" s="1917"/>
      <c r="BL261" s="1917"/>
      <c r="BM261" s="1917"/>
      <c r="BN261" s="1917"/>
      <c r="BO261" s="1917"/>
      <c r="BP261" s="1917"/>
      <c r="BQ261" s="1917"/>
      <c r="BR261" s="1917"/>
      <c r="BS261" s="1917"/>
      <c r="BT261" s="1917"/>
      <c r="BU261" s="1917"/>
      <c r="BV261" s="1917"/>
      <c r="BW261" s="1917"/>
      <c r="BX261" s="1917"/>
      <c r="BY261" s="1917"/>
      <c r="BZ261" s="1917"/>
      <c r="CA261" s="1917"/>
      <c r="CB261" s="1917"/>
      <c r="CC261" s="1917"/>
      <c r="CD261" s="1917"/>
      <c r="CE261" s="1917"/>
      <c r="CF261" s="1917"/>
      <c r="CG261" s="1917"/>
      <c r="CH261" s="1917"/>
      <c r="CI261" s="1917"/>
      <c r="CJ261" s="1917"/>
      <c r="CK261" s="1917"/>
      <c r="CL261" s="1917"/>
      <c r="CM261" s="1917"/>
      <c r="CN261" s="1917"/>
      <c r="CO261" s="1917"/>
      <c r="CP261" s="1917"/>
      <c r="CQ261" s="1917"/>
      <c r="CR261" s="1917"/>
      <c r="CS261" s="1917"/>
      <c r="CT261" s="1917"/>
      <c r="CU261" s="1917"/>
      <c r="CV261" s="1917"/>
      <c r="CW261" s="1917"/>
      <c r="CX261" s="1917"/>
      <c r="CY261" s="1917"/>
      <c r="CZ261" s="1917"/>
      <c r="DA261" s="1917"/>
      <c r="DB261" s="1917"/>
    </row>
    <row r="262" spans="1:119" s="699" customFormat="1" ht="12.75" customHeight="1">
      <c r="A262" s="664"/>
      <c r="B262" s="664"/>
      <c r="C262" s="1553"/>
      <c r="D262" s="742"/>
      <c r="E262" s="3384" t="s">
        <v>762</v>
      </c>
      <c r="F262" s="3622"/>
      <c r="G262" s="1578" t="str">
        <f t="shared" ref="G262:BD262" si="632">G254</f>
        <v>Q1</v>
      </c>
      <c r="H262" s="1579" t="str">
        <f t="shared" si="632"/>
        <v>Q2</v>
      </c>
      <c r="I262" s="1579" t="str">
        <f t="shared" si="632"/>
        <v>Q3</v>
      </c>
      <c r="J262" s="1580" t="str">
        <f t="shared" si="632"/>
        <v>Q4</v>
      </c>
      <c r="K262" s="1578" t="str">
        <f t="shared" si="632"/>
        <v>Q1</v>
      </c>
      <c r="L262" s="1579" t="str">
        <f t="shared" si="632"/>
        <v>Q2</v>
      </c>
      <c r="M262" s="1579" t="str">
        <f t="shared" si="632"/>
        <v>Q3</v>
      </c>
      <c r="N262" s="1580" t="str">
        <f t="shared" si="632"/>
        <v>Q4</v>
      </c>
      <c r="O262" s="1578" t="str">
        <f>O254</f>
        <v>Q1</v>
      </c>
      <c r="P262" s="1579" t="str">
        <f>P254</f>
        <v>Q2</v>
      </c>
      <c r="Q262" s="1579" t="str">
        <f>Q254</f>
        <v>Q3</v>
      </c>
      <c r="R262" s="1580" t="str">
        <f>R254</f>
        <v>Q4</v>
      </c>
      <c r="S262" s="1578" t="str">
        <f t="shared" si="632"/>
        <v>Q1</v>
      </c>
      <c r="T262" s="1579" t="str">
        <f t="shared" si="632"/>
        <v>Q2</v>
      </c>
      <c r="U262" s="1579" t="str">
        <f t="shared" si="632"/>
        <v>Q3</v>
      </c>
      <c r="V262" s="1580" t="str">
        <f t="shared" si="632"/>
        <v>Q4</v>
      </c>
      <c r="W262" s="1578" t="str">
        <f t="shared" si="632"/>
        <v>Q1</v>
      </c>
      <c r="X262" s="1579" t="str">
        <f t="shared" si="632"/>
        <v>Q2</v>
      </c>
      <c r="Y262" s="1579" t="str">
        <f t="shared" si="632"/>
        <v>Q3</v>
      </c>
      <c r="Z262" s="1580" t="str">
        <f t="shared" si="632"/>
        <v>Q4</v>
      </c>
      <c r="AA262" s="1578" t="str">
        <f t="shared" si="632"/>
        <v>Q1</v>
      </c>
      <c r="AB262" s="1579" t="str">
        <f t="shared" si="632"/>
        <v>Q2</v>
      </c>
      <c r="AC262" s="1579" t="str">
        <f t="shared" si="632"/>
        <v>Q3</v>
      </c>
      <c r="AD262" s="1580" t="str">
        <f t="shared" si="632"/>
        <v>Q4</v>
      </c>
      <c r="AE262" s="1578" t="str">
        <f t="shared" si="632"/>
        <v>Q1</v>
      </c>
      <c r="AF262" s="1579" t="str">
        <f t="shared" si="632"/>
        <v>Q2</v>
      </c>
      <c r="AG262" s="1579" t="str">
        <f t="shared" si="632"/>
        <v>Q3</v>
      </c>
      <c r="AH262" s="1580" t="str">
        <f t="shared" si="632"/>
        <v>Q4</v>
      </c>
      <c r="AI262" s="1578" t="str">
        <f t="shared" si="632"/>
        <v>Q1</v>
      </c>
      <c r="AJ262" s="1579" t="str">
        <f t="shared" si="632"/>
        <v>Q2</v>
      </c>
      <c r="AK262" s="1579" t="str">
        <f t="shared" si="632"/>
        <v>Q3</v>
      </c>
      <c r="AL262" s="1580" t="str">
        <f t="shared" si="632"/>
        <v>Q4</v>
      </c>
      <c r="AM262" s="1578" t="str">
        <f t="shared" si="632"/>
        <v>Q1</v>
      </c>
      <c r="AN262" s="1579" t="str">
        <f t="shared" si="632"/>
        <v>Q2</v>
      </c>
      <c r="AO262" s="1579" t="str">
        <f t="shared" si="632"/>
        <v>Q3</v>
      </c>
      <c r="AP262" s="1580" t="str">
        <f t="shared" si="632"/>
        <v>Q4</v>
      </c>
      <c r="AQ262" s="1578" t="str">
        <f>AQ254</f>
        <v>Q1</v>
      </c>
      <c r="AR262" s="1579" t="str">
        <f>AR254</f>
        <v>Q2</v>
      </c>
      <c r="AS262" s="1579" t="str">
        <f>AS254</f>
        <v>Q3</v>
      </c>
      <c r="AT262" s="1580" t="str">
        <f>AT254</f>
        <v>Q4</v>
      </c>
      <c r="AU262" s="1578" t="str">
        <f t="shared" si="632"/>
        <v>Q1</v>
      </c>
      <c r="AV262" s="1579" t="str">
        <f t="shared" si="632"/>
        <v>Q2</v>
      </c>
      <c r="AW262" s="1579" t="str">
        <f t="shared" si="632"/>
        <v>Q3</v>
      </c>
      <c r="AX262" s="1580" t="str">
        <f t="shared" si="632"/>
        <v>Q4</v>
      </c>
      <c r="AY262" s="1578" t="str">
        <f>AY254</f>
        <v>Q1</v>
      </c>
      <c r="AZ262" s="1579" t="str">
        <f>AZ254</f>
        <v>Q2</v>
      </c>
      <c r="BA262" s="1579" t="str">
        <f t="shared" si="632"/>
        <v>Q3</v>
      </c>
      <c r="BB262" s="1579" t="str">
        <f t="shared" si="632"/>
        <v>Q4</v>
      </c>
      <c r="BC262" s="1579" t="str">
        <f t="shared" si="632"/>
        <v>Q1</v>
      </c>
      <c r="BD262" s="1579" t="str">
        <f t="shared" si="632"/>
        <v>Q2</v>
      </c>
      <c r="BE262" s="1579" t="str">
        <f t="shared" ref="BE262:BJ262" si="633">BE254</f>
        <v>Q3</v>
      </c>
      <c r="BF262" s="1580" t="str">
        <f t="shared" si="633"/>
        <v>Q4</v>
      </c>
      <c r="BG262" s="1579" t="str">
        <f t="shared" si="633"/>
        <v>Q1</v>
      </c>
      <c r="BH262" s="1579" t="str">
        <f t="shared" si="633"/>
        <v>Q2</v>
      </c>
      <c r="BI262" s="1579" t="str">
        <f t="shared" si="633"/>
        <v>Q3</v>
      </c>
      <c r="BJ262" s="1580" t="str">
        <f t="shared" si="633"/>
        <v>Q4</v>
      </c>
      <c r="BK262" s="1579" t="str">
        <f t="shared" ref="BK262:BZ262" si="634">BK254</f>
        <v>Q1</v>
      </c>
      <c r="BL262" s="1579" t="str">
        <f t="shared" si="634"/>
        <v>Q2</v>
      </c>
      <c r="BM262" s="1579" t="str">
        <f t="shared" si="634"/>
        <v>Q3</v>
      </c>
      <c r="BN262" s="1579" t="str">
        <f t="shared" si="634"/>
        <v>Q4</v>
      </c>
      <c r="BO262" s="1579" t="str">
        <f t="shared" si="634"/>
        <v>Q1</v>
      </c>
      <c r="BP262" s="1579" t="str">
        <f t="shared" si="634"/>
        <v>Q2</v>
      </c>
      <c r="BQ262" s="1579" t="str">
        <f t="shared" si="634"/>
        <v>Q3</v>
      </c>
      <c r="BR262" s="1579" t="str">
        <f t="shared" si="634"/>
        <v>Q4</v>
      </c>
      <c r="BS262" s="1579" t="str">
        <f>BS254</f>
        <v>Q1</v>
      </c>
      <c r="BT262" s="1579" t="str">
        <f>BT254</f>
        <v>Q2</v>
      </c>
      <c r="BU262" s="1579" t="str">
        <f>BU254</f>
        <v>Q3</v>
      </c>
      <c r="BV262" s="1579" t="str">
        <f>BV254</f>
        <v>Q4</v>
      </c>
      <c r="BW262" s="1579" t="str">
        <f t="shared" si="634"/>
        <v>Q1</v>
      </c>
      <c r="BX262" s="1579" t="str">
        <f t="shared" si="634"/>
        <v>Q2</v>
      </c>
      <c r="BY262" s="1579" t="str">
        <f t="shared" si="634"/>
        <v>Q3</v>
      </c>
      <c r="BZ262" s="1579" t="str">
        <f t="shared" si="634"/>
        <v>Q4</v>
      </c>
      <c r="CA262" s="1579" t="str">
        <f t="shared" ref="CA262:CH262" si="635">CA254</f>
        <v>Q1</v>
      </c>
      <c r="CB262" s="1579" t="str">
        <f t="shared" si="635"/>
        <v>Q2</v>
      </c>
      <c r="CC262" s="1579" t="str">
        <f t="shared" si="635"/>
        <v>Q3</v>
      </c>
      <c r="CD262" s="1579" t="str">
        <f t="shared" si="635"/>
        <v>Q4</v>
      </c>
      <c r="CE262" s="1579" t="str">
        <f t="shared" si="635"/>
        <v>Q1</v>
      </c>
      <c r="CF262" s="1579" t="str">
        <f t="shared" si="635"/>
        <v>Q2</v>
      </c>
      <c r="CG262" s="1579" t="str">
        <f t="shared" si="635"/>
        <v>Q3</v>
      </c>
      <c r="CH262" s="1579" t="str">
        <f t="shared" si="635"/>
        <v>Q4</v>
      </c>
      <c r="CI262" s="1579" t="str">
        <f t="shared" ref="CI262:CP262" si="636">CI254</f>
        <v>Q1</v>
      </c>
      <c r="CJ262" s="1579" t="str">
        <f t="shared" si="636"/>
        <v>Q2</v>
      </c>
      <c r="CK262" s="1579" t="str">
        <f t="shared" si="636"/>
        <v>Q3</v>
      </c>
      <c r="CL262" s="1579" t="str">
        <f t="shared" si="636"/>
        <v>Q4</v>
      </c>
      <c r="CM262" s="1579" t="str">
        <f t="shared" si="636"/>
        <v>Q1</v>
      </c>
      <c r="CN262" s="1579" t="str">
        <f t="shared" si="636"/>
        <v>Q2</v>
      </c>
      <c r="CO262" s="1579" t="str">
        <f t="shared" si="636"/>
        <v>Q3</v>
      </c>
      <c r="CP262" s="1579" t="str">
        <f t="shared" si="636"/>
        <v>Q4</v>
      </c>
      <c r="CQ262" s="1579" t="str">
        <f t="shared" ref="CQ262:CX262" si="637">CQ254</f>
        <v>Q1</v>
      </c>
      <c r="CR262" s="1579" t="str">
        <f t="shared" si="637"/>
        <v>Q2</v>
      </c>
      <c r="CS262" s="1579" t="str">
        <f t="shared" si="637"/>
        <v>Q3</v>
      </c>
      <c r="CT262" s="1579" t="str">
        <f t="shared" si="637"/>
        <v>Q4</v>
      </c>
      <c r="CU262" s="1579" t="str">
        <f t="shared" si="637"/>
        <v>Q1</v>
      </c>
      <c r="CV262" s="1579" t="str">
        <f t="shared" si="637"/>
        <v>Q2</v>
      </c>
      <c r="CW262" s="1579" t="str">
        <f t="shared" si="637"/>
        <v>Q3</v>
      </c>
      <c r="CX262" s="1579" t="str">
        <f t="shared" si="637"/>
        <v>Q4</v>
      </c>
      <c r="CY262" s="1579" t="str">
        <f t="shared" ref="CY262:DB262" si="638">CY254</f>
        <v>Q1</v>
      </c>
      <c r="CZ262" s="1579" t="str">
        <f t="shared" si="638"/>
        <v>Q2</v>
      </c>
      <c r="DA262" s="1579" t="str">
        <f t="shared" si="638"/>
        <v>Q3</v>
      </c>
      <c r="DB262" s="1579" t="str">
        <f t="shared" si="638"/>
        <v>Q4</v>
      </c>
      <c r="DC262"/>
      <c r="DD262"/>
      <c r="DE262"/>
      <c r="DF262"/>
      <c r="DG262"/>
      <c r="DH262"/>
      <c r="DI262"/>
      <c r="DJ262"/>
      <c r="DK262"/>
      <c r="DL262"/>
      <c r="DM262"/>
      <c r="DN262"/>
      <c r="DO262"/>
    </row>
    <row r="263" spans="1:119" s="699" customFormat="1" ht="12.75" customHeight="1">
      <c r="B263" s="664"/>
      <c r="C263" s="692"/>
      <c r="D263" s="689"/>
      <c r="E263" s="3623" t="str">
        <f>E258</f>
        <v xml:space="preserve">Gross domestic product at market prices                                         </v>
      </c>
      <c r="F263" s="3624" t="s">
        <v>1137</v>
      </c>
      <c r="G263" s="978"/>
      <c r="H263" s="978">
        <f>(H258/G258-1)*100</f>
        <v>2.0272984805562722</v>
      </c>
      <c r="I263" s="978">
        <f t="shared" ref="I263:BE263" si="639">(I258/H258-1)*100</f>
        <v>2.5241561745903418E-2</v>
      </c>
      <c r="J263" s="978">
        <f t="shared" si="639"/>
        <v>2.3953244236282423</v>
      </c>
      <c r="K263" s="978">
        <f t="shared" si="639"/>
        <v>1.0331128439191151</v>
      </c>
      <c r="L263" s="978">
        <f t="shared" si="639"/>
        <v>-0.40101864590347258</v>
      </c>
      <c r="M263" s="978">
        <f t="shared" si="639"/>
        <v>3.4669566410000519</v>
      </c>
      <c r="N263" s="978">
        <f t="shared" si="639"/>
        <v>0.69212342709978891</v>
      </c>
      <c r="O263" s="978">
        <f>(O258/N258-1)*100</f>
        <v>1.4499567457780138</v>
      </c>
      <c r="P263" s="978">
        <f>(P258/O258-1)*100</f>
        <v>3.1977013624988393</v>
      </c>
      <c r="Q263" s="978">
        <f>(Q258/P258-1)*100</f>
        <v>2.9629962277707866</v>
      </c>
      <c r="R263" s="978">
        <f>(R258/Q258-1)*100</f>
        <v>1.9155784680606081</v>
      </c>
      <c r="S263" s="978">
        <f t="shared" si="639"/>
        <v>2.0712971284289727</v>
      </c>
      <c r="T263" s="978">
        <f t="shared" si="639"/>
        <v>1.7391304347826209</v>
      </c>
      <c r="U263" s="978">
        <f t="shared" si="639"/>
        <v>0.92146148076719392</v>
      </c>
      <c r="V263" s="978">
        <f t="shared" si="639"/>
        <v>4.0833993482758402E-3</v>
      </c>
      <c r="W263" s="978">
        <f t="shared" si="639"/>
        <v>-1.5034462483258682</v>
      </c>
      <c r="X263" s="978">
        <f t="shared" si="639"/>
        <v>0.36895473878832963</v>
      </c>
      <c r="Y263" s="978">
        <f t="shared" si="639"/>
        <v>-1.5769561194818982</v>
      </c>
      <c r="Z263" s="978">
        <f t="shared" si="639"/>
        <v>0.14687738675753792</v>
      </c>
      <c r="AA263" s="978">
        <f t="shared" si="639"/>
        <v>2.1689210707162232</v>
      </c>
      <c r="AB263" s="978">
        <f t="shared" si="639"/>
        <v>1.2049872857025523</v>
      </c>
      <c r="AC263" s="978">
        <f t="shared" si="639"/>
        <v>1.3251849990679077</v>
      </c>
      <c r="AD263" s="978">
        <f t="shared" si="639"/>
        <v>1.6478154446701865</v>
      </c>
      <c r="AE263" s="978">
        <f t="shared" si="639"/>
        <v>2.8337818908667378</v>
      </c>
      <c r="AF263" s="978">
        <f t="shared" si="639"/>
        <v>-5.5863784197429656E-2</v>
      </c>
      <c r="AG263" s="978">
        <f t="shared" si="639"/>
        <v>2.2335033154162964</v>
      </c>
      <c r="AH263" s="978">
        <f t="shared" si="639"/>
        <v>2.3921689048000516</v>
      </c>
      <c r="AI263" s="978">
        <f t="shared" si="639"/>
        <v>0.37084988260078777</v>
      </c>
      <c r="AJ263" s="978">
        <f t="shared" si="639"/>
        <v>2.9682262060924058</v>
      </c>
      <c r="AK263" s="978">
        <f t="shared" si="639"/>
        <v>1.5853580856800997</v>
      </c>
      <c r="AL263" s="978">
        <f t="shared" si="639"/>
        <v>1.4902496290052136</v>
      </c>
      <c r="AM263" s="978">
        <f t="shared" si="639"/>
        <v>4.2389752320281193</v>
      </c>
      <c r="AN263" s="978">
        <f t="shared" si="639"/>
        <v>1.5410248473792798</v>
      </c>
      <c r="AO263" s="978">
        <f t="shared" si="639"/>
        <v>2.7142366087931968</v>
      </c>
      <c r="AP263" s="978">
        <f t="shared" si="639"/>
        <v>1.6934811709140574</v>
      </c>
      <c r="AQ263" s="978">
        <f>(AQ258/AP258-1)*100</f>
        <v>1.5311634607026336</v>
      </c>
      <c r="AR263" s="978">
        <f>(AR258/AQ258-1)*100</f>
        <v>1.7692025440313008</v>
      </c>
      <c r="AS263" s="978">
        <f>(AS258/AR258-1)*100</f>
        <v>0.85149597687681489</v>
      </c>
      <c r="AT263" s="978">
        <f>(AT258/AS258-1)*100</f>
        <v>2.5507954477745232</v>
      </c>
      <c r="AU263" s="978">
        <f t="shared" si="639"/>
        <v>28.642182777393678</v>
      </c>
      <c r="AV263" s="978">
        <f t="shared" si="639"/>
        <v>1.4175659659410034</v>
      </c>
      <c r="AW263" s="978">
        <f t="shared" si="639"/>
        <v>2.8800762689711545</v>
      </c>
      <c r="AX263" s="978">
        <f t="shared" si="639"/>
        <v>2.2987474964875965</v>
      </c>
      <c r="AY263" s="978">
        <f t="shared" si="639"/>
        <v>0.33019694933085209</v>
      </c>
      <c r="AZ263" s="978">
        <f t="shared" si="639"/>
        <v>2.3969710208242345</v>
      </c>
      <c r="BA263" s="978">
        <f t="shared" si="639"/>
        <v>1.7392911997269334</v>
      </c>
      <c r="BB263" s="978">
        <f>(BB258/BA258-1)*100</f>
        <v>2.9732034275010921</v>
      </c>
      <c r="BC263" s="978">
        <f>(BC258/BB258-1)*100</f>
        <v>3.0149594113973999</v>
      </c>
      <c r="BD263" s="978">
        <f>(BD258/BC258-1)*100</f>
        <v>2.8516083123591773</v>
      </c>
      <c r="BE263" s="978">
        <f t="shared" si="639"/>
        <v>2.675173924741503</v>
      </c>
      <c r="BF263" s="978">
        <f t="shared" ref="BF263:BL263" si="640">(BF258/BE258-1)*100</f>
        <v>1.8018692521743596</v>
      </c>
      <c r="BG263" s="978">
        <f t="shared" si="640"/>
        <v>-0.49642695169336282</v>
      </c>
      <c r="BH263" s="978">
        <f t="shared" si="640"/>
        <v>0.86107073344994234</v>
      </c>
      <c r="BI263" s="978">
        <f t="shared" si="640"/>
        <v>-1.0857750039693581</v>
      </c>
      <c r="BJ263" s="978">
        <f t="shared" si="640"/>
        <v>-1.1890650466735986</v>
      </c>
      <c r="BK263" s="978">
        <f t="shared" si="640"/>
        <v>-13.108403623867538</v>
      </c>
      <c r="BL263" s="978">
        <f t="shared" si="640"/>
        <v>-1.058459768461939</v>
      </c>
      <c r="BM263" s="978">
        <f t="shared" ref="BM263:BR263" si="641">(BM258/BL258-1)*100</f>
        <v>0.5886713469672511</v>
      </c>
      <c r="BN263" s="978">
        <f t="shared" si="641"/>
        <v>-1.5447083983584742</v>
      </c>
      <c r="BO263" s="978">
        <f t="shared" si="641"/>
        <v>0.98334189476771972</v>
      </c>
      <c r="BP263" s="978">
        <f t="shared" si="641"/>
        <v>1.6728435433471578</v>
      </c>
      <c r="BQ263" s="978">
        <f>(BQ258/BP258-1)*100</f>
        <v>-6.861455772200209E-2</v>
      </c>
      <c r="BR263" s="978">
        <f t="shared" si="641"/>
        <v>2.4846941694798952</v>
      </c>
      <c r="BS263" s="978">
        <f t="shared" ref="BS263:CB263" si="642">(BS258/BR258-1)*100</f>
        <v>1.903831390885613</v>
      </c>
      <c r="BT263" s="978">
        <f t="shared" si="642"/>
        <v>1.5915845991590238</v>
      </c>
      <c r="BU263" s="978">
        <f t="shared" si="642"/>
        <v>0.51637432419677776</v>
      </c>
      <c r="BV263" s="978">
        <f t="shared" si="642"/>
        <v>1.2313222630576437</v>
      </c>
      <c r="BW263" s="978">
        <f t="shared" si="642"/>
        <v>0.70224719101124045</v>
      </c>
      <c r="BX263" s="978">
        <f t="shared" si="642"/>
        <v>0.1434172784926746</v>
      </c>
      <c r="BY263" s="978">
        <f t="shared" si="642"/>
        <v>2.5055511029943078</v>
      </c>
      <c r="BZ263" s="978">
        <f t="shared" si="642"/>
        <v>0.5268015073444543</v>
      </c>
      <c r="CA263" s="978">
        <f t="shared" si="642"/>
        <v>0.21038136403626062</v>
      </c>
      <c r="CB263" s="978">
        <f t="shared" si="642"/>
        <v>0.90973865689492062</v>
      </c>
      <c r="CC263" s="978">
        <f t="shared" ref="CC263:CP263" si="643">(CC258/CB258-1)*100</f>
        <v>1.3504142026756316</v>
      </c>
      <c r="CD263" s="978">
        <f t="shared" si="643"/>
        <v>0.89201293854193064</v>
      </c>
      <c r="CE263" s="978">
        <f t="shared" si="643"/>
        <v>1.2330912364205915</v>
      </c>
      <c r="CF263" s="978">
        <f t="shared" si="643"/>
        <v>0.66628500432412974</v>
      </c>
      <c r="CG263" s="978">
        <f t="shared" si="643"/>
        <v>0.29040220705676134</v>
      </c>
      <c r="CH263" s="978">
        <f t="shared" si="643"/>
        <v>0.23526856811930674</v>
      </c>
      <c r="CI263" s="978">
        <f t="shared" si="643"/>
        <v>0.47424740307415725</v>
      </c>
      <c r="CJ263" s="978">
        <f t="shared" si="643"/>
        <v>0.85776239023396261</v>
      </c>
      <c r="CK263" s="978">
        <f t="shared" si="643"/>
        <v>0.74237727018968691</v>
      </c>
      <c r="CL263" s="978">
        <f t="shared" si="643"/>
        <v>0.14030702478364798</v>
      </c>
      <c r="CM263" s="978">
        <f t="shared" si="643"/>
        <v>0.33909081275829145</v>
      </c>
      <c r="CN263" s="978">
        <f t="shared" si="643"/>
        <v>0.63482005608945791</v>
      </c>
      <c r="CO263" s="978">
        <f t="shared" si="643"/>
        <v>1.033091579021006</v>
      </c>
      <c r="CP263" s="978">
        <f t="shared" si="643"/>
        <v>1.1714061490167182</v>
      </c>
      <c r="CQ263" s="978">
        <f t="shared" ref="CQ263" si="644">(CQ258/CP258-1)*100</f>
        <v>1.0859769800257935</v>
      </c>
      <c r="CR263" s="978">
        <f t="shared" ref="CR263:CT263" si="645">(CR258/CQ258-1)*100</f>
        <v>0.71771144840040435</v>
      </c>
      <c r="CS263" s="978">
        <f t="shared" si="645"/>
        <v>0.54789302080648916</v>
      </c>
      <c r="CT263" s="978">
        <f t="shared" si="645"/>
        <v>1.3505683084466202</v>
      </c>
      <c r="CU263" s="1962">
        <f>+(CT201*CU206-CT227*CU240)/(CT201-CT227)</f>
        <v>0.64000000000000046</v>
      </c>
      <c r="CV263" s="1962">
        <f t="shared" ref="CV263:DB263" si="646">+(CU201*CV206-CU227*CV240)/(CU201-CU227)</f>
        <v>0.64000000000000268</v>
      </c>
      <c r="CW263" s="1962">
        <f t="shared" si="646"/>
        <v>0.63999999999999979</v>
      </c>
      <c r="CX263" s="1962">
        <f t="shared" si="646"/>
        <v>0.72489778708730856</v>
      </c>
      <c r="CY263" s="1962">
        <f t="shared" si="646"/>
        <v>0.64000000000000046</v>
      </c>
      <c r="CZ263" s="1962">
        <f t="shared" si="646"/>
        <v>0.64000000000000123</v>
      </c>
      <c r="DA263" s="1962">
        <f t="shared" si="646"/>
        <v>0.64000000000000123</v>
      </c>
      <c r="DB263" s="1962">
        <f t="shared" si="646"/>
        <v>0.61512319845919095</v>
      </c>
      <c r="DC263" s="3432"/>
      <c r="DD263"/>
      <c r="DE263"/>
      <c r="DF263"/>
      <c r="DG263"/>
      <c r="DH263"/>
      <c r="DI263"/>
      <c r="DJ263"/>
      <c r="DK263"/>
      <c r="DL263"/>
      <c r="DM263"/>
      <c r="DN263"/>
      <c r="DO263"/>
    </row>
    <row r="264" spans="1:119">
      <c r="C264" s="1555"/>
      <c r="D264" s="1581"/>
      <c r="E264" s="1582" t="s">
        <v>763</v>
      </c>
      <c r="F264" s="1649"/>
      <c r="G264" s="1605"/>
      <c r="H264" s="1606"/>
      <c r="I264" s="1606"/>
      <c r="J264" s="1606"/>
      <c r="K264" s="1607"/>
      <c r="L264" s="1607"/>
      <c r="M264" s="1607"/>
      <c r="N264" s="1608">
        <f>N259/J259*100-100</f>
        <v>5.0185690837991359</v>
      </c>
      <c r="O264" s="1607"/>
      <c r="P264" s="1607"/>
      <c r="Q264" s="1607"/>
      <c r="R264" s="1608">
        <f>R259/N259*100-100</f>
        <v>8.2039315106642476</v>
      </c>
      <c r="S264" s="1607"/>
      <c r="T264" s="1607"/>
      <c r="U264" s="1607"/>
      <c r="V264" s="1608">
        <f>V259/R259*100-100</f>
        <v>7.7165944832972428</v>
      </c>
      <c r="W264" s="1607"/>
      <c r="X264" s="1607"/>
      <c r="Y264" s="1607"/>
      <c r="Z264" s="1608">
        <f>Z259/V259*100-100</f>
        <v>-1.1013773911753901</v>
      </c>
      <c r="AA264" s="1607"/>
      <c r="AB264" s="1607"/>
      <c r="AC264" s="1607"/>
      <c r="AD264" s="1608">
        <f>AD259/Z259*100-100</f>
        <v>3.5908575903494295</v>
      </c>
      <c r="AE264" s="1607"/>
      <c r="AF264" s="1607"/>
      <c r="AG264" s="1607"/>
      <c r="AH264" s="1608">
        <f>AH259/AD259*100-100</f>
        <v>6.8624001511931425</v>
      </c>
      <c r="AI264" s="1607"/>
      <c r="AJ264" s="1607"/>
      <c r="AK264" s="1607"/>
      <c r="AL264" s="1608">
        <f>AL259/AH259*100-100</f>
        <v>6.81249047523184</v>
      </c>
      <c r="AM264" s="1607"/>
      <c r="AN264" s="1607"/>
      <c r="AO264" s="1607"/>
      <c r="AP264" s="1608">
        <f>AP259/AL259*100-100</f>
        <v>10.170894704765374</v>
      </c>
      <c r="AQ264" s="1607"/>
      <c r="AR264" s="1607"/>
      <c r="AS264" s="1607"/>
      <c r="AT264" s="1608">
        <f>AT259/AP259*100-100</f>
        <v>7.1010136539507016</v>
      </c>
      <c r="AU264" s="1607"/>
      <c r="AV264" s="1607"/>
      <c r="AW264" s="1607"/>
      <c r="AX264" s="1608">
        <f>AX259/AT259*100-100</f>
        <v>36.337545508558321</v>
      </c>
      <c r="AY264" s="1607"/>
      <c r="AZ264" s="1607"/>
      <c r="BA264" s="1609"/>
      <c r="BB264" s="1608">
        <f>BB259/AX259*100-100</f>
        <v>7.4417690269066554</v>
      </c>
      <c r="BC264" s="1609"/>
      <c r="BD264" s="1609"/>
      <c r="BE264" s="1609"/>
      <c r="BF264" s="1608">
        <f>BF259/BB259*100-100</f>
        <v>11.073186694863651</v>
      </c>
      <c r="BG264" s="1609"/>
      <c r="BH264" s="1609"/>
      <c r="BI264" s="1609"/>
      <c r="BJ264" s="1608">
        <f>BJ259/BF259*100-100</f>
        <v>2.6636254197554479</v>
      </c>
      <c r="BK264" s="1609"/>
      <c r="BL264" s="1609"/>
      <c r="BM264" s="1609"/>
      <c r="BN264" s="1608">
        <f>BN259/BJ259*100-100</f>
        <v>-14.933594183936719</v>
      </c>
      <c r="BO264" s="1609"/>
      <c r="BP264" s="1609"/>
      <c r="BQ264" s="1609"/>
      <c r="BR264" s="1608">
        <f>BR259/BN259*100-100</f>
        <v>1.6835163400115363</v>
      </c>
      <c r="BS264" s="1609"/>
      <c r="BT264" s="1609"/>
      <c r="BU264" s="1609"/>
      <c r="BV264" s="1608">
        <f>BV259/BR259*100-100</f>
        <v>6.026099302924564</v>
      </c>
      <c r="BW264" s="1609"/>
      <c r="BX264" s="1609"/>
      <c r="BY264" s="1609"/>
      <c r="BZ264" s="1608">
        <f>BZ259/BV259*100-100</f>
        <v>3.8202458900560572</v>
      </c>
      <c r="CA264" s="1609"/>
      <c r="CB264" s="1609"/>
      <c r="CC264" s="1609"/>
      <c r="CD264" s="1608">
        <f>CD259/BZ259*100-100</f>
        <v>3.5066113559761476</v>
      </c>
      <c r="CE264" s="1609"/>
      <c r="CF264" s="1609"/>
      <c r="CG264" s="1609"/>
      <c r="CH264" s="1608">
        <f>CH259/CD259*100-100</f>
        <v>3.5456196380487199</v>
      </c>
      <c r="CI264" s="1609"/>
      <c r="CJ264" s="1609"/>
      <c r="CK264" s="1609"/>
      <c r="CL264" s="1608">
        <f>CL259/CH259*100-100</f>
        <v>2.0274928637089289</v>
      </c>
      <c r="CM264" s="1609"/>
      <c r="CN264" s="1609"/>
      <c r="CO264" s="1609"/>
      <c r="CP264" s="1608">
        <f>CP259/CL259*100-100</f>
        <v>2.3369264008962602</v>
      </c>
      <c r="CQ264" s="1609"/>
      <c r="CR264" s="1609"/>
      <c r="CS264" s="1609"/>
      <c r="CT264" s="1608">
        <f>CT259/CP259*100-100</f>
        <v>3.8413641708225441</v>
      </c>
      <c r="CU264" s="1609"/>
      <c r="CV264" s="1609"/>
      <c r="CW264" s="1609"/>
      <c r="CX264" s="1608">
        <f>CX259/CT259*100-100</f>
        <v>3.1199999999999903</v>
      </c>
      <c r="CY264" s="1609"/>
      <c r="CZ264" s="1609"/>
      <c r="DA264" s="1609"/>
      <c r="DB264" s="1608">
        <f>DB259/CX259*100-100</f>
        <v>2.642959291640139</v>
      </c>
    </row>
    <row r="265" spans="1:119" s="699" customFormat="1" ht="12.75" customHeight="1">
      <c r="A265" s="664"/>
      <c r="B265" s="664"/>
      <c r="C265" s="666"/>
      <c r="D265" s="717"/>
      <c r="E265" s="1596" t="s">
        <v>1847</v>
      </c>
      <c r="F265" s="717"/>
      <c r="G265" s="1597"/>
      <c r="H265" s="1597"/>
      <c r="I265" s="1597"/>
      <c r="J265" s="1598"/>
      <c r="K265" s="1597"/>
      <c r="L265" s="1597"/>
      <c r="M265" s="1597"/>
      <c r="N265" s="1599">
        <f ca="1">N260/J260*100-100</f>
        <v>5.239178286902856</v>
      </c>
      <c r="O265" s="1597"/>
      <c r="P265" s="1597"/>
      <c r="Q265" s="1597"/>
      <c r="R265" s="1599">
        <f ca="1">R260/N260*100-100</f>
        <v>8.1402408090709031</v>
      </c>
      <c r="S265" s="1597"/>
      <c r="T265" s="1597"/>
      <c r="U265" s="1597"/>
      <c r="V265" s="1599">
        <f ca="1">V260/R260*100-100</f>
        <v>7.6233287300721599</v>
      </c>
      <c r="W265" s="1597"/>
      <c r="X265" s="1597"/>
      <c r="Y265" s="1597"/>
      <c r="Z265" s="1599">
        <f ca="1">Z260/V260*100-100</f>
        <v>-1.0214983734837375</v>
      </c>
      <c r="AA265" s="1597"/>
      <c r="AB265" s="1597"/>
      <c r="AC265" s="1597"/>
      <c r="AD265" s="1599">
        <f ca="1">AD260/Z260*100-100</f>
        <v>3.6213874204480874</v>
      </c>
      <c r="AE265" s="1597"/>
      <c r="AF265" s="1597"/>
      <c r="AG265" s="1597"/>
      <c r="AH265" s="1599">
        <f ca="1">AH260/AD260*100-100</f>
        <v>6.6996058629840434</v>
      </c>
      <c r="AI265" s="1597"/>
      <c r="AJ265" s="1597"/>
      <c r="AK265" s="1597"/>
      <c r="AL265" s="1599">
        <f ca="1">AL260/AH260*100-100</f>
        <v>6.8379975004915252</v>
      </c>
      <c r="AM265" s="1597"/>
      <c r="AN265" s="1597"/>
      <c r="AO265" s="1597"/>
      <c r="AP265" s="1599">
        <f ca="1">AP260/AL260*100-100</f>
        <v>10.275887367570675</v>
      </c>
      <c r="AQ265" s="1597"/>
      <c r="AR265" s="1597"/>
      <c r="AS265" s="1597"/>
      <c r="AT265" s="1599">
        <f ca="1">AT260/AP260*100-100</f>
        <v>7.4482608885224408</v>
      </c>
      <c r="AU265" s="1597"/>
      <c r="AV265" s="1597"/>
      <c r="AW265" s="1597"/>
      <c r="AX265" s="1599">
        <f ca="1">AX260/AT260*100-100</f>
        <v>7.7273873836427782</v>
      </c>
      <c r="AY265" s="1597"/>
      <c r="AZ265" s="1597"/>
      <c r="BA265" s="1611"/>
      <c r="BB265" s="1599">
        <f ca="1">BB260/AX260*100-100</f>
        <v>7.4064505195753867</v>
      </c>
      <c r="BC265" s="1611"/>
      <c r="BD265" s="1611"/>
      <c r="BE265" s="1611"/>
      <c r="BF265" s="1599">
        <f ca="1">BF260/BB260*100-100</f>
        <v>11.086962799861098</v>
      </c>
      <c r="BG265" s="1611"/>
      <c r="BH265" s="1611"/>
      <c r="BI265" s="1611"/>
      <c r="BJ265" s="1599">
        <f ca="1">BJ260/BF260*100-100</f>
        <v>2.6280823574654733</v>
      </c>
      <c r="BK265" s="1611"/>
      <c r="BL265" s="1611"/>
      <c r="BM265" s="1611"/>
      <c r="BN265" s="1599">
        <f ca="1">BN260/BJ260*100-100</f>
        <v>-14.814172950076227</v>
      </c>
      <c r="BO265" s="1611"/>
      <c r="BP265" s="1611"/>
      <c r="BQ265" s="1611"/>
      <c r="BR265" s="1599">
        <f ca="1">BR260/BN260*100-100</f>
        <v>1.6398269911627779</v>
      </c>
      <c r="BS265" s="1611"/>
      <c r="BT265" s="1611"/>
      <c r="BU265" s="1611"/>
      <c r="BV265" s="1599">
        <f ca="1">BV260/BR260*100-100</f>
        <v>6.0431373864246751</v>
      </c>
      <c r="BW265" s="1611"/>
      <c r="BX265" s="1611"/>
      <c r="BY265" s="1611"/>
      <c r="BZ265" s="1599">
        <f ca="1">BZ260/BV260*100-100</f>
        <v>3.826938223994091</v>
      </c>
      <c r="CA265" s="1611"/>
      <c r="CB265" s="1611"/>
      <c r="CC265" s="1611"/>
      <c r="CD265" s="1599">
        <f ca="1">CD260/BZ260*100-100</f>
        <v>3.4985772305690119</v>
      </c>
      <c r="CE265" s="1611"/>
      <c r="CF265" s="1611"/>
      <c r="CG265" s="1611"/>
      <c r="CH265" s="1599">
        <f ca="1">CH260/CD260*100-100</f>
        <v>3.5375855747539475</v>
      </c>
      <c r="CI265" s="1611"/>
      <c r="CJ265" s="1611"/>
      <c r="CK265" s="1611"/>
      <c r="CL265" s="1599">
        <f ca="1">CL260/CH260*100-100</f>
        <v>2.0346676424249068</v>
      </c>
      <c r="CM265" s="1611"/>
      <c r="CN265" s="1611"/>
      <c r="CO265" s="1611"/>
      <c r="CP265" s="1599">
        <f ca="1">CP260/CL260*100-100</f>
        <v>2.3448829366414117</v>
      </c>
      <c r="CQ265" s="1611"/>
      <c r="CR265" s="1611"/>
      <c r="CS265" s="1611"/>
      <c r="CT265" s="1599">
        <f ca="1">CT260/CP260*100-100</f>
        <v>3.8289347486644374</v>
      </c>
      <c r="CU265" s="1611"/>
      <c r="CV265" s="1611"/>
      <c r="CW265" s="1611"/>
      <c r="CX265" s="1599">
        <f ca="1">CX260/CT260*100-100</f>
        <v>3.1205873424164423</v>
      </c>
      <c r="CY265" s="1611"/>
      <c r="CZ265" s="1611"/>
      <c r="DA265" s="1611"/>
      <c r="DB265" s="1599">
        <f ca="1">DB260/CX260*100-100</f>
        <v>2.6426635456776779</v>
      </c>
      <c r="DC265"/>
      <c r="DD265"/>
      <c r="DE265"/>
      <c r="DF265"/>
      <c r="DG265"/>
      <c r="DH265"/>
      <c r="DI265"/>
      <c r="DJ265"/>
      <c r="DK265"/>
      <c r="DL265"/>
      <c r="DM265"/>
      <c r="DN265"/>
      <c r="DO265"/>
    </row>
    <row r="266" spans="1:119">
      <c r="E266" s="599"/>
      <c r="F266" s="3617"/>
      <c r="AY266" s="217"/>
      <c r="BB266" s="1955"/>
      <c r="BF266" s="217"/>
      <c r="BJ266" s="217"/>
      <c r="CM266" s="557"/>
      <c r="CN266" s="557"/>
      <c r="CO266" s="557"/>
      <c r="CP266" s="557"/>
      <c r="CQ266" s="557"/>
      <c r="CR266" s="557"/>
      <c r="CS266" s="557"/>
      <c r="CT266" s="557"/>
      <c r="CU266" s="557"/>
      <c r="CV266" s="557"/>
      <c r="CW266" s="557"/>
      <c r="CX266" s="557"/>
      <c r="CY266" s="557"/>
      <c r="CZ266" s="557"/>
      <c r="DA266" s="557"/>
      <c r="DB266" s="557"/>
    </row>
    <row r="267" spans="1:119" s="699" customFormat="1" ht="12.75" customHeight="1">
      <c r="A267" s="664"/>
      <c r="B267" s="664"/>
      <c r="C267" s="666"/>
      <c r="D267" s="858"/>
      <c r="E267" s="3625"/>
      <c r="F267" s="3626"/>
      <c r="G267" s="1593" t="str">
        <f>+G262</f>
        <v>Q1</v>
      </c>
      <c r="H267" s="1588" t="str">
        <f t="shared" ref="H267:BD267" si="647">+H262</f>
        <v>Q2</v>
      </c>
      <c r="I267" s="1588" t="str">
        <f t="shared" si="647"/>
        <v>Q3</v>
      </c>
      <c r="J267" s="1594" t="str">
        <f t="shared" si="647"/>
        <v>Q4</v>
      </c>
      <c r="K267" s="1593" t="str">
        <f>+K262</f>
        <v>Q1</v>
      </c>
      <c r="L267" s="1588" t="str">
        <f t="shared" si="647"/>
        <v>Q2</v>
      </c>
      <c r="M267" s="1588" t="str">
        <f t="shared" si="647"/>
        <v>Q3</v>
      </c>
      <c r="N267" s="1594" t="str">
        <f t="shared" si="647"/>
        <v>Q4</v>
      </c>
      <c r="O267" s="1593" t="str">
        <f>+O262</f>
        <v>Q1</v>
      </c>
      <c r="P267" s="1588" t="str">
        <f t="shared" si="647"/>
        <v>Q2</v>
      </c>
      <c r="Q267" s="1588" t="str">
        <f t="shared" si="647"/>
        <v>Q3</v>
      </c>
      <c r="R267" s="1594" t="str">
        <f t="shared" si="647"/>
        <v>Q4</v>
      </c>
      <c r="S267" s="1593" t="str">
        <f>+S262</f>
        <v>Q1</v>
      </c>
      <c r="T267" s="1588" t="str">
        <f t="shared" si="647"/>
        <v>Q2</v>
      </c>
      <c r="U267" s="1588" t="str">
        <f t="shared" si="647"/>
        <v>Q3</v>
      </c>
      <c r="V267" s="1594" t="str">
        <f t="shared" si="647"/>
        <v>Q4</v>
      </c>
      <c r="W267" s="1593" t="str">
        <f>+W262</f>
        <v>Q1</v>
      </c>
      <c r="X267" s="1588" t="str">
        <f t="shared" si="647"/>
        <v>Q2</v>
      </c>
      <c r="Y267" s="1588" t="str">
        <f t="shared" si="647"/>
        <v>Q3</v>
      </c>
      <c r="Z267" s="1594" t="str">
        <f t="shared" si="647"/>
        <v>Q4</v>
      </c>
      <c r="AA267" s="1593" t="str">
        <f>+AA262</f>
        <v>Q1</v>
      </c>
      <c r="AB267" s="1588" t="str">
        <f t="shared" si="647"/>
        <v>Q2</v>
      </c>
      <c r="AC267" s="1588" t="str">
        <f t="shared" si="647"/>
        <v>Q3</v>
      </c>
      <c r="AD267" s="1594" t="str">
        <f t="shared" si="647"/>
        <v>Q4</v>
      </c>
      <c r="AE267" s="1593" t="str">
        <f>+AE262</f>
        <v>Q1</v>
      </c>
      <c r="AF267" s="1588" t="str">
        <f t="shared" si="647"/>
        <v>Q2</v>
      </c>
      <c r="AG267" s="1588" t="str">
        <f t="shared" si="647"/>
        <v>Q3</v>
      </c>
      <c r="AH267" s="1594" t="str">
        <f t="shared" si="647"/>
        <v>Q4</v>
      </c>
      <c r="AI267" s="1593" t="str">
        <f>+AI262</f>
        <v>Q1</v>
      </c>
      <c r="AJ267" s="1588" t="str">
        <f t="shared" si="647"/>
        <v>Q2</v>
      </c>
      <c r="AK267" s="1588" t="str">
        <f t="shared" si="647"/>
        <v>Q3</v>
      </c>
      <c r="AL267" s="1594" t="str">
        <f t="shared" si="647"/>
        <v>Q4</v>
      </c>
      <c r="AM267" s="1593" t="str">
        <f>+AM262</f>
        <v>Q1</v>
      </c>
      <c r="AN267" s="1588" t="str">
        <f t="shared" si="647"/>
        <v>Q2</v>
      </c>
      <c r="AO267" s="1588" t="str">
        <f t="shared" si="647"/>
        <v>Q3</v>
      </c>
      <c r="AP267" s="1594" t="str">
        <f t="shared" si="647"/>
        <v>Q4</v>
      </c>
      <c r="AQ267" s="1593" t="str">
        <f>+AQ262</f>
        <v>Q1</v>
      </c>
      <c r="AR267" s="1588" t="str">
        <f t="shared" si="647"/>
        <v>Q2</v>
      </c>
      <c r="AS267" s="1588" t="str">
        <f t="shared" si="647"/>
        <v>Q3</v>
      </c>
      <c r="AT267" s="1594" t="str">
        <f t="shared" si="647"/>
        <v>Q4</v>
      </c>
      <c r="AU267" s="1593" t="str">
        <f>+AU262</f>
        <v>Q1</v>
      </c>
      <c r="AV267" s="1588" t="str">
        <f t="shared" si="647"/>
        <v>Q2</v>
      </c>
      <c r="AW267" s="1588" t="str">
        <f t="shared" si="647"/>
        <v>Q3</v>
      </c>
      <c r="AX267" s="1594" t="str">
        <f t="shared" si="647"/>
        <v>Q4</v>
      </c>
      <c r="AY267" s="1593" t="str">
        <f>+AY262</f>
        <v>Q1</v>
      </c>
      <c r="AZ267" s="1588" t="str">
        <f t="shared" si="647"/>
        <v>Q2</v>
      </c>
      <c r="BA267" s="1588" t="str">
        <f t="shared" si="647"/>
        <v>Q3</v>
      </c>
      <c r="BB267" s="1594" t="str">
        <f t="shared" si="647"/>
        <v>Q4</v>
      </c>
      <c r="BC267" s="1593" t="str">
        <f>+BC262</f>
        <v>Q1</v>
      </c>
      <c r="BD267" s="1588" t="str">
        <f t="shared" si="647"/>
        <v>Q2</v>
      </c>
      <c r="BE267" s="1588" t="str">
        <f t="shared" ref="BE267:BJ267" si="648">+BE262</f>
        <v>Q3</v>
      </c>
      <c r="BF267" s="1594" t="str">
        <f t="shared" si="648"/>
        <v>Q4</v>
      </c>
      <c r="BG267" s="1593" t="str">
        <f t="shared" si="648"/>
        <v>Q1</v>
      </c>
      <c r="BH267" s="1588" t="str">
        <f t="shared" si="648"/>
        <v>Q2</v>
      </c>
      <c r="BI267" s="1588" t="str">
        <f t="shared" si="648"/>
        <v>Q3</v>
      </c>
      <c r="BJ267" s="1594" t="str">
        <f t="shared" si="648"/>
        <v>Q4</v>
      </c>
      <c r="BK267" s="1593" t="str">
        <f t="shared" ref="BK267:BR267" si="649">+BK262</f>
        <v>Q1</v>
      </c>
      <c r="BL267" s="1588" t="str">
        <f t="shared" si="649"/>
        <v>Q2</v>
      </c>
      <c r="BM267" s="1588" t="str">
        <f t="shared" si="649"/>
        <v>Q3</v>
      </c>
      <c r="BN267" s="1594" t="str">
        <f t="shared" si="649"/>
        <v>Q4</v>
      </c>
      <c r="BO267" s="1593" t="str">
        <f t="shared" si="649"/>
        <v>Q1</v>
      </c>
      <c r="BP267" s="1588" t="str">
        <f t="shared" si="649"/>
        <v>Q2</v>
      </c>
      <c r="BQ267" s="1588" t="str">
        <f t="shared" si="649"/>
        <v>Q3</v>
      </c>
      <c r="BR267" s="1594" t="str">
        <f t="shared" si="649"/>
        <v>Q4</v>
      </c>
      <c r="BS267" s="1593" t="str">
        <f t="shared" ref="BS267:CD267" si="650">+BS262</f>
        <v>Q1</v>
      </c>
      <c r="BT267" s="1588" t="str">
        <f t="shared" si="650"/>
        <v>Q2</v>
      </c>
      <c r="BU267" s="1588" t="str">
        <f t="shared" si="650"/>
        <v>Q3</v>
      </c>
      <c r="BV267" s="1594" t="str">
        <f t="shared" si="650"/>
        <v>Q4</v>
      </c>
      <c r="BW267" s="1593" t="str">
        <f t="shared" si="650"/>
        <v>Q1</v>
      </c>
      <c r="BX267" s="1588" t="str">
        <f t="shared" si="650"/>
        <v>Q2</v>
      </c>
      <c r="BY267" s="1588" t="str">
        <f t="shared" si="650"/>
        <v>Q3</v>
      </c>
      <c r="BZ267" s="1594" t="str">
        <f t="shared" si="650"/>
        <v>Q4</v>
      </c>
      <c r="CA267" s="1593" t="str">
        <f t="shared" si="650"/>
        <v>Q1</v>
      </c>
      <c r="CB267" s="1588" t="str">
        <f t="shared" si="650"/>
        <v>Q2</v>
      </c>
      <c r="CC267" s="1588" t="str">
        <f t="shared" si="650"/>
        <v>Q3</v>
      </c>
      <c r="CD267" s="1594" t="str">
        <f t="shared" si="650"/>
        <v>Q4</v>
      </c>
      <c r="CE267" s="1593" t="str">
        <f t="shared" ref="CE267:CL267" si="651">+CE262</f>
        <v>Q1</v>
      </c>
      <c r="CF267" s="1588" t="str">
        <f t="shared" si="651"/>
        <v>Q2</v>
      </c>
      <c r="CG267" s="1588" t="str">
        <f t="shared" si="651"/>
        <v>Q3</v>
      </c>
      <c r="CH267" s="1594" t="str">
        <f t="shared" si="651"/>
        <v>Q4</v>
      </c>
      <c r="CI267" s="1593" t="str">
        <f t="shared" si="651"/>
        <v>Q1</v>
      </c>
      <c r="CJ267" s="1588" t="str">
        <f t="shared" si="651"/>
        <v>Q2</v>
      </c>
      <c r="CK267" s="1588" t="str">
        <f t="shared" si="651"/>
        <v>Q3</v>
      </c>
      <c r="CL267" s="1594" t="str">
        <f t="shared" si="651"/>
        <v>Q4</v>
      </c>
      <c r="CM267" s="1593" t="str">
        <f t="shared" ref="CM267:CT267" si="652">+CM262</f>
        <v>Q1</v>
      </c>
      <c r="CN267" s="1588" t="str">
        <f t="shared" si="652"/>
        <v>Q2</v>
      </c>
      <c r="CO267" s="1588" t="str">
        <f t="shared" si="652"/>
        <v>Q3</v>
      </c>
      <c r="CP267" s="1594" t="str">
        <f t="shared" si="652"/>
        <v>Q4</v>
      </c>
      <c r="CQ267" s="1593" t="str">
        <f t="shared" si="652"/>
        <v>Q1</v>
      </c>
      <c r="CR267" s="1588" t="str">
        <f t="shared" si="652"/>
        <v>Q2</v>
      </c>
      <c r="CS267" s="1588" t="str">
        <f t="shared" si="652"/>
        <v>Q3</v>
      </c>
      <c r="CT267" s="1594" t="str">
        <f t="shared" si="652"/>
        <v>Q4</v>
      </c>
      <c r="CU267" s="1593" t="str">
        <f t="shared" ref="CU267:DB267" si="653">+CU262</f>
        <v>Q1</v>
      </c>
      <c r="CV267" s="1588" t="str">
        <f t="shared" si="653"/>
        <v>Q2</v>
      </c>
      <c r="CW267" s="1588" t="str">
        <f t="shared" si="653"/>
        <v>Q3</v>
      </c>
      <c r="CX267" s="1594" t="str">
        <f t="shared" si="653"/>
        <v>Q4</v>
      </c>
      <c r="CY267" s="1593" t="str">
        <f t="shared" si="653"/>
        <v>Q1</v>
      </c>
      <c r="CZ267" s="1588" t="str">
        <f t="shared" si="653"/>
        <v>Q2</v>
      </c>
      <c r="DA267" s="1588" t="str">
        <f t="shared" si="653"/>
        <v>Q3</v>
      </c>
      <c r="DB267" s="1594" t="str">
        <f t="shared" si="653"/>
        <v>Q4</v>
      </c>
      <c r="DC267"/>
      <c r="DD267"/>
      <c r="DE267"/>
      <c r="DF267"/>
      <c r="DG267"/>
      <c r="DH267"/>
      <c r="DI267"/>
      <c r="DJ267"/>
      <c r="DK267"/>
      <c r="DL267"/>
      <c r="DM267"/>
      <c r="DN267"/>
      <c r="DO267"/>
    </row>
    <row r="268" spans="1:119" s="699" customFormat="1" ht="12.75" customHeight="1">
      <c r="A268" s="664"/>
      <c r="B268" s="664"/>
      <c r="C268" s="862"/>
      <c r="D268" s="863"/>
      <c r="E268" s="3627" t="s">
        <v>1848</v>
      </c>
      <c r="F268" s="3628"/>
      <c r="G268" s="705"/>
      <c r="H268" s="705"/>
      <c r="I268" s="705"/>
      <c r="J268" s="705"/>
      <c r="K268" s="1564">
        <f t="shared" ref="K268:BE268" si="654">(K258/G258-1)*100</f>
        <v>5.5771310842132493</v>
      </c>
      <c r="L268" s="1564">
        <f t="shared" si="654"/>
        <v>3.0643255959532656</v>
      </c>
      <c r="M268" s="1564">
        <f t="shared" si="654"/>
        <v>6.6106108935277019</v>
      </c>
      <c r="N268" s="1564">
        <f t="shared" si="654"/>
        <v>4.8372945850297056</v>
      </c>
      <c r="O268" s="1564">
        <f t="shared" si="654"/>
        <v>5.2698338358262875</v>
      </c>
      <c r="P268" s="1564">
        <f t="shared" si="654"/>
        <v>9.0734536334959657</v>
      </c>
      <c r="Q268" s="1564">
        <f t="shared" si="654"/>
        <v>8.5421854436312117</v>
      </c>
      <c r="R268" s="1564">
        <f t="shared" si="654"/>
        <v>9.8610223041335932</v>
      </c>
      <c r="S268" s="1564">
        <f t="shared" si="654"/>
        <v>10.533877097043277</v>
      </c>
      <c r="T268" s="1564">
        <f t="shared" si="654"/>
        <v>8.9716184659601304</v>
      </c>
      <c r="U268" s="1564">
        <f t="shared" si="654"/>
        <v>6.8109456642155175</v>
      </c>
      <c r="V268" s="1564">
        <f t="shared" si="654"/>
        <v>4.8076346985064466</v>
      </c>
      <c r="W268" s="1564">
        <f t="shared" si="654"/>
        <v>1.1370592427990545</v>
      </c>
      <c r="X268" s="1564">
        <f t="shared" si="654"/>
        <v>-0.22500803600128405</v>
      </c>
      <c r="Y268" s="1564">
        <f t="shared" si="654"/>
        <v>-2.6950435698710695</v>
      </c>
      <c r="Z268" s="1564">
        <f t="shared" si="654"/>
        <v>-2.5561036161108053</v>
      </c>
      <c r="AA268" s="1564">
        <f t="shared" si="654"/>
        <v>1.0770161925529154</v>
      </c>
      <c r="AB268" s="1564">
        <f t="shared" si="654"/>
        <v>1.918946603224958</v>
      </c>
      <c r="AC268" s="1564">
        <f t="shared" si="654"/>
        <v>4.9241693034654643</v>
      </c>
      <c r="AD268" s="1564">
        <f t="shared" si="654"/>
        <v>6.4967063911097744</v>
      </c>
      <c r="AE268" s="1564">
        <f t="shared" si="654"/>
        <v>7.1897301287835225</v>
      </c>
      <c r="AF268" s="1564">
        <f t="shared" si="654"/>
        <v>5.8543188062798457</v>
      </c>
      <c r="AG268" s="1564">
        <f t="shared" si="654"/>
        <v>6.8032380373398205</v>
      </c>
      <c r="AH268" s="1564">
        <f t="shared" si="654"/>
        <v>7.5853439728032379</v>
      </c>
      <c r="AI268" s="1564">
        <f t="shared" si="654"/>
        <v>5.0086091448249492</v>
      </c>
      <c r="AJ268" s="1564">
        <f t="shared" si="654"/>
        <v>8.1859389595871246</v>
      </c>
      <c r="AK268" s="1564">
        <f t="shared" si="654"/>
        <v>7.5000561717807779</v>
      </c>
      <c r="AL268" s="1564">
        <f t="shared" si="654"/>
        <v>6.5531441779494548</v>
      </c>
      <c r="AM268" s="1564">
        <f t="shared" si="654"/>
        <v>10.659524850604862</v>
      </c>
      <c r="AN268" s="1564">
        <f t="shared" si="654"/>
        <v>9.1257174806961707</v>
      </c>
      <c r="AO268" s="1564">
        <f t="shared" si="654"/>
        <v>10.338389081256594</v>
      </c>
      <c r="AP268" s="1564">
        <f t="shared" si="654"/>
        <v>10.559338788511162</v>
      </c>
      <c r="AQ268" s="1564">
        <f t="shared" si="654"/>
        <v>7.687343180965045</v>
      </c>
      <c r="AR268" s="1564">
        <f t="shared" si="654"/>
        <v>7.9293325637050938</v>
      </c>
      <c r="AS268" s="1564">
        <f t="shared" si="654"/>
        <v>5.9720152552218853</v>
      </c>
      <c r="AT268" s="1564">
        <f t="shared" si="654"/>
        <v>6.8653991828827587</v>
      </c>
      <c r="AU268" s="1564">
        <f t="shared" si="654"/>
        <v>35.400774951076322</v>
      </c>
      <c r="AV268" s="1564">
        <f t="shared" si="654"/>
        <v>34.932933364580897</v>
      </c>
      <c r="AW268" s="1564">
        <f t="shared" si="654"/>
        <v>37.647045701006988</v>
      </c>
      <c r="AX268" s="1564">
        <f t="shared" si="654"/>
        <v>37.30873866283968</v>
      </c>
      <c r="AY268" s="1564">
        <f t="shared" si="654"/>
        <v>7.0893893082153436</v>
      </c>
      <c r="AZ268" s="1564">
        <f t="shared" si="654"/>
        <v>8.1235680346900772</v>
      </c>
      <c r="BA268" s="1564">
        <f t="shared" si="654"/>
        <v>6.9246405404597366</v>
      </c>
      <c r="BB268" s="1564">
        <f t="shared" si="654"/>
        <v>7.629594997370126</v>
      </c>
      <c r="BC268" s="1564">
        <f t="shared" si="654"/>
        <v>10.509683995922536</v>
      </c>
      <c r="BD268" s="1564">
        <f t="shared" si="654"/>
        <v>11.000341316343377</v>
      </c>
      <c r="BE268" s="1564">
        <f t="shared" si="654"/>
        <v>12.021414892576088</v>
      </c>
      <c r="BF268" s="1564">
        <f t="shared" ref="BF268:BN268" si="655">(BF258/BB258-1)*100</f>
        <v>10.747156082860476</v>
      </c>
      <c r="BG268" s="1564">
        <f t="shared" si="655"/>
        <v>6.9722086786933257</v>
      </c>
      <c r="BH268" s="1564">
        <f t="shared" si="655"/>
        <v>4.9019231015617892</v>
      </c>
      <c r="BI268" s="1564">
        <f t="shared" si="655"/>
        <v>1.059409276382306</v>
      </c>
      <c r="BJ268" s="1564">
        <f t="shared" si="655"/>
        <v>-1.9097115820698063</v>
      </c>
      <c r="BK268" s="1564">
        <f t="shared" si="655"/>
        <v>-14.342555864889505</v>
      </c>
      <c r="BL268" s="1564">
        <f t="shared" si="655"/>
        <v>-15.972739597200681</v>
      </c>
      <c r="BM268" s="1564">
        <f t="shared" si="655"/>
        <v>-14.55030374870352</v>
      </c>
      <c r="BN268" s="1564">
        <f t="shared" si="655"/>
        <v>-14.857856919712574</v>
      </c>
      <c r="BO268" s="1564">
        <f t="shared" ref="BO268:BZ268" si="656">(BO258/BK258-1)*100</f>
        <v>-1.0498310203494676</v>
      </c>
      <c r="BP268" s="1564">
        <f t="shared" si="656"/>
        <v>1.6817104899780722</v>
      </c>
      <c r="BQ268" s="1564">
        <f t="shared" si="656"/>
        <v>1.0172822380209334</v>
      </c>
      <c r="BR268" s="1564">
        <f t="shared" si="656"/>
        <v>5.1515373890071103</v>
      </c>
      <c r="BS268" s="1564">
        <f>(BS258/BO258-1)*100</f>
        <v>6.110021074049854</v>
      </c>
      <c r="BT268" s="1564">
        <f>(BT258/BP258-1)*100</f>
        <v>6.0252158499628283</v>
      </c>
      <c r="BU268" s="1564">
        <f>(BU258/BQ258-1)*100</f>
        <v>6.6458774389197117</v>
      </c>
      <c r="BV268" s="1564">
        <f>(BV258/BR258-1)*100</f>
        <v>5.3416149068322927</v>
      </c>
      <c r="BW268" s="1564">
        <f t="shared" si="656"/>
        <v>4.099494582859653</v>
      </c>
      <c r="BX268" s="1564">
        <f t="shared" si="656"/>
        <v>2.6155775168192452</v>
      </c>
      <c r="BY268" s="1564">
        <f t="shared" si="656"/>
        <v>4.6462966440432352</v>
      </c>
      <c r="BZ268" s="1564">
        <f t="shared" si="656"/>
        <v>3.9180093279626682</v>
      </c>
      <c r="CA268" s="1564">
        <f t="shared" ref="CA268:CH268" si="657">(CA258/BW258-1)*100</f>
        <v>3.4104365674587411</v>
      </c>
      <c r="CB268" s="1564">
        <f t="shared" si="657"/>
        <v>4.2017579587707354</v>
      </c>
      <c r="CC268" s="1564">
        <f t="shared" si="657"/>
        <v>3.027506472865249</v>
      </c>
      <c r="CD268" s="1564">
        <f t="shared" si="657"/>
        <v>3.401802904537865</v>
      </c>
      <c r="CE268" s="1564">
        <f t="shared" si="657"/>
        <v>4.457083237906212</v>
      </c>
      <c r="CF268" s="1564">
        <f t="shared" si="657"/>
        <v>4.2050713033829901</v>
      </c>
      <c r="CG268" s="1564">
        <f t="shared" si="657"/>
        <v>3.1152027867628718</v>
      </c>
      <c r="CH268" s="1564">
        <f t="shared" si="657"/>
        <v>2.4439868305855983</v>
      </c>
      <c r="CI268" s="1564">
        <f t="shared" ref="CI268:CP268" si="658">(CI258/CE258-1)*100</f>
        <v>1.6760661169104463</v>
      </c>
      <c r="CJ268" s="1564">
        <f t="shared" si="658"/>
        <v>1.8694642079279733</v>
      </c>
      <c r="CK268" s="1564">
        <f t="shared" si="658"/>
        <v>2.3285555716422879</v>
      </c>
      <c r="CL268" s="1564">
        <f t="shared" si="658"/>
        <v>2.2316108763947407</v>
      </c>
      <c r="CM268" s="1564">
        <f t="shared" si="658"/>
        <v>2.0940903046494208</v>
      </c>
      <c r="CN268" s="1564">
        <f t="shared" si="658"/>
        <v>1.8684151136134197</v>
      </c>
      <c r="CO268" s="1564">
        <f t="shared" si="658"/>
        <v>2.1623788525479304</v>
      </c>
      <c r="CP268" s="1564">
        <f t="shared" si="658"/>
        <v>3.2142983292713145</v>
      </c>
      <c r="CQ268" s="1564">
        <f t="shared" ref="CQ268:CX268" si="659">(CQ258/CM258-1)*100</f>
        <v>3.9825864516961795</v>
      </c>
      <c r="CR268" s="1564">
        <f t="shared" si="659"/>
        <v>4.0682353489890577</v>
      </c>
      <c r="CS268" s="1564">
        <f t="shared" si="659"/>
        <v>3.5684608992706091</v>
      </c>
      <c r="CT268" s="1564">
        <f t="shared" si="659"/>
        <v>3.7518679488495854</v>
      </c>
      <c r="CU268" s="1564">
        <f t="shared" si="659"/>
        <v>3.2941294363256768</v>
      </c>
      <c r="CV268" s="1564">
        <f t="shared" si="659"/>
        <v>3.2144300836068895</v>
      </c>
      <c r="CW268" s="1564">
        <f t="shared" si="659"/>
        <v>3.3089797462459103</v>
      </c>
      <c r="CX268" s="1564">
        <f t="shared" si="659"/>
        <v>2.6712193044670762</v>
      </c>
      <c r="CY268" s="1564">
        <f t="shared" ref="CY268" si="660">(CY258/CU258-1)*100</f>
        <v>2.6712193044670762</v>
      </c>
      <c r="CZ268" s="1564">
        <f t="shared" ref="CZ268" si="661">(CZ258/CV258-1)*100</f>
        <v>2.671219304467054</v>
      </c>
      <c r="DA268" s="1564">
        <f t="shared" ref="DA268" si="662">(DA258/CW258-1)*100</f>
        <v>2.671219304467054</v>
      </c>
      <c r="DB268" s="1564">
        <f t="shared" ref="DB268" si="663">(DB258/CX258-1)*100</f>
        <v>2.5593235258590807</v>
      </c>
      <c r="DC268"/>
      <c r="DD268"/>
      <c r="DE268"/>
      <c r="DF268"/>
      <c r="DG268"/>
      <c r="DH268"/>
      <c r="DI268"/>
      <c r="DJ268"/>
      <c r="DK268"/>
      <c r="DL268"/>
      <c r="DM268"/>
      <c r="DN268"/>
      <c r="DO268"/>
    </row>
    <row r="269" spans="1:119" s="699" customFormat="1" ht="12.75" customHeight="1">
      <c r="A269" s="664"/>
      <c r="B269" s="664"/>
      <c r="C269" s="944"/>
      <c r="D269" s="674"/>
      <c r="E269" s="3629" t="s">
        <v>1938</v>
      </c>
      <c r="F269" s="3630"/>
      <c r="G269" s="705"/>
      <c r="H269" s="705"/>
      <c r="I269" s="705"/>
      <c r="J269" s="705"/>
      <c r="K269" s="1564">
        <f>(4*K258/J259-1)*100</f>
        <v>3.360588159656297</v>
      </c>
      <c r="L269" s="1564">
        <f>((K258+3*L258)/J259-1)*100</f>
        <v>3.0497167363795263</v>
      </c>
      <c r="M269" s="1564">
        <f>((K258+L258+2*M258)/J259-1)*100</f>
        <v>4.8342649390989534</v>
      </c>
      <c r="N269" s="1621"/>
      <c r="O269" s="1564">
        <f>(4*O258/N259-1)*100</f>
        <v>3.6078860687774439</v>
      </c>
      <c r="P269" s="1564">
        <f>((O258+3*P258)/N259-1)*100</f>
        <v>6.092689157135589</v>
      </c>
      <c r="Q269" s="1564">
        <f>((O258+P258+2*Q258)/N259-1)*100</f>
        <v>7.6767211162647842</v>
      </c>
      <c r="R269" s="1621"/>
      <c r="S269" s="1564">
        <f>(4*S258/R259-1)*100</f>
        <v>5.8388654194327039</v>
      </c>
      <c r="T269" s="1564">
        <f>((S258+3*T258)/R259-1)*100</f>
        <v>7.2193723596861714</v>
      </c>
      <c r="U269" s="1564">
        <f>((S258+T258+2*U258)/R259-1)*100</f>
        <v>7.715485107742559</v>
      </c>
      <c r="V269" s="1621"/>
      <c r="W269" s="1564">
        <f>(4*W258/V259-1)*100</f>
        <v>-0.62597454493772409</v>
      </c>
      <c r="X269" s="1564">
        <f>((W258+3*X258)/V259-1)*100</f>
        <v>-0.350990662906836</v>
      </c>
      <c r="Y269" s="1564">
        <f>((W258+X258+2*Y258)/V259-1)*100</f>
        <v>-1.1374239674715736</v>
      </c>
      <c r="Z269" s="1621"/>
      <c r="AA269" s="1564">
        <f>(4*AA258/Z259-1)*100</f>
        <v>1.562890514354276</v>
      </c>
      <c r="AB269" s="1564">
        <f>((AA258+3*AB258)/Z259-1)*100</f>
        <v>2.4807554526217634</v>
      </c>
      <c r="AC269" s="1564">
        <f>((AA258+AB258+2*AC258)/Z259-1)*100</f>
        <v>3.1618124864621899</v>
      </c>
      <c r="AD269" s="1621"/>
      <c r="AE269" s="1564">
        <f>(4*AE258/AD259-1)*100</f>
        <v>5.0913090070509703</v>
      </c>
      <c r="AF269" s="1564">
        <f>((AE258+3*AF258)/AD259-1)*100</f>
        <v>5.0472780204955159</v>
      </c>
      <c r="AG269" s="1564">
        <f>((AE258+AF258+2*AG258)/AD259-1)*100</f>
        <v>6.2202313335759207</v>
      </c>
      <c r="AH269" s="1621"/>
      <c r="AI269" s="1564">
        <f>(4*AI258/AH259-1)*100</f>
        <v>3.2682419300519738</v>
      </c>
      <c r="AJ269" s="1564">
        <f>((AI258+3*AJ258)/AH259-1)*100</f>
        <v>5.5671681947060181</v>
      </c>
      <c r="AK269" s="1564">
        <f>((AI258+AJ258+2*AK258)/AH259-1)*100</f>
        <v>6.4100513820085636</v>
      </c>
      <c r="AL269" s="1621"/>
      <c r="AM269" s="1564">
        <f>(4*AM258/AL259-1)*100</f>
        <v>6.9876241373357795</v>
      </c>
      <c r="AN269" s="1564">
        <f>((AM258+3*AN258)/AL259-1)*100</f>
        <v>8.2241535410186195</v>
      </c>
      <c r="AO269" s="1564">
        <f>((AM258+AN258+2*AO258)/AL259-1)*100</f>
        <v>9.698477060794275</v>
      </c>
      <c r="AP269" s="1621"/>
      <c r="AQ269" s="1564">
        <f>(4*AQ258/AP259-1)*100</f>
        <v>4.5758321875100094</v>
      </c>
      <c r="AR269" s="1564">
        <f>((AQ258+3*AR258)/AP259-1)*100</f>
        <v>5.9634509001375013</v>
      </c>
      <c r="AS269" s="1564">
        <f>((AQ258+AR258+2*AS258)/AP259-1)*100</f>
        <v>6.4165574137434955</v>
      </c>
      <c r="AT269" s="1621"/>
      <c r="AU269" s="1564">
        <f>(4*AU258/AT259-1)*100</f>
        <v>32.208353929246393</v>
      </c>
      <c r="AV269" s="1564">
        <f>((AU258+3*AV258)/AT259-1)*100</f>
        <v>33.613959401320237</v>
      </c>
      <c r="AW269" s="1564">
        <f>((AU258+AV258+2*AW258)/AT259-1)*100</f>
        <v>35.544798454634766</v>
      </c>
      <c r="AX269" s="1621"/>
      <c r="AY269" s="1564">
        <f>(4*AY258/AX259-1)*100</f>
        <v>3.8460229785979072</v>
      </c>
      <c r="AZ269" s="1564">
        <f>((AY258+3*AZ258)/AX259-1)*100</f>
        <v>5.7128922864045251</v>
      </c>
      <c r="BA269" s="1564">
        <f>((AY258+AZ258+2*BA258)/AX259-1)*100</f>
        <v>6.6376315182584911</v>
      </c>
      <c r="BB269" s="1621"/>
      <c r="BC269" s="1564">
        <f>(4*BC258/BB259-1)*100</f>
        <v>6.8112642553775471</v>
      </c>
      <c r="BD269" s="1564">
        <f>((BC258+3*BD258)/BB259-1)*100</f>
        <v>9.0956434229092498</v>
      </c>
      <c r="BE269" s="1564">
        <f>((BC258+BD258+2*BE258)/BB259-1)*100</f>
        <v>10.565077711820559</v>
      </c>
      <c r="BF269" s="1621"/>
      <c r="BG269" s="1564">
        <f>(4*BG258/BF259-1)*100</f>
        <v>2.8676424000507073</v>
      </c>
      <c r="BH269" s="1564">
        <f>((BG258+3*BH258)/BF259-1)*100</f>
        <v>3.5319647722232839</v>
      </c>
      <c r="BI269" s="1564">
        <f>((BG258+BH258+2*BI258)/BF259-1)*100</f>
        <v>2.968700500538568</v>
      </c>
      <c r="BJ269" s="1621"/>
      <c r="BK269" s="1564">
        <f>(4*BK258/BJ259-1)*100</f>
        <v>-14.172334201463899</v>
      </c>
      <c r="BL269" s="1564">
        <f>((BK258+3*BL258)/BJ259-1)*100</f>
        <v>-14.853672685979513</v>
      </c>
      <c r="BM269" s="1564">
        <f>((BK258+BL258+2*BM258)/BJ259-1)*100</f>
        <v>-14.603725144105573</v>
      </c>
      <c r="BN269" s="1621"/>
      <c r="BO269" s="1564">
        <f>(4*BO258/BN259-1)*100</f>
        <v>-0.16432512433208757</v>
      </c>
      <c r="BP269" s="1564">
        <f>((BO258+3*BP258)/BN259-1)*100</f>
        <v>1.088245856503911</v>
      </c>
      <c r="BQ269" s="1564">
        <f>((BO258+BP258+2*BQ258)/BN259-1)*100</f>
        <v>1.053421989095793</v>
      </c>
      <c r="BR269" s="1621"/>
      <c r="BS269" s="1564">
        <f>(4*BS258/BR259-1)*100</f>
        <v>4.1817390497798756</v>
      </c>
      <c r="BT269" s="1564">
        <f>((BS258+3*BT258)/BR259-1)*100</f>
        <v>5.4253444351691327</v>
      </c>
      <c r="BU269" s="1564">
        <f>((BS258+BT258+2*BU258)/BR259-1)*100</f>
        <v>5.6986094165828227</v>
      </c>
      <c r="BV269" s="1621"/>
      <c r="BW269" s="1564">
        <f>(4*BW258/BV259-1)*100</f>
        <v>2.2886482776256267</v>
      </c>
      <c r="BX269" s="1564">
        <f>((BW258+3*BX258)/BV259-1)*100</f>
        <v>2.398672974300653</v>
      </c>
      <c r="BY269" s="1564">
        <f>((BW258+BX258+2*BY258)/BV259-1)*100</f>
        <v>3.6819579685470671</v>
      </c>
      <c r="BZ269" s="1621"/>
      <c r="CA269" s="1564">
        <f>(4*CA258/BZ259-1)*100</f>
        <v>1.8848846253564977</v>
      </c>
      <c r="CB269" s="1564">
        <f>((CA258+3*CB258)/BZ259-1)*100</f>
        <v>2.5800492610837278</v>
      </c>
      <c r="CC269" s="1564">
        <f>((CA258+CB258+2*CC258)/BZ259-1)*100</f>
        <v>3.2742416385791895</v>
      </c>
      <c r="CD269" s="1621"/>
      <c r="CE269" s="1564">
        <f>(4*CE258/CD259-1)*100</f>
        <v>2.8204646502598907</v>
      </c>
      <c r="CF269" s="1564">
        <f>((CE258+3*CF258)/CD259-1)*100</f>
        <v>3.3342726532656908</v>
      </c>
      <c r="CG269" s="1564">
        <f>((CE258+CF258+2*CG258)/CD259-1)*100</f>
        <v>3.4845638424447323</v>
      </c>
      <c r="CH269" s="1621"/>
      <c r="CI269" s="1564">
        <f>(4*CI258/CH259-1)*100</f>
        <v>0.96400406405727779</v>
      </c>
      <c r="CJ269" s="1564">
        <f>((CI258+3*CJ258)/CH259-1)*100</f>
        <v>1.6135275049590891</v>
      </c>
      <c r="CK269" s="1564">
        <f>((CI258+CJ258+2*CK258)/CH259-1)*100</f>
        <v>1.9915090231747978</v>
      </c>
      <c r="CL269" s="1621"/>
      <c r="CM269" s="1564">
        <f>(4*CM258/CL259-1)*100</f>
        <v>1.0299073231597289</v>
      </c>
      <c r="CN269" s="1564">
        <f>((CM258+3*CN258)/CL259-1)*100</f>
        <v>1.5109259089117533</v>
      </c>
      <c r="CO269" s="1564">
        <f>((CM258+CN258+2*CO258)/CL259-1)*100</f>
        <v>2.0361045496711805</v>
      </c>
      <c r="CP269" s="1621"/>
      <c r="CQ269" s="1564">
        <f>(4*CQ258/CP259-1)*100</f>
        <v>2.6545494564052419</v>
      </c>
      <c r="CR269" s="1564">
        <f>((CQ258+3*CR258)/CP259-1)*100</f>
        <v>3.2071220467196015</v>
      </c>
      <c r="CS269" s="1564">
        <f>((CQ258+CR258+2*CS258)/CP259-1)*100</f>
        <v>3.4903589404970736</v>
      </c>
      <c r="CT269" s="1621"/>
      <c r="CU269" s="1564">
        <f>(4*CU258/CT259-1)*100</f>
        <v>2.1135691296805481</v>
      </c>
      <c r="CV269" s="1564">
        <f>((CU258+3*CV258)/CT259-1)*100</f>
        <v>2.6037142615030096</v>
      </c>
      <c r="CW269" s="1564">
        <f>((CU258+CV258+2*CW258)/CT259-1)*100</f>
        <v>2.9325689686137579</v>
      </c>
      <c r="CX269" s="1621"/>
      <c r="CY269" s="1564">
        <f>(4*CY258/CX259-1)*100</f>
        <v>1.6691684452607713</v>
      </c>
      <c r="CZ269" s="1564">
        <f>((CY258+3*CZ258)/CX259-1)*100</f>
        <v>2.1571804537980022</v>
      </c>
      <c r="DA269" s="1564">
        <f>((CY258+CZ258+2*DA258)/CX259-1)*100</f>
        <v>2.4846039773926076</v>
      </c>
      <c r="DB269" s="1621"/>
      <c r="DC269"/>
      <c r="DD269"/>
      <c r="DE269"/>
      <c r="DF269"/>
      <c r="DG269"/>
      <c r="DH269"/>
      <c r="DI269"/>
      <c r="DJ269"/>
      <c r="DK269"/>
      <c r="DL269"/>
      <c r="DM269"/>
      <c r="DN269"/>
      <c r="DO269"/>
    </row>
    <row r="270" spans="1:119">
      <c r="C270" s="1557"/>
      <c r="D270" s="828"/>
      <c r="E270" s="3631" t="s">
        <v>1807</v>
      </c>
      <c r="F270" s="828"/>
      <c r="G270" s="876"/>
      <c r="H270" s="876"/>
      <c r="I270" s="876"/>
      <c r="J270" s="876"/>
      <c r="K270" s="1620"/>
      <c r="L270" s="883">
        <f>(4*L258/(K258+3*L258)-1)*100</f>
        <v>-0.1005571010195272</v>
      </c>
      <c r="M270" s="883">
        <f>(4*M258/(K258+L258+2*M258)-1)*100</f>
        <v>1.6034112472071982</v>
      </c>
      <c r="N270" s="883">
        <f>+(4*N258/N259-1)*100</f>
        <v>2.1270874746718293</v>
      </c>
      <c r="O270" s="1620"/>
      <c r="P270" s="883">
        <f>(4*P258/(O258+3*P258)-1)*100</f>
        <v>0.78070195288633126</v>
      </c>
      <c r="Q270" s="883">
        <f>(4*Q258/(O258+P258+2*Q258)-1)*100</f>
        <v>2.2403167836471116</v>
      </c>
      <c r="R270" s="883">
        <f>+(4*R258/R259-1)*100</f>
        <v>3.691114345557156</v>
      </c>
      <c r="S270" s="1620"/>
      <c r="T270" s="883">
        <f>(4*T258/(S258+3*T258)-1)*100</f>
        <v>0.42918454935623185</v>
      </c>
      <c r="U270" s="883">
        <f>(4*U258/(S258+T258+2*U258)-1)*100</f>
        <v>0.88778482238125456</v>
      </c>
      <c r="V270" s="883">
        <f>+(4*V258/V259-1)*100</f>
        <v>0.89086538560567696</v>
      </c>
      <c r="W270" s="1620"/>
      <c r="X270" s="883">
        <f>(4*X258/(W258+3*X258)-1)*100</f>
        <v>9.1984149787394109E-2</v>
      </c>
      <c r="Y270" s="883">
        <f>(4*Y258/(W258+X258+2*Y258)-1)*100</f>
        <v>-0.70276543302476568</v>
      </c>
      <c r="Z270" s="883">
        <f>+(4*Z258/Z259-1)*100</f>
        <v>-0.59316526984021234</v>
      </c>
      <c r="AA270" s="1620"/>
      <c r="AB270" s="883">
        <f>(4*AB258/(AA258+3*AB258)-1)*100</f>
        <v>0.29854871587471354</v>
      </c>
      <c r="AC270" s="883">
        <f>(4*AC258/(AA258+AB258+2*AC258)-1)*100</f>
        <v>0.95676102374842031</v>
      </c>
      <c r="AD270" s="883">
        <f>+(4*AD258/AD259-1)*100</f>
        <v>2.1953166310464622</v>
      </c>
      <c r="AE270" s="1620"/>
      <c r="AF270" s="883">
        <f>(4*AF258/(AE258+3*AF258)-1)*100</f>
        <v>-1.3971799931478124E-2</v>
      </c>
      <c r="AG270" s="883">
        <f>(4*AG258/(AE258+AF258+2*AG258)-1)*100</f>
        <v>1.0904479335245076</v>
      </c>
      <c r="AH270" s="883">
        <f>+(4*AH258/AH259-1)*100</f>
        <v>2.8866867729426815</v>
      </c>
      <c r="AI270" s="1620"/>
      <c r="AJ270" s="883">
        <f>(4*AJ258/(AI258+3*AJ258)-1)*100</f>
        <v>0.72589685599153686</v>
      </c>
      <c r="AK270" s="883">
        <f>(4*AK258/(AI258+AJ258+2*AK258)-1)*100</f>
        <v>1.5122555823324335</v>
      </c>
      <c r="AL270" s="883">
        <f>+(4*AL258/AL259-1)*100</f>
        <v>2.6368725317851505</v>
      </c>
      <c r="AM270" s="1620"/>
      <c r="AN270" s="883">
        <f>(4*AN258/(AM258+3*AN258)-1)*100</f>
        <v>0.38085441595812064</v>
      </c>
      <c r="AO270" s="883">
        <f>(4*AO258/(AM258+AN258+2*AO258)-1)*100</f>
        <v>1.7197139269530926</v>
      </c>
      <c r="AP270" s="883">
        <f>+(4*AP258/AP259-1)*100</f>
        <v>2.9987529178524541</v>
      </c>
      <c r="AQ270" s="1620"/>
      <c r="AR270" s="883">
        <f>(4*AR258/(AQ258+3*AR258)-1)*100</f>
        <v>0.43650859513035822</v>
      </c>
      <c r="AS270" s="883">
        <f>(4*AS258/(AQ258+AR258+2*AS258)-1)*100</f>
        <v>0.86043573174596766</v>
      </c>
      <c r="AT270" s="883">
        <f>+(4*AT258/AT259-1)*100</f>
        <v>2.7721631232141997</v>
      </c>
      <c r="AU270" s="1620"/>
      <c r="AV270" s="883">
        <f>(4*AV258/(AU258+3*AV258)-1)*100</f>
        <v>0.35066332848552317</v>
      </c>
      <c r="AW270" s="883">
        <f>(4*AW258/(AU258+AV258+2*AW258)-1)*100</f>
        <v>1.7701706284771301</v>
      </c>
      <c r="AX270" s="883">
        <f>+(4*AX258/AX259-1)*100</f>
        <v>3.5042550858767285</v>
      </c>
      <c r="AY270" s="1620"/>
      <c r="AZ270" s="883">
        <f>(4*AZ258/(AY258+3*AZ258)-1)*100</f>
        <v>0.58866024361807767</v>
      </c>
      <c r="BA270" s="883">
        <f>(4*BA258/(AY258+AZ258+2*BA258)-1)*100</f>
        <v>1.4507345850587106</v>
      </c>
      <c r="BB270" s="883">
        <f>+(4*BB258/BB259-1)*100</f>
        <v>3.6851976311705892</v>
      </c>
      <c r="BC270" s="1620"/>
      <c r="BD270" s="883">
        <f>(4*BD258/(BC258+3*BD258)-1)*100</f>
        <v>0.69797445490904497</v>
      </c>
      <c r="BE270" s="883">
        <f>(4*BE258/(BC258+BD258+2*BE258)-1)*100</f>
        <v>2.0177202943198358</v>
      </c>
      <c r="BF270" s="883">
        <f>+(4*BF258/BF259-1)*100</f>
        <v>3.3808528163213669</v>
      </c>
      <c r="BG270" s="1620"/>
      <c r="BH270" s="883">
        <f>(4*BH258/(BG258+3*BH258)-1)*100</f>
        <v>0.21388639847739199</v>
      </c>
      <c r="BI270" s="883">
        <f>(4*BI258/(BG258+BH258+2*BI258)-1)*100</f>
        <v>-0.33196833532801451</v>
      </c>
      <c r="BJ270" s="883">
        <f>+(4*BJ258/BJ259-1)*100</f>
        <v>-1.2244343779700739</v>
      </c>
      <c r="BK270" s="1620"/>
      <c r="BL270" s="883">
        <f>(4*BL258/(BK258+3*BL258)-1)*100</f>
        <v>-0.2667323833408175</v>
      </c>
      <c r="BM270" s="883">
        <f>(4*BM258/(BK258+BL258+2*BM258)-1)*100</f>
        <v>2.6739707019540759E-2</v>
      </c>
      <c r="BN270" s="883">
        <f>+(4*BN258/BN259-1)*100</f>
        <v>-1.1364914228089051</v>
      </c>
      <c r="BO270" s="1620"/>
      <c r="BP270" s="883">
        <f>(4*BP258/(BO258+3*BP258)-1)*100</f>
        <v>0.41302889049172897</v>
      </c>
      <c r="BQ270" s="883">
        <f>(4*BQ258/(BO258+BP258+2*BQ258)-1)*100</f>
        <v>0.3787103745104492</v>
      </c>
      <c r="BR270" s="883">
        <f>+(4*BR258/BR259-1)*100</f>
        <v>2.2353503570995414</v>
      </c>
      <c r="BS270" s="1620"/>
      <c r="BT270" s="883">
        <f>(4*BT258/(BS258+3*BT258)-1)*100</f>
        <v>0.39320253652859183</v>
      </c>
      <c r="BU270" s="883">
        <f>(4*BU258/(BS258+BT258+2*BU258)-1)*100</f>
        <v>0.65071822011018021</v>
      </c>
      <c r="BV270" s="883">
        <f>+(4*BV258/BV259-1)*100</f>
        <v>1.5753383175306057</v>
      </c>
      <c r="BW270" s="1620"/>
      <c r="BX270" s="883">
        <f>(4*BX258/(BW258+3*BX258)-1)*100</f>
        <v>3.5815795094218394E-2</v>
      </c>
      <c r="BY270" s="883">
        <f>(4*BY258/(BW258+BX258+2*BY258)-1)*100</f>
        <v>1.2730854229609623</v>
      </c>
      <c r="BZ270" s="883">
        <f>+(4*BZ258/BZ259-1)*100</f>
        <v>1.6709878143634782</v>
      </c>
      <c r="CA270" s="1620"/>
      <c r="CB270" s="883">
        <f>(4*CB258/(CA258+3*CB258)-1)*100</f>
        <v>0.22589338464114039</v>
      </c>
      <c r="CC270" s="883">
        <f>(4*CC258/(CA258+CB258+2*CC258)-1)*100</f>
        <v>0.8965584332037313</v>
      </c>
      <c r="CD270" s="883">
        <f>+(4*CD258/CD259-1)*100</f>
        <v>1.56803807376793</v>
      </c>
      <c r="CE270" s="1620"/>
      <c r="CF270" s="883">
        <f>(4*CF258/(CE258+3*CF258)-1)*100</f>
        <v>0.16574301046272666</v>
      </c>
      <c r="CG270" s="883">
        <f>(4*CG258/(CE258+CF258+2*CG258)-1)*100</f>
        <v>0.31073283934779372</v>
      </c>
      <c r="CH270" s="883">
        <f>+(4*CH258/CH259-1)*100</f>
        <v>0.48744496589094854</v>
      </c>
      <c r="CI270" s="1620"/>
      <c r="CJ270" s="883">
        <f>(4*CJ258/(CI258+3*CJ258)-1)*100</f>
        <v>0.21306987263423061</v>
      </c>
      <c r="CK270" s="883">
        <f>(4*CK258/(CI258+CJ258+2*CK258)-1)*100</f>
        <v>0.58288120015415057</v>
      </c>
      <c r="CL270" s="883">
        <f>+(4*CL258/CL259-1)*100</f>
        <v>0.68848193142447833</v>
      </c>
      <c r="CM270" s="1620"/>
      <c r="CN270" s="883">
        <f>(4*CN258/(CM258+3*CN258)-1)*100</f>
        <v>0.15795297614353832</v>
      </c>
      <c r="CO270" s="883">
        <f>(4*CO258/(CM258+CN258+2*CO258)-1)*100</f>
        <v>0.67183882839207953</v>
      </c>
      <c r="CP270" s="883">
        <f>+(4*CP258/CP259-1)*100</f>
        <v>1.5517211419833421</v>
      </c>
      <c r="CQ270" s="1620"/>
      <c r="CR270" s="883">
        <f>(4*CR258/(CQ258+3*CR258)-1)*100</f>
        <v>0.17846720244241165</v>
      </c>
      <c r="CS270" s="883">
        <f>(4*CS258/(CQ258+CR258+2*CS258)-1)*100</f>
        <v>0.45166309403210647</v>
      </c>
      <c r="CT270" s="883">
        <f>+(4*CT258/CT259-1)*100</f>
        <v>1.4641982608113668</v>
      </c>
      <c r="CU270" s="1620"/>
      <c r="CV270" s="883">
        <f>(4*CV258/(CU258+3*CV258)-1)*100</f>
        <v>0.15923566878981443</v>
      </c>
      <c r="CW270" s="883">
        <f>(4*CW258/(CU258+CV258+2*CW258)-1)*100</f>
        <v>0.4782125061586262</v>
      </c>
      <c r="CX270" s="883">
        <f>+(4*CX258/CX259-1)*100</f>
        <v>1.0226236538759759</v>
      </c>
      <c r="CY270" s="1620"/>
      <c r="CZ270" s="883">
        <f>(4*CZ258/(CY258+3*CZ258)-1)*100</f>
        <v>0.15923566878981443</v>
      </c>
      <c r="DA270" s="883">
        <f>(4*DA258/(CY258+CZ258+2*DA258)-1)*100</f>
        <v>0.478212506158604</v>
      </c>
      <c r="DB270" s="883">
        <f>+(4*DB258/DB259-1)*100</f>
        <v>0.9403081736052199</v>
      </c>
    </row>
    <row r="271" spans="1:119" s="884" customFormat="1" ht="12.75" customHeight="1">
      <c r="A271" s="664"/>
      <c r="B271" s="664"/>
      <c r="C271" s="666"/>
      <c r="D271" s="1041"/>
      <c r="E271" s="3632"/>
      <c r="F271" s="1041"/>
      <c r="G271" s="1044"/>
      <c r="H271" s="1559"/>
      <c r="I271" s="1559"/>
      <c r="J271" s="1559"/>
      <c r="K271" s="1044"/>
      <c r="L271" s="1559"/>
      <c r="M271" s="1559"/>
      <c r="N271" s="1559"/>
      <c r="O271" s="1044"/>
      <c r="P271" s="1559"/>
      <c r="Q271" s="1559"/>
      <c r="R271" s="1559"/>
      <c r="S271" s="1044"/>
      <c r="T271" s="1559"/>
      <c r="U271" s="1559"/>
      <c r="V271" s="1559"/>
      <c r="W271" s="1044"/>
      <c r="X271" s="1559"/>
      <c r="Y271" s="1559"/>
      <c r="Z271" s="1559"/>
      <c r="AA271" s="1044"/>
      <c r="AB271" s="1559"/>
      <c r="AC271" s="1559"/>
      <c r="AD271" s="1559"/>
      <c r="AE271" s="1044"/>
      <c r="AF271" s="1559"/>
      <c r="AG271" s="1559"/>
      <c r="AH271" s="1559"/>
      <c r="AI271" s="1044"/>
      <c r="AJ271" s="1559"/>
      <c r="AK271" s="1559"/>
      <c r="AL271" s="1559"/>
      <c r="AM271" s="1044"/>
      <c r="AN271" s="1559"/>
      <c r="AO271" s="1559"/>
      <c r="AP271" s="1559"/>
      <c r="AQ271" s="1044"/>
      <c r="AR271" s="1559"/>
      <c r="AS271" s="1559"/>
      <c r="AT271" s="1559"/>
      <c r="AU271" s="1044"/>
      <c r="AV271" s="1559"/>
      <c r="AW271" s="1559"/>
      <c r="AX271" s="1559"/>
      <c r="AY271" s="1560"/>
      <c r="AZ271" s="1559"/>
      <c r="BA271" s="1560"/>
      <c r="BB271" s="1560"/>
      <c r="BC271" s="1560"/>
      <c r="BD271" s="1560"/>
      <c r="BE271" s="1560"/>
      <c r="BF271" s="1560"/>
      <c r="BG271" s="1560"/>
      <c r="BH271" s="1560"/>
      <c r="BI271" s="1560"/>
      <c r="BJ271" s="1560"/>
      <c r="BK271" s="1560"/>
      <c r="BL271" s="1560"/>
      <c r="BM271" s="1560"/>
      <c r="BN271" s="1312"/>
      <c r="BO271" s="1560"/>
      <c r="BP271" s="1560"/>
      <c r="BQ271" s="1560"/>
      <c r="BR271" s="1312"/>
      <c r="BS271" s="1560"/>
      <c r="BT271" s="1560"/>
      <c r="BU271" s="1560"/>
      <c r="BV271" s="1312"/>
      <c r="BW271" s="1560"/>
      <c r="BX271" s="1560"/>
      <c r="BY271" s="1560"/>
      <c r="BZ271" s="1560"/>
      <c r="CA271" s="1560"/>
      <c r="CB271" s="1560"/>
      <c r="CC271" s="1560"/>
      <c r="CD271" s="1560"/>
      <c r="CE271" s="1560"/>
      <c r="CF271" s="1560"/>
      <c r="CG271" s="1560"/>
      <c r="CH271" s="1560"/>
      <c r="CI271"/>
      <c r="CJ271" s="1560"/>
      <c r="CK271" s="1560"/>
      <c r="CL271" s="1560"/>
      <c r="CM271" s="1560"/>
      <c r="CN271" s="1560"/>
      <c r="CO271" s="1560"/>
      <c r="CP271" s="1560"/>
      <c r="CQ271" s="1560"/>
      <c r="CR271" s="1560"/>
      <c r="CS271" s="1560"/>
      <c r="CT271" s="1560"/>
      <c r="CU271" s="1560"/>
      <c r="CV271" s="1560"/>
      <c r="CW271" s="1560"/>
      <c r="CX271" s="1560"/>
      <c r="CY271" s="1560"/>
      <c r="CZ271" s="1560"/>
      <c r="DA271" s="1560"/>
      <c r="DB271" s="1560"/>
      <c r="DC271"/>
      <c r="DD271"/>
      <c r="DE271"/>
      <c r="DF271"/>
      <c r="DG271"/>
      <c r="DH271"/>
      <c r="DI271"/>
      <c r="DJ271"/>
      <c r="DK271"/>
      <c r="DL271"/>
      <c r="DM271"/>
      <c r="DN271"/>
      <c r="DO271"/>
    </row>
    <row r="272" spans="1:119" s="884" customFormat="1" ht="12.75" customHeight="1">
      <c r="A272" s="664"/>
      <c r="B272" s="664"/>
      <c r="C272" s="666"/>
      <c r="D272" s="1041"/>
      <c r="E272" s="3632"/>
      <c r="F272" s="1041"/>
      <c r="G272" s="1044"/>
      <c r="H272" s="1559"/>
      <c r="I272" s="1559"/>
      <c r="J272" s="1559"/>
      <c r="K272" s="1044"/>
      <c r="L272" s="1559"/>
      <c r="M272" s="1559"/>
      <c r="N272" s="1559"/>
      <c r="O272" s="1044"/>
      <c r="P272" s="1559"/>
      <c r="Q272" s="1559"/>
      <c r="R272" s="1559"/>
      <c r="S272" s="1044"/>
      <c r="T272" s="1559"/>
      <c r="U272" s="1559"/>
      <c r="V272" s="1559"/>
      <c r="W272" s="1044"/>
      <c r="X272" s="1559"/>
      <c r="Y272" s="1559"/>
      <c r="Z272" s="1559"/>
      <c r="AA272" s="1044"/>
      <c r="AB272" s="1559"/>
      <c r="AC272" s="1559"/>
      <c r="AD272" s="1559"/>
      <c r="AE272" s="1044"/>
      <c r="AF272" s="1559"/>
      <c r="AG272" s="1559"/>
      <c r="AH272" s="1559"/>
      <c r="AI272" s="1044"/>
      <c r="AJ272" s="1559"/>
      <c r="AK272" s="1559"/>
      <c r="AL272" s="1559"/>
      <c r="AM272" s="1044"/>
      <c r="AN272" s="1559"/>
      <c r="AO272" s="1559"/>
      <c r="AP272" s="1559"/>
      <c r="AQ272" s="1044"/>
      <c r="AR272" s="1559"/>
      <c r="AS272" s="1559"/>
      <c r="AT272" s="1559"/>
      <c r="AU272" s="1044"/>
      <c r="AV272" s="1559"/>
      <c r="AW272" s="1559"/>
      <c r="AX272" s="1559"/>
      <c r="AY272" s="1560"/>
      <c r="AZ272" s="1559"/>
      <c r="BA272" s="1560"/>
      <c r="BB272" s="1560"/>
      <c r="BC272" s="1560"/>
      <c r="BD272" s="1560"/>
      <c r="BE272" s="1560"/>
      <c r="BF272" s="1560"/>
      <c r="BG272" s="1560"/>
      <c r="BH272" s="1560"/>
      <c r="BI272" s="1560"/>
      <c r="BJ272" s="1560"/>
      <c r="BK272" s="1560"/>
      <c r="BL272" s="1560"/>
      <c r="BM272" s="1560"/>
      <c r="BN272" s="1560"/>
      <c r="BO272" s="1560"/>
      <c r="BP272" s="1560"/>
      <c r="BQ272" s="1560"/>
      <c r="BR272" s="1560"/>
      <c r="BS272" s="1560"/>
      <c r="BT272" s="1560"/>
      <c r="BU272" s="1560"/>
      <c r="BV272" s="1560"/>
      <c r="BW272" s="1560"/>
      <c r="BX272" s="1560"/>
      <c r="BY272" s="1560"/>
      <c r="BZ272" s="1560"/>
      <c r="CA272" s="1560"/>
      <c r="CB272" s="1560"/>
      <c r="CC272" s="1560"/>
      <c r="CD272" s="1560"/>
      <c r="CE272" s="1560"/>
      <c r="CF272" s="1560"/>
      <c r="CG272" s="1560"/>
      <c r="CH272" s="1560"/>
      <c r="CI272"/>
      <c r="CJ272"/>
      <c r="CK272"/>
      <c r="CL272"/>
      <c r="CM272"/>
      <c r="CN272"/>
      <c r="CO272"/>
      <c r="CP272"/>
      <c r="CQ272"/>
      <c r="CR272"/>
      <c r="CS272"/>
      <c r="CT272"/>
      <c r="CU272"/>
      <c r="CV272"/>
      <c r="CW272"/>
      <c r="CX272"/>
      <c r="CY272" s="3649"/>
      <c r="CZ272" s="3649"/>
      <c r="DA272" s="3649"/>
      <c r="DB272" s="3649"/>
      <c r="DC272"/>
      <c r="DD272"/>
      <c r="DE272"/>
      <c r="DF272"/>
      <c r="DG272"/>
      <c r="DH272"/>
      <c r="DI272"/>
      <c r="DJ272"/>
      <c r="DK272"/>
      <c r="DL272"/>
      <c r="DM272"/>
      <c r="DN272"/>
      <c r="DO272"/>
    </row>
    <row r="273" spans="1:119" ht="30" customHeight="1">
      <c r="C273" s="3766" t="s">
        <v>599</v>
      </c>
      <c r="D273" s="3766"/>
      <c r="E273" s="3766"/>
      <c r="F273" s="3766"/>
      <c r="CM273" s="557"/>
      <c r="CN273" s="557"/>
      <c r="CO273" s="557"/>
      <c r="CP273" s="557"/>
      <c r="CQ273" s="557"/>
      <c r="CR273" s="557"/>
      <c r="CS273" s="557"/>
      <c r="CT273">
        <f>CT259-CT272</f>
        <v>35.855800000000002</v>
      </c>
      <c r="CU273" s="557"/>
      <c r="CV273" s="557"/>
      <c r="CW273" s="557"/>
      <c r="CX273">
        <f>CX259-CX272</f>
        <v>36.97450096</v>
      </c>
      <c r="CY273" s="557"/>
      <c r="CZ273" s="557"/>
      <c r="DA273" s="557"/>
      <c r="DB273" s="3649">
        <f>DB259-DB272</f>
        <v>37.951721968659889</v>
      </c>
    </row>
    <row r="274" spans="1:119">
      <c r="C274" s="599"/>
      <c r="D274" s="599"/>
      <c r="E274" s="599"/>
      <c r="F274" s="3617"/>
      <c r="BG274" s="2997"/>
      <c r="BH274" s="2997"/>
      <c r="BI274" s="2997"/>
      <c r="BJ274" s="2997"/>
      <c r="BK274" s="2997"/>
      <c r="BL274" s="2997"/>
      <c r="BM274" s="2997"/>
      <c r="BN274" s="2997"/>
      <c r="BO274" s="2997"/>
      <c r="BP274" s="2997"/>
      <c r="BQ274" s="2997"/>
      <c r="BR274" s="2997"/>
      <c r="BS274" s="2997"/>
      <c r="BT274" s="2997"/>
      <c r="BU274" s="2997"/>
      <c r="BV274" s="2997"/>
      <c r="BW274" s="2997"/>
      <c r="BX274" s="2997"/>
      <c r="BY274" s="2997"/>
      <c r="BZ274" s="2997"/>
      <c r="CA274" s="2997"/>
      <c r="CB274" s="2997"/>
      <c r="CC274" s="2997"/>
      <c r="CD274" s="2997"/>
      <c r="CE274" s="2997"/>
      <c r="CF274" s="2997"/>
      <c r="CG274" s="2997"/>
      <c r="CH274" s="2997"/>
      <c r="CI274" s="2997"/>
      <c r="CJ274" s="2997"/>
      <c r="CK274" s="2997"/>
      <c r="CL274" s="2997"/>
      <c r="CM274" s="2997"/>
      <c r="CN274" s="2997"/>
      <c r="CO274" s="2997"/>
      <c r="CP274" s="2997"/>
      <c r="CQ274" s="2997"/>
      <c r="CR274" s="2997"/>
      <c r="CS274" s="2997"/>
      <c r="CT274" s="2997"/>
      <c r="CU274" s="2997"/>
      <c r="CV274" s="2997"/>
      <c r="CW274" s="2997"/>
      <c r="CX274" s="2997"/>
      <c r="CY274" s="2997"/>
      <c r="CZ274" s="2997"/>
      <c r="DA274" s="2997"/>
      <c r="DB274" s="2997"/>
    </row>
    <row r="275" spans="1:119">
      <c r="E275" s="599"/>
      <c r="F275" s="3617"/>
      <c r="G275" s="3763">
        <f ca="1">OFFSET(InputY!$G$3,0,(COLUMN()-7)/4)</f>
        <v>1995</v>
      </c>
      <c r="H275" s="3764"/>
      <c r="I275" s="3764"/>
      <c r="J275" s="3765"/>
      <c r="K275" s="3763">
        <f ca="1">OFFSET(InputY!$G$3,0,(COLUMN()-7)/4)</f>
        <v>1996</v>
      </c>
      <c r="L275" s="3764"/>
      <c r="M275" s="3764"/>
      <c r="N275" s="3765"/>
      <c r="O275" s="3763">
        <f ca="1">OFFSET(InputY!$G$3,0,(COLUMN()-7)/4)</f>
        <v>1997</v>
      </c>
      <c r="P275" s="3764"/>
      <c r="Q275" s="3764"/>
      <c r="R275" s="3765"/>
      <c r="S275" s="3763">
        <f ca="1">OFFSET(InputY!$G$3,0,(COLUMN()-7)/4)</f>
        <v>1998</v>
      </c>
      <c r="T275" s="3764"/>
      <c r="U275" s="3764"/>
      <c r="V275" s="3765"/>
      <c r="W275" s="3763">
        <f ca="1">OFFSET(InputY!$G$3,0,(COLUMN()-7)/4)</f>
        <v>1999</v>
      </c>
      <c r="X275" s="3764"/>
      <c r="Y275" s="3764"/>
      <c r="Z275" s="3765"/>
      <c r="AA275" s="3763">
        <f ca="1">OFFSET(InputY!$G$3,0,(COLUMN()-7)/4)</f>
        <v>2000</v>
      </c>
      <c r="AB275" s="3764"/>
      <c r="AC275" s="3764"/>
      <c r="AD275" s="3765"/>
      <c r="AE275" s="3763">
        <f ca="1">OFFSET(InputY!$G$3,0,(COLUMN()-7)/4)</f>
        <v>2001</v>
      </c>
      <c r="AF275" s="3764"/>
      <c r="AG275" s="3764"/>
      <c r="AH275" s="3765"/>
      <c r="AI275" s="3763">
        <f ca="1">OFFSET(InputY!$G$3,0,(COLUMN()-7)/4)</f>
        <v>2002</v>
      </c>
      <c r="AJ275" s="3764"/>
      <c r="AK275" s="3764"/>
      <c r="AL275" s="3765"/>
      <c r="AM275" s="3763">
        <f ca="1">OFFSET(InputY!$G$3,0,(COLUMN()-7)/4)</f>
        <v>2003</v>
      </c>
      <c r="AN275" s="3764"/>
      <c r="AO275" s="3764"/>
      <c r="AP275" s="3765"/>
      <c r="AQ275" s="3763">
        <f ca="1">OFFSET(InputY!$G$3,0,(COLUMN()-7)/4)</f>
        <v>2004</v>
      </c>
      <c r="AR275" s="3764"/>
      <c r="AS275" s="3764"/>
      <c r="AT275" s="3765"/>
      <c r="AU275" s="3763">
        <f ca="1">OFFSET(InputY!$G$3,0,(COLUMN()-7)/4)</f>
        <v>2005</v>
      </c>
      <c r="AV275" s="3764"/>
      <c r="AW275" s="3764"/>
      <c r="AX275" s="3765"/>
      <c r="AY275" s="3763">
        <f ca="1">OFFSET(InputY!$G$3,0,(COLUMN()-7)/4)</f>
        <v>2006</v>
      </c>
      <c r="AZ275" s="3764"/>
      <c r="BA275" s="3764"/>
      <c r="BB275" s="3765"/>
      <c r="BC275" s="3763">
        <f ca="1">OFFSET(InputY!$G$3,0,(COLUMN()-7)/4)</f>
        <v>2007</v>
      </c>
      <c r="BD275" s="3764"/>
      <c r="BE275" s="3764"/>
      <c r="BF275" s="3765"/>
      <c r="BG275" s="3763">
        <f ca="1">OFFSET(InputY!$G$3,0,(COLUMN()-7)/4)</f>
        <v>2008</v>
      </c>
      <c r="BH275" s="3764"/>
      <c r="BI275" s="3764"/>
      <c r="BJ275" s="3765"/>
      <c r="BK275" s="3763">
        <f ca="1">OFFSET(InputY!$G$3,0,(COLUMN()-7)/4)</f>
        <v>2009</v>
      </c>
      <c r="BL275" s="3764"/>
      <c r="BM275" s="3764"/>
      <c r="BN275" s="3765"/>
      <c r="BO275" s="3763">
        <f ca="1">OFFSET(InputY!$G$3,0,(COLUMN()-7)/4)</f>
        <v>2010</v>
      </c>
      <c r="BP275" s="3764"/>
      <c r="BQ275" s="3764"/>
      <c r="BR275" s="3765"/>
      <c r="BS275" s="3763">
        <f ca="1">OFFSET(InputY!$G$3,0,(COLUMN()-7)/4)</f>
        <v>2011</v>
      </c>
      <c r="BT275" s="3764"/>
      <c r="BU275" s="3764"/>
      <c r="BV275" s="3765"/>
      <c r="BW275" s="3763">
        <f ca="1">OFFSET(InputY!$G$3,0,(COLUMN()-7)/4)</f>
        <v>2012</v>
      </c>
      <c r="BX275" s="3764"/>
      <c r="BY275" s="3764"/>
      <c r="BZ275" s="3765"/>
      <c r="CA275" s="3763">
        <f ca="1">OFFSET(InputY!$G$3,0,(COLUMN()-7)/4)</f>
        <v>2013</v>
      </c>
      <c r="CB275" s="3764"/>
      <c r="CC275" s="3764"/>
      <c r="CD275" s="3765"/>
      <c r="CE275" s="3763">
        <f ca="1">OFFSET(InputY!$G$3,0,(COLUMN()-7)/4)</f>
        <v>2014</v>
      </c>
      <c r="CF275" s="3764"/>
      <c r="CG275" s="3764"/>
      <c r="CH275" s="3765"/>
      <c r="CI275" s="3763">
        <f ca="1">OFFSET(InputY!$G$3,0,(COLUMN()-7)/4)</f>
        <v>2015</v>
      </c>
      <c r="CJ275" s="3764"/>
      <c r="CK275" s="3764"/>
      <c r="CL275" s="3765"/>
      <c r="CM275" s="3763">
        <f ca="1">OFFSET(InputY!$G$3,0,(COLUMN()-7)/4)</f>
        <v>2016</v>
      </c>
      <c r="CN275" s="3764"/>
      <c r="CO275" s="3764"/>
      <c r="CP275" s="3765"/>
      <c r="CQ275" s="3763">
        <f ca="1">OFFSET(InputY!$G$3,0,(COLUMN()-7)/4)</f>
        <v>2017</v>
      </c>
      <c r="CR275" s="3764"/>
      <c r="CS275" s="3764"/>
      <c r="CT275" s="3765"/>
      <c r="CU275" s="3763">
        <f ca="1">OFFSET(InputY!$G$3,0,(COLUMN()-7)/4)</f>
        <v>2018</v>
      </c>
      <c r="CV275" s="3764"/>
      <c r="CW275" s="3764"/>
      <c r="CX275" s="3765"/>
      <c r="CY275" s="3763">
        <f ca="1">OFFSET(InputY!$G$3,0,(COLUMN()-7)/4)</f>
        <v>2019</v>
      </c>
      <c r="CZ275" s="3764"/>
      <c r="DA275" s="3764"/>
      <c r="DB275" s="3765"/>
    </row>
    <row r="276" spans="1:119" s="699" customFormat="1" ht="12.75" customHeight="1">
      <c r="A276" s="664"/>
      <c r="B276" s="664"/>
      <c r="C276" s="666"/>
      <c r="D276" s="695"/>
      <c r="E276" s="3618" t="s">
        <v>1241</v>
      </c>
      <c r="F276" s="3619"/>
      <c r="G276" s="1566" t="s">
        <v>1842</v>
      </c>
      <c r="H276" s="1567" t="s">
        <v>1843</v>
      </c>
      <c r="I276" s="1567" t="s">
        <v>1844</v>
      </c>
      <c r="J276" s="1567" t="s">
        <v>1845</v>
      </c>
      <c r="K276" s="1567" t="s">
        <v>1842</v>
      </c>
      <c r="L276" s="1567" t="s">
        <v>1843</v>
      </c>
      <c r="M276" s="1567" t="s">
        <v>1844</v>
      </c>
      <c r="N276" s="1567" t="s">
        <v>1845</v>
      </c>
      <c r="O276" s="1567" t="s">
        <v>1842</v>
      </c>
      <c r="P276" s="1567" t="s">
        <v>1843</v>
      </c>
      <c r="Q276" s="1567" t="s">
        <v>1844</v>
      </c>
      <c r="R276" s="1567" t="s">
        <v>1845</v>
      </c>
      <c r="S276" s="1567" t="s">
        <v>1842</v>
      </c>
      <c r="T276" s="1567" t="s">
        <v>1843</v>
      </c>
      <c r="U276" s="1567" t="s">
        <v>1844</v>
      </c>
      <c r="V276" s="1567" t="s">
        <v>1845</v>
      </c>
      <c r="W276" s="1567" t="s">
        <v>1842</v>
      </c>
      <c r="X276" s="1567" t="s">
        <v>1843</v>
      </c>
      <c r="Y276" s="1567" t="s">
        <v>1844</v>
      </c>
      <c r="Z276" s="1567" t="s">
        <v>1845</v>
      </c>
      <c r="AA276" s="1567" t="s">
        <v>1842</v>
      </c>
      <c r="AB276" s="1567" t="s">
        <v>1843</v>
      </c>
      <c r="AC276" s="1567" t="s">
        <v>1844</v>
      </c>
      <c r="AD276" s="1567" t="s">
        <v>1845</v>
      </c>
      <c r="AE276" s="1567" t="s">
        <v>1842</v>
      </c>
      <c r="AF276" s="1567" t="s">
        <v>1843</v>
      </c>
      <c r="AG276" s="1567" t="s">
        <v>1844</v>
      </c>
      <c r="AH276" s="1567" t="s">
        <v>1845</v>
      </c>
      <c r="AI276" s="1567" t="s">
        <v>1842</v>
      </c>
      <c r="AJ276" s="1567" t="s">
        <v>1843</v>
      </c>
      <c r="AK276" s="1567" t="s">
        <v>1844</v>
      </c>
      <c r="AL276" s="1567" t="s">
        <v>1845</v>
      </c>
      <c r="AM276" s="1567" t="s">
        <v>1842</v>
      </c>
      <c r="AN276" s="1567" t="s">
        <v>1843</v>
      </c>
      <c r="AO276" s="1567" t="s">
        <v>1844</v>
      </c>
      <c r="AP276" s="1567" t="s">
        <v>1845</v>
      </c>
      <c r="AQ276" s="1567" t="s">
        <v>1842</v>
      </c>
      <c r="AR276" s="1567" t="s">
        <v>1843</v>
      </c>
      <c r="AS276" s="1567" t="s">
        <v>1844</v>
      </c>
      <c r="AT276" s="1567" t="s">
        <v>1845</v>
      </c>
      <c r="AU276" s="1567" t="s">
        <v>1842</v>
      </c>
      <c r="AV276" s="1567" t="s">
        <v>1843</v>
      </c>
      <c r="AW276" s="1567" t="s">
        <v>1844</v>
      </c>
      <c r="AX276" s="1567" t="s">
        <v>1845</v>
      </c>
      <c r="AY276" s="1567" t="s">
        <v>1842</v>
      </c>
      <c r="AZ276" s="1567" t="s">
        <v>1843</v>
      </c>
      <c r="BA276" s="1567" t="s">
        <v>1844</v>
      </c>
      <c r="BB276" s="1567" t="s">
        <v>1845</v>
      </c>
      <c r="BC276" s="1567" t="s">
        <v>1842</v>
      </c>
      <c r="BD276" s="1567" t="s">
        <v>1843</v>
      </c>
      <c r="BE276" s="1567" t="s">
        <v>1844</v>
      </c>
      <c r="BF276" s="1567" t="s">
        <v>1845</v>
      </c>
      <c r="BG276" s="1567" t="s">
        <v>1842</v>
      </c>
      <c r="BH276" s="1567" t="s">
        <v>1843</v>
      </c>
      <c r="BI276" s="1567" t="s">
        <v>1844</v>
      </c>
      <c r="BJ276" s="1567" t="s">
        <v>1845</v>
      </c>
      <c r="BK276" s="1567" t="s">
        <v>1842</v>
      </c>
      <c r="BL276" s="1567" t="s">
        <v>1843</v>
      </c>
      <c r="BM276" s="1567" t="s">
        <v>1844</v>
      </c>
      <c r="BN276" s="1567" t="s">
        <v>1845</v>
      </c>
      <c r="BO276" s="1567" t="s">
        <v>1842</v>
      </c>
      <c r="BP276" s="1567" t="s">
        <v>1843</v>
      </c>
      <c r="BQ276" s="1567" t="s">
        <v>1844</v>
      </c>
      <c r="BR276" s="1567" t="s">
        <v>1845</v>
      </c>
      <c r="BS276" s="1567" t="s">
        <v>1842</v>
      </c>
      <c r="BT276" s="1567" t="s">
        <v>1843</v>
      </c>
      <c r="BU276" s="1567" t="s">
        <v>1844</v>
      </c>
      <c r="BV276" s="1567" t="s">
        <v>1845</v>
      </c>
      <c r="BW276" s="1567" t="s">
        <v>1842</v>
      </c>
      <c r="BX276" s="1567" t="s">
        <v>1843</v>
      </c>
      <c r="BY276" s="1567" t="s">
        <v>1844</v>
      </c>
      <c r="BZ276" s="1567" t="s">
        <v>1845</v>
      </c>
      <c r="CA276" s="1567" t="s">
        <v>1842</v>
      </c>
      <c r="CB276" s="1567" t="s">
        <v>1843</v>
      </c>
      <c r="CC276" s="1567" t="s">
        <v>1844</v>
      </c>
      <c r="CD276" s="1567" t="s">
        <v>1845</v>
      </c>
      <c r="CE276" s="1567" t="s">
        <v>1842</v>
      </c>
      <c r="CF276" s="1567" t="s">
        <v>1843</v>
      </c>
      <c r="CG276" s="1567" t="s">
        <v>1844</v>
      </c>
      <c r="CH276" s="1567" t="s">
        <v>1845</v>
      </c>
      <c r="CI276" s="1567" t="s">
        <v>1842</v>
      </c>
      <c r="CJ276" s="1567" t="s">
        <v>1843</v>
      </c>
      <c r="CK276" s="1567" t="s">
        <v>1844</v>
      </c>
      <c r="CL276" s="1567" t="s">
        <v>1845</v>
      </c>
      <c r="CM276" s="1567" t="s">
        <v>1842</v>
      </c>
      <c r="CN276" s="1567" t="s">
        <v>1843</v>
      </c>
      <c r="CO276" s="1567" t="s">
        <v>1844</v>
      </c>
      <c r="CP276" s="1567" t="s">
        <v>1845</v>
      </c>
      <c r="CQ276" s="1567" t="s">
        <v>1842</v>
      </c>
      <c r="CR276" s="1567" t="s">
        <v>1843</v>
      </c>
      <c r="CS276" s="1567" t="s">
        <v>1844</v>
      </c>
      <c r="CT276" s="1567" t="s">
        <v>1845</v>
      </c>
      <c r="CU276" s="1567" t="s">
        <v>1842</v>
      </c>
      <c r="CV276" s="1567" t="s">
        <v>1843</v>
      </c>
      <c r="CW276" s="1567" t="s">
        <v>1844</v>
      </c>
      <c r="CX276" s="1567" t="s">
        <v>1845</v>
      </c>
      <c r="CY276" s="1567" t="s">
        <v>1842</v>
      </c>
      <c r="CZ276" s="1567" t="s">
        <v>1843</v>
      </c>
      <c r="DA276" s="1567" t="s">
        <v>1844</v>
      </c>
      <c r="DB276" s="1567" t="s">
        <v>1845</v>
      </c>
      <c r="DC276"/>
      <c r="DD276"/>
      <c r="DE276"/>
      <c r="DF276"/>
      <c r="DG276"/>
      <c r="DH276"/>
      <c r="DI276"/>
      <c r="DJ276"/>
      <c r="DK276"/>
      <c r="DL276"/>
      <c r="DM276"/>
      <c r="DN276"/>
      <c r="DO276"/>
    </row>
    <row r="277" spans="1:119" s="699" customFormat="1" ht="12.75" customHeight="1">
      <c r="A277" s="664" t="str">
        <f>"Q" &amp; ROW(InputQ!A18)</f>
        <v>Q18</v>
      </c>
      <c r="B277" s="664">
        <v>167</v>
      </c>
      <c r="C277" s="1561"/>
      <c r="D277" s="668"/>
      <c r="E277" s="3620" t="s">
        <v>435</v>
      </c>
      <c r="F277" s="3621"/>
      <c r="G277" s="780" t="str">
        <f>+InputQ!G18</f>
        <v>:</v>
      </c>
      <c r="H277" s="780" t="str">
        <f>+InputQ!H18</f>
        <v>:</v>
      </c>
      <c r="I277" s="780" t="str">
        <f>+InputQ!I18</f>
        <v>:</v>
      </c>
      <c r="J277" s="780" t="str">
        <f>+InputQ!J18</f>
        <v>:</v>
      </c>
      <c r="K277" s="780">
        <f>+InputQ!K18</f>
        <v>88.633333333333326</v>
      </c>
      <c r="L277" s="780">
        <f>+InputQ!L18</f>
        <v>91.570000000000007</v>
      </c>
      <c r="M277" s="780">
        <f>+InputQ!M18</f>
        <v>93.876666666666665</v>
      </c>
      <c r="N277" s="780">
        <f>+InputQ!N18</f>
        <v>96.509999999999991</v>
      </c>
      <c r="O277" s="780">
        <f>+InputQ!O18</f>
        <v>98.236666666666679</v>
      </c>
      <c r="P277" s="780">
        <f>+InputQ!P18</f>
        <v>99.316666666666663</v>
      </c>
      <c r="Q277" s="780">
        <f>+InputQ!Q18</f>
        <v>101.37666666666667</v>
      </c>
      <c r="R277" s="780">
        <f>+InputQ!R18</f>
        <v>103.03666666666668</v>
      </c>
      <c r="S277" s="780">
        <f>+InputQ!S18</f>
        <v>103.65666666666668</v>
      </c>
      <c r="T277" s="780">
        <f>+InputQ!T18</f>
        <v>104.37666666666667</v>
      </c>
      <c r="U277" s="780">
        <f>+InputQ!U18</f>
        <v>106.75333333333333</v>
      </c>
      <c r="V277" s="780">
        <f>+InputQ!V18</f>
        <v>108.07666666666667</v>
      </c>
      <c r="W277" s="780">
        <f>+InputQ!W18</f>
        <v>108.37333333333333</v>
      </c>
      <c r="X277" s="780">
        <f>+InputQ!X18</f>
        <v>108.11</v>
      </c>
      <c r="Y277" s="780">
        <f>+InputQ!Y18</f>
        <v>107.61333333333334</v>
      </c>
      <c r="Z277" s="780">
        <f>+InputQ!Z18</f>
        <v>107.62333333333333</v>
      </c>
      <c r="AA277" s="780">
        <f>+InputQ!AA18</f>
        <v>107.10333333333334</v>
      </c>
      <c r="AB277" s="780">
        <f>+InputQ!AB18</f>
        <v>106.43666666666665</v>
      </c>
      <c r="AC277" s="780">
        <f>+InputQ!AC18</f>
        <v>105.37333333333333</v>
      </c>
      <c r="AD277" s="780">
        <f>+InputQ!AD18</f>
        <v>104.96666666666665</v>
      </c>
      <c r="AE277" s="780">
        <f>+InputQ!AE18</f>
        <v>103.84999999999998</v>
      </c>
      <c r="AF277" s="780">
        <f>+InputQ!AF18</f>
        <v>103.34666666666668</v>
      </c>
      <c r="AG277" s="780">
        <f>+InputQ!AG18</f>
        <v>102.47333333333331</v>
      </c>
      <c r="AH277" s="780">
        <f>+InputQ!AH18</f>
        <v>103.02</v>
      </c>
      <c r="AI277" s="780">
        <f>+InputQ!AI18</f>
        <v>101.77666666666669</v>
      </c>
      <c r="AJ277" s="780">
        <f>+InputQ!AJ18</f>
        <v>101.68666666666667</v>
      </c>
      <c r="AK277" s="780">
        <f>+InputQ!AK18</f>
        <v>100.50333333333333</v>
      </c>
      <c r="AL277" s="780">
        <f>+InputQ!AL18</f>
        <v>101.54666666666667</v>
      </c>
      <c r="AM277" s="780">
        <f>+InputQ!AM18</f>
        <v>100.21333333333332</v>
      </c>
      <c r="AN277" s="780">
        <f>+InputQ!AN18</f>
        <v>100.21666666666665</v>
      </c>
      <c r="AO277" s="780">
        <f>+InputQ!AO18</f>
        <v>98.883333333333326</v>
      </c>
      <c r="AP277" s="780">
        <f>+InputQ!AP18</f>
        <v>100.01333333333334</v>
      </c>
      <c r="AQ277" s="780">
        <f>+InputQ!AQ18</f>
        <v>98.626666666666665</v>
      </c>
      <c r="AR277" s="780">
        <f>+InputQ!AR18</f>
        <v>99.923333333333332</v>
      </c>
      <c r="AS277" s="780">
        <f>+InputQ!AS18</f>
        <v>99.15333333333335</v>
      </c>
      <c r="AT277" s="780">
        <f>+InputQ!AT18</f>
        <v>100.82000000000001</v>
      </c>
      <c r="AU277" s="780">
        <f>+InputQ!AU18</f>
        <v>98.266666666666666</v>
      </c>
      <c r="AV277" s="780">
        <f>+InputQ!AV18</f>
        <v>98.976666666666674</v>
      </c>
      <c r="AW277" s="780">
        <f>+InputQ!AW18</f>
        <v>98.40000000000002</v>
      </c>
      <c r="AX277" s="780">
        <f>+InputQ!AX18</f>
        <v>100.28666666666668</v>
      </c>
      <c r="AY277" s="780">
        <f>+InputQ!AY18</f>
        <v>98.49666666666667</v>
      </c>
      <c r="AZ277" s="780">
        <f>+InputQ!AZ18</f>
        <v>98.876666666666665</v>
      </c>
      <c r="BA277" s="780">
        <f>+InputQ!BA18</f>
        <v>98.173333333333332</v>
      </c>
      <c r="BB277" s="780">
        <f>+InputQ!BB18</f>
        <v>99.856666666666669</v>
      </c>
      <c r="BC277" s="780">
        <f>+InputQ!BC18</f>
        <v>97.94</v>
      </c>
      <c r="BD277" s="780">
        <f>+InputQ!BD18</f>
        <v>98.473333333333315</v>
      </c>
      <c r="BE277" s="780">
        <f>+InputQ!BE18</f>
        <v>98.08</v>
      </c>
      <c r="BF277" s="780">
        <f>+InputQ!BF18</f>
        <v>100.05666666666667</v>
      </c>
      <c r="BG277" s="780">
        <f>+InputQ!BG18</f>
        <v>99.236666666666665</v>
      </c>
      <c r="BH277" s="780">
        <f>+InputQ!BH18</f>
        <v>100.63666666666667</v>
      </c>
      <c r="BI277" s="780">
        <f>+InputQ!BI18</f>
        <v>100.19</v>
      </c>
      <c r="BJ277" s="780">
        <f>+InputQ!BJ18</f>
        <v>101.65333333333332</v>
      </c>
      <c r="BK277" s="780">
        <f>+InputQ!BK18</f>
        <v>102.10333333333334</v>
      </c>
      <c r="BL277" s="780">
        <f>+InputQ!BL18</f>
        <v>100.68</v>
      </c>
      <c r="BM277" s="780">
        <f>+InputQ!BM18</f>
        <v>99.426666666666662</v>
      </c>
      <c r="BN277" s="780">
        <f>+InputQ!BN18</f>
        <v>100.46333333333332</v>
      </c>
      <c r="BO277" s="780">
        <f>+InputQ!BO18</f>
        <v>98.410000000000011</v>
      </c>
      <c r="BP277" s="780">
        <f>+InputQ!BP18</f>
        <v>98.076666666666668</v>
      </c>
      <c r="BQ277" s="780">
        <f>+InputQ!BQ18</f>
        <v>96.763333333333335</v>
      </c>
      <c r="BR277" s="780">
        <f>+InputQ!BR18</f>
        <v>97.853333333333339</v>
      </c>
      <c r="BS277" s="780">
        <f>+InputQ!BS18</f>
        <v>96.196666666666673</v>
      </c>
      <c r="BT277" s="780">
        <f>+InputQ!BT18</f>
        <v>98.066666666666663</v>
      </c>
      <c r="BU277" s="780">
        <f>+InputQ!BU18</f>
        <v>96.576666666666668</v>
      </c>
      <c r="BV277" s="780">
        <f>+InputQ!BV18</f>
        <v>97.71</v>
      </c>
      <c r="BW277" s="780">
        <f>+InputQ!BW18</f>
        <v>96.61</v>
      </c>
      <c r="BX277" s="780">
        <f>+InputQ!BX18</f>
        <v>98.476666666666674</v>
      </c>
      <c r="BY277" s="780">
        <f>+InputQ!BY18</f>
        <v>98.033333333333346</v>
      </c>
      <c r="BZ277" s="780">
        <f>+InputQ!BZ18</f>
        <v>99.780000000000015</v>
      </c>
      <c r="CA277" s="780">
        <f>+InputQ!CA18</f>
        <v>98.219999999999985</v>
      </c>
      <c r="CB277" s="780">
        <f>+InputQ!CB18</f>
        <v>99.713333333333324</v>
      </c>
      <c r="CC277" s="780">
        <f>+InputQ!CC18</f>
        <v>98.45</v>
      </c>
      <c r="CD277" s="780">
        <f>+InputQ!CD18</f>
        <v>100.27333333333333</v>
      </c>
      <c r="CE277" s="780">
        <f>+InputQ!CE18</f>
        <v>98.603333333333339</v>
      </c>
      <c r="CF277" s="780">
        <f>+InputQ!CF18</f>
        <v>99.793333333333337</v>
      </c>
      <c r="CG277" s="780">
        <f>+InputQ!CG18</f>
        <v>98.493333333333339</v>
      </c>
      <c r="CH277" s="780">
        <f>+InputQ!CH18</f>
        <v>100.07000000000001</v>
      </c>
      <c r="CI277" s="780">
        <f>+InputQ!CI18</f>
        <v>98.639999999999986</v>
      </c>
      <c r="CJ277" s="780">
        <f>+InputQ!CJ18</f>
        <v>100.32333333333332</v>
      </c>
      <c r="CK277" s="780">
        <f>+InputQ!CK18</f>
        <v>99.376666666666665</v>
      </c>
      <c r="CL277" s="780">
        <f>+InputQ!CL18</f>
        <v>101.66000000000001</v>
      </c>
      <c r="CM277" s="780">
        <f>+InputQ!CM18</f>
        <v>100.05</v>
      </c>
      <c r="CN277" s="780">
        <f>+InputQ!CN18</f>
        <v>101.41333333333334</v>
      </c>
      <c r="CO277" s="780">
        <f>+InputQ!CO18</f>
        <v>99.516666666666652</v>
      </c>
      <c r="CP277" s="780">
        <f>+InputQ!CP18</f>
        <v>101.76666666666667</v>
      </c>
      <c r="CQ277" s="780">
        <f>+InputQ!CQ18</f>
        <v>100.35333333333334</v>
      </c>
      <c r="CR277" s="780">
        <f>+InputQ!CR18</f>
        <v>102.18</v>
      </c>
      <c r="CS277" s="780">
        <f>+InputQ!CS18</f>
        <v>100.46666666666665</v>
      </c>
      <c r="CT277" s="780">
        <f>+InputQ!CT18</f>
        <v>102.64333333333333</v>
      </c>
      <c r="CU277" s="1416">
        <f t="shared" ref="CU277:CX281" si="664">+CQ277*(1+CU311/100)</f>
        <v>100.85527996401123</v>
      </c>
      <c r="CV277" s="1416">
        <f t="shared" si="664"/>
        <v>102.44610863393467</v>
      </c>
      <c r="CW277" s="1416">
        <f t="shared" si="664"/>
        <v>101.67055047500412</v>
      </c>
      <c r="CX277" s="1416">
        <f t="shared" si="664"/>
        <v>103.83752163821418</v>
      </c>
      <c r="CY277" s="1416">
        <f t="shared" ref="CY277:CY281" si="665">+CU277*(1+CY311/100)</f>
        <v>102.59185134561064</v>
      </c>
      <c r="CZ277" s="1416">
        <f t="shared" ref="CZ277:CZ281" si="666">+CV277*(1+CZ311/100)</f>
        <v>103.73545744467096</v>
      </c>
      <c r="DA277" s="1416">
        <f t="shared" ref="DA277:DA281" si="667">+CW277*(1+DA311/100)</f>
        <v>102.48563280715004</v>
      </c>
      <c r="DB277" s="1416">
        <f t="shared" ref="DB277:DB281" si="668">+CX277*(1+DB311/100)</f>
        <v>104.20400443695571</v>
      </c>
      <c r="DC277"/>
      <c r="DD277"/>
      <c r="DE277"/>
      <c r="DF277"/>
      <c r="DG277"/>
      <c r="DH277"/>
      <c r="DI277"/>
      <c r="DJ277"/>
      <c r="DK277"/>
      <c r="DL277"/>
      <c r="DM277"/>
      <c r="DN277"/>
      <c r="DO277"/>
    </row>
    <row r="278" spans="1:119" s="699" customFormat="1" ht="12.75" customHeight="1">
      <c r="A278" s="664" t="str">
        <f>"Q" &amp; ROW(InputQ!A19)</f>
        <v>Q19</v>
      </c>
      <c r="B278" s="664">
        <v>168</v>
      </c>
      <c r="C278" s="1562"/>
      <c r="D278" s="674"/>
      <c r="E278" s="3629" t="s">
        <v>436</v>
      </c>
      <c r="F278" s="3630"/>
      <c r="G278" s="706" t="str">
        <f>+InputQ!G19</f>
        <v>:</v>
      </c>
      <c r="H278" s="706" t="str">
        <f>+InputQ!H19</f>
        <v>:</v>
      </c>
      <c r="I278" s="706" t="str">
        <f>+InputQ!I19</f>
        <v>:</v>
      </c>
      <c r="J278" s="706" t="str">
        <f>+InputQ!J19</f>
        <v>:</v>
      </c>
      <c r="K278" s="706">
        <f>+InputQ!K19</f>
        <v>29.959999999999997</v>
      </c>
      <c r="L278" s="706">
        <f>+InputQ!L19</f>
        <v>30.306666666666668</v>
      </c>
      <c r="M278" s="706">
        <f>+InputQ!M19</f>
        <v>31.173333333333332</v>
      </c>
      <c r="N278" s="706">
        <f>+InputQ!N19</f>
        <v>33.169999999999995</v>
      </c>
      <c r="O278" s="706">
        <f>+InputQ!O19</f>
        <v>34.360000000000007</v>
      </c>
      <c r="P278" s="706">
        <f>+InputQ!P19</f>
        <v>34.796666666666667</v>
      </c>
      <c r="Q278" s="706">
        <f>+InputQ!Q19</f>
        <v>38.973333333333336</v>
      </c>
      <c r="R278" s="706">
        <f>+InputQ!R19</f>
        <v>40.809999999999995</v>
      </c>
      <c r="S278" s="706">
        <f>+InputQ!S19</f>
        <v>41.43333333333333</v>
      </c>
      <c r="T278" s="706">
        <f>+InputQ!T19</f>
        <v>41.706666666666671</v>
      </c>
      <c r="U278" s="706">
        <f>+InputQ!U19</f>
        <v>43.213333333333331</v>
      </c>
      <c r="V278" s="706">
        <f>+InputQ!V19</f>
        <v>44.686666666666667</v>
      </c>
      <c r="W278" s="706">
        <f>+InputQ!W19</f>
        <v>45.546666666666674</v>
      </c>
      <c r="X278" s="706">
        <f>+InputQ!X19</f>
        <v>45.916666666666664</v>
      </c>
      <c r="Y278" s="706">
        <f>+InputQ!Y19</f>
        <v>46.81</v>
      </c>
      <c r="Z278" s="706">
        <f>+InputQ!Z19</f>
        <v>48.06</v>
      </c>
      <c r="AA278" s="706">
        <f>+InputQ!AA19</f>
        <v>53.370000000000005</v>
      </c>
      <c r="AB278" s="706">
        <f>+InputQ!AB19</f>
        <v>54.576666666666675</v>
      </c>
      <c r="AC278" s="706">
        <f>+InputQ!AC19</f>
        <v>54.603333333333332</v>
      </c>
      <c r="AD278" s="706">
        <f>+InputQ!AD19</f>
        <v>55.956666666666671</v>
      </c>
      <c r="AE278" s="706">
        <f>+InputQ!AE19</f>
        <v>54.066666666666663</v>
      </c>
      <c r="AF278" s="706">
        <f>+InputQ!AF19</f>
        <v>55.156666666666666</v>
      </c>
      <c r="AG278" s="706">
        <f>+InputQ!AG19</f>
        <v>55.24</v>
      </c>
      <c r="AH278" s="706">
        <f>+InputQ!AH19</f>
        <v>53.98</v>
      </c>
      <c r="AI278" s="706">
        <f>+InputQ!AI19</f>
        <v>54.823333333333331</v>
      </c>
      <c r="AJ278" s="706">
        <f>+InputQ!AJ19</f>
        <v>55.946666666666665</v>
      </c>
      <c r="AK278" s="706">
        <f>+InputQ!AK19</f>
        <v>55.4</v>
      </c>
      <c r="AL278" s="706">
        <f>+InputQ!AL19</f>
        <v>55.96</v>
      </c>
      <c r="AM278" s="706">
        <f>+InputQ!AM19</f>
        <v>56.876666666666665</v>
      </c>
      <c r="AN278" s="706">
        <f>+InputQ!AN19</f>
        <v>56.29666666666666</v>
      </c>
      <c r="AO278" s="706">
        <f>+InputQ!AO19</f>
        <v>55.836666666666666</v>
      </c>
      <c r="AP278" s="706">
        <f>+InputQ!AP19</f>
        <v>55.51</v>
      </c>
      <c r="AQ278" s="706">
        <f>+InputQ!AQ19</f>
        <v>56.266666666666673</v>
      </c>
      <c r="AR278" s="706">
        <f>+InputQ!AR19</f>
        <v>57.926666666666669</v>
      </c>
      <c r="AS278" s="706">
        <f>+InputQ!AS19</f>
        <v>58.02</v>
      </c>
      <c r="AT278" s="706">
        <f>+InputQ!AT19</f>
        <v>58.436666666666667</v>
      </c>
      <c r="AU278" s="706">
        <f>+InputQ!AU19</f>
        <v>59.51</v>
      </c>
      <c r="AV278" s="706">
        <f>+InputQ!AV19</f>
        <v>60.793333333333329</v>
      </c>
      <c r="AW278" s="706">
        <f>+InputQ!AW19</f>
        <v>63.123333333333335</v>
      </c>
      <c r="AX278" s="706">
        <f>+InputQ!AX19</f>
        <v>63.896666666666668</v>
      </c>
      <c r="AY278" s="706">
        <f>+InputQ!AY19</f>
        <v>65.27</v>
      </c>
      <c r="AZ278" s="706">
        <f>+InputQ!AZ19</f>
        <v>66.286666666666676</v>
      </c>
      <c r="BA278" s="706">
        <f>+InputQ!BA19</f>
        <v>66.760000000000005</v>
      </c>
      <c r="BB278" s="706">
        <f>+InputQ!BB19</f>
        <v>67.779999999999987</v>
      </c>
      <c r="BC278" s="706">
        <f>+InputQ!BC19</f>
        <v>68.28</v>
      </c>
      <c r="BD278" s="706">
        <f>+InputQ!BD19</f>
        <v>70.2</v>
      </c>
      <c r="BE278" s="706">
        <f>+InputQ!BE19</f>
        <v>71.326666666666668</v>
      </c>
      <c r="BF278" s="706">
        <f>+InputQ!BF19</f>
        <v>74.463333333333324</v>
      </c>
      <c r="BG278" s="706">
        <f>+InputQ!BG19</f>
        <v>80.75</v>
      </c>
      <c r="BH278" s="706">
        <f>+InputQ!BH19</f>
        <v>83.506666666666675</v>
      </c>
      <c r="BI278" s="706">
        <f>+InputQ!BI19</f>
        <v>85.95</v>
      </c>
      <c r="BJ278" s="706">
        <f>+InputQ!BJ19</f>
        <v>85.013333333333321</v>
      </c>
      <c r="BK278" s="706">
        <f>+InputQ!BK19</f>
        <v>91.366666666666674</v>
      </c>
      <c r="BL278" s="706">
        <f>+InputQ!BL19</f>
        <v>92.323333333333338</v>
      </c>
      <c r="BM278" s="706">
        <f>+InputQ!BM19</f>
        <v>91.25333333333333</v>
      </c>
      <c r="BN278" s="706">
        <f>+InputQ!BN19</f>
        <v>87.649999999999991</v>
      </c>
      <c r="BO278" s="706">
        <f>+InputQ!BO19</f>
        <v>96.31</v>
      </c>
      <c r="BP278" s="706">
        <f>+InputQ!BP19</f>
        <v>99.523333333333326</v>
      </c>
      <c r="BQ278" s="706">
        <f>+InputQ!BQ19</f>
        <v>101.39999999999999</v>
      </c>
      <c r="BR278" s="706">
        <f>+InputQ!BR19</f>
        <v>103.07333333333334</v>
      </c>
      <c r="BS278" s="706">
        <f>+InputQ!BS19</f>
        <v>107.88333333333333</v>
      </c>
      <c r="BT278" s="706">
        <f>+InputQ!BT19</f>
        <v>110.75</v>
      </c>
      <c r="BU278" s="706">
        <f>+InputQ!BU19</f>
        <v>114.21</v>
      </c>
      <c r="BV278" s="706">
        <f>+InputQ!BV19</f>
        <v>115.67</v>
      </c>
      <c r="BW278" s="706">
        <f>+InputQ!BW19</f>
        <v>118.03666666666665</v>
      </c>
      <c r="BX278" s="706">
        <f>+InputQ!BX19</f>
        <v>119.48333333333333</v>
      </c>
      <c r="BY278" s="706">
        <f>+InputQ!BY19</f>
        <v>121.49333333333334</v>
      </c>
      <c r="BZ278" s="706">
        <f>+InputQ!BZ19</f>
        <v>119.35666666666667</v>
      </c>
      <c r="CA278" s="706">
        <f>+InputQ!CA19</f>
        <v>119.98666666666666</v>
      </c>
      <c r="CB278" s="706">
        <f>+InputQ!CB19</f>
        <v>118.14333333333333</v>
      </c>
      <c r="CC278" s="706">
        <f>+InputQ!CC19</f>
        <v>117.43</v>
      </c>
      <c r="CD278" s="706">
        <f>+InputQ!CD19</f>
        <v>116.85666666666667</v>
      </c>
      <c r="CE278" s="706">
        <f>+InputQ!CE19</f>
        <v>116.97333333333331</v>
      </c>
      <c r="CF278" s="706">
        <f>+InputQ!CF19</f>
        <v>114.57666666666667</v>
      </c>
      <c r="CG278" s="706">
        <f>+InputQ!CG19</f>
        <v>112.04</v>
      </c>
      <c r="CH278" s="706">
        <f>+InputQ!CH19</f>
        <v>110.11666666666666</v>
      </c>
      <c r="CI278" s="706">
        <f>+InputQ!CI19</f>
        <v>100.37333333333333</v>
      </c>
      <c r="CJ278" s="706">
        <f>+InputQ!CJ19</f>
        <v>103.63</v>
      </c>
      <c r="CK278" s="706">
        <f>+InputQ!CK19</f>
        <v>100.26333333333334</v>
      </c>
      <c r="CL278" s="706">
        <f>+InputQ!CL19</f>
        <v>95.73</v>
      </c>
      <c r="CM278" s="706">
        <f>+InputQ!CM19</f>
        <v>92.31</v>
      </c>
      <c r="CN278" s="706">
        <f>+InputQ!CN19</f>
        <v>93.00333333333333</v>
      </c>
      <c r="CO278" s="706">
        <f>+InputQ!CO19</f>
        <v>91.393333333333331</v>
      </c>
      <c r="CP278" s="706">
        <f>+InputQ!CP19</f>
        <v>94.553333333333327</v>
      </c>
      <c r="CQ278" s="706">
        <f>+InputQ!CQ19</f>
        <v>97.820000000000007</v>
      </c>
      <c r="CR278" s="706">
        <f>+InputQ!CR19</f>
        <v>96.713333333333352</v>
      </c>
      <c r="CS278" s="706">
        <f>+InputQ!CS19</f>
        <v>95.93</v>
      </c>
      <c r="CT278" s="706">
        <f>+InputQ!CT19</f>
        <v>98.183333333333337</v>
      </c>
      <c r="CU278" s="937">
        <f t="shared" si="664"/>
        <v>102.19735666666666</v>
      </c>
      <c r="CV278" s="937">
        <f t="shared" si="664"/>
        <v>102.37655040348398</v>
      </c>
      <c r="CW278" s="937">
        <f t="shared" si="664"/>
        <v>102.68398728672217</v>
      </c>
      <c r="CX278" s="937">
        <f t="shared" si="664"/>
        <v>102.99234740322815</v>
      </c>
      <c r="CY278" s="937">
        <f t="shared" si="665"/>
        <v>103.30163352547235</v>
      </c>
      <c r="CZ278" s="937">
        <f t="shared" si="666"/>
        <v>103.61184843425093</v>
      </c>
      <c r="DA278" s="937">
        <f t="shared" si="667"/>
        <v>103.92299491871081</v>
      </c>
      <c r="DB278" s="937">
        <f t="shared" si="668"/>
        <v>104.23507577637467</v>
      </c>
      <c r="DC278"/>
      <c r="DD278"/>
      <c r="DE278"/>
      <c r="DF278"/>
      <c r="DG278"/>
      <c r="DH278"/>
      <c r="DI278"/>
      <c r="DJ278"/>
      <c r="DK278"/>
      <c r="DL278"/>
      <c r="DM278"/>
      <c r="DN278"/>
      <c r="DO278"/>
    </row>
    <row r="279" spans="1:119" s="699" customFormat="1" ht="12.75" customHeight="1">
      <c r="A279" s="664" t="str">
        <f>"Q" &amp; ROW(InputQ!A20)</f>
        <v>Q20</v>
      </c>
      <c r="B279" s="664">
        <v>170</v>
      </c>
      <c r="C279" s="1562"/>
      <c r="D279" s="674"/>
      <c r="E279" s="3629" t="s">
        <v>1239</v>
      </c>
      <c r="F279" s="3630"/>
      <c r="G279" s="706" t="str">
        <f>+InputQ!G20</f>
        <v>:</v>
      </c>
      <c r="H279" s="706" t="str">
        <f>+InputQ!H20</f>
        <v>:</v>
      </c>
      <c r="I279" s="706" t="str">
        <f>+InputQ!I20</f>
        <v>:</v>
      </c>
      <c r="J279" s="706" t="str">
        <f>+InputQ!J20</f>
        <v>:</v>
      </c>
      <c r="K279" s="706">
        <f>+InputQ!K20</f>
        <v>61.646666666666668</v>
      </c>
      <c r="L279" s="706">
        <f>+InputQ!L20</f>
        <v>67.970000000000013</v>
      </c>
      <c r="M279" s="706">
        <f>+InputQ!M20</f>
        <v>66.236666666666665</v>
      </c>
      <c r="N279" s="706">
        <f>+InputQ!N20</f>
        <v>66.719999999999985</v>
      </c>
      <c r="O279" s="706">
        <f>+InputQ!O20</f>
        <v>70.8</v>
      </c>
      <c r="P279" s="706">
        <f>+InputQ!P20</f>
        <v>70.246666666666655</v>
      </c>
      <c r="Q279" s="706">
        <f>+InputQ!Q20</f>
        <v>66.99666666666667</v>
      </c>
      <c r="R279" s="706">
        <f>+InputQ!R20</f>
        <v>67.543333333333337</v>
      </c>
      <c r="S279" s="706">
        <f>+InputQ!S20</f>
        <v>70.653333333333322</v>
      </c>
      <c r="T279" s="706">
        <f>+InputQ!T20</f>
        <v>71.856666666666669</v>
      </c>
      <c r="U279" s="706">
        <f>+InputQ!U20</f>
        <v>67.95</v>
      </c>
      <c r="V279" s="706">
        <f>+InputQ!V20</f>
        <v>67.643333333333331</v>
      </c>
      <c r="W279" s="706">
        <f>+InputQ!W20</f>
        <v>67.899999999999991</v>
      </c>
      <c r="X279" s="706">
        <f>+InputQ!X20</f>
        <v>66.163333333333341</v>
      </c>
      <c r="Y279" s="706">
        <f>+InputQ!Y20</f>
        <v>63.54666666666666</v>
      </c>
      <c r="Z279" s="706">
        <f>+InputQ!Z20</f>
        <v>64.876666666666665</v>
      </c>
      <c r="AA279" s="706">
        <f>+InputQ!AA20</f>
        <v>64.423333333333332</v>
      </c>
      <c r="AB279" s="706">
        <f>+InputQ!AB20</f>
        <v>63.436666666666667</v>
      </c>
      <c r="AC279" s="706">
        <f>+InputQ!AC20</f>
        <v>62.463333333333338</v>
      </c>
      <c r="AD279" s="706">
        <f>+InputQ!AD20</f>
        <v>63.15</v>
      </c>
      <c r="AE279" s="706">
        <f>+InputQ!AE20</f>
        <v>66.036666666666676</v>
      </c>
      <c r="AF279" s="706">
        <f>+InputQ!AF20</f>
        <v>70.48</v>
      </c>
      <c r="AG279" s="706">
        <f>+InputQ!AG20</f>
        <v>69.633333333333326</v>
      </c>
      <c r="AH279" s="706">
        <f>+InputQ!AH20</f>
        <v>70.06</v>
      </c>
      <c r="AI279" s="706">
        <f>+InputQ!AI20</f>
        <v>72.643333333333331</v>
      </c>
      <c r="AJ279" s="706">
        <f>+InputQ!AJ20</f>
        <v>69.283333333333346</v>
      </c>
      <c r="AK279" s="706">
        <f>+InputQ!AK20</f>
        <v>65.12</v>
      </c>
      <c r="AL279" s="706">
        <f>+InputQ!AL20</f>
        <v>63.116666666666674</v>
      </c>
      <c r="AM279" s="706">
        <f>+InputQ!AM20</f>
        <v>60.516666666666659</v>
      </c>
      <c r="AN279" s="706">
        <f>+InputQ!AN20</f>
        <v>60.986666666666672</v>
      </c>
      <c r="AO279" s="706">
        <f>+InputQ!AO20</f>
        <v>57.830000000000005</v>
      </c>
      <c r="AP279" s="706">
        <f>+InputQ!AP20</f>
        <v>58.433333333333337</v>
      </c>
      <c r="AQ279" s="706">
        <f>+InputQ!AQ20</f>
        <v>58.48</v>
      </c>
      <c r="AR279" s="706">
        <f>+InputQ!AR20</f>
        <v>60.339999999999996</v>
      </c>
      <c r="AS279" s="706">
        <f>+InputQ!AS20</f>
        <v>62.423333333333339</v>
      </c>
      <c r="AT279" s="706">
        <f>+InputQ!AT20</f>
        <v>62.44</v>
      </c>
      <c r="AU279" s="706">
        <f>+InputQ!AU20</f>
        <v>64.156666666666666</v>
      </c>
      <c r="AV279" s="706">
        <f>+InputQ!AV20</f>
        <v>65.546666666666667</v>
      </c>
      <c r="AW279" s="706">
        <f>+InputQ!AW20</f>
        <v>63.98</v>
      </c>
      <c r="AX279" s="706">
        <f>+InputQ!AX20</f>
        <v>65.563333333333333</v>
      </c>
      <c r="AY279" s="706">
        <f>+InputQ!AY20</f>
        <v>68.473333333333329</v>
      </c>
      <c r="AZ279" s="706">
        <f>+InputQ!AZ20</f>
        <v>70.606666666666669</v>
      </c>
      <c r="BA279" s="706">
        <f>+InputQ!BA20</f>
        <v>70.429999999999993</v>
      </c>
      <c r="BB279" s="706">
        <f>+InputQ!BB20</f>
        <v>70.64</v>
      </c>
      <c r="BC279" s="706">
        <f>+InputQ!BC20</f>
        <v>73.410000000000011</v>
      </c>
      <c r="BD279" s="706">
        <f>+InputQ!BD20</f>
        <v>75.946666666666658</v>
      </c>
      <c r="BE279" s="706">
        <f>+InputQ!BE20</f>
        <v>76.113333333333344</v>
      </c>
      <c r="BF279" s="706">
        <f>+InputQ!BF20</f>
        <v>78.996666666666655</v>
      </c>
      <c r="BG279" s="706">
        <f>+InputQ!BG20</f>
        <v>83.593333333333334</v>
      </c>
      <c r="BH279" s="706">
        <f>+InputQ!BH20</f>
        <v>87.683333333333337</v>
      </c>
      <c r="BI279" s="706">
        <f>+InputQ!BI20</f>
        <v>88.483333333333348</v>
      </c>
      <c r="BJ279" s="706">
        <f>+InputQ!BJ20</f>
        <v>90.776666666666657</v>
      </c>
      <c r="BK279" s="706">
        <f>+InputQ!BK20</f>
        <v>94.139999999999986</v>
      </c>
      <c r="BL279" s="706">
        <f>+InputQ!BL20</f>
        <v>92.473333333333315</v>
      </c>
      <c r="BM279" s="706">
        <f>+InputQ!BM20</f>
        <v>88.336666666666659</v>
      </c>
      <c r="BN279" s="706">
        <f>+InputQ!BN20</f>
        <v>86.476666666666674</v>
      </c>
      <c r="BO279" s="706">
        <f>+InputQ!BO20</f>
        <v>87.149999999999991</v>
      </c>
      <c r="BP279" s="706">
        <f>+InputQ!BP20</f>
        <v>88.796666666666667</v>
      </c>
      <c r="BQ279" s="706">
        <f>+InputQ!BQ20</f>
        <v>88.029999999999987</v>
      </c>
      <c r="BR279" s="706">
        <f>+InputQ!BR20</f>
        <v>89.106666666666669</v>
      </c>
      <c r="BS279" s="706">
        <f>+InputQ!BS20</f>
        <v>91.99666666666667</v>
      </c>
      <c r="BT279" s="706">
        <f>+InputQ!BT20</f>
        <v>95.716666666666654</v>
      </c>
      <c r="BU279" s="706">
        <f>+InputQ!BU20</f>
        <v>91.536666666666676</v>
      </c>
      <c r="BV279" s="706">
        <f>+InputQ!BV20</f>
        <v>91.583333333333329</v>
      </c>
      <c r="BW279" s="706">
        <f>+InputQ!BW20</f>
        <v>94.719999999999985</v>
      </c>
      <c r="BX279" s="706">
        <f>+InputQ!BX20</f>
        <v>96.40333333333335</v>
      </c>
      <c r="BY279" s="706">
        <f>+InputQ!BY20</f>
        <v>95.443333333333328</v>
      </c>
      <c r="BZ279" s="706">
        <f>+InputQ!BZ20</f>
        <v>96.666666666666671</v>
      </c>
      <c r="CA279" s="706">
        <f>+InputQ!CA20</f>
        <v>99.36333333333333</v>
      </c>
      <c r="CB279" s="706">
        <f>+InputQ!CB20</f>
        <v>101.20666666666666</v>
      </c>
      <c r="CC279" s="706">
        <f>+InputQ!CC20</f>
        <v>97.883333333333326</v>
      </c>
      <c r="CD279" s="706">
        <f>+InputQ!CD20</f>
        <v>97.186666666666667</v>
      </c>
      <c r="CE279" s="706">
        <f>+InputQ!CE20</f>
        <v>100.02666666666666</v>
      </c>
      <c r="CF279" s="706">
        <f>+InputQ!CF20</f>
        <v>101.25333333333333</v>
      </c>
      <c r="CG279" s="706">
        <f>+InputQ!CG20</f>
        <v>98.226666666666674</v>
      </c>
      <c r="CH279" s="706">
        <f>+InputQ!CH20</f>
        <v>97.466666666666654</v>
      </c>
      <c r="CI279" s="706">
        <f>+InputQ!CI20</f>
        <v>98.636666666666656</v>
      </c>
      <c r="CJ279" s="706">
        <f>+InputQ!CJ20</f>
        <v>103.11</v>
      </c>
      <c r="CK279" s="706">
        <f>+InputQ!CK20</f>
        <v>98.173333333333332</v>
      </c>
      <c r="CL279" s="706">
        <f>+InputQ!CL20</f>
        <v>100.08333333333333</v>
      </c>
      <c r="CM279" s="706">
        <f>+InputQ!CM20</f>
        <v>101.03333333333335</v>
      </c>
      <c r="CN279" s="706">
        <f>+InputQ!CN20</f>
        <v>105.52666666666666</v>
      </c>
      <c r="CO279" s="706">
        <f>+InputQ!CO20</f>
        <v>99.823333333333323</v>
      </c>
      <c r="CP279" s="706">
        <f>+InputQ!CP20</f>
        <v>99.68</v>
      </c>
      <c r="CQ279" s="706">
        <f>+InputQ!CQ20</f>
        <v>103.72333333333331</v>
      </c>
      <c r="CR279" s="706">
        <f>+InputQ!CR20</f>
        <v>104.08666666666666</v>
      </c>
      <c r="CS279" s="706">
        <f>+InputQ!CS20</f>
        <v>101.69333333333333</v>
      </c>
      <c r="CT279" s="706">
        <f>+InputQ!CT20</f>
        <v>103.21</v>
      </c>
      <c r="CU279" s="937">
        <f t="shared" si="664"/>
        <v>104.63744509393507</v>
      </c>
      <c r="CV279" s="937">
        <f t="shared" si="664"/>
        <v>105.89066418216065</v>
      </c>
      <c r="CW279" s="937">
        <f t="shared" si="664"/>
        <v>102.24233718254089</v>
      </c>
      <c r="CX279" s="937">
        <f t="shared" si="664"/>
        <v>102.12673497491444</v>
      </c>
      <c r="CY279" s="937">
        <f t="shared" si="665"/>
        <v>104.69265523033705</v>
      </c>
      <c r="CZ279" s="937">
        <f t="shared" si="666"/>
        <v>106.81252518097664</v>
      </c>
      <c r="DA279" s="937">
        <f t="shared" si="667"/>
        <v>103.44596348958727</v>
      </c>
      <c r="DB279" s="937">
        <f t="shared" si="668"/>
        <v>103.63988136355725</v>
      </c>
      <c r="DC279"/>
      <c r="DD279"/>
      <c r="DE279"/>
      <c r="DF279"/>
      <c r="DG279"/>
      <c r="DH279"/>
      <c r="DI279"/>
      <c r="DJ279"/>
      <c r="DK279"/>
      <c r="DL279"/>
      <c r="DM279"/>
      <c r="DN279"/>
      <c r="DO279"/>
    </row>
    <row r="280" spans="1:119" s="699" customFormat="1" ht="12.75" customHeight="1">
      <c r="A280" s="664" t="str">
        <f>"Q" &amp; ROW(InputQ!A21)</f>
        <v>Q21</v>
      </c>
      <c r="B280" s="664">
        <v>169</v>
      </c>
      <c r="C280" s="1562"/>
      <c r="D280" s="674"/>
      <c r="E280" s="3629" t="s">
        <v>1238</v>
      </c>
      <c r="F280" s="3630"/>
      <c r="G280" s="706" t="str">
        <f>+InputQ!G21</f>
        <v>:</v>
      </c>
      <c r="H280" s="706" t="str">
        <f>+InputQ!H21</f>
        <v>:</v>
      </c>
      <c r="I280" s="706" t="str">
        <f>+InputQ!I21</f>
        <v>:</v>
      </c>
      <c r="J280" s="706" t="str">
        <f>+InputQ!J21</f>
        <v>:</v>
      </c>
      <c r="K280" s="706">
        <f>+InputQ!K21</f>
        <v>51.303333333333335</v>
      </c>
      <c r="L280" s="706">
        <f>+InputQ!L21</f>
        <v>52.196666666666665</v>
      </c>
      <c r="M280" s="706">
        <f>+InputQ!M21</f>
        <v>52.803333333333335</v>
      </c>
      <c r="N280" s="706">
        <f>+InputQ!N21</f>
        <v>54.393333333333338</v>
      </c>
      <c r="O280" s="706">
        <f>+InputQ!O21</f>
        <v>57.24666666666667</v>
      </c>
      <c r="P280" s="706">
        <f>+InputQ!P21</f>
        <v>57.493333333333332</v>
      </c>
      <c r="Q280" s="706">
        <f>+InputQ!Q21</f>
        <v>57.646666666666668</v>
      </c>
      <c r="R280" s="706">
        <f>+InputQ!R21</f>
        <v>58.386666666666663</v>
      </c>
      <c r="S280" s="706">
        <f>+InputQ!S21</f>
        <v>58.986666666666657</v>
      </c>
      <c r="T280" s="706">
        <f>+InputQ!T21</f>
        <v>58.76</v>
      </c>
      <c r="U280" s="706">
        <f>+InputQ!U21</f>
        <v>57.956666666666671</v>
      </c>
      <c r="V280" s="706">
        <f>+InputQ!V21</f>
        <v>57.906666666666666</v>
      </c>
      <c r="W280" s="706">
        <f>+InputQ!W21</f>
        <v>58.803333333333335</v>
      </c>
      <c r="X280" s="706">
        <f>+InputQ!X21</f>
        <v>58.379999999999995</v>
      </c>
      <c r="Y280" s="706">
        <f>+InputQ!Y21</f>
        <v>58.346666666666671</v>
      </c>
      <c r="Z280" s="706">
        <f>+InputQ!Z21</f>
        <v>56.633333333333333</v>
      </c>
      <c r="AA280" s="706">
        <f>+InputQ!AA21</f>
        <v>56.386666666666663</v>
      </c>
      <c r="AB280" s="706">
        <f>+InputQ!AB21</f>
        <v>55.586666666666666</v>
      </c>
      <c r="AC280" s="706">
        <f>+InputQ!AC21</f>
        <v>55.686666666666667</v>
      </c>
      <c r="AD280" s="706">
        <f>+InputQ!AD21</f>
        <v>55.589999999999996</v>
      </c>
      <c r="AE280" s="706">
        <f>+InputQ!AE21</f>
        <v>55.79999999999999</v>
      </c>
      <c r="AF280" s="706">
        <f>+InputQ!AF21</f>
        <v>55.44</v>
      </c>
      <c r="AG280" s="706">
        <f>+InputQ!AG21</f>
        <v>55.45333333333334</v>
      </c>
      <c r="AH280" s="706">
        <f>+InputQ!AH21</f>
        <v>56.113333333333337</v>
      </c>
      <c r="AI280" s="706">
        <f>+InputQ!AI21</f>
        <v>56.613333333333337</v>
      </c>
      <c r="AJ280" s="706">
        <f>+InputQ!AJ21</f>
        <v>55.886666666666663</v>
      </c>
      <c r="AK280" s="706">
        <f>+InputQ!AK21</f>
        <v>55.646666666666668</v>
      </c>
      <c r="AL280" s="706">
        <f>+InputQ!AL21</f>
        <v>56.393333333333338</v>
      </c>
      <c r="AM280" s="706">
        <f>+InputQ!AM21</f>
        <v>57.726666666666667</v>
      </c>
      <c r="AN280" s="706">
        <f>+InputQ!AN21</f>
        <v>57.963333333333331</v>
      </c>
      <c r="AO280" s="706">
        <f>+InputQ!AO21</f>
        <v>57.81</v>
      </c>
      <c r="AP280" s="706">
        <f>+InputQ!AP21</f>
        <v>58.016666666666673</v>
      </c>
      <c r="AQ280" s="706">
        <f>+InputQ!AQ21</f>
        <v>58.616666666666667</v>
      </c>
      <c r="AR280" s="706">
        <f>+InputQ!AR21</f>
        <v>59.370000000000005</v>
      </c>
      <c r="AS280" s="706">
        <f>+InputQ!AS21</f>
        <v>59.376666666666665</v>
      </c>
      <c r="AT280" s="706">
        <f>+InputQ!AT21</f>
        <v>59.48</v>
      </c>
      <c r="AU280" s="706">
        <f>+InputQ!AU21</f>
        <v>59.949999999999996</v>
      </c>
      <c r="AV280" s="706">
        <f>+InputQ!AV21</f>
        <v>60.04999999999999</v>
      </c>
      <c r="AW280" s="706">
        <f>+InputQ!AW21</f>
        <v>59.890000000000008</v>
      </c>
      <c r="AX280" s="706">
        <f>+InputQ!AX21</f>
        <v>60.286666666666669</v>
      </c>
      <c r="AY280" s="706">
        <f>+InputQ!AY21</f>
        <v>60.48</v>
      </c>
      <c r="AZ280" s="706">
        <f>+InputQ!AZ21</f>
        <v>60.84</v>
      </c>
      <c r="BA280" s="706">
        <f>+InputQ!BA21</f>
        <v>61.823333333333331</v>
      </c>
      <c r="BB280" s="706">
        <f>+InputQ!BB21</f>
        <v>63.593333333333334</v>
      </c>
      <c r="BC280" s="706">
        <f>+InputQ!BC21</f>
        <v>65.076666666666668</v>
      </c>
      <c r="BD280" s="706">
        <f>+InputQ!BD21</f>
        <v>66.266666666666666</v>
      </c>
      <c r="BE280" s="706">
        <f>+InputQ!BE21</f>
        <v>68.59333333333332</v>
      </c>
      <c r="BF280" s="706">
        <f>+InputQ!BF21</f>
        <v>72.576666666666668</v>
      </c>
      <c r="BG280" s="706">
        <f>+InputQ!BG21</f>
        <v>76.00333333333333</v>
      </c>
      <c r="BH280" s="706">
        <f>+InputQ!BH21</f>
        <v>79.02</v>
      </c>
      <c r="BI280" s="706">
        <f>+InputQ!BI21</f>
        <v>80.173333333333332</v>
      </c>
      <c r="BJ280" s="706">
        <f>+InputQ!BJ21</f>
        <v>80.666666666666671</v>
      </c>
      <c r="BK280" s="706">
        <f>+InputQ!BK21</f>
        <v>82.433333333333337</v>
      </c>
      <c r="BL280" s="706">
        <f>+InputQ!BL21</f>
        <v>83.463333333333324</v>
      </c>
      <c r="BM280" s="706">
        <f>+InputQ!BM21</f>
        <v>83.036666666666676</v>
      </c>
      <c r="BN280" s="706">
        <f>+InputQ!BN21</f>
        <v>85.320000000000007</v>
      </c>
      <c r="BO280" s="706">
        <f>+InputQ!BO21</f>
        <v>86.65000000000002</v>
      </c>
      <c r="BP280" s="706">
        <f>+InputQ!BP21</f>
        <v>87.320000000000007</v>
      </c>
      <c r="BQ280" s="706">
        <f>+InputQ!BQ21</f>
        <v>88.00333333333333</v>
      </c>
      <c r="BR280" s="706">
        <f>+InputQ!BR21</f>
        <v>89.713333333333324</v>
      </c>
      <c r="BS280" s="706">
        <f>+InputQ!BS21</f>
        <v>91.903333333333322</v>
      </c>
      <c r="BT280" s="706">
        <f>+InputQ!BT21</f>
        <v>94.480000000000018</v>
      </c>
      <c r="BU280" s="706">
        <f>+InputQ!BU21</f>
        <v>94.893333333333317</v>
      </c>
      <c r="BV280" s="706">
        <f>+InputQ!BV21</f>
        <v>95.089999999999989</v>
      </c>
      <c r="BW280" s="706">
        <f>+InputQ!BW21</f>
        <v>96.106666666666669</v>
      </c>
      <c r="BX280" s="706">
        <f>+InputQ!BX21</f>
        <v>97.220000000000013</v>
      </c>
      <c r="BY280" s="706">
        <f>+InputQ!BY21</f>
        <v>97.446666666666673</v>
      </c>
      <c r="BZ280" s="706">
        <f>+InputQ!BZ21</f>
        <v>97.406666666666652</v>
      </c>
      <c r="CA280" s="706">
        <f>+InputQ!CA21</f>
        <v>97.89</v>
      </c>
      <c r="CB280" s="706">
        <f>+InputQ!CB21</f>
        <v>98.043333333333337</v>
      </c>
      <c r="CC280" s="706">
        <f>+InputQ!CC21</f>
        <v>98.55</v>
      </c>
      <c r="CD280" s="706">
        <f>+InputQ!CD21</f>
        <v>98.956666666666663</v>
      </c>
      <c r="CE280" s="706">
        <f>+InputQ!CE21</f>
        <v>99.71</v>
      </c>
      <c r="CF280" s="706">
        <f>+InputQ!CF21</f>
        <v>100.28333333333335</v>
      </c>
      <c r="CG280" s="706">
        <f>+InputQ!CG21</f>
        <v>100.95333333333333</v>
      </c>
      <c r="CH280" s="706">
        <f>+InputQ!CH21</f>
        <v>100.95</v>
      </c>
      <c r="CI280" s="706">
        <f>+InputQ!CI21</f>
        <v>100.42666666666666</v>
      </c>
      <c r="CJ280" s="706">
        <f>+InputQ!CJ21</f>
        <v>99.936666666666667</v>
      </c>
      <c r="CK280" s="706">
        <f>+InputQ!CK21</f>
        <v>99.75333333333333</v>
      </c>
      <c r="CL280" s="706">
        <f>+InputQ!CL21</f>
        <v>99.883333333333326</v>
      </c>
      <c r="CM280" s="706">
        <f>+InputQ!CM21</f>
        <v>100.97333333333334</v>
      </c>
      <c r="CN280" s="706">
        <f>+InputQ!CN21</f>
        <v>102.05333333333334</v>
      </c>
      <c r="CO280" s="706">
        <f>+InputQ!CO21</f>
        <v>102.53666666666668</v>
      </c>
      <c r="CP280" s="706">
        <f>+InputQ!CP21</f>
        <v>103.35333333333334</v>
      </c>
      <c r="CQ280" s="706">
        <f>+InputQ!CQ21</f>
        <v>106.18333333333334</v>
      </c>
      <c r="CR280" s="706">
        <f>+InputQ!CR21</f>
        <v>109.47333333333331</v>
      </c>
      <c r="CS280" s="706">
        <f>+InputQ!CS21</f>
        <v>110.70666666666666</v>
      </c>
      <c r="CT280" s="706">
        <f>+InputQ!CT21</f>
        <v>111.66666666666667</v>
      </c>
      <c r="CU280" s="937">
        <f t="shared" si="664"/>
        <v>112.39778359442839</v>
      </c>
      <c r="CV280" s="937">
        <f t="shared" si="664"/>
        <v>113.47808746268403</v>
      </c>
      <c r="CW280" s="937">
        <f t="shared" si="664"/>
        <v>113.70503949650956</v>
      </c>
      <c r="CX280" s="937">
        <f t="shared" si="664"/>
        <v>114.23451837943793</v>
      </c>
      <c r="CY280" s="937">
        <f t="shared" si="665"/>
        <v>115.66713212645475</v>
      </c>
      <c r="CZ280" s="937">
        <f t="shared" si="666"/>
        <v>116.97811730815503</v>
      </c>
      <c r="DA280" s="937">
        <f t="shared" si="667"/>
        <v>117.21206927394665</v>
      </c>
      <c r="DB280" s="937">
        <f t="shared" si="668"/>
        <v>117.75787899161354</v>
      </c>
      <c r="DC280"/>
      <c r="DD280"/>
      <c r="DE280"/>
      <c r="DF280"/>
      <c r="DG280"/>
      <c r="DH280"/>
      <c r="DI280"/>
      <c r="DJ280"/>
      <c r="DK280"/>
      <c r="DL280"/>
      <c r="DM280"/>
      <c r="DN280"/>
      <c r="DO280"/>
    </row>
    <row r="281" spans="1:119" customFormat="1">
      <c r="A281" s="664" t="str">
        <f>"Q" &amp; ROW(InputQ!A22)</f>
        <v>Q22</v>
      </c>
      <c r="B281" s="664">
        <v>171</v>
      </c>
      <c r="C281" s="3643"/>
      <c r="D281" s="1077"/>
      <c r="E281" s="1078" t="s">
        <v>1240</v>
      </c>
      <c r="F281" s="1077"/>
      <c r="G281" s="1085" t="str">
        <f>+InputQ!G22</f>
        <v>:</v>
      </c>
      <c r="H281" s="1085" t="str">
        <f>+InputQ!H22</f>
        <v>:</v>
      </c>
      <c r="I281" s="1085" t="str">
        <f>+InputQ!I22</f>
        <v>:</v>
      </c>
      <c r="J281" s="1085" t="str">
        <f>+InputQ!J22</f>
        <v>:</v>
      </c>
      <c r="K281" s="1085">
        <f>+InputQ!K22</f>
        <v>39.833333333333336</v>
      </c>
      <c r="L281" s="1085">
        <f>+InputQ!L22</f>
        <v>41.616666666666667</v>
      </c>
      <c r="M281" s="1085">
        <f>+InputQ!M22</f>
        <v>44.080000000000005</v>
      </c>
      <c r="N281" s="1085">
        <f>+InputQ!N22</f>
        <v>44.79</v>
      </c>
      <c r="O281" s="1085">
        <f>+InputQ!O22</f>
        <v>47.140000000000008</v>
      </c>
      <c r="P281" s="1085">
        <f>+InputQ!P22</f>
        <v>48.793333333333329</v>
      </c>
      <c r="Q281" s="1085">
        <f>+InputQ!Q22</f>
        <v>50.199999999999996</v>
      </c>
      <c r="R281" s="1085">
        <f>+InputQ!R22</f>
        <v>50.823333333333331</v>
      </c>
      <c r="S281" s="1085">
        <f>+InputQ!S22</f>
        <v>52.723333333333336</v>
      </c>
      <c r="T281" s="1085">
        <f>+InputQ!T22</f>
        <v>54.586666666666666</v>
      </c>
      <c r="U281" s="1085">
        <f>+InputQ!U22</f>
        <v>55.706666666666671</v>
      </c>
      <c r="V281" s="1085">
        <f>+InputQ!V22</f>
        <v>56.333333333333336</v>
      </c>
      <c r="W281" s="1085">
        <f>+InputQ!W22</f>
        <v>56.943333333333335</v>
      </c>
      <c r="X281" s="1085">
        <f>+InputQ!X22</f>
        <v>58.576666666666675</v>
      </c>
      <c r="Y281" s="1085">
        <f>+InputQ!Y22</f>
        <v>59.01</v>
      </c>
      <c r="Z281" s="1085">
        <f>+InputQ!Z22</f>
        <v>59.313333333333333</v>
      </c>
      <c r="AA281" s="1085">
        <f>+InputQ!AA22</f>
        <v>60.783333333333339</v>
      </c>
      <c r="AB281" s="1085">
        <f>+InputQ!AB22</f>
        <v>61.583333333333336</v>
      </c>
      <c r="AC281" s="1085">
        <f>+InputQ!AC22</f>
        <v>61.873333333333335</v>
      </c>
      <c r="AD281" s="1085">
        <f>+InputQ!AD22</f>
        <v>62.043333333333329</v>
      </c>
      <c r="AE281" s="1085">
        <f>+InputQ!AE22</f>
        <v>63.069999999999993</v>
      </c>
      <c r="AF281" s="1085">
        <f>+InputQ!AF22</f>
        <v>63.223333333333336</v>
      </c>
      <c r="AG281" s="1085">
        <f>+InputQ!AG22</f>
        <v>64.990000000000009</v>
      </c>
      <c r="AH281" s="1085">
        <f>+InputQ!AH22</f>
        <v>65.953333333333333</v>
      </c>
      <c r="AI281" s="1085">
        <f>+InputQ!AI22</f>
        <v>66.073333333333338</v>
      </c>
      <c r="AJ281" s="1085">
        <f>+InputQ!AJ22</f>
        <v>65.930000000000007</v>
      </c>
      <c r="AK281" s="1085">
        <f>+InputQ!AK22</f>
        <v>66.83</v>
      </c>
      <c r="AL281" s="1085">
        <f>+InputQ!AL22</f>
        <v>66.726666666666674</v>
      </c>
      <c r="AM281" s="1085">
        <f>+InputQ!AM22</f>
        <v>67.100000000000009</v>
      </c>
      <c r="AN281" s="1085">
        <f>+InputQ!AN22</f>
        <v>67.209999999999994</v>
      </c>
      <c r="AO281" s="1085">
        <f>+InputQ!AO22</f>
        <v>66.7</v>
      </c>
      <c r="AP281" s="1085">
        <f>+InputQ!AP22</f>
        <v>65.356666666666669</v>
      </c>
      <c r="AQ281" s="1085">
        <f>+InputQ!AQ22</f>
        <v>65.516666666666666</v>
      </c>
      <c r="AR281" s="1085">
        <f>+InputQ!AR22</f>
        <v>66.23</v>
      </c>
      <c r="AS281" s="1085">
        <f>+InputQ!AS22</f>
        <v>66.930000000000007</v>
      </c>
      <c r="AT281" s="1085">
        <f>+InputQ!AT22</f>
        <v>66.839999999999989</v>
      </c>
      <c r="AU281" s="1085">
        <f>+InputQ!AU22</f>
        <v>67.586666666666659</v>
      </c>
      <c r="AV281" s="1085">
        <f>+InputQ!AV22</f>
        <v>68.150000000000006</v>
      </c>
      <c r="AW281" s="1085">
        <f>+InputQ!AW22</f>
        <v>69.113333333333344</v>
      </c>
      <c r="AX281" s="1085">
        <f>+InputQ!AX22</f>
        <v>69.49666666666667</v>
      </c>
      <c r="AY281" s="1085">
        <f>+InputQ!AY22</f>
        <v>70.266666666666666</v>
      </c>
      <c r="AZ281" s="1085">
        <f>+InputQ!AZ22</f>
        <v>71.356666666666669</v>
      </c>
      <c r="BA281" s="1085">
        <f>+InputQ!BA22</f>
        <v>72.77</v>
      </c>
      <c r="BB281" s="1085">
        <f>+InputQ!BB22</f>
        <v>73.216666666666669</v>
      </c>
      <c r="BC281" s="1085">
        <f>+InputQ!BC22</f>
        <v>74.256666666666675</v>
      </c>
      <c r="BD281" s="1085">
        <f>+InputQ!BD22</f>
        <v>75.606666666666669</v>
      </c>
      <c r="BE281" s="1085">
        <f>+InputQ!BE22</f>
        <v>77.899999999999991</v>
      </c>
      <c r="BF281" s="1085">
        <f>+InputQ!BF22</f>
        <v>79.430000000000007</v>
      </c>
      <c r="BG281" s="1085">
        <f>+InputQ!BG22</f>
        <v>82.506666666666675</v>
      </c>
      <c r="BH281" s="1085">
        <f>+InputQ!BH22</f>
        <v>85.389999999999986</v>
      </c>
      <c r="BI281" s="1085">
        <f>+InputQ!BI22</f>
        <v>87.683333333333337</v>
      </c>
      <c r="BJ281" s="1085">
        <f>+InputQ!BJ22</f>
        <v>88.990000000000009</v>
      </c>
      <c r="BK281" s="1085">
        <f>+InputQ!BK22</f>
        <v>91.216666666666654</v>
      </c>
      <c r="BL281" s="1085">
        <f>+InputQ!BL22</f>
        <v>91.166666666666671</v>
      </c>
      <c r="BM281" s="1085">
        <f>+InputQ!BM22</f>
        <v>91.553333333333327</v>
      </c>
      <c r="BN281" s="1085">
        <f>+InputQ!BN22</f>
        <v>90.463333333333324</v>
      </c>
      <c r="BO281" s="1085">
        <f>+InputQ!BO22</f>
        <v>89.73</v>
      </c>
      <c r="BP281" s="1085">
        <f>+InputQ!BP22</f>
        <v>89.56</v>
      </c>
      <c r="BQ281" s="1085">
        <f>+InputQ!BQ22</f>
        <v>90.123333333333335</v>
      </c>
      <c r="BR281" s="1085">
        <f>+InputQ!BR22</f>
        <v>89.54</v>
      </c>
      <c r="BS281" s="1085">
        <f>+InputQ!BS22</f>
        <v>89.826666666666668</v>
      </c>
      <c r="BT281" s="1085">
        <f>+InputQ!BT22</f>
        <v>90.54</v>
      </c>
      <c r="BU281" s="1085">
        <f>+InputQ!BU22</f>
        <v>91.73</v>
      </c>
      <c r="BV281" s="1085">
        <f>+InputQ!BV22</f>
        <v>91.36333333333333</v>
      </c>
      <c r="BW281" s="1085">
        <f>+InputQ!BW22</f>
        <v>92.14</v>
      </c>
      <c r="BX281" s="1085">
        <f>+InputQ!BX22</f>
        <v>93.256666666666661</v>
      </c>
      <c r="BY281" s="1085">
        <f>+InputQ!BY22</f>
        <v>94.37</v>
      </c>
      <c r="BZ281" s="1085">
        <f>+InputQ!BZ22</f>
        <v>94.2</v>
      </c>
      <c r="CA281" s="1085">
        <f>+InputQ!CA22</f>
        <v>94.19</v>
      </c>
      <c r="CB281" s="1085">
        <f>+InputQ!CB22</f>
        <v>95.243333333333339</v>
      </c>
      <c r="CC281" s="1085">
        <f>+InputQ!CC22</f>
        <v>96.103333333333339</v>
      </c>
      <c r="CD281" s="1085">
        <f>+InputQ!CD22</f>
        <v>95.353333333333339</v>
      </c>
      <c r="CE281" s="1085">
        <f>+InputQ!CE22</f>
        <v>95.213333333333324</v>
      </c>
      <c r="CF281" s="1085">
        <f>+InputQ!CF22</f>
        <v>96.086666666666659</v>
      </c>
      <c r="CG281" s="1085">
        <f>+InputQ!CG22</f>
        <v>97.956666666666663</v>
      </c>
      <c r="CH281" s="1085">
        <f>+InputQ!CH22</f>
        <v>97.736666666666679</v>
      </c>
      <c r="CI281" s="1085">
        <f>+InputQ!CI22</f>
        <v>98.276666666666657</v>
      </c>
      <c r="CJ281" s="1085">
        <f>+InputQ!CJ22</f>
        <v>99.32</v>
      </c>
      <c r="CK281" s="1085">
        <f>+InputQ!CK22</f>
        <v>101.18666666666667</v>
      </c>
      <c r="CL281" s="1085">
        <f>+InputQ!CL22</f>
        <v>101.22333333333331</v>
      </c>
      <c r="CM281" s="1085">
        <f>+InputQ!CM22</f>
        <v>101.89666666666666</v>
      </c>
      <c r="CN281" s="1085">
        <f>+InputQ!CN22</f>
        <v>102.54</v>
      </c>
      <c r="CO281" s="1085">
        <f>+InputQ!CO22</f>
        <v>104.19</v>
      </c>
      <c r="CP281" s="1085">
        <f>+InputQ!CP22</f>
        <v>103.99333333333334</v>
      </c>
      <c r="CQ281" s="1085">
        <f>+InputQ!CQ22</f>
        <v>105.31666666666666</v>
      </c>
      <c r="CR281" s="1085">
        <f>+InputQ!CR22</f>
        <v>107.93333333333334</v>
      </c>
      <c r="CS281" s="1085">
        <f>+InputQ!CS22</f>
        <v>110.87333333333333</v>
      </c>
      <c r="CT281" s="1085">
        <f>+InputQ!CT22</f>
        <v>109.28666666666668</v>
      </c>
      <c r="CU281" s="1342">
        <f t="shared" si="664"/>
        <v>110.08127049690449</v>
      </c>
      <c r="CV281" s="1342">
        <f t="shared" si="664"/>
        <v>112.01240115124502</v>
      </c>
      <c r="CW281" s="1342">
        <f t="shared" si="664"/>
        <v>114.40648940307547</v>
      </c>
      <c r="CX281" s="1342">
        <f t="shared" si="664"/>
        <v>114.69052320353866</v>
      </c>
      <c r="CY281" s="1342">
        <f t="shared" si="665"/>
        <v>115.94443327412938</v>
      </c>
      <c r="CZ281" s="1342">
        <f t="shared" si="666"/>
        <v>117.27218364223032</v>
      </c>
      <c r="DA281" s="1342">
        <f t="shared" si="667"/>
        <v>119.06722074600373</v>
      </c>
      <c r="DB281" s="1342">
        <f t="shared" si="668"/>
        <v>118.64848820772265</v>
      </c>
    </row>
    <row r="282" spans="1:119" customFormat="1">
      <c r="A282" s="664"/>
      <c r="B282" s="664"/>
      <c r="C282" s="3617"/>
      <c r="D282" s="1055"/>
      <c r="E282" s="1056" t="s">
        <v>52</v>
      </c>
      <c r="F282" s="1055"/>
      <c r="G282" s="1057"/>
      <c r="H282" s="1057"/>
      <c r="I282" s="1057"/>
      <c r="J282" s="1057"/>
      <c r="K282" s="1057"/>
      <c r="L282" s="1057"/>
      <c r="M282" s="1057"/>
      <c r="N282" s="1057">
        <f>+N283</f>
        <v>59.693333333333328</v>
      </c>
      <c r="O282" s="1057">
        <f ca="1">(O277/N277*O303+O278/N278*O304+O279/N279*O305+O280/N280*O306+O281/N281*O307)/1000*N283</f>
        <v>62.355687619972947</v>
      </c>
      <c r="P282" s="1057">
        <f ca="1">(P277/N277*P303+P278/N278*P304+P279/N279*P305+P280/N280*P306+P281/N281*P307)/1000*N283</f>
        <v>62.882937277926075</v>
      </c>
      <c r="Q282" s="1057">
        <f ca="1">(Q277/N277*Q303+Q278/N278*Q304+Q279/N279*Q305+Q280/N280*Q306+Q281/N281*Q307)/1000*N283</f>
        <v>63.965640040138958</v>
      </c>
      <c r="R282" s="1057">
        <f ca="1">(R277/N277*R303+R278/N278*R304+R279/N279*R305+R280/N280*R306+R281/N281*R307)/1000*N283</f>
        <v>65.121794971484732</v>
      </c>
      <c r="S282" s="1057">
        <f ca="1">(S277/R277*S303+S278/R278*S304+S279/R279*S305+S280/R280*S306+S281/R281*S307)/1000*R283</f>
        <v>66.408259134792544</v>
      </c>
      <c r="T282" s="1057">
        <f ca="1">(T277/R277*T303+T278/R278*T304+T279/R279*T305+T280/R280*T306+T281/R281*T307)/1000*R283</f>
        <v>67.017721617852089</v>
      </c>
      <c r="U282" s="1057">
        <f ca="1">(U277/R277*U303+U278/R278*U304+U279/R279*U305+U280/R280*U306+U281/R281*U307)/1000*R283</f>
        <v>66.936511454135626</v>
      </c>
      <c r="V282" s="1057">
        <f ca="1">(V277/R277*V303+V278/R278*V304+V279/R279*V305+V280/R280*V306+V281/R281*V307)/1000*R283</f>
        <v>67.522783927576668</v>
      </c>
      <c r="W282" s="1057">
        <f ca="1">(W277/V277*W303+W278/V278*W304+W279/V279*W305+W280/V280*W306+W281/V281*W307)/1000*V283</f>
        <v>68.194722349824502</v>
      </c>
      <c r="X282" s="1057">
        <f ca="1">(X277/V277*X303+X278/V278*X304+X279/V279*X305+X280/V280*X306+X281/V281*X307)/1000*V283</f>
        <v>68.062755622389361</v>
      </c>
      <c r="Y282" s="1057">
        <f ca="1">(Y277/V277*Y303+Y278/V278*Y304+Y279/V279*Y305+Y280/V280*Y306+Y281/V281*Y307)/1000*V283</f>
        <v>67.769461258044387</v>
      </c>
      <c r="Z282" s="1057">
        <f ca="1">(Z277/V277*Z303+Z278/V278*Z304+Z279/V279*Z305+Z280/V280*Z306+Z281/V281*Z307)/1000*V283</f>
        <v>67.715216397642763</v>
      </c>
      <c r="AA282" s="1057">
        <f ca="1">(AA277/Z277*AA303+AA278/Z278*AA304+AA279/Z279*AA305+AA280/Z280*AA306+AA281/Z281*AA307)/1000*Z283</f>
        <v>68.856342529272084</v>
      </c>
      <c r="AB282" s="1057">
        <f ca="1">(AB277/Z277*AB303+AB278/Z278*AB304+AB279/Z279*AB305+AB280/Z280*AB306+AB281/Z281*AB307)/1000*Z283</f>
        <v>68.711578987774843</v>
      </c>
      <c r="AC282" s="1057">
        <f ca="1">(AC277/Z277*AC303+AC278/Z278*AC304+AC279/Z279*AC305+AC280/Z280*AC306+AC281/Z281*AC307)/1000*Z283</f>
        <v>68.461273106541199</v>
      </c>
      <c r="AD282" s="1057">
        <f ca="1">(AD277/Z277*AD303+AD278/Z278*AD304+AD279/Z279*AD305+AD280/Z280*AD306+AD281/Z281*AD307)/1000*Z283</f>
        <v>68.799093885201287</v>
      </c>
      <c r="AE282" s="1057">
        <f ca="1">(AE277/AD277*AE303+AE278/AD278*AE304+AE279/AD279*AE305+AE280/AD280*AE306+AE281/AD281*AE307)/1000*AD283</f>
        <v>69.009493279147321</v>
      </c>
      <c r="AF282" s="1057">
        <f ca="1">(AF277/AD277*AF303+AF278/AD278*AF304+AF279/AD279*AF305+AF280/AD280*AF306+AF281/AD281*AF307)/1000*AD283</f>
        <v>69.840104193440965</v>
      </c>
      <c r="AG282" s="1057">
        <f ca="1">(AG277/AD277*AG303+AG278/AD278*AG304+AG279/AD279*AG305+AG280/AD280*AG306+AG281/AD281*AG307)/1000*AD283</f>
        <v>69.910340449305195</v>
      </c>
      <c r="AH282" s="1057">
        <f ca="1">(AH277/AD277*AH303+AH278/AD278*AH304+AH279/AD279*AH305+AH280/AD280*AH306+AH281/AD281*AH307)/1000*AD283</f>
        <v>70.235062281318903</v>
      </c>
      <c r="AI282" s="1057">
        <f ca="1">(AI277/AH277*AI303+AI278/AH278*AI304+AI279/AH279*AI305+AI280/AH280*AI306+AI281/AH281*AI307)/1000*AH283</f>
        <v>70.750667893746026</v>
      </c>
      <c r="AJ282" s="1057">
        <f ca="1">(AJ277/AH277*AJ303+AJ278/AH278*AJ304+AJ279/AH279*AJ305+AJ280/AH280*AJ306+AJ281/AH281*AJ307)/1000*AH283</f>
        <v>70.141408895342167</v>
      </c>
      <c r="AK282" s="1057">
        <f ca="1">(AK277/AH277*AK303+AK278/AH278*AK304+AK279/AH279*AK305+AK280/AH280*AK306+AK281/AH281*AK307)/1000*AH283</f>
        <v>69.33531488815909</v>
      </c>
      <c r="AL282" s="1057">
        <f ca="1">(AL277/AH277*AL303+AL278/AH278*AL304+AL279/AH279*AL305+AL280/AH280*AL306+AL281/AH281*AL307)/1000*AH283</f>
        <v>69.519817002026159</v>
      </c>
      <c r="AM282" s="1467">
        <v>96.89</v>
      </c>
      <c r="AN282" s="1467">
        <v>96.97</v>
      </c>
      <c r="AO282" s="1467">
        <v>95.663333333333341</v>
      </c>
      <c r="AP282" s="1467">
        <v>95.636666666666656</v>
      </c>
      <c r="AQ282" s="1057">
        <f ca="1">(AQ277/AP277*AQ303+AQ278/AP278*AQ304+AQ279/AP279*AQ305+AQ280/AP280*AQ306+AQ281/AP281*AQ307)/1000*AP283</f>
        <v>68.85929111657542</v>
      </c>
      <c r="AR282" s="1057">
        <f ca="1">(AR277/AP277*AR303+AR278/AP278*AR304+AR279/AP279*AR305+AR280/AP280*AR306+AR281/AP281*AR307)/1000*AP283</f>
        <v>70.038240143750343</v>
      </c>
      <c r="AS282" s="1057">
        <f ca="1">(AS277/AP277*AS303+AS278/AP278*AS304+AS279/AP279*AS305+AS280/AP280*AS306+AS281/AP281*AS307)/1000*AP283</f>
        <v>70.387719652586583</v>
      </c>
      <c r="AT282" s="1057">
        <f ca="1">(AT277/AP277*AT303+AT278/AP278*AT304+AT279/AP279*AT305+AT280/AP280*AT306+AT281/AP281*AT307)/1000*AP283</f>
        <v>70.765470598747328</v>
      </c>
      <c r="AU282" s="1057">
        <f ca="1">(AU277/AT277*AU303+AU278/AT278*AU304+AU279/AT279*AU305+AU280/AT280*AU306+AU281/AT281*AU307)/1000*AT283</f>
        <v>71.014976018707813</v>
      </c>
      <c r="AV282" s="1057">
        <f ca="1">(AV277/AT277*AV303+AV278/AT278*AV304+AV279/AT279*AV305+AV280/AT280*AV306+AV281/AT281*AV307)/1000*AT283</f>
        <v>71.715004924558201</v>
      </c>
      <c r="AW282" s="1057">
        <f ca="1">(AW277/AT277*AW303+AW278/AT278*AW304+AW279/AT279*AW305+AW280/AT280*AW306+AW281/AT281*AW307)/1000*AT283</f>
        <v>71.961504597910633</v>
      </c>
      <c r="AX282" s="1057">
        <f ca="1">(AX277/AT277*AX303+AX278/AT278*AX304+AX279/AT279*AX305+AX280/AT280*AX306+AX281/AT281*AX307)/1000*AT283</f>
        <v>72.868653953977116</v>
      </c>
      <c r="AY282" s="1057">
        <f ca="1">(AY277/AX277*AY303+AY278/AX278*AY304+AY279/AX279*AY305+AY280/AX280*AY306+AY281/AX281*AY307)/1000*AX283</f>
        <v>73.375991545440584</v>
      </c>
      <c r="AZ282" s="1057">
        <f ca="1">(AZ277/AX277*AZ303+AZ278/AX278*AZ304+AZ279/AX279*AZ305+AZ280/AX280*AZ306+AZ281/AX281*AZ307)/1000*AX283</f>
        <v>74.275123568539229</v>
      </c>
      <c r="BA282" s="1057">
        <f ca="1">(BA277/AX277*BA303+BA278/AX278*BA304+BA279/AX279*BA305+BA280/AX280*BA306+BA281/AX281*BA307)/1000*AX283</f>
        <v>74.823001348118936</v>
      </c>
      <c r="BB282" s="1057">
        <f ca="1">(BB277/AX277*BB303+BB278/AX278*BB304+BB279/AX279*BB305+BB280/AX280*BB306+BB281/AX281*BB307)/1000*AX283</f>
        <v>75.934376266111911</v>
      </c>
      <c r="BC282" s="1057">
        <f ca="1">(BC277/BB277*BC303+BC278/BB278*BC304+BC279/BB279*BC305+BC280/BB280*BC306+BC281/BB281*BC307)/1000*BB283</f>
        <v>76.579347550790004</v>
      </c>
      <c r="BD282" s="1057">
        <f ca="1">(BD277/BB277*BD303+BD278/BB278*BD304+BD279/BB279*BD305+BD280/BB280*BD306+BD281/BB281*BD307)/1000*BB283</f>
        <v>77.948418917576291</v>
      </c>
      <c r="BE282" s="1057">
        <f ca="1">(BE277/BB277*BE303+BE278/BB278*BE304+BE279/BB279*BE305+BE280/BB280*BE306+BE281/BB281*BE307)/1000*BB283</f>
        <v>79.249693391464149</v>
      </c>
      <c r="BF282" s="1057">
        <f ca="1">(BF277/BB277*BF303+BF278/BB278*BF304+BF279/BB279*BF305+BF280/BB280*BF306+BF281/BB281*BF307)/1000*BB283</f>
        <v>81.942868761448793</v>
      </c>
      <c r="BG282" s="1057">
        <f ca="1">(BG277/BF277*BG303+BG278/BF278*BG304+BG279/BF279*BG305+BG280/BF280*BG306+BG281/BF281*BG307)/1000*BF283</f>
        <v>84.83035742369924</v>
      </c>
      <c r="BH282" s="1057">
        <f ca="1">(BH277/BF277*BH303+BH278/BF278*BH304+BH279/BF279*BH305+BH280/BF280*BH306+BH281/BF281*BH307)/1000*BF283</f>
        <v>87.516800682673633</v>
      </c>
      <c r="BI282" s="1057">
        <f ca="1">(BI277/BF277*BI303+BI278/BF278*BI304+BI279/BF279*BI305+BI280/BF280*BI306+BI281/BF281*BI307)/1000*BF283</f>
        <v>88.736321342478377</v>
      </c>
      <c r="BJ282" s="872">
        <f ca="1">(BJ277/BF277*BJ303+BJ278/BF278*BJ304+BJ279/BF279*BJ305+BJ280/BF280*BJ306+BJ281/BF281*BJ307)/1000*BF282</f>
        <v>89.665806884398933</v>
      </c>
      <c r="BK282" s="872">
        <f ca="1">(BK277/BJ277*BK303+BK278/BJ278*BK304+BK279/BJ279*BK305+BK280/BJ280*BK306+BK281/BJ281*BK307)/1000*BJ282</f>
        <v>91.993251069629466</v>
      </c>
      <c r="BL282" s="872">
        <f ca="1">(BL277/BJ277*BL303+BL278/BJ278*BL304+BL279/BJ279*BL305+BL280/BJ280*BL306+BL281/BJ281*BL307)/1000*BJ282</f>
        <v>91.79305573020477</v>
      </c>
      <c r="BM282" s="872">
        <f ca="1">(BM277/BJ277*BM303+BM278/BJ278*BM304+BM279/BJ279*BM305+BM280/BJ280*BM306+BM281/BJ281*BM307)/1000*BJ282</f>
        <v>90.852930984419345</v>
      </c>
      <c r="BN282" s="872">
        <f ca="1">(BN277/BJ277*BN303+BN278/BJ278*BN304+BN279/BJ279*BN305+BN280/BJ280*BN306+BN281/BJ281*BN307)/1000*BJ282</f>
        <v>90.693674010983784</v>
      </c>
      <c r="BO282" s="872">
        <f ca="1">(BO277/BN277*BO303+BO278/BN278*BO304+BO279/BN279*BO305+BO280/BN280*BO306+BO281/BN281*BO307)/1000*BN282</f>
        <v>91.623397252119048</v>
      </c>
      <c r="BP282" s="872">
        <f ca="1">(BP277/BN277*BP303+BP278/BN278*BP304+BP279/BN279*BP305+BP280/BN280*BP306+BP281/BN281*BP307)/1000*BN282</f>
        <v>92.306768245713144</v>
      </c>
      <c r="BQ282" s="872">
        <f ca="1">(BQ277/BN277*BQ303+BQ278/BN278*BQ304+BQ279/BN279*BQ305+BQ280/BN280*BQ306+BQ281/BN281*BQ307)/1000*BN282</f>
        <v>92.472951844517937</v>
      </c>
      <c r="BR282" s="872">
        <f ca="1">(BR277/BN277*BR303+BR278/BN278*BR304+BR279/BN279*BR305+BR280/BN280*BR306+BR281/BN281*BR307)/1000*BN282</f>
        <v>93.352641906544704</v>
      </c>
      <c r="BS282" s="872">
        <f ca="1">(BS277/BR277*BS303+BS278/BR278*BS304+BS279/BR279*BS305+BS280/BR280*BS306+BS281/BR281*BS307)/1000*BR282</f>
        <v>94.573514525579469</v>
      </c>
      <c r="BT282" s="872">
        <f ca="1">(BT277/BR277*BT303+BT278/BR278*BT304+BT279/BR279*BT305+BT280/BR280*BT306+BT281/BR281*BT307)/1000*BR282</f>
        <v>96.675380646741658</v>
      </c>
      <c r="BU282" s="872">
        <f ca="1">(BU277/BR277*BU303+BU278/BR278*BU304+BU279/BR279*BU305+BU280/BR280*BU306+BU281/BR281*BU307)/1000*BR282</f>
        <v>96.703108050895523</v>
      </c>
      <c r="BV282" s="872">
        <f ca="1">(BV277/BR277*BV303+BV278/BR278*BV304+BV279/BR279*BV305+BV280/BR280*BV306+BV281/BR281*BV307)/1000*BR282</f>
        <v>97.137478936445063</v>
      </c>
      <c r="BW282" s="872">
        <f ca="1">(BW277/BV277*BW303+BW278/BV278*BW304+BW279/BV279*BW305+BW280/BV280*BW306+BW281/BV281*BW307)/1000*BV282</f>
        <v>98.014299631024556</v>
      </c>
      <c r="BX282" s="872">
        <f ca="1">(BX277/BW277*BX303+BX278/BW278*BX304+BX279/BW279*BX305+BX280/BW280*BX306+BX281/BW281*BX307)/1000*BW282</f>
        <v>99.425539867831631</v>
      </c>
      <c r="BY282" s="872">
        <f ca="1">(BY277/BX277*BY303+BY278/BX278*BY304+BY279/BX279*BY305+BY280/BX280*BY306+BY281/BX281*BY307)/1000*BX282</f>
        <v>99.829397825725138</v>
      </c>
      <c r="BZ282" s="872">
        <f ca="1">(BZ277/BV277*BZ303+BZ278/BV278*BZ304+BZ279/BV279*BZ305+BZ280/BV280*BZ306+BZ281/BV281*BZ307)/1000*BV282</f>
        <v>100.04602310975176</v>
      </c>
      <c r="CA282" s="872">
        <f ca="1">(CA277/BZ277*CA303+CA278/BZ278*CA304+CA279/BZ279*CA305+CA280/BZ280*CA306+CA281/BZ281*CA307)/1000*BZ282</f>
        <v>100.18325326256475</v>
      </c>
      <c r="CB282" s="872">
        <f ca="1">(CB277/CA277*CB303+CB278/CA278*CB304+CB279/CA279*CB305+CB280/CA280*CB306+CB281/CA281*CB307)/1000*CA282</f>
        <v>100.81113528006045</v>
      </c>
      <c r="CC282" s="872">
        <f ca="1">(CC277/BZ277*CC303+CC278/BZ278*CC304+CC279/BZ279*CC305+CC280/BZ280*CC306+CC281/BZ281*CC307)/1000*BZ282</f>
        <v>100.37258907903322</v>
      </c>
      <c r="CD282" s="872">
        <f ca="1">(CD277/BZ277*CD303+CD278/BZ278*CD304+CD279/BZ279*CD305+CD280/BZ280*CD306+CD281/BZ281*CD307)/1000*BZ282</f>
        <v>100.54451703282969</v>
      </c>
      <c r="CE282" s="872">
        <f ca="1">(CE277/CD277*CE303+CE278/CD278*CE304+CE279/CD279*CE305+CE280/CD280*CE306+CE281/CD281*CE307)/1000*CD282</f>
        <v>100.49160053534246</v>
      </c>
      <c r="CF282" s="872">
        <f ca="1">(CF277/CD277*CF303+CF278/CD278*CF304+CF279/CD279*CF305+CF280/CD280*CF306+CF281/CD281*CF307)/1000*CD282</f>
        <v>101.02977681359353</v>
      </c>
      <c r="CG282" s="872">
        <f ca="1">(CG277/CD277*CG303+CG278/CD278*CG304+CG279/CD279*CG305+CG280/CD280*CG306+CG281/CD281*CG307)/1000*CD282</f>
        <v>100.61577320147551</v>
      </c>
      <c r="CH282" s="872">
        <f ca="1">(CH277/CD277*CH303+CH278/CD278*CH304+CH279/CD279*CH305+CH280/CD280*CH306+CH281/CD281*CH307)/1000*CD282</f>
        <v>100.71976485853804</v>
      </c>
      <c r="CI282" s="872">
        <f ca="1">(CI277/CH277*CI303+CI278/CH278*CI304+CI279/CH279*CI305+CI280/CH280*CI306+CI281/CH281*CI307)/1000*CH282</f>
        <v>99.186086868889561</v>
      </c>
      <c r="CJ282" s="872">
        <f ca="1">(CJ277/CH277*CJ303+CJ278/CH278*CJ304+CJ279/CH279*CJ305+CJ280/CH280*CJ306+CJ281/CH281*CJ307)/1000*CH282</f>
        <v>100.734506846377</v>
      </c>
      <c r="CK282" s="872">
        <f ca="1">(CK277/CH277*CK303+CK278/CH278*CK304+CK279/CH279*CK305+CK280/CH280*CK306+CK281/CH281*CK307)/1000*CH282</f>
        <v>99.947649947377357</v>
      </c>
      <c r="CL282" s="872">
        <f ca="1">(CL277/CH277*CL303+CL278/CH278*CL304+CL279/CH279*CL305+CL280/CH280*CL306+CL281/CH281*CL307)/1000*CH282</f>
        <v>100.34684576034692</v>
      </c>
      <c r="CM282" s="872">
        <f ca="1">(CM277/CL277*CM303+CM278/CL278*CM304+CM279/CL279*CM305+CM280/CL280*CM306+CM281/CL281*CM307)/1000*CL282</f>
        <v>99.867938038401533</v>
      </c>
      <c r="CN282" s="872">
        <f ca="1">(CN277/CL277*CN303+CN278/CL278*CN304+CN279/CL279*CN305+CN280/CL280*CN306+CN281/CL281*CN307)/1000*CL282</f>
        <v>101.20439745732368</v>
      </c>
      <c r="CO282" s="872">
        <f ca="1">(CO277/CL277*CO303+CO278/CL278*CO304+CO279/CL279*CO305+CO280/CL280*CO306+CO281/CL281*CO307)/1000*CL282</f>
        <v>100.34892665333447</v>
      </c>
      <c r="CP282" s="872">
        <f ca="1">(CP277/CL277*CP303+CP278/CL278*CP304+CP279/CL279*CP305+CP280/CL280*CP306+CP281/CL281*CP307)/1000*CL282</f>
        <v>101.59755972255698</v>
      </c>
      <c r="CQ282" s="872">
        <f ca="1">(CQ277/CP277*CQ303+CQ278/CP278*CQ304+CQ279/CP279*CQ305+CQ280/CP280*CQ306+CQ281/CP281*CQ307)/1000*CP282</f>
        <v>102.81950133570841</v>
      </c>
      <c r="CR282" s="872">
        <f ca="1">(CR277/CP277*CR303+CR278/CP278*CR304+CR279/CP279*CR305+CR280/CP280*CR306+CR281/CP281*CR307)/1000*CP282</f>
        <v>104.65254082783997</v>
      </c>
      <c r="CS282" s="872">
        <f ca="1">(CS277/CP277*CS303+CS278/CP278*CS304+CS279/CP279*CS305+CS280/CP280*CS306+CS281/CP281*CS307)/1000*CP282</f>
        <v>104.81357938826281</v>
      </c>
      <c r="CT282" s="872">
        <f ca="1">(CT277/CP277*CT303+CT278/CP278*CT304+CT279/CP279*CT305+CT280/CP280*CT306+CT281/CP281*CT307)/1000*CP282</f>
        <v>105.72153862725007</v>
      </c>
      <c r="CU282" s="872">
        <f ca="1">(CU277/CT277*CU303+CU278/CT278*CU304+CU279/CT279*CU305+CU280/CT280*CU306+CU281/CT281*CU307)/1000*CT282</f>
        <v>106.11007783761428</v>
      </c>
      <c r="CV282" s="872">
        <f ca="1">(CV277/CT277*CV303+CV278/CT278*CV304+CV279/CT279*CV305+CV280/CT280*CV306+CV281/CT281*CV307)/1000*CT282</f>
        <v>107.47826370654376</v>
      </c>
      <c r="CW282" s="872">
        <f ca="1">(CW277/CT277*CW303+CW278/CT278*CW304+CW279/CT279*CW305+CW280/CT280*CW306+CW281/CT281*CW307)/1000*CT282</f>
        <v>107.61508010021437</v>
      </c>
      <c r="CX282" s="872">
        <f ca="1">(CX277/CT277*CX303+CX278/CT278*CX304+CX279/CT279*CX305+CX280/CT280*CX306+CX281/CT281*CX307)/1000*CT282</f>
        <v>108.54762069690558</v>
      </c>
      <c r="CY282" s="872">
        <f ca="1">(CY277/CX277*CY303+CY278/CX278*CY304+CY279/CX279*CY305+CY280/CX280*CY306+CY281/CX281*CY307)/1000*CX282</f>
        <v>108.98416315412685</v>
      </c>
      <c r="CZ282" s="872">
        <f ca="1">(CZ277/CX277*CZ303+CZ278/CX278*CZ304+CZ279/CX279*CZ305+CZ280/CX280*CZ306+CZ281/CX281*CZ307)/1000*CX282</f>
        <v>110.18761220456139</v>
      </c>
      <c r="DA282" s="872">
        <f ca="1">(DA277/CX277*DA303+DA278/CX278*DA304+DA279/CX279*DA305+DA280/CX280*DA306+DA281/CX281*DA307)/1000*CX282</f>
        <v>110.01005515931708</v>
      </c>
      <c r="DB282" s="872">
        <f ca="1">(DB277/CX277*DB303+DB278/CX278*DB304+DB279/CX279*DB305+DB280/CX280*DB306+DB281/CX281*DB307)/1000*CX282</f>
        <v>110.65278821515696</v>
      </c>
    </row>
    <row r="283" spans="1:119" customFormat="1">
      <c r="A283" s="664" t="str">
        <f>"Q" &amp; ROW(InputQ!A17)</f>
        <v>Q17</v>
      </c>
      <c r="B283" s="664"/>
      <c r="C283" s="3617"/>
      <c r="D283" s="1055"/>
      <c r="E283" s="1056" t="s">
        <v>599</v>
      </c>
      <c r="F283" s="1055"/>
      <c r="G283" s="1057" t="str">
        <f>+InputQ!G17</f>
        <v>:</v>
      </c>
      <c r="H283" s="1057" t="str">
        <f>+InputQ!H17</f>
        <v>:</v>
      </c>
      <c r="I283" s="1057" t="str">
        <f>+InputQ!I17</f>
        <v>:</v>
      </c>
      <c r="J283" s="1057" t="str">
        <f>+InputQ!J17</f>
        <v>:</v>
      </c>
      <c r="K283" s="1057">
        <f>+InputQ!K17</f>
        <v>55.1</v>
      </c>
      <c r="L283" s="1057">
        <f>+InputQ!L17</f>
        <v>57.49666666666667</v>
      </c>
      <c r="M283" s="1057">
        <f>+InputQ!M17</f>
        <v>58.16</v>
      </c>
      <c r="N283" s="1057">
        <f>+InputQ!N17</f>
        <v>59.693333333333328</v>
      </c>
      <c r="O283" s="1057">
        <f>+InputQ!O17</f>
        <v>62.336666666666666</v>
      </c>
      <c r="P283" s="1057">
        <f>+InputQ!P17</f>
        <v>62.863333333333337</v>
      </c>
      <c r="Q283" s="1057">
        <f>+InputQ!Q17</f>
        <v>63.936666666666667</v>
      </c>
      <c r="R283" s="1057">
        <f>+InputQ!R17</f>
        <v>65.086666666666659</v>
      </c>
      <c r="S283" s="1057">
        <f>+InputQ!S17</f>
        <v>66.406666666666666</v>
      </c>
      <c r="T283" s="1057">
        <f>+InputQ!T17</f>
        <v>67.016666666666666</v>
      </c>
      <c r="U283" s="1057">
        <f>+InputQ!U17</f>
        <v>66.933333333333323</v>
      </c>
      <c r="V283" s="1057">
        <f>+InputQ!V17</f>
        <v>67.516666666666666</v>
      </c>
      <c r="W283" s="1057">
        <f>+InputQ!W17</f>
        <v>68.196666666666658</v>
      </c>
      <c r="X283" s="1057">
        <f>+InputQ!X17</f>
        <v>68.06</v>
      </c>
      <c r="Y283" s="1057">
        <f>+InputQ!Y17</f>
        <v>67.766666666666666</v>
      </c>
      <c r="Z283" s="1057">
        <f>+InputQ!Z17</f>
        <v>67.716666666666669</v>
      </c>
      <c r="AA283" s="1057">
        <f>+InputQ!AA17</f>
        <v>68.833333333333329</v>
      </c>
      <c r="AB283" s="1057">
        <f>+InputQ!AB17</f>
        <v>68.683333333333337</v>
      </c>
      <c r="AC283" s="1057">
        <f>+InputQ!AC17</f>
        <v>68.433333333333337</v>
      </c>
      <c r="AD283" s="1057">
        <f>+InputQ!AD17</f>
        <v>68.763333333333335</v>
      </c>
      <c r="AE283" s="1057">
        <f>+InputQ!AE17</f>
        <v>69.010000000000005</v>
      </c>
      <c r="AF283" s="1057">
        <f>+InputQ!AF17</f>
        <v>69.826666666666668</v>
      </c>
      <c r="AG283" s="1057">
        <f>+InputQ!AG17</f>
        <v>69.903333333333322</v>
      </c>
      <c r="AH283" s="1057">
        <f>+InputQ!AH17</f>
        <v>70.23</v>
      </c>
      <c r="AI283" s="1057">
        <f>+InputQ!AI17</f>
        <v>70.773333333333326</v>
      </c>
      <c r="AJ283" s="1057">
        <f>+InputQ!AJ17</f>
        <v>70.176666666666677</v>
      </c>
      <c r="AK283" s="1057">
        <f>+InputQ!AK17</f>
        <v>69.38</v>
      </c>
      <c r="AL283" s="1057">
        <f>+InputQ!AL17</f>
        <v>69.576666666666668</v>
      </c>
      <c r="AM283" s="1057">
        <f>+InputQ!AM17</f>
        <v>69.646666666666661</v>
      </c>
      <c r="AN283" s="1057">
        <f>+InputQ!AN17</f>
        <v>69.713333333333338</v>
      </c>
      <c r="AO283" s="1057">
        <f>+InputQ!AO17</f>
        <v>68.783333333333317</v>
      </c>
      <c r="AP283" s="1057">
        <f>+InputQ!AP17</f>
        <v>68.75</v>
      </c>
      <c r="AQ283" s="1057">
        <f>+InputQ!AQ17</f>
        <v>68.873333333333335</v>
      </c>
      <c r="AR283" s="1057">
        <f>+InputQ!AR17</f>
        <v>70.046666666666667</v>
      </c>
      <c r="AS283" s="1057">
        <f>+InputQ!AS17</f>
        <v>70.396666666666661</v>
      </c>
      <c r="AT283" s="1057">
        <f>+InputQ!AT17</f>
        <v>70.773333333333326</v>
      </c>
      <c r="AU283" s="1057">
        <f>+InputQ!AU17</f>
        <v>71.013333333333335</v>
      </c>
      <c r="AV283" s="1057">
        <f>+InputQ!AV17</f>
        <v>71.713333333333338</v>
      </c>
      <c r="AW283" s="1057">
        <f>+InputQ!AW17</f>
        <v>71.97</v>
      </c>
      <c r="AX283" s="1057">
        <f>+InputQ!AX17</f>
        <v>72.876666666666665</v>
      </c>
      <c r="AY283" s="1057">
        <f>+InputQ!AY17</f>
        <v>73.366666666666674</v>
      </c>
      <c r="AZ283" s="1057">
        <f>+InputQ!AZ17</f>
        <v>74.266666666666666</v>
      </c>
      <c r="BA283" s="1057">
        <f>+InputQ!BA17</f>
        <v>74.813333333333333</v>
      </c>
      <c r="BB283" s="1057">
        <f>+InputQ!BB17</f>
        <v>75.930000000000007</v>
      </c>
      <c r="BC283" s="1057">
        <f>+InputQ!BC17</f>
        <v>76.586666666666673</v>
      </c>
      <c r="BD283" s="1057">
        <f>+InputQ!BD17</f>
        <v>77.953333333333333</v>
      </c>
      <c r="BE283" s="1057">
        <f>+InputQ!BE17</f>
        <v>79.25333333333333</v>
      </c>
      <c r="BF283" s="1057">
        <f>+InputQ!BF17</f>
        <v>81.943333333333328</v>
      </c>
      <c r="BG283" s="1057">
        <f>+InputQ!BG17</f>
        <v>84.836666666666659</v>
      </c>
      <c r="BH283" s="1057">
        <f>+InputQ!BH17</f>
        <v>87.52</v>
      </c>
      <c r="BI283" s="1057">
        <f>+InputQ!BI17</f>
        <v>88.733333333333334</v>
      </c>
      <c r="BJ283" s="872">
        <f t="shared" ref="BJ283:BR283" ca="1" si="669">+BF283*(1+BJ316/100)</f>
        <v>89.666315241178637</v>
      </c>
      <c r="BK283" s="872">
        <f t="shared" ca="1" si="669"/>
        <v>92.000093051556561</v>
      </c>
      <c r="BL283" s="872">
        <f t="shared" ca="1" si="669"/>
        <v>91.796411372908196</v>
      </c>
      <c r="BM283" s="872">
        <f t="shared" ca="1" si="669"/>
        <v>90.849871702892585</v>
      </c>
      <c r="BN283" s="872">
        <f t="shared" ca="1" si="669"/>
        <v>90.694188195215887</v>
      </c>
      <c r="BO283" s="872">
        <f t="shared" ca="1" si="669"/>
        <v>91.63021172623327</v>
      </c>
      <c r="BP283" s="872">
        <f t="shared" ca="1" si="669"/>
        <v>92.310142668003337</v>
      </c>
      <c r="BQ283" s="872">
        <f t="shared" ca="1" si="669"/>
        <v>92.469838012193122</v>
      </c>
      <c r="BR283" s="872">
        <f t="shared" ca="1" si="669"/>
        <v>93.353171165691137</v>
      </c>
      <c r="BS283" s="872">
        <f t="shared" ref="BS283:CD283" ca="1" si="670">+BO283*(1+BS316/100)</f>
        <v>94.580548414148922</v>
      </c>
      <c r="BT283" s="872">
        <f t="shared" ca="1" si="670"/>
        <v>96.678914770680421</v>
      </c>
      <c r="BU283" s="872">
        <f t="shared" ca="1" si="670"/>
        <v>96.69985177694997</v>
      </c>
      <c r="BV283" s="872">
        <f t="shared" ca="1" si="670"/>
        <v>97.138029653576766</v>
      </c>
      <c r="BW283" s="872">
        <f t="shared" ca="1" si="670"/>
        <v>98.021589427383262</v>
      </c>
      <c r="BX283" s="872">
        <f t="shared" ca="1" si="670"/>
        <v>99.429174528261427</v>
      </c>
      <c r="BY283" s="872">
        <f t="shared" ca="1" si="670"/>
        <v>99.826036280541189</v>
      </c>
      <c r="BZ283" s="872">
        <f t="shared" ca="1" si="670"/>
        <v>100.04659031676071</v>
      </c>
      <c r="CA283" s="872">
        <f ca="1">+BW283*(1+CA316/100)</f>
        <v>100.1907043744697</v>
      </c>
      <c r="CB283" s="872">
        <f ca="1">+BX283*(1+CB316/100)</f>
        <v>100.8148205931578</v>
      </c>
      <c r="CC283" s="872">
        <f t="shared" ca="1" si="670"/>
        <v>100.36920924302532</v>
      </c>
      <c r="CD283" s="872">
        <f t="shared" ca="1" si="670"/>
        <v>100.54508706603042</v>
      </c>
      <c r="CE283" s="872">
        <f t="shared" ref="CE283:CL283" ca="1" si="671">+CA283*(1+CE316/100)</f>
        <v>100.49907458052179</v>
      </c>
      <c r="CF283" s="872">
        <f t="shared" ca="1" si="671"/>
        <v>101.0334701194836</v>
      </c>
      <c r="CG283" s="872">
        <f t="shared" ca="1" si="671"/>
        <v>100.61238517675334</v>
      </c>
      <c r="CH283" s="872">
        <f t="shared" ca="1" si="671"/>
        <v>100.72033588529945</v>
      </c>
      <c r="CI283" s="872">
        <f t="shared" ca="1" si="671"/>
        <v>99.193463816718747</v>
      </c>
      <c r="CJ283" s="872">
        <f t="shared" ca="1" si="671"/>
        <v>100.73818935819878</v>
      </c>
      <c r="CK283" s="872">
        <f t="shared" ca="1" si="671"/>
        <v>99.944284420301727</v>
      </c>
      <c r="CL283" s="872">
        <f t="shared" ca="1" si="671"/>
        <v>100.34741467285812</v>
      </c>
      <c r="CM283" s="872">
        <f t="shared" ref="CM283:CT283" ca="1" si="672">+CI283*(1+CM316/100)</f>
        <v>99.875365698791967</v>
      </c>
      <c r="CN283" s="872">
        <f t="shared" ca="1" si="672"/>
        <v>101.20809714675205</v>
      </c>
      <c r="CO283" s="872">
        <f t="shared" ca="1" si="672"/>
        <v>100.34554761410905</v>
      </c>
      <c r="CP283" s="872">
        <f t="shared" ca="1" si="672"/>
        <v>101.59813572594199</v>
      </c>
      <c r="CQ283" s="872">
        <f t="shared" ca="1" si="672"/>
        <v>102.82714851810184</v>
      </c>
      <c r="CR283" s="872">
        <f t="shared" ca="1" si="672"/>
        <v>104.65636656969191</v>
      </c>
      <c r="CS283" s="872">
        <f t="shared" ca="1" si="672"/>
        <v>104.81005001123886</v>
      </c>
      <c r="CT283" s="872">
        <f t="shared" ca="1" si="672"/>
        <v>105.72213801137192</v>
      </c>
      <c r="CU283" s="872">
        <f t="shared" ref="CU283:DB283" ca="1" si="673">+CQ283*(1+CU316/100)</f>
        <v>106.11796975605839</v>
      </c>
      <c r="CV283" s="872">
        <f t="shared" ca="1" si="673"/>
        <v>107.48219274723768</v>
      </c>
      <c r="CW283" s="872">
        <f t="shared" ca="1" si="673"/>
        <v>107.61145638854119</v>
      </c>
      <c r="CX283" s="872">
        <f t="shared" ca="1" si="673"/>
        <v>108.54823610338903</v>
      </c>
      <c r="CY283" s="872">
        <f t="shared" ca="1" si="673"/>
        <v>108.99226883216271</v>
      </c>
      <c r="CZ283" s="872">
        <f t="shared" ca="1" si="673"/>
        <v>110.19164028984476</v>
      </c>
      <c r="DA283" s="872">
        <f t="shared" ca="1" si="673"/>
        <v>110.00635080189173</v>
      </c>
      <c r="DB283" s="872">
        <f t="shared" ca="1" si="673"/>
        <v>110.65341555680519</v>
      </c>
    </row>
    <row r="284" spans="1:119" s="1003" customFormat="1">
      <c r="A284" s="673"/>
      <c r="B284" s="673"/>
      <c r="C284" s="1007"/>
      <c r="D284" s="1008"/>
      <c r="E284" s="1009" t="s">
        <v>616</v>
      </c>
      <c r="F284" s="1008"/>
      <c r="G284" s="1010"/>
      <c r="H284" s="1010"/>
      <c r="I284" s="1010"/>
      <c r="J284" s="1010"/>
      <c r="K284" s="2886"/>
      <c r="L284" s="2886"/>
      <c r="M284" s="2886"/>
      <c r="N284" s="2886">
        <f t="shared" ref="N284:BB284" si="674">(N283-N282)</f>
        <v>0</v>
      </c>
      <c r="O284" s="2886">
        <f t="shared" ca="1" si="674"/>
        <v>-1.9020953306281285E-2</v>
      </c>
      <c r="P284" s="2886">
        <f t="shared" ca="1" si="674"/>
        <v>-1.9603944592738287E-2</v>
      </c>
      <c r="Q284" s="2886">
        <f t="shared" ca="1" si="674"/>
        <v>-2.897337347229012E-2</v>
      </c>
      <c r="R284" s="2886">
        <f t="shared" ca="1" si="674"/>
        <v>-3.5128304818073275E-2</v>
      </c>
      <c r="S284" s="2886">
        <f t="shared" ca="1" si="674"/>
        <v>-1.5924681258780993E-3</v>
      </c>
      <c r="T284" s="2886">
        <f t="shared" ca="1" si="674"/>
        <v>-1.0549511854236471E-3</v>
      </c>
      <c r="U284" s="2886">
        <f t="shared" ca="1" si="674"/>
        <v>-3.1781208023033969E-3</v>
      </c>
      <c r="V284" s="2886">
        <f t="shared" ca="1" si="674"/>
        <v>-6.117260910002642E-3</v>
      </c>
      <c r="W284" s="2886">
        <f t="shared" ca="1" si="674"/>
        <v>1.9443168421560131E-3</v>
      </c>
      <c r="X284" s="2886">
        <f t="shared" ca="1" si="674"/>
        <v>-2.7556223893583365E-3</v>
      </c>
      <c r="Y284" s="2886">
        <f t="shared" ca="1" si="674"/>
        <v>-2.7945913777216447E-3</v>
      </c>
      <c r="Z284" s="2886">
        <f t="shared" ca="1" si="674"/>
        <v>1.4502690239055482E-3</v>
      </c>
      <c r="AA284" s="2886">
        <f t="shared" ca="1" si="674"/>
        <v>-2.3009195938755056E-2</v>
      </c>
      <c r="AB284" s="2886">
        <f t="shared" ca="1" si="674"/>
        <v>-2.8245654441505508E-2</v>
      </c>
      <c r="AC284" s="2886">
        <f t="shared" ca="1" si="674"/>
        <v>-2.7939773207862117E-2</v>
      </c>
      <c r="AD284" s="2886">
        <f t="shared" ca="1" si="674"/>
        <v>-3.5760551867952017E-2</v>
      </c>
      <c r="AE284" s="2886">
        <f t="shared" ca="1" si="674"/>
        <v>5.06720852683884E-4</v>
      </c>
      <c r="AF284" s="2886">
        <f t="shared" ca="1" si="674"/>
        <v>-1.3437526774296771E-2</v>
      </c>
      <c r="AG284" s="2886">
        <f t="shared" ca="1" si="674"/>
        <v>-7.0071159718736453E-3</v>
      </c>
      <c r="AH284" s="2886">
        <f t="shared" ca="1" si="674"/>
        <v>-5.0622813188994087E-3</v>
      </c>
      <c r="AI284" s="2886">
        <f t="shared" ca="1" si="674"/>
        <v>2.2665439587299829E-2</v>
      </c>
      <c r="AJ284" s="2886">
        <f t="shared" ca="1" si="674"/>
        <v>3.525777132450969E-2</v>
      </c>
      <c r="AK284" s="2886">
        <f t="shared" ca="1" si="674"/>
        <v>4.4685111840905734E-2</v>
      </c>
      <c r="AL284" s="2886">
        <f t="shared" ca="1" si="674"/>
        <v>5.6849664640509445E-2</v>
      </c>
      <c r="AM284" s="2886">
        <f t="shared" si="674"/>
        <v>-27.243333333333339</v>
      </c>
      <c r="AN284" s="2886">
        <f t="shared" si="674"/>
        <v>-27.256666666666661</v>
      </c>
      <c r="AO284" s="2886">
        <f t="shared" si="674"/>
        <v>-26.880000000000024</v>
      </c>
      <c r="AP284" s="2886">
        <f t="shared" si="674"/>
        <v>-26.886666666666656</v>
      </c>
      <c r="AQ284" s="2886">
        <f t="shared" ca="1" si="674"/>
        <v>1.4042216757914616E-2</v>
      </c>
      <c r="AR284" s="2886">
        <f t="shared" ca="1" si="674"/>
        <v>8.4265229163236199E-3</v>
      </c>
      <c r="AS284" s="2886">
        <f t="shared" ca="1" si="674"/>
        <v>8.9470140800784748E-3</v>
      </c>
      <c r="AT284" s="2886">
        <f t="shared" ca="1" si="674"/>
        <v>7.8627345859985098E-3</v>
      </c>
      <c r="AU284" s="2886">
        <f t="shared" ca="1" si="674"/>
        <v>-1.6426853744775372E-3</v>
      </c>
      <c r="AV284" s="2886">
        <f t="shared" ca="1" si="674"/>
        <v>-1.6715912248628229E-3</v>
      </c>
      <c r="AW284" s="2886">
        <f t="shared" ca="1" si="674"/>
        <v>8.4954020893661664E-3</v>
      </c>
      <c r="AX284" s="2886">
        <f t="shared" ca="1" si="674"/>
        <v>8.0127126895490619E-3</v>
      </c>
      <c r="AY284" s="2886">
        <f t="shared" ca="1" si="674"/>
        <v>-9.3248787739099726E-3</v>
      </c>
      <c r="AZ284" s="2886">
        <f t="shared" ca="1" si="674"/>
        <v>-8.456901872563094E-3</v>
      </c>
      <c r="BA284" s="2886">
        <f t="shared" ca="1" si="674"/>
        <v>-9.6680147856034182E-3</v>
      </c>
      <c r="BB284" s="2886">
        <f t="shared" ca="1" si="674"/>
        <v>-4.3762661119046697E-3</v>
      </c>
      <c r="BC284" s="2886">
        <f t="shared" ref="BC284:BN284" ca="1" si="675">(BC283-BC282)</f>
        <v>7.3191158766690023E-3</v>
      </c>
      <c r="BD284" s="2886">
        <f t="shared" ca="1" si="675"/>
        <v>4.9144157570424341E-3</v>
      </c>
      <c r="BE284" s="2886">
        <f t="shared" ca="1" si="675"/>
        <v>3.6399418691814844E-3</v>
      </c>
      <c r="BF284" s="2886">
        <f t="shared" ca="1" si="675"/>
        <v>4.6457188453530307E-4</v>
      </c>
      <c r="BG284" s="2886">
        <f ca="1">(BG283-BG282)</f>
        <v>6.3092429674185269E-3</v>
      </c>
      <c r="BH284" s="2886">
        <f ca="1">(BH283-BH282)</f>
        <v>3.199317326362916E-3</v>
      </c>
      <c r="BI284" s="2886">
        <f ca="1">(BI283-BI282)</f>
        <v>-2.9880091450422697E-3</v>
      </c>
      <c r="BJ284" s="2886">
        <f t="shared" ca="1" si="675"/>
        <v>5.0835677970439974E-4</v>
      </c>
      <c r="BK284" s="2886">
        <f t="shared" ca="1" si="675"/>
        <v>6.8419819270957305E-3</v>
      </c>
      <c r="BL284" s="2886">
        <f t="shared" ca="1" si="675"/>
        <v>3.3556427034255876E-3</v>
      </c>
      <c r="BM284" s="2886">
        <f t="shared" ca="1" si="675"/>
        <v>-3.0592815267596052E-3</v>
      </c>
      <c r="BN284" s="2886">
        <f t="shared" ca="1" si="675"/>
        <v>5.1418423210236597E-4</v>
      </c>
      <c r="BO284" s="2886">
        <f t="shared" ref="BO284:BZ284" ca="1" si="676">(BO283-BO282)</f>
        <v>6.81447411422198E-3</v>
      </c>
      <c r="BP284" s="2886">
        <f t="shared" ca="1" si="676"/>
        <v>3.3744222901930243E-3</v>
      </c>
      <c r="BQ284" s="2886">
        <f t="shared" ca="1" si="676"/>
        <v>-3.1138323248143251E-3</v>
      </c>
      <c r="BR284" s="2886">
        <f t="shared" ca="1" si="676"/>
        <v>5.2925914643253691E-4</v>
      </c>
      <c r="BS284" s="2886">
        <f ca="1">(BS283-BS282)</f>
        <v>7.0338885694525288E-3</v>
      </c>
      <c r="BT284" s="2886">
        <f ca="1">(BT283-BT282)</f>
        <v>3.5341239387634005E-3</v>
      </c>
      <c r="BU284" s="2886">
        <f ca="1">(BU283-BU282)</f>
        <v>-3.2562739455528344E-3</v>
      </c>
      <c r="BV284" s="2886">
        <f ca="1">(BV283-BV282)</f>
        <v>5.5071713170207204E-4</v>
      </c>
      <c r="BW284" s="2886">
        <f t="shared" ca="1" si="676"/>
        <v>7.2897963587053027E-3</v>
      </c>
      <c r="BX284" s="2886">
        <f ca="1">(BX283-BX282)</f>
        <v>3.6346604297960994E-3</v>
      </c>
      <c r="BY284" s="2886">
        <f ca="1">(BY283-BY282)</f>
        <v>-3.3615451839494881E-3</v>
      </c>
      <c r="BZ284" s="2886">
        <f t="shared" ca="1" si="676"/>
        <v>5.672070089559611E-4</v>
      </c>
      <c r="CA284" s="2886">
        <f ca="1">(CA283-CA282)</f>
        <v>7.4511119049560648E-3</v>
      </c>
      <c r="CB284" s="2886">
        <f ca="1">(CB283-CB282)</f>
        <v>3.6853130973497628E-3</v>
      </c>
      <c r="CC284" s="2886">
        <f t="shared" ref="CC284:CH284" ca="1" si="677">(CC283-CC282)</f>
        <v>-3.3798360078947098E-3</v>
      </c>
      <c r="CD284" s="2886">
        <f t="shared" ca="1" si="677"/>
        <v>5.7003320073079067E-4</v>
      </c>
      <c r="CE284" s="2886">
        <f t="shared" ca="1" si="677"/>
        <v>7.4740451793360307E-3</v>
      </c>
      <c r="CF284" s="2886">
        <f t="shared" ca="1" si="677"/>
        <v>3.6933058900672222E-3</v>
      </c>
      <c r="CG284" s="2886">
        <f t="shared" ca="1" si="677"/>
        <v>-3.3880247221702575E-3</v>
      </c>
      <c r="CH284" s="2886">
        <f t="shared" ca="1" si="677"/>
        <v>5.7102676140630138E-4</v>
      </c>
      <c r="CI284" s="2886">
        <f t="shared" ref="CI284:CP284" ca="1" si="678">(CI283-CI282)</f>
        <v>7.3769478291865198E-3</v>
      </c>
      <c r="CJ284" s="2886">
        <f t="shared" ca="1" si="678"/>
        <v>3.6825118217791442E-3</v>
      </c>
      <c r="CK284" s="2886">
        <f t="shared" ca="1" si="678"/>
        <v>-3.3655270756298705E-3</v>
      </c>
      <c r="CL284" s="2886">
        <f t="shared" ca="1" si="678"/>
        <v>5.6891251119850494E-4</v>
      </c>
      <c r="CM284" s="2886">
        <f t="shared" ca="1" si="678"/>
        <v>7.4276603904337435E-3</v>
      </c>
      <c r="CN284" s="2886">
        <f t="shared" ca="1" si="678"/>
        <v>3.6996894283731763E-3</v>
      </c>
      <c r="CO284" s="2886">
        <f t="shared" ca="1" si="678"/>
        <v>-3.3790392254218204E-3</v>
      </c>
      <c r="CP284" s="2886">
        <f t="shared" ca="1" si="678"/>
        <v>5.7600338500662929E-4</v>
      </c>
      <c r="CQ284" s="2886">
        <f t="shared" ref="CQ284:CX284" ca="1" si="679">(CQ283-CQ282)</f>
        <v>7.6471823934269878E-3</v>
      </c>
      <c r="CR284" s="2886">
        <f t="shared" ca="1" si="679"/>
        <v>3.8257418519407338E-3</v>
      </c>
      <c r="CS284" s="2886">
        <f t="shared" ca="1" si="679"/>
        <v>-3.5293770239519517E-3</v>
      </c>
      <c r="CT284" s="2886">
        <f t="shared" ca="1" si="679"/>
        <v>5.9938412185545076E-4</v>
      </c>
      <c r="CU284" s="2886">
        <f t="shared" ca="1" si="679"/>
        <v>7.8919184441019752E-3</v>
      </c>
      <c r="CV284" s="2886">
        <f t="shared" ca="1" si="679"/>
        <v>3.9290406939187505E-3</v>
      </c>
      <c r="CW284" s="2886">
        <f t="shared" ca="1" si="679"/>
        <v>-3.6237116731854258E-3</v>
      </c>
      <c r="CX284" s="2886">
        <f t="shared" ca="1" si="679"/>
        <v>6.1540648344760029E-4</v>
      </c>
      <c r="CY284" s="2886">
        <f t="shared" ref="CY284:DB284" ca="1" si="680">(CY283-CY282)</f>
        <v>8.1056780358608194E-3</v>
      </c>
      <c r="CZ284" s="2886">
        <f t="shared" ca="1" si="680"/>
        <v>4.0280852833660674E-3</v>
      </c>
      <c r="DA284" s="2886">
        <f t="shared" ca="1" si="680"/>
        <v>-3.7043574253488032E-3</v>
      </c>
      <c r="DB284" s="2886">
        <f t="shared" ca="1" si="680"/>
        <v>6.2734164822586536E-4</v>
      </c>
      <c r="DC284"/>
      <c r="DD284"/>
      <c r="DE284"/>
      <c r="DF284"/>
      <c r="DG284"/>
      <c r="DH284"/>
      <c r="DI284"/>
      <c r="DJ284"/>
      <c r="DK284"/>
      <c r="DL284"/>
      <c r="DM284"/>
      <c r="DN284"/>
      <c r="DO284"/>
    </row>
    <row r="285" spans="1:119" customFormat="1">
      <c r="A285" s="664"/>
      <c r="B285" s="664"/>
      <c r="C285" s="3617"/>
      <c r="D285" s="1055"/>
      <c r="E285" s="1056" t="s">
        <v>925</v>
      </c>
      <c r="F285" s="1055"/>
      <c r="G285" s="1057" t="str">
        <f>+InputQ!G19</f>
        <v>:</v>
      </c>
      <c r="H285" s="1057" t="str">
        <f>+InputQ!H19</f>
        <v>:</v>
      </c>
      <c r="I285" s="1057" t="str">
        <f>+InputQ!I19</f>
        <v>:</v>
      </c>
      <c r="J285" s="1057" t="str">
        <f>+InputQ!J19</f>
        <v>:</v>
      </c>
      <c r="K285" s="1057"/>
      <c r="L285" s="1057"/>
      <c r="M285" s="1057"/>
      <c r="N285" s="1057">
        <f>+N286</f>
        <v>65.336666666666673</v>
      </c>
      <c r="O285" s="1057">
        <f ca="1">(O277/N277*O303+O280/N280*O306+O281/N281*O307)/(O303+O306+O307)*N286</f>
        <v>68.059658054656964</v>
      </c>
      <c r="P285" s="1057">
        <f ca="1">(P277/N277*P303+P280/N280*P306+P281/N281*P307)/(P303+P306+P307)*N286</f>
        <v>68.900074913770169</v>
      </c>
      <c r="Q285" s="1057">
        <f ca="1">(Q277/N277*Q303+Q280/N280*Q306+Q281/N281*Q307)/(Q303+Q306+Q307)*N286</f>
        <v>69.822488743486119</v>
      </c>
      <c r="R285" s="1057">
        <f ca="1">(R277/N277*R303+R280/N280*R306+R281/N281*R307)/(R303+R306+R307)*N286</f>
        <v>70.788593249187244</v>
      </c>
      <c r="S285" s="1057">
        <f ca="1">(S277/R277*S303+S280/R280*S306+S281/R281*S307)/(S303+S306+S307)*R286</f>
        <v>71.835179249010423</v>
      </c>
      <c r="T285" s="1057">
        <f ca="1">(T277/R277*T303+T280/R280*T306+T281/R281*T307)/(T303+T306+T307)*R286</f>
        <v>72.38079887301177</v>
      </c>
      <c r="U285" s="1057">
        <f ca="1">(U277/R277*U303+U280/R280*U306+U281/R281*U307)/(U303+U306+U307)*R286</f>
        <v>72.724037414614301</v>
      </c>
      <c r="V285" s="1057">
        <f ca="1">(V277/R277*V303+V280/R280*V306+V281/R281*V307)/(V303+V306+V307)*R286</f>
        <v>73.151662364527738</v>
      </c>
      <c r="W285" s="1057">
        <f ca="1">(W277/V277*W303+W280/V280*W306+W281/V281*W307)/(W303+W306+W307)*V286</f>
        <v>73.870986617759129</v>
      </c>
      <c r="X285" s="1057">
        <f ca="1">(X277/V277*X303+X280/V280*X306+X281/V281*X307)/(X303+X306+X307)*V286</f>
        <v>74.023048586980053</v>
      </c>
      <c r="Y285" s="1057">
        <f ca="1">(Y277/V277*Y303+Y280/V280*Y306+Y281/V281*Y307)/(Y303+Y306+Y307)*V286</f>
        <v>74.000319531913277</v>
      </c>
      <c r="Z285" s="1057">
        <f ca="1">(Z277/V277*Z303+Z280/V280*Z306+Z281/V281*Z307)/(Z303+Z306+Z307)*V286</f>
        <v>73.165048950000042</v>
      </c>
      <c r="AA285" s="1057">
        <f ca="1">(AA277/Z277*AA303+AA280/Z280*AA306+AA281/Z281*AA307)/(AA303+AA306+AA307)*Z286</f>
        <v>73.314745461168698</v>
      </c>
      <c r="AB285" s="1057">
        <f ca="1">(AB277/Z277*AB303+AB280/Z280*AB306+AB281/Z281*AB307)/(AB303+AB306+AB307)*Z286</f>
        <v>72.95033713609952</v>
      </c>
      <c r="AC285" s="1057">
        <f ca="1">(AC277/Z277*AC303+AC280/Z280*AC306+AC281/Z281*AC307)/(AC303+AC306+AC307)*Z286</f>
        <v>72.811066527285334</v>
      </c>
      <c r="AD285" s="1057">
        <f ca="1">(AD277/Z277*AD303+AD280/Z280*AD306+AD281/Z281*AD307)/(AD303+AD306+AD307)*Z286</f>
        <v>72.704109268057692</v>
      </c>
      <c r="AE285" s="1057">
        <f ca="1">(AE277/AD277*AE303+AE280/AD280*AE306+AE281/AD281*AE307)/(AE303+AE306+AE307)*AD286</f>
        <v>72.848110972973984</v>
      </c>
      <c r="AF285" s="1057">
        <f ca="1">(AF277/AD277*AF303+AF280/AD280*AF306+AF281/AD281*AF307)/(AF303+AF306+AF307)*AD286</f>
        <v>72.582388172758044</v>
      </c>
      <c r="AG285" s="1057">
        <f ca="1">(AG277/AD277*AG303+AG280/AD280*AG306+AG281/AD281*AG307)/(AG303+AG306+AG307)*AD286</f>
        <v>72.901339254399488</v>
      </c>
      <c r="AH285" s="1057">
        <f ca="1">(AH277/AD277*AH303+AH280/AD280*AH306+AH281/AD281*AH307)/(AH303+AH306+AH307)*AD286</f>
        <v>73.664961458352479</v>
      </c>
      <c r="AI285" s="1057">
        <f ca="1">(AI277/AH277*AI303+AI280/AH280*AI306+AI281/AH281*AI307)/(AI303+AI306+AI307)*AH286</f>
        <v>73.626760949917497</v>
      </c>
      <c r="AJ285" s="1057">
        <f ca="1">(AJ277/AH277*AJ303+AJ280/AH280*AJ306+AJ281/AH281*AJ307)/(AJ303+AJ306+AJ307)*AH286</f>
        <v>73.210103134090673</v>
      </c>
      <c r="AK285" s="1057">
        <f ca="1">(AK277/AH277*AK303+AK280/AH280*AK306+AK281/AH281*AK307)/(AK303+AK306+AK307)*AH286</f>
        <v>73.098570301519743</v>
      </c>
      <c r="AL285" s="1057">
        <f ca="1">(AL277/AH277*AL303+AL280/AH280*AL306+AL281/AH281*AL307)/(AL303+AL306+AL307)*AH286</f>
        <v>73.678210290233821</v>
      </c>
      <c r="AM285" s="1467">
        <v>98.35</v>
      </c>
      <c r="AN285" s="1467">
        <v>98.50333333333333</v>
      </c>
      <c r="AO285" s="1467">
        <v>97.823333333333323</v>
      </c>
      <c r="AP285" s="1467">
        <v>97.703333333333333</v>
      </c>
      <c r="AQ285" s="1057">
        <f ca="1">(AQ277/AP277*AQ303+AQ280/AP280*AQ306+AQ281/AP281*AQ307)/(AQ303+AQ306+AQ307)*AP286</f>
        <v>73.570633476308274</v>
      </c>
      <c r="AR285" s="1057">
        <f ca="1">(AR277/AP277*AR303+AR280/AP280*AR306+AR281/AP281*AR307)/(AR303+AR306+AR307)*AP286</f>
        <v>74.478444628178138</v>
      </c>
      <c r="AS285" s="1057">
        <f ca="1">(AS277/AP277*AS303+AS280/AP280*AS306+AS281/AP281*AS307)/(AS303+AS306+AS307)*AP286</f>
        <v>74.529960522379653</v>
      </c>
      <c r="AT285" s="1057">
        <f ca="1">(AT277/AP277*AT303+AT280/AP280*AT306+AT281/AP281*AT307)/(AT303+AT306+AT307)*AP286</f>
        <v>74.969554096333752</v>
      </c>
      <c r="AU285" s="1057">
        <f ca="1">(AU277/AT277*AU303+AU280/AT280*AU306+AU281/AT281*AU307)/(AU303+AU306+AU307)*AT286</f>
        <v>74.749210105231697</v>
      </c>
      <c r="AV285" s="1057">
        <f ca="1">(AV277/AT277*AV303+AV280/AT280*AV306+AV281/AT281*AV307)/(AV303+AV306+AV307)*AT286</f>
        <v>75.183847661727654</v>
      </c>
      <c r="AW285" s="1057">
        <f ca="1">(AW277/AT277*AW303+AW280/AT280*AW306+AW281/AT281*AW307)/(AW303+AW306+AW307)*AT286</f>
        <v>75.3130860871984</v>
      </c>
      <c r="AX285" s="1057">
        <f ca="1">(AX277/AT277*AX303+AX280/AT280*AX306+AX281/AT281*AX307)/(AX303+AX306+AX307)*AT286</f>
        <v>76.11760796214881</v>
      </c>
      <c r="AY285" s="1057">
        <f ca="1">(AY277/AX277*AY303+AY280/AX280*AY306+AY281/AX281*AY307)/(AY303+AY306+AY307)*AX286</f>
        <v>75.983098987002165</v>
      </c>
      <c r="AZ285" s="1057">
        <f ca="1">(AZ277/AX277*AZ303+AZ280/AX280*AZ306+AZ281/AX281*AZ307)/(AZ303+AZ306+AZ307)*AX286</f>
        <v>76.626095618516217</v>
      </c>
      <c r="BA285" s="1057">
        <f ca="1">(BA277/AX277*BA303+BA280/AX280*BA306+BA281/AX281*BA307)/(BA303+BA306+BA307)*AX286</f>
        <v>77.325334374539338</v>
      </c>
      <c r="BB285" s="1057">
        <f ca="1">(BB277/AX277*BB303+BB280/AX280*BB306+BB281/AX281*BB307)/(BB303+BB306+BB307)*AX286</f>
        <v>78.624658524116072</v>
      </c>
      <c r="BC285" s="1057">
        <f ca="1">(BC277/BB277*BC303+BC280/BB280*BC306+BC281/BB281*BC307)/(BC303+BC306+BC307)*BB286</f>
        <v>78.957736440483103</v>
      </c>
      <c r="BD285" s="1057">
        <f ca="1">(BD277/BB277*BD303+BD280/BB280*BD306+BD281/BB281*BD307)/(BD303+BD306+BD307)*BB286</f>
        <v>80.021689954271537</v>
      </c>
      <c r="BE285" s="1057">
        <f ca="1">(BE277/BB277*BE303+BE280/BB280*BE306+BE281/BB281*BE307)/(BE303+BE306+BE307)*BB286</f>
        <v>81.550433285565333</v>
      </c>
      <c r="BF285" s="1057">
        <f ca="1">(BF277/BB277*BF303+BF280/BB280*BF306+BF281/BB281*BF307)/(BF303+BF306+BF307)*BB286</f>
        <v>84.12601407592831</v>
      </c>
      <c r="BG285" s="1057">
        <f ca="1">(BG277/BF277*BG303+BG280/BF280*BG306+BG281/BF281*BG307)/(BG303+BG306+BG307)*BF286</f>
        <v>86.074694751055759</v>
      </c>
      <c r="BH285" s="1057">
        <f ca="1">(BH277/BF277*BH303+BH280/BF280*BH306+BH281/BF281*BH307)/(BH303+BH306+BH307)*BF286</f>
        <v>88.536693755637287</v>
      </c>
      <c r="BI285" s="1057">
        <f ca="1">(BI277/BF277*BI303+BI280/BF280*BI306+BI281/BF281*BI307)/(BI303+BI306+BI307)*BF286</f>
        <v>89.58063059283235</v>
      </c>
      <c r="BJ285" s="872">
        <f ca="1">(BJ277/BF277*BJ303+BJ280/BF280*BJ306+BJ281/BF281*BJ307)/(BJ303+BJ306+BJ307)*BF285</f>
        <v>90.676808105292665</v>
      </c>
      <c r="BK285" s="872">
        <f ca="1">(BK277/BJ277*BK303+BK280/BJ280*BK306+BK281/BJ281*BK307)/(BK303+BK306+BK307)*BJ285</f>
        <v>92.146449923315757</v>
      </c>
      <c r="BL285" s="872">
        <f ca="1">(BL277/BJ277*BL303+BL280/BJ280*BL306+BL281/BJ281*BL307)/(BL303+BL306+BL307)*BJ285</f>
        <v>91.965046433579687</v>
      </c>
      <c r="BM285" s="872">
        <f ca="1">(BM277/BJ277*BM303+BM280/BJ280*BM306+BM281/BJ281*BM307)/(BM303+BM306+BM307)*BJ285</f>
        <v>91.531042423939965</v>
      </c>
      <c r="BN285" s="872">
        <f ca="1">(BN277/BJ277*BN303+BN280/BJ280*BN306+BN281/BJ281*BN307)/(BN303+BN306+BN307)*BJ285</f>
        <v>92.237089383169831</v>
      </c>
      <c r="BO285" s="872">
        <f ca="1">(BO277/BN277*BO303+BO280/BN280*BO306+BO281/BN281*BO307)/(BO303+BO306+BO307)*BN285</f>
        <v>91.734840299518197</v>
      </c>
      <c r="BP285" s="872">
        <f ca="1">(BP277/BN277*BP303+BP280/BN280*BP306+BP281/BN281*BP307)/(BP303+BP306+BP307)*BN285</f>
        <v>91.781232233377466</v>
      </c>
      <c r="BQ285" s="872">
        <f ca="1">(BQ277/BN277*BQ303+BQ280/BN280*BQ306+BQ281/BN281*BQ307)/(BQ303+BQ306+BQ307)*BN285</f>
        <v>91.771640453712592</v>
      </c>
      <c r="BR285" s="872">
        <f ca="1">(BR277/BN277*BR303+BR280/BN280*BR306+BR281/BN281*BR307)/(BR303+BR306+BR307)*BN285</f>
        <v>92.470568574985833</v>
      </c>
      <c r="BS285" s="872">
        <f ca="1">(BS277/BR277*BS303+BS280/BR280*BS306+BS281/BR281*BS307)/(BS303+BS306+BS307)*BR285</f>
        <v>92.747713534244014</v>
      </c>
      <c r="BT285" s="872">
        <f ca="1">(BT277/BR277*BT303+BT280/BR280*BT306+BT281/BR281*BT307)/(BT303+BT306+BT307)*BR285</f>
        <v>94.448942947752059</v>
      </c>
      <c r="BU285" s="872">
        <f ca="1">(BU277/BR277*BU303+BU280/BR280*BU306+BU281/BR281*BU307)/(BU303+BU306+BU307)*BR285</f>
        <v>94.514046383381739</v>
      </c>
      <c r="BV285" s="872">
        <f ca="1">(BV277/BR277*BV303+BV280/BR280*BV306+BV281/BR281*BV307)/(BV303+BV306+BV307)*BR285</f>
        <v>94.819639668388973</v>
      </c>
      <c r="BW285" s="872">
        <f ca="1">(BW277/BV277*BW303+BW280/BV280*BW306+BW281/BV281*BW307)/(BW303+BW306+BW307)*BV285</f>
        <v>95.063506820386721</v>
      </c>
      <c r="BX285" s="872">
        <f ca="1">(BX277/BW277*BX303+BX280/BW280*BX306+BX281/BW281*BX307)/(BX303+BX306+BX307)*BW285</f>
        <v>96.429125126987657</v>
      </c>
      <c r="BY285" s="872">
        <f ca="1">(BY277/BX277*BY303+BY280/BX280*BY306+BY281/BX281*BY307)/(BY303+BY306+BY307)*BX285</f>
        <v>96.749916222583209</v>
      </c>
      <c r="BZ285" s="872">
        <f ca="1">(BZ277/BV277*BZ303+BZ280/BV280*BZ306+BZ281/BV281*BZ307)/(BZ303+BZ306+BZ307)*BV285</f>
        <v>97.245609890042729</v>
      </c>
      <c r="CA285" s="872">
        <f ca="1">(CA277/BZ277*CA303+CA280/BZ280*CA306+CA281/BZ281*CA307)/(CA303+CA306+CA307)*BZ285</f>
        <v>96.892298467308251</v>
      </c>
      <c r="CB285" s="872">
        <f ca="1">(CB277/CA277*CB303+CB280/CA280*CB306+CB281/CA281*CB307)/(CB303+CB306+CB307)*CA285</f>
        <v>97.806715066425767</v>
      </c>
      <c r="CC285" s="872">
        <f ca="1">(CC277/BZ277*CC303+CC280/BZ280*CC306+CC281/BZ281*CC307)/(CC303+CC306+CC307)*BZ285</f>
        <v>97.865327646736191</v>
      </c>
      <c r="CD285" s="872">
        <f ca="1">(CD277/BZ277*CD303+CD280/BZ280*CD306+CD281/BZ281*CD307)/(CD303+CD306+CD307)*BZ285</f>
        <v>98.315074273772225</v>
      </c>
      <c r="CE285" s="872">
        <f ca="1">(CE277/CD277*CE303+CE280/CD280*CE306+CE281/CD281*CE307)/(CE303+CE306+CE307)*CD285</f>
        <v>97.835339055593693</v>
      </c>
      <c r="CF285" s="872">
        <f ca="1">(CF277/CD277*CF303+CF280/CD280*CF306+CF281/CD281*CF307)/(CF303+CF306+CF307)*CD285</f>
        <v>98.74566166508238</v>
      </c>
      <c r="CG285" s="872">
        <f ca="1">(CG277/CD277*CG303+CG280/CD280*CG306+CG281/CD281*CG307)/(CG303+CG306+CG307)*CD285</f>
        <v>99.029316619841509</v>
      </c>
      <c r="CH285" s="872">
        <f ca="1">(CH277/CD277*CH303+CH280/CD280*CH306+CH281/CD281*CH307)/(CH303+CH306+CH307)*CD285</f>
        <v>99.574341373440859</v>
      </c>
      <c r="CI285" s="872">
        <f ca="1">(CI277/CH277*CI303+CI280/CH280*CI306+CI281/CH281*CI307)/(CI303+CI306+CI307)*CH285</f>
        <v>99.012432059900988</v>
      </c>
      <c r="CJ285" s="872">
        <f ca="1">(CJ277/CH277*CJ303+CJ280/CH280*CJ306+CJ281/CH281*CJ307)/(CJ303+CJ306+CJ307)*CH285</f>
        <v>99.915956421684811</v>
      </c>
      <c r="CK285" s="872">
        <f ca="1">(CK277/CH277*CK303+CK280/CH280*CK306+CK281/CH281*CK307)/(CK303+CK306+CK307)*CH285</f>
        <v>100.06829764675093</v>
      </c>
      <c r="CL285" s="872">
        <f ca="1">(CL277/CH277*CL303+CL280/CH280*CL306+CL281/CH281*CL307)/(CL303+CL306+CL307)*CH285</f>
        <v>101.06504322338208</v>
      </c>
      <c r="CM285" s="872">
        <f ca="1">(CM277/CL277*CM303+CM280/CL280*CM306+CM281/CL281*CM307)/(CM303+CM306+CM307)*CL285</f>
        <v>100.88119620988336</v>
      </c>
      <c r="CN285" s="872">
        <f ca="1">(CN277/CL277*CN303+CN280/CL280*CN306+CN281/CL281*CN307)/(CN303+CN306+CN307)*CL285</f>
        <v>101.94639107535463</v>
      </c>
      <c r="CO285" s="872">
        <f ca="1">(CO277/CL277*CO303+CO280/CL280*CO306+CO281/CL281*CO307)/(CO303+CO306+CO307)*CL285</f>
        <v>101.78142347572455</v>
      </c>
      <c r="CP285" s="872">
        <f ca="1">(CP277/CL277*CP303+CP280/CL280*CP306+CP281/CL281*CP307)/(CP303+CP306+CP307)*CL285</f>
        <v>102.89253133113422</v>
      </c>
      <c r="CQ285" s="872">
        <f ca="1">(CQ277/CP277*CQ303+CQ280/CP280*CQ306+CQ281/CP281*CQ307)/(CQ303+CQ306+CQ307)*CP285</f>
        <v>103.48379934282852</v>
      </c>
      <c r="CR285" s="872">
        <f ca="1">(CR277/CP277*CR303+CR280/CP280*CR306+CR281/CP281*CR307)/(CR303+CR306+CR307)*CP285</f>
        <v>105.95084849801918</v>
      </c>
      <c r="CS285" s="872">
        <f ca="1">(CS277/CP277*CS303+CS280/CP280*CS306+CS281/CP281*CS307)/(CS303+CS306+CS307)*CP285</f>
        <v>106.53366510803096</v>
      </c>
      <c r="CT285" s="872">
        <f ca="1">(CT277/CP277*CT303+CT280/CP280*CT306+CT281/CP281*CT307)/(CT303+CT306+CT307)*CP285</f>
        <v>107.157138969011</v>
      </c>
      <c r="CU285" s="872">
        <f ca="1">(CU277/CT277*CU303+CU280/CT280*CU306+CU281/CT281*CU307)/(CU303+CU306+CU307)*CT285</f>
        <v>106.84077339141811</v>
      </c>
      <c r="CV285" s="872">
        <f ca="1">(CV277/CT277*CV303+CV280/CT280*CV306+CV281/CT281*CV307)/(CV303+CV306+CV307)*CT285</f>
        <v>108.4154378136659</v>
      </c>
      <c r="CW285" s="872">
        <f ca="1">(CW277/CT277*CW303+CW280/CT280*CW306+CW281/CT281*CW307)/(CW303+CW306+CW307)*CT285</f>
        <v>108.92248375824404</v>
      </c>
      <c r="CX285" s="872">
        <f ca="1">(CX277/CT277*CX303+CX280/CT280*CX306+CX281/CT281*CX307)/(CX303+CX306+CX307)*CT285</f>
        <v>110.06723454983961</v>
      </c>
      <c r="CY285" s="872">
        <f ca="1">(CY277/CX277*CY303+CY280/CX280*CY306+CY281/CX281*CY307)/(CY303+CY306+CY307)*CX285</f>
        <v>110.29132297425529</v>
      </c>
      <c r="CZ285" s="872">
        <f ca="1">(CZ277/CX277*CZ303+CZ280/CX280*CZ306+CZ281/CX281*CZ307)/(CZ303+CZ306+CZ307)*CX285</f>
        <v>111.5374538987332</v>
      </c>
      <c r="DA285" s="872">
        <f ca="1">(DA277/CX277*DA303+DA280/CX280*DA306+DA281/CX281*DA307)/(DA303+DA306+DA307)*CX285</f>
        <v>111.6298083678538</v>
      </c>
      <c r="DB285" s="872">
        <f ca="1">(DB277/CX277*DB303+DB280/CX280*DB306+DB281/CX281*DB307)/(DB303+DB306+DB307)*CX285</f>
        <v>112.37429167223762</v>
      </c>
    </row>
    <row r="286" spans="1:119" customFormat="1">
      <c r="A286" s="664" t="str">
        <f>"Q" &amp; ROW(InputQ!A23)</f>
        <v>Q23</v>
      </c>
      <c r="B286" s="664">
        <v>166</v>
      </c>
      <c r="C286" s="3617"/>
      <c r="D286" s="1055"/>
      <c r="E286" s="1056" t="s">
        <v>924</v>
      </c>
      <c r="F286" s="1055"/>
      <c r="G286" s="1057" t="str">
        <f>+InputQ!G23</f>
        <v>:</v>
      </c>
      <c r="H286" s="1057" t="str">
        <f>+InputQ!H23</f>
        <v>:</v>
      </c>
      <c r="I286" s="1057" t="str">
        <f>+InputQ!I23</f>
        <v>:</v>
      </c>
      <c r="J286" s="1057" t="str">
        <f>+InputQ!J23</f>
        <v>:</v>
      </c>
      <c r="K286" s="1057">
        <f>+InputQ!K23</f>
        <v>60.53</v>
      </c>
      <c r="L286" s="1057">
        <f>+InputQ!L23</f>
        <v>62.146666666666668</v>
      </c>
      <c r="M286" s="1057">
        <f>+InputQ!M23</f>
        <v>63.609999999999992</v>
      </c>
      <c r="N286" s="1057">
        <f>+InputQ!N23</f>
        <v>65.336666666666673</v>
      </c>
      <c r="O286" s="1057">
        <f>+InputQ!O23</f>
        <v>68.069999999999993</v>
      </c>
      <c r="P286" s="1057">
        <f>+InputQ!P23</f>
        <v>68.913333333333327</v>
      </c>
      <c r="Q286" s="1057">
        <f>+InputQ!Q23</f>
        <v>69.84</v>
      </c>
      <c r="R286" s="1057">
        <f>+InputQ!R23</f>
        <v>70.81</v>
      </c>
      <c r="S286" s="1057">
        <f>+InputQ!S23</f>
        <v>71.83</v>
      </c>
      <c r="T286" s="1057">
        <f>+InputQ!T23</f>
        <v>72.38</v>
      </c>
      <c r="U286" s="1057">
        <f>+InputQ!U23</f>
        <v>72.720000000000013</v>
      </c>
      <c r="V286" s="1057">
        <f>+InputQ!V23</f>
        <v>73.149999999999991</v>
      </c>
      <c r="W286" s="1057">
        <f>+InputQ!W23</f>
        <v>73.873333333333335</v>
      </c>
      <c r="X286" s="1057">
        <f>+InputQ!X23</f>
        <v>74.029999999999987</v>
      </c>
      <c r="Y286" s="1057">
        <f>+InputQ!Y23</f>
        <v>74.006666666666661</v>
      </c>
      <c r="Z286" s="1057">
        <f>+InputQ!Z23</f>
        <v>73.17</v>
      </c>
      <c r="AA286" s="1057">
        <f>+InputQ!AA23</f>
        <v>73.313333333333333</v>
      </c>
      <c r="AB286" s="1057">
        <f>+InputQ!AB23</f>
        <v>72.95</v>
      </c>
      <c r="AC286" s="1057">
        <f>+InputQ!AC23</f>
        <v>72.81</v>
      </c>
      <c r="AD286" s="1057">
        <f>+InputQ!AD23</f>
        <v>72.7</v>
      </c>
      <c r="AE286" s="1057">
        <f>+InputQ!AE23</f>
        <v>72.836666666666659</v>
      </c>
      <c r="AF286" s="1057">
        <f>+InputQ!AF23</f>
        <v>72.570000000000007</v>
      </c>
      <c r="AG286" s="1057">
        <f>+InputQ!AG23</f>
        <v>72.89</v>
      </c>
      <c r="AH286" s="1057">
        <f>+InputQ!AH23</f>
        <v>73.653333333333322</v>
      </c>
      <c r="AI286" s="1057">
        <f>+InputQ!AI23</f>
        <v>73.643333333333331</v>
      </c>
      <c r="AJ286" s="1057">
        <f>+InputQ!AJ23</f>
        <v>73.226666666666674</v>
      </c>
      <c r="AK286" s="1057">
        <f>+InputQ!AK23</f>
        <v>73.11</v>
      </c>
      <c r="AL286" s="1057">
        <f>+InputQ!AL23</f>
        <v>73.693333333333342</v>
      </c>
      <c r="AM286" s="1057">
        <f>+InputQ!AM23</f>
        <v>74.12</v>
      </c>
      <c r="AN286" s="1057">
        <f>+InputQ!AN23</f>
        <v>74.266666666666666</v>
      </c>
      <c r="AO286" s="1057">
        <f>+InputQ!AO23</f>
        <v>73.696666666666673</v>
      </c>
      <c r="AP286" s="1057">
        <f>+InputQ!AP23</f>
        <v>73.61</v>
      </c>
      <c r="AQ286" s="1057">
        <f>+InputQ!AQ23</f>
        <v>73.58</v>
      </c>
      <c r="AR286" s="1057">
        <f>+InputQ!AR23</f>
        <v>74.486666666666665</v>
      </c>
      <c r="AS286" s="1057">
        <f>+InputQ!AS23</f>
        <v>74.543333333333337</v>
      </c>
      <c r="AT286" s="1057">
        <f>+InputQ!AT23</f>
        <v>74.98</v>
      </c>
      <c r="AU286" s="1057">
        <f>+InputQ!AU23</f>
        <v>74.75333333333333</v>
      </c>
      <c r="AV286" s="1057">
        <f>+InputQ!AV23</f>
        <v>75.19</v>
      </c>
      <c r="AW286" s="1057">
        <f>+InputQ!AW23</f>
        <v>75.320000000000007</v>
      </c>
      <c r="AX286" s="1057">
        <f>+InputQ!AX23</f>
        <v>76.12</v>
      </c>
      <c r="AY286" s="1057">
        <f>+InputQ!AY23</f>
        <v>75.986666666666665</v>
      </c>
      <c r="AZ286" s="1057">
        <f>+InputQ!AZ23</f>
        <v>76.63333333333334</v>
      </c>
      <c r="BA286" s="1057">
        <f>+InputQ!BA23</f>
        <v>77.33</v>
      </c>
      <c r="BB286" s="1057">
        <f>+InputQ!BB23</f>
        <v>78.63</v>
      </c>
      <c r="BC286" s="1057">
        <f>+InputQ!BC23</f>
        <v>78.959999999999994</v>
      </c>
      <c r="BD286" s="1057">
        <f>+InputQ!BD23</f>
        <v>80.03</v>
      </c>
      <c r="BE286" s="1057">
        <f>+InputQ!BE23</f>
        <v>81.553333333333327</v>
      </c>
      <c r="BF286" s="1057">
        <f>+InputQ!BF23</f>
        <v>84.123333333333335</v>
      </c>
      <c r="BG286" s="1057">
        <f>+InputQ!BG23</f>
        <v>86.08</v>
      </c>
      <c r="BH286" s="1057">
        <f>+InputQ!BH23</f>
        <v>88.54</v>
      </c>
      <c r="BI286" s="1057">
        <f>+InputQ!BI23</f>
        <v>89.58</v>
      </c>
      <c r="BJ286" s="872">
        <f t="shared" ref="BJ286:BR286" ca="1" si="681">+BF286*(1+BJ319/100)</f>
        <v>90.673918616416543</v>
      </c>
      <c r="BK286" s="872">
        <f t="shared" ca="1" si="681"/>
        <v>92.152129407368363</v>
      </c>
      <c r="BL286" s="872">
        <f t="shared" ca="1" si="681"/>
        <v>91.968480703636999</v>
      </c>
      <c r="BM286" s="872">
        <f t="shared" ca="1" si="681"/>
        <v>91.530398101401616</v>
      </c>
      <c r="BN286" s="872">
        <f t="shared" ca="1" si="681"/>
        <v>92.23415017468524</v>
      </c>
      <c r="BO286" s="872">
        <f t="shared" ca="1" si="681"/>
        <v>91.740494413843621</v>
      </c>
      <c r="BP286" s="872">
        <f t="shared" ca="1" si="681"/>
        <v>91.784659639222468</v>
      </c>
      <c r="BQ286" s="872">
        <f t="shared" ca="1" si="681"/>
        <v>91.77099443751132</v>
      </c>
      <c r="BR286" s="872">
        <f t="shared" ca="1" si="681"/>
        <v>92.467621926500414</v>
      </c>
      <c r="BS286" s="872">
        <f t="shared" ref="BS286:CD286" ca="1" si="682">+BO286*(1+BS319/100)</f>
        <v>92.753430077424696</v>
      </c>
      <c r="BT286" s="872">
        <f t="shared" ca="1" si="682"/>
        <v>94.452469974478944</v>
      </c>
      <c r="BU286" s="872">
        <f t="shared" ca="1" si="682"/>
        <v>94.513381062320576</v>
      </c>
      <c r="BV286" s="872">
        <f t="shared" ca="1" si="682"/>
        <v>94.816618164877937</v>
      </c>
      <c r="BW286" s="872">
        <f t="shared" ca="1" si="682"/>
        <v>95.069366098431843</v>
      </c>
      <c r="BX286" s="872">
        <f t="shared" ca="1" si="682"/>
        <v>96.43272610007385</v>
      </c>
      <c r="BY286" s="872">
        <f t="shared" ca="1" si="682"/>
        <v>96.749235162366318</v>
      </c>
      <c r="BZ286" s="872">
        <f t="shared" ca="1" si="682"/>
        <v>97.242511081053962</v>
      </c>
      <c r="CA286" s="872">
        <f ca="1">+BW286*(1+CA319/100)</f>
        <v>96.898270463672986</v>
      </c>
      <c r="CB286" s="872">
        <f ca="1">+BX286*(1+CB319/100)</f>
        <v>97.810367483142599</v>
      </c>
      <c r="CC286" s="872">
        <f t="shared" ca="1" si="682"/>
        <v>97.864638734705295</v>
      </c>
      <c r="CD286" s="872">
        <f t="shared" ca="1" si="682"/>
        <v>98.311941385447128</v>
      </c>
      <c r="CE286" s="872">
        <f t="shared" ref="CE286:CL286" ca="1" si="683">+CA286*(1+CE319/100)</f>
        <v>97.841369176650019</v>
      </c>
      <c r="CF286" s="872">
        <f t="shared" ca="1" si="683"/>
        <v>98.749349145079393</v>
      </c>
      <c r="CG286" s="872">
        <f t="shared" ca="1" si="683"/>
        <v>99.028619514040386</v>
      </c>
      <c r="CH286" s="872">
        <f t="shared" ca="1" si="683"/>
        <v>99.571168357564375</v>
      </c>
      <c r="CI286" s="872">
        <f t="shared" ca="1" si="683"/>
        <v>99.018534731565097</v>
      </c>
      <c r="CJ286" s="872">
        <f t="shared" ca="1" si="683"/>
        <v>99.919687604244885</v>
      </c>
      <c r="CK286" s="872">
        <f t="shared" ca="1" si="683"/>
        <v>100.06759322715905</v>
      </c>
      <c r="CL286" s="872">
        <f t="shared" ca="1" si="683"/>
        <v>101.06182270510114</v>
      </c>
      <c r="CM286" s="872">
        <f t="shared" ref="CM286:CT286" ca="1" si="684">+CI286*(1+CM319/100)</f>
        <v>100.88741406358864</v>
      </c>
      <c r="CN286" s="872">
        <f t="shared" ca="1" si="684"/>
        <v>101.95019808086271</v>
      </c>
      <c r="CO286" s="872">
        <f t="shared" ca="1" si="684"/>
        <v>101.78070699677495</v>
      </c>
      <c r="CP286" s="872">
        <f t="shared" ca="1" si="684"/>
        <v>102.88925257848587</v>
      </c>
      <c r="CQ286" s="872">
        <f t="shared" ca="1" si="684"/>
        <v>103.49017760904022</v>
      </c>
      <c r="CR286" s="872">
        <f t="shared" ca="1" si="684"/>
        <v>105.95480504282241</v>
      </c>
      <c r="CS286" s="872">
        <f t="shared" ca="1" si="684"/>
        <v>106.53291517620778</v>
      </c>
      <c r="CT286" s="872">
        <f t="shared" ca="1" si="684"/>
        <v>107.1537243212359</v>
      </c>
      <c r="CU286" s="872">
        <f t="shared" ref="CU286:DB286" ca="1" si="685">+CQ286*(1+CU319/100)</f>
        <v>106.84735856609552</v>
      </c>
      <c r="CV286" s="872">
        <f t="shared" ca="1" si="685"/>
        <v>108.41948639414595</v>
      </c>
      <c r="CW286" s="872">
        <f t="shared" ca="1" si="685"/>
        <v>108.9217170105991</v>
      </c>
      <c r="CX286" s="872">
        <f t="shared" ca="1" si="685"/>
        <v>110.06372716954574</v>
      </c>
      <c r="CY286" s="872">
        <f t="shared" ca="1" si="685"/>
        <v>110.29812082496466</v>
      </c>
      <c r="CZ286" s="872">
        <f t="shared" ca="1" si="685"/>
        <v>111.54161906531608</v>
      </c>
      <c r="DA286" s="872">
        <f t="shared" ca="1" si="685"/>
        <v>111.62902256229998</v>
      </c>
      <c r="DB286" s="872">
        <f t="shared" ca="1" si="685"/>
        <v>112.37071077572685</v>
      </c>
    </row>
    <row r="287" spans="1:119" s="1003" customFormat="1">
      <c r="A287" s="673"/>
      <c r="B287" s="673"/>
      <c r="C287" s="1007"/>
      <c r="D287" s="1008"/>
      <c r="E287" s="1009" t="s">
        <v>616</v>
      </c>
      <c r="F287" s="1008"/>
      <c r="G287" s="1010"/>
      <c r="H287" s="1010"/>
      <c r="I287" s="1010"/>
      <c r="J287" s="1010"/>
      <c r="K287" s="2886"/>
      <c r="L287" s="2886"/>
      <c r="M287" s="2886"/>
      <c r="N287" s="2886">
        <f t="shared" ref="N287:BB287" si="686">(N286-N285)</f>
        <v>0</v>
      </c>
      <c r="O287" s="2886">
        <f t="shared" ca="1" si="686"/>
        <v>1.0341945343029124E-2</v>
      </c>
      <c r="P287" s="2886">
        <f t="shared" ca="1" si="686"/>
        <v>1.3258419563157986E-2</v>
      </c>
      <c r="Q287" s="2886">
        <f t="shared" ca="1" si="686"/>
        <v>1.7511256513884632E-2</v>
      </c>
      <c r="R287" s="2886">
        <f t="shared" ca="1" si="686"/>
        <v>2.1406750812758446E-2</v>
      </c>
      <c r="S287" s="2886">
        <f t="shared" ca="1" si="686"/>
        <v>-5.179249010424769E-3</v>
      </c>
      <c r="T287" s="2886">
        <f t="shared" ca="1" si="686"/>
        <v>-7.9887301177450354E-4</v>
      </c>
      <c r="U287" s="2886">
        <f t="shared" ca="1" si="686"/>
        <v>-4.0374146142880818E-3</v>
      </c>
      <c r="V287" s="2886">
        <f t="shared" ca="1" si="686"/>
        <v>-1.6623645277462629E-3</v>
      </c>
      <c r="W287" s="2886">
        <f t="shared" ca="1" si="686"/>
        <v>2.3467155742054047E-3</v>
      </c>
      <c r="X287" s="2886">
        <f t="shared" ca="1" si="686"/>
        <v>6.9514130199337387E-3</v>
      </c>
      <c r="Y287" s="2886">
        <f t="shared" ca="1" si="686"/>
        <v>6.3471347533834432E-3</v>
      </c>
      <c r="Z287" s="2886">
        <f t="shared" ca="1" si="686"/>
        <v>4.9510499999598778E-3</v>
      </c>
      <c r="AA287" s="2886">
        <f t="shared" ca="1" si="686"/>
        <v>-1.4121278353655953E-3</v>
      </c>
      <c r="AB287" s="2886">
        <f t="shared" ca="1" si="686"/>
        <v>-3.3713609951746548E-4</v>
      </c>
      <c r="AC287" s="2886">
        <f t="shared" ca="1" si="686"/>
        <v>-1.066527285331631E-3</v>
      </c>
      <c r="AD287" s="2886">
        <f t="shared" ca="1" si="686"/>
        <v>-4.1092680576895191E-3</v>
      </c>
      <c r="AE287" s="2886">
        <f t="shared" ca="1" si="686"/>
        <v>-1.1444306307325292E-2</v>
      </c>
      <c r="AF287" s="2886">
        <f t="shared" ca="1" si="686"/>
        <v>-1.2388172758036831E-2</v>
      </c>
      <c r="AG287" s="2886">
        <f t="shared" ca="1" si="686"/>
        <v>-1.1339254399487686E-2</v>
      </c>
      <c r="AH287" s="2886">
        <f t="shared" ca="1" si="686"/>
        <v>-1.1628125019157665E-2</v>
      </c>
      <c r="AI287" s="2886">
        <f t="shared" ca="1" si="686"/>
        <v>1.6572383415834224E-2</v>
      </c>
      <c r="AJ287" s="2886">
        <f t="shared" ca="1" si="686"/>
        <v>1.6563532576000739E-2</v>
      </c>
      <c r="AK287" s="2886">
        <f t="shared" ca="1" si="686"/>
        <v>1.1429698480256434E-2</v>
      </c>
      <c r="AL287" s="2886">
        <f t="shared" ca="1" si="686"/>
        <v>1.5123043099521283E-2</v>
      </c>
      <c r="AM287" s="2886">
        <f t="shared" si="686"/>
        <v>-24.22999999999999</v>
      </c>
      <c r="AN287" s="2886">
        <f t="shared" si="686"/>
        <v>-24.236666666666665</v>
      </c>
      <c r="AO287" s="2886">
        <f t="shared" si="686"/>
        <v>-24.126666666666651</v>
      </c>
      <c r="AP287" s="2886">
        <f t="shared" si="686"/>
        <v>-24.093333333333334</v>
      </c>
      <c r="AQ287" s="2886">
        <f t="shared" ca="1" si="686"/>
        <v>9.3665236917246375E-3</v>
      </c>
      <c r="AR287" s="2886">
        <f t="shared" ca="1" si="686"/>
        <v>8.2220384885260955E-3</v>
      </c>
      <c r="AS287" s="2886">
        <f t="shared" ca="1" si="686"/>
        <v>1.3372810953683256E-2</v>
      </c>
      <c r="AT287" s="2886">
        <f t="shared" ca="1" si="686"/>
        <v>1.0445903666251866E-2</v>
      </c>
      <c r="AU287" s="2886">
        <f t="shared" ca="1" si="686"/>
        <v>4.1232281016334582E-3</v>
      </c>
      <c r="AV287" s="2886">
        <f t="shared" ca="1" si="686"/>
        <v>6.1523382723436271E-3</v>
      </c>
      <c r="AW287" s="2886">
        <f t="shared" ca="1" si="686"/>
        <v>6.9139128016075801E-3</v>
      </c>
      <c r="AX287" s="2886">
        <f t="shared" ca="1" si="686"/>
        <v>2.3920378511945728E-3</v>
      </c>
      <c r="AY287" s="2886">
        <f t="shared" ca="1" si="686"/>
        <v>3.5676796644992237E-3</v>
      </c>
      <c r="AZ287" s="2886">
        <f t="shared" ca="1" si="686"/>
        <v>7.2377148171227645E-3</v>
      </c>
      <c r="BA287" s="2886">
        <f t="shared" ca="1" si="686"/>
        <v>4.6656254606602943E-3</v>
      </c>
      <c r="BB287" s="2886">
        <f t="shared" ca="1" si="686"/>
        <v>5.341475883923863E-3</v>
      </c>
      <c r="BC287" s="2886">
        <f t="shared" ref="BC287:BN287" ca="1" si="687">(BC286-BC285)</f>
        <v>2.263559516890723E-3</v>
      </c>
      <c r="BD287" s="2886">
        <f t="shared" ca="1" si="687"/>
        <v>8.310045728464388E-3</v>
      </c>
      <c r="BE287" s="2886">
        <f t="shared" ca="1" si="687"/>
        <v>2.9000477679943515E-3</v>
      </c>
      <c r="BF287" s="2886">
        <f t="shared" ca="1" si="687"/>
        <v>-2.680742594975527E-3</v>
      </c>
      <c r="BG287" s="2886">
        <f ca="1">(BG286-BG285)</f>
        <v>5.305248944239338E-3</v>
      </c>
      <c r="BH287" s="2886">
        <f ca="1">(BH286-BH285)</f>
        <v>3.3062443627187577E-3</v>
      </c>
      <c r="BI287" s="2886">
        <f ca="1">(BI286-BI285)</f>
        <v>-6.3059283235133989E-4</v>
      </c>
      <c r="BJ287" s="2886">
        <f t="shared" ca="1" si="687"/>
        <v>-2.8894888761215043E-3</v>
      </c>
      <c r="BK287" s="2886">
        <f t="shared" ca="1" si="687"/>
        <v>5.6794840526066537E-3</v>
      </c>
      <c r="BL287" s="2886">
        <f t="shared" ca="1" si="687"/>
        <v>3.4342700573120055E-3</v>
      </c>
      <c r="BM287" s="2886">
        <f t="shared" ca="1" si="687"/>
        <v>-6.4432253834922903E-4</v>
      </c>
      <c r="BN287" s="2886">
        <f t="shared" ca="1" si="687"/>
        <v>-2.9392084845909494E-3</v>
      </c>
      <c r="BO287" s="2886">
        <f t="shared" ref="BO287:BZ287" ca="1" si="688">(BO286-BO285)</f>
        <v>5.6541143254236204E-3</v>
      </c>
      <c r="BP287" s="2886">
        <f t="shared" ca="1" si="688"/>
        <v>3.4274058450023404E-3</v>
      </c>
      <c r="BQ287" s="2886">
        <f t="shared" ca="1" si="688"/>
        <v>-6.4601620127291426E-4</v>
      </c>
      <c r="BR287" s="2886">
        <f t="shared" ca="1" si="688"/>
        <v>-2.9466484854197006E-3</v>
      </c>
      <c r="BS287" s="2886">
        <f ca="1">(BS286-BS285)</f>
        <v>5.7165431806822653E-3</v>
      </c>
      <c r="BT287" s="2886">
        <f ca="1">(BT286-BT285)</f>
        <v>3.5270267268856514E-3</v>
      </c>
      <c r="BU287" s="2886">
        <f ca="1">(BU286-BU285)</f>
        <v>-6.6532106116312661E-4</v>
      </c>
      <c r="BV287" s="2886">
        <f ca="1">(BV286-BV285)</f>
        <v>-3.0215035110359167E-3</v>
      </c>
      <c r="BW287" s="2886">
        <f t="shared" ca="1" si="688"/>
        <v>5.859278045122096E-3</v>
      </c>
      <c r="BX287" s="2886">
        <f ca="1">(BX286-BX285)</f>
        <v>3.6009730861934486E-3</v>
      </c>
      <c r="BY287" s="2886">
        <f ca="1">(BY286-BY285)</f>
        <v>-6.8106021689118279E-4</v>
      </c>
      <c r="BZ287" s="2886">
        <f t="shared" ca="1" si="688"/>
        <v>-3.0988089887671322E-3</v>
      </c>
      <c r="CA287" s="2886">
        <f ca="1">(CA286-CA285)</f>
        <v>5.9719963647353325E-3</v>
      </c>
      <c r="CB287" s="2886">
        <f ca="1">(CB286-CB285)</f>
        <v>3.6524167168323629E-3</v>
      </c>
      <c r="CC287" s="2886">
        <f t="shared" ref="CC287:CH287" ca="1" si="689">(CC286-CC285)</f>
        <v>-6.8891203089549435E-4</v>
      </c>
      <c r="CD287" s="2886">
        <f t="shared" ca="1" si="689"/>
        <v>-3.1328883250978379E-3</v>
      </c>
      <c r="CE287" s="2886">
        <f t="shared" ca="1" si="689"/>
        <v>6.0301210563267205E-3</v>
      </c>
      <c r="CF287" s="2886">
        <f t="shared" ca="1" si="689"/>
        <v>3.687479997012133E-3</v>
      </c>
      <c r="CG287" s="2886">
        <f t="shared" ca="1" si="689"/>
        <v>-6.9710580112314346E-4</v>
      </c>
      <c r="CH287" s="2886">
        <f t="shared" ca="1" si="689"/>
        <v>-3.1730158764844418E-3</v>
      </c>
      <c r="CI287" s="2886">
        <f t="shared" ref="CI287:CP287" ca="1" si="690">(CI286-CI285)</f>
        <v>6.1026716641094936E-3</v>
      </c>
      <c r="CJ287" s="2886">
        <f t="shared" ca="1" si="690"/>
        <v>3.7311825600738757E-3</v>
      </c>
      <c r="CK287" s="2886">
        <f t="shared" ca="1" si="690"/>
        <v>-7.0441959188372039E-4</v>
      </c>
      <c r="CL287" s="2886">
        <f t="shared" ca="1" si="690"/>
        <v>-3.2205182809406097E-3</v>
      </c>
      <c r="CM287" s="2886">
        <f t="shared" ca="1" si="690"/>
        <v>6.217853705280163E-3</v>
      </c>
      <c r="CN287" s="2886">
        <f t="shared" ca="1" si="690"/>
        <v>3.8070055080794418E-3</v>
      </c>
      <c r="CO287" s="2886">
        <f t="shared" ca="1" si="690"/>
        <v>-7.1647894959880887E-4</v>
      </c>
      <c r="CP287" s="2886">
        <f t="shared" ca="1" si="690"/>
        <v>-3.2787526483559759E-3</v>
      </c>
      <c r="CQ287" s="2886">
        <f t="shared" ref="CQ287:CX287" ca="1" si="691">(CQ286-CQ285)</f>
        <v>6.3782662116977917E-3</v>
      </c>
      <c r="CR287" s="2886">
        <f t="shared" ca="1" si="691"/>
        <v>3.9565448032305994E-3</v>
      </c>
      <c r="CS287" s="2886">
        <f t="shared" ca="1" si="691"/>
        <v>-7.49931823179395E-4</v>
      </c>
      <c r="CT287" s="2886">
        <f t="shared" ca="1" si="691"/>
        <v>-3.414647775102253E-3</v>
      </c>
      <c r="CU287" s="2886">
        <f t="shared" ca="1" si="691"/>
        <v>6.5851746774114872E-3</v>
      </c>
      <c r="CV287" s="2886">
        <f t="shared" ca="1" si="691"/>
        <v>4.0485804800454162E-3</v>
      </c>
      <c r="CW287" s="2886">
        <f t="shared" ca="1" si="691"/>
        <v>-7.6674764494555347E-4</v>
      </c>
      <c r="CX287" s="2886">
        <f t="shared" ca="1" si="691"/>
        <v>-3.507380293868323E-3</v>
      </c>
      <c r="CY287" s="2886">
        <f t="shared" ref="CY287:DB287" ca="1" si="692">(CY286-CY285)</f>
        <v>6.7978507093613416E-3</v>
      </c>
      <c r="CZ287" s="2886">
        <f t="shared" ca="1" si="692"/>
        <v>4.1651665828794648E-3</v>
      </c>
      <c r="DA287" s="2886">
        <f t="shared" ca="1" si="692"/>
        <v>-7.8580555381790873E-4</v>
      </c>
      <c r="DB287" s="2886">
        <f t="shared" ca="1" si="692"/>
        <v>-3.5808965107690938E-3</v>
      </c>
      <c r="DC287"/>
      <c r="DD287"/>
      <c r="DE287"/>
      <c r="DF287"/>
      <c r="DG287"/>
      <c r="DH287"/>
      <c r="DI287"/>
      <c r="DJ287"/>
      <c r="DK287"/>
      <c r="DL287"/>
      <c r="DM287"/>
      <c r="DN287"/>
      <c r="DO287"/>
    </row>
    <row r="288" spans="1:119">
      <c r="E288" s="599"/>
      <c r="F288" s="3617"/>
      <c r="AY288" s="217"/>
      <c r="BA288" s="217"/>
      <c r="BB288" s="217"/>
      <c r="BC288" s="217"/>
      <c r="BD288" s="217"/>
      <c r="BE288" s="217"/>
      <c r="BF288" s="217"/>
      <c r="BG288" s="217"/>
      <c r="BH288" s="217"/>
      <c r="BI288" s="217"/>
      <c r="CH288" s="3056"/>
      <c r="CL288" s="3056"/>
      <c r="CM288" s="557"/>
      <c r="CN288" s="557"/>
      <c r="CO288" s="557"/>
      <c r="CP288" s="3056"/>
      <c r="CQ288" s="557"/>
      <c r="CR288" s="557"/>
      <c r="CS288" s="557"/>
      <c r="CT288" s="3056"/>
      <c r="CU288" s="557"/>
      <c r="CV288" s="557"/>
      <c r="CW288" s="557"/>
      <c r="CX288" s="3056"/>
      <c r="CY288" s="557"/>
      <c r="CZ288" s="557"/>
      <c r="DA288" s="557"/>
      <c r="DB288" s="3056"/>
    </row>
    <row r="289" spans="1:119" s="699" customFormat="1" ht="12.75" customHeight="1">
      <c r="A289" s="664"/>
      <c r="B289" s="664"/>
      <c r="C289" s="666"/>
      <c r="D289" s="695"/>
      <c r="E289" s="3618" t="s">
        <v>1420</v>
      </c>
      <c r="F289" s="3619"/>
      <c r="G289" s="1566" t="s">
        <v>1842</v>
      </c>
      <c r="H289" s="1567" t="s">
        <v>1843</v>
      </c>
      <c r="I289" s="1567" t="s">
        <v>1844</v>
      </c>
      <c r="J289" s="1567" t="s">
        <v>1845</v>
      </c>
      <c r="K289" s="1567" t="s">
        <v>1842</v>
      </c>
      <c r="L289" s="1567" t="s">
        <v>1843</v>
      </c>
      <c r="M289" s="1567" t="s">
        <v>1844</v>
      </c>
      <c r="N289" s="1567" t="s">
        <v>1845</v>
      </c>
      <c r="O289" s="1567" t="s">
        <v>1842</v>
      </c>
      <c r="P289" s="1567" t="s">
        <v>1843</v>
      </c>
      <c r="Q289" s="1567" t="s">
        <v>1844</v>
      </c>
      <c r="R289" s="1567" t="s">
        <v>1845</v>
      </c>
      <c r="S289" s="1567" t="s">
        <v>1842</v>
      </c>
      <c r="T289" s="1567" t="s">
        <v>1843</v>
      </c>
      <c r="U289" s="1567" t="s">
        <v>1844</v>
      </c>
      <c r="V289" s="1567" t="s">
        <v>1845</v>
      </c>
      <c r="W289" s="1567" t="s">
        <v>1842</v>
      </c>
      <c r="X289" s="1567" t="s">
        <v>1843</v>
      </c>
      <c r="Y289" s="1567" t="s">
        <v>1844</v>
      </c>
      <c r="Z289" s="1567" t="s">
        <v>1845</v>
      </c>
      <c r="AA289" s="1567" t="s">
        <v>1842</v>
      </c>
      <c r="AB289" s="1567" t="s">
        <v>1843</v>
      </c>
      <c r="AC289" s="1567" t="s">
        <v>1844</v>
      </c>
      <c r="AD289" s="1567" t="s">
        <v>1845</v>
      </c>
      <c r="AE289" s="1567" t="s">
        <v>1842</v>
      </c>
      <c r="AF289" s="1567" t="s">
        <v>1843</v>
      </c>
      <c r="AG289" s="1567" t="s">
        <v>1844</v>
      </c>
      <c r="AH289" s="1567" t="s">
        <v>1845</v>
      </c>
      <c r="AI289" s="1567" t="s">
        <v>1842</v>
      </c>
      <c r="AJ289" s="1567" t="s">
        <v>1843</v>
      </c>
      <c r="AK289" s="1567" t="s">
        <v>1844</v>
      </c>
      <c r="AL289" s="1567" t="s">
        <v>1845</v>
      </c>
      <c r="AM289" s="1567" t="s">
        <v>1842</v>
      </c>
      <c r="AN289" s="1567" t="s">
        <v>1843</v>
      </c>
      <c r="AO289" s="1567" t="s">
        <v>1844</v>
      </c>
      <c r="AP289" s="1567" t="s">
        <v>1845</v>
      </c>
      <c r="AQ289" s="1567" t="s">
        <v>1842</v>
      </c>
      <c r="AR289" s="1567" t="s">
        <v>1843</v>
      </c>
      <c r="AS289" s="1567" t="s">
        <v>1844</v>
      </c>
      <c r="AT289" s="1567" t="s">
        <v>1845</v>
      </c>
      <c r="AU289" s="1567" t="s">
        <v>1842</v>
      </c>
      <c r="AV289" s="1567" t="s">
        <v>1843</v>
      </c>
      <c r="AW289" s="1567" t="s">
        <v>1844</v>
      </c>
      <c r="AX289" s="1567" t="s">
        <v>1845</v>
      </c>
      <c r="AY289" s="1567" t="s">
        <v>1842</v>
      </c>
      <c r="AZ289" s="1567" t="s">
        <v>1843</v>
      </c>
      <c r="BA289" s="1567" t="s">
        <v>1844</v>
      </c>
      <c r="BB289" s="1567" t="s">
        <v>1845</v>
      </c>
      <c r="BC289" s="1567" t="s">
        <v>1842</v>
      </c>
      <c r="BD289" s="1567" t="s">
        <v>1843</v>
      </c>
      <c r="BE289" s="1567" t="s">
        <v>1844</v>
      </c>
      <c r="BF289" s="1567" t="s">
        <v>1845</v>
      </c>
      <c r="BG289" s="1567" t="s">
        <v>1842</v>
      </c>
      <c r="BH289" s="1567" t="s">
        <v>1843</v>
      </c>
      <c r="BI289" s="1567" t="s">
        <v>1844</v>
      </c>
      <c r="BJ289" s="1567" t="s">
        <v>1845</v>
      </c>
      <c r="BK289" s="1567" t="s">
        <v>1842</v>
      </c>
      <c r="BL289" s="1567" t="s">
        <v>1843</v>
      </c>
      <c r="BM289" s="1567" t="s">
        <v>1844</v>
      </c>
      <c r="BN289" s="1567" t="s">
        <v>1845</v>
      </c>
      <c r="BO289" s="1567" t="s">
        <v>1842</v>
      </c>
      <c r="BP289" s="1567" t="s">
        <v>1843</v>
      </c>
      <c r="BQ289" s="1567" t="s">
        <v>1844</v>
      </c>
      <c r="BR289" s="1567" t="s">
        <v>1845</v>
      </c>
      <c r="BS289" s="1567" t="s">
        <v>1842</v>
      </c>
      <c r="BT289" s="1567" t="s">
        <v>1843</v>
      </c>
      <c r="BU289" s="1567" t="s">
        <v>1844</v>
      </c>
      <c r="BV289" s="1567" t="s">
        <v>1845</v>
      </c>
      <c r="BW289" s="1567" t="s">
        <v>1842</v>
      </c>
      <c r="BX289" s="1567" t="s">
        <v>1843</v>
      </c>
      <c r="BY289" s="1567" t="s">
        <v>1844</v>
      </c>
      <c r="BZ289" s="1567" t="s">
        <v>1845</v>
      </c>
      <c r="CA289" s="1567" t="s">
        <v>1842</v>
      </c>
      <c r="CB289" s="1567" t="s">
        <v>1843</v>
      </c>
      <c r="CC289" s="1567" t="s">
        <v>1844</v>
      </c>
      <c r="CD289" s="1567" t="s">
        <v>1845</v>
      </c>
      <c r="CE289" s="1567" t="s">
        <v>1842</v>
      </c>
      <c r="CF289" s="1567" t="s">
        <v>1843</v>
      </c>
      <c r="CG289" s="1567" t="s">
        <v>1844</v>
      </c>
      <c r="CH289" s="1567" t="s">
        <v>1845</v>
      </c>
      <c r="CI289" s="1567" t="s">
        <v>1842</v>
      </c>
      <c r="CJ289" s="1567" t="s">
        <v>1843</v>
      </c>
      <c r="CK289" s="1567" t="s">
        <v>1844</v>
      </c>
      <c r="CL289" s="1567" t="s">
        <v>1845</v>
      </c>
      <c r="CM289" s="1567" t="s">
        <v>1842</v>
      </c>
      <c r="CN289" s="1567" t="s">
        <v>1843</v>
      </c>
      <c r="CO289" s="1567" t="s">
        <v>1844</v>
      </c>
      <c r="CP289" s="1567" t="s">
        <v>1845</v>
      </c>
      <c r="CQ289" s="1567" t="s">
        <v>1842</v>
      </c>
      <c r="CR289" s="1567" t="s">
        <v>1843</v>
      </c>
      <c r="CS289" s="1567" t="s">
        <v>1844</v>
      </c>
      <c r="CT289" s="1567" t="s">
        <v>1845</v>
      </c>
      <c r="CU289" s="1567" t="s">
        <v>1842</v>
      </c>
      <c r="CV289" s="1567" t="s">
        <v>1843</v>
      </c>
      <c r="CW289" s="1567" t="s">
        <v>1844</v>
      </c>
      <c r="CX289" s="1567" t="s">
        <v>1845</v>
      </c>
      <c r="CY289" s="1567" t="s">
        <v>1842</v>
      </c>
      <c r="CZ289" s="1567" t="s">
        <v>1843</v>
      </c>
      <c r="DA289" s="1567" t="s">
        <v>1844</v>
      </c>
      <c r="DB289" s="1567" t="s">
        <v>1845</v>
      </c>
      <c r="DC289"/>
      <c r="DD289"/>
      <c r="DE289"/>
      <c r="DF289"/>
      <c r="DG289"/>
      <c r="DH289"/>
      <c r="DI289"/>
      <c r="DJ289"/>
      <c r="DK289"/>
      <c r="DL289"/>
      <c r="DM289"/>
      <c r="DN289"/>
      <c r="DO289"/>
    </row>
    <row r="290" spans="1:119" s="699" customFormat="1" ht="12.75" customHeight="1">
      <c r="A290" s="664"/>
      <c r="B290" s="664" t="s">
        <v>53</v>
      </c>
      <c r="C290" s="1561"/>
      <c r="D290" s="668"/>
      <c r="E290" s="3620" t="s">
        <v>435</v>
      </c>
      <c r="F290" s="3621"/>
      <c r="G290" s="780"/>
      <c r="H290" s="780"/>
      <c r="I290" s="780"/>
      <c r="J290" s="780"/>
      <c r="K290" s="780"/>
      <c r="L290" s="780"/>
      <c r="M290" s="780"/>
      <c r="N290" s="780">
        <f t="shared" ref="N290:N296" si="693">AVERAGE(K277:N277)</f>
        <v>92.647499999999994</v>
      </c>
      <c r="O290" s="780"/>
      <c r="P290" s="780"/>
      <c r="Q290" s="780"/>
      <c r="R290" s="780">
        <f t="shared" ref="R290:R296" si="694">AVERAGE(O277:R277)</f>
        <v>100.49166666666667</v>
      </c>
      <c r="S290" s="780"/>
      <c r="T290" s="780"/>
      <c r="U290" s="780"/>
      <c r="V290" s="780">
        <f t="shared" ref="V290:V296" si="695">AVERAGE(S277:V277)</f>
        <v>105.71583333333334</v>
      </c>
      <c r="W290" s="780"/>
      <c r="X290" s="780"/>
      <c r="Y290" s="780"/>
      <c r="Z290" s="780">
        <f t="shared" ref="Z290:Z296" si="696">AVERAGE(W277:Z277)</f>
        <v>107.93</v>
      </c>
      <c r="AA290" s="780"/>
      <c r="AB290" s="780"/>
      <c r="AC290" s="780"/>
      <c r="AD290" s="780">
        <f t="shared" ref="AD290:AD296" si="697">AVERAGE(AA277:AD277)</f>
        <v>105.96999999999998</v>
      </c>
      <c r="AE290" s="780"/>
      <c r="AF290" s="780"/>
      <c r="AG290" s="780"/>
      <c r="AH290" s="780">
        <f t="shared" ref="AH290:AH296" si="698">AVERAGE(AE277:AH277)</f>
        <v>103.17249999999999</v>
      </c>
      <c r="AI290" s="780"/>
      <c r="AJ290" s="780"/>
      <c r="AK290" s="780"/>
      <c r="AL290" s="780">
        <f t="shared" ref="AL290:AL296" si="699">AVERAGE(AI277:AL277)</f>
        <v>101.37833333333334</v>
      </c>
      <c r="AM290" s="780"/>
      <c r="AN290" s="780"/>
      <c r="AO290" s="780"/>
      <c r="AP290" s="780">
        <f t="shared" ref="AP290:AP296" si="700">AVERAGE(AM277:AP277)</f>
        <v>99.831666666666649</v>
      </c>
      <c r="AQ290" s="780"/>
      <c r="AR290" s="780"/>
      <c r="AS290" s="780"/>
      <c r="AT290" s="780">
        <f>AVERAGE(AQ277:AT277)</f>
        <v>99.630833333333342</v>
      </c>
      <c r="AU290" s="780"/>
      <c r="AV290" s="780"/>
      <c r="AW290" s="780"/>
      <c r="AX290" s="780">
        <f t="shared" ref="AX290:AX296" si="701">AVERAGE(AU277:AX277)</f>
        <v>98.982500000000016</v>
      </c>
      <c r="AY290" s="780"/>
      <c r="AZ290" s="780"/>
      <c r="BA290" s="780"/>
      <c r="BB290" s="780">
        <f t="shared" ref="BB290:BB296" si="702">AVERAGE(AY277:BB277)</f>
        <v>98.850833333333341</v>
      </c>
      <c r="BC290" s="780"/>
      <c r="BD290" s="780"/>
      <c r="BE290" s="780"/>
      <c r="BF290" s="780">
        <f t="shared" ref="BF290:BF296" si="703">AVERAGE(BC277:BF277)</f>
        <v>98.637499999999989</v>
      </c>
      <c r="BG290" s="780"/>
      <c r="BH290" s="780"/>
      <c r="BI290" s="780"/>
      <c r="BJ290" s="846">
        <f t="shared" ref="BJ290:BJ295" si="704">AVERAGE(BG277:BJ277)</f>
        <v>100.42916666666666</v>
      </c>
      <c r="BK290" s="846"/>
      <c r="BL290" s="846"/>
      <c r="BM290" s="846"/>
      <c r="BN290" s="846">
        <f t="shared" ref="BN290:BN295" si="705">AVERAGE(BK277:BN277)</f>
        <v>100.66833333333334</v>
      </c>
      <c r="BO290" s="846"/>
      <c r="BP290" s="846"/>
      <c r="BQ290" s="846"/>
      <c r="BR290" s="846">
        <f t="shared" ref="BR290:BR295" si="706">AVERAGE(BO277:BR277)</f>
        <v>97.775833333333338</v>
      </c>
      <c r="BS290" s="846"/>
      <c r="BT290" s="846"/>
      <c r="BU290" s="846"/>
      <c r="BV290" s="846">
        <f t="shared" ref="BV290:BV295" si="707">AVERAGE(BS277:BV277)</f>
        <v>97.137499999999989</v>
      </c>
      <c r="BW290" s="846"/>
      <c r="BX290" s="846"/>
      <c r="BY290" s="846"/>
      <c r="BZ290" s="846">
        <f t="shared" ref="BZ290:BZ295" si="708">AVERAGE(BW277:BZ277)</f>
        <v>98.225000000000009</v>
      </c>
      <c r="CA290" s="846"/>
      <c r="CB290" s="846"/>
      <c r="CC290" s="846"/>
      <c r="CD290" s="846">
        <f t="shared" ref="CD290:CD295" si="709">AVERAGE(CA277:CD277)</f>
        <v>99.164166666666659</v>
      </c>
      <c r="CE290" s="846"/>
      <c r="CF290" s="846"/>
      <c r="CG290" s="846"/>
      <c r="CH290" s="846">
        <f t="shared" ref="CH290:CH295" si="710">AVERAGE(CE277:CH277)</f>
        <v>99.24</v>
      </c>
      <c r="CI290" s="846"/>
      <c r="CJ290" s="846"/>
      <c r="CK290" s="846"/>
      <c r="CL290" s="846">
        <f t="shared" ref="CL290:CL295" si="711">AVERAGE(CI277:CL277)</f>
        <v>100</v>
      </c>
      <c r="CM290" s="846"/>
      <c r="CN290" s="846"/>
      <c r="CO290" s="846"/>
      <c r="CP290" s="846">
        <f t="shared" ref="CP290:CP295" si="712">AVERAGE(CM277:CP277)</f>
        <v>100.68666666666667</v>
      </c>
      <c r="CQ290" s="846"/>
      <c r="CR290" s="846"/>
      <c r="CS290" s="846"/>
      <c r="CT290" s="846">
        <f t="shared" ref="CT290:CT295" si="713">AVERAGE(CQ277:CT277)</f>
        <v>101.41083333333333</v>
      </c>
      <c r="CU290" s="846"/>
      <c r="CV290" s="846"/>
      <c r="CW290" s="846"/>
      <c r="CX290" s="846">
        <f t="shared" ref="CX290:CX295" si="714">AVERAGE(CU277:CX277)</f>
        <v>102.20236517779105</v>
      </c>
      <c r="CY290" s="846"/>
      <c r="CZ290" s="846"/>
      <c r="DA290" s="846"/>
      <c r="DB290" s="846">
        <f t="shared" ref="DB290:DB295" si="715">AVERAGE(CY277:DB277)</f>
        <v>103.25423650859683</v>
      </c>
      <c r="DC290"/>
      <c r="DD290"/>
      <c r="DE290"/>
      <c r="DF290"/>
      <c r="DG290"/>
      <c r="DH290"/>
      <c r="DI290"/>
      <c r="DJ290"/>
      <c r="DK290"/>
      <c r="DL290"/>
      <c r="DM290"/>
      <c r="DN290"/>
      <c r="DO290"/>
    </row>
    <row r="291" spans="1:119" s="699" customFormat="1" ht="12.75" customHeight="1">
      <c r="A291" s="664"/>
      <c r="B291" s="664" t="s">
        <v>54</v>
      </c>
      <c r="C291" s="1562"/>
      <c r="D291" s="674"/>
      <c r="E291" s="3629" t="s">
        <v>436</v>
      </c>
      <c r="F291" s="3630"/>
      <c r="G291" s="706"/>
      <c r="H291" s="706"/>
      <c r="I291" s="706"/>
      <c r="J291" s="706"/>
      <c r="K291" s="706"/>
      <c r="L291" s="706"/>
      <c r="M291" s="706"/>
      <c r="N291" s="706">
        <f t="shared" si="693"/>
        <v>31.152499999999996</v>
      </c>
      <c r="O291" s="706"/>
      <c r="P291" s="706"/>
      <c r="Q291" s="706"/>
      <c r="R291" s="706">
        <f t="shared" si="694"/>
        <v>37.234999999999999</v>
      </c>
      <c r="S291" s="706"/>
      <c r="T291" s="706"/>
      <c r="U291" s="706"/>
      <c r="V291" s="706">
        <f t="shared" si="695"/>
        <v>42.76</v>
      </c>
      <c r="W291" s="706"/>
      <c r="X291" s="706"/>
      <c r="Y291" s="706"/>
      <c r="Z291" s="706">
        <f t="shared" si="696"/>
        <v>46.583333333333336</v>
      </c>
      <c r="AA291" s="706"/>
      <c r="AB291" s="706"/>
      <c r="AC291" s="706"/>
      <c r="AD291" s="706">
        <f t="shared" si="697"/>
        <v>54.626666666666672</v>
      </c>
      <c r="AE291" s="706"/>
      <c r="AF291" s="706"/>
      <c r="AG291" s="706"/>
      <c r="AH291" s="706">
        <f t="shared" si="698"/>
        <v>54.610833333333332</v>
      </c>
      <c r="AI291" s="706"/>
      <c r="AJ291" s="706"/>
      <c r="AK291" s="706"/>
      <c r="AL291" s="706">
        <f t="shared" si="699"/>
        <v>55.532499999999999</v>
      </c>
      <c r="AM291" s="706"/>
      <c r="AN291" s="706"/>
      <c r="AO291" s="706"/>
      <c r="AP291" s="706">
        <f t="shared" si="700"/>
        <v>56.129999999999995</v>
      </c>
      <c r="AQ291" s="706"/>
      <c r="AR291" s="706"/>
      <c r="AS291" s="706"/>
      <c r="AT291" s="706">
        <f t="shared" ref="AT291:AT296" si="716">AVERAGE(AQ278:AT278)</f>
        <v>57.662500000000001</v>
      </c>
      <c r="AU291" s="706"/>
      <c r="AV291" s="706"/>
      <c r="AW291" s="706"/>
      <c r="AX291" s="706">
        <f t="shared" si="701"/>
        <v>61.830833333333338</v>
      </c>
      <c r="AY291" s="706"/>
      <c r="AZ291" s="706"/>
      <c r="BA291" s="706"/>
      <c r="BB291" s="706">
        <f t="shared" si="702"/>
        <v>66.524166666666659</v>
      </c>
      <c r="BC291" s="706"/>
      <c r="BD291" s="706"/>
      <c r="BE291" s="706"/>
      <c r="BF291" s="706">
        <f t="shared" si="703"/>
        <v>71.067499999999995</v>
      </c>
      <c r="BG291" s="706"/>
      <c r="BH291" s="706"/>
      <c r="BI291" s="706"/>
      <c r="BJ291" s="792">
        <f t="shared" si="704"/>
        <v>83.804999999999993</v>
      </c>
      <c r="BK291" s="792"/>
      <c r="BL291" s="792"/>
      <c r="BM291" s="792"/>
      <c r="BN291" s="792">
        <f t="shared" si="705"/>
        <v>90.648333333333326</v>
      </c>
      <c r="BO291" s="792"/>
      <c r="BP291" s="792"/>
      <c r="BQ291" s="792"/>
      <c r="BR291" s="792">
        <f t="shared" si="706"/>
        <v>100.07666666666665</v>
      </c>
      <c r="BS291" s="792"/>
      <c r="BT291" s="792"/>
      <c r="BU291" s="792"/>
      <c r="BV291" s="792">
        <f t="shared" si="707"/>
        <v>112.12833333333333</v>
      </c>
      <c r="BW291" s="792"/>
      <c r="BX291" s="792"/>
      <c r="BY291" s="792"/>
      <c r="BZ291" s="792">
        <f t="shared" si="708"/>
        <v>119.5925</v>
      </c>
      <c r="CA291" s="792"/>
      <c r="CB291" s="792"/>
      <c r="CC291" s="792"/>
      <c r="CD291" s="792">
        <f t="shared" si="709"/>
        <v>118.10416666666667</v>
      </c>
      <c r="CE291" s="792"/>
      <c r="CF291" s="792"/>
      <c r="CG291" s="792"/>
      <c r="CH291" s="792">
        <f t="shared" si="710"/>
        <v>113.42666666666666</v>
      </c>
      <c r="CI291" s="792"/>
      <c r="CJ291" s="792"/>
      <c r="CK291" s="792"/>
      <c r="CL291" s="792">
        <f t="shared" si="711"/>
        <v>99.999166666666667</v>
      </c>
      <c r="CM291" s="792"/>
      <c r="CN291" s="792"/>
      <c r="CO291" s="792"/>
      <c r="CP291" s="792">
        <f t="shared" si="712"/>
        <v>92.814999999999998</v>
      </c>
      <c r="CQ291" s="792"/>
      <c r="CR291" s="792"/>
      <c r="CS291" s="792"/>
      <c r="CT291" s="792">
        <f t="shared" si="713"/>
        <v>97.161666666666676</v>
      </c>
      <c r="CU291" s="792"/>
      <c r="CV291" s="792"/>
      <c r="CW291" s="792"/>
      <c r="CX291" s="792">
        <f t="shared" si="714"/>
        <v>102.56256044002525</v>
      </c>
      <c r="CY291" s="792"/>
      <c r="CZ291" s="792"/>
      <c r="DA291" s="792"/>
      <c r="DB291" s="792">
        <f t="shared" si="715"/>
        <v>103.7678881637022</v>
      </c>
      <c r="DC291"/>
      <c r="DD291"/>
      <c r="DE291"/>
      <c r="DF291"/>
      <c r="DG291"/>
      <c r="DH291"/>
      <c r="DI291"/>
      <c r="DJ291"/>
      <c r="DK291"/>
      <c r="DL291"/>
      <c r="DM291"/>
      <c r="DN291"/>
      <c r="DO291"/>
    </row>
    <row r="292" spans="1:119" s="699" customFormat="1" ht="12.75" customHeight="1">
      <c r="A292" s="664"/>
      <c r="B292" s="664" t="s">
        <v>56</v>
      </c>
      <c r="C292" s="1562"/>
      <c r="D292" s="674"/>
      <c r="E292" s="3629" t="s">
        <v>1239</v>
      </c>
      <c r="F292" s="3630"/>
      <c r="G292" s="706"/>
      <c r="H292" s="706"/>
      <c r="I292" s="706"/>
      <c r="J292" s="706"/>
      <c r="K292" s="706"/>
      <c r="L292" s="706"/>
      <c r="M292" s="706"/>
      <c r="N292" s="706">
        <f t="shared" si="693"/>
        <v>65.643333333333331</v>
      </c>
      <c r="O292" s="706"/>
      <c r="P292" s="706"/>
      <c r="Q292" s="706"/>
      <c r="R292" s="706">
        <f t="shared" si="694"/>
        <v>68.896666666666661</v>
      </c>
      <c r="S292" s="706"/>
      <c r="T292" s="706"/>
      <c r="U292" s="706"/>
      <c r="V292" s="706">
        <f t="shared" si="695"/>
        <v>69.525833333333324</v>
      </c>
      <c r="W292" s="706"/>
      <c r="X292" s="706"/>
      <c r="Y292" s="706"/>
      <c r="Z292" s="706">
        <f t="shared" si="696"/>
        <v>65.62166666666667</v>
      </c>
      <c r="AA292" s="706"/>
      <c r="AB292" s="706"/>
      <c r="AC292" s="706"/>
      <c r="AD292" s="706">
        <f t="shared" si="697"/>
        <v>63.368333333333332</v>
      </c>
      <c r="AE292" s="706"/>
      <c r="AF292" s="706"/>
      <c r="AG292" s="706"/>
      <c r="AH292" s="706">
        <f t="shared" si="698"/>
        <v>69.052500000000009</v>
      </c>
      <c r="AI292" s="706"/>
      <c r="AJ292" s="706"/>
      <c r="AK292" s="706"/>
      <c r="AL292" s="706">
        <f t="shared" si="699"/>
        <v>67.540833333333339</v>
      </c>
      <c r="AM292" s="706"/>
      <c r="AN292" s="706"/>
      <c r="AO292" s="706"/>
      <c r="AP292" s="706">
        <f t="shared" si="700"/>
        <v>59.44166666666667</v>
      </c>
      <c r="AQ292" s="706"/>
      <c r="AR292" s="706"/>
      <c r="AS292" s="706"/>
      <c r="AT292" s="706">
        <f t="shared" si="716"/>
        <v>60.920833333333334</v>
      </c>
      <c r="AU292" s="706"/>
      <c r="AV292" s="706"/>
      <c r="AW292" s="706"/>
      <c r="AX292" s="706">
        <f t="shared" si="701"/>
        <v>64.811666666666667</v>
      </c>
      <c r="AY292" s="706"/>
      <c r="AZ292" s="706"/>
      <c r="BA292" s="706"/>
      <c r="BB292" s="706">
        <f t="shared" si="702"/>
        <v>70.037499999999994</v>
      </c>
      <c r="BC292" s="706"/>
      <c r="BD292" s="706"/>
      <c r="BE292" s="706"/>
      <c r="BF292" s="706">
        <f t="shared" si="703"/>
        <v>76.116666666666674</v>
      </c>
      <c r="BG292" s="706"/>
      <c r="BH292" s="706"/>
      <c r="BI292" s="706"/>
      <c r="BJ292" s="792">
        <f t="shared" si="704"/>
        <v>87.634166666666658</v>
      </c>
      <c r="BK292" s="792"/>
      <c r="BL292" s="792"/>
      <c r="BM292" s="792"/>
      <c r="BN292" s="792">
        <f t="shared" si="705"/>
        <v>90.356666666666655</v>
      </c>
      <c r="BO292" s="792"/>
      <c r="BP292" s="792"/>
      <c r="BQ292" s="792"/>
      <c r="BR292" s="792">
        <f t="shared" si="706"/>
        <v>88.270833333333329</v>
      </c>
      <c r="BS292" s="792"/>
      <c r="BT292" s="792"/>
      <c r="BU292" s="792"/>
      <c r="BV292" s="792">
        <f t="shared" si="707"/>
        <v>92.708333333333329</v>
      </c>
      <c r="BW292" s="792"/>
      <c r="BX292" s="792"/>
      <c r="BY292" s="792"/>
      <c r="BZ292" s="792">
        <f t="shared" si="708"/>
        <v>95.808333333333337</v>
      </c>
      <c r="CA292" s="792"/>
      <c r="CB292" s="792"/>
      <c r="CC292" s="792"/>
      <c r="CD292" s="792">
        <f t="shared" si="709"/>
        <v>98.91</v>
      </c>
      <c r="CE292" s="792"/>
      <c r="CF292" s="792"/>
      <c r="CG292" s="792"/>
      <c r="CH292" s="792">
        <f t="shared" si="710"/>
        <v>99.243333333333325</v>
      </c>
      <c r="CI292" s="792"/>
      <c r="CJ292" s="792"/>
      <c r="CK292" s="792"/>
      <c r="CL292" s="792">
        <f t="shared" si="711"/>
        <v>100.00083333333333</v>
      </c>
      <c r="CM292" s="792"/>
      <c r="CN292" s="792"/>
      <c r="CO292" s="792"/>
      <c r="CP292" s="792">
        <f t="shared" si="712"/>
        <v>101.51583333333333</v>
      </c>
      <c r="CQ292" s="792"/>
      <c r="CR292" s="792"/>
      <c r="CS292" s="792"/>
      <c r="CT292" s="792">
        <f t="shared" si="713"/>
        <v>103.17833333333333</v>
      </c>
      <c r="CU292" s="792"/>
      <c r="CV292" s="792"/>
      <c r="CW292" s="792"/>
      <c r="CX292" s="792">
        <f t="shared" si="714"/>
        <v>103.72429535838776</v>
      </c>
      <c r="CY292" s="792"/>
      <c r="CZ292" s="792"/>
      <c r="DA292" s="792"/>
      <c r="DB292" s="792">
        <f t="shared" si="715"/>
        <v>104.64775631611455</v>
      </c>
      <c r="DC292"/>
      <c r="DD292"/>
      <c r="DE292"/>
      <c r="DF292"/>
      <c r="DG292"/>
      <c r="DH292"/>
      <c r="DI292"/>
      <c r="DJ292"/>
      <c r="DK292"/>
      <c r="DL292"/>
      <c r="DM292"/>
      <c r="DN292"/>
      <c r="DO292"/>
    </row>
    <row r="293" spans="1:119" s="699" customFormat="1" ht="12.75" customHeight="1">
      <c r="A293" s="664"/>
      <c r="B293" s="664" t="s">
        <v>55</v>
      </c>
      <c r="C293" s="1562"/>
      <c r="D293" s="674"/>
      <c r="E293" s="3629" t="s">
        <v>1238</v>
      </c>
      <c r="F293" s="3630"/>
      <c r="G293" s="706"/>
      <c r="H293" s="706"/>
      <c r="I293" s="706"/>
      <c r="J293" s="706"/>
      <c r="K293" s="706"/>
      <c r="L293" s="706"/>
      <c r="M293" s="706"/>
      <c r="N293" s="706">
        <f>AVERAGE(K280:N280)</f>
        <v>52.674166666666672</v>
      </c>
      <c r="O293" s="706"/>
      <c r="P293" s="706"/>
      <c r="Q293" s="706"/>
      <c r="R293" s="706">
        <f t="shared" si="694"/>
        <v>57.693333333333335</v>
      </c>
      <c r="S293" s="706"/>
      <c r="T293" s="706"/>
      <c r="U293" s="706"/>
      <c r="V293" s="706">
        <f t="shared" si="695"/>
        <v>58.402499999999996</v>
      </c>
      <c r="W293" s="706"/>
      <c r="X293" s="706"/>
      <c r="Y293" s="706"/>
      <c r="Z293" s="706">
        <f t="shared" si="696"/>
        <v>58.040833333333332</v>
      </c>
      <c r="AA293" s="706"/>
      <c r="AB293" s="706"/>
      <c r="AC293" s="706"/>
      <c r="AD293" s="706">
        <f t="shared" si="697"/>
        <v>55.8125</v>
      </c>
      <c r="AE293" s="706"/>
      <c r="AF293" s="706"/>
      <c r="AG293" s="706"/>
      <c r="AH293" s="706">
        <f t="shared" si="698"/>
        <v>55.701666666666668</v>
      </c>
      <c r="AI293" s="706"/>
      <c r="AJ293" s="706"/>
      <c r="AK293" s="706"/>
      <c r="AL293" s="706">
        <f t="shared" si="699"/>
        <v>56.135000000000005</v>
      </c>
      <c r="AM293" s="706"/>
      <c r="AN293" s="706"/>
      <c r="AO293" s="706"/>
      <c r="AP293" s="706">
        <f t="shared" si="700"/>
        <v>57.87916666666667</v>
      </c>
      <c r="AQ293" s="706"/>
      <c r="AR293" s="706"/>
      <c r="AS293" s="706"/>
      <c r="AT293" s="706">
        <f t="shared" si="716"/>
        <v>59.210833333333333</v>
      </c>
      <c r="AU293" s="706"/>
      <c r="AV293" s="706"/>
      <c r="AW293" s="706"/>
      <c r="AX293" s="706">
        <f t="shared" si="701"/>
        <v>60.044166666666662</v>
      </c>
      <c r="AY293" s="706"/>
      <c r="AZ293" s="706"/>
      <c r="BA293" s="706"/>
      <c r="BB293" s="706">
        <f t="shared" si="702"/>
        <v>61.684166666666663</v>
      </c>
      <c r="BC293" s="706"/>
      <c r="BD293" s="706"/>
      <c r="BE293" s="706"/>
      <c r="BF293" s="706">
        <f t="shared" si="703"/>
        <v>68.12833333333333</v>
      </c>
      <c r="BG293" s="706"/>
      <c r="BH293" s="706"/>
      <c r="BI293" s="706"/>
      <c r="BJ293" s="792">
        <f t="shared" si="704"/>
        <v>78.965833333333336</v>
      </c>
      <c r="BK293" s="792"/>
      <c r="BL293" s="792"/>
      <c r="BM293" s="792"/>
      <c r="BN293" s="792">
        <f t="shared" si="705"/>
        <v>83.563333333333333</v>
      </c>
      <c r="BO293" s="792"/>
      <c r="BP293" s="792"/>
      <c r="BQ293" s="792"/>
      <c r="BR293" s="792">
        <f t="shared" si="706"/>
        <v>87.921666666666667</v>
      </c>
      <c r="BS293" s="792"/>
      <c r="BT293" s="792"/>
      <c r="BU293" s="792"/>
      <c r="BV293" s="792">
        <f t="shared" si="707"/>
        <v>94.091666666666654</v>
      </c>
      <c r="BW293" s="792"/>
      <c r="BX293" s="792"/>
      <c r="BY293" s="792"/>
      <c r="BZ293" s="792">
        <f t="shared" si="708"/>
        <v>97.045000000000002</v>
      </c>
      <c r="CA293" s="792"/>
      <c r="CB293" s="792"/>
      <c r="CC293" s="792"/>
      <c r="CD293" s="792">
        <f t="shared" si="709"/>
        <v>98.36</v>
      </c>
      <c r="CE293" s="792"/>
      <c r="CF293" s="792"/>
      <c r="CG293" s="792"/>
      <c r="CH293" s="792">
        <f t="shared" si="710"/>
        <v>100.47416666666666</v>
      </c>
      <c r="CI293" s="792"/>
      <c r="CJ293" s="792"/>
      <c r="CK293" s="792"/>
      <c r="CL293" s="792">
        <f t="shared" si="711"/>
        <v>100</v>
      </c>
      <c r="CM293" s="792"/>
      <c r="CN293" s="792"/>
      <c r="CO293" s="792"/>
      <c r="CP293" s="792">
        <f t="shared" si="712"/>
        <v>102.22916666666669</v>
      </c>
      <c r="CQ293" s="792"/>
      <c r="CR293" s="792"/>
      <c r="CS293" s="792"/>
      <c r="CT293" s="792">
        <f t="shared" si="713"/>
        <v>109.50749999999999</v>
      </c>
      <c r="CU293" s="792"/>
      <c r="CV293" s="792"/>
      <c r="CW293" s="792"/>
      <c r="CX293" s="792">
        <f t="shared" si="714"/>
        <v>113.45385723326497</v>
      </c>
      <c r="CY293" s="792"/>
      <c r="CZ293" s="792"/>
      <c r="DA293" s="792"/>
      <c r="DB293" s="792">
        <f t="shared" si="715"/>
        <v>116.90379942504249</v>
      </c>
      <c r="DC293"/>
      <c r="DD293"/>
      <c r="DE293"/>
      <c r="DF293"/>
      <c r="DG293"/>
      <c r="DH293"/>
      <c r="DI293"/>
      <c r="DJ293"/>
      <c r="DK293"/>
      <c r="DL293"/>
      <c r="DM293"/>
      <c r="DN293"/>
      <c r="DO293"/>
    </row>
    <row r="294" spans="1:119" customFormat="1" ht="12.75" customHeight="1">
      <c r="A294" s="664"/>
      <c r="B294" s="664" t="s">
        <v>1151</v>
      </c>
      <c r="C294" s="3643"/>
      <c r="D294" s="1077"/>
      <c r="E294" s="1078" t="s">
        <v>1240</v>
      </c>
      <c r="F294" s="1077"/>
      <c r="G294" s="1085"/>
      <c r="H294" s="1085"/>
      <c r="I294" s="1085"/>
      <c r="J294" s="1085"/>
      <c r="K294" s="1085"/>
      <c r="L294" s="1085"/>
      <c r="M294" s="1085"/>
      <c r="N294" s="1085">
        <f t="shared" si="693"/>
        <v>42.58</v>
      </c>
      <c r="O294" s="1085"/>
      <c r="P294" s="1085"/>
      <c r="Q294" s="1085"/>
      <c r="R294" s="1085">
        <f t="shared" si="694"/>
        <v>49.239166666666662</v>
      </c>
      <c r="S294" s="1085"/>
      <c r="T294" s="1085"/>
      <c r="U294" s="1085"/>
      <c r="V294" s="1085">
        <f t="shared" si="695"/>
        <v>54.837500000000006</v>
      </c>
      <c r="W294" s="1085"/>
      <c r="X294" s="1085"/>
      <c r="Y294" s="1085"/>
      <c r="Z294" s="1085">
        <f t="shared" si="696"/>
        <v>58.460833333333333</v>
      </c>
      <c r="AA294" s="1085"/>
      <c r="AB294" s="1085"/>
      <c r="AC294" s="1085"/>
      <c r="AD294" s="1085">
        <f t="shared" si="697"/>
        <v>61.570833333333333</v>
      </c>
      <c r="AE294" s="1085"/>
      <c r="AF294" s="1085"/>
      <c r="AG294" s="1085"/>
      <c r="AH294" s="1085">
        <f t="shared" si="698"/>
        <v>64.30916666666667</v>
      </c>
      <c r="AI294" s="1085"/>
      <c r="AJ294" s="1085"/>
      <c r="AK294" s="1085"/>
      <c r="AL294" s="1085">
        <f t="shared" si="699"/>
        <v>66.39</v>
      </c>
      <c r="AM294" s="1085"/>
      <c r="AN294" s="1085"/>
      <c r="AO294" s="1085"/>
      <c r="AP294" s="1085">
        <f t="shared" si="700"/>
        <v>66.591666666666669</v>
      </c>
      <c r="AQ294" s="1085"/>
      <c r="AR294" s="1085"/>
      <c r="AS294" s="1085"/>
      <c r="AT294" s="1085">
        <f t="shared" si="716"/>
        <v>66.379166666666663</v>
      </c>
      <c r="AU294" s="1085"/>
      <c r="AV294" s="1085"/>
      <c r="AW294" s="1085"/>
      <c r="AX294" s="1085">
        <f t="shared" si="701"/>
        <v>68.586666666666673</v>
      </c>
      <c r="AY294" s="1085"/>
      <c r="AZ294" s="1085"/>
      <c r="BA294" s="1085"/>
      <c r="BB294" s="1085">
        <f t="shared" si="702"/>
        <v>71.902500000000003</v>
      </c>
      <c r="BC294" s="1085"/>
      <c r="BD294" s="1085"/>
      <c r="BE294" s="1085"/>
      <c r="BF294" s="1085">
        <f t="shared" si="703"/>
        <v>76.798333333333332</v>
      </c>
      <c r="BG294" s="1085"/>
      <c r="BH294" s="1085"/>
      <c r="BI294" s="1085"/>
      <c r="BJ294" s="938">
        <f t="shared" si="704"/>
        <v>86.142499999999998</v>
      </c>
      <c r="BK294" s="938"/>
      <c r="BL294" s="938"/>
      <c r="BM294" s="938"/>
      <c r="BN294" s="938">
        <f t="shared" si="705"/>
        <v>91.1</v>
      </c>
      <c r="BO294" s="938"/>
      <c r="BP294" s="938"/>
      <c r="BQ294" s="938"/>
      <c r="BR294" s="938">
        <f t="shared" si="706"/>
        <v>89.738333333333344</v>
      </c>
      <c r="BS294" s="938"/>
      <c r="BT294" s="938"/>
      <c r="BU294" s="938"/>
      <c r="BV294" s="938">
        <f t="shared" si="707"/>
        <v>90.865000000000009</v>
      </c>
      <c r="BW294" s="938"/>
      <c r="BX294" s="938"/>
      <c r="BY294" s="938"/>
      <c r="BZ294" s="938">
        <f t="shared" si="708"/>
        <v>93.49166666666666</v>
      </c>
      <c r="CA294" s="938"/>
      <c r="CB294" s="938"/>
      <c r="CC294" s="938"/>
      <c r="CD294" s="938">
        <f t="shared" si="709"/>
        <v>95.222500000000011</v>
      </c>
      <c r="CE294" s="938"/>
      <c r="CF294" s="938"/>
      <c r="CG294" s="938"/>
      <c r="CH294" s="938">
        <f t="shared" si="710"/>
        <v>96.748333333333335</v>
      </c>
      <c r="CI294" s="938"/>
      <c r="CJ294" s="938"/>
      <c r="CK294" s="938"/>
      <c r="CL294" s="938">
        <f t="shared" si="711"/>
        <v>100.00166666666665</v>
      </c>
      <c r="CM294" s="938"/>
      <c r="CN294" s="938"/>
      <c r="CO294" s="938"/>
      <c r="CP294" s="938">
        <f t="shared" si="712"/>
        <v>103.155</v>
      </c>
      <c r="CQ294" s="938"/>
      <c r="CR294" s="938"/>
      <c r="CS294" s="938"/>
      <c r="CT294" s="938">
        <f t="shared" si="713"/>
        <v>108.35250000000001</v>
      </c>
      <c r="CU294" s="938"/>
      <c r="CV294" s="938"/>
      <c r="CW294" s="938"/>
      <c r="CX294" s="938">
        <f t="shared" si="714"/>
        <v>112.7976710636909</v>
      </c>
      <c r="CY294" s="938"/>
      <c r="CZ294" s="938"/>
      <c r="DA294" s="938"/>
      <c r="DB294" s="938">
        <f t="shared" si="715"/>
        <v>117.73308146752153</v>
      </c>
    </row>
    <row r="295" spans="1:119" customFormat="1" ht="12.75" customHeight="1">
      <c r="A295" s="664"/>
      <c r="B295" s="664"/>
      <c r="C295" s="3617"/>
      <c r="D295" s="1055"/>
      <c r="E295" s="1056" t="s">
        <v>52</v>
      </c>
      <c r="F295" s="1055"/>
      <c r="G295" s="1057"/>
      <c r="H295" s="1057"/>
      <c r="I295" s="1057"/>
      <c r="J295" s="1057"/>
      <c r="K295" s="1057"/>
      <c r="L295" s="1057"/>
      <c r="M295" s="1057"/>
      <c r="N295" s="1057">
        <f>+N296</f>
        <v>57.612499999999997</v>
      </c>
      <c r="O295" s="1057"/>
      <c r="P295" s="1057"/>
      <c r="Q295" s="1057"/>
      <c r="R295" s="1057">
        <f t="shared" ca="1" si="694"/>
        <v>63.581514977380678</v>
      </c>
      <c r="S295" s="1057"/>
      <c r="T295" s="1057"/>
      <c r="U295" s="1057"/>
      <c r="V295" s="1057">
        <f t="shared" ca="1" si="695"/>
        <v>66.971319033589239</v>
      </c>
      <c r="W295" s="1057"/>
      <c r="X295" s="1057"/>
      <c r="Y295" s="1057"/>
      <c r="Z295" s="1057">
        <f t="shared" ca="1" si="696"/>
        <v>67.935538906975239</v>
      </c>
      <c r="AA295" s="1057"/>
      <c r="AB295" s="1057"/>
      <c r="AC295" s="1057"/>
      <c r="AD295" s="1057">
        <f t="shared" ca="1" si="697"/>
        <v>68.70707212719735</v>
      </c>
      <c r="AE295" s="1057"/>
      <c r="AF295" s="1057"/>
      <c r="AG295" s="1057"/>
      <c r="AH295" s="1057">
        <f t="shared" ca="1" si="698"/>
        <v>69.748750050803096</v>
      </c>
      <c r="AI295" s="1057"/>
      <c r="AJ295" s="1057"/>
      <c r="AK295" s="1057"/>
      <c r="AL295" s="1057">
        <f t="shared" ca="1" si="699"/>
        <v>69.936802169818364</v>
      </c>
      <c r="AM295" s="1057"/>
      <c r="AN295" s="1057"/>
      <c r="AO295" s="1057"/>
      <c r="AP295" s="1057">
        <f t="shared" si="700"/>
        <v>96.29</v>
      </c>
      <c r="AQ295" s="1057"/>
      <c r="AR295" s="1057"/>
      <c r="AS295" s="1057"/>
      <c r="AT295" s="1057">
        <f t="shared" ca="1" si="716"/>
        <v>70.012680377914918</v>
      </c>
      <c r="AU295" s="1057"/>
      <c r="AV295" s="1057"/>
      <c r="AW295" s="1057"/>
      <c r="AX295" s="1057">
        <f t="shared" ca="1" si="701"/>
        <v>71.890034873788437</v>
      </c>
      <c r="AY295" s="1057"/>
      <c r="AZ295" s="1057"/>
      <c r="BA295" s="1057"/>
      <c r="BB295" s="1057">
        <f t="shared" ca="1" si="702"/>
        <v>74.602123182052665</v>
      </c>
      <c r="BC295" s="1057"/>
      <c r="BD295" s="1057"/>
      <c r="BE295" s="1057"/>
      <c r="BF295" s="1057">
        <f t="shared" ca="1" si="703"/>
        <v>78.930082155319809</v>
      </c>
      <c r="BG295" s="1057"/>
      <c r="BH295" s="1057"/>
      <c r="BI295" s="1057"/>
      <c r="BJ295" s="872">
        <f t="shared" ca="1" si="704"/>
        <v>87.687321583312553</v>
      </c>
      <c r="BK295" s="872"/>
      <c r="BL295" s="872"/>
      <c r="BM295" s="872"/>
      <c r="BN295" s="872">
        <f t="shared" ca="1" si="705"/>
        <v>91.333227948809338</v>
      </c>
      <c r="BO295" s="872"/>
      <c r="BP295" s="872"/>
      <c r="BQ295" s="872"/>
      <c r="BR295" s="872">
        <f t="shared" ca="1" si="706"/>
        <v>92.438939812223708</v>
      </c>
      <c r="BS295" s="872"/>
      <c r="BT295" s="872"/>
      <c r="BU295" s="872"/>
      <c r="BV295" s="872">
        <f t="shared" ca="1" si="707"/>
        <v>96.272370539915428</v>
      </c>
      <c r="BW295" s="872"/>
      <c r="BX295" s="872"/>
      <c r="BY295" s="872"/>
      <c r="BZ295" s="872">
        <f t="shared" ca="1" si="708"/>
        <v>99.328815108583285</v>
      </c>
      <c r="CA295" s="872"/>
      <c r="CB295" s="872"/>
      <c r="CC295" s="872"/>
      <c r="CD295" s="872">
        <f t="shared" ca="1" si="709"/>
        <v>100.47787366362202</v>
      </c>
      <c r="CE295" s="872"/>
      <c r="CF295" s="872"/>
      <c r="CG295" s="872"/>
      <c r="CH295" s="872">
        <f t="shared" ca="1" si="710"/>
        <v>100.71422885223738</v>
      </c>
      <c r="CI295" s="872"/>
      <c r="CJ295" s="872"/>
      <c r="CK295" s="872"/>
      <c r="CL295" s="872">
        <f t="shared" ca="1" si="711"/>
        <v>100.05377235574771</v>
      </c>
      <c r="CM295" s="872"/>
      <c r="CN295" s="872"/>
      <c r="CO295" s="872"/>
      <c r="CP295" s="872">
        <f t="shared" ca="1" si="712"/>
        <v>100.75470546790416</v>
      </c>
      <c r="CQ295" s="872"/>
      <c r="CR295" s="872"/>
      <c r="CS295" s="872"/>
      <c r="CT295" s="872">
        <f t="shared" ca="1" si="713"/>
        <v>104.50179004476533</v>
      </c>
      <c r="CU295" s="872"/>
      <c r="CV295" s="872"/>
      <c r="CW295" s="872"/>
      <c r="CX295" s="872">
        <f t="shared" ca="1" si="714"/>
        <v>107.4377605853195</v>
      </c>
      <c r="CY295" s="872"/>
      <c r="CZ295" s="872"/>
      <c r="DA295" s="872"/>
      <c r="DB295" s="872">
        <f t="shared" ca="1" si="715"/>
        <v>109.95865468329058</v>
      </c>
    </row>
    <row r="296" spans="1:119" customFormat="1" ht="12.75" customHeight="1">
      <c r="A296" s="664"/>
      <c r="B296" s="664"/>
      <c r="C296" s="3617"/>
      <c r="D296" s="1055"/>
      <c r="E296" s="1056" t="s">
        <v>599</v>
      </c>
      <c r="F296" s="1055"/>
      <c r="G296" s="1057"/>
      <c r="H296" s="1057"/>
      <c r="I296" s="1057"/>
      <c r="J296" s="1057"/>
      <c r="K296" s="1057"/>
      <c r="L296" s="1057">
        <f>AVERAGE(I283:L283)</f>
        <v>56.298333333333332</v>
      </c>
      <c r="M296" s="1057"/>
      <c r="N296" s="1057">
        <f t="shared" si="693"/>
        <v>57.612499999999997</v>
      </c>
      <c r="O296" s="1057"/>
      <c r="P296" s="1057">
        <f>AVERAGE(M283:P283)</f>
        <v>60.763333333333335</v>
      </c>
      <c r="Q296" s="1057"/>
      <c r="R296" s="1057">
        <f t="shared" si="694"/>
        <v>63.555833333333325</v>
      </c>
      <c r="S296" s="1057"/>
      <c r="T296" s="1057">
        <f>AVERAGE(Q283:T283)</f>
        <v>65.611666666666665</v>
      </c>
      <c r="U296" s="1057"/>
      <c r="V296" s="1057">
        <f t="shared" si="695"/>
        <v>66.968333333333334</v>
      </c>
      <c r="W296" s="1057"/>
      <c r="X296" s="1057">
        <f>AVERAGE(U283:X283)</f>
        <v>67.676666666666662</v>
      </c>
      <c r="Y296" s="1057"/>
      <c r="Z296" s="1057">
        <f t="shared" si="696"/>
        <v>67.935000000000002</v>
      </c>
      <c r="AA296" s="1057"/>
      <c r="AB296" s="1057">
        <f>AVERAGE(Y283:AB283)</f>
        <v>68.25</v>
      </c>
      <c r="AC296" s="1057"/>
      <c r="AD296" s="1057">
        <f t="shared" si="697"/>
        <v>68.678333333333327</v>
      </c>
      <c r="AE296" s="1057"/>
      <c r="AF296" s="1057">
        <f>AVERAGE(AC283:AF283)</f>
        <v>69.008333333333326</v>
      </c>
      <c r="AG296" s="1057"/>
      <c r="AH296" s="1057">
        <f t="shared" si="698"/>
        <v>69.742500000000007</v>
      </c>
      <c r="AI296" s="1057"/>
      <c r="AJ296" s="1057">
        <f>AVERAGE(AG283:AJ283)</f>
        <v>70.270833333333329</v>
      </c>
      <c r="AK296" s="1057"/>
      <c r="AL296" s="1057">
        <f t="shared" si="699"/>
        <v>69.976666666666659</v>
      </c>
      <c r="AM296" s="1057"/>
      <c r="AN296" s="1057">
        <f>AVERAGE(AK283:AN283)</f>
        <v>69.579166666666652</v>
      </c>
      <c r="AO296" s="1057"/>
      <c r="AP296" s="1057">
        <f t="shared" si="700"/>
        <v>69.223333333333329</v>
      </c>
      <c r="AQ296" s="1057"/>
      <c r="AR296" s="1057">
        <f>AVERAGE(AO283:AR283)</f>
        <v>69.11333333333333</v>
      </c>
      <c r="AS296" s="1057"/>
      <c r="AT296" s="1057">
        <f t="shared" si="716"/>
        <v>70.022499999999994</v>
      </c>
      <c r="AU296" s="1057"/>
      <c r="AV296" s="1057">
        <f>AVERAGE(AS283:AV283)</f>
        <v>70.974166666666662</v>
      </c>
      <c r="AW296" s="1057"/>
      <c r="AX296" s="1057">
        <f t="shared" si="701"/>
        <v>71.893333333333345</v>
      </c>
      <c r="AY296" s="1057"/>
      <c r="AZ296" s="1057">
        <f>AVERAGE(AW283:AZ283)</f>
        <v>73.12</v>
      </c>
      <c r="BA296" s="1057"/>
      <c r="BB296" s="1057">
        <f t="shared" si="702"/>
        <v>74.594166666666666</v>
      </c>
      <c r="BC296" s="1057"/>
      <c r="BD296" s="1057">
        <f>AVERAGE(BA283:BD283)</f>
        <v>76.32083333333334</v>
      </c>
      <c r="BE296" s="1057"/>
      <c r="BF296" s="1057">
        <f t="shared" si="703"/>
        <v>78.93416666666667</v>
      </c>
      <c r="BG296" s="1057"/>
      <c r="BH296" s="1057">
        <f>AVERAGE(BE283:BH283)</f>
        <v>83.388333333333321</v>
      </c>
      <c r="BI296" s="1057"/>
      <c r="BJ296" s="872">
        <f ca="1">AVERAGE(BG283:BJ283)</f>
        <v>87.68907881029466</v>
      </c>
      <c r="BK296" s="872"/>
      <c r="BL296" s="1057">
        <f ca="1">AVERAGE(BI283:BL283)</f>
        <v>90.549038249744186</v>
      </c>
      <c r="BM296" s="872"/>
      <c r="BN296" s="872">
        <f ca="1">AVERAGE(BK283:BN283)</f>
        <v>91.335141080643311</v>
      </c>
      <c r="BO296" s="872"/>
      <c r="BP296" s="1057">
        <f ca="1">AVERAGE(BM283:BP283)</f>
        <v>91.371103573086259</v>
      </c>
      <c r="BQ296" s="872"/>
      <c r="BR296" s="872">
        <f ca="1">AVERAGE(BO283:BR283)</f>
        <v>92.440840893030213</v>
      </c>
      <c r="BS296" s="872"/>
      <c r="BT296" s="1057">
        <f ca="1">AVERAGE(BQ283:BT283)</f>
        <v>94.270618090678397</v>
      </c>
      <c r="BU296" s="872"/>
      <c r="BV296" s="872">
        <f ca="1">AVERAGE(BS283:BV283)</f>
        <v>96.27433615383903</v>
      </c>
      <c r="BW296" s="872"/>
      <c r="BX296" s="1057">
        <f ca="1">AVERAGE(BU283:BX283)</f>
        <v>97.822161346542856</v>
      </c>
      <c r="BY296" s="872"/>
      <c r="BZ296" s="872">
        <f ca="1">AVERAGE(BW283:BZ283)</f>
        <v>99.330847638236648</v>
      </c>
      <c r="CA296" s="872"/>
      <c r="CB296" s="1057">
        <f ca="1">AVERAGE(BY283:CB283)</f>
        <v>100.21953789123236</v>
      </c>
      <c r="CC296" s="872"/>
      <c r="CD296" s="872">
        <f ca="1">AVERAGE(CA283:CD283)</f>
        <v>100.47995531917081</v>
      </c>
      <c r="CE296" s="872"/>
      <c r="CF296" s="1057">
        <f ca="1">AVERAGE(CC283:CF283)</f>
        <v>100.61171025226528</v>
      </c>
      <c r="CG296" s="872"/>
      <c r="CH296" s="872">
        <f ca="1">AVERAGE(CE283:CH283)</f>
        <v>100.71631644051455</v>
      </c>
      <c r="CI296" s="872"/>
      <c r="CJ296" s="1057">
        <f ca="1">AVERAGE(CG283:CJ283)</f>
        <v>100.31609355924257</v>
      </c>
      <c r="CK296" s="872"/>
      <c r="CL296" s="872">
        <f ca="1">AVERAGE(CI283:CL283)</f>
        <v>100.05583806701935</v>
      </c>
      <c r="CM296" s="872"/>
      <c r="CN296" s="1057">
        <f ca="1">AVERAGE(CK283:CN283)</f>
        <v>100.34379048467596</v>
      </c>
      <c r="CO296" s="872"/>
      <c r="CP296" s="872">
        <f ca="1">AVERAGE(CM283:CP283)</f>
        <v>100.75678654639877</v>
      </c>
      <c r="CQ296" s="872"/>
      <c r="CR296" s="1057">
        <f ca="1">AVERAGE(CO283:CR283)</f>
        <v>102.35679960696119</v>
      </c>
      <c r="CS296" s="872"/>
      <c r="CT296" s="872">
        <f ca="1">AVERAGE(CQ283:CT283)</f>
        <v>104.50392577760113</v>
      </c>
      <c r="CU296" s="872"/>
      <c r="CV296" s="1057">
        <f ca="1">AVERAGE(CS283:CV283)</f>
        <v>106.0330876314767</v>
      </c>
      <c r="CW296" s="872"/>
      <c r="CX296" s="872">
        <f ca="1">AVERAGE(CU283:CX283)</f>
        <v>107.43996374880658</v>
      </c>
      <c r="CY296" s="872"/>
      <c r="CZ296" s="1057">
        <f ca="1">AVERAGE(CW283:CZ283)</f>
        <v>108.83590040348443</v>
      </c>
      <c r="DA296" s="872"/>
      <c r="DB296" s="872">
        <f ca="1">AVERAGE(CY283:DB283)</f>
        <v>109.9609188701761</v>
      </c>
    </row>
    <row r="297" spans="1:119" s="1003" customFormat="1" ht="12.75" customHeight="1">
      <c r="A297" s="673"/>
      <c r="B297" s="673"/>
      <c r="C297" s="1007"/>
      <c r="D297" s="1008"/>
      <c r="E297" s="1009" t="s">
        <v>814</v>
      </c>
      <c r="F297" s="1008"/>
      <c r="G297" s="1010"/>
      <c r="H297" s="1010"/>
      <c r="I297" s="1010"/>
      <c r="J297" s="1010"/>
      <c r="K297" s="2886"/>
      <c r="L297" s="2886"/>
      <c r="M297" s="2886"/>
      <c r="N297" s="2886">
        <f>(N296-N295)</f>
        <v>0</v>
      </c>
      <c r="O297" s="2886"/>
      <c r="P297" s="2886"/>
      <c r="Q297" s="2886"/>
      <c r="R297" s="2886">
        <f ca="1">(R296-R295)</f>
        <v>-2.5681644047352847E-2</v>
      </c>
      <c r="S297" s="2886"/>
      <c r="T297" s="2886"/>
      <c r="U297" s="2886"/>
      <c r="V297" s="2886">
        <f ca="1">(V296-V295)</f>
        <v>-2.985700255905499E-3</v>
      </c>
      <c r="W297" s="2886"/>
      <c r="X297" s="2886"/>
      <c r="Y297" s="2886"/>
      <c r="Z297" s="2886">
        <f ca="1">(Z296-Z295)</f>
        <v>-5.3890697523684139E-4</v>
      </c>
      <c r="AA297" s="2886"/>
      <c r="AB297" s="2886"/>
      <c r="AC297" s="2886"/>
      <c r="AD297" s="2886">
        <f ca="1">(AD296-AD295)</f>
        <v>-2.8738793864022227E-2</v>
      </c>
      <c r="AE297" s="2886"/>
      <c r="AF297" s="2886"/>
      <c r="AG297" s="2886"/>
      <c r="AH297" s="2886">
        <f ca="1">(AH296-AH295)</f>
        <v>-6.2500508030893798E-3</v>
      </c>
      <c r="AI297" s="2886"/>
      <c r="AJ297" s="2886"/>
      <c r="AK297" s="2886"/>
      <c r="AL297" s="2886">
        <f ca="1">(AL296-AL295)</f>
        <v>3.9864496848295516E-2</v>
      </c>
      <c r="AM297" s="2886"/>
      <c r="AN297" s="2886"/>
      <c r="AO297" s="2886"/>
      <c r="AP297" s="2886">
        <f>(AP296-AP295)</f>
        <v>-27.066666666666677</v>
      </c>
      <c r="AQ297" s="2886"/>
      <c r="AR297" s="2886"/>
      <c r="AS297" s="2886"/>
      <c r="AT297" s="2886">
        <f ca="1">(AT296-AT295)</f>
        <v>9.8196220850752525E-3</v>
      </c>
      <c r="AU297" s="2886"/>
      <c r="AV297" s="2886"/>
      <c r="AW297" s="2886"/>
      <c r="AX297" s="2886">
        <f ca="1">(AX296-AX295)</f>
        <v>3.2984595449079279E-3</v>
      </c>
      <c r="AY297" s="2886"/>
      <c r="AZ297" s="2886"/>
      <c r="BA297" s="2886"/>
      <c r="BB297" s="2886">
        <f ca="1">(BB296-BB295)</f>
        <v>-7.9565153859988413E-3</v>
      </c>
      <c r="BC297" s="2886"/>
      <c r="BD297" s="2886"/>
      <c r="BE297" s="2886"/>
      <c r="BF297" s="2886">
        <f ca="1">(BF296-BF295)</f>
        <v>4.0845113468606087E-3</v>
      </c>
      <c r="BG297" s="2886"/>
      <c r="BH297" s="2886"/>
      <c r="BI297" s="2886"/>
      <c r="BJ297" s="2886">
        <f ca="1">(BJ296-BJ295)</f>
        <v>1.7572269821073405E-3</v>
      </c>
      <c r="BK297" s="2892"/>
      <c r="BL297" s="2892"/>
      <c r="BM297" s="2892"/>
      <c r="BN297" s="2886">
        <f ca="1">(BN296-BN295)</f>
        <v>1.9131318339731251E-3</v>
      </c>
      <c r="BO297" s="2892"/>
      <c r="BP297" s="2892"/>
      <c r="BQ297" s="2892"/>
      <c r="BR297" s="2886">
        <f ca="1">(BR296-BR295)</f>
        <v>1.9010808065047513E-3</v>
      </c>
      <c r="BS297" s="2892"/>
      <c r="BT297" s="2892"/>
      <c r="BU297" s="2892"/>
      <c r="BV297" s="2886">
        <f ca="1">(BV296-BV295)</f>
        <v>1.9656139236019499E-3</v>
      </c>
      <c r="BW297" s="2892"/>
      <c r="BX297" s="2892"/>
      <c r="BY297" s="2892"/>
      <c r="BZ297" s="2886">
        <f ca="1">(BZ296-BZ295)</f>
        <v>2.0325296533627579E-3</v>
      </c>
      <c r="CA297" s="2892"/>
      <c r="CB297" s="2892"/>
      <c r="CC297" s="2892"/>
      <c r="CD297" s="2886">
        <f ca="1">(CD296-CD295)</f>
        <v>2.0816555487925825E-3</v>
      </c>
      <c r="CE297" s="2892"/>
      <c r="CF297" s="2892"/>
      <c r="CG297" s="2892"/>
      <c r="CH297" s="2886">
        <f ca="1">(CH296-CH295)</f>
        <v>2.0875882771633769E-3</v>
      </c>
      <c r="CI297" s="2892"/>
      <c r="CJ297" s="2892"/>
      <c r="CK297" s="2892"/>
      <c r="CL297" s="2886">
        <f ca="1">(CL296-CL295)</f>
        <v>2.06571127164068E-3</v>
      </c>
      <c r="CM297" s="2892"/>
      <c r="CN297" s="2892"/>
      <c r="CO297" s="2892"/>
      <c r="CP297" s="2886">
        <f ca="1">(CP296-CP295)</f>
        <v>2.081078494612143E-3</v>
      </c>
      <c r="CQ297" s="2892"/>
      <c r="CR297" s="2892"/>
      <c r="CS297" s="2892"/>
      <c r="CT297" s="2886">
        <f ca="1">(CT296-CT295)</f>
        <v>2.1357328357964889E-3</v>
      </c>
      <c r="CU297" s="2892"/>
      <c r="CV297" s="2892"/>
      <c r="CW297" s="2892"/>
      <c r="CX297" s="2886">
        <f ca="1">(CX296-CX295)</f>
        <v>2.2031634870813832E-3</v>
      </c>
      <c r="CY297" s="2892"/>
      <c r="CZ297" s="2892"/>
      <c r="DA297" s="2892"/>
      <c r="DB297" s="2886">
        <f ca="1">(DB296-DB295)</f>
        <v>2.2641868855259872E-3</v>
      </c>
      <c r="DC297"/>
      <c r="DD297"/>
      <c r="DE297"/>
      <c r="DF297"/>
      <c r="DG297"/>
      <c r="DH297"/>
      <c r="DI297"/>
      <c r="DJ297"/>
      <c r="DK297"/>
      <c r="DL297"/>
      <c r="DM297"/>
      <c r="DN297"/>
      <c r="DO297"/>
    </row>
    <row r="298" spans="1:119" customFormat="1" ht="12.75" customHeight="1">
      <c r="A298" s="664"/>
      <c r="B298" s="664"/>
      <c r="C298" s="3617"/>
      <c r="D298" s="1055"/>
      <c r="E298" s="1056" t="s">
        <v>925</v>
      </c>
      <c r="F298" s="1055"/>
      <c r="G298" s="1057"/>
      <c r="H298" s="1057"/>
      <c r="I298" s="1057"/>
      <c r="J298" s="1057"/>
      <c r="K298" s="1057"/>
      <c r="L298" s="1057"/>
      <c r="M298" s="1057"/>
      <c r="N298" s="1057">
        <f>+N299</f>
        <v>62.905833333333334</v>
      </c>
      <c r="O298" s="1057"/>
      <c r="P298" s="1057"/>
      <c r="Q298" s="1057"/>
      <c r="R298" s="1057">
        <f ca="1">AVERAGE(O285:R285)</f>
        <v>69.392703740275124</v>
      </c>
      <c r="S298" s="1057"/>
      <c r="T298" s="1057"/>
      <c r="U298" s="1057"/>
      <c r="V298" s="1057">
        <f ca="1">AVERAGE(S285:V285)</f>
        <v>72.522919475291062</v>
      </c>
      <c r="W298" s="1057"/>
      <c r="X298" s="1057"/>
      <c r="Y298" s="1057"/>
      <c r="Z298" s="1057">
        <f ca="1">AVERAGE(W285:Z285)</f>
        <v>73.764850921663125</v>
      </c>
      <c r="AA298" s="1057"/>
      <c r="AB298" s="1057"/>
      <c r="AC298" s="1057"/>
      <c r="AD298" s="1057">
        <f ca="1">AVERAGE(AA285:AD285)</f>
        <v>72.945064598152811</v>
      </c>
      <c r="AE298" s="1057"/>
      <c r="AF298" s="1057"/>
      <c r="AG298" s="1057"/>
      <c r="AH298" s="1057">
        <f ca="1">AVERAGE(AE285:AH285)</f>
        <v>72.999199964620999</v>
      </c>
      <c r="AI298" s="1057"/>
      <c r="AJ298" s="1057"/>
      <c r="AK298" s="1057"/>
      <c r="AL298" s="1057">
        <f ca="1">AVERAGE(AI285:AL285)</f>
        <v>73.403411168940437</v>
      </c>
      <c r="AM298" s="1057"/>
      <c r="AN298" s="1057"/>
      <c r="AO298" s="1057"/>
      <c r="AP298" s="1057">
        <f>AVERAGE(AM285:AP285)</f>
        <v>98.094999999999985</v>
      </c>
      <c r="AQ298" s="1057"/>
      <c r="AR298" s="1057"/>
      <c r="AS298" s="1057"/>
      <c r="AT298" s="1057">
        <f ca="1">AVERAGE(AQ285:AT285)</f>
        <v>74.387148180799954</v>
      </c>
      <c r="AU298" s="1057"/>
      <c r="AV298" s="1057"/>
      <c r="AW298" s="1057"/>
      <c r="AX298" s="1057">
        <f ca="1">AVERAGE(AU285:AX285)</f>
        <v>75.340937954076637</v>
      </c>
      <c r="AY298" s="1057"/>
      <c r="AZ298" s="1057"/>
      <c r="BA298" s="1057"/>
      <c r="BB298" s="1057">
        <f ca="1">AVERAGE(AY285:BB285)</f>
        <v>77.139796876043448</v>
      </c>
      <c r="BC298" s="1057"/>
      <c r="BD298" s="1057"/>
      <c r="BE298" s="1057"/>
      <c r="BF298" s="1057">
        <f ca="1">AVERAGE(BC285:BF285)</f>
        <v>81.163968439062074</v>
      </c>
      <c r="BG298" s="1057"/>
      <c r="BH298" s="1057"/>
      <c r="BI298" s="1057"/>
      <c r="BJ298" s="872">
        <f ca="1">AVERAGE(BG285:BJ285)</f>
        <v>88.717206801204512</v>
      </c>
      <c r="BK298" s="872"/>
      <c r="BL298" s="872"/>
      <c r="BM298" s="872"/>
      <c r="BN298" s="872">
        <f ca="1">AVERAGE(BK285:BN285)</f>
        <v>91.969907041001306</v>
      </c>
      <c r="BO298" s="872"/>
      <c r="BP298" s="872"/>
      <c r="BQ298" s="872"/>
      <c r="BR298" s="872">
        <f ca="1">AVERAGE(BO285:BR285)</f>
        <v>91.939570390398529</v>
      </c>
      <c r="BS298" s="872"/>
      <c r="BT298" s="872"/>
      <c r="BU298" s="872"/>
      <c r="BV298" s="872">
        <f ca="1">AVERAGE(BS285:BV285)</f>
        <v>94.132585633441693</v>
      </c>
      <c r="BW298" s="872"/>
      <c r="BX298" s="872"/>
      <c r="BY298" s="872"/>
      <c r="BZ298" s="872">
        <f ca="1">AVERAGE(BW285:BZ285)</f>
        <v>96.372039515000068</v>
      </c>
      <c r="CA298" s="872"/>
      <c r="CB298" s="872"/>
      <c r="CC298" s="872"/>
      <c r="CD298" s="872">
        <f ca="1">AVERAGE(CA285:CD285)</f>
        <v>97.719853863560601</v>
      </c>
      <c r="CE298" s="872"/>
      <c r="CF298" s="872"/>
      <c r="CG298" s="872"/>
      <c r="CH298" s="872">
        <f ca="1">AVERAGE(CE285:CH285)</f>
        <v>98.796164678489603</v>
      </c>
      <c r="CI298" s="872"/>
      <c r="CJ298" s="872"/>
      <c r="CK298" s="872"/>
      <c r="CL298" s="872">
        <f ca="1">AVERAGE(CI285:CL285)</f>
        <v>100.0154323379297</v>
      </c>
      <c r="CM298" s="872"/>
      <c r="CN298" s="872"/>
      <c r="CO298" s="872"/>
      <c r="CP298" s="872">
        <f ca="1">AVERAGE(CM285:CP285)</f>
        <v>101.87538552302419</v>
      </c>
      <c r="CQ298" s="872"/>
      <c r="CR298" s="872"/>
      <c r="CS298" s="872"/>
      <c r="CT298" s="872">
        <f ca="1">AVERAGE(CQ285:CT285)</f>
        <v>105.78136297947241</v>
      </c>
      <c r="CU298" s="872"/>
      <c r="CV298" s="872"/>
      <c r="CW298" s="872"/>
      <c r="CX298" s="872">
        <f ca="1">AVERAGE(CU285:CX285)</f>
        <v>108.56148237829191</v>
      </c>
      <c r="CY298" s="872"/>
      <c r="CZ298" s="872"/>
      <c r="DA298" s="872"/>
      <c r="DB298" s="872">
        <f ca="1">AVERAGE(CY285:DB285)</f>
        <v>111.45821922826998</v>
      </c>
    </row>
    <row r="299" spans="1:119" customFormat="1" ht="12.75" customHeight="1">
      <c r="A299" s="664"/>
      <c r="B299" s="664" t="s">
        <v>1936</v>
      </c>
      <c r="C299" s="3617"/>
      <c r="D299" s="1055"/>
      <c r="E299" s="1056" t="s">
        <v>924</v>
      </c>
      <c r="F299" s="1055"/>
      <c r="G299" s="1057"/>
      <c r="H299" s="1057"/>
      <c r="I299" s="1057"/>
      <c r="J299" s="1057"/>
      <c r="K299" s="1057"/>
      <c r="L299" s="1057"/>
      <c r="M299" s="1057"/>
      <c r="N299" s="1057">
        <f>AVERAGE(K286:N286)</f>
        <v>62.905833333333334</v>
      </c>
      <c r="O299" s="1057"/>
      <c r="P299" s="1057">
        <f>AVERAGE(M286:P286)</f>
        <v>66.482499999999987</v>
      </c>
      <c r="Q299" s="1057"/>
      <c r="R299" s="1057">
        <f>AVERAGE(O286:R286)</f>
        <v>69.408333333333331</v>
      </c>
      <c r="S299" s="1057"/>
      <c r="T299" s="1057">
        <f>AVERAGE(Q286:T286)</f>
        <v>71.215000000000003</v>
      </c>
      <c r="U299" s="1057"/>
      <c r="V299" s="1057">
        <f>AVERAGE(S286:V286)</f>
        <v>72.52</v>
      </c>
      <c r="W299" s="1057"/>
      <c r="X299" s="1057">
        <f>AVERAGE(U286:X286)</f>
        <v>73.443333333333328</v>
      </c>
      <c r="Y299" s="1057"/>
      <c r="Z299" s="1057">
        <f>AVERAGE(W286:Z286)</f>
        <v>73.77</v>
      </c>
      <c r="AA299" s="1057"/>
      <c r="AB299" s="1057">
        <f>AVERAGE(Y286:AB286)</f>
        <v>73.36</v>
      </c>
      <c r="AC299" s="1057"/>
      <c r="AD299" s="1057">
        <f>AVERAGE(AA286:AD286)</f>
        <v>72.943333333333328</v>
      </c>
      <c r="AE299" s="1057"/>
      <c r="AF299" s="1057">
        <f>AVERAGE(AC286:AF286)</f>
        <v>72.729166666666657</v>
      </c>
      <c r="AG299" s="1057"/>
      <c r="AH299" s="1057">
        <f>AVERAGE(AE286:AH286)</f>
        <v>72.987499999999997</v>
      </c>
      <c r="AI299" s="1057"/>
      <c r="AJ299" s="1057">
        <f>AVERAGE(AG286:AJ286)</f>
        <v>73.353333333333339</v>
      </c>
      <c r="AK299" s="1057"/>
      <c r="AL299" s="1057">
        <f>AVERAGE(AI286:AL286)</f>
        <v>73.418333333333337</v>
      </c>
      <c r="AM299" s="1057"/>
      <c r="AN299" s="1057">
        <f>AVERAGE(AK286:AN286)</f>
        <v>73.797499999999999</v>
      </c>
      <c r="AO299" s="1057"/>
      <c r="AP299" s="1057">
        <f>AVERAGE(AM286:AP286)</f>
        <v>73.923333333333332</v>
      </c>
      <c r="AQ299" s="1057"/>
      <c r="AR299" s="1057">
        <f>AVERAGE(AO286:AR286)</f>
        <v>73.843333333333334</v>
      </c>
      <c r="AS299" s="1057"/>
      <c r="AT299" s="1057">
        <f>AVERAGE(AQ286:AT286)</f>
        <v>74.397500000000008</v>
      </c>
      <c r="AU299" s="1057"/>
      <c r="AV299" s="1057">
        <f>AVERAGE(AS286:AV286)</f>
        <v>74.866666666666674</v>
      </c>
      <c r="AW299" s="1057"/>
      <c r="AX299" s="1057">
        <f>AVERAGE(AU286:AX286)</f>
        <v>75.345833333333331</v>
      </c>
      <c r="AY299" s="1057"/>
      <c r="AZ299" s="1057">
        <f>AVERAGE(AW286:AZ286)</f>
        <v>76.015000000000001</v>
      </c>
      <c r="BA299" s="1057"/>
      <c r="BB299" s="1057">
        <f>AVERAGE(AY286:BB286)</f>
        <v>77.144999999999996</v>
      </c>
      <c r="BC299" s="1057"/>
      <c r="BD299" s="1057">
        <f>AVERAGE(BA286:BD286)</f>
        <v>78.737499999999983</v>
      </c>
      <c r="BE299" s="1057"/>
      <c r="BF299" s="1057">
        <f>AVERAGE(BC286:BF286)</f>
        <v>81.166666666666671</v>
      </c>
      <c r="BG299" s="1057"/>
      <c r="BH299" s="1057">
        <f>AVERAGE(BE286:BH286)</f>
        <v>85.07416666666667</v>
      </c>
      <c r="BI299" s="1057"/>
      <c r="BJ299" s="872">
        <f ca="1">AVERAGE(BG286:BJ286)</f>
        <v>88.718479654104129</v>
      </c>
      <c r="BK299" s="872"/>
      <c r="BL299" s="1057">
        <f ca="1">AVERAGE(BI286:BL286)</f>
        <v>91.093632181855483</v>
      </c>
      <c r="BM299" s="872"/>
      <c r="BN299" s="872">
        <f ca="1">AVERAGE(BK286:BN286)</f>
        <v>91.971289596773047</v>
      </c>
      <c r="BO299" s="872"/>
      <c r="BP299" s="1057">
        <f ca="1">AVERAGE(BM286:BP286)</f>
        <v>91.822425582288233</v>
      </c>
      <c r="BQ299" s="872"/>
      <c r="BR299" s="872">
        <f ca="1">AVERAGE(BO286:BR286)</f>
        <v>91.940942604269452</v>
      </c>
      <c r="BS299" s="872"/>
      <c r="BT299" s="1057">
        <f ca="1">AVERAGE(BQ286:BT286)</f>
        <v>92.86112910397884</v>
      </c>
      <c r="BU299" s="872"/>
      <c r="BV299" s="872">
        <f ca="1">AVERAGE(BS286:BV286)</f>
        <v>94.133974819775545</v>
      </c>
      <c r="BW299" s="872"/>
      <c r="BX299" s="1057">
        <f ca="1">AVERAGE(BU286:BX286)</f>
        <v>95.208022856426055</v>
      </c>
      <c r="BY299" s="872"/>
      <c r="BZ299" s="872">
        <f ca="1">AVERAGE(BW286:BZ286)</f>
        <v>96.37345961048149</v>
      </c>
      <c r="CA299" s="872"/>
      <c r="CB299" s="1057">
        <f ca="1">AVERAGE(BY286:CB286)</f>
        <v>97.175096047558966</v>
      </c>
      <c r="CC299" s="872"/>
      <c r="CD299" s="872">
        <f ca="1">AVERAGE(CA286:CD286)</f>
        <v>97.721304516742009</v>
      </c>
      <c r="CE299" s="872"/>
      <c r="CF299" s="1057">
        <f ca="1">AVERAGE(CC286:CF286)</f>
        <v>98.191824610470462</v>
      </c>
      <c r="CG299" s="872"/>
      <c r="CH299" s="872">
        <f ca="1">AVERAGE(CE286:CH286)</f>
        <v>98.79762654833354</v>
      </c>
      <c r="CI299" s="872"/>
      <c r="CJ299" s="1057">
        <f ca="1">AVERAGE(CG286:CJ286)</f>
        <v>99.384502551853686</v>
      </c>
      <c r="CK299" s="872"/>
      <c r="CL299" s="872">
        <f ca="1">AVERAGE(CI286:CL286)</f>
        <v>100.01690956701754</v>
      </c>
      <c r="CM299" s="872"/>
      <c r="CN299" s="1057">
        <f ca="1">AVERAGE(CK286:CN286)</f>
        <v>100.9917570191779</v>
      </c>
      <c r="CO299" s="872"/>
      <c r="CP299" s="872">
        <f ca="1">AVERAGE(CM286:CP286)</f>
        <v>101.87689292992803</v>
      </c>
      <c r="CQ299" s="872"/>
      <c r="CR299" s="1057">
        <f ca="1">AVERAGE(CO286:CR286)</f>
        <v>103.52873555678084</v>
      </c>
      <c r="CS299" s="872"/>
      <c r="CT299" s="872">
        <f ca="1">AVERAGE(CQ286:CT286)</f>
        <v>105.78290553732657</v>
      </c>
      <c r="CU299" s="872"/>
      <c r="CV299" s="1057">
        <f ca="1">AVERAGE(CS286:CV286)</f>
        <v>107.2383711144213</v>
      </c>
      <c r="CW299" s="872"/>
      <c r="CX299" s="872">
        <f ca="1">AVERAGE(CU286:CX286)</f>
        <v>108.56307228509658</v>
      </c>
      <c r="CY299" s="872"/>
      <c r="CZ299" s="1057">
        <f ca="1">AVERAGE(CW286:CZ286)</f>
        <v>110.20629601760639</v>
      </c>
      <c r="DA299" s="872"/>
      <c r="DB299" s="872">
        <f ca="1">AVERAGE(CY286:DB286)</f>
        <v>111.45986830707687</v>
      </c>
    </row>
    <row r="300" spans="1:119" s="1003" customFormat="1" ht="12.75" customHeight="1">
      <c r="A300" s="673"/>
      <c r="B300" s="673"/>
      <c r="C300" s="1007"/>
      <c r="D300" s="1008"/>
      <c r="E300" s="1009" t="s">
        <v>814</v>
      </c>
      <c r="F300" s="1008"/>
      <c r="G300" s="1010"/>
      <c r="H300" s="1010"/>
      <c r="I300" s="1010"/>
      <c r="J300" s="1010"/>
      <c r="K300" s="2886"/>
      <c r="L300" s="2886"/>
      <c r="M300" s="2886"/>
      <c r="N300" s="2886">
        <f>(N299-N298)</f>
        <v>0</v>
      </c>
      <c r="O300" s="2886"/>
      <c r="P300" s="2886"/>
      <c r="Q300" s="2886"/>
      <c r="R300" s="2886">
        <f ca="1">(R299-R298)</f>
        <v>1.5629593058207547E-2</v>
      </c>
      <c r="S300" s="2886"/>
      <c r="T300" s="2886"/>
      <c r="U300" s="2886"/>
      <c r="V300" s="2886">
        <f ca="1">(V299-V298)</f>
        <v>-2.9194752910655097E-3</v>
      </c>
      <c r="W300" s="2886"/>
      <c r="X300" s="2886"/>
      <c r="Y300" s="2886"/>
      <c r="Z300" s="2886">
        <f ca="1">(Z299-Z298)</f>
        <v>5.1490783368706161E-3</v>
      </c>
      <c r="AA300" s="2886"/>
      <c r="AB300" s="2886"/>
      <c r="AC300" s="2886"/>
      <c r="AD300" s="2886">
        <f ca="1">(AD299-AD298)</f>
        <v>-1.7312648194831581E-3</v>
      </c>
      <c r="AE300" s="2886"/>
      <c r="AF300" s="2886"/>
      <c r="AG300" s="2886"/>
      <c r="AH300" s="2886">
        <f ca="1">(AH299-AH298)</f>
        <v>-1.1699964621001868E-2</v>
      </c>
      <c r="AI300" s="2886"/>
      <c r="AJ300" s="2886"/>
      <c r="AK300" s="2886"/>
      <c r="AL300" s="2886">
        <f ca="1">(AL299-AL298)</f>
        <v>1.4922164392899617E-2</v>
      </c>
      <c r="AM300" s="2886"/>
      <c r="AN300" s="2886"/>
      <c r="AO300" s="2886"/>
      <c r="AP300" s="2886">
        <f>(AP299-AP298)</f>
        <v>-24.171666666666653</v>
      </c>
      <c r="AQ300" s="2886"/>
      <c r="AR300" s="2886"/>
      <c r="AS300" s="2886"/>
      <c r="AT300" s="2886">
        <f ca="1">(AT299-AT298)</f>
        <v>1.0351819200053569E-2</v>
      </c>
      <c r="AU300" s="2886"/>
      <c r="AV300" s="2886"/>
      <c r="AW300" s="2886"/>
      <c r="AX300" s="2886">
        <f ca="1">(AX299-AX298)</f>
        <v>4.8953792566948096E-3</v>
      </c>
      <c r="AY300" s="2886"/>
      <c r="AZ300" s="2886"/>
      <c r="BA300" s="2886"/>
      <c r="BB300" s="2886">
        <f ca="1">(BB299-BB298)</f>
        <v>5.2031239565479837E-3</v>
      </c>
      <c r="BC300" s="2886"/>
      <c r="BD300" s="2886"/>
      <c r="BE300" s="2886"/>
      <c r="BF300" s="2886">
        <f ca="1">(BF299-BF298)</f>
        <v>2.6982276045970366E-3</v>
      </c>
      <c r="BG300" s="2886"/>
      <c r="BH300" s="2886"/>
      <c r="BI300" s="2886"/>
      <c r="BJ300" s="2886">
        <f ca="1">(BJ299-BJ298)</f>
        <v>1.2728528996177602E-3</v>
      </c>
      <c r="BK300" s="2892"/>
      <c r="BL300" s="2892"/>
      <c r="BM300" s="2892"/>
      <c r="BN300" s="2886">
        <f ca="1">(BN299-BN298)</f>
        <v>1.3825557717410675E-3</v>
      </c>
      <c r="BO300" s="2892"/>
      <c r="BP300" s="2892"/>
      <c r="BQ300" s="2892"/>
      <c r="BR300" s="2886">
        <f ca="1">(BR299-BR298)</f>
        <v>1.3722138709226783E-3</v>
      </c>
      <c r="BS300" s="2892"/>
      <c r="BT300" s="2892"/>
      <c r="BU300" s="2892"/>
      <c r="BV300" s="2886">
        <f ca="1">(BV299-BV298)</f>
        <v>1.3891863338528765E-3</v>
      </c>
      <c r="BW300" s="2892"/>
      <c r="BX300" s="2892"/>
      <c r="BY300" s="2892"/>
      <c r="BZ300" s="2886">
        <f ca="1">(BZ299-BZ298)</f>
        <v>1.4200954814214128E-3</v>
      </c>
      <c r="CA300" s="2892"/>
      <c r="CB300" s="2892"/>
      <c r="CC300" s="2892"/>
      <c r="CD300" s="2886">
        <f ca="1">(CD299-CD298)</f>
        <v>1.4506531814078016E-3</v>
      </c>
      <c r="CE300" s="2892"/>
      <c r="CF300" s="2892"/>
      <c r="CG300" s="2892"/>
      <c r="CH300" s="2886">
        <f ca="1">(CH299-CH298)</f>
        <v>1.4618698439363698E-3</v>
      </c>
      <c r="CI300" s="2892"/>
      <c r="CJ300" s="2892"/>
      <c r="CK300" s="2892"/>
      <c r="CL300" s="2886">
        <f ca="1">(CL299-CL298)</f>
        <v>1.4772290878397598E-3</v>
      </c>
      <c r="CM300" s="2892"/>
      <c r="CN300" s="2892"/>
      <c r="CO300" s="2892"/>
      <c r="CP300" s="2886">
        <f ca="1">(CP299-CP298)</f>
        <v>1.5074069038405469E-3</v>
      </c>
      <c r="CQ300" s="2892"/>
      <c r="CR300" s="2892"/>
      <c r="CS300" s="2892"/>
      <c r="CT300" s="2886">
        <f ca="1">(CT299-CT298)</f>
        <v>1.5425578541652385E-3</v>
      </c>
      <c r="CU300" s="2892"/>
      <c r="CV300" s="2892"/>
      <c r="CW300" s="2892"/>
      <c r="CX300" s="2886">
        <f ca="1">(CX299-CX298)</f>
        <v>1.5899068046678622E-3</v>
      </c>
      <c r="CY300" s="2892"/>
      <c r="CZ300" s="2892"/>
      <c r="DA300" s="2892"/>
      <c r="DB300" s="2886">
        <f ca="1">(DB299-DB298)</f>
        <v>1.6490788068921347E-3</v>
      </c>
      <c r="DC300"/>
      <c r="DD300"/>
      <c r="DE300"/>
      <c r="DF300"/>
      <c r="DG300"/>
      <c r="DH300"/>
      <c r="DI300"/>
      <c r="DJ300"/>
      <c r="DK300"/>
      <c r="DL300"/>
      <c r="DM300"/>
      <c r="DN300"/>
      <c r="DO300"/>
    </row>
    <row r="301" spans="1:119" s="26" customFormat="1" ht="12.75" customHeight="1">
      <c r="A301" s="1007"/>
      <c r="B301" s="1007"/>
      <c r="C301" s="1007"/>
      <c r="D301" s="1007"/>
      <c r="F301" s="1601"/>
      <c r="BN301">
        <f ca="1">SUMPRODUCT(BN290:BN294,BN303:BN307)/1000-BN295</f>
        <v>0.81755810119065586</v>
      </c>
      <c r="BO301"/>
      <c r="BP301"/>
      <c r="BQ301"/>
      <c r="BR301">
        <f ca="1">SUMPRODUCT(BR290:BR294,BR303:BR307)/1000-BR295</f>
        <v>0.27866307944296409</v>
      </c>
      <c r="BS301"/>
      <c r="BT301"/>
      <c r="BU301"/>
      <c r="BV301">
        <f ca="1">SUMPRODUCT(BV290:BV294,BV303:BV307)/1000-BV295</f>
        <v>0.40039420175124008</v>
      </c>
      <c r="BW301"/>
      <c r="BX301"/>
      <c r="BY301"/>
      <c r="BZ301">
        <f ca="1">SUMPRODUCT(BZ290:BZ294,BZ303:BZ307)/1000-BZ295</f>
        <v>0.68010713308339632</v>
      </c>
      <c r="CA301"/>
      <c r="CB301"/>
      <c r="CC301"/>
      <c r="CD301">
        <f ca="1">SUMPRODUCT(CD290:CD294,CD303:CD307)/1000-CD295</f>
        <v>0.67233089471133667</v>
      </c>
      <c r="CE301"/>
      <c r="CF301"/>
      <c r="CG301"/>
      <c r="CH301">
        <f ca="1">SUMPRODUCT(CH290:CH294,CH303:CH307)/1000-CH295</f>
        <v>0.23569058942926802</v>
      </c>
      <c r="CI301"/>
      <c r="CJ301"/>
      <c r="CK301"/>
      <c r="CL301">
        <f ca="1">SUMPRODUCT(CL290:CL294,CL303:CL307)/1000-CL295</f>
        <v>-5.3405397414380218E-2</v>
      </c>
      <c r="CM301"/>
      <c r="CN301"/>
      <c r="CO301"/>
      <c r="CP301">
        <f ca="1">SUMPRODUCT(CP290:CP294,CP303:CP307)/1000-CP295</f>
        <v>5.9914987625120375E-3</v>
      </c>
      <c r="CQ301"/>
      <c r="CR301"/>
      <c r="CS301"/>
      <c r="CT301">
        <f ca="1">SUMPRODUCT(CT290:CT294,CT303:CT307)/1000-CT295</f>
        <v>7.4757121901342316E-2</v>
      </c>
      <c r="CU301"/>
      <c r="CV301"/>
      <c r="CW301"/>
      <c r="CX301">
        <f ca="1">SUMPRODUCT(CX290:CX294,CX303:CX307)/1000-CX295</f>
        <v>9.2729118111208209E-2</v>
      </c>
      <c r="CY301" s="3649"/>
      <c r="CZ301" s="3649"/>
      <c r="DA301" s="3649"/>
      <c r="DB301" s="3649">
        <f ca="1">SUMPRODUCT(DB290:DB294,DB303:DB307)/1000-DB295</f>
        <v>0.16276940225780834</v>
      </c>
      <c r="DC301"/>
      <c r="DD301"/>
      <c r="DE301"/>
      <c r="DF301"/>
      <c r="DG301"/>
      <c r="DH301"/>
      <c r="DI301"/>
      <c r="DJ301"/>
      <c r="DK301"/>
      <c r="DL301"/>
      <c r="DM301"/>
      <c r="DN301"/>
      <c r="DO301"/>
    </row>
    <row r="302" spans="1:119" s="699" customFormat="1" ht="12.75" customHeight="1">
      <c r="A302" s="664"/>
      <c r="B302" s="664"/>
      <c r="C302" s="666"/>
      <c r="D302" s="695"/>
      <c r="E302" s="3618" t="s">
        <v>1418</v>
      </c>
      <c r="F302" s="3619"/>
      <c r="G302" s="1566" t="s">
        <v>1842</v>
      </c>
      <c r="H302" s="1567" t="s">
        <v>1843</v>
      </c>
      <c r="I302" s="1567" t="s">
        <v>1844</v>
      </c>
      <c r="J302" s="1567" t="s">
        <v>1845</v>
      </c>
      <c r="K302" s="1567" t="s">
        <v>1842</v>
      </c>
      <c r="L302" s="1567" t="s">
        <v>1843</v>
      </c>
      <c r="M302" s="1567" t="s">
        <v>1844</v>
      </c>
      <c r="N302" s="1567" t="s">
        <v>1845</v>
      </c>
      <c r="O302" s="1567" t="s">
        <v>1842</v>
      </c>
      <c r="P302" s="1567" t="s">
        <v>1843</v>
      </c>
      <c r="Q302" s="1567" t="s">
        <v>1844</v>
      </c>
      <c r="R302" s="1567" t="s">
        <v>1845</v>
      </c>
      <c r="S302" s="1567" t="s">
        <v>1842</v>
      </c>
      <c r="T302" s="1567" t="s">
        <v>1843</v>
      </c>
      <c r="U302" s="1567" t="s">
        <v>1844</v>
      </c>
      <c r="V302" s="1567" t="s">
        <v>1845</v>
      </c>
      <c r="W302" s="1567" t="s">
        <v>1842</v>
      </c>
      <c r="X302" s="1567" t="s">
        <v>1843</v>
      </c>
      <c r="Y302" s="1567" t="s">
        <v>1844</v>
      </c>
      <c r="Z302" s="1567" t="s">
        <v>1845</v>
      </c>
      <c r="AA302" s="1567" t="s">
        <v>1842</v>
      </c>
      <c r="AB302" s="1567" t="s">
        <v>1843</v>
      </c>
      <c r="AC302" s="1567" t="s">
        <v>1844</v>
      </c>
      <c r="AD302" s="1567" t="s">
        <v>1845</v>
      </c>
      <c r="AE302" s="1567" t="s">
        <v>1842</v>
      </c>
      <c r="AF302" s="1567" t="s">
        <v>1843</v>
      </c>
      <c r="AG302" s="1567" t="s">
        <v>1844</v>
      </c>
      <c r="AH302" s="1567" t="s">
        <v>1845</v>
      </c>
      <c r="AI302" s="1567" t="s">
        <v>1842</v>
      </c>
      <c r="AJ302" s="1567" t="s">
        <v>1843</v>
      </c>
      <c r="AK302" s="1567" t="s">
        <v>1844</v>
      </c>
      <c r="AL302" s="1567" t="s">
        <v>1845</v>
      </c>
      <c r="AM302" s="1567" t="s">
        <v>1842</v>
      </c>
      <c r="AN302" s="1567" t="s">
        <v>1843</v>
      </c>
      <c r="AO302" s="1567" t="s">
        <v>1844</v>
      </c>
      <c r="AP302" s="1567" t="s">
        <v>1845</v>
      </c>
      <c r="AQ302" s="1567" t="s">
        <v>1842</v>
      </c>
      <c r="AR302" s="1567" t="s">
        <v>1843</v>
      </c>
      <c r="AS302" s="1567" t="s">
        <v>1844</v>
      </c>
      <c r="AT302" s="1567" t="s">
        <v>1845</v>
      </c>
      <c r="AU302" s="1567" t="s">
        <v>1842</v>
      </c>
      <c r="AV302" s="1567" t="s">
        <v>1843</v>
      </c>
      <c r="AW302" s="1567" t="s">
        <v>1844</v>
      </c>
      <c r="AX302" s="1567" t="s">
        <v>1845</v>
      </c>
      <c r="AY302" s="1567" t="s">
        <v>1842</v>
      </c>
      <c r="AZ302" s="1567" t="s">
        <v>1843</v>
      </c>
      <c r="BA302" s="1567" t="s">
        <v>1844</v>
      </c>
      <c r="BB302" s="1567" t="s">
        <v>1845</v>
      </c>
      <c r="BC302" s="1567" t="s">
        <v>1842</v>
      </c>
      <c r="BD302" s="1567" t="s">
        <v>1843</v>
      </c>
      <c r="BE302" s="1567" t="s">
        <v>1844</v>
      </c>
      <c r="BF302" s="1567" t="s">
        <v>1845</v>
      </c>
      <c r="BG302" s="1567" t="s">
        <v>1842</v>
      </c>
      <c r="BH302" s="1567" t="s">
        <v>1843</v>
      </c>
      <c r="BI302" s="1567" t="s">
        <v>1844</v>
      </c>
      <c r="BJ302" s="1567" t="s">
        <v>1845</v>
      </c>
      <c r="BK302" s="1567" t="s">
        <v>1842</v>
      </c>
      <c r="BL302" s="1567" t="s">
        <v>1843</v>
      </c>
      <c r="BM302" s="1567" t="s">
        <v>1844</v>
      </c>
      <c r="BN302" s="1567" t="s">
        <v>1845</v>
      </c>
      <c r="BO302" s="1567" t="s">
        <v>1842</v>
      </c>
      <c r="BP302" s="1567" t="s">
        <v>1843</v>
      </c>
      <c r="BQ302" s="1567" t="s">
        <v>1844</v>
      </c>
      <c r="BR302" s="1567" t="s">
        <v>1845</v>
      </c>
      <c r="BS302" s="1567" t="s">
        <v>1842</v>
      </c>
      <c r="BT302" s="1567" t="s">
        <v>1843</v>
      </c>
      <c r="BU302" s="1567" t="s">
        <v>1844</v>
      </c>
      <c r="BV302" s="1567" t="s">
        <v>1845</v>
      </c>
      <c r="BW302" s="1567" t="s">
        <v>1842</v>
      </c>
      <c r="BX302" s="1567" t="s">
        <v>1843</v>
      </c>
      <c r="BY302" s="1567" t="s">
        <v>1844</v>
      </c>
      <c r="BZ302" s="1567" t="s">
        <v>1845</v>
      </c>
      <c r="CA302" s="1567" t="s">
        <v>1842</v>
      </c>
      <c r="CB302" s="1567" t="s">
        <v>1843</v>
      </c>
      <c r="CC302" s="1567" t="s">
        <v>1844</v>
      </c>
      <c r="CD302" s="1567" t="s">
        <v>1845</v>
      </c>
      <c r="CE302" s="1567" t="s">
        <v>1842</v>
      </c>
      <c r="CF302" s="1567" t="s">
        <v>1843</v>
      </c>
      <c r="CG302" s="1567" t="s">
        <v>1844</v>
      </c>
      <c r="CH302" s="1567" t="s">
        <v>1845</v>
      </c>
      <c r="CI302" s="1567" t="s">
        <v>1842</v>
      </c>
      <c r="CJ302" s="1567" t="s">
        <v>1843</v>
      </c>
      <c r="CK302" s="1567" t="s">
        <v>1844</v>
      </c>
      <c r="CL302" s="1567" t="s">
        <v>1845</v>
      </c>
      <c r="CM302" s="1567" t="s">
        <v>1842</v>
      </c>
      <c r="CN302" s="1567" t="s">
        <v>1843</v>
      </c>
      <c r="CO302" s="1567" t="s">
        <v>1844</v>
      </c>
      <c r="CP302" s="1567" t="s">
        <v>1845</v>
      </c>
      <c r="CQ302" s="1567" t="s">
        <v>1842</v>
      </c>
      <c r="CR302" s="1567" t="s">
        <v>1843</v>
      </c>
      <c r="CS302" s="1567" t="s">
        <v>1844</v>
      </c>
      <c r="CT302" s="1567" t="s">
        <v>1845</v>
      </c>
      <c r="CU302" s="1567" t="s">
        <v>1842</v>
      </c>
      <c r="CV302" s="1567" t="s">
        <v>1843</v>
      </c>
      <c r="CW302" s="1567" t="s">
        <v>1844</v>
      </c>
      <c r="CX302" s="1567" t="s">
        <v>1845</v>
      </c>
      <c r="CY302" s="1567" t="s">
        <v>1842</v>
      </c>
      <c r="CZ302" s="1567" t="s">
        <v>1843</v>
      </c>
      <c r="DA302" s="1567" t="s">
        <v>1844</v>
      </c>
      <c r="DB302" s="1567" t="s">
        <v>1845</v>
      </c>
      <c r="DC302"/>
      <c r="DD302"/>
      <c r="DE302"/>
      <c r="DF302"/>
      <c r="DG302"/>
      <c r="DH302"/>
      <c r="DI302"/>
      <c r="DJ302"/>
      <c r="DK302"/>
      <c r="DL302"/>
      <c r="DM302"/>
      <c r="DN302"/>
      <c r="DO302"/>
    </row>
    <row r="303" spans="1:119" s="699" customFormat="1" ht="12.75" customHeight="1">
      <c r="A303" s="664" t="str">
        <f>"Y" &amp; ROW(InputY!A270)</f>
        <v>Y270</v>
      </c>
      <c r="B303" s="664" t="s">
        <v>815</v>
      </c>
      <c r="C303" s="1561"/>
      <c r="D303" s="668"/>
      <c r="E303" s="3620" t="str">
        <f>+E277</f>
        <v>Non-energy industrial goods</v>
      </c>
      <c r="F303" s="3621"/>
      <c r="G303" s="780"/>
      <c r="H303" s="780"/>
      <c r="I303" s="780"/>
      <c r="J303" s="780" t="str">
        <f ca="1">OFFSET(InputY!$G270,0,(COLUMN()-10)/4)</f>
        <v>:</v>
      </c>
      <c r="K303" s="780">
        <f ca="1">OFFSET(InputY!$G270,0,(COLUMN()-7)/4)</f>
        <v>201.94000000000003</v>
      </c>
      <c r="L303" s="780">
        <f ca="1">+K303</f>
        <v>201.94000000000003</v>
      </c>
      <c r="M303" s="780">
        <f ca="1">+L303</f>
        <v>201.94000000000003</v>
      </c>
      <c r="N303" s="780">
        <f ca="1">+M303</f>
        <v>201.94000000000003</v>
      </c>
      <c r="O303" s="780">
        <f ca="1">OFFSET(InputY!$G270,0,(COLUMN()-7)/4)</f>
        <v>206.91000000000003</v>
      </c>
      <c r="P303" s="780">
        <f t="shared" ref="P303:R307" ca="1" si="717">+O303</f>
        <v>206.91000000000003</v>
      </c>
      <c r="Q303" s="780">
        <f t="shared" ca="1" si="717"/>
        <v>206.91000000000003</v>
      </c>
      <c r="R303" s="780">
        <f t="shared" ca="1" si="717"/>
        <v>206.91000000000003</v>
      </c>
      <c r="S303" s="780">
        <f ca="1">OFFSET(InputY!$G270,0,(COLUMN()-7)/4)</f>
        <v>202.31</v>
      </c>
      <c r="T303" s="780">
        <f t="shared" ref="T303:V307" ca="1" si="718">+S303</f>
        <v>202.31</v>
      </c>
      <c r="U303" s="780">
        <f t="shared" ca="1" si="718"/>
        <v>202.31</v>
      </c>
      <c r="V303" s="780">
        <f t="shared" ca="1" si="718"/>
        <v>202.31</v>
      </c>
      <c r="W303" s="780">
        <f ca="1">OFFSET(InputY!$G270,0,(COLUMN()-7)/4)</f>
        <v>253.32</v>
      </c>
      <c r="X303" s="780">
        <f t="shared" ref="X303:Z307" ca="1" si="719">+W303</f>
        <v>253.32</v>
      </c>
      <c r="Y303" s="780">
        <f t="shared" ca="1" si="719"/>
        <v>253.32</v>
      </c>
      <c r="Z303" s="780">
        <f t="shared" ca="1" si="719"/>
        <v>253.32</v>
      </c>
      <c r="AA303" s="780">
        <f ca="1">OFFSET(InputY!$G270,0,(COLUMN()-7)/4)</f>
        <v>256.58999999999997</v>
      </c>
      <c r="AB303" s="780">
        <f t="shared" ref="AB303:AD307" ca="1" si="720">+AA303</f>
        <v>256.58999999999997</v>
      </c>
      <c r="AC303" s="780">
        <f t="shared" ca="1" si="720"/>
        <v>256.58999999999997</v>
      </c>
      <c r="AD303" s="780">
        <f t="shared" ca="1" si="720"/>
        <v>256.58999999999997</v>
      </c>
      <c r="AE303" s="780">
        <f ca="1">OFFSET(InputY!$G270,0,(COLUMN()-7)/4)</f>
        <v>233.14</v>
      </c>
      <c r="AF303" s="780">
        <f t="shared" ref="AF303:AH307" ca="1" si="721">+AE303</f>
        <v>233.14</v>
      </c>
      <c r="AG303" s="780">
        <f t="shared" ca="1" si="721"/>
        <v>233.14</v>
      </c>
      <c r="AH303" s="780">
        <f t="shared" ca="1" si="721"/>
        <v>233.14</v>
      </c>
      <c r="AI303" s="780">
        <f ca="1">OFFSET(InputY!$G270,0,(COLUMN()-7)/4)</f>
        <v>246.14000000000001</v>
      </c>
      <c r="AJ303" s="780">
        <f t="shared" ref="AJ303:AL307" ca="1" si="722">+AI303</f>
        <v>246.14000000000001</v>
      </c>
      <c r="AK303" s="780">
        <f t="shared" ca="1" si="722"/>
        <v>246.14000000000001</v>
      </c>
      <c r="AL303" s="780">
        <f t="shared" ca="1" si="722"/>
        <v>246.14000000000001</v>
      </c>
      <c r="AM303" s="780">
        <f ca="1">OFFSET(InputY!$G270,0,(COLUMN()-7)/4)</f>
        <v>244.02</v>
      </c>
      <c r="AN303" s="780">
        <f t="shared" ref="AN303:AP307" ca="1" si="723">+AM303</f>
        <v>244.02</v>
      </c>
      <c r="AO303" s="780">
        <f t="shared" ca="1" si="723"/>
        <v>244.02</v>
      </c>
      <c r="AP303" s="780">
        <f t="shared" ca="1" si="723"/>
        <v>244.02</v>
      </c>
      <c r="AQ303" s="780">
        <f ca="1">OFFSET(InputY!$G270,0,(COLUMN()-7)/4)</f>
        <v>257.04000000000002</v>
      </c>
      <c r="AR303" s="780">
        <f t="shared" ref="AR303:AT307" ca="1" si="724">+AQ303</f>
        <v>257.04000000000002</v>
      </c>
      <c r="AS303" s="780">
        <f t="shared" ca="1" si="724"/>
        <v>257.04000000000002</v>
      </c>
      <c r="AT303" s="780">
        <f t="shared" ca="1" si="724"/>
        <v>257.04000000000002</v>
      </c>
      <c r="AU303" s="780">
        <f ca="1">OFFSET(InputY!$G270,0,(COLUMN()-7)/4)</f>
        <v>271.23</v>
      </c>
      <c r="AV303" s="780">
        <f t="shared" ref="AV303:AX307" ca="1" si="725">+AU303</f>
        <v>271.23</v>
      </c>
      <c r="AW303" s="780">
        <f t="shared" ca="1" si="725"/>
        <v>271.23</v>
      </c>
      <c r="AX303" s="780">
        <f t="shared" ca="1" si="725"/>
        <v>271.23</v>
      </c>
      <c r="AY303" s="780">
        <f ca="1">OFFSET(InputY!$G270,0,(COLUMN()-7)/4)</f>
        <v>271.83999999999997</v>
      </c>
      <c r="AZ303" s="780">
        <f t="shared" ref="AZ303:BB307" ca="1" si="726">+AY303</f>
        <v>271.83999999999997</v>
      </c>
      <c r="BA303" s="780">
        <f t="shared" ca="1" si="726"/>
        <v>271.83999999999997</v>
      </c>
      <c r="BB303" s="780">
        <f t="shared" ca="1" si="726"/>
        <v>271.83999999999997</v>
      </c>
      <c r="BC303" s="780">
        <f ca="1">OFFSET(InputY!$G270,0,(COLUMN()-7)/4)</f>
        <v>287.05</v>
      </c>
      <c r="BD303" s="780">
        <f t="shared" ref="BD303:BF307" ca="1" si="727">+BC303</f>
        <v>287.05</v>
      </c>
      <c r="BE303" s="780">
        <f t="shared" ca="1" si="727"/>
        <v>287.05</v>
      </c>
      <c r="BF303" s="780">
        <f t="shared" ca="1" si="727"/>
        <v>287.05</v>
      </c>
      <c r="BG303" s="780">
        <f ca="1">OFFSET(InputY!$G270,0,(COLUMN()-7)/4)</f>
        <v>289.37</v>
      </c>
      <c r="BH303" s="780">
        <f t="shared" ref="BH303:BN307" ca="1" si="728">+BG303</f>
        <v>289.37</v>
      </c>
      <c r="BI303" s="780">
        <f t="shared" ca="1" si="728"/>
        <v>289.37</v>
      </c>
      <c r="BJ303" s="780">
        <f t="shared" ca="1" si="728"/>
        <v>289.37</v>
      </c>
      <c r="BK303" s="780">
        <f ca="1">OFFSET(InputY!$G270,0,(COLUMN()-7)/4)</f>
        <v>292.51</v>
      </c>
      <c r="BL303" s="780">
        <f t="shared" ref="BL303:BN306" ca="1" si="729">+BK303</f>
        <v>292.51</v>
      </c>
      <c r="BM303" s="780">
        <f t="shared" ca="1" si="729"/>
        <v>292.51</v>
      </c>
      <c r="BN303" s="780">
        <f t="shared" ca="1" si="729"/>
        <v>292.51</v>
      </c>
      <c r="BO303" s="780">
        <f ca="1">OFFSET(InputY!$G270,0,(COLUMN()-7)/4)</f>
        <v>266.68</v>
      </c>
      <c r="BP303" s="780">
        <f t="shared" ref="BP303:BR307" ca="1" si="730">+BO303</f>
        <v>266.68</v>
      </c>
      <c r="BQ303" s="780">
        <f t="shared" ca="1" si="730"/>
        <v>266.68</v>
      </c>
      <c r="BR303" s="780">
        <f t="shared" ca="1" si="730"/>
        <v>266.68</v>
      </c>
      <c r="BS303" s="780">
        <f ca="1">OFFSET(InputY!$G270,0,(COLUMN()-7)/4)</f>
        <v>252.33000000000004</v>
      </c>
      <c r="BT303" s="780">
        <f t="shared" ref="BT303:BV307" ca="1" si="731">+BS303</f>
        <v>252.33000000000004</v>
      </c>
      <c r="BU303" s="780">
        <f t="shared" ca="1" si="731"/>
        <v>252.33000000000004</v>
      </c>
      <c r="BV303" s="780">
        <f t="shared" ca="1" si="731"/>
        <v>252.33000000000004</v>
      </c>
      <c r="BW303" s="780">
        <f ca="1">OFFSET(InputY!$G270,0,(COLUMN()-7)/4)</f>
        <v>243.38</v>
      </c>
      <c r="BX303" s="780">
        <f t="shared" ref="BX303:BZ307" ca="1" si="732">+BW303</f>
        <v>243.38</v>
      </c>
      <c r="BY303" s="780">
        <f t="shared" ca="1" si="732"/>
        <v>243.38</v>
      </c>
      <c r="BZ303" s="780">
        <f t="shared" ca="1" si="732"/>
        <v>243.38</v>
      </c>
      <c r="CA303" s="780">
        <f ca="1">OFFSET(InputY!$G270,0,(COLUMN()-7)/4)</f>
        <v>238.83000000000004</v>
      </c>
      <c r="CB303" s="780">
        <f t="shared" ref="CB303:CD307" ca="1" si="733">+CA303</f>
        <v>238.83000000000004</v>
      </c>
      <c r="CC303" s="780">
        <f t="shared" ca="1" si="733"/>
        <v>238.83000000000004</v>
      </c>
      <c r="CD303" s="780">
        <f t="shared" ca="1" si="733"/>
        <v>238.83000000000004</v>
      </c>
      <c r="CE303" s="780">
        <v>300.89999999999998</v>
      </c>
      <c r="CF303" s="780">
        <f>CE303</f>
        <v>300.89999999999998</v>
      </c>
      <c r="CG303" s="780">
        <f>CF303</f>
        <v>300.89999999999998</v>
      </c>
      <c r="CH303" s="780">
        <f>CG303</f>
        <v>300.89999999999998</v>
      </c>
      <c r="CI303" s="780">
        <v>321.58999999999997</v>
      </c>
      <c r="CJ303" s="780">
        <f t="shared" ref="CJ303:CL306" si="734">CI303</f>
        <v>321.58999999999997</v>
      </c>
      <c r="CK303" s="780">
        <f t="shared" si="734"/>
        <v>321.58999999999997</v>
      </c>
      <c r="CL303" s="780">
        <f t="shared" si="734"/>
        <v>321.58999999999997</v>
      </c>
      <c r="CM303" s="780">
        <v>336.99</v>
      </c>
      <c r="CN303" s="780">
        <f t="shared" ref="CN303:CP306" si="735">CM303</f>
        <v>336.99</v>
      </c>
      <c r="CO303" s="780">
        <f t="shared" si="735"/>
        <v>336.99</v>
      </c>
      <c r="CP303" s="780">
        <f t="shared" si="735"/>
        <v>336.99</v>
      </c>
      <c r="CQ303" s="780">
        <v>324.63</v>
      </c>
      <c r="CR303" s="780">
        <f>+CQ303</f>
        <v>324.63</v>
      </c>
      <c r="CS303" s="780">
        <f t="shared" ref="CS303:CT303" si="736">+CR303</f>
        <v>324.63</v>
      </c>
      <c r="CT303" s="780">
        <f t="shared" si="736"/>
        <v>324.63</v>
      </c>
      <c r="CU303" s="1416">
        <f t="shared" ref="CU303:CX306" si="737">CT303</f>
        <v>324.63</v>
      </c>
      <c r="CV303" s="1416">
        <f t="shared" si="737"/>
        <v>324.63</v>
      </c>
      <c r="CW303" s="1416">
        <f t="shared" si="737"/>
        <v>324.63</v>
      </c>
      <c r="CX303" s="1416">
        <f t="shared" si="737"/>
        <v>324.63</v>
      </c>
      <c r="CY303" s="1416">
        <f t="shared" ref="CY303:CY306" si="738">CX303</f>
        <v>324.63</v>
      </c>
      <c r="CZ303" s="1416">
        <f t="shared" ref="CZ303:CZ306" si="739">CY303</f>
        <v>324.63</v>
      </c>
      <c r="DA303" s="1416">
        <f t="shared" ref="DA303:DA306" si="740">CZ303</f>
        <v>324.63</v>
      </c>
      <c r="DB303" s="1416">
        <f t="shared" ref="DB303:DB306" si="741">DA303</f>
        <v>324.63</v>
      </c>
      <c r="DC303"/>
      <c r="DD303"/>
      <c r="DE303"/>
      <c r="DF303"/>
      <c r="DG303"/>
      <c r="DH303"/>
      <c r="DI303"/>
      <c r="DJ303"/>
      <c r="DK303"/>
      <c r="DL303"/>
      <c r="DM303"/>
      <c r="DN303"/>
      <c r="DO303"/>
    </row>
    <row r="304" spans="1:119" s="699" customFormat="1" ht="12.75" customHeight="1">
      <c r="A304" s="664" t="str">
        <f>"Y" &amp; ROW(InputY!A271)</f>
        <v>Y271</v>
      </c>
      <c r="B304" s="664" t="s">
        <v>816</v>
      </c>
      <c r="C304" s="1562"/>
      <c r="D304" s="674"/>
      <c r="E304" s="3629" t="str">
        <f>+E278</f>
        <v>Energy</v>
      </c>
      <c r="F304" s="3630"/>
      <c r="G304" s="706"/>
      <c r="H304" s="706"/>
      <c r="I304" s="706"/>
      <c r="J304" s="706" t="str">
        <f ca="1">OFFSET(InputY!$G271,0,(COLUMN()-10)/4)</f>
        <v>:</v>
      </c>
      <c r="K304" s="706">
        <f ca="1">OFFSET(InputY!$G271,0,(COLUMN()-7)/4)</f>
        <v>116.59</v>
      </c>
      <c r="L304" s="706">
        <f t="shared" ref="L304:N307" ca="1" si="742">+K304</f>
        <v>116.59</v>
      </c>
      <c r="M304" s="706">
        <f t="shared" ca="1" si="742"/>
        <v>116.59</v>
      </c>
      <c r="N304" s="706">
        <f t="shared" ca="1" si="742"/>
        <v>116.59</v>
      </c>
      <c r="O304" s="706">
        <f ca="1">OFFSET(InputY!$G271,0,(COLUMN()-7)/4)</f>
        <v>144.16999999999999</v>
      </c>
      <c r="P304" s="706">
        <f t="shared" ca="1" si="717"/>
        <v>144.16999999999999</v>
      </c>
      <c r="Q304" s="706">
        <f t="shared" ca="1" si="717"/>
        <v>144.16999999999999</v>
      </c>
      <c r="R304" s="706">
        <f t="shared" ca="1" si="717"/>
        <v>144.16999999999999</v>
      </c>
      <c r="S304" s="706">
        <f ca="1">OFFSET(InputY!$G271,0,(COLUMN()-7)/4)</f>
        <v>162.15</v>
      </c>
      <c r="T304" s="706">
        <f t="shared" ca="1" si="718"/>
        <v>162.15</v>
      </c>
      <c r="U304" s="706">
        <f t="shared" ca="1" si="718"/>
        <v>162.15</v>
      </c>
      <c r="V304" s="706">
        <f t="shared" ca="1" si="718"/>
        <v>162.15</v>
      </c>
      <c r="W304" s="706">
        <f ca="1">OFFSET(InputY!$G271,0,(COLUMN()-7)/4)</f>
        <v>131.61000000000001</v>
      </c>
      <c r="X304" s="706">
        <f t="shared" ca="1" si="719"/>
        <v>131.61000000000001</v>
      </c>
      <c r="Y304" s="706">
        <f t="shared" ca="1" si="719"/>
        <v>131.61000000000001</v>
      </c>
      <c r="Z304" s="706">
        <f t="shared" ca="1" si="719"/>
        <v>131.61000000000001</v>
      </c>
      <c r="AA304" s="706">
        <f ca="1">OFFSET(InputY!$G271,0,(COLUMN()-7)/4)</f>
        <v>150.61000000000001</v>
      </c>
      <c r="AB304" s="706">
        <f t="shared" ca="1" si="720"/>
        <v>150.61000000000001</v>
      </c>
      <c r="AC304" s="706">
        <f t="shared" ca="1" si="720"/>
        <v>150.61000000000001</v>
      </c>
      <c r="AD304" s="706">
        <f t="shared" ca="1" si="720"/>
        <v>150.61000000000001</v>
      </c>
      <c r="AE304" s="706">
        <f ca="1">OFFSET(InputY!$G271,0,(COLUMN()-7)/4)</f>
        <v>156.51</v>
      </c>
      <c r="AF304" s="706">
        <f t="shared" ca="1" si="721"/>
        <v>156.51</v>
      </c>
      <c r="AG304" s="706">
        <f t="shared" ca="1" si="721"/>
        <v>156.51</v>
      </c>
      <c r="AH304" s="706">
        <f t="shared" ca="1" si="721"/>
        <v>156.51</v>
      </c>
      <c r="AI304" s="706">
        <f ca="1">OFFSET(InputY!$G271,0,(COLUMN()-7)/4)</f>
        <v>130.04</v>
      </c>
      <c r="AJ304" s="706">
        <f t="shared" ca="1" si="722"/>
        <v>130.04</v>
      </c>
      <c r="AK304" s="706">
        <f t="shared" ca="1" si="722"/>
        <v>130.04</v>
      </c>
      <c r="AL304" s="706">
        <f t="shared" ca="1" si="722"/>
        <v>130.04</v>
      </c>
      <c r="AM304" s="706">
        <f ca="1">OFFSET(InputY!$G271,0,(COLUMN()-7)/4)</f>
        <v>144.53</v>
      </c>
      <c r="AN304" s="706">
        <f t="shared" ca="1" si="723"/>
        <v>144.53</v>
      </c>
      <c r="AO304" s="706">
        <f t="shared" ca="1" si="723"/>
        <v>144.53</v>
      </c>
      <c r="AP304" s="706">
        <f t="shared" ca="1" si="723"/>
        <v>144.53</v>
      </c>
      <c r="AQ304" s="706">
        <f ca="1">OFFSET(InputY!$G271,0,(COLUMN()-7)/4)</f>
        <v>139.24</v>
      </c>
      <c r="AR304" s="706">
        <f t="shared" ca="1" si="724"/>
        <v>139.24</v>
      </c>
      <c r="AS304" s="706">
        <f t="shared" ca="1" si="724"/>
        <v>139.24</v>
      </c>
      <c r="AT304" s="706">
        <f t="shared" ca="1" si="724"/>
        <v>139.24</v>
      </c>
      <c r="AU304" s="706">
        <f ca="1">OFFSET(InputY!$G271,0,(COLUMN()-7)/4)</f>
        <v>130.71</v>
      </c>
      <c r="AV304" s="706">
        <f t="shared" ca="1" si="725"/>
        <v>130.71</v>
      </c>
      <c r="AW304" s="706">
        <f t="shared" ca="1" si="725"/>
        <v>130.71</v>
      </c>
      <c r="AX304" s="706">
        <f t="shared" ca="1" si="725"/>
        <v>130.71</v>
      </c>
      <c r="AY304" s="706">
        <f ca="1">OFFSET(InputY!$G271,0,(COLUMN()-7)/4)</f>
        <v>131.59</v>
      </c>
      <c r="AZ304" s="706">
        <f t="shared" ca="1" si="726"/>
        <v>131.59</v>
      </c>
      <c r="BA304" s="706">
        <f t="shared" ca="1" si="726"/>
        <v>131.59</v>
      </c>
      <c r="BB304" s="706">
        <f t="shared" ca="1" si="726"/>
        <v>131.59</v>
      </c>
      <c r="BC304" s="706">
        <f ca="1">OFFSET(InputY!$G271,0,(COLUMN()-7)/4)</f>
        <v>133.38</v>
      </c>
      <c r="BD304" s="706">
        <f t="shared" ca="1" si="727"/>
        <v>133.38</v>
      </c>
      <c r="BE304" s="706">
        <f t="shared" ca="1" si="727"/>
        <v>133.38</v>
      </c>
      <c r="BF304" s="706">
        <f t="shared" ca="1" si="727"/>
        <v>133.38</v>
      </c>
      <c r="BG304" s="706">
        <f ca="1">OFFSET(InputY!$G271,0,(COLUMN()-7)/4)</f>
        <v>133.54</v>
      </c>
      <c r="BH304" s="706">
        <f t="shared" ca="1" si="728"/>
        <v>133.54</v>
      </c>
      <c r="BI304" s="706">
        <f t="shared" ca="1" si="728"/>
        <v>133.54</v>
      </c>
      <c r="BJ304" s="706">
        <f t="shared" ca="1" si="728"/>
        <v>133.54</v>
      </c>
      <c r="BK304" s="706">
        <f ca="1">OFFSET(InputY!$G271,0,(COLUMN()-7)/4)</f>
        <v>125.36000000000001</v>
      </c>
      <c r="BL304" s="706">
        <f t="shared" ca="1" si="729"/>
        <v>125.36000000000001</v>
      </c>
      <c r="BM304" s="706">
        <f t="shared" ca="1" si="729"/>
        <v>125.36000000000001</v>
      </c>
      <c r="BN304" s="706">
        <f t="shared" ca="1" si="729"/>
        <v>125.36000000000001</v>
      </c>
      <c r="BO304" s="706">
        <f ca="1">OFFSET(InputY!$G271,0,(COLUMN()-7)/4)</f>
        <v>136.25</v>
      </c>
      <c r="BP304" s="706">
        <f t="shared" ca="1" si="730"/>
        <v>136.25</v>
      </c>
      <c r="BQ304" s="706">
        <f t="shared" ca="1" si="730"/>
        <v>136.25</v>
      </c>
      <c r="BR304" s="706">
        <f t="shared" ca="1" si="730"/>
        <v>136.25</v>
      </c>
      <c r="BS304" s="706">
        <f ca="1">OFFSET(InputY!$G271,0,(COLUMN()-7)/4)</f>
        <v>153.46</v>
      </c>
      <c r="BT304" s="706">
        <f t="shared" ca="1" si="731"/>
        <v>153.46</v>
      </c>
      <c r="BU304" s="706">
        <f t="shared" ca="1" si="731"/>
        <v>153.46</v>
      </c>
      <c r="BV304" s="706">
        <f t="shared" ca="1" si="731"/>
        <v>153.46</v>
      </c>
      <c r="BW304" s="706">
        <f ca="1">OFFSET(InputY!$G271,0,(COLUMN()-7)/4)</f>
        <v>163.93</v>
      </c>
      <c r="BX304" s="706">
        <f t="shared" ca="1" si="732"/>
        <v>163.93</v>
      </c>
      <c r="BY304" s="706">
        <f t="shared" ca="1" si="732"/>
        <v>163.93</v>
      </c>
      <c r="BZ304" s="706">
        <f t="shared" ca="1" si="732"/>
        <v>163.93</v>
      </c>
      <c r="CA304" s="706">
        <f ca="1">OFFSET(InputY!$G271,0,(COLUMN()-7)/4)</f>
        <v>168.38</v>
      </c>
      <c r="CB304" s="706">
        <f t="shared" ca="1" si="733"/>
        <v>168.38</v>
      </c>
      <c r="CC304" s="706">
        <f t="shared" ca="1" si="733"/>
        <v>168.38</v>
      </c>
      <c r="CD304" s="706">
        <f t="shared" ca="1" si="733"/>
        <v>168.38</v>
      </c>
      <c r="CE304" s="706">
        <v>142.51</v>
      </c>
      <c r="CF304" s="706">
        <f>CE304</f>
        <v>142.51</v>
      </c>
      <c r="CG304" s="706">
        <f t="shared" ref="CG304:CH306" si="743">CF304</f>
        <v>142.51</v>
      </c>
      <c r="CH304" s="706">
        <f t="shared" si="743"/>
        <v>142.51</v>
      </c>
      <c r="CI304" s="706">
        <v>136.01</v>
      </c>
      <c r="CJ304" s="706">
        <f t="shared" si="734"/>
        <v>136.01</v>
      </c>
      <c r="CK304" s="706">
        <f t="shared" si="734"/>
        <v>136.01</v>
      </c>
      <c r="CL304" s="706">
        <f t="shared" si="734"/>
        <v>136.01</v>
      </c>
      <c r="CM304" s="706">
        <v>117.86</v>
      </c>
      <c r="CN304" s="706">
        <f t="shared" si="735"/>
        <v>117.86</v>
      </c>
      <c r="CO304" s="706">
        <f t="shared" si="735"/>
        <v>117.86</v>
      </c>
      <c r="CP304" s="706">
        <f t="shared" si="735"/>
        <v>117.86</v>
      </c>
      <c r="CQ304" s="706">
        <v>120.19</v>
      </c>
      <c r="CR304" s="706">
        <f t="shared" ref="CR304" si="744">CQ304</f>
        <v>120.19</v>
      </c>
      <c r="CS304" s="706">
        <f t="shared" ref="CS304" si="745">CR304</f>
        <v>120.19</v>
      </c>
      <c r="CT304" s="706">
        <f t="shared" ref="CT304" si="746">CS304</f>
        <v>120.19</v>
      </c>
      <c r="CU304" s="937">
        <f t="shared" si="737"/>
        <v>120.19</v>
      </c>
      <c r="CV304" s="937">
        <f t="shared" si="737"/>
        <v>120.19</v>
      </c>
      <c r="CW304" s="937">
        <f t="shared" si="737"/>
        <v>120.19</v>
      </c>
      <c r="CX304" s="937">
        <f t="shared" si="737"/>
        <v>120.19</v>
      </c>
      <c r="CY304" s="937">
        <f t="shared" si="738"/>
        <v>120.19</v>
      </c>
      <c r="CZ304" s="937">
        <f t="shared" si="739"/>
        <v>120.19</v>
      </c>
      <c r="DA304" s="937">
        <f t="shared" si="740"/>
        <v>120.19</v>
      </c>
      <c r="DB304" s="937">
        <f t="shared" si="741"/>
        <v>120.19</v>
      </c>
      <c r="DC304"/>
      <c r="DD304"/>
      <c r="DE304"/>
      <c r="DF304"/>
      <c r="DG304"/>
      <c r="DH304"/>
      <c r="DI304"/>
      <c r="DJ304"/>
      <c r="DK304"/>
      <c r="DL304"/>
      <c r="DM304"/>
      <c r="DN304"/>
      <c r="DO304"/>
    </row>
    <row r="305" spans="1:119" s="699" customFormat="1" ht="12.75" customHeight="1">
      <c r="A305" s="664" t="str">
        <f>"Y" &amp; ROW(InputY!A272)</f>
        <v>Y272</v>
      </c>
      <c r="B305" s="664" t="s">
        <v>818</v>
      </c>
      <c r="C305" s="1562"/>
      <c r="D305" s="674"/>
      <c r="E305" s="3629" t="s">
        <v>1239</v>
      </c>
      <c r="F305" s="3630"/>
      <c r="G305" s="706"/>
      <c r="H305" s="706"/>
      <c r="I305" s="706"/>
      <c r="J305" s="706" t="str">
        <f ca="1">OFFSET(InputY!$G272,0,(COLUMN()-10)/4)</f>
        <v>:</v>
      </c>
      <c r="K305" s="706">
        <f ca="1">OFFSET(InputY!$G272,0,(COLUMN()-7)/4)</f>
        <v>248.77000000000004</v>
      </c>
      <c r="L305" s="706">
        <f t="shared" ca="1" si="742"/>
        <v>248.77000000000004</v>
      </c>
      <c r="M305" s="706">
        <f t="shared" ca="1" si="742"/>
        <v>248.77000000000004</v>
      </c>
      <c r="N305" s="706">
        <f t="shared" ca="1" si="742"/>
        <v>248.77000000000004</v>
      </c>
      <c r="O305" s="706">
        <f ca="1">OFFSET(InputY!$G272,0,(COLUMN()-7)/4)</f>
        <v>192.56</v>
      </c>
      <c r="P305" s="706">
        <f t="shared" ca="1" si="717"/>
        <v>192.56</v>
      </c>
      <c r="Q305" s="706">
        <f t="shared" ca="1" si="717"/>
        <v>192.56</v>
      </c>
      <c r="R305" s="706">
        <f t="shared" ca="1" si="717"/>
        <v>192.56</v>
      </c>
      <c r="S305" s="706">
        <f ca="1">OFFSET(InputY!$G272,0,(COLUMN()-7)/4)</f>
        <v>180.19000000000003</v>
      </c>
      <c r="T305" s="706">
        <f t="shared" ca="1" si="718"/>
        <v>180.19000000000003</v>
      </c>
      <c r="U305" s="706">
        <f t="shared" ca="1" si="718"/>
        <v>180.19000000000003</v>
      </c>
      <c r="V305" s="706">
        <f t="shared" ca="1" si="718"/>
        <v>180.19000000000003</v>
      </c>
      <c r="W305" s="706">
        <f ca="1">OFFSET(InputY!$G272,0,(COLUMN()-7)/4)</f>
        <v>174.74</v>
      </c>
      <c r="X305" s="706">
        <f t="shared" ca="1" si="719"/>
        <v>174.74</v>
      </c>
      <c r="Y305" s="706">
        <f t="shared" ca="1" si="719"/>
        <v>174.74</v>
      </c>
      <c r="Z305" s="706">
        <f t="shared" ca="1" si="719"/>
        <v>174.74</v>
      </c>
      <c r="AA305" s="706">
        <f ca="1">OFFSET(InputY!$G272,0,(COLUMN()-7)/4)</f>
        <v>165.14</v>
      </c>
      <c r="AB305" s="706">
        <f t="shared" ca="1" si="720"/>
        <v>165.14</v>
      </c>
      <c r="AC305" s="706">
        <f t="shared" ca="1" si="720"/>
        <v>165.14</v>
      </c>
      <c r="AD305" s="706">
        <f t="shared" ca="1" si="720"/>
        <v>165.14</v>
      </c>
      <c r="AE305" s="706">
        <f ca="1">OFFSET(InputY!$G272,0,(COLUMN()-7)/4)</f>
        <v>163.66</v>
      </c>
      <c r="AF305" s="706">
        <f t="shared" ca="1" si="721"/>
        <v>163.66</v>
      </c>
      <c r="AG305" s="706">
        <f t="shared" ca="1" si="721"/>
        <v>163.66</v>
      </c>
      <c r="AH305" s="706">
        <f t="shared" ca="1" si="721"/>
        <v>163.66</v>
      </c>
      <c r="AI305" s="706">
        <f ca="1">OFFSET(InputY!$G272,0,(COLUMN()-7)/4)</f>
        <v>152.71</v>
      </c>
      <c r="AJ305" s="706">
        <f t="shared" ca="1" si="722"/>
        <v>152.71</v>
      </c>
      <c r="AK305" s="706">
        <f t="shared" ca="1" si="722"/>
        <v>152.71</v>
      </c>
      <c r="AL305" s="706">
        <f t="shared" ca="1" si="722"/>
        <v>152.71</v>
      </c>
      <c r="AM305" s="706">
        <f ca="1">OFFSET(InputY!$G272,0,(COLUMN()-7)/4)</f>
        <v>130.96</v>
      </c>
      <c r="AN305" s="706">
        <f t="shared" ca="1" si="723"/>
        <v>130.96</v>
      </c>
      <c r="AO305" s="706">
        <f t="shared" ca="1" si="723"/>
        <v>130.96</v>
      </c>
      <c r="AP305" s="706">
        <f t="shared" ca="1" si="723"/>
        <v>130.96</v>
      </c>
      <c r="AQ305" s="706">
        <f ca="1">OFFSET(InputY!$G272,0,(COLUMN()-7)/4)</f>
        <v>121.5</v>
      </c>
      <c r="AR305" s="706">
        <f t="shared" ca="1" si="724"/>
        <v>121.5</v>
      </c>
      <c r="AS305" s="706">
        <f t="shared" ca="1" si="724"/>
        <v>121.5</v>
      </c>
      <c r="AT305" s="706">
        <f t="shared" ca="1" si="724"/>
        <v>121.5</v>
      </c>
      <c r="AU305" s="706">
        <f ca="1">OFFSET(InputY!$G272,0,(COLUMN()-7)/4)</f>
        <v>120.35</v>
      </c>
      <c r="AV305" s="706">
        <f t="shared" ca="1" si="725"/>
        <v>120.35</v>
      </c>
      <c r="AW305" s="706">
        <f t="shared" ca="1" si="725"/>
        <v>120.35</v>
      </c>
      <c r="AX305" s="706">
        <f t="shared" ca="1" si="725"/>
        <v>120.35</v>
      </c>
      <c r="AY305" s="706">
        <f ca="1">OFFSET(InputY!$G272,0,(COLUMN()-7)/4)</f>
        <v>120.72000000000001</v>
      </c>
      <c r="AZ305" s="706">
        <f t="shared" ca="1" si="726"/>
        <v>120.72000000000001</v>
      </c>
      <c r="BA305" s="706">
        <f t="shared" ca="1" si="726"/>
        <v>120.72000000000001</v>
      </c>
      <c r="BB305" s="706">
        <f t="shared" ca="1" si="726"/>
        <v>120.72000000000001</v>
      </c>
      <c r="BC305" s="706">
        <f ca="1">OFFSET(InputY!$G272,0,(COLUMN()-7)/4)</f>
        <v>112.88</v>
      </c>
      <c r="BD305" s="706">
        <f t="shared" ca="1" si="727"/>
        <v>112.88</v>
      </c>
      <c r="BE305" s="706">
        <f t="shared" ca="1" si="727"/>
        <v>112.88</v>
      </c>
      <c r="BF305" s="706">
        <f t="shared" ca="1" si="727"/>
        <v>112.88</v>
      </c>
      <c r="BG305" s="706">
        <f ca="1">OFFSET(InputY!$G272,0,(COLUMN()-7)/4)</f>
        <v>110.28</v>
      </c>
      <c r="BH305" s="706">
        <f t="shared" ca="1" si="728"/>
        <v>110.28</v>
      </c>
      <c r="BI305" s="706">
        <f t="shared" ca="1" si="728"/>
        <v>110.28</v>
      </c>
      <c r="BJ305" s="706">
        <f t="shared" ca="1" si="728"/>
        <v>110.28</v>
      </c>
      <c r="BK305" s="706">
        <f ca="1">OFFSET(InputY!$G272,0,(COLUMN()-7)/4)</f>
        <v>115.75000000000001</v>
      </c>
      <c r="BL305" s="706">
        <f t="shared" ca="1" si="729"/>
        <v>115.75000000000001</v>
      </c>
      <c r="BM305" s="706">
        <f t="shared" ca="1" si="729"/>
        <v>115.75000000000001</v>
      </c>
      <c r="BN305" s="706">
        <f t="shared" ca="1" si="729"/>
        <v>115.75000000000001</v>
      </c>
      <c r="BO305" s="706">
        <f ca="1">OFFSET(InputY!$G272,0,(COLUMN()-7)/4)</f>
        <v>113.57</v>
      </c>
      <c r="BP305" s="706">
        <f t="shared" ca="1" si="730"/>
        <v>113.57</v>
      </c>
      <c r="BQ305" s="706">
        <f t="shared" ca="1" si="730"/>
        <v>113.57</v>
      </c>
      <c r="BR305" s="706">
        <f t="shared" ca="1" si="730"/>
        <v>113.57</v>
      </c>
      <c r="BS305" s="706">
        <f ca="1">OFFSET(InputY!$G272,0,(COLUMN()-7)/4)</f>
        <v>114.47000000000001</v>
      </c>
      <c r="BT305" s="706">
        <f t="shared" ca="1" si="731"/>
        <v>114.47000000000001</v>
      </c>
      <c r="BU305" s="706">
        <f t="shared" ca="1" si="731"/>
        <v>114.47000000000001</v>
      </c>
      <c r="BV305" s="706">
        <f t="shared" ca="1" si="731"/>
        <v>114.47000000000001</v>
      </c>
      <c r="BW305" s="706">
        <f ca="1">OFFSET(InputY!$G272,0,(COLUMN()-7)/4)</f>
        <v>111.19</v>
      </c>
      <c r="BX305" s="706">
        <f t="shared" ca="1" si="732"/>
        <v>111.19</v>
      </c>
      <c r="BY305" s="706">
        <f t="shared" ca="1" si="732"/>
        <v>111.19</v>
      </c>
      <c r="BZ305" s="706">
        <f t="shared" ca="1" si="732"/>
        <v>111.19</v>
      </c>
      <c r="CA305" s="706">
        <f ca="1">OFFSET(InputY!$G272,0,(COLUMN()-7)/4)</f>
        <v>111.46000000000001</v>
      </c>
      <c r="CB305" s="706">
        <f t="shared" ca="1" si="733"/>
        <v>111.46000000000001</v>
      </c>
      <c r="CC305" s="706">
        <f t="shared" ca="1" si="733"/>
        <v>111.46000000000001</v>
      </c>
      <c r="CD305" s="706">
        <f t="shared" ca="1" si="733"/>
        <v>111.46000000000001</v>
      </c>
      <c r="CE305" s="706">
        <v>102.8</v>
      </c>
      <c r="CF305" s="706">
        <f>CE305</f>
        <v>102.8</v>
      </c>
      <c r="CG305" s="706">
        <f t="shared" si="743"/>
        <v>102.8</v>
      </c>
      <c r="CH305" s="706">
        <f t="shared" si="743"/>
        <v>102.8</v>
      </c>
      <c r="CI305" s="706">
        <v>95.36</v>
      </c>
      <c r="CJ305" s="706">
        <f t="shared" si="734"/>
        <v>95.36</v>
      </c>
      <c r="CK305" s="706">
        <f t="shared" si="734"/>
        <v>95.36</v>
      </c>
      <c r="CL305" s="706">
        <f t="shared" si="734"/>
        <v>95.36</v>
      </c>
      <c r="CM305" s="706">
        <v>92.19</v>
      </c>
      <c r="CN305" s="706">
        <f t="shared" si="735"/>
        <v>92.19</v>
      </c>
      <c r="CO305" s="706">
        <f t="shared" si="735"/>
        <v>92.19</v>
      </c>
      <c r="CP305" s="706">
        <f t="shared" si="735"/>
        <v>92.19</v>
      </c>
      <c r="CQ305" s="706">
        <v>80.97</v>
      </c>
      <c r="CR305" s="706">
        <f>+CQ305</f>
        <v>80.97</v>
      </c>
      <c r="CS305" s="706">
        <f t="shared" ref="CS305:CT305" si="747">+CR305</f>
        <v>80.97</v>
      </c>
      <c r="CT305" s="706">
        <f t="shared" si="747"/>
        <v>80.97</v>
      </c>
      <c r="CU305" s="937">
        <f t="shared" si="737"/>
        <v>80.97</v>
      </c>
      <c r="CV305" s="937">
        <f t="shared" si="737"/>
        <v>80.97</v>
      </c>
      <c r="CW305" s="937">
        <f t="shared" si="737"/>
        <v>80.97</v>
      </c>
      <c r="CX305" s="937">
        <f t="shared" si="737"/>
        <v>80.97</v>
      </c>
      <c r="CY305" s="937">
        <f t="shared" si="738"/>
        <v>80.97</v>
      </c>
      <c r="CZ305" s="937">
        <f t="shared" si="739"/>
        <v>80.97</v>
      </c>
      <c r="DA305" s="937">
        <f t="shared" si="740"/>
        <v>80.97</v>
      </c>
      <c r="DB305" s="937">
        <f t="shared" si="741"/>
        <v>80.97</v>
      </c>
      <c r="DC305"/>
      <c r="DD305"/>
      <c r="DE305"/>
      <c r="DF305"/>
      <c r="DG305"/>
      <c r="DH305"/>
      <c r="DI305"/>
      <c r="DJ305"/>
      <c r="DK305"/>
      <c r="DL305"/>
      <c r="DM305"/>
      <c r="DN305"/>
      <c r="DO305"/>
    </row>
    <row r="306" spans="1:119" s="699" customFormat="1" ht="12.75" customHeight="1">
      <c r="A306" s="664" t="str">
        <f>"Y" &amp; ROW(InputY!A273)</f>
        <v>Y273</v>
      </c>
      <c r="B306" s="664" t="s">
        <v>817</v>
      </c>
      <c r="C306" s="1562"/>
      <c r="D306" s="674"/>
      <c r="E306" s="3629" t="s">
        <v>1238</v>
      </c>
      <c r="F306" s="3630"/>
      <c r="G306" s="706"/>
      <c r="H306" s="706"/>
      <c r="I306" s="706"/>
      <c r="J306" s="706" t="str">
        <f ca="1">OFFSET(InputY!$G273,0,(COLUMN()-10)/4)</f>
        <v>:</v>
      </c>
      <c r="K306" s="706">
        <f ca="1">OFFSET(InputY!$G273,0,(COLUMN()-7)/4)</f>
        <v>329.58</v>
      </c>
      <c r="L306" s="706">
        <f t="shared" ca="1" si="742"/>
        <v>329.58</v>
      </c>
      <c r="M306" s="706">
        <f t="shared" ca="1" si="742"/>
        <v>329.58</v>
      </c>
      <c r="N306" s="706">
        <f t="shared" ca="1" si="742"/>
        <v>329.58</v>
      </c>
      <c r="O306" s="706">
        <f ca="1">OFFSET(InputY!$G273,0,(COLUMN()-7)/4)</f>
        <v>328.30000000000007</v>
      </c>
      <c r="P306" s="706">
        <f t="shared" ca="1" si="717"/>
        <v>328.30000000000007</v>
      </c>
      <c r="Q306" s="706">
        <f t="shared" ca="1" si="717"/>
        <v>328.30000000000007</v>
      </c>
      <c r="R306" s="706">
        <f t="shared" ca="1" si="717"/>
        <v>328.30000000000007</v>
      </c>
      <c r="S306" s="706">
        <f ca="1">OFFSET(InputY!$G273,0,(COLUMN()-7)/4)</f>
        <v>321.64</v>
      </c>
      <c r="T306" s="706">
        <f t="shared" ca="1" si="718"/>
        <v>321.64</v>
      </c>
      <c r="U306" s="706">
        <f t="shared" ca="1" si="718"/>
        <v>321.64</v>
      </c>
      <c r="V306" s="706">
        <f t="shared" ca="1" si="718"/>
        <v>321.64</v>
      </c>
      <c r="W306" s="706">
        <f ca="1">OFFSET(InputY!$G273,0,(COLUMN()-7)/4)</f>
        <v>294.95</v>
      </c>
      <c r="X306" s="706">
        <f t="shared" ca="1" si="719"/>
        <v>294.95</v>
      </c>
      <c r="Y306" s="706">
        <f t="shared" ca="1" si="719"/>
        <v>294.95</v>
      </c>
      <c r="Z306" s="706">
        <f t="shared" ca="1" si="719"/>
        <v>294.95</v>
      </c>
      <c r="AA306" s="706">
        <f ca="1">OFFSET(InputY!$G273,0,(COLUMN()-7)/4)</f>
        <v>274.73</v>
      </c>
      <c r="AB306" s="706">
        <f t="shared" ca="1" si="720"/>
        <v>274.73</v>
      </c>
      <c r="AC306" s="706">
        <f t="shared" ca="1" si="720"/>
        <v>274.73</v>
      </c>
      <c r="AD306" s="706">
        <f t="shared" ca="1" si="720"/>
        <v>274.73</v>
      </c>
      <c r="AE306" s="706">
        <f ca="1">OFFSET(InputY!$G273,0,(COLUMN()-7)/4)</f>
        <v>276.14999999999998</v>
      </c>
      <c r="AF306" s="706">
        <f t="shared" ca="1" si="721"/>
        <v>276.14999999999998</v>
      </c>
      <c r="AG306" s="706">
        <f t="shared" ca="1" si="721"/>
        <v>276.14999999999998</v>
      </c>
      <c r="AH306" s="706">
        <f t="shared" ca="1" si="721"/>
        <v>276.14999999999998</v>
      </c>
      <c r="AI306" s="706">
        <f ca="1">OFFSET(InputY!$G273,0,(COLUMN()-7)/4)</f>
        <v>261.55</v>
      </c>
      <c r="AJ306" s="706">
        <f t="shared" ca="1" si="722"/>
        <v>261.55</v>
      </c>
      <c r="AK306" s="706">
        <f t="shared" ca="1" si="722"/>
        <v>261.55</v>
      </c>
      <c r="AL306" s="706">
        <f t="shared" ca="1" si="722"/>
        <v>261.55</v>
      </c>
      <c r="AM306" s="706">
        <f ca="1">OFFSET(InputY!$G273,0,(COLUMN()-7)/4)</f>
        <v>258.43000000000006</v>
      </c>
      <c r="AN306" s="706">
        <f t="shared" ca="1" si="723"/>
        <v>258.43000000000006</v>
      </c>
      <c r="AO306" s="706">
        <f t="shared" ca="1" si="723"/>
        <v>258.43000000000006</v>
      </c>
      <c r="AP306" s="706">
        <f t="shared" ca="1" si="723"/>
        <v>258.43000000000006</v>
      </c>
      <c r="AQ306" s="706">
        <f ca="1">OFFSET(InputY!$G273,0,(COLUMN()-7)/4)</f>
        <v>251.84</v>
      </c>
      <c r="AR306" s="706">
        <f t="shared" ca="1" si="724"/>
        <v>251.84</v>
      </c>
      <c r="AS306" s="706">
        <f t="shared" ca="1" si="724"/>
        <v>251.84</v>
      </c>
      <c r="AT306" s="706">
        <f t="shared" ca="1" si="724"/>
        <v>251.84</v>
      </c>
      <c r="AU306" s="706">
        <f ca="1">OFFSET(InputY!$G273,0,(COLUMN()-7)/4)</f>
        <v>236.39</v>
      </c>
      <c r="AV306" s="706">
        <f t="shared" ca="1" si="725"/>
        <v>236.39</v>
      </c>
      <c r="AW306" s="706">
        <f t="shared" ca="1" si="725"/>
        <v>236.39</v>
      </c>
      <c r="AX306" s="706">
        <f t="shared" ca="1" si="725"/>
        <v>236.39</v>
      </c>
      <c r="AY306" s="706">
        <f ca="1">OFFSET(InputY!$G273,0,(COLUMN()-7)/4)</f>
        <v>224.20000000000002</v>
      </c>
      <c r="AZ306" s="706">
        <f t="shared" ca="1" si="726"/>
        <v>224.20000000000002</v>
      </c>
      <c r="BA306" s="706">
        <f t="shared" ca="1" si="726"/>
        <v>224.20000000000002</v>
      </c>
      <c r="BB306" s="706">
        <f t="shared" ca="1" si="726"/>
        <v>224.20000000000002</v>
      </c>
      <c r="BC306" s="706">
        <f ca="1">OFFSET(InputY!$G273,0,(COLUMN()-7)/4)</f>
        <v>221.72</v>
      </c>
      <c r="BD306" s="706">
        <f t="shared" ca="1" si="727"/>
        <v>221.72</v>
      </c>
      <c r="BE306" s="706">
        <f t="shared" ca="1" si="727"/>
        <v>221.72</v>
      </c>
      <c r="BF306" s="706">
        <f t="shared" ca="1" si="727"/>
        <v>221.72</v>
      </c>
      <c r="BG306" s="706">
        <f ca="1">OFFSET(InputY!$G273,0,(COLUMN()-7)/4)</f>
        <v>215.87000000000003</v>
      </c>
      <c r="BH306" s="706">
        <f t="shared" ca="1" si="728"/>
        <v>215.87000000000003</v>
      </c>
      <c r="BI306" s="706">
        <f t="shared" ca="1" si="728"/>
        <v>215.87000000000003</v>
      </c>
      <c r="BJ306" s="706">
        <f t="shared" ca="1" si="728"/>
        <v>215.87000000000003</v>
      </c>
      <c r="BK306" s="706">
        <f ca="1">OFFSET(InputY!$G273,0,(COLUMN()-7)/4)</f>
        <v>213.01000000000002</v>
      </c>
      <c r="BL306" s="706">
        <f t="shared" ca="1" si="729"/>
        <v>213.01000000000002</v>
      </c>
      <c r="BM306" s="706">
        <f t="shared" ca="1" si="729"/>
        <v>213.01000000000002</v>
      </c>
      <c r="BN306" s="706">
        <f t="shared" ca="1" si="729"/>
        <v>213.01000000000002</v>
      </c>
      <c r="BO306" s="706">
        <f ca="1">OFFSET(InputY!$G273,0,(COLUMN()-7)/4)</f>
        <v>223.05000000000004</v>
      </c>
      <c r="BP306" s="706">
        <f t="shared" ca="1" si="730"/>
        <v>223.05000000000004</v>
      </c>
      <c r="BQ306" s="706">
        <f t="shared" ca="1" si="730"/>
        <v>223.05000000000004</v>
      </c>
      <c r="BR306" s="706">
        <f t="shared" ca="1" si="730"/>
        <v>223.05000000000004</v>
      </c>
      <c r="BS306" s="706">
        <f ca="1">OFFSET(InputY!$G273,0,(COLUMN()-7)/4)</f>
        <v>232.45000000000002</v>
      </c>
      <c r="BT306" s="706">
        <f t="shared" ca="1" si="731"/>
        <v>232.45000000000002</v>
      </c>
      <c r="BU306" s="706">
        <f t="shared" ca="1" si="731"/>
        <v>232.45000000000002</v>
      </c>
      <c r="BV306" s="706">
        <f t="shared" ca="1" si="731"/>
        <v>232.45000000000002</v>
      </c>
      <c r="BW306" s="706">
        <f ca="1">OFFSET(InputY!$G273,0,(COLUMN()-7)/4)</f>
        <v>233.29000000000002</v>
      </c>
      <c r="BX306" s="706">
        <f t="shared" ca="1" si="732"/>
        <v>233.29000000000002</v>
      </c>
      <c r="BY306" s="706">
        <f t="shared" ca="1" si="732"/>
        <v>233.29000000000002</v>
      </c>
      <c r="BZ306" s="706">
        <f t="shared" ca="1" si="732"/>
        <v>233.29000000000002</v>
      </c>
      <c r="CA306" s="706">
        <f ca="1">OFFSET(InputY!$G273,0,(COLUMN()-7)/4)</f>
        <v>230.58000000000004</v>
      </c>
      <c r="CB306" s="706">
        <f t="shared" ca="1" si="733"/>
        <v>230.58000000000004</v>
      </c>
      <c r="CC306" s="706">
        <f t="shared" ca="1" si="733"/>
        <v>230.58000000000004</v>
      </c>
      <c r="CD306" s="706">
        <f t="shared" ca="1" si="733"/>
        <v>230.58000000000004</v>
      </c>
      <c r="CE306" s="706">
        <v>219.69</v>
      </c>
      <c r="CF306" s="706">
        <f>CE306</f>
        <v>219.69</v>
      </c>
      <c r="CG306" s="706">
        <f t="shared" si="743"/>
        <v>219.69</v>
      </c>
      <c r="CH306" s="706">
        <f t="shared" si="743"/>
        <v>219.69</v>
      </c>
      <c r="CI306" s="706">
        <v>206.54</v>
      </c>
      <c r="CJ306" s="706">
        <f t="shared" si="734"/>
        <v>206.54</v>
      </c>
      <c r="CK306" s="706">
        <f t="shared" si="734"/>
        <v>206.54</v>
      </c>
      <c r="CL306" s="706">
        <f t="shared" si="734"/>
        <v>206.54</v>
      </c>
      <c r="CM306" s="706">
        <v>208.15</v>
      </c>
      <c r="CN306" s="706">
        <f t="shared" si="735"/>
        <v>208.15</v>
      </c>
      <c r="CO306" s="706">
        <f t="shared" si="735"/>
        <v>208.15</v>
      </c>
      <c r="CP306" s="706">
        <f t="shared" si="735"/>
        <v>208.15</v>
      </c>
      <c r="CQ306" s="706">
        <v>209.09</v>
      </c>
      <c r="CR306" s="706">
        <f>+CQ306</f>
        <v>209.09</v>
      </c>
      <c r="CS306" s="706">
        <f t="shared" ref="CS306:CT306" si="748">+CR306</f>
        <v>209.09</v>
      </c>
      <c r="CT306" s="706">
        <f t="shared" si="748"/>
        <v>209.09</v>
      </c>
      <c r="CU306" s="937">
        <f t="shared" si="737"/>
        <v>209.09</v>
      </c>
      <c r="CV306" s="937">
        <f t="shared" si="737"/>
        <v>209.09</v>
      </c>
      <c r="CW306" s="937">
        <f t="shared" si="737"/>
        <v>209.09</v>
      </c>
      <c r="CX306" s="937">
        <f t="shared" si="737"/>
        <v>209.09</v>
      </c>
      <c r="CY306" s="937">
        <f t="shared" si="738"/>
        <v>209.09</v>
      </c>
      <c r="CZ306" s="937">
        <f t="shared" si="739"/>
        <v>209.09</v>
      </c>
      <c r="DA306" s="937">
        <f t="shared" si="740"/>
        <v>209.09</v>
      </c>
      <c r="DB306" s="937">
        <f t="shared" si="741"/>
        <v>209.09</v>
      </c>
      <c r="DC306"/>
      <c r="DD306"/>
      <c r="DE306"/>
      <c r="DF306"/>
      <c r="DG306"/>
      <c r="DH306"/>
      <c r="DI306"/>
      <c r="DJ306"/>
      <c r="DK306"/>
      <c r="DL306"/>
      <c r="DM306"/>
      <c r="DN306"/>
      <c r="DO306"/>
    </row>
    <row r="307" spans="1:119" customFormat="1" ht="12.75" customHeight="1">
      <c r="A307" s="664" t="str">
        <f>"Y" &amp; ROW(InputY!A274)</f>
        <v>Y274</v>
      </c>
      <c r="B307" s="664" t="s">
        <v>819</v>
      </c>
      <c r="C307" s="3643"/>
      <c r="D307" s="1077"/>
      <c r="E307" s="1078" t="str">
        <f>+E281</f>
        <v>Services</v>
      </c>
      <c r="F307" s="1077"/>
      <c r="G307" s="1085"/>
      <c r="H307" s="1085"/>
      <c r="I307" s="1085"/>
      <c r="J307" s="1085" t="str">
        <f ca="1">OFFSET(InputY!$G274,0,(COLUMN()-10)/4)</f>
        <v>:</v>
      </c>
      <c r="K307" s="1085">
        <f ca="1">OFFSET(InputY!$G274,0,(COLUMN()-7)/4)</f>
        <v>103.13000000000001</v>
      </c>
      <c r="L307" s="1085">
        <f t="shared" ca="1" si="742"/>
        <v>103.13000000000001</v>
      </c>
      <c r="M307" s="1085">
        <f t="shared" ca="1" si="742"/>
        <v>103.13000000000001</v>
      </c>
      <c r="N307" s="1085">
        <f t="shared" ca="1" si="742"/>
        <v>103.13000000000001</v>
      </c>
      <c r="O307" s="1085">
        <f ca="1">OFFSET(InputY!$G274,0,(COLUMN()-7)/4)</f>
        <v>128.07</v>
      </c>
      <c r="P307" s="1085">
        <f t="shared" ca="1" si="717"/>
        <v>128.07</v>
      </c>
      <c r="Q307" s="1085">
        <f t="shared" ca="1" si="717"/>
        <v>128.07</v>
      </c>
      <c r="R307" s="1085">
        <f t="shared" ca="1" si="717"/>
        <v>128.07</v>
      </c>
      <c r="S307" s="1085">
        <f ca="1">OFFSET(InputY!$G274,0,(COLUMN()-7)/4)</f>
        <v>133.72</v>
      </c>
      <c r="T307" s="1085">
        <f t="shared" ca="1" si="718"/>
        <v>133.72</v>
      </c>
      <c r="U307" s="1085">
        <f t="shared" ca="1" si="718"/>
        <v>133.72</v>
      </c>
      <c r="V307" s="1085">
        <f t="shared" ca="1" si="718"/>
        <v>133.72</v>
      </c>
      <c r="W307" s="1085">
        <f ca="1">OFFSET(InputY!$G274,0,(COLUMN()-7)/4)</f>
        <v>145.38999999999999</v>
      </c>
      <c r="X307" s="1085">
        <f t="shared" ca="1" si="719"/>
        <v>145.38999999999999</v>
      </c>
      <c r="Y307" s="1085">
        <f t="shared" ca="1" si="719"/>
        <v>145.38999999999999</v>
      </c>
      <c r="Z307" s="1085">
        <f t="shared" ca="1" si="719"/>
        <v>145.38999999999999</v>
      </c>
      <c r="AA307" s="1085">
        <f ca="1">OFFSET(InputY!$G274,0,(COLUMN()-7)/4)</f>
        <v>152.91999999999999</v>
      </c>
      <c r="AB307" s="1085">
        <f t="shared" ca="1" si="720"/>
        <v>152.91999999999999</v>
      </c>
      <c r="AC307" s="1085">
        <f t="shared" ca="1" si="720"/>
        <v>152.91999999999999</v>
      </c>
      <c r="AD307" s="1085">
        <f t="shared" ca="1" si="720"/>
        <v>152.91999999999999</v>
      </c>
      <c r="AE307" s="1085">
        <f ca="1">OFFSET(InputY!$G274,0,(COLUMN()-7)/4)</f>
        <v>170.54</v>
      </c>
      <c r="AF307" s="1085">
        <f t="shared" ca="1" si="721"/>
        <v>170.54</v>
      </c>
      <c r="AG307" s="1085">
        <f t="shared" ca="1" si="721"/>
        <v>170.54</v>
      </c>
      <c r="AH307" s="1085">
        <f t="shared" ca="1" si="721"/>
        <v>170.54</v>
      </c>
      <c r="AI307" s="1085">
        <f ca="1">OFFSET(InputY!$G274,0,(COLUMN()-7)/4)</f>
        <v>209.57</v>
      </c>
      <c r="AJ307" s="1085">
        <f t="shared" ca="1" si="722"/>
        <v>209.57</v>
      </c>
      <c r="AK307" s="1085">
        <f t="shared" ca="1" si="722"/>
        <v>209.57</v>
      </c>
      <c r="AL307" s="1085">
        <f t="shared" ca="1" si="722"/>
        <v>209.57</v>
      </c>
      <c r="AM307" s="1085">
        <f ca="1">OFFSET(InputY!$G274,0,(COLUMN()-7)/4)</f>
        <v>222.06000000000003</v>
      </c>
      <c r="AN307" s="1085">
        <f t="shared" ca="1" si="723"/>
        <v>222.06000000000003</v>
      </c>
      <c r="AO307" s="1085">
        <f t="shared" ca="1" si="723"/>
        <v>222.06000000000003</v>
      </c>
      <c r="AP307" s="1085">
        <f t="shared" ca="1" si="723"/>
        <v>222.06000000000003</v>
      </c>
      <c r="AQ307" s="1085">
        <f ca="1">OFFSET(InputY!$G274,0,(COLUMN()-7)/4)</f>
        <v>230.37000000000003</v>
      </c>
      <c r="AR307" s="1085">
        <f t="shared" ca="1" si="724"/>
        <v>230.37000000000003</v>
      </c>
      <c r="AS307" s="1085">
        <f t="shared" ca="1" si="724"/>
        <v>230.37000000000003</v>
      </c>
      <c r="AT307" s="1085">
        <f t="shared" ca="1" si="724"/>
        <v>230.37000000000003</v>
      </c>
      <c r="AU307" s="1085">
        <f ca="1">OFFSET(InputY!$G274,0,(COLUMN()-7)/4)</f>
        <v>241.33000000000004</v>
      </c>
      <c r="AV307" s="1085">
        <f t="shared" ca="1" si="725"/>
        <v>241.33000000000004</v>
      </c>
      <c r="AW307" s="1085">
        <f t="shared" ca="1" si="725"/>
        <v>241.33000000000004</v>
      </c>
      <c r="AX307" s="1085">
        <f t="shared" ca="1" si="725"/>
        <v>241.33000000000004</v>
      </c>
      <c r="AY307" s="1085">
        <f ca="1">OFFSET(InputY!$G274,0,(COLUMN()-7)/4)</f>
        <v>251.66</v>
      </c>
      <c r="AZ307" s="1085">
        <f t="shared" ca="1" si="726"/>
        <v>251.66</v>
      </c>
      <c r="BA307" s="1085">
        <f t="shared" ca="1" si="726"/>
        <v>251.66</v>
      </c>
      <c r="BB307" s="1085">
        <f t="shared" ca="1" si="726"/>
        <v>251.66</v>
      </c>
      <c r="BC307" s="1085">
        <f ca="1">OFFSET(InputY!$G274,0,(COLUMN()-7)/4)</f>
        <v>244.97</v>
      </c>
      <c r="BD307" s="1085">
        <f t="shared" ca="1" si="727"/>
        <v>244.97</v>
      </c>
      <c r="BE307" s="1085">
        <f t="shared" ca="1" si="727"/>
        <v>244.97</v>
      </c>
      <c r="BF307" s="1085">
        <f t="shared" ca="1" si="727"/>
        <v>244.97</v>
      </c>
      <c r="BG307" s="1085">
        <f ca="1">OFFSET(InputY!$G274,0,(COLUMN()-7)/4)</f>
        <v>250.94</v>
      </c>
      <c r="BH307" s="1085">
        <f t="shared" ca="1" si="728"/>
        <v>250.94</v>
      </c>
      <c r="BI307" s="1085">
        <f t="shared" ca="1" si="728"/>
        <v>250.94</v>
      </c>
      <c r="BJ307" s="1085">
        <f t="shared" ca="1" si="728"/>
        <v>250.94</v>
      </c>
      <c r="BK307" s="1085">
        <f ca="1">OFFSET(InputY!$G274,0,(COLUMN()-7)/4)</f>
        <v>253.37000000000003</v>
      </c>
      <c r="BL307" s="1085">
        <f t="shared" ca="1" si="728"/>
        <v>253.37000000000003</v>
      </c>
      <c r="BM307" s="1085">
        <f t="shared" ca="1" si="728"/>
        <v>253.37000000000003</v>
      </c>
      <c r="BN307" s="1085">
        <f t="shared" ca="1" si="728"/>
        <v>253.37000000000003</v>
      </c>
      <c r="BO307" s="1085">
        <f ca="1">OFFSET(InputY!$G274,0,(COLUMN()-7)/4)</f>
        <v>260.44</v>
      </c>
      <c r="BP307" s="1085">
        <f t="shared" ca="1" si="730"/>
        <v>260.44</v>
      </c>
      <c r="BQ307" s="1085">
        <f t="shared" ca="1" si="730"/>
        <v>260.44</v>
      </c>
      <c r="BR307" s="1085">
        <f t="shared" ca="1" si="730"/>
        <v>260.44</v>
      </c>
      <c r="BS307" s="1085">
        <f ca="1">OFFSET(InputY!$G274,0,(COLUMN()-7)/4)</f>
        <v>247.30000000000004</v>
      </c>
      <c r="BT307" s="1085">
        <f t="shared" ca="1" si="731"/>
        <v>247.30000000000004</v>
      </c>
      <c r="BU307" s="1085">
        <f t="shared" ca="1" si="731"/>
        <v>247.30000000000004</v>
      </c>
      <c r="BV307" s="1085">
        <f t="shared" ca="1" si="731"/>
        <v>247.30000000000004</v>
      </c>
      <c r="BW307" s="1085">
        <f ca="1">OFFSET(InputY!$G274,0,(COLUMN()-7)/4)</f>
        <v>248.21</v>
      </c>
      <c r="BX307" s="1085">
        <f t="shared" ca="1" si="732"/>
        <v>248.21</v>
      </c>
      <c r="BY307" s="1085">
        <f t="shared" ca="1" si="732"/>
        <v>248.21</v>
      </c>
      <c r="BZ307" s="1085">
        <f ca="1">+BY307</f>
        <v>248.21</v>
      </c>
      <c r="CA307" s="1085">
        <f ca="1">OFFSET(InputY!$G274,0,(COLUMN()-7)/4)</f>
        <v>250.74</v>
      </c>
      <c r="CB307" s="1085">
        <f t="shared" ca="1" si="733"/>
        <v>250.74</v>
      </c>
      <c r="CC307" s="1085">
        <f t="shared" ca="1" si="733"/>
        <v>250.74</v>
      </c>
      <c r="CD307" s="1085">
        <f t="shared" ca="1" si="733"/>
        <v>250.74</v>
      </c>
      <c r="CE307" s="1085">
        <v>234.11</v>
      </c>
      <c r="CF307" s="1085">
        <f>1000-CF303-CF304-CF305-CF306</f>
        <v>234.10000000000002</v>
      </c>
      <c r="CG307" s="1085">
        <f>1000-CG303-CG304-CG305-CG306</f>
        <v>234.10000000000002</v>
      </c>
      <c r="CH307" s="1085">
        <f>1000-CH303-CH304-CH305-CH306</f>
        <v>234.10000000000002</v>
      </c>
      <c r="CI307" s="1085">
        <v>240.5</v>
      </c>
      <c r="CJ307" s="1085">
        <f>1000-CJ303-CJ304-CJ305-CJ306</f>
        <v>240.50000000000009</v>
      </c>
      <c r="CK307" s="1085">
        <f>1000-CK303-CK304-CK305-CK306</f>
        <v>240.50000000000009</v>
      </c>
      <c r="CL307" s="1085">
        <f>1000-CL303-CL304-CL305-CL306</f>
        <v>240.50000000000009</v>
      </c>
      <c r="CM307" s="1085">
        <v>244.81</v>
      </c>
      <c r="CN307" s="1085">
        <f t="shared" ref="CN307:CT307" si="749">1000-CN303-CN304-CN305-CN306</f>
        <v>244.80999999999997</v>
      </c>
      <c r="CO307" s="1085">
        <f t="shared" si="749"/>
        <v>244.80999999999997</v>
      </c>
      <c r="CP307" s="1085">
        <f t="shared" si="749"/>
        <v>244.80999999999997</v>
      </c>
      <c r="CQ307" s="1085">
        <v>265.12</v>
      </c>
      <c r="CR307" s="1085">
        <f t="shared" si="749"/>
        <v>265.12</v>
      </c>
      <c r="CS307" s="1085">
        <f t="shared" si="749"/>
        <v>265.12</v>
      </c>
      <c r="CT307" s="1085">
        <f t="shared" si="749"/>
        <v>265.12</v>
      </c>
      <c r="CU307" s="3195">
        <f>1000-CU303-CU304-CU305-CU306</f>
        <v>265.12</v>
      </c>
      <c r="CV307" s="3195">
        <f t="shared" ref="CV307:DB307" si="750">1000-CV303-CV304-CV305-CV306</f>
        <v>265.12</v>
      </c>
      <c r="CW307" s="3195">
        <f t="shared" si="750"/>
        <v>265.12</v>
      </c>
      <c r="CX307" s="3195">
        <f t="shared" si="750"/>
        <v>265.12</v>
      </c>
      <c r="CY307" s="3195">
        <f t="shared" si="750"/>
        <v>265.12</v>
      </c>
      <c r="CZ307" s="3195">
        <f t="shared" si="750"/>
        <v>265.12</v>
      </c>
      <c r="DA307" s="3195">
        <f t="shared" si="750"/>
        <v>265.12</v>
      </c>
      <c r="DB307" s="3195">
        <f t="shared" si="750"/>
        <v>265.12</v>
      </c>
    </row>
    <row r="308" spans="1:119" customFormat="1" ht="12.75" customHeight="1">
      <c r="A308" s="664"/>
      <c r="B308" s="664"/>
      <c r="C308" s="3617"/>
      <c r="D308" s="1055"/>
      <c r="E308" s="1056" t="str">
        <f>+E283</f>
        <v>HICP</v>
      </c>
      <c r="F308" s="1055"/>
      <c r="G308" s="1057"/>
      <c r="H308" s="1057"/>
      <c r="I308" s="1057"/>
      <c r="J308" s="1057"/>
      <c r="K308" s="1057">
        <f t="shared" ref="K308:AP308" ca="1" si="751">+SUM(K303:K307)</f>
        <v>1000.0100000000001</v>
      </c>
      <c r="L308" s="1057">
        <f t="shared" ca="1" si="751"/>
        <v>1000.0100000000001</v>
      </c>
      <c r="M308" s="1057">
        <f t="shared" ca="1" si="751"/>
        <v>1000.0100000000001</v>
      </c>
      <c r="N308" s="1057">
        <f t="shared" ca="1" si="751"/>
        <v>1000.0100000000001</v>
      </c>
      <c r="O308" s="1057">
        <f t="shared" ca="1" si="751"/>
        <v>1000.0100000000002</v>
      </c>
      <c r="P308" s="1057">
        <f t="shared" ca="1" si="751"/>
        <v>1000.0100000000002</v>
      </c>
      <c r="Q308" s="1057">
        <f t="shared" ca="1" si="751"/>
        <v>1000.0100000000002</v>
      </c>
      <c r="R308" s="1057">
        <f t="shared" ca="1" si="751"/>
        <v>1000.0100000000002</v>
      </c>
      <c r="S308" s="1057">
        <f t="shared" ca="1" si="751"/>
        <v>1000.0100000000001</v>
      </c>
      <c r="T308" s="1057">
        <f t="shared" ca="1" si="751"/>
        <v>1000.0100000000001</v>
      </c>
      <c r="U308" s="1057">
        <f t="shared" ca="1" si="751"/>
        <v>1000.0100000000001</v>
      </c>
      <c r="V308" s="1057">
        <f t="shared" ca="1" si="751"/>
        <v>1000.0100000000001</v>
      </c>
      <c r="W308" s="1057">
        <f t="shared" ca="1" si="751"/>
        <v>1000.0100000000001</v>
      </c>
      <c r="X308" s="1057">
        <f t="shared" ca="1" si="751"/>
        <v>1000.0100000000001</v>
      </c>
      <c r="Y308" s="1057">
        <f t="shared" ca="1" si="751"/>
        <v>1000.0100000000001</v>
      </c>
      <c r="Z308" s="1057">
        <f t="shared" ca="1" si="751"/>
        <v>1000.0100000000001</v>
      </c>
      <c r="AA308" s="1057">
        <f t="shared" ca="1" si="751"/>
        <v>999.9899999999999</v>
      </c>
      <c r="AB308" s="1057">
        <f t="shared" ca="1" si="751"/>
        <v>999.9899999999999</v>
      </c>
      <c r="AC308" s="1057">
        <f t="shared" ca="1" si="751"/>
        <v>999.9899999999999</v>
      </c>
      <c r="AD308" s="1057">
        <f t="shared" ca="1" si="751"/>
        <v>999.9899999999999</v>
      </c>
      <c r="AE308" s="1057">
        <f t="shared" ca="1" si="751"/>
        <v>999.99999999999989</v>
      </c>
      <c r="AF308" s="1057">
        <f t="shared" ca="1" si="751"/>
        <v>999.99999999999989</v>
      </c>
      <c r="AG308" s="1057">
        <f t="shared" ca="1" si="751"/>
        <v>999.99999999999989</v>
      </c>
      <c r="AH308" s="1057">
        <f t="shared" ca="1" si="751"/>
        <v>999.99999999999989</v>
      </c>
      <c r="AI308" s="1057">
        <f t="shared" ca="1" si="751"/>
        <v>1000.01</v>
      </c>
      <c r="AJ308" s="1057">
        <f t="shared" ca="1" si="751"/>
        <v>1000.01</v>
      </c>
      <c r="AK308" s="1057">
        <f t="shared" ca="1" si="751"/>
        <v>1000.01</v>
      </c>
      <c r="AL308" s="1057">
        <f t="shared" ca="1" si="751"/>
        <v>1000.01</v>
      </c>
      <c r="AM308" s="1057">
        <f t="shared" ca="1" si="751"/>
        <v>1000.0000000000001</v>
      </c>
      <c r="AN308" s="1057">
        <f t="shared" ca="1" si="751"/>
        <v>1000.0000000000001</v>
      </c>
      <c r="AO308" s="1057">
        <f t="shared" ca="1" si="751"/>
        <v>1000.0000000000001</v>
      </c>
      <c r="AP308" s="1057">
        <f t="shared" ca="1" si="751"/>
        <v>1000.0000000000001</v>
      </c>
      <c r="AQ308" s="1057">
        <f t="shared" ref="AQ308:BN308" ca="1" si="752">+SUM(AQ303:AQ307)</f>
        <v>999.99</v>
      </c>
      <c r="AR308" s="1057">
        <f t="shared" ca="1" si="752"/>
        <v>999.99</v>
      </c>
      <c r="AS308" s="1057">
        <f t="shared" ca="1" si="752"/>
        <v>999.99</v>
      </c>
      <c r="AT308" s="1057">
        <f t="shared" ca="1" si="752"/>
        <v>999.99</v>
      </c>
      <c r="AU308" s="1057">
        <f t="shared" ca="1" si="752"/>
        <v>1000.0100000000001</v>
      </c>
      <c r="AV308" s="1057">
        <f t="shared" ca="1" si="752"/>
        <v>1000.0100000000001</v>
      </c>
      <c r="AW308" s="1057">
        <f t="shared" ca="1" si="752"/>
        <v>1000.0100000000001</v>
      </c>
      <c r="AX308" s="1057">
        <f t="shared" ca="1" si="752"/>
        <v>1000.0100000000001</v>
      </c>
      <c r="AY308" s="1057">
        <f t="shared" ca="1" si="752"/>
        <v>1000.01</v>
      </c>
      <c r="AZ308" s="1057">
        <f t="shared" ca="1" si="752"/>
        <v>1000.01</v>
      </c>
      <c r="BA308" s="1057">
        <f t="shared" ca="1" si="752"/>
        <v>1000.01</v>
      </c>
      <c r="BB308" s="1057">
        <f t="shared" ca="1" si="752"/>
        <v>1000.01</v>
      </c>
      <c r="BC308" s="1057">
        <f t="shared" ca="1" si="752"/>
        <v>1000</v>
      </c>
      <c r="BD308" s="1057">
        <f t="shared" ca="1" si="752"/>
        <v>1000</v>
      </c>
      <c r="BE308" s="1057">
        <f t="shared" ca="1" si="752"/>
        <v>1000</v>
      </c>
      <c r="BF308" s="1057">
        <f t="shared" ca="1" si="752"/>
        <v>1000</v>
      </c>
      <c r="BG308" s="1057">
        <f ca="1">+SUM(BG303:BG307)</f>
        <v>1000</v>
      </c>
      <c r="BH308" s="1057">
        <f ca="1">+SUM(BH303:BH307)</f>
        <v>1000</v>
      </c>
      <c r="BI308" s="1057">
        <f ca="1">+SUM(BI303:BI307)</f>
        <v>1000</v>
      </c>
      <c r="BJ308" s="872">
        <f t="shared" ca="1" si="752"/>
        <v>1000</v>
      </c>
      <c r="BK308" s="872">
        <f t="shared" ca="1" si="752"/>
        <v>1000</v>
      </c>
      <c r="BL308" s="872">
        <f t="shared" ca="1" si="752"/>
        <v>1000</v>
      </c>
      <c r="BM308" s="872">
        <f t="shared" ca="1" si="752"/>
        <v>1000</v>
      </c>
      <c r="BN308" s="872">
        <f t="shared" ca="1" si="752"/>
        <v>1000</v>
      </c>
      <c r="BO308" s="872">
        <f ca="1">+SUM(BO303:BO307)</f>
        <v>999.99</v>
      </c>
      <c r="BP308" s="872">
        <f ca="1">+SUM(BP303:BP307)</f>
        <v>999.99</v>
      </c>
      <c r="BQ308" s="872">
        <f ca="1">+SUM(BQ303:BQ307)</f>
        <v>999.99</v>
      </c>
      <c r="BR308" s="872">
        <f ca="1">+SUM(BR303:BR307)</f>
        <v>999.99</v>
      </c>
      <c r="BS308" s="872">
        <f t="shared" ref="BS308:BZ308" ca="1" si="753">+SUM(BS303:BS307)</f>
        <v>1000.0100000000002</v>
      </c>
      <c r="BT308" s="872">
        <f t="shared" ca="1" si="753"/>
        <v>1000.0100000000002</v>
      </c>
      <c r="BU308" s="872">
        <f t="shared" ca="1" si="753"/>
        <v>1000.0100000000002</v>
      </c>
      <c r="BV308" s="872">
        <f t="shared" ca="1" si="753"/>
        <v>1000.0100000000002</v>
      </c>
      <c r="BW308" s="872">
        <f t="shared" ca="1" si="753"/>
        <v>1000</v>
      </c>
      <c r="BX308" s="872">
        <f t="shared" ca="1" si="753"/>
        <v>1000</v>
      </c>
      <c r="BY308" s="872">
        <f t="shared" ca="1" si="753"/>
        <v>1000</v>
      </c>
      <c r="BZ308" s="872">
        <f t="shared" ca="1" si="753"/>
        <v>1000</v>
      </c>
      <c r="CA308" s="872">
        <f t="shared" ref="CA308:CH308" ca="1" si="754">+SUM(CA303:CA307)</f>
        <v>999.99000000000012</v>
      </c>
      <c r="CB308" s="872">
        <f t="shared" ca="1" si="754"/>
        <v>999.99000000000012</v>
      </c>
      <c r="CC308" s="872">
        <f t="shared" ca="1" si="754"/>
        <v>999.99000000000012</v>
      </c>
      <c r="CD308" s="872">
        <f t="shared" ca="1" si="754"/>
        <v>999.99000000000012</v>
      </c>
      <c r="CE308" s="872">
        <f t="shared" si="754"/>
        <v>1000.0099999999999</v>
      </c>
      <c r="CF308" s="872">
        <f t="shared" si="754"/>
        <v>999.99999999999989</v>
      </c>
      <c r="CG308" s="872">
        <f t="shared" si="754"/>
        <v>999.99999999999989</v>
      </c>
      <c r="CH308" s="872">
        <f t="shared" si="754"/>
        <v>999.99999999999989</v>
      </c>
      <c r="CI308" s="872">
        <f t="shared" ref="CI308:CP308" si="755">+SUM(CI303:CI307)</f>
        <v>999.99999999999989</v>
      </c>
      <c r="CJ308" s="872">
        <f t="shared" si="755"/>
        <v>1000</v>
      </c>
      <c r="CK308" s="872">
        <f t="shared" si="755"/>
        <v>1000</v>
      </c>
      <c r="CL308" s="872">
        <f t="shared" si="755"/>
        <v>1000</v>
      </c>
      <c r="CM308" s="872">
        <f t="shared" si="755"/>
        <v>1000</v>
      </c>
      <c r="CN308" s="872">
        <f t="shared" si="755"/>
        <v>999.99999999999989</v>
      </c>
      <c r="CO308" s="872">
        <f t="shared" si="755"/>
        <v>999.99999999999989</v>
      </c>
      <c r="CP308" s="872">
        <f t="shared" si="755"/>
        <v>999.99999999999989</v>
      </c>
      <c r="CQ308" s="872">
        <f t="shared" ref="CQ308:CX308" si="756">+SUM(CQ303:CQ307)</f>
        <v>1000</v>
      </c>
      <c r="CR308" s="872">
        <f t="shared" si="756"/>
        <v>1000</v>
      </c>
      <c r="CS308" s="872">
        <f t="shared" si="756"/>
        <v>1000</v>
      </c>
      <c r="CT308" s="872">
        <f t="shared" si="756"/>
        <v>1000</v>
      </c>
      <c r="CU308" s="872">
        <f t="shared" si="756"/>
        <v>1000</v>
      </c>
      <c r="CV308" s="872">
        <f t="shared" si="756"/>
        <v>1000</v>
      </c>
      <c r="CW308" s="872">
        <f t="shared" si="756"/>
        <v>1000</v>
      </c>
      <c r="CX308" s="872">
        <f t="shared" si="756"/>
        <v>1000</v>
      </c>
      <c r="CY308" s="872">
        <f t="shared" ref="CY308:DB308" si="757">+SUM(CY303:CY307)</f>
        <v>1000</v>
      </c>
      <c r="CZ308" s="872">
        <f t="shared" si="757"/>
        <v>1000</v>
      </c>
      <c r="DA308" s="872">
        <f t="shared" si="757"/>
        <v>1000</v>
      </c>
      <c r="DB308" s="872">
        <f t="shared" si="757"/>
        <v>1000</v>
      </c>
    </row>
    <row r="309" spans="1:119" ht="12.75" customHeight="1">
      <c r="E309" s="599"/>
      <c r="F309" s="3617"/>
      <c r="AY309" s="217"/>
      <c r="BA309" s="217"/>
      <c r="BB309" s="217"/>
      <c r="BC309" s="217"/>
      <c r="BD309" s="217"/>
      <c r="BE309" s="217"/>
      <c r="BF309" s="217"/>
      <c r="BG309" s="217"/>
      <c r="BH309" s="217"/>
      <c r="BI309" s="217"/>
      <c r="CH309" s="1693"/>
      <c r="CJ309" s="1693"/>
      <c r="CK309" s="1693"/>
      <c r="CL309" s="1693"/>
      <c r="CM309" s="1693"/>
      <c r="CN309" s="1693"/>
      <c r="CO309" s="1693"/>
      <c r="CP309" s="1693"/>
      <c r="CQ309" s="1693"/>
      <c r="CR309" s="1693"/>
      <c r="CS309" s="1693"/>
      <c r="CT309" s="1693"/>
      <c r="CU309" s="1693"/>
      <c r="CV309" s="1693"/>
      <c r="CW309" s="1693"/>
      <c r="CX309" s="1693"/>
      <c r="CY309" s="1693"/>
      <c r="CZ309" s="1693"/>
      <c r="DA309" s="1693"/>
      <c r="DB309" s="1693"/>
    </row>
    <row r="310" spans="1:119" s="699" customFormat="1" ht="12.75" customHeight="1">
      <c r="A310" s="664"/>
      <c r="B310" s="664"/>
      <c r="C310" s="1553"/>
      <c r="D310" s="742"/>
      <c r="E310" s="3384" t="s">
        <v>2005</v>
      </c>
      <c r="F310" s="3622"/>
      <c r="G310" s="1578" t="s">
        <v>1842</v>
      </c>
      <c r="H310" s="1579" t="s">
        <v>1843</v>
      </c>
      <c r="I310" s="1579" t="s">
        <v>1844</v>
      </c>
      <c r="J310" s="1579" t="s">
        <v>1845</v>
      </c>
      <c r="K310" s="1579" t="s">
        <v>1842</v>
      </c>
      <c r="L310" s="1579" t="s">
        <v>1843</v>
      </c>
      <c r="M310" s="1579" t="s">
        <v>1844</v>
      </c>
      <c r="N310" s="1579" t="s">
        <v>1845</v>
      </c>
      <c r="O310" s="1579" t="s">
        <v>1842</v>
      </c>
      <c r="P310" s="1579" t="s">
        <v>1843</v>
      </c>
      <c r="Q310" s="1579" t="s">
        <v>1844</v>
      </c>
      <c r="R310" s="1579" t="s">
        <v>1845</v>
      </c>
      <c r="S310" s="1579" t="s">
        <v>1842</v>
      </c>
      <c r="T310" s="1579" t="s">
        <v>1843</v>
      </c>
      <c r="U310" s="1579" t="s">
        <v>1844</v>
      </c>
      <c r="V310" s="1579" t="s">
        <v>1845</v>
      </c>
      <c r="W310" s="1579" t="s">
        <v>1842</v>
      </c>
      <c r="X310" s="1579" t="s">
        <v>1843</v>
      </c>
      <c r="Y310" s="1579" t="s">
        <v>1844</v>
      </c>
      <c r="Z310" s="1579" t="s">
        <v>1845</v>
      </c>
      <c r="AA310" s="1579" t="s">
        <v>1842</v>
      </c>
      <c r="AB310" s="1579" t="s">
        <v>1843</v>
      </c>
      <c r="AC310" s="1579" t="s">
        <v>1844</v>
      </c>
      <c r="AD310" s="1579" t="s">
        <v>1845</v>
      </c>
      <c r="AE310" s="1579" t="s">
        <v>1842</v>
      </c>
      <c r="AF310" s="1579" t="s">
        <v>1843</v>
      </c>
      <c r="AG310" s="1579" t="s">
        <v>1844</v>
      </c>
      <c r="AH310" s="1579" t="s">
        <v>1845</v>
      </c>
      <c r="AI310" s="1579" t="s">
        <v>1842</v>
      </c>
      <c r="AJ310" s="1579" t="s">
        <v>1843</v>
      </c>
      <c r="AK310" s="1579" t="s">
        <v>1844</v>
      </c>
      <c r="AL310" s="1579" t="s">
        <v>1845</v>
      </c>
      <c r="AM310" s="1579" t="s">
        <v>1842</v>
      </c>
      <c r="AN310" s="1579" t="s">
        <v>1843</v>
      </c>
      <c r="AO310" s="1579" t="s">
        <v>1844</v>
      </c>
      <c r="AP310" s="1579" t="s">
        <v>1845</v>
      </c>
      <c r="AQ310" s="1579" t="s">
        <v>1842</v>
      </c>
      <c r="AR310" s="1579" t="s">
        <v>1843</v>
      </c>
      <c r="AS310" s="1579" t="s">
        <v>1844</v>
      </c>
      <c r="AT310" s="1579" t="s">
        <v>1845</v>
      </c>
      <c r="AU310" s="1579" t="s">
        <v>1842</v>
      </c>
      <c r="AV310" s="1579" t="s">
        <v>1843</v>
      </c>
      <c r="AW310" s="1579" t="s">
        <v>1844</v>
      </c>
      <c r="AX310" s="1579" t="s">
        <v>1845</v>
      </c>
      <c r="AY310" s="1579" t="s">
        <v>1842</v>
      </c>
      <c r="AZ310" s="1579" t="s">
        <v>1843</v>
      </c>
      <c r="BA310" s="1579" t="s">
        <v>1844</v>
      </c>
      <c r="BB310" s="1579" t="s">
        <v>1845</v>
      </c>
      <c r="BC310" s="1579" t="s">
        <v>1842</v>
      </c>
      <c r="BD310" s="1579" t="s">
        <v>1843</v>
      </c>
      <c r="BE310" s="1579" t="s">
        <v>1844</v>
      </c>
      <c r="BF310" s="1579" t="s">
        <v>1845</v>
      </c>
      <c r="BG310" s="1579" t="s">
        <v>1842</v>
      </c>
      <c r="BH310" s="1579" t="s">
        <v>1843</v>
      </c>
      <c r="BI310" s="1579" t="s">
        <v>1844</v>
      </c>
      <c r="BJ310" s="1579" t="s">
        <v>1845</v>
      </c>
      <c r="BK310" s="1579" t="s">
        <v>1842</v>
      </c>
      <c r="BL310" s="1579" t="s">
        <v>1843</v>
      </c>
      <c r="BM310" s="1579" t="s">
        <v>1844</v>
      </c>
      <c r="BN310" s="1579" t="s">
        <v>1845</v>
      </c>
      <c r="BO310" s="1579" t="s">
        <v>1842</v>
      </c>
      <c r="BP310" s="1579" t="s">
        <v>1843</v>
      </c>
      <c r="BQ310" s="1579" t="s">
        <v>1844</v>
      </c>
      <c r="BR310" s="1579" t="s">
        <v>1845</v>
      </c>
      <c r="BS310" s="1579" t="s">
        <v>1842</v>
      </c>
      <c r="BT310" s="1579" t="s">
        <v>1843</v>
      </c>
      <c r="BU310" s="1579" t="s">
        <v>1844</v>
      </c>
      <c r="BV310" s="1579" t="s">
        <v>1845</v>
      </c>
      <c r="BW310" s="1579" t="s">
        <v>1842</v>
      </c>
      <c r="BX310" s="1579" t="s">
        <v>1843</v>
      </c>
      <c r="BY310" s="1579" t="s">
        <v>1844</v>
      </c>
      <c r="BZ310" s="1579" t="s">
        <v>1845</v>
      </c>
      <c r="CA310" s="1579" t="s">
        <v>1842</v>
      </c>
      <c r="CB310" s="1579" t="s">
        <v>1843</v>
      </c>
      <c r="CC310" s="1579" t="s">
        <v>1844</v>
      </c>
      <c r="CD310" s="1579" t="s">
        <v>1845</v>
      </c>
      <c r="CE310" s="1579" t="s">
        <v>1842</v>
      </c>
      <c r="CF310" s="1579" t="s">
        <v>1843</v>
      </c>
      <c r="CG310" s="1579" t="s">
        <v>1844</v>
      </c>
      <c r="CH310" s="1579" t="s">
        <v>1845</v>
      </c>
      <c r="CI310" s="1579" t="s">
        <v>1842</v>
      </c>
      <c r="CJ310" s="1579" t="s">
        <v>1843</v>
      </c>
      <c r="CK310" s="1579" t="s">
        <v>1844</v>
      </c>
      <c r="CL310" s="1579" t="s">
        <v>1845</v>
      </c>
      <c r="CM310" s="1579" t="s">
        <v>1842</v>
      </c>
      <c r="CN310" s="1579" t="s">
        <v>1843</v>
      </c>
      <c r="CO310" s="1579" t="s">
        <v>1844</v>
      </c>
      <c r="CP310" s="1579" t="s">
        <v>1845</v>
      </c>
      <c r="CQ310" s="1579" t="s">
        <v>1842</v>
      </c>
      <c r="CR310" s="1579" t="s">
        <v>1843</v>
      </c>
      <c r="CS310" s="1579" t="s">
        <v>1844</v>
      </c>
      <c r="CT310" s="1579" t="s">
        <v>1845</v>
      </c>
      <c r="CU310" s="1579" t="s">
        <v>1842</v>
      </c>
      <c r="CV310" s="1579" t="s">
        <v>1843</v>
      </c>
      <c r="CW310" s="1579" t="s">
        <v>1844</v>
      </c>
      <c r="CX310" s="1579" t="s">
        <v>1845</v>
      </c>
      <c r="CY310" s="1579" t="s">
        <v>1842</v>
      </c>
      <c r="CZ310" s="1579" t="s">
        <v>1843</v>
      </c>
      <c r="DA310" s="1579" t="s">
        <v>1844</v>
      </c>
      <c r="DB310" s="1579" t="s">
        <v>1845</v>
      </c>
      <c r="DC310"/>
      <c r="DD310"/>
      <c r="DE310"/>
      <c r="DF310"/>
      <c r="DG310"/>
      <c r="DH310"/>
      <c r="DI310"/>
      <c r="DJ310"/>
      <c r="DK310"/>
      <c r="DL310"/>
      <c r="DM310"/>
      <c r="DN310"/>
      <c r="DO310"/>
    </row>
    <row r="311" spans="1:119" s="699" customFormat="1" ht="12.75" customHeight="1">
      <c r="B311" s="664"/>
      <c r="C311" s="692"/>
      <c r="D311" s="689"/>
      <c r="E311" s="3623" t="str">
        <f>+E303</f>
        <v>Non-energy industrial goods</v>
      </c>
      <c r="F311" s="3624"/>
      <c r="G311" s="2879"/>
      <c r="H311" s="2879"/>
      <c r="I311" s="2879"/>
      <c r="J311" s="2879"/>
      <c r="K311" s="2879"/>
      <c r="L311" s="2879"/>
      <c r="M311" s="2879"/>
      <c r="N311" s="2879"/>
      <c r="O311" s="2879">
        <f t="shared" ref="O311:X316" si="758">+O277/K277*100-100</f>
        <v>10.834900338473147</v>
      </c>
      <c r="P311" s="2879">
        <f t="shared" si="758"/>
        <v>8.4598303665683687</v>
      </c>
      <c r="Q311" s="2879">
        <f t="shared" si="758"/>
        <v>7.9892056954159614</v>
      </c>
      <c r="R311" s="2879">
        <f t="shared" si="758"/>
        <v>6.7626843504991143</v>
      </c>
      <c r="S311" s="2879">
        <f t="shared" si="758"/>
        <v>5.5172881816022681</v>
      </c>
      <c r="T311" s="2879">
        <f t="shared" si="758"/>
        <v>5.0948145662023734</v>
      </c>
      <c r="U311" s="2879">
        <f t="shared" si="758"/>
        <v>5.3036530431065643</v>
      </c>
      <c r="V311" s="2879">
        <f t="shared" si="758"/>
        <v>4.8914625861343808</v>
      </c>
      <c r="W311" s="2879">
        <f t="shared" si="758"/>
        <v>4.5502781618805557</v>
      </c>
      <c r="X311" s="2879">
        <f t="shared" si="758"/>
        <v>3.5767891929869364</v>
      </c>
      <c r="Y311" s="2879">
        <f t="shared" ref="Y311:AH316" si="759">+Y277/U277*100-100</f>
        <v>0.80559545369389696</v>
      </c>
      <c r="Z311" s="2879">
        <f t="shared" si="759"/>
        <v>-0.41945532492366056</v>
      </c>
      <c r="AA311" s="2879">
        <f t="shared" si="759"/>
        <v>-1.171875</v>
      </c>
      <c r="AB311" s="2879">
        <f t="shared" si="759"/>
        <v>-1.5478062467240221</v>
      </c>
      <c r="AC311" s="2879">
        <f t="shared" si="759"/>
        <v>-2.0815264527320068</v>
      </c>
      <c r="AD311" s="2879">
        <f t="shared" si="759"/>
        <v>-2.4684857682658787</v>
      </c>
      <c r="AE311" s="2879">
        <f t="shared" si="759"/>
        <v>-3.0375649684105923</v>
      </c>
      <c r="AF311" s="2879">
        <f t="shared" si="759"/>
        <v>-2.903134884594877</v>
      </c>
      <c r="AG311" s="2879">
        <f t="shared" si="759"/>
        <v>-2.7521194483107791</v>
      </c>
      <c r="AH311" s="2879">
        <f t="shared" si="759"/>
        <v>-1.8545570022229185</v>
      </c>
      <c r="AI311" s="2879">
        <f t="shared" ref="AI311:AR316" si="760">+AI277/AE277*100-100</f>
        <v>-1.9964692665703296</v>
      </c>
      <c r="AJ311" s="2879">
        <f t="shared" si="760"/>
        <v>-1.6062443555670285</v>
      </c>
      <c r="AK311" s="2879">
        <f t="shared" si="760"/>
        <v>-1.9224513694619674</v>
      </c>
      <c r="AL311" s="2879">
        <f t="shared" si="760"/>
        <v>-1.4301430143014215</v>
      </c>
      <c r="AM311" s="2879">
        <f t="shared" si="760"/>
        <v>-1.5360429699014446</v>
      </c>
      <c r="AN311" s="2879">
        <f t="shared" si="760"/>
        <v>-1.4456172556218547</v>
      </c>
      <c r="AO311" s="2879">
        <f t="shared" si="760"/>
        <v>-1.6118868362574972</v>
      </c>
      <c r="AP311" s="2879">
        <f t="shared" si="760"/>
        <v>-1.5099789915966397</v>
      </c>
      <c r="AQ311" s="2879">
        <f t="shared" si="760"/>
        <v>-1.5832889835018449</v>
      </c>
      <c r="AR311" s="2879">
        <f t="shared" si="760"/>
        <v>-0.2926991518376667</v>
      </c>
      <c r="AS311" s="2879">
        <f t="shared" ref="AS311:BB316" si="761">+AS277/AO277*100-100</f>
        <v>0.27304904769933103</v>
      </c>
      <c r="AT311" s="2879">
        <f t="shared" si="761"/>
        <v>0.80655912544993669</v>
      </c>
      <c r="AU311" s="2879">
        <f t="shared" si="761"/>
        <v>-0.36501284304448234</v>
      </c>
      <c r="AV311" s="2879">
        <f t="shared" si="761"/>
        <v>-0.9473930013009948</v>
      </c>
      <c r="AW311" s="2879">
        <f t="shared" si="761"/>
        <v>-0.75976601896053353</v>
      </c>
      <c r="AX311" s="2879">
        <f t="shared" si="761"/>
        <v>-0.52899556966210071</v>
      </c>
      <c r="AY311" s="2879">
        <f t="shared" si="761"/>
        <v>0.23405698778833539</v>
      </c>
      <c r="AZ311" s="2879">
        <f t="shared" si="761"/>
        <v>-0.10103391371704618</v>
      </c>
      <c r="BA311" s="2879">
        <f t="shared" si="761"/>
        <v>-0.23035230352304836</v>
      </c>
      <c r="BB311" s="2879">
        <f t="shared" si="761"/>
        <v>-0.42877085687695171</v>
      </c>
      <c r="BC311" s="2879">
        <f t="shared" ref="BC311:BF316" si="762">+BC277/AY277*100-100</f>
        <v>-0.56516294967681802</v>
      </c>
      <c r="BD311" s="2879">
        <f t="shared" si="762"/>
        <v>-0.40791558507233106</v>
      </c>
      <c r="BE311" s="2879">
        <f t="shared" si="762"/>
        <v>-9.5069944316179544E-2</v>
      </c>
      <c r="BF311" s="2879">
        <f t="shared" si="762"/>
        <v>0.20028707814535096</v>
      </c>
      <c r="BG311" s="2879">
        <f t="shared" ref="BG311:BG317" si="763">+BG277/BC277*100-100</f>
        <v>1.3239398271050362</v>
      </c>
      <c r="BH311" s="2879">
        <f t="shared" ref="BH311:BH317" si="764">+BH277/BD277*100-100</f>
        <v>2.1968722496784352</v>
      </c>
      <c r="BI311" s="2879">
        <f t="shared" ref="BI311:BI317" si="765">+BI277/BE277*100-100</f>
        <v>2.1513050570962378</v>
      </c>
      <c r="BJ311" s="2879">
        <f t="shared" ref="BJ311:BL315" si="766">+BJ277/BF277*100-100</f>
        <v>1.5957624013059046</v>
      </c>
      <c r="BK311" s="2879">
        <f t="shared" si="766"/>
        <v>2.8887172080212338</v>
      </c>
      <c r="BL311" s="2879">
        <f t="shared" si="766"/>
        <v>4.3059189824788291E-2</v>
      </c>
      <c r="BM311" s="2879">
        <f t="shared" ref="BM311:BM317" si="767">+BM277/BI277*100-100</f>
        <v>-0.761885750407572</v>
      </c>
      <c r="BN311" s="2879">
        <f t="shared" ref="BN311:BN317" si="768">+BN277/BJ277*100-100</f>
        <v>-1.1706453305351516</v>
      </c>
      <c r="BO311" s="2879">
        <f t="shared" ref="BO311:BO317" si="769">+BO277/BK277*100-100</f>
        <v>-3.6172504978616331</v>
      </c>
      <c r="BP311" s="2879">
        <f t="shared" ref="BP311:BP317" si="770">+BP277/BL277*100-100</f>
        <v>-2.5857502317573875</v>
      </c>
      <c r="BQ311" s="2879">
        <f t="shared" ref="BQ311:BQ317" si="771">+BQ277/BM277*100-100</f>
        <v>-2.6786911626659418</v>
      </c>
      <c r="BR311" s="2879">
        <f t="shared" ref="BR311:BR317" si="772">+BR277/BN277*100-100</f>
        <v>-2.5979627724874632</v>
      </c>
      <c r="BS311" s="2879">
        <f t="shared" ref="BS311:BS317" si="773">+BS277/BO277*100-100</f>
        <v>-2.249093926768964</v>
      </c>
      <c r="BT311" s="2879">
        <f t="shared" ref="BT311:BT317" si="774">+BT277/BP277*100-100</f>
        <v>-1.0196105087857177E-2</v>
      </c>
      <c r="BU311" s="2879">
        <f t="shared" ref="BU311:BU317" si="775">+BU277/BQ277*100-100</f>
        <v>-0.19291053773812905</v>
      </c>
      <c r="BV311" s="2879">
        <f t="shared" ref="BV311:BZ315" si="776">+BV277/BR277*100-100</f>
        <v>-0.14647772176047624</v>
      </c>
      <c r="BW311" s="2879">
        <f t="shared" si="776"/>
        <v>0.42967531792508851</v>
      </c>
      <c r="BX311" s="2879">
        <f t="shared" si="776"/>
        <v>0.41808293677772213</v>
      </c>
      <c r="BY311" s="2879">
        <f t="shared" si="776"/>
        <v>1.5083008318089242</v>
      </c>
      <c r="BZ311" s="2879">
        <f t="shared" si="776"/>
        <v>2.1185139699109783</v>
      </c>
      <c r="CA311" s="2879">
        <f t="shared" ref="CA311:CA317" si="777">+CA277/BW277*100-100</f>
        <v>1.6664941517441179</v>
      </c>
      <c r="CB311" s="2879">
        <f t="shared" ref="CB311:CB317" si="778">+CB277/BX277*100-100</f>
        <v>1.2557966354127785</v>
      </c>
      <c r="CC311" s="2879">
        <f t="shared" ref="CC311:CH315" si="779">+CC277/BY277*100-100</f>
        <v>0.42502550153007235</v>
      </c>
      <c r="CD311" s="2879">
        <f t="shared" si="779"/>
        <v>0.49442105966457461</v>
      </c>
      <c r="CE311" s="2879">
        <f t="shared" si="779"/>
        <v>0.39028032308425509</v>
      </c>
      <c r="CF311" s="2879">
        <f t="shared" si="779"/>
        <v>8.0229992645584502E-2</v>
      </c>
      <c r="CG311" s="2879">
        <f t="shared" si="779"/>
        <v>4.4015574741834484E-2</v>
      </c>
      <c r="CH311" s="2879">
        <f>+CH277/CD277*100-100</f>
        <v>-0.20277907054050104</v>
      </c>
      <c r="CI311" s="2879">
        <f t="shared" ref="CI311:CP315" si="780">+CI277/CE277*100-100</f>
        <v>3.7186031574293565E-2</v>
      </c>
      <c r="CJ311" s="2879">
        <f t="shared" si="780"/>
        <v>0.53109760171020071</v>
      </c>
      <c r="CK311" s="2879">
        <f t="shared" si="780"/>
        <v>0.89684581020709686</v>
      </c>
      <c r="CL311" s="2879">
        <f t="shared" si="780"/>
        <v>1.5888877785550193</v>
      </c>
      <c r="CM311" s="2879">
        <f t="shared" si="780"/>
        <v>1.4294403892944274</v>
      </c>
      <c r="CN311" s="2879">
        <f t="shared" si="780"/>
        <v>1.0864870252849386</v>
      </c>
      <c r="CO311" s="2879">
        <f t="shared" si="780"/>
        <v>0.14087814040853175</v>
      </c>
      <c r="CP311" s="2879">
        <f t="shared" si="780"/>
        <v>0.10492491310904484</v>
      </c>
      <c r="CQ311" s="2879">
        <f t="shared" ref="CQ311:CQ315" si="781">+CQ277/CM277*100-100</f>
        <v>0.30318174246211527</v>
      </c>
      <c r="CR311" s="2879">
        <f t="shared" ref="CR311:CR315" si="782">+CR277/CN277*100-100</f>
        <v>0.75598211937943915</v>
      </c>
      <c r="CS311" s="2879">
        <f t="shared" ref="CS311:CS315" si="783">+CS277/CO277*100-100</f>
        <v>0.95461396750964411</v>
      </c>
      <c r="CT311" s="2879">
        <f t="shared" ref="CT311:CT315" si="784">+CT277/CP277*100-100</f>
        <v>0.86144775630528159</v>
      </c>
      <c r="CU311" s="2880">
        <v>0.50017933037722617</v>
      </c>
      <c r="CV311" s="2880">
        <v>0.26043123305408145</v>
      </c>
      <c r="CW311" s="2880">
        <v>1.1982917800306581</v>
      </c>
      <c r="CX311" s="2880">
        <v>1.1634348438419595</v>
      </c>
      <c r="CY311" s="2880">
        <v>1.7218447881152787</v>
      </c>
      <c r="CZ311" s="2880">
        <v>1.2585629927081454</v>
      </c>
      <c r="DA311" s="2880">
        <v>0.80168970103717818</v>
      </c>
      <c r="DB311" s="2880">
        <v>0.3529386997682904</v>
      </c>
      <c r="DC311"/>
      <c r="DD311"/>
      <c r="DE311"/>
      <c r="DF311"/>
      <c r="DG311"/>
      <c r="DH311"/>
      <c r="DI311"/>
      <c r="DJ311"/>
      <c r="DK311"/>
      <c r="DL311"/>
      <c r="DM311"/>
      <c r="DN311"/>
      <c r="DO311"/>
    </row>
    <row r="312" spans="1:119">
      <c r="C312" s="932"/>
      <c r="D312" s="674"/>
      <c r="E312" s="3545" t="str">
        <f>+E304</f>
        <v>Energy</v>
      </c>
      <c r="F312" s="3057"/>
      <c r="G312" s="2881"/>
      <c r="H312" s="2881"/>
      <c r="I312" s="2881"/>
      <c r="J312" s="2881"/>
      <c r="K312" s="2881"/>
      <c r="L312" s="2881"/>
      <c r="M312" s="2881"/>
      <c r="N312" s="2881"/>
      <c r="O312" s="2881">
        <f t="shared" si="758"/>
        <v>14.686248331108189</v>
      </c>
      <c r="P312" s="2881">
        <f t="shared" si="758"/>
        <v>14.815222173339194</v>
      </c>
      <c r="Q312" s="2881">
        <f t="shared" si="758"/>
        <v>25.021385799828934</v>
      </c>
      <c r="R312" s="2881">
        <f t="shared" si="758"/>
        <v>23.03286101899306</v>
      </c>
      <c r="S312" s="2881">
        <f t="shared" si="758"/>
        <v>20.585952658129571</v>
      </c>
      <c r="T312" s="2881">
        <f t="shared" si="758"/>
        <v>19.858223967813032</v>
      </c>
      <c r="U312" s="2881">
        <f t="shared" si="758"/>
        <v>10.879233664043781</v>
      </c>
      <c r="V312" s="2881">
        <f t="shared" si="758"/>
        <v>9.4993057257208449</v>
      </c>
      <c r="W312" s="2881">
        <f t="shared" si="758"/>
        <v>9.9275945293644696</v>
      </c>
      <c r="X312" s="2881">
        <f t="shared" si="758"/>
        <v>10.094309462915589</v>
      </c>
      <c r="Y312" s="2881">
        <f t="shared" si="759"/>
        <v>8.3230484418389494</v>
      </c>
      <c r="Z312" s="2881">
        <f t="shared" si="759"/>
        <v>7.5488587199761241</v>
      </c>
      <c r="AA312" s="2881">
        <f t="shared" si="759"/>
        <v>17.176522248243558</v>
      </c>
      <c r="AB312" s="2881">
        <f t="shared" si="759"/>
        <v>18.860254083484591</v>
      </c>
      <c r="AC312" s="2881">
        <f t="shared" si="759"/>
        <v>16.648864202805669</v>
      </c>
      <c r="AD312" s="2881">
        <f t="shared" si="759"/>
        <v>16.43085032598141</v>
      </c>
      <c r="AE312" s="2881">
        <f t="shared" si="759"/>
        <v>1.3053525701080417</v>
      </c>
      <c r="AF312" s="2881">
        <f t="shared" si="759"/>
        <v>1.0627252183472677</v>
      </c>
      <c r="AG312" s="2881">
        <f t="shared" si="759"/>
        <v>1.1659849826018132</v>
      </c>
      <c r="AH312" s="2881">
        <f t="shared" si="759"/>
        <v>-3.5324953833323605</v>
      </c>
      <c r="AI312" s="2881">
        <f t="shared" si="760"/>
        <v>1.3995067817509437</v>
      </c>
      <c r="AJ312" s="2881">
        <f t="shared" si="760"/>
        <v>1.4322837976672389</v>
      </c>
      <c r="AK312" s="2881">
        <f t="shared" si="760"/>
        <v>0.28964518464880484</v>
      </c>
      <c r="AL312" s="2881">
        <f t="shared" si="760"/>
        <v>3.6680251945165026</v>
      </c>
      <c r="AM312" s="2881">
        <f t="shared" si="760"/>
        <v>3.7453638961512752</v>
      </c>
      <c r="AN312" s="2881">
        <f t="shared" si="760"/>
        <v>0.62559580552905913</v>
      </c>
      <c r="AO312" s="2881">
        <f t="shared" si="760"/>
        <v>0.78820697954272134</v>
      </c>
      <c r="AP312" s="2881">
        <f t="shared" si="760"/>
        <v>-0.80414581844175359</v>
      </c>
      <c r="AQ312" s="2881">
        <f t="shared" si="760"/>
        <v>-1.0724960440719542</v>
      </c>
      <c r="AR312" s="2881">
        <f t="shared" si="760"/>
        <v>2.8953756883178556</v>
      </c>
      <c r="AS312" s="2881">
        <f t="shared" si="761"/>
        <v>3.910214315563266</v>
      </c>
      <c r="AT312" s="2881">
        <f t="shared" si="761"/>
        <v>5.2723233051102056</v>
      </c>
      <c r="AU312" s="2881">
        <f t="shared" si="761"/>
        <v>5.7642180094786681</v>
      </c>
      <c r="AV312" s="2881">
        <f t="shared" si="761"/>
        <v>4.9487858211531659</v>
      </c>
      <c r="AW312" s="2881">
        <f t="shared" si="761"/>
        <v>8.7958175341836125</v>
      </c>
      <c r="AX312" s="2881">
        <f t="shared" si="761"/>
        <v>9.3434487479322286</v>
      </c>
      <c r="AY312" s="2881">
        <f t="shared" si="761"/>
        <v>9.6790455385649352</v>
      </c>
      <c r="AZ312" s="2881">
        <f t="shared" si="761"/>
        <v>9.0360785173813127</v>
      </c>
      <c r="BA312" s="2881">
        <f t="shared" si="761"/>
        <v>5.7612082167186003</v>
      </c>
      <c r="BB312" s="2881">
        <f t="shared" si="761"/>
        <v>6.0775209974437701</v>
      </c>
      <c r="BC312" s="2881">
        <f t="shared" si="762"/>
        <v>4.6116132986058034</v>
      </c>
      <c r="BD312" s="2881">
        <f t="shared" si="762"/>
        <v>5.9036508096147884</v>
      </c>
      <c r="BE312" s="2881">
        <f t="shared" si="762"/>
        <v>6.8404234072298777</v>
      </c>
      <c r="BF312" s="2881">
        <f t="shared" si="762"/>
        <v>9.8603324481164663</v>
      </c>
      <c r="BG312" s="2881">
        <f t="shared" si="763"/>
        <v>18.263034563561803</v>
      </c>
      <c r="BH312" s="2881">
        <f t="shared" si="764"/>
        <v>18.955365622032303</v>
      </c>
      <c r="BI312" s="2881">
        <f t="shared" si="765"/>
        <v>20.501916066922149</v>
      </c>
      <c r="BJ312" s="2881">
        <f t="shared" si="766"/>
        <v>14.168046913469709</v>
      </c>
      <c r="BK312" s="2881">
        <f t="shared" si="766"/>
        <v>13.147574819401456</v>
      </c>
      <c r="BL312" s="2881">
        <f t="shared" si="766"/>
        <v>10.558039278301123</v>
      </c>
      <c r="BM312" s="2881">
        <f t="shared" si="767"/>
        <v>6.170254023657165</v>
      </c>
      <c r="BN312" s="2881">
        <f t="shared" si="768"/>
        <v>3.1014742785445435</v>
      </c>
      <c r="BO312" s="2881">
        <f t="shared" si="769"/>
        <v>5.4104341481211264</v>
      </c>
      <c r="BP312" s="2881">
        <f t="shared" si="770"/>
        <v>7.7986785572444575</v>
      </c>
      <c r="BQ312" s="2881">
        <f t="shared" si="771"/>
        <v>11.119228521332559</v>
      </c>
      <c r="BR312" s="2881">
        <f t="shared" si="772"/>
        <v>17.596501235976447</v>
      </c>
      <c r="BS312" s="2881">
        <f t="shared" si="773"/>
        <v>12.016751462291893</v>
      </c>
      <c r="BT312" s="2881">
        <f t="shared" si="774"/>
        <v>11.280436748501188</v>
      </c>
      <c r="BU312" s="2881">
        <f t="shared" si="775"/>
        <v>12.633136094674555</v>
      </c>
      <c r="BV312" s="2881">
        <f t="shared" si="776"/>
        <v>12.221072375654856</v>
      </c>
      <c r="BW312" s="2881">
        <f t="shared" si="776"/>
        <v>9.4114012050053901</v>
      </c>
      <c r="BX312" s="2881">
        <f t="shared" si="776"/>
        <v>7.8856282919488336</v>
      </c>
      <c r="BY312" s="2881">
        <f t="shared" si="776"/>
        <v>6.3771415229256121</v>
      </c>
      <c r="BZ312" s="2881">
        <f t="shared" si="776"/>
        <v>3.1872280337742467</v>
      </c>
      <c r="CA312" s="2881">
        <f t="shared" si="777"/>
        <v>1.6520290305272596</v>
      </c>
      <c r="CB312" s="2881">
        <f t="shared" si="778"/>
        <v>-1.1214953271028065</v>
      </c>
      <c r="CC312" s="2881">
        <f t="shared" si="779"/>
        <v>-3.3444907813871794</v>
      </c>
      <c r="CD312" s="2881">
        <f t="shared" si="779"/>
        <v>-2.0945625157092138</v>
      </c>
      <c r="CE312" s="2881">
        <f t="shared" si="779"/>
        <v>-2.5113901544616226</v>
      </c>
      <c r="CF312" s="2881">
        <f t="shared" si="779"/>
        <v>-3.0189318059983634</v>
      </c>
      <c r="CG312" s="2881">
        <f t="shared" si="779"/>
        <v>-4.589968491867495</v>
      </c>
      <c r="CH312" s="2881">
        <f t="shared" si="779"/>
        <v>-5.7677496648315696</v>
      </c>
      <c r="CI312" s="2881">
        <f t="shared" si="780"/>
        <v>-14.191268665222822</v>
      </c>
      <c r="CJ312" s="2881">
        <f t="shared" si="780"/>
        <v>-9.5540104151514385</v>
      </c>
      <c r="CK312" s="2881">
        <f t="shared" si="780"/>
        <v>-10.511126978460069</v>
      </c>
      <c r="CL312" s="2881">
        <f t="shared" si="780"/>
        <v>-13.064931133646127</v>
      </c>
      <c r="CM312" s="2881">
        <f t="shared" si="780"/>
        <v>-8.0333421891604644</v>
      </c>
      <c r="CN312" s="2881">
        <f t="shared" si="780"/>
        <v>-10.254430827623921</v>
      </c>
      <c r="CO312" s="2881">
        <f t="shared" si="780"/>
        <v>-8.8467036803085222</v>
      </c>
      <c r="CP312" s="2881">
        <f t="shared" si="780"/>
        <v>-1.2291514328493349</v>
      </c>
      <c r="CQ312" s="2881">
        <f t="shared" si="781"/>
        <v>5.9690174412306334</v>
      </c>
      <c r="CR312" s="2881">
        <f t="shared" si="782"/>
        <v>3.989104333178048</v>
      </c>
      <c r="CS312" s="2881">
        <f t="shared" si="783"/>
        <v>4.9638923335035372</v>
      </c>
      <c r="CT312" s="2881">
        <f t="shared" si="784"/>
        <v>3.8391031516604528</v>
      </c>
      <c r="CU312" s="2880">
        <v>4.4749096980849057</v>
      </c>
      <c r="CV312" s="2880">
        <v>5.8556735405155713</v>
      </c>
      <c r="CW312" s="2880">
        <v>7.0405371486731649</v>
      </c>
      <c r="CX312" s="2880">
        <v>4.8979942996721926</v>
      </c>
      <c r="CY312" s="2880">
        <v>1.0805336799536436</v>
      </c>
      <c r="CZ312" s="2880">
        <v>1.2066220495791535</v>
      </c>
      <c r="DA312" s="2880">
        <v>1.2066220495791535</v>
      </c>
      <c r="DB312" s="2880">
        <v>1.2066220495791535</v>
      </c>
    </row>
    <row r="313" spans="1:119">
      <c r="C313" s="932"/>
      <c r="D313" s="674"/>
      <c r="E313" s="3629" t="s">
        <v>1239</v>
      </c>
      <c r="F313" s="3057"/>
      <c r="G313" s="2881"/>
      <c r="H313" s="2881"/>
      <c r="I313" s="2881"/>
      <c r="J313" s="2881"/>
      <c r="K313" s="2881"/>
      <c r="L313" s="2881"/>
      <c r="M313" s="2881"/>
      <c r="N313" s="2881"/>
      <c r="O313" s="2881">
        <f t="shared" si="758"/>
        <v>14.848058829890775</v>
      </c>
      <c r="P313" s="2881">
        <f t="shared" si="758"/>
        <v>3.3495169437496486</v>
      </c>
      <c r="Q313" s="2881">
        <f t="shared" si="758"/>
        <v>1.1474007347390653</v>
      </c>
      <c r="R313" s="2881">
        <f t="shared" si="758"/>
        <v>1.2340127897682294</v>
      </c>
      <c r="S313" s="2881">
        <f t="shared" si="758"/>
        <v>-0.20715630885123915</v>
      </c>
      <c r="T313" s="2881">
        <f t="shared" si="758"/>
        <v>2.2919236974471033</v>
      </c>
      <c r="U313" s="2881">
        <f t="shared" si="758"/>
        <v>1.4229563659883411</v>
      </c>
      <c r="V313" s="2881">
        <f t="shared" si="758"/>
        <v>0.14805310171246333</v>
      </c>
      <c r="W313" s="2881">
        <f t="shared" si="758"/>
        <v>-3.8969616908850639</v>
      </c>
      <c r="X313" s="2881">
        <f t="shared" si="758"/>
        <v>-7.9231804054367387</v>
      </c>
      <c r="Y313" s="2881">
        <f t="shared" si="759"/>
        <v>-6.4802550895266364</v>
      </c>
      <c r="Z313" s="2881">
        <f t="shared" si="759"/>
        <v>-4.0900803232641749</v>
      </c>
      <c r="AA313" s="2881">
        <f t="shared" si="759"/>
        <v>-5.120274914089336</v>
      </c>
      <c r="AB313" s="2881">
        <f t="shared" si="759"/>
        <v>-4.1211144138243867</v>
      </c>
      <c r="AC313" s="2881">
        <f t="shared" si="759"/>
        <v>-1.7047838858581343</v>
      </c>
      <c r="AD313" s="2881">
        <f t="shared" si="759"/>
        <v>-2.6614602065457547</v>
      </c>
      <c r="AE313" s="2881">
        <f t="shared" si="759"/>
        <v>2.504268639726817</v>
      </c>
      <c r="AF313" s="2881">
        <f t="shared" si="759"/>
        <v>11.102937312805423</v>
      </c>
      <c r="AG313" s="2881">
        <f t="shared" si="759"/>
        <v>11.478734190725206</v>
      </c>
      <c r="AH313" s="2881">
        <f t="shared" si="759"/>
        <v>10.942201108471906</v>
      </c>
      <c r="AI313" s="2881">
        <f t="shared" si="760"/>
        <v>10.004542930695067</v>
      </c>
      <c r="AJ313" s="2881">
        <f t="shared" si="760"/>
        <v>-1.6978811956110462</v>
      </c>
      <c r="AK313" s="2881">
        <f t="shared" si="760"/>
        <v>-6.4815701292484249</v>
      </c>
      <c r="AL313" s="2881">
        <f t="shared" si="760"/>
        <v>-9.9105528594537873</v>
      </c>
      <c r="AM313" s="2881">
        <f t="shared" si="760"/>
        <v>-16.693433671362371</v>
      </c>
      <c r="AN313" s="2881">
        <f t="shared" si="760"/>
        <v>-11.974981958142905</v>
      </c>
      <c r="AO313" s="2881">
        <f t="shared" si="760"/>
        <v>-11.19471744471744</v>
      </c>
      <c r="AP313" s="2881">
        <f t="shared" si="760"/>
        <v>-7.4201214681806249</v>
      </c>
      <c r="AQ313" s="2881">
        <f t="shared" si="760"/>
        <v>-3.365464059487735</v>
      </c>
      <c r="AR313" s="2881">
        <f t="shared" si="760"/>
        <v>-1.0603410581548047</v>
      </c>
      <c r="AS313" s="2881">
        <f t="shared" si="761"/>
        <v>7.942820911868111</v>
      </c>
      <c r="AT313" s="2881">
        <f t="shared" si="761"/>
        <v>6.8568168853394127</v>
      </c>
      <c r="AU313" s="2881">
        <f t="shared" si="761"/>
        <v>9.7070223438212651</v>
      </c>
      <c r="AV313" s="2881">
        <f t="shared" si="761"/>
        <v>8.6288807866534256</v>
      </c>
      <c r="AW313" s="2881">
        <f t="shared" si="761"/>
        <v>2.4937256367810932</v>
      </c>
      <c r="AX313" s="2881">
        <f t="shared" si="761"/>
        <v>5.0021353833012938</v>
      </c>
      <c r="AY313" s="2881">
        <f t="shared" si="761"/>
        <v>6.7283212968254844</v>
      </c>
      <c r="AZ313" s="2881">
        <f t="shared" si="761"/>
        <v>7.7196908055329629</v>
      </c>
      <c r="BA313" s="2881">
        <f t="shared" si="761"/>
        <v>10.081275398562056</v>
      </c>
      <c r="BB313" s="2881">
        <f t="shared" si="761"/>
        <v>7.7431491179012539</v>
      </c>
      <c r="BC313" s="2881">
        <f t="shared" si="762"/>
        <v>7.2096193165222644</v>
      </c>
      <c r="BD313" s="2881">
        <f t="shared" si="762"/>
        <v>7.5630252100840352</v>
      </c>
      <c r="BE313" s="2881">
        <f t="shared" si="762"/>
        <v>8.0694779686686786</v>
      </c>
      <c r="BF313" s="2881">
        <f t="shared" si="762"/>
        <v>11.829935824839552</v>
      </c>
      <c r="BG313" s="2881">
        <f t="shared" si="763"/>
        <v>13.871861235980546</v>
      </c>
      <c r="BH313" s="2881">
        <f t="shared" si="764"/>
        <v>15.453827247191015</v>
      </c>
      <c r="BI313" s="2881">
        <f t="shared" si="765"/>
        <v>16.252080231234117</v>
      </c>
      <c r="BJ313" s="2881">
        <f t="shared" si="766"/>
        <v>14.912021604287105</v>
      </c>
      <c r="BK313" s="2881">
        <f t="shared" si="766"/>
        <v>12.61663609538239</v>
      </c>
      <c r="BL313" s="2881">
        <f t="shared" si="766"/>
        <v>5.4628397643033253</v>
      </c>
      <c r="BM313" s="2881">
        <f t="shared" si="767"/>
        <v>-0.16575626294972778</v>
      </c>
      <c r="BN313" s="2881">
        <f t="shared" si="768"/>
        <v>-4.7369000844563374</v>
      </c>
      <c r="BO313" s="2881">
        <f t="shared" si="769"/>
        <v>-7.425111536010192</v>
      </c>
      <c r="BP313" s="2881">
        <f t="shared" si="770"/>
        <v>-3.9759209862302356</v>
      </c>
      <c r="BQ313" s="2881">
        <f t="shared" si="771"/>
        <v>-0.34715671106751245</v>
      </c>
      <c r="BR313" s="2881">
        <f t="shared" si="772"/>
        <v>3.0412828123192952</v>
      </c>
      <c r="BS313" s="2881">
        <f t="shared" si="773"/>
        <v>5.5612927902084692</v>
      </c>
      <c r="BT313" s="2881">
        <f t="shared" si="774"/>
        <v>7.7930853260257322</v>
      </c>
      <c r="BU313" s="2881">
        <f t="shared" si="775"/>
        <v>3.9834904767314328</v>
      </c>
      <c r="BV313" s="2881">
        <f t="shared" si="776"/>
        <v>2.7794403710908142</v>
      </c>
      <c r="BW313" s="2881">
        <f t="shared" si="776"/>
        <v>2.9602521830500876</v>
      </c>
      <c r="BX313" s="2881">
        <f t="shared" si="776"/>
        <v>0.71739508967441168</v>
      </c>
      <c r="BY313" s="2881">
        <f t="shared" si="776"/>
        <v>4.267870798587083</v>
      </c>
      <c r="BZ313" s="2881">
        <f t="shared" si="776"/>
        <v>5.5505004549590637</v>
      </c>
      <c r="CA313" s="2881">
        <f t="shared" si="777"/>
        <v>4.9021677927927954</v>
      </c>
      <c r="CB313" s="2881">
        <f t="shared" si="778"/>
        <v>4.9825386397427138</v>
      </c>
      <c r="CC313" s="2881">
        <f t="shared" si="779"/>
        <v>2.5564907624070088</v>
      </c>
      <c r="CD313" s="2881">
        <f t="shared" si="779"/>
        <v>0.53793103448276725</v>
      </c>
      <c r="CE313" s="2881">
        <f t="shared" si="779"/>
        <v>0.66758361568652447</v>
      </c>
      <c r="CF313" s="2881">
        <f t="shared" si="779"/>
        <v>4.6110269415720495E-2</v>
      </c>
      <c r="CG313" s="2881">
        <f t="shared" si="779"/>
        <v>0.35075770475057766</v>
      </c>
      <c r="CH313" s="2881">
        <f t="shared" si="779"/>
        <v>0.28810536424748534</v>
      </c>
      <c r="CI313" s="2881">
        <f t="shared" si="780"/>
        <v>-1.3896294321514233</v>
      </c>
      <c r="CJ313" s="2881">
        <f t="shared" si="780"/>
        <v>1.8336844877535015</v>
      </c>
      <c r="CK313" s="2881">
        <f t="shared" si="780"/>
        <v>-5.429618569296224E-2</v>
      </c>
      <c r="CL313" s="2881">
        <f t="shared" si="780"/>
        <v>2.6846785225718435</v>
      </c>
      <c r="CM313" s="2881">
        <f t="shared" si="780"/>
        <v>2.4297928424183368</v>
      </c>
      <c r="CN313" s="2881">
        <f t="shared" si="780"/>
        <v>2.3437752561988674</v>
      </c>
      <c r="CO313" s="2881">
        <f t="shared" si="780"/>
        <v>1.6807008013038001</v>
      </c>
      <c r="CP313" s="2881">
        <f t="shared" si="780"/>
        <v>-0.40299750208158969</v>
      </c>
      <c r="CQ313" s="2881">
        <f t="shared" si="781"/>
        <v>2.6624876278455503</v>
      </c>
      <c r="CR313" s="2881">
        <f t="shared" si="782"/>
        <v>-1.3645839914081819</v>
      </c>
      <c r="CS313" s="2881">
        <f t="shared" si="783"/>
        <v>1.8733095134737994</v>
      </c>
      <c r="CT313" s="2881">
        <f t="shared" si="784"/>
        <v>3.541332263242353</v>
      </c>
      <c r="CU313" s="2880">
        <v>0.88129809486945376</v>
      </c>
      <c r="CV313" s="2880">
        <v>1.7331686884269448</v>
      </c>
      <c r="CW313" s="2880">
        <v>0.53986218291028898</v>
      </c>
      <c r="CX313" s="2880">
        <v>-1.0495737090258195</v>
      </c>
      <c r="CY313" s="2880">
        <v>5.2763268782429762E-2</v>
      </c>
      <c r="CZ313" s="2880">
        <v>0.87057816280209366</v>
      </c>
      <c r="DA313" s="2880">
        <v>1.1772288664503527</v>
      </c>
      <c r="DB313" s="2880">
        <v>1.4816359193452033</v>
      </c>
    </row>
    <row r="314" spans="1:119">
      <c r="C314" s="932"/>
      <c r="D314" s="674"/>
      <c r="E314" s="3629" t="s">
        <v>1238</v>
      </c>
      <c r="F314" s="3057"/>
      <c r="G314" s="2881"/>
      <c r="H314" s="2881"/>
      <c r="I314" s="2881"/>
      <c r="J314" s="2881"/>
      <c r="K314" s="2881"/>
      <c r="L314" s="2881"/>
      <c r="M314" s="2881"/>
      <c r="N314" s="2881"/>
      <c r="O314" s="2881">
        <f t="shared" si="758"/>
        <v>11.584692352673656</v>
      </c>
      <c r="P314" s="2881">
        <f t="shared" si="758"/>
        <v>10.14751899865891</v>
      </c>
      <c r="Q314" s="2881">
        <f t="shared" si="758"/>
        <v>9.172400732277012</v>
      </c>
      <c r="R314" s="2881">
        <f t="shared" si="758"/>
        <v>7.341585978673848</v>
      </c>
      <c r="S314" s="2881">
        <f t="shared" si="758"/>
        <v>3.0394782811226122</v>
      </c>
      <c r="T314" s="2881">
        <f t="shared" si="758"/>
        <v>2.2031539888682801</v>
      </c>
      <c r="U314" s="2881">
        <f t="shared" si="758"/>
        <v>0.53775876026367087</v>
      </c>
      <c r="V314" s="2881">
        <f t="shared" si="758"/>
        <v>-0.82210550353961764</v>
      </c>
      <c r="W314" s="2881">
        <f t="shared" si="758"/>
        <v>-0.3108047016274611</v>
      </c>
      <c r="X314" s="2881">
        <f t="shared" si="758"/>
        <v>-0.64669843430905871</v>
      </c>
      <c r="Y314" s="2881">
        <f t="shared" si="759"/>
        <v>0.67291654684534308</v>
      </c>
      <c r="Z314" s="2881">
        <f t="shared" si="759"/>
        <v>-2.1989408243149882</v>
      </c>
      <c r="AA314" s="2881">
        <f t="shared" si="759"/>
        <v>-4.1097443455586529</v>
      </c>
      <c r="AB314" s="2881">
        <f t="shared" si="759"/>
        <v>-4.7847436336644904</v>
      </c>
      <c r="AC314" s="2881">
        <f t="shared" si="759"/>
        <v>-4.5589579524680062</v>
      </c>
      <c r="AD314" s="2881">
        <f t="shared" si="759"/>
        <v>-1.842260153031205</v>
      </c>
      <c r="AE314" s="2881">
        <f t="shared" si="759"/>
        <v>-1.0404350910380771</v>
      </c>
      <c r="AF314" s="2881">
        <f t="shared" si="759"/>
        <v>-0.26385224274406482</v>
      </c>
      <c r="AG314" s="2881">
        <f t="shared" si="759"/>
        <v>-0.41901113372439625</v>
      </c>
      <c r="AH314" s="2881">
        <f t="shared" si="759"/>
        <v>0.94141632188045321</v>
      </c>
      <c r="AI314" s="2881">
        <f t="shared" si="760"/>
        <v>1.4575866188769595</v>
      </c>
      <c r="AJ314" s="2881">
        <f t="shared" si="760"/>
        <v>0.80567580567580421</v>
      </c>
      <c r="AK314" s="2881">
        <f t="shared" si="760"/>
        <v>0.34864150036064245</v>
      </c>
      <c r="AL314" s="2881">
        <f t="shared" si="760"/>
        <v>0.49899013900440536</v>
      </c>
      <c r="AM314" s="2881">
        <f t="shared" si="760"/>
        <v>1.9665567593028612</v>
      </c>
      <c r="AN314" s="2881">
        <f t="shared" si="760"/>
        <v>3.7158535130621573</v>
      </c>
      <c r="AO314" s="2881">
        <f t="shared" si="760"/>
        <v>3.8876242961542999</v>
      </c>
      <c r="AP314" s="2881">
        <f t="shared" si="760"/>
        <v>2.8785908499822739</v>
      </c>
      <c r="AQ314" s="2881">
        <f t="shared" si="760"/>
        <v>1.5417484698002255</v>
      </c>
      <c r="AR314" s="2881">
        <f t="shared" si="760"/>
        <v>2.4268215538559019</v>
      </c>
      <c r="AS314" s="2881">
        <f t="shared" si="761"/>
        <v>2.7100271002709917</v>
      </c>
      <c r="AT314" s="2881">
        <f t="shared" si="761"/>
        <v>2.5222637173225877</v>
      </c>
      <c r="AU314" s="2881">
        <f t="shared" si="761"/>
        <v>2.274665908444689</v>
      </c>
      <c r="AV314" s="2881">
        <f t="shared" si="761"/>
        <v>1.1453596092302405</v>
      </c>
      <c r="AW314" s="2881">
        <f t="shared" si="761"/>
        <v>0.86453713579970781</v>
      </c>
      <c r="AX314" s="2881">
        <f t="shared" si="761"/>
        <v>1.3561981618471322</v>
      </c>
      <c r="AY314" s="2881">
        <f t="shared" si="761"/>
        <v>0.88407005838197961</v>
      </c>
      <c r="AZ314" s="2881">
        <f t="shared" si="761"/>
        <v>1.3155703580350036</v>
      </c>
      <c r="BA314" s="2881">
        <f t="shared" si="761"/>
        <v>3.2281404797684559</v>
      </c>
      <c r="BB314" s="2881">
        <f t="shared" si="761"/>
        <v>5.4849054517306115</v>
      </c>
      <c r="BC314" s="2881">
        <f t="shared" si="762"/>
        <v>7.6003086419753174</v>
      </c>
      <c r="BD314" s="2881">
        <f t="shared" si="762"/>
        <v>8.9195704580319841</v>
      </c>
      <c r="BE314" s="2881">
        <f t="shared" si="762"/>
        <v>10.950558041731796</v>
      </c>
      <c r="BF314" s="2881">
        <f t="shared" si="762"/>
        <v>14.126218681203468</v>
      </c>
      <c r="BG314" s="2881">
        <f t="shared" si="763"/>
        <v>16.790452287046037</v>
      </c>
      <c r="BH314" s="2881">
        <f t="shared" si="764"/>
        <v>19.245472837022135</v>
      </c>
      <c r="BI314" s="2881">
        <f t="shared" si="765"/>
        <v>16.88210710467493</v>
      </c>
      <c r="BJ314" s="2881">
        <f t="shared" si="766"/>
        <v>11.14683323382171</v>
      </c>
      <c r="BK314" s="2881">
        <f t="shared" si="766"/>
        <v>8.460155256348429</v>
      </c>
      <c r="BL314" s="2881">
        <f t="shared" si="766"/>
        <v>5.6230490171264762</v>
      </c>
      <c r="BM314" s="2881">
        <f t="shared" si="767"/>
        <v>3.5714285714285836</v>
      </c>
      <c r="BN314" s="2881">
        <f t="shared" si="768"/>
        <v>5.7685950413223281</v>
      </c>
      <c r="BO314" s="2881">
        <f t="shared" si="769"/>
        <v>5.1152446421350817</v>
      </c>
      <c r="BP314" s="2881">
        <f t="shared" si="770"/>
        <v>4.6207915651583846</v>
      </c>
      <c r="BQ314" s="2881">
        <f t="shared" si="771"/>
        <v>5.9812934045200734</v>
      </c>
      <c r="BR314" s="2881">
        <f t="shared" si="772"/>
        <v>5.1492420690732814</v>
      </c>
      <c r="BS314" s="2881">
        <f t="shared" si="773"/>
        <v>6.0627043662242244</v>
      </c>
      <c r="BT314" s="2881">
        <f t="shared" si="774"/>
        <v>8.1997251488777039</v>
      </c>
      <c r="BU314" s="2881">
        <f t="shared" si="775"/>
        <v>7.8292488920874064</v>
      </c>
      <c r="BV314" s="2881">
        <f t="shared" si="776"/>
        <v>5.9931634093780133</v>
      </c>
      <c r="BW314" s="2881">
        <f t="shared" si="776"/>
        <v>4.57364622248015</v>
      </c>
      <c r="BX314" s="2881">
        <f t="shared" si="776"/>
        <v>2.9000846740050719</v>
      </c>
      <c r="BY314" s="2881">
        <f t="shared" si="776"/>
        <v>2.6907404805395885</v>
      </c>
      <c r="BZ314" s="2881">
        <f t="shared" si="776"/>
        <v>2.436288428506316</v>
      </c>
      <c r="CA314" s="2881">
        <f t="shared" si="777"/>
        <v>1.8555771365149809</v>
      </c>
      <c r="CB314" s="2881">
        <f t="shared" si="778"/>
        <v>0.84687650003428416</v>
      </c>
      <c r="CC314" s="2881">
        <f t="shared" si="779"/>
        <v>1.1322432783744887</v>
      </c>
      <c r="CD314" s="2881">
        <f t="shared" si="779"/>
        <v>1.5912668537403363</v>
      </c>
      <c r="CE314" s="2881">
        <f t="shared" si="779"/>
        <v>1.8592297476759541</v>
      </c>
      <c r="CF314" s="2881">
        <f t="shared" si="779"/>
        <v>2.2847040424302207</v>
      </c>
      <c r="CG314" s="2881">
        <f t="shared" si="779"/>
        <v>2.4386944021647281</v>
      </c>
      <c r="CH314" s="2881">
        <f t="shared" si="779"/>
        <v>2.0143497153636218</v>
      </c>
      <c r="CI314" s="2881">
        <f t="shared" si="780"/>
        <v>0.71875104469629036</v>
      </c>
      <c r="CJ314" s="2881">
        <f t="shared" si="780"/>
        <v>-0.34568721954462944</v>
      </c>
      <c r="CK314" s="2881">
        <f t="shared" si="780"/>
        <v>-1.1886680314336644</v>
      </c>
      <c r="CL314" s="2881">
        <f t="shared" si="780"/>
        <v>-1.0566286940729839</v>
      </c>
      <c r="CM314" s="2881">
        <f t="shared" si="780"/>
        <v>0.54434413170474727</v>
      </c>
      <c r="CN314" s="2881">
        <f t="shared" si="780"/>
        <v>2.118008071778803</v>
      </c>
      <c r="CO314" s="2881">
        <f t="shared" si="780"/>
        <v>2.7902158658023239</v>
      </c>
      <c r="CP314" s="2881">
        <f t="shared" si="780"/>
        <v>3.4740530619055789</v>
      </c>
      <c r="CQ314" s="2881">
        <f t="shared" si="781"/>
        <v>5.159778159249953</v>
      </c>
      <c r="CR314" s="2881">
        <f t="shared" si="782"/>
        <v>7.270708126469799</v>
      </c>
      <c r="CS314" s="2881">
        <f t="shared" si="783"/>
        <v>7.9678814082767104</v>
      </c>
      <c r="CT314" s="2881">
        <f t="shared" si="784"/>
        <v>8.0436044636522013</v>
      </c>
      <c r="CU314" s="2880">
        <v>5.8525665620107192</v>
      </c>
      <c r="CV314" s="2880">
        <v>3.6582005931588002</v>
      </c>
      <c r="CW314" s="2880">
        <v>2.7083941013876567</v>
      </c>
      <c r="CX314" s="2880">
        <v>2.2995686980041175</v>
      </c>
      <c r="CY314" s="2880">
        <v>2.9087304281936177</v>
      </c>
      <c r="CZ314" s="2880">
        <v>3.0843222015192628</v>
      </c>
      <c r="DA314" s="2880">
        <v>3.0843222015192628</v>
      </c>
      <c r="DB314" s="2880">
        <v>3.0843222015192628</v>
      </c>
    </row>
    <row r="315" spans="1:119">
      <c r="C315" s="690"/>
      <c r="D315" s="691"/>
      <c r="E315" s="3644" t="str">
        <f>+E307</f>
        <v>Services</v>
      </c>
      <c r="F315" s="3645"/>
      <c r="G315" s="2882"/>
      <c r="H315" s="2882"/>
      <c r="I315" s="2882"/>
      <c r="J315" s="2882"/>
      <c r="K315" s="2882"/>
      <c r="L315" s="2882"/>
      <c r="M315" s="2882"/>
      <c r="N315" s="2882"/>
      <c r="O315" s="2882">
        <f t="shared" si="758"/>
        <v>18.343096234309627</v>
      </c>
      <c r="P315" s="2882">
        <f t="shared" si="758"/>
        <v>17.244693632358803</v>
      </c>
      <c r="Q315" s="2882">
        <f t="shared" si="758"/>
        <v>13.883847549909234</v>
      </c>
      <c r="R315" s="2882">
        <f t="shared" si="758"/>
        <v>13.47026866115948</v>
      </c>
      <c r="S315" s="2882">
        <f t="shared" si="758"/>
        <v>11.844152170838626</v>
      </c>
      <c r="T315" s="2882">
        <f t="shared" si="758"/>
        <v>11.873206722229824</v>
      </c>
      <c r="U315" s="2882">
        <f t="shared" si="758"/>
        <v>10.969455511288203</v>
      </c>
      <c r="V315" s="2882">
        <f t="shared" si="758"/>
        <v>10.841477011871191</v>
      </c>
      <c r="W315" s="2882">
        <f t="shared" si="758"/>
        <v>8.0040462793197236</v>
      </c>
      <c r="X315" s="2882">
        <f t="shared" si="758"/>
        <v>7.3094772838300059</v>
      </c>
      <c r="Y315" s="2882">
        <f t="shared" si="759"/>
        <v>5.9298707515557538</v>
      </c>
      <c r="Z315" s="2882">
        <f t="shared" si="759"/>
        <v>5.2899408284023508</v>
      </c>
      <c r="AA315" s="2882">
        <f t="shared" si="759"/>
        <v>6.7435462155359289</v>
      </c>
      <c r="AB315" s="2882">
        <f t="shared" si="759"/>
        <v>5.1328742957946787</v>
      </c>
      <c r="AC315" s="2882">
        <f t="shared" si="759"/>
        <v>4.8522849234593082</v>
      </c>
      <c r="AD315" s="2882">
        <f t="shared" si="759"/>
        <v>4.6026750590086465</v>
      </c>
      <c r="AE315" s="2882">
        <f t="shared" si="759"/>
        <v>3.7619961612283817</v>
      </c>
      <c r="AF315" s="2882">
        <f t="shared" si="759"/>
        <v>2.6630581867388372</v>
      </c>
      <c r="AG315" s="2882">
        <f t="shared" si="759"/>
        <v>5.0371727184570716</v>
      </c>
      <c r="AH315" s="2882">
        <f t="shared" si="759"/>
        <v>6.3020469564283133</v>
      </c>
      <c r="AI315" s="2882">
        <f t="shared" si="760"/>
        <v>4.7619047619047876</v>
      </c>
      <c r="AJ315" s="2882">
        <f t="shared" si="760"/>
        <v>4.2811198397216401</v>
      </c>
      <c r="AK315" s="2882">
        <f t="shared" si="760"/>
        <v>2.8312048007385471</v>
      </c>
      <c r="AL315" s="2882">
        <f t="shared" si="760"/>
        <v>1.1725462448195714</v>
      </c>
      <c r="AM315" s="2882">
        <f t="shared" si="760"/>
        <v>1.5538290788013285</v>
      </c>
      <c r="AN315" s="2882">
        <f t="shared" si="760"/>
        <v>1.9414530562717829</v>
      </c>
      <c r="AO315" s="2882">
        <f t="shared" si="760"/>
        <v>-0.19452341762681158</v>
      </c>
      <c r="AP315" s="2882">
        <f t="shared" si="760"/>
        <v>-2.0531521630532552</v>
      </c>
      <c r="AQ315" s="2882">
        <f t="shared" si="760"/>
        <v>-2.359662195727779</v>
      </c>
      <c r="AR315" s="2882">
        <f t="shared" si="760"/>
        <v>-1.4581163517333664</v>
      </c>
      <c r="AS315" s="2882">
        <f t="shared" si="761"/>
        <v>0.3448275862069039</v>
      </c>
      <c r="AT315" s="2882">
        <f t="shared" si="761"/>
        <v>2.2695975926964707</v>
      </c>
      <c r="AU315" s="2882">
        <f t="shared" si="761"/>
        <v>3.1595013991350811</v>
      </c>
      <c r="AV315" s="2882">
        <f t="shared" si="761"/>
        <v>2.8989883738487237</v>
      </c>
      <c r="AW315" s="2882">
        <f t="shared" si="761"/>
        <v>3.2621146471437896</v>
      </c>
      <c r="AX315" s="2882">
        <f t="shared" si="761"/>
        <v>3.9746658687412832</v>
      </c>
      <c r="AY315" s="2882">
        <f t="shared" si="761"/>
        <v>3.9652791477608957</v>
      </c>
      <c r="AZ315" s="2882">
        <f t="shared" si="761"/>
        <v>4.705306921007562</v>
      </c>
      <c r="BA315" s="2882">
        <f t="shared" si="761"/>
        <v>5.290826661522118</v>
      </c>
      <c r="BB315" s="2882">
        <f t="shared" si="761"/>
        <v>5.3527747134155135</v>
      </c>
      <c r="BC315" s="2882">
        <f t="shared" si="762"/>
        <v>5.6783681214421335</v>
      </c>
      <c r="BD315" s="2882">
        <f t="shared" si="762"/>
        <v>5.9559957023403598</v>
      </c>
      <c r="BE315" s="2882">
        <f t="shared" si="762"/>
        <v>7.0496083550913795</v>
      </c>
      <c r="BF315" s="2882">
        <f t="shared" si="762"/>
        <v>8.4862280901434133</v>
      </c>
      <c r="BG315" s="2882">
        <f t="shared" si="763"/>
        <v>11.110113570049833</v>
      </c>
      <c r="BH315" s="2882">
        <f t="shared" si="764"/>
        <v>12.939776033859431</v>
      </c>
      <c r="BI315" s="2882">
        <f t="shared" si="765"/>
        <v>12.558836114676964</v>
      </c>
      <c r="BJ315" s="2882">
        <f t="shared" si="766"/>
        <v>12.035754752612362</v>
      </c>
      <c r="BK315" s="2882">
        <f t="shared" si="766"/>
        <v>10.556722689075613</v>
      </c>
      <c r="BL315" s="2882">
        <f t="shared" si="766"/>
        <v>6.7650388413944142</v>
      </c>
      <c r="BM315" s="2882">
        <f t="shared" si="767"/>
        <v>4.4136095799277513</v>
      </c>
      <c r="BN315" s="2882">
        <f t="shared" si="768"/>
        <v>1.6556167359628233</v>
      </c>
      <c r="BO315" s="2882">
        <f t="shared" si="769"/>
        <v>-1.6298191120043697</v>
      </c>
      <c r="BP315" s="2882">
        <f t="shared" si="770"/>
        <v>-1.7623400365630744</v>
      </c>
      <c r="BQ315" s="2882">
        <f t="shared" si="771"/>
        <v>-1.5619311148328876</v>
      </c>
      <c r="BR315" s="2882">
        <f t="shared" si="772"/>
        <v>-1.020671358561458</v>
      </c>
      <c r="BS315" s="2882">
        <f t="shared" si="773"/>
        <v>0.10773059920501282</v>
      </c>
      <c r="BT315" s="2882">
        <f t="shared" si="774"/>
        <v>1.0942384993300607</v>
      </c>
      <c r="BU315" s="2882">
        <f t="shared" si="775"/>
        <v>1.7827421681399613</v>
      </c>
      <c r="BV315" s="2882">
        <f t="shared" si="776"/>
        <v>2.0363338545156751</v>
      </c>
      <c r="BW315" s="2882">
        <f t="shared" si="776"/>
        <v>2.5753302656968913</v>
      </c>
      <c r="BX315" s="2882">
        <f t="shared" si="776"/>
        <v>3.0005154259627318</v>
      </c>
      <c r="BY315" s="2882">
        <f t="shared" si="776"/>
        <v>2.8780115556524635</v>
      </c>
      <c r="BZ315" s="2882">
        <f t="shared" si="776"/>
        <v>3.1048195848079274</v>
      </c>
      <c r="CA315" s="2882">
        <f t="shared" si="777"/>
        <v>2.2248751899283832</v>
      </c>
      <c r="CB315" s="2882">
        <f t="shared" si="778"/>
        <v>2.1303213353826465</v>
      </c>
      <c r="CC315" s="2882">
        <f t="shared" si="779"/>
        <v>1.8367419024407354</v>
      </c>
      <c r="CD315" s="2882">
        <f t="shared" si="779"/>
        <v>1.2243453644727538</v>
      </c>
      <c r="CE315" s="2882">
        <f t="shared" si="779"/>
        <v>1.0864564532682124</v>
      </c>
      <c r="CF315" s="2882">
        <f t="shared" si="779"/>
        <v>0.88545130017847384</v>
      </c>
      <c r="CG315" s="2882">
        <f t="shared" si="779"/>
        <v>1.9284797613679672</v>
      </c>
      <c r="CH315" s="2882">
        <f t="shared" si="779"/>
        <v>2.4994756344822804</v>
      </c>
      <c r="CI315" s="2882">
        <f t="shared" si="780"/>
        <v>3.217336507491936</v>
      </c>
      <c r="CJ315" s="2882">
        <f t="shared" si="780"/>
        <v>3.3650176923610644</v>
      </c>
      <c r="CK315" s="2882">
        <f t="shared" si="780"/>
        <v>3.2973763909211584</v>
      </c>
      <c r="CL315" s="2882">
        <f t="shared" si="780"/>
        <v>3.5674090242487893</v>
      </c>
      <c r="CM315" s="2882">
        <f t="shared" si="780"/>
        <v>3.6834786147949643</v>
      </c>
      <c r="CN315" s="2882">
        <f t="shared" si="780"/>
        <v>3.2420459122029825</v>
      </c>
      <c r="CO315" s="2882">
        <f t="shared" si="780"/>
        <v>2.9681117406773012</v>
      </c>
      <c r="CP315" s="2882">
        <f t="shared" si="780"/>
        <v>2.7365231995258199</v>
      </c>
      <c r="CQ315" s="2882">
        <f t="shared" si="781"/>
        <v>3.3563413916058806</v>
      </c>
      <c r="CR315" s="2882">
        <f t="shared" si="782"/>
        <v>5.2597360379689206</v>
      </c>
      <c r="CS315" s="2882">
        <f t="shared" si="783"/>
        <v>6.4145631378571295</v>
      </c>
      <c r="CT315" s="2882">
        <f t="shared" si="784"/>
        <v>5.0900698762741143</v>
      </c>
      <c r="CU315" s="2883">
        <v>4.5240739011595199</v>
      </c>
      <c r="CV315" s="2883">
        <v>3.7792475150509652</v>
      </c>
      <c r="CW315" s="2883">
        <v>3.1866599149859898</v>
      </c>
      <c r="CX315" s="2883">
        <v>4.9446622371182691</v>
      </c>
      <c r="CY315" s="2883">
        <v>5.326212852339629</v>
      </c>
      <c r="CZ315" s="2883">
        <v>4.695714436014331</v>
      </c>
      <c r="DA315" s="2883">
        <v>4.0738347686796184</v>
      </c>
      <c r="DB315" s="2883">
        <v>3.4509956826684673</v>
      </c>
    </row>
    <row r="316" spans="1:119">
      <c r="C316" s="674"/>
      <c r="D316" s="717"/>
      <c r="E316" s="3636" t="s">
        <v>52</v>
      </c>
      <c r="F316" s="3634"/>
      <c r="G316" s="2854"/>
      <c r="H316" s="2854"/>
      <c r="I316" s="2854"/>
      <c r="J316" s="2854"/>
      <c r="K316" s="2854"/>
      <c r="L316" s="2854"/>
      <c r="M316" s="2854"/>
      <c r="N316" s="2854"/>
      <c r="O316" s="2854"/>
      <c r="P316" s="2854"/>
      <c r="Q316" s="2854"/>
      <c r="R316" s="2854">
        <f t="shared" ca="1" si="758"/>
        <v>9.0939160791010778</v>
      </c>
      <c r="S316" s="2854">
        <f t="shared" ca="1" si="758"/>
        <v>6.4991208813508905</v>
      </c>
      <c r="T316" s="2854">
        <f t="shared" ca="1" si="758"/>
        <v>6.5753676894120758</v>
      </c>
      <c r="U316" s="2854">
        <f t="shared" ca="1" si="758"/>
        <v>4.6444800867034672</v>
      </c>
      <c r="V316" s="2854">
        <f t="shared" ca="1" si="758"/>
        <v>3.6869207262227235</v>
      </c>
      <c r="W316" s="2854">
        <f t="shared" ca="1" si="758"/>
        <v>2.6901220394979504</v>
      </c>
      <c r="X316" s="2854">
        <f t="shared" ca="1" si="758"/>
        <v>1.5593397974587191</v>
      </c>
      <c r="Y316" s="2854">
        <f t="shared" ca="1" si="759"/>
        <v>1.2443878323110624</v>
      </c>
      <c r="Z316" s="2854">
        <f t="shared" ca="1" si="759"/>
        <v>0.28498894576458156</v>
      </c>
      <c r="AA316" s="2854">
        <f t="shared" ca="1" si="759"/>
        <v>0.97019264343303746</v>
      </c>
      <c r="AB316" s="2854">
        <f t="shared" ca="1" si="759"/>
        <v>0.95327225507169544</v>
      </c>
      <c r="AC316" s="2854">
        <f t="shared" ca="1" si="759"/>
        <v>1.0208312647825437</v>
      </c>
      <c r="AD316" s="2854">
        <f t="shared" ca="1" si="759"/>
        <v>1.6006409566702047</v>
      </c>
      <c r="AE316" s="2854">
        <f t="shared" ca="1" si="759"/>
        <v>0.22242068667839021</v>
      </c>
      <c r="AF316" s="2854">
        <f t="shared" ca="1" si="759"/>
        <v>1.642409070335745</v>
      </c>
      <c r="AG316" s="2854">
        <f t="shared" ca="1" si="759"/>
        <v>2.116623423740478</v>
      </c>
      <c r="AH316" s="2854">
        <f t="shared" ca="1" si="759"/>
        <v>2.0871908553238967</v>
      </c>
      <c r="AI316" s="2854">
        <f t="shared" ca="1" si="760"/>
        <v>2.5230943336383547</v>
      </c>
      <c r="AJ316" s="2854">
        <f t="shared" ca="1" si="760"/>
        <v>0.43142075084345777</v>
      </c>
      <c r="AK316" s="2854">
        <f t="shared" ca="1" si="760"/>
        <v>-0.82251861091003775</v>
      </c>
      <c r="AL316" s="2854">
        <f t="shared" ca="1" si="760"/>
        <v>-1.018359286744726</v>
      </c>
      <c r="AM316" s="2854">
        <f t="shared" ca="1" si="760"/>
        <v>36.945703672381228</v>
      </c>
      <c r="AN316" s="2854">
        <f t="shared" ca="1" si="760"/>
        <v>38.249290293967022</v>
      </c>
      <c r="AO316" s="2854">
        <f t="shared" ca="1" si="760"/>
        <v>37.97201828194261</v>
      </c>
      <c r="AP316" s="2854">
        <f t="shared" ca="1" si="760"/>
        <v>37.567489085708218</v>
      </c>
      <c r="AQ316" s="2854">
        <f t="shared" ca="1" si="760"/>
        <v>-28.930445746129195</v>
      </c>
      <c r="AR316" s="2854">
        <f t="shared" ca="1" si="760"/>
        <v>-27.773290560224467</v>
      </c>
      <c r="AS316" s="2854">
        <f t="shared" ca="1" si="761"/>
        <v>-26.421422712373342</v>
      </c>
      <c r="AT316" s="2854">
        <f t="shared" ca="1" si="761"/>
        <v>-26.005921091547165</v>
      </c>
      <c r="AU316" s="2854">
        <f ca="1">+AU282/AQ282*100-100</f>
        <v>3.1305650511024226</v>
      </c>
      <c r="AV316" s="2854">
        <f t="shared" ca="1" si="761"/>
        <v>2.3940704069182317</v>
      </c>
      <c r="AW316" s="2854">
        <f t="shared" ca="1" si="761"/>
        <v>2.235879998800641</v>
      </c>
      <c r="AX316" s="2854">
        <f t="shared" ca="1" si="761"/>
        <v>2.9720474370264611</v>
      </c>
      <c r="AY316" s="2854">
        <f t="shared" ca="1" si="761"/>
        <v>3.3246727086280998</v>
      </c>
      <c r="AZ316" s="2854">
        <f t="shared" ca="1" si="761"/>
        <v>3.5698507539310356</v>
      </c>
      <c r="BA316" s="2854">
        <f t="shared" ca="1" si="761"/>
        <v>3.9764270719422825</v>
      </c>
      <c r="BB316" s="2854">
        <f t="shared" ca="1" si="761"/>
        <v>4.2071894371358525</v>
      </c>
      <c r="BC316" s="2854">
        <f t="shared" ca="1" si="762"/>
        <v>4.3656732098340711</v>
      </c>
      <c r="BD316" s="2854">
        <f t="shared" ca="1" si="762"/>
        <v>4.945525732646459</v>
      </c>
      <c r="BE316" s="2854">
        <f t="shared" ca="1" si="762"/>
        <v>5.9162182264645367</v>
      </c>
      <c r="BF316" s="2854">
        <f t="shared" ca="1" si="762"/>
        <v>7.9127435962338382</v>
      </c>
      <c r="BG316" s="2854">
        <f t="shared" ca="1" si="763"/>
        <v>10.77445830605555</v>
      </c>
      <c r="BH316" s="2854">
        <f t="shared" ca="1" si="764"/>
        <v>12.275273697616711</v>
      </c>
      <c r="BI316" s="2854">
        <f t="shared" ca="1" si="765"/>
        <v>11.970554768147551</v>
      </c>
      <c r="BJ316" s="2854">
        <f t="shared" ref="BJ316:BL317" ca="1" si="785">+BJ282/BF282*100-100</f>
        <v>9.4247836812170647</v>
      </c>
      <c r="BK316" s="2854">
        <f t="shared" ca="1" si="785"/>
        <v>8.4437857666377312</v>
      </c>
      <c r="BL316" s="2866">
        <f t="shared" ca="1" si="785"/>
        <v>4.8862104352241715</v>
      </c>
      <c r="BM316" s="2866">
        <f t="shared" ca="1" si="767"/>
        <v>2.3852799055889449</v>
      </c>
      <c r="BN316" s="2866">
        <f t="shared" ca="1" si="768"/>
        <v>1.1463312072906575</v>
      </c>
      <c r="BO316" s="2854">
        <f t="shared" ca="1" si="769"/>
        <v>-0.40204451218978932</v>
      </c>
      <c r="BP316" s="2866">
        <f t="shared" ca="1" si="770"/>
        <v>0.55964202457565193</v>
      </c>
      <c r="BQ316" s="2866">
        <f t="shared" ca="1" si="771"/>
        <v>1.7831244876144012</v>
      </c>
      <c r="BR316" s="2866">
        <f t="shared" ca="1" si="772"/>
        <v>2.931811865113005</v>
      </c>
      <c r="BS316" s="2854">
        <f t="shared" ca="1" si="773"/>
        <v>3.2198296089618168</v>
      </c>
      <c r="BT316" s="2866">
        <f t="shared" ca="1" si="774"/>
        <v>4.7327108120605317</v>
      </c>
      <c r="BU316" s="2866">
        <f t="shared" ca="1" si="775"/>
        <v>4.5744794796754036</v>
      </c>
      <c r="BV316" s="2866">
        <f ca="1">+BV282/BR282*100-100</f>
        <v>4.0543437792466079</v>
      </c>
      <c r="BW316" s="2866">
        <f t="shared" ref="BW316:CH317" ca="1" si="786">+BW282/BS282*100-100</f>
        <v>3.6382121598266934</v>
      </c>
      <c r="BX316" s="2866">
        <f t="shared" ca="1" si="786"/>
        <v>2.8447358600420074</v>
      </c>
      <c r="BY316" s="2866">
        <f ca="1">+BY282/BU282*100-100</f>
        <v>3.2328741421467271</v>
      </c>
      <c r="BZ316" s="2866">
        <f t="shared" ca="1" si="786"/>
        <v>2.9942553637918508</v>
      </c>
      <c r="CA316" s="2866">
        <f t="shared" ca="1" si="777"/>
        <v>2.2128950976594552</v>
      </c>
      <c r="CB316" s="2866">
        <f t="shared" ca="1" si="778"/>
        <v>1.3936010949206121</v>
      </c>
      <c r="CC316" s="2866">
        <f t="shared" ca="1" si="786"/>
        <v>0.544119533062144</v>
      </c>
      <c r="CD316" s="2866">
        <f t="shared" ca="1" si="786"/>
        <v>0.49826460621136448</v>
      </c>
      <c r="CE316" s="2866">
        <f t="shared" ca="1" si="786"/>
        <v>0.30778324993059414</v>
      </c>
      <c r="CF316" s="2866">
        <f t="shared" ca="1" si="786"/>
        <v>0.21688232448298095</v>
      </c>
      <c r="CG316" s="2866">
        <f t="shared" ca="1" si="786"/>
        <v>0.24228140837416845</v>
      </c>
      <c r="CH316" s="2866">
        <f t="shared" ca="1" si="786"/>
        <v>0.17429873938439755</v>
      </c>
      <c r="CI316" s="2866">
        <f t="shared" ref="CI316:CP316" ca="1" si="787">+CI282/CE282*100-100</f>
        <v>-1.2991271504266138</v>
      </c>
      <c r="CJ316" s="2866">
        <f t="shared" ca="1" si="787"/>
        <v>-0.29226033802027018</v>
      </c>
      <c r="CK316" s="2866">
        <f t="shared" ca="1" si="787"/>
        <v>-0.66403430877610958</v>
      </c>
      <c r="CL316" s="2866">
        <f t="shared" ca="1" si="787"/>
        <v>-0.37025413901122306</v>
      </c>
      <c r="CM316" s="2866">
        <f t="shared" ca="1" si="787"/>
        <v>0.6874463859162887</v>
      </c>
      <c r="CN316" s="2866">
        <f t="shared" ca="1" si="787"/>
        <v>0.46646439800738904</v>
      </c>
      <c r="CO316" s="2866">
        <f t="shared" ca="1" si="787"/>
        <v>0.40148688455245463</v>
      </c>
      <c r="CP316" s="2866">
        <f t="shared" ca="1" si="787"/>
        <v>1.2463909081876494</v>
      </c>
      <c r="CQ316" s="2866">
        <f t="shared" ref="CQ316:CX316" ca="1" si="788">+CQ282/CM282*100-100</f>
        <v>2.9554663441353313</v>
      </c>
      <c r="CR316" s="2866">
        <f t="shared" ca="1" si="788"/>
        <v>3.4071082454399431</v>
      </c>
      <c r="CS316" s="2866">
        <f t="shared" ca="1" si="788"/>
        <v>4.4491285396125306</v>
      </c>
      <c r="CT316" s="2866">
        <f t="shared" ca="1" si="788"/>
        <v>4.0591318491850217</v>
      </c>
      <c r="CU316" s="2866">
        <f t="shared" ca="1" si="788"/>
        <v>3.2003427940795461</v>
      </c>
      <c r="CV316" s="2866">
        <f t="shared" ca="1" si="788"/>
        <v>2.7000996405354982</v>
      </c>
      <c r="CW316" s="2866">
        <f t="shared" ca="1" si="788"/>
        <v>2.6728413706528471</v>
      </c>
      <c r="CX316" s="2866">
        <f t="shared" ca="1" si="788"/>
        <v>2.6731374763846674</v>
      </c>
      <c r="CY316" s="2866">
        <f t="shared" ref="CY316" ca="1" si="789">+CY282/CU282*100-100</f>
        <v>2.7085884536913909</v>
      </c>
      <c r="CZ316" s="2866">
        <f t="shared" ref="CZ316" ca="1" si="790">+CZ282/CV282*100-100</f>
        <v>2.5208338919720461</v>
      </c>
      <c r="DA316" s="2866">
        <f t="shared" ref="DA316" ca="1" si="791">+DA282/CW282*100-100</f>
        <v>2.2255013487630464</v>
      </c>
      <c r="DB316" s="2866">
        <f t="shared" ref="DB316" ca="1" si="792">+DB282/CX282*100-100</f>
        <v>1.939395359138814</v>
      </c>
    </row>
    <row r="317" spans="1:119">
      <c r="B317" s="665">
        <v>25</v>
      </c>
      <c r="C317" s="674"/>
      <c r="D317" s="717"/>
      <c r="E317" s="3636" t="str">
        <f>+E308</f>
        <v>HICP</v>
      </c>
      <c r="F317" s="3634"/>
      <c r="G317" s="2854"/>
      <c r="H317" s="2854"/>
      <c r="I317" s="2854"/>
      <c r="J317" s="2854"/>
      <c r="K317" s="2854" t="e">
        <f t="shared" ref="K317:T317" si="793">+K283/G283*100-100</f>
        <v>#VALUE!</v>
      </c>
      <c r="L317" s="2854" t="e">
        <f t="shared" si="793"/>
        <v>#VALUE!</v>
      </c>
      <c r="M317" s="2854" t="e">
        <f t="shared" si="793"/>
        <v>#VALUE!</v>
      </c>
      <c r="N317" s="2854" t="e">
        <f t="shared" si="793"/>
        <v>#VALUE!</v>
      </c>
      <c r="O317" s="2854">
        <f t="shared" si="793"/>
        <v>13.133696309739861</v>
      </c>
      <c r="P317" s="2854">
        <f t="shared" si="793"/>
        <v>9.3338744275030479</v>
      </c>
      <c r="Q317" s="2854">
        <f t="shared" si="793"/>
        <v>9.9323704722604305</v>
      </c>
      <c r="R317" s="2854">
        <f t="shared" si="793"/>
        <v>9.0350681259772045</v>
      </c>
      <c r="S317" s="2854">
        <f t="shared" si="793"/>
        <v>6.5290626169723538</v>
      </c>
      <c r="T317" s="2854">
        <f t="shared" si="793"/>
        <v>6.6069250755607385</v>
      </c>
      <c r="U317" s="2854">
        <f t="shared" ref="U317:AD317" si="794">+U283/Q283*100-100</f>
        <v>4.6869297742557592</v>
      </c>
      <c r="V317" s="2854">
        <f t="shared" si="794"/>
        <v>3.7334835603810319</v>
      </c>
      <c r="W317" s="2854">
        <f t="shared" si="794"/>
        <v>2.6955124987450887</v>
      </c>
      <c r="X317" s="2854">
        <f t="shared" si="794"/>
        <v>1.5568266600348295</v>
      </c>
      <c r="Y317" s="2854">
        <f t="shared" si="794"/>
        <v>1.2450199203187395</v>
      </c>
      <c r="Z317" s="2854">
        <f t="shared" si="794"/>
        <v>0.29622315477659811</v>
      </c>
      <c r="AA317" s="2854">
        <f t="shared" si="794"/>
        <v>0.93357446600519722</v>
      </c>
      <c r="AB317" s="2854">
        <f t="shared" si="794"/>
        <v>0.91585855617593381</v>
      </c>
      <c r="AC317" s="2854">
        <f t="shared" si="794"/>
        <v>0.98376783079194752</v>
      </c>
      <c r="AD317" s="2854">
        <f t="shared" si="794"/>
        <v>1.5456559192714678</v>
      </c>
      <c r="AE317" s="2854">
        <f t="shared" ref="AE317:AN317" si="795">+AE283/AA283*100-100</f>
        <v>0.25665859564165316</v>
      </c>
      <c r="AF317" s="2854">
        <f t="shared" si="795"/>
        <v>1.6646445037612239</v>
      </c>
      <c r="AG317" s="2854">
        <f t="shared" si="795"/>
        <v>2.1480759863613912</v>
      </c>
      <c r="AH317" s="2854">
        <f t="shared" si="795"/>
        <v>2.1329196761840024</v>
      </c>
      <c r="AI317" s="2854">
        <f t="shared" si="795"/>
        <v>2.55518523885425</v>
      </c>
      <c r="AJ317" s="2854">
        <f t="shared" si="795"/>
        <v>0.50124116860799006</v>
      </c>
      <c r="AK317" s="2854">
        <f t="shared" si="795"/>
        <v>-0.74865290162604481</v>
      </c>
      <c r="AL317" s="2854">
        <f t="shared" si="795"/>
        <v>-0.93027670985809152</v>
      </c>
      <c r="AM317" s="2854">
        <f t="shared" si="795"/>
        <v>-1.5919366993217778</v>
      </c>
      <c r="AN317" s="2854">
        <f t="shared" si="795"/>
        <v>-0.66023844582720415</v>
      </c>
      <c r="AO317" s="2854">
        <f t="shared" ref="AO317:AX317" si="796">+AO283/AK283*100-100</f>
        <v>-0.85999807821660568</v>
      </c>
      <c r="AP317" s="2854">
        <f t="shared" si="796"/>
        <v>-1.1881377856561244</v>
      </c>
      <c r="AQ317" s="2854">
        <f t="shared" si="796"/>
        <v>-1.1103666124246132</v>
      </c>
      <c r="AR317" s="2854">
        <f t="shared" si="796"/>
        <v>0.47814860858754571</v>
      </c>
      <c r="AS317" s="2854">
        <f t="shared" si="796"/>
        <v>2.345529440271406</v>
      </c>
      <c r="AT317" s="2854">
        <f t="shared" si="796"/>
        <v>2.943030303030298</v>
      </c>
      <c r="AU317" s="2854">
        <f t="shared" si="796"/>
        <v>3.1071532281482916</v>
      </c>
      <c r="AV317" s="2854">
        <f t="shared" si="796"/>
        <v>2.3793661368611367</v>
      </c>
      <c r="AW317" s="2854">
        <f t="shared" si="796"/>
        <v>2.2349543065486159</v>
      </c>
      <c r="AX317" s="2854">
        <f t="shared" si="796"/>
        <v>2.9719291635267524</v>
      </c>
      <c r="AY317" s="2854">
        <f t="shared" ref="AY317:BF317" si="797">+AY283/AU283*100-100</f>
        <v>3.3139316560270515</v>
      </c>
      <c r="AZ317" s="2854">
        <f t="shared" si="797"/>
        <v>3.5604722506274982</v>
      </c>
      <c r="BA317" s="2854">
        <f t="shared" si="797"/>
        <v>3.9507202074938732</v>
      </c>
      <c r="BB317" s="2854">
        <f t="shared" si="797"/>
        <v>4.1897269359191398</v>
      </c>
      <c r="BC317" s="2854">
        <f t="shared" si="797"/>
        <v>4.3889141299409289</v>
      </c>
      <c r="BD317" s="2854">
        <f t="shared" si="797"/>
        <v>4.9640933572711106</v>
      </c>
      <c r="BE317" s="2854">
        <f t="shared" si="797"/>
        <v>5.9347709855640716</v>
      </c>
      <c r="BF317" s="2854">
        <f t="shared" si="797"/>
        <v>7.9195750471925663</v>
      </c>
      <c r="BG317" s="2854">
        <f t="shared" si="763"/>
        <v>10.772110027855149</v>
      </c>
      <c r="BH317" s="2854">
        <f t="shared" si="764"/>
        <v>12.272299666467106</v>
      </c>
      <c r="BI317" s="2854">
        <f t="shared" si="765"/>
        <v>11.961641991924637</v>
      </c>
      <c r="BJ317" s="2854">
        <f t="shared" ca="1" si="785"/>
        <v>9.4247836812170647</v>
      </c>
      <c r="BK317" s="2854">
        <f t="shared" ca="1" si="785"/>
        <v>8.4437857666377312</v>
      </c>
      <c r="BL317" s="2854">
        <f t="shared" ca="1" si="785"/>
        <v>4.8862104352241715</v>
      </c>
      <c r="BM317" s="2854">
        <f t="shared" ca="1" si="767"/>
        <v>2.3852799055889449</v>
      </c>
      <c r="BN317" s="2854">
        <f t="shared" ca="1" si="768"/>
        <v>1.1463312072906575</v>
      </c>
      <c r="BO317" s="2854">
        <f t="shared" ca="1" si="769"/>
        <v>-0.40204451218980353</v>
      </c>
      <c r="BP317" s="2854">
        <f t="shared" ca="1" si="770"/>
        <v>0.55964202457565193</v>
      </c>
      <c r="BQ317" s="2854">
        <f t="shared" ca="1" si="771"/>
        <v>1.7831244876144012</v>
      </c>
      <c r="BR317" s="2854">
        <f t="shared" ca="1" si="772"/>
        <v>2.931811865113005</v>
      </c>
      <c r="BS317" s="2854">
        <f t="shared" ca="1" si="773"/>
        <v>3.2198296089618168</v>
      </c>
      <c r="BT317" s="2854">
        <f t="shared" ca="1" si="774"/>
        <v>4.7327108120605317</v>
      </c>
      <c r="BU317" s="2854">
        <f t="shared" ca="1" si="775"/>
        <v>4.5744794796754036</v>
      </c>
      <c r="BV317" s="2854">
        <f ca="1">+BV283/BR283*100-100</f>
        <v>4.0543437792466079</v>
      </c>
      <c r="BW317" s="2854">
        <f t="shared" ca="1" si="786"/>
        <v>3.6382121598266934</v>
      </c>
      <c r="BX317" s="2854">
        <f t="shared" ca="1" si="786"/>
        <v>2.8447358600420074</v>
      </c>
      <c r="BY317" s="2854">
        <f t="shared" ca="1" si="786"/>
        <v>3.2328741421467271</v>
      </c>
      <c r="BZ317" s="2854">
        <f ca="1">+BZ283/BV283*100-100</f>
        <v>2.9942553637918508</v>
      </c>
      <c r="CA317" s="2854">
        <f t="shared" ca="1" si="777"/>
        <v>2.2128950976594552</v>
      </c>
      <c r="CB317" s="2854">
        <f t="shared" ca="1" si="778"/>
        <v>1.3936010949206121</v>
      </c>
      <c r="CC317" s="2854">
        <f t="shared" ca="1" si="786"/>
        <v>0.544119533062144</v>
      </c>
      <c r="CD317" s="2854">
        <f t="shared" ref="CD317:CI317" ca="1" si="798">+CD283/BZ283*100-100</f>
        <v>0.49826460621136448</v>
      </c>
      <c r="CE317" s="2854">
        <f t="shared" ca="1" si="798"/>
        <v>0.30778324993059414</v>
      </c>
      <c r="CF317" s="2854">
        <f t="shared" ca="1" si="798"/>
        <v>0.21688232448298095</v>
      </c>
      <c r="CG317" s="2854">
        <f t="shared" ca="1" si="798"/>
        <v>0.24228140837416845</v>
      </c>
      <c r="CH317" s="2854">
        <f t="shared" ca="1" si="798"/>
        <v>0.17429873938439755</v>
      </c>
      <c r="CI317" s="2854">
        <f t="shared" ca="1" si="798"/>
        <v>-1.2991271504265995</v>
      </c>
      <c r="CJ317" s="1423">
        <f t="shared" ref="CJ317:CP317" ca="1" si="799">+CJ316</f>
        <v>-0.29226033802027018</v>
      </c>
      <c r="CK317" s="1423">
        <f t="shared" ca="1" si="799"/>
        <v>-0.66403430877610958</v>
      </c>
      <c r="CL317" s="1423">
        <f t="shared" ca="1" si="799"/>
        <v>-0.37025413901122306</v>
      </c>
      <c r="CM317" s="1423">
        <f t="shared" ca="1" si="799"/>
        <v>0.6874463859162887</v>
      </c>
      <c r="CN317" s="1423">
        <f t="shared" ca="1" si="799"/>
        <v>0.46646439800738904</v>
      </c>
      <c r="CO317" s="1423">
        <f t="shared" ca="1" si="799"/>
        <v>0.40148688455245463</v>
      </c>
      <c r="CP317" s="1423">
        <f t="shared" ca="1" si="799"/>
        <v>1.2463909081876494</v>
      </c>
      <c r="CQ317" s="1423">
        <f t="shared" ref="CQ317:CX317" ca="1" si="800">+CQ316</f>
        <v>2.9554663441353313</v>
      </c>
      <c r="CR317" s="1423">
        <f t="shared" ca="1" si="800"/>
        <v>3.4071082454399431</v>
      </c>
      <c r="CS317" s="1423">
        <f t="shared" ca="1" si="800"/>
        <v>4.4491285396125306</v>
      </c>
      <c r="CT317" s="1423">
        <f t="shared" ca="1" si="800"/>
        <v>4.0591318491850217</v>
      </c>
      <c r="CU317" s="1423">
        <f t="shared" ca="1" si="800"/>
        <v>3.2003427940795461</v>
      </c>
      <c r="CV317" s="1423">
        <f t="shared" ca="1" si="800"/>
        <v>2.7000996405354982</v>
      </c>
      <c r="CW317" s="1423">
        <f t="shared" ca="1" si="800"/>
        <v>2.6728413706528471</v>
      </c>
      <c r="CX317" s="1423">
        <f t="shared" ca="1" si="800"/>
        <v>2.6731374763846674</v>
      </c>
      <c r="CY317" s="1423">
        <f t="shared" ref="CY317:DB317" ca="1" si="801">+CY316</f>
        <v>2.7085884536913909</v>
      </c>
      <c r="CZ317" s="1423">
        <f t="shared" ca="1" si="801"/>
        <v>2.5208338919720461</v>
      </c>
      <c r="DA317" s="1423">
        <f t="shared" ca="1" si="801"/>
        <v>2.2255013487630464</v>
      </c>
      <c r="DB317" s="1423">
        <f t="shared" ca="1" si="801"/>
        <v>1.939395359138814</v>
      </c>
    </row>
    <row r="318" spans="1:119" s="1003" customFormat="1">
      <c r="A318" s="673"/>
      <c r="B318" s="673"/>
      <c r="C318" s="1007"/>
      <c r="D318" s="1008"/>
      <c r="E318" s="1009" t="s">
        <v>814</v>
      </c>
      <c r="F318" s="1008"/>
      <c r="G318" s="1010"/>
      <c r="H318" s="1010"/>
      <c r="I318" s="1010"/>
      <c r="J318" s="1010"/>
      <c r="K318" s="2886"/>
      <c r="L318" s="2886"/>
      <c r="M318" s="2886"/>
      <c r="N318" s="2886"/>
      <c r="O318" s="2886"/>
      <c r="P318" s="2886"/>
      <c r="Q318" s="2886"/>
      <c r="R318" s="2886">
        <f t="shared" ref="R318:BF318" ca="1" si="802">+R317-R316</f>
        <v>-5.8847953123873253E-2</v>
      </c>
      <c r="S318" s="2886">
        <f t="shared" ca="1" si="802"/>
        <v>2.9941735621463295E-2</v>
      </c>
      <c r="T318" s="2886">
        <f t="shared" ca="1" si="802"/>
        <v>3.1557386148662658E-2</v>
      </c>
      <c r="U318" s="2886">
        <f t="shared" ca="1" si="802"/>
        <v>4.2449687552291948E-2</v>
      </c>
      <c r="V318" s="2886">
        <f t="shared" ca="1" si="802"/>
        <v>4.6562834158308419E-2</v>
      </c>
      <c r="W318" s="2886">
        <f t="shared" ca="1" si="802"/>
        <v>5.3904592471383239E-3</v>
      </c>
      <c r="X318" s="2886">
        <f t="shared" ca="1" si="802"/>
        <v>-2.5131374238895887E-3</v>
      </c>
      <c r="Y318" s="2886">
        <f t="shared" ca="1" si="802"/>
        <v>6.3208800767711182E-4</v>
      </c>
      <c r="Z318" s="2886">
        <f t="shared" ca="1" si="802"/>
        <v>1.1234209012016549E-2</v>
      </c>
      <c r="AA318" s="2886">
        <f t="shared" ca="1" si="802"/>
        <v>-3.6618177427840237E-2</v>
      </c>
      <c r="AB318" s="2886">
        <f t="shared" ca="1" si="802"/>
        <v>-3.7413698895761627E-2</v>
      </c>
      <c r="AC318" s="2886">
        <f t="shared" ca="1" si="802"/>
        <v>-3.7063433990596195E-2</v>
      </c>
      <c r="AD318" s="2886">
        <f t="shared" ca="1" si="802"/>
        <v>-5.4985037398736836E-2</v>
      </c>
      <c r="AE318" s="2886">
        <f t="shared" ca="1" si="802"/>
        <v>3.4237908963262953E-2</v>
      </c>
      <c r="AF318" s="2886">
        <f t="shared" ca="1" si="802"/>
        <v>2.2235433425478845E-2</v>
      </c>
      <c r="AG318" s="2886">
        <f t="shared" ca="1" si="802"/>
        <v>3.1452562620913227E-2</v>
      </c>
      <c r="AH318" s="2886">
        <f t="shared" ca="1" si="802"/>
        <v>4.5728820860105657E-2</v>
      </c>
      <c r="AI318" s="2886">
        <f t="shared" ca="1" si="802"/>
        <v>3.2090905215895305E-2</v>
      </c>
      <c r="AJ318" s="2886">
        <f t="shared" ca="1" si="802"/>
        <v>6.9820417764532294E-2</v>
      </c>
      <c r="AK318" s="2886">
        <f t="shared" ca="1" si="802"/>
        <v>7.3865709283992942E-2</v>
      </c>
      <c r="AL318" s="2886">
        <f t="shared" ca="1" si="802"/>
        <v>8.8082576886634456E-2</v>
      </c>
      <c r="AM318" s="2886">
        <f t="shared" ca="1" si="802"/>
        <v>-38.537640371703006</v>
      </c>
      <c r="AN318" s="2886">
        <f t="shared" ca="1" si="802"/>
        <v>-38.909528739794226</v>
      </c>
      <c r="AO318" s="2886">
        <f t="shared" ca="1" si="802"/>
        <v>-38.832016360159216</v>
      </c>
      <c r="AP318" s="2886">
        <f t="shared" ca="1" si="802"/>
        <v>-38.755626871364342</v>
      </c>
      <c r="AQ318" s="2886">
        <f t="shared" ca="1" si="802"/>
        <v>27.820079133704581</v>
      </c>
      <c r="AR318" s="2886">
        <f t="shared" ca="1" si="802"/>
        <v>28.251439168812013</v>
      </c>
      <c r="AS318" s="2886">
        <f t="shared" ca="1" si="802"/>
        <v>28.766952152644748</v>
      </c>
      <c r="AT318" s="2886">
        <f t="shared" ca="1" si="802"/>
        <v>28.948951394577463</v>
      </c>
      <c r="AU318" s="2886">
        <f t="shared" ca="1" si="802"/>
        <v>-2.3411822954130912E-2</v>
      </c>
      <c r="AV318" s="2886">
        <f t="shared" ca="1" si="802"/>
        <v>-1.4704270057094959E-2</v>
      </c>
      <c r="AW318" s="2886">
        <f t="shared" ca="1" si="802"/>
        <v>-9.2569225202510097E-4</v>
      </c>
      <c r="AX318" s="2886">
        <f t="shared" ca="1" si="802"/>
        <v>-1.1827349970872092E-4</v>
      </c>
      <c r="AY318" s="2886">
        <f t="shared" ca="1" si="802"/>
        <v>-1.0741052601048295E-2</v>
      </c>
      <c r="AZ318" s="2886">
        <f t="shared" ca="1" si="802"/>
        <v>-9.3785033035373999E-3</v>
      </c>
      <c r="BA318" s="2886">
        <f t="shared" ca="1" si="802"/>
        <v>-2.5706864448409306E-2</v>
      </c>
      <c r="BB318" s="2886">
        <f t="shared" ca="1" si="802"/>
        <v>-1.7462501216712667E-2</v>
      </c>
      <c r="BC318" s="2886">
        <f t="shared" ca="1" si="802"/>
        <v>2.3240920106857743E-2</v>
      </c>
      <c r="BD318" s="2886">
        <f t="shared" ca="1" si="802"/>
        <v>1.8567624624651557E-2</v>
      </c>
      <c r="BE318" s="2886">
        <f t="shared" ca="1" si="802"/>
        <v>1.855275909953491E-2</v>
      </c>
      <c r="BF318" s="2886">
        <f t="shared" ca="1" si="802"/>
        <v>6.8314509587281691E-3</v>
      </c>
      <c r="BG318" s="2886">
        <f t="shared" ref="BG318:BN318" ca="1" si="803">+BG317-BG316</f>
        <v>-2.348278200400955E-3</v>
      </c>
      <c r="BH318" s="2886">
        <f t="shared" ca="1" si="803"/>
        <v>-2.9740311496055938E-3</v>
      </c>
      <c r="BI318" s="2886">
        <f t="shared" ca="1" si="803"/>
        <v>-8.9127762229139762E-3</v>
      </c>
      <c r="BJ318" s="2886">
        <f t="shared" ca="1" si="803"/>
        <v>0</v>
      </c>
      <c r="BK318" s="2886">
        <f t="shared" ca="1" si="803"/>
        <v>0</v>
      </c>
      <c r="BL318" s="2886">
        <f t="shared" ca="1" si="803"/>
        <v>0</v>
      </c>
      <c r="BM318" s="2886">
        <f t="shared" ca="1" si="803"/>
        <v>0</v>
      </c>
      <c r="BN318" s="2886">
        <f t="shared" ca="1" si="803"/>
        <v>0</v>
      </c>
      <c r="BO318" s="2886">
        <f t="shared" ref="BO318:BZ318" ca="1" si="804">+BO317-BO316</f>
        <v>-1.4210854715202004E-14</v>
      </c>
      <c r="BP318" s="2886">
        <f t="shared" ca="1" si="804"/>
        <v>0</v>
      </c>
      <c r="BQ318" s="2886">
        <f t="shared" ca="1" si="804"/>
        <v>0</v>
      </c>
      <c r="BR318" s="2886">
        <f t="shared" ca="1" si="804"/>
        <v>0</v>
      </c>
      <c r="BS318" s="2886">
        <f ca="1">+BS317-BS316</f>
        <v>0</v>
      </c>
      <c r="BT318" s="2886">
        <f ca="1">+BT317-BT316</f>
        <v>0</v>
      </c>
      <c r="BU318" s="2886">
        <f ca="1">+BU317-BU316</f>
        <v>0</v>
      </c>
      <c r="BV318" s="2886">
        <f ca="1">+BV317-BV316</f>
        <v>0</v>
      </c>
      <c r="BW318" s="2886">
        <f t="shared" ca="1" si="804"/>
        <v>0</v>
      </c>
      <c r="BX318" s="2886">
        <f ca="1">+BX317-BX316</f>
        <v>0</v>
      </c>
      <c r="BY318" s="2886">
        <f ca="1">+BY317-BY316</f>
        <v>0</v>
      </c>
      <c r="BZ318" s="2886">
        <f t="shared" ca="1" si="804"/>
        <v>0</v>
      </c>
      <c r="CA318" s="2886">
        <f ca="1">+CA317-CA316</f>
        <v>0</v>
      </c>
      <c r="CB318" s="2886">
        <f ca="1">+CB317-CB316</f>
        <v>0</v>
      </c>
      <c r="CC318" s="2886">
        <f t="shared" ref="CC318:CH318" ca="1" si="805">+CC317-CC316</f>
        <v>0</v>
      </c>
      <c r="CD318" s="2886">
        <f t="shared" ca="1" si="805"/>
        <v>0</v>
      </c>
      <c r="CE318" s="2886">
        <f ca="1">+CE317-CE316</f>
        <v>0</v>
      </c>
      <c r="CF318" s="2886">
        <f ca="1">+CF317-CF316</f>
        <v>0</v>
      </c>
      <c r="CG318" s="2886">
        <f t="shared" ca="1" si="805"/>
        <v>0</v>
      </c>
      <c r="CH318" s="2886">
        <f t="shared" ca="1" si="805"/>
        <v>0</v>
      </c>
      <c r="CI318" s="2886">
        <f t="shared" ref="CI318:CP318" ca="1" si="806">+CI317-CI316</f>
        <v>1.4210854715202004E-14</v>
      </c>
      <c r="CJ318" s="2886">
        <f t="shared" ca="1" si="806"/>
        <v>0</v>
      </c>
      <c r="CK318" s="2886">
        <f t="shared" ca="1" si="806"/>
        <v>0</v>
      </c>
      <c r="CL318" s="2886">
        <f t="shared" ca="1" si="806"/>
        <v>0</v>
      </c>
      <c r="CM318" s="2886">
        <f t="shared" ca="1" si="806"/>
        <v>0</v>
      </c>
      <c r="CN318" s="2886">
        <f t="shared" ca="1" si="806"/>
        <v>0</v>
      </c>
      <c r="CO318" s="2886">
        <f t="shared" ca="1" si="806"/>
        <v>0</v>
      </c>
      <c r="CP318" s="2886">
        <f t="shared" ca="1" si="806"/>
        <v>0</v>
      </c>
      <c r="CQ318" s="2886">
        <f t="shared" ref="CQ318:CX318" ca="1" si="807">+CQ317-CQ316</f>
        <v>0</v>
      </c>
      <c r="CR318" s="2886">
        <f t="shared" ca="1" si="807"/>
        <v>0</v>
      </c>
      <c r="CS318" s="2886">
        <f t="shared" ca="1" si="807"/>
        <v>0</v>
      </c>
      <c r="CT318" s="2886">
        <f t="shared" ca="1" si="807"/>
        <v>0</v>
      </c>
      <c r="CU318" s="2886">
        <f t="shared" ca="1" si="807"/>
        <v>0</v>
      </c>
      <c r="CV318" s="2886">
        <f t="shared" ca="1" si="807"/>
        <v>0</v>
      </c>
      <c r="CW318" s="2886">
        <f t="shared" ca="1" si="807"/>
        <v>0</v>
      </c>
      <c r="CX318" s="2886">
        <f t="shared" ca="1" si="807"/>
        <v>0</v>
      </c>
      <c r="CY318" s="2886">
        <f t="shared" ref="CY318:DB318" ca="1" si="808">+CY317-CY316</f>
        <v>0</v>
      </c>
      <c r="CZ318" s="2886">
        <f t="shared" ca="1" si="808"/>
        <v>0</v>
      </c>
      <c r="DA318" s="2886">
        <f t="shared" ca="1" si="808"/>
        <v>0</v>
      </c>
      <c r="DB318" s="2886">
        <f t="shared" ca="1" si="808"/>
        <v>0</v>
      </c>
      <c r="DC318"/>
      <c r="DD318"/>
      <c r="DE318"/>
      <c r="DF318"/>
      <c r="DG318"/>
      <c r="DH318"/>
      <c r="DI318"/>
      <c r="DJ318"/>
      <c r="DK318"/>
      <c r="DL318"/>
      <c r="DM318"/>
      <c r="DN318"/>
      <c r="DO318"/>
    </row>
    <row r="319" spans="1:119">
      <c r="C319" s="674"/>
      <c r="D319" s="717"/>
      <c r="E319" s="3636" t="s">
        <v>925</v>
      </c>
      <c r="F319" s="3634"/>
      <c r="G319" s="2854"/>
      <c r="H319" s="2854"/>
      <c r="I319" s="2854"/>
      <c r="J319" s="2854"/>
      <c r="K319" s="2854"/>
      <c r="L319" s="2854"/>
      <c r="M319" s="2854"/>
      <c r="N319" s="2854"/>
      <c r="O319" s="2854"/>
      <c r="P319" s="2854"/>
      <c r="Q319" s="2854"/>
      <c r="R319" s="2854">
        <f t="shared" ref="R319:AT319" ca="1" si="809">+R285/N285*100-100</f>
        <v>8.3443598528451162</v>
      </c>
      <c r="S319" s="2854">
        <f t="shared" ca="1" si="809"/>
        <v>5.5473702076514115</v>
      </c>
      <c r="T319" s="2854">
        <f t="shared" ca="1" si="809"/>
        <v>5.0518435046664365</v>
      </c>
      <c r="U319" s="2854">
        <f t="shared" ca="1" si="809"/>
        <v>4.15560763207381</v>
      </c>
      <c r="V319" s="2854">
        <f t="shared" ca="1" si="809"/>
        <v>3.3382060680625614</v>
      </c>
      <c r="W319" s="2854">
        <f t="shared" ca="1" si="809"/>
        <v>2.8339977571319963</v>
      </c>
      <c r="X319" s="2854">
        <f t="shared" ca="1" si="809"/>
        <v>2.2689024431044515</v>
      </c>
      <c r="Y319" s="2854">
        <f t="shared" ca="1" si="809"/>
        <v>1.7549659819113543</v>
      </c>
      <c r="Z319" s="2854">
        <f t="shared" ca="1" si="809"/>
        <v>1.8299769327995818E-2</v>
      </c>
      <c r="AA319" s="2854">
        <f t="shared" ca="1" si="809"/>
        <v>-0.75299001957110079</v>
      </c>
      <c r="AB319" s="2854">
        <f t="shared" ca="1" si="809"/>
        <v>-1.4491587030761792</v>
      </c>
      <c r="AC319" s="2854">
        <f t="shared" ca="1" si="809"/>
        <v>-1.6070917154824826</v>
      </c>
      <c r="AD319" s="2854">
        <f t="shared" ca="1" si="809"/>
        <v>-0.62999982718162073</v>
      </c>
      <c r="AE319" s="2854">
        <f t="shared" ca="1" si="809"/>
        <v>-0.63648108611639032</v>
      </c>
      <c r="AF319" s="2854">
        <f t="shared" ca="1" si="809"/>
        <v>-0.50438281409860508</v>
      </c>
      <c r="AG319" s="2854">
        <f t="shared" ca="1" si="809"/>
        <v>0.1239821519168629</v>
      </c>
      <c r="AH319" s="2854">
        <f t="shared" ca="1" si="809"/>
        <v>1.3215926857065909</v>
      </c>
      <c r="AI319" s="2854">
        <f t="shared" ca="1" si="809"/>
        <v>1.0688677668421462</v>
      </c>
      <c r="AJ319" s="2854">
        <f t="shared" ca="1" si="809"/>
        <v>0.86483095573896662</v>
      </c>
      <c r="AK319" s="2854">
        <f t="shared" ca="1" si="809"/>
        <v>0.27054516300721332</v>
      </c>
      <c r="AL319" s="2854">
        <f t="shared" ca="1" si="809"/>
        <v>1.798525597386913E-2</v>
      </c>
      <c r="AM319" s="2854">
        <f t="shared" ca="1" si="809"/>
        <v>33.579148031379191</v>
      </c>
      <c r="AN319" s="2854">
        <f t="shared" ca="1" si="809"/>
        <v>34.548824706497015</v>
      </c>
      <c r="AO319" s="2854">
        <f t="shared" ca="1" si="809"/>
        <v>33.823866773081789</v>
      </c>
      <c r="AP319" s="2854">
        <f t="shared" ca="1" si="809"/>
        <v>32.608179471867658</v>
      </c>
      <c r="AQ319" s="2854">
        <f t="shared" ca="1" si="809"/>
        <v>-25.195085433341873</v>
      </c>
      <c r="AR319" s="2854">
        <f t="shared" ca="1" si="809"/>
        <v>-24.38992457631403</v>
      </c>
      <c r="AS319" s="2854">
        <f t="shared" ca="1" si="809"/>
        <v>-23.811673572379121</v>
      </c>
      <c r="AT319" s="2854">
        <f t="shared" ca="1" si="809"/>
        <v>-23.268171577564317</v>
      </c>
      <c r="AU319" s="2854">
        <f t="shared" ref="AU319:BL319" ca="1" si="810">+AU285/AQ285*100-100</f>
        <v>1.6019661286496216</v>
      </c>
      <c r="AV319" s="2854">
        <f t="shared" ca="1" si="810"/>
        <v>0.94712374442180192</v>
      </c>
      <c r="AW319" s="2854">
        <f t="shared" ca="1" si="810"/>
        <v>1.0507526896966368</v>
      </c>
      <c r="AX319" s="2854">
        <f t="shared" ca="1" si="810"/>
        <v>1.531360136329269</v>
      </c>
      <c r="AY319" s="2854">
        <f t="shared" ca="1" si="810"/>
        <v>1.6507049105046008</v>
      </c>
      <c r="AZ319" s="2854">
        <f t="shared" ca="1" si="810"/>
        <v>1.9182949551579611</v>
      </c>
      <c r="BA319" s="2854">
        <f t="shared" ca="1" si="810"/>
        <v>2.671844153366834</v>
      </c>
      <c r="BB319" s="2854">
        <f t="shared" ca="1" si="810"/>
        <v>3.2936538983384054</v>
      </c>
      <c r="BC319" s="2854">
        <f t="shared" ca="1" si="810"/>
        <v>3.9148672443457286</v>
      </c>
      <c r="BD319" s="2854">
        <f t="shared" ca="1" si="810"/>
        <v>4.4313811219878829</v>
      </c>
      <c r="BE319" s="2854">
        <f t="shared" ca="1" si="810"/>
        <v>5.464055144670894</v>
      </c>
      <c r="BF319" s="2854">
        <f t="shared" ca="1" si="810"/>
        <v>6.9969849854735457</v>
      </c>
      <c r="BG319" s="2854">
        <f t="shared" ref="BG319:BL320" ca="1" si="811">+BG285/BC285*100-100</f>
        <v>9.0136301158244123</v>
      </c>
      <c r="BH319" s="2854">
        <f t="shared" ca="1" si="811"/>
        <v>10.640869751978073</v>
      </c>
      <c r="BI319" s="2854">
        <f t="shared" ca="1" si="811"/>
        <v>9.8469094322867221</v>
      </c>
      <c r="BJ319" s="2854">
        <f t="shared" ca="1" si="811"/>
        <v>7.7868826917817557</v>
      </c>
      <c r="BK319" s="2854">
        <f t="shared" ca="1" si="811"/>
        <v>7.0540536795636228</v>
      </c>
      <c r="BL319" s="2866">
        <f t="shared" ca="1" si="810"/>
        <v>3.8722393309656553</v>
      </c>
      <c r="BM319" s="2866">
        <f t="shared" ref="BM319:BR320" ca="1" si="812">+BM285/BI285*100-100</f>
        <v>2.1772695929913084</v>
      </c>
      <c r="BN319" s="2866">
        <f t="shared" ca="1" si="812"/>
        <v>1.7207060002215542</v>
      </c>
      <c r="BO319" s="2854">
        <f t="shared" ca="1" si="812"/>
        <v>-0.44669070174717262</v>
      </c>
      <c r="BP319" s="2866">
        <f t="shared" ca="1" si="812"/>
        <v>-0.19987398183393168</v>
      </c>
      <c r="BQ319" s="2866">
        <f t="shared" ca="1" si="812"/>
        <v>0.2628594883233859</v>
      </c>
      <c r="BR319" s="2866">
        <f t="shared" ca="1" si="812"/>
        <v>0.25312940095723491</v>
      </c>
      <c r="BS319" s="2854">
        <f t="shared" ref="BS319:BV320" ca="1" si="813">+BS285/BO285*100-100</f>
        <v>1.104131463486226</v>
      </c>
      <c r="BT319" s="2866">
        <f t="shared" ca="1" si="813"/>
        <v>2.9065971870929417</v>
      </c>
      <c r="BU319" s="2866">
        <f t="shared" ca="1" si="813"/>
        <v>2.9882934598432342</v>
      </c>
      <c r="BV319" s="2866">
        <f t="shared" ca="1" si="813"/>
        <v>2.5403445978578958</v>
      </c>
      <c r="BW319" s="2866">
        <f t="shared" ref="BW319:CI320" ca="1" si="814">+BW285/BS285*100-100</f>
        <v>2.4968737210838867</v>
      </c>
      <c r="BX319" s="2866">
        <f t="shared" ca="1" si="814"/>
        <v>2.0965636220312263</v>
      </c>
      <c r="BY319" s="2866">
        <f t="shared" ca="1" si="814"/>
        <v>2.3656482023127126</v>
      </c>
      <c r="BZ319" s="2866">
        <f t="shared" ca="1" si="814"/>
        <v>2.5585102729118745</v>
      </c>
      <c r="CA319" s="2866">
        <f ca="1">+CA285/BW285*100-100</f>
        <v>1.92375782052396</v>
      </c>
      <c r="CB319" s="2866">
        <f ca="1">+CB285/BX285*100-100</f>
        <v>1.4286035859227866</v>
      </c>
      <c r="CC319" s="2866">
        <f t="shared" ca="1" si="814"/>
        <v>1.1528810232629638</v>
      </c>
      <c r="CD319" s="2866">
        <f t="shared" ca="1" si="814"/>
        <v>1.0997559529306784</v>
      </c>
      <c r="CE319" s="2866">
        <f t="shared" ca="1" si="814"/>
        <v>0.97328745752029988</v>
      </c>
      <c r="CF319" s="2866">
        <f t="shared" ca="1" si="814"/>
        <v>0.96000218187364794</v>
      </c>
      <c r="CG319" s="2866">
        <f t="shared" ref="CG319:CL319" ca="1" si="815">+CG285/CC285*100-100</f>
        <v>1.189378302913326</v>
      </c>
      <c r="CH319" s="2866">
        <f t="shared" ca="1" si="815"/>
        <v>1.2808484446261303</v>
      </c>
      <c r="CI319" s="2866">
        <f t="shared" ca="1" si="815"/>
        <v>1.2031368375372296</v>
      </c>
      <c r="CJ319" s="2866">
        <f t="shared" ca="1" si="815"/>
        <v>1.1851606813590934</v>
      </c>
      <c r="CK319" s="2866">
        <f t="shared" ca="1" si="815"/>
        <v>1.0491650981475686</v>
      </c>
      <c r="CL319" s="2866">
        <f t="shared" ca="1" si="815"/>
        <v>1.4970742757419089</v>
      </c>
      <c r="CM319" s="2866">
        <f t="shared" ref="CM319:CT319" ca="1" si="816">+CM285/CI285*100-100</f>
        <v>1.8874035422660853</v>
      </c>
      <c r="CN319" s="2866">
        <f t="shared" ca="1" si="816"/>
        <v>2.0321425389760321</v>
      </c>
      <c r="CO319" s="2866">
        <f t="shared" ca="1" si="816"/>
        <v>1.7119566029004432</v>
      </c>
      <c r="CP319" s="2866">
        <f t="shared" ca="1" si="816"/>
        <v>1.8082296800812543</v>
      </c>
      <c r="CQ319" s="2866">
        <f t="shared" ca="1" si="816"/>
        <v>2.5798694213839894</v>
      </c>
      <c r="CR319" s="2866">
        <f t="shared" ca="1" si="816"/>
        <v>3.9280031204877304</v>
      </c>
      <c r="CS319" s="2866">
        <f t="shared" ca="1" si="816"/>
        <v>4.6690657980823573</v>
      </c>
      <c r="CT319" s="2866">
        <f t="shared" ca="1" si="816"/>
        <v>4.1447203044817655</v>
      </c>
      <c r="CU319" s="2866">
        <f t="shared" ref="CU319:DB319" ca="1" si="817">+CU285/CQ285*100-100</f>
        <v>3.2439609580513888</v>
      </c>
      <c r="CV319" s="2866">
        <f t="shared" ca="1" si="817"/>
        <v>2.326162886456558</v>
      </c>
      <c r="CW319" s="2866">
        <f t="shared" ca="1" si="817"/>
        <v>2.242313401862873</v>
      </c>
      <c r="CX319" s="2866">
        <f t="shared" ca="1" si="817"/>
        <v>2.7157272103636387</v>
      </c>
      <c r="CY319" s="2866">
        <f t="shared" ca="1" si="817"/>
        <v>3.2296186870492534</v>
      </c>
      <c r="CZ319" s="2866">
        <f t="shared" ca="1" si="817"/>
        <v>2.8796785292082916</v>
      </c>
      <c r="DA319" s="2866">
        <f t="shared" ca="1" si="817"/>
        <v>2.4855516659156649</v>
      </c>
      <c r="DB319" s="2866">
        <f t="shared" ca="1" si="817"/>
        <v>2.0960435063473284</v>
      </c>
    </row>
    <row r="320" spans="1:119">
      <c r="C320" s="674"/>
      <c r="D320" s="717"/>
      <c r="E320" s="3636" t="s">
        <v>924</v>
      </c>
      <c r="F320" s="3634"/>
      <c r="G320" s="2854"/>
      <c r="H320" s="2854"/>
      <c r="I320" s="2854"/>
      <c r="J320" s="2854"/>
      <c r="K320" s="2854"/>
      <c r="L320" s="2854"/>
      <c r="M320" s="2854"/>
      <c r="N320" s="2854"/>
      <c r="O320" s="2854">
        <f t="shared" ref="O320:BF320" si="818">+O286/K286*100-100</f>
        <v>12.456633074508503</v>
      </c>
      <c r="P320" s="2854">
        <f t="shared" si="818"/>
        <v>10.888221411714213</v>
      </c>
      <c r="Q320" s="2854">
        <f t="shared" si="818"/>
        <v>9.7940575381229422</v>
      </c>
      <c r="R320" s="2854">
        <f t="shared" si="818"/>
        <v>8.3771236161420291</v>
      </c>
      <c r="S320" s="2854">
        <f t="shared" si="818"/>
        <v>5.5237255766123212</v>
      </c>
      <c r="T320" s="2854">
        <f t="shared" si="818"/>
        <v>5.0304730579471908</v>
      </c>
      <c r="U320" s="2854">
        <f t="shared" si="818"/>
        <v>4.1237113402061993</v>
      </c>
      <c r="V320" s="2854">
        <f t="shared" si="818"/>
        <v>3.304617991809053</v>
      </c>
      <c r="W320" s="2854">
        <f t="shared" si="818"/>
        <v>2.8446795674973373</v>
      </c>
      <c r="X320" s="2854">
        <f t="shared" si="818"/>
        <v>2.2796352583586525</v>
      </c>
      <c r="Y320" s="2854">
        <f t="shared" si="818"/>
        <v>1.7693436010267476</v>
      </c>
      <c r="Z320" s="2854">
        <f t="shared" si="818"/>
        <v>2.7341079972671878E-2</v>
      </c>
      <c r="AA320" s="2854">
        <f t="shared" si="818"/>
        <v>-0.75805432722678745</v>
      </c>
      <c r="AB320" s="2854">
        <f t="shared" si="818"/>
        <v>-1.4588680264757414</v>
      </c>
      <c r="AC320" s="2854">
        <f t="shared" si="818"/>
        <v>-1.616971444014041</v>
      </c>
      <c r="AD320" s="2854">
        <f t="shared" si="818"/>
        <v>-0.64233975673090526</v>
      </c>
      <c r="AE320" s="2854">
        <f t="shared" si="818"/>
        <v>-0.65017732108756832</v>
      </c>
      <c r="AF320" s="2854">
        <f t="shared" si="818"/>
        <v>-0.52090472926661846</v>
      </c>
      <c r="AG320" s="2854">
        <f t="shared" si="818"/>
        <v>0.10987501716796544</v>
      </c>
      <c r="AH320" s="2854">
        <f t="shared" si="818"/>
        <v>1.3113250802384186</v>
      </c>
      <c r="AI320" s="2854">
        <f t="shared" si="818"/>
        <v>1.1075008008786966</v>
      </c>
      <c r="AJ320" s="2854">
        <f t="shared" si="818"/>
        <v>0.90487345551422038</v>
      </c>
      <c r="AK320" s="2854">
        <f t="shared" si="818"/>
        <v>0.30182466730690294</v>
      </c>
      <c r="AL320" s="2854">
        <f t="shared" si="818"/>
        <v>5.4308472121689988E-2</v>
      </c>
      <c r="AM320" s="2854">
        <f t="shared" si="818"/>
        <v>0.64726383922510422</v>
      </c>
      <c r="AN320" s="2854">
        <f t="shared" si="818"/>
        <v>1.4202476329205922</v>
      </c>
      <c r="AO320" s="2854">
        <f t="shared" si="818"/>
        <v>0.80244380613687838</v>
      </c>
      <c r="AP320" s="2854">
        <f t="shared" si="818"/>
        <v>-0.11308123756107591</v>
      </c>
      <c r="AQ320" s="2854">
        <f t="shared" si="818"/>
        <v>-0.72854830005397275</v>
      </c>
      <c r="AR320" s="2854">
        <f t="shared" si="818"/>
        <v>0.29622980251346576</v>
      </c>
      <c r="AS320" s="2854">
        <f t="shared" si="818"/>
        <v>1.1488534081143484</v>
      </c>
      <c r="AT320" s="2854">
        <f t="shared" si="818"/>
        <v>1.8611601684553847</v>
      </c>
      <c r="AU320" s="2854">
        <f t="shared" si="818"/>
        <v>1.5946362236114879</v>
      </c>
      <c r="AV320" s="2854">
        <f t="shared" si="818"/>
        <v>0.94424057996957345</v>
      </c>
      <c r="AW320" s="2854">
        <f t="shared" si="818"/>
        <v>1.041899566247821</v>
      </c>
      <c r="AX320" s="2854">
        <f t="shared" si="818"/>
        <v>1.5204054414510466</v>
      </c>
      <c r="AY320" s="2854">
        <f t="shared" si="818"/>
        <v>1.6498706858111092</v>
      </c>
      <c r="AZ320" s="2854">
        <f t="shared" si="818"/>
        <v>1.9195815046327169</v>
      </c>
      <c r="BA320" s="2854">
        <f t="shared" si="818"/>
        <v>2.6686139139670644</v>
      </c>
      <c r="BB320" s="2854">
        <f t="shared" si="818"/>
        <v>3.2974251182343721</v>
      </c>
      <c r="BC320" s="2854">
        <f t="shared" si="818"/>
        <v>3.9129671872258314</v>
      </c>
      <c r="BD320" s="2854">
        <f t="shared" si="818"/>
        <v>4.4323618964767064</v>
      </c>
      <c r="BE320" s="2854">
        <f t="shared" si="818"/>
        <v>5.461442303547571</v>
      </c>
      <c r="BF320" s="2854">
        <f t="shared" si="818"/>
        <v>6.9863071770740675</v>
      </c>
      <c r="BG320" s="2854">
        <f t="shared" si="811"/>
        <v>9.01722391084094</v>
      </c>
      <c r="BH320" s="2854">
        <f t="shared" si="811"/>
        <v>10.633512432837705</v>
      </c>
      <c r="BI320" s="2854">
        <f t="shared" si="811"/>
        <v>9.8422300335159036</v>
      </c>
      <c r="BJ320" s="2854">
        <f t="shared" ca="1" si="811"/>
        <v>7.7868826917817557</v>
      </c>
      <c r="BK320" s="2854">
        <f t="shared" ca="1" si="811"/>
        <v>7.0540536795636228</v>
      </c>
      <c r="BL320" s="2854">
        <f t="shared" ca="1" si="811"/>
        <v>3.8722393309656553</v>
      </c>
      <c r="BM320" s="2854">
        <f t="shared" ca="1" si="812"/>
        <v>2.1772695929913084</v>
      </c>
      <c r="BN320" s="2854">
        <f t="shared" ca="1" si="812"/>
        <v>1.7207060002215542</v>
      </c>
      <c r="BO320" s="2854">
        <f t="shared" ca="1" si="812"/>
        <v>-0.44669070174717262</v>
      </c>
      <c r="BP320" s="2854">
        <f t="shared" ca="1" si="812"/>
        <v>-0.19987398183393168</v>
      </c>
      <c r="BQ320" s="2854">
        <f t="shared" ca="1" si="812"/>
        <v>0.2628594883233859</v>
      </c>
      <c r="BR320" s="2854">
        <f t="shared" ca="1" si="812"/>
        <v>0.25312940095723491</v>
      </c>
      <c r="BS320" s="2854">
        <f t="shared" ca="1" si="813"/>
        <v>1.104131463486226</v>
      </c>
      <c r="BT320" s="2854">
        <f t="shared" ca="1" si="813"/>
        <v>2.9065971870929417</v>
      </c>
      <c r="BU320" s="2854">
        <f t="shared" ca="1" si="813"/>
        <v>2.9882934598432342</v>
      </c>
      <c r="BV320" s="2854">
        <f t="shared" ca="1" si="813"/>
        <v>2.5403445978578958</v>
      </c>
      <c r="BW320" s="2854">
        <f t="shared" ca="1" si="814"/>
        <v>2.4968737210838867</v>
      </c>
      <c r="BX320" s="2854">
        <f t="shared" ca="1" si="814"/>
        <v>2.0965636220312263</v>
      </c>
      <c r="BY320" s="2854">
        <f t="shared" ca="1" si="814"/>
        <v>2.3656482023127126</v>
      </c>
      <c r="BZ320" s="2854">
        <f t="shared" ca="1" si="814"/>
        <v>2.5585102729118745</v>
      </c>
      <c r="CA320" s="2854">
        <f ca="1">+CA286/BW286*100-100</f>
        <v>1.92375782052396</v>
      </c>
      <c r="CB320" s="2854">
        <f ca="1">+CB286/BX286*100-100</f>
        <v>1.4286035859227866</v>
      </c>
      <c r="CC320" s="2854">
        <f t="shared" ca="1" si="814"/>
        <v>1.1528810232629638</v>
      </c>
      <c r="CD320" s="2854">
        <f t="shared" ca="1" si="814"/>
        <v>1.0997559529306784</v>
      </c>
      <c r="CE320" s="2854">
        <f t="shared" ca="1" si="814"/>
        <v>0.97328745752029988</v>
      </c>
      <c r="CF320" s="2854">
        <f t="shared" ca="1" si="814"/>
        <v>0.96000218187364794</v>
      </c>
      <c r="CG320" s="2854">
        <f t="shared" ca="1" si="814"/>
        <v>1.189378302913326</v>
      </c>
      <c r="CH320" s="2854">
        <f t="shared" ca="1" si="814"/>
        <v>1.2808484446261303</v>
      </c>
      <c r="CI320" s="2854">
        <f t="shared" ca="1" si="814"/>
        <v>1.2031368375372296</v>
      </c>
      <c r="CJ320" s="1423">
        <f t="shared" ref="CJ320:CP320" ca="1" si="819">+CJ319</f>
        <v>1.1851606813590934</v>
      </c>
      <c r="CK320" s="1423">
        <f t="shared" ca="1" si="819"/>
        <v>1.0491650981475686</v>
      </c>
      <c r="CL320" s="1423">
        <f t="shared" ca="1" si="819"/>
        <v>1.4970742757419089</v>
      </c>
      <c r="CM320" s="1423">
        <f t="shared" ca="1" si="819"/>
        <v>1.8874035422660853</v>
      </c>
      <c r="CN320" s="1423">
        <f t="shared" ca="1" si="819"/>
        <v>2.0321425389760321</v>
      </c>
      <c r="CO320" s="1423">
        <f t="shared" ca="1" si="819"/>
        <v>1.7119566029004432</v>
      </c>
      <c r="CP320" s="1423">
        <f t="shared" ca="1" si="819"/>
        <v>1.8082296800812543</v>
      </c>
      <c r="CQ320" s="1423">
        <f t="shared" ref="CQ320:CX320" ca="1" si="820">+CQ319</f>
        <v>2.5798694213839894</v>
      </c>
      <c r="CR320" s="1423">
        <f t="shared" ca="1" si="820"/>
        <v>3.9280031204877304</v>
      </c>
      <c r="CS320" s="1423">
        <f t="shared" ca="1" si="820"/>
        <v>4.6690657980823573</v>
      </c>
      <c r="CT320" s="1423">
        <f t="shared" ca="1" si="820"/>
        <v>4.1447203044817655</v>
      </c>
      <c r="CU320" s="1423">
        <f t="shared" ca="1" si="820"/>
        <v>3.2439609580513888</v>
      </c>
      <c r="CV320" s="1423">
        <f t="shared" ca="1" si="820"/>
        <v>2.326162886456558</v>
      </c>
      <c r="CW320" s="1423">
        <f t="shared" ca="1" si="820"/>
        <v>2.242313401862873</v>
      </c>
      <c r="CX320" s="1423">
        <f t="shared" ca="1" si="820"/>
        <v>2.7157272103636387</v>
      </c>
      <c r="CY320" s="1423">
        <f t="shared" ref="CY320:DB320" ca="1" si="821">+CY319</f>
        <v>3.2296186870492534</v>
      </c>
      <c r="CZ320" s="1423">
        <f t="shared" ca="1" si="821"/>
        <v>2.8796785292082916</v>
      </c>
      <c r="DA320" s="1423">
        <f t="shared" ca="1" si="821"/>
        <v>2.4855516659156649</v>
      </c>
      <c r="DB320" s="1423">
        <f t="shared" ca="1" si="821"/>
        <v>2.0960435063473284</v>
      </c>
    </row>
    <row r="321" spans="1:119" s="1003" customFormat="1">
      <c r="A321" s="673"/>
      <c r="B321" s="673"/>
      <c r="C321" s="1007"/>
      <c r="D321" s="1008"/>
      <c r="E321" s="1009" t="s">
        <v>814</v>
      </c>
      <c r="F321" s="1008"/>
      <c r="G321" s="1010"/>
      <c r="H321" s="1010"/>
      <c r="I321" s="1010"/>
      <c r="J321" s="1010"/>
      <c r="K321" s="2886"/>
      <c r="L321" s="2886"/>
      <c r="M321" s="2886"/>
      <c r="N321" s="2886"/>
      <c r="O321" s="2886"/>
      <c r="P321" s="2886"/>
      <c r="Q321" s="2886"/>
      <c r="R321" s="2886">
        <f t="shared" ref="R321:AT321" ca="1" si="822">+R320-R319</f>
        <v>3.2763763296912884E-2</v>
      </c>
      <c r="S321" s="2886">
        <f t="shared" ca="1" si="822"/>
        <v>-2.3644631039090314E-2</v>
      </c>
      <c r="T321" s="2886">
        <f t="shared" ca="1" si="822"/>
        <v>-2.1370446719245706E-2</v>
      </c>
      <c r="U321" s="2886">
        <f t="shared" ca="1" si="822"/>
        <v>-3.1896291867610671E-2</v>
      </c>
      <c r="V321" s="2886">
        <f t="shared" ca="1" si="822"/>
        <v>-3.3588076253508348E-2</v>
      </c>
      <c r="W321" s="2886">
        <f t="shared" ca="1" si="822"/>
        <v>1.0681810365340993E-2</v>
      </c>
      <c r="X321" s="2886">
        <f t="shared" ca="1" si="822"/>
        <v>1.0732815254201E-2</v>
      </c>
      <c r="Y321" s="2886">
        <f t="shared" ca="1" si="822"/>
        <v>1.4377619115393259E-2</v>
      </c>
      <c r="Z321" s="2886">
        <f t="shared" ca="1" si="822"/>
        <v>9.0413106446760594E-3</v>
      </c>
      <c r="AA321" s="2886">
        <f t="shared" ca="1" si="822"/>
        <v>-5.0643076556866617E-3</v>
      </c>
      <c r="AB321" s="2886">
        <f t="shared" ca="1" si="822"/>
        <v>-9.7093233995622086E-3</v>
      </c>
      <c r="AC321" s="2886">
        <f t="shared" ca="1" si="822"/>
        <v>-9.8797285315583849E-3</v>
      </c>
      <c r="AD321" s="2886">
        <f t="shared" ca="1" si="822"/>
        <v>-1.2339929549284534E-2</v>
      </c>
      <c r="AE321" s="2886">
        <f t="shared" ca="1" si="822"/>
        <v>-1.3696234971178001E-2</v>
      </c>
      <c r="AF321" s="2886">
        <f t="shared" ca="1" si="822"/>
        <v>-1.6521915168013379E-2</v>
      </c>
      <c r="AG321" s="2886">
        <f t="shared" ca="1" si="822"/>
        <v>-1.4107134748897465E-2</v>
      </c>
      <c r="AH321" s="2886">
        <f t="shared" ca="1" si="822"/>
        <v>-1.0267605468172292E-2</v>
      </c>
      <c r="AI321" s="2886">
        <f t="shared" ca="1" si="822"/>
        <v>3.8633034036550384E-2</v>
      </c>
      <c r="AJ321" s="2886">
        <f t="shared" ca="1" si="822"/>
        <v>4.0042499775253759E-2</v>
      </c>
      <c r="AK321" s="2886">
        <f t="shared" ca="1" si="822"/>
        <v>3.127950429968962E-2</v>
      </c>
      <c r="AL321" s="2886">
        <f t="shared" ca="1" si="822"/>
        <v>3.6323216147820858E-2</v>
      </c>
      <c r="AM321" s="2886">
        <f t="shared" ca="1" si="822"/>
        <v>-32.931884192154087</v>
      </c>
      <c r="AN321" s="2886">
        <f t="shared" ca="1" si="822"/>
        <v>-33.128577073576423</v>
      </c>
      <c r="AO321" s="2886">
        <f t="shared" ca="1" si="822"/>
        <v>-33.021422966944911</v>
      </c>
      <c r="AP321" s="2886">
        <f t="shared" ca="1" si="822"/>
        <v>-32.721260709428734</v>
      </c>
      <c r="AQ321" s="2886">
        <f t="shared" ca="1" si="822"/>
        <v>24.4665371332879</v>
      </c>
      <c r="AR321" s="2886">
        <f t="shared" ca="1" si="822"/>
        <v>24.686154378827496</v>
      </c>
      <c r="AS321" s="2886">
        <f t="shared" ca="1" si="822"/>
        <v>24.960526980493469</v>
      </c>
      <c r="AT321" s="2886">
        <f t="shared" ca="1" si="822"/>
        <v>25.129331746019702</v>
      </c>
      <c r="AU321" s="2886">
        <f t="shared" ref="AU321:BN321" ca="1" si="823">+AU320-AU319</f>
        <v>-7.3299050381336883E-3</v>
      </c>
      <c r="AV321" s="2886">
        <f t="shared" ca="1" si="823"/>
        <v>-2.8831644522284705E-3</v>
      </c>
      <c r="AW321" s="2886">
        <f t="shared" ca="1" si="823"/>
        <v>-8.8531234488158361E-3</v>
      </c>
      <c r="AX321" s="2886">
        <f t="shared" ca="1" si="823"/>
        <v>-1.0954694878222426E-2</v>
      </c>
      <c r="AY321" s="2886">
        <f t="shared" ca="1" si="823"/>
        <v>-8.3422469349159201E-4</v>
      </c>
      <c r="AZ321" s="2886">
        <f t="shared" ca="1" si="823"/>
        <v>1.2865494747558159E-3</v>
      </c>
      <c r="BA321" s="2886">
        <f t="shared" ca="1" si="823"/>
        <v>-3.2302393997696299E-3</v>
      </c>
      <c r="BB321" s="2886">
        <f t="shared" ca="1" si="823"/>
        <v>3.7712198959667376E-3</v>
      </c>
      <c r="BC321" s="2886">
        <f t="shared" ca="1" si="823"/>
        <v>-1.9000571198972693E-3</v>
      </c>
      <c r="BD321" s="2886">
        <f t="shared" ca="1" si="823"/>
        <v>9.8077448882349927E-4</v>
      </c>
      <c r="BE321" s="2886">
        <f t="shared" ca="1" si="823"/>
        <v>-2.6128411233230509E-3</v>
      </c>
      <c r="BF321" s="2886">
        <f t="shared" ca="1" si="823"/>
        <v>-1.0677808399478295E-2</v>
      </c>
      <c r="BG321" s="2886">
        <f ca="1">+BG320-BG319</f>
        <v>3.5937950165276789E-3</v>
      </c>
      <c r="BH321" s="2886">
        <f ca="1">+BH320-BH319</f>
        <v>-7.3573191403681903E-3</v>
      </c>
      <c r="BI321" s="2886">
        <f ca="1">+BI320-BI319</f>
        <v>-4.6793987708184659E-3</v>
      </c>
      <c r="BJ321" s="2886">
        <f ca="1">+BJ320-BJ319</f>
        <v>0</v>
      </c>
      <c r="BK321" s="2886">
        <f ca="1">+BK320-BK319</f>
        <v>0</v>
      </c>
      <c r="BL321" s="2886">
        <f t="shared" ca="1" si="823"/>
        <v>0</v>
      </c>
      <c r="BM321" s="2886">
        <f t="shared" ca="1" si="823"/>
        <v>0</v>
      </c>
      <c r="BN321" s="2886">
        <f t="shared" ca="1" si="823"/>
        <v>0</v>
      </c>
      <c r="BO321" s="2886">
        <f t="shared" ref="BO321:BZ321" ca="1" si="824">+BO320-BO319</f>
        <v>0</v>
      </c>
      <c r="BP321" s="2886">
        <f t="shared" ca="1" si="824"/>
        <v>0</v>
      </c>
      <c r="BQ321" s="2886">
        <f t="shared" ca="1" si="824"/>
        <v>0</v>
      </c>
      <c r="BR321" s="2886">
        <f t="shared" ca="1" si="824"/>
        <v>0</v>
      </c>
      <c r="BS321" s="2886">
        <f ca="1">+BS320-BS319</f>
        <v>0</v>
      </c>
      <c r="BT321" s="2886">
        <f ca="1">+BT320-BT319</f>
        <v>0</v>
      </c>
      <c r="BU321" s="2886">
        <f ca="1">+BU320-BU319</f>
        <v>0</v>
      </c>
      <c r="BV321" s="2886">
        <f ca="1">+BV320-BV319</f>
        <v>0</v>
      </c>
      <c r="BW321" s="2886">
        <f t="shared" ca="1" si="824"/>
        <v>0</v>
      </c>
      <c r="BX321" s="2886">
        <f ca="1">+BX320-BX319</f>
        <v>0</v>
      </c>
      <c r="BY321" s="2886">
        <f ca="1">+BY320-BY319</f>
        <v>0</v>
      </c>
      <c r="BZ321" s="2886">
        <f t="shared" ca="1" si="824"/>
        <v>0</v>
      </c>
      <c r="CA321" s="2886">
        <f ca="1">+CA320-CA319</f>
        <v>0</v>
      </c>
      <c r="CB321" s="2886">
        <f ca="1">+CB320-CB319</f>
        <v>0</v>
      </c>
      <c r="CC321" s="2886">
        <f t="shared" ref="CC321:CH321" ca="1" si="825">+CC320-CC319</f>
        <v>0</v>
      </c>
      <c r="CD321" s="2886">
        <f t="shared" ca="1" si="825"/>
        <v>0</v>
      </c>
      <c r="CE321" s="2886">
        <f ca="1">+CE320-CE319</f>
        <v>0</v>
      </c>
      <c r="CF321" s="2886">
        <f ca="1">+CF320-CF319</f>
        <v>0</v>
      </c>
      <c r="CG321" s="2886">
        <f t="shared" ca="1" si="825"/>
        <v>0</v>
      </c>
      <c r="CH321" s="2886">
        <f t="shared" ca="1" si="825"/>
        <v>0</v>
      </c>
      <c r="CI321" s="2886">
        <f t="shared" ref="CI321:CP321" ca="1" si="826">+CI320-CI319</f>
        <v>0</v>
      </c>
      <c r="CJ321" s="2886">
        <f t="shared" ca="1" si="826"/>
        <v>0</v>
      </c>
      <c r="CK321" s="2886">
        <f t="shared" ca="1" si="826"/>
        <v>0</v>
      </c>
      <c r="CL321" s="2886">
        <f t="shared" ca="1" si="826"/>
        <v>0</v>
      </c>
      <c r="CM321" s="2886">
        <f t="shared" ca="1" si="826"/>
        <v>0</v>
      </c>
      <c r="CN321" s="2886">
        <f t="shared" ca="1" si="826"/>
        <v>0</v>
      </c>
      <c r="CO321" s="2886">
        <f t="shared" ca="1" si="826"/>
        <v>0</v>
      </c>
      <c r="CP321" s="2886">
        <f t="shared" ca="1" si="826"/>
        <v>0</v>
      </c>
      <c r="CQ321" s="2886">
        <f t="shared" ref="CQ321:CX321" ca="1" si="827">+CQ320-CQ319</f>
        <v>0</v>
      </c>
      <c r="CR321" s="2886">
        <f t="shared" ca="1" si="827"/>
        <v>0</v>
      </c>
      <c r="CS321" s="2886">
        <f t="shared" ca="1" si="827"/>
        <v>0</v>
      </c>
      <c r="CT321" s="2886">
        <f t="shared" ca="1" si="827"/>
        <v>0</v>
      </c>
      <c r="CU321" s="2886">
        <f t="shared" ca="1" si="827"/>
        <v>0</v>
      </c>
      <c r="CV321" s="2886">
        <f t="shared" ca="1" si="827"/>
        <v>0</v>
      </c>
      <c r="CW321" s="2886">
        <f t="shared" ca="1" si="827"/>
        <v>0</v>
      </c>
      <c r="CX321" s="2886">
        <f t="shared" ca="1" si="827"/>
        <v>0</v>
      </c>
      <c r="CY321" s="2886">
        <f t="shared" ref="CY321:DB321" ca="1" si="828">+CY320-CY319</f>
        <v>0</v>
      </c>
      <c r="CZ321" s="2886">
        <f t="shared" ca="1" si="828"/>
        <v>0</v>
      </c>
      <c r="DA321" s="2886">
        <f t="shared" ca="1" si="828"/>
        <v>0</v>
      </c>
      <c r="DB321" s="2886">
        <f t="shared" ca="1" si="828"/>
        <v>0</v>
      </c>
      <c r="DC321"/>
      <c r="DD321"/>
      <c r="DE321"/>
      <c r="DF321"/>
      <c r="DG321"/>
      <c r="DH321"/>
      <c r="DI321"/>
      <c r="DJ321"/>
      <c r="DK321"/>
      <c r="DL321"/>
      <c r="DM321"/>
      <c r="DN321"/>
      <c r="DO321"/>
    </row>
    <row r="322" spans="1:119">
      <c r="E322" s="599"/>
      <c r="F322" s="3617"/>
      <c r="O322" s="2860"/>
      <c r="P322" s="2860"/>
      <c r="Q322" s="2860"/>
      <c r="R322" s="2860"/>
      <c r="S322" s="2860"/>
      <c r="T322" s="2860"/>
      <c r="U322" s="2860"/>
      <c r="V322" s="2860"/>
      <c r="W322" s="2860"/>
      <c r="X322" s="2860"/>
      <c r="Y322" s="2860"/>
      <c r="Z322" s="2860"/>
      <c r="AA322" s="2860"/>
      <c r="AB322" s="2860"/>
      <c r="AC322" s="2860"/>
      <c r="AD322" s="2860"/>
      <c r="AE322" s="2860"/>
      <c r="AF322" s="2860"/>
      <c r="AG322" s="2860"/>
      <c r="AH322" s="2860"/>
      <c r="AI322" s="2860"/>
      <c r="AJ322" s="2860"/>
      <c r="AK322" s="2860"/>
      <c r="AL322" s="2860"/>
      <c r="AM322" s="2860"/>
      <c r="AN322" s="2860"/>
      <c r="AO322" s="2860"/>
      <c r="AP322" s="2860"/>
      <c r="AQ322" s="2860"/>
      <c r="AR322" s="2860"/>
      <c r="AS322" s="2860"/>
      <c r="AT322" s="2860"/>
      <c r="AU322" s="2860"/>
      <c r="AV322" s="2860"/>
      <c r="AW322" s="2860"/>
      <c r="AX322" s="2860"/>
      <c r="AY322" s="2860"/>
      <c r="AZ322" s="2860"/>
      <c r="BA322" s="2860"/>
      <c r="BB322" s="2860"/>
      <c r="BC322" s="2860"/>
      <c r="BD322" s="2860"/>
      <c r="BE322" s="2860"/>
      <c r="BF322" s="2860"/>
      <c r="BG322" s="2860"/>
      <c r="BH322" s="2860"/>
      <c r="BI322" s="2860"/>
      <c r="BJ322" s="2860"/>
      <c r="BK322" s="2860"/>
      <c r="BL322" s="2860"/>
      <c r="BM322" s="2860"/>
      <c r="BN322" s="2860"/>
      <c r="BO322" s="2860"/>
      <c r="BP322" s="2860"/>
      <c r="BQ322" s="2860"/>
      <c r="BR322" s="2860"/>
      <c r="BS322" s="2860"/>
      <c r="BT322" s="2860"/>
      <c r="BU322" s="2860"/>
      <c r="BV322" s="2860"/>
      <c r="BW322" s="2860"/>
      <c r="BX322" s="2860"/>
      <c r="BY322" s="2860"/>
      <c r="BZ322" s="2860"/>
      <c r="CA322" s="2860"/>
      <c r="CB322" s="2860"/>
      <c r="CC322" s="2860"/>
      <c r="CD322" s="2860"/>
      <c r="CE322" s="2860"/>
      <c r="CF322" s="2860"/>
      <c r="CG322" s="2860"/>
      <c r="CH322" s="2860"/>
      <c r="CI322" s="2860"/>
      <c r="CJ322" s="2860"/>
      <c r="CK322" s="2860"/>
      <c r="CL322" s="2860"/>
      <c r="CM322" s="2860"/>
      <c r="CN322" s="2860"/>
      <c r="CO322" s="2860"/>
      <c r="CP322" s="2860"/>
      <c r="CQ322" s="2860"/>
      <c r="CR322" s="2860"/>
      <c r="CS322" s="2860"/>
      <c r="CT322" s="2860"/>
      <c r="CU322" s="2860"/>
      <c r="CV322" s="2860"/>
      <c r="CW322" s="2860"/>
      <c r="CX322" s="2860"/>
      <c r="CY322" s="2860"/>
      <c r="CZ322" s="2860"/>
      <c r="DA322" s="2860"/>
      <c r="DB322" s="2860"/>
    </row>
    <row r="323" spans="1:119" s="699" customFormat="1" ht="12.75" customHeight="1">
      <c r="A323" s="664"/>
      <c r="B323" s="664"/>
      <c r="C323" s="1553"/>
      <c r="D323" s="742"/>
      <c r="E323" s="3384" t="s">
        <v>1421</v>
      </c>
      <c r="F323" s="3622"/>
      <c r="G323" s="1578" t="s">
        <v>1842</v>
      </c>
      <c r="H323" s="1579" t="s">
        <v>1843</v>
      </c>
      <c r="I323" s="1579" t="s">
        <v>1844</v>
      </c>
      <c r="J323" s="1579" t="s">
        <v>1845</v>
      </c>
      <c r="K323" s="1579" t="s">
        <v>1842</v>
      </c>
      <c r="L323" s="1579" t="s">
        <v>1843</v>
      </c>
      <c r="M323" s="1579" t="s">
        <v>1844</v>
      </c>
      <c r="N323" s="1579" t="s">
        <v>1845</v>
      </c>
      <c r="O323" s="1579" t="s">
        <v>1842</v>
      </c>
      <c r="P323" s="1579" t="s">
        <v>1843</v>
      </c>
      <c r="Q323" s="1579" t="s">
        <v>1844</v>
      </c>
      <c r="R323" s="1579" t="s">
        <v>1845</v>
      </c>
      <c r="S323" s="1579" t="s">
        <v>1842</v>
      </c>
      <c r="T323" s="1579" t="s">
        <v>1843</v>
      </c>
      <c r="U323" s="1579" t="s">
        <v>1844</v>
      </c>
      <c r="V323" s="1579" t="s">
        <v>1845</v>
      </c>
      <c r="W323" s="1579" t="s">
        <v>1842</v>
      </c>
      <c r="X323" s="1579" t="s">
        <v>1843</v>
      </c>
      <c r="Y323" s="1579" t="s">
        <v>1844</v>
      </c>
      <c r="Z323" s="1579" t="s">
        <v>1845</v>
      </c>
      <c r="AA323" s="1579" t="s">
        <v>1842</v>
      </c>
      <c r="AB323" s="1579" t="s">
        <v>1843</v>
      </c>
      <c r="AC323" s="1579" t="s">
        <v>1844</v>
      </c>
      <c r="AD323" s="1579" t="s">
        <v>1845</v>
      </c>
      <c r="AE323" s="1579" t="s">
        <v>1842</v>
      </c>
      <c r="AF323" s="1579" t="s">
        <v>1843</v>
      </c>
      <c r="AG323" s="1579" t="s">
        <v>1844</v>
      </c>
      <c r="AH323" s="1579" t="s">
        <v>1845</v>
      </c>
      <c r="AI323" s="1579" t="s">
        <v>1842</v>
      </c>
      <c r="AJ323" s="1579" t="s">
        <v>1843</v>
      </c>
      <c r="AK323" s="1579" t="s">
        <v>1844</v>
      </c>
      <c r="AL323" s="1579" t="s">
        <v>1845</v>
      </c>
      <c r="AM323" s="1579" t="s">
        <v>1842</v>
      </c>
      <c r="AN323" s="1579" t="s">
        <v>1843</v>
      </c>
      <c r="AO323" s="1579" t="s">
        <v>1844</v>
      </c>
      <c r="AP323" s="1579" t="s">
        <v>1845</v>
      </c>
      <c r="AQ323" s="1579" t="s">
        <v>1842</v>
      </c>
      <c r="AR323" s="1579" t="s">
        <v>1843</v>
      </c>
      <c r="AS323" s="1579" t="s">
        <v>1844</v>
      </c>
      <c r="AT323" s="1579" t="s">
        <v>1845</v>
      </c>
      <c r="AU323" s="1579" t="s">
        <v>1842</v>
      </c>
      <c r="AV323" s="1579" t="s">
        <v>1843</v>
      </c>
      <c r="AW323" s="1579" t="s">
        <v>1844</v>
      </c>
      <c r="AX323" s="1579" t="s">
        <v>1845</v>
      </c>
      <c r="AY323" s="1579" t="s">
        <v>1842</v>
      </c>
      <c r="AZ323" s="1579" t="s">
        <v>1843</v>
      </c>
      <c r="BA323" s="1579" t="s">
        <v>1844</v>
      </c>
      <c r="BB323" s="1579" t="s">
        <v>1845</v>
      </c>
      <c r="BC323" s="1579" t="s">
        <v>1842</v>
      </c>
      <c r="BD323" s="1579" t="s">
        <v>1843</v>
      </c>
      <c r="BE323" s="1579" t="s">
        <v>1844</v>
      </c>
      <c r="BF323" s="1579" t="s">
        <v>1845</v>
      </c>
      <c r="BG323" s="1579" t="s">
        <v>1842</v>
      </c>
      <c r="BH323" s="1579" t="s">
        <v>1843</v>
      </c>
      <c r="BI323" s="1579" t="s">
        <v>1844</v>
      </c>
      <c r="BJ323" s="1579" t="s">
        <v>1845</v>
      </c>
      <c r="BK323" s="1579" t="s">
        <v>1842</v>
      </c>
      <c r="BL323" s="1579" t="s">
        <v>1843</v>
      </c>
      <c r="BM323" s="1579" t="s">
        <v>1844</v>
      </c>
      <c r="BN323" s="1579" t="s">
        <v>1845</v>
      </c>
      <c r="BO323" s="1579" t="s">
        <v>1842</v>
      </c>
      <c r="BP323" s="1579" t="s">
        <v>1843</v>
      </c>
      <c r="BQ323" s="1579" t="s">
        <v>1844</v>
      </c>
      <c r="BR323" s="1579" t="s">
        <v>1845</v>
      </c>
      <c r="BS323" s="1579" t="s">
        <v>1842</v>
      </c>
      <c r="BT323" s="1579" t="s">
        <v>1843</v>
      </c>
      <c r="BU323" s="1579" t="s">
        <v>1844</v>
      </c>
      <c r="BV323" s="1579" t="s">
        <v>1845</v>
      </c>
      <c r="BW323" s="1579" t="s">
        <v>1842</v>
      </c>
      <c r="BX323" s="1579" t="s">
        <v>1843</v>
      </c>
      <c r="BY323" s="1579" t="s">
        <v>1844</v>
      </c>
      <c r="BZ323" s="1579" t="s">
        <v>1845</v>
      </c>
      <c r="CA323" s="1579" t="s">
        <v>1842</v>
      </c>
      <c r="CB323" s="1579" t="s">
        <v>1843</v>
      </c>
      <c r="CC323" s="1579" t="s">
        <v>1844</v>
      </c>
      <c r="CD323" s="1579" t="s">
        <v>1845</v>
      </c>
      <c r="CE323" s="1579" t="s">
        <v>1842</v>
      </c>
      <c r="CF323" s="1579" t="s">
        <v>1843</v>
      </c>
      <c r="CG323" s="1579" t="s">
        <v>1844</v>
      </c>
      <c r="CH323" s="1579" t="s">
        <v>1845</v>
      </c>
      <c r="CI323" s="1579" t="s">
        <v>1842</v>
      </c>
      <c r="CJ323" s="1579" t="s">
        <v>1843</v>
      </c>
      <c r="CK323" s="1579" t="s">
        <v>1844</v>
      </c>
      <c r="CL323" s="1579" t="s">
        <v>1845</v>
      </c>
      <c r="CM323" s="1579" t="s">
        <v>1842</v>
      </c>
      <c r="CN323" s="1579" t="s">
        <v>1843</v>
      </c>
      <c r="CO323" s="1579" t="s">
        <v>1844</v>
      </c>
      <c r="CP323" s="1579" t="s">
        <v>1845</v>
      </c>
      <c r="CQ323" s="1579" t="s">
        <v>1842</v>
      </c>
      <c r="CR323" s="1579" t="s">
        <v>1843</v>
      </c>
      <c r="CS323" s="1579" t="s">
        <v>1844</v>
      </c>
      <c r="CT323" s="1579" t="s">
        <v>1845</v>
      </c>
      <c r="CU323" s="1579" t="s">
        <v>1842</v>
      </c>
      <c r="CV323" s="1579" t="s">
        <v>1843</v>
      </c>
      <c r="CW323" s="1579" t="s">
        <v>1844</v>
      </c>
      <c r="CX323" s="1579" t="s">
        <v>1845</v>
      </c>
      <c r="CY323" s="1579" t="s">
        <v>1842</v>
      </c>
      <c r="CZ323" s="1579" t="s">
        <v>1843</v>
      </c>
      <c r="DA323" s="1579" t="s">
        <v>1844</v>
      </c>
      <c r="DB323" s="1579" t="s">
        <v>1845</v>
      </c>
      <c r="DC323"/>
      <c r="DD323"/>
      <c r="DE323"/>
      <c r="DF323"/>
      <c r="DG323"/>
      <c r="DH323"/>
      <c r="DI323"/>
      <c r="DJ323"/>
      <c r="DK323"/>
      <c r="DL323"/>
      <c r="DM323"/>
      <c r="DN323"/>
      <c r="DO323"/>
    </row>
    <row r="324" spans="1:119" s="699" customFormat="1" ht="12.75" customHeight="1">
      <c r="B324" s="664"/>
      <c r="C324" s="692"/>
      <c r="D324" s="689"/>
      <c r="E324" s="3623" t="str">
        <f>+E311</f>
        <v>Non-energy industrial goods</v>
      </c>
      <c r="F324" s="3624"/>
      <c r="G324" s="2879"/>
      <c r="H324" s="2879"/>
      <c r="I324" s="2879"/>
      <c r="J324" s="2879"/>
      <c r="K324" s="2879"/>
      <c r="L324" s="2879"/>
      <c r="M324" s="2879"/>
      <c r="N324" s="2879"/>
      <c r="O324" s="2879"/>
      <c r="P324" s="2879"/>
      <c r="Q324" s="2879"/>
      <c r="R324" s="2879">
        <f>+R290/N290*100-100</f>
        <v>8.4666792591993101</v>
      </c>
      <c r="S324" s="2879"/>
      <c r="T324" s="2879"/>
      <c r="U324" s="2879"/>
      <c r="V324" s="2879">
        <f>+V290/R290*100-100</f>
        <v>5.198606849655846</v>
      </c>
      <c r="W324" s="2879"/>
      <c r="X324" s="2879"/>
      <c r="Y324" s="2879"/>
      <c r="Z324" s="2879">
        <f>+Z290/V290*100-100</f>
        <v>2.0944513199694086</v>
      </c>
      <c r="AA324" s="2879"/>
      <c r="AB324" s="2879"/>
      <c r="AC324" s="2879"/>
      <c r="AD324" s="2879">
        <f>+AD290/Z290*100-100</f>
        <v>-1.8159918465672433</v>
      </c>
      <c r="AE324" s="2879"/>
      <c r="AF324" s="2879"/>
      <c r="AG324" s="2879"/>
      <c r="AH324" s="2879">
        <f>+AH290/AD290*100-100</f>
        <v>-2.6398980843634945</v>
      </c>
      <c r="AI324" s="2879"/>
      <c r="AJ324" s="2879"/>
      <c r="AK324" s="2879"/>
      <c r="AL324" s="2879">
        <f>+AL290/AH290*100-100</f>
        <v>-1.738996987246253</v>
      </c>
      <c r="AM324" s="2879"/>
      <c r="AN324" s="2879"/>
      <c r="AO324" s="2879"/>
      <c r="AP324" s="2879">
        <f>+AP290/AL290*100-100</f>
        <v>-1.5256382856297535</v>
      </c>
      <c r="AQ324" s="2879"/>
      <c r="AR324" s="2879"/>
      <c r="AS324" s="2879"/>
      <c r="AT324" s="2879">
        <f>+AT290/AP290*100-100</f>
        <v>-0.20117197282088739</v>
      </c>
      <c r="AU324" s="2879"/>
      <c r="AV324" s="2879"/>
      <c r="AW324" s="2879"/>
      <c r="AX324" s="2879">
        <f>+AX290/AT290*100-100</f>
        <v>-0.65073563237618259</v>
      </c>
      <c r="AY324" s="2879"/>
      <c r="AZ324" s="2879"/>
      <c r="BA324" s="2879"/>
      <c r="BB324" s="2879">
        <f>+BB290/AX290*100-100</f>
        <v>-0.13302014665892159</v>
      </c>
      <c r="BC324" s="2879"/>
      <c r="BD324" s="2879"/>
      <c r="BE324" s="2879"/>
      <c r="BF324" s="2879">
        <f>+BF290/BB290*100-100</f>
        <v>-0.21581338886034018</v>
      </c>
      <c r="BG324" s="2879"/>
      <c r="BH324" s="2879"/>
      <c r="BI324" s="2879"/>
      <c r="BJ324" s="2893">
        <f>+BJ290/BF290*100-100</f>
        <v>1.8164153254762994</v>
      </c>
      <c r="BK324" s="2893"/>
      <c r="BL324" s="2893"/>
      <c r="BM324" s="2893"/>
      <c r="BN324" s="2893">
        <f>+BN290/BJ290*100-100</f>
        <v>0.2381446292992706</v>
      </c>
      <c r="BO324" s="2893"/>
      <c r="BP324" s="2893"/>
      <c r="BQ324" s="2893"/>
      <c r="BR324" s="2893">
        <f>+BR290/BN290*100-100</f>
        <v>-2.8732967997218566</v>
      </c>
      <c r="BS324" s="2893"/>
      <c r="BT324" s="2893"/>
      <c r="BU324" s="2893"/>
      <c r="BV324" s="2893">
        <f>+BV290/BR290*100-100</f>
        <v>-0.65285389198082555</v>
      </c>
      <c r="BW324" s="2893"/>
      <c r="BX324" s="2893"/>
      <c r="BY324" s="2893"/>
      <c r="BZ324" s="2893">
        <f>+BZ290/BV290*100-100</f>
        <v>1.1195470338438014</v>
      </c>
      <c r="CA324" s="2893"/>
      <c r="CB324" s="2893"/>
      <c r="CC324" s="2893"/>
      <c r="CD324" s="2893">
        <f>+CD290/BZ290*100-100</f>
        <v>0.95613811826586925</v>
      </c>
      <c r="CE324" s="2893"/>
      <c r="CF324" s="2893"/>
      <c r="CG324" s="2893"/>
      <c r="CH324" s="2893">
        <f>+CH290/CD290*100-100</f>
        <v>7.6472516113852862E-2</v>
      </c>
      <c r="CI324" s="2893"/>
      <c r="CJ324" s="2893"/>
      <c r="CK324" s="2893"/>
      <c r="CL324" s="2893">
        <f>+CL290/CH290*100-100</f>
        <v>0.76582023377670794</v>
      </c>
      <c r="CM324" s="2893"/>
      <c r="CN324" s="2893"/>
      <c r="CO324" s="2893"/>
      <c r="CP324" s="2893">
        <f>+CP290/CL290*100-100</f>
        <v>0.68666666666665321</v>
      </c>
      <c r="CQ324" s="2893"/>
      <c r="CR324" s="2893"/>
      <c r="CS324" s="2893"/>
      <c r="CT324" s="2893">
        <f>+CT290/CP290*100-100</f>
        <v>0.71922796795338684</v>
      </c>
      <c r="CU324" s="2893"/>
      <c r="CV324" s="2893"/>
      <c r="CW324" s="2893"/>
      <c r="CX324" s="2893">
        <f>+CX290/CT290*100-100</f>
        <v>0.78052000801136501</v>
      </c>
      <c r="CY324" s="2893"/>
      <c r="CZ324" s="2893"/>
      <c r="DA324" s="2893"/>
      <c r="DB324" s="2893">
        <f>+DB290/CX290*100-100</f>
        <v>1.0292044895203247</v>
      </c>
      <c r="DC324"/>
      <c r="DD324"/>
      <c r="DE324"/>
      <c r="DF324"/>
      <c r="DG324"/>
      <c r="DH324"/>
      <c r="DI324"/>
      <c r="DJ324"/>
      <c r="DK324"/>
      <c r="DL324"/>
      <c r="DM324"/>
      <c r="DN324"/>
      <c r="DO324"/>
    </row>
    <row r="325" spans="1:119">
      <c r="C325" s="932"/>
      <c r="D325" s="674"/>
      <c r="E325" s="3545" t="str">
        <f>+E312</f>
        <v>Energy</v>
      </c>
      <c r="F325" s="3057"/>
      <c r="G325" s="2881"/>
      <c r="H325" s="2881"/>
      <c r="I325" s="2881"/>
      <c r="J325" s="2881"/>
      <c r="K325" s="2881"/>
      <c r="L325" s="2881"/>
      <c r="M325" s="2881"/>
      <c r="N325" s="2881"/>
      <c r="O325" s="2881"/>
      <c r="P325" s="2881"/>
      <c r="Q325" s="2881"/>
      <c r="R325" s="2881">
        <f>+R291/N291*100-100</f>
        <v>19.524917743359296</v>
      </c>
      <c r="S325" s="2881"/>
      <c r="T325" s="2881"/>
      <c r="U325" s="2881"/>
      <c r="V325" s="2881">
        <f>+V291/R291*100-100</f>
        <v>14.838189875117493</v>
      </c>
      <c r="W325" s="2881"/>
      <c r="X325" s="2881"/>
      <c r="Y325" s="2881"/>
      <c r="Z325" s="2881">
        <f>+Z291/V291*100-100</f>
        <v>8.9413782351107045</v>
      </c>
      <c r="AA325" s="2881"/>
      <c r="AB325" s="2881"/>
      <c r="AC325" s="2881"/>
      <c r="AD325" s="2881">
        <f>+AD291/Z291*100-100</f>
        <v>17.266547406082282</v>
      </c>
      <c r="AE325" s="2881"/>
      <c r="AF325" s="2881"/>
      <c r="AG325" s="2881"/>
      <c r="AH325" s="2881">
        <f>+AH291/AD291*100-100</f>
        <v>-2.8984622894810741E-2</v>
      </c>
      <c r="AI325" s="2881"/>
      <c r="AJ325" s="2881"/>
      <c r="AK325" s="2881"/>
      <c r="AL325" s="2881">
        <f>+AL291/AH291*100-100</f>
        <v>1.6876993270565919</v>
      </c>
      <c r="AM325" s="2881"/>
      <c r="AN325" s="2881"/>
      <c r="AO325" s="2881"/>
      <c r="AP325" s="2881">
        <f>+AP291/AL291*100-100</f>
        <v>1.0759465178048941</v>
      </c>
      <c r="AQ325" s="2881"/>
      <c r="AR325" s="2881"/>
      <c r="AS325" s="2881"/>
      <c r="AT325" s="2881">
        <f>+AT291/AP291*100-100</f>
        <v>2.7302690183502705</v>
      </c>
      <c r="AU325" s="2881"/>
      <c r="AV325" s="2881"/>
      <c r="AW325" s="2881"/>
      <c r="AX325" s="2881">
        <f>+AX291/AT291*100-100</f>
        <v>7.2288460148854767</v>
      </c>
      <c r="AY325" s="2881"/>
      <c r="AZ325" s="2881"/>
      <c r="BA325" s="2881"/>
      <c r="BB325" s="2881">
        <f>+BB291/AX291*100-100</f>
        <v>7.5906033936681894</v>
      </c>
      <c r="BC325" s="2881"/>
      <c r="BD325" s="2881"/>
      <c r="BE325" s="2881"/>
      <c r="BF325" s="2881">
        <f>+BF291/BB291*100-100</f>
        <v>6.8295982662942123</v>
      </c>
      <c r="BG325" s="2881"/>
      <c r="BH325" s="2881"/>
      <c r="BI325" s="2881"/>
      <c r="BJ325" s="1519">
        <f>+BJ291/BF291*100-100</f>
        <v>17.923101276954995</v>
      </c>
      <c r="BK325" s="1519"/>
      <c r="BL325" s="1519"/>
      <c r="BM325" s="1519"/>
      <c r="BN325" s="1519">
        <f>+BN291/BJ291*100-100</f>
        <v>8.1657816757154507</v>
      </c>
      <c r="BO325" s="1519"/>
      <c r="BP325" s="1519"/>
      <c r="BQ325" s="1519"/>
      <c r="BR325" s="1519">
        <f>+BR291/BN291*100-100</f>
        <v>10.401000202246763</v>
      </c>
      <c r="BS325" s="1519"/>
      <c r="BT325" s="1519"/>
      <c r="BU325" s="1519"/>
      <c r="BV325" s="1519">
        <f>+BV291/BR291*100-100</f>
        <v>12.042434133830753</v>
      </c>
      <c r="BW325" s="1519"/>
      <c r="BX325" s="1519"/>
      <c r="BY325" s="1519"/>
      <c r="BZ325" s="1519">
        <f>+BZ291/BV291*100-100</f>
        <v>6.6568069325326746</v>
      </c>
      <c r="CA325" s="1519"/>
      <c r="CB325" s="1519"/>
      <c r="CC325" s="1519"/>
      <c r="CD325" s="1519">
        <f>+CD291/BZ291*100-100</f>
        <v>-1.244503905623958</v>
      </c>
      <c r="CE325" s="1519"/>
      <c r="CF325" s="1519"/>
      <c r="CG325" s="1519"/>
      <c r="CH325" s="1519">
        <f>+CH291/CD291*100-100</f>
        <v>-3.9604868583524535</v>
      </c>
      <c r="CI325" s="1519"/>
      <c r="CJ325" s="1519"/>
      <c r="CK325" s="1519"/>
      <c r="CL325" s="1519">
        <f>+CL291/CH291*100-100</f>
        <v>-11.838045139297051</v>
      </c>
      <c r="CM325" s="1519"/>
      <c r="CN325" s="1519"/>
      <c r="CO325" s="1519"/>
      <c r="CP325" s="1519">
        <f>+CP291/CL291*100-100</f>
        <v>-7.1842265352211285</v>
      </c>
      <c r="CQ325" s="1519"/>
      <c r="CR325" s="1519"/>
      <c r="CS325" s="1519"/>
      <c r="CT325" s="1519">
        <f>+CT291/CP291*100-100</f>
        <v>4.6831510711271562</v>
      </c>
      <c r="CU325" s="1519"/>
      <c r="CV325" s="1519"/>
      <c r="CW325" s="1519"/>
      <c r="CX325" s="1519">
        <f>+CX291/CT291*100-100</f>
        <v>5.5586672796458458</v>
      </c>
      <c r="CY325" s="1519"/>
      <c r="CZ325" s="1519"/>
      <c r="DA325" s="1519"/>
      <c r="DB325" s="1519">
        <f>+DB291/CX291*100-100</f>
        <v>1.1752122007345776</v>
      </c>
    </row>
    <row r="326" spans="1:119">
      <c r="C326" s="932"/>
      <c r="D326" s="674"/>
      <c r="E326" s="3545" t="str">
        <f>+E313</f>
        <v>Unprocessed food</v>
      </c>
      <c r="F326" s="3057"/>
      <c r="G326" s="2881"/>
      <c r="H326" s="2881"/>
      <c r="I326" s="2881"/>
      <c r="J326" s="2881"/>
      <c r="K326" s="2881"/>
      <c r="L326" s="2881"/>
      <c r="M326" s="2881"/>
      <c r="N326" s="2881"/>
      <c r="O326" s="2881"/>
      <c r="P326" s="2881"/>
      <c r="Q326" s="2881"/>
      <c r="R326" s="2881">
        <f>+R292/N292*100-100</f>
        <v>4.9560757629614614</v>
      </c>
      <c r="S326" s="2881"/>
      <c r="T326" s="2881"/>
      <c r="U326" s="2881"/>
      <c r="V326" s="2881">
        <f>+V292/R292*100-100</f>
        <v>0.91320334800909109</v>
      </c>
      <c r="W326" s="2881"/>
      <c r="X326" s="2881"/>
      <c r="Y326" s="2881"/>
      <c r="Z326" s="2881">
        <f>+Z292/V292*100-100</f>
        <v>-5.6154187292492992</v>
      </c>
      <c r="AA326" s="2881"/>
      <c r="AB326" s="2881"/>
      <c r="AC326" s="2881"/>
      <c r="AD326" s="2881">
        <f>+AD292/Z292*100-100</f>
        <v>-3.4338252101694167</v>
      </c>
      <c r="AE326" s="2881"/>
      <c r="AF326" s="2881"/>
      <c r="AG326" s="2881"/>
      <c r="AH326" s="2881">
        <f>+AH292/AD292*100-100</f>
        <v>8.9700428710449671</v>
      </c>
      <c r="AI326" s="2881"/>
      <c r="AJ326" s="2881"/>
      <c r="AK326" s="2881"/>
      <c r="AL326" s="2881">
        <f>+AL292/AH292*100-100</f>
        <v>-2.1891555941735135</v>
      </c>
      <c r="AM326" s="2881"/>
      <c r="AN326" s="2881"/>
      <c r="AO326" s="2881"/>
      <c r="AP326" s="2881">
        <f>+AP292/AL292*100-100</f>
        <v>-11.991511307974193</v>
      </c>
      <c r="AQ326" s="2881"/>
      <c r="AR326" s="2881"/>
      <c r="AS326" s="2881"/>
      <c r="AT326" s="2881">
        <f>+AT292/AP292*100-100</f>
        <v>2.4884340389737929</v>
      </c>
      <c r="AU326" s="2881"/>
      <c r="AV326" s="2881"/>
      <c r="AW326" s="2881"/>
      <c r="AX326" s="2881">
        <f>+AX292/AT292*100-100</f>
        <v>6.3867040558101422</v>
      </c>
      <c r="AY326" s="2881"/>
      <c r="AZ326" s="2881"/>
      <c r="BA326" s="2881"/>
      <c r="BB326" s="2881">
        <f>+BB292/AX292*100-100</f>
        <v>8.0631059222876473</v>
      </c>
      <c r="BC326" s="2881"/>
      <c r="BD326" s="2881"/>
      <c r="BE326" s="2881"/>
      <c r="BF326" s="2881">
        <f>+BF292/BB292*100-100</f>
        <v>8.6798738770896762</v>
      </c>
      <c r="BG326" s="2881"/>
      <c r="BH326" s="2881"/>
      <c r="BI326" s="2881"/>
      <c r="BJ326" s="1519">
        <f>+BJ292/BF292*100-100</f>
        <v>15.131377271731978</v>
      </c>
      <c r="BK326" s="1519"/>
      <c r="BL326" s="1519"/>
      <c r="BM326" s="1519"/>
      <c r="BN326" s="1519">
        <f>+BN292/BJ292*100-100</f>
        <v>3.1066650184003493</v>
      </c>
      <c r="BO326" s="1519"/>
      <c r="BP326" s="1519"/>
      <c r="BQ326" s="1519"/>
      <c r="BR326" s="1519">
        <f>+BR292/BN292*100-100</f>
        <v>-2.3084443132770076</v>
      </c>
      <c r="BS326" s="1519"/>
      <c r="BT326" s="1519"/>
      <c r="BU326" s="1519"/>
      <c r="BV326" s="1519">
        <f>+BV292/BR292*100-100</f>
        <v>5.0271418456455024</v>
      </c>
      <c r="BW326" s="1519"/>
      <c r="BX326" s="1519"/>
      <c r="BY326" s="1519"/>
      <c r="BZ326" s="1519">
        <f>+BZ292/BV292*100-100</f>
        <v>3.34382022471911</v>
      </c>
      <c r="CA326" s="1519"/>
      <c r="CB326" s="1519"/>
      <c r="CC326" s="1519"/>
      <c r="CD326" s="1519">
        <f>+CD292/BZ292*100-100</f>
        <v>3.2373662694615888</v>
      </c>
      <c r="CE326" s="1519"/>
      <c r="CF326" s="1519"/>
      <c r="CG326" s="1519"/>
      <c r="CH326" s="1519">
        <f>+CH292/CD292*100-100</f>
        <v>0.33700670643345632</v>
      </c>
      <c r="CI326" s="1519"/>
      <c r="CJ326" s="1519"/>
      <c r="CK326" s="1519"/>
      <c r="CL326" s="1519">
        <f>+CL292/CH292*100-100</f>
        <v>0.7632754509119053</v>
      </c>
      <c r="CM326" s="1519"/>
      <c r="CN326" s="1519"/>
      <c r="CO326" s="1519"/>
      <c r="CP326" s="1519">
        <f>+CP292/CL292*100-100</f>
        <v>1.514987375105207</v>
      </c>
      <c r="CQ326" s="1519"/>
      <c r="CR326" s="1519"/>
      <c r="CS326" s="1519"/>
      <c r="CT326" s="1519">
        <f>+CT292/CP292*100-100</f>
        <v>1.637675567850664</v>
      </c>
      <c r="CU326" s="1519"/>
      <c r="CV326" s="1519"/>
      <c r="CW326" s="1519"/>
      <c r="CX326" s="1519">
        <f>+CX292/CT292*100-100</f>
        <v>0.52914406292126159</v>
      </c>
      <c r="CY326" s="1519"/>
      <c r="CZ326" s="1519"/>
      <c r="DA326" s="1519"/>
      <c r="DB326" s="1519">
        <f>+DB292/CX292*100-100</f>
        <v>0.89030342846490385</v>
      </c>
    </row>
    <row r="327" spans="1:119">
      <c r="C327" s="932"/>
      <c r="D327" s="674"/>
      <c r="E327" s="3545" t="str">
        <f>+E314</f>
        <v>Processed food (incl. Alcohol and tobacco)</v>
      </c>
      <c r="F327" s="3057"/>
      <c r="G327" s="2881"/>
      <c r="H327" s="2881"/>
      <c r="I327" s="2881"/>
      <c r="J327" s="2881"/>
      <c r="K327" s="2881"/>
      <c r="L327" s="2881"/>
      <c r="M327" s="2881"/>
      <c r="N327" s="2881"/>
      <c r="O327" s="2881"/>
      <c r="P327" s="2881"/>
      <c r="Q327" s="2881"/>
      <c r="R327" s="2881">
        <f>+R293/N293*100-100</f>
        <v>9.5287063551076585</v>
      </c>
      <c r="S327" s="2881"/>
      <c r="T327" s="2881"/>
      <c r="U327" s="2881"/>
      <c r="V327" s="2881">
        <f>+V293/R293*100-100</f>
        <v>1.229200369771192</v>
      </c>
      <c r="W327" s="2881"/>
      <c r="X327" s="2881"/>
      <c r="Y327" s="2881"/>
      <c r="Z327" s="2881">
        <f>+Z293/V293*100-100</f>
        <v>-0.61926572777991851</v>
      </c>
      <c r="AA327" s="2881"/>
      <c r="AB327" s="2881"/>
      <c r="AC327" s="2881"/>
      <c r="AD327" s="2881">
        <f>+AD293/Z293*100-100</f>
        <v>-3.8392511019540763</v>
      </c>
      <c r="AE327" s="2881"/>
      <c r="AF327" s="2881"/>
      <c r="AG327" s="2881"/>
      <c r="AH327" s="2881">
        <f>+AH293/AD293*100-100</f>
        <v>-0.19858156028368512</v>
      </c>
      <c r="AI327" s="2881"/>
      <c r="AJ327" s="2881"/>
      <c r="AK327" s="2881"/>
      <c r="AL327" s="2881">
        <f>+AL293/AH293*100-100</f>
        <v>0.77795398102989566</v>
      </c>
      <c r="AM327" s="2881"/>
      <c r="AN327" s="2881"/>
      <c r="AO327" s="2881"/>
      <c r="AP327" s="2881">
        <f>+AP293/AL293*100-100</f>
        <v>3.1070930198034574</v>
      </c>
      <c r="AQ327" s="2881"/>
      <c r="AR327" s="2881"/>
      <c r="AS327" s="2881"/>
      <c r="AT327" s="2881">
        <f>+AT293/AP293*100-100</f>
        <v>2.300770282917</v>
      </c>
      <c r="AU327" s="2881"/>
      <c r="AV327" s="2881"/>
      <c r="AW327" s="2881"/>
      <c r="AX327" s="2881">
        <f>+AX293/AT293*100-100</f>
        <v>1.4074001097771998</v>
      </c>
      <c r="AY327" s="2881"/>
      <c r="AZ327" s="2881"/>
      <c r="BA327" s="2881"/>
      <c r="BB327" s="2881">
        <f>+BB293/AX293*100-100</f>
        <v>2.731322776289673</v>
      </c>
      <c r="BC327" s="2881"/>
      <c r="BD327" s="2881"/>
      <c r="BE327" s="2881"/>
      <c r="BF327" s="2881">
        <f>+BF293/BB293*100-100</f>
        <v>10.447035300793033</v>
      </c>
      <c r="BG327" s="2881"/>
      <c r="BH327" s="2881"/>
      <c r="BI327" s="2881"/>
      <c r="BJ327" s="1519">
        <f>+BJ293/BF293*100-100</f>
        <v>15.907478533160457</v>
      </c>
      <c r="BK327" s="1519"/>
      <c r="BL327" s="1519"/>
      <c r="BM327" s="1519"/>
      <c r="BN327" s="1519">
        <f>+BN293/BJ293*100-100</f>
        <v>5.8221382665498709</v>
      </c>
      <c r="BO327" s="1519"/>
      <c r="BP327" s="1519"/>
      <c r="BQ327" s="1519"/>
      <c r="BR327" s="1519">
        <f>+BR293/BN293*100-100</f>
        <v>5.2156049303921321</v>
      </c>
      <c r="BS327" s="1519"/>
      <c r="BT327" s="1519"/>
      <c r="BU327" s="1519"/>
      <c r="BV327" s="1519">
        <f>+BV293/BR293*100-100</f>
        <v>7.0176103728697683</v>
      </c>
      <c r="BW327" s="1519"/>
      <c r="BX327" s="1519"/>
      <c r="BY327" s="1519"/>
      <c r="BZ327" s="1519">
        <f>+BZ293/BV293*100-100</f>
        <v>3.1387831015853465</v>
      </c>
      <c r="CA327" s="1519"/>
      <c r="CB327" s="1519"/>
      <c r="CC327" s="1519"/>
      <c r="CD327" s="1519">
        <f>+CD293/BZ293*100-100</f>
        <v>1.3550414756040965</v>
      </c>
      <c r="CE327" s="1519"/>
      <c r="CF327" s="1519"/>
      <c r="CG327" s="1519"/>
      <c r="CH327" s="1519">
        <f>+CH293/CD293*100-100</f>
        <v>2.1494171072251618</v>
      </c>
      <c r="CI327" s="1519"/>
      <c r="CJ327" s="1519"/>
      <c r="CK327" s="1519"/>
      <c r="CL327" s="1519">
        <f>+CL293/CH293*100-100</f>
        <v>-0.47192893695725502</v>
      </c>
      <c r="CM327" s="1519"/>
      <c r="CN327" s="1519"/>
      <c r="CO327" s="1519"/>
      <c r="CP327" s="1519">
        <f>+CP293/CL293*100-100</f>
        <v>2.2291666666666856</v>
      </c>
      <c r="CQ327" s="1519"/>
      <c r="CR327" s="1519"/>
      <c r="CS327" s="1519"/>
      <c r="CT327" s="1519">
        <f>+CT293/CP293*100-100</f>
        <v>7.1196250254737805</v>
      </c>
      <c r="CU327" s="1519"/>
      <c r="CV327" s="1519"/>
      <c r="CW327" s="1519"/>
      <c r="CX327" s="1519">
        <f>+CX293/CT293*100-100</f>
        <v>3.6037323774764047</v>
      </c>
      <c r="CY327" s="1519"/>
      <c r="CZ327" s="1519"/>
      <c r="DA327" s="1519"/>
      <c r="DB327" s="1519">
        <f>+DB293/CX293*100-100</f>
        <v>3.0408328777084392</v>
      </c>
    </row>
    <row r="328" spans="1:119">
      <c r="C328" s="690"/>
      <c r="D328" s="691"/>
      <c r="E328" s="3644" t="str">
        <f>+E315</f>
        <v>Services</v>
      </c>
      <c r="F328" s="3645"/>
      <c r="G328" s="2882"/>
      <c r="H328" s="2882"/>
      <c r="I328" s="2882"/>
      <c r="J328" s="2882"/>
      <c r="K328" s="2882"/>
      <c r="L328" s="2882"/>
      <c r="M328" s="2882"/>
      <c r="N328" s="2882"/>
      <c r="O328" s="2882"/>
      <c r="P328" s="2882"/>
      <c r="Q328" s="2882"/>
      <c r="R328" s="2882">
        <f>+R294/N294*100-100</f>
        <v>15.639188977610758</v>
      </c>
      <c r="S328" s="2882"/>
      <c r="T328" s="2882"/>
      <c r="U328" s="2882"/>
      <c r="V328" s="2882">
        <f>+V294/R294*100-100</f>
        <v>11.36967522466874</v>
      </c>
      <c r="W328" s="2882"/>
      <c r="X328" s="2882"/>
      <c r="Y328" s="2882"/>
      <c r="Z328" s="2882">
        <f>+Z294/V294*100-100</f>
        <v>6.6074006534457794</v>
      </c>
      <c r="AA328" s="2882"/>
      <c r="AB328" s="2882"/>
      <c r="AC328" s="2882"/>
      <c r="AD328" s="2882">
        <f>+AD294/Z294*100-100</f>
        <v>5.3198010063717902</v>
      </c>
      <c r="AE328" s="2882"/>
      <c r="AF328" s="2882"/>
      <c r="AG328" s="2882"/>
      <c r="AH328" s="2882">
        <f>+AH294/AD294*100-100</f>
        <v>4.4474521215402234</v>
      </c>
      <c r="AI328" s="2882"/>
      <c r="AJ328" s="2882"/>
      <c r="AK328" s="2882"/>
      <c r="AL328" s="2882">
        <f>+AL294/AH294*100-100</f>
        <v>3.2356714309779591</v>
      </c>
      <c r="AM328" s="2882"/>
      <c r="AN328" s="2882"/>
      <c r="AO328" s="2882"/>
      <c r="AP328" s="2882">
        <f>+AP294/AL294*100-100</f>
        <v>0.30376060651704506</v>
      </c>
      <c r="AQ328" s="2882"/>
      <c r="AR328" s="2882"/>
      <c r="AS328" s="2882"/>
      <c r="AT328" s="2882">
        <f>+AT294/AP294*100-100</f>
        <v>-0.31910899762233669</v>
      </c>
      <c r="AU328" s="2882"/>
      <c r="AV328" s="2882"/>
      <c r="AW328" s="2882"/>
      <c r="AX328" s="2882">
        <f>+AX294/AT294*100-100</f>
        <v>3.3255916138346748</v>
      </c>
      <c r="AY328" s="2882"/>
      <c r="AZ328" s="2882"/>
      <c r="BA328" s="2882"/>
      <c r="BB328" s="2882">
        <f>+BB294/AX294*100-100</f>
        <v>4.8345159409020084</v>
      </c>
      <c r="BC328" s="2882"/>
      <c r="BD328" s="2882"/>
      <c r="BE328" s="2882"/>
      <c r="BF328" s="2882">
        <f>+BF294/BB294*100-100</f>
        <v>6.8089890244891649</v>
      </c>
      <c r="BG328" s="2882"/>
      <c r="BH328" s="2882"/>
      <c r="BI328" s="2882"/>
      <c r="BJ328" s="2894">
        <f>+BJ294/BF294*100-100</f>
        <v>12.167147724559996</v>
      </c>
      <c r="BK328" s="2894"/>
      <c r="BL328" s="2894"/>
      <c r="BM328" s="2894"/>
      <c r="BN328" s="2894">
        <f>+BN294/BJ294*100-100</f>
        <v>5.7549989842412401</v>
      </c>
      <c r="BO328" s="2894"/>
      <c r="BP328" s="2894"/>
      <c r="BQ328" s="2894"/>
      <c r="BR328" s="2894">
        <f>+BR294/BN294*100-100</f>
        <v>-1.4946944749359545</v>
      </c>
      <c r="BS328" s="2894"/>
      <c r="BT328" s="2894"/>
      <c r="BU328" s="2894"/>
      <c r="BV328" s="2894">
        <f>+BV294/BR294*100-100</f>
        <v>1.2555021079806039</v>
      </c>
      <c r="BW328" s="2894"/>
      <c r="BX328" s="2894"/>
      <c r="BY328" s="2894"/>
      <c r="BZ328" s="2894">
        <f>+BZ294/BV294*100-100</f>
        <v>2.8907353399731903</v>
      </c>
      <c r="CA328" s="2894"/>
      <c r="CB328" s="2894"/>
      <c r="CC328" s="2894"/>
      <c r="CD328" s="2894">
        <f>+CD294/BZ294*100-100</f>
        <v>1.8513236473839214</v>
      </c>
      <c r="CE328" s="2894"/>
      <c r="CF328" s="2894"/>
      <c r="CG328" s="2894"/>
      <c r="CH328" s="2894">
        <f>+CH294/CD294*100-100</f>
        <v>1.6023873909352631</v>
      </c>
      <c r="CI328" s="2894"/>
      <c r="CJ328" s="2894"/>
      <c r="CK328" s="2894"/>
      <c r="CL328" s="2894">
        <f>+CL294/CH294*100-100</f>
        <v>3.3626763596271871</v>
      </c>
      <c r="CM328" s="2894"/>
      <c r="CN328" s="2894"/>
      <c r="CO328" s="2894"/>
      <c r="CP328" s="2894">
        <f>+CP294/CL294*100-100</f>
        <v>3.1532807786537091</v>
      </c>
      <c r="CQ328" s="2894"/>
      <c r="CR328" s="2894"/>
      <c r="CS328" s="2894"/>
      <c r="CT328" s="2894">
        <f>+CT294/CP294*100-100</f>
        <v>5.0385342445834027</v>
      </c>
      <c r="CU328" s="2894"/>
      <c r="CV328" s="2894"/>
      <c r="CW328" s="2894"/>
      <c r="CX328" s="2894">
        <f>+CX294/CT294*100-100</f>
        <v>4.1025089995070658</v>
      </c>
      <c r="CY328" s="2894"/>
      <c r="CZ328" s="2894"/>
      <c r="DA328" s="2894"/>
      <c r="DB328" s="2894">
        <f>+DB294/CX294*100-100</f>
        <v>4.3754541714286432</v>
      </c>
    </row>
    <row r="329" spans="1:119">
      <c r="C329" s="674"/>
      <c r="D329" s="717"/>
      <c r="E329" s="3636" t="str">
        <f>+E317</f>
        <v>HICP</v>
      </c>
      <c r="F329" s="3634"/>
      <c r="G329" s="2854"/>
      <c r="H329" s="2854"/>
      <c r="I329" s="2854"/>
      <c r="J329" s="2854"/>
      <c r="K329" s="2854"/>
      <c r="L329" s="2854"/>
      <c r="M329" s="2854"/>
      <c r="N329" s="2854" t="e">
        <f>+N296/J296*100-100</f>
        <v>#DIV/0!</v>
      </c>
      <c r="O329" s="2854"/>
      <c r="P329" s="2854"/>
      <c r="Q329" s="2854"/>
      <c r="R329" s="2854">
        <f>+R296/N296*100-100</f>
        <v>10.31604831127504</v>
      </c>
      <c r="S329" s="2854"/>
      <c r="T329" s="2854"/>
      <c r="U329" s="2854"/>
      <c r="V329" s="2854">
        <f>+V296/R296*100-100</f>
        <v>5.3692947146210201</v>
      </c>
      <c r="W329" s="2854"/>
      <c r="X329" s="2854"/>
      <c r="Y329" s="2854"/>
      <c r="Z329" s="2854">
        <f>+Z296/V296*100-100</f>
        <v>1.4434683059157294</v>
      </c>
      <c r="AA329" s="2854"/>
      <c r="AB329" s="2854"/>
      <c r="AC329" s="2854"/>
      <c r="AD329" s="2854">
        <f>+AD296/Z296*100-100</f>
        <v>1.0941831652805121</v>
      </c>
      <c r="AE329" s="2854"/>
      <c r="AF329" s="2854"/>
      <c r="AG329" s="2854"/>
      <c r="AH329" s="2854">
        <f>+AH296/AD296*100-100</f>
        <v>1.549494018006655</v>
      </c>
      <c r="AI329" s="2854"/>
      <c r="AJ329" s="2854"/>
      <c r="AK329" s="2854"/>
      <c r="AL329" s="2854">
        <f>+AL296/AH296*100-100</f>
        <v>0.33575892270374652</v>
      </c>
      <c r="AM329" s="2854"/>
      <c r="AN329" s="2854"/>
      <c r="AO329" s="2854"/>
      <c r="AP329" s="2854">
        <f>+AP296/AL296*100-100</f>
        <v>-1.0765493259657859</v>
      </c>
      <c r="AQ329" s="2854"/>
      <c r="AR329" s="2854"/>
      <c r="AS329" s="2854"/>
      <c r="AT329" s="2854">
        <f>+AT296/AP296*100-100</f>
        <v>1.1544758511099218</v>
      </c>
      <c r="AU329" s="2854"/>
      <c r="AV329" s="2854"/>
      <c r="AW329" s="2854"/>
      <c r="AX329" s="2854">
        <f>+AX296/AT296*100-100</f>
        <v>2.671760267533088</v>
      </c>
      <c r="AY329" s="2854"/>
      <c r="AZ329" s="2854"/>
      <c r="BA329" s="2854"/>
      <c r="BB329" s="2854">
        <f>+BB296/AX296*100-100</f>
        <v>3.7567229228486525</v>
      </c>
      <c r="BC329" s="2854"/>
      <c r="BD329" s="2854"/>
      <c r="BE329" s="2854"/>
      <c r="BF329" s="2854">
        <f>+BF296/BB296*100-100</f>
        <v>5.8181493190933224</v>
      </c>
      <c r="BG329" s="2854"/>
      <c r="BH329" s="2854"/>
      <c r="BI329" s="2854"/>
      <c r="BJ329" s="2866">
        <f ca="1">+BJ296/BF296*100-100</f>
        <v>11.091410112175311</v>
      </c>
      <c r="BK329" s="2866"/>
      <c r="BL329" s="2854"/>
      <c r="BM329" s="2866"/>
      <c r="BN329" s="2866">
        <f ca="1">+BN296/BJ296*100-100</f>
        <v>4.1579434061982568</v>
      </c>
      <c r="BO329" s="2866"/>
      <c r="BP329" s="2854"/>
      <c r="BQ329" s="2866"/>
      <c r="BR329" s="2866">
        <f ca="1">+BR296/BN296*100-100</f>
        <v>1.210596271385441</v>
      </c>
      <c r="BS329" s="2866"/>
      <c r="BT329" s="2854"/>
      <c r="BU329" s="2866"/>
      <c r="BV329" s="2866">
        <f ca="1">+BV296/BR296*100-100</f>
        <v>4.1469714292677367</v>
      </c>
      <c r="BW329" s="2866"/>
      <c r="BX329" s="2854"/>
      <c r="BY329" s="2866"/>
      <c r="BZ329" s="2866">
        <f ca="1">+BZ296/BV296*100-100</f>
        <v>3.1747936225844882</v>
      </c>
      <c r="CA329" s="2866"/>
      <c r="CB329" s="2854"/>
      <c r="CC329" s="2866"/>
      <c r="CD329" s="2866">
        <f ca="1">+CD296/BZ296*100-100</f>
        <v>1.1568487617454224</v>
      </c>
      <c r="CE329" s="2866"/>
      <c r="CF329" s="2854"/>
      <c r="CG329" s="2866"/>
      <c r="CH329" s="2866">
        <f ca="1">+CH296/CD296*100-100</f>
        <v>0.23523211230831009</v>
      </c>
      <c r="CI329" s="2866"/>
      <c r="CJ329" s="2854"/>
      <c r="CK329" s="2866"/>
      <c r="CL329" s="2866">
        <f ca="1">+CL296/CH296*100-100</f>
        <v>-0.65578090704427439</v>
      </c>
      <c r="CM329" s="2866"/>
      <c r="CN329" s="3736"/>
      <c r="CO329" s="2866"/>
      <c r="CP329" s="3356">
        <f ca="1">+CP296/CL296*100-100</f>
        <v>0.7005573017237765</v>
      </c>
      <c r="CQ329" s="2866"/>
      <c r="CR329" s="2854"/>
      <c r="CS329" s="2866"/>
      <c r="CT329" s="3356">
        <f ca="1">+CT296/CP296*100-100</f>
        <v>3.7189943820576019</v>
      </c>
      <c r="CU329" s="2866"/>
      <c r="CV329" s="2854"/>
      <c r="CW329" s="2866"/>
      <c r="CX329" s="3356">
        <f ca="1">+CX296/CT296*100-100</f>
        <v>2.8095001688776193</v>
      </c>
      <c r="CY329" s="2866"/>
      <c r="CZ329" s="2854"/>
      <c r="DA329" s="2866"/>
      <c r="DB329" s="3356">
        <f ca="1">+DB296/CX296*100-100</f>
        <v>2.3463849329505422</v>
      </c>
    </row>
    <row r="330" spans="1:119">
      <c r="C330" s="674"/>
      <c r="D330" s="717"/>
      <c r="E330" s="3636" t="s">
        <v>924</v>
      </c>
      <c r="F330" s="3634"/>
      <c r="G330" s="2854"/>
      <c r="H330" s="2854"/>
      <c r="I330" s="2854"/>
      <c r="J330" s="2854"/>
      <c r="K330" s="2854"/>
      <c r="L330" s="2854"/>
      <c r="M330" s="2854"/>
      <c r="N330" s="2854"/>
      <c r="O330" s="2854"/>
      <c r="P330" s="2854"/>
      <c r="Q330" s="2854"/>
      <c r="R330" s="2854">
        <f>+R299/N299*100-100</f>
        <v>10.336879197742647</v>
      </c>
      <c r="S330" s="2854"/>
      <c r="T330" s="2854"/>
      <c r="U330" s="2854"/>
      <c r="V330" s="2854">
        <f>+V299/R299*100-100</f>
        <v>4.4831312282386904</v>
      </c>
      <c r="W330" s="2854"/>
      <c r="X330" s="2854"/>
      <c r="Y330" s="2854"/>
      <c r="Z330" s="2854">
        <f>+Z299/V299*100-100</f>
        <v>1.7236624379481498</v>
      </c>
      <c r="AA330" s="2854"/>
      <c r="AB330" s="2854"/>
      <c r="AC330" s="2854"/>
      <c r="AD330" s="2854">
        <f>+AD299/Z299*100-100</f>
        <v>-1.1206000632596869</v>
      </c>
      <c r="AE330" s="2854"/>
      <c r="AF330" s="2854"/>
      <c r="AG330" s="2854"/>
      <c r="AH330" s="2854">
        <f>+AH299/AD299*100-100</f>
        <v>6.0549284832987382E-2</v>
      </c>
      <c r="AI330" s="2854"/>
      <c r="AJ330" s="2854"/>
      <c r="AK330" s="2854"/>
      <c r="AL330" s="2854">
        <f>+AL299/AH299*100-100</f>
        <v>0.59028372438203291</v>
      </c>
      <c r="AM330" s="2854"/>
      <c r="AN330" s="2854"/>
      <c r="AO330" s="2854"/>
      <c r="AP330" s="2854">
        <f>+AP299/AL299*100-100</f>
        <v>0.68783909559373058</v>
      </c>
      <c r="AQ330" s="2854"/>
      <c r="AR330" s="2854"/>
      <c r="AS330" s="2854"/>
      <c r="AT330" s="2854">
        <f>+AT299/AP299*100-100</f>
        <v>0.64143031068223877</v>
      </c>
      <c r="AU330" s="2854"/>
      <c r="AV330" s="2854"/>
      <c r="AW330" s="2854"/>
      <c r="AX330" s="2854">
        <f>+AX299/AT299*100-100</f>
        <v>1.2746844091983291</v>
      </c>
      <c r="AY330" s="2854"/>
      <c r="AZ330" s="2854"/>
      <c r="BA330" s="2854"/>
      <c r="BB330" s="2854">
        <f>+BB299/AX299*100-100</f>
        <v>2.3878781175689738</v>
      </c>
      <c r="BC330" s="2854"/>
      <c r="BD330" s="2854"/>
      <c r="BE330" s="2854"/>
      <c r="BF330" s="2854">
        <f>+BF299/BB299*100-100</f>
        <v>5.2131267958606173</v>
      </c>
      <c r="BG330" s="2854"/>
      <c r="BH330" s="2854"/>
      <c r="BI330" s="2854"/>
      <c r="BJ330" s="2866">
        <f ca="1">+BJ299/BF299*100-100</f>
        <v>9.3040817093685462</v>
      </c>
      <c r="BK330" s="2866"/>
      <c r="BL330" s="2866"/>
      <c r="BM330" s="2866"/>
      <c r="BN330" s="2866">
        <f ca="1">+BN299/BJ299*100-100</f>
        <v>3.6664401321471871</v>
      </c>
      <c r="BO330" s="2866"/>
      <c r="BP330" s="2866"/>
      <c r="BQ330" s="2866"/>
      <c r="BR330" s="2866">
        <f ca="1">+BR299/BN299*100-100</f>
        <v>-3.2996158514947638E-2</v>
      </c>
      <c r="BS330" s="2866"/>
      <c r="BT330" s="2866"/>
      <c r="BU330" s="2866"/>
      <c r="BV330" s="2866">
        <f ca="1">+BV299/BR299*100-100</f>
        <v>2.385261835899712</v>
      </c>
      <c r="BW330" s="2866"/>
      <c r="BX330" s="2866"/>
      <c r="BY330" s="2866"/>
      <c r="BZ330" s="2866">
        <f ca="1">+BZ299/BV299*100-100</f>
        <v>2.3790398684359673</v>
      </c>
      <c r="CA330" s="2866"/>
      <c r="CB330" s="2866"/>
      <c r="CC330" s="2866"/>
      <c r="CD330" s="2866">
        <f ca="1">+CD299/BZ299*100-100</f>
        <v>1.3985644094423719</v>
      </c>
      <c r="CE330" s="2866"/>
      <c r="CF330" s="2866"/>
      <c r="CG330" s="2866"/>
      <c r="CH330" s="2866">
        <f ca="1">+CH299/CD299*100-100</f>
        <v>1.1014200403015764</v>
      </c>
      <c r="CI330" s="2866"/>
      <c r="CJ330" s="2866"/>
      <c r="CK330" s="2866"/>
      <c r="CL330" s="2866">
        <f ca="1">+CL299/CH299*100-100</f>
        <v>1.2341217712224193</v>
      </c>
      <c r="CM330" s="2866"/>
      <c r="CN330" s="2866"/>
      <c r="CO330" s="2866"/>
      <c r="CP330" s="2866">
        <f ca="1">+CP299/CL299*100-100</f>
        <v>1.8596689009513909</v>
      </c>
      <c r="CQ330" s="2866"/>
      <c r="CR330" s="2866"/>
      <c r="CS330" s="2866"/>
      <c r="CT330" s="3672">
        <f ca="1">+CT299/CP299*100-100</f>
        <v>3.8340515646518014</v>
      </c>
      <c r="CU330" s="2866"/>
      <c r="CV330" s="2866"/>
      <c r="CW330" s="2866"/>
      <c r="CX330" s="3672">
        <f ca="1">+CX299/CT299*100-100</f>
        <v>2.6281814945884605</v>
      </c>
      <c r="CY330" s="2866"/>
      <c r="CZ330" s="2866"/>
      <c r="DA330" s="2866"/>
      <c r="DB330" s="2866">
        <f ca="1">+DB299/CX299*100-100</f>
        <v>2.6683069675598574</v>
      </c>
    </row>
    <row r="331" spans="1:119">
      <c r="E331" s="599"/>
      <c r="F331" s="3617"/>
      <c r="CM331" s="557"/>
      <c r="CN331" s="557"/>
      <c r="CO331" s="557"/>
      <c r="CP331" s="557"/>
      <c r="CQ331" s="557"/>
      <c r="CR331" s="557"/>
      <c r="CS331" s="557"/>
      <c r="CT331" s="557"/>
      <c r="CU331" s="557"/>
      <c r="CV331" s="557"/>
      <c r="CW331" s="557"/>
      <c r="CX331" s="557"/>
      <c r="CY331" s="557"/>
      <c r="CZ331" s="557"/>
      <c r="DA331" s="557"/>
      <c r="DB331" s="557"/>
    </row>
    <row r="332" spans="1:119" s="699" customFormat="1" ht="12.75" customHeight="1">
      <c r="A332" s="664"/>
      <c r="B332" s="664"/>
      <c r="C332" s="666"/>
      <c r="D332" s="858"/>
      <c r="E332" s="3625" t="s">
        <v>1419</v>
      </c>
      <c r="F332" s="3626"/>
      <c r="G332" s="1623" t="s">
        <v>1842</v>
      </c>
      <c r="H332" s="1622" t="s">
        <v>1843</v>
      </c>
      <c r="I332" s="1622" t="s">
        <v>1844</v>
      </c>
      <c r="J332" s="1622" t="s">
        <v>1845</v>
      </c>
      <c r="K332" s="1622" t="s">
        <v>1842</v>
      </c>
      <c r="L332" s="1622" t="s">
        <v>1843</v>
      </c>
      <c r="M332" s="1622" t="s">
        <v>1844</v>
      </c>
      <c r="N332" s="1622" t="s">
        <v>1845</v>
      </c>
      <c r="O332" s="1622" t="s">
        <v>1842</v>
      </c>
      <c r="P332" s="1622" t="s">
        <v>1843</v>
      </c>
      <c r="Q332" s="1622" t="s">
        <v>1844</v>
      </c>
      <c r="R332" s="1622" t="s">
        <v>1845</v>
      </c>
      <c r="S332" s="1622" t="s">
        <v>1842</v>
      </c>
      <c r="T332" s="1622" t="s">
        <v>1843</v>
      </c>
      <c r="U332" s="1622" t="s">
        <v>1844</v>
      </c>
      <c r="V332" s="1622" t="s">
        <v>1845</v>
      </c>
      <c r="W332" s="1622" t="s">
        <v>1842</v>
      </c>
      <c r="X332" s="1622" t="s">
        <v>1843</v>
      </c>
      <c r="Y332" s="1622" t="s">
        <v>1844</v>
      </c>
      <c r="Z332" s="1622" t="s">
        <v>1845</v>
      </c>
      <c r="AA332" s="1622" t="s">
        <v>1842</v>
      </c>
      <c r="AB332" s="1622" t="s">
        <v>1843</v>
      </c>
      <c r="AC332" s="1622" t="s">
        <v>1844</v>
      </c>
      <c r="AD332" s="1622" t="s">
        <v>1845</v>
      </c>
      <c r="AE332" s="1622" t="s">
        <v>1842</v>
      </c>
      <c r="AF332" s="1622" t="s">
        <v>1843</v>
      </c>
      <c r="AG332" s="1622" t="s">
        <v>1844</v>
      </c>
      <c r="AH332" s="1622" t="s">
        <v>1845</v>
      </c>
      <c r="AI332" s="1622" t="s">
        <v>1842</v>
      </c>
      <c r="AJ332" s="1622" t="s">
        <v>1843</v>
      </c>
      <c r="AK332" s="1622" t="s">
        <v>1844</v>
      </c>
      <c r="AL332" s="1622" t="s">
        <v>1845</v>
      </c>
      <c r="AM332" s="1622" t="s">
        <v>1842</v>
      </c>
      <c r="AN332" s="1622" t="s">
        <v>1843</v>
      </c>
      <c r="AO332" s="1622" t="s">
        <v>1844</v>
      </c>
      <c r="AP332" s="1622" t="s">
        <v>1845</v>
      </c>
      <c r="AQ332" s="1622" t="s">
        <v>1842</v>
      </c>
      <c r="AR332" s="1622" t="s">
        <v>1843</v>
      </c>
      <c r="AS332" s="1622" t="s">
        <v>1844</v>
      </c>
      <c r="AT332" s="1622" t="s">
        <v>1845</v>
      </c>
      <c r="AU332" s="1622" t="s">
        <v>1842</v>
      </c>
      <c r="AV332" s="1622" t="s">
        <v>1843</v>
      </c>
      <c r="AW332" s="1622" t="s">
        <v>1844</v>
      </c>
      <c r="AX332" s="1622" t="s">
        <v>1845</v>
      </c>
      <c r="AY332" s="1622" t="s">
        <v>1842</v>
      </c>
      <c r="AZ332" s="1622" t="s">
        <v>1843</v>
      </c>
      <c r="BA332" s="1622" t="s">
        <v>1844</v>
      </c>
      <c r="BB332" s="1622" t="s">
        <v>1845</v>
      </c>
      <c r="BC332" s="1622" t="s">
        <v>1842</v>
      </c>
      <c r="BD332" s="1622" t="s">
        <v>1843</v>
      </c>
      <c r="BE332" s="1622" t="s">
        <v>1844</v>
      </c>
      <c r="BF332" s="1622" t="s">
        <v>1845</v>
      </c>
      <c r="BG332" s="1622" t="s">
        <v>1842</v>
      </c>
      <c r="BH332" s="1622" t="s">
        <v>1843</v>
      </c>
      <c r="BI332" s="1622" t="s">
        <v>1844</v>
      </c>
      <c r="BJ332" s="1622" t="s">
        <v>1845</v>
      </c>
      <c r="BK332" s="1622" t="s">
        <v>1842</v>
      </c>
      <c r="BL332" s="1622" t="s">
        <v>1843</v>
      </c>
      <c r="BM332" s="1622" t="s">
        <v>1844</v>
      </c>
      <c r="BN332" s="1622" t="s">
        <v>1845</v>
      </c>
      <c r="BO332" s="1622" t="s">
        <v>1842</v>
      </c>
      <c r="BP332" s="1622" t="s">
        <v>1843</v>
      </c>
      <c r="BQ332" s="1622" t="s">
        <v>1844</v>
      </c>
      <c r="BR332" s="1622" t="s">
        <v>1845</v>
      </c>
      <c r="BS332" s="1622" t="s">
        <v>1842</v>
      </c>
      <c r="BT332" s="1622" t="s">
        <v>1843</v>
      </c>
      <c r="BU332" s="1622" t="s">
        <v>1844</v>
      </c>
      <c r="BV332" s="1622" t="s">
        <v>1845</v>
      </c>
      <c r="BW332" s="1622" t="s">
        <v>1842</v>
      </c>
      <c r="BX332" s="1622" t="s">
        <v>1843</v>
      </c>
      <c r="BY332" s="1622" t="s">
        <v>1844</v>
      </c>
      <c r="BZ332" s="1622" t="s">
        <v>1845</v>
      </c>
      <c r="CA332" s="1622" t="s">
        <v>1842</v>
      </c>
      <c r="CB332" s="1622" t="s">
        <v>1843</v>
      </c>
      <c r="CC332" s="1622" t="s">
        <v>1844</v>
      </c>
      <c r="CD332" s="1622" t="s">
        <v>1845</v>
      </c>
      <c r="CE332" s="1622" t="s">
        <v>1842</v>
      </c>
      <c r="CF332" s="1622" t="s">
        <v>1843</v>
      </c>
      <c r="CG332" s="1622" t="s">
        <v>1844</v>
      </c>
      <c r="CH332" s="1622" t="s">
        <v>1845</v>
      </c>
      <c r="CI332" s="1622" t="s">
        <v>1842</v>
      </c>
      <c r="CJ332" s="1622" t="s">
        <v>1843</v>
      </c>
      <c r="CK332" s="1622" t="s">
        <v>1844</v>
      </c>
      <c r="CL332" s="1622" t="s">
        <v>1845</v>
      </c>
      <c r="CM332" s="1622" t="s">
        <v>1842</v>
      </c>
      <c r="CN332" s="1622" t="s">
        <v>1843</v>
      </c>
      <c r="CO332" s="1622" t="s">
        <v>1844</v>
      </c>
      <c r="CP332" s="1622" t="s">
        <v>1845</v>
      </c>
      <c r="CQ332" s="1622" t="s">
        <v>1842</v>
      </c>
      <c r="CR332" s="1622" t="s">
        <v>1843</v>
      </c>
      <c r="CS332" s="1622" t="s">
        <v>1844</v>
      </c>
      <c r="CT332" s="1622" t="s">
        <v>1845</v>
      </c>
      <c r="CU332" s="1622" t="s">
        <v>1842</v>
      </c>
      <c r="CV332" s="1622" t="s">
        <v>1843</v>
      </c>
      <c r="CW332" s="1622" t="s">
        <v>1844</v>
      </c>
      <c r="CX332" s="1622" t="s">
        <v>1845</v>
      </c>
      <c r="CY332" s="1622" t="s">
        <v>1842</v>
      </c>
      <c r="CZ332" s="1622" t="s">
        <v>1843</v>
      </c>
      <c r="DA332" s="1622" t="s">
        <v>1844</v>
      </c>
      <c r="DB332" s="1622" t="s">
        <v>1845</v>
      </c>
      <c r="DC332"/>
      <c r="DD332"/>
      <c r="DE332"/>
      <c r="DF332"/>
      <c r="DG332"/>
      <c r="DH332"/>
      <c r="DI332"/>
      <c r="DJ332"/>
      <c r="DK332"/>
      <c r="DL332"/>
      <c r="DM332"/>
      <c r="DN332"/>
      <c r="DO332"/>
    </row>
    <row r="333" spans="1:119" s="699" customFormat="1" ht="12.75" customHeight="1">
      <c r="A333" s="664"/>
      <c r="B333" s="664"/>
      <c r="C333" s="862"/>
      <c r="D333" s="863"/>
      <c r="E333" s="3627" t="str">
        <f>+E311</f>
        <v>Non-energy industrial goods</v>
      </c>
      <c r="F333" s="3628"/>
      <c r="G333" s="2888"/>
      <c r="H333" s="2888"/>
      <c r="I333" s="2888"/>
      <c r="J333" s="2888"/>
      <c r="K333" s="2889"/>
      <c r="L333" s="2889"/>
      <c r="M333" s="2889"/>
      <c r="N333" s="2889"/>
      <c r="O333" s="2889">
        <f t="shared" ref="O333:O338" ca="1" si="829">+R303*O311/R$308</f>
        <v>2.2418268107653714</v>
      </c>
      <c r="P333" s="2889">
        <f t="shared" ref="P333:P338" ca="1" si="830">+R303*P311/R$308</f>
        <v>1.7504059970866903</v>
      </c>
      <c r="Q333" s="2889">
        <f t="shared" ref="Q333:Q338" ca="1" si="831">+R303*Q311/R$308</f>
        <v>1.653030020138315</v>
      </c>
      <c r="R333" s="2889">
        <f t="shared" ref="R333:R338" ca="1" si="832">+R303*R311/R$308</f>
        <v>1.3992530264315073</v>
      </c>
      <c r="S333" s="2889">
        <f t="shared" ref="S333:S338" ca="1" si="833">+V303*S311/V$308</f>
        <v>1.1161914101058537</v>
      </c>
      <c r="T333" s="2889">
        <f t="shared" ref="T333:T338" ca="1" si="834">+V303*T311/V$308</f>
        <v>1.0307216276721252</v>
      </c>
      <c r="U333" s="2889">
        <f t="shared" ref="U333:U338" ca="1" si="835">+V303*U311/V$308</f>
        <v>1.0729713174377145</v>
      </c>
      <c r="V333" s="2889">
        <f t="shared" ref="V333:V338" ca="1" si="836">+V303*V311/V$308</f>
        <v>0.98958189998184676</v>
      </c>
      <c r="W333" s="2889">
        <f t="shared" ref="W333:W338" ca="1" si="837">+Z303*W311/Z$308</f>
        <v>1.152664937318209</v>
      </c>
      <c r="X333" s="2889">
        <f t="shared" ref="X333:X338" ca="1" si="838">+Z303*X311/Z$308</f>
        <v>0.90606317773567324</v>
      </c>
      <c r="Y333" s="2889">
        <f t="shared" ref="Y333:Y338" ca="1" si="839">+Z303*Y311/Z$308</f>
        <v>0.20407139961574178</v>
      </c>
      <c r="Z333" s="2889">
        <f t="shared" ref="Z333:Z338" ca="1" si="840">+Z303*Z311/Z$308</f>
        <v>-0.10625536035605812</v>
      </c>
      <c r="AA333" s="2889">
        <f t="shared" ref="AA333:AA338" ca="1" si="841">+AD303*AA311/AD$308</f>
        <v>-0.30069441319413193</v>
      </c>
      <c r="AB333" s="2889">
        <f t="shared" ref="AB333:AB338" ca="1" si="842">+AD303*AB311/AD$308</f>
        <v>-0.39715557640268084</v>
      </c>
      <c r="AC333" s="2889">
        <f t="shared" ref="AC333:AC338" ca="1" si="843">+AD303*AC311/AD$308</f>
        <v>-0.53410421354864113</v>
      </c>
      <c r="AD333" s="2889">
        <f t="shared" ref="AD333:AD338" ca="1" si="844">+AD303*AD311/AD$308</f>
        <v>-0.63339509723031417</v>
      </c>
      <c r="AE333" s="2889">
        <f t="shared" ref="AE333:AE338" ca="1" si="845">+AH303*AE311/AH$308</f>
        <v>-0.70817789673524556</v>
      </c>
      <c r="AF333" s="2889">
        <f t="shared" ref="AF333:AF338" ca="1" si="846">+AH303*AF311/AH$308</f>
        <v>-0.67683686699444967</v>
      </c>
      <c r="AG333" s="2889">
        <f t="shared" ref="AG333:AG338" ca="1" si="847">+AH303*AG311/AH$308</f>
        <v>-0.64162912817917517</v>
      </c>
      <c r="AH333" s="2889">
        <f t="shared" ref="AH333:AH338" ca="1" si="848">+AH303*AH311/AH$308</f>
        <v>-0.43237141949825125</v>
      </c>
      <c r="AI333" s="2889">
        <f t="shared" ref="AI333:AI338" ca="1" si="849">+AL303*AI311/AL$308</f>
        <v>-0.49140603121330884</v>
      </c>
      <c r="AJ333" s="2889">
        <f t="shared" ref="AJ333:AJ338" ca="1" si="850">+AL303*AJ311/AL$308</f>
        <v>-0.39535703210894735</v>
      </c>
      <c r="AK333" s="2889">
        <f t="shared" ref="AK333:AK338" ca="1" si="851">+AL303*AK311/AL$308</f>
        <v>-0.47318744820488662</v>
      </c>
      <c r="AL333" s="2889">
        <f t="shared" ref="AL333:AL338" ca="1" si="852">+AL303*AL311/AL$308</f>
        <v>-0.35201188142133771</v>
      </c>
      <c r="AM333" s="2889">
        <f t="shared" ref="AM333:AM338" ca="1" si="853">+AP303*AM311/AP$308</f>
        <v>-0.37482520551535048</v>
      </c>
      <c r="AN333" s="2889">
        <f t="shared" ref="AN333:AN338" ca="1" si="854">+AP303*AN311/AP$308</f>
        <v>-0.35275952271684496</v>
      </c>
      <c r="AO333" s="2889">
        <f t="shared" ref="AO333:AO338" ca="1" si="855">+AP303*AO311/AP$308</f>
        <v>-0.39333262578355443</v>
      </c>
      <c r="AP333" s="2889">
        <f t="shared" ref="AP333:AP338" ca="1" si="856">+AP303*AP311/AP$308</f>
        <v>-0.36846507352941199</v>
      </c>
      <c r="AQ333" s="2889">
        <f t="shared" ref="AQ333:AQ338" ca="1" si="857">+AT303*AQ311/AT$308</f>
        <v>-0.40697267004601473</v>
      </c>
      <c r="AR333" s="2889">
        <f t="shared" ref="AR333:AR338" ca="1" si="858">+AT303*AR311/AT$308</f>
        <v>-7.5236142349777352E-2</v>
      </c>
      <c r="AS333" s="2889">
        <f t="shared" ref="AS333:AS338" ca="1" si="859">+AT303*AS311/AT$308</f>
        <v>7.0185229072926791E-2</v>
      </c>
      <c r="AT333" s="2889">
        <f t="shared" ref="AT333:AT338" ca="1" si="860">+AT303*AT311/AT$308</f>
        <v>0.20732003080595979</v>
      </c>
      <c r="AU333" s="2889">
        <f t="shared" ref="AU333:AU338" ca="1" si="861">+AX303*AU311/AX$308</f>
        <v>-9.9001443404520897E-2</v>
      </c>
      <c r="AV333" s="2889">
        <f t="shared" ref="AV333:AV338" ca="1" si="862">+AX303*AV311/AX$308</f>
        <v>-0.25695883415452725</v>
      </c>
      <c r="AW333" s="2889">
        <f t="shared" ref="AW333:AW338" ca="1" si="863">+AX303*AW311/AX$308</f>
        <v>-0.20606927662989921</v>
      </c>
      <c r="AX333" s="2889">
        <f t="shared" ref="AX333:AX338" ca="1" si="864">+AX303*AX311/AX$308</f>
        <v>-0.14347803357911576</v>
      </c>
      <c r="AY333" s="2889">
        <f t="shared" ref="AY333:AY338" ca="1" si="865">+BB303*AY311/BB$308</f>
        <v>6.362541530622802E-2</v>
      </c>
      <c r="AZ333" s="2889">
        <f t="shared" ref="AZ333:AZ338" ca="1" si="866">+BB303*AZ311/BB$308</f>
        <v>-2.7464784456997262E-2</v>
      </c>
      <c r="BA333" s="2889">
        <f t="shared" ref="BA333:BA338" ca="1" si="867">+BB303*BA311/BB$308</f>
        <v>-6.2618344006265397E-2</v>
      </c>
      <c r="BB333" s="2889">
        <f t="shared" ref="BB333:BB338" ca="1" si="868">+BB303*BB311/BB$308</f>
        <v>-0.1165559041743888</v>
      </c>
      <c r="BC333" s="2889">
        <f t="shared" ref="BC333:BC338" ca="1" si="869">+BF303*BC311/BF$308</f>
        <v>-0.16223002470473064</v>
      </c>
      <c r="BD333" s="2889">
        <f t="shared" ref="BD333:BD338" ca="1" si="870">+BF303*BD311/BF$308</f>
        <v>-0.11709216869501263</v>
      </c>
      <c r="BE333" s="2889">
        <f t="shared" ref="BE333:BE338" ca="1" si="871">+BF303*BE311/BF$308</f>
        <v>-2.7289827515959337E-2</v>
      </c>
      <c r="BF333" s="2889">
        <f t="shared" ref="BF333:BF338" ca="1" si="872">+BF303*BF311/BF$308</f>
        <v>5.7492405781622999E-2</v>
      </c>
      <c r="BG333" s="2889">
        <f t="shared" ref="BG333:BG338" ca="1" si="873">+BJ303*BG311/BJ$308</f>
        <v>0.38310846776938434</v>
      </c>
      <c r="BH333" s="2889">
        <f t="shared" ref="BH333:BH338" ca="1" si="874">+BJ303*BH311/BJ$308</f>
        <v>0.6357089228894488</v>
      </c>
      <c r="BI333" s="2889">
        <f t="shared" ref="BI333:BI338" ca="1" si="875">+BJ303*BI311/BJ$308</f>
        <v>0.62252314437193834</v>
      </c>
      <c r="BJ333" s="2895">
        <f t="shared" ref="BJ333:BJ338" ca="1" si="876">+BJ303*BJ311/BJ$308</f>
        <v>0.46176576606588965</v>
      </c>
      <c r="BK333" s="2895">
        <f t="shared" ref="BK333:BK338" ca="1" si="877">+BN303*BK311/BN$308</f>
        <v>0.84497867051829112</v>
      </c>
      <c r="BL333" s="2895">
        <f t="shared" ref="BL333:BL338" ca="1" si="878">+BN303*BL311/BN$308</f>
        <v>1.2595243615648823E-2</v>
      </c>
      <c r="BM333" s="2895">
        <f t="shared" ref="BM333:BM338" ca="1" si="879">+BN303*BM311/BN$308</f>
        <v>-0.22285920085171887</v>
      </c>
      <c r="BN333" s="2895">
        <f t="shared" ref="BN333:BN338" ca="1" si="880">+BN303*BN311/BN$308</f>
        <v>-0.34242546563483717</v>
      </c>
      <c r="BO333" s="2895">
        <f t="shared" ref="BO333:BO338" ca="1" si="881">+BR303*BO311/BR$308</f>
        <v>-0.96465800934983381</v>
      </c>
      <c r="BP333" s="2895">
        <f t="shared" ref="BP333:BP338" ca="1" si="882">+BR303*BP311/BR$308</f>
        <v>-0.68957476755273561</v>
      </c>
      <c r="BQ333" s="2895">
        <f t="shared" ref="BQ333:BQ338" ca="1" si="883">+BR303*BQ311/BR$308</f>
        <v>-0.71436050286478203</v>
      </c>
      <c r="BR333" s="2895">
        <f t="shared" ref="BR333:BR338" ca="1" si="884">+BR303*BR311/BR$308</f>
        <v>-0.69283164048336154</v>
      </c>
      <c r="BS333" s="2895">
        <f t="shared" ref="BS333:BS338" ca="1" si="885">+BV303*BS311/BV$308</f>
        <v>-0.56750819545965803</v>
      </c>
      <c r="BT333" s="2895">
        <f t="shared" ref="BT333:BT338" ca="1" si="886">+BV303*BT311/BV$308</f>
        <v>-2.5727574692443089E-3</v>
      </c>
      <c r="BU333" s="2895">
        <f t="shared" ref="BU333:BU338" ca="1" si="887">+BV303*BU311/BV$308</f>
        <v>-4.8676629221169887E-2</v>
      </c>
      <c r="BV333" s="2895">
        <f t="shared" ref="BV333:BV338" ca="1" si="888">+BV303*BV311/BV$308</f>
        <v>-3.6960353928281682E-2</v>
      </c>
      <c r="BW333" s="2895">
        <f t="shared" ref="BW333:BW338" ca="1" si="889">+BZ303*BW311/BZ$308</f>
        <v>0.10457437887660803</v>
      </c>
      <c r="BX333" s="2895">
        <f t="shared" ref="BX333:BX338" ca="1" si="890">+BZ303*BX311/BZ$308</f>
        <v>0.10175302515296201</v>
      </c>
      <c r="BY333" s="2895">
        <f t="shared" ref="BY333:BY338" ca="1" si="891">+BZ303*BY311/BZ$308</f>
        <v>0.36709025644565596</v>
      </c>
      <c r="BZ333" s="2895">
        <f t="shared" ref="BZ333:BZ338" ca="1" si="892">+BZ303*BZ311/BZ$308</f>
        <v>0.51560392999693383</v>
      </c>
      <c r="CA333" s="2895">
        <f t="shared" ref="CA333:CA338" ca="1" si="893">+CD303*CA311/CD$308</f>
        <v>0.39801277838883159</v>
      </c>
      <c r="CB333" s="2895">
        <f t="shared" ref="CB333:CB338" ca="1" si="894">+CD303*CB311/CD$308</f>
        <v>0.29992490968473073</v>
      </c>
      <c r="CC333" s="2895">
        <f t="shared" ref="CC333:CC338" ca="1" si="895">+CD303*CC311/CD$308</f>
        <v>0.10150985562898347</v>
      </c>
      <c r="CD333" s="2895">
        <f t="shared" ref="CD333:CD338" ca="1" si="896">+CD303*CD311/CD$308</f>
        <v>0.11808376251731553</v>
      </c>
      <c r="CE333" s="2895">
        <f t="shared" ref="CE333:CE338" si="897">+CH303*CE311/CH$308</f>
        <v>0.11743534921605235</v>
      </c>
      <c r="CF333" s="2895">
        <f t="shared" ref="CF333:CF338" si="898">+CH303*CF311/CH$308</f>
        <v>2.4141204787056378E-2</v>
      </c>
      <c r="CG333" s="2895">
        <f t="shared" ref="CG333:CG338" si="899">+CH303*CG311/CH$308</f>
        <v>1.3244286439817997E-2</v>
      </c>
      <c r="CH333" s="2895">
        <f t="shared" ref="CH333:CH338" si="900">+CH303*CH311/CH$308</f>
        <v>-6.1016222325636769E-2</v>
      </c>
      <c r="CI333" s="2895">
        <f t="shared" ref="CI333:CI338" si="901">+CL303*CI311/CL$308</f>
        <v>1.1958655893977066E-2</v>
      </c>
      <c r="CJ333" s="2895">
        <f t="shared" ref="CJ333:CJ338" si="902">+CL303*CJ311/CL$308</f>
        <v>0.17079567773398344</v>
      </c>
      <c r="CK333" s="2895">
        <f t="shared" ref="CK333:CK338" si="903">+CL303*CK311/CL$308</f>
        <v>0.2884166441045003</v>
      </c>
      <c r="CL333" s="2895">
        <f t="shared" ref="CL333:CL338" si="904">+CL303*CL311/CL$308</f>
        <v>0.51097042070550858</v>
      </c>
      <c r="CM333" s="2895">
        <f t="shared" ref="CM333:CM338" si="905">+CP303*CM311/CP$308</f>
        <v>0.48170711678832917</v>
      </c>
      <c r="CN333" s="2895">
        <f t="shared" ref="CN333:CN338" si="906">+CP303*CN311/CP$308</f>
        <v>0.36613526265077145</v>
      </c>
      <c r="CO333" s="2895">
        <f t="shared" ref="CO333:CO338" si="907">+CP303*CO311/CP$308</f>
        <v>4.7474524536271122E-2</v>
      </c>
      <c r="CP333" s="2895">
        <f t="shared" ref="CP333:CP338" si="908">+CP303*CP311/CP$308</f>
        <v>3.5358646468617021E-2</v>
      </c>
      <c r="CQ333" s="2895">
        <f t="shared" ref="CQ333:CQ338" si="909">+CT303*CQ311/CT$308</f>
        <v>9.8421889055476483E-2</v>
      </c>
      <c r="CR333" s="2895">
        <f t="shared" ref="CR333:CR338" si="910">+CT303*CR311/CT$308</f>
        <v>0.24541447541414732</v>
      </c>
      <c r="CS333" s="2895">
        <f t="shared" ref="CS333:CS338" si="911">+CT303*CS311/CT$308</f>
        <v>0.30989633227265573</v>
      </c>
      <c r="CT333" s="2895">
        <f t="shared" ref="CT333:CT338" si="912">+CT303*CT311/CT$308</f>
        <v>0.27965178512938355</v>
      </c>
      <c r="CU333" s="2895">
        <f t="shared" ref="CU333:CU338" si="913">+CX303*CU311/CX$308</f>
        <v>0.16237321602035895</v>
      </c>
      <c r="CV333" s="2895">
        <f t="shared" ref="CV333:CV338" si="914">+CX303*CV311/CX$308</f>
        <v>8.4543791186346459E-2</v>
      </c>
      <c r="CW333" s="2895">
        <f t="shared" ref="CW333:CW338" si="915">+CX303*CW311/CX$308</f>
        <v>0.38900146055135254</v>
      </c>
      <c r="CX333" s="2895">
        <f t="shared" ref="CX333:CX338" si="916">+CX303*CX311/CX$308</f>
        <v>0.3776858533564153</v>
      </c>
      <c r="CY333" s="2895">
        <f t="shared" ref="CY333:CY338" si="917">+DB303*CY311/DB$308</f>
        <v>0.55896247356586293</v>
      </c>
      <c r="CZ333" s="2895">
        <f t="shared" ref="CZ333:CZ338" si="918">+DB303*CZ311/DB$308</f>
        <v>0.40856730432284527</v>
      </c>
      <c r="DA333" s="2895">
        <f t="shared" ref="DA333:DA338" si="919">+DB303*DA311/DB$308</f>
        <v>0.26025252764769913</v>
      </c>
      <c r="DB333" s="2895">
        <f t="shared" ref="DB333:DB338" si="920">+DB303*DB311/DB$308</f>
        <v>0.11457449010578011</v>
      </c>
      <c r="DC333"/>
      <c r="DD333"/>
      <c r="DE333"/>
      <c r="DF333"/>
      <c r="DG333"/>
      <c r="DH333"/>
      <c r="DI333"/>
      <c r="DJ333"/>
      <c r="DK333"/>
      <c r="DL333"/>
      <c r="DM333"/>
      <c r="DN333"/>
      <c r="DO333"/>
    </row>
    <row r="334" spans="1:119" s="699" customFormat="1" ht="12.75" customHeight="1">
      <c r="A334" s="664"/>
      <c r="B334" s="664"/>
      <c r="C334" s="944"/>
      <c r="D334" s="674"/>
      <c r="E334" s="3629" t="str">
        <f>+E312</f>
        <v>Energy</v>
      </c>
      <c r="F334" s="3630"/>
      <c r="G334" s="2884"/>
      <c r="H334" s="2884"/>
      <c r="I334" s="2884"/>
      <c r="J334" s="2884"/>
      <c r="K334" s="2881"/>
      <c r="L334" s="2881"/>
      <c r="M334" s="2881"/>
      <c r="N334" s="2881"/>
      <c r="O334" s="2881">
        <f t="shared" ca="1" si="829"/>
        <v>2.1172952489433774</v>
      </c>
      <c r="P334" s="2881">
        <f t="shared" ca="1" si="830"/>
        <v>2.1358892218380925</v>
      </c>
      <c r="Q334" s="2881">
        <f t="shared" ca="1" si="831"/>
        <v>3.607297117790158</v>
      </c>
      <c r="R334" s="2881">
        <f t="shared" ca="1" si="832"/>
        <v>3.3206143669645587</v>
      </c>
      <c r="S334" s="2881">
        <f t="shared" ca="1" si="833"/>
        <v>3.3379788437272726</v>
      </c>
      <c r="T334" s="2881">
        <f t="shared" ca="1" si="834"/>
        <v>3.2199788165927168</v>
      </c>
      <c r="U334" s="2881">
        <f t="shared" ca="1" si="835"/>
        <v>1.7640500981237177</v>
      </c>
      <c r="V334" s="2881">
        <f t="shared" ca="1" si="836"/>
        <v>1.5402970204554303</v>
      </c>
      <c r="W334" s="2881">
        <f t="shared" ca="1" si="837"/>
        <v>1.3065576504331533</v>
      </c>
      <c r="X334" s="2881">
        <f t="shared" ca="1" si="838"/>
        <v>1.3284987834264863</v>
      </c>
      <c r="Y334" s="2881">
        <f t="shared" ca="1" si="839"/>
        <v>1.0953854515759083</v>
      </c>
      <c r="Z334" s="2881">
        <f t="shared" ca="1" si="840"/>
        <v>0.99349536118244586</v>
      </c>
      <c r="AA334" s="2881">
        <f t="shared" ca="1" si="841"/>
        <v>2.5869818856268192</v>
      </c>
      <c r="AB334" s="2881">
        <f t="shared" ca="1" si="842"/>
        <v>2.8405712732263471</v>
      </c>
      <c r="AC334" s="2881">
        <f t="shared" ca="1" si="843"/>
        <v>2.5075105126896893</v>
      </c>
      <c r="AD334" s="2881">
        <f t="shared" ca="1" si="844"/>
        <v>2.4746751143472041</v>
      </c>
      <c r="AE334" s="2881">
        <f t="shared" ca="1" si="845"/>
        <v>0.20430073074760963</v>
      </c>
      <c r="AF334" s="2881">
        <f t="shared" ca="1" si="846"/>
        <v>0.16632712392353088</v>
      </c>
      <c r="AG334" s="2881">
        <f t="shared" ca="1" si="847"/>
        <v>0.18248830962700976</v>
      </c>
      <c r="AH334" s="2881">
        <f t="shared" ca="1" si="848"/>
        <v>-0.55287085244534784</v>
      </c>
      <c r="AI334" s="2881">
        <f t="shared" ca="1" si="849"/>
        <v>0.18199004199847271</v>
      </c>
      <c r="AJ334" s="2881">
        <f t="shared" ca="1" si="850"/>
        <v>0.18625232252542248</v>
      </c>
      <c r="AK334" s="2881">
        <f t="shared" ca="1" si="851"/>
        <v>3.766508316089897E-2</v>
      </c>
      <c r="AL334" s="2881">
        <f t="shared" ca="1" si="852"/>
        <v>0.47698522644266156</v>
      </c>
      <c r="AM334" s="2881">
        <f t="shared" ca="1" si="853"/>
        <v>0.54131744391074377</v>
      </c>
      <c r="AN334" s="2881">
        <f t="shared" ca="1" si="854"/>
        <v>9.0417361773114907E-2</v>
      </c>
      <c r="AO334" s="2881">
        <f t="shared" ca="1" si="855"/>
        <v>0.1139195547533095</v>
      </c>
      <c r="AP334" s="2881">
        <f t="shared" ca="1" si="856"/>
        <v>-0.11622319513938663</v>
      </c>
      <c r="AQ334" s="2881">
        <f t="shared" ca="1" si="857"/>
        <v>-0.14933584253500426</v>
      </c>
      <c r="AR334" s="2881">
        <f t="shared" ca="1" si="858"/>
        <v>0.40315614240280229</v>
      </c>
      <c r="AS334" s="2881">
        <f t="shared" ca="1" si="859"/>
        <v>0.54446368593588856</v>
      </c>
      <c r="AT334" s="2881">
        <f t="shared" ca="1" si="860"/>
        <v>0.73412563825992772</v>
      </c>
      <c r="AU334" s="2881">
        <f t="shared" ca="1" si="861"/>
        <v>0.75343340168493989</v>
      </c>
      <c r="AV334" s="2881">
        <f t="shared" ca="1" si="862"/>
        <v>0.64684932618966839</v>
      </c>
      <c r="AW334" s="2881">
        <f t="shared" ca="1" si="863"/>
        <v>1.1496898129950099</v>
      </c>
      <c r="AX334" s="2881">
        <f t="shared" ca="1" si="864"/>
        <v>1.2212699731424901</v>
      </c>
      <c r="AY334" s="2881">
        <f t="shared" ca="1" si="865"/>
        <v>1.2736528658911008</v>
      </c>
      <c r="AZ334" s="2881">
        <f t="shared" ca="1" si="866"/>
        <v>1.1890456816453905</v>
      </c>
      <c r="BA334" s="2881">
        <f t="shared" ca="1" si="867"/>
        <v>0.75810980813991924</v>
      </c>
      <c r="BB334" s="2881">
        <f t="shared" ca="1" si="868"/>
        <v>0.79973299072371851</v>
      </c>
      <c r="BC334" s="2881">
        <f t="shared" ca="1" si="869"/>
        <v>0.61509698176804206</v>
      </c>
      <c r="BD334" s="2881">
        <f t="shared" ca="1" si="870"/>
        <v>0.78742894498642046</v>
      </c>
      <c r="BE334" s="2881">
        <f t="shared" ca="1" si="871"/>
        <v>0.91237567405632103</v>
      </c>
      <c r="BF334" s="2881">
        <f t="shared" ca="1" si="872"/>
        <v>1.3151711419297742</v>
      </c>
      <c r="BG334" s="2881">
        <f t="shared" ca="1" si="873"/>
        <v>2.4388456356180432</v>
      </c>
      <c r="BH334" s="2881">
        <f t="shared" ca="1" si="874"/>
        <v>2.5312995251661938</v>
      </c>
      <c r="BI334" s="2881">
        <f t="shared" ca="1" si="875"/>
        <v>2.737825871576784</v>
      </c>
      <c r="BJ334" s="1519">
        <f t="shared" ca="1" si="876"/>
        <v>1.8920009848247448</v>
      </c>
      <c r="BK334" s="1519">
        <f t="shared" ca="1" si="877"/>
        <v>1.6481799793601668</v>
      </c>
      <c r="BL334" s="1519">
        <f t="shared" ca="1" si="878"/>
        <v>1.323555803927829</v>
      </c>
      <c r="BM334" s="1519">
        <f t="shared" ca="1" si="879"/>
        <v>0.77350304440566231</v>
      </c>
      <c r="BN334" s="1519">
        <f t="shared" ca="1" si="880"/>
        <v>0.388800815558344</v>
      </c>
      <c r="BO334" s="1519">
        <f t="shared" ca="1" si="881"/>
        <v>0.73717902447174821</v>
      </c>
      <c r="BP334" s="1519">
        <f t="shared" ca="1" si="882"/>
        <v>1.0625805792303495</v>
      </c>
      <c r="BQ334" s="1519">
        <f t="shared" ca="1" si="883"/>
        <v>1.5150100361319225</v>
      </c>
      <c r="BR334" s="1519">
        <f t="shared" ca="1" si="884"/>
        <v>2.3975472688744794</v>
      </c>
      <c r="BS334" s="1519">
        <f t="shared" ca="1" si="885"/>
        <v>1.8440722386809267</v>
      </c>
      <c r="BT334" s="1519">
        <f t="shared" ca="1" si="886"/>
        <v>1.7310785126398656</v>
      </c>
      <c r="BU334" s="1519">
        <f t="shared" ca="1" si="887"/>
        <v>1.9386616784719721</v>
      </c>
      <c r="BV334" s="1519">
        <f t="shared" ca="1" si="888"/>
        <v>1.8754270124978689</v>
      </c>
      <c r="BW334" s="1519">
        <f t="shared" ca="1" si="889"/>
        <v>1.5428109995365338</v>
      </c>
      <c r="BX334" s="1519">
        <f t="shared" ca="1" si="890"/>
        <v>1.2926910458991725</v>
      </c>
      <c r="BY334" s="1519">
        <f t="shared" ca="1" si="891"/>
        <v>1.0454048098531958</v>
      </c>
      <c r="BZ334" s="1519">
        <f t="shared" ca="1" si="892"/>
        <v>0.5224822915766123</v>
      </c>
      <c r="CA334" s="1519">
        <f t="shared" ca="1" si="893"/>
        <v>0.27817142987447863</v>
      </c>
      <c r="CB334" s="1519">
        <f t="shared" ca="1" si="894"/>
        <v>-0.18883927157028624</v>
      </c>
      <c r="CC334" s="1519">
        <f t="shared" ca="1" si="895"/>
        <v>-0.56315098927986595</v>
      </c>
      <c r="CD334" s="1519">
        <f t="shared" ca="1" si="896"/>
        <v>-0.35268596325474993</v>
      </c>
      <c r="CE334" s="1519">
        <f t="shared" si="897"/>
        <v>-0.35789821091232582</v>
      </c>
      <c r="CF334" s="1519">
        <f t="shared" si="898"/>
        <v>-0.43022797167282678</v>
      </c>
      <c r="CG334" s="1519">
        <f t="shared" si="899"/>
        <v>-0.6541164097760368</v>
      </c>
      <c r="CH334" s="1519">
        <f t="shared" si="900"/>
        <v>-0.82196200473514702</v>
      </c>
      <c r="CI334" s="1519">
        <f t="shared" si="901"/>
        <v>-1.9301544511569559</v>
      </c>
      <c r="CJ334" s="1519">
        <f t="shared" si="902"/>
        <v>-1.2994409565647471</v>
      </c>
      <c r="CK334" s="1519">
        <f t="shared" si="903"/>
        <v>-1.4296183803403539</v>
      </c>
      <c r="CL334" s="1519">
        <f t="shared" si="904"/>
        <v>-1.7769612834872095</v>
      </c>
      <c r="CM334" s="1519">
        <f t="shared" si="905"/>
        <v>-0.94680971041445239</v>
      </c>
      <c r="CN334" s="1519">
        <f t="shared" si="906"/>
        <v>-1.2085872173437555</v>
      </c>
      <c r="CO334" s="1519">
        <f t="shared" si="907"/>
        <v>-1.0426724957611626</v>
      </c>
      <c r="CP334" s="1519">
        <f t="shared" si="908"/>
        <v>-0.14486778787562263</v>
      </c>
      <c r="CQ334" s="1519">
        <f t="shared" si="909"/>
        <v>0.71741620626150981</v>
      </c>
      <c r="CR334" s="1519">
        <f t="shared" si="910"/>
        <v>0.47945044980466955</v>
      </c>
      <c r="CS334" s="1519">
        <f t="shared" si="911"/>
        <v>0.59661021956379012</v>
      </c>
      <c r="CT334" s="1519">
        <f t="shared" si="912"/>
        <v>0.46142180779806985</v>
      </c>
      <c r="CU334" s="1519">
        <f t="shared" si="913"/>
        <v>0.53783939661282476</v>
      </c>
      <c r="CV334" s="1519">
        <f t="shared" si="914"/>
        <v>0.70379340283456648</v>
      </c>
      <c r="CW334" s="1519">
        <f t="shared" si="915"/>
        <v>0.84620215989902769</v>
      </c>
      <c r="CX334" s="1519">
        <f t="shared" si="916"/>
        <v>0.5886899348776008</v>
      </c>
      <c r="CY334" s="1519">
        <f t="shared" si="917"/>
        <v>0.1298693429936284</v>
      </c>
      <c r="CZ334" s="1519">
        <f t="shared" si="918"/>
        <v>0.14502390413891844</v>
      </c>
      <c r="DA334" s="1519">
        <f t="shared" si="919"/>
        <v>0.14502390413891844</v>
      </c>
      <c r="DB334" s="1519">
        <f t="shared" si="920"/>
        <v>0.14502390413891844</v>
      </c>
      <c r="DC334"/>
      <c r="DD334"/>
      <c r="DE334"/>
      <c r="DF334"/>
      <c r="DG334"/>
      <c r="DH334"/>
      <c r="DI334"/>
      <c r="DJ334"/>
      <c r="DK334"/>
      <c r="DL334"/>
      <c r="DM334"/>
      <c r="DN334"/>
      <c r="DO334"/>
    </row>
    <row r="335" spans="1:119" s="699" customFormat="1" ht="12.75" customHeight="1">
      <c r="A335" s="664"/>
      <c r="B335" s="664"/>
      <c r="C335" s="944"/>
      <c r="D335" s="674"/>
      <c r="E335" s="3629" t="str">
        <f>+E313</f>
        <v>Unprocessed food</v>
      </c>
      <c r="F335" s="3630"/>
      <c r="G335" s="2884"/>
      <c r="H335" s="2884"/>
      <c r="I335" s="2884"/>
      <c r="J335" s="2884"/>
      <c r="K335" s="2881"/>
      <c r="L335" s="2881"/>
      <c r="M335" s="2881"/>
      <c r="N335" s="2881"/>
      <c r="O335" s="2881">
        <f t="shared" ca="1" si="829"/>
        <v>2.8591136171475955</v>
      </c>
      <c r="P335" s="2881">
        <f t="shared" ca="1" si="830"/>
        <v>0.64497653292310297</v>
      </c>
      <c r="Q335" s="2881">
        <f t="shared" ca="1" si="831"/>
        <v>0.22094127606859371</v>
      </c>
      <c r="R335" s="2881">
        <f t="shared" ca="1" si="832"/>
        <v>0.23761912660650414</v>
      </c>
      <c r="S335" s="2881">
        <f t="shared" ca="1" si="833"/>
        <v>-3.7327122020684576E-2</v>
      </c>
      <c r="T335" s="2881">
        <f t="shared" ca="1" si="834"/>
        <v>0.41297760126698091</v>
      </c>
      <c r="U335" s="2881">
        <f t="shared" ca="1" si="835"/>
        <v>0.25639994358800333</v>
      </c>
      <c r="V335" s="2881">
        <f t="shared" ca="1" si="836"/>
        <v>2.6677421623352536E-2</v>
      </c>
      <c r="W335" s="2881">
        <f t="shared" ca="1" si="837"/>
        <v>-0.68094827638249222</v>
      </c>
      <c r="X335" s="2881">
        <f t="shared" ca="1" si="838"/>
        <v>-1.3844826992190233</v>
      </c>
      <c r="Y335" s="2881">
        <f t="shared" ca="1" si="839"/>
        <v>-1.1323484508593757</v>
      </c>
      <c r="Z335" s="2881">
        <f t="shared" ca="1" si="840"/>
        <v>-0.71469348875229433</v>
      </c>
      <c r="AA335" s="2881">
        <f t="shared" ca="1" si="841"/>
        <v>-0.84557065501926321</v>
      </c>
      <c r="AB335" s="2881">
        <f t="shared" ca="1" si="842"/>
        <v>-0.68056763997535907</v>
      </c>
      <c r="AC335" s="2881">
        <f t="shared" ca="1" si="843"/>
        <v>-0.28153082621887449</v>
      </c>
      <c r="AD335" s="2881">
        <f t="shared" ca="1" si="844"/>
        <v>-0.43951793368830283</v>
      </c>
      <c r="AE335" s="2881">
        <f t="shared" ca="1" si="845"/>
        <v>0.40984860557769093</v>
      </c>
      <c r="AF335" s="2881">
        <f t="shared" ca="1" si="846"/>
        <v>1.8171067206137357</v>
      </c>
      <c r="AG335" s="2881">
        <f t="shared" ca="1" si="847"/>
        <v>1.8786096376540873</v>
      </c>
      <c r="AH335" s="2881">
        <f t="shared" ca="1" si="848"/>
        <v>1.7908006334125122</v>
      </c>
      <c r="AI335" s="2881">
        <f t="shared" ca="1" si="849"/>
        <v>1.5277784731617121</v>
      </c>
      <c r="AJ335" s="2881">
        <f t="shared" ca="1" si="850"/>
        <v>-0.25928084457331718</v>
      </c>
      <c r="AK335" s="2881">
        <f t="shared" ca="1" si="851"/>
        <v>-0.9897906765307618</v>
      </c>
      <c r="AL335" s="2881">
        <f t="shared" ca="1" si="852"/>
        <v>-1.5134253929132586</v>
      </c>
      <c r="AM335" s="2881">
        <f t="shared" ca="1" si="853"/>
        <v>-2.1861720736016159</v>
      </c>
      <c r="AN335" s="2881">
        <f t="shared" ca="1" si="854"/>
        <v>-1.5682436372383948</v>
      </c>
      <c r="AO335" s="2881">
        <f t="shared" ca="1" si="855"/>
        <v>-1.466060196560196</v>
      </c>
      <c r="AP335" s="2881">
        <f t="shared" ca="1" si="856"/>
        <v>-0.97173910747293457</v>
      </c>
      <c r="AQ335" s="2881">
        <f t="shared" ca="1" si="857"/>
        <v>-0.40890797230748288</v>
      </c>
      <c r="AR335" s="2881">
        <f t="shared" ca="1" si="858"/>
        <v>-0.1288327268930777</v>
      </c>
      <c r="AS335" s="2881">
        <f t="shared" ca="1" si="859"/>
        <v>0.96506239141588956</v>
      </c>
      <c r="AT335" s="2881">
        <f t="shared" ca="1" si="860"/>
        <v>0.83311158268456553</v>
      </c>
      <c r="AU335" s="2881">
        <f t="shared" ca="1" si="861"/>
        <v>1.1682284567943211</v>
      </c>
      <c r="AV335" s="2881">
        <f t="shared" ca="1" si="862"/>
        <v>1.0384754179195603</v>
      </c>
      <c r="AW335" s="2881">
        <f t="shared" ca="1" si="863"/>
        <v>0.30011687921781233</v>
      </c>
      <c r="AX335" s="2881">
        <f t="shared" ca="1" si="864"/>
        <v>0.6020009733705769</v>
      </c>
      <c r="AY335" s="2881">
        <f t="shared" ca="1" si="865"/>
        <v>0.81223482460452645</v>
      </c>
      <c r="AZ335" s="2881">
        <f t="shared" ca="1" si="866"/>
        <v>0.93191175492639011</v>
      </c>
      <c r="BA335" s="2881">
        <f t="shared" ca="1" si="867"/>
        <v>1.2169993961204504</v>
      </c>
      <c r="BB335" s="2881">
        <f t="shared" ca="1" si="868"/>
        <v>0.93474361407689877</v>
      </c>
      <c r="BC335" s="2881">
        <f t="shared" ca="1" si="869"/>
        <v>0.81382182844903317</v>
      </c>
      <c r="BD335" s="2881">
        <f t="shared" ca="1" si="870"/>
        <v>0.85371428571428587</v>
      </c>
      <c r="BE335" s="2881">
        <f t="shared" ca="1" si="871"/>
        <v>0.91088267310332038</v>
      </c>
      <c r="BF335" s="2881">
        <f t="shared" ca="1" si="872"/>
        <v>1.3353631559078885</v>
      </c>
      <c r="BG335" s="2881">
        <f t="shared" ca="1" si="873"/>
        <v>1.5297888571039346</v>
      </c>
      <c r="BH335" s="2881">
        <f t="shared" ca="1" si="874"/>
        <v>1.7042480688202253</v>
      </c>
      <c r="BI335" s="2881">
        <f t="shared" ca="1" si="875"/>
        <v>1.7922794079004984</v>
      </c>
      <c r="BJ335" s="1519">
        <f t="shared" ca="1" si="876"/>
        <v>1.6444977425207818</v>
      </c>
      <c r="BK335" s="1519">
        <f t="shared" ca="1" si="877"/>
        <v>1.4603756280405118</v>
      </c>
      <c r="BL335" s="1519">
        <f t="shared" ca="1" si="878"/>
        <v>0.63232370271811</v>
      </c>
      <c r="BM335" s="1519">
        <f t="shared" ca="1" si="879"/>
        <v>-1.9186287436430995E-2</v>
      </c>
      <c r="BN335" s="1519">
        <f t="shared" ca="1" si="880"/>
        <v>-0.54829618477582109</v>
      </c>
      <c r="BO335" s="1519">
        <f t="shared" ca="1" si="881"/>
        <v>-0.84327834992817674</v>
      </c>
      <c r="BP335" s="1519">
        <f t="shared" ca="1" si="882"/>
        <v>-0.45154986190478685</v>
      </c>
      <c r="BQ335" s="1519">
        <f t="shared" ca="1" si="883"/>
        <v>-3.9426981945756841E-2</v>
      </c>
      <c r="BR335" s="1519">
        <f t="shared" ca="1" si="884"/>
        <v>0.34540194301453248</v>
      </c>
      <c r="BS335" s="1519">
        <f t="shared" ca="1" si="885"/>
        <v>0.63659481974696586</v>
      </c>
      <c r="BT335" s="1519">
        <f t="shared" ca="1" si="886"/>
        <v>0.8920655566145993</v>
      </c>
      <c r="BU335" s="1519">
        <f t="shared" ca="1" si="887"/>
        <v>0.4559855950154969</v>
      </c>
      <c r="BV335" s="1519">
        <f t="shared" ca="1" si="888"/>
        <v>0.31815935768518866</v>
      </c>
      <c r="BW335" s="1519">
        <f t="shared" ca="1" si="889"/>
        <v>0.32915044023333923</v>
      </c>
      <c r="BX335" s="1519">
        <f t="shared" ca="1" si="890"/>
        <v>7.9767160020897829E-2</v>
      </c>
      <c r="BY335" s="1519">
        <f t="shared" ca="1" si="891"/>
        <v>0.47454455409489776</v>
      </c>
      <c r="BZ335" s="1519">
        <f t="shared" ca="1" si="892"/>
        <v>0.61716014558689825</v>
      </c>
      <c r="CA335" s="1519">
        <f t="shared" ca="1" si="893"/>
        <v>0.54640108619554684</v>
      </c>
      <c r="CB335" s="1519">
        <f t="shared" ca="1" si="894"/>
        <v>0.55535931037882658</v>
      </c>
      <c r="CC335" s="1519">
        <f t="shared" ca="1" si="895"/>
        <v>0.28494930987098388</v>
      </c>
      <c r="CD335" s="1519">
        <f t="shared" ca="1" si="896"/>
        <v>5.9958392687376107E-2</v>
      </c>
      <c r="CE335" s="1519">
        <f t="shared" si="897"/>
        <v>6.8627595692574719E-2</v>
      </c>
      <c r="CF335" s="1519">
        <f t="shared" si="898"/>
        <v>4.7401356959360669E-3</v>
      </c>
      <c r="CG335" s="1519">
        <f t="shared" si="899"/>
        <v>3.6057892048359387E-2</v>
      </c>
      <c r="CH335" s="1519">
        <f t="shared" si="900"/>
        <v>2.9617231444641498E-2</v>
      </c>
      <c r="CI335" s="1519">
        <f t="shared" si="901"/>
        <v>-0.13251506264995974</v>
      </c>
      <c r="CJ335" s="1519">
        <f t="shared" si="902"/>
        <v>0.1748601527521739</v>
      </c>
      <c r="CK335" s="1519">
        <f t="shared" si="903"/>
        <v>-5.1776842676808793E-3</v>
      </c>
      <c r="CL335" s="1519">
        <f t="shared" si="904"/>
        <v>0.25601094391245099</v>
      </c>
      <c r="CM335" s="1519">
        <f t="shared" si="905"/>
        <v>0.2240026021425465</v>
      </c>
      <c r="CN335" s="1519">
        <f t="shared" si="906"/>
        <v>0.21607264086897363</v>
      </c>
      <c r="CO335" s="1519">
        <f t="shared" si="907"/>
        <v>0.15494380687219733</v>
      </c>
      <c r="CP335" s="1519">
        <f t="shared" si="908"/>
        <v>-3.7152339716901753E-2</v>
      </c>
      <c r="CQ335" s="1519">
        <f t="shared" si="909"/>
        <v>0.21558162322665422</v>
      </c>
      <c r="CR335" s="1519">
        <f t="shared" si="910"/>
        <v>-0.11049036578432049</v>
      </c>
      <c r="CS335" s="1519">
        <f t="shared" si="911"/>
        <v>0.15168187130597355</v>
      </c>
      <c r="CT335" s="1519">
        <f t="shared" si="912"/>
        <v>0.28674167335473333</v>
      </c>
      <c r="CU335" s="1519">
        <f t="shared" si="913"/>
        <v>7.1358706741579667E-2</v>
      </c>
      <c r="CV335" s="1519">
        <f t="shared" si="914"/>
        <v>0.14033466870192973</v>
      </c>
      <c r="CW335" s="1519">
        <f t="shared" si="915"/>
        <v>4.3712640950246094E-2</v>
      </c>
      <c r="CX335" s="1519">
        <f t="shared" si="916"/>
        <v>-8.4983983219820605E-2</v>
      </c>
      <c r="CY335" s="1519">
        <f t="shared" si="917"/>
        <v>4.272241873313337E-3</v>
      </c>
      <c r="CZ335" s="1519">
        <f t="shared" si="918"/>
        <v>7.0490713842085523E-2</v>
      </c>
      <c r="DA335" s="1519">
        <f t="shared" si="919"/>
        <v>9.5320221316485057E-2</v>
      </c>
      <c r="DB335" s="1519">
        <f t="shared" si="920"/>
        <v>0.11996806038938111</v>
      </c>
      <c r="DC335"/>
      <c r="DD335"/>
      <c r="DE335"/>
      <c r="DF335"/>
      <c r="DG335"/>
      <c r="DH335"/>
      <c r="DI335"/>
      <c r="DJ335"/>
      <c r="DK335"/>
      <c r="DL335"/>
      <c r="DM335"/>
      <c r="DN335"/>
      <c r="DO335"/>
    </row>
    <row r="336" spans="1:119" s="699" customFormat="1" ht="12.75" customHeight="1">
      <c r="A336" s="664"/>
      <c r="B336" s="664"/>
      <c r="C336" s="944"/>
      <c r="D336" s="674"/>
      <c r="E336" s="3629" t="str">
        <f>+E314</f>
        <v>Processed food (incl. Alcohol and tobacco)</v>
      </c>
      <c r="F336" s="3630"/>
      <c r="G336" s="2884"/>
      <c r="H336" s="2884"/>
      <c r="I336" s="2884"/>
      <c r="J336" s="2884"/>
      <c r="K336" s="2881"/>
      <c r="L336" s="2881"/>
      <c r="M336" s="2881"/>
      <c r="N336" s="2881"/>
      <c r="O336" s="2881">
        <f t="shared" ca="1" si="829"/>
        <v>3.803216467218089</v>
      </c>
      <c r="P336" s="2881">
        <f t="shared" ca="1" si="830"/>
        <v>3.3313971732879875</v>
      </c>
      <c r="Q336" s="2881">
        <f t="shared" ca="1" si="831"/>
        <v>3.0112690477160657</v>
      </c>
      <c r="R336" s="2881">
        <f t="shared" ca="1" si="832"/>
        <v>2.4102185746128781</v>
      </c>
      <c r="S336" s="2881">
        <f t="shared" ca="1" si="833"/>
        <v>0.97760801826009425</v>
      </c>
      <c r="T336" s="2881">
        <f t="shared" ca="1" si="834"/>
        <v>0.70861536282596516</v>
      </c>
      <c r="U336" s="2881">
        <f t="shared" ca="1" si="835"/>
        <v>0.17296299802122686</v>
      </c>
      <c r="V336" s="2881">
        <f t="shared" ca="1" si="836"/>
        <v>-0.26441936996478294</v>
      </c>
      <c r="W336" s="2881">
        <f t="shared" ca="1" si="837"/>
        <v>-9.1670930035719286E-2</v>
      </c>
      <c r="X336" s="2881">
        <f t="shared" ca="1" si="838"/>
        <v>-0.19074179578149902</v>
      </c>
      <c r="Y336" s="2881">
        <f t="shared" ca="1" si="839"/>
        <v>0.19847475074452645</v>
      </c>
      <c r="Z336" s="2881">
        <f t="shared" ca="1" si="840"/>
        <v>-0.64857111042060145</v>
      </c>
      <c r="AA336" s="2881">
        <f t="shared" ca="1" si="841"/>
        <v>-1.1290813548688776</v>
      </c>
      <c r="AB336" s="2881">
        <f t="shared" ca="1" si="842"/>
        <v>-1.3145257637342829</v>
      </c>
      <c r="AC336" s="2881">
        <f t="shared" ca="1" si="843"/>
        <v>-1.2524950432319679</v>
      </c>
      <c r="AD336" s="2881">
        <f t="shared" ca="1" si="844"/>
        <v>-0.50612919313419436</v>
      </c>
      <c r="AE336" s="2881">
        <f t="shared" ca="1" si="845"/>
        <v>-0.287316150390165</v>
      </c>
      <c r="AF336" s="2881">
        <f t="shared" ca="1" si="846"/>
        <v>-7.2862796833773516E-2</v>
      </c>
      <c r="AG336" s="2881">
        <f t="shared" ca="1" si="847"/>
        <v>-0.11570992457799202</v>
      </c>
      <c r="AH336" s="2881">
        <f t="shared" ca="1" si="848"/>
        <v>0.25997211728728714</v>
      </c>
      <c r="AI336" s="2881">
        <f t="shared" ca="1" si="849"/>
        <v>0.38122796788758989</v>
      </c>
      <c r="AJ336" s="2881">
        <f t="shared" ca="1" si="850"/>
        <v>0.2107223997505091</v>
      </c>
      <c r="AK336" s="2881">
        <f t="shared" ca="1" si="851"/>
        <v>9.1186272556600473E-2</v>
      </c>
      <c r="AL336" s="2881">
        <f t="shared" ca="1" si="852"/>
        <v>0.13050956576094461</v>
      </c>
      <c r="AM336" s="2881">
        <f t="shared" ca="1" si="853"/>
        <v>0.50821726330663852</v>
      </c>
      <c r="AN336" s="2881">
        <f t="shared" ca="1" si="854"/>
        <v>0.96028802338065344</v>
      </c>
      <c r="AO336" s="2881">
        <f t="shared" ca="1" si="855"/>
        <v>1.0046787468551559</v>
      </c>
      <c r="AP336" s="2881">
        <f t="shared" ca="1" si="856"/>
        <v>0.74391423336091911</v>
      </c>
      <c r="AQ336" s="2881">
        <f t="shared" ca="1" si="857"/>
        <v>0.38827781741266293</v>
      </c>
      <c r="AR336" s="2881">
        <f t="shared" ca="1" si="858"/>
        <v>0.61117685189158921</v>
      </c>
      <c r="AS336" s="2881">
        <f t="shared" ca="1" si="859"/>
        <v>0.68250004993274593</v>
      </c>
      <c r="AT336" s="2881">
        <f t="shared" ca="1" si="860"/>
        <v>0.63521324670298751</v>
      </c>
      <c r="AU336" s="2881">
        <f t="shared" ca="1" si="861"/>
        <v>0.53770289706826924</v>
      </c>
      <c r="AV336" s="2881">
        <f t="shared" ca="1" si="862"/>
        <v>0.27074885053743114</v>
      </c>
      <c r="AW336" s="2881">
        <f t="shared" ca="1" si="863"/>
        <v>0.20436588987279417</v>
      </c>
      <c r="AX336" s="2881">
        <f t="shared" ca="1" si="864"/>
        <v>0.32058847759426756</v>
      </c>
      <c r="AY336" s="2881">
        <f t="shared" ca="1" si="865"/>
        <v>0.19820652502398961</v>
      </c>
      <c r="AZ336" s="2881">
        <f t="shared" ca="1" si="866"/>
        <v>0.29494792479219994</v>
      </c>
      <c r="BA336" s="2881">
        <f t="shared" ca="1" si="867"/>
        <v>0.7237418581455064</v>
      </c>
      <c r="BB336" s="2881">
        <f t="shared" ca="1" si="868"/>
        <v>1.2297035052429508</v>
      </c>
      <c r="BC336" s="2881">
        <f t="shared" ca="1" si="869"/>
        <v>1.6851404320987675</v>
      </c>
      <c r="BD336" s="2881">
        <f t="shared" ca="1" si="870"/>
        <v>1.9776471619548515</v>
      </c>
      <c r="BE336" s="2881">
        <f t="shared" ca="1" si="871"/>
        <v>2.4279577290127734</v>
      </c>
      <c r="BF336" s="2881">
        <f t="shared" ca="1" si="872"/>
        <v>3.1320652059964331</v>
      </c>
      <c r="BG336" s="2881">
        <f t="shared" ca="1" si="873"/>
        <v>3.6245549352046287</v>
      </c>
      <c r="BH336" s="2881">
        <f t="shared" ca="1" si="874"/>
        <v>4.1545202213279691</v>
      </c>
      <c r="BI336" s="2881">
        <f t="shared" ca="1" si="875"/>
        <v>3.6443404606861778</v>
      </c>
      <c r="BJ336" s="1519">
        <f t="shared" ca="1" si="876"/>
        <v>2.4062668901850928</v>
      </c>
      <c r="BK336" s="1519">
        <f t="shared" ca="1" si="877"/>
        <v>1.8020976711547789</v>
      </c>
      <c r="BL336" s="1519">
        <f t="shared" ca="1" si="878"/>
        <v>1.1977656711381108</v>
      </c>
      <c r="BM336" s="1519">
        <f t="shared" ca="1" si="879"/>
        <v>0.76075000000000259</v>
      </c>
      <c r="BN336" s="1519">
        <f t="shared" ca="1" si="880"/>
        <v>1.2287684297520693</v>
      </c>
      <c r="BO336" s="1519">
        <f t="shared" ca="1" si="881"/>
        <v>1.1409667270955013</v>
      </c>
      <c r="BP336" s="1519">
        <f t="shared" ca="1" si="882"/>
        <v>1.0306778653872317</v>
      </c>
      <c r="BQ336" s="1519">
        <f t="shared" ca="1" si="883"/>
        <v>1.3341408352865554</v>
      </c>
      <c r="BR336" s="1519">
        <f t="shared" ca="1" si="884"/>
        <v>1.1485499290060857</v>
      </c>
      <c r="BS336" s="1519">
        <f t="shared" ca="1" si="885"/>
        <v>1.4092615373134476</v>
      </c>
      <c r="BT336" s="1519">
        <f t="shared" ca="1" si="886"/>
        <v>1.9060070507861142</v>
      </c>
      <c r="BU336" s="1519">
        <f t="shared" ca="1" si="887"/>
        <v>1.8198907060586567</v>
      </c>
      <c r="BV336" s="1519">
        <f t="shared" ca="1" si="888"/>
        <v>1.3930969035408836</v>
      </c>
      <c r="BW336" s="1519">
        <f t="shared" ca="1" si="889"/>
        <v>1.0669859272423943</v>
      </c>
      <c r="BX336" s="1519">
        <f t="shared" ca="1" si="890"/>
        <v>0.67656075359864321</v>
      </c>
      <c r="BY336" s="1519">
        <f t="shared" ca="1" si="891"/>
        <v>0.62772284670508061</v>
      </c>
      <c r="BZ336" s="1519">
        <f t="shared" ca="1" si="892"/>
        <v>0.56836172748623848</v>
      </c>
      <c r="CA336" s="1519">
        <f t="shared" ca="1" si="893"/>
        <v>0.42786325477017201</v>
      </c>
      <c r="CB336" s="1519">
        <f t="shared" ca="1" si="894"/>
        <v>0.19527473612526652</v>
      </c>
      <c r="CC336" s="1519">
        <f t="shared" ca="1" si="895"/>
        <v>0.26107526588024843</v>
      </c>
      <c r="CD336" s="1519">
        <f t="shared" ca="1" si="896"/>
        <v>0.36691798031524991</v>
      </c>
      <c r="CE336" s="1519">
        <f t="shared" si="897"/>
        <v>0.40845418326693039</v>
      </c>
      <c r="CF336" s="1519">
        <f t="shared" si="898"/>
        <v>0.50192663108149527</v>
      </c>
      <c r="CG336" s="1519">
        <f t="shared" si="899"/>
        <v>0.53575677321156923</v>
      </c>
      <c r="CH336" s="1519">
        <f t="shared" si="900"/>
        <v>0.44253248896823411</v>
      </c>
      <c r="CI336" s="1519">
        <f t="shared" si="901"/>
        <v>0.14845084077157181</v>
      </c>
      <c r="CJ336" s="1519">
        <f t="shared" si="902"/>
        <v>-7.1398238324747759E-2</v>
      </c>
      <c r="CK336" s="1519">
        <f t="shared" si="903"/>
        <v>-0.24550749521230905</v>
      </c>
      <c r="CL336" s="1519">
        <f t="shared" si="904"/>
        <v>-0.21823609047383408</v>
      </c>
      <c r="CM336" s="1519">
        <f t="shared" si="905"/>
        <v>0.11330523101434316</v>
      </c>
      <c r="CN336" s="1519">
        <f t="shared" si="906"/>
        <v>0.44086338014075788</v>
      </c>
      <c r="CO336" s="1519">
        <f t="shared" si="907"/>
        <v>0.58078343246675379</v>
      </c>
      <c r="CP336" s="1519">
        <f t="shared" si="908"/>
        <v>0.72312414483564635</v>
      </c>
      <c r="CQ336" s="1519">
        <f t="shared" si="909"/>
        <v>1.0788580153175726</v>
      </c>
      <c r="CR336" s="1519">
        <f t="shared" si="910"/>
        <v>1.5202323621635703</v>
      </c>
      <c r="CS336" s="1519">
        <f t="shared" si="911"/>
        <v>1.6660043236565774</v>
      </c>
      <c r="CT336" s="1519">
        <f t="shared" si="912"/>
        <v>1.6818372573050389</v>
      </c>
      <c r="CU336" s="1519">
        <f t="shared" si="913"/>
        <v>1.2237131424508214</v>
      </c>
      <c r="CV336" s="1519">
        <f t="shared" si="914"/>
        <v>0.76489316202357349</v>
      </c>
      <c r="CW336" s="1519">
        <f t="shared" si="915"/>
        <v>0.56629812265914514</v>
      </c>
      <c r="CX336" s="1519">
        <f t="shared" si="916"/>
        <v>0.48081681906568091</v>
      </c>
      <c r="CY336" s="1519">
        <f t="shared" si="917"/>
        <v>0.60818644523100351</v>
      </c>
      <c r="CZ336" s="1519">
        <f t="shared" si="918"/>
        <v>0.64490092911566277</v>
      </c>
      <c r="DA336" s="1519">
        <f t="shared" si="919"/>
        <v>0.64490092911566277</v>
      </c>
      <c r="DB336" s="1519">
        <f t="shared" si="920"/>
        <v>0.64490092911566277</v>
      </c>
      <c r="DC336"/>
      <c r="DD336"/>
      <c r="DE336"/>
      <c r="DF336"/>
      <c r="DG336"/>
      <c r="DH336"/>
      <c r="DI336"/>
      <c r="DJ336"/>
      <c r="DK336"/>
      <c r="DL336"/>
      <c r="DM336"/>
      <c r="DN336"/>
      <c r="DO336"/>
    </row>
    <row r="337" spans="1:106">
      <c r="C337" s="867"/>
      <c r="D337" s="868"/>
      <c r="E337" s="3646" t="str">
        <f>+E315</f>
        <v>Services</v>
      </c>
      <c r="F337" s="868"/>
      <c r="G337" s="2890"/>
      <c r="H337" s="2890"/>
      <c r="I337" s="2890"/>
      <c r="J337" s="2890"/>
      <c r="K337" s="2891"/>
      <c r="L337" s="2891"/>
      <c r="M337" s="2891"/>
      <c r="N337" s="2891"/>
      <c r="O337" s="2891">
        <f t="shared" ca="1" si="829"/>
        <v>2.3491768429596038</v>
      </c>
      <c r="P337" s="2891">
        <f t="shared" ca="1" si="830"/>
        <v>2.2085058284379073</v>
      </c>
      <c r="Q337" s="2891">
        <f t="shared" ca="1" si="831"/>
        <v>1.7780865748511265</v>
      </c>
      <c r="R337" s="2891">
        <f t="shared" ca="1" si="832"/>
        <v>1.7251200562341318</v>
      </c>
      <c r="S337" s="2891">
        <f t="shared" ca="1" si="833"/>
        <v>1.5837841904426364</v>
      </c>
      <c r="T337" s="2891">
        <f t="shared" ca="1" si="834"/>
        <v>1.5876693262033099</v>
      </c>
      <c r="U337" s="2891">
        <f t="shared" ca="1" si="835"/>
        <v>1.4668209227602307</v>
      </c>
      <c r="V337" s="2891">
        <f t="shared" ca="1" si="836"/>
        <v>1.449707808949326</v>
      </c>
      <c r="W337" s="2891">
        <f t="shared" ca="1" si="837"/>
        <v>1.1636966515837786</v>
      </c>
      <c r="X337" s="2891">
        <f t="shared" ca="1" si="838"/>
        <v>1.062714275153293</v>
      </c>
      <c r="Y337" s="2891">
        <f t="shared" ca="1" si="839"/>
        <v>0.86213528721581878</v>
      </c>
      <c r="Z337" s="2891">
        <f t="shared" ca="1" si="840"/>
        <v>0.76909680607335695</v>
      </c>
      <c r="AA337" s="2891">
        <f t="shared" ca="1" si="841"/>
        <v>1.0312333996137504</v>
      </c>
      <c r="AB337" s="2891">
        <f t="shared" ca="1" si="842"/>
        <v>0.78492698658278814</v>
      </c>
      <c r="AC337" s="2891">
        <f t="shared" ca="1" si="843"/>
        <v>0.74201883068370433</v>
      </c>
      <c r="AD337" s="2891">
        <f t="shared" ca="1" si="844"/>
        <v>0.70384810850468726</v>
      </c>
      <c r="AE337" s="2891">
        <f t="shared" ca="1" si="845"/>
        <v>0.64157082533588827</v>
      </c>
      <c r="AF337" s="2891">
        <f t="shared" ca="1" si="846"/>
        <v>0.45415794316644131</v>
      </c>
      <c r="AG337" s="2891">
        <f t="shared" ca="1" si="847"/>
        <v>0.85903943540566907</v>
      </c>
      <c r="AH337" s="2891">
        <f t="shared" ca="1" si="848"/>
        <v>1.0747510879492845</v>
      </c>
      <c r="AI337" s="2891">
        <f t="shared" ca="1" si="849"/>
        <v>0.99794240152837099</v>
      </c>
      <c r="AJ337" s="2891">
        <f t="shared" ca="1" si="850"/>
        <v>0.8971853129573345</v>
      </c>
      <c r="AK337" s="2891">
        <f t="shared" ca="1" si="851"/>
        <v>0.59332965679420935</v>
      </c>
      <c r="AL337" s="2891">
        <f t="shared" ca="1" si="852"/>
        <v>0.24572805924624511</v>
      </c>
      <c r="AM337" s="2891">
        <f t="shared" ca="1" si="853"/>
        <v>0.34504328523862304</v>
      </c>
      <c r="AN337" s="2891">
        <f t="shared" ca="1" si="854"/>
        <v>0.43111906567571212</v>
      </c>
      <c r="AO337" s="2891">
        <f t="shared" ca="1" si="855"/>
        <v>-4.319587011820978E-2</v>
      </c>
      <c r="AP337" s="2891">
        <f t="shared" ca="1" si="856"/>
        <v>-0.4559229693276059</v>
      </c>
      <c r="AQ337" s="2891">
        <f t="shared" ca="1" si="857"/>
        <v>-0.54360081603796895</v>
      </c>
      <c r="AR337" s="2891">
        <f t="shared" ca="1" si="858"/>
        <v>-0.33590962304504612</v>
      </c>
      <c r="AS337" s="2891">
        <f t="shared" ca="1" si="859"/>
        <v>7.9438725421738687E-2</v>
      </c>
      <c r="AT337" s="2891">
        <f t="shared" ca="1" si="860"/>
        <v>0.52285242595374559</v>
      </c>
      <c r="AU337" s="2891">
        <f t="shared" ca="1" si="861"/>
        <v>0.76247484790479014</v>
      </c>
      <c r="AV337" s="2891">
        <f t="shared" ca="1" si="862"/>
        <v>0.69960586820223047</v>
      </c>
      <c r="AW337" s="2891">
        <f t="shared" ca="1" si="863"/>
        <v>0.78723825541265668</v>
      </c>
      <c r="AX337" s="2891">
        <f t="shared" ca="1" si="864"/>
        <v>0.95919652213811257</v>
      </c>
      <c r="AY337" s="2891">
        <f t="shared" ca="1" si="865"/>
        <v>0.99789217140379305</v>
      </c>
      <c r="AZ337" s="2891">
        <f t="shared" ca="1" si="866"/>
        <v>1.1841256984837782</v>
      </c>
      <c r="BA337" s="2891">
        <f t="shared" ca="1" si="867"/>
        <v>1.3314761228774274</v>
      </c>
      <c r="BB337" s="2891">
        <f t="shared" ca="1" si="868"/>
        <v>1.3470658137200109</v>
      </c>
      <c r="BC337" s="2891">
        <f t="shared" ca="1" si="869"/>
        <v>1.3910298387096796</v>
      </c>
      <c r="BD337" s="2891">
        <f t="shared" ca="1" si="870"/>
        <v>1.4590402672023179</v>
      </c>
      <c r="BE337" s="2891">
        <f t="shared" ca="1" si="871"/>
        <v>1.7269425587467351</v>
      </c>
      <c r="BF337" s="2891">
        <f t="shared" ca="1" si="872"/>
        <v>2.0788712952424322</v>
      </c>
      <c r="BG337" s="2891">
        <f t="shared" ca="1" si="873"/>
        <v>2.7879718992683054</v>
      </c>
      <c r="BH337" s="2891">
        <f t="shared" ca="1" si="874"/>
        <v>3.2471073979366856</v>
      </c>
      <c r="BI337" s="2891">
        <f t="shared" ca="1" si="875"/>
        <v>3.1515143346170373</v>
      </c>
      <c r="BJ337" s="2896">
        <f t="shared" ca="1" si="876"/>
        <v>3.0202522976205466</v>
      </c>
      <c r="BK337" s="2896">
        <f t="shared" ca="1" si="877"/>
        <v>2.6747568277310885</v>
      </c>
      <c r="BL337" s="2896">
        <f t="shared" ca="1" si="878"/>
        <v>1.7140578912441029</v>
      </c>
      <c r="BM337" s="2896">
        <f t="shared" ca="1" si="879"/>
        <v>1.1182762592662945</v>
      </c>
      <c r="BN337" s="2896">
        <f t="shared" ca="1" si="880"/>
        <v>0.4194836123909006</v>
      </c>
      <c r="BO337" s="2896">
        <f t="shared" ca="1" si="881"/>
        <v>-0.42447433427376074</v>
      </c>
      <c r="BP337" s="2896">
        <f t="shared" ca="1" si="882"/>
        <v>-0.45898842900677717</v>
      </c>
      <c r="BQ337" s="2896">
        <f t="shared" ca="1" si="883"/>
        <v>-0.40679340748115206</v>
      </c>
      <c r="BR337" s="2896">
        <f t="shared" ca="1" si="884"/>
        <v>-0.26582630688681497</v>
      </c>
      <c r="BS337" s="2896">
        <f t="shared" ca="1" si="885"/>
        <v>2.6641510768291986E-2</v>
      </c>
      <c r="BT337" s="2896">
        <f t="shared" ca="1" si="886"/>
        <v>0.27060247485957539</v>
      </c>
      <c r="BU337" s="2896">
        <f t="shared" ca="1" si="887"/>
        <v>0.44086772950371739</v>
      </c>
      <c r="BV337" s="2896">
        <f t="shared" ca="1" si="888"/>
        <v>0.50358032641846229</v>
      </c>
      <c r="BW337" s="2896">
        <f t="shared" ca="1" si="889"/>
        <v>0.63922272524862533</v>
      </c>
      <c r="BX337" s="2896">
        <f t="shared" ca="1" si="890"/>
        <v>0.74475793387820965</v>
      </c>
      <c r="BY337" s="2896">
        <f t="shared" ca="1" si="891"/>
        <v>0.71435124822849794</v>
      </c>
      <c r="BZ337" s="2896">
        <f t="shared" ca="1" si="892"/>
        <v>0.77064726914517567</v>
      </c>
      <c r="CA337" s="2896">
        <f t="shared" ca="1" si="893"/>
        <v>0.55787078383048105</v>
      </c>
      <c r="CB337" s="2896">
        <f t="shared" ca="1" si="894"/>
        <v>0.5341621132549772</v>
      </c>
      <c r="CC337" s="2896">
        <f t="shared" ca="1" si="895"/>
        <v>0.46054927011069108</v>
      </c>
      <c r="CD337" s="2896">
        <f t="shared" ca="1" si="896"/>
        <v>0.30699542664216467</v>
      </c>
      <c r="CE337" s="2896">
        <f t="shared" si="897"/>
        <v>0.25433945571008859</v>
      </c>
      <c r="CF337" s="2896">
        <f t="shared" si="898"/>
        <v>0.20728414937178077</v>
      </c>
      <c r="CG337" s="2896">
        <f t="shared" si="899"/>
        <v>0.45145711213624123</v>
      </c>
      <c r="CH337" s="2896">
        <f t="shared" si="900"/>
        <v>0.58512724603230193</v>
      </c>
      <c r="CI337" s="2896">
        <f t="shared" si="901"/>
        <v>0.77376943005181087</v>
      </c>
      <c r="CJ337" s="2896">
        <f t="shared" si="902"/>
        <v>0.8092867550128362</v>
      </c>
      <c r="CK337" s="2896">
        <f t="shared" si="903"/>
        <v>0.79301902201653884</v>
      </c>
      <c r="CL337" s="2896">
        <f t="shared" si="904"/>
        <v>0.85796187033183413</v>
      </c>
      <c r="CM337" s="2896">
        <f t="shared" si="905"/>
        <v>0.90175239968795518</v>
      </c>
      <c r="CN337" s="2896">
        <f t="shared" si="906"/>
        <v>0.79368525976641213</v>
      </c>
      <c r="CO337" s="2896">
        <f t="shared" si="907"/>
        <v>0.72662343523521011</v>
      </c>
      <c r="CP337" s="2896">
        <f t="shared" si="908"/>
        <v>0.66992824447591603</v>
      </c>
      <c r="CQ337" s="2896">
        <f t="shared" si="909"/>
        <v>0.88983322974255108</v>
      </c>
      <c r="CR337" s="2896">
        <f t="shared" si="910"/>
        <v>1.3944612183863203</v>
      </c>
      <c r="CS337" s="2896">
        <f t="shared" si="911"/>
        <v>1.7006289791086822</v>
      </c>
      <c r="CT337" s="2896">
        <f t="shared" si="912"/>
        <v>1.349479325597793</v>
      </c>
      <c r="CU337" s="2896">
        <f t="shared" si="913"/>
        <v>1.1994224726754119</v>
      </c>
      <c r="CV337" s="2896">
        <f t="shared" si="914"/>
        <v>1.0019541011903119</v>
      </c>
      <c r="CW337" s="2896">
        <f t="shared" si="915"/>
        <v>0.84484727666108561</v>
      </c>
      <c r="CX337" s="2896">
        <f t="shared" si="916"/>
        <v>1.3109288523047955</v>
      </c>
      <c r="CY337" s="2896">
        <f t="shared" si="917"/>
        <v>1.4120855514122825</v>
      </c>
      <c r="CZ337" s="2896">
        <f t="shared" si="918"/>
        <v>1.2449278112761195</v>
      </c>
      <c r="DA337" s="2896">
        <f t="shared" si="919"/>
        <v>1.0800550738723405</v>
      </c>
      <c r="DB337" s="2896">
        <f t="shared" si="920"/>
        <v>0.91492797538906401</v>
      </c>
    </row>
    <row r="338" spans="1:106">
      <c r="A338" s="664"/>
      <c r="C338" s="546"/>
      <c r="D338" s="1336"/>
      <c r="E338" s="45" t="str">
        <f>+E317</f>
        <v>HICP</v>
      </c>
      <c r="F338" s="1476"/>
      <c r="G338" s="2885"/>
      <c r="H338" s="1524"/>
      <c r="I338" s="1524"/>
      <c r="J338" s="1524"/>
      <c r="K338" s="2887"/>
      <c r="L338" s="2887"/>
      <c r="M338" s="2887"/>
      <c r="N338" s="2887"/>
      <c r="O338" s="2887">
        <f t="shared" ca="1" si="829"/>
        <v>0</v>
      </c>
      <c r="P338" s="2887">
        <f t="shared" ca="1" si="830"/>
        <v>0</v>
      </c>
      <c r="Q338" s="2887">
        <f t="shared" ca="1" si="831"/>
        <v>0</v>
      </c>
      <c r="R338" s="2887">
        <f t="shared" ca="1" si="832"/>
        <v>9.0939160791010778</v>
      </c>
      <c r="S338" s="2887">
        <f t="shared" ca="1" si="833"/>
        <v>6.4991208813508905</v>
      </c>
      <c r="T338" s="2887">
        <f t="shared" ca="1" si="834"/>
        <v>6.5753676894120758</v>
      </c>
      <c r="U338" s="2887">
        <f t="shared" ca="1" si="835"/>
        <v>4.6444800867034672</v>
      </c>
      <c r="V338" s="2887">
        <f t="shared" ca="1" si="836"/>
        <v>3.6869207262227235</v>
      </c>
      <c r="W338" s="2887">
        <f t="shared" ca="1" si="837"/>
        <v>2.6901220394979504</v>
      </c>
      <c r="X338" s="2887">
        <f t="shared" ca="1" si="838"/>
        <v>1.5593397974587191</v>
      </c>
      <c r="Y338" s="2887">
        <f t="shared" ca="1" si="839"/>
        <v>1.2443878323110624</v>
      </c>
      <c r="Z338" s="2887">
        <f t="shared" ca="1" si="840"/>
        <v>0.28498894576458156</v>
      </c>
      <c r="AA338" s="2887">
        <f t="shared" ca="1" si="841"/>
        <v>0.97019264343303746</v>
      </c>
      <c r="AB338" s="2887">
        <f t="shared" ca="1" si="842"/>
        <v>0.95327225507169544</v>
      </c>
      <c r="AC338" s="2887">
        <f t="shared" ca="1" si="843"/>
        <v>1.0208312647825437</v>
      </c>
      <c r="AD338" s="2887">
        <f t="shared" ca="1" si="844"/>
        <v>1.6006409566702047</v>
      </c>
      <c r="AE338" s="2887">
        <f t="shared" ca="1" si="845"/>
        <v>0.22242068667839021</v>
      </c>
      <c r="AF338" s="2887">
        <f t="shared" ca="1" si="846"/>
        <v>1.642409070335745</v>
      </c>
      <c r="AG338" s="2887">
        <f t="shared" ca="1" si="847"/>
        <v>2.116623423740478</v>
      </c>
      <c r="AH338" s="2887">
        <f t="shared" ca="1" si="848"/>
        <v>2.0871908553238967</v>
      </c>
      <c r="AI338" s="2887">
        <f t="shared" ca="1" si="849"/>
        <v>2.5230943336383547</v>
      </c>
      <c r="AJ338" s="2887">
        <f t="shared" ca="1" si="850"/>
        <v>0.43142075084345777</v>
      </c>
      <c r="AK338" s="2887">
        <f t="shared" ca="1" si="851"/>
        <v>-0.82251861091003775</v>
      </c>
      <c r="AL338" s="2887">
        <f t="shared" ca="1" si="852"/>
        <v>-1.018359286744726</v>
      </c>
      <c r="AM338" s="2887">
        <f t="shared" ca="1" si="853"/>
        <v>36.945703672381228</v>
      </c>
      <c r="AN338" s="2887">
        <f t="shared" ca="1" si="854"/>
        <v>38.249290293967022</v>
      </c>
      <c r="AO338" s="2887">
        <f t="shared" ca="1" si="855"/>
        <v>37.97201828194261</v>
      </c>
      <c r="AP338" s="2887">
        <f t="shared" ca="1" si="856"/>
        <v>37.567489085708218</v>
      </c>
      <c r="AQ338" s="2887">
        <f t="shared" ca="1" si="857"/>
        <v>-28.930445746129195</v>
      </c>
      <c r="AR338" s="2887">
        <f t="shared" ca="1" si="858"/>
        <v>-27.773290560224467</v>
      </c>
      <c r="AS338" s="2887">
        <f t="shared" ca="1" si="859"/>
        <v>-26.421422712373342</v>
      </c>
      <c r="AT338" s="2887">
        <f t="shared" ca="1" si="860"/>
        <v>-26.005921091547165</v>
      </c>
      <c r="AU338" s="2887">
        <f t="shared" ca="1" si="861"/>
        <v>3.1305650511024226</v>
      </c>
      <c r="AV338" s="2887">
        <f t="shared" ca="1" si="862"/>
        <v>2.3940704069182317</v>
      </c>
      <c r="AW338" s="2887">
        <f t="shared" ca="1" si="863"/>
        <v>2.235879998800641</v>
      </c>
      <c r="AX338" s="2887">
        <f t="shared" ca="1" si="864"/>
        <v>2.9720474370264611</v>
      </c>
      <c r="AY338" s="2887">
        <f t="shared" ca="1" si="865"/>
        <v>3.3246727086280998</v>
      </c>
      <c r="AZ338" s="2887">
        <f t="shared" ca="1" si="866"/>
        <v>3.5698507539310356</v>
      </c>
      <c r="BA338" s="2887">
        <f t="shared" ca="1" si="867"/>
        <v>3.9764270719422825</v>
      </c>
      <c r="BB338" s="2887">
        <f t="shared" ca="1" si="868"/>
        <v>4.2071894371358525</v>
      </c>
      <c r="BC338" s="2887">
        <f t="shared" ca="1" si="869"/>
        <v>4.3656732098340711</v>
      </c>
      <c r="BD338" s="2887">
        <f t="shared" ca="1" si="870"/>
        <v>4.945525732646459</v>
      </c>
      <c r="BE338" s="2887">
        <f t="shared" ca="1" si="871"/>
        <v>5.9162182264645358</v>
      </c>
      <c r="BF338" s="2887">
        <f t="shared" ca="1" si="872"/>
        <v>7.912743596233839</v>
      </c>
      <c r="BG338" s="2887">
        <f t="shared" ca="1" si="873"/>
        <v>10.77445830605555</v>
      </c>
      <c r="BH338" s="2887">
        <f t="shared" ca="1" si="874"/>
        <v>12.275273697616711</v>
      </c>
      <c r="BI338" s="2887">
        <f t="shared" ca="1" si="875"/>
        <v>11.970554768147551</v>
      </c>
      <c r="BJ338" s="802">
        <f t="shared" ca="1" si="876"/>
        <v>9.4247836812170647</v>
      </c>
      <c r="BK338" s="802">
        <f t="shared" ca="1" si="877"/>
        <v>8.4437857666377312</v>
      </c>
      <c r="BL338" s="802">
        <f t="shared" ca="1" si="878"/>
        <v>4.8862104352241715</v>
      </c>
      <c r="BM338" s="802">
        <f t="shared" ca="1" si="879"/>
        <v>2.3852799055889449</v>
      </c>
      <c r="BN338" s="802">
        <f t="shared" ca="1" si="880"/>
        <v>1.1463312072906573</v>
      </c>
      <c r="BO338" s="802">
        <f t="shared" ca="1" si="881"/>
        <v>-0.40204451218978932</v>
      </c>
      <c r="BP338" s="802">
        <f t="shared" ca="1" si="882"/>
        <v>0.55964202457565193</v>
      </c>
      <c r="BQ338" s="802">
        <f t="shared" ca="1" si="883"/>
        <v>1.7831244876144012</v>
      </c>
      <c r="BR338" s="802">
        <f t="shared" ca="1" si="884"/>
        <v>2.931811865113005</v>
      </c>
      <c r="BS338" s="802">
        <f t="shared" ca="1" si="885"/>
        <v>3.2198296089618168</v>
      </c>
      <c r="BT338" s="802">
        <f t="shared" ca="1" si="886"/>
        <v>4.7327108120605317</v>
      </c>
      <c r="BU338" s="802">
        <f t="shared" ca="1" si="887"/>
        <v>4.5744794796754036</v>
      </c>
      <c r="BV338" s="802">
        <f t="shared" ca="1" si="888"/>
        <v>4.0543437792466079</v>
      </c>
      <c r="BW338" s="802">
        <f t="shared" ca="1" si="889"/>
        <v>3.6382121598266934</v>
      </c>
      <c r="BX338" s="802">
        <f t="shared" ca="1" si="890"/>
        <v>2.8447358600420074</v>
      </c>
      <c r="BY338" s="802">
        <f t="shared" ca="1" si="891"/>
        <v>3.2328741421467271</v>
      </c>
      <c r="BZ338" s="802">
        <f t="shared" ca="1" si="892"/>
        <v>2.9942553637918508</v>
      </c>
      <c r="CA338" s="802">
        <f t="shared" ca="1" si="893"/>
        <v>2.2128950976594552</v>
      </c>
      <c r="CB338" s="802">
        <f t="shared" ca="1" si="894"/>
        <v>1.3936010949206121</v>
      </c>
      <c r="CC338" s="802">
        <f t="shared" ca="1" si="895"/>
        <v>0.544119533062144</v>
      </c>
      <c r="CD338" s="802">
        <f t="shared" ca="1" si="896"/>
        <v>0.49826460621136448</v>
      </c>
      <c r="CE338" s="802">
        <f t="shared" ca="1" si="897"/>
        <v>0.30778324993059414</v>
      </c>
      <c r="CF338" s="802">
        <f t="shared" ca="1" si="898"/>
        <v>0.21688232448298095</v>
      </c>
      <c r="CG338" s="802">
        <f t="shared" ca="1" si="899"/>
        <v>0.24228140837416845</v>
      </c>
      <c r="CH338" s="802">
        <f t="shared" ca="1" si="900"/>
        <v>0.17429873938439755</v>
      </c>
      <c r="CI338" s="802">
        <f t="shared" ca="1" si="901"/>
        <v>-1.2991271504266138</v>
      </c>
      <c r="CJ338" s="802">
        <f t="shared" ca="1" si="902"/>
        <v>-0.29226033802027018</v>
      </c>
      <c r="CK338" s="802">
        <f t="shared" ca="1" si="903"/>
        <v>-0.66403430877610958</v>
      </c>
      <c r="CL338" s="802">
        <f t="shared" ca="1" si="904"/>
        <v>-0.37025413901122306</v>
      </c>
      <c r="CM338" s="802">
        <f t="shared" ca="1" si="905"/>
        <v>0.6874463859162887</v>
      </c>
      <c r="CN338" s="802">
        <f t="shared" ca="1" si="906"/>
        <v>0.46646439800738904</v>
      </c>
      <c r="CO338" s="802">
        <f t="shared" ca="1" si="907"/>
        <v>0.40148688455245463</v>
      </c>
      <c r="CP338" s="802">
        <f t="shared" ca="1" si="908"/>
        <v>1.2463909081876494</v>
      </c>
      <c r="CQ338" s="802">
        <f t="shared" ca="1" si="909"/>
        <v>2.9554663441353313</v>
      </c>
      <c r="CR338" s="802">
        <f t="shared" ca="1" si="910"/>
        <v>3.4071082454399431</v>
      </c>
      <c r="CS338" s="802">
        <f t="shared" ca="1" si="911"/>
        <v>4.4491285396125306</v>
      </c>
      <c r="CT338" s="802">
        <f t="shared" ca="1" si="912"/>
        <v>4.0591318491850217</v>
      </c>
      <c r="CU338" s="802">
        <f t="shared" ca="1" si="913"/>
        <v>3.2003427940795466</v>
      </c>
      <c r="CV338" s="802">
        <f t="shared" ca="1" si="914"/>
        <v>2.7000996405354982</v>
      </c>
      <c r="CW338" s="802">
        <f t="shared" ca="1" si="915"/>
        <v>2.6728413706528471</v>
      </c>
      <c r="CX338" s="802">
        <f t="shared" ca="1" si="916"/>
        <v>2.6731374763846674</v>
      </c>
      <c r="CY338" s="802">
        <f t="shared" ca="1" si="917"/>
        <v>2.7085884536913909</v>
      </c>
      <c r="CZ338" s="802">
        <f t="shared" ca="1" si="918"/>
        <v>2.5208338919720465</v>
      </c>
      <c r="DA338" s="802">
        <f t="shared" ca="1" si="919"/>
        <v>2.2255013487630464</v>
      </c>
      <c r="DB338" s="802">
        <f t="shared" ca="1" si="920"/>
        <v>1.939395359138814</v>
      </c>
    </row>
    <row r="339" spans="1:106">
      <c r="CT339"/>
      <c r="CX339"/>
      <c r="DB339" s="3649"/>
    </row>
    <row r="340" spans="1:106">
      <c r="BW340" s="1287"/>
      <c r="BX340" s="1287"/>
      <c r="BY340" s="1287"/>
      <c r="BZ340" s="1287"/>
      <c r="CA340" s="1287"/>
      <c r="CB340" s="1287"/>
      <c r="CC340" s="1287"/>
      <c r="CD340" s="1287"/>
      <c r="CE340" s="1287"/>
      <c r="CF340" s="1287"/>
      <c r="CG340" s="1287"/>
      <c r="CH340" s="1287"/>
      <c r="CI340" s="1287"/>
      <c r="CJ340" s="1287"/>
      <c r="CK340" s="1287"/>
      <c r="CT340"/>
      <c r="CX340"/>
      <c r="DB340" s="3649"/>
    </row>
    <row r="341" spans="1:106">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T341"/>
      <c r="CX341"/>
      <c r="DB341" s="3649"/>
    </row>
    <row r="342" spans="1:106">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T342"/>
      <c r="CX342"/>
      <c r="DB342" s="3649"/>
    </row>
    <row r="343" spans="1:106">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T343"/>
      <c r="CX343"/>
      <c r="DB343" s="3649"/>
    </row>
    <row r="344" spans="1:106">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T344"/>
      <c r="CX344"/>
      <c r="DB344" s="3649"/>
    </row>
    <row r="345" spans="1:106">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T345"/>
      <c r="CX345"/>
      <c r="DB345" s="3649"/>
    </row>
    <row r="346" spans="1:106">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T346"/>
      <c r="CX346"/>
      <c r="DB346" s="3649"/>
    </row>
    <row r="347" spans="1:106">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T347"/>
      <c r="CX347"/>
      <c r="DB347" s="3649"/>
    </row>
    <row r="348" spans="1:106">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T348"/>
      <c r="CX348"/>
      <c r="DB348" s="3649"/>
    </row>
    <row r="349" spans="1:106">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T349"/>
      <c r="CX349"/>
      <c r="DB349" s="3649"/>
    </row>
    <row r="350" spans="1:106">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T350"/>
      <c r="CX350"/>
      <c r="DB350" s="3649"/>
    </row>
    <row r="351" spans="1:106">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T351"/>
      <c r="CX351"/>
      <c r="DB351" s="3649"/>
    </row>
    <row r="352" spans="1:106">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T352"/>
      <c r="CX352"/>
      <c r="DB352" s="3649"/>
    </row>
    <row r="353" spans="103:106" customFormat="1">
      <c r="CY353" s="3649"/>
      <c r="CZ353" s="3649"/>
      <c r="DA353" s="3649"/>
      <c r="DB353" s="3649"/>
    </row>
    <row r="354" spans="103:106" customFormat="1">
      <c r="CY354" s="3649"/>
      <c r="CZ354" s="3649"/>
      <c r="DA354" s="3649"/>
      <c r="DB354" s="3649"/>
    </row>
    <row r="355" spans="103:106" customFormat="1">
      <c r="CY355" s="3649"/>
      <c r="CZ355" s="3649"/>
      <c r="DA355" s="3649"/>
      <c r="DB355" s="3649"/>
    </row>
    <row r="356" spans="103:106" customFormat="1">
      <c r="CY356" s="3649"/>
      <c r="CZ356" s="3649"/>
      <c r="DA356" s="3649"/>
      <c r="DB356" s="3649"/>
    </row>
    <row r="357" spans="103:106" customFormat="1">
      <c r="CY357" s="3649"/>
      <c r="CZ357" s="3649"/>
      <c r="DA357" s="3649"/>
      <c r="DB357" s="3649"/>
    </row>
    <row r="358" spans="103:106" customFormat="1">
      <c r="CY358" s="3649"/>
      <c r="CZ358" s="3649"/>
      <c r="DA358" s="3649"/>
      <c r="DB358" s="3649"/>
    </row>
    <row r="359" spans="103:106" customFormat="1">
      <c r="CY359" s="3649"/>
      <c r="CZ359" s="3649"/>
      <c r="DA359" s="3649"/>
      <c r="DB359" s="3649"/>
    </row>
    <row r="360" spans="103:106" customFormat="1">
      <c r="CY360" s="3649"/>
      <c r="CZ360" s="3649"/>
      <c r="DA360" s="3649"/>
      <c r="DB360" s="3649"/>
    </row>
    <row r="361" spans="103:106" customFormat="1">
      <c r="CY361" s="3649"/>
      <c r="CZ361" s="3649"/>
      <c r="DA361" s="3649"/>
      <c r="DB361" s="3649"/>
    </row>
    <row r="362" spans="103:106" customFormat="1">
      <c r="CY362" s="3649"/>
      <c r="CZ362" s="3649"/>
      <c r="DA362" s="3649"/>
      <c r="DB362" s="3649"/>
    </row>
    <row r="363" spans="103:106" customFormat="1">
      <c r="CY363" s="3649"/>
      <c r="CZ363" s="3649"/>
      <c r="DA363" s="3649"/>
      <c r="DB363" s="3649"/>
    </row>
    <row r="364" spans="103:106" customFormat="1">
      <c r="CY364" s="3649"/>
      <c r="CZ364" s="3649"/>
      <c r="DA364" s="3649"/>
      <c r="DB364" s="3649"/>
    </row>
    <row r="365" spans="103:106" customFormat="1">
      <c r="CY365" s="3649"/>
      <c r="CZ365" s="3649"/>
      <c r="DA365" s="3649"/>
      <c r="DB365" s="3649"/>
    </row>
    <row r="366" spans="103:106" customFormat="1">
      <c r="CY366" s="3649"/>
      <c r="CZ366" s="3649"/>
      <c r="DA366" s="3649"/>
      <c r="DB366" s="3649"/>
    </row>
    <row r="367" spans="103:106" customFormat="1">
      <c r="CY367" s="3649"/>
      <c r="CZ367" s="3649"/>
      <c r="DA367" s="3649"/>
      <c r="DB367" s="3649"/>
    </row>
    <row r="368" spans="103:106" customFormat="1">
      <c r="CY368" s="3649"/>
      <c r="CZ368" s="3649"/>
      <c r="DA368" s="3649"/>
      <c r="DB368" s="3649"/>
    </row>
    <row r="369" spans="103:106" customFormat="1">
      <c r="CY369" s="3649"/>
      <c r="CZ369" s="3649"/>
      <c r="DA369" s="3649"/>
      <c r="DB369" s="3649"/>
    </row>
    <row r="370" spans="103:106" customFormat="1">
      <c r="CY370" s="3649"/>
      <c r="CZ370" s="3649"/>
      <c r="DA370" s="3649"/>
      <c r="DB370" s="3649"/>
    </row>
    <row r="371" spans="103:106" customFormat="1">
      <c r="CY371" s="3649"/>
      <c r="CZ371" s="3649"/>
      <c r="DA371" s="3649"/>
      <c r="DB371" s="3649"/>
    </row>
    <row r="372" spans="103:106" customFormat="1">
      <c r="CY372" s="3649"/>
      <c r="CZ372" s="3649"/>
      <c r="DA372" s="3649"/>
      <c r="DB372" s="3649"/>
    </row>
    <row r="373" spans="103:106" customFormat="1">
      <c r="CY373" s="3649"/>
      <c r="CZ373" s="3649"/>
      <c r="DA373" s="3649"/>
      <c r="DB373" s="3649"/>
    </row>
    <row r="374" spans="103:106" customFormat="1">
      <c r="CY374" s="3649"/>
      <c r="CZ374" s="3649"/>
      <c r="DA374" s="3649"/>
      <c r="DB374" s="3649"/>
    </row>
    <row r="375" spans="103:106" customFormat="1">
      <c r="CY375" s="3649"/>
      <c r="CZ375" s="3649"/>
      <c r="DA375" s="3649"/>
      <c r="DB375" s="3649"/>
    </row>
    <row r="376" spans="103:106" customFormat="1">
      <c r="CY376" s="3649"/>
      <c r="CZ376" s="3649"/>
      <c r="DA376" s="3649"/>
      <c r="DB376" s="3649"/>
    </row>
    <row r="377" spans="103:106" customFormat="1">
      <c r="CY377" s="3649"/>
      <c r="CZ377" s="3649"/>
      <c r="DA377" s="3649"/>
      <c r="DB377" s="3649"/>
    </row>
    <row r="378" spans="103:106" customFormat="1">
      <c r="CY378" s="3649"/>
      <c r="CZ378" s="3649"/>
      <c r="DA378" s="3649"/>
      <c r="DB378" s="3649"/>
    </row>
    <row r="379" spans="103:106" customFormat="1">
      <c r="CY379" s="3649"/>
      <c r="CZ379" s="3649"/>
      <c r="DA379" s="3649"/>
      <c r="DB379" s="3649"/>
    </row>
    <row r="380" spans="103:106" customFormat="1">
      <c r="CY380" s="3649"/>
      <c r="CZ380" s="3649"/>
      <c r="DA380" s="3649"/>
      <c r="DB380" s="3649"/>
    </row>
    <row r="381" spans="103:106" customFormat="1">
      <c r="CY381" s="3649"/>
      <c r="CZ381" s="3649"/>
      <c r="DA381" s="3649"/>
      <c r="DB381" s="3649"/>
    </row>
    <row r="382" spans="103:106" customFormat="1">
      <c r="CY382" s="3649"/>
      <c r="CZ382" s="3649"/>
      <c r="DA382" s="3649"/>
      <c r="DB382" s="3649"/>
    </row>
    <row r="383" spans="103:106" customFormat="1">
      <c r="CY383" s="3649"/>
      <c r="CZ383" s="3649"/>
      <c r="DA383" s="3649"/>
      <c r="DB383" s="3649"/>
    </row>
    <row r="384" spans="103:106" customFormat="1">
      <c r="CY384" s="3649"/>
      <c r="CZ384" s="3649"/>
      <c r="DA384" s="3649"/>
      <c r="DB384" s="3649"/>
    </row>
    <row r="385" spans="103:106" customFormat="1">
      <c r="CY385" s="3649"/>
      <c r="CZ385" s="3649"/>
      <c r="DA385" s="3649"/>
      <c r="DB385" s="3649"/>
    </row>
    <row r="386" spans="103:106" customFormat="1">
      <c r="CY386" s="3649"/>
      <c r="CZ386" s="3649"/>
      <c r="DA386" s="3649"/>
      <c r="DB386" s="3649"/>
    </row>
    <row r="387" spans="103:106" customFormat="1">
      <c r="CY387" s="3649"/>
      <c r="CZ387" s="3649"/>
      <c r="DA387" s="3649"/>
      <c r="DB387" s="3649"/>
    </row>
    <row r="388" spans="103:106" customFormat="1">
      <c r="CY388" s="3649"/>
      <c r="CZ388" s="3649"/>
      <c r="DA388" s="3649"/>
      <c r="DB388" s="3649"/>
    </row>
    <row r="389" spans="103:106" customFormat="1">
      <c r="CY389" s="3649"/>
      <c r="CZ389" s="3649"/>
      <c r="DA389" s="3649"/>
      <c r="DB389" s="3649"/>
    </row>
    <row r="390" spans="103:106" customFormat="1">
      <c r="CY390" s="3649"/>
      <c r="CZ390" s="3649"/>
      <c r="DA390" s="3649"/>
      <c r="DB390" s="3649"/>
    </row>
    <row r="391" spans="103:106" customFormat="1">
      <c r="CY391" s="3649"/>
      <c r="CZ391" s="3649"/>
      <c r="DA391" s="3649"/>
      <c r="DB391" s="3649"/>
    </row>
    <row r="392" spans="103:106" customFormat="1">
      <c r="CY392" s="3649"/>
      <c r="CZ392" s="3649"/>
      <c r="DA392" s="3649"/>
      <c r="DB392" s="3649"/>
    </row>
    <row r="393" spans="103:106" customFormat="1">
      <c r="CY393" s="3649"/>
      <c r="CZ393" s="3649"/>
      <c r="DA393" s="3649"/>
      <c r="DB393" s="3649"/>
    </row>
    <row r="394" spans="103:106" customFormat="1">
      <c r="CY394" s="3649"/>
      <c r="CZ394" s="3649"/>
      <c r="DA394" s="3649"/>
      <c r="DB394" s="3649"/>
    </row>
    <row r="395" spans="103:106" customFormat="1">
      <c r="CY395" s="3649"/>
      <c r="CZ395" s="3649"/>
      <c r="DA395" s="3649"/>
      <c r="DB395" s="3649"/>
    </row>
    <row r="396" spans="103:106" customFormat="1">
      <c r="CY396" s="3649"/>
      <c r="CZ396" s="3649"/>
      <c r="DA396" s="3649"/>
      <c r="DB396" s="3649"/>
    </row>
    <row r="397" spans="103:106" customFormat="1">
      <c r="CY397" s="3649"/>
      <c r="CZ397" s="3649"/>
      <c r="DA397" s="3649"/>
      <c r="DB397" s="3649"/>
    </row>
    <row r="398" spans="103:106" customFormat="1">
      <c r="CY398" s="3649"/>
      <c r="CZ398" s="3649"/>
      <c r="DA398" s="3649"/>
      <c r="DB398" s="3649"/>
    </row>
    <row r="399" spans="103:106" customFormat="1">
      <c r="CY399" s="3649"/>
      <c r="CZ399" s="3649"/>
      <c r="DA399" s="3649"/>
      <c r="DB399" s="3649"/>
    </row>
    <row r="400" spans="103:106" customFormat="1">
      <c r="CY400" s="3649"/>
      <c r="CZ400" s="3649"/>
      <c r="DA400" s="3649"/>
      <c r="DB400" s="3649"/>
    </row>
    <row r="401" spans="103:106" customFormat="1">
      <c r="CY401" s="3649"/>
      <c r="CZ401" s="3649"/>
      <c r="DA401" s="3649"/>
      <c r="DB401" s="3649"/>
    </row>
    <row r="402" spans="103:106" customFormat="1">
      <c r="CY402" s="3649"/>
      <c r="CZ402" s="3649"/>
      <c r="DA402" s="3649"/>
      <c r="DB402" s="3649"/>
    </row>
    <row r="403" spans="103:106" customFormat="1">
      <c r="CY403" s="3649"/>
      <c r="CZ403" s="3649"/>
      <c r="DA403" s="3649"/>
      <c r="DB403" s="3649"/>
    </row>
    <row r="404" spans="103:106" customFormat="1">
      <c r="CY404" s="3649"/>
      <c r="CZ404" s="3649"/>
      <c r="DA404" s="3649"/>
      <c r="DB404" s="3649"/>
    </row>
    <row r="405" spans="103:106" customFormat="1">
      <c r="CY405" s="3649"/>
      <c r="CZ405" s="3649"/>
      <c r="DA405" s="3649"/>
      <c r="DB405" s="3649"/>
    </row>
    <row r="406" spans="103:106" customFormat="1">
      <c r="CY406" s="3649"/>
      <c r="CZ406" s="3649"/>
      <c r="DA406" s="3649"/>
      <c r="DB406" s="3649"/>
    </row>
    <row r="407" spans="103:106" customFormat="1">
      <c r="CY407" s="3649"/>
      <c r="CZ407" s="3649"/>
      <c r="DA407" s="3649"/>
      <c r="DB407" s="3649"/>
    </row>
    <row r="408" spans="103:106" customFormat="1">
      <c r="CY408" s="3649"/>
      <c r="CZ408" s="3649"/>
      <c r="DA408" s="3649"/>
      <c r="DB408" s="3649"/>
    </row>
    <row r="409" spans="103:106" customFormat="1">
      <c r="CY409" s="3649"/>
      <c r="CZ409" s="3649"/>
      <c r="DA409" s="3649"/>
      <c r="DB409" s="3649"/>
    </row>
    <row r="410" spans="103:106" customFormat="1">
      <c r="CY410" s="3649"/>
      <c r="CZ410" s="3649"/>
      <c r="DA410" s="3649"/>
      <c r="DB410" s="3649"/>
    </row>
    <row r="411" spans="103:106" customFormat="1">
      <c r="CY411" s="3649"/>
      <c r="CZ411" s="3649"/>
      <c r="DA411" s="3649"/>
      <c r="DB411" s="3649"/>
    </row>
    <row r="412" spans="103:106" customFormat="1">
      <c r="CY412" s="3649"/>
      <c r="CZ412" s="3649"/>
      <c r="DA412" s="3649"/>
      <c r="DB412" s="3649"/>
    </row>
    <row r="413" spans="103:106" customFormat="1">
      <c r="CY413" s="3649"/>
      <c r="CZ413" s="3649"/>
      <c r="DA413" s="3649"/>
      <c r="DB413" s="3649"/>
    </row>
    <row r="414" spans="103:106" customFormat="1">
      <c r="CY414" s="3649"/>
      <c r="CZ414" s="3649"/>
      <c r="DA414" s="3649"/>
      <c r="DB414" s="3649"/>
    </row>
    <row r="415" spans="103:106" customFormat="1">
      <c r="CY415" s="3649"/>
      <c r="CZ415" s="3649"/>
      <c r="DA415" s="3649"/>
      <c r="DB415" s="3649"/>
    </row>
    <row r="416" spans="103:106" customFormat="1">
      <c r="CY416" s="3649"/>
      <c r="CZ416" s="3649"/>
      <c r="DA416" s="3649"/>
      <c r="DB416" s="3649"/>
    </row>
    <row r="417" spans="103:106" customFormat="1">
      <c r="CY417" s="3649"/>
      <c r="CZ417" s="3649"/>
      <c r="DA417" s="3649"/>
      <c r="DB417" s="3649"/>
    </row>
    <row r="418" spans="103:106" customFormat="1">
      <c r="CY418" s="3649"/>
      <c r="CZ418" s="3649"/>
      <c r="DA418" s="3649"/>
      <c r="DB418" s="3649"/>
    </row>
    <row r="419" spans="103:106" customFormat="1">
      <c r="CY419" s="3649"/>
      <c r="CZ419" s="3649"/>
      <c r="DA419" s="3649"/>
      <c r="DB419" s="3649"/>
    </row>
    <row r="420" spans="103:106" customFormat="1">
      <c r="CY420" s="3649"/>
      <c r="CZ420" s="3649"/>
      <c r="DA420" s="3649"/>
      <c r="DB420" s="3649"/>
    </row>
    <row r="421" spans="103:106" customFormat="1">
      <c r="CY421" s="3649"/>
      <c r="CZ421" s="3649"/>
      <c r="DA421" s="3649"/>
      <c r="DB421" s="3649"/>
    </row>
    <row r="422" spans="103:106" customFormat="1">
      <c r="CY422" s="3649"/>
      <c r="CZ422" s="3649"/>
      <c r="DA422" s="3649"/>
      <c r="DB422" s="3649"/>
    </row>
    <row r="423" spans="103:106" customFormat="1">
      <c r="CY423" s="3649"/>
      <c r="CZ423" s="3649"/>
      <c r="DA423" s="3649"/>
      <c r="DB423" s="3649"/>
    </row>
    <row r="424" spans="103:106" customFormat="1">
      <c r="CY424" s="3649"/>
      <c r="CZ424" s="3649"/>
      <c r="DA424" s="3649"/>
      <c r="DB424" s="3649"/>
    </row>
    <row r="425" spans="103:106" customFormat="1">
      <c r="CY425" s="3649"/>
      <c r="CZ425" s="3649"/>
      <c r="DA425" s="3649"/>
      <c r="DB425" s="3649"/>
    </row>
    <row r="426" spans="103:106" customFormat="1">
      <c r="CY426" s="3649"/>
      <c r="CZ426" s="3649"/>
      <c r="DA426" s="3649"/>
      <c r="DB426" s="3649"/>
    </row>
    <row r="427" spans="103:106" customFormat="1">
      <c r="CY427" s="3649"/>
      <c r="CZ427" s="3649"/>
      <c r="DA427" s="3649"/>
      <c r="DB427" s="3649"/>
    </row>
    <row r="428" spans="103:106" customFormat="1">
      <c r="CY428" s="3649"/>
      <c r="CZ428" s="3649"/>
      <c r="DA428" s="3649"/>
      <c r="DB428" s="3649"/>
    </row>
    <row r="429" spans="103:106" customFormat="1">
      <c r="CY429" s="3649"/>
      <c r="CZ429" s="3649"/>
      <c r="DA429" s="3649"/>
      <c r="DB429" s="3649"/>
    </row>
    <row r="430" spans="103:106" customFormat="1">
      <c r="CY430" s="3649"/>
      <c r="CZ430" s="3649"/>
      <c r="DA430" s="3649"/>
      <c r="DB430" s="3649"/>
    </row>
    <row r="431" spans="103:106" customFormat="1">
      <c r="CY431" s="3649"/>
      <c r="CZ431" s="3649"/>
      <c r="DA431" s="3649"/>
      <c r="DB431" s="3649"/>
    </row>
    <row r="432" spans="103:106" customFormat="1">
      <c r="CY432" s="3649"/>
      <c r="CZ432" s="3649"/>
      <c r="DA432" s="3649"/>
      <c r="DB432" s="3649"/>
    </row>
    <row r="433" spans="103:106" customFormat="1">
      <c r="CY433" s="3649"/>
      <c r="CZ433" s="3649"/>
      <c r="DA433" s="3649"/>
      <c r="DB433" s="3649"/>
    </row>
    <row r="434" spans="103:106" customFormat="1">
      <c r="CY434" s="3649"/>
      <c r="CZ434" s="3649"/>
      <c r="DA434" s="3649"/>
      <c r="DB434" s="3649"/>
    </row>
    <row r="435" spans="103:106" customFormat="1">
      <c r="CY435" s="3649"/>
      <c r="CZ435" s="3649"/>
      <c r="DA435" s="3649"/>
      <c r="DB435" s="3649"/>
    </row>
    <row r="436" spans="103:106" customFormat="1">
      <c r="CY436" s="3649"/>
      <c r="CZ436" s="3649"/>
      <c r="DA436" s="3649"/>
      <c r="DB436" s="3649"/>
    </row>
    <row r="437" spans="103:106" customFormat="1">
      <c r="CY437" s="3649"/>
      <c r="CZ437" s="3649"/>
      <c r="DA437" s="3649"/>
      <c r="DB437" s="3649"/>
    </row>
    <row r="438" spans="103:106" customFormat="1">
      <c r="CY438" s="3649"/>
      <c r="CZ438" s="3649"/>
      <c r="DA438" s="3649"/>
      <c r="DB438" s="3649"/>
    </row>
    <row r="439" spans="103:106" customFormat="1">
      <c r="CY439" s="3649"/>
      <c r="CZ439" s="3649"/>
      <c r="DA439" s="3649"/>
      <c r="DB439" s="3649"/>
    </row>
    <row r="440" spans="103:106" customFormat="1">
      <c r="CY440" s="3649"/>
      <c r="CZ440" s="3649"/>
      <c r="DA440" s="3649"/>
      <c r="DB440" s="3649"/>
    </row>
    <row r="441" spans="103:106" customFormat="1">
      <c r="CY441" s="3649"/>
      <c r="CZ441" s="3649"/>
      <c r="DA441" s="3649"/>
      <c r="DB441" s="3649"/>
    </row>
    <row r="442" spans="103:106" customFormat="1">
      <c r="CY442" s="3649"/>
      <c r="CZ442" s="3649"/>
      <c r="DA442" s="3649"/>
      <c r="DB442" s="3649"/>
    </row>
    <row r="443" spans="103:106" customFormat="1">
      <c r="CY443" s="3649"/>
      <c r="CZ443" s="3649"/>
      <c r="DA443" s="3649"/>
      <c r="DB443" s="3649"/>
    </row>
    <row r="444" spans="103:106" customFormat="1">
      <c r="CY444" s="3649"/>
      <c r="CZ444" s="3649"/>
      <c r="DA444" s="3649"/>
      <c r="DB444" s="3649"/>
    </row>
    <row r="445" spans="103:106" customFormat="1">
      <c r="CY445" s="3649"/>
      <c r="CZ445" s="3649"/>
      <c r="DA445" s="3649"/>
      <c r="DB445" s="3649"/>
    </row>
    <row r="446" spans="103:106" customFormat="1">
      <c r="CY446" s="3649"/>
      <c r="CZ446" s="3649"/>
      <c r="DA446" s="3649"/>
      <c r="DB446" s="3649"/>
    </row>
    <row r="447" spans="103:106" customFormat="1">
      <c r="CY447" s="3649"/>
      <c r="CZ447" s="3649"/>
      <c r="DA447" s="3649"/>
      <c r="DB447" s="3649"/>
    </row>
    <row r="448" spans="103:106" customFormat="1">
      <c r="CY448" s="3649"/>
      <c r="CZ448" s="3649"/>
      <c r="DA448" s="3649"/>
      <c r="DB448" s="3649"/>
    </row>
    <row r="449" spans="103:106" customFormat="1">
      <c r="CY449" s="3649"/>
      <c r="CZ449" s="3649"/>
      <c r="DA449" s="3649"/>
      <c r="DB449" s="3649"/>
    </row>
    <row r="450" spans="103:106" customFormat="1">
      <c r="CY450" s="3649"/>
      <c r="CZ450" s="3649"/>
      <c r="DA450" s="3649"/>
      <c r="DB450" s="3649"/>
    </row>
    <row r="451" spans="103:106" customFormat="1">
      <c r="CY451" s="3649"/>
      <c r="CZ451" s="3649"/>
      <c r="DA451" s="3649"/>
      <c r="DB451" s="3649"/>
    </row>
    <row r="452" spans="103:106" customFormat="1">
      <c r="CY452" s="3649"/>
      <c r="CZ452" s="3649"/>
      <c r="DA452" s="3649"/>
      <c r="DB452" s="3649"/>
    </row>
    <row r="453" spans="103:106" customFormat="1">
      <c r="CY453" s="3649"/>
      <c r="CZ453" s="3649"/>
      <c r="DA453" s="3649"/>
      <c r="DB453" s="3649"/>
    </row>
    <row r="454" spans="103:106" customFormat="1">
      <c r="CY454" s="3649"/>
      <c r="CZ454" s="3649"/>
      <c r="DA454" s="3649"/>
      <c r="DB454" s="3649"/>
    </row>
    <row r="455" spans="103:106" customFormat="1">
      <c r="CY455" s="3649"/>
      <c r="CZ455" s="3649"/>
      <c r="DA455" s="3649"/>
      <c r="DB455" s="3649"/>
    </row>
    <row r="456" spans="103:106" customFormat="1">
      <c r="CY456" s="3649"/>
      <c r="CZ456" s="3649"/>
      <c r="DA456" s="3649"/>
      <c r="DB456" s="3649"/>
    </row>
    <row r="457" spans="103:106" customFormat="1">
      <c r="CY457" s="3649"/>
      <c r="CZ457" s="3649"/>
      <c r="DA457" s="3649"/>
      <c r="DB457" s="3649"/>
    </row>
    <row r="458" spans="103:106" customFormat="1">
      <c r="CY458" s="3649"/>
      <c r="CZ458" s="3649"/>
      <c r="DA458" s="3649"/>
      <c r="DB458" s="3649"/>
    </row>
    <row r="459" spans="103:106" customFormat="1">
      <c r="CY459" s="3649"/>
      <c r="CZ459" s="3649"/>
      <c r="DA459" s="3649"/>
      <c r="DB459" s="3649"/>
    </row>
    <row r="460" spans="103:106" customFormat="1">
      <c r="CY460" s="3649"/>
      <c r="CZ460" s="3649"/>
      <c r="DA460" s="3649"/>
      <c r="DB460" s="3649"/>
    </row>
    <row r="461" spans="103:106" customFormat="1">
      <c r="CY461" s="3649"/>
      <c r="CZ461" s="3649"/>
      <c r="DA461" s="3649"/>
      <c r="DB461" s="3649"/>
    </row>
    <row r="462" spans="103:106" customFormat="1">
      <c r="CY462" s="3649"/>
      <c r="CZ462" s="3649"/>
      <c r="DA462" s="3649"/>
      <c r="DB462" s="3649"/>
    </row>
    <row r="463" spans="103:106" customFormat="1">
      <c r="CY463" s="3649"/>
      <c r="CZ463" s="3649"/>
      <c r="DA463" s="3649"/>
      <c r="DB463" s="3649"/>
    </row>
    <row r="464" spans="103:106" customFormat="1">
      <c r="CY464" s="3649"/>
      <c r="CZ464" s="3649"/>
      <c r="DA464" s="3649"/>
      <c r="DB464" s="3649"/>
    </row>
    <row r="465" spans="103:106" customFormat="1">
      <c r="CY465" s="3649"/>
      <c r="CZ465" s="3649"/>
      <c r="DA465" s="3649"/>
      <c r="DB465" s="3649"/>
    </row>
    <row r="466" spans="103:106" customFormat="1">
      <c r="CY466" s="3649"/>
      <c r="CZ466" s="3649"/>
      <c r="DA466" s="3649"/>
      <c r="DB466" s="3649"/>
    </row>
    <row r="467" spans="103:106" customFormat="1">
      <c r="CY467" s="3649"/>
      <c r="CZ467" s="3649"/>
      <c r="DA467" s="3649"/>
      <c r="DB467" s="3649"/>
    </row>
    <row r="468" spans="103:106" customFormat="1">
      <c r="CY468" s="3649"/>
      <c r="CZ468" s="3649"/>
      <c r="DA468" s="3649"/>
      <c r="DB468" s="3649"/>
    </row>
    <row r="469" spans="103:106" customFormat="1">
      <c r="CY469" s="3649"/>
      <c r="CZ469" s="3649"/>
      <c r="DA469" s="3649"/>
      <c r="DB469" s="3649"/>
    </row>
    <row r="470" spans="103:106" customFormat="1">
      <c r="CY470" s="3649"/>
      <c r="CZ470" s="3649"/>
      <c r="DA470" s="3649"/>
      <c r="DB470" s="3649"/>
    </row>
    <row r="471" spans="103:106" customFormat="1">
      <c r="CY471" s="3649"/>
      <c r="CZ471" s="3649"/>
      <c r="DA471" s="3649"/>
      <c r="DB471" s="3649"/>
    </row>
    <row r="472" spans="103:106" customFormat="1">
      <c r="CY472" s="3649"/>
      <c r="CZ472" s="3649"/>
      <c r="DA472" s="3649"/>
      <c r="DB472" s="3649"/>
    </row>
    <row r="473" spans="103:106" customFormat="1">
      <c r="CY473" s="3649"/>
      <c r="CZ473" s="3649"/>
      <c r="DA473" s="3649"/>
      <c r="DB473" s="3649"/>
    </row>
    <row r="474" spans="103:106" customFormat="1">
      <c r="CY474" s="3649"/>
      <c r="CZ474" s="3649"/>
      <c r="DA474" s="3649"/>
      <c r="DB474" s="3649"/>
    </row>
    <row r="475" spans="103:106" customFormat="1">
      <c r="CY475" s="3649"/>
      <c r="CZ475" s="3649"/>
      <c r="DA475" s="3649"/>
      <c r="DB475" s="3649"/>
    </row>
    <row r="476" spans="103:106" customFormat="1">
      <c r="CY476" s="3649"/>
      <c r="CZ476" s="3649"/>
      <c r="DA476" s="3649"/>
      <c r="DB476" s="3649"/>
    </row>
    <row r="477" spans="103:106" customFormat="1">
      <c r="CY477" s="3649"/>
      <c r="CZ477" s="3649"/>
      <c r="DA477" s="3649"/>
      <c r="DB477" s="3649"/>
    </row>
    <row r="478" spans="103:106" customFormat="1">
      <c r="CY478" s="3649"/>
      <c r="CZ478" s="3649"/>
      <c r="DA478" s="3649"/>
      <c r="DB478" s="3649"/>
    </row>
    <row r="479" spans="103:106" customFormat="1">
      <c r="CY479" s="3649"/>
      <c r="CZ479" s="3649"/>
      <c r="DA479" s="3649"/>
      <c r="DB479" s="3649"/>
    </row>
    <row r="480" spans="103:106" customFormat="1">
      <c r="CY480" s="3649"/>
      <c r="CZ480" s="3649"/>
      <c r="DA480" s="3649"/>
      <c r="DB480" s="3649"/>
    </row>
    <row r="481" spans="103:106" customFormat="1">
      <c r="CY481" s="3649"/>
      <c r="CZ481" s="3649"/>
      <c r="DA481" s="3649"/>
      <c r="DB481" s="3649"/>
    </row>
    <row r="482" spans="103:106" customFormat="1">
      <c r="CY482" s="3649"/>
      <c r="CZ482" s="3649"/>
      <c r="DA482" s="3649"/>
      <c r="DB482" s="3649"/>
    </row>
    <row r="483" spans="103:106" customFormat="1">
      <c r="CY483" s="3649"/>
      <c r="CZ483" s="3649"/>
      <c r="DA483" s="3649"/>
      <c r="DB483" s="3649"/>
    </row>
    <row r="484" spans="103:106" customFormat="1">
      <c r="CY484" s="3649"/>
      <c r="CZ484" s="3649"/>
      <c r="DA484" s="3649"/>
      <c r="DB484" s="3649"/>
    </row>
    <row r="485" spans="103:106" customFormat="1">
      <c r="CY485" s="3649"/>
      <c r="CZ485" s="3649"/>
      <c r="DA485" s="3649"/>
      <c r="DB485" s="3649"/>
    </row>
    <row r="486" spans="103:106" customFormat="1">
      <c r="CY486" s="3649"/>
      <c r="CZ486" s="3649"/>
      <c r="DA486" s="3649"/>
      <c r="DB486" s="3649"/>
    </row>
    <row r="487" spans="103:106" customFormat="1">
      <c r="CY487" s="3649"/>
      <c r="CZ487" s="3649"/>
      <c r="DA487" s="3649"/>
      <c r="DB487" s="3649"/>
    </row>
    <row r="488" spans="103:106" customFormat="1">
      <c r="CY488" s="3649"/>
      <c r="CZ488" s="3649"/>
      <c r="DA488" s="3649"/>
      <c r="DB488" s="3649"/>
    </row>
    <row r="489" spans="103:106" customFormat="1">
      <c r="CY489" s="3649"/>
      <c r="CZ489" s="3649"/>
      <c r="DA489" s="3649"/>
      <c r="DB489" s="3649"/>
    </row>
    <row r="490" spans="103:106" customFormat="1">
      <c r="CY490" s="3649"/>
      <c r="CZ490" s="3649"/>
      <c r="DA490" s="3649"/>
      <c r="DB490" s="3649"/>
    </row>
    <row r="491" spans="103:106" customFormat="1">
      <c r="CY491" s="3649"/>
      <c r="CZ491" s="3649"/>
      <c r="DA491" s="3649"/>
      <c r="DB491" s="3649"/>
    </row>
    <row r="492" spans="103:106" customFormat="1">
      <c r="CY492" s="3649"/>
      <c r="CZ492" s="3649"/>
      <c r="DA492" s="3649"/>
      <c r="DB492" s="3649"/>
    </row>
    <row r="493" spans="103:106" customFormat="1">
      <c r="CY493" s="3649"/>
      <c r="CZ493" s="3649"/>
      <c r="DA493" s="3649"/>
      <c r="DB493" s="3649"/>
    </row>
    <row r="494" spans="103:106" customFormat="1">
      <c r="CY494" s="3649"/>
      <c r="CZ494" s="3649"/>
      <c r="DA494" s="3649"/>
      <c r="DB494" s="3649"/>
    </row>
    <row r="495" spans="103:106" customFormat="1">
      <c r="CY495" s="3649"/>
      <c r="CZ495" s="3649"/>
      <c r="DA495" s="3649"/>
      <c r="DB495" s="3649"/>
    </row>
    <row r="496" spans="103:106" customFormat="1">
      <c r="CY496" s="3649"/>
      <c r="CZ496" s="3649"/>
      <c r="DA496" s="3649"/>
      <c r="DB496" s="3649"/>
    </row>
    <row r="497" spans="98:106" customFormat="1">
      <c r="CY497" s="3649"/>
      <c r="CZ497" s="3649"/>
      <c r="DA497" s="3649"/>
      <c r="DB497" s="3649"/>
    </row>
    <row r="498" spans="98:106" customFormat="1">
      <c r="CY498" s="3649"/>
      <c r="CZ498" s="3649"/>
      <c r="DA498" s="3649"/>
      <c r="DB498" s="3649"/>
    </row>
    <row r="499" spans="98:106" customFormat="1">
      <c r="CY499" s="3649"/>
      <c r="CZ499" s="3649"/>
      <c r="DA499" s="3649"/>
      <c r="DB499" s="3649"/>
    </row>
    <row r="500" spans="98:106" customFormat="1">
      <c r="CY500" s="3649"/>
      <c r="CZ500" s="3649"/>
      <c r="DA500" s="3649"/>
      <c r="DB500" s="3649"/>
    </row>
    <row r="501" spans="98:106" customFormat="1">
      <c r="CY501" s="3649"/>
      <c r="CZ501" s="3649"/>
      <c r="DA501" s="3649"/>
      <c r="DB501" s="3649"/>
    </row>
    <row r="502" spans="98:106" customFormat="1">
      <c r="CY502" s="3649"/>
      <c r="CZ502" s="3649"/>
      <c r="DA502" s="3649"/>
      <c r="DB502" s="3649"/>
    </row>
    <row r="503" spans="98:106" customFormat="1">
      <c r="CY503" s="3649"/>
      <c r="CZ503" s="3649"/>
      <c r="DA503" s="3649"/>
      <c r="DB503" s="3649"/>
    </row>
    <row r="504" spans="98:106" customFormat="1">
      <c r="CY504" s="3649"/>
      <c r="CZ504" s="3649"/>
      <c r="DA504" s="3649"/>
      <c r="DB504" s="3649"/>
    </row>
    <row r="505" spans="98:106" customFormat="1">
      <c r="CY505" s="3649"/>
      <c r="CZ505" s="3649"/>
      <c r="DA505" s="3649"/>
      <c r="DB505" s="3649"/>
    </row>
    <row r="506" spans="98:106" customFormat="1">
      <c r="CY506" s="3649"/>
      <c r="CZ506" s="3649"/>
      <c r="DA506" s="3649"/>
      <c r="DB506" s="3649"/>
    </row>
    <row r="507" spans="98:106" customFormat="1">
      <c r="CT507" s="3383"/>
      <c r="CX507" s="3383"/>
      <c r="CY507" s="3649"/>
      <c r="CZ507" s="3649"/>
      <c r="DA507" s="3649"/>
      <c r="DB507" s="3383"/>
    </row>
    <row r="508" spans="98:106" customFormat="1">
      <c r="CT508" s="3383"/>
      <c r="CX508" s="3383"/>
      <c r="CY508" s="3649"/>
      <c r="CZ508" s="3649"/>
      <c r="DA508" s="3649"/>
      <c r="DB508" s="3383"/>
    </row>
    <row r="509" spans="98:106" customFormat="1">
      <c r="CT509" s="3383"/>
      <c r="CX509" s="3383"/>
      <c r="CY509" s="3649"/>
      <c r="CZ509" s="3649"/>
      <c r="DA509" s="3649"/>
      <c r="DB509" s="3383"/>
    </row>
    <row r="510" spans="98:106" customFormat="1">
      <c r="CT510" s="3383"/>
      <c r="CX510" s="3383"/>
      <c r="CY510" s="3649"/>
      <c r="CZ510" s="3649"/>
      <c r="DA510" s="3649"/>
      <c r="DB510" s="3383"/>
    </row>
    <row r="511" spans="98:106" customFormat="1">
      <c r="CT511" s="3383"/>
      <c r="CX511" s="3383"/>
      <c r="CY511" s="3649"/>
      <c r="CZ511" s="3649"/>
      <c r="DA511" s="3649"/>
      <c r="DB511" s="3383"/>
    </row>
    <row r="512" spans="98:106" customFormat="1">
      <c r="CT512" s="3383"/>
      <c r="CX512" s="3383"/>
      <c r="CY512" s="3649"/>
      <c r="CZ512" s="3649"/>
      <c r="DA512" s="3649"/>
      <c r="DB512" s="3383"/>
    </row>
    <row r="513" spans="98:106" customFormat="1">
      <c r="CT513" s="3383"/>
      <c r="CX513" s="3383"/>
      <c r="CY513" s="3649"/>
      <c r="CZ513" s="3649"/>
      <c r="DA513" s="3649"/>
      <c r="DB513" s="3383"/>
    </row>
    <row r="514" spans="98:106" customFormat="1">
      <c r="CT514" s="3383"/>
      <c r="CX514" s="3383"/>
      <c r="CY514" s="3649"/>
      <c r="CZ514" s="3649"/>
      <c r="DA514" s="3649"/>
      <c r="DB514" s="3383"/>
    </row>
    <row r="515" spans="98:106" customFormat="1">
      <c r="CT515" s="3383"/>
      <c r="CX515" s="3383"/>
      <c r="CY515" s="3649"/>
      <c r="CZ515" s="3649"/>
      <c r="DA515" s="3649"/>
      <c r="DB515" s="3383"/>
    </row>
    <row r="516" spans="98:106" customFormat="1">
      <c r="CT516" s="3383"/>
      <c r="CX516" s="3383"/>
      <c r="CY516" s="3649"/>
      <c r="CZ516" s="3649"/>
      <c r="DA516" s="3649"/>
      <c r="DB516" s="3383"/>
    </row>
    <row r="517" spans="98:106" customFormat="1">
      <c r="CT517" s="3383"/>
      <c r="CX517" s="3383"/>
      <c r="CY517" s="3649"/>
      <c r="CZ517" s="3649"/>
      <c r="DA517" s="3649"/>
      <c r="DB517" s="3383"/>
    </row>
    <row r="518" spans="98:106" customFormat="1">
      <c r="CT518" s="3383"/>
      <c r="CX518" s="3383"/>
      <c r="CY518" s="3649"/>
      <c r="CZ518" s="3649"/>
      <c r="DA518" s="3649"/>
      <c r="DB518" s="3383"/>
    </row>
    <row r="519" spans="98:106" customFormat="1">
      <c r="CT519" s="3383"/>
      <c r="CX519" s="3383"/>
      <c r="CY519" s="3649"/>
      <c r="CZ519" s="3649"/>
      <c r="DA519" s="3649"/>
      <c r="DB519" s="3383"/>
    </row>
    <row r="520" spans="98:106" customFormat="1">
      <c r="CT520" s="3383"/>
      <c r="CX520" s="3383"/>
      <c r="CY520" s="3649"/>
      <c r="CZ520" s="3649"/>
      <c r="DA520" s="3649"/>
      <c r="DB520" s="3383"/>
    </row>
    <row r="521" spans="98:106" customFormat="1">
      <c r="CT521" s="3383"/>
      <c r="CX521" s="3383"/>
      <c r="CY521" s="3649"/>
      <c r="CZ521" s="3649"/>
      <c r="DA521" s="3649"/>
      <c r="DB521" s="3383"/>
    </row>
    <row r="522" spans="98:106" customFormat="1">
      <c r="CT522" s="3383"/>
      <c r="CX522" s="3383"/>
      <c r="CY522" s="3649"/>
      <c r="CZ522" s="3649"/>
      <c r="DA522" s="3649"/>
      <c r="DB522" s="3383"/>
    </row>
    <row r="523" spans="98:106" customFormat="1">
      <c r="CT523" s="3383"/>
      <c r="CX523" s="3383"/>
      <c r="CY523" s="3649"/>
      <c r="CZ523" s="3649"/>
      <c r="DA523" s="3649"/>
      <c r="DB523" s="3383"/>
    </row>
    <row r="524" spans="98:106" customFormat="1">
      <c r="CT524" s="3383"/>
      <c r="CX524" s="3383"/>
      <c r="CY524" s="3649"/>
      <c r="CZ524" s="3649"/>
      <c r="DA524" s="3649"/>
      <c r="DB524" s="3383"/>
    </row>
    <row r="525" spans="98:106" customFormat="1">
      <c r="CT525" s="3383"/>
      <c r="CX525" s="3383"/>
      <c r="CY525" s="3649"/>
      <c r="CZ525" s="3649"/>
      <c r="DA525" s="3649"/>
      <c r="DB525" s="3383"/>
    </row>
    <row r="526" spans="98:106" customFormat="1">
      <c r="CT526" s="3383"/>
      <c r="CX526" s="3383"/>
      <c r="CY526" s="3649"/>
      <c r="CZ526" s="3649"/>
      <c r="DA526" s="3649"/>
      <c r="DB526" s="3383"/>
    </row>
    <row r="527" spans="98:106" customFormat="1">
      <c r="CT527" s="3383"/>
      <c r="CX527" s="3383"/>
      <c r="CY527" s="3649"/>
      <c r="CZ527" s="3649"/>
      <c r="DA527" s="3649"/>
      <c r="DB527" s="3383"/>
    </row>
    <row r="528" spans="98:106" customFormat="1">
      <c r="CT528" s="3383"/>
      <c r="CX528" s="3383"/>
      <c r="CY528" s="3649"/>
      <c r="CZ528" s="3649"/>
      <c r="DA528" s="3649"/>
      <c r="DB528" s="3383"/>
    </row>
    <row r="529" spans="98:106" customFormat="1">
      <c r="CT529" s="3383"/>
      <c r="CX529" s="3383"/>
      <c r="CY529" s="3649"/>
      <c r="CZ529" s="3649"/>
      <c r="DA529" s="3649"/>
      <c r="DB529" s="3383"/>
    </row>
    <row r="530" spans="98:106" customFormat="1">
      <c r="CT530" s="3383"/>
      <c r="CX530" s="3383"/>
      <c r="CY530" s="3649"/>
      <c r="CZ530" s="3649"/>
      <c r="DA530" s="3649"/>
      <c r="DB530" s="3383"/>
    </row>
    <row r="531" spans="98:106" customFormat="1">
      <c r="CT531" s="3383"/>
      <c r="CX531" s="3383"/>
      <c r="CY531" s="3649"/>
      <c r="CZ531" s="3649"/>
      <c r="DA531" s="3649"/>
      <c r="DB531" s="3383"/>
    </row>
    <row r="532" spans="98:106" customFormat="1">
      <c r="CT532" s="3383"/>
      <c r="CX532" s="3383"/>
      <c r="CY532" s="3649"/>
      <c r="CZ532" s="3649"/>
      <c r="DA532" s="3649"/>
      <c r="DB532" s="3383"/>
    </row>
    <row r="533" spans="98:106" customFormat="1">
      <c r="CT533" s="3383"/>
      <c r="CX533" s="3383"/>
      <c r="CY533" s="3649"/>
      <c r="CZ533" s="3649"/>
      <c r="DA533" s="3649"/>
      <c r="DB533" s="3383"/>
    </row>
    <row r="534" spans="98:106" customFormat="1">
      <c r="CT534" s="3383"/>
      <c r="CX534" s="3383"/>
      <c r="CY534" s="3649"/>
      <c r="CZ534" s="3649"/>
      <c r="DA534" s="3649"/>
      <c r="DB534" s="3383"/>
    </row>
    <row r="535" spans="98:106" customFormat="1">
      <c r="CT535" s="3383"/>
      <c r="CX535" s="3383"/>
      <c r="CY535" s="3649"/>
      <c r="CZ535" s="3649"/>
      <c r="DA535" s="3649"/>
      <c r="DB535" s="3383"/>
    </row>
    <row r="536" spans="98:106" customFormat="1">
      <c r="CT536" s="3383"/>
      <c r="CX536" s="3383"/>
      <c r="CY536" s="3649"/>
      <c r="CZ536" s="3649"/>
      <c r="DA536" s="3649"/>
      <c r="DB536" s="3383"/>
    </row>
    <row r="537" spans="98:106" customFormat="1">
      <c r="CT537" s="3383"/>
      <c r="CX537" s="3383"/>
      <c r="CY537" s="3649"/>
      <c r="CZ537" s="3649"/>
      <c r="DA537" s="3649"/>
      <c r="DB537" s="3383"/>
    </row>
    <row r="538" spans="98:106" customFormat="1">
      <c r="CT538" s="3383"/>
      <c r="CX538" s="3383"/>
      <c r="CY538" s="3649"/>
      <c r="CZ538" s="3649"/>
      <c r="DA538" s="3649"/>
      <c r="DB538" s="3383"/>
    </row>
    <row r="539" spans="98:106" customFormat="1">
      <c r="CT539" s="3383"/>
      <c r="CX539" s="3383"/>
      <c r="CY539" s="3649"/>
      <c r="CZ539" s="3649"/>
      <c r="DA539" s="3649"/>
      <c r="DB539" s="3383"/>
    </row>
    <row r="540" spans="98:106" customFormat="1">
      <c r="CT540" s="3383"/>
      <c r="CX540" s="3383"/>
      <c r="CY540" s="3649"/>
      <c r="CZ540" s="3649"/>
      <c r="DA540" s="3649"/>
      <c r="DB540" s="3383"/>
    </row>
    <row r="541" spans="98:106" customFormat="1">
      <c r="CT541" s="3383"/>
      <c r="CX541" s="3383"/>
      <c r="CY541" s="3649"/>
      <c r="CZ541" s="3649"/>
      <c r="DA541" s="3649"/>
      <c r="DB541" s="3383"/>
    </row>
    <row r="542" spans="98:106" customFormat="1">
      <c r="CT542" s="3383"/>
      <c r="CX542" s="3383"/>
      <c r="CY542" s="3649"/>
      <c r="CZ542" s="3649"/>
      <c r="DA542" s="3649"/>
      <c r="DB542" s="3383"/>
    </row>
    <row r="543" spans="98:106" customFormat="1">
      <c r="CT543" s="3383"/>
      <c r="CX543" s="3383"/>
      <c r="CY543" s="3649"/>
      <c r="CZ543" s="3649"/>
      <c r="DA543" s="3649"/>
      <c r="DB543" s="3383"/>
    </row>
    <row r="544" spans="98:106" customFormat="1">
      <c r="CT544" s="3383"/>
      <c r="CX544" s="3383"/>
      <c r="CY544" s="3649"/>
      <c r="CZ544" s="3649"/>
      <c r="DA544" s="3649"/>
      <c r="DB544" s="3383"/>
    </row>
    <row r="545" spans="98:106" customFormat="1">
      <c r="CT545" s="3383"/>
      <c r="CX545" s="3383"/>
      <c r="CY545" s="3649"/>
      <c r="CZ545" s="3649"/>
      <c r="DA545" s="3649"/>
      <c r="DB545" s="3383"/>
    </row>
    <row r="546" spans="98:106" customFormat="1">
      <c r="CT546" s="3383"/>
      <c r="CX546" s="3383"/>
      <c r="CY546" s="3649"/>
      <c r="CZ546" s="3649"/>
      <c r="DA546" s="3649"/>
      <c r="DB546" s="3383"/>
    </row>
    <row r="547" spans="98:106" customFormat="1">
      <c r="CT547" s="3383"/>
      <c r="CX547" s="3383"/>
      <c r="CY547" s="3649"/>
      <c r="CZ547" s="3649"/>
      <c r="DA547" s="3649"/>
      <c r="DB547" s="3383"/>
    </row>
    <row r="548" spans="98:106" customFormat="1">
      <c r="CT548" s="3383"/>
      <c r="CX548" s="3383"/>
      <c r="CY548" s="3649"/>
      <c r="CZ548" s="3649"/>
      <c r="DA548" s="3649"/>
      <c r="DB548" s="3383"/>
    </row>
    <row r="549" spans="98:106" customFormat="1">
      <c r="CT549" s="3383"/>
      <c r="CX549" s="3383"/>
      <c r="CY549" s="3649"/>
      <c r="CZ549" s="3649"/>
      <c r="DA549" s="3649"/>
      <c r="DB549" s="3383"/>
    </row>
    <row r="550" spans="98:106" customFormat="1">
      <c r="CT550" s="3383"/>
      <c r="CX550" s="3383"/>
      <c r="CY550" s="3649"/>
      <c r="CZ550" s="3649"/>
      <c r="DA550" s="3649"/>
      <c r="DB550" s="3383"/>
    </row>
    <row r="551" spans="98:106" customFormat="1">
      <c r="CT551" s="3383"/>
      <c r="CX551" s="3383"/>
      <c r="CY551" s="3649"/>
      <c r="CZ551" s="3649"/>
      <c r="DA551" s="3649"/>
      <c r="DB551" s="3383"/>
    </row>
    <row r="552" spans="98:106" customFormat="1">
      <c r="CT552" s="3383"/>
      <c r="CX552" s="3383"/>
      <c r="CY552" s="3649"/>
      <c r="CZ552" s="3649"/>
      <c r="DA552" s="3649"/>
      <c r="DB552" s="3383"/>
    </row>
    <row r="553" spans="98:106" customFormat="1">
      <c r="CT553" s="3383"/>
      <c r="CX553" s="3383"/>
      <c r="CY553" s="3649"/>
      <c r="CZ553" s="3649"/>
      <c r="DA553" s="3649"/>
      <c r="DB553" s="3383"/>
    </row>
    <row r="554" spans="98:106" customFormat="1">
      <c r="CT554" s="3383"/>
      <c r="CX554" s="3383"/>
      <c r="CY554" s="3649"/>
      <c r="CZ554" s="3649"/>
      <c r="DA554" s="3649"/>
      <c r="DB554" s="3383"/>
    </row>
    <row r="555" spans="98:106" customFormat="1">
      <c r="CT555" s="3383"/>
      <c r="CX555" s="3383"/>
      <c r="CY555" s="3649"/>
      <c r="CZ555" s="3649"/>
      <c r="DA555" s="3649"/>
      <c r="DB555" s="3383"/>
    </row>
    <row r="556" spans="98:106" customFormat="1">
      <c r="CT556" s="3383"/>
      <c r="CX556" s="3383"/>
      <c r="CY556" s="3649"/>
      <c r="CZ556" s="3649"/>
      <c r="DA556" s="3649"/>
      <c r="DB556" s="3383"/>
    </row>
    <row r="557" spans="98:106" customFormat="1">
      <c r="CT557" s="3383"/>
      <c r="CX557" s="3383"/>
      <c r="CY557" s="3649"/>
      <c r="CZ557" s="3649"/>
      <c r="DA557" s="3649"/>
      <c r="DB557" s="3383"/>
    </row>
    <row r="558" spans="98:106" customFormat="1">
      <c r="CT558" s="3383"/>
      <c r="CX558" s="3383"/>
      <c r="CY558" s="3649"/>
      <c r="CZ558" s="3649"/>
      <c r="DA558" s="3649"/>
      <c r="DB558" s="3383"/>
    </row>
    <row r="559" spans="98:106" customFormat="1">
      <c r="CT559" s="3383"/>
      <c r="CX559" s="3383"/>
      <c r="CY559" s="3649"/>
      <c r="CZ559" s="3649"/>
      <c r="DA559" s="3649"/>
      <c r="DB559" s="3383"/>
    </row>
    <row r="560" spans="98:106" customFormat="1">
      <c r="CT560" s="3383"/>
      <c r="CX560" s="3383"/>
      <c r="CY560" s="3649"/>
      <c r="CZ560" s="3649"/>
      <c r="DA560" s="3649"/>
      <c r="DB560" s="3383"/>
    </row>
    <row r="561" spans="98:106" customFormat="1">
      <c r="CT561" s="3383"/>
      <c r="CX561" s="3383"/>
      <c r="CY561" s="3649"/>
      <c r="CZ561" s="3649"/>
      <c r="DA561" s="3649"/>
      <c r="DB561" s="3383"/>
    </row>
    <row r="562" spans="98:106" customFormat="1">
      <c r="CT562" s="3383"/>
      <c r="CX562" s="3383"/>
      <c r="CY562" s="3649"/>
      <c r="CZ562" s="3649"/>
      <c r="DA562" s="3649"/>
      <c r="DB562" s="3383"/>
    </row>
    <row r="563" spans="98:106" customFormat="1">
      <c r="CT563" s="3383"/>
      <c r="CX563" s="3383"/>
      <c r="CY563" s="3649"/>
      <c r="CZ563" s="3649"/>
      <c r="DA563" s="3649"/>
      <c r="DB563" s="3383"/>
    </row>
    <row r="564" spans="98:106" customFormat="1">
      <c r="CT564" s="3383"/>
      <c r="CX564" s="3383"/>
      <c r="CY564" s="3649"/>
      <c r="CZ564" s="3649"/>
      <c r="DA564" s="3649"/>
      <c r="DB564" s="3383"/>
    </row>
    <row r="565" spans="98:106" customFormat="1">
      <c r="CT565" s="3383"/>
      <c r="CX565" s="3383"/>
      <c r="CY565" s="3649"/>
      <c r="CZ565" s="3649"/>
      <c r="DA565" s="3649"/>
      <c r="DB565" s="3383"/>
    </row>
    <row r="566" spans="98:106" customFormat="1">
      <c r="CT566" s="3383"/>
      <c r="CX566" s="3383"/>
      <c r="CY566" s="3649"/>
      <c r="CZ566" s="3649"/>
      <c r="DA566" s="3649"/>
      <c r="DB566" s="3383"/>
    </row>
    <row r="567" spans="98:106" customFormat="1">
      <c r="CT567" s="3383"/>
      <c r="CX567" s="3383"/>
      <c r="CY567" s="3649"/>
      <c r="CZ567" s="3649"/>
      <c r="DA567" s="3649"/>
      <c r="DB567" s="3383"/>
    </row>
    <row r="568" spans="98:106" customFormat="1">
      <c r="CT568" s="3383"/>
      <c r="CX568" s="3383"/>
      <c r="CY568" s="3649"/>
      <c r="CZ568" s="3649"/>
      <c r="DA568" s="3649"/>
      <c r="DB568" s="3383"/>
    </row>
    <row r="569" spans="98:106" customFormat="1">
      <c r="CT569" s="3383"/>
      <c r="CX569" s="3383"/>
      <c r="CY569" s="3649"/>
      <c r="CZ569" s="3649"/>
      <c r="DA569" s="3649"/>
      <c r="DB569" s="3383"/>
    </row>
    <row r="570" spans="98:106" customFormat="1">
      <c r="CT570" s="3383"/>
      <c r="CX570" s="3383"/>
      <c r="CY570" s="3649"/>
      <c r="CZ570" s="3649"/>
      <c r="DA570" s="3649"/>
      <c r="DB570" s="3383"/>
    </row>
    <row r="571" spans="98:106" customFormat="1">
      <c r="CT571" s="3383"/>
      <c r="CX571" s="3383"/>
      <c r="CY571" s="3649"/>
      <c r="CZ571" s="3649"/>
      <c r="DA571" s="3649"/>
      <c r="DB571" s="3383"/>
    </row>
    <row r="572" spans="98:106" customFormat="1">
      <c r="CT572" s="3383"/>
      <c r="CX572" s="3383"/>
      <c r="CY572" s="3649"/>
      <c r="CZ572" s="3649"/>
      <c r="DA572" s="3649"/>
      <c r="DB572" s="3383"/>
    </row>
    <row r="573" spans="98:106" customFormat="1">
      <c r="CT573" s="3383"/>
      <c r="CX573" s="3383"/>
      <c r="CY573" s="3649"/>
      <c r="CZ573" s="3649"/>
      <c r="DA573" s="3649"/>
      <c r="DB573" s="3383"/>
    </row>
    <row r="574" spans="98:106" customFormat="1">
      <c r="CT574" s="3383"/>
      <c r="CX574" s="3383"/>
      <c r="CY574" s="3649"/>
      <c r="CZ574" s="3649"/>
      <c r="DA574" s="3649"/>
      <c r="DB574" s="3383"/>
    </row>
    <row r="575" spans="98:106" customFormat="1">
      <c r="CT575" s="3383"/>
      <c r="CX575" s="3383"/>
      <c r="CY575" s="3649"/>
      <c r="CZ575" s="3649"/>
      <c r="DA575" s="3649"/>
      <c r="DB575" s="3383"/>
    </row>
    <row r="576" spans="98:106" customFormat="1">
      <c r="CT576" s="3383"/>
      <c r="CX576" s="3383"/>
      <c r="CY576" s="3649"/>
      <c r="CZ576" s="3649"/>
      <c r="DA576" s="3649"/>
      <c r="DB576" s="3383"/>
    </row>
    <row r="577" spans="98:106" customFormat="1">
      <c r="CT577" s="3383"/>
      <c r="CX577" s="3383"/>
      <c r="CY577" s="3649"/>
      <c r="CZ577" s="3649"/>
      <c r="DA577" s="3649"/>
      <c r="DB577" s="3383"/>
    </row>
    <row r="578" spans="98:106" customFormat="1">
      <c r="CT578" s="3383"/>
      <c r="CX578" s="3383"/>
      <c r="CY578" s="3649"/>
      <c r="CZ578" s="3649"/>
      <c r="DA578" s="3649"/>
      <c r="DB578" s="3383"/>
    </row>
    <row r="579" spans="98:106" customFormat="1">
      <c r="CT579" s="3383"/>
      <c r="CX579" s="3383"/>
      <c r="CY579" s="3649"/>
      <c r="CZ579" s="3649"/>
      <c r="DA579" s="3649"/>
      <c r="DB579" s="3383"/>
    </row>
    <row r="580" spans="98:106" customFormat="1">
      <c r="CT580" s="3383"/>
      <c r="CX580" s="3383"/>
      <c r="CY580" s="3649"/>
      <c r="CZ580" s="3649"/>
      <c r="DA580" s="3649"/>
      <c r="DB580" s="3383"/>
    </row>
    <row r="581" spans="98:106" customFormat="1">
      <c r="CT581" s="3383"/>
      <c r="CX581" s="3383"/>
      <c r="CY581" s="3649"/>
      <c r="CZ581" s="3649"/>
      <c r="DA581" s="3649"/>
      <c r="DB581" s="3383"/>
    </row>
    <row r="582" spans="98:106" customFormat="1">
      <c r="CT582" s="3383"/>
      <c r="CX582" s="3383"/>
      <c r="CY582" s="3649"/>
      <c r="CZ582" s="3649"/>
      <c r="DA582" s="3649"/>
      <c r="DB582" s="3383"/>
    </row>
    <row r="583" spans="98:106" customFormat="1">
      <c r="CT583" s="3383"/>
      <c r="CX583" s="3383"/>
      <c r="CY583" s="3649"/>
      <c r="CZ583" s="3649"/>
      <c r="DA583" s="3649"/>
      <c r="DB583" s="3383"/>
    </row>
    <row r="584" spans="98:106" customFormat="1">
      <c r="CT584" s="3383"/>
      <c r="CX584" s="3383"/>
      <c r="CY584" s="3649"/>
      <c r="CZ584" s="3649"/>
      <c r="DA584" s="3649"/>
      <c r="DB584" s="3383"/>
    </row>
    <row r="585" spans="98:106" customFormat="1">
      <c r="CT585" s="3383"/>
      <c r="CX585" s="3383"/>
      <c r="CY585" s="3649"/>
      <c r="CZ585" s="3649"/>
      <c r="DA585" s="3649"/>
      <c r="DB585" s="3383"/>
    </row>
    <row r="586" spans="98:106" customFormat="1">
      <c r="CT586" s="3383"/>
      <c r="CX586" s="3383"/>
      <c r="CY586" s="3649"/>
      <c r="CZ586" s="3649"/>
      <c r="DA586" s="3649"/>
      <c r="DB586" s="3383"/>
    </row>
    <row r="587" spans="98:106" customFormat="1">
      <c r="CT587" s="3383"/>
      <c r="CX587" s="3383"/>
      <c r="CY587" s="3649"/>
      <c r="CZ587" s="3649"/>
      <c r="DA587" s="3649"/>
      <c r="DB587" s="3383"/>
    </row>
    <row r="588" spans="98:106" customFormat="1">
      <c r="CT588" s="3383"/>
      <c r="CX588" s="3383"/>
      <c r="CY588" s="3649"/>
      <c r="CZ588" s="3649"/>
      <c r="DA588" s="3649"/>
      <c r="DB588" s="3383"/>
    </row>
    <row r="589" spans="98:106" customFormat="1">
      <c r="CT589" s="3383"/>
      <c r="CX589" s="3383"/>
      <c r="CY589" s="3649"/>
      <c r="CZ589" s="3649"/>
      <c r="DA589" s="3649"/>
      <c r="DB589" s="3383"/>
    </row>
    <row r="590" spans="98:106" customFormat="1">
      <c r="CT590" s="3383"/>
      <c r="CX590" s="3383"/>
      <c r="CY590" s="3649"/>
      <c r="CZ590" s="3649"/>
      <c r="DA590" s="3649"/>
      <c r="DB590" s="3383"/>
    </row>
    <row r="591" spans="98:106" customFormat="1">
      <c r="CT591" s="3383"/>
      <c r="CX591" s="3383"/>
      <c r="CY591" s="3649"/>
      <c r="CZ591" s="3649"/>
      <c r="DA591" s="3649"/>
      <c r="DB591" s="3383"/>
    </row>
    <row r="592" spans="98:106" customFormat="1">
      <c r="CT592" s="3383"/>
      <c r="CX592" s="3383"/>
      <c r="CY592" s="3649"/>
      <c r="CZ592" s="3649"/>
      <c r="DA592" s="3649"/>
      <c r="DB592" s="3383"/>
    </row>
    <row r="593" spans="98:106" customFormat="1">
      <c r="CT593" s="3383"/>
      <c r="CX593" s="3383"/>
      <c r="CY593" s="3649"/>
      <c r="CZ593" s="3649"/>
      <c r="DA593" s="3649"/>
      <c r="DB593" s="3383"/>
    </row>
    <row r="594" spans="98:106" customFormat="1">
      <c r="CT594" s="3383"/>
      <c r="CX594" s="3383"/>
      <c r="CY594" s="3649"/>
      <c r="CZ594" s="3649"/>
      <c r="DA594" s="3649"/>
      <c r="DB594" s="3383"/>
    </row>
    <row r="595" spans="98:106" customFormat="1">
      <c r="CT595" s="3383"/>
      <c r="CX595" s="3383"/>
      <c r="CY595" s="3649"/>
      <c r="CZ595" s="3649"/>
      <c r="DA595" s="3649"/>
      <c r="DB595" s="3383"/>
    </row>
    <row r="596" spans="98:106" customFormat="1">
      <c r="CT596" s="3383"/>
      <c r="CX596" s="3383"/>
      <c r="CY596" s="3649"/>
      <c r="CZ596" s="3649"/>
      <c r="DA596" s="3649"/>
      <c r="DB596" s="3383"/>
    </row>
    <row r="597" spans="98:106" customFormat="1">
      <c r="CT597" s="3383"/>
      <c r="CX597" s="3383"/>
      <c r="CY597" s="3649"/>
      <c r="CZ597" s="3649"/>
      <c r="DA597" s="3649"/>
      <c r="DB597" s="3383"/>
    </row>
    <row r="598" spans="98:106" customFormat="1">
      <c r="CT598" s="3383"/>
      <c r="CX598" s="3383"/>
      <c r="CY598" s="3649"/>
      <c r="CZ598" s="3649"/>
      <c r="DA598" s="3649"/>
      <c r="DB598" s="3383"/>
    </row>
    <row r="599" spans="98:106" customFormat="1">
      <c r="CT599" s="3383"/>
      <c r="CX599" s="3383"/>
      <c r="CY599" s="3649"/>
      <c r="CZ599" s="3649"/>
      <c r="DA599" s="3649"/>
      <c r="DB599" s="3383"/>
    </row>
    <row r="600" spans="98:106" customFormat="1">
      <c r="CT600" s="3383"/>
      <c r="CX600" s="3383"/>
      <c r="CY600" s="3649"/>
      <c r="CZ600" s="3649"/>
      <c r="DA600" s="3649"/>
      <c r="DB600" s="3383"/>
    </row>
    <row r="601" spans="98:106" customFormat="1">
      <c r="CT601" s="3383"/>
      <c r="CX601" s="3383"/>
      <c r="CY601" s="3649"/>
      <c r="CZ601" s="3649"/>
      <c r="DA601" s="3649"/>
      <c r="DB601" s="3383"/>
    </row>
    <row r="602" spans="98:106" customFormat="1">
      <c r="CT602" s="3383"/>
      <c r="CX602" s="3383"/>
      <c r="CY602" s="3649"/>
      <c r="CZ602" s="3649"/>
      <c r="DA602" s="3649"/>
      <c r="DB602" s="3383"/>
    </row>
    <row r="603" spans="98:106" customFormat="1">
      <c r="CT603" s="3383"/>
      <c r="CX603" s="3383"/>
      <c r="CY603" s="3649"/>
      <c r="CZ603" s="3649"/>
      <c r="DA603" s="3649"/>
      <c r="DB603" s="3383"/>
    </row>
    <row r="604" spans="98:106" customFormat="1">
      <c r="CT604" s="3383"/>
      <c r="CX604" s="3383"/>
      <c r="CY604" s="3649"/>
      <c r="CZ604" s="3649"/>
      <c r="DA604" s="3649"/>
      <c r="DB604" s="3383"/>
    </row>
    <row r="605" spans="98:106" customFormat="1">
      <c r="CT605" s="3383"/>
      <c r="CX605" s="3383"/>
      <c r="CY605" s="3649"/>
      <c r="CZ605" s="3649"/>
      <c r="DA605" s="3649"/>
      <c r="DB605" s="3383"/>
    </row>
    <row r="606" spans="98:106" customFormat="1">
      <c r="CT606" s="3383"/>
      <c r="CX606" s="3383"/>
      <c r="CY606" s="3649"/>
      <c r="CZ606" s="3649"/>
      <c r="DA606" s="3649"/>
      <c r="DB606" s="3383"/>
    </row>
    <row r="607" spans="98:106" customFormat="1">
      <c r="CT607" s="3383"/>
      <c r="CX607" s="3383"/>
      <c r="CY607" s="3649"/>
      <c r="CZ607" s="3649"/>
      <c r="DA607" s="3649"/>
      <c r="DB607" s="3383"/>
    </row>
    <row r="608" spans="98:106" customFormat="1">
      <c r="CT608" s="3383"/>
      <c r="CX608" s="3383"/>
      <c r="CY608" s="3649"/>
      <c r="CZ608" s="3649"/>
      <c r="DA608" s="3649"/>
      <c r="DB608" s="3383"/>
    </row>
    <row r="609" spans="98:106" customFormat="1">
      <c r="CT609" s="3383"/>
      <c r="CX609" s="3383"/>
      <c r="CY609" s="3649"/>
      <c r="CZ609" s="3649"/>
      <c r="DA609" s="3649"/>
      <c r="DB609" s="3383"/>
    </row>
    <row r="610" spans="98:106" customFormat="1">
      <c r="CT610" s="3383"/>
      <c r="CX610" s="3383"/>
      <c r="CY610" s="3649"/>
      <c r="CZ610" s="3649"/>
      <c r="DA610" s="3649"/>
      <c r="DB610" s="3383"/>
    </row>
    <row r="611" spans="98:106" customFormat="1">
      <c r="CT611" s="3383"/>
      <c r="CX611" s="3383"/>
      <c r="CY611" s="3649"/>
      <c r="CZ611" s="3649"/>
      <c r="DA611" s="3649"/>
      <c r="DB611" s="3383"/>
    </row>
    <row r="612" spans="98:106" customFormat="1">
      <c r="CT612" s="3383"/>
      <c r="CX612" s="3383"/>
      <c r="CY612" s="3649"/>
      <c r="CZ612" s="3649"/>
      <c r="DA612" s="3649"/>
      <c r="DB612" s="3383"/>
    </row>
    <row r="613" spans="98:106" customFormat="1">
      <c r="CT613" s="3383"/>
      <c r="CX613" s="3383"/>
      <c r="CY613" s="3649"/>
      <c r="CZ613" s="3649"/>
      <c r="DA613" s="3649"/>
      <c r="DB613" s="3383"/>
    </row>
    <row r="614" spans="98:106" customFormat="1">
      <c r="CT614" s="3383"/>
      <c r="CX614" s="3383"/>
      <c r="CY614" s="3649"/>
      <c r="CZ614" s="3649"/>
      <c r="DA614" s="3649"/>
      <c r="DB614" s="3383"/>
    </row>
    <row r="615" spans="98:106" customFormat="1">
      <c r="CT615" s="3383"/>
      <c r="CX615" s="3383"/>
      <c r="CY615" s="3649"/>
      <c r="CZ615" s="3649"/>
      <c r="DA615" s="3649"/>
      <c r="DB615" s="3383"/>
    </row>
    <row r="616" spans="98:106" customFormat="1">
      <c r="CT616" s="3383"/>
      <c r="CX616" s="3383"/>
      <c r="CY616" s="3649"/>
      <c r="CZ616" s="3649"/>
      <c r="DA616" s="3649"/>
      <c r="DB616" s="3383"/>
    </row>
    <row r="617" spans="98:106" customFormat="1">
      <c r="CT617" s="3383"/>
      <c r="CX617" s="3383"/>
      <c r="CY617" s="3649"/>
      <c r="CZ617" s="3649"/>
      <c r="DA617" s="3649"/>
      <c r="DB617" s="3383"/>
    </row>
    <row r="618" spans="98:106" customFormat="1">
      <c r="CT618" s="3383"/>
      <c r="CX618" s="3383"/>
      <c r="CY618" s="3649"/>
      <c r="CZ618" s="3649"/>
      <c r="DA618" s="3649"/>
      <c r="DB618" s="3383"/>
    </row>
    <row r="619" spans="98:106" customFormat="1">
      <c r="CT619" s="3383"/>
      <c r="CX619" s="3383"/>
      <c r="CY619" s="3649"/>
      <c r="CZ619" s="3649"/>
      <c r="DA619" s="3649"/>
      <c r="DB619" s="3383"/>
    </row>
    <row r="620" spans="98:106" customFormat="1">
      <c r="CT620" s="3383"/>
      <c r="CX620" s="3383"/>
      <c r="CY620" s="3649"/>
      <c r="CZ620" s="3649"/>
      <c r="DA620" s="3649"/>
      <c r="DB620" s="3383"/>
    </row>
    <row r="621" spans="98:106" customFormat="1">
      <c r="CT621" s="3383"/>
      <c r="CX621" s="3383"/>
      <c r="CY621" s="3649"/>
      <c r="CZ621" s="3649"/>
      <c r="DA621" s="3649"/>
      <c r="DB621" s="3383"/>
    </row>
    <row r="622" spans="98:106" customFormat="1">
      <c r="CT622" s="3383"/>
      <c r="CX622" s="3383"/>
      <c r="CY622" s="3649"/>
      <c r="CZ622" s="3649"/>
      <c r="DA622" s="3649"/>
      <c r="DB622" s="3383"/>
    </row>
    <row r="623" spans="98:106" customFormat="1">
      <c r="CT623" s="3383"/>
      <c r="CX623" s="3383"/>
      <c r="CY623" s="3649"/>
      <c r="CZ623" s="3649"/>
      <c r="DA623" s="3649"/>
      <c r="DB623" s="3383"/>
    </row>
    <row r="624" spans="98:106" customFormat="1">
      <c r="CT624" s="3383"/>
      <c r="CX624" s="3383"/>
      <c r="CY624" s="3649"/>
      <c r="CZ624" s="3649"/>
      <c r="DA624" s="3649"/>
      <c r="DB624" s="3383"/>
    </row>
    <row r="625" spans="98:106" customFormat="1">
      <c r="CT625" s="3383"/>
      <c r="CX625" s="3383"/>
      <c r="CY625" s="3649"/>
      <c r="CZ625" s="3649"/>
      <c r="DA625" s="3649"/>
      <c r="DB625" s="3383"/>
    </row>
    <row r="626" spans="98:106" customFormat="1">
      <c r="CT626" s="3383"/>
      <c r="CX626" s="3383"/>
      <c r="CY626" s="3649"/>
      <c r="CZ626" s="3649"/>
      <c r="DA626" s="3649"/>
      <c r="DB626" s="3383"/>
    </row>
    <row r="627" spans="98:106" customFormat="1">
      <c r="CT627" s="3383"/>
      <c r="CX627" s="3383"/>
      <c r="CY627" s="3649"/>
      <c r="CZ627" s="3649"/>
      <c r="DA627" s="3649"/>
      <c r="DB627" s="3383"/>
    </row>
    <row r="628" spans="98:106" customFormat="1">
      <c r="CT628" s="3383"/>
      <c r="CX628" s="3383"/>
      <c r="CY628" s="3649"/>
      <c r="CZ628" s="3649"/>
      <c r="DA628" s="3649"/>
      <c r="DB628" s="3383"/>
    </row>
    <row r="629" spans="98:106" customFormat="1">
      <c r="CT629" s="3383"/>
      <c r="CX629" s="3383"/>
      <c r="CY629" s="3649"/>
      <c r="CZ629" s="3649"/>
      <c r="DA629" s="3649"/>
      <c r="DB629" s="3383"/>
    </row>
    <row r="630" spans="98:106" customFormat="1">
      <c r="CT630" s="3383"/>
      <c r="CX630" s="3383"/>
      <c r="CY630" s="3649"/>
      <c r="CZ630" s="3649"/>
      <c r="DA630" s="3649"/>
      <c r="DB630" s="3383"/>
    </row>
    <row r="631" spans="98:106" customFormat="1">
      <c r="CT631" s="3383"/>
      <c r="CX631" s="3383"/>
      <c r="CY631" s="3649"/>
      <c r="CZ631" s="3649"/>
      <c r="DA631" s="3649"/>
      <c r="DB631" s="3383"/>
    </row>
    <row r="632" spans="98:106" customFormat="1">
      <c r="CT632" s="3383"/>
      <c r="CX632" s="3383"/>
      <c r="CY632" s="3649"/>
      <c r="CZ632" s="3649"/>
      <c r="DA632" s="3649"/>
      <c r="DB632" s="3383"/>
    </row>
    <row r="633" spans="98:106" customFormat="1">
      <c r="CT633" s="3383"/>
      <c r="CX633" s="3383"/>
      <c r="CY633" s="3649"/>
      <c r="CZ633" s="3649"/>
      <c r="DA633" s="3649"/>
      <c r="DB633" s="3383"/>
    </row>
    <row r="634" spans="98:106" customFormat="1">
      <c r="CT634" s="3383"/>
      <c r="CX634" s="3383"/>
      <c r="CY634" s="3649"/>
      <c r="CZ634" s="3649"/>
      <c r="DA634" s="3649"/>
      <c r="DB634" s="3383"/>
    </row>
    <row r="635" spans="98:106" customFormat="1">
      <c r="CT635" s="3383"/>
      <c r="CX635" s="3383"/>
      <c r="CY635" s="3649"/>
      <c r="CZ635" s="3649"/>
      <c r="DA635" s="3649"/>
      <c r="DB635" s="3383"/>
    </row>
    <row r="636" spans="98:106" customFormat="1">
      <c r="CT636" s="3383"/>
      <c r="CX636" s="3383"/>
      <c r="CY636" s="3649"/>
      <c r="CZ636" s="3649"/>
      <c r="DA636" s="3649"/>
      <c r="DB636" s="3383"/>
    </row>
    <row r="637" spans="98:106" customFormat="1">
      <c r="CT637" s="3383"/>
      <c r="CX637" s="3383"/>
      <c r="CY637" s="3649"/>
      <c r="CZ637" s="3649"/>
      <c r="DA637" s="3649"/>
      <c r="DB637" s="3383"/>
    </row>
    <row r="638" spans="98:106" customFormat="1">
      <c r="CT638" s="3383"/>
      <c r="CX638" s="3383"/>
      <c r="CY638" s="3649"/>
      <c r="CZ638" s="3649"/>
      <c r="DA638" s="3649"/>
      <c r="DB638" s="3383"/>
    </row>
    <row r="639" spans="98:106" customFormat="1">
      <c r="CT639" s="3383"/>
      <c r="CX639" s="3383"/>
      <c r="CY639" s="3649"/>
      <c r="CZ639" s="3649"/>
      <c r="DA639" s="3649"/>
      <c r="DB639" s="3383"/>
    </row>
    <row r="640" spans="98:106" customFormat="1">
      <c r="CT640" s="3383"/>
      <c r="CX640" s="3383"/>
      <c r="CY640" s="3649"/>
      <c r="CZ640" s="3649"/>
      <c r="DA640" s="3649"/>
      <c r="DB640" s="3383"/>
    </row>
    <row r="641" spans="98:106" customFormat="1">
      <c r="CT641" s="3383"/>
      <c r="CX641" s="3383"/>
      <c r="CY641" s="3649"/>
      <c r="CZ641" s="3649"/>
      <c r="DA641" s="3649"/>
      <c r="DB641" s="3383"/>
    </row>
    <row r="642" spans="98:106" customFormat="1">
      <c r="CT642" s="3383"/>
      <c r="CX642" s="3383"/>
      <c r="CY642" s="3649"/>
      <c r="CZ642" s="3649"/>
      <c r="DA642" s="3649"/>
      <c r="DB642" s="3383"/>
    </row>
    <row r="643" spans="98:106" customFormat="1">
      <c r="CT643" s="3383"/>
      <c r="CX643" s="3383"/>
      <c r="CY643" s="3649"/>
      <c r="CZ643" s="3649"/>
      <c r="DA643" s="3649"/>
      <c r="DB643" s="3383"/>
    </row>
    <row r="644" spans="98:106" customFormat="1">
      <c r="CT644" s="3383"/>
      <c r="CX644" s="3383"/>
      <c r="CY644" s="3649"/>
      <c r="CZ644" s="3649"/>
      <c r="DA644" s="3649"/>
      <c r="DB644" s="3383"/>
    </row>
    <row r="645" spans="98:106" customFormat="1">
      <c r="CT645" s="3383"/>
      <c r="CX645" s="3383"/>
      <c r="CY645" s="3649"/>
      <c r="CZ645" s="3649"/>
      <c r="DA645" s="3649"/>
      <c r="DB645" s="3383"/>
    </row>
    <row r="646" spans="98:106" customFormat="1">
      <c r="CT646" s="3383"/>
      <c r="CX646" s="3383"/>
      <c r="CY646" s="3649"/>
      <c r="CZ646" s="3649"/>
      <c r="DA646" s="3649"/>
      <c r="DB646" s="3383"/>
    </row>
    <row r="647" spans="98:106" customFormat="1">
      <c r="CT647" s="3383"/>
      <c r="CX647" s="3383"/>
      <c r="CY647" s="3649"/>
      <c r="CZ647" s="3649"/>
      <c r="DA647" s="3649"/>
      <c r="DB647" s="3383"/>
    </row>
    <row r="648" spans="98:106" customFormat="1">
      <c r="CT648" s="3383"/>
      <c r="CX648" s="3383"/>
      <c r="CY648" s="3649"/>
      <c r="CZ648" s="3649"/>
      <c r="DA648" s="3649"/>
      <c r="DB648" s="3383"/>
    </row>
    <row r="649" spans="98:106" customFormat="1">
      <c r="CT649" s="3383"/>
      <c r="CX649" s="3383"/>
      <c r="CY649" s="3649"/>
      <c r="CZ649" s="3649"/>
      <c r="DA649" s="3649"/>
      <c r="DB649" s="3383"/>
    </row>
    <row r="650" spans="98:106" customFormat="1">
      <c r="CT650" s="3383"/>
      <c r="CX650" s="3383"/>
      <c r="CY650" s="3649"/>
      <c r="CZ650" s="3649"/>
      <c r="DA650" s="3649"/>
      <c r="DB650" s="3383"/>
    </row>
    <row r="651" spans="98:106" customFormat="1">
      <c r="CT651" s="3383"/>
      <c r="CX651" s="3383"/>
      <c r="CY651" s="3649"/>
      <c r="CZ651" s="3649"/>
      <c r="DA651" s="3649"/>
      <c r="DB651" s="3383"/>
    </row>
    <row r="652" spans="98:106" customFormat="1">
      <c r="CT652" s="3383"/>
      <c r="CX652" s="3383"/>
      <c r="CY652" s="3649"/>
      <c r="CZ652" s="3649"/>
      <c r="DA652" s="3649"/>
      <c r="DB652" s="3383"/>
    </row>
    <row r="653" spans="98:106" customFormat="1">
      <c r="CT653" s="3383"/>
      <c r="CX653" s="3383"/>
      <c r="CY653" s="3649"/>
      <c r="CZ653" s="3649"/>
      <c r="DA653" s="3649"/>
      <c r="DB653" s="3383"/>
    </row>
    <row r="654" spans="98:106" customFormat="1">
      <c r="CT654" s="3383"/>
      <c r="CX654" s="3383"/>
      <c r="CY654" s="3649"/>
      <c r="CZ654" s="3649"/>
      <c r="DA654" s="3649"/>
      <c r="DB654" s="3383"/>
    </row>
    <row r="655" spans="98:106" customFormat="1">
      <c r="CT655" s="3383"/>
      <c r="CX655" s="3383"/>
      <c r="CY655" s="3649"/>
      <c r="CZ655" s="3649"/>
      <c r="DA655" s="3649"/>
      <c r="DB655" s="3383"/>
    </row>
    <row r="656" spans="98:106" customFormat="1">
      <c r="CT656" s="3383"/>
      <c r="CX656" s="3383"/>
      <c r="CY656" s="3649"/>
      <c r="CZ656" s="3649"/>
      <c r="DA656" s="3649"/>
      <c r="DB656" s="3383"/>
    </row>
    <row r="657" spans="98:106" customFormat="1">
      <c r="CT657" s="3383"/>
      <c r="CX657" s="3383"/>
      <c r="CY657" s="3649"/>
      <c r="CZ657" s="3649"/>
      <c r="DA657" s="3649"/>
      <c r="DB657" s="3383"/>
    </row>
    <row r="658" spans="98:106" customFormat="1">
      <c r="CT658" s="3383"/>
      <c r="CX658" s="3383"/>
      <c r="CY658" s="3649"/>
      <c r="CZ658" s="3649"/>
      <c r="DA658" s="3649"/>
      <c r="DB658" s="3383"/>
    </row>
    <row r="659" spans="98:106" customFormat="1">
      <c r="CT659" s="3383"/>
      <c r="CX659" s="3383"/>
      <c r="CY659" s="3649"/>
      <c r="CZ659" s="3649"/>
      <c r="DA659" s="3649"/>
      <c r="DB659" s="3383"/>
    </row>
    <row r="660" spans="98:106" customFormat="1">
      <c r="CT660" s="3383"/>
      <c r="CX660" s="3383"/>
      <c r="CY660" s="3649"/>
      <c r="CZ660" s="3649"/>
      <c r="DA660" s="3649"/>
      <c r="DB660" s="3383"/>
    </row>
    <row r="661" spans="98:106" customFormat="1">
      <c r="CT661" s="3383"/>
      <c r="CX661" s="3383"/>
      <c r="CY661" s="3649"/>
      <c r="CZ661" s="3649"/>
      <c r="DA661" s="3649"/>
      <c r="DB661" s="3383"/>
    </row>
    <row r="662" spans="98:106" customFormat="1">
      <c r="CT662" s="3383"/>
      <c r="CX662" s="3383"/>
      <c r="CY662" s="3649"/>
      <c r="CZ662" s="3649"/>
      <c r="DA662" s="3649"/>
      <c r="DB662" s="3383"/>
    </row>
    <row r="663" spans="98:106" customFormat="1">
      <c r="CT663" s="3383"/>
      <c r="CX663" s="3383"/>
      <c r="CY663" s="3649"/>
      <c r="CZ663" s="3649"/>
      <c r="DA663" s="3649"/>
      <c r="DB663" s="3383"/>
    </row>
    <row r="664" spans="98:106" customFormat="1">
      <c r="CT664" s="3383"/>
      <c r="CX664" s="3383"/>
      <c r="CY664" s="3649"/>
      <c r="CZ664" s="3649"/>
      <c r="DA664" s="3649"/>
      <c r="DB664" s="3383"/>
    </row>
    <row r="665" spans="98:106" customFormat="1">
      <c r="CT665" s="3383"/>
      <c r="CX665" s="3383"/>
      <c r="CY665" s="3649"/>
      <c r="CZ665" s="3649"/>
      <c r="DA665" s="3649"/>
      <c r="DB665" s="3383"/>
    </row>
    <row r="666" spans="98:106" customFormat="1">
      <c r="CT666" s="3383"/>
      <c r="CX666" s="3383"/>
      <c r="CY666" s="3649"/>
      <c r="CZ666" s="3649"/>
      <c r="DA666" s="3649"/>
      <c r="DB666" s="3383"/>
    </row>
    <row r="667" spans="98:106" customFormat="1">
      <c r="CT667" s="3383"/>
      <c r="CX667" s="3383"/>
      <c r="CY667" s="3649"/>
      <c r="CZ667" s="3649"/>
      <c r="DA667" s="3649"/>
      <c r="DB667" s="3383"/>
    </row>
    <row r="668" spans="98:106" customFormat="1">
      <c r="CT668" s="3383"/>
      <c r="CX668" s="3383"/>
      <c r="CY668" s="3649"/>
      <c r="CZ668" s="3649"/>
      <c r="DA668" s="3649"/>
      <c r="DB668" s="3383"/>
    </row>
    <row r="669" spans="98:106" customFormat="1">
      <c r="CT669" s="3383"/>
      <c r="CX669" s="3383"/>
      <c r="CY669" s="3649"/>
      <c r="CZ669" s="3649"/>
      <c r="DA669" s="3649"/>
      <c r="DB669" s="3383"/>
    </row>
    <row r="670" spans="98:106" customFormat="1">
      <c r="CT670" s="3383"/>
      <c r="CX670" s="3383"/>
      <c r="CY670" s="3649"/>
      <c r="CZ670" s="3649"/>
      <c r="DA670" s="3649"/>
      <c r="DB670" s="3383"/>
    </row>
    <row r="671" spans="98:106" customFormat="1">
      <c r="CT671" s="3383"/>
      <c r="CX671" s="3383"/>
      <c r="CY671" s="3649"/>
      <c r="CZ671" s="3649"/>
      <c r="DA671" s="3649"/>
      <c r="DB671" s="3383"/>
    </row>
    <row r="672" spans="98:106" customFormat="1">
      <c r="CT672" s="3383"/>
      <c r="CX672" s="3383"/>
      <c r="CY672" s="3649"/>
      <c r="CZ672" s="3649"/>
      <c r="DA672" s="3649"/>
      <c r="DB672" s="3383"/>
    </row>
    <row r="673" spans="98:106" customFormat="1">
      <c r="CT673" s="3383"/>
      <c r="CX673" s="3383"/>
      <c r="CY673" s="3649"/>
      <c r="CZ673" s="3649"/>
      <c r="DA673" s="3649"/>
      <c r="DB673" s="3383"/>
    </row>
    <row r="674" spans="98:106" customFormat="1">
      <c r="CT674" s="3383"/>
      <c r="CX674" s="3383"/>
      <c r="CY674" s="3649"/>
      <c r="CZ674" s="3649"/>
      <c r="DA674" s="3649"/>
      <c r="DB674" s="3383"/>
    </row>
    <row r="675" spans="98:106" customFormat="1">
      <c r="CT675" s="3383"/>
      <c r="CX675" s="3383"/>
      <c r="CY675" s="3649"/>
      <c r="CZ675" s="3649"/>
      <c r="DA675" s="3649"/>
      <c r="DB675" s="3383"/>
    </row>
    <row r="676" spans="98:106" customFormat="1">
      <c r="CT676" s="3383"/>
      <c r="CX676" s="3383"/>
      <c r="CY676" s="3649"/>
      <c r="CZ676" s="3649"/>
      <c r="DA676" s="3649"/>
      <c r="DB676" s="3383"/>
    </row>
    <row r="677" spans="98:106" customFormat="1">
      <c r="CT677" s="3383"/>
      <c r="CX677" s="3383"/>
      <c r="CY677" s="3649"/>
      <c r="CZ677" s="3649"/>
      <c r="DA677" s="3649"/>
      <c r="DB677" s="3383"/>
    </row>
    <row r="678" spans="98:106" customFormat="1">
      <c r="CT678" s="3383"/>
      <c r="CX678" s="3383"/>
      <c r="CY678" s="3649"/>
      <c r="CZ678" s="3649"/>
      <c r="DA678" s="3649"/>
      <c r="DB678" s="3383"/>
    </row>
    <row r="679" spans="98:106" customFormat="1">
      <c r="CT679" s="3383"/>
      <c r="CX679" s="3383"/>
      <c r="CY679" s="3649"/>
      <c r="CZ679" s="3649"/>
      <c r="DA679" s="3649"/>
      <c r="DB679" s="3383"/>
    </row>
    <row r="680" spans="98:106" customFormat="1">
      <c r="CT680" s="3383"/>
      <c r="CX680" s="3383"/>
      <c r="CY680" s="3649"/>
      <c r="CZ680" s="3649"/>
      <c r="DA680" s="3649"/>
      <c r="DB680" s="3383"/>
    </row>
    <row r="681" spans="98:106" customFormat="1">
      <c r="CT681" s="3383"/>
      <c r="CX681" s="3383"/>
      <c r="CY681" s="3649"/>
      <c r="CZ681" s="3649"/>
      <c r="DA681" s="3649"/>
      <c r="DB681" s="3383"/>
    </row>
    <row r="682" spans="98:106" customFormat="1">
      <c r="CT682" s="3383"/>
      <c r="CX682" s="3383"/>
      <c r="CY682" s="3649"/>
      <c r="CZ682" s="3649"/>
      <c r="DA682" s="3649"/>
      <c r="DB682" s="3383"/>
    </row>
    <row r="683" spans="98:106" customFormat="1">
      <c r="CT683" s="3383"/>
      <c r="CX683" s="3383"/>
      <c r="CY683" s="3649"/>
      <c r="CZ683" s="3649"/>
      <c r="DA683" s="3649"/>
      <c r="DB683" s="3383"/>
    </row>
    <row r="684" spans="98:106" customFormat="1">
      <c r="CT684" s="3383"/>
      <c r="CX684" s="3383"/>
      <c r="CY684" s="3649"/>
      <c r="CZ684" s="3649"/>
      <c r="DA684" s="3649"/>
      <c r="DB684" s="3383"/>
    </row>
    <row r="685" spans="98:106" customFormat="1">
      <c r="CT685" s="3383"/>
      <c r="CX685" s="3383"/>
      <c r="CY685" s="3649"/>
      <c r="CZ685" s="3649"/>
      <c r="DA685" s="3649"/>
      <c r="DB685" s="3383"/>
    </row>
    <row r="686" spans="98:106" customFormat="1">
      <c r="CT686" s="3383"/>
      <c r="CX686" s="3383"/>
      <c r="CY686" s="3649"/>
      <c r="CZ686" s="3649"/>
      <c r="DA686" s="3649"/>
      <c r="DB686" s="3383"/>
    </row>
    <row r="687" spans="98:106" customFormat="1">
      <c r="CT687" s="3383"/>
      <c r="CX687" s="3383"/>
      <c r="CY687" s="3649"/>
      <c r="CZ687" s="3649"/>
      <c r="DA687" s="3649"/>
      <c r="DB687" s="3383"/>
    </row>
    <row r="688" spans="98:106" customFormat="1">
      <c r="CT688" s="3383"/>
      <c r="CX688" s="3383"/>
      <c r="CY688" s="3649"/>
      <c r="CZ688" s="3649"/>
      <c r="DA688" s="3649"/>
      <c r="DB688" s="3383"/>
    </row>
    <row r="689" spans="98:106" customFormat="1">
      <c r="CT689" s="3383"/>
      <c r="CX689" s="3383"/>
      <c r="CY689" s="3649"/>
      <c r="CZ689" s="3649"/>
      <c r="DA689" s="3649"/>
      <c r="DB689" s="3383"/>
    </row>
    <row r="690" spans="98:106" customFormat="1">
      <c r="CT690" s="3383"/>
      <c r="CX690" s="3383"/>
      <c r="CY690" s="3649"/>
      <c r="CZ690" s="3649"/>
      <c r="DA690" s="3649"/>
      <c r="DB690" s="3383"/>
    </row>
    <row r="691" spans="98:106" customFormat="1">
      <c r="CT691" s="3383"/>
      <c r="CX691" s="3383"/>
      <c r="CY691" s="3649"/>
      <c r="CZ691" s="3649"/>
      <c r="DA691" s="3649"/>
      <c r="DB691" s="3383"/>
    </row>
    <row r="692" spans="98:106" customFormat="1">
      <c r="CT692" s="3383"/>
      <c r="CX692" s="3383"/>
      <c r="CY692" s="3649"/>
      <c r="CZ692" s="3649"/>
      <c r="DA692" s="3649"/>
      <c r="DB692" s="3383"/>
    </row>
    <row r="693" spans="98:106" customFormat="1">
      <c r="CT693" s="3383"/>
      <c r="CX693" s="3383"/>
      <c r="CY693" s="3649"/>
      <c r="CZ693" s="3649"/>
      <c r="DA693" s="3649"/>
      <c r="DB693" s="3383"/>
    </row>
    <row r="694" spans="98:106" customFormat="1">
      <c r="CT694" s="3383"/>
      <c r="CX694" s="3383"/>
      <c r="CY694" s="3649"/>
      <c r="CZ694" s="3649"/>
      <c r="DA694" s="3649"/>
      <c r="DB694" s="3383"/>
    </row>
    <row r="695" spans="98:106" customFormat="1">
      <c r="CT695" s="3383"/>
      <c r="CX695" s="3383"/>
      <c r="CY695" s="3649"/>
      <c r="CZ695" s="3649"/>
      <c r="DA695" s="3649"/>
      <c r="DB695" s="3383"/>
    </row>
    <row r="696" spans="98:106" customFormat="1">
      <c r="CT696" s="3383"/>
      <c r="CX696" s="3383"/>
      <c r="CY696" s="3649"/>
      <c r="CZ696" s="3649"/>
      <c r="DA696" s="3649"/>
      <c r="DB696" s="3383"/>
    </row>
    <row r="697" spans="98:106" customFormat="1">
      <c r="CT697" s="3383"/>
      <c r="CX697" s="3383"/>
      <c r="CY697" s="3649"/>
      <c r="CZ697" s="3649"/>
      <c r="DA697" s="3649"/>
      <c r="DB697" s="3383"/>
    </row>
    <row r="698" spans="98:106" customFormat="1">
      <c r="CT698" s="3383"/>
      <c r="CX698" s="3383"/>
      <c r="CY698" s="3649"/>
      <c r="CZ698" s="3649"/>
      <c r="DA698" s="3649"/>
      <c r="DB698" s="3383"/>
    </row>
    <row r="699" spans="98:106" customFormat="1">
      <c r="CT699" s="3383"/>
      <c r="CX699" s="3383"/>
      <c r="CY699" s="3649"/>
      <c r="CZ699" s="3649"/>
      <c r="DA699" s="3649"/>
      <c r="DB699" s="3383"/>
    </row>
    <row r="700" spans="98:106" customFormat="1">
      <c r="CT700" s="3383"/>
      <c r="CX700" s="3383"/>
      <c r="CY700" s="3649"/>
      <c r="CZ700" s="3649"/>
      <c r="DA700" s="3649"/>
      <c r="DB700" s="3383"/>
    </row>
    <row r="701" spans="98:106" customFormat="1">
      <c r="CT701" s="3383"/>
      <c r="CX701" s="3383"/>
      <c r="CY701" s="3649"/>
      <c r="CZ701" s="3649"/>
      <c r="DA701" s="3649"/>
      <c r="DB701" s="3383"/>
    </row>
    <row r="702" spans="98:106" customFormat="1">
      <c r="CT702" s="3383"/>
      <c r="CX702" s="3383"/>
      <c r="CY702" s="3649"/>
      <c r="CZ702" s="3649"/>
      <c r="DA702" s="3649"/>
      <c r="DB702" s="3383"/>
    </row>
    <row r="703" spans="98:106" customFormat="1">
      <c r="CT703" s="3383"/>
      <c r="CX703" s="3383"/>
      <c r="CY703" s="3649"/>
      <c r="CZ703" s="3649"/>
      <c r="DA703" s="3649"/>
      <c r="DB703" s="3383"/>
    </row>
    <row r="704" spans="98:106" customFormat="1">
      <c r="CT704" s="3383"/>
      <c r="CX704" s="3383"/>
      <c r="CY704" s="3649"/>
      <c r="CZ704" s="3649"/>
      <c r="DA704" s="3649"/>
      <c r="DB704" s="3383"/>
    </row>
    <row r="705" spans="98:106" customFormat="1">
      <c r="CT705" s="3383"/>
      <c r="CX705" s="3383"/>
      <c r="CY705" s="3649"/>
      <c r="CZ705" s="3649"/>
      <c r="DA705" s="3649"/>
      <c r="DB705" s="3383"/>
    </row>
    <row r="706" spans="98:106" customFormat="1">
      <c r="CT706" s="3383"/>
      <c r="CX706" s="3383"/>
      <c r="CY706" s="3649"/>
      <c r="CZ706" s="3649"/>
      <c r="DA706" s="3649"/>
      <c r="DB706" s="3383"/>
    </row>
    <row r="707" spans="98:106" customFormat="1">
      <c r="CT707" s="3383"/>
      <c r="CX707" s="3383"/>
      <c r="CY707" s="3649"/>
      <c r="CZ707" s="3649"/>
      <c r="DA707" s="3649"/>
      <c r="DB707" s="3383"/>
    </row>
    <row r="708" spans="98:106" customFormat="1">
      <c r="CT708" s="3383"/>
      <c r="CX708" s="3383"/>
      <c r="CY708" s="3649"/>
      <c r="CZ708" s="3649"/>
      <c r="DA708" s="3649"/>
      <c r="DB708" s="3383"/>
    </row>
    <row r="709" spans="98:106" customFormat="1">
      <c r="CT709" s="3383"/>
      <c r="CX709" s="3383"/>
      <c r="CY709" s="3649"/>
      <c r="CZ709" s="3649"/>
      <c r="DA709" s="3649"/>
      <c r="DB709" s="3383"/>
    </row>
    <row r="710" spans="98:106" customFormat="1">
      <c r="CT710" s="3383"/>
      <c r="CX710" s="3383"/>
      <c r="CY710" s="3649"/>
      <c r="CZ710" s="3649"/>
      <c r="DA710" s="3649"/>
      <c r="DB710" s="3383"/>
    </row>
    <row r="711" spans="98:106" customFormat="1">
      <c r="CT711" s="3383"/>
      <c r="CX711" s="3383"/>
      <c r="CY711" s="3649"/>
      <c r="CZ711" s="3649"/>
      <c r="DA711" s="3649"/>
      <c r="DB711" s="3383"/>
    </row>
    <row r="712" spans="98:106" customFormat="1">
      <c r="CT712" s="3383"/>
      <c r="CX712" s="3383"/>
      <c r="CY712" s="3649"/>
      <c r="CZ712" s="3649"/>
      <c r="DA712" s="3649"/>
      <c r="DB712" s="3383"/>
    </row>
    <row r="713" spans="98:106" customFormat="1">
      <c r="CT713" s="3383"/>
      <c r="CX713" s="3383"/>
      <c r="CY713" s="3649"/>
      <c r="CZ713" s="3649"/>
      <c r="DA713" s="3649"/>
      <c r="DB713" s="3383"/>
    </row>
    <row r="714" spans="98:106" customFormat="1">
      <c r="CT714" s="3383"/>
      <c r="CX714" s="3383"/>
      <c r="CY714" s="3649"/>
      <c r="CZ714" s="3649"/>
      <c r="DA714" s="3649"/>
      <c r="DB714" s="3383"/>
    </row>
    <row r="715" spans="98:106" customFormat="1">
      <c r="CT715" s="3383"/>
      <c r="CX715" s="3383"/>
      <c r="CY715" s="3649"/>
      <c r="CZ715" s="3649"/>
      <c r="DA715" s="3649"/>
      <c r="DB715" s="3383"/>
    </row>
    <row r="716" spans="98:106" customFormat="1">
      <c r="CT716" s="3383"/>
      <c r="CX716" s="3383"/>
      <c r="CY716" s="3649"/>
      <c r="CZ716" s="3649"/>
      <c r="DA716" s="3649"/>
      <c r="DB716" s="3383"/>
    </row>
    <row r="717" spans="98:106" customFormat="1">
      <c r="CT717" s="3383"/>
      <c r="CX717" s="3383"/>
      <c r="CY717" s="3649"/>
      <c r="CZ717" s="3649"/>
      <c r="DA717" s="3649"/>
      <c r="DB717" s="3383"/>
    </row>
    <row r="718" spans="98:106" customFormat="1">
      <c r="CT718" s="3383"/>
      <c r="CX718" s="3383"/>
      <c r="CY718" s="3649"/>
      <c r="CZ718" s="3649"/>
      <c r="DA718" s="3649"/>
      <c r="DB718" s="3383"/>
    </row>
    <row r="719" spans="98:106" customFormat="1">
      <c r="CT719" s="3383"/>
      <c r="CX719" s="3383"/>
      <c r="CY719" s="3649"/>
      <c r="CZ719" s="3649"/>
      <c r="DA719" s="3649"/>
      <c r="DB719" s="3383"/>
    </row>
    <row r="720" spans="98:106" customFormat="1">
      <c r="CT720" s="3383"/>
      <c r="CX720" s="3383"/>
      <c r="CY720" s="3649"/>
      <c r="CZ720" s="3649"/>
      <c r="DA720" s="3649"/>
      <c r="DB720" s="3383"/>
    </row>
    <row r="721" spans="98:106" customFormat="1">
      <c r="CT721" s="3383"/>
      <c r="CX721" s="3383"/>
      <c r="CY721" s="3649"/>
      <c r="CZ721" s="3649"/>
      <c r="DA721" s="3649"/>
      <c r="DB721" s="3383"/>
    </row>
    <row r="722" spans="98:106" customFormat="1">
      <c r="CT722" s="3383"/>
      <c r="CX722" s="3383"/>
      <c r="CY722" s="3649"/>
      <c r="CZ722" s="3649"/>
      <c r="DA722" s="3649"/>
      <c r="DB722" s="3383"/>
    </row>
    <row r="723" spans="98:106" customFormat="1">
      <c r="CT723" s="3383"/>
      <c r="CX723" s="3383"/>
      <c r="CY723" s="3649"/>
      <c r="CZ723" s="3649"/>
      <c r="DA723" s="3649"/>
      <c r="DB723" s="3383"/>
    </row>
    <row r="724" spans="98:106" customFormat="1">
      <c r="CT724" s="3383"/>
      <c r="CX724" s="3383"/>
      <c r="CY724" s="3649"/>
      <c r="CZ724" s="3649"/>
      <c r="DA724" s="3649"/>
      <c r="DB724" s="3383"/>
    </row>
    <row r="725" spans="98:106" customFormat="1">
      <c r="CT725" s="3383"/>
      <c r="CX725" s="3383"/>
      <c r="CY725" s="3649"/>
      <c r="CZ725" s="3649"/>
      <c r="DA725" s="3649"/>
      <c r="DB725" s="3383"/>
    </row>
    <row r="726" spans="98:106" customFormat="1">
      <c r="CT726" s="3383"/>
      <c r="CX726" s="3383"/>
      <c r="CY726" s="3649"/>
      <c r="CZ726" s="3649"/>
      <c r="DA726" s="3649"/>
      <c r="DB726" s="3383"/>
    </row>
    <row r="727" spans="98:106" customFormat="1">
      <c r="CT727" s="3383"/>
      <c r="CX727" s="3383"/>
      <c r="CY727" s="3649"/>
      <c r="CZ727" s="3649"/>
      <c r="DA727" s="3649"/>
      <c r="DB727" s="3383"/>
    </row>
    <row r="728" spans="98:106" customFormat="1">
      <c r="CT728" s="3383"/>
      <c r="CX728" s="3383"/>
      <c r="CY728" s="3649"/>
      <c r="CZ728" s="3649"/>
      <c r="DA728" s="3649"/>
      <c r="DB728" s="3383"/>
    </row>
    <row r="729" spans="98:106" customFormat="1">
      <c r="CT729" s="3383"/>
      <c r="CX729" s="3383"/>
      <c r="CY729" s="3649"/>
      <c r="CZ729" s="3649"/>
      <c r="DA729" s="3649"/>
      <c r="DB729" s="3383"/>
    </row>
    <row r="730" spans="98:106" customFormat="1">
      <c r="CT730" s="3383"/>
      <c r="CX730" s="3383"/>
      <c r="CY730" s="3649"/>
      <c r="CZ730" s="3649"/>
      <c r="DA730" s="3649"/>
      <c r="DB730" s="3383"/>
    </row>
    <row r="731" spans="98:106" customFormat="1">
      <c r="CT731" s="3383"/>
      <c r="CX731" s="3383"/>
      <c r="CY731" s="3649"/>
      <c r="CZ731" s="3649"/>
      <c r="DA731" s="3649"/>
      <c r="DB731" s="3383"/>
    </row>
    <row r="732" spans="98:106" customFormat="1">
      <c r="CT732" s="3383"/>
      <c r="CX732" s="3383"/>
      <c r="CY732" s="3649"/>
      <c r="CZ732" s="3649"/>
      <c r="DA732" s="3649"/>
      <c r="DB732" s="3383"/>
    </row>
    <row r="733" spans="98:106" customFormat="1">
      <c r="CT733" s="3383"/>
      <c r="CX733" s="3383"/>
      <c r="CY733" s="3649"/>
      <c r="CZ733" s="3649"/>
      <c r="DA733" s="3649"/>
      <c r="DB733" s="3383"/>
    </row>
    <row r="734" spans="98:106" customFormat="1">
      <c r="CT734" s="3383"/>
      <c r="CX734" s="3383"/>
      <c r="CY734" s="3649"/>
      <c r="CZ734" s="3649"/>
      <c r="DA734" s="3649"/>
      <c r="DB734" s="3383"/>
    </row>
    <row r="735" spans="98:106" customFormat="1">
      <c r="CT735" s="3383"/>
      <c r="CX735" s="3383"/>
      <c r="CY735" s="3649"/>
      <c r="CZ735" s="3649"/>
      <c r="DA735" s="3649"/>
      <c r="DB735" s="3383"/>
    </row>
    <row r="736" spans="98:106" customFormat="1">
      <c r="CT736" s="3383"/>
      <c r="CX736" s="3383"/>
      <c r="CY736" s="3649"/>
      <c r="CZ736" s="3649"/>
      <c r="DA736" s="3649"/>
      <c r="DB736" s="3383"/>
    </row>
    <row r="737" spans="98:106" customFormat="1">
      <c r="CT737" s="3383"/>
      <c r="CX737" s="3383"/>
      <c r="CY737" s="3649"/>
      <c r="CZ737" s="3649"/>
      <c r="DA737" s="3649"/>
      <c r="DB737" s="3383"/>
    </row>
    <row r="738" spans="98:106" customFormat="1">
      <c r="CT738" s="3383"/>
      <c r="CX738" s="3383"/>
      <c r="CY738" s="3649"/>
      <c r="CZ738" s="3649"/>
      <c r="DA738" s="3649"/>
      <c r="DB738" s="3383"/>
    </row>
    <row r="739" spans="98:106" customFormat="1">
      <c r="CT739" s="3383"/>
      <c r="CX739" s="3383"/>
      <c r="CY739" s="3649"/>
      <c r="CZ739" s="3649"/>
      <c r="DA739" s="3649"/>
      <c r="DB739" s="3383"/>
    </row>
    <row r="740" spans="98:106" customFormat="1">
      <c r="CT740" s="3383"/>
      <c r="CX740" s="3383"/>
      <c r="CY740" s="3649"/>
      <c r="CZ740" s="3649"/>
      <c r="DA740" s="3649"/>
      <c r="DB740" s="3383"/>
    </row>
    <row r="741" spans="98:106" customFormat="1">
      <c r="CT741" s="3383"/>
      <c r="CX741" s="3383"/>
      <c r="CY741" s="3649"/>
      <c r="CZ741" s="3649"/>
      <c r="DA741" s="3649"/>
      <c r="DB741" s="3383"/>
    </row>
    <row r="742" spans="98:106" customFormat="1">
      <c r="CT742" s="3383"/>
      <c r="CX742" s="3383"/>
      <c r="CY742" s="3649"/>
      <c r="CZ742" s="3649"/>
      <c r="DA742" s="3649"/>
      <c r="DB742" s="3383"/>
    </row>
    <row r="743" spans="98:106" customFormat="1">
      <c r="CT743" s="3383"/>
      <c r="CX743" s="3383"/>
      <c r="CY743" s="3649"/>
      <c r="CZ743" s="3649"/>
      <c r="DA743" s="3649"/>
      <c r="DB743" s="3383"/>
    </row>
    <row r="744" spans="98:106" customFormat="1">
      <c r="CT744" s="3383"/>
      <c r="CX744" s="3383"/>
      <c r="CY744" s="3649"/>
      <c r="CZ744" s="3649"/>
      <c r="DA744" s="3649"/>
      <c r="DB744" s="3383"/>
    </row>
    <row r="745" spans="98:106" customFormat="1">
      <c r="CT745" s="3383"/>
      <c r="CX745" s="3383"/>
      <c r="CY745" s="3649"/>
      <c r="CZ745" s="3649"/>
      <c r="DA745" s="3649"/>
      <c r="DB745" s="3383"/>
    </row>
    <row r="746" spans="98:106" customFormat="1">
      <c r="CT746" s="3383"/>
      <c r="CX746" s="3383"/>
      <c r="CY746" s="3649"/>
      <c r="CZ746" s="3649"/>
      <c r="DA746" s="3649"/>
      <c r="DB746" s="3383"/>
    </row>
    <row r="747" spans="98:106" customFormat="1">
      <c r="CT747" s="3383"/>
      <c r="CX747" s="3383"/>
      <c r="CY747" s="3649"/>
      <c r="CZ747" s="3649"/>
      <c r="DA747" s="3649"/>
      <c r="DB747" s="3383"/>
    </row>
    <row r="748" spans="98:106" customFormat="1">
      <c r="CT748" s="3383"/>
      <c r="CX748" s="3383"/>
      <c r="CY748" s="3649"/>
      <c r="CZ748" s="3649"/>
      <c r="DA748" s="3649"/>
      <c r="DB748" s="3383"/>
    </row>
    <row r="749" spans="98:106" customFormat="1">
      <c r="CT749" s="3383"/>
      <c r="CX749" s="3383"/>
      <c r="CY749" s="3649"/>
      <c r="CZ749" s="3649"/>
      <c r="DA749" s="3649"/>
      <c r="DB749" s="3383"/>
    </row>
    <row r="750" spans="98:106" customFormat="1">
      <c r="CT750" s="3383"/>
      <c r="CX750" s="3383"/>
      <c r="CY750" s="3649"/>
      <c r="CZ750" s="3649"/>
      <c r="DA750" s="3649"/>
      <c r="DB750" s="3383"/>
    </row>
    <row r="751" spans="98:106" customFormat="1">
      <c r="CT751" s="3383"/>
      <c r="CX751" s="3383"/>
      <c r="CY751" s="3649"/>
      <c r="CZ751" s="3649"/>
      <c r="DA751" s="3649"/>
      <c r="DB751" s="3383"/>
    </row>
    <row r="752" spans="98:106" customFormat="1">
      <c r="CT752" s="3383"/>
      <c r="CX752" s="3383"/>
      <c r="CY752" s="3649"/>
      <c r="CZ752" s="3649"/>
      <c r="DA752" s="3649"/>
      <c r="DB752" s="3383"/>
    </row>
    <row r="753" spans="98:106" customFormat="1">
      <c r="CT753" s="3383"/>
      <c r="CX753" s="3383"/>
      <c r="CY753" s="3649"/>
      <c r="CZ753" s="3649"/>
      <c r="DA753" s="3649"/>
      <c r="DB753" s="3383"/>
    </row>
    <row r="754" spans="98:106" customFormat="1">
      <c r="CT754" s="3383"/>
      <c r="CX754" s="3383"/>
      <c r="CY754" s="3649"/>
      <c r="CZ754" s="3649"/>
      <c r="DA754" s="3649"/>
      <c r="DB754" s="3383"/>
    </row>
    <row r="755" spans="98:106" customFormat="1">
      <c r="CT755" s="3383"/>
      <c r="CX755" s="3383"/>
      <c r="CY755" s="3649"/>
      <c r="CZ755" s="3649"/>
      <c r="DA755" s="3649"/>
      <c r="DB755" s="3383"/>
    </row>
    <row r="756" spans="98:106" customFormat="1">
      <c r="CT756" s="3383"/>
      <c r="CX756" s="3383"/>
      <c r="CY756" s="3649"/>
      <c r="CZ756" s="3649"/>
      <c r="DA756" s="3649"/>
      <c r="DB756" s="3383"/>
    </row>
    <row r="757" spans="98:106" customFormat="1">
      <c r="CT757" s="3383"/>
      <c r="CX757" s="3383"/>
      <c r="CY757" s="3649"/>
      <c r="CZ757" s="3649"/>
      <c r="DA757" s="3649"/>
      <c r="DB757" s="3383"/>
    </row>
    <row r="758" spans="98:106" customFormat="1">
      <c r="CT758" s="3383"/>
      <c r="CX758" s="3383"/>
      <c r="CY758" s="3649"/>
      <c r="CZ758" s="3649"/>
      <c r="DA758" s="3649"/>
      <c r="DB758" s="3383"/>
    </row>
    <row r="759" spans="98:106" customFormat="1">
      <c r="CT759" s="3383"/>
      <c r="CX759" s="3383"/>
      <c r="CY759" s="3649"/>
      <c r="CZ759" s="3649"/>
      <c r="DA759" s="3649"/>
      <c r="DB759" s="3383"/>
    </row>
    <row r="760" spans="98:106" customFormat="1">
      <c r="CT760" s="3383"/>
      <c r="CX760" s="3383"/>
      <c r="CY760" s="3649"/>
      <c r="CZ760" s="3649"/>
      <c r="DA760" s="3649"/>
      <c r="DB760" s="3383"/>
    </row>
    <row r="761" spans="98:106" customFormat="1">
      <c r="CT761" s="3383"/>
      <c r="CX761" s="3383"/>
      <c r="CY761" s="3649"/>
      <c r="CZ761" s="3649"/>
      <c r="DA761" s="3649"/>
      <c r="DB761" s="3383"/>
    </row>
    <row r="762" spans="98:106" customFormat="1">
      <c r="CT762" s="3383"/>
      <c r="CX762" s="3383"/>
      <c r="CY762" s="3649"/>
      <c r="CZ762" s="3649"/>
      <c r="DA762" s="3649"/>
      <c r="DB762" s="3383"/>
    </row>
    <row r="763" spans="98:106" customFormat="1">
      <c r="CT763" s="3383"/>
      <c r="CX763" s="3383"/>
      <c r="CY763" s="3649"/>
      <c r="CZ763" s="3649"/>
      <c r="DA763" s="3649"/>
      <c r="DB763" s="3383"/>
    </row>
    <row r="764" spans="98:106" customFormat="1">
      <c r="CT764" s="3383"/>
      <c r="CX764" s="3383"/>
      <c r="CY764" s="3649"/>
      <c r="CZ764" s="3649"/>
      <c r="DA764" s="3649"/>
      <c r="DB764" s="3383"/>
    </row>
    <row r="765" spans="98:106" customFormat="1">
      <c r="CT765" s="3383"/>
      <c r="CX765" s="3383"/>
      <c r="CY765" s="3649"/>
      <c r="CZ765" s="3649"/>
      <c r="DA765" s="3649"/>
      <c r="DB765" s="3383"/>
    </row>
    <row r="766" spans="98:106" customFormat="1">
      <c r="CT766" s="3383"/>
      <c r="CX766" s="3383"/>
      <c r="CY766" s="3649"/>
      <c r="CZ766" s="3649"/>
      <c r="DA766" s="3649"/>
      <c r="DB766" s="3383"/>
    </row>
    <row r="767" spans="98:106" customFormat="1">
      <c r="CT767" s="3383"/>
      <c r="CX767" s="3383"/>
      <c r="CY767" s="3649"/>
      <c r="CZ767" s="3649"/>
      <c r="DA767" s="3649"/>
      <c r="DB767" s="3383"/>
    </row>
    <row r="768" spans="98:106" customFormat="1">
      <c r="CT768" s="3383"/>
      <c r="CX768" s="3383"/>
      <c r="CY768" s="3649"/>
      <c r="CZ768" s="3649"/>
      <c r="DA768" s="3649"/>
      <c r="DB768" s="3383"/>
    </row>
    <row r="769" spans="98:106" customFormat="1">
      <c r="CT769" s="3383"/>
      <c r="CX769" s="3383"/>
      <c r="CY769" s="3649"/>
      <c r="CZ769" s="3649"/>
      <c r="DA769" s="3649"/>
      <c r="DB769" s="3383"/>
    </row>
    <row r="770" spans="98:106" customFormat="1">
      <c r="CT770" s="3383"/>
      <c r="CX770" s="3383"/>
      <c r="CY770" s="3649"/>
      <c r="CZ770" s="3649"/>
      <c r="DA770" s="3649"/>
      <c r="DB770" s="3383"/>
    </row>
    <row r="771" spans="98:106" customFormat="1">
      <c r="CT771" s="3383"/>
      <c r="CX771" s="3383"/>
      <c r="CY771" s="3649"/>
      <c r="CZ771" s="3649"/>
      <c r="DA771" s="3649"/>
      <c r="DB771" s="3383"/>
    </row>
    <row r="772" spans="98:106" customFormat="1">
      <c r="CT772" s="3383"/>
      <c r="CX772" s="3383"/>
      <c r="CY772" s="3649"/>
      <c r="CZ772" s="3649"/>
      <c r="DA772" s="3649"/>
      <c r="DB772" s="3383"/>
    </row>
    <row r="773" spans="98:106" customFormat="1">
      <c r="CT773" s="3383"/>
      <c r="CX773" s="3383"/>
      <c r="CY773" s="3649"/>
      <c r="CZ773" s="3649"/>
      <c r="DA773" s="3649"/>
      <c r="DB773" s="3383"/>
    </row>
    <row r="774" spans="98:106" customFormat="1">
      <c r="CT774" s="3383"/>
      <c r="CX774" s="3383"/>
      <c r="CY774" s="3649"/>
      <c r="CZ774" s="3649"/>
      <c r="DA774" s="3649"/>
      <c r="DB774" s="3383"/>
    </row>
    <row r="775" spans="98:106" customFormat="1">
      <c r="CT775" s="3383"/>
      <c r="CX775" s="3383"/>
      <c r="CY775" s="3649"/>
      <c r="CZ775" s="3649"/>
      <c r="DA775" s="3649"/>
      <c r="DB775" s="3383"/>
    </row>
    <row r="776" spans="98:106" customFormat="1">
      <c r="CT776" s="3383"/>
      <c r="CX776" s="3383"/>
      <c r="CY776" s="3649"/>
      <c r="CZ776" s="3649"/>
      <c r="DA776" s="3649"/>
      <c r="DB776" s="3383"/>
    </row>
    <row r="777" spans="98:106" customFormat="1">
      <c r="CT777" s="3383"/>
      <c r="CX777" s="3383"/>
      <c r="CY777" s="3649"/>
      <c r="CZ777" s="3649"/>
      <c r="DA777" s="3649"/>
      <c r="DB777" s="3383"/>
    </row>
    <row r="778" spans="98:106" customFormat="1">
      <c r="CT778" s="3383"/>
      <c r="CX778" s="3383"/>
      <c r="CY778" s="3649"/>
      <c r="CZ778" s="3649"/>
      <c r="DA778" s="3649"/>
      <c r="DB778" s="3383"/>
    </row>
    <row r="779" spans="98:106" customFormat="1">
      <c r="CT779" s="3383"/>
      <c r="CX779" s="3383"/>
      <c r="CY779" s="3649"/>
      <c r="CZ779" s="3649"/>
      <c r="DA779" s="3649"/>
      <c r="DB779" s="3383"/>
    </row>
    <row r="780" spans="98:106" customFormat="1">
      <c r="CT780" s="3383"/>
      <c r="CX780" s="3383"/>
      <c r="CY780" s="3649"/>
      <c r="CZ780" s="3649"/>
      <c r="DA780" s="3649"/>
      <c r="DB780" s="3383"/>
    </row>
    <row r="781" spans="98:106" customFormat="1">
      <c r="CT781" s="3383"/>
      <c r="CX781" s="3383"/>
      <c r="CY781" s="3649"/>
      <c r="CZ781" s="3649"/>
      <c r="DA781" s="3649"/>
      <c r="DB781" s="3383"/>
    </row>
    <row r="782" spans="98:106" customFormat="1">
      <c r="CT782" s="3383"/>
      <c r="CX782" s="3383"/>
      <c r="CY782" s="3649"/>
      <c r="CZ782" s="3649"/>
      <c r="DA782" s="3649"/>
      <c r="DB782" s="3383"/>
    </row>
    <row r="783" spans="98:106" customFormat="1">
      <c r="CT783" s="3383"/>
      <c r="CX783" s="3383"/>
      <c r="CY783" s="3649"/>
      <c r="CZ783" s="3649"/>
      <c r="DA783" s="3649"/>
      <c r="DB783" s="3383"/>
    </row>
    <row r="784" spans="98:106" customFormat="1">
      <c r="CT784" s="3383"/>
      <c r="CX784" s="3383"/>
      <c r="CY784" s="3649"/>
      <c r="CZ784" s="3649"/>
      <c r="DA784" s="3649"/>
      <c r="DB784" s="3383"/>
    </row>
    <row r="785" spans="98:106" customFormat="1">
      <c r="CT785" s="3383"/>
      <c r="CX785" s="3383"/>
      <c r="CY785" s="3649"/>
      <c r="CZ785" s="3649"/>
      <c r="DA785" s="3649"/>
      <c r="DB785" s="3383"/>
    </row>
    <row r="786" spans="98:106" customFormat="1">
      <c r="CT786" s="3383"/>
      <c r="CX786" s="3383"/>
      <c r="CY786" s="3649"/>
      <c r="CZ786" s="3649"/>
      <c r="DA786" s="3649"/>
      <c r="DB786" s="3383"/>
    </row>
    <row r="787" spans="98:106" customFormat="1">
      <c r="CT787" s="3383"/>
      <c r="CX787" s="3383"/>
      <c r="CY787" s="3649"/>
      <c r="CZ787" s="3649"/>
      <c r="DA787" s="3649"/>
      <c r="DB787" s="3383"/>
    </row>
    <row r="788" spans="98:106" customFormat="1">
      <c r="CT788" s="3383"/>
      <c r="CX788" s="3383"/>
      <c r="CY788" s="3649"/>
      <c r="CZ788" s="3649"/>
      <c r="DA788" s="3649"/>
      <c r="DB788" s="3383"/>
    </row>
    <row r="789" spans="98:106" customFormat="1">
      <c r="CT789" s="3383"/>
      <c r="CX789" s="3383"/>
      <c r="CY789" s="3649"/>
      <c r="CZ789" s="3649"/>
      <c r="DA789" s="3649"/>
      <c r="DB789" s="3383"/>
    </row>
    <row r="790" spans="98:106" customFormat="1">
      <c r="CT790" s="3383"/>
      <c r="CX790" s="3383"/>
      <c r="CY790" s="3649"/>
      <c r="CZ790" s="3649"/>
      <c r="DA790" s="3649"/>
      <c r="DB790" s="3383"/>
    </row>
    <row r="791" spans="98:106" customFormat="1">
      <c r="CT791" s="3383"/>
      <c r="CX791" s="3383"/>
      <c r="CY791" s="3649"/>
      <c r="CZ791" s="3649"/>
      <c r="DA791" s="3649"/>
      <c r="DB791" s="3383"/>
    </row>
    <row r="792" spans="98:106" customFormat="1">
      <c r="CT792" s="3383"/>
      <c r="CX792" s="3383"/>
      <c r="CY792" s="3649"/>
      <c r="CZ792" s="3649"/>
      <c r="DA792" s="3649"/>
      <c r="DB792" s="3383"/>
    </row>
    <row r="793" spans="98:106" customFormat="1">
      <c r="CT793" s="3383"/>
      <c r="CX793" s="3383"/>
      <c r="CY793" s="3649"/>
      <c r="CZ793" s="3649"/>
      <c r="DA793" s="3649"/>
      <c r="DB793" s="3383"/>
    </row>
    <row r="794" spans="98:106" customFormat="1">
      <c r="CT794" s="3383"/>
      <c r="CX794" s="3383"/>
      <c r="CY794" s="3649"/>
      <c r="CZ794" s="3649"/>
      <c r="DA794" s="3649"/>
      <c r="DB794" s="3383"/>
    </row>
    <row r="795" spans="98:106" customFormat="1">
      <c r="CT795" s="3383"/>
      <c r="CX795" s="3383"/>
      <c r="CY795" s="3649"/>
      <c r="CZ795" s="3649"/>
      <c r="DA795" s="3649"/>
      <c r="DB795" s="3383"/>
    </row>
    <row r="796" spans="98:106" customFormat="1">
      <c r="CT796" s="3383"/>
      <c r="CX796" s="3383"/>
      <c r="CY796" s="3649"/>
      <c r="CZ796" s="3649"/>
      <c r="DA796" s="3649"/>
      <c r="DB796" s="3383"/>
    </row>
    <row r="797" spans="98:106" customFormat="1">
      <c r="CT797" s="3383"/>
      <c r="CX797" s="3383"/>
      <c r="CY797" s="3649"/>
      <c r="CZ797" s="3649"/>
      <c r="DA797" s="3649"/>
      <c r="DB797" s="3383"/>
    </row>
    <row r="798" spans="98:106" customFormat="1">
      <c r="CT798" s="3383"/>
      <c r="CX798" s="3383"/>
      <c r="CY798" s="3649"/>
      <c r="CZ798" s="3649"/>
      <c r="DA798" s="3649"/>
      <c r="DB798" s="3383"/>
    </row>
    <row r="799" spans="98:106" customFormat="1">
      <c r="CT799" s="3383"/>
      <c r="CX799" s="3383"/>
      <c r="CY799" s="3649"/>
      <c r="CZ799" s="3649"/>
      <c r="DA799" s="3649"/>
      <c r="DB799" s="3383"/>
    </row>
    <row r="800" spans="98:106" customFormat="1">
      <c r="CT800" s="3383"/>
      <c r="CX800" s="3383"/>
      <c r="CY800" s="3649"/>
      <c r="CZ800" s="3649"/>
      <c r="DA800" s="3649"/>
      <c r="DB800" s="3383"/>
    </row>
    <row r="801" spans="98:106" customFormat="1">
      <c r="CT801" s="3383"/>
      <c r="CX801" s="3383"/>
      <c r="CY801" s="3649"/>
      <c r="CZ801" s="3649"/>
      <c r="DA801" s="3649"/>
      <c r="DB801" s="3383"/>
    </row>
    <row r="802" spans="98:106" customFormat="1">
      <c r="CT802" s="3383"/>
      <c r="CX802" s="3383"/>
      <c r="CY802" s="3649"/>
      <c r="CZ802" s="3649"/>
      <c r="DA802" s="3649"/>
      <c r="DB802" s="3383"/>
    </row>
    <row r="803" spans="98:106" customFormat="1">
      <c r="CT803" s="3383"/>
      <c r="CX803" s="3383"/>
      <c r="CY803" s="3649"/>
      <c r="CZ803" s="3649"/>
      <c r="DA803" s="3649"/>
      <c r="DB803" s="3383"/>
    </row>
    <row r="804" spans="98:106" customFormat="1">
      <c r="CT804" s="3383"/>
      <c r="CX804" s="3383"/>
      <c r="CY804" s="3649"/>
      <c r="CZ804" s="3649"/>
      <c r="DA804" s="3649"/>
      <c r="DB804" s="3383"/>
    </row>
    <row r="805" spans="98:106" customFormat="1">
      <c r="CT805" s="3383"/>
      <c r="CX805" s="3383"/>
      <c r="CY805" s="3649"/>
      <c r="CZ805" s="3649"/>
      <c r="DA805" s="3649"/>
      <c r="DB805" s="3383"/>
    </row>
    <row r="806" spans="98:106" customFormat="1">
      <c r="CT806" s="3383"/>
      <c r="CX806" s="3383"/>
      <c r="CY806" s="3649"/>
      <c r="CZ806" s="3649"/>
      <c r="DA806" s="3649"/>
      <c r="DB806" s="3383"/>
    </row>
    <row r="807" spans="98:106" customFormat="1">
      <c r="CT807" s="3383"/>
      <c r="CX807" s="3383"/>
      <c r="CY807" s="3649"/>
      <c r="CZ807" s="3649"/>
      <c r="DA807" s="3649"/>
      <c r="DB807" s="3383"/>
    </row>
    <row r="808" spans="98:106" customFormat="1">
      <c r="CT808" s="3383"/>
      <c r="CX808" s="3383"/>
      <c r="CY808" s="3649"/>
      <c r="CZ808" s="3649"/>
      <c r="DA808" s="3649"/>
      <c r="DB808" s="3383"/>
    </row>
    <row r="809" spans="98:106" customFormat="1">
      <c r="CT809" s="3383"/>
      <c r="CX809" s="3383"/>
      <c r="CY809" s="3649"/>
      <c r="CZ809" s="3649"/>
      <c r="DA809" s="3649"/>
      <c r="DB809" s="3383"/>
    </row>
    <row r="810" spans="98:106" customFormat="1">
      <c r="CT810" s="3383"/>
      <c r="CX810" s="3383"/>
      <c r="CY810" s="3649"/>
      <c r="CZ810" s="3649"/>
      <c r="DA810" s="3649"/>
      <c r="DB810" s="3383"/>
    </row>
    <row r="811" spans="98:106" customFormat="1">
      <c r="CT811" s="3383"/>
      <c r="CX811" s="3383"/>
      <c r="CY811" s="3649"/>
      <c r="CZ811" s="3649"/>
      <c r="DA811" s="3649"/>
      <c r="DB811" s="3383"/>
    </row>
    <row r="812" spans="98:106" customFormat="1">
      <c r="CT812" s="3383"/>
      <c r="CX812" s="3383"/>
      <c r="CY812" s="3649"/>
      <c r="CZ812" s="3649"/>
      <c r="DA812" s="3649"/>
      <c r="DB812" s="3383"/>
    </row>
    <row r="813" spans="98:106" customFormat="1">
      <c r="CT813" s="3383"/>
      <c r="CX813" s="3383"/>
      <c r="CY813" s="3649"/>
      <c r="CZ813" s="3649"/>
      <c r="DA813" s="3649"/>
      <c r="DB813" s="3383"/>
    </row>
    <row r="814" spans="98:106" customFormat="1">
      <c r="CT814" s="3383"/>
      <c r="CX814" s="3383"/>
      <c r="CY814" s="3649"/>
      <c r="CZ814" s="3649"/>
      <c r="DA814" s="3649"/>
      <c r="DB814" s="3383"/>
    </row>
    <row r="815" spans="98:106" customFormat="1">
      <c r="CT815" s="3383"/>
      <c r="CX815" s="3383"/>
      <c r="CY815" s="3649"/>
      <c r="CZ815" s="3649"/>
      <c r="DA815" s="3649"/>
      <c r="DB815" s="3383"/>
    </row>
    <row r="816" spans="98:106" customFormat="1">
      <c r="CT816" s="3383"/>
      <c r="CX816" s="3383"/>
      <c r="CY816" s="3649"/>
      <c r="CZ816" s="3649"/>
      <c r="DA816" s="3649"/>
      <c r="DB816" s="3383"/>
    </row>
    <row r="817" spans="98:106" customFormat="1">
      <c r="CT817" s="3383"/>
      <c r="CX817" s="3383"/>
      <c r="CY817" s="3649"/>
      <c r="CZ817" s="3649"/>
      <c r="DA817" s="3649"/>
      <c r="DB817" s="3383"/>
    </row>
    <row r="818" spans="98:106" customFormat="1">
      <c r="CT818" s="3383"/>
      <c r="CX818" s="3383"/>
      <c r="CY818" s="3649"/>
      <c r="CZ818" s="3649"/>
      <c r="DA818" s="3649"/>
      <c r="DB818" s="3383"/>
    </row>
    <row r="819" spans="98:106" customFormat="1">
      <c r="CT819" s="3383"/>
      <c r="CX819" s="3383"/>
      <c r="CY819" s="3649"/>
      <c r="CZ819" s="3649"/>
      <c r="DA819" s="3649"/>
      <c r="DB819" s="3383"/>
    </row>
    <row r="820" spans="98:106" customFormat="1">
      <c r="CT820" s="3383"/>
      <c r="CX820" s="3383"/>
      <c r="CY820" s="3649"/>
      <c r="CZ820" s="3649"/>
      <c r="DA820" s="3649"/>
      <c r="DB820" s="3383"/>
    </row>
    <row r="821" spans="98:106" customFormat="1">
      <c r="CT821" s="3383"/>
      <c r="CX821" s="3383"/>
      <c r="CY821" s="3649"/>
      <c r="CZ821" s="3649"/>
      <c r="DA821" s="3649"/>
      <c r="DB821" s="3383"/>
    </row>
    <row r="822" spans="98:106" customFormat="1">
      <c r="CT822" s="3383"/>
      <c r="CX822" s="3383"/>
      <c r="CY822" s="3649"/>
      <c r="CZ822" s="3649"/>
      <c r="DA822" s="3649"/>
      <c r="DB822" s="3383"/>
    </row>
    <row r="823" spans="98:106" customFormat="1">
      <c r="CT823" s="3383"/>
      <c r="CX823" s="3383"/>
      <c r="CY823" s="3649"/>
      <c r="CZ823" s="3649"/>
      <c r="DA823" s="3649"/>
      <c r="DB823" s="3383"/>
    </row>
    <row r="824" spans="98:106" customFormat="1">
      <c r="CT824" s="3383"/>
      <c r="CX824" s="3383"/>
      <c r="CY824" s="3649"/>
      <c r="CZ824" s="3649"/>
      <c r="DA824" s="3649"/>
      <c r="DB824" s="3383"/>
    </row>
    <row r="825" spans="98:106" customFormat="1">
      <c r="CT825" s="3383"/>
      <c r="CX825" s="3383"/>
      <c r="CY825" s="3649"/>
      <c r="CZ825" s="3649"/>
      <c r="DA825" s="3649"/>
      <c r="DB825" s="3383"/>
    </row>
    <row r="826" spans="98:106" customFormat="1">
      <c r="CT826" s="3383"/>
      <c r="CX826" s="3383"/>
      <c r="CY826" s="3649"/>
      <c r="CZ826" s="3649"/>
      <c r="DA826" s="3649"/>
      <c r="DB826" s="3383"/>
    </row>
    <row r="827" spans="98:106" customFormat="1">
      <c r="CT827" s="3383"/>
      <c r="CX827" s="3383"/>
      <c r="CY827" s="3649"/>
      <c r="CZ827" s="3649"/>
      <c r="DA827" s="3649"/>
      <c r="DB827" s="3383"/>
    </row>
    <row r="828" spans="98:106" customFormat="1">
      <c r="CT828" s="3383"/>
      <c r="CX828" s="3383"/>
      <c r="CY828" s="3649"/>
      <c r="CZ828" s="3649"/>
      <c r="DA828" s="3649"/>
      <c r="DB828" s="3383"/>
    </row>
    <row r="829" spans="98:106" customFormat="1">
      <c r="CT829" s="3383"/>
      <c r="CX829" s="3383"/>
      <c r="CY829" s="3649"/>
      <c r="CZ829" s="3649"/>
      <c r="DA829" s="3649"/>
      <c r="DB829" s="3383"/>
    </row>
    <row r="830" spans="98:106" customFormat="1">
      <c r="CT830" s="3383"/>
      <c r="CX830" s="3383"/>
      <c r="CY830" s="3649"/>
      <c r="CZ830" s="3649"/>
      <c r="DA830" s="3649"/>
      <c r="DB830" s="3383"/>
    </row>
    <row r="831" spans="98:106" customFormat="1">
      <c r="CT831" s="3383"/>
      <c r="CX831" s="3383"/>
      <c r="CY831" s="3649"/>
      <c r="CZ831" s="3649"/>
      <c r="DA831" s="3649"/>
      <c r="DB831" s="3383"/>
    </row>
    <row r="832" spans="98:106" customFormat="1">
      <c r="CT832" s="3383"/>
      <c r="CX832" s="3383"/>
      <c r="CY832" s="3649"/>
      <c r="CZ832" s="3649"/>
      <c r="DA832" s="3649"/>
      <c r="DB832" s="3383"/>
    </row>
    <row r="833" spans="98:106" customFormat="1">
      <c r="CT833" s="3383"/>
      <c r="CX833" s="3383"/>
      <c r="CY833" s="3649"/>
      <c r="CZ833" s="3649"/>
      <c r="DA833" s="3649"/>
      <c r="DB833" s="3383"/>
    </row>
    <row r="834" spans="98:106" customFormat="1">
      <c r="CT834" s="3383"/>
      <c r="CX834" s="3383"/>
      <c r="CY834" s="3649"/>
      <c r="CZ834" s="3649"/>
      <c r="DA834" s="3649"/>
      <c r="DB834" s="3383"/>
    </row>
    <row r="835" spans="98:106" customFormat="1">
      <c r="CT835" s="3383"/>
      <c r="CX835" s="3383"/>
      <c r="CY835" s="3649"/>
      <c r="CZ835" s="3649"/>
      <c r="DA835" s="3649"/>
      <c r="DB835" s="3383"/>
    </row>
    <row r="836" spans="98:106" customFormat="1">
      <c r="CT836" s="3383"/>
      <c r="CX836" s="3383"/>
      <c r="CY836" s="3649"/>
      <c r="CZ836" s="3649"/>
      <c r="DA836" s="3649"/>
      <c r="DB836" s="3383"/>
    </row>
    <row r="837" spans="98:106" customFormat="1">
      <c r="CT837" s="3383"/>
      <c r="CX837" s="3383"/>
      <c r="CY837" s="3649"/>
      <c r="CZ837" s="3649"/>
      <c r="DA837" s="3649"/>
      <c r="DB837" s="3383"/>
    </row>
    <row r="838" spans="98:106" customFormat="1">
      <c r="CT838" s="3383"/>
      <c r="CX838" s="3383"/>
      <c r="CY838" s="3649"/>
      <c r="CZ838" s="3649"/>
      <c r="DA838" s="3649"/>
      <c r="DB838" s="3383"/>
    </row>
    <row r="839" spans="98:106" customFormat="1">
      <c r="CT839" s="3383"/>
      <c r="CX839" s="3383"/>
      <c r="CY839" s="3649"/>
      <c r="CZ839" s="3649"/>
      <c r="DA839" s="3649"/>
      <c r="DB839" s="3383"/>
    </row>
    <row r="840" spans="98:106" customFormat="1">
      <c r="CT840" s="3383"/>
      <c r="CX840" s="3383"/>
      <c r="CY840" s="3649"/>
      <c r="CZ840" s="3649"/>
      <c r="DA840" s="3649"/>
      <c r="DB840" s="3383"/>
    </row>
    <row r="841" spans="98:106" customFormat="1">
      <c r="CT841" s="3383"/>
      <c r="CX841" s="3383"/>
      <c r="CY841" s="3649"/>
      <c r="CZ841" s="3649"/>
      <c r="DA841" s="3649"/>
      <c r="DB841" s="3383"/>
    </row>
    <row r="842" spans="98:106" customFormat="1">
      <c r="CT842" s="3383"/>
      <c r="CX842" s="3383"/>
      <c r="CY842" s="3649"/>
      <c r="CZ842" s="3649"/>
      <c r="DA842" s="3649"/>
      <c r="DB842" s="3383"/>
    </row>
    <row r="843" spans="98:106" customFormat="1">
      <c r="CT843" s="3383"/>
      <c r="CX843" s="3383"/>
      <c r="CY843" s="3649"/>
      <c r="CZ843" s="3649"/>
      <c r="DA843" s="3649"/>
      <c r="DB843" s="3383"/>
    </row>
    <row r="844" spans="98:106" customFormat="1">
      <c r="CT844" s="3383"/>
      <c r="CX844" s="3383"/>
      <c r="CY844" s="3649"/>
      <c r="CZ844" s="3649"/>
      <c r="DA844" s="3649"/>
      <c r="DB844" s="3383"/>
    </row>
    <row r="845" spans="98:106" customFormat="1">
      <c r="CT845" s="3383"/>
      <c r="CX845" s="3383"/>
      <c r="CY845" s="3649"/>
      <c r="CZ845" s="3649"/>
      <c r="DA845" s="3649"/>
      <c r="DB845" s="3383"/>
    </row>
    <row r="846" spans="98:106" customFormat="1">
      <c r="CT846" s="3383"/>
      <c r="CX846" s="3383"/>
      <c r="CY846" s="3649"/>
      <c r="CZ846" s="3649"/>
      <c r="DA846" s="3649"/>
      <c r="DB846" s="3383"/>
    </row>
    <row r="847" spans="98:106" customFormat="1">
      <c r="CT847" s="3383"/>
      <c r="CX847" s="3383"/>
      <c r="CY847" s="3649"/>
      <c r="CZ847" s="3649"/>
      <c r="DA847" s="3649"/>
      <c r="DB847" s="3383"/>
    </row>
    <row r="848" spans="98:106" customFormat="1">
      <c r="CT848" s="3383"/>
      <c r="CX848" s="3383"/>
      <c r="CY848" s="3649"/>
      <c r="CZ848" s="3649"/>
      <c r="DA848" s="3649"/>
      <c r="DB848" s="3383"/>
    </row>
    <row r="849" spans="98:106" customFormat="1">
      <c r="CT849" s="3383"/>
      <c r="CX849" s="3383"/>
      <c r="CY849" s="3649"/>
      <c r="CZ849" s="3649"/>
      <c r="DA849" s="3649"/>
      <c r="DB849" s="3383"/>
    </row>
    <row r="850" spans="98:106" customFormat="1">
      <c r="CT850" s="3383"/>
      <c r="CX850" s="3383"/>
      <c r="CY850" s="3649"/>
      <c r="CZ850" s="3649"/>
      <c r="DA850" s="3649"/>
      <c r="DB850" s="3383"/>
    </row>
    <row r="851" spans="98:106" customFormat="1">
      <c r="CT851" s="3383"/>
      <c r="CX851" s="3383"/>
      <c r="CY851" s="3649"/>
      <c r="CZ851" s="3649"/>
      <c r="DA851" s="3649"/>
      <c r="DB851" s="3383"/>
    </row>
    <row r="852" spans="98:106" customFormat="1">
      <c r="CT852" s="3383"/>
      <c r="CX852" s="3383"/>
      <c r="CY852" s="3649"/>
      <c r="CZ852" s="3649"/>
      <c r="DA852" s="3649"/>
      <c r="DB852" s="3383"/>
    </row>
    <row r="853" spans="98:106" customFormat="1">
      <c r="CT853" s="3383"/>
      <c r="CX853" s="3383"/>
      <c r="CY853" s="3649"/>
      <c r="CZ853" s="3649"/>
      <c r="DA853" s="3649"/>
      <c r="DB853" s="3383"/>
    </row>
    <row r="854" spans="98:106" customFormat="1">
      <c r="CT854" s="3383"/>
      <c r="CX854" s="3383"/>
      <c r="CY854" s="3649"/>
      <c r="CZ854" s="3649"/>
      <c r="DA854" s="3649"/>
      <c r="DB854" s="3383"/>
    </row>
    <row r="855" spans="98:106" customFormat="1">
      <c r="CT855" s="3383"/>
      <c r="CX855" s="3383"/>
      <c r="CY855" s="3649"/>
      <c r="CZ855" s="3649"/>
      <c r="DA855" s="3649"/>
      <c r="DB855" s="3383"/>
    </row>
    <row r="856" spans="98:106" customFormat="1">
      <c r="CT856" s="3383"/>
      <c r="CX856" s="3383"/>
      <c r="CY856" s="3649"/>
      <c r="CZ856" s="3649"/>
      <c r="DA856" s="3649"/>
      <c r="DB856" s="3383"/>
    </row>
    <row r="857" spans="98:106" customFormat="1">
      <c r="CT857" s="3383"/>
      <c r="CX857" s="3383"/>
      <c r="CY857" s="3649"/>
      <c r="CZ857" s="3649"/>
      <c r="DA857" s="3649"/>
      <c r="DB857" s="3383"/>
    </row>
    <row r="858" spans="98:106" customFormat="1">
      <c r="CT858" s="3383"/>
      <c r="CX858" s="3383"/>
      <c r="CY858" s="3649"/>
      <c r="CZ858" s="3649"/>
      <c r="DA858" s="3649"/>
      <c r="DB858" s="3383"/>
    </row>
    <row r="859" spans="98:106" customFormat="1">
      <c r="CT859" s="3383"/>
      <c r="CX859" s="3383"/>
      <c r="CY859" s="3649"/>
      <c r="CZ859" s="3649"/>
      <c r="DA859" s="3649"/>
      <c r="DB859" s="3383"/>
    </row>
    <row r="860" spans="98:106" customFormat="1">
      <c r="CT860" s="3383"/>
      <c r="CX860" s="3383"/>
      <c r="CY860" s="3649"/>
      <c r="CZ860" s="3649"/>
      <c r="DA860" s="3649"/>
      <c r="DB860" s="3383"/>
    </row>
    <row r="861" spans="98:106" customFormat="1">
      <c r="CT861" s="3383"/>
      <c r="CX861" s="3383"/>
      <c r="CY861" s="3649"/>
      <c r="CZ861" s="3649"/>
      <c r="DA861" s="3649"/>
      <c r="DB861" s="3383"/>
    </row>
    <row r="862" spans="98:106" customFormat="1">
      <c r="CT862" s="3383"/>
      <c r="CX862" s="3383"/>
      <c r="CY862" s="3649"/>
      <c r="CZ862" s="3649"/>
      <c r="DA862" s="3649"/>
      <c r="DB862" s="3383"/>
    </row>
    <row r="863" spans="98:106" customFormat="1">
      <c r="CT863" s="3383"/>
      <c r="CX863" s="3383"/>
      <c r="CY863" s="3649"/>
      <c r="CZ863" s="3649"/>
      <c r="DA863" s="3649"/>
      <c r="DB863" s="3383"/>
    </row>
    <row r="864" spans="98:106" customFormat="1">
      <c r="CT864" s="3383"/>
      <c r="CX864" s="3383"/>
      <c r="CY864" s="3649"/>
      <c r="CZ864" s="3649"/>
      <c r="DA864" s="3649"/>
      <c r="DB864" s="3383"/>
    </row>
    <row r="865" spans="98:106" customFormat="1">
      <c r="CT865" s="3383"/>
      <c r="CX865" s="3383"/>
      <c r="CY865" s="3649"/>
      <c r="CZ865" s="3649"/>
      <c r="DA865" s="3649"/>
      <c r="DB865" s="3383"/>
    </row>
    <row r="866" spans="98:106" customFormat="1">
      <c r="CT866" s="3383"/>
      <c r="CX866" s="3383"/>
      <c r="CY866" s="3649"/>
      <c r="CZ866" s="3649"/>
      <c r="DA866" s="3649"/>
      <c r="DB866" s="3383"/>
    </row>
    <row r="867" spans="98:106" customFormat="1">
      <c r="CT867" s="3383"/>
      <c r="CX867" s="3383"/>
      <c r="CY867" s="3649"/>
      <c r="CZ867" s="3649"/>
      <c r="DA867" s="3649"/>
      <c r="DB867" s="3383"/>
    </row>
    <row r="868" spans="98:106" customFormat="1">
      <c r="CT868" s="3383"/>
      <c r="CX868" s="3383"/>
      <c r="CY868" s="3649"/>
      <c r="CZ868" s="3649"/>
      <c r="DA868" s="3649"/>
      <c r="DB868" s="3383"/>
    </row>
    <row r="869" spans="98:106" customFormat="1">
      <c r="CT869" s="3383"/>
      <c r="CX869" s="3383"/>
      <c r="CY869" s="3649"/>
      <c r="CZ869" s="3649"/>
      <c r="DA869" s="3649"/>
      <c r="DB869" s="3383"/>
    </row>
    <row r="870" spans="98:106" customFormat="1">
      <c r="CT870" s="3383"/>
      <c r="CX870" s="3383"/>
      <c r="CY870" s="3649"/>
      <c r="CZ870" s="3649"/>
      <c r="DA870" s="3649"/>
      <c r="DB870" s="3383"/>
    </row>
    <row r="871" spans="98:106" customFormat="1">
      <c r="CT871" s="3383"/>
      <c r="CX871" s="3383"/>
      <c r="CY871" s="3649"/>
      <c r="CZ871" s="3649"/>
      <c r="DA871" s="3649"/>
      <c r="DB871" s="3383"/>
    </row>
    <row r="872" spans="98:106" customFormat="1">
      <c r="CT872" s="3383"/>
      <c r="CX872" s="3383"/>
      <c r="CY872" s="3649"/>
      <c r="CZ872" s="3649"/>
      <c r="DA872" s="3649"/>
      <c r="DB872" s="3383"/>
    </row>
    <row r="873" spans="98:106" customFormat="1">
      <c r="CT873" s="3383"/>
      <c r="CX873" s="3383"/>
      <c r="CY873" s="3649"/>
      <c r="CZ873" s="3649"/>
      <c r="DA873" s="3649"/>
      <c r="DB873" s="3383"/>
    </row>
    <row r="874" spans="98:106" customFormat="1">
      <c r="CT874" s="3383"/>
      <c r="CX874" s="3383"/>
      <c r="CY874" s="3649"/>
      <c r="CZ874" s="3649"/>
      <c r="DA874" s="3649"/>
      <c r="DB874" s="3383"/>
    </row>
    <row r="875" spans="98:106" customFormat="1">
      <c r="CT875" s="3383"/>
      <c r="CX875" s="3383"/>
      <c r="CY875" s="3649"/>
      <c r="CZ875" s="3649"/>
      <c r="DA875" s="3649"/>
      <c r="DB875" s="3383"/>
    </row>
    <row r="876" spans="98:106" customFormat="1">
      <c r="CT876" s="3383"/>
      <c r="CX876" s="3383"/>
      <c r="CY876" s="3649"/>
      <c r="CZ876" s="3649"/>
      <c r="DA876" s="3649"/>
      <c r="DB876" s="3383"/>
    </row>
    <row r="877" spans="98:106" customFormat="1">
      <c r="CT877" s="3383"/>
      <c r="CX877" s="3383"/>
      <c r="CY877" s="3649"/>
      <c r="CZ877" s="3649"/>
      <c r="DA877" s="3649"/>
      <c r="DB877" s="3383"/>
    </row>
    <row r="878" spans="98:106" customFormat="1">
      <c r="CT878" s="3383"/>
      <c r="CX878" s="3383"/>
      <c r="CY878" s="3649"/>
      <c r="CZ878" s="3649"/>
      <c r="DA878" s="3649"/>
      <c r="DB878" s="3383"/>
    </row>
    <row r="879" spans="98:106" customFormat="1">
      <c r="CT879" s="3383"/>
      <c r="CX879" s="3383"/>
      <c r="CY879" s="3649"/>
      <c r="CZ879" s="3649"/>
      <c r="DA879" s="3649"/>
      <c r="DB879" s="3383"/>
    </row>
    <row r="880" spans="98:106" customFormat="1">
      <c r="CT880" s="3383"/>
      <c r="CX880" s="3383"/>
      <c r="CY880" s="3649"/>
      <c r="CZ880" s="3649"/>
      <c r="DA880" s="3649"/>
      <c r="DB880" s="3383"/>
    </row>
    <row r="881" spans="98:106" customFormat="1">
      <c r="CT881" s="3383"/>
      <c r="CX881" s="3383"/>
      <c r="CY881" s="3649"/>
      <c r="CZ881" s="3649"/>
      <c r="DA881" s="3649"/>
      <c r="DB881" s="3383"/>
    </row>
    <row r="882" spans="98:106" customFormat="1">
      <c r="CT882" s="3383"/>
      <c r="CX882" s="3383"/>
      <c r="CY882" s="3649"/>
      <c r="CZ882" s="3649"/>
      <c r="DA882" s="3649"/>
      <c r="DB882" s="3383"/>
    </row>
    <row r="883" spans="98:106" customFormat="1">
      <c r="CT883" s="3383"/>
      <c r="CX883" s="3383"/>
      <c r="CY883" s="3649"/>
      <c r="CZ883" s="3649"/>
      <c r="DA883" s="3649"/>
      <c r="DB883" s="3383"/>
    </row>
    <row r="884" spans="98:106" customFormat="1">
      <c r="CT884" s="3383"/>
      <c r="CX884" s="3383"/>
      <c r="CY884" s="3649"/>
      <c r="CZ884" s="3649"/>
      <c r="DA884" s="3649"/>
      <c r="DB884" s="3383"/>
    </row>
    <row r="885" spans="98:106" customFormat="1">
      <c r="CT885" s="3383"/>
      <c r="CX885" s="3383"/>
      <c r="CY885" s="3649"/>
      <c r="CZ885" s="3649"/>
      <c r="DA885" s="3649"/>
      <c r="DB885" s="3383"/>
    </row>
    <row r="886" spans="98:106" customFormat="1">
      <c r="CT886" s="3383"/>
      <c r="CX886" s="3383"/>
      <c r="CY886" s="3649"/>
      <c r="CZ886" s="3649"/>
      <c r="DA886" s="3649"/>
      <c r="DB886" s="3383"/>
    </row>
    <row r="887" spans="98:106" customFormat="1">
      <c r="CT887" s="3383"/>
      <c r="CX887" s="3383"/>
      <c r="CY887" s="3649"/>
      <c r="CZ887" s="3649"/>
      <c r="DA887" s="3649"/>
      <c r="DB887" s="3383"/>
    </row>
    <row r="888" spans="98:106" customFormat="1">
      <c r="CT888" s="3383"/>
      <c r="CX888" s="3383"/>
      <c r="CY888" s="3649"/>
      <c r="CZ888" s="3649"/>
      <c r="DA888" s="3649"/>
      <c r="DB888" s="3383"/>
    </row>
    <row r="889" spans="98:106" customFormat="1">
      <c r="CT889" s="3383"/>
      <c r="CX889" s="3383"/>
      <c r="CY889" s="3649"/>
      <c r="CZ889" s="3649"/>
      <c r="DA889" s="3649"/>
      <c r="DB889" s="3383"/>
    </row>
    <row r="890" spans="98:106" customFormat="1">
      <c r="CT890" s="3383"/>
      <c r="CX890" s="3383"/>
      <c r="CY890" s="3649"/>
      <c r="CZ890" s="3649"/>
      <c r="DA890" s="3649"/>
      <c r="DB890" s="3383"/>
    </row>
    <row r="891" spans="98:106" customFormat="1">
      <c r="CT891" s="3383"/>
      <c r="CX891" s="3383"/>
      <c r="CY891" s="3649"/>
      <c r="CZ891" s="3649"/>
      <c r="DA891" s="3649"/>
      <c r="DB891" s="3383"/>
    </row>
    <row r="892" spans="98:106" customFormat="1">
      <c r="CT892" s="3383"/>
      <c r="CX892" s="3383"/>
      <c r="CY892" s="3649"/>
      <c r="CZ892" s="3649"/>
      <c r="DA892" s="3649"/>
      <c r="DB892" s="3383"/>
    </row>
    <row r="893" spans="98:106" customFormat="1">
      <c r="CT893" s="3383"/>
      <c r="CX893" s="3383"/>
      <c r="CY893" s="3649"/>
      <c r="CZ893" s="3649"/>
      <c r="DA893" s="3649"/>
      <c r="DB893" s="3383"/>
    </row>
    <row r="894" spans="98:106" customFormat="1">
      <c r="CT894" s="3383"/>
      <c r="CX894" s="3383"/>
      <c r="CY894" s="3649"/>
      <c r="CZ894" s="3649"/>
      <c r="DA894" s="3649"/>
      <c r="DB894" s="3383"/>
    </row>
    <row r="895" spans="98:106" customFormat="1">
      <c r="CT895" s="3383"/>
      <c r="CX895" s="3383"/>
      <c r="CY895" s="3649"/>
      <c r="CZ895" s="3649"/>
      <c r="DA895" s="3649"/>
      <c r="DB895" s="3383"/>
    </row>
    <row r="896" spans="98:106" customFormat="1">
      <c r="CT896" s="3383"/>
      <c r="CX896" s="3383"/>
      <c r="CY896" s="3649"/>
      <c r="CZ896" s="3649"/>
      <c r="DA896" s="3649"/>
      <c r="DB896" s="3383"/>
    </row>
    <row r="897" spans="98:106" customFormat="1">
      <c r="CT897" s="3383"/>
      <c r="CX897" s="3383"/>
      <c r="CY897" s="3649"/>
      <c r="CZ897" s="3649"/>
      <c r="DA897" s="3649"/>
      <c r="DB897" s="3383"/>
    </row>
    <row r="898" spans="98:106" customFormat="1">
      <c r="CT898" s="3383"/>
      <c r="CX898" s="3383"/>
      <c r="CY898" s="3649"/>
      <c r="CZ898" s="3649"/>
      <c r="DA898" s="3649"/>
      <c r="DB898" s="3383"/>
    </row>
    <row r="899" spans="98:106" customFormat="1">
      <c r="CT899" s="3383"/>
      <c r="CX899" s="3383"/>
      <c r="CY899" s="3649"/>
      <c r="CZ899" s="3649"/>
      <c r="DA899" s="3649"/>
      <c r="DB899" s="3383"/>
    </row>
    <row r="900" spans="98:106" customFormat="1">
      <c r="CT900" s="3383"/>
      <c r="CX900" s="3383"/>
      <c r="CY900" s="3649"/>
      <c r="CZ900" s="3649"/>
      <c r="DA900" s="3649"/>
      <c r="DB900" s="3383"/>
    </row>
    <row r="901" spans="98:106" customFormat="1">
      <c r="CT901" s="3383"/>
      <c r="CX901" s="3383"/>
      <c r="CY901" s="3649"/>
      <c r="CZ901" s="3649"/>
      <c r="DA901" s="3649"/>
      <c r="DB901" s="3383"/>
    </row>
    <row r="902" spans="98:106" customFormat="1">
      <c r="CT902" s="3383"/>
      <c r="CX902" s="3383"/>
      <c r="CY902" s="3649"/>
      <c r="CZ902" s="3649"/>
      <c r="DA902" s="3649"/>
      <c r="DB902" s="3383"/>
    </row>
    <row r="903" spans="98:106" customFormat="1">
      <c r="CT903" s="3383"/>
      <c r="CX903" s="3383"/>
      <c r="CY903" s="3649"/>
      <c r="CZ903" s="3649"/>
      <c r="DA903" s="3649"/>
      <c r="DB903" s="3383"/>
    </row>
    <row r="904" spans="98:106" customFormat="1">
      <c r="CT904" s="3383"/>
      <c r="CX904" s="3383"/>
      <c r="CY904" s="3649"/>
      <c r="CZ904" s="3649"/>
      <c r="DA904" s="3649"/>
      <c r="DB904" s="3383"/>
    </row>
    <row r="905" spans="98:106" customFormat="1">
      <c r="CT905" s="3383"/>
      <c r="CX905" s="3383"/>
      <c r="CY905" s="3649"/>
      <c r="CZ905" s="3649"/>
      <c r="DA905" s="3649"/>
      <c r="DB905" s="3383"/>
    </row>
    <row r="906" spans="98:106" customFormat="1">
      <c r="CT906" s="3383"/>
      <c r="CX906" s="3383"/>
      <c r="CY906" s="3649"/>
      <c r="CZ906" s="3649"/>
      <c r="DA906" s="3649"/>
      <c r="DB906" s="3383"/>
    </row>
    <row r="907" spans="98:106" customFormat="1">
      <c r="CT907" s="3383"/>
      <c r="CX907" s="3383"/>
      <c r="CY907" s="3649"/>
      <c r="CZ907" s="3649"/>
      <c r="DA907" s="3649"/>
      <c r="DB907" s="3383"/>
    </row>
    <row r="908" spans="98:106" customFormat="1">
      <c r="CT908" s="3383"/>
      <c r="CX908" s="3383"/>
      <c r="CY908" s="3649"/>
      <c r="CZ908" s="3649"/>
      <c r="DA908" s="3649"/>
      <c r="DB908" s="3383"/>
    </row>
    <row r="909" spans="98:106" customFormat="1">
      <c r="CT909" s="3383"/>
      <c r="CX909" s="3383"/>
      <c r="CY909" s="3649"/>
      <c r="CZ909" s="3649"/>
      <c r="DA909" s="3649"/>
      <c r="DB909" s="3383"/>
    </row>
    <row r="910" spans="98:106" customFormat="1">
      <c r="CT910" s="3383"/>
      <c r="CX910" s="3383"/>
      <c r="CY910" s="3649"/>
      <c r="CZ910" s="3649"/>
      <c r="DA910" s="3649"/>
      <c r="DB910" s="3383"/>
    </row>
    <row r="911" spans="98:106" customFormat="1">
      <c r="CT911" s="3383"/>
      <c r="CX911" s="3383"/>
      <c r="CY911" s="3649"/>
      <c r="CZ911" s="3649"/>
      <c r="DA911" s="3649"/>
      <c r="DB911" s="3383"/>
    </row>
    <row r="912" spans="98:106" customFormat="1">
      <c r="CT912" s="3383"/>
      <c r="CX912" s="3383"/>
      <c r="CY912" s="3649"/>
      <c r="CZ912" s="3649"/>
      <c r="DA912" s="3649"/>
      <c r="DB912" s="3383"/>
    </row>
    <row r="913" spans="98:106" customFormat="1">
      <c r="CT913" s="3383"/>
      <c r="CX913" s="3383"/>
      <c r="CY913" s="3649"/>
      <c r="CZ913" s="3649"/>
      <c r="DA913" s="3649"/>
      <c r="DB913" s="3383"/>
    </row>
    <row r="914" spans="98:106" customFormat="1">
      <c r="CT914" s="3383"/>
      <c r="CX914" s="3383"/>
      <c r="CY914" s="3649"/>
      <c r="CZ914" s="3649"/>
      <c r="DA914" s="3649"/>
      <c r="DB914" s="3383"/>
    </row>
    <row r="915" spans="98:106" customFormat="1">
      <c r="CT915" s="3383"/>
      <c r="CX915" s="3383"/>
      <c r="CY915" s="3649"/>
      <c r="CZ915" s="3649"/>
      <c r="DA915" s="3649"/>
      <c r="DB915" s="3383"/>
    </row>
    <row r="916" spans="98:106" customFormat="1">
      <c r="CT916" s="3383"/>
      <c r="CX916" s="3383"/>
      <c r="CY916" s="3649"/>
      <c r="CZ916" s="3649"/>
      <c r="DA916" s="3649"/>
      <c r="DB916" s="3383"/>
    </row>
    <row r="917" spans="98:106" customFormat="1">
      <c r="CT917" s="3383"/>
      <c r="CX917" s="3383"/>
      <c r="CY917" s="3649"/>
      <c r="CZ917" s="3649"/>
      <c r="DA917" s="3649"/>
      <c r="DB917" s="3383"/>
    </row>
    <row r="918" spans="98:106" customFormat="1">
      <c r="CT918" s="3383"/>
      <c r="CX918" s="3383"/>
      <c r="CY918" s="3649"/>
      <c r="CZ918" s="3649"/>
      <c r="DA918" s="3649"/>
      <c r="DB918" s="3383"/>
    </row>
    <row r="919" spans="98:106" customFormat="1">
      <c r="CT919" s="3383"/>
      <c r="CX919" s="3383"/>
      <c r="CY919" s="3649"/>
      <c r="CZ919" s="3649"/>
      <c r="DA919" s="3649"/>
      <c r="DB919" s="3383"/>
    </row>
    <row r="920" spans="98:106" customFormat="1">
      <c r="CT920" s="3383"/>
      <c r="CX920" s="3383"/>
      <c r="CY920" s="3649"/>
      <c r="CZ920" s="3649"/>
      <c r="DA920" s="3649"/>
      <c r="DB920" s="3383"/>
    </row>
    <row r="921" spans="98:106" customFormat="1">
      <c r="CT921" s="3383"/>
      <c r="CX921" s="3383"/>
      <c r="CY921" s="3649"/>
      <c r="CZ921" s="3649"/>
      <c r="DA921" s="3649"/>
      <c r="DB921" s="3383"/>
    </row>
    <row r="922" spans="98:106" customFormat="1">
      <c r="CT922" s="3383"/>
      <c r="CX922" s="3383"/>
      <c r="CY922" s="3649"/>
      <c r="CZ922" s="3649"/>
      <c r="DA922" s="3649"/>
      <c r="DB922" s="3383"/>
    </row>
    <row r="923" spans="98:106" customFormat="1">
      <c r="CT923" s="3383"/>
      <c r="CX923" s="3383"/>
      <c r="CY923" s="3649"/>
      <c r="CZ923" s="3649"/>
      <c r="DA923" s="3649"/>
      <c r="DB923" s="3383"/>
    </row>
    <row r="924" spans="98:106" customFormat="1">
      <c r="CT924" s="3383"/>
      <c r="CX924" s="3383"/>
      <c r="CY924" s="3649"/>
      <c r="CZ924" s="3649"/>
      <c r="DA924" s="3649"/>
      <c r="DB924" s="3383"/>
    </row>
    <row r="925" spans="98:106" customFormat="1">
      <c r="CT925" s="3383"/>
      <c r="CX925" s="3383"/>
      <c r="CY925" s="3649"/>
      <c r="CZ925" s="3649"/>
      <c r="DA925" s="3649"/>
      <c r="DB925" s="3383"/>
    </row>
    <row r="926" spans="98:106" customFormat="1">
      <c r="CT926" s="3383"/>
      <c r="CX926" s="3383"/>
      <c r="CY926" s="3649"/>
      <c r="CZ926" s="3649"/>
      <c r="DA926" s="3649"/>
      <c r="DB926" s="3383"/>
    </row>
    <row r="927" spans="98:106" customFormat="1">
      <c r="CT927" s="3383"/>
      <c r="CX927" s="3383"/>
      <c r="CY927" s="3649"/>
      <c r="CZ927" s="3649"/>
      <c r="DA927" s="3649"/>
      <c r="DB927" s="3383"/>
    </row>
    <row r="928" spans="98:106" customFormat="1">
      <c r="CT928" s="3383"/>
      <c r="CX928" s="3383"/>
      <c r="CY928" s="3649"/>
      <c r="CZ928" s="3649"/>
      <c r="DA928" s="3649"/>
      <c r="DB928" s="3383"/>
    </row>
    <row r="929" spans="98:106" customFormat="1">
      <c r="CT929" s="3383"/>
      <c r="CX929" s="3383"/>
      <c r="CY929" s="3649"/>
      <c r="CZ929" s="3649"/>
      <c r="DA929" s="3649"/>
      <c r="DB929" s="3383"/>
    </row>
    <row r="930" spans="98:106" customFormat="1">
      <c r="CT930" s="3383"/>
      <c r="CX930" s="3383"/>
      <c r="CY930" s="3649"/>
      <c r="CZ930" s="3649"/>
      <c r="DA930" s="3649"/>
      <c r="DB930" s="3383"/>
    </row>
    <row r="931" spans="98:106" customFormat="1">
      <c r="CT931" s="3383"/>
      <c r="CX931" s="3383"/>
      <c r="CY931" s="3649"/>
      <c r="CZ931" s="3649"/>
      <c r="DA931" s="3649"/>
      <c r="DB931" s="3383"/>
    </row>
    <row r="932" spans="98:106" customFormat="1">
      <c r="CT932" s="3383"/>
      <c r="CX932" s="3383"/>
      <c r="CY932" s="3649"/>
      <c r="CZ932" s="3649"/>
      <c r="DA932" s="3649"/>
      <c r="DB932" s="3383"/>
    </row>
    <row r="933" spans="98:106" customFormat="1">
      <c r="CT933" s="3383"/>
      <c r="CX933" s="3383"/>
      <c r="CY933" s="3649"/>
      <c r="CZ933" s="3649"/>
      <c r="DA933" s="3649"/>
      <c r="DB933" s="3383"/>
    </row>
    <row r="934" spans="98:106" customFormat="1">
      <c r="CT934" s="3383"/>
      <c r="CX934" s="3383"/>
      <c r="CY934" s="3649"/>
      <c r="CZ934" s="3649"/>
      <c r="DA934" s="3649"/>
      <c r="DB934" s="3383"/>
    </row>
    <row r="935" spans="98:106" customFormat="1">
      <c r="CT935" s="3383"/>
      <c r="CX935" s="3383"/>
      <c r="CY935" s="3649"/>
      <c r="CZ935" s="3649"/>
      <c r="DA935" s="3649"/>
      <c r="DB935" s="3383"/>
    </row>
    <row r="936" spans="98:106" customFormat="1">
      <c r="CT936" s="3383"/>
      <c r="CX936" s="3383"/>
      <c r="CY936" s="3649"/>
      <c r="CZ936" s="3649"/>
      <c r="DA936" s="3649"/>
      <c r="DB936" s="3383"/>
    </row>
    <row r="937" spans="98:106" customFormat="1">
      <c r="CT937" s="3383"/>
      <c r="CX937" s="3383"/>
      <c r="CY937" s="3649"/>
      <c r="CZ937" s="3649"/>
      <c r="DA937" s="3649"/>
      <c r="DB937" s="3383"/>
    </row>
    <row r="938" spans="98:106" customFormat="1">
      <c r="CT938" s="3383"/>
      <c r="CX938" s="3383"/>
      <c r="CY938" s="3649"/>
      <c r="CZ938" s="3649"/>
      <c r="DA938" s="3649"/>
      <c r="DB938" s="3383"/>
    </row>
    <row r="939" spans="98:106" customFormat="1">
      <c r="CT939" s="3383"/>
      <c r="CX939" s="3383"/>
      <c r="CY939" s="3649"/>
      <c r="CZ939" s="3649"/>
      <c r="DA939" s="3649"/>
      <c r="DB939" s="3383"/>
    </row>
    <row r="940" spans="98:106" customFormat="1">
      <c r="CT940" s="3383"/>
      <c r="CX940" s="3383"/>
      <c r="CY940" s="3649"/>
      <c r="CZ940" s="3649"/>
      <c r="DA940" s="3649"/>
      <c r="DB940" s="3383"/>
    </row>
    <row r="941" spans="98:106" customFormat="1">
      <c r="CT941" s="3383"/>
      <c r="CX941" s="3383"/>
      <c r="CY941" s="3649"/>
      <c r="CZ941" s="3649"/>
      <c r="DA941" s="3649"/>
      <c r="DB941" s="3383"/>
    </row>
    <row r="942" spans="98:106" customFormat="1">
      <c r="CT942" s="3383"/>
      <c r="CX942" s="3383"/>
      <c r="CY942" s="3649"/>
      <c r="CZ942" s="3649"/>
      <c r="DA942" s="3649"/>
      <c r="DB942" s="3383"/>
    </row>
    <row r="943" spans="98:106" customFormat="1">
      <c r="CT943" s="3383"/>
      <c r="CX943" s="3383"/>
      <c r="CY943" s="3649"/>
      <c r="CZ943" s="3649"/>
      <c r="DA943" s="3649"/>
      <c r="DB943" s="3383"/>
    </row>
    <row r="944" spans="98:106" customFormat="1">
      <c r="CT944" s="3383"/>
      <c r="CX944" s="3383"/>
      <c r="CY944" s="3649"/>
      <c r="CZ944" s="3649"/>
      <c r="DA944" s="3649"/>
      <c r="DB944" s="3383"/>
    </row>
    <row r="945" spans="98:106" customFormat="1">
      <c r="CT945" s="3383"/>
      <c r="CX945" s="3383"/>
      <c r="CY945" s="3649"/>
      <c r="CZ945" s="3649"/>
      <c r="DA945" s="3649"/>
      <c r="DB945" s="3383"/>
    </row>
    <row r="946" spans="98:106" customFormat="1">
      <c r="CT946" s="3383"/>
      <c r="CX946" s="3383"/>
      <c r="CY946" s="3649"/>
      <c r="CZ946" s="3649"/>
      <c r="DA946" s="3649"/>
      <c r="DB946" s="3383"/>
    </row>
    <row r="947" spans="98:106" customFormat="1">
      <c r="CT947" s="3383"/>
      <c r="CX947" s="3383"/>
      <c r="CY947" s="3649"/>
      <c r="CZ947" s="3649"/>
      <c r="DA947" s="3649"/>
      <c r="DB947" s="3383"/>
    </row>
    <row r="948" spans="98:106" customFormat="1">
      <c r="CT948" s="3383"/>
      <c r="CX948" s="3383"/>
      <c r="CY948" s="3649"/>
      <c r="CZ948" s="3649"/>
      <c r="DA948" s="3649"/>
      <c r="DB948" s="3383"/>
    </row>
    <row r="949" spans="98:106" customFormat="1">
      <c r="CT949" s="3383"/>
      <c r="CX949" s="3383"/>
      <c r="CY949" s="3649"/>
      <c r="CZ949" s="3649"/>
      <c r="DA949" s="3649"/>
      <c r="DB949" s="3383"/>
    </row>
    <row r="950" spans="98:106" customFormat="1">
      <c r="CT950" s="3383"/>
      <c r="CX950" s="3383"/>
      <c r="CY950" s="3649"/>
      <c r="CZ950" s="3649"/>
      <c r="DA950" s="3649"/>
      <c r="DB950" s="3383"/>
    </row>
    <row r="951" spans="98:106" customFormat="1">
      <c r="CT951" s="3383"/>
      <c r="CX951" s="3383"/>
      <c r="CY951" s="3649"/>
      <c r="CZ951" s="3649"/>
      <c r="DA951" s="3649"/>
      <c r="DB951" s="3383"/>
    </row>
    <row r="952" spans="98:106" customFormat="1">
      <c r="CT952" s="3383"/>
      <c r="CX952" s="3383"/>
      <c r="CY952" s="3649"/>
      <c r="CZ952" s="3649"/>
      <c r="DA952" s="3649"/>
      <c r="DB952" s="3383"/>
    </row>
    <row r="953" spans="98:106" customFormat="1">
      <c r="CT953" s="3383"/>
      <c r="CX953" s="3383"/>
      <c r="CY953" s="3649"/>
      <c r="CZ953" s="3649"/>
      <c r="DA953" s="3649"/>
      <c r="DB953" s="3383"/>
    </row>
    <row r="954" spans="98:106" customFormat="1">
      <c r="CT954" s="3383"/>
      <c r="CX954" s="3383"/>
      <c r="CY954" s="3649"/>
      <c r="CZ954" s="3649"/>
      <c r="DA954" s="3649"/>
      <c r="DB954" s="3383"/>
    </row>
    <row r="955" spans="98:106" customFormat="1">
      <c r="CT955" s="3383"/>
      <c r="CX955" s="3383"/>
      <c r="CY955" s="3649"/>
      <c r="CZ955" s="3649"/>
      <c r="DA955" s="3649"/>
      <c r="DB955" s="3383"/>
    </row>
    <row r="956" spans="98:106" customFormat="1">
      <c r="CT956" s="3383"/>
      <c r="CX956" s="3383"/>
      <c r="CY956" s="3649"/>
      <c r="CZ956" s="3649"/>
      <c r="DA956" s="3649"/>
      <c r="DB956" s="3383"/>
    </row>
    <row r="957" spans="98:106" customFormat="1">
      <c r="CT957" s="3383"/>
      <c r="CX957" s="3383"/>
      <c r="CY957" s="3649"/>
      <c r="CZ957" s="3649"/>
      <c r="DA957" s="3649"/>
      <c r="DB957" s="3383"/>
    </row>
    <row r="958" spans="98:106" customFormat="1">
      <c r="CT958" s="3383"/>
      <c r="CX958" s="3383"/>
      <c r="CY958" s="3649"/>
      <c r="CZ958" s="3649"/>
      <c r="DA958" s="3649"/>
      <c r="DB958" s="3383"/>
    </row>
    <row r="959" spans="98:106" customFormat="1">
      <c r="CT959" s="3383"/>
      <c r="CX959" s="3383"/>
      <c r="CY959" s="3649"/>
      <c r="CZ959" s="3649"/>
      <c r="DA959" s="3649"/>
      <c r="DB959" s="3383"/>
    </row>
    <row r="960" spans="98:106" customFormat="1">
      <c r="CT960" s="3383"/>
      <c r="CX960" s="3383"/>
      <c r="CY960" s="3649"/>
      <c r="CZ960" s="3649"/>
      <c r="DA960" s="3649"/>
      <c r="DB960" s="3383"/>
    </row>
    <row r="961" spans="98:106" customFormat="1">
      <c r="CT961" s="3383"/>
      <c r="CX961" s="3383"/>
      <c r="CY961" s="3649"/>
      <c r="CZ961" s="3649"/>
      <c r="DA961" s="3649"/>
      <c r="DB961" s="3383"/>
    </row>
    <row r="962" spans="98:106" customFormat="1">
      <c r="CT962" s="3383"/>
      <c r="CX962" s="3383"/>
      <c r="CY962" s="3649"/>
      <c r="CZ962" s="3649"/>
      <c r="DA962" s="3649"/>
      <c r="DB962" s="3383"/>
    </row>
    <row r="963" spans="98:106" customFormat="1">
      <c r="CT963" s="3383"/>
      <c r="CX963" s="3383"/>
      <c r="CY963" s="3649"/>
      <c r="CZ963" s="3649"/>
      <c r="DA963" s="3649"/>
      <c r="DB963" s="3383"/>
    </row>
    <row r="964" spans="98:106" customFormat="1">
      <c r="CT964" s="3383"/>
      <c r="CX964" s="3383"/>
      <c r="CY964" s="3649"/>
      <c r="CZ964" s="3649"/>
      <c r="DA964" s="3649"/>
      <c r="DB964" s="3383"/>
    </row>
    <row r="965" spans="98:106" customFormat="1">
      <c r="CT965" s="3383"/>
      <c r="CX965" s="3383"/>
      <c r="CY965" s="3649"/>
      <c r="CZ965" s="3649"/>
      <c r="DA965" s="3649"/>
      <c r="DB965" s="3383"/>
    </row>
    <row r="966" spans="98:106" customFormat="1">
      <c r="CT966" s="3383"/>
      <c r="CX966" s="3383"/>
      <c r="CY966" s="3649"/>
      <c r="CZ966" s="3649"/>
      <c r="DA966" s="3649"/>
      <c r="DB966" s="3383"/>
    </row>
    <row r="967" spans="98:106" customFormat="1">
      <c r="CT967" s="3383"/>
      <c r="CX967" s="3383"/>
      <c r="CY967" s="3649"/>
      <c r="CZ967" s="3649"/>
      <c r="DA967" s="3649"/>
      <c r="DB967" s="3383"/>
    </row>
    <row r="968" spans="98:106" customFormat="1">
      <c r="CT968" s="3383"/>
      <c r="CX968" s="3383"/>
      <c r="CY968" s="3649"/>
      <c r="CZ968" s="3649"/>
      <c r="DA968" s="3649"/>
      <c r="DB968" s="3383"/>
    </row>
    <row r="969" spans="98:106" customFormat="1">
      <c r="CT969" s="3383"/>
      <c r="CX969" s="3383"/>
      <c r="CY969" s="3649"/>
      <c r="CZ969" s="3649"/>
      <c r="DA969" s="3649"/>
      <c r="DB969" s="3383"/>
    </row>
    <row r="970" spans="98:106" customFormat="1">
      <c r="CT970" s="3383"/>
      <c r="CX970" s="3383"/>
      <c r="CY970" s="3649"/>
      <c r="CZ970" s="3649"/>
      <c r="DA970" s="3649"/>
      <c r="DB970" s="3383"/>
    </row>
    <row r="971" spans="98:106" customFormat="1">
      <c r="CT971" s="3383"/>
      <c r="CX971" s="3383"/>
      <c r="CY971" s="3649"/>
      <c r="CZ971" s="3649"/>
      <c r="DA971" s="3649"/>
      <c r="DB971" s="3383"/>
    </row>
    <row r="972" spans="98:106" customFormat="1">
      <c r="CT972" s="3383"/>
      <c r="CX972" s="3383"/>
      <c r="CY972" s="3649"/>
      <c r="CZ972" s="3649"/>
      <c r="DA972" s="3649"/>
      <c r="DB972" s="3383"/>
    </row>
    <row r="973" spans="98:106" customFormat="1">
      <c r="CT973" s="3383"/>
      <c r="CX973" s="3383"/>
      <c r="CY973" s="3649"/>
      <c r="CZ973" s="3649"/>
      <c r="DA973" s="3649"/>
      <c r="DB973" s="3383"/>
    </row>
    <row r="974" spans="98:106" customFormat="1">
      <c r="CT974" s="3383"/>
      <c r="CX974" s="3383"/>
      <c r="CY974" s="3649"/>
      <c r="CZ974" s="3649"/>
      <c r="DA974" s="3649"/>
      <c r="DB974" s="3383"/>
    </row>
    <row r="975" spans="98:106" customFormat="1">
      <c r="CT975" s="3383"/>
      <c r="CX975" s="3383"/>
      <c r="CY975" s="3649"/>
      <c r="CZ975" s="3649"/>
      <c r="DA975" s="3649"/>
      <c r="DB975" s="3383"/>
    </row>
    <row r="976" spans="98:106" customFormat="1">
      <c r="CT976" s="3383"/>
      <c r="CX976" s="3383"/>
      <c r="CY976" s="3649"/>
      <c r="CZ976" s="3649"/>
      <c r="DA976" s="3649"/>
      <c r="DB976" s="3383"/>
    </row>
    <row r="977" spans="98:106" customFormat="1">
      <c r="CT977" s="3383"/>
      <c r="CX977" s="3383"/>
      <c r="CY977" s="3649"/>
      <c r="CZ977" s="3649"/>
      <c r="DA977" s="3649"/>
      <c r="DB977" s="3383"/>
    </row>
    <row r="978" spans="98:106" customFormat="1">
      <c r="CT978" s="3383"/>
      <c r="CX978" s="3383"/>
      <c r="CY978" s="3649"/>
      <c r="CZ978" s="3649"/>
      <c r="DA978" s="3649"/>
      <c r="DB978" s="3383"/>
    </row>
    <row r="979" spans="98:106" customFormat="1">
      <c r="CT979" s="3383"/>
      <c r="CX979" s="3383"/>
      <c r="CY979" s="3649"/>
      <c r="CZ979" s="3649"/>
      <c r="DA979" s="3649"/>
      <c r="DB979" s="3383"/>
    </row>
    <row r="980" spans="98:106" customFormat="1">
      <c r="CT980" s="3383"/>
      <c r="CX980" s="3383"/>
      <c r="CY980" s="3649"/>
      <c r="CZ980" s="3649"/>
      <c r="DA980" s="3649"/>
      <c r="DB980" s="3383"/>
    </row>
    <row r="981" spans="98:106" customFormat="1">
      <c r="CT981" s="3383"/>
      <c r="CX981" s="3383"/>
      <c r="CY981" s="3649"/>
      <c r="CZ981" s="3649"/>
      <c r="DA981" s="3649"/>
      <c r="DB981" s="3383"/>
    </row>
    <row r="982" spans="98:106" customFormat="1">
      <c r="CT982" s="3383"/>
      <c r="CX982" s="3383"/>
      <c r="CY982" s="3649"/>
      <c r="CZ982" s="3649"/>
      <c r="DA982" s="3649"/>
      <c r="DB982" s="3383"/>
    </row>
    <row r="983" spans="98:106" customFormat="1">
      <c r="CT983" s="3383"/>
      <c r="CX983" s="3383"/>
      <c r="CY983" s="3649"/>
      <c r="CZ983" s="3649"/>
      <c r="DA983" s="3649"/>
      <c r="DB983" s="3383"/>
    </row>
    <row r="984" spans="98:106" customFormat="1">
      <c r="CT984" s="3383"/>
      <c r="CX984" s="3383"/>
      <c r="CY984" s="3649"/>
      <c r="CZ984" s="3649"/>
      <c r="DA984" s="3649"/>
      <c r="DB984" s="3383"/>
    </row>
    <row r="985" spans="98:106" customFormat="1">
      <c r="CT985" s="3383"/>
      <c r="CX985" s="3383"/>
      <c r="CY985" s="3649"/>
      <c r="CZ985" s="3649"/>
      <c r="DA985" s="3649"/>
      <c r="DB985" s="3383"/>
    </row>
    <row r="986" spans="98:106" customFormat="1">
      <c r="CT986" s="3383"/>
      <c r="CX986" s="3383"/>
      <c r="CY986" s="3649"/>
      <c r="CZ986" s="3649"/>
      <c r="DA986" s="3649"/>
      <c r="DB986" s="3383"/>
    </row>
    <row r="987" spans="98:106" customFormat="1">
      <c r="CT987" s="3383"/>
      <c r="CX987" s="3383"/>
      <c r="CY987" s="3649"/>
      <c r="CZ987" s="3649"/>
      <c r="DA987" s="3649"/>
      <c r="DB987" s="3383"/>
    </row>
    <row r="988" spans="98:106" customFormat="1">
      <c r="CT988" s="3383"/>
      <c r="CX988" s="3383"/>
      <c r="CY988" s="3649"/>
      <c r="CZ988" s="3649"/>
      <c r="DA988" s="3649"/>
      <c r="DB988" s="3383"/>
    </row>
    <row r="989" spans="98:106" customFormat="1">
      <c r="CT989" s="3383"/>
      <c r="CX989" s="3383"/>
      <c r="CY989" s="3649"/>
      <c r="CZ989" s="3649"/>
      <c r="DA989" s="3649"/>
      <c r="DB989" s="3383"/>
    </row>
    <row r="990" spans="98:106" customFormat="1">
      <c r="CT990" s="3383"/>
      <c r="CX990" s="3383"/>
      <c r="CY990" s="3649"/>
      <c r="CZ990" s="3649"/>
      <c r="DA990" s="3649"/>
      <c r="DB990" s="3383"/>
    </row>
    <row r="991" spans="98:106" customFormat="1">
      <c r="CT991" s="3383"/>
      <c r="CX991" s="3383"/>
      <c r="CY991" s="3649"/>
      <c r="CZ991" s="3649"/>
      <c r="DA991" s="3649"/>
      <c r="DB991" s="3383"/>
    </row>
    <row r="992" spans="98:106" customFormat="1">
      <c r="CT992" s="3383"/>
      <c r="CX992" s="3383"/>
      <c r="CY992" s="3649"/>
      <c r="CZ992" s="3649"/>
      <c r="DA992" s="3649"/>
      <c r="DB992" s="3383"/>
    </row>
    <row r="993" spans="98:106" customFormat="1">
      <c r="CT993" s="3383"/>
      <c r="CX993" s="3383"/>
      <c r="CY993" s="3649"/>
      <c r="CZ993" s="3649"/>
      <c r="DA993" s="3649"/>
      <c r="DB993" s="3383"/>
    </row>
    <row r="994" spans="98:106" customFormat="1">
      <c r="CT994" s="3383"/>
      <c r="CX994" s="3383"/>
      <c r="CY994" s="3649"/>
      <c r="CZ994" s="3649"/>
      <c r="DA994" s="3649"/>
      <c r="DB994" s="3383"/>
    </row>
    <row r="995" spans="98:106" customFormat="1">
      <c r="CT995" s="3383"/>
      <c r="CX995" s="3383"/>
      <c r="CY995" s="3649"/>
      <c r="CZ995" s="3649"/>
      <c r="DA995" s="3649"/>
      <c r="DB995" s="3383"/>
    </row>
    <row r="996" spans="98:106" customFormat="1">
      <c r="CT996" s="3383"/>
      <c r="CX996" s="3383"/>
      <c r="CY996" s="3649"/>
      <c r="CZ996" s="3649"/>
      <c r="DA996" s="3649"/>
      <c r="DB996" s="3383"/>
    </row>
    <row r="997" spans="98:106" customFormat="1">
      <c r="CT997" s="3383"/>
      <c r="CX997" s="3383"/>
      <c r="CY997" s="3649"/>
      <c r="CZ997" s="3649"/>
      <c r="DA997" s="3649"/>
      <c r="DB997" s="3383"/>
    </row>
    <row r="998" spans="98:106" customFormat="1">
      <c r="CT998" s="3383"/>
      <c r="CX998" s="3383"/>
      <c r="CY998" s="3649"/>
      <c r="CZ998" s="3649"/>
      <c r="DA998" s="3649"/>
      <c r="DB998" s="3383"/>
    </row>
    <row r="999" spans="98:106" customFormat="1">
      <c r="CT999" s="3383"/>
      <c r="CX999" s="3383"/>
      <c r="CY999" s="3649"/>
      <c r="CZ999" s="3649"/>
      <c r="DA999" s="3649"/>
      <c r="DB999" s="3383"/>
    </row>
    <row r="1000" spans="98:106" customFormat="1">
      <c r="CT1000" s="3383"/>
      <c r="CX1000" s="3383"/>
      <c r="CY1000" s="3649"/>
      <c r="CZ1000" s="3649"/>
      <c r="DA1000" s="3649"/>
      <c r="DB1000" s="3383"/>
    </row>
    <row r="1001" spans="98:106" customFormat="1">
      <c r="CT1001" s="3383"/>
      <c r="CX1001" s="3383"/>
      <c r="CY1001" s="3649"/>
      <c r="CZ1001" s="3649"/>
      <c r="DA1001" s="3649"/>
      <c r="DB1001" s="3383"/>
    </row>
    <row r="1002" spans="98:106" customFormat="1">
      <c r="CT1002" s="3383"/>
      <c r="CX1002" s="3383"/>
      <c r="CY1002" s="3649"/>
      <c r="CZ1002" s="3649"/>
      <c r="DA1002" s="3649"/>
      <c r="DB1002" s="3383"/>
    </row>
    <row r="1003" spans="98:106" customFormat="1">
      <c r="CT1003" s="3383"/>
      <c r="CX1003" s="3383"/>
      <c r="CY1003" s="3649"/>
      <c r="CZ1003" s="3649"/>
      <c r="DA1003" s="3649"/>
      <c r="DB1003" s="3383"/>
    </row>
    <row r="1004" spans="98:106" customFormat="1">
      <c r="CT1004" s="3383"/>
      <c r="CX1004" s="3383"/>
      <c r="CY1004" s="3649"/>
      <c r="CZ1004" s="3649"/>
      <c r="DA1004" s="3649"/>
      <c r="DB1004" s="3383"/>
    </row>
    <row r="1005" spans="98:106" customFormat="1">
      <c r="CT1005" s="3383"/>
      <c r="CX1005" s="3383"/>
      <c r="CY1005" s="3649"/>
      <c r="CZ1005" s="3649"/>
      <c r="DA1005" s="3649"/>
      <c r="DB1005" s="3383"/>
    </row>
    <row r="1006" spans="98:106" customFormat="1">
      <c r="CT1006" s="3383"/>
      <c r="CX1006" s="3383"/>
      <c r="CY1006" s="3649"/>
      <c r="CZ1006" s="3649"/>
      <c r="DA1006" s="3649"/>
      <c r="DB1006" s="3383"/>
    </row>
    <row r="1007" spans="98:106" customFormat="1">
      <c r="CT1007" s="3383"/>
      <c r="CX1007" s="3383"/>
      <c r="CY1007" s="3649"/>
      <c r="CZ1007" s="3649"/>
      <c r="DA1007" s="3649"/>
      <c r="DB1007" s="3383"/>
    </row>
    <row r="1008" spans="98:106" customFormat="1">
      <c r="CT1008" s="3383"/>
      <c r="CX1008" s="3383"/>
      <c r="CY1008" s="3649"/>
      <c r="CZ1008" s="3649"/>
      <c r="DA1008" s="3649"/>
      <c r="DB1008" s="3383"/>
    </row>
    <row r="1009" spans="98:106" customFormat="1">
      <c r="CT1009" s="3383"/>
      <c r="CX1009" s="3383"/>
      <c r="CY1009" s="3649"/>
      <c r="CZ1009" s="3649"/>
      <c r="DA1009" s="3649"/>
      <c r="DB1009" s="3383"/>
    </row>
    <row r="1010" spans="98:106" customFormat="1">
      <c r="CT1010" s="3383"/>
      <c r="CX1010" s="3383"/>
      <c r="CY1010" s="3649"/>
      <c r="CZ1010" s="3649"/>
      <c r="DA1010" s="3649"/>
      <c r="DB1010" s="3383"/>
    </row>
    <row r="1011" spans="98:106" customFormat="1">
      <c r="CT1011" s="3383"/>
      <c r="CX1011" s="3383"/>
      <c r="CY1011" s="3649"/>
      <c r="CZ1011" s="3649"/>
      <c r="DA1011" s="3649"/>
      <c r="DB1011" s="3383"/>
    </row>
    <row r="1012" spans="98:106" customFormat="1">
      <c r="CT1012" s="3383"/>
      <c r="CX1012" s="3383"/>
      <c r="CY1012" s="3649"/>
      <c r="CZ1012" s="3649"/>
      <c r="DA1012" s="3649"/>
      <c r="DB1012" s="3383"/>
    </row>
    <row r="1013" spans="98:106" customFormat="1">
      <c r="CT1013" s="3383"/>
      <c r="CX1013" s="3383"/>
      <c r="CY1013" s="3649"/>
      <c r="CZ1013" s="3649"/>
      <c r="DA1013" s="3649"/>
      <c r="DB1013" s="3383"/>
    </row>
    <row r="1014" spans="98:106" customFormat="1">
      <c r="CT1014" s="3383"/>
      <c r="CX1014" s="3383"/>
      <c r="CY1014" s="3649"/>
      <c r="CZ1014" s="3649"/>
      <c r="DA1014" s="3649"/>
      <c r="DB1014" s="3383"/>
    </row>
    <row r="1015" spans="98:106" customFormat="1">
      <c r="CT1015" s="3383"/>
      <c r="CX1015" s="3383"/>
      <c r="CY1015" s="3649"/>
      <c r="CZ1015" s="3649"/>
      <c r="DA1015" s="3649"/>
      <c r="DB1015" s="3383"/>
    </row>
    <row r="1016" spans="98:106" customFormat="1">
      <c r="CT1016" s="3383"/>
      <c r="CX1016" s="3383"/>
      <c r="CY1016" s="3649"/>
      <c r="CZ1016" s="3649"/>
      <c r="DA1016" s="3649"/>
      <c r="DB1016" s="3383"/>
    </row>
    <row r="1017" spans="98:106" customFormat="1">
      <c r="CT1017" s="3383"/>
      <c r="CX1017" s="3383"/>
      <c r="CY1017" s="3649"/>
      <c r="CZ1017" s="3649"/>
      <c r="DA1017" s="3649"/>
      <c r="DB1017" s="3383"/>
    </row>
    <row r="1018" spans="98:106" customFormat="1">
      <c r="CT1018" s="3383"/>
      <c r="CX1018" s="3383"/>
      <c r="CY1018" s="3649"/>
      <c r="CZ1018" s="3649"/>
      <c r="DA1018" s="3649"/>
      <c r="DB1018" s="3383"/>
    </row>
    <row r="1019" spans="98:106" customFormat="1">
      <c r="CT1019" s="3383"/>
      <c r="CX1019" s="3383"/>
      <c r="CY1019" s="3649"/>
      <c r="CZ1019" s="3649"/>
      <c r="DA1019" s="3649"/>
      <c r="DB1019" s="3383"/>
    </row>
    <row r="1020" spans="98:106" customFormat="1">
      <c r="CT1020" s="3383"/>
      <c r="CX1020" s="3383"/>
      <c r="CY1020" s="3649"/>
      <c r="CZ1020" s="3649"/>
      <c r="DA1020" s="3649"/>
      <c r="DB1020" s="3383"/>
    </row>
    <row r="1021" spans="98:106" customFormat="1">
      <c r="CT1021" s="3383"/>
      <c r="CX1021" s="3383"/>
      <c r="CY1021" s="3649"/>
      <c r="CZ1021" s="3649"/>
      <c r="DA1021" s="3649"/>
      <c r="DB1021" s="3383"/>
    </row>
    <row r="1022" spans="98:106" customFormat="1">
      <c r="CT1022" s="3383"/>
      <c r="CX1022" s="3383"/>
      <c r="CY1022" s="3649"/>
      <c r="CZ1022" s="3649"/>
      <c r="DA1022" s="3649"/>
      <c r="DB1022" s="3383"/>
    </row>
    <row r="1023" spans="98:106" customFormat="1">
      <c r="CT1023" s="3383"/>
      <c r="CX1023" s="3383"/>
      <c r="CY1023" s="3649"/>
      <c r="CZ1023" s="3649"/>
      <c r="DA1023" s="3649"/>
      <c r="DB1023" s="3383"/>
    </row>
    <row r="1024" spans="98:106" customFormat="1">
      <c r="CT1024" s="3383"/>
      <c r="CX1024" s="3383"/>
      <c r="CY1024" s="3649"/>
      <c r="CZ1024" s="3649"/>
      <c r="DA1024" s="3649"/>
      <c r="DB1024" s="3383"/>
    </row>
    <row r="1025" spans="98:106" customFormat="1">
      <c r="CT1025" s="3383"/>
      <c r="CX1025" s="3383"/>
      <c r="CY1025" s="3649"/>
      <c r="CZ1025" s="3649"/>
      <c r="DA1025" s="3649"/>
      <c r="DB1025" s="3383"/>
    </row>
    <row r="1026" spans="98:106" customFormat="1">
      <c r="CT1026" s="3383"/>
      <c r="CX1026" s="3383"/>
      <c r="CY1026" s="3649"/>
      <c r="CZ1026" s="3649"/>
      <c r="DA1026" s="3649"/>
      <c r="DB1026" s="3383"/>
    </row>
    <row r="1027" spans="98:106" customFormat="1">
      <c r="CT1027" s="3383"/>
      <c r="CX1027" s="3383"/>
      <c r="CY1027" s="3649"/>
      <c r="CZ1027" s="3649"/>
      <c r="DA1027" s="3649"/>
      <c r="DB1027" s="3383"/>
    </row>
    <row r="1028" spans="98:106" customFormat="1">
      <c r="CT1028" s="3383"/>
      <c r="CX1028" s="3383"/>
      <c r="CY1028" s="3649"/>
      <c r="CZ1028" s="3649"/>
      <c r="DA1028" s="3649"/>
      <c r="DB1028" s="3383"/>
    </row>
    <row r="1029" spans="98:106" customFormat="1">
      <c r="CT1029" s="3383"/>
      <c r="CX1029" s="3383"/>
      <c r="CY1029" s="3649"/>
      <c r="CZ1029" s="3649"/>
      <c r="DA1029" s="3649"/>
      <c r="DB1029" s="3383"/>
    </row>
    <row r="1030" spans="98:106" customFormat="1">
      <c r="CT1030" s="3383"/>
      <c r="CX1030" s="3383"/>
      <c r="CY1030" s="3649"/>
      <c r="CZ1030" s="3649"/>
      <c r="DA1030" s="3649"/>
      <c r="DB1030" s="3383"/>
    </row>
    <row r="1031" spans="98:106" customFormat="1">
      <c r="CT1031" s="3383"/>
      <c r="CX1031" s="3383"/>
      <c r="CY1031" s="3649"/>
      <c r="CZ1031" s="3649"/>
      <c r="DA1031" s="3649"/>
      <c r="DB1031" s="3383"/>
    </row>
    <row r="1032" spans="98:106" customFormat="1">
      <c r="CT1032" s="3383"/>
      <c r="CX1032" s="3383"/>
      <c r="CY1032" s="3649"/>
      <c r="CZ1032" s="3649"/>
      <c r="DA1032" s="3649"/>
      <c r="DB1032" s="3383"/>
    </row>
    <row r="1033" spans="98:106" customFormat="1">
      <c r="CT1033" s="3383"/>
      <c r="CX1033" s="3383"/>
      <c r="CY1033" s="3649"/>
      <c r="CZ1033" s="3649"/>
      <c r="DA1033" s="3649"/>
      <c r="DB1033" s="3383"/>
    </row>
    <row r="1034" spans="98:106" customFormat="1">
      <c r="CT1034" s="3383"/>
      <c r="CX1034" s="3383"/>
      <c r="CY1034" s="3649"/>
      <c r="CZ1034" s="3649"/>
      <c r="DA1034" s="3649"/>
      <c r="DB1034" s="3383"/>
    </row>
    <row r="1035" spans="98:106" customFormat="1">
      <c r="CT1035" s="3383"/>
      <c r="CX1035" s="3383"/>
      <c r="CY1035" s="3649"/>
      <c r="CZ1035" s="3649"/>
      <c r="DA1035" s="3649"/>
      <c r="DB1035" s="3383"/>
    </row>
    <row r="1036" spans="98:106" customFormat="1">
      <c r="CT1036" s="3383"/>
      <c r="CX1036" s="3383"/>
      <c r="CY1036" s="3649"/>
      <c r="CZ1036" s="3649"/>
      <c r="DA1036" s="3649"/>
      <c r="DB1036" s="3383"/>
    </row>
    <row r="1037" spans="98:106" customFormat="1">
      <c r="CT1037" s="3383"/>
      <c r="CX1037" s="3383"/>
      <c r="CY1037" s="3649"/>
      <c r="CZ1037" s="3649"/>
      <c r="DA1037" s="3649"/>
      <c r="DB1037" s="3383"/>
    </row>
    <row r="1038" spans="98:106" customFormat="1">
      <c r="CT1038" s="3383"/>
      <c r="CX1038" s="3383"/>
      <c r="CY1038" s="3649"/>
      <c r="CZ1038" s="3649"/>
      <c r="DA1038" s="3649"/>
      <c r="DB1038" s="3383"/>
    </row>
    <row r="1039" spans="98:106" customFormat="1">
      <c r="CT1039" s="3383"/>
      <c r="CX1039" s="3383"/>
      <c r="CY1039" s="3649"/>
      <c r="CZ1039" s="3649"/>
      <c r="DA1039" s="3649"/>
      <c r="DB1039" s="3383"/>
    </row>
    <row r="1040" spans="98:106" customFormat="1">
      <c r="CT1040" s="3383"/>
      <c r="CX1040" s="3383"/>
      <c r="CY1040" s="3649"/>
      <c r="CZ1040" s="3649"/>
      <c r="DA1040" s="3649"/>
      <c r="DB1040" s="3383"/>
    </row>
    <row r="1041" spans="98:106" customFormat="1">
      <c r="CT1041" s="3383"/>
      <c r="CX1041" s="3383"/>
      <c r="CY1041" s="3649"/>
      <c r="CZ1041" s="3649"/>
      <c r="DA1041" s="3649"/>
      <c r="DB1041" s="3383"/>
    </row>
    <row r="1042" spans="98:106" customFormat="1">
      <c r="CT1042" s="3383"/>
      <c r="CX1042" s="3383"/>
      <c r="CY1042" s="3649"/>
      <c r="CZ1042" s="3649"/>
      <c r="DA1042" s="3649"/>
      <c r="DB1042" s="3383"/>
    </row>
    <row r="1043" spans="98:106" customFormat="1">
      <c r="CT1043" s="3383"/>
      <c r="CX1043" s="3383"/>
      <c r="CY1043" s="3649"/>
      <c r="CZ1043" s="3649"/>
      <c r="DA1043" s="3649"/>
      <c r="DB1043" s="3383"/>
    </row>
    <row r="1044" spans="98:106" customFormat="1">
      <c r="CT1044" s="3383"/>
      <c r="CX1044" s="3383"/>
      <c r="CY1044" s="3649"/>
      <c r="CZ1044" s="3649"/>
      <c r="DA1044" s="3649"/>
      <c r="DB1044" s="3383"/>
    </row>
    <row r="1045" spans="98:106" customFormat="1">
      <c r="CT1045" s="3383"/>
      <c r="CX1045" s="3383"/>
      <c r="CY1045" s="3649"/>
      <c r="CZ1045" s="3649"/>
      <c r="DA1045" s="3649"/>
      <c r="DB1045" s="3383"/>
    </row>
    <row r="1046" spans="98:106" customFormat="1">
      <c r="CT1046" s="3383"/>
      <c r="CX1046" s="3383"/>
      <c r="CY1046" s="3649"/>
      <c r="CZ1046" s="3649"/>
      <c r="DA1046" s="3649"/>
      <c r="DB1046" s="3383"/>
    </row>
    <row r="1047" spans="98:106" customFormat="1">
      <c r="CT1047" s="3383"/>
      <c r="CX1047" s="3383"/>
      <c r="CY1047" s="3649"/>
      <c r="CZ1047" s="3649"/>
      <c r="DA1047" s="3649"/>
      <c r="DB1047" s="3383"/>
    </row>
    <row r="1048" spans="98:106" customFormat="1">
      <c r="CT1048" s="3383"/>
      <c r="CX1048" s="3383"/>
      <c r="CY1048" s="3649"/>
      <c r="CZ1048" s="3649"/>
      <c r="DA1048" s="3649"/>
      <c r="DB1048" s="3383"/>
    </row>
    <row r="1049" spans="98:106" customFormat="1">
      <c r="CT1049" s="3383"/>
      <c r="CX1049" s="3383"/>
      <c r="CY1049" s="3649"/>
      <c r="CZ1049" s="3649"/>
      <c r="DA1049" s="3649"/>
      <c r="DB1049" s="3383"/>
    </row>
    <row r="1050" spans="98:106" customFormat="1">
      <c r="CT1050" s="3383"/>
      <c r="CX1050" s="3383"/>
      <c r="CY1050" s="3649"/>
      <c r="CZ1050" s="3649"/>
      <c r="DA1050" s="3649"/>
      <c r="DB1050" s="3383"/>
    </row>
    <row r="1051" spans="98:106" customFormat="1">
      <c r="CT1051" s="3383"/>
      <c r="CX1051" s="3383"/>
      <c r="CY1051" s="3649"/>
      <c r="CZ1051" s="3649"/>
      <c r="DA1051" s="3649"/>
      <c r="DB1051" s="3383"/>
    </row>
    <row r="1052" spans="98:106" customFormat="1">
      <c r="CT1052" s="3383"/>
      <c r="CX1052" s="3383"/>
      <c r="CY1052" s="3649"/>
      <c r="CZ1052" s="3649"/>
      <c r="DA1052" s="3649"/>
      <c r="DB1052" s="3383"/>
    </row>
    <row r="1053" spans="98:106" customFormat="1">
      <c r="CT1053" s="3383"/>
      <c r="CX1053" s="3383"/>
      <c r="CY1053" s="3649"/>
      <c r="CZ1053" s="3649"/>
      <c r="DA1053" s="3649"/>
      <c r="DB1053" s="3383"/>
    </row>
    <row r="1054" spans="98:106" customFormat="1">
      <c r="CT1054" s="3383"/>
      <c r="CX1054" s="3383"/>
      <c r="CY1054" s="3649"/>
      <c r="CZ1054" s="3649"/>
      <c r="DA1054" s="3649"/>
      <c r="DB1054" s="3383"/>
    </row>
    <row r="1055" spans="98:106" customFormat="1">
      <c r="CT1055" s="3383"/>
      <c r="CX1055" s="3383"/>
      <c r="CY1055" s="3649"/>
      <c r="CZ1055" s="3649"/>
      <c r="DA1055" s="3649"/>
      <c r="DB1055" s="3383"/>
    </row>
    <row r="1056" spans="98:106" customFormat="1">
      <c r="CT1056" s="3383"/>
      <c r="CX1056" s="3383"/>
      <c r="CY1056" s="3649"/>
      <c r="CZ1056" s="3649"/>
      <c r="DA1056" s="3649"/>
      <c r="DB1056" s="3383"/>
    </row>
    <row r="1057" spans="98:106" customFormat="1">
      <c r="CT1057" s="3383"/>
      <c r="CX1057" s="3383"/>
      <c r="CY1057" s="3649"/>
      <c r="CZ1057" s="3649"/>
      <c r="DA1057" s="3649"/>
      <c r="DB1057" s="3383"/>
    </row>
    <row r="1058" spans="98:106" customFormat="1">
      <c r="CT1058" s="3383"/>
      <c r="CX1058" s="3383"/>
      <c r="CY1058" s="3649"/>
      <c r="CZ1058" s="3649"/>
      <c r="DA1058" s="3649"/>
      <c r="DB1058" s="3383"/>
    </row>
    <row r="1059" spans="98:106" customFormat="1">
      <c r="CT1059" s="3383"/>
      <c r="CX1059" s="3383"/>
      <c r="CY1059" s="3649"/>
      <c r="CZ1059" s="3649"/>
      <c r="DA1059" s="3649"/>
      <c r="DB1059" s="3383"/>
    </row>
    <row r="1060" spans="98:106" customFormat="1">
      <c r="CT1060" s="3383"/>
      <c r="CX1060" s="3383"/>
      <c r="CY1060" s="3649"/>
      <c r="CZ1060" s="3649"/>
      <c r="DA1060" s="3649"/>
      <c r="DB1060" s="3383"/>
    </row>
    <row r="1061" spans="98:106" customFormat="1">
      <c r="CT1061" s="3383"/>
      <c r="CX1061" s="3383"/>
      <c r="CY1061" s="3649"/>
      <c r="CZ1061" s="3649"/>
      <c r="DA1061" s="3649"/>
      <c r="DB1061" s="3383"/>
    </row>
    <row r="1062" spans="98:106" customFormat="1">
      <c r="CT1062" s="3383"/>
      <c r="CX1062" s="3383"/>
      <c r="CY1062" s="3649"/>
      <c r="CZ1062" s="3649"/>
      <c r="DA1062" s="3649"/>
      <c r="DB1062" s="3383"/>
    </row>
    <row r="1063" spans="98:106" customFormat="1">
      <c r="CT1063" s="3383"/>
      <c r="CX1063" s="3383"/>
      <c r="CY1063" s="3649"/>
      <c r="CZ1063" s="3649"/>
      <c r="DA1063" s="3649"/>
      <c r="DB1063" s="3383"/>
    </row>
    <row r="1064" spans="98:106" customFormat="1">
      <c r="CT1064" s="3383"/>
      <c r="CX1064" s="3383"/>
      <c r="CY1064" s="3649"/>
      <c r="CZ1064" s="3649"/>
      <c r="DA1064" s="3649"/>
      <c r="DB1064" s="3383"/>
    </row>
    <row r="1065" spans="98:106" customFormat="1">
      <c r="CT1065" s="3383"/>
      <c r="CX1065" s="3383"/>
      <c r="CY1065" s="3649"/>
      <c r="CZ1065" s="3649"/>
      <c r="DA1065" s="3649"/>
      <c r="DB1065" s="3383"/>
    </row>
    <row r="1066" spans="98:106" customFormat="1">
      <c r="CT1066" s="3383"/>
      <c r="CX1066" s="3383"/>
      <c r="CY1066" s="3649"/>
      <c r="CZ1066" s="3649"/>
      <c r="DA1066" s="3649"/>
      <c r="DB1066" s="3383"/>
    </row>
    <row r="1067" spans="98:106" customFormat="1">
      <c r="CT1067" s="3383"/>
      <c r="CX1067" s="3383"/>
      <c r="CY1067" s="3649"/>
      <c r="CZ1067" s="3649"/>
      <c r="DA1067" s="3649"/>
      <c r="DB1067" s="3383"/>
    </row>
    <row r="1068" spans="98:106" customFormat="1">
      <c r="CT1068" s="3383"/>
      <c r="CX1068" s="3383"/>
      <c r="CY1068" s="3649"/>
      <c r="CZ1068" s="3649"/>
      <c r="DA1068" s="3649"/>
      <c r="DB1068" s="3383"/>
    </row>
    <row r="1069" spans="98:106" customFormat="1">
      <c r="CT1069" s="3383"/>
      <c r="CX1069" s="3383"/>
      <c r="CY1069" s="3649"/>
      <c r="CZ1069" s="3649"/>
      <c r="DA1069" s="3649"/>
      <c r="DB1069" s="3383"/>
    </row>
    <row r="1070" spans="98:106" customFormat="1">
      <c r="CT1070" s="3383"/>
      <c r="CX1070" s="3383"/>
      <c r="CY1070" s="3649"/>
      <c r="CZ1070" s="3649"/>
      <c r="DA1070" s="3649"/>
      <c r="DB1070" s="3383"/>
    </row>
    <row r="1071" spans="98:106" customFormat="1">
      <c r="CT1071" s="3383"/>
      <c r="CX1071" s="3383"/>
      <c r="CY1071" s="3649"/>
      <c r="CZ1071" s="3649"/>
      <c r="DA1071" s="3649"/>
      <c r="DB1071" s="3383"/>
    </row>
    <row r="1072" spans="98:106" customFormat="1">
      <c r="CT1072" s="3383"/>
      <c r="CX1072" s="3383"/>
      <c r="CY1072" s="3649"/>
      <c r="CZ1072" s="3649"/>
      <c r="DA1072" s="3649"/>
      <c r="DB1072" s="3383"/>
    </row>
    <row r="1073" spans="98:106" customFormat="1">
      <c r="CT1073" s="3383"/>
      <c r="CX1073" s="3383"/>
      <c r="CY1073" s="3649"/>
      <c r="CZ1073" s="3649"/>
      <c r="DA1073" s="3649"/>
      <c r="DB1073" s="3383"/>
    </row>
    <row r="1074" spans="98:106" customFormat="1">
      <c r="CT1074" s="3383"/>
      <c r="CX1074" s="3383"/>
      <c r="CY1074" s="3649"/>
      <c r="CZ1074" s="3649"/>
      <c r="DA1074" s="3649"/>
      <c r="DB1074" s="3383"/>
    </row>
    <row r="1075" spans="98:106" customFormat="1">
      <c r="CT1075" s="3383"/>
      <c r="CX1075" s="3383"/>
      <c r="CY1075" s="3649"/>
      <c r="CZ1075" s="3649"/>
      <c r="DA1075" s="3649"/>
      <c r="DB1075" s="3383"/>
    </row>
    <row r="1076" spans="98:106" customFormat="1">
      <c r="CT1076" s="3383"/>
      <c r="CX1076" s="3383"/>
      <c r="CY1076" s="3649"/>
      <c r="CZ1076" s="3649"/>
      <c r="DA1076" s="3649"/>
      <c r="DB1076" s="3383"/>
    </row>
    <row r="1077" spans="98:106" customFormat="1">
      <c r="CT1077" s="3383"/>
      <c r="CX1077" s="3383"/>
      <c r="CY1077" s="3649"/>
      <c r="CZ1077" s="3649"/>
      <c r="DA1077" s="3649"/>
      <c r="DB1077" s="3383"/>
    </row>
    <row r="1078" spans="98:106" customFormat="1">
      <c r="CT1078" s="3383"/>
      <c r="CX1078" s="3383"/>
      <c r="CY1078" s="3649"/>
      <c r="CZ1078" s="3649"/>
      <c r="DA1078" s="3649"/>
      <c r="DB1078" s="3383"/>
    </row>
    <row r="1079" spans="98:106" customFormat="1">
      <c r="CT1079" s="3383"/>
      <c r="CX1079" s="3383"/>
      <c r="CY1079" s="3649"/>
      <c r="CZ1079" s="3649"/>
      <c r="DA1079" s="3649"/>
      <c r="DB1079" s="3383"/>
    </row>
    <row r="1080" spans="98:106" customFormat="1">
      <c r="CT1080" s="3383"/>
      <c r="CX1080" s="3383"/>
      <c r="CY1080" s="3649"/>
      <c r="CZ1080" s="3649"/>
      <c r="DA1080" s="3649"/>
      <c r="DB1080" s="3383"/>
    </row>
    <row r="1081" spans="98:106" customFormat="1">
      <c r="CT1081" s="3383"/>
      <c r="CX1081" s="3383"/>
      <c r="CY1081" s="3649"/>
      <c r="CZ1081" s="3649"/>
      <c r="DA1081" s="3649"/>
      <c r="DB1081" s="3383"/>
    </row>
    <row r="1082" spans="98:106" customFormat="1">
      <c r="CT1082" s="3383"/>
      <c r="CX1082" s="3383"/>
      <c r="CY1082" s="3649"/>
      <c r="CZ1082" s="3649"/>
      <c r="DA1082" s="3649"/>
      <c r="DB1082" s="3383"/>
    </row>
    <row r="1083" spans="98:106" customFormat="1">
      <c r="CT1083" s="3383"/>
      <c r="CX1083" s="3383"/>
      <c r="CY1083" s="3649"/>
      <c r="CZ1083" s="3649"/>
      <c r="DA1083" s="3649"/>
      <c r="DB1083" s="3383"/>
    </row>
    <row r="1084" spans="98:106" customFormat="1">
      <c r="CT1084" s="3383"/>
      <c r="CX1084" s="3383"/>
      <c r="CY1084" s="3649"/>
      <c r="CZ1084" s="3649"/>
      <c r="DA1084" s="3649"/>
      <c r="DB1084" s="3383"/>
    </row>
    <row r="1085" spans="98:106" customFormat="1">
      <c r="CT1085" s="3383"/>
      <c r="CX1085" s="3383"/>
      <c r="CY1085" s="3649"/>
      <c r="CZ1085" s="3649"/>
      <c r="DA1085" s="3649"/>
      <c r="DB1085" s="3383"/>
    </row>
    <row r="1086" spans="98:106" customFormat="1">
      <c r="CT1086" s="3383"/>
      <c r="CX1086" s="3383"/>
      <c r="CY1086" s="3649"/>
      <c r="CZ1086" s="3649"/>
      <c r="DA1086" s="3649"/>
      <c r="DB1086" s="3383"/>
    </row>
    <row r="1087" spans="98:106" customFormat="1">
      <c r="CT1087" s="3383"/>
      <c r="CX1087" s="3383"/>
      <c r="CY1087" s="3649"/>
      <c r="CZ1087" s="3649"/>
      <c r="DA1087" s="3649"/>
      <c r="DB1087" s="3383"/>
    </row>
    <row r="1088" spans="98:106" customFormat="1">
      <c r="CT1088" s="3383"/>
      <c r="CX1088" s="3383"/>
      <c r="CY1088" s="3649"/>
      <c r="CZ1088" s="3649"/>
      <c r="DA1088" s="3649"/>
      <c r="DB1088" s="3383"/>
    </row>
    <row r="1089" spans="98:106" customFormat="1">
      <c r="CT1089" s="3383"/>
      <c r="CX1089" s="3383"/>
      <c r="CY1089" s="3649"/>
      <c r="CZ1089" s="3649"/>
      <c r="DA1089" s="3649"/>
      <c r="DB1089" s="3383"/>
    </row>
    <row r="1090" spans="98:106" customFormat="1">
      <c r="CT1090" s="3383"/>
      <c r="CX1090" s="3383"/>
      <c r="CY1090" s="3649"/>
      <c r="CZ1090" s="3649"/>
      <c r="DA1090" s="3649"/>
      <c r="DB1090" s="3383"/>
    </row>
    <row r="1091" spans="98:106" customFormat="1">
      <c r="CT1091" s="3383"/>
      <c r="CX1091" s="3383"/>
      <c r="CY1091" s="3649"/>
      <c r="CZ1091" s="3649"/>
      <c r="DA1091" s="3649"/>
      <c r="DB1091" s="3383"/>
    </row>
    <row r="1092" spans="98:106" customFormat="1">
      <c r="CT1092" s="3383"/>
      <c r="CX1092" s="3383"/>
      <c r="CY1092" s="3649"/>
      <c r="CZ1092" s="3649"/>
      <c r="DA1092" s="3649"/>
      <c r="DB1092" s="3383"/>
    </row>
    <row r="1093" spans="98:106" customFormat="1">
      <c r="CT1093" s="3383"/>
      <c r="CX1093" s="3383"/>
      <c r="CY1093" s="3649"/>
      <c r="CZ1093" s="3649"/>
      <c r="DA1093" s="3649"/>
      <c r="DB1093" s="3383"/>
    </row>
    <row r="1094" spans="98:106" customFormat="1">
      <c r="CT1094" s="3383"/>
      <c r="CX1094" s="3383"/>
      <c r="CY1094" s="3649"/>
      <c r="CZ1094" s="3649"/>
      <c r="DA1094" s="3649"/>
      <c r="DB1094" s="3383"/>
    </row>
    <row r="1095" spans="98:106" customFormat="1">
      <c r="CT1095" s="3383"/>
      <c r="CX1095" s="3383"/>
      <c r="CY1095" s="3649"/>
      <c r="CZ1095" s="3649"/>
      <c r="DA1095" s="3649"/>
      <c r="DB1095" s="3383"/>
    </row>
    <row r="1096" spans="98:106" customFormat="1">
      <c r="CT1096" s="3383"/>
      <c r="CX1096" s="3383"/>
      <c r="CY1096" s="3649"/>
      <c r="CZ1096" s="3649"/>
      <c r="DA1096" s="3649"/>
      <c r="DB1096" s="3383"/>
    </row>
    <row r="1097" spans="98:106" customFormat="1">
      <c r="CT1097" s="3383"/>
      <c r="CX1097" s="3383"/>
      <c r="CY1097" s="3649"/>
      <c r="CZ1097" s="3649"/>
      <c r="DA1097" s="3649"/>
      <c r="DB1097" s="3383"/>
    </row>
    <row r="1098" spans="98:106" customFormat="1">
      <c r="CT1098" s="3383"/>
      <c r="CX1098" s="3383"/>
      <c r="CY1098" s="3649"/>
      <c r="CZ1098" s="3649"/>
      <c r="DA1098" s="3649"/>
      <c r="DB1098" s="3383"/>
    </row>
    <row r="1099" spans="98:106" customFormat="1">
      <c r="CT1099" s="3383"/>
      <c r="CX1099" s="3383"/>
      <c r="CY1099" s="3649"/>
      <c r="CZ1099" s="3649"/>
      <c r="DA1099" s="3649"/>
      <c r="DB1099" s="3383"/>
    </row>
    <row r="1100" spans="98:106" customFormat="1">
      <c r="CT1100" s="3383"/>
      <c r="CX1100" s="3383"/>
      <c r="CY1100" s="3649"/>
      <c r="CZ1100" s="3649"/>
      <c r="DA1100" s="3649"/>
      <c r="DB1100" s="3383"/>
    </row>
    <row r="1101" spans="98:106" customFormat="1">
      <c r="CT1101" s="3383"/>
      <c r="CX1101" s="3383"/>
      <c r="CY1101" s="3649"/>
      <c r="CZ1101" s="3649"/>
      <c r="DA1101" s="3649"/>
      <c r="DB1101" s="3383"/>
    </row>
    <row r="1102" spans="98:106" customFormat="1">
      <c r="CT1102" s="3383"/>
      <c r="CX1102" s="3383"/>
      <c r="CY1102" s="3649"/>
      <c r="CZ1102" s="3649"/>
      <c r="DA1102" s="3649"/>
      <c r="DB1102" s="3383"/>
    </row>
    <row r="1103" spans="98:106" customFormat="1">
      <c r="CT1103" s="3383"/>
      <c r="CX1103" s="3383"/>
      <c r="CY1103" s="3649"/>
      <c r="CZ1103" s="3649"/>
      <c r="DA1103" s="3649"/>
      <c r="DB1103" s="3383"/>
    </row>
    <row r="1104" spans="98:106" customFormat="1">
      <c r="CT1104" s="3383"/>
      <c r="CX1104" s="3383"/>
      <c r="CY1104" s="3649"/>
      <c r="CZ1104" s="3649"/>
      <c r="DA1104" s="3649"/>
      <c r="DB1104" s="3383"/>
    </row>
    <row r="1105" spans="98:106" customFormat="1">
      <c r="CT1105" s="3383"/>
      <c r="CX1105" s="3383"/>
      <c r="CY1105" s="3649"/>
      <c r="CZ1105" s="3649"/>
      <c r="DA1105" s="3649"/>
      <c r="DB1105" s="3383"/>
    </row>
    <row r="1106" spans="98:106" customFormat="1">
      <c r="CT1106" s="3383"/>
      <c r="CX1106" s="3383"/>
      <c r="CY1106" s="3649"/>
      <c r="CZ1106" s="3649"/>
      <c r="DA1106" s="3649"/>
      <c r="DB1106" s="3383"/>
    </row>
    <row r="1107" spans="98:106" customFormat="1">
      <c r="CT1107" s="3383"/>
      <c r="CX1107" s="3383"/>
      <c r="CY1107" s="3649"/>
      <c r="CZ1107" s="3649"/>
      <c r="DA1107" s="3649"/>
      <c r="DB1107" s="3383"/>
    </row>
    <row r="1108" spans="98:106" customFormat="1">
      <c r="CT1108" s="3383"/>
      <c r="CX1108" s="3383"/>
      <c r="CY1108" s="3649"/>
      <c r="CZ1108" s="3649"/>
      <c r="DA1108" s="3649"/>
      <c r="DB1108" s="3383"/>
    </row>
    <row r="1109" spans="98:106" customFormat="1">
      <c r="CT1109" s="3383"/>
      <c r="CX1109" s="3383"/>
      <c r="CY1109" s="3649"/>
      <c r="CZ1109" s="3649"/>
      <c r="DA1109" s="3649"/>
      <c r="DB1109" s="3383"/>
    </row>
    <row r="1110" spans="98:106" customFormat="1">
      <c r="CT1110" s="3383"/>
      <c r="CX1110" s="3383"/>
      <c r="CY1110" s="3649"/>
      <c r="CZ1110" s="3649"/>
      <c r="DA1110" s="3649"/>
      <c r="DB1110" s="3383"/>
    </row>
    <row r="1111" spans="98:106" customFormat="1">
      <c r="CT1111" s="3383"/>
      <c r="CX1111" s="3383"/>
      <c r="CY1111" s="3649"/>
      <c r="CZ1111" s="3649"/>
      <c r="DA1111" s="3649"/>
      <c r="DB1111" s="3383"/>
    </row>
    <row r="1112" spans="98:106" customFormat="1">
      <c r="CT1112" s="3383"/>
      <c r="CX1112" s="3383"/>
      <c r="CY1112" s="3649"/>
      <c r="CZ1112" s="3649"/>
      <c r="DA1112" s="3649"/>
      <c r="DB1112" s="3383"/>
    </row>
    <row r="1113" spans="98:106" customFormat="1">
      <c r="CT1113" s="3383"/>
      <c r="CX1113" s="3383"/>
      <c r="CY1113" s="3649"/>
      <c r="CZ1113" s="3649"/>
      <c r="DA1113" s="3649"/>
      <c r="DB1113" s="3383"/>
    </row>
    <row r="1114" spans="98:106" customFormat="1">
      <c r="CT1114" s="3383"/>
      <c r="CX1114" s="3383"/>
      <c r="CY1114" s="3649"/>
      <c r="CZ1114" s="3649"/>
      <c r="DA1114" s="3649"/>
      <c r="DB1114" s="3383"/>
    </row>
    <row r="1115" spans="98:106" customFormat="1">
      <c r="CT1115" s="3383"/>
      <c r="CX1115" s="3383"/>
      <c r="CY1115" s="3649"/>
      <c r="CZ1115" s="3649"/>
      <c r="DA1115" s="3649"/>
      <c r="DB1115" s="3383"/>
    </row>
    <row r="1116" spans="98:106" customFormat="1">
      <c r="CT1116" s="3383"/>
      <c r="CX1116" s="3383"/>
      <c r="CY1116" s="3649"/>
      <c r="CZ1116" s="3649"/>
      <c r="DA1116" s="3649"/>
      <c r="DB1116" s="3383"/>
    </row>
    <row r="1117" spans="98:106" customFormat="1">
      <c r="CT1117" s="3383"/>
      <c r="CX1117" s="3383"/>
      <c r="CY1117" s="3649"/>
      <c r="CZ1117" s="3649"/>
      <c r="DA1117" s="3649"/>
      <c r="DB1117" s="3383"/>
    </row>
    <row r="1118" spans="98:106" customFormat="1">
      <c r="CT1118" s="3383"/>
      <c r="CX1118" s="3383"/>
      <c r="CY1118" s="3649"/>
      <c r="CZ1118" s="3649"/>
      <c r="DA1118" s="3649"/>
      <c r="DB1118" s="3383"/>
    </row>
    <row r="1119" spans="98:106" customFormat="1">
      <c r="CT1119" s="3383"/>
      <c r="CX1119" s="3383"/>
      <c r="CY1119" s="3649"/>
      <c r="CZ1119" s="3649"/>
      <c r="DA1119" s="3649"/>
      <c r="DB1119" s="3383"/>
    </row>
    <row r="1120" spans="98:106" customFormat="1">
      <c r="CT1120" s="3383"/>
      <c r="CX1120" s="3383"/>
      <c r="CY1120" s="3649"/>
      <c r="CZ1120" s="3649"/>
      <c r="DA1120" s="3649"/>
      <c r="DB1120" s="3383"/>
    </row>
    <row r="1121" spans="98:106" customFormat="1">
      <c r="CT1121" s="3383"/>
      <c r="CX1121" s="3383"/>
      <c r="CY1121" s="3649"/>
      <c r="CZ1121" s="3649"/>
      <c r="DA1121" s="3649"/>
      <c r="DB1121" s="3383"/>
    </row>
    <row r="1122" spans="98:106" customFormat="1">
      <c r="CT1122" s="3383"/>
      <c r="CX1122" s="3383"/>
      <c r="CY1122" s="3649"/>
      <c r="CZ1122" s="3649"/>
      <c r="DA1122" s="3649"/>
      <c r="DB1122" s="3383"/>
    </row>
    <row r="1123" spans="98:106" customFormat="1">
      <c r="CT1123" s="3383"/>
      <c r="CX1123" s="3383"/>
      <c r="CY1123" s="3649"/>
      <c r="CZ1123" s="3649"/>
      <c r="DA1123" s="3649"/>
      <c r="DB1123" s="3383"/>
    </row>
    <row r="1124" spans="98:106" customFormat="1">
      <c r="CT1124" s="3383"/>
      <c r="CX1124" s="3383"/>
      <c r="CY1124" s="3649"/>
      <c r="CZ1124" s="3649"/>
      <c r="DA1124" s="3649"/>
      <c r="DB1124" s="3383"/>
    </row>
    <row r="1125" spans="98:106" customFormat="1">
      <c r="CT1125" s="3383"/>
      <c r="CX1125" s="3383"/>
      <c r="CY1125" s="3649"/>
      <c r="CZ1125" s="3649"/>
      <c r="DA1125" s="3649"/>
      <c r="DB1125" s="3383"/>
    </row>
    <row r="1126" spans="98:106" customFormat="1">
      <c r="CT1126" s="3383"/>
      <c r="CX1126" s="3383"/>
      <c r="CY1126" s="3649"/>
      <c r="CZ1126" s="3649"/>
      <c r="DA1126" s="3649"/>
      <c r="DB1126" s="3383"/>
    </row>
    <row r="1127" spans="98:106" customFormat="1">
      <c r="CT1127" s="3383"/>
      <c r="CX1127" s="3383"/>
      <c r="CY1127" s="3649"/>
      <c r="CZ1127" s="3649"/>
      <c r="DA1127" s="3649"/>
      <c r="DB1127" s="3383"/>
    </row>
    <row r="1128" spans="98:106" customFormat="1">
      <c r="CT1128" s="3383"/>
      <c r="CX1128" s="3383"/>
      <c r="CY1128" s="3649"/>
      <c r="CZ1128" s="3649"/>
      <c r="DA1128" s="3649"/>
      <c r="DB1128" s="3383"/>
    </row>
    <row r="1129" spans="98:106" customFormat="1">
      <c r="CT1129" s="3383"/>
      <c r="CX1129" s="3383"/>
      <c r="CY1129" s="3649"/>
      <c r="CZ1129" s="3649"/>
      <c r="DA1129" s="3649"/>
      <c r="DB1129" s="3383"/>
    </row>
    <row r="1130" spans="98:106" customFormat="1">
      <c r="CT1130" s="3383"/>
      <c r="CX1130" s="3383"/>
      <c r="CY1130" s="3649"/>
      <c r="CZ1130" s="3649"/>
      <c r="DA1130" s="3649"/>
      <c r="DB1130" s="3383"/>
    </row>
    <row r="1131" spans="98:106" customFormat="1">
      <c r="CT1131" s="3383"/>
      <c r="CX1131" s="3383"/>
      <c r="CY1131" s="3649"/>
      <c r="CZ1131" s="3649"/>
      <c r="DA1131" s="3649"/>
      <c r="DB1131" s="3383"/>
    </row>
    <row r="1132" spans="98:106" customFormat="1">
      <c r="CT1132" s="3383"/>
      <c r="CX1132" s="3383"/>
      <c r="CY1132" s="3649"/>
      <c r="CZ1132" s="3649"/>
      <c r="DA1132" s="3649"/>
      <c r="DB1132" s="3383"/>
    </row>
    <row r="1133" spans="98:106" customFormat="1">
      <c r="CT1133" s="3383"/>
      <c r="CX1133" s="3383"/>
      <c r="CY1133" s="3649"/>
      <c r="CZ1133" s="3649"/>
      <c r="DA1133" s="3649"/>
      <c r="DB1133" s="3383"/>
    </row>
    <row r="1134" spans="98:106" customFormat="1">
      <c r="CT1134" s="3383"/>
      <c r="CX1134" s="3383"/>
      <c r="CY1134" s="3649"/>
      <c r="CZ1134" s="3649"/>
      <c r="DA1134" s="3649"/>
      <c r="DB1134" s="3383"/>
    </row>
    <row r="1135" spans="98:106" customFormat="1">
      <c r="CT1135" s="3383"/>
      <c r="CX1135" s="3383"/>
      <c r="CY1135" s="3649"/>
      <c r="CZ1135" s="3649"/>
      <c r="DA1135" s="3649"/>
      <c r="DB1135" s="3383"/>
    </row>
    <row r="1136" spans="98:106" customFormat="1">
      <c r="CT1136" s="3383"/>
      <c r="CX1136" s="3383"/>
      <c r="CY1136" s="3649"/>
      <c r="CZ1136" s="3649"/>
      <c r="DA1136" s="3649"/>
      <c r="DB1136" s="3383"/>
    </row>
    <row r="1137" spans="98:106" customFormat="1">
      <c r="CT1137" s="3383"/>
      <c r="CX1137" s="3383"/>
      <c r="CY1137" s="3649"/>
      <c r="CZ1137" s="3649"/>
      <c r="DA1137" s="3649"/>
      <c r="DB1137" s="3383"/>
    </row>
    <row r="1138" spans="98:106" customFormat="1">
      <c r="CT1138" s="3383"/>
      <c r="CX1138" s="3383"/>
      <c r="CY1138" s="3649"/>
      <c r="CZ1138" s="3649"/>
      <c r="DA1138" s="3649"/>
      <c r="DB1138" s="3383"/>
    </row>
    <row r="1139" spans="98:106" customFormat="1">
      <c r="CT1139" s="3383"/>
      <c r="CX1139" s="3383"/>
      <c r="CY1139" s="3649"/>
      <c r="CZ1139" s="3649"/>
      <c r="DA1139" s="3649"/>
      <c r="DB1139" s="3383"/>
    </row>
    <row r="1140" spans="98:106" customFormat="1">
      <c r="CT1140" s="3383"/>
      <c r="CX1140" s="3383"/>
      <c r="CY1140" s="3649"/>
      <c r="CZ1140" s="3649"/>
      <c r="DA1140" s="3649"/>
      <c r="DB1140" s="3383"/>
    </row>
    <row r="1141" spans="98:106" customFormat="1">
      <c r="CT1141" s="3383"/>
      <c r="CX1141" s="3383"/>
      <c r="CY1141" s="3649"/>
      <c r="CZ1141" s="3649"/>
      <c r="DA1141" s="3649"/>
      <c r="DB1141" s="3383"/>
    </row>
    <row r="1142" spans="98:106" customFormat="1">
      <c r="CT1142" s="3383"/>
      <c r="CX1142" s="3383"/>
      <c r="CY1142" s="3649"/>
      <c r="CZ1142" s="3649"/>
      <c r="DA1142" s="3649"/>
      <c r="DB1142" s="3383"/>
    </row>
    <row r="1143" spans="98:106" customFormat="1">
      <c r="CT1143" s="3383"/>
      <c r="CX1143" s="3383"/>
      <c r="CY1143" s="3649"/>
      <c r="CZ1143" s="3649"/>
      <c r="DA1143" s="3649"/>
      <c r="DB1143" s="3383"/>
    </row>
    <row r="1144" spans="98:106" customFormat="1">
      <c r="CT1144" s="3383"/>
      <c r="CX1144" s="3383"/>
      <c r="CY1144" s="3649"/>
      <c r="CZ1144" s="3649"/>
      <c r="DA1144" s="3649"/>
      <c r="DB1144" s="3383"/>
    </row>
    <row r="1145" spans="98:106" customFormat="1">
      <c r="CT1145" s="3383"/>
      <c r="CX1145" s="3383"/>
      <c r="CY1145" s="3649"/>
      <c r="CZ1145" s="3649"/>
      <c r="DA1145" s="3649"/>
      <c r="DB1145" s="3383"/>
    </row>
    <row r="1146" spans="98:106" customFormat="1">
      <c r="CT1146" s="3383"/>
      <c r="CX1146" s="3383"/>
      <c r="CY1146" s="3649"/>
      <c r="CZ1146" s="3649"/>
      <c r="DA1146" s="3649"/>
      <c r="DB1146" s="3383"/>
    </row>
    <row r="1147" spans="98:106" customFormat="1">
      <c r="CT1147" s="3383"/>
      <c r="CX1147" s="3383"/>
      <c r="CY1147" s="3649"/>
      <c r="CZ1147" s="3649"/>
      <c r="DA1147" s="3649"/>
      <c r="DB1147" s="3383"/>
    </row>
    <row r="1148" spans="98:106" customFormat="1">
      <c r="CT1148" s="3383"/>
      <c r="CX1148" s="3383"/>
      <c r="CY1148" s="3649"/>
      <c r="CZ1148" s="3649"/>
      <c r="DA1148" s="3649"/>
      <c r="DB1148" s="3383"/>
    </row>
    <row r="1149" spans="98:106" customFormat="1">
      <c r="CT1149" s="3383"/>
      <c r="CX1149" s="3383"/>
      <c r="CY1149" s="3649"/>
      <c r="CZ1149" s="3649"/>
      <c r="DA1149" s="3649"/>
      <c r="DB1149" s="3383"/>
    </row>
    <row r="1150" spans="98:106" customFormat="1">
      <c r="CT1150" s="3383"/>
      <c r="CX1150" s="3383"/>
      <c r="CY1150" s="3649"/>
      <c r="CZ1150" s="3649"/>
      <c r="DA1150" s="3649"/>
      <c r="DB1150" s="3383"/>
    </row>
    <row r="1151" spans="98:106" customFormat="1">
      <c r="CT1151" s="3383"/>
      <c r="CX1151" s="3383"/>
      <c r="CY1151" s="3649"/>
      <c r="CZ1151" s="3649"/>
      <c r="DA1151" s="3649"/>
      <c r="DB1151" s="3383"/>
    </row>
    <row r="1152" spans="98:106" customFormat="1">
      <c r="CT1152" s="3383"/>
      <c r="CX1152" s="3383"/>
      <c r="CY1152" s="3649"/>
      <c r="CZ1152" s="3649"/>
      <c r="DA1152" s="3649"/>
      <c r="DB1152" s="3383"/>
    </row>
    <row r="1153" spans="98:106" customFormat="1">
      <c r="CT1153" s="3383"/>
      <c r="CX1153" s="3383"/>
      <c r="CY1153" s="3649"/>
      <c r="CZ1153" s="3649"/>
      <c r="DA1153" s="3649"/>
      <c r="DB1153" s="3383"/>
    </row>
    <row r="1154" spans="98:106" customFormat="1">
      <c r="CT1154" s="3383"/>
      <c r="CX1154" s="3383"/>
      <c r="CY1154" s="3649"/>
      <c r="CZ1154" s="3649"/>
      <c r="DA1154" s="3649"/>
      <c r="DB1154" s="3383"/>
    </row>
    <row r="1155" spans="98:106" customFormat="1">
      <c r="CT1155" s="3383"/>
      <c r="CX1155" s="3383"/>
      <c r="CY1155" s="3649"/>
      <c r="CZ1155" s="3649"/>
      <c r="DA1155" s="3649"/>
      <c r="DB1155" s="3383"/>
    </row>
    <row r="1156" spans="98:106" customFormat="1">
      <c r="CT1156" s="3383"/>
      <c r="CX1156" s="3383"/>
      <c r="CY1156" s="3649"/>
      <c r="CZ1156" s="3649"/>
      <c r="DA1156" s="3649"/>
      <c r="DB1156" s="3383"/>
    </row>
    <row r="1157" spans="98:106" customFormat="1">
      <c r="CT1157" s="3383"/>
      <c r="CX1157" s="3383"/>
      <c r="CY1157" s="3649"/>
      <c r="CZ1157" s="3649"/>
      <c r="DA1157" s="3649"/>
      <c r="DB1157" s="3383"/>
    </row>
    <row r="1158" spans="98:106" customFormat="1">
      <c r="CT1158" s="3383"/>
      <c r="CX1158" s="3383"/>
      <c r="CY1158" s="3649"/>
      <c r="CZ1158" s="3649"/>
      <c r="DA1158" s="3649"/>
      <c r="DB1158" s="3383"/>
    </row>
    <row r="1159" spans="98:106" customFormat="1">
      <c r="CT1159" s="3383"/>
      <c r="CX1159" s="3383"/>
      <c r="CY1159" s="3649"/>
      <c r="CZ1159" s="3649"/>
      <c r="DA1159" s="3649"/>
      <c r="DB1159" s="3383"/>
    </row>
    <row r="1160" spans="98:106" customFormat="1">
      <c r="CT1160" s="3383"/>
      <c r="CX1160" s="3383"/>
      <c r="CY1160" s="3649"/>
      <c r="CZ1160" s="3649"/>
      <c r="DA1160" s="3649"/>
      <c r="DB1160" s="3383"/>
    </row>
    <row r="1161" spans="98:106" customFormat="1">
      <c r="CT1161" s="3383"/>
      <c r="CX1161" s="3383"/>
      <c r="CY1161" s="3649"/>
      <c r="CZ1161" s="3649"/>
      <c r="DA1161" s="3649"/>
      <c r="DB1161" s="3383"/>
    </row>
    <row r="1162" spans="98:106" customFormat="1">
      <c r="CT1162" s="3383"/>
      <c r="CX1162" s="3383"/>
      <c r="CY1162" s="3649"/>
      <c r="CZ1162" s="3649"/>
      <c r="DA1162" s="3649"/>
      <c r="DB1162" s="3383"/>
    </row>
    <row r="1163" spans="98:106" customFormat="1">
      <c r="CT1163" s="3383"/>
      <c r="CX1163" s="3383"/>
      <c r="CY1163" s="3649"/>
      <c r="CZ1163" s="3649"/>
      <c r="DA1163" s="3649"/>
      <c r="DB1163" s="3383"/>
    </row>
    <row r="1164" spans="98:106" customFormat="1">
      <c r="CT1164" s="3383"/>
      <c r="CX1164" s="3383"/>
      <c r="CY1164" s="3649"/>
      <c r="CZ1164" s="3649"/>
      <c r="DA1164" s="3649"/>
      <c r="DB1164" s="3383"/>
    </row>
    <row r="1165" spans="98:106" customFormat="1">
      <c r="CT1165" s="3383"/>
      <c r="CX1165" s="3383"/>
      <c r="CY1165" s="3649"/>
      <c r="CZ1165" s="3649"/>
      <c r="DA1165" s="3649"/>
      <c r="DB1165" s="3383"/>
    </row>
    <row r="1166" spans="98:106" customFormat="1">
      <c r="CT1166" s="3383"/>
      <c r="CX1166" s="3383"/>
      <c r="CY1166" s="3649"/>
      <c r="CZ1166" s="3649"/>
      <c r="DA1166" s="3649"/>
      <c r="DB1166" s="3383"/>
    </row>
    <row r="1167" spans="98:106" customFormat="1">
      <c r="CT1167" s="3383"/>
      <c r="CX1167" s="3383"/>
      <c r="CY1167" s="3649"/>
      <c r="CZ1167" s="3649"/>
      <c r="DA1167" s="3649"/>
      <c r="DB1167" s="3383"/>
    </row>
    <row r="1168" spans="98:106" customFormat="1">
      <c r="CT1168" s="3383"/>
      <c r="CX1168" s="3383"/>
      <c r="CY1168" s="3649"/>
      <c r="CZ1168" s="3649"/>
      <c r="DA1168" s="3649"/>
      <c r="DB1168" s="3383"/>
    </row>
    <row r="1169" spans="98:106" customFormat="1">
      <c r="CT1169" s="3383"/>
      <c r="CX1169" s="3383"/>
      <c r="CY1169" s="3649"/>
      <c r="CZ1169" s="3649"/>
      <c r="DA1169" s="3649"/>
      <c r="DB1169" s="3383"/>
    </row>
    <row r="1170" spans="98:106" customFormat="1">
      <c r="CT1170" s="3383"/>
      <c r="CX1170" s="3383"/>
      <c r="CY1170" s="3649"/>
      <c r="CZ1170" s="3649"/>
      <c r="DA1170" s="3649"/>
      <c r="DB1170" s="3383"/>
    </row>
    <row r="1171" spans="98:106" customFormat="1">
      <c r="CT1171" s="3383"/>
      <c r="CX1171" s="3383"/>
      <c r="CY1171" s="3649"/>
      <c r="CZ1171" s="3649"/>
      <c r="DA1171" s="3649"/>
      <c r="DB1171" s="3383"/>
    </row>
    <row r="1172" spans="98:106" customFormat="1">
      <c r="CT1172" s="3383"/>
      <c r="CX1172" s="3383"/>
      <c r="CY1172" s="3649"/>
      <c r="CZ1172" s="3649"/>
      <c r="DA1172" s="3649"/>
      <c r="DB1172" s="3383"/>
    </row>
    <row r="1173" spans="98:106" customFormat="1">
      <c r="CT1173" s="3383"/>
      <c r="CX1173" s="3383"/>
      <c r="CY1173" s="3649"/>
      <c r="CZ1173" s="3649"/>
      <c r="DA1173" s="3649"/>
      <c r="DB1173" s="3383"/>
    </row>
    <row r="1174" spans="98:106" customFormat="1">
      <c r="CT1174" s="3383"/>
      <c r="CX1174" s="3383"/>
      <c r="CY1174" s="3649"/>
      <c r="CZ1174" s="3649"/>
      <c r="DA1174" s="3649"/>
      <c r="DB1174" s="3383"/>
    </row>
    <row r="1175" spans="98:106" customFormat="1">
      <c r="CT1175" s="3383"/>
      <c r="CX1175" s="3383"/>
      <c r="CY1175" s="3649"/>
      <c r="CZ1175" s="3649"/>
      <c r="DA1175" s="3649"/>
      <c r="DB1175" s="3383"/>
    </row>
    <row r="1176" spans="98:106" customFormat="1">
      <c r="CT1176" s="3383"/>
      <c r="CX1176" s="3383"/>
      <c r="CY1176" s="3649"/>
      <c r="CZ1176" s="3649"/>
      <c r="DA1176" s="3649"/>
      <c r="DB1176" s="3383"/>
    </row>
    <row r="1177" spans="98:106" customFormat="1">
      <c r="CT1177" s="3383"/>
      <c r="CX1177" s="3383"/>
      <c r="CY1177" s="3649"/>
      <c r="CZ1177" s="3649"/>
      <c r="DA1177" s="3649"/>
      <c r="DB1177" s="3383"/>
    </row>
    <row r="1178" spans="98:106" customFormat="1">
      <c r="CT1178" s="3383"/>
      <c r="CX1178" s="3383"/>
      <c r="CY1178" s="3649"/>
      <c r="CZ1178" s="3649"/>
      <c r="DA1178" s="3649"/>
      <c r="DB1178" s="3383"/>
    </row>
    <row r="1179" spans="98:106" customFormat="1">
      <c r="CT1179" s="3383"/>
      <c r="CX1179" s="3383"/>
      <c r="CY1179" s="3649"/>
      <c r="CZ1179" s="3649"/>
      <c r="DA1179" s="3649"/>
      <c r="DB1179" s="3383"/>
    </row>
    <row r="1180" spans="98:106" customFormat="1">
      <c r="CT1180" s="3383"/>
      <c r="CX1180" s="3383"/>
      <c r="CY1180" s="3649"/>
      <c r="CZ1180" s="3649"/>
      <c r="DA1180" s="3649"/>
      <c r="DB1180" s="3383"/>
    </row>
    <row r="1181" spans="98:106" customFormat="1">
      <c r="CT1181" s="3383"/>
      <c r="CX1181" s="3383"/>
      <c r="CY1181" s="3649"/>
      <c r="CZ1181" s="3649"/>
      <c r="DA1181" s="3649"/>
      <c r="DB1181" s="3383"/>
    </row>
    <row r="1182" spans="98:106" customFormat="1">
      <c r="CT1182" s="3383"/>
      <c r="CX1182" s="3383"/>
      <c r="CY1182" s="3649"/>
      <c r="CZ1182" s="3649"/>
      <c r="DA1182" s="3649"/>
      <c r="DB1182" s="3383"/>
    </row>
    <row r="1183" spans="98:106" customFormat="1">
      <c r="CT1183" s="3383"/>
      <c r="CX1183" s="3383"/>
      <c r="CY1183" s="3649"/>
      <c r="CZ1183" s="3649"/>
      <c r="DA1183" s="3649"/>
      <c r="DB1183" s="3383"/>
    </row>
    <row r="1184" spans="98:106" customFormat="1">
      <c r="CT1184" s="3383"/>
      <c r="CX1184" s="3383"/>
      <c r="CY1184" s="3649"/>
      <c r="CZ1184" s="3649"/>
      <c r="DA1184" s="3649"/>
      <c r="DB1184" s="3383"/>
    </row>
    <row r="1185" spans="98:106" customFormat="1">
      <c r="CT1185" s="3383"/>
      <c r="CX1185" s="3383"/>
      <c r="CY1185" s="3649"/>
      <c r="CZ1185" s="3649"/>
      <c r="DA1185" s="3649"/>
      <c r="DB1185" s="3383"/>
    </row>
    <row r="1186" spans="98:106" customFormat="1">
      <c r="CT1186" s="3383"/>
      <c r="CX1186" s="3383"/>
      <c r="CY1186" s="3649"/>
      <c r="CZ1186" s="3649"/>
      <c r="DA1186" s="3649"/>
      <c r="DB1186" s="3383"/>
    </row>
    <row r="1187" spans="98:106" customFormat="1">
      <c r="CT1187" s="3383"/>
      <c r="CX1187" s="3383"/>
      <c r="CY1187" s="3649"/>
      <c r="CZ1187" s="3649"/>
      <c r="DA1187" s="3649"/>
      <c r="DB1187" s="3383"/>
    </row>
    <row r="1188" spans="98:106" customFormat="1">
      <c r="CT1188" s="3383"/>
      <c r="CX1188" s="3383"/>
      <c r="CY1188" s="3649"/>
      <c r="CZ1188" s="3649"/>
      <c r="DA1188" s="3649"/>
      <c r="DB1188" s="3383"/>
    </row>
    <row r="1189" spans="98:106" customFormat="1">
      <c r="CT1189" s="3383"/>
      <c r="CX1189" s="3383"/>
      <c r="CY1189" s="3649"/>
      <c r="CZ1189" s="3649"/>
      <c r="DA1189" s="3649"/>
      <c r="DB1189" s="3383"/>
    </row>
    <row r="1190" spans="98:106" customFormat="1">
      <c r="CT1190" s="3383"/>
      <c r="CX1190" s="3383"/>
      <c r="CY1190" s="3649"/>
      <c r="CZ1190" s="3649"/>
      <c r="DA1190" s="3649"/>
      <c r="DB1190" s="3383"/>
    </row>
    <row r="1191" spans="98:106" customFormat="1">
      <c r="CT1191" s="3383"/>
      <c r="CX1191" s="3383"/>
      <c r="CY1191" s="3649"/>
      <c r="CZ1191" s="3649"/>
      <c r="DA1191" s="3649"/>
      <c r="DB1191" s="3383"/>
    </row>
    <row r="1192" spans="98:106" customFormat="1">
      <c r="CT1192" s="3383"/>
      <c r="CX1192" s="3383"/>
      <c r="CY1192" s="3649"/>
      <c r="CZ1192" s="3649"/>
      <c r="DA1192" s="3649"/>
      <c r="DB1192" s="3383"/>
    </row>
    <row r="1193" spans="98:106" customFormat="1">
      <c r="CT1193" s="3383"/>
      <c r="CX1193" s="3383"/>
      <c r="CY1193" s="3649"/>
      <c r="CZ1193" s="3649"/>
      <c r="DA1193" s="3649"/>
      <c r="DB1193" s="3383"/>
    </row>
    <row r="1194" spans="98:106" customFormat="1">
      <c r="CT1194" s="3383"/>
      <c r="CX1194" s="3383"/>
      <c r="CY1194" s="3649"/>
      <c r="CZ1194" s="3649"/>
      <c r="DA1194" s="3649"/>
      <c r="DB1194" s="3383"/>
    </row>
    <row r="1195" spans="98:106" customFormat="1">
      <c r="CT1195" s="3383"/>
      <c r="CX1195" s="3383"/>
      <c r="CY1195" s="3649"/>
      <c r="CZ1195" s="3649"/>
      <c r="DA1195" s="3649"/>
      <c r="DB1195" s="3383"/>
    </row>
    <row r="1196" spans="98:106" customFormat="1">
      <c r="CT1196" s="3383"/>
      <c r="CX1196" s="3383"/>
      <c r="CY1196" s="3649"/>
      <c r="CZ1196" s="3649"/>
      <c r="DA1196" s="3649"/>
      <c r="DB1196" s="3383"/>
    </row>
    <row r="1197" spans="98:106" customFormat="1">
      <c r="CT1197" s="3383"/>
      <c r="CX1197" s="3383"/>
      <c r="CY1197" s="3649"/>
      <c r="CZ1197" s="3649"/>
      <c r="DA1197" s="3649"/>
      <c r="DB1197" s="3383"/>
    </row>
    <row r="1198" spans="98:106" customFormat="1">
      <c r="CT1198" s="3383"/>
      <c r="CX1198" s="3383"/>
      <c r="CY1198" s="3649"/>
      <c r="CZ1198" s="3649"/>
      <c r="DA1198" s="3649"/>
      <c r="DB1198" s="3383"/>
    </row>
    <row r="1199" spans="98:106" customFormat="1">
      <c r="CT1199" s="3383"/>
      <c r="CX1199" s="3383"/>
      <c r="CY1199" s="3649"/>
      <c r="CZ1199" s="3649"/>
      <c r="DA1199" s="3649"/>
      <c r="DB1199" s="3383"/>
    </row>
    <row r="1200" spans="98:106" customFormat="1">
      <c r="CT1200" s="3383"/>
      <c r="CX1200" s="3383"/>
      <c r="CY1200" s="3649"/>
      <c r="CZ1200" s="3649"/>
      <c r="DA1200" s="3649"/>
      <c r="DB1200" s="3383"/>
    </row>
    <row r="1201" spans="98:106" customFormat="1">
      <c r="CT1201" s="3383"/>
      <c r="CX1201" s="3383"/>
      <c r="CY1201" s="3649"/>
      <c r="CZ1201" s="3649"/>
      <c r="DA1201" s="3649"/>
      <c r="DB1201" s="3383"/>
    </row>
    <row r="1202" spans="98:106" customFormat="1">
      <c r="CT1202" s="3383"/>
      <c r="CX1202" s="3383"/>
      <c r="CY1202" s="3649"/>
      <c r="CZ1202" s="3649"/>
      <c r="DA1202" s="3649"/>
      <c r="DB1202" s="3383"/>
    </row>
    <row r="1203" spans="98:106" customFormat="1">
      <c r="CT1203" s="3383"/>
      <c r="CX1203" s="3383"/>
      <c r="CY1203" s="3649"/>
      <c r="CZ1203" s="3649"/>
      <c r="DA1203" s="3649"/>
      <c r="DB1203" s="3383"/>
    </row>
    <row r="1204" spans="98:106" customFormat="1">
      <c r="CT1204" s="3383"/>
      <c r="CX1204" s="3383"/>
      <c r="CY1204" s="3649"/>
      <c r="CZ1204" s="3649"/>
      <c r="DA1204" s="3649"/>
      <c r="DB1204" s="3383"/>
    </row>
    <row r="1205" spans="98:106" customFormat="1">
      <c r="CT1205" s="3383"/>
      <c r="CX1205" s="3383"/>
      <c r="CY1205" s="3649"/>
      <c r="CZ1205" s="3649"/>
      <c r="DA1205" s="3649"/>
      <c r="DB1205" s="3383"/>
    </row>
    <row r="1206" spans="98:106" customFormat="1">
      <c r="CT1206" s="3383"/>
      <c r="CX1206" s="3383"/>
      <c r="CY1206" s="3649"/>
      <c r="CZ1206" s="3649"/>
      <c r="DA1206" s="3649"/>
      <c r="DB1206" s="3383"/>
    </row>
    <row r="1207" spans="98:106" customFormat="1">
      <c r="CT1207" s="3383"/>
      <c r="CX1207" s="3383"/>
      <c r="CY1207" s="3649"/>
      <c r="CZ1207" s="3649"/>
      <c r="DA1207" s="3649"/>
      <c r="DB1207" s="3383"/>
    </row>
    <row r="1208" spans="98:106" customFormat="1">
      <c r="CT1208" s="3383"/>
      <c r="CX1208" s="3383"/>
      <c r="CY1208" s="3649"/>
      <c r="CZ1208" s="3649"/>
      <c r="DA1208" s="3649"/>
      <c r="DB1208" s="3383"/>
    </row>
    <row r="1209" spans="98:106" customFormat="1">
      <c r="CT1209" s="3383"/>
      <c r="CX1209" s="3383"/>
      <c r="CY1209" s="3649"/>
      <c r="CZ1209" s="3649"/>
      <c r="DA1209" s="3649"/>
      <c r="DB1209" s="3383"/>
    </row>
    <row r="1210" spans="98:106" customFormat="1">
      <c r="CT1210" s="3383"/>
      <c r="CX1210" s="3383"/>
      <c r="CY1210" s="3649"/>
      <c r="CZ1210" s="3649"/>
      <c r="DA1210" s="3649"/>
      <c r="DB1210" s="3383"/>
    </row>
    <row r="1211" spans="98:106" customFormat="1">
      <c r="CT1211" s="3383"/>
      <c r="CX1211" s="3383"/>
      <c r="CY1211" s="3649"/>
      <c r="CZ1211" s="3649"/>
      <c r="DA1211" s="3649"/>
      <c r="DB1211" s="3383"/>
    </row>
    <row r="1212" spans="98:106" customFormat="1">
      <c r="CT1212" s="3383"/>
      <c r="CX1212" s="3383"/>
      <c r="CY1212" s="3649"/>
      <c r="CZ1212" s="3649"/>
      <c r="DA1212" s="3649"/>
      <c r="DB1212" s="3383"/>
    </row>
    <row r="1213" spans="98:106" customFormat="1">
      <c r="CT1213" s="3383"/>
      <c r="CX1213" s="3383"/>
      <c r="CY1213" s="3649"/>
      <c r="CZ1213" s="3649"/>
      <c r="DA1213" s="3649"/>
      <c r="DB1213" s="3383"/>
    </row>
    <row r="1214" spans="98:106" customFormat="1">
      <c r="CT1214" s="3383"/>
      <c r="CX1214" s="3383"/>
      <c r="CY1214" s="3649"/>
      <c r="CZ1214" s="3649"/>
      <c r="DA1214" s="3649"/>
      <c r="DB1214" s="3383"/>
    </row>
    <row r="1215" spans="98:106" customFormat="1">
      <c r="CT1215" s="3383"/>
      <c r="CX1215" s="3383"/>
      <c r="CY1215" s="3649"/>
      <c r="CZ1215" s="3649"/>
      <c r="DA1215" s="3649"/>
      <c r="DB1215" s="3383"/>
    </row>
    <row r="1216" spans="98:106" customFormat="1">
      <c r="CT1216" s="3383"/>
      <c r="CX1216" s="3383"/>
      <c r="CY1216" s="3649"/>
      <c r="CZ1216" s="3649"/>
      <c r="DA1216" s="3649"/>
      <c r="DB1216" s="3383"/>
    </row>
    <row r="1217" spans="98:106" customFormat="1">
      <c r="CT1217" s="3383"/>
      <c r="CX1217" s="3383"/>
      <c r="CY1217" s="3649"/>
      <c r="CZ1217" s="3649"/>
      <c r="DA1217" s="3649"/>
      <c r="DB1217" s="3383"/>
    </row>
    <row r="1218" spans="98:106" customFormat="1">
      <c r="CT1218" s="3383"/>
      <c r="CX1218" s="3383"/>
      <c r="CY1218" s="3649"/>
      <c r="CZ1218" s="3649"/>
      <c r="DA1218" s="3649"/>
      <c r="DB1218" s="3383"/>
    </row>
    <row r="1219" spans="98:106" customFormat="1">
      <c r="CT1219" s="3383"/>
      <c r="CX1219" s="3383"/>
      <c r="CY1219" s="3649"/>
      <c r="CZ1219" s="3649"/>
      <c r="DA1219" s="3649"/>
      <c r="DB1219" s="3383"/>
    </row>
    <row r="1220" spans="98:106" customFormat="1">
      <c r="CT1220" s="3383"/>
      <c r="CX1220" s="3383"/>
      <c r="CY1220" s="3649"/>
      <c r="CZ1220" s="3649"/>
      <c r="DA1220" s="3649"/>
      <c r="DB1220" s="3383"/>
    </row>
    <row r="1221" spans="98:106" customFormat="1">
      <c r="CT1221" s="3383"/>
      <c r="CX1221" s="3383"/>
      <c r="CY1221" s="3649"/>
      <c r="CZ1221" s="3649"/>
      <c r="DA1221" s="3649"/>
      <c r="DB1221" s="3383"/>
    </row>
    <row r="1222" spans="98:106" customFormat="1">
      <c r="CT1222" s="3383"/>
      <c r="CX1222" s="3383"/>
      <c r="CY1222" s="3649"/>
      <c r="CZ1222" s="3649"/>
      <c r="DA1222" s="3649"/>
      <c r="DB1222" s="3383"/>
    </row>
    <row r="1223" spans="98:106" customFormat="1">
      <c r="CT1223" s="3383"/>
      <c r="CX1223" s="3383"/>
      <c r="CY1223" s="3649"/>
      <c r="CZ1223" s="3649"/>
      <c r="DA1223" s="3649"/>
      <c r="DB1223" s="3383"/>
    </row>
    <row r="1224" spans="98:106" customFormat="1">
      <c r="CT1224" s="3383"/>
      <c r="CX1224" s="3383"/>
      <c r="CY1224" s="3649"/>
      <c r="CZ1224" s="3649"/>
      <c r="DA1224" s="3649"/>
      <c r="DB1224" s="3383"/>
    </row>
    <row r="1225" spans="98:106" customFormat="1">
      <c r="CT1225" s="3383"/>
      <c r="CX1225" s="3383"/>
      <c r="CY1225" s="3649"/>
      <c r="CZ1225" s="3649"/>
      <c r="DA1225" s="3649"/>
      <c r="DB1225" s="3383"/>
    </row>
    <row r="1226" spans="98:106" customFormat="1">
      <c r="CT1226" s="3383"/>
      <c r="CX1226" s="3383"/>
      <c r="CY1226" s="3649"/>
      <c r="CZ1226" s="3649"/>
      <c r="DA1226" s="3649"/>
      <c r="DB1226" s="3383"/>
    </row>
    <row r="1227" spans="98:106" customFormat="1">
      <c r="CT1227" s="3383"/>
      <c r="CX1227" s="3383"/>
      <c r="CY1227" s="3649"/>
      <c r="CZ1227" s="3649"/>
      <c r="DA1227" s="3649"/>
      <c r="DB1227" s="3383"/>
    </row>
    <row r="1228" spans="98:106" customFormat="1">
      <c r="CT1228" s="3383"/>
      <c r="CX1228" s="3383"/>
      <c r="CY1228" s="3649"/>
      <c r="CZ1228" s="3649"/>
      <c r="DA1228" s="3649"/>
      <c r="DB1228" s="3383"/>
    </row>
    <row r="1229" spans="98:106" customFormat="1">
      <c r="CT1229" s="3383"/>
      <c r="CX1229" s="3383"/>
      <c r="CY1229" s="3649"/>
      <c r="CZ1229" s="3649"/>
      <c r="DA1229" s="3649"/>
      <c r="DB1229" s="3383"/>
    </row>
    <row r="1230" spans="98:106" customFormat="1">
      <c r="CT1230" s="3383"/>
      <c r="CX1230" s="3383"/>
      <c r="CY1230" s="3649"/>
      <c r="CZ1230" s="3649"/>
      <c r="DA1230" s="3649"/>
      <c r="DB1230" s="3383"/>
    </row>
    <row r="1231" spans="98:106" customFormat="1">
      <c r="CT1231" s="3383"/>
      <c r="CX1231" s="3383"/>
      <c r="CY1231" s="3649"/>
      <c r="CZ1231" s="3649"/>
      <c r="DA1231" s="3649"/>
      <c r="DB1231" s="3383"/>
    </row>
    <row r="1232" spans="98:106" customFormat="1">
      <c r="CT1232" s="3383"/>
      <c r="CX1232" s="3383"/>
      <c r="CY1232" s="3649"/>
      <c r="CZ1232" s="3649"/>
      <c r="DA1232" s="3649"/>
      <c r="DB1232" s="3383"/>
    </row>
    <row r="1233" spans="98:106" customFormat="1">
      <c r="CT1233" s="3383"/>
      <c r="CX1233" s="3383"/>
      <c r="CY1233" s="3649"/>
      <c r="CZ1233" s="3649"/>
      <c r="DA1233" s="3649"/>
      <c r="DB1233" s="3383"/>
    </row>
    <row r="1234" spans="98:106" customFormat="1">
      <c r="CT1234" s="3383"/>
      <c r="CX1234" s="3383"/>
      <c r="CY1234" s="3649"/>
      <c r="CZ1234" s="3649"/>
      <c r="DA1234" s="3649"/>
      <c r="DB1234" s="3383"/>
    </row>
    <row r="1235" spans="98:106" customFormat="1">
      <c r="CT1235" s="3383"/>
      <c r="CX1235" s="3383"/>
      <c r="CY1235" s="3649"/>
      <c r="CZ1235" s="3649"/>
      <c r="DA1235" s="3649"/>
      <c r="DB1235" s="3383"/>
    </row>
    <row r="1236" spans="98:106" customFormat="1">
      <c r="CT1236" s="3383"/>
      <c r="CX1236" s="3383"/>
      <c r="CY1236" s="3649"/>
      <c r="CZ1236" s="3649"/>
      <c r="DA1236" s="3649"/>
      <c r="DB1236" s="3383"/>
    </row>
    <row r="1237" spans="98:106" customFormat="1">
      <c r="CT1237" s="3383"/>
      <c r="CX1237" s="3383"/>
      <c r="CY1237" s="3649"/>
      <c r="CZ1237" s="3649"/>
      <c r="DA1237" s="3649"/>
      <c r="DB1237" s="3383"/>
    </row>
    <row r="1238" spans="98:106" customFormat="1">
      <c r="CT1238" s="3383"/>
      <c r="CX1238" s="3383"/>
      <c r="CY1238" s="3649"/>
      <c r="CZ1238" s="3649"/>
      <c r="DA1238" s="3649"/>
      <c r="DB1238" s="3383"/>
    </row>
    <row r="1239" spans="98:106" customFormat="1">
      <c r="CT1239" s="3383"/>
      <c r="CX1239" s="3383"/>
      <c r="CY1239" s="3649"/>
      <c r="CZ1239" s="3649"/>
      <c r="DA1239" s="3649"/>
      <c r="DB1239" s="3383"/>
    </row>
    <row r="1240" spans="98:106" customFormat="1">
      <c r="CT1240" s="3383"/>
      <c r="CX1240" s="3383"/>
      <c r="CY1240" s="3649"/>
      <c r="CZ1240" s="3649"/>
      <c r="DA1240" s="3649"/>
      <c r="DB1240" s="3383"/>
    </row>
    <row r="1241" spans="98:106" customFormat="1">
      <c r="CT1241" s="3383"/>
      <c r="CX1241" s="3383"/>
      <c r="CY1241" s="3649"/>
      <c r="CZ1241" s="3649"/>
      <c r="DA1241" s="3649"/>
      <c r="DB1241" s="3383"/>
    </row>
    <row r="1242" spans="98:106" customFormat="1">
      <c r="CT1242" s="3383"/>
      <c r="CX1242" s="3383"/>
      <c r="CY1242" s="3649"/>
      <c r="CZ1242" s="3649"/>
      <c r="DA1242" s="3649"/>
      <c r="DB1242" s="3383"/>
    </row>
    <row r="1243" spans="98:106" customFormat="1">
      <c r="CT1243" s="3383"/>
      <c r="CX1243" s="3383"/>
      <c r="CY1243" s="3649"/>
      <c r="CZ1243" s="3649"/>
      <c r="DA1243" s="3649"/>
      <c r="DB1243" s="3383"/>
    </row>
    <row r="1244" spans="98:106" customFormat="1">
      <c r="CT1244" s="3383"/>
      <c r="CX1244" s="3383"/>
      <c r="CY1244" s="3649"/>
      <c r="CZ1244" s="3649"/>
      <c r="DA1244" s="3649"/>
      <c r="DB1244" s="3383"/>
    </row>
    <row r="1245" spans="98:106" customFormat="1">
      <c r="CT1245" s="3383"/>
      <c r="CX1245" s="3383"/>
      <c r="CY1245" s="3649"/>
      <c r="CZ1245" s="3649"/>
      <c r="DA1245" s="3649"/>
      <c r="DB1245" s="3383"/>
    </row>
    <row r="1246" spans="98:106" customFormat="1">
      <c r="CT1246" s="3383"/>
      <c r="CX1246" s="3383"/>
      <c r="CY1246" s="3649"/>
      <c r="CZ1246" s="3649"/>
      <c r="DA1246" s="3649"/>
      <c r="DB1246" s="3383"/>
    </row>
    <row r="1247" spans="98:106" customFormat="1">
      <c r="CT1247" s="3383"/>
      <c r="CX1247" s="3383"/>
      <c r="CY1247" s="3649"/>
      <c r="CZ1247" s="3649"/>
      <c r="DA1247" s="3649"/>
      <c r="DB1247" s="3383"/>
    </row>
    <row r="1248" spans="98:106" customFormat="1">
      <c r="CT1248" s="3383"/>
      <c r="CX1248" s="3383"/>
      <c r="CY1248" s="3649"/>
      <c r="CZ1248" s="3649"/>
      <c r="DA1248" s="3649"/>
      <c r="DB1248" s="3383"/>
    </row>
    <row r="1249" spans="98:106" customFormat="1">
      <c r="CT1249" s="3383"/>
      <c r="CX1249" s="3383"/>
      <c r="CY1249" s="3649"/>
      <c r="CZ1249" s="3649"/>
      <c r="DA1249" s="3649"/>
      <c r="DB1249" s="3383"/>
    </row>
    <row r="1250" spans="98:106" customFormat="1">
      <c r="CT1250" s="3383"/>
      <c r="CX1250" s="3383"/>
      <c r="CY1250" s="3649"/>
      <c r="CZ1250" s="3649"/>
      <c r="DA1250" s="3649"/>
      <c r="DB1250" s="3383"/>
    </row>
    <row r="1251" spans="98:106" customFormat="1">
      <c r="CT1251" s="3383"/>
      <c r="CX1251" s="3383"/>
      <c r="CY1251" s="3649"/>
      <c r="CZ1251" s="3649"/>
      <c r="DA1251" s="3649"/>
      <c r="DB1251" s="3383"/>
    </row>
    <row r="1252" spans="98:106" customFormat="1">
      <c r="CT1252" s="3383"/>
      <c r="CX1252" s="3383"/>
      <c r="CY1252" s="3649"/>
      <c r="CZ1252" s="3649"/>
      <c r="DA1252" s="3649"/>
      <c r="DB1252" s="3383"/>
    </row>
    <row r="1253" spans="98:106" customFormat="1">
      <c r="CT1253" s="3383"/>
      <c r="CX1253" s="3383"/>
      <c r="CY1253" s="3649"/>
      <c r="CZ1253" s="3649"/>
      <c r="DA1253" s="3649"/>
      <c r="DB1253" s="3383"/>
    </row>
    <row r="1254" spans="98:106" customFormat="1">
      <c r="CT1254" s="3383"/>
      <c r="CX1254" s="3383"/>
      <c r="CY1254" s="3649"/>
      <c r="CZ1254" s="3649"/>
      <c r="DA1254" s="3649"/>
      <c r="DB1254" s="3383"/>
    </row>
    <row r="1255" spans="98:106" customFormat="1">
      <c r="CT1255" s="3383"/>
      <c r="CX1255" s="3383"/>
      <c r="CY1255" s="3649"/>
      <c r="CZ1255" s="3649"/>
      <c r="DA1255" s="3649"/>
      <c r="DB1255" s="3383"/>
    </row>
    <row r="1256" spans="98:106" customFormat="1">
      <c r="CT1256" s="3383"/>
      <c r="CX1256" s="3383"/>
      <c r="CY1256" s="3649"/>
      <c r="CZ1256" s="3649"/>
      <c r="DA1256" s="3649"/>
      <c r="DB1256" s="3383"/>
    </row>
    <row r="1257" spans="98:106" customFormat="1">
      <c r="CT1257" s="3383"/>
      <c r="CX1257" s="3383"/>
      <c r="CY1257" s="3649"/>
      <c r="CZ1257" s="3649"/>
      <c r="DA1257" s="3649"/>
      <c r="DB1257" s="3383"/>
    </row>
    <row r="1258" spans="98:106" customFormat="1">
      <c r="CT1258" s="3383"/>
      <c r="CX1258" s="3383"/>
      <c r="CY1258" s="3649"/>
      <c r="CZ1258" s="3649"/>
      <c r="DA1258" s="3649"/>
      <c r="DB1258" s="3383"/>
    </row>
    <row r="1259" spans="98:106" customFormat="1">
      <c r="CT1259" s="3383"/>
      <c r="CX1259" s="3383"/>
      <c r="CY1259" s="3649"/>
      <c r="CZ1259" s="3649"/>
      <c r="DA1259" s="3649"/>
      <c r="DB1259" s="3383"/>
    </row>
    <row r="1260" spans="98:106" customFormat="1">
      <c r="CT1260" s="3383"/>
      <c r="CX1260" s="3383"/>
      <c r="CY1260" s="3649"/>
      <c r="CZ1260" s="3649"/>
      <c r="DA1260" s="3649"/>
      <c r="DB1260" s="3383"/>
    </row>
    <row r="1261" spans="98:106" customFormat="1">
      <c r="CT1261" s="3383"/>
      <c r="CX1261" s="3383"/>
      <c r="CY1261" s="3649"/>
      <c r="CZ1261" s="3649"/>
      <c r="DA1261" s="3649"/>
      <c r="DB1261" s="3383"/>
    </row>
    <row r="1262" spans="98:106" customFormat="1">
      <c r="CT1262" s="3383"/>
      <c r="CX1262" s="3383"/>
      <c r="CY1262" s="3649"/>
      <c r="CZ1262" s="3649"/>
      <c r="DA1262" s="3649"/>
      <c r="DB1262" s="3383"/>
    </row>
    <row r="1263" spans="98:106" customFormat="1">
      <c r="CT1263" s="3383"/>
      <c r="CX1263" s="3383"/>
      <c r="CY1263" s="3649"/>
      <c r="CZ1263" s="3649"/>
      <c r="DA1263" s="3649"/>
      <c r="DB1263" s="3383"/>
    </row>
    <row r="1264" spans="98:106" customFormat="1">
      <c r="CT1264" s="3383"/>
      <c r="CX1264" s="3383"/>
      <c r="CY1264" s="3649"/>
      <c r="CZ1264" s="3649"/>
      <c r="DA1264" s="3649"/>
      <c r="DB1264" s="3383"/>
    </row>
    <row r="1265" spans="98:106" customFormat="1">
      <c r="CT1265" s="3383"/>
      <c r="CX1265" s="3383"/>
      <c r="CY1265" s="3649"/>
      <c r="CZ1265" s="3649"/>
      <c r="DA1265" s="3649"/>
      <c r="DB1265" s="3383"/>
    </row>
    <row r="1266" spans="98:106" customFormat="1">
      <c r="CT1266" s="3383"/>
      <c r="CX1266" s="3383"/>
      <c r="CY1266" s="3649"/>
      <c r="CZ1266" s="3649"/>
      <c r="DA1266" s="3649"/>
      <c r="DB1266" s="3383"/>
    </row>
    <row r="1267" spans="98:106" customFormat="1">
      <c r="CT1267" s="3383"/>
      <c r="CX1267" s="3383"/>
      <c r="CY1267" s="3649"/>
      <c r="CZ1267" s="3649"/>
      <c r="DA1267" s="3649"/>
      <c r="DB1267" s="3383"/>
    </row>
    <row r="1268" spans="98:106" customFormat="1">
      <c r="CT1268" s="3383"/>
      <c r="CX1268" s="3383"/>
      <c r="CY1268" s="3649"/>
      <c r="CZ1268" s="3649"/>
      <c r="DA1268" s="3649"/>
      <c r="DB1268" s="3383"/>
    </row>
    <row r="1269" spans="98:106" customFormat="1">
      <c r="CT1269" s="3383"/>
      <c r="CX1269" s="3383"/>
      <c r="CY1269" s="3649"/>
      <c r="CZ1269" s="3649"/>
      <c r="DA1269" s="3649"/>
      <c r="DB1269" s="3383"/>
    </row>
    <row r="1270" spans="98:106" customFormat="1">
      <c r="CT1270" s="3383"/>
      <c r="CX1270" s="3383"/>
      <c r="CY1270" s="3649"/>
      <c r="CZ1270" s="3649"/>
      <c r="DA1270" s="3649"/>
      <c r="DB1270" s="3383"/>
    </row>
    <row r="1271" spans="98:106" customFormat="1">
      <c r="CT1271" s="3383"/>
      <c r="CX1271" s="3383"/>
      <c r="CY1271" s="3649"/>
      <c r="CZ1271" s="3649"/>
      <c r="DA1271" s="3649"/>
      <c r="DB1271" s="3383"/>
    </row>
    <row r="1272" spans="98:106" customFormat="1">
      <c r="CT1272" s="3383"/>
      <c r="CX1272" s="3383"/>
      <c r="CY1272" s="3649"/>
      <c r="CZ1272" s="3649"/>
      <c r="DA1272" s="3649"/>
      <c r="DB1272" s="3383"/>
    </row>
    <row r="1273" spans="98:106" customFormat="1">
      <c r="CT1273" s="3383"/>
      <c r="CX1273" s="3383"/>
      <c r="CY1273" s="3649"/>
      <c r="CZ1273" s="3649"/>
      <c r="DA1273" s="3649"/>
      <c r="DB1273" s="3383"/>
    </row>
    <row r="1274" spans="98:106" customFormat="1">
      <c r="CT1274" s="3383"/>
      <c r="CX1274" s="3383"/>
      <c r="CY1274" s="3649"/>
      <c r="CZ1274" s="3649"/>
      <c r="DA1274" s="3649"/>
      <c r="DB1274" s="3383"/>
    </row>
    <row r="1275" spans="98:106" customFormat="1">
      <c r="CT1275" s="3383"/>
      <c r="CX1275" s="3383"/>
      <c r="CY1275" s="3649"/>
      <c r="CZ1275" s="3649"/>
      <c r="DA1275" s="3649"/>
      <c r="DB1275" s="3383"/>
    </row>
    <row r="1276" spans="98:106" customFormat="1">
      <c r="CT1276" s="3383"/>
      <c r="CX1276" s="3383"/>
      <c r="CY1276" s="3649"/>
      <c r="CZ1276" s="3649"/>
      <c r="DA1276" s="3649"/>
      <c r="DB1276" s="3383"/>
    </row>
    <row r="1277" spans="98:106" customFormat="1">
      <c r="CT1277" s="3383"/>
      <c r="CX1277" s="3383"/>
      <c r="CY1277" s="3649"/>
      <c r="CZ1277" s="3649"/>
      <c r="DA1277" s="3649"/>
      <c r="DB1277" s="3383"/>
    </row>
    <row r="1278" spans="98:106" customFormat="1">
      <c r="CT1278" s="3383"/>
      <c r="CX1278" s="3383"/>
      <c r="CY1278" s="3649"/>
      <c r="CZ1278" s="3649"/>
      <c r="DA1278" s="3649"/>
      <c r="DB1278" s="3383"/>
    </row>
    <row r="1279" spans="98:106" customFormat="1">
      <c r="CT1279" s="3383"/>
      <c r="CX1279" s="3383"/>
      <c r="CY1279" s="3649"/>
      <c r="CZ1279" s="3649"/>
      <c r="DA1279" s="3649"/>
      <c r="DB1279" s="3383"/>
    </row>
    <row r="1280" spans="98:106" customFormat="1">
      <c r="CT1280" s="3383"/>
      <c r="CX1280" s="3383"/>
      <c r="CY1280" s="3649"/>
      <c r="CZ1280" s="3649"/>
      <c r="DA1280" s="3649"/>
      <c r="DB1280" s="3383"/>
    </row>
    <row r="1281" spans="98:106" customFormat="1">
      <c r="CT1281" s="3383"/>
      <c r="CX1281" s="3383"/>
      <c r="CY1281" s="3649"/>
      <c r="CZ1281" s="3649"/>
      <c r="DA1281" s="3649"/>
      <c r="DB1281" s="3383"/>
    </row>
    <row r="1282" spans="98:106" customFormat="1">
      <c r="CT1282" s="3383"/>
      <c r="CX1282" s="3383"/>
      <c r="CY1282" s="3649"/>
      <c r="CZ1282" s="3649"/>
      <c r="DA1282" s="3649"/>
      <c r="DB1282" s="3383"/>
    </row>
    <row r="1283" spans="98:106" customFormat="1">
      <c r="CT1283" s="3383"/>
      <c r="CX1283" s="3383"/>
      <c r="CY1283" s="3649"/>
      <c r="CZ1283" s="3649"/>
      <c r="DA1283" s="3649"/>
      <c r="DB1283" s="3383"/>
    </row>
    <row r="1284" spans="98:106" customFormat="1">
      <c r="CT1284" s="3383"/>
      <c r="CX1284" s="3383"/>
      <c r="CY1284" s="3649"/>
      <c r="CZ1284" s="3649"/>
      <c r="DA1284" s="3649"/>
      <c r="DB1284" s="3383"/>
    </row>
    <row r="1285" spans="98:106" customFormat="1">
      <c r="CT1285" s="3383"/>
      <c r="CX1285" s="3383"/>
      <c r="CY1285" s="3649"/>
      <c r="CZ1285" s="3649"/>
      <c r="DA1285" s="3649"/>
      <c r="DB1285" s="3383"/>
    </row>
    <row r="1286" spans="98:106" customFormat="1">
      <c r="CT1286" s="3383"/>
      <c r="CX1286" s="3383"/>
      <c r="CY1286" s="3649"/>
      <c r="CZ1286" s="3649"/>
      <c r="DA1286" s="3649"/>
      <c r="DB1286" s="3383"/>
    </row>
    <row r="1287" spans="98:106" customFormat="1">
      <c r="CT1287" s="3383"/>
      <c r="CX1287" s="3383"/>
      <c r="CY1287" s="3649"/>
      <c r="CZ1287" s="3649"/>
      <c r="DA1287" s="3649"/>
      <c r="DB1287" s="3383"/>
    </row>
    <row r="1288" spans="98:106" customFormat="1">
      <c r="CT1288" s="3383"/>
      <c r="CX1288" s="3383"/>
      <c r="CY1288" s="3649"/>
      <c r="CZ1288" s="3649"/>
      <c r="DA1288" s="3649"/>
      <c r="DB1288" s="3383"/>
    </row>
    <row r="1289" spans="98:106" customFormat="1">
      <c r="CT1289" s="3383"/>
      <c r="CX1289" s="3383"/>
      <c r="CY1289" s="3649"/>
      <c r="CZ1289" s="3649"/>
      <c r="DA1289" s="3649"/>
      <c r="DB1289" s="3383"/>
    </row>
    <row r="1290" spans="98:106" customFormat="1">
      <c r="CT1290" s="3383"/>
      <c r="CX1290" s="3383"/>
      <c r="CY1290" s="3649"/>
      <c r="CZ1290" s="3649"/>
      <c r="DA1290" s="3649"/>
      <c r="DB1290" s="3383"/>
    </row>
    <row r="1291" spans="98:106" customFormat="1">
      <c r="CT1291" s="3383"/>
      <c r="CX1291" s="3383"/>
      <c r="CY1291" s="3649"/>
      <c r="CZ1291" s="3649"/>
      <c r="DA1291" s="3649"/>
      <c r="DB1291" s="3383"/>
    </row>
    <row r="1292" spans="98:106" customFormat="1">
      <c r="CT1292" s="3383"/>
      <c r="CX1292" s="3383"/>
      <c r="CY1292" s="3649"/>
      <c r="CZ1292" s="3649"/>
      <c r="DA1292" s="3649"/>
      <c r="DB1292" s="3383"/>
    </row>
    <row r="1293" spans="98:106" customFormat="1">
      <c r="CT1293" s="3383"/>
      <c r="CX1293" s="3383"/>
      <c r="CY1293" s="3649"/>
      <c r="CZ1293" s="3649"/>
      <c r="DA1293" s="3649"/>
      <c r="DB1293" s="3383"/>
    </row>
    <row r="1294" spans="98:106" customFormat="1">
      <c r="CT1294" s="3383"/>
      <c r="CX1294" s="3383"/>
      <c r="CY1294" s="3649"/>
      <c r="CZ1294" s="3649"/>
      <c r="DA1294" s="3649"/>
      <c r="DB1294" s="3383"/>
    </row>
    <row r="1295" spans="98:106" customFormat="1">
      <c r="CT1295" s="3383"/>
      <c r="CX1295" s="3383"/>
      <c r="CY1295" s="3649"/>
      <c r="CZ1295" s="3649"/>
      <c r="DA1295" s="3649"/>
      <c r="DB1295" s="3383"/>
    </row>
    <row r="1296" spans="98:106" customFormat="1">
      <c r="CT1296" s="3383"/>
      <c r="CX1296" s="3383"/>
      <c r="CY1296" s="3649"/>
      <c r="CZ1296" s="3649"/>
      <c r="DA1296" s="3649"/>
      <c r="DB1296" s="3383"/>
    </row>
    <row r="1297" spans="98:106" customFormat="1">
      <c r="CT1297" s="3383"/>
      <c r="CX1297" s="3383"/>
      <c r="CY1297" s="3649"/>
      <c r="CZ1297" s="3649"/>
      <c r="DA1297" s="3649"/>
      <c r="DB1297" s="3383"/>
    </row>
    <row r="1298" spans="98:106" customFormat="1">
      <c r="CT1298" s="3383"/>
      <c r="CX1298" s="3383"/>
      <c r="CY1298" s="3649"/>
      <c r="CZ1298" s="3649"/>
      <c r="DA1298" s="3649"/>
      <c r="DB1298" s="3383"/>
    </row>
    <row r="1299" spans="98:106" customFormat="1">
      <c r="CT1299" s="3383"/>
      <c r="CX1299" s="3383"/>
      <c r="CY1299" s="3649"/>
      <c r="CZ1299" s="3649"/>
      <c r="DA1299" s="3649"/>
      <c r="DB1299" s="3383"/>
    </row>
    <row r="1300" spans="98:106" customFormat="1">
      <c r="CT1300" s="3383"/>
      <c r="CX1300" s="3383"/>
      <c r="CY1300" s="3649"/>
      <c r="CZ1300" s="3649"/>
      <c r="DA1300" s="3649"/>
      <c r="DB1300" s="3383"/>
    </row>
    <row r="1301" spans="98:106" customFormat="1">
      <c r="CT1301" s="3383"/>
      <c r="CX1301" s="3383"/>
      <c r="CY1301" s="3649"/>
      <c r="CZ1301" s="3649"/>
      <c r="DA1301" s="3649"/>
      <c r="DB1301" s="3383"/>
    </row>
    <row r="1302" spans="98:106" customFormat="1">
      <c r="CT1302" s="3383"/>
      <c r="CX1302" s="3383"/>
      <c r="CY1302" s="3649"/>
      <c r="CZ1302" s="3649"/>
      <c r="DA1302" s="3649"/>
      <c r="DB1302" s="3383"/>
    </row>
    <row r="1303" spans="98:106" customFormat="1">
      <c r="CT1303" s="3383"/>
      <c r="CX1303" s="3383"/>
      <c r="CY1303" s="3649"/>
      <c r="CZ1303" s="3649"/>
      <c r="DA1303" s="3649"/>
      <c r="DB1303" s="3383"/>
    </row>
    <row r="1304" spans="98:106" customFormat="1">
      <c r="CT1304" s="3383"/>
      <c r="CX1304" s="3383"/>
      <c r="CY1304" s="3649"/>
      <c r="CZ1304" s="3649"/>
      <c r="DA1304" s="3649"/>
      <c r="DB1304" s="3383"/>
    </row>
    <row r="1305" spans="98:106" customFormat="1">
      <c r="CT1305" s="3383"/>
      <c r="CX1305" s="3383"/>
      <c r="CY1305" s="3649"/>
      <c r="CZ1305" s="3649"/>
      <c r="DA1305" s="3649"/>
      <c r="DB1305" s="3383"/>
    </row>
    <row r="1306" spans="98:106" customFormat="1">
      <c r="CT1306" s="3383"/>
      <c r="CX1306" s="3383"/>
      <c r="CY1306" s="3649"/>
      <c r="CZ1306" s="3649"/>
      <c r="DA1306" s="3649"/>
      <c r="DB1306" s="3383"/>
    </row>
    <row r="1307" spans="98:106" customFormat="1">
      <c r="CT1307" s="3383"/>
      <c r="CX1307" s="3383"/>
      <c r="CY1307" s="3649"/>
      <c r="CZ1307" s="3649"/>
      <c r="DA1307" s="3649"/>
      <c r="DB1307" s="3383"/>
    </row>
    <row r="1308" spans="98:106" customFormat="1">
      <c r="CT1308" s="3383"/>
      <c r="CX1308" s="3383"/>
      <c r="CY1308" s="3649"/>
      <c r="CZ1308" s="3649"/>
      <c r="DA1308" s="3649"/>
      <c r="DB1308" s="3383"/>
    </row>
    <row r="1309" spans="98:106" customFormat="1">
      <c r="CT1309" s="3383"/>
      <c r="CX1309" s="3383"/>
      <c r="CY1309" s="3649"/>
      <c r="CZ1309" s="3649"/>
      <c r="DA1309" s="3649"/>
      <c r="DB1309" s="3383"/>
    </row>
    <row r="1310" spans="98:106" customFormat="1">
      <c r="CT1310" s="3383"/>
      <c r="CX1310" s="3383"/>
      <c r="CY1310" s="3649"/>
      <c r="CZ1310" s="3649"/>
      <c r="DA1310" s="3649"/>
      <c r="DB1310" s="3383"/>
    </row>
    <row r="1311" spans="98:106" customFormat="1">
      <c r="CT1311" s="3383"/>
      <c r="CX1311" s="3383"/>
      <c r="CY1311" s="3649"/>
      <c r="CZ1311" s="3649"/>
      <c r="DA1311" s="3649"/>
      <c r="DB1311" s="3383"/>
    </row>
    <row r="1312" spans="98:106" customFormat="1">
      <c r="CT1312" s="3383"/>
      <c r="CX1312" s="3383"/>
      <c r="CY1312" s="3649"/>
      <c r="CZ1312" s="3649"/>
      <c r="DA1312" s="3649"/>
      <c r="DB1312" s="3383"/>
    </row>
    <row r="1313" spans="98:106" customFormat="1">
      <c r="CT1313" s="3383"/>
      <c r="CX1313" s="3383"/>
      <c r="CY1313" s="3649"/>
      <c r="CZ1313" s="3649"/>
      <c r="DA1313" s="3649"/>
      <c r="DB1313" s="3383"/>
    </row>
    <row r="1314" spans="98:106" customFormat="1">
      <c r="CT1314" s="3383"/>
      <c r="CX1314" s="3383"/>
      <c r="CY1314" s="3649"/>
      <c r="CZ1314" s="3649"/>
      <c r="DA1314" s="3649"/>
      <c r="DB1314" s="3383"/>
    </row>
    <row r="1315" spans="98:106" customFormat="1">
      <c r="CT1315" s="3383"/>
      <c r="CX1315" s="3383"/>
      <c r="CY1315" s="3649"/>
      <c r="CZ1315" s="3649"/>
      <c r="DA1315" s="3649"/>
      <c r="DB1315" s="3383"/>
    </row>
    <row r="1316" spans="98:106" customFormat="1">
      <c r="CT1316" s="3383"/>
      <c r="CX1316" s="3383"/>
      <c r="CY1316" s="3649"/>
      <c r="CZ1316" s="3649"/>
      <c r="DA1316" s="3649"/>
      <c r="DB1316" s="3383"/>
    </row>
    <row r="1317" spans="98:106" customFormat="1">
      <c r="CT1317" s="3383"/>
      <c r="CX1317" s="3383"/>
      <c r="CY1317" s="3649"/>
      <c r="CZ1317" s="3649"/>
      <c r="DA1317" s="3649"/>
      <c r="DB1317" s="3383"/>
    </row>
    <row r="1318" spans="98:106" customFormat="1">
      <c r="CT1318" s="3383"/>
      <c r="CX1318" s="3383"/>
      <c r="CY1318" s="3649"/>
      <c r="CZ1318" s="3649"/>
      <c r="DA1318" s="3649"/>
      <c r="DB1318" s="3383"/>
    </row>
    <row r="1319" spans="98:106" customFormat="1">
      <c r="CT1319" s="3383"/>
      <c r="CX1319" s="3383"/>
      <c r="CY1319" s="3649"/>
      <c r="CZ1319" s="3649"/>
      <c r="DA1319" s="3649"/>
      <c r="DB1319" s="3383"/>
    </row>
    <row r="1320" spans="98:106" customFormat="1">
      <c r="CT1320" s="3383"/>
      <c r="CX1320" s="3383"/>
      <c r="CY1320" s="3649"/>
      <c r="CZ1320" s="3649"/>
      <c r="DA1320" s="3649"/>
      <c r="DB1320" s="3383"/>
    </row>
    <row r="1321" spans="98:106" customFormat="1">
      <c r="CT1321" s="3383"/>
      <c r="CX1321" s="3383"/>
      <c r="CY1321" s="3649"/>
      <c r="CZ1321" s="3649"/>
      <c r="DA1321" s="3649"/>
      <c r="DB1321" s="3383"/>
    </row>
    <row r="1322" spans="98:106" customFormat="1">
      <c r="CT1322" s="3383"/>
      <c r="CX1322" s="3383"/>
      <c r="CY1322" s="3649"/>
      <c r="CZ1322" s="3649"/>
      <c r="DA1322" s="3649"/>
      <c r="DB1322" s="3383"/>
    </row>
    <row r="1323" spans="98:106" customFormat="1">
      <c r="CT1323" s="3383"/>
      <c r="CX1323" s="3383"/>
      <c r="CY1323" s="3649"/>
      <c r="CZ1323" s="3649"/>
      <c r="DA1323" s="3649"/>
      <c r="DB1323" s="3383"/>
    </row>
    <row r="1324" spans="98:106" customFormat="1">
      <c r="CT1324" s="3383"/>
      <c r="CX1324" s="3383"/>
      <c r="CY1324" s="3649"/>
      <c r="CZ1324" s="3649"/>
      <c r="DA1324" s="3649"/>
      <c r="DB1324" s="3383"/>
    </row>
    <row r="1325" spans="98:106" customFormat="1">
      <c r="CT1325" s="3383"/>
      <c r="CX1325" s="3383"/>
      <c r="CY1325" s="3649"/>
      <c r="CZ1325" s="3649"/>
      <c r="DA1325" s="3649"/>
      <c r="DB1325" s="3383"/>
    </row>
  </sheetData>
  <dataConsolidate/>
  <mergeCells count="318">
    <mergeCell ref="CY253:DB253"/>
    <mergeCell ref="CY275:DB275"/>
    <mergeCell ref="DI3:DN3"/>
    <mergeCell ref="DD4:DE4"/>
    <mergeCell ref="DF4:DG4"/>
    <mergeCell ref="DI4:DJ4"/>
    <mergeCell ref="DK4:DL4"/>
    <mergeCell ref="DM4:DN4"/>
    <mergeCell ref="CY20:DB20"/>
    <mergeCell ref="CY39:DB39"/>
    <mergeCell ref="CY58:DB58"/>
    <mergeCell ref="CY99:DB99"/>
    <mergeCell ref="CY122:DB122"/>
    <mergeCell ref="CY139:DB139"/>
    <mergeCell ref="CY161:DB161"/>
    <mergeCell ref="CY196:DB196"/>
    <mergeCell ref="CY218:DB218"/>
    <mergeCell ref="CY4:DB4"/>
    <mergeCell ref="CQ196:CT196"/>
    <mergeCell ref="CQ218:CT218"/>
    <mergeCell ref="CQ253:CT253"/>
    <mergeCell ref="CQ275:CT275"/>
    <mergeCell ref="CQ4:CT4"/>
    <mergeCell ref="CQ20:CT20"/>
    <mergeCell ref="CQ39:CT39"/>
    <mergeCell ref="CQ58:CT58"/>
    <mergeCell ref="CQ99:CT99"/>
    <mergeCell ref="CQ122:CT122"/>
    <mergeCell ref="CQ139:CT139"/>
    <mergeCell ref="CQ161:CT161"/>
    <mergeCell ref="CI275:CL275"/>
    <mergeCell ref="CI4:CL4"/>
    <mergeCell ref="CI20:CL20"/>
    <mergeCell ref="CI39:CL39"/>
    <mergeCell ref="CI58:CL58"/>
    <mergeCell ref="CI99:CL99"/>
    <mergeCell ref="CI122:CL122"/>
    <mergeCell ref="CM139:CP139"/>
    <mergeCell ref="CM161:CP161"/>
    <mergeCell ref="CM196:CP196"/>
    <mergeCell ref="CM218:CP218"/>
    <mergeCell ref="CM253:CP253"/>
    <mergeCell ref="CM275:CP275"/>
    <mergeCell ref="CM4:CP4"/>
    <mergeCell ref="CM20:CP20"/>
    <mergeCell ref="CM39:CP39"/>
    <mergeCell ref="CM58:CP58"/>
    <mergeCell ref="CM99:CP99"/>
    <mergeCell ref="CM122:CP122"/>
    <mergeCell ref="CA196:CD196"/>
    <mergeCell ref="BW196:BZ196"/>
    <mergeCell ref="BS196:BV196"/>
    <mergeCell ref="BW122:BZ122"/>
    <mergeCell ref="BW161:BZ161"/>
    <mergeCell ref="BW139:BZ139"/>
    <mergeCell ref="BS139:BV139"/>
    <mergeCell ref="CA275:CD275"/>
    <mergeCell ref="BW218:BZ218"/>
    <mergeCell ref="CA218:CD218"/>
    <mergeCell ref="BW275:BZ275"/>
    <mergeCell ref="CA253:CD253"/>
    <mergeCell ref="BW253:BZ253"/>
    <mergeCell ref="CA122:CD122"/>
    <mergeCell ref="CA139:CD139"/>
    <mergeCell ref="BS275:BV275"/>
    <mergeCell ref="BS122:BV122"/>
    <mergeCell ref="BK275:BN275"/>
    <mergeCell ref="BO275:BR275"/>
    <mergeCell ref="BG253:BJ253"/>
    <mergeCell ref="AY275:BB275"/>
    <mergeCell ref="BG58:BJ58"/>
    <mergeCell ref="BO58:BR58"/>
    <mergeCell ref="BK58:BN58"/>
    <mergeCell ref="BK99:BN99"/>
    <mergeCell ref="BG275:BJ275"/>
    <mergeCell ref="BC275:BF275"/>
    <mergeCell ref="BO99:BR99"/>
    <mergeCell ref="BG122:BJ122"/>
    <mergeCell ref="BG99:BJ99"/>
    <mergeCell ref="BO161:BR161"/>
    <mergeCell ref="BG218:BJ218"/>
    <mergeCell ref="BC196:BF196"/>
    <mergeCell ref="BC161:BF161"/>
    <mergeCell ref="BG196:BJ196"/>
    <mergeCell ref="AY139:BB139"/>
    <mergeCell ref="BG161:BJ161"/>
    <mergeCell ref="BC253:BF253"/>
    <mergeCell ref="BC218:BF218"/>
    <mergeCell ref="BK253:BN253"/>
    <mergeCell ref="BK218:BN218"/>
    <mergeCell ref="BK196:BN196"/>
    <mergeCell ref="BS253:BV253"/>
    <mergeCell ref="BO253:BR253"/>
    <mergeCell ref="BS161:BV161"/>
    <mergeCell ref="BK161:BN161"/>
    <mergeCell ref="BO218:BR218"/>
    <mergeCell ref="BO196:BR196"/>
    <mergeCell ref="BS218:BV218"/>
    <mergeCell ref="BG139:BJ139"/>
    <mergeCell ref="AY196:BB196"/>
    <mergeCell ref="AY122:BB122"/>
    <mergeCell ref="AY161:BB161"/>
    <mergeCell ref="AQ99:AT99"/>
    <mergeCell ref="AM58:AP58"/>
    <mergeCell ref="AQ122:AT122"/>
    <mergeCell ref="AU122:AX122"/>
    <mergeCell ref="AY99:BB99"/>
    <mergeCell ref="AQ4:AT4"/>
    <mergeCell ref="AQ58:AT58"/>
    <mergeCell ref="AQ20:AT20"/>
    <mergeCell ref="AQ39:AT39"/>
    <mergeCell ref="AU4:AX4"/>
    <mergeCell ref="AU58:AX58"/>
    <mergeCell ref="AU20:AX20"/>
    <mergeCell ref="AM4:AP4"/>
    <mergeCell ref="AE39:AH39"/>
    <mergeCell ref="AE58:AH58"/>
    <mergeCell ref="BK122:BN122"/>
    <mergeCell ref="BK139:BN139"/>
    <mergeCell ref="BC139:BF139"/>
    <mergeCell ref="BC39:BF39"/>
    <mergeCell ref="BC99:BF99"/>
    <mergeCell ref="BC122:BF122"/>
    <mergeCell ref="BC58:BF58"/>
    <mergeCell ref="AU99:AX99"/>
    <mergeCell ref="AU39:AX39"/>
    <mergeCell ref="AQ139:AT139"/>
    <mergeCell ref="AI139:AL139"/>
    <mergeCell ref="AE139:AH139"/>
    <mergeCell ref="AM139:AP139"/>
    <mergeCell ref="CA20:CD20"/>
    <mergeCell ref="CA39:CD39"/>
    <mergeCell ref="BK20:BN20"/>
    <mergeCell ref="BW20:BZ20"/>
    <mergeCell ref="BO4:BR4"/>
    <mergeCell ref="BK4:BN4"/>
    <mergeCell ref="BK39:BN39"/>
    <mergeCell ref="BO39:BR39"/>
    <mergeCell ref="CA58:CD58"/>
    <mergeCell ref="BS20:BV20"/>
    <mergeCell ref="BS39:BV39"/>
    <mergeCell ref="BS58:BV58"/>
    <mergeCell ref="BW58:BZ58"/>
    <mergeCell ref="BO20:BR20"/>
    <mergeCell ref="CA99:CD99"/>
    <mergeCell ref="BS99:BV99"/>
    <mergeCell ref="AI122:AL122"/>
    <mergeCell ref="AI99:AL99"/>
    <mergeCell ref="AE99:AH99"/>
    <mergeCell ref="BO139:BR139"/>
    <mergeCell ref="BO122:BR122"/>
    <mergeCell ref="BW99:BZ99"/>
    <mergeCell ref="CA161:CD161"/>
    <mergeCell ref="AE122:AH122"/>
    <mergeCell ref="AM122:AP122"/>
    <mergeCell ref="AU161:AX161"/>
    <mergeCell ref="AU139:AX139"/>
    <mergeCell ref="AE161:AH161"/>
    <mergeCell ref="AQ161:AT161"/>
    <mergeCell ref="AI161:AL161"/>
    <mergeCell ref="AM161:AP161"/>
    <mergeCell ref="AE20:AH20"/>
    <mergeCell ref="AY20:BB20"/>
    <mergeCell ref="AY253:BB253"/>
    <mergeCell ref="AY218:BB218"/>
    <mergeCell ref="AU275:AX275"/>
    <mergeCell ref="AU253:AX253"/>
    <mergeCell ref="AU196:AX196"/>
    <mergeCell ref="AI275:AL275"/>
    <mergeCell ref="AM275:AP275"/>
    <mergeCell ref="AM253:AP253"/>
    <mergeCell ref="AI253:AL253"/>
    <mergeCell ref="AI218:AL218"/>
    <mergeCell ref="AQ218:AT218"/>
    <mergeCell ref="AI196:AL196"/>
    <mergeCell ref="AE275:AH275"/>
    <mergeCell ref="AU218:AX218"/>
    <mergeCell ref="AQ275:AT275"/>
    <mergeCell ref="AM218:AP218"/>
    <mergeCell ref="AQ253:AT253"/>
    <mergeCell ref="AQ196:AT196"/>
    <mergeCell ref="AE196:AH196"/>
    <mergeCell ref="AE253:AH253"/>
    <mergeCell ref="AE218:AH218"/>
    <mergeCell ref="AM196:AP196"/>
    <mergeCell ref="C273:F273"/>
    <mergeCell ref="AA218:AD218"/>
    <mergeCell ref="K218:N218"/>
    <mergeCell ref="W218:Z218"/>
    <mergeCell ref="S218:V218"/>
    <mergeCell ref="O275:R275"/>
    <mergeCell ref="O253:R253"/>
    <mergeCell ref="G196:J196"/>
    <mergeCell ref="O196:R196"/>
    <mergeCell ref="G275:J275"/>
    <mergeCell ref="K275:N275"/>
    <mergeCell ref="K253:N253"/>
    <mergeCell ref="G253:J253"/>
    <mergeCell ref="G218:J218"/>
    <mergeCell ref="O218:R218"/>
    <mergeCell ref="S275:V275"/>
    <mergeCell ref="AA275:AD275"/>
    <mergeCell ref="W253:Z253"/>
    <mergeCell ref="AA253:AD253"/>
    <mergeCell ref="W275:Z275"/>
    <mergeCell ref="S253:V253"/>
    <mergeCell ref="C251:F251"/>
    <mergeCell ref="C216:F216"/>
    <mergeCell ref="C194:F194"/>
    <mergeCell ref="G139:J139"/>
    <mergeCell ref="G161:J161"/>
    <mergeCell ref="O161:R161"/>
    <mergeCell ref="K161:N161"/>
    <mergeCell ref="AA122:AD122"/>
    <mergeCell ref="W161:Z161"/>
    <mergeCell ref="O139:R139"/>
    <mergeCell ref="K196:N196"/>
    <mergeCell ref="S196:V196"/>
    <mergeCell ref="O122:R122"/>
    <mergeCell ref="W139:Z139"/>
    <mergeCell ref="K139:N139"/>
    <mergeCell ref="S139:V139"/>
    <mergeCell ref="W122:Z122"/>
    <mergeCell ref="AA196:AD196"/>
    <mergeCell ref="W196:Z196"/>
    <mergeCell ref="AA139:AD139"/>
    <mergeCell ref="AA161:AD161"/>
    <mergeCell ref="C97:F97"/>
    <mergeCell ref="C56:F56"/>
    <mergeCell ref="O58:R58"/>
    <mergeCell ref="G58:J58"/>
    <mergeCell ref="K58:N58"/>
    <mergeCell ref="W58:Z58"/>
    <mergeCell ref="C137:F137"/>
    <mergeCell ref="S161:V161"/>
    <mergeCell ref="W99:Z99"/>
    <mergeCell ref="S122:V122"/>
    <mergeCell ref="S99:V99"/>
    <mergeCell ref="G122:J122"/>
    <mergeCell ref="K122:N122"/>
    <mergeCell ref="C120:F120"/>
    <mergeCell ref="O99:R99"/>
    <mergeCell ref="G99:J99"/>
    <mergeCell ref="K99:N99"/>
    <mergeCell ref="S58:V58"/>
    <mergeCell ref="C159:F159"/>
    <mergeCell ref="C37:F37"/>
    <mergeCell ref="AI39:AL39"/>
    <mergeCell ref="O39:R39"/>
    <mergeCell ref="O4:R4"/>
    <mergeCell ref="AA20:AD20"/>
    <mergeCell ref="W20:Z20"/>
    <mergeCell ref="AA39:AD39"/>
    <mergeCell ref="S39:V39"/>
    <mergeCell ref="W39:Z39"/>
    <mergeCell ref="G39:J39"/>
    <mergeCell ref="C4:F4"/>
    <mergeCell ref="G4:J4"/>
    <mergeCell ref="K4:N4"/>
    <mergeCell ref="C18:F18"/>
    <mergeCell ref="AA4:AD4"/>
    <mergeCell ref="S4:V4"/>
    <mergeCell ref="W4:Z4"/>
    <mergeCell ref="O20:R20"/>
    <mergeCell ref="S20:V20"/>
    <mergeCell ref="K20:N20"/>
    <mergeCell ref="G20:J20"/>
    <mergeCell ref="K39:N39"/>
    <mergeCell ref="AI4:AL4"/>
    <mergeCell ref="AE4:AH4"/>
    <mergeCell ref="AA99:AD99"/>
    <mergeCell ref="AM39:AP39"/>
    <mergeCell ref="AM20:AP20"/>
    <mergeCell ref="AI20:AL20"/>
    <mergeCell ref="AM99:AP99"/>
    <mergeCell ref="AA58:AD58"/>
    <mergeCell ref="AI58:AL58"/>
    <mergeCell ref="CE4:CH4"/>
    <mergeCell ref="CE20:CH20"/>
    <mergeCell ref="CE39:CH39"/>
    <mergeCell ref="CE58:CH58"/>
    <mergeCell ref="CE99:CH99"/>
    <mergeCell ref="BC4:BF4"/>
    <mergeCell ref="AY58:BB58"/>
    <mergeCell ref="BG20:BJ20"/>
    <mergeCell ref="BG4:BJ4"/>
    <mergeCell ref="BG39:BJ39"/>
    <mergeCell ref="AY4:BB4"/>
    <mergeCell ref="AY39:BB39"/>
    <mergeCell ref="BC20:BF20"/>
    <mergeCell ref="CA4:CD4"/>
    <mergeCell ref="BW4:BZ4"/>
    <mergeCell ref="BW39:BZ39"/>
    <mergeCell ref="BS4:BV4"/>
    <mergeCell ref="CE122:CH122"/>
    <mergeCell ref="CE139:CH139"/>
    <mergeCell ref="CE161:CH161"/>
    <mergeCell ref="CE196:CH196"/>
    <mergeCell ref="CE218:CH218"/>
    <mergeCell ref="CE253:CH253"/>
    <mergeCell ref="CE275:CH275"/>
    <mergeCell ref="CU4:CX4"/>
    <mergeCell ref="CU20:CX20"/>
    <mergeCell ref="CU39:CX39"/>
    <mergeCell ref="CU58:CX58"/>
    <mergeCell ref="CU99:CX99"/>
    <mergeCell ref="CU122:CX122"/>
    <mergeCell ref="CU139:CX139"/>
    <mergeCell ref="CU161:CX161"/>
    <mergeCell ref="CU196:CX196"/>
    <mergeCell ref="CU218:CX218"/>
    <mergeCell ref="CU253:CX253"/>
    <mergeCell ref="CU275:CX275"/>
    <mergeCell ref="CI139:CL139"/>
    <mergeCell ref="CI161:CL161"/>
    <mergeCell ref="CI196:CL196"/>
    <mergeCell ref="CI218:CL218"/>
    <mergeCell ref="CI253:CL253"/>
  </mergeCells>
  <phoneticPr fontId="60" type="noConversion"/>
  <dataValidations disablePrompts="1" count="1">
    <dataValidation type="list" allowBlank="1" showInputMessage="1" showErrorMessage="1" sqref="F170 F241 F227 F184 F87 F70">
      <formula1>$A$1:$A$2</formula1>
    </dataValidation>
  </dataValidations>
  <pageMargins left="0.75" right="0.75" top="1" bottom="1" header="0.5" footer="0.5"/>
  <pageSetup paperSize="9" scale="10"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enableFormatConditionsCalculation="0">
    <tabColor indexed="42"/>
  </sheetPr>
  <dimension ref="A1:N354"/>
  <sheetViews>
    <sheetView showGridLines="0" topLeftCell="A175" zoomScale="108" workbookViewId="0">
      <selection activeCell="T361" sqref="T361"/>
    </sheetView>
  </sheetViews>
  <sheetFormatPr defaultRowHeight="12.75"/>
  <sheetData>
    <row r="1" spans="1:14">
      <c r="A1" s="1503"/>
      <c r="B1" s="1503"/>
      <c r="C1" s="1503"/>
      <c r="D1" s="1503"/>
      <c r="E1" s="1503"/>
      <c r="F1" s="1503"/>
      <c r="G1" s="1503"/>
      <c r="H1" s="1503"/>
      <c r="I1" s="1503"/>
      <c r="J1" s="1503"/>
      <c r="K1" s="1503"/>
      <c r="L1" s="1503"/>
      <c r="M1" s="1503"/>
      <c r="N1" s="1503"/>
    </row>
    <row r="2" spans="1:14" ht="18">
      <c r="A2" s="1504" t="s">
        <v>876</v>
      </c>
      <c r="B2" s="1503"/>
      <c r="C2" s="1503"/>
      <c r="D2" s="1503"/>
      <c r="E2" s="1503"/>
      <c r="F2" s="1503"/>
      <c r="G2" s="1503"/>
      <c r="H2" s="1503"/>
      <c r="I2" s="1503"/>
      <c r="J2" s="1503"/>
      <c r="K2" s="1503"/>
      <c r="L2" s="1503"/>
      <c r="M2" s="1503"/>
      <c r="N2" s="1503"/>
    </row>
    <row r="3" spans="1:14">
      <c r="A3" s="1503"/>
      <c r="B3" s="1503"/>
      <c r="C3" s="1503"/>
      <c r="D3" s="1503"/>
      <c r="E3" s="1503"/>
      <c r="F3" s="1503"/>
      <c r="G3" s="1503"/>
      <c r="H3" s="1503"/>
      <c r="I3" s="1503"/>
      <c r="J3" s="1503"/>
      <c r="K3" s="1503"/>
      <c r="L3" s="1503"/>
      <c r="M3" s="1503"/>
      <c r="N3" s="1503"/>
    </row>
    <row r="40" spans="1:14">
      <c r="A40" s="1503"/>
      <c r="B40" s="1503"/>
      <c r="C40" s="1503"/>
      <c r="D40" s="1503"/>
      <c r="E40" s="1503"/>
      <c r="F40" s="1503"/>
      <c r="G40" s="1503"/>
      <c r="H40" s="1503"/>
      <c r="I40" s="1503"/>
      <c r="J40" s="1503"/>
      <c r="K40" s="1503"/>
      <c r="L40" s="1503"/>
      <c r="M40" s="1503"/>
      <c r="N40" s="1503"/>
    </row>
    <row r="41" spans="1:14" ht="18">
      <c r="A41" s="1504" t="s">
        <v>1674</v>
      </c>
      <c r="B41" s="1503"/>
      <c r="C41" s="1503"/>
      <c r="D41" s="1503"/>
      <c r="E41" s="1503"/>
      <c r="F41" s="1503"/>
      <c r="G41" s="1503"/>
      <c r="H41" s="1503"/>
      <c r="I41" s="1503"/>
      <c r="J41" s="1503"/>
      <c r="K41" s="1503"/>
      <c r="L41" s="1503"/>
      <c r="M41" s="1503"/>
      <c r="N41" s="1503"/>
    </row>
    <row r="42" spans="1:14">
      <c r="A42" s="1503"/>
      <c r="B42" s="1503"/>
      <c r="C42" s="1503"/>
      <c r="D42" s="1503"/>
      <c r="E42" s="1503"/>
      <c r="F42" s="1503"/>
      <c r="G42" s="1503"/>
      <c r="H42" s="1503"/>
      <c r="I42" s="1503"/>
      <c r="J42" s="1503"/>
      <c r="K42" s="1503"/>
      <c r="L42" s="1503"/>
      <c r="M42" s="1503"/>
      <c r="N42" s="1503"/>
    </row>
    <row r="79" spans="1:14">
      <c r="A79" s="1503"/>
      <c r="B79" s="1503"/>
      <c r="C79" s="1503"/>
      <c r="D79" s="1503"/>
      <c r="E79" s="1503"/>
      <c r="F79" s="1503"/>
      <c r="G79" s="1503"/>
      <c r="H79" s="1503"/>
      <c r="I79" s="1503"/>
      <c r="J79" s="1503"/>
      <c r="K79" s="1503"/>
      <c r="L79" s="1503"/>
      <c r="M79" s="1503"/>
      <c r="N79" s="1503"/>
    </row>
    <row r="80" spans="1:14" ht="18">
      <c r="A80" s="1504" t="s">
        <v>877</v>
      </c>
      <c r="B80" s="1503"/>
      <c r="C80" s="1503"/>
      <c r="D80" s="1503"/>
      <c r="E80" s="1503"/>
      <c r="F80" s="1503"/>
      <c r="G80" s="1503"/>
      <c r="H80" s="1503"/>
      <c r="I80" s="1503"/>
      <c r="J80" s="1503"/>
      <c r="K80" s="1503"/>
      <c r="L80" s="1503"/>
      <c r="M80" s="1503"/>
      <c r="N80" s="1503"/>
    </row>
    <row r="81" spans="1:14">
      <c r="A81" s="1503"/>
      <c r="B81" s="1503"/>
      <c r="C81" s="1503"/>
      <c r="D81" s="1503"/>
      <c r="E81" s="1503"/>
      <c r="F81" s="1503"/>
      <c r="G81" s="1503"/>
      <c r="H81" s="1503"/>
      <c r="I81" s="1503"/>
      <c r="J81" s="1503"/>
      <c r="K81" s="1503"/>
      <c r="L81" s="1503"/>
      <c r="M81" s="1503"/>
      <c r="N81" s="1503"/>
    </row>
    <row r="118" spans="1:14">
      <c r="A118" s="1503"/>
      <c r="B118" s="1503"/>
      <c r="C118" s="1503"/>
      <c r="D118" s="1503"/>
      <c r="E118" s="1503"/>
      <c r="F118" s="1503"/>
      <c r="G118" s="1503"/>
      <c r="H118" s="1503"/>
      <c r="I118" s="1503"/>
      <c r="J118" s="1503"/>
      <c r="K118" s="1503"/>
      <c r="L118" s="1503"/>
      <c r="M118" s="1503"/>
      <c r="N118" s="1503"/>
    </row>
    <row r="119" spans="1:14" ht="18">
      <c r="A119" s="1504" t="s">
        <v>1666</v>
      </c>
      <c r="B119" s="1503"/>
      <c r="C119" s="1503"/>
      <c r="D119" s="1503"/>
      <c r="E119" s="1503"/>
      <c r="F119" s="1503"/>
      <c r="G119" s="1503"/>
      <c r="H119" s="1503"/>
      <c r="I119" s="1503"/>
      <c r="J119" s="1503"/>
      <c r="K119" s="1503"/>
      <c r="L119" s="1503"/>
      <c r="M119" s="1503"/>
      <c r="N119" s="1503"/>
    </row>
    <row r="120" spans="1:14">
      <c r="A120" s="1503"/>
      <c r="B120" s="1503"/>
      <c r="C120" s="1503"/>
      <c r="D120" s="1503"/>
      <c r="E120" s="1503"/>
      <c r="F120" s="1503"/>
      <c r="G120" s="1503"/>
      <c r="H120" s="1503"/>
      <c r="I120" s="1503"/>
      <c r="J120" s="1503"/>
      <c r="K120" s="1503"/>
      <c r="L120" s="1503"/>
      <c r="M120" s="1503"/>
      <c r="N120" s="1503"/>
    </row>
    <row r="157" spans="1:14">
      <c r="A157" s="1503"/>
      <c r="B157" s="1503"/>
      <c r="C157" s="1503"/>
      <c r="D157" s="1503"/>
      <c r="E157" s="1503"/>
      <c r="F157" s="1503"/>
      <c r="G157" s="1503"/>
      <c r="H157" s="1503"/>
      <c r="I157" s="1503"/>
      <c r="J157" s="1503"/>
      <c r="K157" s="1503"/>
      <c r="L157" s="1503"/>
      <c r="M157" s="1503"/>
      <c r="N157" s="1503"/>
    </row>
    <row r="158" spans="1:14" ht="18">
      <c r="A158" s="1504" t="s">
        <v>1667</v>
      </c>
      <c r="B158" s="1503"/>
      <c r="C158" s="1503"/>
      <c r="D158" s="1503"/>
      <c r="E158" s="1503"/>
      <c r="F158" s="1503"/>
      <c r="G158" s="1503"/>
      <c r="H158" s="1503"/>
      <c r="I158" s="1503"/>
      <c r="J158" s="1503"/>
      <c r="K158" s="1503"/>
      <c r="L158" s="1503"/>
      <c r="M158" s="1503"/>
      <c r="N158" s="1503"/>
    </row>
    <row r="159" spans="1:14">
      <c r="A159" s="1503"/>
      <c r="B159" s="1503"/>
      <c r="C159" s="1503"/>
      <c r="D159" s="1503"/>
      <c r="E159" s="1503"/>
      <c r="F159" s="1503"/>
      <c r="G159" s="1503"/>
      <c r="H159" s="1503"/>
      <c r="I159" s="1503"/>
      <c r="J159" s="1503"/>
      <c r="K159" s="1503"/>
      <c r="L159" s="1503"/>
      <c r="M159" s="1503"/>
      <c r="N159" s="1503"/>
    </row>
    <row r="196" spans="1:14">
      <c r="A196" s="1503"/>
      <c r="B196" s="1503"/>
      <c r="C196" s="1503"/>
      <c r="D196" s="1503"/>
      <c r="E196" s="1503"/>
      <c r="F196" s="1503"/>
      <c r="G196" s="1503"/>
      <c r="H196" s="1503"/>
      <c r="I196" s="1503"/>
      <c r="J196" s="1503"/>
      <c r="K196" s="1503"/>
      <c r="L196" s="1503"/>
      <c r="M196" s="1503"/>
      <c r="N196" s="1503"/>
    </row>
    <row r="197" spans="1:14" ht="18">
      <c r="A197" s="1504" t="s">
        <v>1668</v>
      </c>
      <c r="B197" s="1503"/>
      <c r="C197" s="1503"/>
      <c r="D197" s="1503"/>
      <c r="E197" s="1503"/>
      <c r="F197" s="1503"/>
      <c r="G197" s="1503"/>
      <c r="H197" s="1503"/>
      <c r="I197" s="1503"/>
      <c r="J197" s="1503"/>
      <c r="K197" s="1503"/>
      <c r="L197" s="1503"/>
      <c r="M197" s="1503"/>
      <c r="N197" s="1503"/>
    </row>
    <row r="198" spans="1:14">
      <c r="A198" s="1503"/>
      <c r="B198" s="1503"/>
      <c r="C198" s="1503"/>
      <c r="D198" s="1503"/>
      <c r="E198" s="1503"/>
      <c r="F198" s="1503"/>
      <c r="G198" s="1503"/>
      <c r="H198" s="1503"/>
      <c r="I198" s="1503"/>
      <c r="J198" s="1503"/>
      <c r="K198" s="1503"/>
      <c r="L198" s="1503"/>
      <c r="M198" s="1503"/>
      <c r="N198" s="1503"/>
    </row>
    <row r="235" spans="1:14">
      <c r="A235" s="1503"/>
      <c r="B235" s="1503"/>
      <c r="C235" s="1503"/>
      <c r="D235" s="1503"/>
      <c r="E235" s="1503"/>
      <c r="F235" s="1503"/>
      <c r="G235" s="1503"/>
      <c r="H235" s="1503"/>
      <c r="I235" s="1503"/>
      <c r="J235" s="1503"/>
      <c r="K235" s="1503"/>
      <c r="L235" s="1503"/>
      <c r="M235" s="1503"/>
      <c r="N235" s="1503"/>
    </row>
    <row r="236" spans="1:14" ht="18">
      <c r="A236" s="1504" t="s">
        <v>1669</v>
      </c>
      <c r="B236" s="1503"/>
      <c r="C236" s="1503"/>
      <c r="D236" s="1503"/>
      <c r="E236" s="1503"/>
      <c r="F236" s="1503"/>
      <c r="G236" s="1503"/>
      <c r="H236" s="1503"/>
      <c r="I236" s="1503"/>
      <c r="J236" s="1503"/>
      <c r="K236" s="1503"/>
      <c r="L236" s="1503"/>
      <c r="M236" s="1503"/>
      <c r="N236" s="1503"/>
    </row>
    <row r="237" spans="1:14">
      <c r="A237" s="1503"/>
      <c r="B237" s="1503"/>
      <c r="C237" s="1503"/>
      <c r="D237" s="1503"/>
      <c r="E237" s="1503"/>
      <c r="F237" s="1503"/>
      <c r="G237" s="1503"/>
      <c r="H237" s="1503"/>
      <c r="I237" s="1503"/>
      <c r="J237" s="1503"/>
      <c r="K237" s="1503"/>
      <c r="L237" s="1503"/>
      <c r="M237" s="1503"/>
      <c r="N237" s="1503"/>
    </row>
    <row r="274" spans="1:14">
      <c r="A274" s="1503"/>
      <c r="B274" s="1503"/>
      <c r="C274" s="1503"/>
      <c r="D274" s="1503"/>
      <c r="E274" s="1503"/>
      <c r="F274" s="1503"/>
      <c r="G274" s="1503"/>
      <c r="H274" s="1503"/>
      <c r="I274" s="1503"/>
      <c r="J274" s="1503"/>
      <c r="K274" s="1503"/>
      <c r="L274" s="1503"/>
      <c r="M274" s="1503"/>
      <c r="N274" s="1503"/>
    </row>
    <row r="275" spans="1:14" ht="18">
      <c r="A275" s="1504" t="s">
        <v>1670</v>
      </c>
      <c r="B275" s="1503"/>
      <c r="C275" s="1503"/>
      <c r="D275" s="1503"/>
      <c r="E275" s="1503"/>
      <c r="F275" s="1503"/>
      <c r="G275" s="1503"/>
      <c r="H275" s="1503"/>
      <c r="I275" s="1503"/>
      <c r="J275" s="1503"/>
      <c r="K275" s="1503"/>
      <c r="L275" s="1503"/>
      <c r="M275" s="1503"/>
      <c r="N275" s="1503"/>
    </row>
    <row r="276" spans="1:14">
      <c r="A276" s="1503"/>
      <c r="B276" s="1503"/>
      <c r="C276" s="1503"/>
      <c r="D276" s="1503"/>
      <c r="E276" s="1503"/>
      <c r="F276" s="1503"/>
      <c r="G276" s="1503"/>
      <c r="H276" s="1503"/>
      <c r="I276" s="1503"/>
      <c r="J276" s="1503"/>
      <c r="K276" s="1503"/>
      <c r="L276" s="1503"/>
      <c r="M276" s="1503"/>
      <c r="N276" s="1503"/>
    </row>
    <row r="277" spans="1:14" ht="19.5" customHeight="1"/>
    <row r="278" spans="1:14" ht="19.5" customHeight="1"/>
    <row r="279" spans="1:14" ht="19.5" customHeight="1"/>
    <row r="280" spans="1:14" ht="19.5" customHeight="1"/>
    <row r="281" spans="1:14" ht="19.5" customHeight="1"/>
    <row r="282" spans="1:14" ht="19.5" customHeight="1"/>
    <row r="283" spans="1:14" ht="19.5" customHeight="1"/>
    <row r="284" spans="1:14" ht="19.5" customHeight="1"/>
    <row r="285" spans="1:14" ht="19.5" customHeight="1"/>
    <row r="286" spans="1:14" ht="19.5" customHeight="1"/>
    <row r="287" spans="1:14" ht="19.5" customHeight="1"/>
    <row r="288" spans="1:14" ht="19.5" customHeight="1"/>
    <row r="289" ht="19.5" customHeight="1"/>
    <row r="290" ht="19.5" customHeight="1"/>
    <row r="291" ht="19.5" customHeight="1"/>
    <row r="292" ht="19.5" customHeight="1"/>
    <row r="293" ht="19.5" customHeight="1"/>
    <row r="294" ht="19.5" customHeight="1"/>
    <row r="313" spans="1:14">
      <c r="A313" s="1503"/>
      <c r="B313" s="1503"/>
      <c r="C313" s="1503"/>
      <c r="D313" s="1503"/>
      <c r="E313" s="1503"/>
      <c r="F313" s="1503"/>
      <c r="G313" s="1503"/>
      <c r="H313" s="1503"/>
      <c r="I313" s="1503"/>
      <c r="J313" s="1503"/>
      <c r="K313" s="1503"/>
      <c r="L313" s="1503"/>
      <c r="M313" s="1503"/>
      <c r="N313" s="1503"/>
    </row>
    <row r="314" spans="1:14" ht="18">
      <c r="A314" s="1504" t="s">
        <v>1671</v>
      </c>
      <c r="B314" s="1503"/>
      <c r="C314" s="1503"/>
      <c r="D314" s="1503"/>
      <c r="E314" s="1503"/>
      <c r="F314" s="1503"/>
      <c r="G314" s="1503"/>
      <c r="H314" s="1503"/>
      <c r="I314" s="1503"/>
      <c r="J314" s="1503"/>
      <c r="K314" s="1503"/>
      <c r="L314" s="1503"/>
      <c r="M314" s="1503"/>
      <c r="N314" s="1503"/>
    </row>
    <row r="315" spans="1:14">
      <c r="A315" s="1503"/>
      <c r="B315" s="1503"/>
      <c r="C315" s="1503"/>
      <c r="D315" s="1503"/>
      <c r="E315" s="1503"/>
      <c r="F315" s="1503"/>
      <c r="G315" s="1503"/>
      <c r="H315" s="1503"/>
      <c r="I315" s="1503"/>
      <c r="J315" s="1503"/>
      <c r="K315" s="1503"/>
      <c r="L315" s="1503"/>
      <c r="M315" s="1503"/>
      <c r="N315" s="1503"/>
    </row>
    <row r="352" spans="1:14">
      <c r="A352" s="1503"/>
      <c r="B352" s="1503"/>
      <c r="C352" s="1503"/>
      <c r="D352" s="1503"/>
      <c r="E352" s="1503"/>
      <c r="F352" s="1503"/>
      <c r="G352" s="1503"/>
      <c r="H352" s="1503"/>
      <c r="I352" s="1503"/>
      <c r="J352" s="1503"/>
      <c r="K352" s="1503"/>
      <c r="L352" s="1503"/>
      <c r="M352" s="1503"/>
      <c r="N352" s="1503"/>
    </row>
    <row r="353" spans="1:14" ht="18">
      <c r="A353" s="1504" t="s">
        <v>1611</v>
      </c>
      <c r="B353" s="1503"/>
      <c r="C353" s="1503"/>
      <c r="D353" s="1503"/>
      <c r="E353" s="1503"/>
      <c r="F353" s="1503"/>
      <c r="G353" s="1503"/>
      <c r="H353" s="1503"/>
      <c r="I353" s="1503"/>
      <c r="J353" s="1503"/>
      <c r="K353" s="1503"/>
      <c r="L353" s="1503"/>
      <c r="M353" s="1503"/>
      <c r="N353" s="1503"/>
    </row>
    <row r="354" spans="1:14">
      <c r="A354" s="1503"/>
      <c r="B354" s="1503"/>
      <c r="C354" s="1503"/>
      <c r="D354" s="1503"/>
      <c r="E354" s="1503"/>
      <c r="F354" s="1503"/>
      <c r="G354" s="1503"/>
      <c r="H354" s="1503"/>
      <c r="I354" s="1503"/>
      <c r="J354" s="1503"/>
      <c r="K354" s="1503"/>
      <c r="L354" s="1503"/>
      <c r="M354" s="1503"/>
      <c r="N354" s="1503"/>
    </row>
  </sheetData>
  <phoneticPr fontId="60" type="noConversion"/>
  <pageMargins left="0.75" right="0.75" top="1" bottom="1" header="0.5" footer="0.5"/>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J42"/>
  <sheetViews>
    <sheetView workbookViewId="0">
      <selection activeCell="CC4" sqref="CC4"/>
    </sheetView>
  </sheetViews>
  <sheetFormatPr defaultRowHeight="12.75"/>
  <cols>
    <col min="3" max="3" width="73.140625" bestFit="1" customWidth="1"/>
    <col min="4" max="75" width="0" hidden="1" customWidth="1"/>
  </cols>
  <sheetData>
    <row r="1" spans="1:88">
      <c r="A1" s="3218" t="s">
        <v>2425</v>
      </c>
    </row>
    <row r="2" spans="1:88">
      <c r="A2" s="3751" t="s">
        <v>1713</v>
      </c>
      <c r="B2" s="3751"/>
      <c r="C2" s="3751"/>
      <c r="D2" s="3751">
        <v>1995</v>
      </c>
      <c r="E2" s="3751"/>
      <c r="F2" s="3751"/>
      <c r="G2" s="3751"/>
      <c r="H2" s="3751">
        <v>1996</v>
      </c>
      <c r="I2" s="3751"/>
      <c r="J2" s="3751"/>
      <c r="K2" s="3751"/>
      <c r="L2" s="3751">
        <v>1997</v>
      </c>
      <c r="M2" s="3751"/>
      <c r="N2" s="3751"/>
      <c r="O2" s="3751"/>
      <c r="P2" s="3751">
        <v>1998</v>
      </c>
      <c r="Q2" s="3751"/>
      <c r="R2" s="3751"/>
      <c r="S2" s="3751"/>
      <c r="T2" s="3751">
        <v>1999</v>
      </c>
      <c r="U2" s="3751"/>
      <c r="V2" s="3751"/>
      <c r="W2" s="3751"/>
      <c r="X2" s="3751">
        <v>2000</v>
      </c>
      <c r="Y2" s="3751"/>
      <c r="Z2" s="3751"/>
      <c r="AA2" s="3751"/>
      <c r="AB2" s="3751">
        <v>2001</v>
      </c>
      <c r="AC2" s="3751"/>
      <c r="AD2" s="3751"/>
      <c r="AE2" s="3751"/>
      <c r="AF2" s="3751">
        <v>2002</v>
      </c>
      <c r="AG2" s="3751"/>
      <c r="AH2" s="3751"/>
      <c r="AI2" s="3751"/>
      <c r="AJ2" s="3751">
        <v>2003</v>
      </c>
      <c r="AK2" s="3751"/>
      <c r="AL2" s="3751"/>
      <c r="AM2" s="3751"/>
      <c r="AN2" s="3751">
        <v>2004</v>
      </c>
      <c r="AO2" s="3751"/>
      <c r="AP2" s="3751"/>
      <c r="AQ2" s="3751"/>
      <c r="AR2" s="3751">
        <v>2005</v>
      </c>
      <c r="AS2" s="3751"/>
      <c r="AT2" s="3751"/>
      <c r="AU2" s="3751"/>
      <c r="AV2" s="3751">
        <v>2006</v>
      </c>
      <c r="AW2" s="3751"/>
      <c r="AX2" s="3751"/>
      <c r="AY2" s="3751"/>
      <c r="AZ2" s="3751">
        <v>2007</v>
      </c>
      <c r="BA2" s="3751"/>
      <c r="BB2" s="3751"/>
      <c r="BC2" s="3751"/>
      <c r="BD2" s="3751">
        <v>2008</v>
      </c>
      <c r="BE2" s="3751"/>
      <c r="BF2" s="3751"/>
      <c r="BG2" s="3751"/>
      <c r="BH2" s="3751">
        <v>2009</v>
      </c>
      <c r="BI2" s="3751"/>
      <c r="BJ2" s="3751"/>
      <c r="BK2" s="3751"/>
      <c r="BL2" s="3751">
        <v>2010</v>
      </c>
      <c r="BM2" s="3751"/>
      <c r="BN2" s="3751"/>
      <c r="BO2" s="3751"/>
      <c r="BP2" s="3751">
        <v>2011</v>
      </c>
      <c r="BQ2" s="3751"/>
      <c r="BR2" s="3751"/>
      <c r="BS2" s="3751"/>
      <c r="BT2" s="3751">
        <v>2012</v>
      </c>
      <c r="BU2" s="3751"/>
      <c r="BV2" s="3751"/>
      <c r="BW2" s="3751"/>
      <c r="BX2" s="3751">
        <v>2013</v>
      </c>
      <c r="BY2" s="3751"/>
      <c r="BZ2" s="3751"/>
      <c r="CA2" s="3751"/>
      <c r="CB2" s="3751">
        <v>2014</v>
      </c>
      <c r="CC2" s="3751"/>
      <c r="CD2" s="3751"/>
      <c r="CE2" s="3751"/>
      <c r="CG2" s="3751" t="s">
        <v>2428</v>
      </c>
      <c r="CH2" s="3751"/>
      <c r="CI2" s="3751"/>
      <c r="CJ2" s="3751"/>
    </row>
    <row r="3" spans="1:88">
      <c r="A3" s="1553"/>
      <c r="B3" s="742"/>
      <c r="C3" s="743" t="s">
        <v>917</v>
      </c>
      <c r="D3" s="1578" t="s">
        <v>1842</v>
      </c>
      <c r="E3" s="1579" t="s">
        <v>1843</v>
      </c>
      <c r="F3" s="1579" t="s">
        <v>1844</v>
      </c>
      <c r="G3" s="1580" t="s">
        <v>1845</v>
      </c>
      <c r="H3" s="1578" t="s">
        <v>1842</v>
      </c>
      <c r="I3" s="1579" t="s">
        <v>1843</v>
      </c>
      <c r="J3" s="1579" t="s">
        <v>1844</v>
      </c>
      <c r="K3" s="1580" t="s">
        <v>1845</v>
      </c>
      <c r="L3" s="1578" t="s">
        <v>1842</v>
      </c>
      <c r="M3" s="1579" t="s">
        <v>1843</v>
      </c>
      <c r="N3" s="1579" t="s">
        <v>1844</v>
      </c>
      <c r="O3" s="1580" t="s">
        <v>1845</v>
      </c>
      <c r="P3" s="1578" t="s">
        <v>1842</v>
      </c>
      <c r="Q3" s="1579" t="s">
        <v>1843</v>
      </c>
      <c r="R3" s="1579" t="s">
        <v>1844</v>
      </c>
      <c r="S3" s="1580" t="s">
        <v>1845</v>
      </c>
      <c r="T3" s="1578" t="s">
        <v>1842</v>
      </c>
      <c r="U3" s="1579" t="s">
        <v>1843</v>
      </c>
      <c r="V3" s="1579" t="s">
        <v>1844</v>
      </c>
      <c r="W3" s="1580" t="s">
        <v>1845</v>
      </c>
      <c r="X3" s="1578" t="s">
        <v>1842</v>
      </c>
      <c r="Y3" s="1579" t="s">
        <v>1843</v>
      </c>
      <c r="Z3" s="1579" t="s">
        <v>1844</v>
      </c>
      <c r="AA3" s="1580" t="s">
        <v>1845</v>
      </c>
      <c r="AB3" s="1578" t="s">
        <v>1842</v>
      </c>
      <c r="AC3" s="1579" t="s">
        <v>1843</v>
      </c>
      <c r="AD3" s="1579" t="s">
        <v>1844</v>
      </c>
      <c r="AE3" s="1580" t="s">
        <v>1845</v>
      </c>
      <c r="AF3" s="1578" t="s">
        <v>1842</v>
      </c>
      <c r="AG3" s="1579" t="s">
        <v>1843</v>
      </c>
      <c r="AH3" s="1579" t="s">
        <v>1844</v>
      </c>
      <c r="AI3" s="1580" t="s">
        <v>1845</v>
      </c>
      <c r="AJ3" s="1578" t="s">
        <v>1842</v>
      </c>
      <c r="AK3" s="1579" t="s">
        <v>1843</v>
      </c>
      <c r="AL3" s="1579" t="s">
        <v>1844</v>
      </c>
      <c r="AM3" s="1580" t="s">
        <v>1845</v>
      </c>
      <c r="AN3" s="1578" t="s">
        <v>1842</v>
      </c>
      <c r="AO3" s="1579" t="s">
        <v>1843</v>
      </c>
      <c r="AP3" s="1579" t="s">
        <v>1844</v>
      </c>
      <c r="AQ3" s="1580" t="s">
        <v>1845</v>
      </c>
      <c r="AR3" s="1578" t="s">
        <v>1842</v>
      </c>
      <c r="AS3" s="1579" t="s">
        <v>1843</v>
      </c>
      <c r="AT3" s="1579" t="s">
        <v>1844</v>
      </c>
      <c r="AU3" s="1580" t="s">
        <v>1845</v>
      </c>
      <c r="AV3" s="1578" t="s">
        <v>1842</v>
      </c>
      <c r="AW3" s="1579" t="s">
        <v>1843</v>
      </c>
      <c r="AX3" s="1579" t="s">
        <v>1844</v>
      </c>
      <c r="AY3" s="1579" t="s">
        <v>1845</v>
      </c>
      <c r="AZ3" s="1579" t="s">
        <v>1842</v>
      </c>
      <c r="BA3" s="1579" t="s">
        <v>1843</v>
      </c>
      <c r="BB3" s="1579" t="s">
        <v>1844</v>
      </c>
      <c r="BC3" s="1579" t="s">
        <v>1845</v>
      </c>
      <c r="BD3" s="1579" t="s">
        <v>1842</v>
      </c>
      <c r="BE3" s="1579" t="s">
        <v>1843</v>
      </c>
      <c r="BF3" s="1579" t="s">
        <v>1844</v>
      </c>
      <c r="BG3" s="1579" t="s">
        <v>1845</v>
      </c>
      <c r="BH3" s="1579" t="s">
        <v>1842</v>
      </c>
      <c r="BI3" s="1579" t="s">
        <v>1843</v>
      </c>
      <c r="BJ3" s="1579" t="s">
        <v>1844</v>
      </c>
      <c r="BK3" s="1579" t="s">
        <v>1845</v>
      </c>
      <c r="BL3" s="1579" t="s">
        <v>1842</v>
      </c>
      <c r="BM3" s="1579" t="s">
        <v>1843</v>
      </c>
      <c r="BN3" s="1579" t="s">
        <v>1844</v>
      </c>
      <c r="BO3" s="1579" t="s">
        <v>1845</v>
      </c>
      <c r="BP3" s="1579" t="s">
        <v>1842</v>
      </c>
      <c r="BQ3" s="1579" t="s">
        <v>1843</v>
      </c>
      <c r="BR3" s="1579" t="s">
        <v>1844</v>
      </c>
      <c r="BS3" s="1579" t="s">
        <v>1845</v>
      </c>
      <c r="BT3" s="1579" t="s">
        <v>1842</v>
      </c>
      <c r="BU3" s="1579" t="s">
        <v>1843</v>
      </c>
      <c r="BV3" s="1579" t="s">
        <v>1844</v>
      </c>
      <c r="BW3" s="1579" t="s">
        <v>1845</v>
      </c>
      <c r="BX3" s="1579" t="s">
        <v>1842</v>
      </c>
      <c r="BY3" s="1579" t="s">
        <v>1843</v>
      </c>
      <c r="BZ3" s="1579" t="s">
        <v>1844</v>
      </c>
      <c r="CA3" s="1579" t="s">
        <v>1845</v>
      </c>
      <c r="CB3" s="1579" t="s">
        <v>1842</v>
      </c>
      <c r="CC3" s="1579" t="s">
        <v>1843</v>
      </c>
      <c r="CD3" s="1579" t="s">
        <v>1844</v>
      </c>
      <c r="CE3" s="1579" t="s">
        <v>1845</v>
      </c>
      <c r="CG3" s="1579" t="s">
        <v>1842</v>
      </c>
      <c r="CH3" s="1579" t="s">
        <v>1843</v>
      </c>
      <c r="CI3" s="1579" t="s">
        <v>1844</v>
      </c>
      <c r="CJ3" s="1579" t="s">
        <v>1845</v>
      </c>
    </row>
    <row r="4" spans="1:88">
      <c r="A4" s="762"/>
      <c r="B4" s="689"/>
      <c r="C4" s="732" t="s">
        <v>1069</v>
      </c>
      <c r="D4" s="2852"/>
      <c r="E4" s="2852">
        <v>2.6037399821905449</v>
      </c>
      <c r="F4" s="2852">
        <v>2.2825105880719398</v>
      </c>
      <c r="G4" s="2852">
        <v>1.6274373377229479</v>
      </c>
      <c r="H4" s="2852">
        <v>1.1238018902581581</v>
      </c>
      <c r="I4" s="2852">
        <v>1.3111180831915981</v>
      </c>
      <c r="J4" s="2852">
        <v>0.19069972128500368</v>
      </c>
      <c r="K4" s="2852">
        <v>3.232471124125591</v>
      </c>
      <c r="L4" s="2852">
        <v>1.6562396583513106</v>
      </c>
      <c r="M4" s="2852">
        <v>-0.17052148570718684</v>
      </c>
      <c r="N4" s="2852">
        <v>2.158452125842425</v>
      </c>
      <c r="O4" s="2852">
        <v>1.7480391560770858</v>
      </c>
      <c r="P4" s="2852">
        <v>1.3475156114613585</v>
      </c>
      <c r="Q4" s="2852">
        <v>-0.83431603773584939</v>
      </c>
      <c r="R4" s="2852">
        <v>3.0502125635461175</v>
      </c>
      <c r="S4" s="2852">
        <v>0.38946427025934316</v>
      </c>
      <c r="T4" s="2852">
        <v>-0.51583424334731287</v>
      </c>
      <c r="U4" s="2852">
        <v>4.4730418706760977</v>
      </c>
      <c r="V4" s="2852">
        <v>1.1032156385655245</v>
      </c>
      <c r="W4" s="2852">
        <v>-0.22014986599570019</v>
      </c>
      <c r="X4" s="2852">
        <v>1.9062367241780676</v>
      </c>
      <c r="Y4" s="2852">
        <v>3.1239073720448651</v>
      </c>
      <c r="Z4" s="2852">
        <v>0.9063050140184048</v>
      </c>
      <c r="AA4" s="2852">
        <v>1.1178599121219879</v>
      </c>
      <c r="AB4" s="2852">
        <v>2.1701067160841081</v>
      </c>
      <c r="AC4" s="2852">
        <v>-1.4860588169070654</v>
      </c>
      <c r="AD4" s="2852">
        <v>1.8182972509682038</v>
      </c>
      <c r="AE4" s="2852">
        <v>1.9903475625724809</v>
      </c>
      <c r="AF4" s="2852">
        <v>2.0334299304256342</v>
      </c>
      <c r="AG4" s="2852">
        <v>1.1624283968075133</v>
      </c>
      <c r="AH4" s="2852">
        <v>1.3172858225928508</v>
      </c>
      <c r="AI4" s="2852">
        <v>1.778364979889635</v>
      </c>
      <c r="AJ4" s="2852">
        <v>5.3751335454743865</v>
      </c>
      <c r="AK4" s="2852">
        <v>2.0462672248386715</v>
      </c>
      <c r="AL4" s="2852">
        <v>1.04054270605205</v>
      </c>
      <c r="AM4" s="2852">
        <v>4.4111272058279472</v>
      </c>
      <c r="AN4" s="2852">
        <v>1.890613765936533</v>
      </c>
      <c r="AO4" s="2852">
        <v>3.5739132163231213</v>
      </c>
      <c r="AP4" s="2852">
        <v>3.2826683554992631</v>
      </c>
      <c r="AQ4" s="2852">
        <v>1.3499326427277136</v>
      </c>
      <c r="AR4" s="2852">
        <v>34.575893223819335</v>
      </c>
      <c r="AS4" s="2852">
        <v>2.9234677077943472</v>
      </c>
      <c r="AT4" s="2852">
        <v>1.1379995886748429</v>
      </c>
      <c r="AU4" s="2852">
        <v>4.0624505750243012</v>
      </c>
      <c r="AV4" s="2852">
        <v>-1.2397681134246552</v>
      </c>
      <c r="AW4" s="2852">
        <v>3.686848700699108</v>
      </c>
      <c r="AX4" s="2852">
        <v>5.811759218031054</v>
      </c>
      <c r="AY4" s="2852">
        <v>0.37071176659186911</v>
      </c>
      <c r="AZ4" s="2852">
        <v>4.5219509273493053</v>
      </c>
      <c r="BA4" s="2852">
        <v>2.4353440042785834</v>
      </c>
      <c r="BB4" s="2852">
        <v>0.33563929963265071</v>
      </c>
      <c r="BC4" s="2852">
        <v>5.460053150959876</v>
      </c>
      <c r="BD4" s="2852">
        <v>-4.0530776957370396E-2</v>
      </c>
      <c r="BE4" s="2852">
        <v>0.40370918835062053</v>
      </c>
      <c r="BF4" s="2852">
        <v>-1.987603813670924</v>
      </c>
      <c r="BG4" s="2852">
        <v>-2.2679636695867256</v>
      </c>
      <c r="BH4" s="2852">
        <v>-11.558977178993679</v>
      </c>
      <c r="BI4" s="2852">
        <v>-2.068436651536798</v>
      </c>
      <c r="BJ4" s="2852">
        <v>-2.2052443334532712</v>
      </c>
      <c r="BK4" s="2852">
        <v>-4.3844272760717455</v>
      </c>
      <c r="BL4" s="2852">
        <v>0.79442319444127385</v>
      </c>
      <c r="BM4" s="2852">
        <v>-0.77468900166164367</v>
      </c>
      <c r="BN4" s="2852">
        <v>2.6975039036864379</v>
      </c>
      <c r="BO4" s="2852">
        <v>0.51563429629140067</v>
      </c>
      <c r="BP4" s="2852">
        <v>0.89444261756002064</v>
      </c>
      <c r="BQ4" s="2852">
        <v>1.3449796840709904</v>
      </c>
      <c r="BR4" s="2852">
        <v>1.0569872646970513</v>
      </c>
      <c r="BS4" s="2852">
        <v>2.0706481383260922</v>
      </c>
      <c r="BT4" s="2852">
        <v>0.24526615534907759</v>
      </c>
      <c r="BU4" s="2852">
        <v>-3.524850193865614E-2</v>
      </c>
      <c r="BV4" s="2852">
        <v>-0.29038413672944907</v>
      </c>
      <c r="BW4" s="2852">
        <v>2.3776834747878173</v>
      </c>
      <c r="BX4" s="2852">
        <v>0.9021639743980403</v>
      </c>
      <c r="BY4" s="2852">
        <v>0.84778187236957958</v>
      </c>
      <c r="BZ4" s="2852">
        <v>3.0331469648562148</v>
      </c>
      <c r="CA4" s="2852">
        <v>-0.28101319793019108</v>
      </c>
      <c r="CB4" s="2852">
        <v>1.9318225988261606</v>
      </c>
      <c r="CC4" s="2852">
        <v>1.5558267236119416</v>
      </c>
      <c r="CD4" s="2852">
        <v>0.90680384499850497</v>
      </c>
      <c r="CE4" s="2852">
        <v>1.7191657208774469</v>
      </c>
      <c r="CH4" s="3194">
        <f>0.25*CC4</f>
        <v>0.38895668090298541</v>
      </c>
      <c r="CI4" s="3194">
        <f>0.5*CD4+0.25*CC4</f>
        <v>0.84235860340223789</v>
      </c>
      <c r="CJ4" s="3194">
        <f t="shared" ref="CJ4:CJ13" si="0">0.75*CE4+0.5*CD4+0.25*CC4</f>
        <v>2.1317328940603231</v>
      </c>
    </row>
    <row r="5" spans="1:88">
      <c r="A5" s="932"/>
      <c r="B5" s="674"/>
      <c r="C5" s="220" t="s">
        <v>1846</v>
      </c>
      <c r="D5" s="2853"/>
      <c r="E5" s="2853">
        <v>-0.23001521639123279</v>
      </c>
      <c r="F5" s="2853">
        <v>0.18443640490883872</v>
      </c>
      <c r="G5" s="2853">
        <v>0.84967783048928158</v>
      </c>
      <c r="H5" s="2853">
        <v>-1.2883521729972536</v>
      </c>
      <c r="I5" s="2853">
        <v>-9.9576798605927053E-2</v>
      </c>
      <c r="J5" s="2853">
        <v>1.39190488056673</v>
      </c>
      <c r="K5" s="2853">
        <v>-0.9830770311073711</v>
      </c>
      <c r="L5" s="2853">
        <v>0.92901212679952216</v>
      </c>
      <c r="M5" s="2853">
        <v>2.7086846543001863</v>
      </c>
      <c r="N5" s="2853">
        <v>0.71147597058320855</v>
      </c>
      <c r="O5" s="2853">
        <v>-0.50945895459022505</v>
      </c>
      <c r="P5" s="2853">
        <v>3.7278530706994717</v>
      </c>
      <c r="Q5" s="2853">
        <v>0.10860622017443422</v>
      </c>
      <c r="R5" s="2853">
        <v>0.12163850351765149</v>
      </c>
      <c r="S5" s="2853">
        <v>1.1919225086192808</v>
      </c>
      <c r="T5" s="2853">
        <v>-3.8484002855474264</v>
      </c>
      <c r="U5" s="2853">
        <v>-0.60070194384448383</v>
      </c>
      <c r="V5" s="2853">
        <v>-1.8673185305900675</v>
      </c>
      <c r="W5" s="2853">
        <v>-8.3033490174366786E-2</v>
      </c>
      <c r="X5" s="2853">
        <v>2.1087257617728561</v>
      </c>
      <c r="Y5" s="2853">
        <v>-0.96307097561804111</v>
      </c>
      <c r="Z5" s="2853">
        <v>0.34240712206814461</v>
      </c>
      <c r="AA5" s="2853">
        <v>0.45384746630268147</v>
      </c>
      <c r="AB5" s="2853">
        <v>0.46198790678715351</v>
      </c>
      <c r="AC5" s="2853">
        <v>0.29755866639615824</v>
      </c>
      <c r="AD5" s="2853">
        <v>-0.16182320814509543</v>
      </c>
      <c r="AE5" s="2853">
        <v>0.21273721888295238</v>
      </c>
      <c r="AF5" s="2853">
        <v>1.533173838325963</v>
      </c>
      <c r="AG5" s="2853">
        <v>-0.34182928448159844</v>
      </c>
      <c r="AH5" s="2853">
        <v>1.9014952212860869</v>
      </c>
      <c r="AI5" s="2853">
        <v>0.27777777777777679</v>
      </c>
      <c r="AJ5" s="2853">
        <v>0.47254358807236052</v>
      </c>
      <c r="AK5" s="2853">
        <v>1.2455400583846865</v>
      </c>
      <c r="AL5" s="2853">
        <v>0.57025693599026539</v>
      </c>
      <c r="AM5" s="2853">
        <v>1.1754587155963447</v>
      </c>
      <c r="AN5" s="2853">
        <v>1.1460596328831008</v>
      </c>
      <c r="AO5" s="2853">
        <v>1.9828793774318898</v>
      </c>
      <c r="AP5" s="2853">
        <v>0.60435870825956695</v>
      </c>
      <c r="AQ5" s="2853">
        <v>0.6280339805825097</v>
      </c>
      <c r="AR5" s="2853">
        <v>44.75588386046374</v>
      </c>
      <c r="AS5" s="2853">
        <v>-0.14383315354189463</v>
      </c>
      <c r="AT5" s="2853">
        <v>-0.12963629816348243</v>
      </c>
      <c r="AU5" s="2853">
        <v>0</v>
      </c>
      <c r="AV5" s="2853">
        <v>0.40383644623926962</v>
      </c>
      <c r="AW5" s="2853">
        <v>0.94088917618331269</v>
      </c>
      <c r="AX5" s="2853">
        <v>1.3021203927707337</v>
      </c>
      <c r="AY5" s="2853">
        <v>0.96930533117931539</v>
      </c>
      <c r="AZ5" s="2853">
        <v>0.58434782608696167</v>
      </c>
      <c r="BA5" s="2853">
        <v>2.7664430458518297E-2</v>
      </c>
      <c r="BB5" s="2853">
        <v>-0.34570974210051952</v>
      </c>
      <c r="BC5" s="2853">
        <v>0</v>
      </c>
      <c r="BD5" s="2853">
        <v>2.7752723235963117E-2</v>
      </c>
      <c r="BE5" s="2853">
        <v>0.28438648817368239</v>
      </c>
      <c r="BF5" s="2853">
        <v>0.41499515838980816</v>
      </c>
      <c r="BG5" s="2853">
        <v>8.2656013224968738E-2</v>
      </c>
      <c r="BH5" s="2853">
        <v>-0.33035099793530254</v>
      </c>
      <c r="BI5" s="2853">
        <v>-0.84933020301063422</v>
      </c>
      <c r="BJ5" s="2853">
        <v>-1.2744620098892767</v>
      </c>
      <c r="BK5" s="2853">
        <v>-1.2133182844243695</v>
      </c>
      <c r="BL5" s="2853">
        <v>-1.0211368180520042</v>
      </c>
      <c r="BM5" s="2853">
        <v>-0.69259072217010553</v>
      </c>
      <c r="BN5" s="2853">
        <v>-0.3196512895023762</v>
      </c>
      <c r="BO5" s="2853">
        <v>-0.14576197070184094</v>
      </c>
      <c r="BP5" s="2853">
        <v>0.11677979709512343</v>
      </c>
      <c r="BQ5" s="2853">
        <v>0.32806007144419169</v>
      </c>
      <c r="BR5" s="2853">
        <v>0.37785205638716235</v>
      </c>
      <c r="BS5" s="2853">
        <v>0.3981468075864969</v>
      </c>
      <c r="BT5" s="2853">
        <v>0.33888528372629789</v>
      </c>
      <c r="BU5" s="2853">
        <v>0.25150905432596016</v>
      </c>
      <c r="BV5" s="2853">
        <v>0.32255752275822669</v>
      </c>
      <c r="BW5" s="2853">
        <v>0.45012860817377209</v>
      </c>
      <c r="BX5" s="2853">
        <v>0.51924034426344967</v>
      </c>
      <c r="BY5" s="2853">
        <v>0.46702519105574769</v>
      </c>
      <c r="BZ5" s="2853">
        <v>0.35920552190449317</v>
      </c>
      <c r="CA5" s="2853">
        <v>0.26668538143028719</v>
      </c>
      <c r="CB5" s="2853">
        <v>0.29397354238118734</v>
      </c>
      <c r="CC5" s="2853">
        <v>0.35592155768022771</v>
      </c>
      <c r="CD5" s="2853">
        <v>0.3755215577190496</v>
      </c>
      <c r="CE5" s="2853">
        <v>0.401829014826105</v>
      </c>
      <c r="CH5" s="3194">
        <f t="shared" ref="CH5:CH42" si="1">0.25*CC5</f>
        <v>8.8980389420056927E-2</v>
      </c>
      <c r="CI5" s="3194">
        <f t="shared" ref="CI5:CI42" si="2">0.5*CD5+0.25*CC5</f>
        <v>0.27674116827958173</v>
      </c>
      <c r="CJ5" s="3194">
        <f t="shared" si="0"/>
        <v>0.57811292939916048</v>
      </c>
    </row>
    <row r="6" spans="1:88">
      <c r="A6" s="932"/>
      <c r="B6" s="674"/>
      <c r="C6" s="220" t="s">
        <v>1067</v>
      </c>
      <c r="D6" s="2853"/>
      <c r="E6" s="2853">
        <v>5.0036845983787881</v>
      </c>
      <c r="F6" s="2853">
        <v>0.65969541722226133</v>
      </c>
      <c r="G6" s="2853">
        <v>8.1572892700271673</v>
      </c>
      <c r="H6" s="2853">
        <v>4.3382969122671478</v>
      </c>
      <c r="I6" s="2853">
        <v>3.4041764487829029</v>
      </c>
      <c r="J6" s="2853">
        <v>3.160662006333248</v>
      </c>
      <c r="K6" s="2853">
        <v>9.359434727209571</v>
      </c>
      <c r="L6" s="2853">
        <v>6.7471666137061792</v>
      </c>
      <c r="M6" s="2853">
        <v>2.4905735264933559</v>
      </c>
      <c r="N6" s="2853">
        <v>8.0114241456094462</v>
      </c>
      <c r="O6" s="2853">
        <v>4.8402276699681668</v>
      </c>
      <c r="P6" s="2853">
        <v>8.0323173598939803</v>
      </c>
      <c r="Q6" s="2853">
        <v>5.729661285216836</v>
      </c>
      <c r="R6" s="2853">
        <v>2.4625748502994149</v>
      </c>
      <c r="S6" s="2853">
        <v>-5.2414347286142249</v>
      </c>
      <c r="T6" s="2853">
        <v>-1.7654087807886576</v>
      </c>
      <c r="U6" s="2853">
        <v>2.9821463606042764</v>
      </c>
      <c r="V6" s="2853">
        <v>-8.6797485235282963</v>
      </c>
      <c r="W6" s="2853">
        <v>-4.8733675470438387</v>
      </c>
      <c r="X6" s="2853">
        <v>-2.1711478573621656</v>
      </c>
      <c r="Y6" s="2853">
        <v>-0.96395265423243615</v>
      </c>
      <c r="Z6" s="2853">
        <v>3.3998822943546836</v>
      </c>
      <c r="AA6" s="2853">
        <v>3.3143607705779177</v>
      </c>
      <c r="AB6" s="2853">
        <v>4.4031020892486339</v>
      </c>
      <c r="AC6" s="2853">
        <v>-2.5937652216268869</v>
      </c>
      <c r="AD6" s="2853">
        <v>2.8503562945368266</v>
      </c>
      <c r="AE6" s="2853">
        <v>21.109355374579629</v>
      </c>
      <c r="AF6" s="2853">
        <v>-6.0185340068917075</v>
      </c>
      <c r="AG6" s="2853">
        <v>-1.5200056955716801</v>
      </c>
      <c r="AH6" s="2853">
        <v>1.5579251762154467</v>
      </c>
      <c r="AI6" s="2853">
        <v>7.1611617312072884</v>
      </c>
      <c r="AJ6" s="2853">
        <v>-0.43842168194501152</v>
      </c>
      <c r="AK6" s="2853">
        <v>6.4518281291700008</v>
      </c>
      <c r="AL6" s="2853">
        <v>2.8611720463804557</v>
      </c>
      <c r="AM6" s="2853">
        <v>2.6810468269201637</v>
      </c>
      <c r="AN6" s="2853">
        <v>4.2755837759249848</v>
      </c>
      <c r="AO6" s="2853">
        <v>4.7917140905986866</v>
      </c>
      <c r="AP6" s="2853">
        <v>1.7486694906049927</v>
      </c>
      <c r="AQ6" s="2853">
        <v>0.14143894107601085</v>
      </c>
      <c r="AR6" s="2853">
        <v>22.120084210526294</v>
      </c>
      <c r="AS6" s="2853">
        <v>-3.5638939119951751</v>
      </c>
      <c r="AT6" s="2853">
        <v>7.6255957496679461</v>
      </c>
      <c r="AU6" s="2853">
        <v>4.3774954627949114</v>
      </c>
      <c r="AV6" s="2853">
        <v>3.5262206148282127</v>
      </c>
      <c r="AW6" s="2853">
        <v>5.4551561975142882</v>
      </c>
      <c r="AX6" s="2853">
        <v>3.6057845448174586</v>
      </c>
      <c r="AY6" s="2853">
        <v>11.08651540306218</v>
      </c>
      <c r="AZ6" s="2853">
        <v>4.4392782021476895</v>
      </c>
      <c r="BA6" s="2853">
        <v>7.3351706593173471</v>
      </c>
      <c r="BB6" s="2853">
        <v>-1.2492593324116119</v>
      </c>
      <c r="BC6" s="2853">
        <v>1.8650932546627308</v>
      </c>
      <c r="BD6" s="2853">
        <v>-1.104457097977618</v>
      </c>
      <c r="BE6" s="2853">
        <v>0.71971013054052957</v>
      </c>
      <c r="BF6" s="2853">
        <v>-6.8795584466784909</v>
      </c>
      <c r="BG6" s="2853">
        <v>-9.6157917019474848</v>
      </c>
      <c r="BH6" s="2853">
        <v>-20.434451665788401</v>
      </c>
      <c r="BI6" s="2853">
        <v>-13.672823607329477</v>
      </c>
      <c r="BJ6" s="2853">
        <v>-10.519137328445982</v>
      </c>
      <c r="BK6" s="2853">
        <v>3.2961798609126403</v>
      </c>
      <c r="BL6" s="2853">
        <v>-3.6060130960066328</v>
      </c>
      <c r="BM6" s="2853">
        <v>7.0991197856869581</v>
      </c>
      <c r="BN6" s="2853">
        <v>13.92710380561013</v>
      </c>
      <c r="BO6" s="2853">
        <v>8.6254214694614362E-2</v>
      </c>
      <c r="BP6" s="2853">
        <v>7.2077718583515971</v>
      </c>
      <c r="BQ6" s="2853">
        <v>2.4773458053200637</v>
      </c>
      <c r="BR6" s="2853">
        <v>2.4245881765670774</v>
      </c>
      <c r="BS6" s="2853">
        <v>0.43166469400544027</v>
      </c>
      <c r="BT6" s="2853">
        <v>1.0467937608318989</v>
      </c>
      <c r="BU6" s="2853">
        <v>-4.7543907793633489</v>
      </c>
      <c r="BV6" s="2853">
        <v>2.8812216379758837E-2</v>
      </c>
      <c r="BW6" s="2853">
        <v>-1.6202203499675938</v>
      </c>
      <c r="BX6" s="2853">
        <v>3.4109208022251369</v>
      </c>
      <c r="BY6" s="2853">
        <v>4.1265571913929655</v>
      </c>
      <c r="BZ6" s="2853">
        <v>3.9426279654680263</v>
      </c>
      <c r="CA6" s="2853">
        <v>0.40546726832777491</v>
      </c>
      <c r="CB6" s="2853">
        <v>3.6084152934280134</v>
      </c>
      <c r="CC6" s="2853">
        <v>1.4144716162695747</v>
      </c>
      <c r="CD6" s="2853">
        <v>-0.17976692288618201</v>
      </c>
      <c r="CE6" s="2853">
        <v>-0.87561323976899086</v>
      </c>
      <c r="CH6" s="3194">
        <f t="shared" si="1"/>
        <v>0.35361790406739368</v>
      </c>
      <c r="CI6" s="3194">
        <f t="shared" si="2"/>
        <v>0.26373444262430268</v>
      </c>
      <c r="CJ6" s="3194">
        <f t="shared" si="0"/>
        <v>-0.39297548720244047</v>
      </c>
    </row>
    <row r="7" spans="1:88">
      <c r="A7" s="932"/>
      <c r="B7" s="717"/>
      <c r="C7" s="718" t="s">
        <v>2107</v>
      </c>
      <c r="D7" s="2854"/>
      <c r="E7" s="2854">
        <v>2.1188213800916733</v>
      </c>
      <c r="F7" s="2854">
        <v>1.4601968917095531</v>
      </c>
      <c r="G7" s="2854">
        <v>2.3336222861421119</v>
      </c>
      <c r="H7" s="2854">
        <v>0.94238821774077497</v>
      </c>
      <c r="I7" s="2854">
        <v>1.2559124198962657</v>
      </c>
      <c r="J7" s="2854">
        <v>0.97663423776381819</v>
      </c>
      <c r="K7" s="2854">
        <v>3.0992930291555476</v>
      </c>
      <c r="L7" s="2854">
        <v>2.3403081209686816</v>
      </c>
      <c r="M7" s="2854">
        <v>1.028039035428896</v>
      </c>
      <c r="N7" s="2854">
        <v>2.8462433612445492</v>
      </c>
      <c r="O7" s="2854">
        <v>1.7695501259102908</v>
      </c>
      <c r="P7" s="2854">
        <v>3.2376446198087327</v>
      </c>
      <c r="Q7" s="2854">
        <v>0.74090868604095306</v>
      </c>
      <c r="R7" s="2854">
        <v>2.2079863678744927</v>
      </c>
      <c r="S7" s="2854">
        <v>-0.63070643839602258</v>
      </c>
      <c r="T7" s="2854">
        <v>-1.585191164715849</v>
      </c>
      <c r="U7" s="2854">
        <v>2.9584894735995571</v>
      </c>
      <c r="V7" s="2854">
        <v>-1.585528730874064</v>
      </c>
      <c r="W7" s="2854">
        <v>-1.0737839575248098</v>
      </c>
      <c r="X7" s="2854">
        <v>1.2073806658644326</v>
      </c>
      <c r="Y7" s="2854">
        <v>1.4458404343862474</v>
      </c>
      <c r="Z7" s="2854">
        <v>1.2080106892537357</v>
      </c>
      <c r="AA7" s="2854">
        <v>1.3549507817023576</v>
      </c>
      <c r="AB7" s="2854">
        <v>2.1884521633150467</v>
      </c>
      <c r="AC7" s="2854">
        <v>-1.2962811118648165</v>
      </c>
      <c r="AD7" s="2854">
        <v>1.5617683930702064</v>
      </c>
      <c r="AE7" s="2854">
        <v>5.1077467616484018</v>
      </c>
      <c r="AF7" s="2854">
        <v>0.22567933725265998</v>
      </c>
      <c r="AG7" s="2854">
        <v>0.31058092750759769</v>
      </c>
      <c r="AH7" s="2854">
        <v>1.487580043628145</v>
      </c>
      <c r="AI7" s="2854">
        <v>2.5085977368538126</v>
      </c>
      <c r="AJ7" s="2854">
        <v>3.1736583650112893</v>
      </c>
      <c r="AK7" s="2854">
        <v>2.7502065113351737</v>
      </c>
      <c r="AL7" s="2854">
        <v>1.3175608853498666</v>
      </c>
      <c r="AM7" s="2854">
        <v>3.4138569467360602</v>
      </c>
      <c r="AN7" s="2854">
        <v>2.2360929269555019</v>
      </c>
      <c r="AO7" s="2854">
        <v>3.5243943843180192</v>
      </c>
      <c r="AP7" s="2854">
        <v>2.4527628823272307</v>
      </c>
      <c r="AQ7" s="2854">
        <v>0.96199745039788898</v>
      </c>
      <c r="AR7" s="2854">
        <v>33.854097229947719</v>
      </c>
      <c r="AS7" s="2854">
        <v>1.0761173685343239</v>
      </c>
      <c r="AT7" s="2854">
        <v>2.0668606714457916</v>
      </c>
      <c r="AU7" s="2854">
        <v>3.3393137786678961</v>
      </c>
      <c r="AV7" s="2854">
        <v>-1.0766870339962153E-2</v>
      </c>
      <c r="AW7" s="2854">
        <v>3.5265297332220724</v>
      </c>
      <c r="AX7" s="2854">
        <v>4.537535429180628</v>
      </c>
      <c r="AY7" s="2854">
        <v>2.6441470573603354</v>
      </c>
      <c r="AZ7" s="2854">
        <v>3.8180055737307539</v>
      </c>
      <c r="BA7" s="2854">
        <v>3.1080402889789083</v>
      </c>
      <c r="BB7" s="2854">
        <v>-0.13922847052431075</v>
      </c>
      <c r="BC7" s="2854">
        <v>3.753074664762357</v>
      </c>
      <c r="BD7" s="2854">
        <v>-0.26657343879735729</v>
      </c>
      <c r="BE7" s="2854">
        <v>0.45460520550346661</v>
      </c>
      <c r="BF7" s="2854">
        <v>-2.6912969041361867</v>
      </c>
      <c r="BG7" s="2854">
        <v>-3.441474757662355</v>
      </c>
      <c r="BH7" s="2854">
        <v>-11.424724943131714</v>
      </c>
      <c r="BI7" s="2854">
        <v>-3.9033018867924429</v>
      </c>
      <c r="BJ7" s="2854">
        <v>-3.3528312949100858</v>
      </c>
      <c r="BK7" s="2854">
        <v>-2.6127930927456799</v>
      </c>
      <c r="BL7" s="2854">
        <v>-0.26510212950892065</v>
      </c>
      <c r="BM7" s="2854">
        <v>0.43720133048643639</v>
      </c>
      <c r="BN7" s="2854">
        <v>3.914791461792122</v>
      </c>
      <c r="BO7" s="2854">
        <v>0.31313061025675104</v>
      </c>
      <c r="BP7" s="2854">
        <v>1.8645948945615887</v>
      </c>
      <c r="BQ7" s="2854">
        <v>1.3660383525822661</v>
      </c>
      <c r="BR7" s="2854">
        <v>1.1890846063928429</v>
      </c>
      <c r="BS7" s="2854">
        <v>1.4512959422137373</v>
      </c>
      <c r="BT7" s="2854">
        <v>0.41358549833125924</v>
      </c>
      <c r="BU7" s="2854">
        <v>-0.87981126419104383</v>
      </c>
      <c r="BV7" s="2854">
        <v>-0.11966441364437141</v>
      </c>
      <c r="BW7" s="2854">
        <v>1.2915542097294397</v>
      </c>
      <c r="BX7" s="2854">
        <v>1.2776853488614126</v>
      </c>
      <c r="BY7" s="2854">
        <v>1.3732209088925584</v>
      </c>
      <c r="BZ7" s="2854">
        <v>2.7218979857954961</v>
      </c>
      <c r="CA7" s="2854">
        <v>-5.5460382799887853E-2</v>
      </c>
      <c r="CB7" s="2854">
        <v>1.9606875971095672</v>
      </c>
      <c r="CC7" s="2854">
        <v>1.3206908228919678</v>
      </c>
      <c r="CD7" s="2854">
        <v>0.60637891520243237</v>
      </c>
      <c r="CE7" s="2854">
        <v>0.99781690475060358</v>
      </c>
      <c r="CH7" s="3194">
        <f t="shared" si="1"/>
        <v>0.33017270572299195</v>
      </c>
      <c r="CI7" s="3194">
        <f t="shared" si="2"/>
        <v>0.63336216332420814</v>
      </c>
      <c r="CJ7" s="3194">
        <f t="shared" si="0"/>
        <v>1.3817248418871608</v>
      </c>
    </row>
    <row r="8" spans="1:88">
      <c r="A8" s="932"/>
      <c r="B8" s="806"/>
      <c r="C8" s="334" t="s">
        <v>2108</v>
      </c>
      <c r="D8" s="2856"/>
      <c r="E8" s="2856">
        <v>-2.9461950869824225</v>
      </c>
      <c r="F8" s="2856">
        <v>-2.4165219848992612</v>
      </c>
      <c r="G8" s="2856">
        <v>-3.757849390285978</v>
      </c>
      <c r="H8" s="2856">
        <v>-3.7643064133711919</v>
      </c>
      <c r="I8" s="2856">
        <v>-3.0829365779110098</v>
      </c>
      <c r="J8" s="2856">
        <v>-1.2630542431616096</v>
      </c>
      <c r="K8" s="2856">
        <v>-1.6756309474555253</v>
      </c>
      <c r="L8" s="2856">
        <v>-0.36240615441653473</v>
      </c>
      <c r="M8" s="2856">
        <v>-1.0777797736665477E-2</v>
      </c>
      <c r="N8" s="2856">
        <v>-1.9391306623400433</v>
      </c>
      <c r="O8" s="2856">
        <v>1.0510549064920598</v>
      </c>
      <c r="P8" s="2856">
        <v>-0.78654983019579794</v>
      </c>
      <c r="Q8" s="2856">
        <v>-6.5112215546158606E-2</v>
      </c>
      <c r="R8" s="2856">
        <v>0.48919124192507424</v>
      </c>
      <c r="S8" s="2856">
        <v>-2.0456995394113613</v>
      </c>
      <c r="T8" s="2856">
        <v>-1.6466159803003022</v>
      </c>
      <c r="U8" s="2856">
        <v>-1.7231694422416071</v>
      </c>
      <c r="V8" s="2856">
        <v>-1.7356710617976083</v>
      </c>
      <c r="W8" s="2856">
        <v>-0.8213070515076859</v>
      </c>
      <c r="X8" s="2856">
        <v>-1.2082683947174169</v>
      </c>
      <c r="Y8" s="2856">
        <v>-1.3251849990679121</v>
      </c>
      <c r="Z8" s="2856">
        <v>-2.0669684995280555</v>
      </c>
      <c r="AA8" s="2856">
        <v>-2.3812896422556933</v>
      </c>
      <c r="AB8" s="2856">
        <v>-1.9996173713411096</v>
      </c>
      <c r="AC8" s="2856">
        <v>-1.2855852130901473</v>
      </c>
      <c r="AD8" s="2856">
        <v>-0.8979995356466135</v>
      </c>
      <c r="AE8" s="2856">
        <v>-0.64734151104869353</v>
      </c>
      <c r="AF8" s="2856">
        <v>-0.73750182189184998</v>
      </c>
      <c r="AG8" s="2856">
        <v>0.80117203258476977</v>
      </c>
      <c r="AH8" s="2856">
        <v>0.50720043474323073</v>
      </c>
      <c r="AI8" s="2856">
        <v>-1.0894337964742746</v>
      </c>
      <c r="AJ8" s="2856">
        <v>-1.0372282626591227</v>
      </c>
      <c r="AK8" s="2856">
        <v>-0.40600050587922354</v>
      </c>
      <c r="AL8" s="2856">
        <v>1.0374308589902257</v>
      </c>
      <c r="AM8" s="2856">
        <v>1.2660349944739011</v>
      </c>
      <c r="AN8" s="2856">
        <v>2.9556017612524421</v>
      </c>
      <c r="AO8" s="2856">
        <v>1.9752062639337042</v>
      </c>
      <c r="AP8" s="2856">
        <v>1.2047905618780934</v>
      </c>
      <c r="AQ8" s="2856">
        <v>2.1677870676482067</v>
      </c>
      <c r="AR8" s="2856">
        <v>-1.2993300329517601</v>
      </c>
      <c r="AS8" s="2856">
        <v>0.62336864732074171</v>
      </c>
      <c r="AT8" s="2856">
        <v>-1.5688683768880372</v>
      </c>
      <c r="AU8" s="2856">
        <v>0.19653280924584335</v>
      </c>
      <c r="AV8" s="2856">
        <v>-0.85980657976772112</v>
      </c>
      <c r="AW8" s="2856">
        <v>-3.6665193023487994</v>
      </c>
      <c r="AX8" s="2856">
        <v>-2.1519111722511539</v>
      </c>
      <c r="AY8" s="2856">
        <v>-0.878880928010916</v>
      </c>
      <c r="AZ8" s="2856">
        <v>-2.2269157151343153</v>
      </c>
      <c r="BA8" s="2856">
        <v>-0.35406858154481835</v>
      </c>
      <c r="BB8" s="2856">
        <v>7.0147309349633091E-2</v>
      </c>
      <c r="BC8" s="2856">
        <v>-0.23183072677093025</v>
      </c>
      <c r="BD8" s="2856">
        <v>1.6395663956639581</v>
      </c>
      <c r="BE8" s="2856">
        <v>0.72635672185673239</v>
      </c>
      <c r="BF8" s="2856">
        <v>1.9570511948768059</v>
      </c>
      <c r="BG8" s="2856">
        <v>-0.11128338501550578</v>
      </c>
      <c r="BH8" s="2856">
        <v>-7.0873506979421519</v>
      </c>
      <c r="BI8" s="2856">
        <v>-2.9272267000320067</v>
      </c>
      <c r="BJ8" s="2856">
        <v>-0.35439449169704335</v>
      </c>
      <c r="BK8" s="2856">
        <v>-3.9068005637773067</v>
      </c>
      <c r="BL8" s="2856">
        <v>1.3747054202670856</v>
      </c>
      <c r="BM8" s="2856">
        <v>2.6388888888888884</v>
      </c>
      <c r="BN8" s="2856">
        <v>-0.57410376818233744</v>
      </c>
      <c r="BO8" s="2856">
        <v>1.4877626285203398</v>
      </c>
      <c r="BP8" s="2856">
        <v>2.4555774925962472</v>
      </c>
      <c r="BQ8" s="2856">
        <v>1.0372128781645795</v>
      </c>
      <c r="BR8" s="2856">
        <v>0.66240261742896722</v>
      </c>
      <c r="BS8" s="2856">
        <v>-0.68982900200315722</v>
      </c>
      <c r="BT8" s="2856">
        <v>-1.4858938273221183</v>
      </c>
      <c r="BU8" s="2856">
        <v>-3.3211736300650845</v>
      </c>
      <c r="BV8" s="2856">
        <v>1.982449603638559</v>
      </c>
      <c r="BW8" s="2856">
        <v>-2.697145776131793</v>
      </c>
      <c r="BX8" s="2856">
        <v>-3.1598394597693829</v>
      </c>
      <c r="BY8" s="2856">
        <v>-2.9141414141414135</v>
      </c>
      <c r="BZ8" s="2856">
        <v>-1.373266251357661</v>
      </c>
      <c r="CA8" s="2856">
        <v>-2.5004026912163746</v>
      </c>
      <c r="CB8" s="2856">
        <v>0.60889179228654999</v>
      </c>
      <c r="CC8" s="2856">
        <v>0.60390459774330496</v>
      </c>
      <c r="CD8" s="2856">
        <v>0.60071745607101712</v>
      </c>
      <c r="CE8" s="2856">
        <v>1.2083423959013028E-2</v>
      </c>
      <c r="CH8" s="3194">
        <f t="shared" si="1"/>
        <v>0.15097614943582624</v>
      </c>
      <c r="CI8" s="3194">
        <f t="shared" si="2"/>
        <v>0.45133487747133483</v>
      </c>
      <c r="CJ8" s="3194">
        <f t="shared" si="0"/>
        <v>0.46039744544059458</v>
      </c>
    </row>
    <row r="9" spans="1:88">
      <c r="A9" s="932"/>
      <c r="B9" s="717"/>
      <c r="C9" s="718" t="s">
        <v>1712</v>
      </c>
      <c r="D9" s="2854"/>
      <c r="E9" s="2854">
        <v>-0.5908633861654855</v>
      </c>
      <c r="F9" s="2854">
        <v>2.1574781801686926</v>
      </c>
      <c r="G9" s="2854">
        <v>1.6821819369590374</v>
      </c>
      <c r="H9" s="2854">
        <v>0.32123353678124023</v>
      </c>
      <c r="I9" s="2854">
        <v>2.0673230867755299</v>
      </c>
      <c r="J9" s="2854">
        <v>3.6489480598419499</v>
      </c>
      <c r="K9" s="2854">
        <v>1.881313609019708</v>
      </c>
      <c r="L9" s="2854">
        <v>3.9261741851030152</v>
      </c>
      <c r="M9" s="2854">
        <v>2.3842704257561964</v>
      </c>
      <c r="N9" s="2854">
        <v>0.38303478723682449</v>
      </c>
      <c r="O9" s="2854">
        <v>3.6279878313776548</v>
      </c>
      <c r="P9" s="2854">
        <v>2.2679997315976586</v>
      </c>
      <c r="Q9" s="2854">
        <v>1.1400170592480885</v>
      </c>
      <c r="R9" s="2854">
        <v>2.6078917919525102</v>
      </c>
      <c r="S9" s="2854">
        <v>-1.7852909099530634</v>
      </c>
      <c r="T9" s="2854">
        <v>-1.8821162743914654</v>
      </c>
      <c r="U9" s="2854">
        <v>3.1221296417792921</v>
      </c>
      <c r="V9" s="2854">
        <v>-2.0494182578751907</v>
      </c>
      <c r="W9" s="2854">
        <v>-0.20297809460403382</v>
      </c>
      <c r="X9" s="2854">
        <v>1.3659735103648041</v>
      </c>
      <c r="Y9" s="2854">
        <v>0.60756852201131473</v>
      </c>
      <c r="Z9" s="2854">
        <v>0.58475333460972223</v>
      </c>
      <c r="AA9" s="2854">
        <v>1.1674663917198957</v>
      </c>
      <c r="AB9" s="2854">
        <v>2.8967442006318844</v>
      </c>
      <c r="AC9" s="2854">
        <v>-0.4129460884405689</v>
      </c>
      <c r="AD9" s="2854">
        <v>1.6272664677530635</v>
      </c>
      <c r="AE9" s="2854">
        <v>5.1514261839698205</v>
      </c>
      <c r="AF9" s="2854">
        <v>0.59922680412372031</v>
      </c>
      <c r="AG9" s="2854">
        <v>1.2653273269426224</v>
      </c>
      <c r="AH9" s="2854">
        <v>1.8201623388031996</v>
      </c>
      <c r="AI9" s="2854">
        <v>0.88622010560099884</v>
      </c>
      <c r="AJ9" s="2854">
        <v>3.0895743967599198</v>
      </c>
      <c r="AK9" s="2854">
        <v>3.6387165278561007</v>
      </c>
      <c r="AL9" s="2854">
        <v>2.7118231647969004</v>
      </c>
      <c r="AM9" s="2854">
        <v>3.4382149959788499</v>
      </c>
      <c r="AN9" s="2854">
        <v>3.6566255620246402</v>
      </c>
      <c r="AO9" s="2854">
        <v>2.993865744105606</v>
      </c>
      <c r="AP9" s="2854">
        <v>1.5338670159314116</v>
      </c>
      <c r="AQ9" s="2854">
        <v>2.0027689587492015</v>
      </c>
      <c r="AR9" s="2854" t="e">
        <v>#VALUE!</v>
      </c>
      <c r="AS9" s="2854" t="e">
        <v>#VALUE!</v>
      </c>
      <c r="AT9" s="2854" t="e">
        <v>#VALUE!</v>
      </c>
      <c r="AU9" s="2854" t="e">
        <v>#VALUE!</v>
      </c>
      <c r="AV9" s="2854" t="e">
        <v>#VALUE!</v>
      </c>
      <c r="AW9" s="2854">
        <v>0.89481521591987523</v>
      </c>
      <c r="AX9" s="2854">
        <v>7.026606378553879</v>
      </c>
      <c r="AY9" s="2854">
        <v>4.1232073011733927</v>
      </c>
      <c r="AZ9" s="2854">
        <v>2.8269742466017211</v>
      </c>
      <c r="BA9" s="2854">
        <v>5.5113869211404598</v>
      </c>
      <c r="BB9" s="2854">
        <v>-0.74018998579546968</v>
      </c>
      <c r="BC9" s="2854">
        <v>3.7442003465816942</v>
      </c>
      <c r="BD9" s="2854">
        <v>2.3880854365583959</v>
      </c>
      <c r="BE9" s="2854">
        <v>-0.83675402589200587</v>
      </c>
      <c r="BF9" s="2854">
        <v>-2.4826195404128892</v>
      </c>
      <c r="BG9" s="2854">
        <v>-6.3531281292176445</v>
      </c>
      <c r="BH9" s="2854">
        <v>-15.770755122676917</v>
      </c>
      <c r="BI9" s="2854">
        <v>-0.22906030081413231</v>
      </c>
      <c r="BJ9" s="2854">
        <v>-2.5531090949325042</v>
      </c>
      <c r="BK9" s="2854">
        <v>-6.0348008742796999</v>
      </c>
      <c r="BL9" s="2854">
        <v>6.5432136060175727</v>
      </c>
      <c r="BM9" s="2854">
        <v>0.99946128327994543</v>
      </c>
      <c r="BN9" s="2854">
        <v>0.55444043625338946</v>
      </c>
      <c r="BO9" s="2854">
        <v>1.7951366593148776</v>
      </c>
      <c r="BP9" s="2854">
        <v>3.9465745159343868</v>
      </c>
      <c r="BQ9" s="2854">
        <v>-0.43402548745414826</v>
      </c>
      <c r="BR9" s="2854">
        <v>0.84666039510818969</v>
      </c>
      <c r="BS9" s="2854">
        <v>-0.11430523439142082</v>
      </c>
      <c r="BT9" s="2854">
        <v>-0.7957908582703066</v>
      </c>
      <c r="BU9" s="2854">
        <v>-2.8308141076637483</v>
      </c>
      <c r="BV9" s="2854">
        <v>6.541584225967112</v>
      </c>
      <c r="BW9" s="2854">
        <v>-4.4647088205535423</v>
      </c>
      <c r="BX9" s="2854">
        <v>1.5403590149209556</v>
      </c>
      <c r="BY9" s="2854">
        <v>1.2555781468670091</v>
      </c>
      <c r="BZ9" s="2854">
        <v>4.5036704784009007</v>
      </c>
      <c r="CA9" s="2854">
        <v>-1.5072304640223577</v>
      </c>
      <c r="CB9" s="2854">
        <v>0.82468741686618774</v>
      </c>
      <c r="CC9" s="2854">
        <v>1.4637517276039791</v>
      </c>
      <c r="CD9" s="2854">
        <v>0.59686706705466275</v>
      </c>
      <c r="CE9" s="2854">
        <v>3.1931262848209796</v>
      </c>
      <c r="CH9" s="3194">
        <f t="shared" si="1"/>
        <v>0.36593793190099477</v>
      </c>
      <c r="CI9" s="3194">
        <f t="shared" si="2"/>
        <v>0.66437146542832615</v>
      </c>
      <c r="CJ9" s="3194">
        <f t="shared" si="0"/>
        <v>3.0592161790440606</v>
      </c>
    </row>
    <row r="10" spans="1:88">
      <c r="A10" s="932"/>
      <c r="B10" s="674"/>
      <c r="C10" s="220" t="s">
        <v>912</v>
      </c>
      <c r="D10" s="2853"/>
      <c r="E10" s="2853">
        <v>3.2939762812810303</v>
      </c>
      <c r="F10" s="2853">
        <v>4.2965885238853696</v>
      </c>
      <c r="G10" s="2853">
        <v>3.8140730323456884</v>
      </c>
      <c r="H10" s="2853">
        <v>5.3976410136634456</v>
      </c>
      <c r="I10" s="2853">
        <v>3.2597615565306048</v>
      </c>
      <c r="J10" s="2853">
        <v>5.5840504753524645</v>
      </c>
      <c r="K10" s="2853">
        <v>5.0122969979064846</v>
      </c>
      <c r="L10" s="2853">
        <v>3.9969031259072807</v>
      </c>
      <c r="M10" s="2853">
        <v>2.9815745393634741</v>
      </c>
      <c r="N10" s="2853">
        <v>2.150654232632121</v>
      </c>
      <c r="O10" s="2853">
        <v>8.6851137610133975</v>
      </c>
      <c r="P10" s="2853">
        <v>2.9545343556185211</v>
      </c>
      <c r="Q10" s="2853">
        <v>-1.3360528729089771</v>
      </c>
      <c r="R10" s="2853">
        <v>-6.464639989743759</v>
      </c>
      <c r="S10" s="2853">
        <v>-5.712131855329206</v>
      </c>
      <c r="T10" s="2853">
        <v>-5.5221412606981328</v>
      </c>
      <c r="U10" s="2853">
        <v>-4.9967303919682848</v>
      </c>
      <c r="V10" s="2853">
        <v>-0.80168434691070267</v>
      </c>
      <c r="W10" s="2853">
        <v>-1.0061224489795961</v>
      </c>
      <c r="X10" s="2853">
        <v>8.5121735007318566</v>
      </c>
      <c r="Y10" s="2853">
        <v>0.68014286799908952</v>
      </c>
      <c r="Z10" s="2853">
        <v>7.4687700494395548</v>
      </c>
      <c r="AA10" s="2853">
        <v>0.45301306363254579</v>
      </c>
      <c r="AB10" s="2853">
        <v>10.12060828526482</v>
      </c>
      <c r="AC10" s="2853">
        <v>3.9365079365079492</v>
      </c>
      <c r="AD10" s="2853">
        <v>2.6389737324373774</v>
      </c>
      <c r="AE10" s="2853">
        <v>4.1230210689203739</v>
      </c>
      <c r="AF10" s="2853">
        <v>4.9271924434473036</v>
      </c>
      <c r="AG10" s="2853">
        <v>8.348427690086746</v>
      </c>
      <c r="AH10" s="2853">
        <v>-1.3135236371406567</v>
      </c>
      <c r="AI10" s="2853">
        <v>5.7443448135316988</v>
      </c>
      <c r="AJ10" s="2853">
        <v>5.8213485582134794</v>
      </c>
      <c r="AK10" s="2853">
        <v>-7.8151499630072401</v>
      </c>
      <c r="AL10" s="2853">
        <v>3.7017372729630127</v>
      </c>
      <c r="AM10" s="2853">
        <v>3.3064640956338209</v>
      </c>
      <c r="AN10" s="2853">
        <v>-5.1426859065971886</v>
      </c>
      <c r="AO10" s="2853">
        <v>4.4032951811620702</v>
      </c>
      <c r="AP10" s="2853">
        <v>4.7284873030281505</v>
      </c>
      <c r="AQ10" s="2853">
        <v>5.3573214503995104</v>
      </c>
      <c r="AR10" s="2853">
        <v>13.398677776605862</v>
      </c>
      <c r="AS10" s="2853">
        <v>4.2713083691952036</v>
      </c>
      <c r="AT10" s="2853">
        <v>6.0613527165208625</v>
      </c>
      <c r="AU10" s="2853">
        <v>4.599837379486571</v>
      </c>
      <c r="AV10" s="2853">
        <v>3.3814547473625778</v>
      </c>
      <c r="AW10" s="2853">
        <v>2.3873462591975869</v>
      </c>
      <c r="AX10" s="2853">
        <v>-2.3684003462113523</v>
      </c>
      <c r="AY10" s="2853">
        <v>3.1673114119922685</v>
      </c>
      <c r="AZ10" s="2853">
        <v>-1.9034971226206343</v>
      </c>
      <c r="BA10" s="2853">
        <v>0.5149713314928972</v>
      </c>
      <c r="BB10" s="2853">
        <v>6.1664818042571179</v>
      </c>
      <c r="BC10" s="2853">
        <v>-0.45521255690157414</v>
      </c>
      <c r="BD10" s="2853">
        <v>9.3607876455594763</v>
      </c>
      <c r="BE10" s="2853">
        <v>4.4100173658714992</v>
      </c>
      <c r="BF10" s="2853">
        <v>-3.0835558278986319</v>
      </c>
      <c r="BG10" s="2853">
        <v>-3.5948966918821101</v>
      </c>
      <c r="BH10" s="2853">
        <v>-7.2400627737568275</v>
      </c>
      <c r="BI10" s="2853">
        <v>-6.6006767334983003</v>
      </c>
      <c r="BJ10" s="2853">
        <v>2.3412998810425023</v>
      </c>
      <c r="BK10" s="2853">
        <v>4.5094309716278147</v>
      </c>
      <c r="BL10" s="2853">
        <v>4.9392078056672117</v>
      </c>
      <c r="BM10" s="2853">
        <v>7.9465253522822854</v>
      </c>
      <c r="BN10" s="2853">
        <v>5.0787700272236336</v>
      </c>
      <c r="BO10" s="2853">
        <v>5.408791675514979</v>
      </c>
      <c r="BP10" s="2853">
        <v>3.1710216169389849</v>
      </c>
      <c r="BQ10" s="2853">
        <v>3.3742750580929792</v>
      </c>
      <c r="BR10" s="2853">
        <v>0.21723115283627248</v>
      </c>
      <c r="BS10" s="2853">
        <v>0.30157952275040589</v>
      </c>
      <c r="BT10" s="2853">
        <v>4.4800240538204417</v>
      </c>
      <c r="BU10" s="2853">
        <v>2.7051332781754533</v>
      </c>
      <c r="BV10" s="2853">
        <v>5.6425344121046717</v>
      </c>
      <c r="BW10" s="2853">
        <v>4.460911080167107</v>
      </c>
      <c r="BX10" s="2853">
        <v>2.7263349996032638</v>
      </c>
      <c r="BY10" s="2853">
        <v>-1.1230747841131983</v>
      </c>
      <c r="BZ10" s="2853">
        <v>0.5890072805674329</v>
      </c>
      <c r="CA10" s="2853">
        <v>1.2969262072286103</v>
      </c>
      <c r="CB10" s="2853">
        <v>-0.53819497684688411</v>
      </c>
      <c r="CC10" s="2853">
        <v>3.2343102039557925</v>
      </c>
      <c r="CD10" s="2853">
        <v>0.77055178078100361</v>
      </c>
      <c r="CE10" s="2853">
        <v>0.25636845927001772</v>
      </c>
      <c r="CH10" s="3194">
        <f t="shared" si="1"/>
        <v>0.80857755098894812</v>
      </c>
      <c r="CI10" s="3194">
        <f t="shared" si="2"/>
        <v>1.1938534413794499</v>
      </c>
      <c r="CJ10" s="3194">
        <f t="shared" si="0"/>
        <v>1.3861297858319632</v>
      </c>
    </row>
    <row r="11" spans="1:88">
      <c r="A11" s="932"/>
      <c r="B11" s="717"/>
      <c r="C11" s="718" t="s">
        <v>1359</v>
      </c>
      <c r="D11" s="2854"/>
      <c r="E11" s="2854">
        <v>0.51279767868142034</v>
      </c>
      <c r="F11" s="2854">
        <v>2.782002628431357</v>
      </c>
      <c r="G11" s="2854">
        <v>2.3137705624596272</v>
      </c>
      <c r="H11" s="2854">
        <v>1.8472102281104075</v>
      </c>
      <c r="I11" s="2854">
        <v>2.4382677751582094</v>
      </c>
      <c r="J11" s="2854">
        <v>4.2557486927906396</v>
      </c>
      <c r="K11" s="2854">
        <v>2.8756220832284685</v>
      </c>
      <c r="L11" s="2854">
        <v>3.9491021345480437</v>
      </c>
      <c r="M11" s="2854">
        <v>2.5779854169684757</v>
      </c>
      <c r="N11" s="2854">
        <v>0.95855669253810394</v>
      </c>
      <c r="O11" s="2854">
        <v>5.2939873639055168</v>
      </c>
      <c r="P11" s="2854">
        <v>2.501453045860913</v>
      </c>
      <c r="Q11" s="2854">
        <v>0.29431777679369553</v>
      </c>
      <c r="R11" s="2854">
        <v>-0.4404503577986052</v>
      </c>
      <c r="S11" s="2854">
        <v>-3.0248619531532905</v>
      </c>
      <c r="T11" s="2854">
        <v>-2.999308452495153</v>
      </c>
      <c r="U11" s="2854">
        <v>0.6951072270453551</v>
      </c>
      <c r="V11" s="2854">
        <v>-1.6975088358389567</v>
      </c>
      <c r="W11" s="2854">
        <v>-0.43156023837459534</v>
      </c>
      <c r="X11" s="2854">
        <v>3.3881101135786906</v>
      </c>
      <c r="Y11" s="2854">
        <v>0.62912244471904355</v>
      </c>
      <c r="Z11" s="2854">
        <v>2.6302804660603529</v>
      </c>
      <c r="AA11" s="2854">
        <v>0.94516409250589017</v>
      </c>
      <c r="AB11" s="2854">
        <v>5.1334924526565962</v>
      </c>
      <c r="AC11" s="2854">
        <v>0.99767312563061594</v>
      </c>
      <c r="AD11" s="2854">
        <v>1.9649319537183407</v>
      </c>
      <c r="AE11" s="2854">
        <v>4.8059186682996247</v>
      </c>
      <c r="AF11" s="2854">
        <v>2.0437949241387088</v>
      </c>
      <c r="AG11" s="2854">
        <v>3.6962943574019524</v>
      </c>
      <c r="AH11" s="2854">
        <v>0.69641021942556947</v>
      </c>
      <c r="AI11" s="2854">
        <v>2.5935889917948707</v>
      </c>
      <c r="AJ11" s="2854">
        <v>4.0791305068698103</v>
      </c>
      <c r="AK11" s="2854">
        <v>-0.57977697660770433</v>
      </c>
      <c r="AL11" s="2854">
        <v>3.0498783506284877</v>
      </c>
      <c r="AM11" s="2854">
        <v>3.3929375179017063</v>
      </c>
      <c r="AN11" s="2854">
        <v>0.63518572751524172</v>
      </c>
      <c r="AO11" s="2854">
        <v>3.4500387357591977</v>
      </c>
      <c r="AP11" s="2854">
        <v>2.5773587774652107</v>
      </c>
      <c r="AQ11" s="2854">
        <v>3.1214793951971576</v>
      </c>
      <c r="AR11" s="2854" t="e">
        <v>#VALUE!</v>
      </c>
      <c r="AS11" s="2854" t="e">
        <v>#VALUE!</v>
      </c>
      <c r="AT11" s="2854" t="e">
        <v>#VALUE!</v>
      </c>
      <c r="AU11" s="2854" t="e">
        <v>#VALUE!</v>
      </c>
      <c r="AV11" s="2854" t="e">
        <v>#VALUE!</v>
      </c>
      <c r="AW11" s="2854">
        <v>1.3950390610937058</v>
      </c>
      <c r="AX11" s="2854">
        <v>3.8470414883985393</v>
      </c>
      <c r="AY11" s="2854">
        <v>3.8190645514223132</v>
      </c>
      <c r="AZ11" s="2854">
        <v>1.3313024864152867</v>
      </c>
      <c r="BA11" s="2854">
        <v>3.9820600112124849</v>
      </c>
      <c r="BB11" s="2854">
        <v>1.303349013111621</v>
      </c>
      <c r="BC11" s="2854">
        <v>2.4420344630763813</v>
      </c>
      <c r="BD11" s="2854">
        <v>4.4890521940788464</v>
      </c>
      <c r="BE11" s="2854">
        <v>0.81787654748006755</v>
      </c>
      <c r="BF11" s="2854">
        <v>-2.6788841318285406</v>
      </c>
      <c r="BG11" s="2854">
        <v>-5.4560410102746033</v>
      </c>
      <c r="BH11" s="2854">
        <v>-12.941615138427121</v>
      </c>
      <c r="BI11" s="2854">
        <v>-2.4805482190020545</v>
      </c>
      <c r="BJ11" s="2854">
        <v>-0.89668045236614979</v>
      </c>
      <c r="BK11" s="2854">
        <v>-2.3496934781003009</v>
      </c>
      <c r="BL11" s="2854">
        <v>5.943252621327999</v>
      </c>
      <c r="BM11" s="2854">
        <v>3.573309059105978</v>
      </c>
      <c r="BN11" s="2854">
        <v>2.3014553193689169</v>
      </c>
      <c r="BO11" s="2854">
        <v>3.2283875749612445</v>
      </c>
      <c r="BP11" s="2854">
        <v>3.632476889059344</v>
      </c>
      <c r="BQ11" s="2854">
        <v>1.1014620550652277</v>
      </c>
      <c r="BR11" s="2854">
        <v>0.58717253839204453</v>
      </c>
      <c r="BS11" s="2854">
        <v>5.6516420729924022E-2</v>
      </c>
      <c r="BT11" s="2854">
        <v>1.3765194716764961</v>
      </c>
      <c r="BU11" s="2854">
        <v>-0.48161321345158159</v>
      </c>
      <c r="BV11" s="2854">
        <v>6.147852163175771</v>
      </c>
      <c r="BW11" s="2854">
        <v>-0.57440951424463371</v>
      </c>
      <c r="BX11" s="2854">
        <v>2.0834544503226526</v>
      </c>
      <c r="BY11" s="2854">
        <v>0.15945897846594281</v>
      </c>
      <c r="BZ11" s="2854">
        <v>2.7228338509868388</v>
      </c>
      <c r="CA11" s="2854">
        <v>-0.25807790770081551</v>
      </c>
      <c r="CB11" s="2854">
        <v>0.20810643950692764</v>
      </c>
      <c r="CC11" s="2854">
        <v>2.2588036578358839</v>
      </c>
      <c r="CD11" s="2854">
        <v>0.67560249119955618</v>
      </c>
      <c r="CE11" s="2854">
        <v>1.860568323941969</v>
      </c>
      <c r="CH11" s="3194">
        <f t="shared" si="1"/>
        <v>0.56470091445897097</v>
      </c>
      <c r="CI11" s="3194">
        <f t="shared" si="2"/>
        <v>0.90250216005874906</v>
      </c>
      <c r="CJ11" s="3194">
        <f t="shared" si="0"/>
        <v>2.2979284030152258</v>
      </c>
    </row>
    <row r="12" spans="1:88">
      <c r="A12" s="690"/>
      <c r="B12" s="691"/>
      <c r="C12" s="735" t="s">
        <v>1086</v>
      </c>
      <c r="D12" s="2855"/>
      <c r="E12" s="2855">
        <v>-0.99948950804698011</v>
      </c>
      <c r="F12" s="2855">
        <v>4.890493120199757</v>
      </c>
      <c r="G12" s="2855">
        <v>3.7258402545990776</v>
      </c>
      <c r="H12" s="2855">
        <v>6.2910025193943619</v>
      </c>
      <c r="I12" s="2855">
        <v>4.5551618126774773</v>
      </c>
      <c r="J12" s="2855">
        <v>7.3644280840366338</v>
      </c>
      <c r="K12" s="2855">
        <v>6.7024857316078545</v>
      </c>
      <c r="L12" s="2855">
        <v>6.7262289621661919</v>
      </c>
      <c r="M12" s="2855">
        <v>7.3634160669701965</v>
      </c>
      <c r="N12" s="2855">
        <v>0.65318126635089957</v>
      </c>
      <c r="O12" s="2855">
        <v>5.2017327783912215</v>
      </c>
      <c r="P12" s="2855">
        <v>3.0051512264440472</v>
      </c>
      <c r="Q12" s="2855">
        <v>0.12384774565747936</v>
      </c>
      <c r="R12" s="2855">
        <v>1.3340222650194855</v>
      </c>
      <c r="S12" s="2855">
        <v>-12.331772740617131</v>
      </c>
      <c r="T12" s="2855">
        <v>-5.1693750220310868</v>
      </c>
      <c r="U12" s="2855">
        <v>3.5572902146640439</v>
      </c>
      <c r="V12" s="2855">
        <v>-1.8880453705199307</v>
      </c>
      <c r="W12" s="2855">
        <v>-2.6432765653867873</v>
      </c>
      <c r="X12" s="2855">
        <v>2.825899064296733</v>
      </c>
      <c r="Y12" s="2855">
        <v>0.50615795051711654</v>
      </c>
      <c r="Z12" s="2855">
        <v>6.7978110284893534</v>
      </c>
      <c r="AA12" s="2855">
        <v>9.8736849273106664E-2</v>
      </c>
      <c r="AB12" s="2855">
        <v>8.0969387755101874</v>
      </c>
      <c r="AC12" s="2855">
        <v>2.6919022671134885</v>
      </c>
      <c r="AD12" s="2855">
        <v>3.9955876945704238</v>
      </c>
      <c r="AE12" s="2855">
        <v>7.4823217442545609</v>
      </c>
      <c r="AF12" s="2855">
        <v>3.0414342301840813</v>
      </c>
      <c r="AG12" s="2855">
        <v>7.5128362020803863</v>
      </c>
      <c r="AH12" s="2855">
        <v>-0.80172221809813315</v>
      </c>
      <c r="AI12" s="2855">
        <v>4.1233256005388075</v>
      </c>
      <c r="AJ12" s="2855">
        <v>1.2936610608020649</v>
      </c>
      <c r="AK12" s="2855">
        <v>-1.020528830235079</v>
      </c>
      <c r="AL12" s="2855">
        <v>4.0644675690851839</v>
      </c>
      <c r="AM12" s="2855">
        <v>4.5027151762855544</v>
      </c>
      <c r="AN12" s="2855">
        <v>1.0832188959077227</v>
      </c>
      <c r="AO12" s="2855">
        <v>5.6373694449576517</v>
      </c>
      <c r="AP12" s="2855">
        <v>4.0268318278154025</v>
      </c>
      <c r="AQ12" s="2855">
        <v>2.3231663897460342</v>
      </c>
      <c r="AR12" s="2855">
        <v>19.101426044596504</v>
      </c>
      <c r="AS12" s="2855">
        <v>7.4422775162519716</v>
      </c>
      <c r="AT12" s="2855">
        <v>2.1020237846860024</v>
      </c>
      <c r="AU12" s="2855">
        <v>9.9514687100894061</v>
      </c>
      <c r="AV12" s="2855">
        <v>0.35775681828740247</v>
      </c>
      <c r="AW12" s="2855">
        <v>-1.2500000000000067</v>
      </c>
      <c r="AX12" s="2855">
        <v>6.1790904828879611</v>
      </c>
      <c r="AY12" s="2855">
        <v>4.1924231720240179</v>
      </c>
      <c r="AZ12" s="2855">
        <v>1.2755588515732663</v>
      </c>
      <c r="BA12" s="2855">
        <v>4.1215975898069024</v>
      </c>
      <c r="BB12" s="2855">
        <v>-0.46215363594350745</v>
      </c>
      <c r="BC12" s="2855">
        <v>1.7764499263177136</v>
      </c>
      <c r="BD12" s="2855">
        <v>8.0627566098736558</v>
      </c>
      <c r="BE12" s="2855">
        <v>4.8438016225542446</v>
      </c>
      <c r="BF12" s="2855">
        <v>-1.9187339157227701</v>
      </c>
      <c r="BG12" s="2855">
        <v>-10.725568942436404</v>
      </c>
      <c r="BH12" s="2855">
        <v>-18.320137555982097</v>
      </c>
      <c r="BI12" s="2855">
        <v>-5.2529801972927448</v>
      </c>
      <c r="BJ12" s="2855">
        <v>2.5835120262484912</v>
      </c>
      <c r="BK12" s="2855">
        <v>1.835948321454639</v>
      </c>
      <c r="BL12" s="2855">
        <v>5.7918686319121671</v>
      </c>
      <c r="BM12" s="2855">
        <v>7.4641170695217252</v>
      </c>
      <c r="BN12" s="2855">
        <v>4.9531226207826684</v>
      </c>
      <c r="BO12" s="2855">
        <v>8.3236610843972834</v>
      </c>
      <c r="BP12" s="2855">
        <v>4.2744527782029751</v>
      </c>
      <c r="BQ12" s="2855">
        <v>3.853352416600675E-2</v>
      </c>
      <c r="BR12" s="2855">
        <v>-2.1992332948146398</v>
      </c>
      <c r="BS12" s="2855">
        <v>0.93585896474117636</v>
      </c>
      <c r="BT12" s="2855">
        <v>-1.0368085620319878</v>
      </c>
      <c r="BU12" s="2855">
        <v>0.91248756125494879</v>
      </c>
      <c r="BV12" s="2855">
        <v>9.1149273447820534</v>
      </c>
      <c r="BW12" s="2855">
        <v>3.0419806977457942</v>
      </c>
      <c r="BX12" s="2855">
        <v>4.1105411219592769</v>
      </c>
      <c r="BY12" s="2855">
        <v>-3.163047970245092</v>
      </c>
      <c r="BZ12" s="2855">
        <v>3.8113058893047169</v>
      </c>
      <c r="CA12" s="2855">
        <v>1.0988837238718796</v>
      </c>
      <c r="CB12" s="2855">
        <v>-2.8932922537964756</v>
      </c>
      <c r="CC12" s="2855">
        <v>6.6064324942423092</v>
      </c>
      <c r="CD12" s="2855">
        <v>0.27042134364660964</v>
      </c>
      <c r="CE12" s="2855">
        <v>5.1994817091544743</v>
      </c>
      <c r="CH12" s="3194">
        <f t="shared" si="1"/>
        <v>1.6516081235605773</v>
      </c>
      <c r="CI12" s="3194">
        <f t="shared" si="2"/>
        <v>1.7868187953838821</v>
      </c>
      <c r="CJ12" s="3194">
        <f t="shared" si="0"/>
        <v>5.6864300772497378</v>
      </c>
    </row>
    <row r="13" spans="1:88">
      <c r="A13" s="674"/>
      <c r="B13" s="717"/>
      <c r="C13" s="718" t="s">
        <v>1269</v>
      </c>
      <c r="D13" s="2854"/>
      <c r="E13" s="2854">
        <v>2.0272984805562722</v>
      </c>
      <c r="F13" s="2854">
        <v>2.5241561745903418E-2</v>
      </c>
      <c r="G13" s="2854">
        <v>2.3953244236282423</v>
      </c>
      <c r="H13" s="2854">
        <v>1.0331128439191151</v>
      </c>
      <c r="I13" s="2854">
        <v>-0.40101864590347258</v>
      </c>
      <c r="J13" s="2854">
        <v>3.4669566410000519</v>
      </c>
      <c r="K13" s="2854">
        <v>0.69212342709978891</v>
      </c>
      <c r="L13" s="2854">
        <v>1.4499567457780138</v>
      </c>
      <c r="M13" s="2854">
        <v>3.1977013624988393</v>
      </c>
      <c r="N13" s="2854">
        <v>2.9629962277707866</v>
      </c>
      <c r="O13" s="2854">
        <v>1.9155784680606081</v>
      </c>
      <c r="P13" s="2854">
        <v>2.0712971284289727</v>
      </c>
      <c r="Q13" s="2854">
        <v>1.7391304347826209</v>
      </c>
      <c r="R13" s="2854">
        <v>0.92146148076719392</v>
      </c>
      <c r="S13" s="2854">
        <v>4.0833993482758402E-3</v>
      </c>
      <c r="T13" s="2854">
        <v>-1.5034462483258682</v>
      </c>
      <c r="U13" s="2854">
        <v>0.36895473878832963</v>
      </c>
      <c r="V13" s="2854">
        <v>-1.5769561194818982</v>
      </c>
      <c r="W13" s="2854">
        <v>0.14687738675753792</v>
      </c>
      <c r="X13" s="2854">
        <v>2.1689210707162232</v>
      </c>
      <c r="Y13" s="2854">
        <v>1.2049872857025523</v>
      </c>
      <c r="Z13" s="2854">
        <v>1.3251849990679077</v>
      </c>
      <c r="AA13" s="2854">
        <v>1.6478154446701865</v>
      </c>
      <c r="AB13" s="2854">
        <v>2.8337818908667378</v>
      </c>
      <c r="AC13" s="2854">
        <v>-5.5863784197429656E-2</v>
      </c>
      <c r="AD13" s="2854">
        <v>2.2335033154162964</v>
      </c>
      <c r="AE13" s="2854">
        <v>2.3921689048000516</v>
      </c>
      <c r="AF13" s="2854">
        <v>0.37084988260078777</v>
      </c>
      <c r="AG13" s="2854">
        <v>2.9682262060924058</v>
      </c>
      <c r="AH13" s="2854">
        <v>1.5853580856800997</v>
      </c>
      <c r="AI13" s="2854">
        <v>1.4902496290052136</v>
      </c>
      <c r="AJ13" s="2854">
        <v>4.2389752320281193</v>
      </c>
      <c r="AK13" s="2854">
        <v>1.5410248473792798</v>
      </c>
      <c r="AL13" s="2854">
        <v>2.7142366087931968</v>
      </c>
      <c r="AM13" s="2854">
        <v>1.6934811709140574</v>
      </c>
      <c r="AN13" s="2854">
        <v>1.5311634607026336</v>
      </c>
      <c r="AO13" s="2854">
        <v>1.7692025440313008</v>
      </c>
      <c r="AP13" s="2854">
        <v>0.85149597687681489</v>
      </c>
      <c r="AQ13" s="2854">
        <v>2.5507954477745232</v>
      </c>
      <c r="AR13" s="2854">
        <v>28.459623382584496</v>
      </c>
      <c r="AS13" s="2854">
        <v>1.7131791420049058</v>
      </c>
      <c r="AT13" s="2854">
        <v>2.4658375556579237</v>
      </c>
      <c r="AU13" s="2854">
        <v>2.1667465835530919</v>
      </c>
      <c r="AV13" s="2854">
        <v>1.154263588630422</v>
      </c>
      <c r="AW13" s="2854">
        <v>1.6703156490597282</v>
      </c>
      <c r="AX13" s="2854">
        <v>1.5943868455954746</v>
      </c>
      <c r="AY13" s="2854">
        <v>2.8579850924353112</v>
      </c>
      <c r="AZ13" s="2854">
        <v>3.3845104060047815</v>
      </c>
      <c r="BA13" s="2854">
        <v>2.8988185598310512</v>
      </c>
      <c r="BB13" s="2854">
        <v>2.4130543546586836</v>
      </c>
      <c r="BC13" s="2854">
        <v>2.1207034773023326</v>
      </c>
      <c r="BD13" s="2854">
        <v>-0.42318307267709132</v>
      </c>
      <c r="BE13" s="2854">
        <v>0.73663463907365223</v>
      </c>
      <c r="BF13" s="2854">
        <v>-1.089535082785098</v>
      </c>
      <c r="BG13" s="2854">
        <v>-1.126262563823599</v>
      </c>
      <c r="BH13" s="2854">
        <v>-13.111433430029019</v>
      </c>
      <c r="BI13" s="2854">
        <v>-1.0879263203338652</v>
      </c>
      <c r="BJ13" s="2854">
        <v>0.57904385020515203</v>
      </c>
      <c r="BK13" s="2854">
        <v>-1.4754382919632048</v>
      </c>
      <c r="BL13" s="2854">
        <v>0.92494714587738613</v>
      </c>
      <c r="BM13" s="2854">
        <v>1.5972767740246141</v>
      </c>
      <c r="BN13" s="2854">
        <v>1.1454753722794919E-2</v>
      </c>
      <c r="BO13" s="2854">
        <v>2.48539686175695</v>
      </c>
      <c r="BP13" s="2854">
        <v>1.888690210102828</v>
      </c>
      <c r="BQ13" s="2854">
        <v>1.6521333772074209</v>
      </c>
      <c r="BR13" s="2854">
        <v>0.58806867994767309</v>
      </c>
      <c r="BS13" s="2854">
        <v>1.0780803733054345</v>
      </c>
      <c r="BT13" s="2854">
        <v>1.3319006115599441</v>
      </c>
      <c r="BU13" s="2854">
        <v>-0.2317208876088217</v>
      </c>
      <c r="BV13" s="2854">
        <v>2.132322065924841</v>
      </c>
      <c r="BW13" s="2854">
        <v>0.60642657998535299</v>
      </c>
      <c r="BX13" s="2854">
        <v>0.22987037864758975</v>
      </c>
      <c r="BY13" s="2854">
        <v>0.91100210231254142</v>
      </c>
      <c r="BZ13" s="2854">
        <v>1.1376262626262568</v>
      </c>
      <c r="CA13" s="2854">
        <v>0.75654486211158556</v>
      </c>
      <c r="CB13" s="2854">
        <v>0.52535715613268863</v>
      </c>
      <c r="CC13" s="2854">
        <v>0.82582490046958501</v>
      </c>
      <c r="CD13" s="2854">
        <v>0.53055586117529696</v>
      </c>
      <c r="CE13" s="2854">
        <v>0.63598224600229791</v>
      </c>
      <c r="CH13" s="3194">
        <f t="shared" si="1"/>
        <v>0.20645622511739625</v>
      </c>
      <c r="CI13" s="3194">
        <f t="shared" si="2"/>
        <v>0.47173415570504473</v>
      </c>
      <c r="CJ13" s="3194">
        <f t="shared" si="0"/>
        <v>0.94872084020676817</v>
      </c>
    </row>
    <row r="14" spans="1:88">
      <c r="A14" s="670"/>
      <c r="B14" s="670"/>
      <c r="C14" s="217"/>
      <c r="D14" s="217"/>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c r="AM14" s="217"/>
      <c r="AN14" s="217"/>
      <c r="AO14" s="217"/>
      <c r="AP14" s="217"/>
      <c r="AQ14" s="217"/>
      <c r="AR14" s="217"/>
      <c r="AS14" s="217"/>
      <c r="AT14" s="217"/>
      <c r="AU14" s="217"/>
      <c r="AV14" s="557"/>
      <c r="AW14" s="217"/>
      <c r="AX14" s="557"/>
      <c r="AY14" s="557"/>
      <c r="AZ14" s="557"/>
      <c r="BA14" s="557"/>
      <c r="BB14" s="557"/>
      <c r="BC14" s="557"/>
      <c r="BD14" s="557"/>
      <c r="BE14" s="557"/>
      <c r="BF14" s="557"/>
      <c r="BG14" s="557"/>
      <c r="BH14" s="557"/>
      <c r="BI14" s="557"/>
      <c r="BJ14" s="557"/>
      <c r="BK14" s="557"/>
      <c r="BL14" s="557"/>
      <c r="BM14" s="557"/>
      <c r="BN14" s="557"/>
      <c r="BO14" s="557"/>
      <c r="BP14" s="557"/>
      <c r="BQ14" s="557"/>
      <c r="BR14" s="557"/>
      <c r="BS14" s="3199" t="s">
        <v>2350</v>
      </c>
      <c r="BT14" s="3199">
        <v>0.3</v>
      </c>
      <c r="BU14" s="3199">
        <v>0.6</v>
      </c>
      <c r="BV14" s="3199">
        <v>1.2</v>
      </c>
      <c r="BW14" s="3199">
        <v>1</v>
      </c>
      <c r="BX14" s="3199">
        <v>0.6</v>
      </c>
      <c r="BY14" s="3199">
        <v>0.6</v>
      </c>
      <c r="BZ14" s="3199">
        <v>0.7</v>
      </c>
      <c r="CA14" s="3199">
        <v>0.8</v>
      </c>
      <c r="CB14" s="3199">
        <v>0.9</v>
      </c>
      <c r="CC14" s="3199">
        <v>1</v>
      </c>
      <c r="CD14" s="3199">
        <v>1</v>
      </c>
      <c r="CE14" s="3199">
        <v>1</v>
      </c>
      <c r="CH14" s="3194"/>
      <c r="CI14" s="3194"/>
      <c r="CJ14" s="3194"/>
    </row>
    <row r="15" spans="1:88">
      <c r="A15" s="3218" t="s">
        <v>2426</v>
      </c>
      <c r="CH15" s="3194"/>
      <c r="CI15" s="3194"/>
      <c r="CJ15" s="3194"/>
    </row>
    <row r="16" spans="1:88">
      <c r="A16" s="3751" t="s">
        <v>1713</v>
      </c>
      <c r="B16" s="3751"/>
      <c r="C16" s="3751"/>
      <c r="D16" s="3751">
        <v>1995</v>
      </c>
      <c r="E16" s="3751"/>
      <c r="F16" s="3751"/>
      <c r="G16" s="3751"/>
      <c r="H16" s="3751">
        <v>1996</v>
      </c>
      <c r="I16" s="3751"/>
      <c r="J16" s="3751"/>
      <c r="K16" s="3751"/>
      <c r="L16" s="3751">
        <v>1997</v>
      </c>
      <c r="M16" s="3751"/>
      <c r="N16" s="3751"/>
      <c r="O16" s="3751"/>
      <c r="P16" s="3751">
        <v>1998</v>
      </c>
      <c r="Q16" s="3751"/>
      <c r="R16" s="3751"/>
      <c r="S16" s="3751"/>
      <c r="T16" s="3751">
        <v>1999</v>
      </c>
      <c r="U16" s="3751"/>
      <c r="V16" s="3751"/>
      <c r="W16" s="3751"/>
      <c r="X16" s="3751">
        <v>2000</v>
      </c>
      <c r="Y16" s="3751"/>
      <c r="Z16" s="3751"/>
      <c r="AA16" s="3751"/>
      <c r="AB16" s="3751">
        <v>2001</v>
      </c>
      <c r="AC16" s="3751"/>
      <c r="AD16" s="3751"/>
      <c r="AE16" s="3751"/>
      <c r="AF16" s="3751">
        <v>2002</v>
      </c>
      <c r="AG16" s="3751"/>
      <c r="AH16" s="3751"/>
      <c r="AI16" s="3751"/>
      <c r="AJ16" s="3751">
        <v>2003</v>
      </c>
      <c r="AK16" s="3751"/>
      <c r="AL16" s="3751"/>
      <c r="AM16" s="3751"/>
      <c r="AN16" s="3751">
        <v>2004</v>
      </c>
      <c r="AO16" s="3751"/>
      <c r="AP16" s="3751"/>
      <c r="AQ16" s="3751"/>
      <c r="AR16" s="3751">
        <v>2005</v>
      </c>
      <c r="AS16" s="3751"/>
      <c r="AT16" s="3751"/>
      <c r="AU16" s="3751"/>
      <c r="AV16" s="3751">
        <v>2006</v>
      </c>
      <c r="AW16" s="3751"/>
      <c r="AX16" s="3751"/>
      <c r="AY16" s="3751"/>
      <c r="AZ16" s="3751">
        <v>2007</v>
      </c>
      <c r="BA16" s="3751"/>
      <c r="BB16" s="3751"/>
      <c r="BC16" s="3751"/>
      <c r="BD16" s="3751">
        <v>2008</v>
      </c>
      <c r="BE16" s="3751"/>
      <c r="BF16" s="3751"/>
      <c r="BG16" s="3751"/>
      <c r="BH16" s="3751">
        <v>2009</v>
      </c>
      <c r="BI16" s="3751"/>
      <c r="BJ16" s="3751"/>
      <c r="BK16" s="3751"/>
      <c r="BL16" s="3751">
        <v>2010</v>
      </c>
      <c r="BM16" s="3751"/>
      <c r="BN16" s="3751"/>
      <c r="BO16" s="3751"/>
      <c r="BP16" s="3751">
        <v>2011</v>
      </c>
      <c r="BQ16" s="3751"/>
      <c r="BR16" s="3751"/>
      <c r="BS16" s="3751"/>
      <c r="BT16" s="3751">
        <v>2012</v>
      </c>
      <c r="BU16" s="3751"/>
      <c r="BV16" s="3751"/>
      <c r="BW16" s="3751"/>
      <c r="BX16" s="3751">
        <v>2013</v>
      </c>
      <c r="BY16" s="3751"/>
      <c r="BZ16" s="3751"/>
      <c r="CA16" s="3751"/>
      <c r="CB16" s="3751">
        <v>2014</v>
      </c>
      <c r="CC16" s="3751"/>
      <c r="CD16" s="3751"/>
      <c r="CE16" s="3751"/>
      <c r="CH16" s="3194"/>
      <c r="CI16" s="3194"/>
      <c r="CJ16" s="3194"/>
    </row>
    <row r="17" spans="1:88">
      <c r="A17" s="1553"/>
      <c r="B17" s="742"/>
      <c r="C17" s="3384" t="s">
        <v>917</v>
      </c>
      <c r="D17" s="3385" t="s">
        <v>1842</v>
      </c>
      <c r="E17" s="3386" t="s">
        <v>1843</v>
      </c>
      <c r="F17" s="3386" t="s">
        <v>1844</v>
      </c>
      <c r="G17" s="3387" t="s">
        <v>1845</v>
      </c>
      <c r="H17" s="3385" t="s">
        <v>1842</v>
      </c>
      <c r="I17" s="3386" t="s">
        <v>1843</v>
      </c>
      <c r="J17" s="3386" t="s">
        <v>1844</v>
      </c>
      <c r="K17" s="3387" t="s">
        <v>1845</v>
      </c>
      <c r="L17" s="3385" t="s">
        <v>1842</v>
      </c>
      <c r="M17" s="3386" t="s">
        <v>1843</v>
      </c>
      <c r="N17" s="3386" t="s">
        <v>1844</v>
      </c>
      <c r="O17" s="3387" t="s">
        <v>1845</v>
      </c>
      <c r="P17" s="3385" t="s">
        <v>1842</v>
      </c>
      <c r="Q17" s="3386" t="s">
        <v>1843</v>
      </c>
      <c r="R17" s="3386" t="s">
        <v>1844</v>
      </c>
      <c r="S17" s="3387" t="s">
        <v>1845</v>
      </c>
      <c r="T17" s="3385" t="s">
        <v>1842</v>
      </c>
      <c r="U17" s="3386" t="s">
        <v>1843</v>
      </c>
      <c r="V17" s="3386" t="s">
        <v>1844</v>
      </c>
      <c r="W17" s="3387" t="s">
        <v>1845</v>
      </c>
      <c r="X17" s="3385" t="s">
        <v>1842</v>
      </c>
      <c r="Y17" s="3386" t="s">
        <v>1843</v>
      </c>
      <c r="Z17" s="3386" t="s">
        <v>1844</v>
      </c>
      <c r="AA17" s="3387" t="s">
        <v>1845</v>
      </c>
      <c r="AB17" s="3385" t="s">
        <v>1842</v>
      </c>
      <c r="AC17" s="3386" t="s">
        <v>1843</v>
      </c>
      <c r="AD17" s="3386" t="s">
        <v>1844</v>
      </c>
      <c r="AE17" s="3387" t="s">
        <v>1845</v>
      </c>
      <c r="AF17" s="3385" t="s">
        <v>1842</v>
      </c>
      <c r="AG17" s="3386" t="s">
        <v>1843</v>
      </c>
      <c r="AH17" s="3386" t="s">
        <v>1844</v>
      </c>
      <c r="AI17" s="3387" t="s">
        <v>1845</v>
      </c>
      <c r="AJ17" s="3385" t="s">
        <v>1842</v>
      </c>
      <c r="AK17" s="3386" t="s">
        <v>1843</v>
      </c>
      <c r="AL17" s="3386" t="s">
        <v>1844</v>
      </c>
      <c r="AM17" s="3387" t="s">
        <v>1845</v>
      </c>
      <c r="AN17" s="3385" t="s">
        <v>1842</v>
      </c>
      <c r="AO17" s="3386" t="s">
        <v>1843</v>
      </c>
      <c r="AP17" s="3386" t="s">
        <v>1844</v>
      </c>
      <c r="AQ17" s="3387" t="s">
        <v>1845</v>
      </c>
      <c r="AR17" s="3385" t="s">
        <v>1842</v>
      </c>
      <c r="AS17" s="3386" t="s">
        <v>1843</v>
      </c>
      <c r="AT17" s="3386" t="s">
        <v>1844</v>
      </c>
      <c r="AU17" s="3387" t="s">
        <v>1845</v>
      </c>
      <c r="AV17" s="3385" t="s">
        <v>1842</v>
      </c>
      <c r="AW17" s="3386" t="s">
        <v>1843</v>
      </c>
      <c r="AX17" s="3386" t="s">
        <v>1844</v>
      </c>
      <c r="AY17" s="3386" t="s">
        <v>1845</v>
      </c>
      <c r="AZ17" s="3386" t="s">
        <v>1842</v>
      </c>
      <c r="BA17" s="3386" t="s">
        <v>1843</v>
      </c>
      <c r="BB17" s="3386" t="s">
        <v>1844</v>
      </c>
      <c r="BC17" s="3386" t="s">
        <v>1845</v>
      </c>
      <c r="BD17" s="3386" t="s">
        <v>1842</v>
      </c>
      <c r="BE17" s="3386" t="s">
        <v>1843</v>
      </c>
      <c r="BF17" s="3386" t="s">
        <v>1844</v>
      </c>
      <c r="BG17" s="3386" t="s">
        <v>1845</v>
      </c>
      <c r="BH17" s="3386" t="s">
        <v>1842</v>
      </c>
      <c r="BI17" s="3386" t="s">
        <v>1843</v>
      </c>
      <c r="BJ17" s="3386" t="s">
        <v>1844</v>
      </c>
      <c r="BK17" s="3386" t="s">
        <v>1845</v>
      </c>
      <c r="BL17" s="3386" t="s">
        <v>1842</v>
      </c>
      <c r="BM17" s="3386" t="s">
        <v>1843</v>
      </c>
      <c r="BN17" s="3386" t="s">
        <v>1844</v>
      </c>
      <c r="BO17" s="3386" t="s">
        <v>1845</v>
      </c>
      <c r="BP17" s="3386" t="s">
        <v>1842</v>
      </c>
      <c r="BQ17" s="3386" t="s">
        <v>1843</v>
      </c>
      <c r="BR17" s="3386" t="s">
        <v>1844</v>
      </c>
      <c r="BS17" s="3386" t="s">
        <v>1845</v>
      </c>
      <c r="BT17" s="3386" t="s">
        <v>1842</v>
      </c>
      <c r="BU17" s="3386" t="s">
        <v>1843</v>
      </c>
      <c r="BV17" s="3386" t="s">
        <v>1844</v>
      </c>
      <c r="BW17" s="3386" t="s">
        <v>1845</v>
      </c>
      <c r="BX17" s="3386" t="s">
        <v>1842</v>
      </c>
      <c r="BY17" s="3386" t="s">
        <v>1843</v>
      </c>
      <c r="BZ17" s="3386" t="s">
        <v>1844</v>
      </c>
      <c r="CA17" s="3386" t="s">
        <v>1845</v>
      </c>
      <c r="CB17" s="3386" t="s">
        <v>1842</v>
      </c>
      <c r="CC17" s="3386" t="s">
        <v>1843</v>
      </c>
      <c r="CD17" s="3386" t="s">
        <v>1844</v>
      </c>
      <c r="CE17" s="3386" t="s">
        <v>1845</v>
      </c>
      <c r="CH17" s="3194"/>
      <c r="CI17" s="3194"/>
      <c r="CJ17" s="3194"/>
    </row>
    <row r="18" spans="1:88">
      <c r="A18" s="762"/>
      <c r="B18" s="689"/>
      <c r="C18" s="732" t="s">
        <v>1069</v>
      </c>
      <c r="D18" s="2852"/>
      <c r="E18" s="2852">
        <v>2.6037399821905449</v>
      </c>
      <c r="F18" s="2852">
        <v>2.2825105880719398</v>
      </c>
      <c r="G18" s="2852">
        <v>1.6274373377229479</v>
      </c>
      <c r="H18" s="2852">
        <v>1.1238018902581581</v>
      </c>
      <c r="I18" s="2852">
        <v>1.3111180831915981</v>
      </c>
      <c r="J18" s="2852">
        <v>0.19069972128500368</v>
      </c>
      <c r="K18" s="2852">
        <v>3.232471124125591</v>
      </c>
      <c r="L18" s="2852">
        <v>1.6562396583513106</v>
      </c>
      <c r="M18" s="2852">
        <v>-0.17052148570718684</v>
      </c>
      <c r="N18" s="2852">
        <v>2.158452125842425</v>
      </c>
      <c r="O18" s="2852">
        <v>1.7480391560770858</v>
      </c>
      <c r="P18" s="2852">
        <v>1.3475156114613585</v>
      </c>
      <c r="Q18" s="2852">
        <v>-0.83431603773584939</v>
      </c>
      <c r="R18" s="2852">
        <v>3.0502125635461175</v>
      </c>
      <c r="S18" s="2852">
        <v>0.38946427025934316</v>
      </c>
      <c r="T18" s="2852">
        <v>-0.51583424334731287</v>
      </c>
      <c r="U18" s="2852">
        <v>4.4730418706760977</v>
      </c>
      <c r="V18" s="2852">
        <v>1.1032156385655245</v>
      </c>
      <c r="W18" s="2852">
        <v>-0.22014986599570019</v>
      </c>
      <c r="X18" s="2852">
        <v>1.9062367241780676</v>
      </c>
      <c r="Y18" s="2852">
        <v>3.1239073720448651</v>
      </c>
      <c r="Z18" s="2852">
        <v>0.9063050140184048</v>
      </c>
      <c r="AA18" s="2852">
        <v>1.1178599121219879</v>
      </c>
      <c r="AB18" s="2852">
        <v>2.1701067160841081</v>
      </c>
      <c r="AC18" s="2852">
        <v>-1.4860588169070654</v>
      </c>
      <c r="AD18" s="2852">
        <v>1.8182972509682038</v>
      </c>
      <c r="AE18" s="2852">
        <v>1.9903475625724809</v>
      </c>
      <c r="AF18" s="2852">
        <v>2.0334299304256342</v>
      </c>
      <c r="AG18" s="2852">
        <v>1.1624283968075133</v>
      </c>
      <c r="AH18" s="2852">
        <v>1.3172858225928508</v>
      </c>
      <c r="AI18" s="2852">
        <v>1.778364979889635</v>
      </c>
      <c r="AJ18" s="2852">
        <v>5.3751335454743865</v>
      </c>
      <c r="AK18" s="2852">
        <v>2.0462672248386715</v>
      </c>
      <c r="AL18" s="2852">
        <v>1.04054270605205</v>
      </c>
      <c r="AM18" s="2852">
        <v>4.4111272058279472</v>
      </c>
      <c r="AN18" s="2852">
        <v>1.890613765936533</v>
      </c>
      <c r="AO18" s="2852">
        <v>3.5739132163231213</v>
      </c>
      <c r="AP18" s="2852">
        <v>3.2826683554992631</v>
      </c>
      <c r="AQ18" s="2852">
        <v>1.3499326427277136</v>
      </c>
      <c r="AR18" s="2852">
        <v>2.673987973012637</v>
      </c>
      <c r="AS18" s="2852">
        <v>3.8087585375653044</v>
      </c>
      <c r="AT18" s="2852">
        <v>2.2843185317060977</v>
      </c>
      <c r="AU18" s="2852">
        <v>3.445811296005119</v>
      </c>
      <c r="AV18" s="2852">
        <v>27.659418817313576</v>
      </c>
      <c r="AW18" s="2852">
        <v>3.6866535500754249</v>
      </c>
      <c r="AX18" s="2852">
        <v>5.8135750385340801</v>
      </c>
      <c r="AY18" s="2852">
        <v>0.37084324763507759</v>
      </c>
      <c r="AZ18" s="2852">
        <v>4.5209859553972498</v>
      </c>
      <c r="BA18" s="2852">
        <v>2.4357187112763246</v>
      </c>
      <c r="BB18" s="2852">
        <v>0.33590573037893812</v>
      </c>
      <c r="BC18" s="2852">
        <v>5.4587632472698155</v>
      </c>
      <c r="BD18" s="2852">
        <v>-4.0829867047753599E-2</v>
      </c>
      <c r="BE18" s="2852">
        <v>0.40387021010441781</v>
      </c>
      <c r="BF18" s="2852">
        <v>-1.9863104258413533</v>
      </c>
      <c r="BG18" s="2852">
        <v>-2.2688596036110842</v>
      </c>
      <c r="BH18" s="2852">
        <v>-11.558287810497593</v>
      </c>
      <c r="BI18" s="2852">
        <v>-2.0690897085746895</v>
      </c>
      <c r="BJ18" s="2852">
        <v>-2.2053595508372825</v>
      </c>
      <c r="BK18" s="2852">
        <v>-4.384832340958944</v>
      </c>
      <c r="BL18" s="2852">
        <v>0.79643929362716026</v>
      </c>
      <c r="BM18" s="2852">
        <v>-0.77648940943880751</v>
      </c>
      <c r="BN18" s="2852">
        <v>2.6990004915615096</v>
      </c>
      <c r="BO18" s="2852">
        <v>0.51501981581818512</v>
      </c>
      <c r="BP18" s="2852">
        <v>0.94222222222222207</v>
      </c>
      <c r="BQ18" s="2852">
        <v>1.3403864539828003</v>
      </c>
      <c r="BR18" s="2852">
        <v>0.96949383980386994</v>
      </c>
      <c r="BS18" s="2852">
        <v>2.0808104403203798</v>
      </c>
      <c r="BT18" s="2852">
        <v>0.31915790487888618</v>
      </c>
      <c r="BU18" s="2852">
        <v>9.60430272760604E-3</v>
      </c>
      <c r="BV18" s="2852">
        <v>-0.45556035724572119</v>
      </c>
      <c r="BW18" s="2852">
        <v>2.3883170836122014</v>
      </c>
      <c r="BX18" s="2852">
        <v>1.140686649785061</v>
      </c>
      <c r="BY18" s="2852">
        <v>0.8646439239113235</v>
      </c>
      <c r="BZ18" s="2852">
        <v>2.6490486746097774</v>
      </c>
      <c r="CA18" s="2852">
        <v>-0.22719476327317523</v>
      </c>
      <c r="CB18" s="2852">
        <v>2.1288828015353811</v>
      </c>
      <c r="CC18" s="2852">
        <v>1.4956345132840942</v>
      </c>
      <c r="CD18" s="2852">
        <v>0.68133373934227137</v>
      </c>
      <c r="CE18" s="2852">
        <v>0.25</v>
      </c>
      <c r="CH18" s="3194">
        <f t="shared" si="1"/>
        <v>0.37390862832102356</v>
      </c>
      <c r="CI18" s="3194">
        <f t="shared" si="2"/>
        <v>0.71457549799215925</v>
      </c>
      <c r="CJ18" s="3194">
        <f t="shared" ref="CJ18:CJ27" si="3">0.75*CE18+0.5*CD18+0.25*CC18</f>
        <v>0.90207549799215925</v>
      </c>
    </row>
    <row r="19" spans="1:88">
      <c r="A19" s="932"/>
      <c r="B19" s="674"/>
      <c r="C19" s="220" t="s">
        <v>1846</v>
      </c>
      <c r="D19" s="2853"/>
      <c r="E19" s="2853">
        <v>-0.23001521639123279</v>
      </c>
      <c r="F19" s="2853">
        <v>0.18443640490883872</v>
      </c>
      <c r="G19" s="2853">
        <v>0.84967783048928158</v>
      </c>
      <c r="H19" s="2853">
        <v>-1.2883521729972536</v>
      </c>
      <c r="I19" s="2853">
        <v>-9.9576798605927053E-2</v>
      </c>
      <c r="J19" s="2853">
        <v>1.39190488056673</v>
      </c>
      <c r="K19" s="2853">
        <v>-0.9830770311073711</v>
      </c>
      <c r="L19" s="2853">
        <v>0.92901212679952216</v>
      </c>
      <c r="M19" s="2853">
        <v>2.7086846543001863</v>
      </c>
      <c r="N19" s="2853">
        <v>0.71147597058320855</v>
      </c>
      <c r="O19" s="2853">
        <v>-0.50945895459022505</v>
      </c>
      <c r="P19" s="2853">
        <v>3.7278530706994717</v>
      </c>
      <c r="Q19" s="2853">
        <v>0.10860622017443422</v>
      </c>
      <c r="R19" s="2853">
        <v>0.12163850351765149</v>
      </c>
      <c r="S19" s="2853">
        <v>1.1919225086192808</v>
      </c>
      <c r="T19" s="2853">
        <v>-3.8484002855474264</v>
      </c>
      <c r="U19" s="2853">
        <v>-0.60070194384448383</v>
      </c>
      <c r="V19" s="2853">
        <v>-1.8673185305900675</v>
      </c>
      <c r="W19" s="2853">
        <v>-8.3033490174366786E-2</v>
      </c>
      <c r="X19" s="2853">
        <v>2.1087257617728561</v>
      </c>
      <c r="Y19" s="2853">
        <v>-0.96307097561804111</v>
      </c>
      <c r="Z19" s="2853">
        <v>0.34240712206814461</v>
      </c>
      <c r="AA19" s="2853">
        <v>0.45384746630268147</v>
      </c>
      <c r="AB19" s="2853">
        <v>0.46198790678715351</v>
      </c>
      <c r="AC19" s="2853">
        <v>0.29755866639615824</v>
      </c>
      <c r="AD19" s="2853">
        <v>-0.16182320814509543</v>
      </c>
      <c r="AE19" s="2853">
        <v>0.21273721888295238</v>
      </c>
      <c r="AF19" s="2853">
        <v>1.533173838325963</v>
      </c>
      <c r="AG19" s="2853">
        <v>-0.34182928448159844</v>
      </c>
      <c r="AH19" s="2853">
        <v>1.9014952212860869</v>
      </c>
      <c r="AI19" s="2853">
        <v>0.27777777777777679</v>
      </c>
      <c r="AJ19" s="2853">
        <v>0.47254358807236052</v>
      </c>
      <c r="AK19" s="2853">
        <v>1.2455400583846865</v>
      </c>
      <c r="AL19" s="2853">
        <v>0.57025693599026539</v>
      </c>
      <c r="AM19" s="2853">
        <v>1.1754587155963447</v>
      </c>
      <c r="AN19" s="2853">
        <v>1.1460596328831008</v>
      </c>
      <c r="AO19" s="2853">
        <v>1.9828793774318898</v>
      </c>
      <c r="AP19" s="2853">
        <v>0.60435870825956695</v>
      </c>
      <c r="AQ19" s="2853">
        <v>0.6280339805825097</v>
      </c>
      <c r="AR19" s="2853">
        <v>0.27135405674314494</v>
      </c>
      <c r="AS19" s="2853">
        <v>1.3290435096370956</v>
      </c>
      <c r="AT19" s="2853">
        <v>-0.64393602184042997</v>
      </c>
      <c r="AU19" s="2853">
        <v>1.4037393226211226</v>
      </c>
      <c r="AV19" s="2853">
        <v>41.596960414703112</v>
      </c>
      <c r="AW19" s="2853">
        <v>0.94019760790431395</v>
      </c>
      <c r="AX19" s="2853">
        <v>1.3003070455622767</v>
      </c>
      <c r="AY19" s="2853">
        <v>0.97237479148868378</v>
      </c>
      <c r="AZ19" s="2853">
        <v>0.58223869771938386</v>
      </c>
      <c r="BA19" s="2853">
        <v>2.4036054081122415E-2</v>
      </c>
      <c r="BB19" s="2853">
        <v>-0.3424314636441772</v>
      </c>
      <c r="BC19" s="2853">
        <v>-4.0188080215664002E-3</v>
      </c>
      <c r="BD19" s="2853">
        <v>3.0142271521582664E-2</v>
      </c>
      <c r="BE19" s="2853">
        <v>0.28526085297015946</v>
      </c>
      <c r="BF19" s="2853">
        <v>0.41265199014439702</v>
      </c>
      <c r="BG19" s="2853">
        <v>8.7777046302406347E-2</v>
      </c>
      <c r="BH19" s="2853">
        <v>-0.33485479659565165</v>
      </c>
      <c r="BI19" s="2853">
        <v>-0.85194888306702188</v>
      </c>
      <c r="BJ19" s="2853">
        <v>-1.270750549650046</v>
      </c>
      <c r="BK19" s="2853">
        <v>-1.2094714691400776</v>
      </c>
      <c r="BL19" s="2853">
        <v>-1.0236790404301477</v>
      </c>
      <c r="BM19" s="2853">
        <v>-0.69368992895947335</v>
      </c>
      <c r="BN19" s="2853">
        <v>-0.31981147954889266</v>
      </c>
      <c r="BO19" s="2853">
        <v>-0.14775413711582974</v>
      </c>
      <c r="BP19" s="2853">
        <v>0.11837821840781082</v>
      </c>
      <c r="BQ19" s="2853">
        <v>0.3209323930577046</v>
      </c>
      <c r="BR19" s="2853">
        <v>0.38094035442188812</v>
      </c>
      <c r="BS19" s="2853">
        <v>0.40675123178530725</v>
      </c>
      <c r="BT19" s="2853">
        <v>0.35916389985173325</v>
      </c>
      <c r="BU19" s="2853">
        <v>0.25800545140550746</v>
      </c>
      <c r="BV19" s="2853">
        <v>0.29884818927050638</v>
      </c>
      <c r="BW19" s="2853">
        <v>0.39520784622069094</v>
      </c>
      <c r="BX19" s="2853">
        <v>0.46166529266280509</v>
      </c>
      <c r="BY19" s="2853">
        <v>0.49647136057773267</v>
      </c>
      <c r="BZ19" s="2853">
        <v>0.45114930796552599</v>
      </c>
      <c r="CA19" s="2853">
        <v>0.3983173125774675</v>
      </c>
      <c r="CB19" s="2853">
        <v>0.14169180009311333</v>
      </c>
      <c r="CC19" s="2853">
        <v>0.30117437794352497</v>
      </c>
      <c r="CD19" s="2853">
        <v>0.49373261859659845</v>
      </c>
      <c r="CE19" s="2853">
        <v>2.15</v>
      </c>
      <c r="CH19" s="3194">
        <f t="shared" si="1"/>
        <v>7.5293594485881243E-2</v>
      </c>
      <c r="CI19" s="3194">
        <f t="shared" si="2"/>
        <v>0.32215990378418047</v>
      </c>
      <c r="CJ19" s="3194">
        <f t="shared" si="3"/>
        <v>1.9346599037841803</v>
      </c>
    </row>
    <row r="20" spans="1:88">
      <c r="A20" s="932"/>
      <c r="B20" s="674"/>
      <c r="C20" s="220" t="s">
        <v>1067</v>
      </c>
      <c r="D20" s="2853"/>
      <c r="E20" s="2853">
        <v>5.0036845983787881</v>
      </c>
      <c r="F20" s="2853">
        <v>0.65969541722226133</v>
      </c>
      <c r="G20" s="2853">
        <v>8.1572892700271673</v>
      </c>
      <c r="H20" s="2853">
        <v>4.3382969122671478</v>
      </c>
      <c r="I20" s="2853">
        <v>3.4041764487829029</v>
      </c>
      <c r="J20" s="2853">
        <v>3.160662006333248</v>
      </c>
      <c r="K20" s="2853">
        <v>9.359434727209571</v>
      </c>
      <c r="L20" s="2853">
        <v>6.7471666137061792</v>
      </c>
      <c r="M20" s="2853">
        <v>2.4905735264933559</v>
      </c>
      <c r="N20" s="2853">
        <v>8.0114241456094462</v>
      </c>
      <c r="O20" s="2853">
        <v>4.8402276699681668</v>
      </c>
      <c r="P20" s="2853">
        <v>8.0323173598939803</v>
      </c>
      <c r="Q20" s="2853">
        <v>5.729661285216836</v>
      </c>
      <c r="R20" s="2853">
        <v>2.4625748502994149</v>
      </c>
      <c r="S20" s="2853">
        <v>-5.2414347286142249</v>
      </c>
      <c r="T20" s="2853">
        <v>-1.7654087807886576</v>
      </c>
      <c r="U20" s="2853">
        <v>2.9821463606042764</v>
      </c>
      <c r="V20" s="2853">
        <v>-8.6797485235282963</v>
      </c>
      <c r="W20" s="2853">
        <v>-4.8733675470438387</v>
      </c>
      <c r="X20" s="2853">
        <v>-2.1711478573621656</v>
      </c>
      <c r="Y20" s="2853">
        <v>-0.96395265423243615</v>
      </c>
      <c r="Z20" s="2853">
        <v>3.3998822943546836</v>
      </c>
      <c r="AA20" s="2853">
        <v>3.3143607705779177</v>
      </c>
      <c r="AB20" s="2853">
        <v>4.4031020892486339</v>
      </c>
      <c r="AC20" s="2853">
        <v>-2.5937652216268869</v>
      </c>
      <c r="AD20" s="2853">
        <v>2.8503562945368266</v>
      </c>
      <c r="AE20" s="2853">
        <v>21.109355374579629</v>
      </c>
      <c r="AF20" s="2853">
        <v>-6.0185340068917075</v>
      </c>
      <c r="AG20" s="2853">
        <v>-1.5200056955716801</v>
      </c>
      <c r="AH20" s="2853">
        <v>1.5579251762154467</v>
      </c>
      <c r="AI20" s="2853">
        <v>7.1611617312072884</v>
      </c>
      <c r="AJ20" s="2853">
        <v>-0.43842168194501152</v>
      </c>
      <c r="AK20" s="2853">
        <v>6.4518281291700008</v>
      </c>
      <c r="AL20" s="2853">
        <v>2.8611720463804557</v>
      </c>
      <c r="AM20" s="2853">
        <v>2.6810468269201637</v>
      </c>
      <c r="AN20" s="2853">
        <v>4.2755837759249848</v>
      </c>
      <c r="AO20" s="2853">
        <v>4.7917140905986866</v>
      </c>
      <c r="AP20" s="2853">
        <v>1.7486694906049927</v>
      </c>
      <c r="AQ20" s="2853">
        <v>0.14143894107601085</v>
      </c>
      <c r="AR20" s="2853">
        <v>4.9220519653563999</v>
      </c>
      <c r="AS20" s="2853">
        <v>0.52829421924209807</v>
      </c>
      <c r="AT20" s="2853">
        <v>6.5285497726124353</v>
      </c>
      <c r="AU20" s="2853">
        <v>5.4738639597761152</v>
      </c>
      <c r="AV20" s="2853">
        <v>15.571595610721346</v>
      </c>
      <c r="AW20" s="2853">
        <v>5.4497344202969034</v>
      </c>
      <c r="AX20" s="2853">
        <v>3.6071441750618272</v>
      </c>
      <c r="AY20" s="2853">
        <v>11.08756433316116</v>
      </c>
      <c r="AZ20" s="2853">
        <v>4.4389938921752581</v>
      </c>
      <c r="BA20" s="2853">
        <v>7.3356050838091491</v>
      </c>
      <c r="BB20" s="2853">
        <v>-1.2484448067270115</v>
      </c>
      <c r="BC20" s="2853">
        <v>1.8608625133953005</v>
      </c>
      <c r="BD20" s="2853">
        <v>-1.1018069634199934</v>
      </c>
      <c r="BE20" s="2853">
        <v>0.71732505318842232</v>
      </c>
      <c r="BF20" s="2853">
        <v>-6.8780954284001545</v>
      </c>
      <c r="BG20" s="2853">
        <v>-9.6162099196860922</v>
      </c>
      <c r="BH20" s="2853">
        <v>-20.434119043581489</v>
      </c>
      <c r="BI20" s="2853">
        <v>-13.674339300937765</v>
      </c>
      <c r="BJ20" s="2853">
        <v>-10.51501086312463</v>
      </c>
      <c r="BK20" s="2853">
        <v>3.2887294799282651</v>
      </c>
      <c r="BL20" s="2853">
        <v>-3.6060581777385914</v>
      </c>
      <c r="BM20" s="2853">
        <v>7.1078227616593326</v>
      </c>
      <c r="BN20" s="2853">
        <v>13.924247128221023</v>
      </c>
      <c r="BO20" s="2853">
        <v>8.4025979924629013E-2</v>
      </c>
      <c r="BP20" s="2853">
        <v>7.4153071180594665</v>
      </c>
      <c r="BQ20" s="2853">
        <v>2.4187245188956208</v>
      </c>
      <c r="BR20" s="2853">
        <v>2.2605395594422983</v>
      </c>
      <c r="BS20" s="2853">
        <v>0.22589753933037748</v>
      </c>
      <c r="BT20" s="2853">
        <v>1.2557353296305473</v>
      </c>
      <c r="BU20" s="2853">
        <v>-4.5691231417442024</v>
      </c>
      <c r="BV20" s="2853">
        <v>-0.14161651081908699</v>
      </c>
      <c r="BW20" s="2853">
        <v>-1.9187052910383917</v>
      </c>
      <c r="BX20" s="2853">
        <v>3.9847753513789552</v>
      </c>
      <c r="BY20" s="2853">
        <v>4.1081324254135687</v>
      </c>
      <c r="BZ20" s="2853">
        <v>3.6297925832809552</v>
      </c>
      <c r="CA20" s="2853">
        <v>0.14404852160727621</v>
      </c>
      <c r="CB20" s="2853">
        <v>3.9083200847906951</v>
      </c>
      <c r="CC20" s="2853">
        <v>1.6702792298865177</v>
      </c>
      <c r="CD20" s="2853">
        <v>-0.25260668601527758</v>
      </c>
      <c r="CE20" s="2853">
        <v>-7</v>
      </c>
      <c r="CH20" s="3194">
        <f t="shared" si="1"/>
        <v>0.41756980747162942</v>
      </c>
      <c r="CI20" s="3194">
        <f t="shared" si="2"/>
        <v>0.29126646446399063</v>
      </c>
      <c r="CJ20" s="3194">
        <f t="shared" si="3"/>
        <v>-4.9587335355360089</v>
      </c>
    </row>
    <row r="21" spans="1:88">
      <c r="A21" s="932"/>
      <c r="B21" s="717"/>
      <c r="C21" s="718" t="s">
        <v>2107</v>
      </c>
      <c r="D21" s="2854"/>
      <c r="E21" s="2854">
        <v>2.1188213800916733</v>
      </c>
      <c r="F21" s="2854">
        <v>1.4601968917095531</v>
      </c>
      <c r="G21" s="2854">
        <v>2.3336222861421119</v>
      </c>
      <c r="H21" s="2854">
        <v>0.94238821774077497</v>
      </c>
      <c r="I21" s="2854">
        <v>1.2559124198962657</v>
      </c>
      <c r="J21" s="2854">
        <v>0.97663423776381819</v>
      </c>
      <c r="K21" s="2854">
        <v>3.0992930291555476</v>
      </c>
      <c r="L21" s="2854">
        <v>2.3403081209686816</v>
      </c>
      <c r="M21" s="2854">
        <v>1.028039035428896</v>
      </c>
      <c r="N21" s="2854">
        <v>2.8462433612445492</v>
      </c>
      <c r="O21" s="2854">
        <v>1.7695501259102908</v>
      </c>
      <c r="P21" s="2854">
        <v>3.2376446198087327</v>
      </c>
      <c r="Q21" s="2854">
        <v>0.74090868604095306</v>
      </c>
      <c r="R21" s="2854">
        <v>2.2079863678744927</v>
      </c>
      <c r="S21" s="2854">
        <v>-0.63070643839602258</v>
      </c>
      <c r="T21" s="2854">
        <v>-1.585191164715849</v>
      </c>
      <c r="U21" s="2854">
        <v>2.9584894735995571</v>
      </c>
      <c r="V21" s="2854">
        <v>-1.585528730874064</v>
      </c>
      <c r="W21" s="2854">
        <v>-1.0737839575248098</v>
      </c>
      <c r="X21" s="2854">
        <v>1.2073806658644326</v>
      </c>
      <c r="Y21" s="2854">
        <v>1.4458404343862474</v>
      </c>
      <c r="Z21" s="2854">
        <v>1.2080106892537357</v>
      </c>
      <c r="AA21" s="2854">
        <v>1.3549507817023576</v>
      </c>
      <c r="AB21" s="2854">
        <v>2.1884521633150467</v>
      </c>
      <c r="AC21" s="2854">
        <v>-1.2962811118648165</v>
      </c>
      <c r="AD21" s="2854">
        <v>1.5617683930702064</v>
      </c>
      <c r="AE21" s="2854">
        <v>5.1077467616484018</v>
      </c>
      <c r="AF21" s="2854">
        <v>0.22567933725265998</v>
      </c>
      <c r="AG21" s="2854">
        <v>0.31058092750759769</v>
      </c>
      <c r="AH21" s="2854">
        <v>1.487580043628145</v>
      </c>
      <c r="AI21" s="2854">
        <v>2.5085977368538126</v>
      </c>
      <c r="AJ21" s="2854">
        <v>3.1736583650112893</v>
      </c>
      <c r="AK21" s="2854">
        <v>2.7502065113351737</v>
      </c>
      <c r="AL21" s="2854">
        <v>1.3175608853498666</v>
      </c>
      <c r="AM21" s="2854">
        <v>3.4138569467360602</v>
      </c>
      <c r="AN21" s="2854">
        <v>2.2360929269555019</v>
      </c>
      <c r="AO21" s="2854">
        <v>3.5243943843180192</v>
      </c>
      <c r="AP21" s="2854">
        <v>2.4527628823272307</v>
      </c>
      <c r="AQ21" s="2854">
        <v>0.96199745039788898</v>
      </c>
      <c r="AR21" s="2854">
        <v>2.6999666258760824</v>
      </c>
      <c r="AS21" s="2854">
        <v>2.6625648580434813</v>
      </c>
      <c r="AT21" s="2854">
        <v>2.6499604326035264</v>
      </c>
      <c r="AU21" s="2854">
        <v>3.5338921638665255</v>
      </c>
      <c r="AV21" s="2854">
        <v>27.3399222632031</v>
      </c>
      <c r="AW21" s="2854">
        <v>3.5251924763668008</v>
      </c>
      <c r="AX21" s="2854">
        <v>4.5385739245692447</v>
      </c>
      <c r="AY21" s="2854">
        <v>2.644972822661118</v>
      </c>
      <c r="AZ21" s="2854">
        <v>3.8169733720750276</v>
      </c>
      <c r="BA21" s="2854">
        <v>3.1077504470306883</v>
      </c>
      <c r="BB21" s="2854">
        <v>-0.13834478010721352</v>
      </c>
      <c r="BC21" s="2854">
        <v>3.7506606743638482</v>
      </c>
      <c r="BD21" s="2854">
        <v>-0.26579082262256915</v>
      </c>
      <c r="BE21" s="2854">
        <v>0.45431760353806805</v>
      </c>
      <c r="BF21" s="2854">
        <v>-2.6905220604490965</v>
      </c>
      <c r="BG21" s="2854">
        <v>-3.4412922615551067</v>
      </c>
      <c r="BH21" s="2854">
        <v>-11.424902859755015</v>
      </c>
      <c r="BI21" s="2854">
        <v>-3.9044771135178791</v>
      </c>
      <c r="BJ21" s="2854">
        <v>-3.3515118726528126</v>
      </c>
      <c r="BK21" s="2854">
        <v>-2.6133642774840427</v>
      </c>
      <c r="BL21" s="2854">
        <v>-0.26432161647351737</v>
      </c>
      <c r="BM21" s="2854">
        <v>0.43707617493142781</v>
      </c>
      <c r="BN21" s="2854">
        <v>3.9153106741219856</v>
      </c>
      <c r="BO21" s="2854">
        <v>0.31196720716799575</v>
      </c>
      <c r="BP21" s="2854">
        <v>1.9318779959578425</v>
      </c>
      <c r="BQ21" s="2854">
        <v>1.3512821018191845</v>
      </c>
      <c r="BR21" s="2854">
        <v>1.10418376355923</v>
      </c>
      <c r="BS21" s="2854">
        <v>1.4198775158490662</v>
      </c>
      <c r="BT21" s="2854">
        <v>0.50295285670394208</v>
      </c>
      <c r="BU21" s="2854">
        <v>-0.8148122987972295</v>
      </c>
      <c r="BV21" s="2854">
        <v>-0.25988356607433705</v>
      </c>
      <c r="BW21" s="2854">
        <v>1.2329901154783718</v>
      </c>
      <c r="BX21" s="2854">
        <v>1.5205815517845833</v>
      </c>
      <c r="BY21" s="2854">
        <v>1.3868163359243235</v>
      </c>
      <c r="BZ21" s="2854">
        <v>2.4376670449969051</v>
      </c>
      <c r="CA21" s="2854">
        <v>-4.7178578066253696E-2</v>
      </c>
      <c r="CB21" s="2854">
        <v>2.1140258031295378</v>
      </c>
      <c r="CC21" s="2854">
        <v>1.3222770058270106</v>
      </c>
      <c r="CD21" s="2854">
        <v>0.46899192656491007</v>
      </c>
      <c r="CE21" s="2854">
        <v>-0.81264151138111007</v>
      </c>
      <c r="CH21" s="3194">
        <f t="shared" si="1"/>
        <v>0.33056925145675264</v>
      </c>
      <c r="CI21" s="3194">
        <f t="shared" si="2"/>
        <v>0.56506521473920768</v>
      </c>
      <c r="CJ21" s="3194">
        <f t="shared" si="3"/>
        <v>-4.4415918796624876E-2</v>
      </c>
    </row>
    <row r="22" spans="1:88">
      <c r="A22" s="932"/>
      <c r="B22" s="806"/>
      <c r="C22" s="334" t="s">
        <v>2108</v>
      </c>
      <c r="D22" s="2856"/>
      <c r="E22" s="2856">
        <v>-2.9461950869824225</v>
      </c>
      <c r="F22" s="2856">
        <v>-2.4165219848992612</v>
      </c>
      <c r="G22" s="2856">
        <v>-3.757849390285978</v>
      </c>
      <c r="H22" s="2856">
        <v>-3.7643064133711919</v>
      </c>
      <c r="I22" s="2856">
        <v>-3.0829365779110098</v>
      </c>
      <c r="J22" s="2856">
        <v>-1.2630542431616096</v>
      </c>
      <c r="K22" s="2856">
        <v>-1.6756309474555253</v>
      </c>
      <c r="L22" s="2856">
        <v>-0.36240615441653473</v>
      </c>
      <c r="M22" s="2856">
        <v>-1.0777797736665477E-2</v>
      </c>
      <c r="N22" s="2856">
        <v>-1.9391306623400433</v>
      </c>
      <c r="O22" s="2856">
        <v>1.0510549064920598</v>
      </c>
      <c r="P22" s="2856">
        <v>-0.78654983019579794</v>
      </c>
      <c r="Q22" s="2856">
        <v>-6.5112215546158606E-2</v>
      </c>
      <c r="R22" s="2856">
        <v>0.48919124192507424</v>
      </c>
      <c r="S22" s="2856">
        <v>-2.0456995394113613</v>
      </c>
      <c r="T22" s="2856">
        <v>-1.6466159803003022</v>
      </c>
      <c r="U22" s="2856">
        <v>-1.7231694422416071</v>
      </c>
      <c r="V22" s="2856">
        <v>-1.7356710617976083</v>
      </c>
      <c r="W22" s="2856">
        <v>-0.8213070515076859</v>
      </c>
      <c r="X22" s="2856">
        <v>-1.2082683947174169</v>
      </c>
      <c r="Y22" s="2856">
        <v>-1.3251849990679121</v>
      </c>
      <c r="Z22" s="2856">
        <v>-2.0669684995280555</v>
      </c>
      <c r="AA22" s="2856">
        <v>-2.3812896422556933</v>
      </c>
      <c r="AB22" s="2856">
        <v>-1.9996173713411096</v>
      </c>
      <c r="AC22" s="2856">
        <v>-1.2855852130901473</v>
      </c>
      <c r="AD22" s="2856">
        <v>-0.8979995356466135</v>
      </c>
      <c r="AE22" s="2856">
        <v>-0.64734151104869353</v>
      </c>
      <c r="AF22" s="2856">
        <v>-0.73750182189184998</v>
      </c>
      <c r="AG22" s="2856">
        <v>0.80117203258476977</v>
      </c>
      <c r="AH22" s="2856">
        <v>0.50720043474323073</v>
      </c>
      <c r="AI22" s="2856">
        <v>-1.0894337964742746</v>
      </c>
      <c r="AJ22" s="2856">
        <v>-1.0372282626591227</v>
      </c>
      <c r="AK22" s="2856">
        <v>-0.40600050587922354</v>
      </c>
      <c r="AL22" s="2856">
        <v>1.0374308589902257</v>
      </c>
      <c r="AM22" s="2856">
        <v>1.2660349944739011</v>
      </c>
      <c r="AN22" s="2856">
        <v>2.9556017612524421</v>
      </c>
      <c r="AO22" s="2856">
        <v>1.9752062639337042</v>
      </c>
      <c r="AP22" s="2856">
        <v>1.2047905618780934</v>
      </c>
      <c r="AQ22" s="2856">
        <v>2.1677870676482067</v>
      </c>
      <c r="AR22" s="2856">
        <v>0.67769367561898686</v>
      </c>
      <c r="AS22" s="2856">
        <v>1.454950866695802</v>
      </c>
      <c r="AT22" s="2856">
        <v>1.2720605088242019</v>
      </c>
      <c r="AU22" s="2856">
        <v>-0.20993701889433408</v>
      </c>
      <c r="AV22" s="2856">
        <v>-0.86000915439431913</v>
      </c>
      <c r="AW22" s="2856">
        <v>-3.6664546453323612</v>
      </c>
      <c r="AX22" s="2856">
        <v>-2.1514381542839729</v>
      </c>
      <c r="AY22" s="2856">
        <v>-0.8794292602912982</v>
      </c>
      <c r="AZ22" s="2856">
        <v>-2.2265890826789425</v>
      </c>
      <c r="BA22" s="2856">
        <v>-0.35444919190042462</v>
      </c>
      <c r="BB22" s="2856">
        <v>7.0017849109721642E-2</v>
      </c>
      <c r="BC22" s="2856">
        <v>-0.23162621497186184</v>
      </c>
      <c r="BD22" s="2856">
        <v>1.6389699534067343</v>
      </c>
      <c r="BE22" s="2856">
        <v>0.7267215367398091</v>
      </c>
      <c r="BF22" s="2856">
        <v>1.9567684854647727</v>
      </c>
      <c r="BG22" s="2856">
        <v>-0.11117508808905435</v>
      </c>
      <c r="BH22" s="2856">
        <v>-7.0865025944526652</v>
      </c>
      <c r="BI22" s="2856">
        <v>-2.9272341913763107</v>
      </c>
      <c r="BJ22" s="2856">
        <v>-0.35441828898915306</v>
      </c>
      <c r="BK22" s="2856">
        <v>-3.906419420266436</v>
      </c>
      <c r="BL22" s="2856">
        <v>1.3755940544002161</v>
      </c>
      <c r="BM22" s="2856">
        <v>2.6386723285671616</v>
      </c>
      <c r="BN22" s="2856">
        <v>-0.57386429602109634</v>
      </c>
      <c r="BO22" s="2856">
        <v>1.4880627268203224</v>
      </c>
      <c r="BP22" s="2856">
        <v>2.327317786109167</v>
      </c>
      <c r="BQ22" s="2856">
        <v>0.99960547029113533</v>
      </c>
      <c r="BR22" s="2856">
        <v>0.53164429152281689</v>
      </c>
      <c r="BS22" s="2856">
        <v>-0.42066845946984316</v>
      </c>
      <c r="BT22" s="2856">
        <v>-1.5669024098898441</v>
      </c>
      <c r="BU22" s="2856">
        <v>-3.3702314587869582</v>
      </c>
      <c r="BV22" s="2856">
        <v>1.7614687091865044</v>
      </c>
      <c r="BW22" s="2856">
        <v>-2.3218577820508055</v>
      </c>
      <c r="BX22" s="2856">
        <v>-3.4239618230103548</v>
      </c>
      <c r="BY22" s="2856">
        <v>-3.0362951862275658</v>
      </c>
      <c r="BZ22" s="2856">
        <v>-1.5591722502052039</v>
      </c>
      <c r="CA22" s="2856">
        <v>-1.9616634504329367</v>
      </c>
      <c r="CB22" s="2856">
        <v>0.48892333296428936</v>
      </c>
      <c r="CC22" s="2856">
        <v>0.48444743267631518</v>
      </c>
      <c r="CD22" s="2856">
        <v>0.48226980335792213</v>
      </c>
      <c r="CE22" s="2856">
        <v>3.7688298239637499</v>
      </c>
      <c r="CH22" s="3194">
        <f t="shared" si="1"/>
        <v>0.1211118581690788</v>
      </c>
      <c r="CI22" s="3194">
        <f t="shared" si="2"/>
        <v>0.36224675984803989</v>
      </c>
      <c r="CJ22" s="3194">
        <f t="shared" si="3"/>
        <v>3.1888691278208525</v>
      </c>
    </row>
    <row r="23" spans="1:88">
      <c r="A23" s="932"/>
      <c r="B23" s="717"/>
      <c r="C23" s="718" t="s">
        <v>1712</v>
      </c>
      <c r="D23" s="2854"/>
      <c r="E23" s="2854">
        <v>-0.5908633861654855</v>
      </c>
      <c r="F23" s="2854">
        <v>2.1574781801686926</v>
      </c>
      <c r="G23" s="2854">
        <v>1.6821819369590374</v>
      </c>
      <c r="H23" s="2854">
        <v>0.32123353678124023</v>
      </c>
      <c r="I23" s="2854">
        <v>2.0673230867755299</v>
      </c>
      <c r="J23" s="2854">
        <v>3.6489480598419499</v>
      </c>
      <c r="K23" s="2854">
        <v>1.881313609019708</v>
      </c>
      <c r="L23" s="2854">
        <v>3.9261741851030152</v>
      </c>
      <c r="M23" s="2854">
        <v>2.3842704257561964</v>
      </c>
      <c r="N23" s="2854">
        <v>0.38303478723682449</v>
      </c>
      <c r="O23" s="2854">
        <v>3.6279878313776548</v>
      </c>
      <c r="P23" s="2854">
        <v>2.2679997315976586</v>
      </c>
      <c r="Q23" s="2854">
        <v>1.1400170592480885</v>
      </c>
      <c r="R23" s="2854">
        <v>2.6078917919525102</v>
      </c>
      <c r="S23" s="2854">
        <v>-1.7852909099530634</v>
      </c>
      <c r="T23" s="2854">
        <v>-1.8821162743914654</v>
      </c>
      <c r="U23" s="2854">
        <v>3.1221296417792921</v>
      </c>
      <c r="V23" s="2854">
        <v>-2.0494182578751907</v>
      </c>
      <c r="W23" s="2854">
        <v>-0.20297809460403382</v>
      </c>
      <c r="X23" s="2854">
        <v>1.3659735103648041</v>
      </c>
      <c r="Y23" s="2854">
        <v>0.60756852201131473</v>
      </c>
      <c r="Z23" s="2854">
        <v>0.58475333460972223</v>
      </c>
      <c r="AA23" s="2854">
        <v>1.1674663917198957</v>
      </c>
      <c r="AB23" s="2854">
        <v>2.8967442006318844</v>
      </c>
      <c r="AC23" s="2854">
        <v>-0.4129460884405689</v>
      </c>
      <c r="AD23" s="2854">
        <v>1.6272664677530635</v>
      </c>
      <c r="AE23" s="2854">
        <v>5.1514261839698205</v>
      </c>
      <c r="AF23" s="2854">
        <v>0.59922680412372031</v>
      </c>
      <c r="AG23" s="2854">
        <v>1.2653273269426224</v>
      </c>
      <c r="AH23" s="2854">
        <v>1.8201623388031996</v>
      </c>
      <c r="AI23" s="2854">
        <v>0.88622010560099884</v>
      </c>
      <c r="AJ23" s="2854">
        <v>3.0895743967599198</v>
      </c>
      <c r="AK23" s="2854">
        <v>3.6387165278561007</v>
      </c>
      <c r="AL23" s="2854">
        <v>2.7118231647969004</v>
      </c>
      <c r="AM23" s="2854">
        <v>3.4382149959788499</v>
      </c>
      <c r="AN23" s="2854">
        <v>3.6566255620246402</v>
      </c>
      <c r="AO23" s="2854">
        <v>2.993865744105606</v>
      </c>
      <c r="AP23" s="2854">
        <v>1.5338670159314116</v>
      </c>
      <c r="AQ23" s="2854">
        <v>2.0027689587492015</v>
      </c>
      <c r="AR23" s="2854">
        <v>1.1676015110137383</v>
      </c>
      <c r="AS23" s="2854">
        <v>3.7360920283412868</v>
      </c>
      <c r="AT23" s="2854">
        <v>2.1503254055233123</v>
      </c>
      <c r="AU23" s="2854">
        <v>2.2713289842323681</v>
      </c>
      <c r="AV23" s="2854">
        <v>26.809720785935887</v>
      </c>
      <c r="AW23" s="2854">
        <v>0.89429938053791069</v>
      </c>
      <c r="AX23" s="2854">
        <v>7.0264745998500189</v>
      </c>
      <c r="AY23" s="2854">
        <v>4.1231124488513959</v>
      </c>
      <c r="AZ23" s="2854">
        <v>2.8276129005261996</v>
      </c>
      <c r="BA23" s="2854">
        <v>5.5102276118390803</v>
      </c>
      <c r="BB23" s="2854">
        <v>-0.74018840575050815</v>
      </c>
      <c r="BC23" s="2854">
        <v>3.7444063801265193</v>
      </c>
      <c r="BD23" s="2854">
        <v>2.3879674654648131</v>
      </c>
      <c r="BE23" s="2854">
        <v>-0.83646040682946454</v>
      </c>
      <c r="BF23" s="2854">
        <v>-2.4825932586341914</v>
      </c>
      <c r="BG23" s="2854">
        <v>-6.3528239851968094</v>
      </c>
      <c r="BH23" s="2854">
        <v>-15.770711871709608</v>
      </c>
      <c r="BI23" s="2854">
        <v>-0.22939354580877591</v>
      </c>
      <c r="BJ23" s="2854">
        <v>-2.5535647764278857</v>
      </c>
      <c r="BK23" s="2854">
        <v>-6.0347095480030921</v>
      </c>
      <c r="BL23" s="2854">
        <v>6.5430127518099956</v>
      </c>
      <c r="BM23" s="2854">
        <v>1.0006076731047031</v>
      </c>
      <c r="BN23" s="2854">
        <v>0.55408981702436133</v>
      </c>
      <c r="BO23" s="2854">
        <v>1.7950127753161516</v>
      </c>
      <c r="BP23" s="2854">
        <v>3.9882124928512397</v>
      </c>
      <c r="BQ23" s="2854">
        <v>-0.44302878923287992</v>
      </c>
      <c r="BR23" s="2854">
        <v>0.63374176174071373</v>
      </c>
      <c r="BS23" s="2854">
        <v>0.19670181377371421</v>
      </c>
      <c r="BT23" s="2854">
        <v>-0.95532677425983481</v>
      </c>
      <c r="BU23" s="2854">
        <v>-2.7472717425124027</v>
      </c>
      <c r="BV23" s="2854">
        <v>6.1517740412909472</v>
      </c>
      <c r="BW23" s="2854">
        <v>-3.9649642423926768</v>
      </c>
      <c r="BX23" s="2854">
        <v>1.4002433184294505</v>
      </c>
      <c r="BY23" s="2854">
        <v>1.2181329094577142</v>
      </c>
      <c r="BZ23" s="2854">
        <v>4.0958852397131151</v>
      </c>
      <c r="CA23" s="2854">
        <v>-0.88087035358115351</v>
      </c>
      <c r="CB23" s="2854">
        <v>0.64978541714686422</v>
      </c>
      <c r="CC23" s="2854">
        <v>1.2962700429303142</v>
      </c>
      <c r="CD23" s="2854">
        <v>0.18086362380367316</v>
      </c>
      <c r="CE23" s="2854">
        <v>2.3872095730475564</v>
      </c>
      <c r="CH23" s="3194">
        <f t="shared" si="1"/>
        <v>0.32406751073257856</v>
      </c>
      <c r="CI23" s="3194">
        <f t="shared" si="2"/>
        <v>0.41449932263441513</v>
      </c>
      <c r="CJ23" s="3194">
        <f t="shared" si="3"/>
        <v>2.2049065024200827</v>
      </c>
    </row>
    <row r="24" spans="1:88">
      <c r="A24" s="932"/>
      <c r="B24" s="674"/>
      <c r="C24" s="220" t="s">
        <v>912</v>
      </c>
      <c r="D24" s="2853"/>
      <c r="E24" s="2853">
        <v>3.2939762812810303</v>
      </c>
      <c r="F24" s="2853">
        <v>4.2965885238853696</v>
      </c>
      <c r="G24" s="2853">
        <v>3.8140730323456884</v>
      </c>
      <c r="H24" s="2853">
        <v>5.3976410136634456</v>
      </c>
      <c r="I24" s="2853">
        <v>3.2597615565306048</v>
      </c>
      <c r="J24" s="2853">
        <v>5.5840504753524645</v>
      </c>
      <c r="K24" s="2853">
        <v>5.0122969979064846</v>
      </c>
      <c r="L24" s="2853">
        <v>3.9969031259072807</v>
      </c>
      <c r="M24" s="2853">
        <v>2.9815745393634741</v>
      </c>
      <c r="N24" s="2853">
        <v>2.150654232632121</v>
      </c>
      <c r="O24" s="2853">
        <v>8.6851137610133975</v>
      </c>
      <c r="P24" s="2853">
        <v>2.9545343556185211</v>
      </c>
      <c r="Q24" s="2853">
        <v>-1.3360528729089771</v>
      </c>
      <c r="R24" s="2853">
        <v>-6.464639989743759</v>
      </c>
      <c r="S24" s="2853">
        <v>-5.712131855329206</v>
      </c>
      <c r="T24" s="2853">
        <v>-5.5221412606981328</v>
      </c>
      <c r="U24" s="2853">
        <v>-4.9967303919682848</v>
      </c>
      <c r="V24" s="2853">
        <v>-0.80168434691070267</v>
      </c>
      <c r="W24" s="2853">
        <v>-1.0061224489795961</v>
      </c>
      <c r="X24" s="2853">
        <v>8.5121735007318566</v>
      </c>
      <c r="Y24" s="2853">
        <v>0.68014286799908952</v>
      </c>
      <c r="Z24" s="2853">
        <v>7.4687700494395548</v>
      </c>
      <c r="AA24" s="2853">
        <v>0.45301306363254579</v>
      </c>
      <c r="AB24" s="2853">
        <v>10.12060828526482</v>
      </c>
      <c r="AC24" s="2853">
        <v>3.9365079365079492</v>
      </c>
      <c r="AD24" s="2853">
        <v>2.6389737324373774</v>
      </c>
      <c r="AE24" s="2853">
        <v>4.1230210689203739</v>
      </c>
      <c r="AF24" s="2853">
        <v>4.9271924434473036</v>
      </c>
      <c r="AG24" s="2853">
        <v>8.348427690086746</v>
      </c>
      <c r="AH24" s="2853">
        <v>-1.3135236371406567</v>
      </c>
      <c r="AI24" s="2853">
        <v>5.7443448135316988</v>
      </c>
      <c r="AJ24" s="2853">
        <v>5.8213485582134794</v>
      </c>
      <c r="AK24" s="2853">
        <v>-7.8151499630072401</v>
      </c>
      <c r="AL24" s="2853">
        <v>3.7017372729630127</v>
      </c>
      <c r="AM24" s="2853">
        <v>3.3064640956338209</v>
      </c>
      <c r="AN24" s="2853">
        <v>-5.1426859065971886</v>
      </c>
      <c r="AO24" s="2853">
        <v>4.4032951811620702</v>
      </c>
      <c r="AP24" s="2853">
        <v>4.7284873030281505</v>
      </c>
      <c r="AQ24" s="2853">
        <v>5.3573214503995104</v>
      </c>
      <c r="AR24" s="2853">
        <v>1.8932602046197733</v>
      </c>
      <c r="AS24" s="2853">
        <v>3.4066559701878996</v>
      </c>
      <c r="AT24" s="2853">
        <v>5.475694722511415</v>
      </c>
      <c r="AU24" s="2853">
        <v>9.0427652183816321</v>
      </c>
      <c r="AV24" s="2853">
        <v>11.907497345379214</v>
      </c>
      <c r="AW24" s="2853">
        <v>2.3861559401127552</v>
      </c>
      <c r="AX24" s="2853">
        <v>-2.3662481104198441</v>
      </c>
      <c r="AY24" s="2853">
        <v>3.1650690900037359</v>
      </c>
      <c r="AZ24" s="2853">
        <v>-1.9027723309903877</v>
      </c>
      <c r="BA24" s="2853">
        <v>0.51586416858226958</v>
      </c>
      <c r="BB24" s="2853">
        <v>6.167013400232535</v>
      </c>
      <c r="BC24" s="2853">
        <v>-0.45602887462450337</v>
      </c>
      <c r="BD24" s="2853">
        <v>9.3621086456207703</v>
      </c>
      <c r="BE24" s="2853">
        <v>4.4093706571371794</v>
      </c>
      <c r="BF24" s="2853">
        <v>-3.0841779011617887</v>
      </c>
      <c r="BG24" s="2853">
        <v>-3.5936876663592909</v>
      </c>
      <c r="BH24" s="2853">
        <v>-7.2402518112501095</v>
      </c>
      <c r="BI24" s="2853">
        <v>-6.6008965986295127</v>
      </c>
      <c r="BJ24" s="2853">
        <v>2.3404038743119582</v>
      </c>
      <c r="BK24" s="2853">
        <v>4.5110250799528462</v>
      </c>
      <c r="BL24" s="2853">
        <v>4.9393109708780525</v>
      </c>
      <c r="BM24" s="2853">
        <v>7.945864871463959</v>
      </c>
      <c r="BN24" s="2853">
        <v>5.0770672439977904</v>
      </c>
      <c r="BO24" s="2853">
        <v>5.4105085767354844</v>
      </c>
      <c r="BP24" s="2853">
        <v>3.1670828762807135</v>
      </c>
      <c r="BQ24" s="2853">
        <v>3.3701701203511236</v>
      </c>
      <c r="BR24" s="2853">
        <v>0.22048967309533651</v>
      </c>
      <c r="BS24" s="2853">
        <v>0.32318291497885898</v>
      </c>
      <c r="BT24" s="2853">
        <v>4.4376122326821532</v>
      </c>
      <c r="BU24" s="2853">
        <v>2.6156050540575571</v>
      </c>
      <c r="BV24" s="2853">
        <v>5.8204067125339654</v>
      </c>
      <c r="BW24" s="2853">
        <v>4.4681586119534655</v>
      </c>
      <c r="BX24" s="2853">
        <v>1.1468859085063343</v>
      </c>
      <c r="BY24" s="2853">
        <v>1.2632993819732485</v>
      </c>
      <c r="BZ24" s="2853">
        <v>0.30941842788532181</v>
      </c>
      <c r="CA24" s="2853">
        <v>0.63078649374801454</v>
      </c>
      <c r="CB24" s="2853">
        <v>-0.69080408707240526</v>
      </c>
      <c r="CC24" s="2853">
        <v>4.064506027869097</v>
      </c>
      <c r="CD24" s="2853">
        <v>0.18742128091271404</v>
      </c>
      <c r="CE24" s="2853">
        <v>-0.9</v>
      </c>
      <c r="CH24" s="3194">
        <f t="shared" si="1"/>
        <v>1.0161265069672742</v>
      </c>
      <c r="CI24" s="3194">
        <f t="shared" si="2"/>
        <v>1.1098371474236313</v>
      </c>
      <c r="CJ24" s="3194">
        <f t="shared" si="3"/>
        <v>0.43483714742363122</v>
      </c>
    </row>
    <row r="25" spans="1:88">
      <c r="A25" s="932"/>
      <c r="B25" s="717"/>
      <c r="C25" s="718" t="s">
        <v>1359</v>
      </c>
      <c r="D25" s="2854"/>
      <c r="E25" s="2854">
        <v>0.51279767868142034</v>
      </c>
      <c r="F25" s="2854">
        <v>2.782002628431357</v>
      </c>
      <c r="G25" s="2854">
        <v>2.3137705624596272</v>
      </c>
      <c r="H25" s="2854">
        <v>1.8472102281104075</v>
      </c>
      <c r="I25" s="2854">
        <v>2.4382677751582094</v>
      </c>
      <c r="J25" s="2854">
        <v>4.2557486927906396</v>
      </c>
      <c r="K25" s="2854">
        <v>2.8756220832284685</v>
      </c>
      <c r="L25" s="2854">
        <v>3.9491021345480437</v>
      </c>
      <c r="M25" s="2854">
        <v>2.5779854169684757</v>
      </c>
      <c r="N25" s="2854">
        <v>0.95855669253810394</v>
      </c>
      <c r="O25" s="2854">
        <v>5.2939873639055168</v>
      </c>
      <c r="P25" s="2854">
        <v>2.501453045860913</v>
      </c>
      <c r="Q25" s="2854">
        <v>0.29431777679369553</v>
      </c>
      <c r="R25" s="2854">
        <v>-0.4404503577986052</v>
      </c>
      <c r="S25" s="2854">
        <v>-3.0248619531532905</v>
      </c>
      <c r="T25" s="2854">
        <v>-2.999308452495153</v>
      </c>
      <c r="U25" s="2854">
        <v>0.6951072270453551</v>
      </c>
      <c r="V25" s="2854">
        <v>-1.6975088358389567</v>
      </c>
      <c r="W25" s="2854">
        <v>-0.43156023837459534</v>
      </c>
      <c r="X25" s="2854">
        <v>3.3881101135786906</v>
      </c>
      <c r="Y25" s="2854">
        <v>0.62912244471904355</v>
      </c>
      <c r="Z25" s="2854">
        <v>2.6302804660603529</v>
      </c>
      <c r="AA25" s="2854">
        <v>0.94516409250589017</v>
      </c>
      <c r="AB25" s="2854">
        <v>5.1334924526565962</v>
      </c>
      <c r="AC25" s="2854">
        <v>0.99767312563061594</v>
      </c>
      <c r="AD25" s="2854">
        <v>1.9649319537183407</v>
      </c>
      <c r="AE25" s="2854">
        <v>4.8059186682996247</v>
      </c>
      <c r="AF25" s="2854">
        <v>2.0437949241387088</v>
      </c>
      <c r="AG25" s="2854">
        <v>3.6962943574019524</v>
      </c>
      <c r="AH25" s="2854">
        <v>0.69641021942556947</v>
      </c>
      <c r="AI25" s="2854">
        <v>2.5935889917948707</v>
      </c>
      <c r="AJ25" s="2854">
        <v>4.0791305068698103</v>
      </c>
      <c r="AK25" s="2854">
        <v>-0.57977697660770433</v>
      </c>
      <c r="AL25" s="2854">
        <v>3.0498783506284877</v>
      </c>
      <c r="AM25" s="2854">
        <v>3.3929375179017063</v>
      </c>
      <c r="AN25" s="2854">
        <v>0.63518572751524172</v>
      </c>
      <c r="AO25" s="2854">
        <v>3.4500387357591977</v>
      </c>
      <c r="AP25" s="2854">
        <v>2.5773587774652107</v>
      </c>
      <c r="AQ25" s="2854">
        <v>3.1214793951971576</v>
      </c>
      <c r="AR25" s="2854">
        <v>1.4148485425658386</v>
      </c>
      <c r="AS25" s="2854">
        <v>3.623316796598175</v>
      </c>
      <c r="AT25" s="2854">
        <v>3.2863127297597661</v>
      </c>
      <c r="AU25" s="2854">
        <v>4.6335689572400307</v>
      </c>
      <c r="AV25" s="2854">
        <v>21.391956459829785</v>
      </c>
      <c r="AW25" s="2854">
        <v>1.3942940555475847</v>
      </c>
      <c r="AX25" s="2854">
        <v>3.8477161014334849</v>
      </c>
      <c r="AY25" s="2854">
        <v>3.8182848909892542</v>
      </c>
      <c r="AZ25" s="2854">
        <v>1.3319821162444123</v>
      </c>
      <c r="BA25" s="2854">
        <v>3.9815418356037302</v>
      </c>
      <c r="BB25" s="2854">
        <v>1.3035183680674578</v>
      </c>
      <c r="BC25" s="2854">
        <v>2.4419121572867297</v>
      </c>
      <c r="BD25" s="2854">
        <v>4.4893713528082912</v>
      </c>
      <c r="BE25" s="2854">
        <v>0.81789134713110556</v>
      </c>
      <c r="BF25" s="2854">
        <v>-2.6790704606709292</v>
      </c>
      <c r="BG25" s="2854">
        <v>-5.4554426804158895</v>
      </c>
      <c r="BH25" s="2854">
        <v>-12.941631720091429</v>
      </c>
      <c r="BI25" s="2854">
        <v>-2.4808509318696381</v>
      </c>
      <c r="BJ25" s="2854">
        <v>-0.89727689975724889</v>
      </c>
      <c r="BK25" s="2854">
        <v>-2.3490686617929524</v>
      </c>
      <c r="BL25" s="2854">
        <v>5.9431588228690213</v>
      </c>
      <c r="BM25" s="2854">
        <v>3.5738193886228009</v>
      </c>
      <c r="BN25" s="2854">
        <v>2.3005859394495953</v>
      </c>
      <c r="BO25" s="2854">
        <v>3.2289854931051298</v>
      </c>
      <c r="BP25" s="2854">
        <v>3.6556548041022596</v>
      </c>
      <c r="BQ25" s="2854">
        <v>1.0940385272997011</v>
      </c>
      <c r="BR25" s="2854">
        <v>0.46341292910796472</v>
      </c>
      <c r="BS25" s="2854">
        <v>0.24870708231574667</v>
      </c>
      <c r="BT25" s="2854">
        <v>1.2637367558417489</v>
      </c>
      <c r="BU25" s="2854">
        <v>-0.47141442015141699</v>
      </c>
      <c r="BV25" s="2854">
        <v>6.006789240298227</v>
      </c>
      <c r="BW25" s="2854">
        <v>-0.28166534636036022</v>
      </c>
      <c r="BX25" s="2854">
        <v>1.2843145908729925</v>
      </c>
      <c r="BY25" s="2854">
        <v>1.2387716862857445</v>
      </c>
      <c r="BZ25" s="2854">
        <v>2.3652436262423304</v>
      </c>
      <c r="CA25" s="2854">
        <v>-0.20382869579669283</v>
      </c>
      <c r="CB25" s="2854">
        <v>4.434002580147034E-2</v>
      </c>
      <c r="CC25" s="2854">
        <v>2.537291283124965</v>
      </c>
      <c r="CD25" s="2854">
        <v>0.18384725813330205</v>
      </c>
      <c r="CE25" s="2854">
        <v>0.89152581608984793</v>
      </c>
      <c r="CH25" s="3194">
        <f t="shared" si="1"/>
        <v>0.63432282078124125</v>
      </c>
      <c r="CI25" s="3194">
        <f t="shared" si="2"/>
        <v>0.72624644984789222</v>
      </c>
      <c r="CJ25" s="3194">
        <f t="shared" si="3"/>
        <v>1.3948908119152783</v>
      </c>
    </row>
    <row r="26" spans="1:88">
      <c r="A26" s="690"/>
      <c r="B26" s="691"/>
      <c r="C26" s="735" t="s">
        <v>1086</v>
      </c>
      <c r="D26" s="2855"/>
      <c r="E26" s="2855">
        <v>-0.99948950804698011</v>
      </c>
      <c r="F26" s="2855">
        <v>4.890493120199757</v>
      </c>
      <c r="G26" s="2855">
        <v>3.7258402545990776</v>
      </c>
      <c r="H26" s="2855">
        <v>6.2910025193943619</v>
      </c>
      <c r="I26" s="2855">
        <v>4.5551618126774773</v>
      </c>
      <c r="J26" s="2855">
        <v>7.3644280840366338</v>
      </c>
      <c r="K26" s="2855">
        <v>6.7024857316078545</v>
      </c>
      <c r="L26" s="2855">
        <v>6.7262289621661919</v>
      </c>
      <c r="M26" s="2855">
        <v>7.3634160669701965</v>
      </c>
      <c r="N26" s="2855">
        <v>0.65318126635089957</v>
      </c>
      <c r="O26" s="2855">
        <v>5.2017327783912215</v>
      </c>
      <c r="P26" s="2855">
        <v>3.0051512264440472</v>
      </c>
      <c r="Q26" s="2855">
        <v>0.12384774565747936</v>
      </c>
      <c r="R26" s="2855">
        <v>1.3340222650194855</v>
      </c>
      <c r="S26" s="2855">
        <v>-12.331772740617131</v>
      </c>
      <c r="T26" s="2855">
        <v>-5.1693750220310868</v>
      </c>
      <c r="U26" s="2855">
        <v>3.5572902146640439</v>
      </c>
      <c r="V26" s="2855">
        <v>-1.8880453705199307</v>
      </c>
      <c r="W26" s="2855">
        <v>-2.6432765653867873</v>
      </c>
      <c r="X26" s="2855">
        <v>2.825899064296733</v>
      </c>
      <c r="Y26" s="2855">
        <v>0.50615795051711654</v>
      </c>
      <c r="Z26" s="2855">
        <v>6.7978110284893534</v>
      </c>
      <c r="AA26" s="2855">
        <v>9.8736849273106664E-2</v>
      </c>
      <c r="AB26" s="2855">
        <v>8.0969387755101874</v>
      </c>
      <c r="AC26" s="2855">
        <v>2.6919022671134885</v>
      </c>
      <c r="AD26" s="2855">
        <v>3.9955876945704238</v>
      </c>
      <c r="AE26" s="2855">
        <v>7.4823217442545609</v>
      </c>
      <c r="AF26" s="2855">
        <v>3.0414342301840813</v>
      </c>
      <c r="AG26" s="2855">
        <v>7.5128362020803863</v>
      </c>
      <c r="AH26" s="2855">
        <v>-0.80172221809813315</v>
      </c>
      <c r="AI26" s="2855">
        <v>4.1233256005388075</v>
      </c>
      <c r="AJ26" s="2855">
        <v>1.2936610608020649</v>
      </c>
      <c r="AK26" s="2855">
        <v>-1.020528830235079</v>
      </c>
      <c r="AL26" s="2855">
        <v>4.0644675690851839</v>
      </c>
      <c r="AM26" s="2855">
        <v>4.5027151762855544</v>
      </c>
      <c r="AN26" s="2855">
        <v>1.0832188959077227</v>
      </c>
      <c r="AO26" s="2855">
        <v>5.6373694449576517</v>
      </c>
      <c r="AP26" s="2855">
        <v>4.0268318278154025</v>
      </c>
      <c r="AQ26" s="2855">
        <v>2.3231663897460342</v>
      </c>
      <c r="AR26" s="2855">
        <v>3.7850011115299509</v>
      </c>
      <c r="AS26" s="2855">
        <v>6.5283999366717138</v>
      </c>
      <c r="AT26" s="2855">
        <v>4.8108613741072004</v>
      </c>
      <c r="AU26" s="2855">
        <v>5.6385019601301156</v>
      </c>
      <c r="AV26" s="2855">
        <v>17.774970390840906</v>
      </c>
      <c r="AW26" s="2855">
        <v>-1.2503184457167249</v>
      </c>
      <c r="AX26" s="2855">
        <v>6.1779941207220856</v>
      </c>
      <c r="AY26" s="2855">
        <v>4.1918962639948321</v>
      </c>
      <c r="AZ26" s="2855">
        <v>1.2776690211288022</v>
      </c>
      <c r="BA26" s="2855">
        <v>4.1209440421728694</v>
      </c>
      <c r="BB26" s="2855">
        <v>-0.46206848390325517</v>
      </c>
      <c r="BC26" s="2855">
        <v>1.7767565861016577</v>
      </c>
      <c r="BD26" s="2855">
        <v>8.0617643510779491</v>
      </c>
      <c r="BE26" s="2855">
        <v>4.8438455200276342</v>
      </c>
      <c r="BF26" s="2855">
        <v>-1.9191084384998058</v>
      </c>
      <c r="BG26" s="2855">
        <v>-10.725178606507379</v>
      </c>
      <c r="BH26" s="2855">
        <v>-18.320738874895049</v>
      </c>
      <c r="BI26" s="2855">
        <v>-5.2518148820326687</v>
      </c>
      <c r="BJ26" s="2855">
        <v>2.58440081407878</v>
      </c>
      <c r="BK26" s="2855">
        <v>1.8336712812358824</v>
      </c>
      <c r="BL26" s="2855">
        <v>5.7915998166399252</v>
      </c>
      <c r="BM26" s="2855">
        <v>7.4643539017751781</v>
      </c>
      <c r="BN26" s="2855">
        <v>4.9537885803927484</v>
      </c>
      <c r="BO26" s="2855">
        <v>8.3240290533645336</v>
      </c>
      <c r="BP26" s="2855">
        <v>3.4501293937059918</v>
      </c>
      <c r="BQ26" s="2855">
        <v>1.2727457776015916</v>
      </c>
      <c r="BR26" s="2855">
        <v>-2.6240485774282285</v>
      </c>
      <c r="BS26" s="2855">
        <v>1.102130387076472</v>
      </c>
      <c r="BT26" s="2855">
        <v>-1.3866875842838633</v>
      </c>
      <c r="BU26" s="2855">
        <v>2.1841936081418378</v>
      </c>
      <c r="BV26" s="2855">
        <v>7.8073098557756238</v>
      </c>
      <c r="BW26" s="2855">
        <v>3.2255511923955815</v>
      </c>
      <c r="BX26" s="2855">
        <v>2.3112303564584158</v>
      </c>
      <c r="BY26" s="2855">
        <v>-9.3657513205702703E-2</v>
      </c>
      <c r="BZ26" s="2855">
        <v>1.9269349032548178</v>
      </c>
      <c r="CA26" s="2855">
        <v>2.0983651790025704</v>
      </c>
      <c r="CB26" s="2855">
        <v>-2.6844670251961689</v>
      </c>
      <c r="CC26" s="2855">
        <v>6.4653935517314798</v>
      </c>
      <c r="CD26" s="2855">
        <v>-1.8293504675537919</v>
      </c>
      <c r="CE26" s="2855">
        <v>1.96</v>
      </c>
      <c r="CH26" s="3194">
        <f t="shared" si="1"/>
        <v>1.6163483879328699</v>
      </c>
      <c r="CI26" s="3194">
        <f t="shared" si="2"/>
        <v>0.70167315415597398</v>
      </c>
      <c r="CJ26" s="3194">
        <f t="shared" si="3"/>
        <v>2.171673154155974</v>
      </c>
    </row>
    <row r="27" spans="1:88">
      <c r="A27" s="674"/>
      <c r="B27" s="717"/>
      <c r="C27" s="718" t="s">
        <v>1269</v>
      </c>
      <c r="D27" s="2854"/>
      <c r="E27" s="2854">
        <v>2.0272984805562722</v>
      </c>
      <c r="F27" s="2854">
        <v>2.5241561745903418E-2</v>
      </c>
      <c r="G27" s="2854">
        <v>2.3953244236282423</v>
      </c>
      <c r="H27" s="2854">
        <v>1.0331128439191151</v>
      </c>
      <c r="I27" s="2854">
        <v>-0.40101864590347258</v>
      </c>
      <c r="J27" s="2854">
        <v>3.4669566410000519</v>
      </c>
      <c r="K27" s="2854">
        <v>0.69212342709978891</v>
      </c>
      <c r="L27" s="2854">
        <v>1.4499567457780138</v>
      </c>
      <c r="M27" s="2854">
        <v>3.1977013624988393</v>
      </c>
      <c r="N27" s="2854">
        <v>2.9629962277707866</v>
      </c>
      <c r="O27" s="2854">
        <v>1.9155784680606081</v>
      </c>
      <c r="P27" s="2854">
        <v>2.0712971284289727</v>
      </c>
      <c r="Q27" s="2854">
        <v>1.7391304347826209</v>
      </c>
      <c r="R27" s="2854">
        <v>0.92146148076719392</v>
      </c>
      <c r="S27" s="2854">
        <v>4.0833993482758402E-3</v>
      </c>
      <c r="T27" s="2854">
        <v>-1.5034462483258682</v>
      </c>
      <c r="U27" s="2854">
        <v>0.36895473878832963</v>
      </c>
      <c r="V27" s="2854">
        <v>-1.5769561194818982</v>
      </c>
      <c r="W27" s="2854">
        <v>0.14687738675753792</v>
      </c>
      <c r="X27" s="2854">
        <v>2.1689210707162232</v>
      </c>
      <c r="Y27" s="2854">
        <v>1.2049872857025523</v>
      </c>
      <c r="Z27" s="2854">
        <v>1.3251849990679077</v>
      </c>
      <c r="AA27" s="2854">
        <v>1.6478154446701865</v>
      </c>
      <c r="AB27" s="2854">
        <v>2.8337818908667378</v>
      </c>
      <c r="AC27" s="2854">
        <v>-5.5863784197429656E-2</v>
      </c>
      <c r="AD27" s="2854">
        <v>2.2335033154162964</v>
      </c>
      <c r="AE27" s="2854">
        <v>2.3921689048000516</v>
      </c>
      <c r="AF27" s="2854">
        <v>0.37084988260078777</v>
      </c>
      <c r="AG27" s="2854">
        <v>2.9682262060924058</v>
      </c>
      <c r="AH27" s="2854">
        <v>1.5853580856800997</v>
      </c>
      <c r="AI27" s="2854">
        <v>1.4902496290052136</v>
      </c>
      <c r="AJ27" s="2854">
        <v>4.2389752320281193</v>
      </c>
      <c r="AK27" s="2854">
        <v>1.5410248473792798</v>
      </c>
      <c r="AL27" s="2854">
        <v>2.7142366087931968</v>
      </c>
      <c r="AM27" s="2854">
        <v>1.6934811709140574</v>
      </c>
      <c r="AN27" s="2854">
        <v>1.5311634607026336</v>
      </c>
      <c r="AO27" s="2854">
        <v>1.7692025440313008</v>
      </c>
      <c r="AP27" s="2854">
        <v>0.85149597687681489</v>
      </c>
      <c r="AQ27" s="2854">
        <v>2.5507954477745232</v>
      </c>
      <c r="AR27" s="2854">
        <v>1.9388650347740732</v>
      </c>
      <c r="AS27" s="2854">
        <v>1.7361269435958393</v>
      </c>
      <c r="AT27" s="2854">
        <v>2.6622743621634415</v>
      </c>
      <c r="AU27" s="2854">
        <v>2.157209434312346</v>
      </c>
      <c r="AV27" s="2854">
        <v>27.210615441321796</v>
      </c>
      <c r="AW27" s="2854">
        <v>1.6700470737432749</v>
      </c>
      <c r="AX27" s="2854">
        <v>1.5947033215757855</v>
      </c>
      <c r="AY27" s="2854">
        <v>2.858014025815625</v>
      </c>
      <c r="AZ27" s="2854">
        <v>3.3837275943163103</v>
      </c>
      <c r="BA27" s="2854">
        <v>2.8994594098621373</v>
      </c>
      <c r="BB27" s="2854">
        <v>2.4127809771502973</v>
      </c>
      <c r="BC27" s="2854">
        <v>2.1201259595710509</v>
      </c>
      <c r="BD27" s="2854">
        <v>-0.42275336781675277</v>
      </c>
      <c r="BE27" s="2854">
        <v>0.73707268692606576</v>
      </c>
      <c r="BF27" s="2854">
        <v>-1.0897281523140512</v>
      </c>
      <c r="BG27" s="2854">
        <v>-1.1264398271312426</v>
      </c>
      <c r="BH27" s="2854">
        <v>-13.111417717760121</v>
      </c>
      <c r="BI27" s="2854">
        <v>-1.0886281701294132</v>
      </c>
      <c r="BJ27" s="2854">
        <v>0.58064325834412678</v>
      </c>
      <c r="BK27" s="2854">
        <v>-1.4763239366404002</v>
      </c>
      <c r="BL27" s="2854">
        <v>0.9248353367888873</v>
      </c>
      <c r="BM27" s="2854">
        <v>1.5976271529205777</v>
      </c>
      <c r="BN27" s="2854">
        <v>1.1611319377613505E-2</v>
      </c>
      <c r="BO27" s="2854">
        <v>2.4857777851491791</v>
      </c>
      <c r="BP27" s="2854">
        <v>1.8712044892724489</v>
      </c>
      <c r="BQ27" s="2854">
        <v>1.6716178432992335</v>
      </c>
      <c r="BR27" s="2854">
        <v>0.58671645813881401</v>
      </c>
      <c r="BS27" s="2854">
        <v>1.0862009374648318</v>
      </c>
      <c r="BT27" s="2854">
        <v>1.3081060315021098</v>
      </c>
      <c r="BU27" s="2854">
        <v>-0.20780796723611772</v>
      </c>
      <c r="BV27" s="2854">
        <v>2.1264872300565951</v>
      </c>
      <c r="BW27" s="2854">
        <v>0.62399303449636179</v>
      </c>
      <c r="BX27" s="2854">
        <v>0.11426247087971131</v>
      </c>
      <c r="BY27" s="2854">
        <v>1.0530437063001497</v>
      </c>
      <c r="BZ27" s="2854">
        <v>1.0844694616031214</v>
      </c>
      <c r="CA27" s="2854">
        <v>0.80887484316072289</v>
      </c>
      <c r="CB27" s="2854">
        <v>0.43365352195527951</v>
      </c>
      <c r="CC27" s="2854">
        <v>0.92391867229995039</v>
      </c>
      <c r="CD27" s="2854">
        <v>0.45153756325417849</v>
      </c>
      <c r="CE27" s="2854">
        <v>4.9105650468611199E-2</v>
      </c>
      <c r="CH27" s="3194">
        <f t="shared" si="1"/>
        <v>0.2309796680749876</v>
      </c>
      <c r="CI27" s="3194">
        <f t="shared" si="2"/>
        <v>0.45674844970207684</v>
      </c>
      <c r="CJ27" s="3194">
        <f t="shared" si="3"/>
        <v>0.49357768755353526</v>
      </c>
    </row>
    <row r="28" spans="1:88">
      <c r="CH28" s="3194"/>
      <c r="CI28" s="3194"/>
      <c r="CJ28" s="3194"/>
    </row>
    <row r="29" spans="1:88">
      <c r="CH29" s="3194"/>
      <c r="CI29" s="3194"/>
      <c r="CJ29" s="3194"/>
    </row>
    <row r="30" spans="1:88">
      <c r="A30" s="3218" t="s">
        <v>2427</v>
      </c>
      <c r="CH30" s="3194"/>
      <c r="CI30" s="3194"/>
      <c r="CJ30" s="3194"/>
    </row>
    <row r="31" spans="1:88">
      <c r="A31" s="3751"/>
      <c r="B31" s="3751"/>
      <c r="C31" s="3751"/>
      <c r="D31" s="3751"/>
      <c r="E31" s="3751"/>
      <c r="F31" s="3751"/>
      <c r="G31" s="3751"/>
      <c r="H31" s="3751"/>
      <c r="I31" s="3751"/>
      <c r="J31" s="3751"/>
      <c r="K31" s="3751"/>
      <c r="L31" s="3751"/>
      <c r="M31" s="3751"/>
      <c r="N31" s="3751"/>
      <c r="O31" s="3751"/>
      <c r="P31" s="3751"/>
      <c r="Q31" s="3751"/>
      <c r="R31" s="3751"/>
      <c r="S31" s="3751"/>
      <c r="T31" s="3751"/>
      <c r="U31" s="3751"/>
      <c r="V31" s="3751"/>
      <c r="W31" s="3751"/>
      <c r="X31" s="3751"/>
      <c r="Y31" s="3751"/>
      <c r="Z31" s="3751"/>
      <c r="AA31" s="3751"/>
      <c r="AB31" s="3751"/>
      <c r="AC31" s="3751"/>
      <c r="AD31" s="3751"/>
      <c r="AE31" s="3751"/>
      <c r="AF31" s="3751"/>
      <c r="AG31" s="3751"/>
      <c r="AH31" s="3751"/>
      <c r="AI31" s="3751"/>
      <c r="AJ31" s="3751"/>
      <c r="AK31" s="3751"/>
      <c r="AL31" s="3751"/>
      <c r="AM31" s="3751"/>
      <c r="AN31" s="3751"/>
      <c r="AO31" s="3751"/>
      <c r="AP31" s="3751"/>
      <c r="AQ31" s="3751"/>
      <c r="AR31" s="3751"/>
      <c r="AS31" s="3751"/>
      <c r="AT31" s="3751"/>
      <c r="AU31" s="3751"/>
      <c r="AV31" s="3751"/>
      <c r="AW31" s="3751"/>
      <c r="AX31" s="3751"/>
      <c r="AY31" s="3751"/>
      <c r="AZ31" s="3751"/>
      <c r="BA31" s="3751"/>
      <c r="BB31" s="3751"/>
      <c r="BC31" s="3751"/>
      <c r="BD31" s="3751"/>
      <c r="BE31" s="3751"/>
      <c r="BF31" s="3751"/>
      <c r="BG31" s="3751"/>
      <c r="BH31" s="3751"/>
      <c r="BI31" s="3751"/>
      <c r="BJ31" s="3751"/>
      <c r="BK31" s="3751"/>
      <c r="BL31" s="3751"/>
      <c r="BM31" s="3751"/>
      <c r="BN31" s="3751"/>
      <c r="BO31" s="3751"/>
      <c r="BP31" s="3751"/>
      <c r="BQ31" s="3751"/>
      <c r="BR31" s="3751"/>
      <c r="BS31" s="3751"/>
      <c r="BT31" s="3751"/>
      <c r="BU31" s="3751"/>
      <c r="BV31" s="3751"/>
      <c r="BW31" s="3751"/>
      <c r="BX31" s="3751"/>
      <c r="BY31" s="3751"/>
      <c r="BZ31" s="3751"/>
      <c r="CA31" s="3751"/>
      <c r="CB31" s="3751"/>
      <c r="CC31" s="3751"/>
      <c r="CD31" s="3751"/>
      <c r="CE31" s="3751"/>
      <c r="CH31" s="3194"/>
      <c r="CI31" s="3194"/>
      <c r="CJ31" s="3194"/>
    </row>
    <row r="32" spans="1:88">
      <c r="A32" s="1553"/>
      <c r="B32" s="742"/>
      <c r="C32" s="3384" t="s">
        <v>917</v>
      </c>
      <c r="D32" s="3385"/>
      <c r="E32" s="3386"/>
      <c r="F32" s="3386"/>
      <c r="G32" s="3387"/>
      <c r="H32" s="3385"/>
      <c r="I32" s="3386"/>
      <c r="J32" s="3386"/>
      <c r="K32" s="3387"/>
      <c r="L32" s="3385"/>
      <c r="M32" s="3386"/>
      <c r="N32" s="3386"/>
      <c r="O32" s="3387"/>
      <c r="P32" s="3385"/>
      <c r="Q32" s="3386"/>
      <c r="R32" s="3386"/>
      <c r="S32" s="3387"/>
      <c r="T32" s="3385"/>
      <c r="U32" s="3386"/>
      <c r="V32" s="3386"/>
      <c r="W32" s="3387"/>
      <c r="X32" s="3385"/>
      <c r="Y32" s="3386"/>
      <c r="Z32" s="3386"/>
      <c r="AA32" s="3387"/>
      <c r="AB32" s="3385"/>
      <c r="AC32" s="3386"/>
      <c r="AD32" s="3386"/>
      <c r="AE32" s="3387"/>
      <c r="AF32" s="3385"/>
      <c r="AG32" s="3386"/>
      <c r="AH32" s="3386"/>
      <c r="AI32" s="3387"/>
      <c r="AJ32" s="3385"/>
      <c r="AK32" s="3386"/>
      <c r="AL32" s="3386"/>
      <c r="AM32" s="3387"/>
      <c r="AN32" s="3385"/>
      <c r="AO32" s="3386"/>
      <c r="AP32" s="3386"/>
      <c r="AQ32" s="3387"/>
      <c r="AR32" s="3385"/>
      <c r="AS32" s="3386"/>
      <c r="AT32" s="3386"/>
      <c r="AU32" s="3387"/>
      <c r="AV32" s="3385"/>
      <c r="AW32" s="3386"/>
      <c r="AX32" s="3386"/>
      <c r="AY32" s="3386"/>
      <c r="AZ32" s="3386"/>
      <c r="BA32" s="3386"/>
      <c r="BB32" s="3386"/>
      <c r="BC32" s="3386"/>
      <c r="BD32" s="3386"/>
      <c r="BE32" s="3386"/>
      <c r="BF32" s="3386"/>
      <c r="BG32" s="3386"/>
      <c r="BH32" s="3386"/>
      <c r="BI32" s="3386"/>
      <c r="BJ32" s="3386"/>
      <c r="BK32" s="3386"/>
      <c r="BL32" s="3386"/>
      <c r="BM32" s="3386"/>
      <c r="BN32" s="3386"/>
      <c r="BO32" s="3386"/>
      <c r="BP32" s="3386"/>
      <c r="BQ32" s="3386"/>
      <c r="BR32" s="3386"/>
      <c r="BS32" s="3386"/>
      <c r="BT32" s="3386"/>
      <c r="BU32" s="3386"/>
      <c r="BV32" s="3386"/>
      <c r="BW32" s="3386"/>
      <c r="BX32" s="3386" t="s">
        <v>1842</v>
      </c>
      <c r="BY32" s="3386" t="s">
        <v>1843</v>
      </c>
      <c r="BZ32" s="3386" t="s">
        <v>1844</v>
      </c>
      <c r="CA32" s="3386" t="s">
        <v>1845</v>
      </c>
      <c r="CB32" s="3386" t="s">
        <v>1842</v>
      </c>
      <c r="CC32" s="3386" t="s">
        <v>1843</v>
      </c>
      <c r="CD32" s="3386" t="s">
        <v>1844</v>
      </c>
      <c r="CE32" s="3386" t="s">
        <v>1845</v>
      </c>
      <c r="CH32" s="3194"/>
      <c r="CI32" s="3194"/>
      <c r="CJ32" s="3194"/>
    </row>
    <row r="33" spans="1:88">
      <c r="A33" s="762"/>
      <c r="B33" s="689"/>
      <c r="C33" s="732" t="s">
        <v>1069</v>
      </c>
      <c r="D33" s="2852"/>
      <c r="E33" s="2852"/>
      <c r="F33" s="2852"/>
      <c r="G33" s="2852"/>
      <c r="H33" s="2852"/>
      <c r="I33" s="2852"/>
      <c r="J33" s="2852"/>
      <c r="K33" s="2852"/>
      <c r="L33" s="2852"/>
      <c r="M33" s="2852"/>
      <c r="N33" s="2852"/>
      <c r="O33" s="2852"/>
      <c r="P33" s="2852"/>
      <c r="Q33" s="2852"/>
      <c r="R33" s="2852"/>
      <c r="S33" s="2852"/>
      <c r="T33" s="2852"/>
      <c r="U33" s="2852"/>
      <c r="V33" s="2852"/>
      <c r="W33" s="2852"/>
      <c r="X33" s="2852"/>
      <c r="Y33" s="2852"/>
      <c r="Z33" s="2852"/>
      <c r="AA33" s="2852"/>
      <c r="AB33" s="2852"/>
      <c r="AC33" s="2852"/>
      <c r="AD33" s="2852"/>
      <c r="AE33" s="2852"/>
      <c r="AF33" s="2852"/>
      <c r="AG33" s="2852"/>
      <c r="AH33" s="2852"/>
      <c r="AI33" s="2852"/>
      <c r="AJ33" s="2852"/>
      <c r="AK33" s="2852"/>
      <c r="AL33" s="2852"/>
      <c r="AM33" s="2852"/>
      <c r="AN33" s="2852"/>
      <c r="AO33" s="2852"/>
      <c r="AP33" s="2852"/>
      <c r="AQ33" s="2852"/>
      <c r="AR33" s="2852"/>
      <c r="AS33" s="2852"/>
      <c r="AT33" s="2852"/>
      <c r="AU33" s="2852"/>
      <c r="AV33" s="2852"/>
      <c r="AW33" s="2852"/>
      <c r="AX33" s="2852"/>
      <c r="AY33" s="2852"/>
      <c r="AZ33" s="2852"/>
      <c r="BA33" s="2852"/>
      <c r="BB33" s="2852"/>
      <c r="BC33" s="2852"/>
      <c r="BD33" s="2852"/>
      <c r="BE33" s="2852"/>
      <c r="BF33" s="2852"/>
      <c r="BG33" s="2852"/>
      <c r="BH33" s="2852"/>
      <c r="BI33" s="2852"/>
      <c r="BJ33" s="2852"/>
      <c r="BK33" s="2852"/>
      <c r="BL33" s="2852"/>
      <c r="BM33" s="2852"/>
      <c r="BN33" s="2852"/>
      <c r="BO33" s="2852"/>
      <c r="BP33" s="2852"/>
      <c r="BQ33" s="2852"/>
      <c r="BR33" s="2852"/>
      <c r="BS33" s="2852"/>
      <c r="BT33" s="2852"/>
      <c r="BU33" s="2852"/>
      <c r="BV33" s="2852"/>
      <c r="BW33" s="2852"/>
      <c r="BX33" s="2852">
        <f>BX18-BX4</f>
        <v>0.23852267538702066</v>
      </c>
      <c r="BY33" s="2852">
        <f t="shared" ref="BY33:CE33" si="4">BY18-BY4</f>
        <v>1.6862051541743917E-2</v>
      </c>
      <c r="BZ33" s="2852">
        <f t="shared" si="4"/>
        <v>-0.38409829024643738</v>
      </c>
      <c r="CA33" s="2852">
        <f t="shared" si="4"/>
        <v>5.3818434657015857E-2</v>
      </c>
      <c r="CB33" s="2852">
        <f t="shared" si="4"/>
        <v>0.19706020270922053</v>
      </c>
      <c r="CC33" s="2852">
        <f t="shared" si="4"/>
        <v>-6.0192210327847384E-2</v>
      </c>
      <c r="CD33" s="2852">
        <f t="shared" si="4"/>
        <v>-0.2254701056562336</v>
      </c>
      <c r="CE33" s="2852">
        <f t="shared" si="4"/>
        <v>-1.4691657208774469</v>
      </c>
      <c r="CH33" s="3194">
        <f t="shared" si="1"/>
        <v>-1.5048052581961846E-2</v>
      </c>
      <c r="CI33" s="3194">
        <f t="shared" si="2"/>
        <v>-0.12778310541007865</v>
      </c>
      <c r="CJ33" s="3194">
        <f t="shared" ref="CJ33:CJ42" si="5">0.75*CE33+0.5*CD33+0.25*CC33</f>
        <v>-1.2296573960681638</v>
      </c>
    </row>
    <row r="34" spans="1:88">
      <c r="A34" s="932"/>
      <c r="B34" s="674"/>
      <c r="C34" s="220" t="s">
        <v>1846</v>
      </c>
      <c r="D34" s="2853"/>
      <c r="E34" s="2853"/>
      <c r="F34" s="2853"/>
      <c r="G34" s="2853"/>
      <c r="H34" s="2853"/>
      <c r="I34" s="2853"/>
      <c r="J34" s="2853"/>
      <c r="K34" s="2853"/>
      <c r="L34" s="2853"/>
      <c r="M34" s="2853"/>
      <c r="N34" s="2853"/>
      <c r="O34" s="2853"/>
      <c r="P34" s="2853"/>
      <c r="Q34" s="2853"/>
      <c r="R34" s="2853"/>
      <c r="S34" s="2853"/>
      <c r="T34" s="2853"/>
      <c r="U34" s="2853"/>
      <c r="V34" s="2853"/>
      <c r="W34" s="2853"/>
      <c r="X34" s="2853"/>
      <c r="Y34" s="2853"/>
      <c r="Z34" s="2853"/>
      <c r="AA34" s="2853"/>
      <c r="AB34" s="2853"/>
      <c r="AC34" s="2853"/>
      <c r="AD34" s="2853"/>
      <c r="AE34" s="2853"/>
      <c r="AF34" s="2853"/>
      <c r="AG34" s="2853"/>
      <c r="AH34" s="2853"/>
      <c r="AI34" s="2853"/>
      <c r="AJ34" s="2853"/>
      <c r="AK34" s="2853"/>
      <c r="AL34" s="2853"/>
      <c r="AM34" s="2853"/>
      <c r="AN34" s="2853"/>
      <c r="AO34" s="2853"/>
      <c r="AP34" s="2853"/>
      <c r="AQ34" s="2853"/>
      <c r="AR34" s="2853"/>
      <c r="AS34" s="2853"/>
      <c r="AT34" s="2853"/>
      <c r="AU34" s="2853"/>
      <c r="AV34" s="2853"/>
      <c r="AW34" s="2853"/>
      <c r="AX34" s="2853"/>
      <c r="AY34" s="2853"/>
      <c r="AZ34" s="2853"/>
      <c r="BA34" s="2853"/>
      <c r="BB34" s="2853"/>
      <c r="BC34" s="2853"/>
      <c r="BD34" s="2853"/>
      <c r="BE34" s="2853"/>
      <c r="BF34" s="2853"/>
      <c r="BG34" s="2853"/>
      <c r="BH34" s="2853"/>
      <c r="BI34" s="2853"/>
      <c r="BJ34" s="2853"/>
      <c r="BK34" s="2853"/>
      <c r="BL34" s="2853"/>
      <c r="BM34" s="2853"/>
      <c r="BN34" s="2853"/>
      <c r="BO34" s="2853"/>
      <c r="BP34" s="2853"/>
      <c r="BQ34" s="2853"/>
      <c r="BR34" s="2853"/>
      <c r="BS34" s="2853"/>
      <c r="BT34" s="2853"/>
      <c r="BU34" s="2853"/>
      <c r="BV34" s="2853"/>
      <c r="BW34" s="2853"/>
      <c r="BX34" s="2853">
        <f t="shared" ref="BX34:CE42" si="6">BX19-BX5</f>
        <v>-5.7575051600644578E-2</v>
      </c>
      <c r="BY34" s="2853">
        <f t="shared" si="6"/>
        <v>2.9446169521984977E-2</v>
      </c>
      <c r="BZ34" s="2853">
        <f t="shared" si="6"/>
        <v>9.1943786061032817E-2</v>
      </c>
      <c r="CA34" s="2853">
        <f t="shared" si="6"/>
        <v>0.1316319311471803</v>
      </c>
      <c r="CB34" s="2853">
        <f t="shared" si="6"/>
        <v>-0.15228174228807401</v>
      </c>
      <c r="CC34" s="2853">
        <f t="shared" si="6"/>
        <v>-5.4747179736702734E-2</v>
      </c>
      <c r="CD34" s="2853">
        <f t="shared" si="6"/>
        <v>0.11821106087754885</v>
      </c>
      <c r="CE34" s="2853">
        <f t="shared" si="6"/>
        <v>1.7481709851738949</v>
      </c>
      <c r="CH34" s="3194">
        <f t="shared" si="1"/>
        <v>-1.3686794934175683E-2</v>
      </c>
      <c r="CI34" s="3194">
        <f t="shared" si="2"/>
        <v>4.541873550459874E-2</v>
      </c>
      <c r="CJ34" s="3194">
        <f t="shared" si="5"/>
        <v>1.35654697438502</v>
      </c>
    </row>
    <row r="35" spans="1:88">
      <c r="A35" s="932"/>
      <c r="B35" s="674"/>
      <c r="C35" s="220" t="s">
        <v>1067</v>
      </c>
      <c r="D35" s="2853"/>
      <c r="E35" s="2853"/>
      <c r="F35" s="2853"/>
      <c r="G35" s="2853"/>
      <c r="H35" s="2853"/>
      <c r="I35" s="2853"/>
      <c r="J35" s="2853"/>
      <c r="K35" s="2853"/>
      <c r="L35" s="2853"/>
      <c r="M35" s="2853"/>
      <c r="N35" s="2853"/>
      <c r="O35" s="2853"/>
      <c r="P35" s="2853"/>
      <c r="Q35" s="2853"/>
      <c r="R35" s="2853"/>
      <c r="S35" s="2853"/>
      <c r="T35" s="2853"/>
      <c r="U35" s="2853"/>
      <c r="V35" s="2853"/>
      <c r="W35" s="2853"/>
      <c r="X35" s="2853"/>
      <c r="Y35" s="2853"/>
      <c r="Z35" s="2853"/>
      <c r="AA35" s="2853"/>
      <c r="AB35" s="2853"/>
      <c r="AC35" s="2853"/>
      <c r="AD35" s="2853"/>
      <c r="AE35" s="2853"/>
      <c r="AF35" s="2853"/>
      <c r="AG35" s="2853"/>
      <c r="AH35" s="2853"/>
      <c r="AI35" s="2853"/>
      <c r="AJ35" s="2853"/>
      <c r="AK35" s="2853"/>
      <c r="AL35" s="2853"/>
      <c r="AM35" s="2853"/>
      <c r="AN35" s="2853"/>
      <c r="AO35" s="2853"/>
      <c r="AP35" s="2853"/>
      <c r="AQ35" s="2853"/>
      <c r="AR35" s="2853"/>
      <c r="AS35" s="2853"/>
      <c r="AT35" s="2853"/>
      <c r="AU35" s="2853"/>
      <c r="AV35" s="2853"/>
      <c r="AW35" s="2853"/>
      <c r="AX35" s="2853"/>
      <c r="AY35" s="2853"/>
      <c r="AZ35" s="2853"/>
      <c r="BA35" s="2853"/>
      <c r="BB35" s="2853"/>
      <c r="BC35" s="2853"/>
      <c r="BD35" s="2853"/>
      <c r="BE35" s="2853"/>
      <c r="BF35" s="2853"/>
      <c r="BG35" s="2853"/>
      <c r="BH35" s="2853"/>
      <c r="BI35" s="2853"/>
      <c r="BJ35" s="2853"/>
      <c r="BK35" s="2853"/>
      <c r="BL35" s="2853"/>
      <c r="BM35" s="2853"/>
      <c r="BN35" s="2853"/>
      <c r="BO35" s="2853"/>
      <c r="BP35" s="2853"/>
      <c r="BQ35" s="2853"/>
      <c r="BR35" s="2853"/>
      <c r="BS35" s="2853"/>
      <c r="BT35" s="2853"/>
      <c r="BU35" s="2853"/>
      <c r="BV35" s="2853"/>
      <c r="BW35" s="2853"/>
      <c r="BX35" s="2853">
        <f t="shared" si="6"/>
        <v>0.57385454915381828</v>
      </c>
      <c r="BY35" s="2853">
        <f t="shared" si="6"/>
        <v>-1.8424765979396796E-2</v>
      </c>
      <c r="BZ35" s="2853">
        <f t="shared" si="6"/>
        <v>-0.31283538218707108</v>
      </c>
      <c r="CA35" s="2853">
        <f t="shared" si="6"/>
        <v>-0.2614187467204987</v>
      </c>
      <c r="CB35" s="2853">
        <f t="shared" si="6"/>
        <v>0.29990479136268178</v>
      </c>
      <c r="CC35" s="2853">
        <f t="shared" si="6"/>
        <v>0.25580761361694293</v>
      </c>
      <c r="CD35" s="2853">
        <f t="shared" si="6"/>
        <v>-7.2839763129095569E-2</v>
      </c>
      <c r="CE35" s="2853">
        <f t="shared" si="6"/>
        <v>-6.1243867602310091</v>
      </c>
      <c r="CH35" s="3194">
        <f t="shared" si="1"/>
        <v>6.3951903404235733E-2</v>
      </c>
      <c r="CI35" s="3194">
        <f t="shared" si="2"/>
        <v>2.7532021839687948E-2</v>
      </c>
      <c r="CJ35" s="3194">
        <f t="shared" si="5"/>
        <v>-4.5657580483335689</v>
      </c>
    </row>
    <row r="36" spans="1:88">
      <c r="A36" s="932"/>
      <c r="B36" s="717"/>
      <c r="C36" s="718" t="s">
        <v>2107</v>
      </c>
      <c r="D36" s="2854"/>
      <c r="E36" s="2854"/>
      <c r="F36" s="2854"/>
      <c r="G36" s="2854"/>
      <c r="H36" s="2854"/>
      <c r="I36" s="2854"/>
      <c r="J36" s="2854"/>
      <c r="K36" s="2854"/>
      <c r="L36" s="2854"/>
      <c r="M36" s="2854"/>
      <c r="N36" s="2854"/>
      <c r="O36" s="2854"/>
      <c r="P36" s="2854"/>
      <c r="Q36" s="2854"/>
      <c r="R36" s="2854"/>
      <c r="S36" s="2854"/>
      <c r="T36" s="2854"/>
      <c r="U36" s="2854"/>
      <c r="V36" s="2854"/>
      <c r="W36" s="2854"/>
      <c r="X36" s="2854"/>
      <c r="Y36" s="2854"/>
      <c r="Z36" s="2854"/>
      <c r="AA36" s="2854"/>
      <c r="AB36" s="2854"/>
      <c r="AC36" s="2854"/>
      <c r="AD36" s="2854"/>
      <c r="AE36" s="2854"/>
      <c r="AF36" s="2854"/>
      <c r="AG36" s="2854"/>
      <c r="AH36" s="2854"/>
      <c r="AI36" s="2854"/>
      <c r="AJ36" s="2854"/>
      <c r="AK36" s="2854"/>
      <c r="AL36" s="2854"/>
      <c r="AM36" s="2854"/>
      <c r="AN36" s="2854"/>
      <c r="AO36" s="2854"/>
      <c r="AP36" s="2854"/>
      <c r="AQ36" s="2854"/>
      <c r="AR36" s="2854"/>
      <c r="AS36" s="2854"/>
      <c r="AT36" s="2854"/>
      <c r="AU36" s="2854"/>
      <c r="AV36" s="2854"/>
      <c r="AW36" s="2854"/>
      <c r="AX36" s="2854"/>
      <c r="AY36" s="2854"/>
      <c r="AZ36" s="2854"/>
      <c r="BA36" s="2854"/>
      <c r="BB36" s="2854"/>
      <c r="BC36" s="2854"/>
      <c r="BD36" s="2854"/>
      <c r="BE36" s="2854"/>
      <c r="BF36" s="2854"/>
      <c r="BG36" s="2854"/>
      <c r="BH36" s="2854"/>
      <c r="BI36" s="2854"/>
      <c r="BJ36" s="2854"/>
      <c r="BK36" s="2854"/>
      <c r="BL36" s="2854"/>
      <c r="BM36" s="2854"/>
      <c r="BN36" s="2854"/>
      <c r="BO36" s="2854"/>
      <c r="BP36" s="2854"/>
      <c r="BQ36" s="2854"/>
      <c r="BR36" s="2854"/>
      <c r="BS36" s="2854"/>
      <c r="BT36" s="2854"/>
      <c r="BU36" s="2854"/>
      <c r="BV36" s="2854"/>
      <c r="BW36" s="2854"/>
      <c r="BX36" s="2854">
        <f t="shared" si="6"/>
        <v>0.24289620292317071</v>
      </c>
      <c r="BY36" s="2854">
        <f t="shared" si="6"/>
        <v>1.3595427031765084E-2</v>
      </c>
      <c r="BZ36" s="2854">
        <f t="shared" si="6"/>
        <v>-0.28423094079859101</v>
      </c>
      <c r="CA36" s="2854">
        <f t="shared" si="6"/>
        <v>8.2818047336341571E-3</v>
      </c>
      <c r="CB36" s="2854">
        <f t="shared" si="6"/>
        <v>0.15333820601997061</v>
      </c>
      <c r="CC36" s="2854">
        <f t="shared" si="6"/>
        <v>1.586182935042757E-3</v>
      </c>
      <c r="CD36" s="2854">
        <f t="shared" si="6"/>
        <v>-0.1373869886375223</v>
      </c>
      <c r="CE36" s="2854">
        <f t="shared" si="6"/>
        <v>-1.8104584161317137</v>
      </c>
      <c r="CH36" s="3194">
        <f t="shared" si="1"/>
        <v>3.9654573376068925E-4</v>
      </c>
      <c r="CI36" s="3194">
        <f t="shared" si="2"/>
        <v>-6.8296948585000461E-2</v>
      </c>
      <c r="CJ36" s="3194">
        <f t="shared" si="5"/>
        <v>-1.4261407606837857</v>
      </c>
    </row>
    <row r="37" spans="1:88">
      <c r="A37" s="932"/>
      <c r="B37" s="806"/>
      <c r="C37" s="334" t="s">
        <v>2108</v>
      </c>
      <c r="D37" s="2856"/>
      <c r="E37" s="2856"/>
      <c r="F37" s="2856"/>
      <c r="G37" s="2856"/>
      <c r="H37" s="2856"/>
      <c r="I37" s="2856"/>
      <c r="J37" s="2856"/>
      <c r="K37" s="2856"/>
      <c r="L37" s="2856"/>
      <c r="M37" s="2856"/>
      <c r="N37" s="2856"/>
      <c r="O37" s="2856"/>
      <c r="P37" s="2856"/>
      <c r="Q37" s="2856"/>
      <c r="R37" s="2856"/>
      <c r="S37" s="2856"/>
      <c r="T37" s="2856"/>
      <c r="U37" s="2856"/>
      <c r="V37" s="2856"/>
      <c r="W37" s="2856"/>
      <c r="X37" s="2856"/>
      <c r="Y37" s="2856"/>
      <c r="Z37" s="2856"/>
      <c r="AA37" s="2856"/>
      <c r="AB37" s="2856"/>
      <c r="AC37" s="2856"/>
      <c r="AD37" s="2856"/>
      <c r="AE37" s="2856"/>
      <c r="AF37" s="2856"/>
      <c r="AG37" s="2856"/>
      <c r="AH37" s="2856"/>
      <c r="AI37" s="2856"/>
      <c r="AJ37" s="2856"/>
      <c r="AK37" s="2856"/>
      <c r="AL37" s="2856"/>
      <c r="AM37" s="2856"/>
      <c r="AN37" s="2856"/>
      <c r="AO37" s="2856"/>
      <c r="AP37" s="2856"/>
      <c r="AQ37" s="2856"/>
      <c r="AR37" s="2856"/>
      <c r="AS37" s="2856"/>
      <c r="AT37" s="2856"/>
      <c r="AU37" s="2856"/>
      <c r="AV37" s="2856"/>
      <c r="AW37" s="2856"/>
      <c r="AX37" s="2856"/>
      <c r="AY37" s="2856"/>
      <c r="AZ37" s="2856"/>
      <c r="BA37" s="2856"/>
      <c r="BB37" s="2856"/>
      <c r="BC37" s="2856"/>
      <c r="BD37" s="2856"/>
      <c r="BE37" s="2856"/>
      <c r="BF37" s="2856"/>
      <c r="BG37" s="2856"/>
      <c r="BH37" s="2856"/>
      <c r="BI37" s="2856"/>
      <c r="BJ37" s="2856"/>
      <c r="BK37" s="2856"/>
      <c r="BL37" s="2856"/>
      <c r="BM37" s="2856"/>
      <c r="BN37" s="2856"/>
      <c r="BO37" s="2856"/>
      <c r="BP37" s="2856"/>
      <c r="BQ37" s="2856"/>
      <c r="BR37" s="2856"/>
      <c r="BS37" s="2856"/>
      <c r="BT37" s="2856"/>
      <c r="BU37" s="2856"/>
      <c r="BV37" s="2856"/>
      <c r="BW37" s="2856"/>
      <c r="BX37" s="2856">
        <f t="shared" si="6"/>
        <v>-0.26412236324097194</v>
      </c>
      <c r="BY37" s="2856">
        <f t="shared" si="6"/>
        <v>-0.1221537720861523</v>
      </c>
      <c r="BZ37" s="2856">
        <f t="shared" si="6"/>
        <v>-0.18590599884754289</v>
      </c>
      <c r="CA37" s="2856">
        <f t="shared" si="6"/>
        <v>0.53873924078343793</v>
      </c>
      <c r="CB37" s="2856">
        <f t="shared" si="6"/>
        <v>-0.11996845932226063</v>
      </c>
      <c r="CC37" s="2856">
        <f t="shared" si="6"/>
        <v>-0.11945716506698978</v>
      </c>
      <c r="CD37" s="2856">
        <f t="shared" si="6"/>
        <v>-0.11844765271309499</v>
      </c>
      <c r="CE37" s="2856">
        <f t="shared" si="6"/>
        <v>3.756746400004737</v>
      </c>
      <c r="CH37" s="3194">
        <f t="shared" si="1"/>
        <v>-2.9864291266747445E-2</v>
      </c>
      <c r="CI37" s="3194">
        <f t="shared" si="2"/>
        <v>-8.9088117623294938E-2</v>
      </c>
      <c r="CJ37" s="3194">
        <f t="shared" si="5"/>
        <v>2.7284716823802579</v>
      </c>
    </row>
    <row r="38" spans="1:88">
      <c r="A38" s="932"/>
      <c r="B38" s="717"/>
      <c r="C38" s="718" t="s">
        <v>1712</v>
      </c>
      <c r="D38" s="2854"/>
      <c r="E38" s="2854"/>
      <c r="F38" s="2854"/>
      <c r="G38" s="2854"/>
      <c r="H38" s="2854"/>
      <c r="I38" s="2854"/>
      <c r="J38" s="2854"/>
      <c r="K38" s="2854"/>
      <c r="L38" s="2854"/>
      <c r="M38" s="2854"/>
      <c r="N38" s="2854"/>
      <c r="O38" s="2854"/>
      <c r="P38" s="2854"/>
      <c r="Q38" s="2854"/>
      <c r="R38" s="2854"/>
      <c r="S38" s="2854"/>
      <c r="T38" s="2854"/>
      <c r="U38" s="2854"/>
      <c r="V38" s="2854"/>
      <c r="W38" s="2854"/>
      <c r="X38" s="2854"/>
      <c r="Y38" s="2854"/>
      <c r="Z38" s="2854"/>
      <c r="AA38" s="2854"/>
      <c r="AB38" s="2854"/>
      <c r="AC38" s="2854"/>
      <c r="AD38" s="2854"/>
      <c r="AE38" s="2854"/>
      <c r="AF38" s="2854"/>
      <c r="AG38" s="2854"/>
      <c r="AH38" s="2854"/>
      <c r="AI38" s="2854"/>
      <c r="AJ38" s="2854"/>
      <c r="AK38" s="2854"/>
      <c r="AL38" s="2854"/>
      <c r="AM38" s="2854"/>
      <c r="AN38" s="2854"/>
      <c r="AO38" s="2854"/>
      <c r="AP38" s="2854"/>
      <c r="AQ38" s="2854"/>
      <c r="AR38" s="2854"/>
      <c r="AS38" s="2854"/>
      <c r="AT38" s="2854"/>
      <c r="AU38" s="2854"/>
      <c r="AV38" s="2854"/>
      <c r="AW38" s="2854"/>
      <c r="AX38" s="2854"/>
      <c r="AY38" s="2854"/>
      <c r="AZ38" s="2854"/>
      <c r="BA38" s="2854"/>
      <c r="BB38" s="2854"/>
      <c r="BC38" s="2854"/>
      <c r="BD38" s="2854"/>
      <c r="BE38" s="2854"/>
      <c r="BF38" s="2854"/>
      <c r="BG38" s="2854"/>
      <c r="BH38" s="2854"/>
      <c r="BI38" s="2854"/>
      <c r="BJ38" s="2854"/>
      <c r="BK38" s="2854"/>
      <c r="BL38" s="2854"/>
      <c r="BM38" s="2854"/>
      <c r="BN38" s="2854"/>
      <c r="BO38" s="2854"/>
      <c r="BP38" s="2854"/>
      <c r="BQ38" s="2854"/>
      <c r="BR38" s="2854"/>
      <c r="BS38" s="2854"/>
      <c r="BT38" s="2854"/>
      <c r="BU38" s="2854"/>
      <c r="BV38" s="2854"/>
      <c r="BW38" s="2854"/>
      <c r="BX38" s="2854">
        <f t="shared" si="6"/>
        <v>-0.14011569649150513</v>
      </c>
      <c r="BY38" s="2854">
        <f t="shared" si="6"/>
        <v>-3.744523740929484E-2</v>
      </c>
      <c r="BZ38" s="2854">
        <f t="shared" si="6"/>
        <v>-0.4077852386877856</v>
      </c>
      <c r="CA38" s="2854">
        <f t="shared" si="6"/>
        <v>0.62636011044120421</v>
      </c>
      <c r="CB38" s="2854">
        <f t="shared" si="6"/>
        <v>-0.17490199971932352</v>
      </c>
      <c r="CC38" s="2854">
        <f t="shared" si="6"/>
        <v>-0.16748168467366487</v>
      </c>
      <c r="CD38" s="2854">
        <f t="shared" si="6"/>
        <v>-0.41600344325098959</v>
      </c>
      <c r="CE38" s="2854">
        <f t="shared" si="6"/>
        <v>-0.80591671177342317</v>
      </c>
      <c r="CH38" s="3194">
        <f t="shared" si="1"/>
        <v>-4.1870421168416216E-2</v>
      </c>
      <c r="CI38" s="3194">
        <f t="shared" si="2"/>
        <v>-0.24987214279391101</v>
      </c>
      <c r="CJ38" s="3194">
        <f t="shared" si="5"/>
        <v>-0.85430967662397839</v>
      </c>
    </row>
    <row r="39" spans="1:88">
      <c r="A39" s="932"/>
      <c r="B39" s="674"/>
      <c r="C39" s="220" t="s">
        <v>912</v>
      </c>
      <c r="D39" s="2853"/>
      <c r="E39" s="2853"/>
      <c r="F39" s="2853"/>
      <c r="G39" s="2853"/>
      <c r="H39" s="2853"/>
      <c r="I39" s="2853"/>
      <c r="J39" s="2853"/>
      <c r="K39" s="2853"/>
      <c r="L39" s="2853"/>
      <c r="M39" s="2853"/>
      <c r="N39" s="2853"/>
      <c r="O39" s="2853"/>
      <c r="P39" s="2853"/>
      <c r="Q39" s="2853"/>
      <c r="R39" s="2853"/>
      <c r="S39" s="2853"/>
      <c r="T39" s="2853"/>
      <c r="U39" s="2853"/>
      <c r="V39" s="2853"/>
      <c r="W39" s="2853"/>
      <c r="X39" s="2853"/>
      <c r="Y39" s="2853"/>
      <c r="Z39" s="2853"/>
      <c r="AA39" s="2853"/>
      <c r="AB39" s="2853"/>
      <c r="AC39" s="2853"/>
      <c r="AD39" s="2853"/>
      <c r="AE39" s="2853"/>
      <c r="AF39" s="2853"/>
      <c r="AG39" s="2853"/>
      <c r="AH39" s="2853"/>
      <c r="AI39" s="2853"/>
      <c r="AJ39" s="2853"/>
      <c r="AK39" s="2853"/>
      <c r="AL39" s="2853"/>
      <c r="AM39" s="2853"/>
      <c r="AN39" s="2853"/>
      <c r="AO39" s="2853"/>
      <c r="AP39" s="2853"/>
      <c r="AQ39" s="2853"/>
      <c r="AR39" s="2853"/>
      <c r="AS39" s="2853"/>
      <c r="AT39" s="2853"/>
      <c r="AU39" s="2853"/>
      <c r="AV39" s="2853"/>
      <c r="AW39" s="2853"/>
      <c r="AX39" s="2853"/>
      <c r="AY39" s="2853"/>
      <c r="AZ39" s="2853"/>
      <c r="BA39" s="2853"/>
      <c r="BB39" s="2853"/>
      <c r="BC39" s="2853"/>
      <c r="BD39" s="2853"/>
      <c r="BE39" s="2853"/>
      <c r="BF39" s="2853"/>
      <c r="BG39" s="2853"/>
      <c r="BH39" s="2853"/>
      <c r="BI39" s="2853"/>
      <c r="BJ39" s="2853"/>
      <c r="BK39" s="2853"/>
      <c r="BL39" s="2853"/>
      <c r="BM39" s="2853"/>
      <c r="BN39" s="2853"/>
      <c r="BO39" s="2853"/>
      <c r="BP39" s="2853"/>
      <c r="BQ39" s="2853"/>
      <c r="BR39" s="2853"/>
      <c r="BS39" s="2853"/>
      <c r="BT39" s="2853"/>
      <c r="BU39" s="2853"/>
      <c r="BV39" s="2853"/>
      <c r="BW39" s="2853"/>
      <c r="BX39" s="2853">
        <f t="shared" si="6"/>
        <v>-1.5794490910969294</v>
      </c>
      <c r="BY39" s="2853">
        <f t="shared" si="6"/>
        <v>2.3863741660864468</v>
      </c>
      <c r="BZ39" s="2853">
        <f t="shared" si="6"/>
        <v>-0.27958885268211109</v>
      </c>
      <c r="CA39" s="2853">
        <f t="shared" si="6"/>
        <v>-0.66613971348059575</v>
      </c>
      <c r="CB39" s="2853">
        <f t="shared" si="6"/>
        <v>-0.15260911022552115</v>
      </c>
      <c r="CC39" s="2853">
        <f t="shared" si="6"/>
        <v>0.83019582391330449</v>
      </c>
      <c r="CD39" s="2853">
        <f t="shared" si="6"/>
        <v>-0.58313049986828958</v>
      </c>
      <c r="CE39" s="2853">
        <f t="shared" si="6"/>
        <v>-1.1563684592700176</v>
      </c>
      <c r="CH39" s="3194">
        <f t="shared" si="1"/>
        <v>0.20754895597832612</v>
      </c>
      <c r="CI39" s="3194">
        <f t="shared" si="2"/>
        <v>-8.4016293955818666E-2</v>
      </c>
      <c r="CJ39" s="3194">
        <f t="shared" si="5"/>
        <v>-0.95129263840833178</v>
      </c>
    </row>
    <row r="40" spans="1:88">
      <c r="A40" s="932"/>
      <c r="B40" s="717"/>
      <c r="C40" s="718" t="s">
        <v>1359</v>
      </c>
      <c r="D40" s="2854"/>
      <c r="E40" s="2854"/>
      <c r="F40" s="2854"/>
      <c r="G40" s="2854"/>
      <c r="H40" s="2854"/>
      <c r="I40" s="2854"/>
      <c r="J40" s="2854"/>
      <c r="K40" s="2854"/>
      <c r="L40" s="2854"/>
      <c r="M40" s="2854"/>
      <c r="N40" s="2854"/>
      <c r="O40" s="2854"/>
      <c r="P40" s="2854"/>
      <c r="Q40" s="2854"/>
      <c r="R40" s="2854"/>
      <c r="S40" s="2854"/>
      <c r="T40" s="2854"/>
      <c r="U40" s="2854"/>
      <c r="V40" s="2854"/>
      <c r="W40" s="2854"/>
      <c r="X40" s="2854"/>
      <c r="Y40" s="2854"/>
      <c r="Z40" s="2854"/>
      <c r="AA40" s="2854"/>
      <c r="AB40" s="2854"/>
      <c r="AC40" s="2854"/>
      <c r="AD40" s="2854"/>
      <c r="AE40" s="2854"/>
      <c r="AF40" s="2854"/>
      <c r="AG40" s="2854"/>
      <c r="AH40" s="2854"/>
      <c r="AI40" s="2854"/>
      <c r="AJ40" s="2854"/>
      <c r="AK40" s="2854"/>
      <c r="AL40" s="2854"/>
      <c r="AM40" s="2854"/>
      <c r="AN40" s="2854"/>
      <c r="AO40" s="2854"/>
      <c r="AP40" s="2854"/>
      <c r="AQ40" s="2854"/>
      <c r="AR40" s="2854"/>
      <c r="AS40" s="2854"/>
      <c r="AT40" s="2854"/>
      <c r="AU40" s="2854"/>
      <c r="AV40" s="2854"/>
      <c r="AW40" s="2854"/>
      <c r="AX40" s="2854"/>
      <c r="AY40" s="2854"/>
      <c r="AZ40" s="2854"/>
      <c r="BA40" s="2854"/>
      <c r="BB40" s="2854"/>
      <c r="BC40" s="2854"/>
      <c r="BD40" s="2854"/>
      <c r="BE40" s="2854"/>
      <c r="BF40" s="2854"/>
      <c r="BG40" s="2854"/>
      <c r="BH40" s="2854"/>
      <c r="BI40" s="2854"/>
      <c r="BJ40" s="2854"/>
      <c r="BK40" s="2854"/>
      <c r="BL40" s="2854"/>
      <c r="BM40" s="2854"/>
      <c r="BN40" s="2854"/>
      <c r="BO40" s="2854"/>
      <c r="BP40" s="2854"/>
      <c r="BQ40" s="2854"/>
      <c r="BR40" s="2854"/>
      <c r="BS40" s="2854"/>
      <c r="BT40" s="2854"/>
      <c r="BU40" s="2854"/>
      <c r="BV40" s="2854"/>
      <c r="BW40" s="2854"/>
      <c r="BX40" s="2854">
        <f t="shared" si="6"/>
        <v>-0.79913985944966015</v>
      </c>
      <c r="BY40" s="2854">
        <f t="shared" si="6"/>
        <v>1.0793127078198017</v>
      </c>
      <c r="BZ40" s="2854">
        <f t="shared" si="6"/>
        <v>-0.35759022474450841</v>
      </c>
      <c r="CA40" s="2854">
        <f t="shared" si="6"/>
        <v>5.4249211904122685E-2</v>
      </c>
      <c r="CB40" s="2854">
        <f t="shared" si="6"/>
        <v>-0.1637664137054573</v>
      </c>
      <c r="CC40" s="2854">
        <f t="shared" si="6"/>
        <v>0.27848762528908111</v>
      </c>
      <c r="CD40" s="2854">
        <f t="shared" si="6"/>
        <v>-0.49175523306625413</v>
      </c>
      <c r="CE40" s="2854">
        <f t="shared" si="6"/>
        <v>-0.96904250785212109</v>
      </c>
      <c r="CH40" s="3194">
        <f t="shared" si="1"/>
        <v>6.9621906322270277E-2</v>
      </c>
      <c r="CI40" s="3194">
        <f t="shared" si="2"/>
        <v>-0.17625571021085679</v>
      </c>
      <c r="CJ40" s="3194">
        <f t="shared" si="5"/>
        <v>-0.90303759109994752</v>
      </c>
    </row>
    <row r="41" spans="1:88">
      <c r="A41" s="690"/>
      <c r="B41" s="691"/>
      <c r="C41" s="735" t="s">
        <v>1086</v>
      </c>
      <c r="D41" s="2855"/>
      <c r="E41" s="2855"/>
      <c r="F41" s="2855"/>
      <c r="G41" s="2855"/>
      <c r="H41" s="2855"/>
      <c r="I41" s="2855"/>
      <c r="J41" s="2855"/>
      <c r="K41" s="2855"/>
      <c r="L41" s="2855"/>
      <c r="M41" s="2855"/>
      <c r="N41" s="2855"/>
      <c r="O41" s="2855"/>
      <c r="P41" s="2855"/>
      <c r="Q41" s="2855"/>
      <c r="R41" s="2855"/>
      <c r="S41" s="2855"/>
      <c r="T41" s="2855"/>
      <c r="U41" s="2855"/>
      <c r="V41" s="2855"/>
      <c r="W41" s="2855"/>
      <c r="X41" s="2855"/>
      <c r="Y41" s="2855"/>
      <c r="Z41" s="2855"/>
      <c r="AA41" s="2855"/>
      <c r="AB41" s="2855"/>
      <c r="AC41" s="2855"/>
      <c r="AD41" s="2855"/>
      <c r="AE41" s="2855"/>
      <c r="AF41" s="2855"/>
      <c r="AG41" s="2855"/>
      <c r="AH41" s="2855"/>
      <c r="AI41" s="2855"/>
      <c r="AJ41" s="2855"/>
      <c r="AK41" s="2855"/>
      <c r="AL41" s="2855"/>
      <c r="AM41" s="2855"/>
      <c r="AN41" s="2855"/>
      <c r="AO41" s="2855"/>
      <c r="AP41" s="2855"/>
      <c r="AQ41" s="2855"/>
      <c r="AR41" s="2855"/>
      <c r="AS41" s="2855"/>
      <c r="AT41" s="2855"/>
      <c r="AU41" s="2855"/>
      <c r="AV41" s="2855"/>
      <c r="AW41" s="2855"/>
      <c r="AX41" s="2855"/>
      <c r="AY41" s="2855"/>
      <c r="AZ41" s="2855"/>
      <c r="BA41" s="2855"/>
      <c r="BB41" s="2855"/>
      <c r="BC41" s="2855"/>
      <c r="BD41" s="2855"/>
      <c r="BE41" s="2855"/>
      <c r="BF41" s="2855"/>
      <c r="BG41" s="2855"/>
      <c r="BH41" s="2855"/>
      <c r="BI41" s="2855"/>
      <c r="BJ41" s="2855"/>
      <c r="BK41" s="2855"/>
      <c r="BL41" s="2855"/>
      <c r="BM41" s="2855"/>
      <c r="BN41" s="2855"/>
      <c r="BO41" s="2855"/>
      <c r="BP41" s="2855"/>
      <c r="BQ41" s="2855"/>
      <c r="BR41" s="2855"/>
      <c r="BS41" s="2855"/>
      <c r="BT41" s="2855"/>
      <c r="BU41" s="2855"/>
      <c r="BV41" s="2855"/>
      <c r="BW41" s="2855"/>
      <c r="BX41" s="2855">
        <f t="shared" si="6"/>
        <v>-1.7993107655008611</v>
      </c>
      <c r="BY41" s="2855">
        <f t="shared" si="6"/>
        <v>3.0693904570393893</v>
      </c>
      <c r="BZ41" s="2855">
        <f t="shared" si="6"/>
        <v>-1.8843709860498992</v>
      </c>
      <c r="CA41" s="2855">
        <f t="shared" si="6"/>
        <v>0.99948145513069075</v>
      </c>
      <c r="CB41" s="2855">
        <f t="shared" si="6"/>
        <v>0.20882522860030672</v>
      </c>
      <c r="CC41" s="2855">
        <f t="shared" si="6"/>
        <v>-0.14103894251082938</v>
      </c>
      <c r="CD41" s="2855">
        <f t="shared" si="6"/>
        <v>-2.0997718112004016</v>
      </c>
      <c r="CE41" s="2855">
        <f t="shared" si="6"/>
        <v>-3.2394817091544743</v>
      </c>
      <c r="CH41" s="3194">
        <f t="shared" si="1"/>
        <v>-3.5259735627707345E-2</v>
      </c>
      <c r="CI41" s="3194">
        <f t="shared" si="2"/>
        <v>-1.0851456412279081</v>
      </c>
      <c r="CJ41" s="3194">
        <f t="shared" si="5"/>
        <v>-3.5147569230937634</v>
      </c>
    </row>
    <row r="42" spans="1:88">
      <c r="A42" s="674"/>
      <c r="B42" s="717"/>
      <c r="C42" s="718" t="s">
        <v>1269</v>
      </c>
      <c r="D42" s="2854"/>
      <c r="E42" s="2854"/>
      <c r="F42" s="2854"/>
      <c r="G42" s="2854"/>
      <c r="H42" s="2854"/>
      <c r="I42" s="2854"/>
      <c r="J42" s="2854"/>
      <c r="K42" s="2854"/>
      <c r="L42" s="2854"/>
      <c r="M42" s="2854"/>
      <c r="N42" s="2854"/>
      <c r="O42" s="2854"/>
      <c r="P42" s="2854"/>
      <c r="Q42" s="2854"/>
      <c r="R42" s="2854"/>
      <c r="S42" s="2854"/>
      <c r="T42" s="2854"/>
      <c r="U42" s="2854"/>
      <c r="V42" s="2854"/>
      <c r="W42" s="2854"/>
      <c r="X42" s="2854"/>
      <c r="Y42" s="2854"/>
      <c r="Z42" s="2854"/>
      <c r="AA42" s="2854"/>
      <c r="AB42" s="2854"/>
      <c r="AC42" s="2854"/>
      <c r="AD42" s="2854"/>
      <c r="AE42" s="2854"/>
      <c r="AF42" s="2854"/>
      <c r="AG42" s="2854"/>
      <c r="AH42" s="2854"/>
      <c r="AI42" s="2854"/>
      <c r="AJ42" s="2854"/>
      <c r="AK42" s="2854"/>
      <c r="AL42" s="2854"/>
      <c r="AM42" s="2854"/>
      <c r="AN42" s="2854"/>
      <c r="AO42" s="2854"/>
      <c r="AP42" s="2854"/>
      <c r="AQ42" s="2854"/>
      <c r="AR42" s="2854"/>
      <c r="AS42" s="2854"/>
      <c r="AT42" s="2854"/>
      <c r="AU42" s="2854"/>
      <c r="AV42" s="2854"/>
      <c r="AW42" s="2854"/>
      <c r="AX42" s="2854"/>
      <c r="AY42" s="2854"/>
      <c r="AZ42" s="2854"/>
      <c r="BA42" s="2854"/>
      <c r="BB42" s="2854"/>
      <c r="BC42" s="2854"/>
      <c r="BD42" s="2854"/>
      <c r="BE42" s="2854"/>
      <c r="BF42" s="2854"/>
      <c r="BG42" s="2854"/>
      <c r="BH42" s="2854"/>
      <c r="BI42" s="2854"/>
      <c r="BJ42" s="2854"/>
      <c r="BK42" s="2854"/>
      <c r="BL42" s="2854"/>
      <c r="BM42" s="2854"/>
      <c r="BN42" s="2854"/>
      <c r="BO42" s="2854"/>
      <c r="BP42" s="2854"/>
      <c r="BQ42" s="2854"/>
      <c r="BR42" s="2854"/>
      <c r="BS42" s="2854"/>
      <c r="BT42" s="2854"/>
      <c r="BU42" s="2854"/>
      <c r="BV42" s="2854"/>
      <c r="BW42" s="2854"/>
      <c r="BX42" s="2854">
        <f t="shared" si="6"/>
        <v>-0.11560790776787844</v>
      </c>
      <c r="BY42" s="2854">
        <f t="shared" si="6"/>
        <v>0.14204160398760823</v>
      </c>
      <c r="BZ42" s="2854">
        <f t="shared" si="6"/>
        <v>-5.3156801023135358E-2</v>
      </c>
      <c r="CA42" s="2854">
        <f t="shared" si="6"/>
        <v>5.2329981049137331E-2</v>
      </c>
      <c r="CB42" s="2854">
        <f t="shared" si="6"/>
        <v>-9.1703634177409121E-2</v>
      </c>
      <c r="CC42" s="2854">
        <f t="shared" si="6"/>
        <v>9.8093771830365384E-2</v>
      </c>
      <c r="CD42" s="2854">
        <f t="shared" si="6"/>
        <v>-7.9018297921118474E-2</v>
      </c>
      <c r="CE42" s="2854">
        <f t="shared" si="6"/>
        <v>-0.58687659553368676</v>
      </c>
      <c r="CH42" s="3194">
        <f t="shared" si="1"/>
        <v>2.4523442957591346E-2</v>
      </c>
      <c r="CI42" s="3194">
        <f t="shared" si="2"/>
        <v>-1.4985706002967891E-2</v>
      </c>
      <c r="CJ42" s="3194">
        <f t="shared" si="5"/>
        <v>-0.45514315265323296</v>
      </c>
    </row>
  </sheetData>
  <mergeCells count="64">
    <mergeCell ref="BT31:BW31"/>
    <mergeCell ref="BX31:CA31"/>
    <mergeCell ref="CB31:CE31"/>
    <mergeCell ref="CG2:CJ2"/>
    <mergeCell ref="AV31:AY31"/>
    <mergeCell ref="AZ31:BC31"/>
    <mergeCell ref="BD31:BG31"/>
    <mergeCell ref="BH31:BK31"/>
    <mergeCell ref="BL31:BO31"/>
    <mergeCell ref="BP31:BS31"/>
    <mergeCell ref="BT2:BW2"/>
    <mergeCell ref="CB2:CE2"/>
    <mergeCell ref="BP16:BS16"/>
    <mergeCell ref="BT16:BW16"/>
    <mergeCell ref="BX16:CA16"/>
    <mergeCell ref="CB16:CE16"/>
    <mergeCell ref="BH16:BK16"/>
    <mergeCell ref="BL16:BO16"/>
    <mergeCell ref="A31:C31"/>
    <mergeCell ref="D31:G31"/>
    <mergeCell ref="H31:K31"/>
    <mergeCell ref="L31:O31"/>
    <mergeCell ref="P31:S31"/>
    <mergeCell ref="T31:W31"/>
    <mergeCell ref="AR16:AU16"/>
    <mergeCell ref="AV16:AY16"/>
    <mergeCell ref="AZ16:BC16"/>
    <mergeCell ref="BD16:BG16"/>
    <mergeCell ref="T16:W16"/>
    <mergeCell ref="X16:AA16"/>
    <mergeCell ref="AB16:AE16"/>
    <mergeCell ref="AF16:AI16"/>
    <mergeCell ref="AJ16:AM16"/>
    <mergeCell ref="AN16:AQ16"/>
    <mergeCell ref="AR31:AU31"/>
    <mergeCell ref="X31:AA31"/>
    <mergeCell ref="AB31:AE31"/>
    <mergeCell ref="AF31:AI31"/>
    <mergeCell ref="AJ31:AM31"/>
    <mergeCell ref="AN31:AQ31"/>
    <mergeCell ref="A16:C16"/>
    <mergeCell ref="D16:G16"/>
    <mergeCell ref="H16:K16"/>
    <mergeCell ref="L16:O16"/>
    <mergeCell ref="P16:S16"/>
    <mergeCell ref="X2:AA2"/>
    <mergeCell ref="AB2:AE2"/>
    <mergeCell ref="AF2:AI2"/>
    <mergeCell ref="AJ2:AM2"/>
    <mergeCell ref="BX2:CA2"/>
    <mergeCell ref="AV2:AY2"/>
    <mergeCell ref="AZ2:BC2"/>
    <mergeCell ref="BD2:BG2"/>
    <mergeCell ref="BH2:BK2"/>
    <mergeCell ref="BL2:BO2"/>
    <mergeCell ref="BP2:BS2"/>
    <mergeCell ref="AN2:AQ2"/>
    <mergeCell ref="AR2:AU2"/>
    <mergeCell ref="T2:W2"/>
    <mergeCell ref="A2:C2"/>
    <mergeCell ref="D2:G2"/>
    <mergeCell ref="H2:K2"/>
    <mergeCell ref="L2:O2"/>
    <mergeCell ref="P2:S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89"/>
  <sheetViews>
    <sheetView workbookViewId="0">
      <selection activeCell="U15" sqref="U15"/>
    </sheetView>
  </sheetViews>
  <sheetFormatPr defaultRowHeight="12.75"/>
  <cols>
    <col min="1" max="1" width="2.5703125" customWidth="1"/>
    <col min="2" max="2" width="3.5703125" customWidth="1"/>
    <col min="3" max="3" width="27.28515625" customWidth="1"/>
  </cols>
  <sheetData>
    <row r="1" spans="1:23">
      <c r="A1" s="1187"/>
      <c r="B1" s="3092"/>
      <c r="C1" s="16"/>
      <c r="D1" s="16"/>
      <c r="E1" s="16"/>
      <c r="F1" s="16"/>
      <c r="G1" s="16"/>
      <c r="H1" s="16"/>
      <c r="I1" s="16"/>
      <c r="J1" s="16"/>
      <c r="K1" s="16"/>
      <c r="L1" s="16"/>
      <c r="M1" s="144"/>
    </row>
    <row r="2" spans="1:23">
      <c r="B2" s="3093" t="s">
        <v>226</v>
      </c>
      <c r="C2" s="3094"/>
      <c r="D2" s="3094"/>
      <c r="E2" s="3094"/>
      <c r="F2" s="3094"/>
      <c r="G2" s="3094"/>
      <c r="H2" s="3094"/>
      <c r="I2" s="3094"/>
      <c r="J2" s="3094"/>
      <c r="K2" s="3094"/>
      <c r="L2" s="3094"/>
      <c r="M2" s="3094"/>
      <c r="N2" s="3094"/>
      <c r="O2" s="3094"/>
      <c r="P2" s="3094"/>
      <c r="Q2" s="3094"/>
      <c r="R2" s="3094"/>
      <c r="S2" s="3094"/>
      <c r="T2" s="3094"/>
    </row>
    <row r="3" spans="1:23">
      <c r="B3" s="3092"/>
      <c r="C3" s="16"/>
      <c r="D3" s="16"/>
      <c r="E3" s="16"/>
      <c r="F3" s="16"/>
      <c r="G3" s="16"/>
      <c r="H3" s="16"/>
      <c r="I3" s="16"/>
      <c r="J3" s="16"/>
      <c r="K3" s="16"/>
      <c r="L3" s="16"/>
      <c r="M3" s="144"/>
      <c r="S3" s="16"/>
      <c r="T3" s="16"/>
    </row>
    <row r="4" spans="1:23">
      <c r="B4" s="3095" t="s">
        <v>1148</v>
      </c>
      <c r="C4" s="3095" t="s">
        <v>281</v>
      </c>
      <c r="D4" s="3096"/>
      <c r="E4" s="3096"/>
      <c r="F4" s="3096"/>
      <c r="G4" s="3096"/>
      <c r="H4" s="3096"/>
      <c r="I4" s="3096"/>
      <c r="J4" s="3096"/>
      <c r="K4" s="3096"/>
      <c r="L4" s="3096"/>
      <c r="M4" s="3097"/>
      <c r="N4" s="3097"/>
      <c r="O4" s="3097"/>
      <c r="P4" s="3097"/>
      <c r="Q4" s="3097"/>
      <c r="R4" s="3097"/>
      <c r="S4" s="3096"/>
      <c r="T4" s="3096"/>
      <c r="U4" s="3096"/>
    </row>
    <row r="5" spans="1:23">
      <c r="B5" s="3098"/>
      <c r="C5" s="3099"/>
      <c r="D5" s="3100">
        <v>2000</v>
      </c>
      <c r="E5" s="3100">
        <v>2001</v>
      </c>
      <c r="F5" s="3100">
        <v>2002</v>
      </c>
      <c r="G5" s="3100">
        <v>2003</v>
      </c>
      <c r="H5" s="3100">
        <v>2004</v>
      </c>
      <c r="I5" s="3100">
        <v>2005</v>
      </c>
      <c r="J5" s="3100">
        <v>2006</v>
      </c>
      <c r="K5" s="3100">
        <v>2007</v>
      </c>
      <c r="L5" s="3100">
        <v>2008</v>
      </c>
      <c r="M5" s="3100">
        <v>2009</v>
      </c>
      <c r="N5" s="3100">
        <v>2010</v>
      </c>
      <c r="O5" s="3100">
        <v>2011</v>
      </c>
      <c r="P5" s="3100">
        <v>2012</v>
      </c>
      <c r="Q5" s="3100">
        <v>2013</v>
      </c>
      <c r="R5" s="3100">
        <v>2014</v>
      </c>
      <c r="S5" s="3100">
        <v>2015</v>
      </c>
      <c r="T5" s="3100">
        <v>2016</v>
      </c>
      <c r="U5" s="3100">
        <v>2017</v>
      </c>
    </row>
    <row r="6" spans="1:23">
      <c r="B6" s="3101"/>
      <c r="C6" s="1059" t="s">
        <v>1149</v>
      </c>
      <c r="D6" s="1084">
        <f>'VVP2'!L341</f>
        <v>13.368180000000001</v>
      </c>
      <c r="E6" s="1084">
        <f>'VVP2'!M341</f>
        <v>14.194520000000001</v>
      </c>
      <c r="F6" s="1084">
        <f>'VVP2'!N341</f>
        <v>15.202170000000001</v>
      </c>
      <c r="G6" s="1084">
        <f>'VVP2'!O341</f>
        <v>16.668479999999999</v>
      </c>
      <c r="H6" s="1084">
        <f>'VVP2'!P341</f>
        <v>18.237719999999999</v>
      </c>
      <c r="I6" s="1084">
        <f>'VVP2'!Q341</f>
        <v>21.00235</v>
      </c>
      <c r="J6" s="1084">
        <f>'VVP2'!R341</f>
        <v>24.079180000000001</v>
      </c>
      <c r="K6" s="1084">
        <f>'VVP2'!S341</f>
        <v>29.040659999999999</v>
      </c>
      <c r="L6" s="1084">
        <f>'VVP2'!T341</f>
        <v>32.696280000000002</v>
      </c>
      <c r="M6" s="1084">
        <f>'VVP2'!U341</f>
        <v>26.934819999999998</v>
      </c>
      <c r="N6" s="1084">
        <f>'VVP2'!V341</f>
        <v>28.027660000000001</v>
      </c>
      <c r="O6" s="1084">
        <f>'VVP2'!W341</f>
        <v>31.275320000000001</v>
      </c>
      <c r="P6" s="1084">
        <f>'VVP2'!X341</f>
        <v>33.348480000000002</v>
      </c>
      <c r="Q6" s="1084">
        <f>'VVP2'!Y341</f>
        <v>34.959650000000003</v>
      </c>
      <c r="R6" s="1084">
        <f>'VVP2'!Z341</f>
        <v>36.568280000000001</v>
      </c>
      <c r="S6" s="1084">
        <f>'VVP2'!AA341</f>
        <v>37.426610000000004</v>
      </c>
      <c r="T6" s="1084">
        <f>'VVP2'!AB341</f>
        <v>38.668320000000001</v>
      </c>
      <c r="U6" s="1084">
        <f ca="1">'VVP2'!AC341</f>
        <v>41.779594892398123</v>
      </c>
    </row>
    <row r="7" spans="1:23">
      <c r="B7" s="3102"/>
      <c r="C7" s="1" t="s">
        <v>1866</v>
      </c>
      <c r="D7" s="1062"/>
      <c r="E7" s="1062">
        <f t="shared" ref="E7:Q7" si="0">(E6-D6)/D6*100</f>
        <v>6.181394924365172</v>
      </c>
      <c r="F7" s="1062">
        <f t="shared" si="0"/>
        <v>7.0988663230598839</v>
      </c>
      <c r="G7" s="1062">
        <f t="shared" si="0"/>
        <v>9.6453993081250786</v>
      </c>
      <c r="H7" s="1062">
        <f t="shared" si="0"/>
        <v>9.4144157115705855</v>
      </c>
      <c r="I7" s="1062">
        <f t="shared" si="0"/>
        <v>15.158857576495311</v>
      </c>
      <c r="J7" s="1062">
        <f t="shared" si="0"/>
        <v>14.649932031415538</v>
      </c>
      <c r="K7" s="1062">
        <f t="shared" si="0"/>
        <v>20.60485448424738</v>
      </c>
      <c r="L7" s="1062">
        <f t="shared" si="0"/>
        <v>12.587937051017445</v>
      </c>
      <c r="M7" s="1062">
        <f t="shared" si="0"/>
        <v>-17.621148338587762</v>
      </c>
      <c r="N7" s="1062">
        <f t="shared" si="0"/>
        <v>4.0573502997235646</v>
      </c>
      <c r="O7" s="1062">
        <f t="shared" si="0"/>
        <v>11.587339078610201</v>
      </c>
      <c r="P7" s="1062">
        <f t="shared" si="0"/>
        <v>6.6287411287878157</v>
      </c>
      <c r="Q7" s="1062">
        <f t="shared" si="0"/>
        <v>4.8313146506227609</v>
      </c>
      <c r="R7" s="1062">
        <f>(R6-Q6)/Q6*100</f>
        <v>4.6013904601447608</v>
      </c>
      <c r="S7" s="1062">
        <f>(S6-R6)/R6*100</f>
        <v>2.3471981728426994</v>
      </c>
      <c r="T7" s="1062">
        <f>(T6-S6)/S6*100</f>
        <v>3.3177196652328313</v>
      </c>
      <c r="U7" s="1062">
        <f ca="1">(U6-T6)/T6*100</f>
        <v>8.0460565455083675</v>
      </c>
    </row>
    <row r="8" spans="1:23">
      <c r="B8" s="3102"/>
      <c r="C8" s="1" t="s">
        <v>1867</v>
      </c>
      <c r="D8" s="1062"/>
      <c r="E8" s="1062">
        <f>('VVP2'!M125-'VVP2'!L125)/'VVP2'!L125*100</f>
        <v>6.6996058629840256</v>
      </c>
      <c r="F8" s="1062">
        <f>('VVP2'!N125-'VVP2'!M125)/'VVP2'!M125*100</f>
        <v>6.8379975004915288</v>
      </c>
      <c r="G8" s="1062">
        <f>('VVP2'!O125-'VVP2'!N125)/'VVP2'!N125*100</f>
        <v>10.275887367570673</v>
      </c>
      <c r="H8" s="1062">
        <f>('VVP2'!P125-'VVP2'!O125)/'VVP2'!O125*100</f>
        <v>7.448260888522432</v>
      </c>
      <c r="I8" s="1062">
        <f>('VVP2'!Q125-'VVP2'!P125)/'VVP2'!P125*100</f>
        <v>7.7273873836427738</v>
      </c>
      <c r="J8" s="1062">
        <f>('VVP2'!R125-'VVP2'!Q125)/'VVP2'!Q125*100</f>
        <v>7.4064505195753805</v>
      </c>
      <c r="K8" s="1062">
        <f>('VVP2'!S125-'VVP2'!R125)/'VVP2'!R125*100</f>
        <v>11.086962799861093</v>
      </c>
      <c r="L8" s="1062">
        <f>('VVP2'!T125-'VVP2'!S125)/'VVP2'!S125*100</f>
        <v>2.6280823574654848</v>
      </c>
      <c r="M8" s="1062">
        <f>('VVP2'!U125-'VVP2'!T125)/'VVP2'!T125*100</f>
        <v>-14.814172950076223</v>
      </c>
      <c r="N8" s="1062">
        <f>('VVP2'!V125-'VVP2'!U125)/'VVP2'!U125*100</f>
        <v>1.639826991162791</v>
      </c>
      <c r="O8" s="1062">
        <f>('VVP2'!W125-'VVP2'!V125)/'VVP2'!V125*100</f>
        <v>6.0431373864246885</v>
      </c>
      <c r="P8" s="1062">
        <f>('VVP2'!X125-'VVP2'!W125)/'VVP2'!W125*100</f>
        <v>3.8269382239940919</v>
      </c>
      <c r="Q8" s="1062">
        <f>('VVP2'!Y125-'VVP2'!X125)/'VVP2'!X125*100</f>
        <v>3.4985772305690088</v>
      </c>
      <c r="R8" s="1062">
        <f>('VVP2'!Z125-'VVP2'!Y125)/'VVP2'!Y125*100</f>
        <v>3.5375855747539444</v>
      </c>
      <c r="S8" s="1062">
        <f>('VVP2'!AA125-'VVP2'!Z125)/'VVP2'!Z125*100</f>
        <v>2.0346676424249135</v>
      </c>
      <c r="T8" s="1062">
        <f>('VVP2'!AB125-'VVP2'!AA125)/'VVP2'!AA125*100</f>
        <v>2.3448829366414232</v>
      </c>
      <c r="U8" s="1062">
        <f>('VVP2'!AC125-'VVP2'!AB125)/'VVP2'!AB125*100</f>
        <v>3.8289347486644441</v>
      </c>
    </row>
    <row r="9" spans="1:23">
      <c r="B9" s="3102"/>
      <c r="C9" s="1" t="s">
        <v>1868</v>
      </c>
      <c r="D9" s="1062"/>
      <c r="E9" s="1062">
        <f>('VVP2'!M456-'VVP2'!L456)/'VVP2'!L456*100</f>
        <v>-0.4856727767901089</v>
      </c>
      <c r="F9" s="1062">
        <f>('VVP2'!N456-'VVP2'!M456)/'VVP2'!M456*100</f>
        <v>0.24417232508234737</v>
      </c>
      <c r="G9" s="1062">
        <f>('VVP2'!O456-'VVP2'!N456)/'VVP2'!N456*100</f>
        <v>-0.57173700842150688</v>
      </c>
      <c r="H9" s="1062">
        <f>('VVP2'!P456-'VVP2'!O456)/'VVP2'!O456*100</f>
        <v>1.829861932421641</v>
      </c>
      <c r="I9" s="1062">
        <f>('VVP2'!Q456-'VVP2'!P456)/'VVP2'!P456*100</f>
        <v>6.8984038073691512</v>
      </c>
      <c r="J9" s="1062">
        <f>('VVP2'!R456-'VVP2'!Q456)/'VVP2'!Q456*100</f>
        <v>6.7439911446659409</v>
      </c>
      <c r="K9" s="1062">
        <f>('VVP2'!S456-'VVP2'!R456)/'VVP2'!R456*100</f>
        <v>8.5679646328382457</v>
      </c>
      <c r="L9" s="1062">
        <f>('VVP2'!T456-'VVP2'!S456)/'VVP2'!S456*100</f>
        <v>9.7048044402317082</v>
      </c>
      <c r="M9" s="1062">
        <f>('VVP2'!U456-'VVP2'!T456)/'VVP2'!T456*100</f>
        <v>-3.295120192783358</v>
      </c>
      <c r="N9" s="1062">
        <f>('VVP2'!V456-'VVP2'!U456)/'VVP2'!U456*100</f>
        <v>2.3785197005215051</v>
      </c>
      <c r="O9" s="1062">
        <f>('VVP2'!W456-'VVP2'!V456)/'VVP2'!V456*100</f>
        <v>5.228251284175272</v>
      </c>
      <c r="P9" s="1062">
        <f>('VVP2'!X456-'VVP2'!W456)/'VVP2'!W456*100</f>
        <v>2.6985317613326743</v>
      </c>
      <c r="Q9" s="1062">
        <f>('VVP2'!Y456-'VVP2'!X456)/'VVP2'!X456*100</f>
        <v>1.2876867061512804</v>
      </c>
      <c r="R9" s="1062">
        <f>('VVP2'!Z456-'VVP2'!Y456)/'VVP2'!Y456*100</f>
        <v>1.027457690350289</v>
      </c>
      <c r="S9" s="1062">
        <f>('VVP2'!AA456-'VVP2'!Z456)/'VVP2'!Z456*100</f>
        <v>0.30629837646262703</v>
      </c>
      <c r="T9" s="1062">
        <f>('VVP2'!AB456-'VVP2'!AA456)/'VVP2'!AA456*100</f>
        <v>0.95054750240289276</v>
      </c>
      <c r="U9" s="1062">
        <f ca="1">('VVP2'!AC456-'VVP2'!AB456)/'VVP2'!AB456*100</f>
        <v>4.0616055698271207</v>
      </c>
    </row>
    <row r="10" spans="1:23">
      <c r="B10" s="3104"/>
      <c r="C10" s="1078" t="s">
        <v>1869</v>
      </c>
      <c r="D10" s="1085"/>
      <c r="E10" s="1085">
        <f t="shared" ref="E10:Q10" si="1">100*((1+E9/100)*(E56/D56)-1)</f>
        <v>2.6506272381445539</v>
      </c>
      <c r="F10" s="1085">
        <f t="shared" si="1"/>
        <v>3.8054860727705586</v>
      </c>
      <c r="G10" s="1085">
        <f t="shared" si="1"/>
        <v>-0.37879543746441868</v>
      </c>
      <c r="H10" s="1085">
        <f t="shared" si="1"/>
        <v>1.8239637099459083</v>
      </c>
      <c r="I10" s="1085">
        <f t="shared" si="1"/>
        <v>6.9014997991383664</v>
      </c>
      <c r="J10" s="1085">
        <f t="shared" si="1"/>
        <v>6.7439911446659506</v>
      </c>
      <c r="K10" s="1085">
        <f t="shared" si="1"/>
        <v>8.5679646328382439</v>
      </c>
      <c r="L10" s="1085">
        <f t="shared" si="1"/>
        <v>9.7048044402317188</v>
      </c>
      <c r="M10" s="1085">
        <f t="shared" si="1"/>
        <v>-3.2951201927833629</v>
      </c>
      <c r="N10" s="1085">
        <f t="shared" si="1"/>
        <v>2.3785197005214975</v>
      </c>
      <c r="O10" s="1085">
        <f t="shared" si="1"/>
        <v>5.2282512841752782</v>
      </c>
      <c r="P10" s="1085">
        <f t="shared" si="1"/>
        <v>2.6985317613326787</v>
      </c>
      <c r="Q10" s="1085">
        <f t="shared" si="1"/>
        <v>1.2876867061512698</v>
      </c>
      <c r="R10" s="1085">
        <f>100*((1+R9/100)*(R56/Q56)-1)</f>
        <v>1.0274576903502863</v>
      </c>
      <c r="S10" s="1085">
        <f>100*((1+S9/100)*(S56/R56)-1)</f>
        <v>0.30629837646263258</v>
      </c>
      <c r="T10" s="1085">
        <f>100*((1+T9/100)*(T56/S56)-1)</f>
        <v>0.95054750240288755</v>
      </c>
      <c r="U10" s="1085">
        <f ca="1">100*((1+U9/100)*(U56/T56)-1)</f>
        <v>-100</v>
      </c>
    </row>
    <row r="12" spans="1:23">
      <c r="O12">
        <f ca="1">'VVP1'!CL88-'VVP1'!CL103</f>
        <v>-0.79766000000000048</v>
      </c>
    </row>
    <row r="13" spans="1:23">
      <c r="B13" s="3100" t="s">
        <v>1870</v>
      </c>
      <c r="C13" s="3100" t="s">
        <v>1871</v>
      </c>
      <c r="D13" s="3100"/>
      <c r="E13" s="3100"/>
      <c r="F13" s="3100"/>
      <c r="G13" s="3100"/>
      <c r="H13" s="3100"/>
      <c r="I13" s="3100"/>
      <c r="J13" s="3100"/>
      <c r="K13" s="3100"/>
      <c r="L13" s="3100"/>
      <c r="M13" s="3100"/>
      <c r="N13" s="3100"/>
      <c r="O13" s="3100"/>
      <c r="P13" s="3100"/>
      <c r="Q13" s="3100"/>
      <c r="R13" s="3100"/>
      <c r="S13" s="3100"/>
      <c r="T13" s="3100"/>
      <c r="U13" s="3100"/>
    </row>
    <row r="14" spans="1:23">
      <c r="B14" s="3100"/>
      <c r="C14" s="3100"/>
      <c r="D14" s="3100">
        <v>2000</v>
      </c>
      <c r="E14" s="3100">
        <v>2001</v>
      </c>
      <c r="F14" s="3100">
        <v>2002</v>
      </c>
      <c r="G14" s="3100">
        <v>2003</v>
      </c>
      <c r="H14" s="3100">
        <v>2004</v>
      </c>
      <c r="I14" s="3100">
        <v>2005</v>
      </c>
      <c r="J14" s="3100">
        <v>2006</v>
      </c>
      <c r="K14" s="3100">
        <v>2007</v>
      </c>
      <c r="L14" s="3100">
        <v>2008</v>
      </c>
      <c r="M14" s="3100">
        <v>2009</v>
      </c>
      <c r="N14" s="3100">
        <v>2010</v>
      </c>
      <c r="O14" s="3100">
        <v>2011</v>
      </c>
      <c r="P14" s="3100">
        <v>2012</v>
      </c>
      <c r="Q14" s="3100">
        <v>2013</v>
      </c>
      <c r="R14" s="3100">
        <v>2014</v>
      </c>
      <c r="S14" s="3100">
        <v>2015</v>
      </c>
      <c r="T14" s="3100">
        <v>2016</v>
      </c>
      <c r="U14" s="3100">
        <v>2017</v>
      </c>
    </row>
    <row r="15" spans="1:23">
      <c r="B15" s="3102"/>
      <c r="C15" s="1" t="s">
        <v>1872</v>
      </c>
      <c r="D15" s="1927" t="e">
        <f ca="1">'VVP1'!AI88-'VVP1'!AI103+Sector1!L772+Sector1!L782</f>
        <v>#VALUE!</v>
      </c>
      <c r="E15" s="1927" t="e">
        <f ca="1">'VVP1'!AN88-'VVP1'!AN103+Sector1!M772+Sector1!M782</f>
        <v>#VALUE!</v>
      </c>
      <c r="F15" s="1927" t="e">
        <f ca="1">'VVP1'!AS88-'VVP1'!AS103+Sector1!N772+Sector1!N782</f>
        <v>#VALUE!</v>
      </c>
      <c r="G15" s="1927" t="e">
        <f ca="1">'VVP1'!AX88-'VVP1'!AX103+Sector1!O772+Sector1!O782</f>
        <v>#VALUE!</v>
      </c>
      <c r="H15" s="1927" t="e">
        <f ca="1">'VVP1'!BC88-'VVP1'!BC103+Sector1!P772+Sector1!P782</f>
        <v>#VALUE!</v>
      </c>
      <c r="I15" s="1927" t="e">
        <f ca="1">'VVP1'!BH88-'VVP1'!BH103+Sector1!Q772+Sector1!Q782</f>
        <v>#VALUE!</v>
      </c>
      <c r="J15" s="1927" t="e">
        <f ca="1">'VVP1'!BM88-'VVP1'!BM103+Sector1!R772+Sector1!R782</f>
        <v>#VALUE!</v>
      </c>
      <c r="K15" s="1927" t="e">
        <f ca="1">'VVP1'!BR88-'VVP1'!BR103+Sector1!S772+Sector1!S782</f>
        <v>#VALUE!</v>
      </c>
      <c r="L15" s="1927">
        <f ca="1">'VVP1'!BW88-'VVP1'!BW103+Sector1!T772+Sector1!T782</f>
        <v>-4.3574200000000003</v>
      </c>
      <c r="M15" s="1927">
        <f ca="1">'VVP1'!CB88-'VVP1'!CB103+Sector1!U772+Sector1!U782</f>
        <v>0.52244999999999964</v>
      </c>
      <c r="N15" s="1927">
        <f ca="1">'VVP1'!CG88-'VVP1'!CG103+Sector1!V772+Sector1!V782</f>
        <v>-0.16520999999999886</v>
      </c>
      <c r="O15" s="3182">
        <f ca="1">'VVP1'!CL88-'VVP1'!CL103+Sector1!W772+Sector1!W782</f>
        <v>-1.2646600000000003</v>
      </c>
      <c r="P15" s="1927">
        <f ca="1">'VVP1'!CQ88-'VVP1'!CQ103+Sector1!X772+Sector1!X782</f>
        <v>-0.35613999999999912</v>
      </c>
      <c r="Q15" s="1927">
        <f ca="1">'VVP1'!CV88-'VVP1'!CV103+Sector1!Y772+Sector1!Y782</f>
        <v>0.45424999999999882</v>
      </c>
      <c r="R15" s="1927">
        <f ca="1">'VVP1'!CS88-'VVP1'!CS103+Sector1!Z772+Sector1!Z782</f>
        <v>1.4090362311587716</v>
      </c>
      <c r="S15" s="1927">
        <f ca="1">'VVP1'!CX88-'VVP1'!CX103+Sector1!AA772+Sector1!AA782</f>
        <v>-0.43569372756847835</v>
      </c>
      <c r="T15" s="1927">
        <f ca="1">'VVP1'!CU88-'VVP1'!CU103+Sector1!AB772+Sector1!AB782</f>
        <v>-0.99374293199332608</v>
      </c>
      <c r="U15" s="1927">
        <f ca="1">'VVP1'!CV88-'VVP1'!CV103+Sector1!AC772+Sector1!AC782</f>
        <v>-0.2628215920000011</v>
      </c>
    </row>
    <row r="16" spans="1:23">
      <c r="B16" s="3102"/>
      <c r="C16" s="1" t="s">
        <v>1873</v>
      </c>
      <c r="D16" s="1062">
        <f>-Sector1!L142</f>
        <v>-0.24414967562557924</v>
      </c>
      <c r="E16" s="1062">
        <f>-Sector1!M142</f>
        <v>-0.24125347544022246</v>
      </c>
      <c r="F16" s="1062">
        <f>-Sector1!N142</f>
        <v>-0.21431881371640407</v>
      </c>
      <c r="G16" s="1062">
        <f>-Sector1!O142</f>
        <v>-0.45296570898980537</v>
      </c>
      <c r="H16" s="1062">
        <f>-Sector1!P142</f>
        <v>-0.5847428174235404</v>
      </c>
      <c r="I16" s="1062">
        <f>-Sector1!Q142</f>
        <v>-0.66600000000000004</v>
      </c>
      <c r="J16" s="1062">
        <f>-Sector1!R142</f>
        <v>-0.84499999999999997</v>
      </c>
      <c r="K16" s="1062">
        <f>-Sector1!S142</f>
        <v>-1.367</v>
      </c>
      <c r="L16" s="1062">
        <f>-Sector1!T142</f>
        <v>-1.353</v>
      </c>
      <c r="M16" s="1062">
        <f>-Sector1!U142</f>
        <v>0.24299999999999999</v>
      </c>
      <c r="N16" s="1062">
        <f>-Sector1!V142</f>
        <v>-0.98599999999999999</v>
      </c>
      <c r="O16" s="1062">
        <f>-Sector1!W142</f>
        <v>-1.583</v>
      </c>
      <c r="P16" s="1062">
        <f>-Sector1!X142</f>
        <v>-1.347</v>
      </c>
      <c r="Q16" s="1062">
        <f>-Sector1!Y142</f>
        <v>-1.2809999999999999</v>
      </c>
      <c r="R16" s="1062">
        <f>-Sector1!Z142</f>
        <v>-0.77200000000000002</v>
      </c>
      <c r="S16" s="1062">
        <f>-Sector1!AA142</f>
        <v>-1.871</v>
      </c>
      <c r="T16" s="1062">
        <f>-Sector1!AB142</f>
        <v>-1.851</v>
      </c>
      <c r="U16" s="1062">
        <f>-Sector1!AC142</f>
        <v>-1.8787649999999998</v>
      </c>
      <c r="V16" s="3106"/>
      <c r="W16" s="3106"/>
    </row>
    <row r="17" spans="2:23">
      <c r="B17" s="3102"/>
      <c r="C17" s="1" t="s">
        <v>1917</v>
      </c>
      <c r="D17" s="1062">
        <f>-Sector1!L140</f>
        <v>0.166241890639481</v>
      </c>
      <c r="E17" s="1062">
        <f>-Sector1!M140</f>
        <v>0.15089202965708989</v>
      </c>
      <c r="F17" s="1062">
        <f>-Sector1!N140</f>
        <v>0.12859128822984245</v>
      </c>
      <c r="G17" s="1062">
        <f>-Sector1!O140</f>
        <v>0.14220342910101949</v>
      </c>
      <c r="H17" s="1062">
        <f>-Sector1!P140</f>
        <v>0.159001390176089</v>
      </c>
      <c r="I17" s="1062">
        <f>-Sector1!Q140</f>
        <v>0.123</v>
      </c>
      <c r="J17" s="1062">
        <f>-Sector1!R140</f>
        <v>0.215</v>
      </c>
      <c r="K17" s="1062">
        <f>-Sector1!S140</f>
        <v>0.32400000000000001</v>
      </c>
      <c r="L17" s="1062">
        <f>-Sector1!T140</f>
        <v>0.436</v>
      </c>
      <c r="M17" s="1062">
        <f>-Sector1!U140</f>
        <v>0.20499999999999999</v>
      </c>
      <c r="N17" s="1062">
        <f>-Sector1!V140</f>
        <v>0.26900000000000002</v>
      </c>
      <c r="O17" s="1062">
        <f>-Sector1!W140</f>
        <v>0.41599999999999998</v>
      </c>
      <c r="P17" s="1062">
        <f>-Sector1!X140</f>
        <v>0.432</v>
      </c>
      <c r="Q17" s="1062">
        <f>-Sector1!Y140</f>
        <v>0.33700000000000002</v>
      </c>
      <c r="R17" s="1062">
        <f>-Sector1!Z140</f>
        <v>0.29799999999999999</v>
      </c>
      <c r="S17" s="1062">
        <f>-Sector1!AA140</f>
        <v>0.22900000000000001</v>
      </c>
      <c r="T17" s="1062">
        <f>-Sector1!AB140</f>
        <v>0.22900000000000001</v>
      </c>
      <c r="U17" s="1062">
        <f>-Sector1!AC140</f>
        <v>-0.77876499999999971</v>
      </c>
      <c r="V17" s="3106"/>
      <c r="W17" s="3106"/>
    </row>
    <row r="18" spans="2:23">
      <c r="B18" s="3102"/>
      <c r="C18" s="1" t="s">
        <v>1918</v>
      </c>
      <c r="D18" s="1062">
        <f>-Sector1!L141</f>
        <v>-0.41039156626506024</v>
      </c>
      <c r="E18" s="1062">
        <f>-Sector1!M141</f>
        <v>-0.39214550509731239</v>
      </c>
      <c r="F18" s="1062">
        <f>-Sector1!N141</f>
        <v>-0.34291010194624655</v>
      </c>
      <c r="G18" s="1062">
        <f>-Sector1!O141</f>
        <v>-0.59516913809082483</v>
      </c>
      <c r="H18" s="1062">
        <f>-Sector1!P141</f>
        <v>-0.74374420759962934</v>
      </c>
      <c r="I18" s="1062">
        <f>-Sector1!Q141</f>
        <v>-0.78900000000000003</v>
      </c>
      <c r="J18" s="1062">
        <f>-Sector1!R141</f>
        <v>-1.0609999999999999</v>
      </c>
      <c r="K18" s="1062">
        <f>-Sector1!S141</f>
        <v>-1.6919999999999999</v>
      </c>
      <c r="L18" s="1062">
        <f>-Sector1!T141</f>
        <v>-1.7889999999999999</v>
      </c>
      <c r="M18" s="1062">
        <f>-Sector1!U141</f>
        <v>3.9E-2</v>
      </c>
      <c r="N18" s="1062">
        <f>-Sector1!V141</f>
        <v>-1.254</v>
      </c>
      <c r="O18" s="1062">
        <f>-Sector1!W141</f>
        <v>-2</v>
      </c>
      <c r="P18" s="1062">
        <f>-Sector1!X141</f>
        <v>-1.778</v>
      </c>
      <c r="Q18" s="1062">
        <f>-Sector1!Y141</f>
        <v>-1.6180000000000001</v>
      </c>
      <c r="R18" s="1062">
        <f>-Sector1!Z141</f>
        <v>-1.069</v>
      </c>
      <c r="S18" s="1062">
        <f>-Sector1!AA141</f>
        <v>-2.0990000000000002</v>
      </c>
      <c r="T18" s="1062">
        <f>-Sector1!AB141</f>
        <v>-2.08</v>
      </c>
      <c r="U18" s="1062">
        <f>-Sector1!AC141</f>
        <v>-1.1000000000000001</v>
      </c>
      <c r="V18" s="3106"/>
      <c r="W18" s="3106"/>
    </row>
    <row r="19" spans="2:23">
      <c r="B19" s="3102"/>
      <c r="C19" s="29" t="s">
        <v>1919</v>
      </c>
      <c r="D19" s="1062" t="e">
        <f t="shared" ref="D19:M19" ca="1" si="2">D15-D16</f>
        <v>#VALUE!</v>
      </c>
      <c r="E19" s="1062" t="e">
        <f t="shared" ca="1" si="2"/>
        <v>#VALUE!</v>
      </c>
      <c r="F19" s="1062" t="e">
        <f t="shared" ca="1" si="2"/>
        <v>#VALUE!</v>
      </c>
      <c r="G19" s="1062" t="e">
        <f t="shared" ca="1" si="2"/>
        <v>#VALUE!</v>
      </c>
      <c r="H19" s="1062" t="e">
        <f t="shared" ca="1" si="2"/>
        <v>#VALUE!</v>
      </c>
      <c r="I19" s="1062" t="e">
        <f t="shared" ca="1" si="2"/>
        <v>#VALUE!</v>
      </c>
      <c r="J19" s="1062" t="e">
        <f t="shared" ca="1" si="2"/>
        <v>#VALUE!</v>
      </c>
      <c r="K19" s="1062" t="e">
        <f t="shared" ca="1" si="2"/>
        <v>#VALUE!</v>
      </c>
      <c r="L19" s="1062">
        <f t="shared" ca="1" si="2"/>
        <v>-3.0044200000000005</v>
      </c>
      <c r="M19" s="1062">
        <f t="shared" ca="1" si="2"/>
        <v>0.27944999999999964</v>
      </c>
      <c r="N19" s="1062">
        <f t="shared" ref="N19:T19" ca="1" si="3">N15-N16</f>
        <v>0.82079000000000113</v>
      </c>
      <c r="O19" s="1062">
        <f t="shared" ca="1" si="3"/>
        <v>0.31833999999999962</v>
      </c>
      <c r="P19" s="1062">
        <f t="shared" ca="1" si="3"/>
        <v>0.99086000000000085</v>
      </c>
      <c r="Q19" s="1062">
        <f t="shared" ca="1" si="3"/>
        <v>1.7352499999999988</v>
      </c>
      <c r="R19" s="1062">
        <f t="shared" ca="1" si="3"/>
        <v>2.1810362311587719</v>
      </c>
      <c r="S19" s="1062">
        <f t="shared" ca="1" si="3"/>
        <v>1.4353062724315215</v>
      </c>
      <c r="T19" s="1062">
        <f t="shared" ca="1" si="3"/>
        <v>0.85725706800667389</v>
      </c>
      <c r="U19" s="1062">
        <f t="shared" ref="U19" ca="1" si="4">U15-U16</f>
        <v>1.6159434079999988</v>
      </c>
      <c r="V19" s="3108"/>
    </row>
    <row r="20" spans="2:23">
      <c r="B20" s="3102"/>
      <c r="C20" s="1062" t="s">
        <v>1920</v>
      </c>
      <c r="D20" s="1062">
        <f>Sector1!L490</f>
        <v>2.49E-3</v>
      </c>
      <c r="E20" s="1062">
        <f>Sector1!M490</f>
        <v>1.6100000000000001E-3</v>
      </c>
      <c r="F20" s="1062">
        <f>Sector1!N490</f>
        <v>5.9020000000000003E-2</v>
      </c>
      <c r="G20" s="1062">
        <f>Sector1!O490</f>
        <v>5.9359999999999996E-2</v>
      </c>
      <c r="H20" s="1062">
        <f>Sector1!P490</f>
        <v>0.12966999999999998</v>
      </c>
      <c r="I20" s="1062">
        <f>Sector1!Q490</f>
        <v>0.20397000000000001</v>
      </c>
      <c r="J20" s="1062">
        <f>Sector1!R490</f>
        <v>0.35857</v>
      </c>
      <c r="K20" s="1062">
        <f>Sector1!S490</f>
        <v>0.61141999999999996</v>
      </c>
      <c r="L20" s="1062">
        <f>Sector1!T490</f>
        <v>0.61907000000000001</v>
      </c>
      <c r="M20" s="1062">
        <f>Sector1!U490</f>
        <v>1.15822</v>
      </c>
      <c r="N20" s="1062">
        <f>Sector1!V490</f>
        <v>1.0577999999999999</v>
      </c>
      <c r="O20" s="1062">
        <f>Sector1!W490</f>
        <v>1.0038099999999999</v>
      </c>
      <c r="P20" s="1062">
        <f>Sector1!X490</f>
        <v>0.96409</v>
      </c>
      <c r="Q20" s="1062">
        <f>Sector1!Y490</f>
        <v>1.0888499999999999</v>
      </c>
      <c r="R20" s="1062">
        <f>Sector1!Z490</f>
        <v>0.97573999999999994</v>
      </c>
      <c r="S20" s="1062">
        <f>Sector1!AA490</f>
        <v>1.1172599999999999</v>
      </c>
      <c r="T20" s="1062">
        <f>Sector1!AB490</f>
        <v>0.56872</v>
      </c>
      <c r="U20" s="1062">
        <f>Sector1!AC490</f>
        <v>0.45054839999999996</v>
      </c>
    </row>
    <row r="21" spans="2:23">
      <c r="B21" s="3102"/>
      <c r="C21" s="1" t="s">
        <v>1921</v>
      </c>
      <c r="D21" s="1062" t="e">
        <f t="shared" ref="D21:M21" ca="1" si="5">D15+D20</f>
        <v>#VALUE!</v>
      </c>
      <c r="E21" s="1062" t="e">
        <f t="shared" ca="1" si="5"/>
        <v>#VALUE!</v>
      </c>
      <c r="F21" s="1062" t="e">
        <f t="shared" ca="1" si="5"/>
        <v>#VALUE!</v>
      </c>
      <c r="G21" s="1062" t="e">
        <f t="shared" ca="1" si="5"/>
        <v>#VALUE!</v>
      </c>
      <c r="H21" s="1062" t="e">
        <f t="shared" ca="1" si="5"/>
        <v>#VALUE!</v>
      </c>
      <c r="I21" s="1062" t="e">
        <f t="shared" ca="1" si="5"/>
        <v>#VALUE!</v>
      </c>
      <c r="J21" s="1062" t="e">
        <f t="shared" ca="1" si="5"/>
        <v>#VALUE!</v>
      </c>
      <c r="K21" s="1062" t="e">
        <f t="shared" ca="1" si="5"/>
        <v>#VALUE!</v>
      </c>
      <c r="L21" s="1062">
        <f t="shared" ca="1" si="5"/>
        <v>-3.7383500000000005</v>
      </c>
      <c r="M21" s="1062">
        <f t="shared" ca="1" si="5"/>
        <v>1.6806699999999997</v>
      </c>
      <c r="N21" s="1062">
        <f t="shared" ref="N21:T21" ca="1" si="6">N15+N20</f>
        <v>0.89259000000000099</v>
      </c>
      <c r="O21" s="1062">
        <f t="shared" ca="1" si="6"/>
        <v>-0.26085000000000047</v>
      </c>
      <c r="P21" s="1062">
        <f t="shared" ca="1" si="6"/>
        <v>0.60795000000000088</v>
      </c>
      <c r="Q21" s="1062">
        <f t="shared" ca="1" si="6"/>
        <v>1.5430999999999986</v>
      </c>
      <c r="R21" s="1062">
        <f t="shared" ca="1" si="6"/>
        <v>2.3847762311587717</v>
      </c>
      <c r="S21" s="1062">
        <f t="shared" ca="1" si="6"/>
        <v>0.68156627243152157</v>
      </c>
      <c r="T21" s="1062">
        <f t="shared" ca="1" si="6"/>
        <v>-0.42502293199332608</v>
      </c>
      <c r="U21" s="1062">
        <f t="shared" ref="U21" ca="1" si="7">U15+U20</f>
        <v>0.18772680799999886</v>
      </c>
    </row>
    <row r="22" spans="2:23">
      <c r="B22" s="3102"/>
      <c r="C22" s="1" t="s">
        <v>1919</v>
      </c>
      <c r="D22" s="1062" t="e">
        <f t="shared" ref="D22:M22" ca="1" si="8">D21-D16</f>
        <v>#VALUE!</v>
      </c>
      <c r="E22" s="1062" t="e">
        <f t="shared" ca="1" si="8"/>
        <v>#VALUE!</v>
      </c>
      <c r="F22" s="1062" t="e">
        <f t="shared" ca="1" si="8"/>
        <v>#VALUE!</v>
      </c>
      <c r="G22" s="1062" t="e">
        <f t="shared" ca="1" si="8"/>
        <v>#VALUE!</v>
      </c>
      <c r="H22" s="1062" t="e">
        <f t="shared" ca="1" si="8"/>
        <v>#VALUE!</v>
      </c>
      <c r="I22" s="1062" t="e">
        <f t="shared" ca="1" si="8"/>
        <v>#VALUE!</v>
      </c>
      <c r="J22" s="1062" t="e">
        <f t="shared" ca="1" si="8"/>
        <v>#VALUE!</v>
      </c>
      <c r="K22" s="1062" t="e">
        <f t="shared" ca="1" si="8"/>
        <v>#VALUE!</v>
      </c>
      <c r="L22" s="1062">
        <f t="shared" ca="1" si="8"/>
        <v>-2.3853500000000007</v>
      </c>
      <c r="M22" s="1062">
        <f t="shared" ca="1" si="8"/>
        <v>1.4376699999999998</v>
      </c>
      <c r="N22" s="1062">
        <f t="shared" ref="N22:T22" ca="1" si="9">N21-N16</f>
        <v>1.8785900000000009</v>
      </c>
      <c r="O22" s="1062">
        <f t="shared" ca="1" si="9"/>
        <v>1.3221499999999995</v>
      </c>
      <c r="P22" s="1062">
        <f t="shared" ca="1" si="9"/>
        <v>1.9549500000000009</v>
      </c>
      <c r="Q22" s="1062">
        <f t="shared" ca="1" si="9"/>
        <v>2.8240999999999987</v>
      </c>
      <c r="R22" s="1062">
        <f t="shared" ca="1" si="9"/>
        <v>3.1567762311587719</v>
      </c>
      <c r="S22" s="1062">
        <f t="shared" ca="1" si="9"/>
        <v>2.5525662724315215</v>
      </c>
      <c r="T22" s="1062">
        <f t="shared" ca="1" si="9"/>
        <v>1.4259770680066739</v>
      </c>
      <c r="U22" s="1062">
        <f t="shared" ref="U22" ca="1" si="10">U21-U16</f>
        <v>2.0664918079999985</v>
      </c>
      <c r="V22" s="3108"/>
    </row>
    <row r="23" spans="2:23">
      <c r="B23" s="3102"/>
      <c r="C23" s="1"/>
      <c r="D23" s="1062"/>
      <c r="E23" s="1062"/>
      <c r="F23" s="1062"/>
      <c r="G23" s="1062"/>
      <c r="H23" s="1062"/>
      <c r="I23" s="1062"/>
      <c r="J23" s="1062"/>
      <c r="K23" s="1062"/>
      <c r="L23" s="1062"/>
      <c r="M23" s="1062"/>
      <c r="N23" s="29"/>
      <c r="O23" s="29"/>
      <c r="P23" s="29"/>
      <c r="Q23" s="29"/>
      <c r="R23" s="29"/>
      <c r="S23" s="29"/>
      <c r="T23" s="29"/>
      <c r="U23" s="29"/>
      <c r="V23" s="3108"/>
    </row>
    <row r="24" spans="2:23">
      <c r="B24" s="3102"/>
      <c r="C24" s="855" t="s">
        <v>1922</v>
      </c>
      <c r="D24" s="1444" t="e">
        <f t="shared" ref="D24:N24" ca="1" si="11">D15/D6*100</f>
        <v>#VALUE!</v>
      </c>
      <c r="E24" s="1444" t="e">
        <f t="shared" ca="1" si="11"/>
        <v>#VALUE!</v>
      </c>
      <c r="F24" s="1444" t="e">
        <f t="shared" ca="1" si="11"/>
        <v>#VALUE!</v>
      </c>
      <c r="G24" s="1444" t="e">
        <f t="shared" ca="1" si="11"/>
        <v>#VALUE!</v>
      </c>
      <c r="H24" s="1444" t="e">
        <f t="shared" ca="1" si="11"/>
        <v>#VALUE!</v>
      </c>
      <c r="I24" s="1444" t="e">
        <f t="shared" ca="1" si="11"/>
        <v>#VALUE!</v>
      </c>
      <c r="J24" s="1444" t="e">
        <f t="shared" ca="1" si="11"/>
        <v>#VALUE!</v>
      </c>
      <c r="K24" s="1444" t="e">
        <f t="shared" ca="1" si="11"/>
        <v>#VALUE!</v>
      </c>
      <c r="L24" s="1444">
        <f t="shared" ca="1" si="11"/>
        <v>-13.326959519553908</v>
      </c>
      <c r="M24" s="1444">
        <f t="shared" ca="1" si="11"/>
        <v>1.9396825373252899</v>
      </c>
      <c r="N24" s="1444">
        <f t="shared" ca="1" si="11"/>
        <v>-0.58945341851584776</v>
      </c>
      <c r="O24" s="3181">
        <f t="shared" ref="O24:T24" ca="1" si="12">O15/O6*100</f>
        <v>-4.0436356846228918</v>
      </c>
      <c r="P24" s="1444">
        <f t="shared" ca="1" si="12"/>
        <v>-1.067934730458477</v>
      </c>
      <c r="Q24" s="1444">
        <f t="shared" ca="1" si="12"/>
        <v>1.2993551136810544</v>
      </c>
      <c r="R24" s="1444">
        <f t="shared" ca="1" si="12"/>
        <v>3.853165178014311</v>
      </c>
      <c r="S24" s="1444">
        <f t="shared" ca="1" si="12"/>
        <v>-1.1641282167112605</v>
      </c>
      <c r="T24" s="1444">
        <f t="shared" ca="1" si="12"/>
        <v>-2.5699149381026278</v>
      </c>
      <c r="U24" s="1444">
        <f t="shared" ref="U24" ca="1" si="13">U15/U6*100</f>
        <v>-0.62906687505441083</v>
      </c>
      <c r="V24" s="1192"/>
    </row>
    <row r="25" spans="2:23">
      <c r="B25" s="3104"/>
      <c r="C25" s="1078" t="s">
        <v>148</v>
      </c>
      <c r="D25" s="1085" t="e">
        <f t="shared" ref="D25:N25" ca="1" si="14">D21/D6*100</f>
        <v>#VALUE!</v>
      </c>
      <c r="E25" s="1085" t="e">
        <f t="shared" ca="1" si="14"/>
        <v>#VALUE!</v>
      </c>
      <c r="F25" s="1085" t="e">
        <f t="shared" ca="1" si="14"/>
        <v>#VALUE!</v>
      </c>
      <c r="G25" s="1085" t="e">
        <f t="shared" ca="1" si="14"/>
        <v>#VALUE!</v>
      </c>
      <c r="H25" s="1085" t="e">
        <f t="shared" ca="1" si="14"/>
        <v>#VALUE!</v>
      </c>
      <c r="I25" s="1085" t="e">
        <f t="shared" ca="1" si="14"/>
        <v>#VALUE!</v>
      </c>
      <c r="J25" s="1085" t="e">
        <f t="shared" ca="1" si="14"/>
        <v>#VALUE!</v>
      </c>
      <c r="K25" s="1085" t="e">
        <f t="shared" ca="1" si="14"/>
        <v>#VALUE!</v>
      </c>
      <c r="L25" s="1085">
        <f t="shared" ca="1" si="14"/>
        <v>-11.433563695931159</v>
      </c>
      <c r="M25" s="1085">
        <f t="shared" ca="1" si="14"/>
        <v>6.2397669633582096</v>
      </c>
      <c r="N25" s="1085">
        <f t="shared" ca="1" si="14"/>
        <v>3.184675424205949</v>
      </c>
      <c r="O25" s="1085">
        <f t="shared" ref="O25:T25" ca="1" si="15">O21/O6*100</f>
        <v>-0.83404422400794131</v>
      </c>
      <c r="P25" s="1085">
        <f t="shared" ca="1" si="15"/>
        <v>1.8230216189763397</v>
      </c>
      <c r="Q25" s="1085">
        <f t="shared" ca="1" si="15"/>
        <v>4.4139457917913889</v>
      </c>
      <c r="R25" s="1085">
        <f t="shared" ca="1" si="15"/>
        <v>6.5214339617799126</v>
      </c>
      <c r="S25" s="1085">
        <f t="shared" ca="1" si="15"/>
        <v>1.821074023085504</v>
      </c>
      <c r="T25" s="1085">
        <f t="shared" ca="1" si="15"/>
        <v>-1.0991502397655912</v>
      </c>
      <c r="U25" s="1085">
        <f t="shared" ref="U25" ca="1" si="16">U21/U6*100</f>
        <v>0.44932653962653935</v>
      </c>
    </row>
    <row r="26" spans="2:23" ht="13.5" thickBot="1">
      <c r="D26" s="1444"/>
      <c r="E26" s="1444"/>
      <c r="F26" s="1444"/>
      <c r="G26" s="1444"/>
      <c r="H26" s="1444"/>
      <c r="I26" s="1444"/>
      <c r="J26" s="1444"/>
      <c r="K26" s="1444"/>
      <c r="L26" s="1444"/>
      <c r="M26" s="1444"/>
    </row>
    <row r="27" spans="2:23" ht="13.5" thickBot="1">
      <c r="D27" s="3183">
        <v>9.3372499999999992</v>
      </c>
      <c r="E27" s="3183">
        <v>10.66193</v>
      </c>
      <c r="F27" s="3183">
        <v>13.1838</v>
      </c>
      <c r="G27" s="3183">
        <v>13.69941</v>
      </c>
      <c r="H27" s="3183">
        <v>16.19256</v>
      </c>
      <c r="I27" s="3183">
        <v>23.895790000000002</v>
      </c>
      <c r="J27" s="3183">
        <v>28.92465</v>
      </c>
      <c r="K27" s="3183">
        <v>35.503929999999997</v>
      </c>
      <c r="L27" s="3183">
        <v>31.733280000000001</v>
      </c>
      <c r="M27" s="3183">
        <v>33.010269999999998</v>
      </c>
      <c r="N27" s="3183">
        <v>35.553049999999999</v>
      </c>
      <c r="O27" s="3183">
        <v>37.159930000000003</v>
      </c>
    </row>
    <row r="28" spans="2:23">
      <c r="B28" s="3100" t="s">
        <v>149</v>
      </c>
      <c r="C28" s="3100" t="s">
        <v>150</v>
      </c>
      <c r="D28" s="3100"/>
      <c r="E28" s="3100"/>
      <c r="F28" s="3100"/>
      <c r="G28" s="3100"/>
      <c r="H28" s="3100"/>
      <c r="I28" s="3100"/>
      <c r="J28" s="3100"/>
      <c r="K28" s="3100"/>
      <c r="L28" s="3100"/>
      <c r="M28" s="3100"/>
      <c r="N28" s="3100"/>
      <c r="O28" s="3100"/>
      <c r="P28" s="3100"/>
      <c r="Q28" s="3100"/>
      <c r="R28" s="3100"/>
      <c r="S28" s="3100"/>
      <c r="T28" s="3100"/>
    </row>
    <row r="29" spans="2:23">
      <c r="B29" s="3100"/>
      <c r="C29" s="3100"/>
      <c r="D29" s="3100">
        <v>2000</v>
      </c>
      <c r="E29" s="3100">
        <v>2001</v>
      </c>
      <c r="F29" s="3100">
        <v>2002</v>
      </c>
      <c r="G29" s="3100">
        <v>2003</v>
      </c>
      <c r="H29" s="3100">
        <v>2004</v>
      </c>
      <c r="I29" s="3100">
        <v>2005</v>
      </c>
      <c r="J29" s="3100">
        <v>2006</v>
      </c>
      <c r="K29" s="3100">
        <v>2007</v>
      </c>
      <c r="L29" s="3100">
        <v>2008</v>
      </c>
      <c r="M29" s="3100">
        <v>2009</v>
      </c>
      <c r="N29" s="3100">
        <v>2010</v>
      </c>
      <c r="O29" s="3100">
        <v>2011</v>
      </c>
      <c r="P29" s="3100">
        <v>2012</v>
      </c>
      <c r="Q29" s="3100">
        <v>2013</v>
      </c>
      <c r="R29" s="3100">
        <v>2014</v>
      </c>
      <c r="S29" s="3100">
        <v>2015</v>
      </c>
      <c r="T29" s="3100">
        <v>2016</v>
      </c>
    </row>
    <row r="30" spans="2:23">
      <c r="B30" s="3102"/>
      <c r="C30" s="1" t="s">
        <v>151</v>
      </c>
      <c r="D30" s="3109">
        <v>10.710430000000001</v>
      </c>
      <c r="E30" s="3109">
        <v>12.50461</v>
      </c>
      <c r="F30" s="3109">
        <v>13.968400000000001</v>
      </c>
      <c r="G30" s="3109">
        <v>15.790800000000001</v>
      </c>
      <c r="H30" s="3109">
        <v>18.788209999999999</v>
      </c>
      <c r="I30" s="3109">
        <v>26.56718</v>
      </c>
      <c r="J30" s="3109">
        <v>35.398090000000003</v>
      </c>
      <c r="K30" s="3110">
        <v>45.24765</v>
      </c>
      <c r="L30" s="3110">
        <v>44.384610000000002</v>
      </c>
      <c r="M30" s="3110">
        <v>49.000169999999997</v>
      </c>
      <c r="N30" s="3110">
        <v>53.707520000000002</v>
      </c>
      <c r="O30" s="3110">
        <v>54.494030000000002</v>
      </c>
      <c r="P30" s="2249">
        <v>55</v>
      </c>
      <c r="Q30" s="2249">
        <v>56</v>
      </c>
      <c r="R30" s="2249">
        <v>57</v>
      </c>
      <c r="S30" s="2249">
        <v>58</v>
      </c>
      <c r="T30" s="2249">
        <v>59</v>
      </c>
      <c r="U30" s="1098" t="s">
        <v>152</v>
      </c>
      <c r="V30" s="26" t="s">
        <v>153</v>
      </c>
    </row>
    <row r="31" spans="2:23">
      <c r="B31" s="3102"/>
      <c r="C31" t="s">
        <v>154</v>
      </c>
      <c r="D31" s="3109">
        <v>0.11727</v>
      </c>
      <c r="E31" s="3109">
        <v>0.19142000000000001</v>
      </c>
      <c r="F31" s="3109">
        <v>0.19703999999999999</v>
      </c>
      <c r="G31" s="3109">
        <v>0.33050000000000002</v>
      </c>
      <c r="H31" s="3109">
        <v>1.0716699999999999</v>
      </c>
      <c r="I31" s="3109">
        <v>2.09856</v>
      </c>
      <c r="J31" s="3109">
        <v>2.7392099999999999</v>
      </c>
      <c r="K31" s="3184">
        <v>3.7019000000000002</v>
      </c>
      <c r="L31" s="3185">
        <v>4.8772599999999997</v>
      </c>
      <c r="M31" s="3185">
        <v>5.5156700000000001</v>
      </c>
      <c r="N31" s="3185">
        <v>5.4246800000000004</v>
      </c>
      <c r="O31" s="3185">
        <v>5.3752899999999997</v>
      </c>
      <c r="P31" s="2249">
        <v>5.34</v>
      </c>
      <c r="Q31" s="2249">
        <v>5.3</v>
      </c>
      <c r="R31" s="2249">
        <v>5.26</v>
      </c>
      <c r="S31" s="2249">
        <v>5.22</v>
      </c>
      <c r="T31" s="2249">
        <v>5.18</v>
      </c>
      <c r="U31" s="1098" t="s">
        <v>152</v>
      </c>
      <c r="V31" s="26" t="s">
        <v>155</v>
      </c>
    </row>
    <row r="32" spans="2:23">
      <c r="B32" s="3102"/>
      <c r="C32" t="s">
        <v>1088</v>
      </c>
      <c r="D32" s="3108">
        <f t="shared" ref="D32:Q32" si="17">D30-D31</f>
        <v>10.593160000000001</v>
      </c>
      <c r="E32" s="3108">
        <f t="shared" si="17"/>
        <v>12.313189999999999</v>
      </c>
      <c r="F32" s="3108">
        <f t="shared" si="17"/>
        <v>13.771360000000001</v>
      </c>
      <c r="G32" s="3108">
        <f t="shared" si="17"/>
        <v>15.4603</v>
      </c>
      <c r="H32" s="3108">
        <f t="shared" si="17"/>
        <v>17.716539999999998</v>
      </c>
      <c r="I32" s="3108">
        <f t="shared" si="17"/>
        <v>24.468620000000001</v>
      </c>
      <c r="J32" s="3108">
        <f t="shared" si="17"/>
        <v>32.658880000000003</v>
      </c>
      <c r="K32" s="3108">
        <f t="shared" si="17"/>
        <v>41.545749999999998</v>
      </c>
      <c r="L32" s="3108">
        <f t="shared" si="17"/>
        <v>39.507350000000002</v>
      </c>
      <c r="M32" s="3108">
        <f t="shared" si="17"/>
        <v>43.484499999999997</v>
      </c>
      <c r="N32" s="3108">
        <f t="shared" si="17"/>
        <v>48.28284</v>
      </c>
      <c r="O32" s="3108">
        <f t="shared" si="17"/>
        <v>49.118740000000003</v>
      </c>
      <c r="P32" s="3108">
        <f t="shared" si="17"/>
        <v>49.66</v>
      </c>
      <c r="Q32" s="3108">
        <f t="shared" si="17"/>
        <v>50.7</v>
      </c>
      <c r="R32" s="3108">
        <f>R30-R31</f>
        <v>51.74</v>
      </c>
      <c r="S32" s="3108">
        <f>S30-S31</f>
        <v>52.78</v>
      </c>
      <c r="T32" s="3108">
        <f>T30-T31</f>
        <v>53.82</v>
      </c>
      <c r="U32" s="60"/>
    </row>
    <row r="33" spans="2:22">
      <c r="B33" s="3102"/>
      <c r="C33" t="s">
        <v>1089</v>
      </c>
      <c r="H33" s="3111">
        <v>3.9146046230182738E-2</v>
      </c>
      <c r="I33" s="3111">
        <v>0.18394072858731927</v>
      </c>
      <c r="J33" s="3111">
        <v>0.28826638053920051</v>
      </c>
      <c r="K33" s="3111">
        <v>0.45493781094527358</v>
      </c>
      <c r="L33" s="3111">
        <v>0.48</v>
      </c>
      <c r="M33" s="3111">
        <v>0.5</v>
      </c>
      <c r="N33" s="3111">
        <v>0.51</v>
      </c>
      <c r="O33" s="3111">
        <v>0.52</v>
      </c>
      <c r="P33" s="3111">
        <v>0.52</v>
      </c>
      <c r="Q33" s="3111">
        <v>0.52</v>
      </c>
      <c r="R33" s="3111">
        <v>0.52</v>
      </c>
      <c r="S33" s="3111">
        <v>0.52</v>
      </c>
      <c r="T33" s="3111">
        <v>0.52</v>
      </c>
      <c r="U33" s="3132" t="s">
        <v>674</v>
      </c>
    </row>
    <row r="34" spans="2:22">
      <c r="B34" s="3102"/>
      <c r="C34" t="s">
        <v>1090</v>
      </c>
      <c r="H34" s="3108">
        <f t="shared" ref="H34:Q34" si="18">100*H33/H30</f>
        <v>0.208354314914421</v>
      </c>
      <c r="I34" s="3108">
        <f t="shared" si="18"/>
        <v>0.69236075709698686</v>
      </c>
      <c r="J34" s="3108">
        <f t="shared" si="18"/>
        <v>0.81435574783611342</v>
      </c>
      <c r="K34" s="3108">
        <f t="shared" si="18"/>
        <v>1.0054396437058577</v>
      </c>
      <c r="L34" s="3108">
        <f t="shared" si="18"/>
        <v>1.0814559370917081</v>
      </c>
      <c r="M34" s="3108">
        <f t="shared" si="18"/>
        <v>1.0204046230860015</v>
      </c>
      <c r="N34" s="3108">
        <f t="shared" si="18"/>
        <v>0.94958769274768218</v>
      </c>
      <c r="O34" s="3108">
        <f t="shared" si="18"/>
        <v>0.95423296827193727</v>
      </c>
      <c r="P34" s="3108">
        <f t="shared" si="18"/>
        <v>0.94545454545454544</v>
      </c>
      <c r="Q34" s="3108">
        <f t="shared" si="18"/>
        <v>0.9285714285714286</v>
      </c>
      <c r="R34" s="3108">
        <f>100*R33/R30</f>
        <v>0.91228070175438591</v>
      </c>
      <c r="S34" s="3108">
        <f>100*S33/S30</f>
        <v>0.89655172413793105</v>
      </c>
      <c r="T34" s="3108">
        <f>100*T33/T30</f>
        <v>0.88135593220338981</v>
      </c>
    </row>
    <row r="35" spans="2:22">
      <c r="B35" s="3102"/>
      <c r="C35" t="s">
        <v>1091</v>
      </c>
      <c r="D35" s="3109">
        <v>26.77412</v>
      </c>
      <c r="E35" s="3109">
        <v>29.324269999999999</v>
      </c>
      <c r="F35" s="3109">
        <v>31.036239999999999</v>
      </c>
      <c r="G35" s="3109">
        <v>34.735259999999997</v>
      </c>
      <c r="H35" s="3109">
        <v>40.442050000000002</v>
      </c>
      <c r="I35" s="3109">
        <v>57.380499999999998</v>
      </c>
      <c r="J35" s="3109">
        <v>76.101339999999993</v>
      </c>
      <c r="K35" s="3110">
        <v>100.61243</v>
      </c>
      <c r="L35" s="3110">
        <v>102.10048999999999</v>
      </c>
      <c r="M35" s="3110">
        <v>102.89021</v>
      </c>
      <c r="N35" s="3110">
        <v>106.86317</v>
      </c>
      <c r="O35" s="3110">
        <v>109.81695000000001</v>
      </c>
      <c r="P35" s="2249">
        <v>112</v>
      </c>
      <c r="Q35" s="2249">
        <v>114</v>
      </c>
      <c r="R35" s="2249">
        <v>116</v>
      </c>
      <c r="S35" s="2249">
        <v>118</v>
      </c>
      <c r="T35" s="2249">
        <v>120</v>
      </c>
      <c r="U35" s="1098" t="s">
        <v>152</v>
      </c>
      <c r="V35" s="26" t="s">
        <v>1092</v>
      </c>
    </row>
    <row r="36" spans="2:22">
      <c r="B36" s="3102"/>
      <c r="C36" t="s">
        <v>154</v>
      </c>
      <c r="D36" s="3109">
        <v>9.3372499999999992</v>
      </c>
      <c r="E36" s="3109">
        <v>10.66193</v>
      </c>
      <c r="F36" s="3109">
        <v>13.1838</v>
      </c>
      <c r="G36" s="3109">
        <v>13.69941</v>
      </c>
      <c r="H36" s="3109">
        <v>16.19256</v>
      </c>
      <c r="I36" s="3109">
        <v>23.895790000000002</v>
      </c>
      <c r="J36" s="3109">
        <v>28.92465</v>
      </c>
      <c r="K36" s="3109">
        <v>35.503929999999997</v>
      </c>
      <c r="L36" s="3109">
        <v>31.733280000000001</v>
      </c>
      <c r="M36" s="3109">
        <v>33.010269999999998</v>
      </c>
      <c r="N36" s="3109">
        <v>35.553049999999999</v>
      </c>
      <c r="O36" s="3109">
        <v>37.159930000000003</v>
      </c>
      <c r="P36" s="2249">
        <v>38</v>
      </c>
      <c r="Q36" s="2249">
        <v>39</v>
      </c>
      <c r="R36" s="2249">
        <v>40</v>
      </c>
      <c r="S36" s="2249">
        <v>41</v>
      </c>
      <c r="T36" s="2249">
        <v>42</v>
      </c>
      <c r="U36" s="1098" t="s">
        <v>152</v>
      </c>
      <c r="V36" s="26" t="s">
        <v>1093</v>
      </c>
    </row>
    <row r="37" spans="2:22">
      <c r="B37" s="3102"/>
      <c r="C37" t="s">
        <v>1088</v>
      </c>
      <c r="D37" s="3108">
        <f t="shared" ref="D37:Q37" si="19">D35-D36</f>
        <v>17.436869999999999</v>
      </c>
      <c r="E37" s="3108">
        <f t="shared" si="19"/>
        <v>18.66234</v>
      </c>
      <c r="F37" s="3108">
        <f t="shared" si="19"/>
        <v>17.852440000000001</v>
      </c>
      <c r="G37" s="3108">
        <f t="shared" si="19"/>
        <v>21.035849999999996</v>
      </c>
      <c r="H37" s="3108">
        <f t="shared" si="19"/>
        <v>24.249490000000002</v>
      </c>
      <c r="I37" s="3108">
        <f t="shared" si="19"/>
        <v>33.484709999999993</v>
      </c>
      <c r="J37" s="3108">
        <f t="shared" si="19"/>
        <v>47.176689999999994</v>
      </c>
      <c r="K37" s="3108">
        <f t="shared" si="19"/>
        <v>65.108500000000006</v>
      </c>
      <c r="L37" s="3108">
        <f t="shared" si="19"/>
        <v>70.36721</v>
      </c>
      <c r="M37" s="3108">
        <f t="shared" si="19"/>
        <v>69.879940000000005</v>
      </c>
      <c r="N37" s="3108">
        <f t="shared" si="19"/>
        <v>71.310119999999998</v>
      </c>
      <c r="O37" s="3108">
        <f t="shared" si="19"/>
        <v>72.657020000000003</v>
      </c>
      <c r="P37" s="3108">
        <f t="shared" si="19"/>
        <v>74</v>
      </c>
      <c r="Q37" s="3108">
        <f t="shared" si="19"/>
        <v>75</v>
      </c>
      <c r="R37" s="3108">
        <f>R35-R36</f>
        <v>76</v>
      </c>
      <c r="S37" s="3108">
        <f>S35-S36</f>
        <v>77</v>
      </c>
      <c r="T37" s="3108">
        <f>T35-T36</f>
        <v>78</v>
      </c>
    </row>
    <row r="38" spans="2:22">
      <c r="B38" s="3102"/>
      <c r="C38" t="s">
        <v>1089</v>
      </c>
      <c r="H38" s="3111">
        <f t="shared" ref="H38:N38" si="20">H36+0.75</f>
        <v>16.94256</v>
      </c>
      <c r="I38" s="3111">
        <f t="shared" si="20"/>
        <v>24.645790000000002</v>
      </c>
      <c r="J38" s="3111">
        <f t="shared" si="20"/>
        <v>29.67465</v>
      </c>
      <c r="K38" s="3111">
        <f t="shared" si="20"/>
        <v>36.253929999999997</v>
      </c>
      <c r="L38" s="3111">
        <f t="shared" si="20"/>
        <v>32.483280000000001</v>
      </c>
      <c r="M38" s="3111">
        <f t="shared" si="20"/>
        <v>33.760269999999998</v>
      </c>
      <c r="N38" s="3111">
        <f t="shared" si="20"/>
        <v>36.303049999999999</v>
      </c>
      <c r="O38" s="3111">
        <f t="shared" ref="O38:T38" si="21">O36+0.75</f>
        <v>37.909930000000003</v>
      </c>
      <c r="P38" s="3111">
        <f t="shared" si="21"/>
        <v>38.75</v>
      </c>
      <c r="Q38" s="3111">
        <f t="shared" si="21"/>
        <v>39.75</v>
      </c>
      <c r="R38" s="3111">
        <f t="shared" si="21"/>
        <v>40.75</v>
      </c>
      <c r="S38" s="3111">
        <f t="shared" si="21"/>
        <v>41.75</v>
      </c>
      <c r="T38" s="3111">
        <f t="shared" si="21"/>
        <v>42.75</v>
      </c>
      <c r="U38" s="32" t="s">
        <v>1094</v>
      </c>
    </row>
    <row r="39" spans="2:22">
      <c r="B39" s="3102"/>
      <c r="C39" t="s">
        <v>1090</v>
      </c>
      <c r="H39" s="3108">
        <f t="shared" ref="H39:Q39" si="22">100*H38/H35</f>
        <v>41.893425283832052</v>
      </c>
      <c r="I39" s="3108">
        <f t="shared" si="22"/>
        <v>42.951507916452456</v>
      </c>
      <c r="J39" s="3108">
        <f t="shared" si="22"/>
        <v>38.993597221809765</v>
      </c>
      <c r="K39" s="3108">
        <f t="shared" si="22"/>
        <v>36.03325155748648</v>
      </c>
      <c r="L39" s="3108">
        <f t="shared" si="22"/>
        <v>31.815008919154064</v>
      </c>
      <c r="M39" s="3108">
        <f t="shared" si="22"/>
        <v>32.811936140474394</v>
      </c>
      <c r="N39" s="3108">
        <f t="shared" si="22"/>
        <v>33.971526392114328</v>
      </c>
      <c r="O39" s="3108">
        <f t="shared" si="22"/>
        <v>34.521018840898421</v>
      </c>
      <c r="P39" s="3108">
        <f t="shared" si="22"/>
        <v>34.598214285714285</v>
      </c>
      <c r="Q39" s="3108">
        <f t="shared" si="22"/>
        <v>34.868421052631582</v>
      </c>
      <c r="R39" s="3108">
        <f>100*R38/R35</f>
        <v>35.129310344827587</v>
      </c>
      <c r="S39" s="3108">
        <f>100*S38/S35</f>
        <v>35.381355932203391</v>
      </c>
      <c r="T39" s="3108">
        <f>100*T38/T35</f>
        <v>35.625</v>
      </c>
    </row>
    <row r="40" spans="2:22">
      <c r="B40" s="3102"/>
      <c r="C40" t="s">
        <v>1095</v>
      </c>
      <c r="H40" s="3108">
        <f t="shared" ref="H40:O43" si="23">H35-H30</f>
        <v>21.653840000000002</v>
      </c>
      <c r="I40" s="3108">
        <f t="shared" si="23"/>
        <v>30.813319999999997</v>
      </c>
      <c r="J40" s="3108">
        <f t="shared" si="23"/>
        <v>40.70324999999999</v>
      </c>
      <c r="K40" s="3108">
        <f t="shared" si="23"/>
        <v>55.364780000000003</v>
      </c>
      <c r="L40" s="3108">
        <f t="shared" si="23"/>
        <v>57.715879999999991</v>
      </c>
      <c r="M40" s="3108">
        <f t="shared" si="23"/>
        <v>53.890039999999999</v>
      </c>
      <c r="N40" s="3108">
        <f t="shared" si="23"/>
        <v>53.155649999999994</v>
      </c>
      <c r="O40" s="3108">
        <f t="shared" si="23"/>
        <v>55.322920000000003</v>
      </c>
      <c r="P40" s="3112">
        <f ca="1">O40+P64+P65</f>
        <v>54.714970000000001</v>
      </c>
      <c r="Q40" s="3112">
        <f ca="1">P40+Q64+Q65</f>
        <v>53.171870000000006</v>
      </c>
      <c r="R40" s="3112">
        <f ca="1">Q40+R64+R65</f>
        <v>50.787093768841231</v>
      </c>
      <c r="S40" s="3112">
        <f ca="1">R40+S64+S65</f>
        <v>50.105527496409707</v>
      </c>
      <c r="T40" s="3112">
        <f ca="1">S40+T64+T65</f>
        <v>50.530550428403032</v>
      </c>
      <c r="U40" s="32" t="s">
        <v>1096</v>
      </c>
    </row>
    <row r="41" spans="2:22">
      <c r="B41" s="3102"/>
      <c r="C41" t="s">
        <v>154</v>
      </c>
      <c r="H41" s="3108">
        <f t="shared" si="23"/>
        <v>15.120890000000001</v>
      </c>
      <c r="I41" s="3108">
        <f t="shared" si="23"/>
        <v>21.797230000000003</v>
      </c>
      <c r="J41" s="3108">
        <f t="shared" si="23"/>
        <v>26.18544</v>
      </c>
      <c r="K41" s="3108">
        <f t="shared" si="23"/>
        <v>31.802029999999995</v>
      </c>
      <c r="L41" s="3108">
        <f t="shared" si="23"/>
        <v>26.856020000000001</v>
      </c>
      <c r="M41" s="3108">
        <f t="shared" ref="M41:N43" si="24">M36-M31</f>
        <v>27.494599999999998</v>
      </c>
      <c r="N41" s="3108">
        <f t="shared" si="24"/>
        <v>30.128369999999997</v>
      </c>
      <c r="O41" s="3108">
        <f t="shared" ref="O41:P43" si="25">O36-O31</f>
        <v>31.784640000000003</v>
      </c>
      <c r="P41" s="3108">
        <f t="shared" si="25"/>
        <v>32.659999999999997</v>
      </c>
      <c r="Q41" s="3108">
        <f t="shared" ref="Q41:T43" si="26">Q36-Q31</f>
        <v>33.700000000000003</v>
      </c>
      <c r="R41" s="3108">
        <f t="shared" si="26"/>
        <v>34.74</v>
      </c>
      <c r="S41" s="3108">
        <f t="shared" si="26"/>
        <v>35.78</v>
      </c>
      <c r="T41" s="3108">
        <f t="shared" si="26"/>
        <v>36.82</v>
      </c>
    </row>
    <row r="42" spans="2:22">
      <c r="B42" s="3102"/>
      <c r="C42" t="s">
        <v>1088</v>
      </c>
      <c r="H42" s="3108">
        <f t="shared" si="23"/>
        <v>6.5329500000000031</v>
      </c>
      <c r="I42" s="3108">
        <f t="shared" si="23"/>
        <v>9.0160899999999913</v>
      </c>
      <c r="J42" s="3108">
        <f t="shared" si="23"/>
        <v>14.51780999999999</v>
      </c>
      <c r="K42" s="3108">
        <f t="shared" si="23"/>
        <v>23.562750000000008</v>
      </c>
      <c r="L42" s="3108">
        <f t="shared" si="23"/>
        <v>30.859859999999998</v>
      </c>
      <c r="M42" s="3108">
        <f t="shared" si="24"/>
        <v>26.395440000000008</v>
      </c>
      <c r="N42" s="3108">
        <f t="shared" si="24"/>
        <v>23.027279999999998</v>
      </c>
      <c r="O42" s="3108">
        <f t="shared" si="25"/>
        <v>23.53828</v>
      </c>
      <c r="P42" s="3108">
        <f t="shared" si="25"/>
        <v>24.340000000000003</v>
      </c>
      <c r="Q42" s="3108">
        <f t="shared" si="26"/>
        <v>24.299999999999997</v>
      </c>
      <c r="R42" s="3108">
        <f t="shared" si="26"/>
        <v>24.259999999999998</v>
      </c>
      <c r="S42" s="3108">
        <f t="shared" si="26"/>
        <v>24.22</v>
      </c>
      <c r="T42" s="3108">
        <f t="shared" si="26"/>
        <v>24.18</v>
      </c>
    </row>
    <row r="43" spans="2:22">
      <c r="B43" s="3102"/>
      <c r="C43" t="s">
        <v>1097</v>
      </c>
      <c r="H43" s="3108">
        <f t="shared" si="23"/>
        <v>16.903413953769817</v>
      </c>
      <c r="I43" s="3108">
        <f t="shared" si="23"/>
        <v>24.461849271412682</v>
      </c>
      <c r="J43" s="3108">
        <f t="shared" si="23"/>
        <v>29.386383619460798</v>
      </c>
      <c r="K43" s="3108">
        <f t="shared" si="23"/>
        <v>35.798992189054722</v>
      </c>
      <c r="L43" s="3108">
        <f t="shared" si="23"/>
        <v>32.003280000000004</v>
      </c>
      <c r="M43" s="3108">
        <f t="shared" si="24"/>
        <v>33.260269999999998</v>
      </c>
      <c r="N43" s="3108">
        <f t="shared" si="24"/>
        <v>35.793050000000001</v>
      </c>
      <c r="O43" s="3108">
        <f t="shared" si="25"/>
        <v>37.38993</v>
      </c>
      <c r="P43" s="3108">
        <f t="shared" si="25"/>
        <v>38.229999999999997</v>
      </c>
      <c r="Q43" s="3108">
        <f t="shared" si="26"/>
        <v>39.229999999999997</v>
      </c>
      <c r="R43" s="3108">
        <f t="shared" si="26"/>
        <v>40.229999999999997</v>
      </c>
      <c r="S43" s="3108">
        <f t="shared" si="26"/>
        <v>41.23</v>
      </c>
      <c r="T43" s="3108">
        <f t="shared" si="26"/>
        <v>42.23</v>
      </c>
    </row>
    <row r="44" spans="2:22">
      <c r="B44" s="3104"/>
      <c r="C44" s="1078" t="s">
        <v>1098</v>
      </c>
      <c r="D44" s="1085"/>
      <c r="E44" s="1085"/>
      <c r="F44" s="1085"/>
      <c r="G44" s="1085"/>
      <c r="H44" s="1085">
        <f t="shared" ref="H44:Q44" si="27">100*H43/H40</f>
        <v>78.061969395589031</v>
      </c>
      <c r="I44" s="1085">
        <f t="shared" si="27"/>
        <v>79.38725613277856</v>
      </c>
      <c r="J44" s="1085">
        <f t="shared" si="27"/>
        <v>72.196651666539665</v>
      </c>
      <c r="K44" s="1085">
        <f t="shared" si="27"/>
        <v>64.660226571937457</v>
      </c>
      <c r="L44" s="1085">
        <f t="shared" si="27"/>
        <v>55.449695993546335</v>
      </c>
      <c r="M44" s="1085">
        <f t="shared" si="27"/>
        <v>61.718770295958215</v>
      </c>
      <c r="N44" s="1085">
        <f t="shared" si="27"/>
        <v>67.336303854811305</v>
      </c>
      <c r="O44" s="1085">
        <f t="shared" si="27"/>
        <v>67.58488163676104</v>
      </c>
      <c r="P44" s="1085">
        <f t="shared" ca="1" si="27"/>
        <v>69.871188817246903</v>
      </c>
      <c r="Q44" s="1085">
        <f t="shared" ca="1" si="27"/>
        <v>73.779613167639184</v>
      </c>
      <c r="R44" s="1085">
        <f ca="1">100*R43/R40</f>
        <v>79.213038224057243</v>
      </c>
      <c r="S44" s="1085">
        <f ca="1">100*S43/S40</f>
        <v>82.286330590880056</v>
      </c>
      <c r="T44" s="1085">
        <f ca="1">100*T43/T40</f>
        <v>83.57320401612462</v>
      </c>
    </row>
    <row r="47" spans="2:22">
      <c r="B47" s="3100" t="s">
        <v>1099</v>
      </c>
      <c r="C47" s="3100" t="s">
        <v>1923</v>
      </c>
      <c r="D47" s="3100"/>
      <c r="E47" s="3100"/>
      <c r="F47" s="3100"/>
      <c r="G47" s="3100"/>
      <c r="H47" s="3100"/>
      <c r="I47" s="3100"/>
      <c r="J47" s="3100"/>
      <c r="K47" s="3100"/>
      <c r="L47" s="3100"/>
      <c r="M47" s="3100"/>
      <c r="N47" s="3100"/>
      <c r="O47" s="3100"/>
      <c r="P47" s="3100"/>
      <c r="Q47" s="3100"/>
      <c r="R47" s="3100"/>
      <c r="S47" s="3100"/>
      <c r="T47" s="3100"/>
    </row>
    <row r="48" spans="2:22">
      <c r="B48" s="3100"/>
      <c r="C48" s="3100"/>
      <c r="D48" s="3100">
        <v>2000</v>
      </c>
      <c r="E48" s="3100">
        <v>2001</v>
      </c>
      <c r="F48" s="3100">
        <v>2002</v>
      </c>
      <c r="G48" s="3100">
        <v>2003</v>
      </c>
      <c r="H48" s="3100">
        <v>2004</v>
      </c>
      <c r="I48" s="3100">
        <v>2005</v>
      </c>
      <c r="J48" s="3100">
        <v>2006</v>
      </c>
      <c r="K48" s="3100">
        <v>2007</v>
      </c>
      <c r="L48" s="3100">
        <v>2008</v>
      </c>
      <c r="M48" s="3100">
        <v>2009</v>
      </c>
      <c r="N48" s="3100">
        <v>2010</v>
      </c>
      <c r="O48" s="3100">
        <v>2011</v>
      </c>
      <c r="P48" s="3100">
        <v>2012</v>
      </c>
      <c r="Q48" s="3100">
        <v>2013</v>
      </c>
      <c r="R48" s="3100">
        <v>2014</v>
      </c>
      <c r="S48" s="3100">
        <v>2015</v>
      </c>
      <c r="T48" s="3100">
        <v>2016</v>
      </c>
      <c r="V48" s="1187"/>
    </row>
    <row r="49" spans="2:21">
      <c r="B49" s="3102"/>
      <c r="C49" t="s">
        <v>1924</v>
      </c>
      <c r="I49" s="1444">
        <f t="shared" ref="I49:O49" si="28">100*I17/H30</f>
        <v>0.65466587822895317</v>
      </c>
      <c r="J49" s="1444">
        <f t="shared" si="28"/>
        <v>0.80926918099700451</v>
      </c>
      <c r="K49" s="1444">
        <f t="shared" si="28"/>
        <v>0.91530362231408513</v>
      </c>
      <c r="L49" s="1444">
        <f t="shared" si="28"/>
        <v>0.96358595418767612</v>
      </c>
      <c r="M49" s="1444">
        <f t="shared" si="28"/>
        <v>0.46187180646625031</v>
      </c>
      <c r="N49" s="1444">
        <f t="shared" si="28"/>
        <v>0.54897768722026885</v>
      </c>
      <c r="O49" s="1444">
        <f t="shared" si="28"/>
        <v>0.77456564741771727</v>
      </c>
      <c r="P49" s="3186">
        <v>2.9</v>
      </c>
      <c r="Q49" s="3186">
        <v>2.9</v>
      </c>
      <c r="R49" s="3186">
        <v>2.9</v>
      </c>
      <c r="S49" s="3186">
        <v>2.9</v>
      </c>
      <c r="T49" s="3186">
        <v>2.9</v>
      </c>
      <c r="U49" s="1187" t="s">
        <v>1925</v>
      </c>
    </row>
    <row r="50" spans="2:21">
      <c r="B50" s="3102"/>
      <c r="C50" t="s">
        <v>1926</v>
      </c>
      <c r="I50" s="1444">
        <f t="shared" ref="I50:N50" si="29">100*I18/H35</f>
        <v>-1.9509396778847758</v>
      </c>
      <c r="J50" s="1444">
        <f t="shared" si="29"/>
        <v>-1.8490602208067199</v>
      </c>
      <c r="K50" s="1444">
        <f t="shared" si="29"/>
        <v>-2.2233511262745176</v>
      </c>
      <c r="L50" s="1444">
        <f t="shared" si="29"/>
        <v>-1.7781103189735106</v>
      </c>
      <c r="M50" s="1444">
        <f t="shared" si="29"/>
        <v>3.8197661930907484E-2</v>
      </c>
      <c r="N50" s="1444">
        <f t="shared" si="29"/>
        <v>-1.2187748474806301</v>
      </c>
      <c r="O50" s="3186">
        <v>-6</v>
      </c>
      <c r="P50" s="3186">
        <v>-5.9</v>
      </c>
      <c r="Q50" s="3186">
        <v>-5.9</v>
      </c>
      <c r="R50" s="3186">
        <v>-5.9</v>
      </c>
      <c r="S50" s="3186">
        <v>-5.9</v>
      </c>
      <c r="T50" s="3186">
        <v>-5.9</v>
      </c>
    </row>
    <row r="51" spans="2:21">
      <c r="B51" s="3104"/>
      <c r="C51" s="1078" t="s">
        <v>1927</v>
      </c>
      <c r="D51" s="1085"/>
      <c r="E51" s="1085"/>
      <c r="F51" s="1085"/>
      <c r="G51" s="1085"/>
      <c r="H51" s="1085"/>
      <c r="I51" s="1085">
        <f t="shared" ref="I51:Q51" si="30">-100*I16/H40</f>
        <v>3.0756669486797725</v>
      </c>
      <c r="J51" s="1085">
        <f t="shared" si="30"/>
        <v>2.742320528914119</v>
      </c>
      <c r="K51" s="1085">
        <f t="shared" si="30"/>
        <v>3.3584541774919701</v>
      </c>
      <c r="L51" s="1085">
        <f t="shared" si="30"/>
        <v>2.4437918835765267</v>
      </c>
      <c r="M51" s="1085">
        <f t="shared" si="30"/>
        <v>-0.42102797358370009</v>
      </c>
      <c r="N51" s="1085">
        <f t="shared" si="30"/>
        <v>1.829651638781489</v>
      </c>
      <c r="O51" s="1085">
        <f t="shared" si="30"/>
        <v>2.9780465482032485</v>
      </c>
      <c r="P51" s="1085">
        <f t="shared" si="30"/>
        <v>2.4347955603211107</v>
      </c>
      <c r="Q51" s="1085">
        <f t="shared" ca="1" si="30"/>
        <v>2.3412239831256416</v>
      </c>
      <c r="R51" s="1085">
        <f ca="1">-100*R16/Q40</f>
        <v>1.4518955229522676</v>
      </c>
      <c r="S51" s="1085">
        <f ca="1">-100*S16/R40</f>
        <v>3.6840068236940366</v>
      </c>
      <c r="T51" s="1085">
        <f ca="1">-100*T16/S40</f>
        <v>3.6942031997021338</v>
      </c>
    </row>
    <row r="53" spans="2:21">
      <c r="B53" s="3100" t="s">
        <v>1928</v>
      </c>
      <c r="C53" s="3100" t="s">
        <v>1929</v>
      </c>
      <c r="D53" s="3100"/>
      <c r="E53" s="3100"/>
      <c r="F53" s="3100"/>
      <c r="G53" s="3100"/>
      <c r="H53" s="3100"/>
      <c r="I53" s="3100"/>
      <c r="J53" s="3100"/>
      <c r="K53" s="3100"/>
      <c r="L53" s="3100"/>
      <c r="M53" s="3100"/>
      <c r="N53" s="3100"/>
      <c r="O53" s="3100"/>
      <c r="P53" s="3100"/>
      <c r="Q53" s="3100"/>
      <c r="R53" s="3100"/>
      <c r="S53" s="3100"/>
      <c r="T53" s="3100"/>
    </row>
    <row r="54" spans="2:21">
      <c r="B54" s="3100"/>
      <c r="C54" s="3100"/>
      <c r="D54" s="3100">
        <v>2000</v>
      </c>
      <c r="E54" s="3100">
        <v>2001</v>
      </c>
      <c r="F54" s="3100">
        <v>2002</v>
      </c>
      <c r="G54" s="3100">
        <v>2003</v>
      </c>
      <c r="H54" s="3100">
        <v>2004</v>
      </c>
      <c r="I54" s="3100">
        <v>2005</v>
      </c>
      <c r="J54" s="3100">
        <v>2006</v>
      </c>
      <c r="K54" s="3100">
        <v>2007</v>
      </c>
      <c r="L54" s="3100">
        <v>2008</v>
      </c>
      <c r="M54" s="3100">
        <v>2009</v>
      </c>
      <c r="N54" s="3100">
        <v>2010</v>
      </c>
      <c r="O54" s="3100">
        <v>2011</v>
      </c>
      <c r="P54" s="3100">
        <v>2012</v>
      </c>
      <c r="Q54" s="3100">
        <v>2013</v>
      </c>
      <c r="R54" s="3100">
        <v>2014</v>
      </c>
      <c r="S54" s="3100">
        <v>2015</v>
      </c>
      <c r="T54" s="3100">
        <v>2016</v>
      </c>
    </row>
    <row r="55" spans="2:21">
      <c r="B55" s="3102"/>
      <c r="C55" t="s">
        <v>1930</v>
      </c>
      <c r="D55">
        <v>3.6951999999999998</v>
      </c>
      <c r="E55">
        <v>3.5823</v>
      </c>
      <c r="F55">
        <v>3.4594</v>
      </c>
      <c r="G55">
        <v>3.4527000000000001</v>
      </c>
      <c r="H55" s="217">
        <v>3.4529000000000001</v>
      </c>
      <c r="I55" s="217">
        <v>3.4527999999999999</v>
      </c>
      <c r="J55">
        <v>3.4527999999999999</v>
      </c>
      <c r="K55">
        <v>3.4527999999999999</v>
      </c>
      <c r="L55">
        <v>3.4527999999999999</v>
      </c>
      <c r="M55">
        <v>3.4527999999999999</v>
      </c>
      <c r="N55">
        <v>3.4527999999999999</v>
      </c>
      <c r="O55">
        <v>3.4527999999999999</v>
      </c>
      <c r="P55" s="3113">
        <f>O55</f>
        <v>3.4527999999999999</v>
      </c>
      <c r="Q55" s="3113">
        <f>P55</f>
        <v>3.4527999999999999</v>
      </c>
      <c r="R55" s="3113">
        <f>Q55</f>
        <v>3.4527999999999999</v>
      </c>
      <c r="S55" s="3113">
        <f>R55</f>
        <v>3.4527999999999999</v>
      </c>
      <c r="T55" s="3113">
        <f>S55</f>
        <v>3.4527999999999999</v>
      </c>
      <c r="U55" s="32" t="s">
        <v>1931</v>
      </c>
    </row>
    <row r="56" spans="2:21">
      <c r="B56" s="3104"/>
      <c r="C56" s="1078" t="s">
        <v>1932</v>
      </c>
      <c r="D56" s="1078">
        <f t="shared" ref="D56:Q56" si="31">1/D55</f>
        <v>0.27062134661182075</v>
      </c>
      <c r="E56" s="1078">
        <f t="shared" si="31"/>
        <v>0.27915026658850461</v>
      </c>
      <c r="F56" s="1078">
        <f t="shared" si="31"/>
        <v>0.28906746834711222</v>
      </c>
      <c r="G56" s="1078">
        <f t="shared" si="31"/>
        <v>0.28962840675413443</v>
      </c>
      <c r="H56" s="1078">
        <f t="shared" si="31"/>
        <v>0.28961163080309305</v>
      </c>
      <c r="I56" s="1078">
        <f t="shared" si="31"/>
        <v>0.2896200185356812</v>
      </c>
      <c r="J56" s="1078">
        <f t="shared" si="31"/>
        <v>0.2896200185356812</v>
      </c>
      <c r="K56" s="1078">
        <f t="shared" si="31"/>
        <v>0.2896200185356812</v>
      </c>
      <c r="L56" s="1078">
        <f t="shared" si="31"/>
        <v>0.2896200185356812</v>
      </c>
      <c r="M56" s="1078">
        <f t="shared" si="31"/>
        <v>0.2896200185356812</v>
      </c>
      <c r="N56" s="1078">
        <f t="shared" si="31"/>
        <v>0.2896200185356812</v>
      </c>
      <c r="O56" s="1078">
        <f t="shared" si="31"/>
        <v>0.2896200185356812</v>
      </c>
      <c r="P56" s="1078">
        <f t="shared" si="31"/>
        <v>0.2896200185356812</v>
      </c>
      <c r="Q56" s="1078">
        <f t="shared" si="31"/>
        <v>0.2896200185356812</v>
      </c>
      <c r="R56" s="1078">
        <f>1/R55</f>
        <v>0.2896200185356812</v>
      </c>
      <c r="S56" s="1078">
        <f>1/S55</f>
        <v>0.2896200185356812</v>
      </c>
      <c r="T56" s="1078">
        <f>1/T55</f>
        <v>0.2896200185356812</v>
      </c>
    </row>
    <row r="58" spans="2:21">
      <c r="B58" s="3100" t="s">
        <v>1933</v>
      </c>
      <c r="C58" s="3100" t="s">
        <v>1934</v>
      </c>
      <c r="D58" s="3100"/>
      <c r="E58" s="3100"/>
      <c r="F58" s="3100"/>
      <c r="G58" s="3100"/>
      <c r="H58" s="3100"/>
      <c r="I58" s="3100"/>
      <c r="J58" s="3100"/>
      <c r="K58" s="3100"/>
      <c r="L58" s="3100"/>
      <c r="M58" s="3100"/>
      <c r="N58" s="3100"/>
      <c r="O58" s="3100"/>
      <c r="P58" s="3100"/>
      <c r="Q58" s="3100"/>
      <c r="R58" s="3100"/>
      <c r="S58" s="3100"/>
      <c r="T58" s="3100"/>
    </row>
    <row r="59" spans="2:21">
      <c r="B59" s="3100"/>
      <c r="C59" s="3100"/>
      <c r="D59" s="3100">
        <v>2000</v>
      </c>
      <c r="E59" s="3100">
        <v>2001</v>
      </c>
      <c r="F59" s="3100">
        <v>2002</v>
      </c>
      <c r="G59" s="3100">
        <v>2003</v>
      </c>
      <c r="H59" s="3100">
        <v>2004</v>
      </c>
      <c r="I59" s="3100">
        <v>2005</v>
      </c>
      <c r="J59" s="3100">
        <v>2006</v>
      </c>
      <c r="K59" s="3100">
        <v>2007</v>
      </c>
      <c r="L59" s="3100">
        <v>2008</v>
      </c>
      <c r="M59" s="3100">
        <v>2009</v>
      </c>
      <c r="N59" s="3100">
        <v>2010</v>
      </c>
      <c r="O59" s="3100">
        <v>2011</v>
      </c>
      <c r="P59" s="3100">
        <v>2012</v>
      </c>
      <c r="Q59" s="3100">
        <v>2013</v>
      </c>
      <c r="R59" s="3100">
        <v>2014</v>
      </c>
      <c r="S59" s="3100">
        <v>2015</v>
      </c>
      <c r="T59" s="3100">
        <v>2016</v>
      </c>
    </row>
    <row r="60" spans="2:21">
      <c r="B60" s="3102"/>
      <c r="C60" t="s">
        <v>1346</v>
      </c>
      <c r="D60" s="1444" t="e">
        <f t="shared" ref="D60:N60" ca="1" si="32">-D22</f>
        <v>#VALUE!</v>
      </c>
      <c r="E60" s="1444" t="e">
        <f t="shared" ca="1" si="32"/>
        <v>#VALUE!</v>
      </c>
      <c r="F60" s="1444" t="e">
        <f t="shared" ca="1" si="32"/>
        <v>#VALUE!</v>
      </c>
      <c r="G60" s="1444" t="e">
        <f t="shared" ca="1" si="32"/>
        <v>#VALUE!</v>
      </c>
      <c r="H60" s="1444" t="e">
        <f t="shared" ca="1" si="32"/>
        <v>#VALUE!</v>
      </c>
      <c r="I60" s="1444" t="e">
        <f t="shared" ca="1" si="32"/>
        <v>#VALUE!</v>
      </c>
      <c r="J60" s="1444" t="e">
        <f t="shared" ca="1" si="32"/>
        <v>#VALUE!</v>
      </c>
      <c r="K60" s="1444" t="e">
        <f t="shared" ca="1" si="32"/>
        <v>#VALUE!</v>
      </c>
      <c r="L60" s="1444">
        <f t="shared" ca="1" si="32"/>
        <v>2.3853500000000007</v>
      </c>
      <c r="M60" s="3103">
        <f t="shared" ca="1" si="32"/>
        <v>-1.4376699999999998</v>
      </c>
      <c r="N60" s="3107">
        <f t="shared" ca="1" si="32"/>
        <v>-1.8785900000000009</v>
      </c>
      <c r="O60" s="3107">
        <f t="shared" ref="O60:T60" ca="1" si="33">-O22</f>
        <v>-1.3221499999999995</v>
      </c>
      <c r="P60" s="3107">
        <f t="shared" ca="1" si="33"/>
        <v>-1.9549500000000009</v>
      </c>
      <c r="Q60" s="3107">
        <f t="shared" ca="1" si="33"/>
        <v>-2.8240999999999987</v>
      </c>
      <c r="R60" s="3107">
        <f t="shared" ca="1" si="33"/>
        <v>-3.1567762311587719</v>
      </c>
      <c r="S60" s="3107">
        <f t="shared" ca="1" si="33"/>
        <v>-2.5525662724315215</v>
      </c>
      <c r="T60" s="3107">
        <f t="shared" ca="1" si="33"/>
        <v>-1.4259770680066739</v>
      </c>
    </row>
    <row r="61" spans="2:21">
      <c r="B61" s="3102"/>
      <c r="C61" t="s">
        <v>697</v>
      </c>
      <c r="D61" s="1444"/>
      <c r="E61" s="1444"/>
      <c r="F61" s="1444"/>
      <c r="G61" s="1444"/>
      <c r="H61" s="1444"/>
      <c r="I61" s="1444">
        <f t="shared" ref="I61:N61" si="34">I62+I63</f>
        <v>0.66585819069969976</v>
      </c>
      <c r="J61" s="1444">
        <f t="shared" si="34"/>
        <v>0.84499999999999997</v>
      </c>
      <c r="K61" s="1444">
        <f t="shared" si="34"/>
        <v>1.367</v>
      </c>
      <c r="L61" s="1444">
        <f t="shared" si="34"/>
        <v>1.353</v>
      </c>
      <c r="M61" s="3103">
        <f t="shared" si="34"/>
        <v>-0.24299999999999999</v>
      </c>
      <c r="N61" s="3103">
        <f t="shared" si="34"/>
        <v>0.98599999999999999</v>
      </c>
      <c r="O61" s="3103">
        <f t="shared" ref="O61:T61" si="35">O62+O63</f>
        <v>1.583</v>
      </c>
      <c r="P61" s="3103">
        <f t="shared" si="35"/>
        <v>1.347</v>
      </c>
      <c r="Q61" s="3103">
        <f t="shared" ca="1" si="35"/>
        <v>1.2809999999999999</v>
      </c>
      <c r="R61" s="3103">
        <f t="shared" ca="1" si="35"/>
        <v>0.77200000000000002</v>
      </c>
      <c r="S61" s="3103">
        <f t="shared" ca="1" si="35"/>
        <v>1.871</v>
      </c>
      <c r="T61" s="3103">
        <f t="shared" ca="1" si="35"/>
        <v>1.851</v>
      </c>
    </row>
    <row r="62" spans="2:21">
      <c r="B62" s="3102"/>
      <c r="C62" t="s">
        <v>1347</v>
      </c>
      <c r="D62" s="1444"/>
      <c r="E62" s="1444"/>
      <c r="F62" s="1444"/>
      <c r="G62" s="1444"/>
      <c r="H62" s="1444"/>
      <c r="I62" s="1444">
        <f t="shared" ref="I62:N62" si="36">-I16</f>
        <v>0.66600000000000004</v>
      </c>
      <c r="J62" s="1444">
        <f t="shared" si="36"/>
        <v>0.84499999999999997</v>
      </c>
      <c r="K62" s="1444">
        <f t="shared" si="36"/>
        <v>1.367</v>
      </c>
      <c r="L62" s="1444">
        <f t="shared" si="36"/>
        <v>1.353</v>
      </c>
      <c r="M62" s="3103">
        <f t="shared" si="36"/>
        <v>-0.24299999999999999</v>
      </c>
      <c r="N62" s="3103">
        <f t="shared" si="36"/>
        <v>0.98599999999999999</v>
      </c>
      <c r="O62" s="3103">
        <f t="shared" ref="O62:T62" si="37">-O16</f>
        <v>1.583</v>
      </c>
      <c r="P62" s="3103">
        <f t="shared" si="37"/>
        <v>1.347</v>
      </c>
      <c r="Q62" s="3103">
        <f t="shared" si="37"/>
        <v>1.2809999999999999</v>
      </c>
      <c r="R62" s="3103">
        <f t="shared" si="37"/>
        <v>0.77200000000000002</v>
      </c>
      <c r="S62" s="3103">
        <f t="shared" si="37"/>
        <v>1.871</v>
      </c>
      <c r="T62" s="3103">
        <f t="shared" si="37"/>
        <v>1.851</v>
      </c>
    </row>
    <row r="63" spans="2:21">
      <c r="B63" s="3102"/>
      <c r="C63" t="s">
        <v>1348</v>
      </c>
      <c r="D63" s="1444"/>
      <c r="E63" s="1444"/>
      <c r="F63" s="1444"/>
      <c r="G63" s="1444"/>
      <c r="H63" s="1444"/>
      <c r="I63" s="1444">
        <f t="shared" ref="I63:Q63" si="38">H$40*(I55/H55-1)*(1-H$44/100)*(1+I$51/100)</f>
        <v>-1.4180930030023844E-4</v>
      </c>
      <c r="J63" s="1444">
        <f t="shared" si="38"/>
        <v>0</v>
      </c>
      <c r="K63" s="1444">
        <f t="shared" si="38"/>
        <v>0</v>
      </c>
      <c r="L63" s="1444">
        <f t="shared" si="38"/>
        <v>0</v>
      </c>
      <c r="M63" s="1444">
        <f t="shared" si="38"/>
        <v>0</v>
      </c>
      <c r="N63" s="1444">
        <f t="shared" si="38"/>
        <v>0</v>
      </c>
      <c r="O63" s="1444">
        <f t="shared" si="38"/>
        <v>0</v>
      </c>
      <c r="P63" s="1444">
        <f t="shared" si="38"/>
        <v>0</v>
      </c>
      <c r="Q63" s="1444">
        <f t="shared" ca="1" si="38"/>
        <v>0</v>
      </c>
      <c r="R63" s="1444">
        <f ca="1">Q$40*(R55/Q55-1)*(1-Q$44/100)*(1+R$51/100)</f>
        <v>0</v>
      </c>
      <c r="S63" s="1444">
        <f ca="1">R$40*(S55/R55-1)*(1-R$44/100)*(1+S$51/100)</f>
        <v>0</v>
      </c>
      <c r="T63" s="1444">
        <f ca="1">S$40*(T55/S55-1)*(1-S$44/100)*(1+T$51/100)</f>
        <v>0</v>
      </c>
    </row>
    <row r="64" spans="2:21">
      <c r="B64" s="3102"/>
      <c r="C64" t="s">
        <v>1349</v>
      </c>
      <c r="D64" s="1444"/>
      <c r="E64" s="1444"/>
      <c r="F64" s="1444"/>
      <c r="G64" s="1444"/>
      <c r="H64" s="1444"/>
      <c r="I64" s="1444" t="e">
        <f t="shared" ref="I64:N64" ca="1" si="39">I60+I61</f>
        <v>#VALUE!</v>
      </c>
      <c r="J64" s="1444" t="e">
        <f t="shared" ca="1" si="39"/>
        <v>#VALUE!</v>
      </c>
      <c r="K64" s="1444" t="e">
        <f t="shared" ca="1" si="39"/>
        <v>#VALUE!</v>
      </c>
      <c r="L64" s="1444">
        <f t="shared" ca="1" si="39"/>
        <v>3.7383500000000005</v>
      </c>
      <c r="M64" s="3103">
        <f t="shared" ca="1" si="39"/>
        <v>-1.6806699999999997</v>
      </c>
      <c r="N64" s="3103">
        <f t="shared" ca="1" si="39"/>
        <v>-0.89259000000000088</v>
      </c>
      <c r="O64" s="3103">
        <f t="shared" ref="O64:T64" ca="1" si="40">O60+O61</f>
        <v>0.26085000000000047</v>
      </c>
      <c r="P64" s="3103">
        <f t="shared" ca="1" si="40"/>
        <v>-0.60795000000000088</v>
      </c>
      <c r="Q64" s="3103">
        <f t="shared" ca="1" si="40"/>
        <v>-1.5430999999999988</v>
      </c>
      <c r="R64" s="3103">
        <f t="shared" ca="1" si="40"/>
        <v>-2.3847762311587717</v>
      </c>
      <c r="S64" s="3103">
        <f t="shared" ca="1" si="40"/>
        <v>-0.68156627243152146</v>
      </c>
      <c r="T64" s="3103">
        <f t="shared" ca="1" si="40"/>
        <v>0.42502293199332608</v>
      </c>
    </row>
    <row r="65" spans="2:20">
      <c r="B65" s="3102"/>
      <c r="C65" t="s">
        <v>1350</v>
      </c>
      <c r="D65" s="1444"/>
      <c r="E65" s="1444"/>
      <c r="F65" s="1444"/>
      <c r="G65" s="1444"/>
      <c r="H65" s="1444"/>
      <c r="I65" s="1444" t="e">
        <f t="shared" ref="I65:O65" ca="1" si="41">I66-I64</f>
        <v>#VALUE!</v>
      </c>
      <c r="J65" s="1444" t="e">
        <f t="shared" ca="1" si="41"/>
        <v>#VALUE!</v>
      </c>
      <c r="K65" s="1444" t="e">
        <f t="shared" ca="1" si="41"/>
        <v>#VALUE!</v>
      </c>
      <c r="L65" s="1444">
        <f t="shared" ca="1" si="41"/>
        <v>-1.3872500000000123</v>
      </c>
      <c r="M65" s="1444">
        <f t="shared" ca="1" si="41"/>
        <v>-2.1451699999999927</v>
      </c>
      <c r="N65" s="1444">
        <f t="shared" ca="1" si="41"/>
        <v>0.15819999999999612</v>
      </c>
      <c r="O65" s="1444">
        <f t="shared" ca="1" si="41"/>
        <v>1.9064200000000087</v>
      </c>
      <c r="P65" s="3187">
        <v>0</v>
      </c>
      <c r="Q65" s="3187">
        <v>0</v>
      </c>
      <c r="R65" s="3187">
        <v>0</v>
      </c>
      <c r="S65" s="3187">
        <v>0</v>
      </c>
      <c r="T65" s="3187">
        <v>0</v>
      </c>
    </row>
    <row r="66" spans="2:20">
      <c r="B66" s="3104"/>
      <c r="C66" s="1078" t="s">
        <v>1351</v>
      </c>
      <c r="D66" s="1085"/>
      <c r="E66" s="1085"/>
      <c r="F66" s="1085"/>
      <c r="G66" s="1085"/>
      <c r="H66" s="1085"/>
      <c r="I66" s="1085">
        <f t="shared" ref="I66:Q66" si="42">I40-H40</f>
        <v>9.159479999999995</v>
      </c>
      <c r="J66" s="1085">
        <f t="shared" si="42"/>
        <v>9.8899299999999926</v>
      </c>
      <c r="K66" s="1085">
        <f t="shared" si="42"/>
        <v>14.661530000000013</v>
      </c>
      <c r="L66" s="1085">
        <f t="shared" si="42"/>
        <v>2.3510999999999882</v>
      </c>
      <c r="M66" s="3105">
        <f t="shared" si="42"/>
        <v>-3.8258399999999924</v>
      </c>
      <c r="N66" s="3105">
        <f t="shared" si="42"/>
        <v>-0.73439000000000476</v>
      </c>
      <c r="O66" s="3105">
        <f t="shared" si="42"/>
        <v>2.1672700000000091</v>
      </c>
      <c r="P66" s="3105">
        <f t="shared" ca="1" si="42"/>
        <v>-0.60795000000000243</v>
      </c>
      <c r="Q66" s="3105">
        <f t="shared" ca="1" si="42"/>
        <v>-1.5430999999999955</v>
      </c>
      <c r="R66" s="3105">
        <f ca="1">R40-Q40</f>
        <v>-2.3847762311587744</v>
      </c>
      <c r="S66" s="3105">
        <f ca="1">S40-R40</f>
        <v>-0.68156627243152457</v>
      </c>
      <c r="T66" s="3105">
        <f ca="1">T40-S40</f>
        <v>0.42502293199332541</v>
      </c>
    </row>
    <row r="68" spans="2:20">
      <c r="B68" s="3100" t="s">
        <v>1352</v>
      </c>
      <c r="C68" s="3100" t="s">
        <v>285</v>
      </c>
      <c r="D68" s="3100"/>
      <c r="E68" s="3100"/>
      <c r="F68" s="3100"/>
      <c r="G68" s="3100"/>
      <c r="H68" s="3100"/>
      <c r="I68" s="3100"/>
      <c r="J68" s="3100"/>
      <c r="K68" s="3100"/>
      <c r="L68" s="3100"/>
      <c r="M68" s="3100"/>
      <c r="N68" s="3100"/>
      <c r="O68" s="3100"/>
      <c r="P68" s="3100"/>
      <c r="Q68" s="3100"/>
      <c r="R68" s="3100"/>
      <c r="S68" s="3100"/>
      <c r="T68" s="3100"/>
    </row>
    <row r="69" spans="2:20">
      <c r="B69" s="3100"/>
      <c r="C69" s="3100"/>
      <c r="D69" s="3100">
        <v>2000</v>
      </c>
      <c r="E69" s="3100">
        <v>2001</v>
      </c>
      <c r="F69" s="3100">
        <v>2002</v>
      </c>
      <c r="G69" s="3100">
        <v>2003</v>
      </c>
      <c r="H69" s="3100">
        <v>2004</v>
      </c>
      <c r="I69" s="3100">
        <v>2005</v>
      </c>
      <c r="J69" s="3100">
        <v>2006</v>
      </c>
      <c r="K69" s="3100">
        <v>2007</v>
      </c>
      <c r="L69" s="3100">
        <v>2008</v>
      </c>
      <c r="M69" s="3100">
        <v>2009</v>
      </c>
      <c r="N69" s="3100">
        <v>2010</v>
      </c>
      <c r="O69" s="3100">
        <v>2011</v>
      </c>
      <c r="P69" s="3100">
        <v>2012</v>
      </c>
      <c r="Q69" s="3100">
        <v>2013</v>
      </c>
      <c r="R69" s="3100">
        <v>2014</v>
      </c>
      <c r="S69" s="3100">
        <v>2015</v>
      </c>
      <c r="T69" s="3100">
        <v>2016</v>
      </c>
    </row>
    <row r="70" spans="2:20">
      <c r="B70" s="3102"/>
      <c r="C70" t="s">
        <v>151</v>
      </c>
      <c r="E70" s="1444">
        <f t="shared" ref="E70:N70" si="43">100*E30/E$6</f>
        <v>88.094630885722097</v>
      </c>
      <c r="F70" s="1444">
        <f t="shared" si="43"/>
        <v>91.884250735256884</v>
      </c>
      <c r="G70" s="1444">
        <f t="shared" si="43"/>
        <v>94.734492887173886</v>
      </c>
      <c r="H70" s="1444">
        <f t="shared" si="43"/>
        <v>103.01841458252457</v>
      </c>
      <c r="I70" s="1444">
        <f t="shared" si="43"/>
        <v>126.4962254223932</v>
      </c>
      <c r="J70" s="1444">
        <f t="shared" si="43"/>
        <v>147.00704093744056</v>
      </c>
      <c r="K70" s="1444">
        <f t="shared" si="43"/>
        <v>155.80792585292485</v>
      </c>
      <c r="L70" s="1444">
        <f t="shared" si="43"/>
        <v>135.7481952075282</v>
      </c>
      <c r="M70" s="3103">
        <f t="shared" si="43"/>
        <v>181.92128256286844</v>
      </c>
      <c r="N70" s="3103">
        <f t="shared" si="43"/>
        <v>191.62327500761748</v>
      </c>
      <c r="O70" s="3103">
        <f t="shared" ref="O70:P72" si="44">100*O30/O$6</f>
        <v>174.23972000925971</v>
      </c>
      <c r="P70" s="3103">
        <f t="shared" si="44"/>
        <v>164.92505805362043</v>
      </c>
      <c r="Q70" s="3103">
        <f t="shared" ref="Q70:T72" si="45">100*Q30/Q$6</f>
        <v>160.184670041033</v>
      </c>
      <c r="R70" s="3103">
        <f t="shared" si="45"/>
        <v>155.87279467341642</v>
      </c>
      <c r="S70" s="3103">
        <f t="shared" si="45"/>
        <v>154.96995319640223</v>
      </c>
      <c r="T70" s="3103">
        <f t="shared" si="45"/>
        <v>152.57968279976993</v>
      </c>
    </row>
    <row r="71" spans="2:20">
      <c r="B71" s="3102"/>
      <c r="C71" t="s">
        <v>154</v>
      </c>
      <c r="E71" s="1444">
        <f t="shared" ref="E71:N71" si="46">100*E31/E$6</f>
        <v>1.3485485948098279</v>
      </c>
      <c r="F71" s="1444">
        <f t="shared" si="46"/>
        <v>1.2961307497548047</v>
      </c>
      <c r="G71" s="1444">
        <f t="shared" si="46"/>
        <v>1.9827842730710903</v>
      </c>
      <c r="H71" s="1444">
        <f t="shared" si="46"/>
        <v>5.8761182867156636</v>
      </c>
      <c r="I71" s="1444">
        <f t="shared" si="46"/>
        <v>9.992024701997634</v>
      </c>
      <c r="J71" s="1444">
        <f t="shared" si="46"/>
        <v>11.375844194029863</v>
      </c>
      <c r="K71" s="1444">
        <f t="shared" si="46"/>
        <v>12.747299820320888</v>
      </c>
      <c r="L71" s="1444">
        <f t="shared" si="46"/>
        <v>14.916865160195593</v>
      </c>
      <c r="M71" s="3103">
        <f t="shared" si="46"/>
        <v>20.477842435924948</v>
      </c>
      <c r="N71" s="3103">
        <f t="shared" si="46"/>
        <v>19.35473742724152</v>
      </c>
      <c r="O71" s="3103">
        <f t="shared" si="44"/>
        <v>17.187002403172851</v>
      </c>
      <c r="P71" s="3103">
        <f t="shared" si="44"/>
        <v>16.012723818296966</v>
      </c>
      <c r="Q71" s="3103">
        <f t="shared" si="45"/>
        <v>15.160334843169196</v>
      </c>
      <c r="R71" s="3103">
        <f t="shared" si="45"/>
        <v>14.384050876880181</v>
      </c>
      <c r="S71" s="3103">
        <f t="shared" si="45"/>
        <v>13.9472957876762</v>
      </c>
      <c r="T71" s="3103">
        <f t="shared" si="45"/>
        <v>13.395978930556073</v>
      </c>
    </row>
    <row r="72" spans="2:20">
      <c r="B72" s="3102"/>
      <c r="C72" t="s">
        <v>1088</v>
      </c>
      <c r="E72" s="1444">
        <f t="shared" ref="E72:N72" si="47">100*E32/E$6</f>
        <v>86.746082290912256</v>
      </c>
      <c r="F72" s="1444">
        <f t="shared" si="47"/>
        <v>90.588119985502075</v>
      </c>
      <c r="G72" s="1444">
        <f t="shared" si="47"/>
        <v>92.751708614102796</v>
      </c>
      <c r="H72" s="1444">
        <f t="shared" si="47"/>
        <v>97.14229629580889</v>
      </c>
      <c r="I72" s="1444">
        <f t="shared" si="47"/>
        <v>116.50420072039557</v>
      </c>
      <c r="J72" s="1444">
        <f t="shared" si="47"/>
        <v>135.6311967434107</v>
      </c>
      <c r="K72" s="1444">
        <f t="shared" si="47"/>
        <v>143.06062603260395</v>
      </c>
      <c r="L72" s="1444">
        <f t="shared" si="47"/>
        <v>120.8313300473326</v>
      </c>
      <c r="M72" s="3103">
        <f t="shared" si="47"/>
        <v>161.4434401269435</v>
      </c>
      <c r="N72" s="3103">
        <f t="shared" si="47"/>
        <v>172.26853758037595</v>
      </c>
      <c r="O72" s="3103">
        <f t="shared" si="44"/>
        <v>157.05271760608684</v>
      </c>
      <c r="P72" s="3103">
        <f t="shared" si="44"/>
        <v>148.91233423532347</v>
      </c>
      <c r="Q72" s="3103">
        <f t="shared" si="45"/>
        <v>145.02433519786382</v>
      </c>
      <c r="R72" s="3103">
        <f t="shared" si="45"/>
        <v>141.48874379653623</v>
      </c>
      <c r="S72" s="3103">
        <f t="shared" si="45"/>
        <v>141.02265740872602</v>
      </c>
      <c r="T72" s="3103">
        <f t="shared" si="45"/>
        <v>139.18370386921387</v>
      </c>
    </row>
    <row r="73" spans="2:20">
      <c r="B73" s="3102"/>
      <c r="C73" t="s">
        <v>1091</v>
      </c>
      <c r="E73" s="1444">
        <f t="shared" ref="E73:N73" si="48">100*E35/E$6</f>
        <v>206.58866943017443</v>
      </c>
      <c r="F73" s="1444">
        <f t="shared" si="48"/>
        <v>204.15664342656342</v>
      </c>
      <c r="G73" s="1444">
        <f t="shared" si="48"/>
        <v>208.38888728906295</v>
      </c>
      <c r="H73" s="1444">
        <f t="shared" si="48"/>
        <v>221.74948403638177</v>
      </c>
      <c r="I73" s="1444">
        <f t="shared" si="48"/>
        <v>273.2099027013644</v>
      </c>
      <c r="J73" s="1444">
        <f t="shared" si="48"/>
        <v>316.0462274878131</v>
      </c>
      <c r="K73" s="1444">
        <f t="shared" si="48"/>
        <v>346.45366186581163</v>
      </c>
      <c r="L73" s="1444">
        <f t="shared" si="48"/>
        <v>312.26943860280124</v>
      </c>
      <c r="M73" s="3103">
        <f t="shared" si="48"/>
        <v>381.99702095651651</v>
      </c>
      <c r="N73" s="3103">
        <f t="shared" si="48"/>
        <v>381.2775308391781</v>
      </c>
      <c r="O73" s="3103">
        <f t="shared" ref="O73:P75" si="49">100*O35/O$6</f>
        <v>351.12974063894467</v>
      </c>
      <c r="P73" s="3103">
        <f t="shared" si="49"/>
        <v>335.84739094555431</v>
      </c>
      <c r="Q73" s="3103">
        <f t="shared" ref="Q73:T75" si="50">100*Q35/Q$6</f>
        <v>326.09022115496003</v>
      </c>
      <c r="R73" s="3103">
        <f t="shared" si="50"/>
        <v>317.2148102125667</v>
      </c>
      <c r="S73" s="3103">
        <f t="shared" si="50"/>
        <v>315.28369788233556</v>
      </c>
      <c r="T73" s="3103">
        <f t="shared" si="50"/>
        <v>310.33155823682023</v>
      </c>
    </row>
    <row r="74" spans="2:20">
      <c r="B74" s="3102"/>
      <c r="C74" t="s">
        <v>154</v>
      </c>
      <c r="E74" s="1444">
        <f t="shared" ref="E74:N74" si="51">100*E36/E$6</f>
        <v>75.113001355452667</v>
      </c>
      <c r="F74" s="1444">
        <f t="shared" si="51"/>
        <v>86.723145445683073</v>
      </c>
      <c r="G74" s="1444">
        <f t="shared" si="51"/>
        <v>82.187517998041827</v>
      </c>
      <c r="H74" s="1444">
        <f t="shared" si="51"/>
        <v>88.786098262282792</v>
      </c>
      <c r="I74" s="1444">
        <f t="shared" si="51"/>
        <v>113.7767440310251</v>
      </c>
      <c r="J74" s="1444">
        <f t="shared" si="51"/>
        <v>120.12306897494018</v>
      </c>
      <c r="K74" s="1444">
        <f t="shared" si="51"/>
        <v>122.25593357726717</v>
      </c>
      <c r="L74" s="1444">
        <f t="shared" si="51"/>
        <v>97.054710811138136</v>
      </c>
      <c r="M74" s="3103">
        <f t="shared" si="51"/>
        <v>122.5561188082935</v>
      </c>
      <c r="N74" s="3103">
        <f t="shared" si="51"/>
        <v>126.84986902224445</v>
      </c>
      <c r="O74" s="3103">
        <f t="shared" si="49"/>
        <v>118.81550692367017</v>
      </c>
      <c r="P74" s="3103">
        <f t="shared" si="49"/>
        <v>113.94822192795593</v>
      </c>
      <c r="Q74" s="3103">
        <f t="shared" si="50"/>
        <v>111.5571809214337</v>
      </c>
      <c r="R74" s="3103">
        <f t="shared" si="50"/>
        <v>109.38441731467817</v>
      </c>
      <c r="S74" s="3103">
        <f t="shared" si="50"/>
        <v>109.54772553538778</v>
      </c>
      <c r="T74" s="3103">
        <f t="shared" si="50"/>
        <v>108.61604538288707</v>
      </c>
    </row>
    <row r="75" spans="2:20">
      <c r="B75" s="3102"/>
      <c r="C75" t="s">
        <v>1088</v>
      </c>
      <c r="E75" s="1444">
        <f t="shared" ref="E75:N75" si="52">100*E37/E$6</f>
        <v>131.4756680747218</v>
      </c>
      <c r="F75" s="1444">
        <f t="shared" si="52"/>
        <v>117.43349798088036</v>
      </c>
      <c r="G75" s="1444">
        <f t="shared" si="52"/>
        <v>126.20136929102112</v>
      </c>
      <c r="H75" s="1444">
        <f t="shared" si="52"/>
        <v>132.96338577409895</v>
      </c>
      <c r="I75" s="1444">
        <f t="shared" si="52"/>
        <v>159.43315867033922</v>
      </c>
      <c r="J75" s="1444">
        <f t="shared" si="52"/>
        <v>195.9231585128729</v>
      </c>
      <c r="K75" s="1444">
        <f t="shared" si="52"/>
        <v>224.19772828854443</v>
      </c>
      <c r="L75" s="1444">
        <f t="shared" si="52"/>
        <v>215.21472779166314</v>
      </c>
      <c r="M75" s="3103">
        <f t="shared" si="52"/>
        <v>259.44090214822302</v>
      </c>
      <c r="N75" s="3103">
        <f t="shared" si="52"/>
        <v>254.42766181693369</v>
      </c>
      <c r="O75" s="3103">
        <f t="shared" si="49"/>
        <v>232.31423371527453</v>
      </c>
      <c r="P75" s="3103">
        <f t="shared" si="49"/>
        <v>221.89916901759838</v>
      </c>
      <c r="Q75" s="3103">
        <f t="shared" si="50"/>
        <v>214.53304023352635</v>
      </c>
      <c r="R75" s="3103">
        <f t="shared" si="50"/>
        <v>207.83039289788854</v>
      </c>
      <c r="S75" s="3103">
        <f t="shared" si="50"/>
        <v>205.73597234694779</v>
      </c>
      <c r="T75" s="3103">
        <f t="shared" si="50"/>
        <v>201.71551285393315</v>
      </c>
    </row>
    <row r="76" spans="2:20">
      <c r="B76" s="3102"/>
      <c r="C76" t="s">
        <v>1095</v>
      </c>
      <c r="E76">
        <f t="shared" ref="E76:N76" si="53">100*E40/E$6</f>
        <v>0</v>
      </c>
      <c r="F76">
        <f t="shared" si="53"/>
        <v>0</v>
      </c>
      <c r="G76">
        <f t="shared" si="53"/>
        <v>0</v>
      </c>
      <c r="H76" s="1444">
        <f t="shared" si="53"/>
        <v>118.73106945385717</v>
      </c>
      <c r="I76" s="1444">
        <f t="shared" si="53"/>
        <v>146.71367727897115</v>
      </c>
      <c r="J76" s="1444">
        <f t="shared" si="53"/>
        <v>169.03918655037251</v>
      </c>
      <c r="K76" s="1444">
        <f t="shared" si="53"/>
        <v>190.64573601288677</v>
      </c>
      <c r="L76" s="1444">
        <f t="shared" si="53"/>
        <v>176.52124339527305</v>
      </c>
      <c r="M76" s="3103">
        <f t="shared" si="53"/>
        <v>200.07573839364809</v>
      </c>
      <c r="N76" s="3103">
        <f t="shared" si="53"/>
        <v>189.65425583156065</v>
      </c>
      <c r="O76" s="3103">
        <f t="shared" ref="O76:P78" si="54">100*O40/O$6</f>
        <v>176.89002062968501</v>
      </c>
      <c r="P76" s="3103">
        <f t="shared" ca="1" si="54"/>
        <v>164.0703564300382</v>
      </c>
      <c r="Q76" s="3103">
        <f t="shared" ref="Q76:T78" ca="1" si="55">100*Q40/Q$6</f>
        <v>152.09497234669112</v>
      </c>
      <c r="R76" s="3103">
        <f t="shared" ca="1" si="55"/>
        <v>138.88291647526552</v>
      </c>
      <c r="S76" s="3103">
        <f t="shared" ca="1" si="55"/>
        <v>133.87674570689063</v>
      </c>
      <c r="T76" s="3103">
        <f t="shared" ca="1" si="55"/>
        <v>130.67687044175446</v>
      </c>
    </row>
    <row r="77" spans="2:20">
      <c r="B77" s="3102"/>
      <c r="C77" t="s">
        <v>154</v>
      </c>
      <c r="E77">
        <f t="shared" ref="E77:N77" si="56">100*E41/E$6</f>
        <v>0</v>
      </c>
      <c r="F77">
        <f t="shared" si="56"/>
        <v>0</v>
      </c>
      <c r="G77">
        <f t="shared" si="56"/>
        <v>0</v>
      </c>
      <c r="H77" s="1444">
        <f t="shared" si="56"/>
        <v>82.90997997556714</v>
      </c>
      <c r="I77" s="1444">
        <f t="shared" si="56"/>
        <v>103.78471932902748</v>
      </c>
      <c r="J77" s="1444">
        <f t="shared" si="56"/>
        <v>108.7472247809103</v>
      </c>
      <c r="K77" s="1444">
        <f t="shared" si="56"/>
        <v>109.50863375694628</v>
      </c>
      <c r="L77" s="1444">
        <f t="shared" si="56"/>
        <v>82.137845650942552</v>
      </c>
      <c r="M77" s="3103">
        <f t="shared" si="56"/>
        <v>102.07827637236856</v>
      </c>
      <c r="N77" s="3103">
        <f t="shared" si="56"/>
        <v>107.49513159500292</v>
      </c>
      <c r="O77" s="3103">
        <f t="shared" si="54"/>
        <v>101.62850452049732</v>
      </c>
      <c r="P77" s="3103">
        <f t="shared" si="54"/>
        <v>97.935498109658951</v>
      </c>
      <c r="Q77" s="3103">
        <f t="shared" si="55"/>
        <v>96.396846078264517</v>
      </c>
      <c r="R77" s="3103">
        <f t="shared" si="55"/>
        <v>95.000366437798007</v>
      </c>
      <c r="S77" s="3103">
        <f t="shared" si="55"/>
        <v>95.600429747711573</v>
      </c>
      <c r="T77" s="3103">
        <f t="shared" si="55"/>
        <v>95.220066452330997</v>
      </c>
    </row>
    <row r="78" spans="2:20">
      <c r="B78" s="3104"/>
      <c r="C78" s="1078" t="s">
        <v>1088</v>
      </c>
      <c r="D78" s="1085"/>
      <c r="E78" s="1085">
        <f t="shared" ref="E78:N78" si="57">100*E42/E$6</f>
        <v>0</v>
      </c>
      <c r="F78" s="1085">
        <f t="shared" si="57"/>
        <v>0</v>
      </c>
      <c r="G78" s="1085">
        <f t="shared" si="57"/>
        <v>0</v>
      </c>
      <c r="H78" s="1085">
        <f t="shared" si="57"/>
        <v>35.82108947829007</v>
      </c>
      <c r="I78" s="1085">
        <f t="shared" si="57"/>
        <v>42.928957949943658</v>
      </c>
      <c r="J78" s="1085">
        <f t="shared" si="57"/>
        <v>60.291961769462205</v>
      </c>
      <c r="K78" s="1085">
        <f t="shared" si="57"/>
        <v>81.137102255940505</v>
      </c>
      <c r="L78" s="1085">
        <f t="shared" si="57"/>
        <v>94.383397744330537</v>
      </c>
      <c r="M78" s="3105">
        <f t="shared" si="57"/>
        <v>97.99746202127956</v>
      </c>
      <c r="N78" s="3105">
        <f t="shared" si="57"/>
        <v>82.15912423655773</v>
      </c>
      <c r="O78" s="3105">
        <f t="shared" si="54"/>
        <v>75.261516109187696</v>
      </c>
      <c r="P78" s="3105">
        <f t="shared" si="54"/>
        <v>72.98683478227494</v>
      </c>
      <c r="Q78" s="3105">
        <f t="shared" si="55"/>
        <v>69.508705035662516</v>
      </c>
      <c r="R78" s="3105">
        <f t="shared" si="55"/>
        <v>66.341649101352317</v>
      </c>
      <c r="S78" s="3105">
        <f t="shared" si="55"/>
        <v>64.713314938221757</v>
      </c>
      <c r="T78" s="3105">
        <f t="shared" si="55"/>
        <v>62.53180898471927</v>
      </c>
    </row>
    <row r="80" spans="2:20">
      <c r="B80" s="3100" t="s">
        <v>286</v>
      </c>
      <c r="C80" s="3100" t="s">
        <v>328</v>
      </c>
      <c r="D80" s="3100"/>
      <c r="E80" s="3100"/>
      <c r="F80" s="3100"/>
      <c r="G80" s="3100"/>
      <c r="H80" s="3100"/>
      <c r="I80" s="3100"/>
      <c r="J80" s="3100"/>
      <c r="K80" s="3100"/>
      <c r="L80" s="3100"/>
      <c r="M80" s="3100"/>
      <c r="N80" s="3100"/>
      <c r="O80" s="3100"/>
      <c r="P80" s="3100"/>
      <c r="Q80" s="3100"/>
      <c r="R80" s="3100"/>
      <c r="S80" s="3100"/>
      <c r="T80" s="3100"/>
    </row>
    <row r="81" spans="2:20">
      <c r="B81" s="3100"/>
      <c r="C81" s="3100"/>
      <c r="D81" s="3100">
        <v>2000</v>
      </c>
      <c r="E81" s="3100">
        <v>2001</v>
      </c>
      <c r="F81" s="3100">
        <v>2002</v>
      </c>
      <c r="G81" s="3100">
        <v>2003</v>
      </c>
      <c r="H81" s="3100">
        <v>2004</v>
      </c>
      <c r="I81" s="3100">
        <v>2005</v>
      </c>
      <c r="J81" s="3100">
        <v>2006</v>
      </c>
      <c r="K81" s="3100">
        <v>2007</v>
      </c>
      <c r="L81" s="3100">
        <v>2008</v>
      </c>
      <c r="M81" s="3100">
        <v>2009</v>
      </c>
      <c r="N81" s="3100">
        <v>2010</v>
      </c>
      <c r="O81" s="3100">
        <v>2011</v>
      </c>
      <c r="P81" s="3100">
        <v>2012</v>
      </c>
      <c r="Q81" s="3100">
        <v>2013</v>
      </c>
      <c r="R81" s="3100">
        <v>2014</v>
      </c>
      <c r="S81" s="3100">
        <v>2015</v>
      </c>
      <c r="T81" s="3100">
        <v>2016</v>
      </c>
    </row>
    <row r="82" spans="2:20">
      <c r="B82" s="3102"/>
      <c r="C82" t="s">
        <v>1346</v>
      </c>
      <c r="D82" s="1444" t="e">
        <f t="shared" ref="D82:N82" ca="1" si="58">100*D60/D6</f>
        <v>#VALUE!</v>
      </c>
      <c r="E82" s="1444" t="e">
        <f t="shared" ca="1" si="58"/>
        <v>#VALUE!</v>
      </c>
      <c r="F82" s="1444" t="e">
        <f t="shared" ca="1" si="58"/>
        <v>#VALUE!</v>
      </c>
      <c r="G82" s="1444" t="e">
        <f t="shared" ca="1" si="58"/>
        <v>#VALUE!</v>
      </c>
      <c r="H82" s="1444" t="e">
        <f t="shared" ca="1" si="58"/>
        <v>#VALUE!</v>
      </c>
      <c r="I82" s="1444" t="e">
        <f t="shared" ca="1" si="58"/>
        <v>#VALUE!</v>
      </c>
      <c r="J82" s="1444" t="e">
        <f t="shared" ca="1" si="58"/>
        <v>#VALUE!</v>
      </c>
      <c r="K82" s="1444" t="e">
        <f t="shared" ca="1" si="58"/>
        <v>#VALUE!</v>
      </c>
      <c r="L82" s="1444">
        <f t="shared" ca="1" si="58"/>
        <v>7.2954782623589001</v>
      </c>
      <c r="M82" s="1444">
        <f t="shared" ca="1" si="58"/>
        <v>-5.3375890390208651</v>
      </c>
      <c r="N82" s="1444">
        <f t="shared" ca="1" si="58"/>
        <v>-6.7026287603032175</v>
      </c>
      <c r="O82" s="1444">
        <f t="shared" ref="O82:T82" ca="1" si="59">100*O60/O6</f>
        <v>-4.2274547470657353</v>
      </c>
      <c r="P82" s="1444">
        <f t="shared" ca="1" si="59"/>
        <v>-5.862186222580462</v>
      </c>
      <c r="Q82" s="1444">
        <f t="shared" ca="1" si="59"/>
        <v>-8.0781701189800188</v>
      </c>
      <c r="R82" s="1444">
        <f t="shared" ca="1" si="59"/>
        <v>-8.6325532159532017</v>
      </c>
      <c r="S82" s="1444">
        <f t="shared" ca="1" si="59"/>
        <v>-6.8201909615418579</v>
      </c>
      <c r="T82" s="1444">
        <f t="shared" ca="1" si="59"/>
        <v>-3.6877140460373607</v>
      </c>
    </row>
    <row r="83" spans="2:20">
      <c r="B83" s="3102"/>
      <c r="C83" t="s">
        <v>697</v>
      </c>
      <c r="I83" s="1444" t="e">
        <f t="shared" ref="I83:Q83" ca="1" si="60">I87-I82</f>
        <v>#VALUE!</v>
      </c>
      <c r="J83" s="1444" t="e">
        <f t="shared" ca="1" si="60"/>
        <v>#VALUE!</v>
      </c>
      <c r="K83" s="1444" t="e">
        <f t="shared" ca="1" si="60"/>
        <v>#VALUE!</v>
      </c>
      <c r="L83" s="1444">
        <f t="shared" ca="1" si="60"/>
        <v>-17.177133468499477</v>
      </c>
      <c r="M83" s="1444">
        <f t="shared" ca="1" si="60"/>
        <v>36.856384522789881</v>
      </c>
      <c r="N83" s="1444">
        <f t="shared" ca="1" si="60"/>
        <v>-4.2832962133162527</v>
      </c>
      <c r="O83" s="1444">
        <f t="shared" ca="1" si="60"/>
        <v>-14.632385551736196</v>
      </c>
      <c r="P83" s="1444">
        <f t="shared" ca="1" si="60"/>
        <v>-6.9574779770663469</v>
      </c>
      <c r="Q83" s="1444">
        <f t="shared" ca="1" si="60"/>
        <v>-3.8972139643670616</v>
      </c>
      <c r="R83" s="1444">
        <f ca="1">R87-R82</f>
        <v>-4.5795026554724032</v>
      </c>
      <c r="S83" s="1444">
        <f ca="1">S87-S82</f>
        <v>1.8140201931669715</v>
      </c>
      <c r="T83" s="1444">
        <f ca="1">T87-T82</f>
        <v>0.48783878090118948</v>
      </c>
    </row>
    <row r="84" spans="2:20">
      <c r="B84" s="3102"/>
      <c r="C84" t="s">
        <v>1347</v>
      </c>
      <c r="H84" s="1444"/>
      <c r="I84" s="1444">
        <f t="shared" ref="I84:N84" si="61">H$76*((I$51/100)/(1+I$8/100+I$9/100+I$8*I$9/10000))</f>
        <v>3.171073713179716</v>
      </c>
      <c r="J84" s="1444">
        <f t="shared" si="61"/>
        <v>3.5092557138573643</v>
      </c>
      <c r="K84" s="1444">
        <f t="shared" si="61"/>
        <v>4.7071932938163243</v>
      </c>
      <c r="L84" s="1444">
        <f t="shared" si="61"/>
        <v>4.1380854335722592</v>
      </c>
      <c r="M84" s="1444">
        <f t="shared" si="61"/>
        <v>-0.90217792433734467</v>
      </c>
      <c r="N84" s="1444">
        <f t="shared" si="61"/>
        <v>3.5179533360972699</v>
      </c>
      <c r="O84" s="1444">
        <f t="shared" ref="O84:T84" si="62">N$76*((O$51/100)/(1+O$8/100+O$9/100+O$8*O$9/10000))</f>
        <v>5.0614989710736777</v>
      </c>
      <c r="P84" s="1444">
        <f t="shared" si="62"/>
        <v>4.0391646036041209</v>
      </c>
      <c r="Q84" s="1444">
        <f t="shared" ca="1" si="62"/>
        <v>3.6642243271886299</v>
      </c>
      <c r="R84" s="1444">
        <f t="shared" ca="1" si="62"/>
        <v>2.1111192541732891</v>
      </c>
      <c r="S84" s="1444">
        <f t="shared" ca="1" si="62"/>
        <v>4.9991169384563543</v>
      </c>
      <c r="T84" s="1444">
        <f t="shared" ca="1" si="62"/>
        <v>4.7868642858029515</v>
      </c>
    </row>
    <row r="85" spans="2:20">
      <c r="B85" s="3102"/>
      <c r="C85" t="s">
        <v>329</v>
      </c>
      <c r="H85" s="1444"/>
      <c r="I85" s="1444">
        <f t="shared" ref="I85:N85" si="63">H$76*(-(I$8/100)/(1+I$8/100+I$9/100+I$8*I$9/10000))</f>
        <v>-7.9670898743911627</v>
      </c>
      <c r="J85" s="1444">
        <f t="shared" si="63"/>
        <v>-9.4777866158167505</v>
      </c>
      <c r="K85" s="1444">
        <f t="shared" si="63"/>
        <v>-15.539433972349316</v>
      </c>
      <c r="L85" s="1444">
        <f t="shared" si="63"/>
        <v>-4.4501454459944041</v>
      </c>
      <c r="M85" s="1444">
        <f t="shared" si="63"/>
        <v>31.74378103458071</v>
      </c>
      <c r="N85" s="1444">
        <f t="shared" si="63"/>
        <v>-3.1529689651880481</v>
      </c>
      <c r="O85" s="1444">
        <f t="shared" ref="O85:T85" si="64">N$76*(-(O$8/100)/(1+O$8/100+O$9/100+O$8*O$9/10000))</f>
        <v>-10.27093874066534</v>
      </c>
      <c r="P85" s="1444">
        <f t="shared" si="64"/>
        <v>-6.3486370956327605</v>
      </c>
      <c r="Q85" s="1444">
        <f t="shared" ca="1" si="64"/>
        <v>-5.4755853738028391</v>
      </c>
      <c r="R85" s="1444">
        <f t="shared" ca="1" si="64"/>
        <v>-5.1438033261255942</v>
      </c>
      <c r="S85" s="1444">
        <f t="shared" ca="1" si="64"/>
        <v>-2.7609996295219141</v>
      </c>
      <c r="T85" s="1444">
        <f t="shared" ca="1" si="64"/>
        <v>-3.0384458507054037</v>
      </c>
    </row>
    <row r="86" spans="2:20">
      <c r="B86" s="3102"/>
      <c r="C86" t="s">
        <v>330</v>
      </c>
      <c r="H86" s="1444"/>
      <c r="I86" s="1444" t="e">
        <f t="shared" ref="I86:Q86" ca="1" si="65">I83-I84-I85</f>
        <v>#VALUE!</v>
      </c>
      <c r="J86" s="1444" t="e">
        <f t="shared" ca="1" si="65"/>
        <v>#VALUE!</v>
      </c>
      <c r="K86" s="1444" t="e">
        <f t="shared" ca="1" si="65"/>
        <v>#VALUE!</v>
      </c>
      <c r="L86" s="1444">
        <f t="shared" ca="1" si="65"/>
        <v>-16.865073456077329</v>
      </c>
      <c r="M86" s="1444">
        <f t="shared" ca="1" si="65"/>
        <v>6.0147814125465153</v>
      </c>
      <c r="N86" s="1444">
        <f t="shared" ca="1" si="65"/>
        <v>-4.6482805842254749</v>
      </c>
      <c r="O86" s="1444">
        <f t="shared" ca="1" si="65"/>
        <v>-9.4229457821445344</v>
      </c>
      <c r="P86" s="1444">
        <f t="shared" ca="1" si="65"/>
        <v>-4.6480054850377073</v>
      </c>
      <c r="Q86" s="1444">
        <f t="shared" ca="1" si="65"/>
        <v>-2.0858529177528524</v>
      </c>
      <c r="R86" s="1444">
        <f ca="1">R83-R84-R85</f>
        <v>-1.546818583520098</v>
      </c>
      <c r="S86" s="1444">
        <f ca="1">S83-S84-S85</f>
        <v>-0.42409711576746867</v>
      </c>
      <c r="T86" s="1444">
        <f ca="1">T83-T84-T85</f>
        <v>-1.2605796541963579</v>
      </c>
    </row>
    <row r="87" spans="2:20">
      <c r="B87" s="3102"/>
      <c r="C87" t="s">
        <v>1349</v>
      </c>
      <c r="H87" s="1444"/>
      <c r="I87" s="1444" t="e">
        <f t="shared" ref="I87:N87" ca="1" si="66">I89-I88</f>
        <v>#VALUE!</v>
      </c>
      <c r="J87" s="1444" t="e">
        <f t="shared" ca="1" si="66"/>
        <v>#VALUE!</v>
      </c>
      <c r="K87" s="1444" t="e">
        <f t="shared" ca="1" si="66"/>
        <v>#VALUE!</v>
      </c>
      <c r="L87" s="1444">
        <f t="shared" ca="1" si="66"/>
        <v>-9.8816552061405787</v>
      </c>
      <c r="M87" s="1444">
        <f t="shared" ca="1" si="66"/>
        <v>31.518795483769019</v>
      </c>
      <c r="N87" s="1444">
        <f t="shared" ca="1" si="66"/>
        <v>-10.98592497361947</v>
      </c>
      <c r="O87" s="1444">
        <f t="shared" ref="O87:T87" ca="1" si="67">O89-O88</f>
        <v>-18.859840298801931</v>
      </c>
      <c r="P87" s="1444">
        <f t="shared" ca="1" si="67"/>
        <v>-12.819664199646809</v>
      </c>
      <c r="Q87" s="1444">
        <f t="shared" ca="1" si="67"/>
        <v>-11.97538408334708</v>
      </c>
      <c r="R87" s="1444">
        <f t="shared" ca="1" si="67"/>
        <v>-13.212055871425605</v>
      </c>
      <c r="S87" s="1444">
        <f t="shared" ca="1" si="67"/>
        <v>-5.0061707683748864</v>
      </c>
      <c r="T87" s="1444">
        <f t="shared" ca="1" si="67"/>
        <v>-3.1998752651361713</v>
      </c>
    </row>
    <row r="88" spans="2:20">
      <c r="B88" s="3102"/>
      <c r="C88" t="s">
        <v>1350</v>
      </c>
      <c r="H88" s="1444"/>
      <c r="I88" s="1444" t="e">
        <f t="shared" ref="I88:N88" ca="1" si="68">100*I65/I6</f>
        <v>#VALUE!</v>
      </c>
      <c r="J88" s="1444" t="e">
        <f t="shared" ca="1" si="68"/>
        <v>#VALUE!</v>
      </c>
      <c r="K88" s="1444" t="e">
        <f t="shared" ca="1" si="68"/>
        <v>#VALUE!</v>
      </c>
      <c r="L88" s="1444">
        <f t="shared" ca="1" si="68"/>
        <v>-4.2428374114731469</v>
      </c>
      <c r="M88" s="1444">
        <f t="shared" ca="1" si="68"/>
        <v>-7.9643004853939718</v>
      </c>
      <c r="N88" s="1444">
        <f t="shared" ca="1" si="68"/>
        <v>0.56444241153202279</v>
      </c>
      <c r="O88" s="1444">
        <f t="shared" ref="O88:T88" ca="1" si="69">100*O65/O6</f>
        <v>6.0956050969262945</v>
      </c>
      <c r="P88" s="1444">
        <f t="shared" si="69"/>
        <v>0</v>
      </c>
      <c r="Q88" s="1444">
        <f t="shared" si="69"/>
        <v>0</v>
      </c>
      <c r="R88" s="1444">
        <f t="shared" si="69"/>
        <v>0</v>
      </c>
      <c r="S88" s="1444">
        <f t="shared" si="69"/>
        <v>0</v>
      </c>
      <c r="T88" s="1444">
        <f t="shared" si="69"/>
        <v>0</v>
      </c>
    </row>
    <row r="89" spans="2:20">
      <c r="B89" s="3104"/>
      <c r="C89" s="1078" t="s">
        <v>331</v>
      </c>
      <c r="D89" s="1085"/>
      <c r="E89" s="1085"/>
      <c r="F89" s="1085"/>
      <c r="G89" s="1085"/>
      <c r="H89" s="1085"/>
      <c r="I89" s="1085">
        <f t="shared" ref="I89:Q89" si="70">I76-H76</f>
        <v>27.982607825113973</v>
      </c>
      <c r="J89" s="1085">
        <f t="shared" si="70"/>
        <v>22.325509271401359</v>
      </c>
      <c r="K89" s="1085">
        <f t="shared" si="70"/>
        <v>21.606549462514266</v>
      </c>
      <c r="L89" s="1085">
        <f t="shared" si="70"/>
        <v>-14.124492617613726</v>
      </c>
      <c r="M89" s="1085">
        <f t="shared" si="70"/>
        <v>23.554494998375048</v>
      </c>
      <c r="N89" s="1085">
        <f t="shared" si="70"/>
        <v>-10.421482562087448</v>
      </c>
      <c r="O89" s="1085">
        <f t="shared" si="70"/>
        <v>-12.764235201875636</v>
      </c>
      <c r="P89" s="1085">
        <f t="shared" ca="1" si="70"/>
        <v>-12.819664199646809</v>
      </c>
      <c r="Q89" s="1085">
        <f t="shared" ca="1" si="70"/>
        <v>-11.97538408334708</v>
      </c>
      <c r="R89" s="1085">
        <f ca="1">R76-Q76</f>
        <v>-13.212055871425605</v>
      </c>
      <c r="S89" s="1085">
        <f ca="1">S76-R76</f>
        <v>-5.0061707683748864</v>
      </c>
      <c r="T89" s="1085">
        <f ca="1">T76-S76</f>
        <v>-3.1998752651361713</v>
      </c>
    </row>
  </sheetData>
  <phoneticPr fontId="60" type="noConversion"/>
  <pageMargins left="0.75" right="0.75" top="1" bottom="1" header="0.5" footer="0.5"/>
  <pageSetup paperSize="9" orientation="portrait" verticalDpi="599"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43"/>
    <pageSetUpPr fitToPage="1"/>
  </sheetPr>
  <dimension ref="A1:DO1162"/>
  <sheetViews>
    <sheetView showGridLines="0" zoomScaleNormal="100" workbookViewId="0">
      <selection activeCell="AB209" sqref="AB209"/>
    </sheetView>
  </sheetViews>
  <sheetFormatPr defaultRowHeight="12.75"/>
  <cols>
    <col min="1" max="2" width="3.7109375" style="665" customWidth="1"/>
    <col min="3" max="4" width="3.7109375" style="670" customWidth="1"/>
    <col min="5" max="5" width="44.85546875" style="217" customWidth="1"/>
    <col min="6" max="6" width="11.85546875" style="694" customWidth="1"/>
    <col min="7" max="15" width="9.28515625" style="217" hidden="1" customWidth="1"/>
    <col min="16" max="16" width="9.28515625" style="599" customWidth="1"/>
    <col min="17" max="17" width="9.28515625" style="1287" customWidth="1"/>
    <col min="18" max="18" width="9.28515625" style="3486" customWidth="1"/>
    <col min="19" max="20" width="9.140625" style="3486" customWidth="1"/>
    <col min="21" max="21" width="10.140625" style="3486" customWidth="1"/>
    <col min="22" max="22" width="10.5703125" style="3486" customWidth="1"/>
    <col min="23" max="23" width="9.140625" style="3486" customWidth="1"/>
    <col min="24" max="26" width="9.140625" style="3486"/>
    <col min="27" max="27" width="10.28515625" style="3486" bestFit="1" customWidth="1"/>
    <col min="28" max="28" width="9.140625" style="3487"/>
    <col min="29" max="31" width="9.5703125" style="3487" bestFit="1" customWidth="1"/>
    <col min="120" max="16384" width="9.140625" style="217"/>
  </cols>
  <sheetData>
    <row r="1" spans="1:119">
      <c r="AB1" s="3486"/>
    </row>
    <row r="2" spans="1:119" ht="22.5" customHeight="1">
      <c r="C2" s="3751" t="s">
        <v>714</v>
      </c>
      <c r="D2" s="3751"/>
      <c r="E2" s="3751"/>
      <c r="F2" s="3751"/>
      <c r="S2" s="2930"/>
      <c r="T2" s="2930"/>
      <c r="U2" s="2930"/>
      <c r="V2" s="2930"/>
      <c r="W2" s="2930"/>
      <c r="X2" s="3228"/>
      <c r="Y2" s="2930"/>
      <c r="Z2" s="2942"/>
      <c r="AA2" s="2930"/>
    </row>
    <row r="3" spans="1:119">
      <c r="I3" s="1692"/>
      <c r="J3" s="1692"/>
      <c r="K3" s="1692"/>
      <c r="L3" s="1692"/>
      <c r="M3" s="1692"/>
      <c r="N3" s="1692"/>
      <c r="O3" s="1692"/>
      <c r="P3" s="3488"/>
      <c r="Q3" s="3488"/>
      <c r="R3" s="3488"/>
      <c r="S3" s="3488"/>
      <c r="T3" s="3489"/>
      <c r="U3" s="3489"/>
      <c r="V3" s="3489"/>
      <c r="W3" s="3489"/>
      <c r="X3" s="3489"/>
      <c r="Y3" s="3489"/>
      <c r="Z3" s="3489"/>
      <c r="AB3" s="3665"/>
      <c r="AC3" s="3489"/>
      <c r="AD3" s="3489"/>
      <c r="AE3" s="3489"/>
    </row>
    <row r="4" spans="1:119" s="699" customFormat="1" ht="12.75" customHeight="1">
      <c r="A4" s="664"/>
      <c r="B4" s="664"/>
      <c r="C4" s="666"/>
      <c r="D4" s="695"/>
      <c r="E4" s="696" t="s">
        <v>969</v>
      </c>
      <c r="F4" s="697"/>
      <c r="G4" s="698">
        <f>+InputY!$G$3</f>
        <v>1995</v>
      </c>
      <c r="H4" s="698">
        <f>+G4+1</f>
        <v>1996</v>
      </c>
      <c r="I4" s="698">
        <f t="shared" ref="I4:O4" si="0">+H4+1</f>
        <v>1997</v>
      </c>
      <c r="J4" s="698">
        <f t="shared" si="0"/>
        <v>1998</v>
      </c>
      <c r="K4" s="698">
        <f t="shared" si="0"/>
        <v>1999</v>
      </c>
      <c r="L4" s="698">
        <f t="shared" si="0"/>
        <v>2000</v>
      </c>
      <c r="M4" s="698">
        <f t="shared" si="0"/>
        <v>2001</v>
      </c>
      <c r="N4" s="698">
        <f t="shared" si="0"/>
        <v>2002</v>
      </c>
      <c r="O4" s="698">
        <f t="shared" si="0"/>
        <v>2003</v>
      </c>
      <c r="P4" s="3490">
        <f t="shared" ref="P4:W4" si="1">+O4+1</f>
        <v>2004</v>
      </c>
      <c r="Q4" s="3490">
        <f t="shared" si="1"/>
        <v>2005</v>
      </c>
      <c r="R4" s="3490">
        <f t="shared" si="1"/>
        <v>2006</v>
      </c>
      <c r="S4" s="3490">
        <f t="shared" si="1"/>
        <v>2007</v>
      </c>
      <c r="T4" s="3491">
        <f t="shared" si="1"/>
        <v>2008</v>
      </c>
      <c r="U4" s="3491">
        <f t="shared" si="1"/>
        <v>2009</v>
      </c>
      <c r="V4" s="3491">
        <f t="shared" si="1"/>
        <v>2010</v>
      </c>
      <c r="W4" s="3491">
        <f t="shared" si="1"/>
        <v>2011</v>
      </c>
      <c r="X4" s="3491">
        <f t="shared" ref="X4:AE4" si="2">+W4+1</f>
        <v>2012</v>
      </c>
      <c r="Y4" s="3491">
        <f t="shared" si="2"/>
        <v>2013</v>
      </c>
      <c r="Z4" s="3491">
        <f t="shared" si="2"/>
        <v>2014</v>
      </c>
      <c r="AA4" s="3491">
        <f t="shared" si="2"/>
        <v>2015</v>
      </c>
      <c r="AB4" s="3491">
        <f t="shared" si="2"/>
        <v>2016</v>
      </c>
      <c r="AC4" s="3491">
        <f t="shared" si="2"/>
        <v>2017</v>
      </c>
      <c r="AD4" s="3491">
        <f t="shared" si="2"/>
        <v>2018</v>
      </c>
      <c r="AE4" s="3491">
        <f t="shared" si="2"/>
        <v>2019</v>
      </c>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row>
    <row r="5" spans="1:119" s="699" customFormat="1" ht="12.75" customHeight="1">
      <c r="A5" s="3219">
        <f>+ROW(InputY!A4)</f>
        <v>4</v>
      </c>
      <c r="B5" s="3219">
        <v>75</v>
      </c>
      <c r="C5" s="667" t="s">
        <v>1767</v>
      </c>
      <c r="D5" s="668"/>
      <c r="E5" s="700" t="s">
        <v>1150</v>
      </c>
      <c r="F5" s="701" t="str">
        <f>+InputY!B4</f>
        <v>Lpop</v>
      </c>
      <c r="G5" s="702">
        <f>+InputY!G4</f>
        <v>3629.1015000000002</v>
      </c>
      <c r="H5" s="702">
        <f>+InputY!H4</f>
        <v>3601.6125000000002</v>
      </c>
      <c r="I5" s="702">
        <f>+InputY!I4</f>
        <v>3575.1370000000002</v>
      </c>
      <c r="J5" s="702">
        <f>+InputY!J4</f>
        <v>3549.3310000000001</v>
      </c>
      <c r="K5" s="702">
        <f>+InputY!K4</f>
        <v>3524.2375000000002</v>
      </c>
      <c r="L5" s="702">
        <f>+InputY!L4</f>
        <v>3499.5360000000001</v>
      </c>
      <c r="M5" s="702">
        <f>+InputY!M4</f>
        <v>3470.8175000000001</v>
      </c>
      <c r="N5" s="702">
        <f>+InputY!N4</f>
        <v>3443.067</v>
      </c>
      <c r="O5" s="702">
        <f>+InputY!O4</f>
        <v>3415.2130000000002</v>
      </c>
      <c r="P5" s="3492">
        <f>+InputY!P4</f>
        <v>3377.0745000000002</v>
      </c>
      <c r="Q5" s="3492">
        <f>+InputY!Q4</f>
        <v>3322.5275000000001</v>
      </c>
      <c r="R5" s="3492">
        <f>+InputY!R4</f>
        <v>3269.9090000000001</v>
      </c>
      <c r="S5" s="3492">
        <f>+InputY!S4</f>
        <v>3231.2939999999999</v>
      </c>
      <c r="T5" s="3492">
        <f>+InputY!T4</f>
        <v>3198.2305000000001</v>
      </c>
      <c r="U5" s="3492">
        <f>+InputY!U4</f>
        <v>3162.9160000000002</v>
      </c>
      <c r="V5" s="3492">
        <f>+InputY!V4</f>
        <v>3097.2820000000002</v>
      </c>
      <c r="W5" s="3492">
        <f>+InputY!W4</f>
        <v>3028.1145000000001</v>
      </c>
      <c r="X5" s="3492">
        <f>+InputY!X4</f>
        <v>2987.7730000000001</v>
      </c>
      <c r="Y5" s="3492">
        <f>+InputY!Y4</f>
        <v>2957.6885000000002</v>
      </c>
      <c r="Z5" s="3492">
        <f>+InputY!Z4</f>
        <v>2932.3670000000002</v>
      </c>
      <c r="AA5" s="3492">
        <f>+InputY!AA4</f>
        <v>2904.91</v>
      </c>
      <c r="AB5" s="3492">
        <f>+InputY!AB4</f>
        <v>2868.2310000000002</v>
      </c>
      <c r="AC5" s="2932">
        <f>+AB5*(1+AC15/100)</f>
        <v>2828.9999999999986</v>
      </c>
      <c r="AD5" s="2932">
        <f>+AC5*(1+AD15/100)</f>
        <v>2803.5389999999989</v>
      </c>
      <c r="AE5" s="2932">
        <f>+AD5*(1+AE15/100)</f>
        <v>2783.9142269999988</v>
      </c>
      <c r="AF5" s="3653" t="s">
        <v>2608</v>
      </c>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row>
    <row r="6" spans="1:119" s="26" customFormat="1">
      <c r="A6" s="3219"/>
      <c r="B6" s="3220"/>
      <c r="C6" s="671" t="s">
        <v>970</v>
      </c>
      <c r="D6" s="679"/>
      <c r="E6" s="680" t="s">
        <v>2135</v>
      </c>
      <c r="F6" s="681" t="s">
        <v>972</v>
      </c>
      <c r="G6" s="682">
        <f>+G7/G5</f>
        <v>0.65885798454521038</v>
      </c>
      <c r="H6" s="682">
        <f t="shared" ref="H6:S6" si="3">+H7/H5</f>
        <v>0.6583266522981025</v>
      </c>
      <c r="I6" s="682">
        <f t="shared" si="3"/>
        <v>0.6579406607355186</v>
      </c>
      <c r="J6" s="682">
        <f t="shared" si="3"/>
        <v>0.65817825950862296</v>
      </c>
      <c r="K6" s="682">
        <f t="shared" si="3"/>
        <v>0.65952606769549438</v>
      </c>
      <c r="L6" s="682">
        <f t="shared" si="3"/>
        <v>0.66221436213257989</v>
      </c>
      <c r="M6" s="682">
        <f t="shared" si="3"/>
        <v>0.66471861456270753</v>
      </c>
      <c r="N6" s="682">
        <f t="shared" si="3"/>
        <v>0.66694781135539916</v>
      </c>
      <c r="O6" s="682">
        <f t="shared" si="3"/>
        <v>0.66902723197645353</v>
      </c>
      <c r="P6" s="682">
        <f t="shared" si="3"/>
        <v>0.67015637351204427</v>
      </c>
      <c r="Q6" s="682">
        <f t="shared" si="3"/>
        <v>0.67108789919722256</v>
      </c>
      <c r="R6" s="682">
        <f t="shared" si="3"/>
        <v>0.67236290061894688</v>
      </c>
      <c r="S6" s="682">
        <f t="shared" si="3"/>
        <v>0.67423283056261674</v>
      </c>
      <c r="T6" s="2933">
        <f t="shared" ref="T6:Y6" si="4">+T7/T5</f>
        <v>0.67592501541086547</v>
      </c>
      <c r="U6" s="2933">
        <f t="shared" si="4"/>
        <v>0.67682385494904074</v>
      </c>
      <c r="V6" s="2933">
        <f t="shared" si="4"/>
        <v>0.67477000802639209</v>
      </c>
      <c r="W6" s="2933">
        <f t="shared" si="4"/>
        <v>0.67188839787927435</v>
      </c>
      <c r="X6" s="2933">
        <f t="shared" si="4"/>
        <v>0.67096429347209441</v>
      </c>
      <c r="Y6" s="2933">
        <f t="shared" si="4"/>
        <v>0.67008003040211972</v>
      </c>
      <c r="Z6" s="2933">
        <f t="shared" ref="Z6:AE6" si="5">+Z7/Z5</f>
        <v>0.66828776889113806</v>
      </c>
      <c r="AA6" s="2933">
        <f t="shared" si="5"/>
        <v>0.66524763245677154</v>
      </c>
      <c r="AB6" s="2933">
        <f t="shared" si="5"/>
        <v>0.66101178740484989</v>
      </c>
      <c r="AC6" s="2933">
        <f t="shared" si="5"/>
        <v>0.65585012371862883</v>
      </c>
      <c r="AD6" s="2933">
        <f t="shared" si="5"/>
        <v>0.64923205990713906</v>
      </c>
      <c r="AE6" s="2933">
        <f t="shared" si="5"/>
        <v>0.64204016397664709</v>
      </c>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row>
    <row r="7" spans="1:119">
      <c r="A7" s="3219">
        <f>+ROW(InputY!A5)</f>
        <v>5</v>
      </c>
      <c r="B7" s="3221">
        <v>76</v>
      </c>
      <c r="C7" s="671" t="s">
        <v>1769</v>
      </c>
      <c r="D7" s="674"/>
      <c r="E7" s="220" t="s">
        <v>2134</v>
      </c>
      <c r="F7" s="704" t="str">
        <f>+InputY!B5</f>
        <v>Lage</v>
      </c>
      <c r="G7" s="705">
        <f>+InputY!G5</f>
        <v>2391.0625</v>
      </c>
      <c r="H7" s="705">
        <f>+InputY!H5</f>
        <v>2371.0374999999999</v>
      </c>
      <c r="I7" s="705">
        <f>+InputY!I5</f>
        <v>2352.2280000000001</v>
      </c>
      <c r="J7" s="705">
        <f>+InputY!J5</f>
        <v>2336.0925000000002</v>
      </c>
      <c r="K7" s="705">
        <f>+InputY!K5</f>
        <v>2324.3265000000001</v>
      </c>
      <c r="L7" s="705">
        <f>+InputY!L5</f>
        <v>2317.4430000000002</v>
      </c>
      <c r="M7" s="705">
        <f>+InputY!M5</f>
        <v>2307.1170000000002</v>
      </c>
      <c r="N7" s="705">
        <f>+InputY!N5</f>
        <v>2296.346</v>
      </c>
      <c r="O7" s="705">
        <f>+InputY!O5</f>
        <v>2284.8705</v>
      </c>
      <c r="P7" s="3493">
        <f>+InputY!P5</f>
        <v>2263.1680000000001</v>
      </c>
      <c r="Q7" s="3493">
        <f>+InputY!Q5</f>
        <v>2229.7080000000001</v>
      </c>
      <c r="R7" s="3493">
        <f>+InputY!R5</f>
        <v>2198.5655000000002</v>
      </c>
      <c r="S7" s="3493">
        <f>+InputY!S5</f>
        <v>2178.6444999999999</v>
      </c>
      <c r="T7" s="3493">
        <f>+InputY!T5</f>
        <v>2161.7640000000001</v>
      </c>
      <c r="U7" s="3493">
        <f>+InputY!U5</f>
        <v>2140.7370000000001</v>
      </c>
      <c r="V7" s="3493">
        <f>+InputY!V5</f>
        <v>2089.953</v>
      </c>
      <c r="W7" s="3493">
        <f>+InputY!W5</f>
        <v>2034.5550000000001</v>
      </c>
      <c r="X7" s="3493">
        <f>+InputY!X5</f>
        <v>2004.6890000000001</v>
      </c>
      <c r="Y7" s="3493">
        <f>+InputY!Y5</f>
        <v>1981.8879999999999</v>
      </c>
      <c r="Z7" s="3493">
        <f>+InputY!Z5</f>
        <v>1959.665</v>
      </c>
      <c r="AA7" s="3493">
        <f>+InputY!AA5</f>
        <v>1932.4845</v>
      </c>
      <c r="AB7" s="3493">
        <f>+InputY!AB5</f>
        <v>1895.9345000000001</v>
      </c>
      <c r="AC7" s="2934">
        <f>+AB7*(1+AC16/100)</f>
        <v>1855.4</v>
      </c>
      <c r="AD7" s="2934">
        <f>+AC7*(1+AD16/100)</f>
        <v>1820.1474000000001</v>
      </c>
      <c r="AE7" s="2934">
        <f>+AD7*(1+AE16/100)</f>
        <v>1787.3847468000001</v>
      </c>
      <c r="AF7" s="3749" t="s">
        <v>2608</v>
      </c>
    </row>
    <row r="8" spans="1:119" s="26" customFormat="1">
      <c r="A8" s="3222"/>
      <c r="B8" s="3220"/>
      <c r="C8" s="672" t="s">
        <v>970</v>
      </c>
      <c r="D8" s="683"/>
      <c r="E8" s="684" t="s">
        <v>712</v>
      </c>
      <c r="F8" s="685" t="s">
        <v>713</v>
      </c>
      <c r="G8" s="686" t="e">
        <f t="shared" ref="G8:Z8" si="6">+G12/G7</f>
        <v>#VALUE!</v>
      </c>
      <c r="H8" s="686" t="e">
        <f t="shared" si="6"/>
        <v>#VALUE!</v>
      </c>
      <c r="I8" s="686" t="e">
        <f t="shared" si="6"/>
        <v>#VALUE!</v>
      </c>
      <c r="J8" s="686" t="e">
        <f t="shared" si="6"/>
        <v>#VALUE!</v>
      </c>
      <c r="K8" s="686" t="e">
        <f t="shared" si="6"/>
        <v>#VALUE!</v>
      </c>
      <c r="L8" s="686">
        <f t="shared" si="6"/>
        <v>0.72353451627504961</v>
      </c>
      <c r="M8" s="686">
        <f t="shared" si="6"/>
        <v>0.71123397729720683</v>
      </c>
      <c r="N8" s="686">
        <f t="shared" si="6"/>
        <v>0.71197023445073171</v>
      </c>
      <c r="O8" s="686">
        <f t="shared" si="6"/>
        <v>0.72081984515096154</v>
      </c>
      <c r="P8" s="686">
        <f t="shared" si="6"/>
        <v>0.70623568378485369</v>
      </c>
      <c r="Q8" s="686">
        <f t="shared" si="6"/>
        <v>0.70311897342611673</v>
      </c>
      <c r="R8" s="686">
        <f t="shared" si="6"/>
        <v>0.69101420903766564</v>
      </c>
      <c r="S8" s="686">
        <f t="shared" si="6"/>
        <v>0.69687367535180711</v>
      </c>
      <c r="T8" s="2935">
        <f t="shared" si="6"/>
        <v>0.70175097744249604</v>
      </c>
      <c r="U8" s="2935">
        <f t="shared" si="6"/>
        <v>0.71438948362176202</v>
      </c>
      <c r="V8" s="2935">
        <f t="shared" si="6"/>
        <v>0.72621728813997255</v>
      </c>
      <c r="W8" s="2935">
        <f t="shared" si="6"/>
        <v>0.72821820987881869</v>
      </c>
      <c r="X8" s="2935">
        <f t="shared" si="6"/>
        <v>0.73477731458595319</v>
      </c>
      <c r="Y8" s="2935">
        <f t="shared" si="6"/>
        <v>0.73927991894597478</v>
      </c>
      <c r="Z8" s="2935">
        <f t="shared" si="6"/>
        <v>0.75385333717752778</v>
      </c>
      <c r="AA8" s="2935">
        <f>+AA12/AA7</f>
        <v>0.76050804029734786</v>
      </c>
      <c r="AB8" s="2935">
        <f>+AB12/AB7</f>
        <v>0.77962081495958846</v>
      </c>
      <c r="AC8" s="2935">
        <f>+AC12/AC7</f>
        <v>0.77912664654521924</v>
      </c>
      <c r="AD8" s="2935">
        <f>+AD12/AD7</f>
        <v>0.79302543993415031</v>
      </c>
      <c r="AE8" s="2935">
        <f>+AE12/AE7</f>
        <v>0.80558751204455981</v>
      </c>
      <c r="AF8" s="3344"/>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row>
    <row r="9" spans="1:119" s="26" customFormat="1">
      <c r="A9" s="3222"/>
      <c r="B9" s="3220"/>
      <c r="C9" s="671" t="s">
        <v>970</v>
      </c>
      <c r="D9" s="679"/>
      <c r="E9" s="680" t="s">
        <v>2133</v>
      </c>
      <c r="F9" s="681" t="s">
        <v>972</v>
      </c>
      <c r="G9" s="682">
        <f>+G10/G5</f>
        <v>0.739051938889006</v>
      </c>
      <c r="H9" s="682">
        <f t="shared" ref="H9:Z9" si="7">+H10/H5</f>
        <v>0.74100156527111116</v>
      </c>
      <c r="I9" s="682">
        <f t="shared" si="7"/>
        <v>0.74271111848301186</v>
      </c>
      <c r="J9" s="682">
        <f t="shared" si="7"/>
        <v>0.74463159395390277</v>
      </c>
      <c r="K9" s="682">
        <f t="shared" si="7"/>
        <v>0.74692993874561509</v>
      </c>
      <c r="L9" s="682">
        <f t="shared" si="7"/>
        <v>0.7503633338819774</v>
      </c>
      <c r="M9" s="682">
        <f t="shared" si="7"/>
        <v>0.75461976897373595</v>
      </c>
      <c r="N9" s="682">
        <f t="shared" si="7"/>
        <v>0.75878061623546678</v>
      </c>
      <c r="O9" s="682">
        <f t="shared" si="7"/>
        <v>0.76202743430643993</v>
      </c>
      <c r="P9" s="682">
        <f t="shared" si="7"/>
        <v>0.76420700816638776</v>
      </c>
      <c r="Q9" s="682">
        <f t="shared" si="7"/>
        <v>0.76610216168263467</v>
      </c>
      <c r="R9" s="682">
        <f t="shared" si="7"/>
        <v>0.76824905524893805</v>
      </c>
      <c r="S9" s="682">
        <f t="shared" si="7"/>
        <v>0.7707276094344867</v>
      </c>
      <c r="T9" s="682">
        <f t="shared" si="7"/>
        <v>0.77243072380180233</v>
      </c>
      <c r="U9" s="682">
        <f t="shared" si="7"/>
        <v>0.77260746096323774</v>
      </c>
      <c r="V9" s="682">
        <f t="shared" si="7"/>
        <v>0.77066408547881649</v>
      </c>
      <c r="W9" s="682">
        <f t="shared" si="7"/>
        <v>0.76781145494993674</v>
      </c>
      <c r="X9" s="682">
        <f t="shared" si="7"/>
        <v>0.76574241081902805</v>
      </c>
      <c r="Y9" s="682">
        <f t="shared" si="7"/>
        <v>0.76415602927759285</v>
      </c>
      <c r="Z9" s="682">
        <f t="shared" si="7"/>
        <v>0.76265760731859267</v>
      </c>
      <c r="AA9" s="682">
        <f>+AA10/AA5</f>
        <v>0.76053113521589311</v>
      </c>
      <c r="AB9" s="682">
        <f>+AB10/AB5</f>
        <v>0.75721585883424303</v>
      </c>
      <c r="AC9" s="682">
        <f>+AC10/AC5</f>
        <v>0.75309296571226636</v>
      </c>
      <c r="AD9" s="682">
        <f>+AD10/AD5</f>
        <v>0.74777343921379413</v>
      </c>
      <c r="AE9" s="682">
        <f>+AE10/AE5</f>
        <v>0.74099603644146361</v>
      </c>
      <c r="AF9" s="3344"/>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row>
    <row r="10" spans="1:119" s="26" customFormat="1">
      <c r="A10" s="3219">
        <f>+ROW(InputY!A6)</f>
        <v>6</v>
      </c>
      <c r="B10" s="3221">
        <v>77</v>
      </c>
      <c r="C10" s="671" t="s">
        <v>1769</v>
      </c>
      <c r="D10" s="674"/>
      <c r="E10" s="220" t="s">
        <v>2136</v>
      </c>
      <c r="F10" s="704" t="str">
        <f>+InputY!B8</f>
        <v>LEmpD</v>
      </c>
      <c r="G10" s="705">
        <f>+InputY!G6</f>
        <v>2682.0945000000002</v>
      </c>
      <c r="H10" s="705">
        <f>+InputY!H6</f>
        <v>2668.8004999999998</v>
      </c>
      <c r="I10" s="705">
        <f>+InputY!I6</f>
        <v>2655.2939999999999</v>
      </c>
      <c r="J10" s="705">
        <f>+InputY!J6</f>
        <v>2642.944</v>
      </c>
      <c r="K10" s="705">
        <f>+InputY!K6</f>
        <v>2632.3584999999998</v>
      </c>
      <c r="L10" s="705">
        <f>+InputY!L6</f>
        <v>2625.9234999999999</v>
      </c>
      <c r="M10" s="705">
        <f>+InputY!M6</f>
        <v>2619.1475</v>
      </c>
      <c r="N10" s="705">
        <f>+InputY!N6</f>
        <v>2612.5324999999998</v>
      </c>
      <c r="O10" s="705">
        <f>+InputY!O6</f>
        <v>2602.4859999999999</v>
      </c>
      <c r="P10" s="3493">
        <f>+InputY!P6</f>
        <v>2580.7840000000001</v>
      </c>
      <c r="Q10" s="3493">
        <f>+InputY!Q6</f>
        <v>2545.3955000000001</v>
      </c>
      <c r="R10" s="3493">
        <f>+InputY!R6</f>
        <v>2512.1044999999999</v>
      </c>
      <c r="S10" s="3493">
        <f>+InputY!S6</f>
        <v>2490.4475000000002</v>
      </c>
      <c r="T10" s="3493">
        <f>+InputY!T6</f>
        <v>2470.4115000000002</v>
      </c>
      <c r="U10" s="3493">
        <f>+InputY!U6</f>
        <v>2443.6925000000001</v>
      </c>
      <c r="V10" s="3493">
        <f>+InputY!V6</f>
        <v>2386.9639999999999</v>
      </c>
      <c r="W10" s="3493">
        <f>+InputY!W6</f>
        <v>2325.0210000000002</v>
      </c>
      <c r="X10" s="3493">
        <f>+InputY!X6</f>
        <v>2287.8645000000001</v>
      </c>
      <c r="Y10" s="3493">
        <f>+InputY!Y6</f>
        <v>2260.1354999999999</v>
      </c>
      <c r="Z10" s="3493">
        <f>+InputY!Z6</f>
        <v>2236.3919999999998</v>
      </c>
      <c r="AA10" s="3493">
        <f>+InputY!AA6</f>
        <v>2209.2745</v>
      </c>
      <c r="AB10" s="3493">
        <f>+InputY!AB6</f>
        <v>2171.87</v>
      </c>
      <c r="AC10" s="2934">
        <f>+AB10*(1+AC17/100)</f>
        <v>2130.5000000000005</v>
      </c>
      <c r="AD10" s="2934">
        <f>+AC10*(1+AD17/100)</f>
        <v>2096.4120000000003</v>
      </c>
      <c r="AE10" s="2934">
        <f>+AD10*(1+AE17/100)</f>
        <v>2062.869408</v>
      </c>
      <c r="AF10" s="3749" t="s">
        <v>2608</v>
      </c>
      <c r="AG10"/>
      <c r="AH10" s="3388"/>
      <c r="AI10" s="3388"/>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row>
    <row r="11" spans="1:119" s="26" customFormat="1">
      <c r="A11" s="1903"/>
      <c r="B11" s="673"/>
      <c r="C11" s="672" t="s">
        <v>970</v>
      </c>
      <c r="D11" s="683"/>
      <c r="E11" s="684" t="s">
        <v>712</v>
      </c>
      <c r="F11" s="685" t="s">
        <v>713</v>
      </c>
      <c r="G11" s="686" t="e">
        <f>+G12/G10</f>
        <v>#VALUE!</v>
      </c>
      <c r="H11" s="686" t="e">
        <f t="shared" ref="H11:Z11" si="8">+H12/H10</f>
        <v>#VALUE!</v>
      </c>
      <c r="I11" s="686" t="e">
        <f t="shared" si="8"/>
        <v>#VALUE!</v>
      </c>
      <c r="J11" s="686" t="e">
        <f t="shared" si="8"/>
        <v>#VALUE!</v>
      </c>
      <c r="K11" s="686" t="e">
        <f t="shared" si="8"/>
        <v>#VALUE!</v>
      </c>
      <c r="L11" s="686">
        <f t="shared" si="8"/>
        <v>0.63853726127208199</v>
      </c>
      <c r="M11" s="686">
        <f t="shared" si="8"/>
        <v>0.62650156205406538</v>
      </c>
      <c r="N11" s="686">
        <f t="shared" si="8"/>
        <v>0.62580274120991808</v>
      </c>
      <c r="O11" s="686">
        <f t="shared" si="8"/>
        <v>0.63284874539190605</v>
      </c>
      <c r="P11" s="686">
        <f t="shared" si="8"/>
        <v>0.61931955560790819</v>
      </c>
      <c r="Q11" s="686">
        <f t="shared" si="8"/>
        <v>0.61591607276747362</v>
      </c>
      <c r="R11" s="686">
        <f t="shared" si="8"/>
        <v>0.60476783509603205</v>
      </c>
      <c r="S11" s="686">
        <f t="shared" si="8"/>
        <v>0.60962537857152177</v>
      </c>
      <c r="T11" s="686">
        <f t="shared" si="8"/>
        <v>0.61407583311525216</v>
      </c>
      <c r="U11" s="686">
        <f t="shared" si="8"/>
        <v>0.62582342090913645</v>
      </c>
      <c r="V11" s="686">
        <f t="shared" si="8"/>
        <v>0.63585374559482255</v>
      </c>
      <c r="W11" s="686">
        <f t="shared" si="8"/>
        <v>0.63724155609777278</v>
      </c>
      <c r="X11" s="686">
        <f t="shared" si="8"/>
        <v>0.6438318353206669</v>
      </c>
      <c r="Y11" s="686">
        <f t="shared" si="8"/>
        <v>0.64826644243232323</v>
      </c>
      <c r="Z11" s="686">
        <f t="shared" si="8"/>
        <v>0.66057292281496272</v>
      </c>
      <c r="AA11" s="686">
        <f>+AA12/AA10</f>
        <v>0.66522743099601256</v>
      </c>
      <c r="AB11" s="686">
        <f>+AB12/AB10</f>
        <v>0.68057019987384137</v>
      </c>
      <c r="AC11" s="686">
        <f>+AC12/AC10</f>
        <v>0.67852221544238422</v>
      </c>
      <c r="AD11" s="686">
        <f>+AD12/AD10</f>
        <v>0.6885207643488015</v>
      </c>
      <c r="AE11" s="686">
        <f>+AE12/AE10</f>
        <v>0.69800580960528136</v>
      </c>
      <c r="AF11" s="3344"/>
      <c r="AG11"/>
      <c r="AH11" s="3388"/>
      <c r="AI11" s="3388"/>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row>
    <row r="12" spans="1:119" s="699" customFormat="1" ht="12.75" customHeight="1">
      <c r="A12" s="664"/>
      <c r="B12" s="664"/>
      <c r="C12" s="669" t="s">
        <v>1769</v>
      </c>
      <c r="D12" s="752"/>
      <c r="E12" s="753" t="s">
        <v>714</v>
      </c>
      <c r="F12" s="754" t="s">
        <v>715</v>
      </c>
      <c r="G12" s="755" t="e">
        <f t="shared" ref="G12:Q12" si="9">+G38+G36</f>
        <v>#VALUE!</v>
      </c>
      <c r="H12" s="755" t="e">
        <f t="shared" si="9"/>
        <v>#VALUE!</v>
      </c>
      <c r="I12" s="755" t="e">
        <f t="shared" si="9"/>
        <v>#VALUE!</v>
      </c>
      <c r="J12" s="755" t="e">
        <f t="shared" si="9"/>
        <v>#VALUE!</v>
      </c>
      <c r="K12" s="755" t="e">
        <f t="shared" si="9"/>
        <v>#VALUE!</v>
      </c>
      <c r="L12" s="755">
        <f t="shared" si="9"/>
        <v>1676.75</v>
      </c>
      <c r="M12" s="755">
        <f t="shared" si="9"/>
        <v>1640.9</v>
      </c>
      <c r="N12" s="755">
        <f t="shared" si="9"/>
        <v>1634.93</v>
      </c>
      <c r="O12" s="755">
        <f t="shared" si="9"/>
        <v>1646.98</v>
      </c>
      <c r="P12" s="3494">
        <f t="shared" si="9"/>
        <v>1598.33</v>
      </c>
      <c r="Q12" s="3494">
        <f t="shared" si="9"/>
        <v>1567.75</v>
      </c>
      <c r="R12" s="3494">
        <f t="shared" ref="R12:W12" si="10">+R38+R36</f>
        <v>1519.24</v>
      </c>
      <c r="S12" s="3494">
        <f t="shared" si="10"/>
        <v>1518.24</v>
      </c>
      <c r="T12" s="3494">
        <f t="shared" si="10"/>
        <v>1517.02</v>
      </c>
      <c r="U12" s="3494">
        <f t="shared" si="10"/>
        <v>1529.32</v>
      </c>
      <c r="V12" s="3494">
        <f t="shared" si="10"/>
        <v>1517.76</v>
      </c>
      <c r="W12" s="3494">
        <f t="shared" si="10"/>
        <v>1481.6</v>
      </c>
      <c r="X12" s="3494">
        <f>+X38+X36</f>
        <v>1473</v>
      </c>
      <c r="Y12" s="3494">
        <f>+Y38+Y36</f>
        <v>1465.17</v>
      </c>
      <c r="Z12" s="3494">
        <f>+Z38+Z36</f>
        <v>1477.3</v>
      </c>
      <c r="AA12" s="3494">
        <f>+AA38+AA36</f>
        <v>1469.67</v>
      </c>
      <c r="AB12" s="3494">
        <f>+AB38+AB36</f>
        <v>1478.11</v>
      </c>
      <c r="AC12" s="2932">
        <f>+AB12*(1+AC18/100)</f>
        <v>1445.5915799999998</v>
      </c>
      <c r="AD12" s="2932">
        <f>+AC12*(1+AD18/100)</f>
        <v>1443.4231926299999</v>
      </c>
      <c r="AE12" s="2932">
        <f>+AD12*(1+AE18/100)</f>
        <v>1439.8948312410075</v>
      </c>
      <c r="AF12" s="3654"/>
      <c r="AG12" s="3750"/>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row>
    <row r="13" spans="1:119">
      <c r="A13" s="1130"/>
      <c r="Q13" s="599"/>
      <c r="R13" s="599"/>
      <c r="S13" s="2930"/>
      <c r="T13" s="2930"/>
      <c r="U13" s="2930"/>
      <c r="V13" s="2930"/>
      <c r="W13" s="2930"/>
      <c r="X13" s="2930"/>
      <c r="Y13" s="2930"/>
      <c r="Z13" s="2930"/>
      <c r="AA13" s="2930"/>
      <c r="AB13" s="2930"/>
      <c r="AC13" s="2930"/>
      <c r="AD13" s="2930"/>
      <c r="AE13" s="2930"/>
    </row>
    <row r="14" spans="1:119" s="699" customFormat="1" ht="12.75" customHeight="1">
      <c r="A14" s="664"/>
      <c r="B14" s="664"/>
      <c r="C14" s="666"/>
      <c r="D14" s="742"/>
      <c r="E14" s="743" t="s">
        <v>1311</v>
      </c>
      <c r="F14" s="744"/>
      <c r="G14" s="745">
        <f>+InputY!$G$3</f>
        <v>1995</v>
      </c>
      <c r="H14" s="745">
        <f>+G14+1</f>
        <v>1996</v>
      </c>
      <c r="I14" s="745">
        <f t="shared" ref="I14:O14" si="11">+H14+1</f>
        <v>1997</v>
      </c>
      <c r="J14" s="745">
        <f t="shared" si="11"/>
        <v>1998</v>
      </c>
      <c r="K14" s="745">
        <f t="shared" si="11"/>
        <v>1999</v>
      </c>
      <c r="L14" s="745">
        <f t="shared" si="11"/>
        <v>2000</v>
      </c>
      <c r="M14" s="745">
        <f t="shared" si="11"/>
        <v>2001</v>
      </c>
      <c r="N14" s="745">
        <f t="shared" si="11"/>
        <v>2002</v>
      </c>
      <c r="O14" s="745">
        <f t="shared" si="11"/>
        <v>2003</v>
      </c>
      <c r="P14" s="3495">
        <f t="shared" ref="P14:W14" si="12">+O14+1</f>
        <v>2004</v>
      </c>
      <c r="Q14" s="3495">
        <f t="shared" si="12"/>
        <v>2005</v>
      </c>
      <c r="R14" s="3495">
        <f t="shared" si="12"/>
        <v>2006</v>
      </c>
      <c r="S14" s="3495">
        <f t="shared" si="12"/>
        <v>2007</v>
      </c>
      <c r="T14" s="3496">
        <f t="shared" si="12"/>
        <v>2008</v>
      </c>
      <c r="U14" s="3496">
        <f t="shared" si="12"/>
        <v>2009</v>
      </c>
      <c r="V14" s="3496">
        <f t="shared" si="12"/>
        <v>2010</v>
      </c>
      <c r="W14" s="3496">
        <f t="shared" si="12"/>
        <v>2011</v>
      </c>
      <c r="X14" s="3496">
        <f t="shared" ref="X14:AE14" si="13">+W14+1</f>
        <v>2012</v>
      </c>
      <c r="Y14" s="3496">
        <f t="shared" si="13"/>
        <v>2013</v>
      </c>
      <c r="Z14" s="3496">
        <f t="shared" si="13"/>
        <v>2014</v>
      </c>
      <c r="AA14" s="3496">
        <f t="shared" si="13"/>
        <v>2015</v>
      </c>
      <c r="AB14" s="3496">
        <f t="shared" si="13"/>
        <v>2016</v>
      </c>
      <c r="AC14" s="3496">
        <f t="shared" si="13"/>
        <v>2017</v>
      </c>
      <c r="AD14" s="3496">
        <f t="shared" si="13"/>
        <v>2018</v>
      </c>
      <c r="AE14" s="3496">
        <f t="shared" si="13"/>
        <v>2019</v>
      </c>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row>
    <row r="15" spans="1:119" s="699" customFormat="1" ht="12.75" customHeight="1">
      <c r="A15" s="664"/>
      <c r="B15" s="664"/>
      <c r="C15" s="688"/>
      <c r="D15" s="689"/>
      <c r="E15" s="738" t="s">
        <v>1150</v>
      </c>
      <c r="F15" s="733" t="str">
        <f>+F5</f>
        <v>Lpop</v>
      </c>
      <c r="G15" s="734"/>
      <c r="H15" s="739">
        <f t="shared" ref="H15:AB15" si="14">(H5/G5-1)*100</f>
        <v>-0.75746021432577804</v>
      </c>
      <c r="I15" s="739">
        <f t="shared" si="14"/>
        <v>-0.73510129143543601</v>
      </c>
      <c r="J15" s="739">
        <f t="shared" si="14"/>
        <v>-0.7218184925500748</v>
      </c>
      <c r="K15" s="739">
        <f t="shared" si="14"/>
        <v>-0.7069923881430018</v>
      </c>
      <c r="L15" s="739">
        <f t="shared" si="14"/>
        <v>-0.70090338690284026</v>
      </c>
      <c r="M15" s="739">
        <f t="shared" si="14"/>
        <v>-0.82063736449632385</v>
      </c>
      <c r="N15" s="739">
        <f t="shared" si="14"/>
        <v>-0.79953786103706959</v>
      </c>
      <c r="O15" s="739">
        <f t="shared" si="14"/>
        <v>-0.80898803305308187</v>
      </c>
      <c r="P15" s="3497">
        <f t="shared" si="14"/>
        <v>-1.1167239056539047</v>
      </c>
      <c r="Q15" s="3497">
        <f t="shared" si="14"/>
        <v>-1.6152145888401304</v>
      </c>
      <c r="R15" s="3497">
        <f t="shared" si="14"/>
        <v>-1.583688923567983</v>
      </c>
      <c r="S15" s="3497">
        <f t="shared" si="14"/>
        <v>-1.1809197136678828</v>
      </c>
      <c r="T15" s="3497">
        <f t="shared" si="14"/>
        <v>-1.0232278461817401</v>
      </c>
      <c r="U15" s="3497">
        <f t="shared" si="14"/>
        <v>-1.1041887068489853</v>
      </c>
      <c r="V15" s="3497">
        <f t="shared" si="14"/>
        <v>-2.0751104360659633</v>
      </c>
      <c r="W15" s="3498">
        <f t="shared" si="14"/>
        <v>-2.2331676611945572</v>
      </c>
      <c r="X15" s="3498">
        <f t="shared" si="14"/>
        <v>-1.3322316576866555</v>
      </c>
      <c r="Y15" s="3498">
        <f t="shared" si="14"/>
        <v>-1.0069205391440406</v>
      </c>
      <c r="Z15" s="3497">
        <f t="shared" si="14"/>
        <v>-0.85612463922417614</v>
      </c>
      <c r="AA15" s="3497">
        <f t="shared" si="14"/>
        <v>-0.93634255193842941</v>
      </c>
      <c r="AB15" s="3497">
        <f t="shared" si="14"/>
        <v>-1.2626552974102312</v>
      </c>
      <c r="AC15" s="3429">
        <v>-1.3677768631606539</v>
      </c>
      <c r="AD15" s="3429">
        <v>-0.9</v>
      </c>
      <c r="AE15" s="3429">
        <v>-0.7</v>
      </c>
      <c r="AF15" s="3653"/>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row>
    <row r="16" spans="1:119">
      <c r="A16" s="1130"/>
      <c r="C16" s="690"/>
      <c r="D16" s="691"/>
      <c r="E16" s="735" t="s">
        <v>2134</v>
      </c>
      <c r="F16" s="736" t="str">
        <f>+F7</f>
        <v>Lage</v>
      </c>
      <c r="G16" s="737"/>
      <c r="H16" s="741">
        <f t="shared" ref="H16:W16" si="15">(H7/G7-1)*100</f>
        <v>-0.83749379198578833</v>
      </c>
      <c r="I16" s="741">
        <f t="shared" si="15"/>
        <v>-0.79330250997716734</v>
      </c>
      <c r="J16" s="741">
        <f t="shared" si="15"/>
        <v>-0.68596666649660687</v>
      </c>
      <c r="K16" s="741">
        <f t="shared" si="15"/>
        <v>-0.50366156305883258</v>
      </c>
      <c r="L16" s="741">
        <f t="shared" si="15"/>
        <v>-0.29615030418488342</v>
      </c>
      <c r="M16" s="741">
        <f t="shared" si="15"/>
        <v>-0.44557730222490877</v>
      </c>
      <c r="N16" s="741">
        <f t="shared" si="15"/>
        <v>-0.46685972146189858</v>
      </c>
      <c r="O16" s="741">
        <f t="shared" si="15"/>
        <v>-0.49972869942073173</v>
      </c>
      <c r="P16" s="3499">
        <f t="shared" si="15"/>
        <v>-0.9498350125313415</v>
      </c>
      <c r="Q16" s="3499">
        <f t="shared" si="15"/>
        <v>-1.4784585147898932</v>
      </c>
      <c r="R16" s="3499">
        <f t="shared" si="15"/>
        <v>-1.3967075509438875</v>
      </c>
      <c r="S16" s="3499">
        <f t="shared" si="15"/>
        <v>-0.90609081239564349</v>
      </c>
      <c r="T16" s="3499">
        <f t="shared" si="15"/>
        <v>-0.77481663483875973</v>
      </c>
      <c r="U16" s="3499">
        <f t="shared" si="15"/>
        <v>-0.97267786862951233</v>
      </c>
      <c r="V16" s="3499">
        <f t="shared" si="15"/>
        <v>-2.3722671210896107</v>
      </c>
      <c r="W16" s="3499">
        <f t="shared" si="15"/>
        <v>-2.6506816181990689</v>
      </c>
      <c r="X16" s="3499">
        <f>(X7/W7-1)*100</f>
        <v>-1.4679377062797538</v>
      </c>
      <c r="Y16" s="3499">
        <f>(Y7/X7-1)*100</f>
        <v>-1.1373834046079057</v>
      </c>
      <c r="Z16" s="3499">
        <f>(Z7/Y7-1)*100</f>
        <v>-1.1213045338586247</v>
      </c>
      <c r="AA16" s="3499">
        <f>(AA7/Z7-1)*100</f>
        <v>-1.3869972673900888</v>
      </c>
      <c r="AB16" s="3499">
        <f>(AB7/AA7-1)*100</f>
        <v>-1.8913476408219498</v>
      </c>
      <c r="AC16" s="3430">
        <v>-2.1379694287961937</v>
      </c>
      <c r="AD16" s="3430">
        <v>-1.9</v>
      </c>
      <c r="AE16" s="3430">
        <v>-1.8</v>
      </c>
      <c r="AF16" s="3653"/>
    </row>
    <row r="17" spans="1:119">
      <c r="A17" s="1130"/>
      <c r="C17" s="690"/>
      <c r="D17" s="691"/>
      <c r="E17" s="735" t="s">
        <v>2136</v>
      </c>
      <c r="F17" s="736"/>
      <c r="G17" s="737"/>
      <c r="H17" s="741">
        <f>(H10/G10-1)*100</f>
        <v>-0.49565740506161138</v>
      </c>
      <c r="I17" s="741">
        <f t="shared" ref="I17:AB17" si="16">(I10/H10-1)*100</f>
        <v>-0.50608878408108238</v>
      </c>
      <c r="J17" s="741">
        <f t="shared" si="16"/>
        <v>-0.46510857178150289</v>
      </c>
      <c r="K17" s="741">
        <f t="shared" si="16"/>
        <v>-0.40051926942077376</v>
      </c>
      <c r="L17" s="741">
        <f t="shared" si="16"/>
        <v>-0.24445758432979359</v>
      </c>
      <c r="M17" s="741">
        <f t="shared" si="16"/>
        <v>-0.25804255150615463</v>
      </c>
      <c r="N17" s="741">
        <f t="shared" si="16"/>
        <v>-0.25256309543468802</v>
      </c>
      <c r="O17" s="741">
        <f t="shared" si="16"/>
        <v>-0.38455024004485638</v>
      </c>
      <c r="P17" s="3499">
        <f t="shared" si="16"/>
        <v>-0.83389497580389493</v>
      </c>
      <c r="Q17" s="3499">
        <f t="shared" si="16"/>
        <v>-1.3712306027935717</v>
      </c>
      <c r="R17" s="3499">
        <f t="shared" si="16"/>
        <v>-1.3078910526871046</v>
      </c>
      <c r="S17" s="3499">
        <f t="shared" si="16"/>
        <v>-0.8621058558670458</v>
      </c>
      <c r="T17" s="3499">
        <f t="shared" si="16"/>
        <v>-0.80451404817809546</v>
      </c>
      <c r="U17" s="3499">
        <f t="shared" si="16"/>
        <v>-1.0815607035508101</v>
      </c>
      <c r="V17" s="3499">
        <f t="shared" si="16"/>
        <v>-2.3214254657654365</v>
      </c>
      <c r="W17" s="3499">
        <f t="shared" si="16"/>
        <v>-2.5950538005600321</v>
      </c>
      <c r="X17" s="3499">
        <f t="shared" si="16"/>
        <v>-1.5981145976746047</v>
      </c>
      <c r="Y17" s="3499">
        <f t="shared" si="16"/>
        <v>-1.2120035954926611</v>
      </c>
      <c r="Z17" s="3499">
        <f t="shared" si="16"/>
        <v>-1.0505343595549888</v>
      </c>
      <c r="AA17" s="3499">
        <f t="shared" si="16"/>
        <v>-1.2125557594554026</v>
      </c>
      <c r="AB17" s="3499">
        <f t="shared" si="16"/>
        <v>-1.6930671132084352</v>
      </c>
      <c r="AC17" s="3430">
        <v>-1.9048101405700957</v>
      </c>
      <c r="AD17" s="3430">
        <v>-1.6</v>
      </c>
      <c r="AE17" s="3430">
        <v>-1.6</v>
      </c>
      <c r="AF17" s="3653"/>
    </row>
    <row r="18" spans="1:119" s="699" customFormat="1" ht="12.75" customHeight="1">
      <c r="A18" s="664"/>
      <c r="B18" s="664"/>
      <c r="C18" s="666"/>
      <c r="D18" s="717"/>
      <c r="E18" s="722" t="s">
        <v>714</v>
      </c>
      <c r="F18" s="723" t="str">
        <f>+F12</f>
        <v>L</v>
      </c>
      <c r="G18" s="721"/>
      <c r="H18" s="721" t="e">
        <f t="shared" ref="H18:AA18" si="17">(H12/G12-1)*100</f>
        <v>#VALUE!</v>
      </c>
      <c r="I18" s="721" t="e">
        <f t="shared" si="17"/>
        <v>#VALUE!</v>
      </c>
      <c r="J18" s="721" t="e">
        <f t="shared" si="17"/>
        <v>#VALUE!</v>
      </c>
      <c r="K18" s="721" t="e">
        <f t="shared" si="17"/>
        <v>#VALUE!</v>
      </c>
      <c r="L18" s="721" t="e">
        <f t="shared" si="17"/>
        <v>#VALUE!</v>
      </c>
      <c r="M18" s="721">
        <f t="shared" si="17"/>
        <v>-2.1380647085134874</v>
      </c>
      <c r="N18" s="721">
        <f t="shared" si="17"/>
        <v>-0.36382473033091944</v>
      </c>
      <c r="O18" s="721">
        <f t="shared" si="17"/>
        <v>0.73703461310270502</v>
      </c>
      <c r="P18" s="3500">
        <f t="shared" si="17"/>
        <v>-2.9538913648010312</v>
      </c>
      <c r="Q18" s="3500">
        <f t="shared" si="17"/>
        <v>-1.9132469515056316</v>
      </c>
      <c r="R18" s="3500">
        <f t="shared" si="17"/>
        <v>-3.0942433423696403</v>
      </c>
      <c r="S18" s="3500">
        <f t="shared" si="17"/>
        <v>-6.5822384876645934E-2</v>
      </c>
      <c r="T18" s="3500">
        <f t="shared" si="17"/>
        <v>-8.0356201918008185E-2</v>
      </c>
      <c r="U18" s="3500">
        <f t="shared" si="17"/>
        <v>0.81080012129042256</v>
      </c>
      <c r="V18" s="3500">
        <f t="shared" si="17"/>
        <v>-0.75589150733659238</v>
      </c>
      <c r="W18" s="3500">
        <f t="shared" si="17"/>
        <v>-2.3824583596879667</v>
      </c>
      <c r="X18" s="3500">
        <f t="shared" si="17"/>
        <v>-0.58045356371489998</v>
      </c>
      <c r="Y18" s="3500">
        <f t="shared" si="17"/>
        <v>-0.53156822810590532</v>
      </c>
      <c r="Z18" s="3500">
        <f t="shared" si="17"/>
        <v>0.82789027894372147</v>
      </c>
      <c r="AA18" s="3500">
        <f t="shared" si="17"/>
        <v>-0.51648277262572595</v>
      </c>
      <c r="AB18" s="3500">
        <f>(AB12/AA12-1)*100</f>
        <v>0.57427857954506223</v>
      </c>
      <c r="AC18" s="3431">
        <v>-2.2000000000000002</v>
      </c>
      <c r="AD18" s="3431">
        <v>-0.15</v>
      </c>
      <c r="AE18" s="3431">
        <v>-0.24444399999999999</v>
      </c>
      <c r="AF18" s="3654"/>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row>
    <row r="19" spans="1:119">
      <c r="A19" s="1130"/>
      <c r="Q19" s="599"/>
      <c r="R19" s="599"/>
      <c r="S19" s="2930"/>
      <c r="T19" s="2930"/>
      <c r="U19" s="2930"/>
      <c r="V19" s="2930"/>
      <c r="W19" s="2930"/>
      <c r="X19" s="2930"/>
      <c r="Y19" s="2930"/>
      <c r="Z19" s="2930"/>
      <c r="AA19" s="2930"/>
      <c r="AB19" s="2930"/>
      <c r="AC19" s="3664"/>
      <c r="AD19" s="2930"/>
      <c r="AE19" s="2930"/>
    </row>
    <row r="20" spans="1:119" s="699" customFormat="1" ht="12.75" customHeight="1">
      <c r="A20" s="664"/>
      <c r="B20" s="664"/>
      <c r="C20" s="666"/>
      <c r="D20" s="858"/>
      <c r="E20" s="859" t="s">
        <v>971</v>
      </c>
      <c r="F20" s="860"/>
      <c r="G20" s="861">
        <f>+InputY!$G$3</f>
        <v>1995</v>
      </c>
      <c r="H20" s="861">
        <f>+G20+1</f>
        <v>1996</v>
      </c>
      <c r="I20" s="861">
        <f t="shared" ref="I20:O20" si="18">+H20+1</f>
        <v>1997</v>
      </c>
      <c r="J20" s="861">
        <f t="shared" si="18"/>
        <v>1998</v>
      </c>
      <c r="K20" s="861">
        <f t="shared" si="18"/>
        <v>1999</v>
      </c>
      <c r="L20" s="861">
        <f t="shared" si="18"/>
        <v>2000</v>
      </c>
      <c r="M20" s="861">
        <f t="shared" si="18"/>
        <v>2001</v>
      </c>
      <c r="N20" s="861">
        <f t="shared" si="18"/>
        <v>2002</v>
      </c>
      <c r="O20" s="861">
        <f t="shared" si="18"/>
        <v>2003</v>
      </c>
      <c r="P20" s="3501">
        <f t="shared" ref="P20:W20" si="19">+O20+1</f>
        <v>2004</v>
      </c>
      <c r="Q20" s="3501">
        <f t="shared" si="19"/>
        <v>2005</v>
      </c>
      <c r="R20" s="3501">
        <f t="shared" si="19"/>
        <v>2006</v>
      </c>
      <c r="S20" s="3501">
        <f t="shared" si="19"/>
        <v>2007</v>
      </c>
      <c r="T20" s="3502">
        <f t="shared" si="19"/>
        <v>2008</v>
      </c>
      <c r="U20" s="3502">
        <f t="shared" si="19"/>
        <v>2009</v>
      </c>
      <c r="V20" s="3502">
        <f t="shared" si="19"/>
        <v>2010</v>
      </c>
      <c r="W20" s="3502">
        <f t="shared" si="19"/>
        <v>2011</v>
      </c>
      <c r="X20" s="3502">
        <f t="shared" ref="X20:AE20" si="20">+W20+1</f>
        <v>2012</v>
      </c>
      <c r="Y20" s="3502">
        <f t="shared" si="20"/>
        <v>2013</v>
      </c>
      <c r="Z20" s="3502">
        <f t="shared" si="20"/>
        <v>2014</v>
      </c>
      <c r="AA20" s="3502">
        <f t="shared" si="20"/>
        <v>2015</v>
      </c>
      <c r="AB20" s="3502">
        <f t="shared" si="20"/>
        <v>2016</v>
      </c>
      <c r="AC20" s="3502">
        <f t="shared" si="20"/>
        <v>2017</v>
      </c>
      <c r="AD20" s="3502">
        <f t="shared" si="20"/>
        <v>2018</v>
      </c>
      <c r="AE20" s="3502">
        <f t="shared" si="20"/>
        <v>2019</v>
      </c>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row>
    <row r="21" spans="1:119" s="699" customFormat="1" ht="12.75" customHeight="1">
      <c r="A21" s="664"/>
      <c r="B21" s="664"/>
      <c r="C21" s="862"/>
      <c r="D21" s="863"/>
      <c r="E21" s="864" t="s">
        <v>1150</v>
      </c>
      <c r="F21" s="865" t="str">
        <f>+F5</f>
        <v>Lpop</v>
      </c>
      <c r="G21" s="866"/>
      <c r="H21" s="866">
        <f t="shared" ref="H21:AE21" si="21">+H5-G5</f>
        <v>-27.489000000000033</v>
      </c>
      <c r="I21" s="866">
        <f t="shared" si="21"/>
        <v>-26.475500000000011</v>
      </c>
      <c r="J21" s="866">
        <f t="shared" si="21"/>
        <v>-25.80600000000004</v>
      </c>
      <c r="K21" s="866">
        <f t="shared" si="21"/>
        <v>-25.093499999999949</v>
      </c>
      <c r="L21" s="866">
        <f t="shared" si="21"/>
        <v>-24.701500000000124</v>
      </c>
      <c r="M21" s="866">
        <f t="shared" si="21"/>
        <v>-28.718499999999949</v>
      </c>
      <c r="N21" s="866">
        <f t="shared" si="21"/>
        <v>-27.750500000000102</v>
      </c>
      <c r="O21" s="866">
        <f t="shared" si="21"/>
        <v>-27.853999999999814</v>
      </c>
      <c r="P21" s="3503">
        <f t="shared" si="21"/>
        <v>-38.138500000000022</v>
      </c>
      <c r="Q21" s="3503">
        <f t="shared" si="21"/>
        <v>-54.547000000000025</v>
      </c>
      <c r="R21" s="3503">
        <f t="shared" si="21"/>
        <v>-52.61850000000004</v>
      </c>
      <c r="S21" s="3503">
        <f t="shared" si="21"/>
        <v>-38.615000000000236</v>
      </c>
      <c r="T21" s="3503">
        <f t="shared" si="21"/>
        <v>-33.063499999999749</v>
      </c>
      <c r="U21" s="3503">
        <f t="shared" si="21"/>
        <v>-35.314499999999953</v>
      </c>
      <c r="V21" s="3503">
        <f t="shared" si="21"/>
        <v>-65.634000000000015</v>
      </c>
      <c r="W21" s="3503">
        <f t="shared" si="21"/>
        <v>-69.167500000000018</v>
      </c>
      <c r="X21" s="3503">
        <f t="shared" si="21"/>
        <v>-40.341499999999996</v>
      </c>
      <c r="Y21" s="3503">
        <f t="shared" si="21"/>
        <v>-30.084499999999935</v>
      </c>
      <c r="Z21" s="3652">
        <f t="shared" si="21"/>
        <v>-25.321500000000015</v>
      </c>
      <c r="AA21" s="3652">
        <f t="shared" si="21"/>
        <v>-27.457000000000335</v>
      </c>
      <c r="AB21" s="3652">
        <f t="shared" si="21"/>
        <v>-36.678999999999633</v>
      </c>
      <c r="AC21" s="2940">
        <f t="shared" si="21"/>
        <v>-39.231000000001586</v>
      </c>
      <c r="AD21" s="2940">
        <f t="shared" si="21"/>
        <v>-25.460999999999785</v>
      </c>
      <c r="AE21" s="2940">
        <f t="shared" si="21"/>
        <v>-19.624773000000005</v>
      </c>
      <c r="AF21" s="3653"/>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row>
    <row r="22" spans="1:119">
      <c r="A22" s="1130"/>
      <c r="C22" s="867"/>
      <c r="D22" s="868"/>
      <c r="E22" s="869" t="s">
        <v>2134</v>
      </c>
      <c r="F22" s="870" t="str">
        <f>+F7</f>
        <v>Lage</v>
      </c>
      <c r="G22" s="871"/>
      <c r="H22" s="871">
        <f t="shared" ref="H22:AE22" si="22">+H7-G7</f>
        <v>-20.025000000000091</v>
      </c>
      <c r="I22" s="871">
        <f t="shared" si="22"/>
        <v>-18.809499999999844</v>
      </c>
      <c r="J22" s="871">
        <f t="shared" si="22"/>
        <v>-16.135499999999865</v>
      </c>
      <c r="K22" s="871">
        <f t="shared" si="22"/>
        <v>-11.766000000000076</v>
      </c>
      <c r="L22" s="871">
        <f t="shared" si="22"/>
        <v>-6.8834999999999127</v>
      </c>
      <c r="M22" s="871">
        <f t="shared" si="22"/>
        <v>-10.326000000000022</v>
      </c>
      <c r="N22" s="871">
        <f t="shared" si="22"/>
        <v>-10.771000000000186</v>
      </c>
      <c r="O22" s="871">
        <f t="shared" si="22"/>
        <v>-11.475500000000011</v>
      </c>
      <c r="P22" s="3504">
        <f t="shared" si="22"/>
        <v>-21.702499999999873</v>
      </c>
      <c r="Q22" s="3504">
        <f t="shared" si="22"/>
        <v>-33.460000000000036</v>
      </c>
      <c r="R22" s="3504">
        <f t="shared" si="22"/>
        <v>-31.142499999999927</v>
      </c>
      <c r="S22" s="3504">
        <f t="shared" si="22"/>
        <v>-19.921000000000276</v>
      </c>
      <c r="T22" s="3504">
        <f t="shared" si="22"/>
        <v>-16.880499999999756</v>
      </c>
      <c r="U22" s="3504">
        <f t="shared" si="22"/>
        <v>-21.027000000000044</v>
      </c>
      <c r="V22" s="3504">
        <f t="shared" si="22"/>
        <v>-50.784000000000106</v>
      </c>
      <c r="W22" s="3504">
        <f t="shared" si="22"/>
        <v>-55.397999999999911</v>
      </c>
      <c r="X22" s="3504">
        <f t="shared" si="22"/>
        <v>-29.865999999999985</v>
      </c>
      <c r="Y22" s="3504">
        <f t="shared" si="22"/>
        <v>-22.801000000000158</v>
      </c>
      <c r="Z22" s="3504">
        <f t="shared" si="22"/>
        <v>-22.222999999999956</v>
      </c>
      <c r="AA22" s="3504">
        <f t="shared" si="22"/>
        <v>-27.180499999999938</v>
      </c>
      <c r="AB22" s="3504">
        <f t="shared" si="22"/>
        <v>-36.549999999999955</v>
      </c>
      <c r="AC22" s="2941">
        <f t="shared" si="22"/>
        <v>-40.53449999999998</v>
      </c>
      <c r="AD22" s="2941">
        <f t="shared" si="22"/>
        <v>-35.252600000000029</v>
      </c>
      <c r="AE22" s="2941">
        <f t="shared" si="22"/>
        <v>-32.762653199999932</v>
      </c>
      <c r="AF22" s="3653"/>
    </row>
    <row r="23" spans="1:119">
      <c r="A23" s="1130"/>
      <c r="C23" s="867"/>
      <c r="D23" s="868"/>
      <c r="E23" s="869" t="s">
        <v>2136</v>
      </c>
      <c r="F23" s="870"/>
      <c r="G23" s="871"/>
      <c r="H23" s="871">
        <f>+H10-G10</f>
        <v>-13.294000000000324</v>
      </c>
      <c r="I23" s="871">
        <f t="shared" ref="I23:AE23" si="23">+I10-H10</f>
        <v>-13.50649999999996</v>
      </c>
      <c r="J23" s="871">
        <f t="shared" si="23"/>
        <v>-12.349999999999909</v>
      </c>
      <c r="K23" s="871">
        <f t="shared" si="23"/>
        <v>-10.585500000000138</v>
      </c>
      <c r="L23" s="871">
        <f t="shared" si="23"/>
        <v>-6.4349999999999454</v>
      </c>
      <c r="M23" s="871">
        <f t="shared" si="23"/>
        <v>-6.7759999999998399</v>
      </c>
      <c r="N23" s="871">
        <f t="shared" si="23"/>
        <v>-6.6150000000002365</v>
      </c>
      <c r="O23" s="871">
        <f t="shared" si="23"/>
        <v>-10.046499999999924</v>
      </c>
      <c r="P23" s="3504">
        <f t="shared" si="23"/>
        <v>-21.701999999999771</v>
      </c>
      <c r="Q23" s="3504">
        <f t="shared" si="23"/>
        <v>-35.388500000000022</v>
      </c>
      <c r="R23" s="3504">
        <f t="shared" si="23"/>
        <v>-33.291000000000167</v>
      </c>
      <c r="S23" s="3504">
        <f t="shared" si="23"/>
        <v>-21.656999999999698</v>
      </c>
      <c r="T23" s="3504">
        <f t="shared" si="23"/>
        <v>-20.036000000000058</v>
      </c>
      <c r="U23" s="3504">
        <f t="shared" si="23"/>
        <v>-26.719000000000051</v>
      </c>
      <c r="V23" s="3504">
        <f t="shared" si="23"/>
        <v>-56.728500000000167</v>
      </c>
      <c r="W23" s="3504">
        <f t="shared" si="23"/>
        <v>-61.942999999999756</v>
      </c>
      <c r="X23" s="3504">
        <f t="shared" si="23"/>
        <v>-37.156500000000051</v>
      </c>
      <c r="Y23" s="3504">
        <f t="shared" si="23"/>
        <v>-27.729000000000269</v>
      </c>
      <c r="Z23" s="3504">
        <f t="shared" si="23"/>
        <v>-23.74350000000004</v>
      </c>
      <c r="AA23" s="3504">
        <f t="shared" si="23"/>
        <v>-27.117499999999836</v>
      </c>
      <c r="AB23" s="3504">
        <f t="shared" si="23"/>
        <v>-37.404500000000098</v>
      </c>
      <c r="AC23" s="2941">
        <f t="shared" si="23"/>
        <v>-41.369999999999436</v>
      </c>
      <c r="AD23" s="2941">
        <f t="shared" si="23"/>
        <v>-34.088000000000193</v>
      </c>
      <c r="AE23" s="2941">
        <f t="shared" si="23"/>
        <v>-33.542592000000241</v>
      </c>
      <c r="AF23" s="3653"/>
    </row>
    <row r="24" spans="1:119" s="699" customFormat="1" ht="12.75" customHeight="1">
      <c r="A24" s="664"/>
      <c r="B24" s="664"/>
      <c r="C24" s="666"/>
      <c r="D24" s="806"/>
      <c r="E24" s="807" t="s">
        <v>714</v>
      </c>
      <c r="F24" s="808" t="str">
        <f>+F12</f>
        <v>L</v>
      </c>
      <c r="G24" s="809"/>
      <c r="H24" s="857" t="e">
        <f t="shared" ref="H24:AE24" si="24">+H12-G12</f>
        <v>#VALUE!</v>
      </c>
      <c r="I24" s="857" t="e">
        <f t="shared" si="24"/>
        <v>#VALUE!</v>
      </c>
      <c r="J24" s="857" t="e">
        <f t="shared" si="24"/>
        <v>#VALUE!</v>
      </c>
      <c r="K24" s="857" t="e">
        <f t="shared" si="24"/>
        <v>#VALUE!</v>
      </c>
      <c r="L24" s="857" t="e">
        <f t="shared" si="24"/>
        <v>#VALUE!</v>
      </c>
      <c r="M24" s="857">
        <f t="shared" si="24"/>
        <v>-35.849999999999909</v>
      </c>
      <c r="N24" s="857">
        <f t="shared" si="24"/>
        <v>-5.9700000000000273</v>
      </c>
      <c r="O24" s="857">
        <f t="shared" si="24"/>
        <v>12.049999999999955</v>
      </c>
      <c r="P24" s="3505">
        <f t="shared" si="24"/>
        <v>-48.650000000000091</v>
      </c>
      <c r="Q24" s="3505">
        <f t="shared" si="24"/>
        <v>-30.579999999999927</v>
      </c>
      <c r="R24" s="3505">
        <f t="shared" si="24"/>
        <v>-48.509999999999991</v>
      </c>
      <c r="S24" s="3505">
        <f t="shared" si="24"/>
        <v>-1</v>
      </c>
      <c r="T24" s="2283">
        <f t="shared" si="24"/>
        <v>-1.2200000000000273</v>
      </c>
      <c r="U24" s="2283">
        <f t="shared" si="24"/>
        <v>12.299999999999955</v>
      </c>
      <c r="V24" s="2283">
        <f t="shared" si="24"/>
        <v>-11.559999999999945</v>
      </c>
      <c r="W24" s="2283">
        <f t="shared" si="24"/>
        <v>-36.160000000000082</v>
      </c>
      <c r="X24" s="2283">
        <f t="shared" si="24"/>
        <v>-8.5999999999999091</v>
      </c>
      <c r="Y24" s="2283">
        <f t="shared" si="24"/>
        <v>-7.8299999999999272</v>
      </c>
      <c r="Z24" s="2283">
        <f t="shared" si="24"/>
        <v>12.129999999999882</v>
      </c>
      <c r="AA24" s="2283">
        <f t="shared" si="24"/>
        <v>-7.6299999999998818</v>
      </c>
      <c r="AB24" s="2283">
        <f t="shared" si="24"/>
        <v>8.4399999999998272</v>
      </c>
      <c r="AC24" s="2283">
        <f t="shared" si="24"/>
        <v>-32.518420000000106</v>
      </c>
      <c r="AD24" s="2283">
        <f t="shared" si="24"/>
        <v>-2.1683873699998912</v>
      </c>
      <c r="AE24" s="2283">
        <f t="shared" si="24"/>
        <v>-3.5283613889923799</v>
      </c>
      <c r="AF24" s="3653"/>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row>
    <row r="25" spans="1:119" ht="30" customHeight="1">
      <c r="A25" s="1130"/>
      <c r="S25" s="2930"/>
      <c r="T25" s="2930"/>
      <c r="U25" s="2930"/>
      <c r="V25" s="2930"/>
      <c r="W25" s="2930"/>
      <c r="X25" s="3147"/>
      <c r="Y25" s="2930"/>
      <c r="Z25" s="2930"/>
      <c r="AA25" s="2930"/>
      <c r="AB25" s="2930"/>
      <c r="AC25" s="2930"/>
      <c r="AD25" s="2930"/>
      <c r="AE25" s="2930"/>
    </row>
    <row r="26" spans="1:119" ht="30" customHeight="1">
      <c r="A26" s="1130"/>
      <c r="S26" s="2930"/>
      <c r="T26" s="2930"/>
      <c r="U26" s="2930"/>
      <c r="V26" s="2930"/>
      <c r="W26" s="3487"/>
      <c r="X26" s="3147"/>
      <c r="Y26" s="2930"/>
      <c r="Z26" s="3147"/>
      <c r="AA26" s="2930"/>
      <c r="AB26" s="2930"/>
      <c r="AC26" s="2930"/>
      <c r="AD26" s="2930"/>
      <c r="AE26" s="2930"/>
    </row>
    <row r="27" spans="1:119" ht="22.5" customHeight="1">
      <c r="A27" s="1130"/>
      <c r="C27" s="3751" t="s">
        <v>965</v>
      </c>
      <c r="D27" s="3751"/>
      <c r="E27" s="3751"/>
      <c r="F27" s="3751"/>
      <c r="S27" s="3147"/>
      <c r="T27" s="3147"/>
      <c r="U27" s="3147"/>
      <c r="V27" s="2930"/>
      <c r="W27" s="2930">
        <f t="shared" ref="W27:X27" si="25">W30/W31</f>
        <v>4.2910190390702514</v>
      </c>
      <c r="X27" s="2930">
        <f t="shared" si="25"/>
        <v>4.4737629736905626</v>
      </c>
      <c r="Y27" s="2930">
        <f>Y30/Y31</f>
        <v>4.5578854969277289</v>
      </c>
      <c r="Z27" s="2930">
        <f>Z30/Z31</f>
        <v>4.5915608555013767</v>
      </c>
      <c r="AA27" s="2930">
        <f>AA30/AA31</f>
        <v>4.482723101413991</v>
      </c>
      <c r="AB27" s="2930">
        <f>AB30/AB31</f>
        <v>4.4496049687171757</v>
      </c>
      <c r="AC27" s="2930">
        <f>AC30/AC31</f>
        <v>4.5427906976744197</v>
      </c>
      <c r="AD27" s="3488">
        <f>AC32-AC31</f>
        <v>976.7</v>
      </c>
      <c r="AE27" s="2930"/>
    </row>
    <row r="28" spans="1:119">
      <c r="A28" s="1130"/>
      <c r="Q28" s="599"/>
      <c r="R28" s="599"/>
      <c r="S28" s="599"/>
      <c r="T28" s="599"/>
      <c r="U28" s="599"/>
      <c r="V28" s="599"/>
      <c r="W28" s="599"/>
      <c r="X28" s="599"/>
      <c r="Y28" s="599"/>
      <c r="Z28" s="599"/>
      <c r="AA28" s="599"/>
      <c r="AB28" s="599"/>
      <c r="AC28" s="3666">
        <f>AC36/AB36-1</f>
        <v>-4.6912510737017188E-3</v>
      </c>
      <c r="AD28" s="3666">
        <f t="shared" ref="AD28:AE28" si="26">AD36/AC36-1</f>
        <v>-5.4332365908232871E-3</v>
      </c>
      <c r="AE28" s="3666">
        <f t="shared" si="26"/>
        <v>-3.0321226620059205E-3</v>
      </c>
    </row>
    <row r="29" spans="1:119" s="699" customFormat="1" ht="12.75" customHeight="1">
      <c r="A29" s="664"/>
      <c r="B29" s="664"/>
      <c r="C29" s="666"/>
      <c r="D29" s="695"/>
      <c r="E29" s="696" t="s">
        <v>969</v>
      </c>
      <c r="F29" s="697"/>
      <c r="G29" s="698">
        <f>+InputY!$G$3</f>
        <v>1995</v>
      </c>
      <c r="H29" s="698">
        <f>+G29+1</f>
        <v>1996</v>
      </c>
      <c r="I29" s="698">
        <f t="shared" ref="I29:O29" si="27">+H29+1</f>
        <v>1997</v>
      </c>
      <c r="J29" s="698">
        <f t="shared" si="27"/>
        <v>1998</v>
      </c>
      <c r="K29" s="698">
        <f t="shared" si="27"/>
        <v>1999</v>
      </c>
      <c r="L29" s="698">
        <f t="shared" si="27"/>
        <v>2000</v>
      </c>
      <c r="M29" s="698">
        <f t="shared" si="27"/>
        <v>2001</v>
      </c>
      <c r="N29" s="698">
        <f t="shared" si="27"/>
        <v>2002</v>
      </c>
      <c r="O29" s="698">
        <f t="shared" si="27"/>
        <v>2003</v>
      </c>
      <c r="P29" s="3490">
        <f t="shared" ref="P29:V29" si="28">+O29+1</f>
        <v>2004</v>
      </c>
      <c r="Q29" s="3490">
        <f t="shared" si="28"/>
        <v>2005</v>
      </c>
      <c r="R29" s="3490">
        <f t="shared" si="28"/>
        <v>2006</v>
      </c>
      <c r="S29" s="3490">
        <f t="shared" si="28"/>
        <v>2007</v>
      </c>
      <c r="T29" s="3491">
        <f t="shared" si="28"/>
        <v>2008</v>
      </c>
      <c r="U29" s="3491">
        <f t="shared" si="28"/>
        <v>2009</v>
      </c>
      <c r="V29" s="3491">
        <f t="shared" si="28"/>
        <v>2010</v>
      </c>
      <c r="W29" s="3491">
        <f t="shared" ref="W29:AE29" si="29">+V29+1</f>
        <v>2011</v>
      </c>
      <c r="X29" s="3491">
        <f t="shared" si="29"/>
        <v>2012</v>
      </c>
      <c r="Y29" s="3491">
        <f t="shared" si="29"/>
        <v>2013</v>
      </c>
      <c r="Z29" s="3491">
        <f t="shared" si="29"/>
        <v>2014</v>
      </c>
      <c r="AA29" s="3491">
        <f t="shared" si="29"/>
        <v>2015</v>
      </c>
      <c r="AB29" s="3491">
        <f t="shared" si="29"/>
        <v>2016</v>
      </c>
      <c r="AC29" s="3491">
        <f t="shared" si="29"/>
        <v>2017</v>
      </c>
      <c r="AD29" s="3491">
        <f t="shared" si="29"/>
        <v>2018</v>
      </c>
      <c r="AE29" s="3491">
        <f t="shared" si="29"/>
        <v>2019</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row>
    <row r="30" spans="1:119">
      <c r="A30" s="1130"/>
      <c r="C30" s="985" t="s">
        <v>1767</v>
      </c>
      <c r="D30" s="773"/>
      <c r="E30" s="986" t="s">
        <v>733</v>
      </c>
      <c r="F30" s="3655" t="s">
        <v>1709</v>
      </c>
      <c r="G30" s="889" t="e">
        <f>+G32-G31</f>
        <v>#VALUE!</v>
      </c>
      <c r="H30" s="889" t="e">
        <f t="shared" ref="H30:P30" si="30">+H32-H31</f>
        <v>#VALUE!</v>
      </c>
      <c r="I30" s="889" t="e">
        <f t="shared" si="30"/>
        <v>#VALUE!</v>
      </c>
      <c r="J30" s="889" t="e">
        <f t="shared" si="30"/>
        <v>#VALUE!</v>
      </c>
      <c r="K30" s="889" t="e">
        <f t="shared" si="30"/>
        <v>#VALUE!</v>
      </c>
      <c r="L30" s="889">
        <f t="shared" si="30"/>
        <v>884.7399999999999</v>
      </c>
      <c r="M30" s="889">
        <f t="shared" si="30"/>
        <v>843.92000000000007</v>
      </c>
      <c r="N30" s="889">
        <f t="shared" si="30"/>
        <v>885.85000000000014</v>
      </c>
      <c r="O30" s="889">
        <f t="shared" si="30"/>
        <v>916.56</v>
      </c>
      <c r="P30" s="3506">
        <f t="shared" si="30"/>
        <v>920.2</v>
      </c>
      <c r="Q30" s="3506">
        <f t="shared" ref="Q30:V30" si="31">+Q32-Q31</f>
        <v>948.71999999999991</v>
      </c>
      <c r="R30" s="3506">
        <f t="shared" si="31"/>
        <v>977.57999999999993</v>
      </c>
      <c r="S30" s="3506">
        <f t="shared" si="31"/>
        <v>1009.4200000000001</v>
      </c>
      <c r="T30" s="3506">
        <f t="shared" si="31"/>
        <v>1035.45</v>
      </c>
      <c r="U30" s="3506">
        <f t="shared" si="31"/>
        <v>937.37</v>
      </c>
      <c r="V30" s="3506">
        <f t="shared" si="31"/>
        <v>896.20999999999992</v>
      </c>
      <c r="W30" s="3506">
        <f t="shared" ref="W30:AB30" si="32">+W32-W31</f>
        <v>908.28000000000009</v>
      </c>
      <c r="X30" s="3506">
        <f t="shared" si="32"/>
        <v>926.74000000000012</v>
      </c>
      <c r="Y30" s="3506">
        <f t="shared" si="32"/>
        <v>934.6400000000001</v>
      </c>
      <c r="Z30" s="3506">
        <f t="shared" si="32"/>
        <v>951.05000000000007</v>
      </c>
      <c r="AA30" s="3506">
        <f t="shared" si="32"/>
        <v>957.42000000000007</v>
      </c>
      <c r="AB30" s="3506">
        <f t="shared" si="32"/>
        <v>974.32999999999993</v>
      </c>
      <c r="AC30" s="2932">
        <f t="shared" ref="AC30:AE31" si="33">+AB30*(1+AC47/100)</f>
        <v>976.70000000000027</v>
      </c>
      <c r="AD30" s="2932">
        <f t="shared" si="33"/>
        <v>972.30485000000033</v>
      </c>
      <c r="AE30" s="2932">
        <f t="shared" si="33"/>
        <v>970.26300981500037</v>
      </c>
    </row>
    <row r="31" spans="1:119">
      <c r="A31" s="664">
        <f>+ROW(InputY!A278)</f>
        <v>278</v>
      </c>
      <c r="C31" s="671" t="s">
        <v>1767</v>
      </c>
      <c r="D31" s="674"/>
      <c r="E31" s="220" t="s">
        <v>1022</v>
      </c>
      <c r="F31" s="725" t="s">
        <v>1710</v>
      </c>
      <c r="G31" s="1559">
        <f>+InputY!G278</f>
        <v>209.6</v>
      </c>
      <c r="H31" s="1559">
        <f>+InputY!H278</f>
        <v>213.6</v>
      </c>
      <c r="I31" s="1559">
        <f>+InputY!I278</f>
        <v>218.6</v>
      </c>
      <c r="J31" s="1559">
        <f>+InputY!J278</f>
        <v>219.3</v>
      </c>
      <c r="K31" s="1559">
        <f>+InputY!K278</f>
        <v>233.1</v>
      </c>
      <c r="L31" s="1559">
        <f>+InputY!L278</f>
        <v>239.1</v>
      </c>
      <c r="M31" s="1559">
        <f>+InputY!M278</f>
        <v>234.5</v>
      </c>
      <c r="N31" s="1559">
        <f>+InputY!N278</f>
        <v>226.8</v>
      </c>
      <c r="O31" s="1559">
        <f>+InputY!O278</f>
        <v>216.3</v>
      </c>
      <c r="P31" s="3507">
        <f>+InputY!P278</f>
        <v>226.7</v>
      </c>
      <c r="Q31" s="3508">
        <f>+InputY!Q278</f>
        <v>225.85000000000002</v>
      </c>
      <c r="R31" s="3508">
        <f>+InputY!R278</f>
        <v>195.92000000000002</v>
      </c>
      <c r="S31" s="3508">
        <f>+InputY!S278</f>
        <v>224.24</v>
      </c>
      <c r="T31" s="3508">
        <f>+InputY!T278</f>
        <v>224.18</v>
      </c>
      <c r="U31" s="3508">
        <f>+InputY!U278</f>
        <v>221.36</v>
      </c>
      <c r="V31" s="3508">
        <f>+InputY!V278</f>
        <v>214.87</v>
      </c>
      <c r="W31" s="3508">
        <f>+InputY!W278</f>
        <v>211.67</v>
      </c>
      <c r="X31" s="3508">
        <f>+InputY!X278</f>
        <v>207.15</v>
      </c>
      <c r="Y31" s="3508">
        <f>+InputY!Y278</f>
        <v>205.06</v>
      </c>
      <c r="Z31" s="3508">
        <f>+InputY!Z278</f>
        <v>207.13</v>
      </c>
      <c r="AA31" s="3508">
        <f>+InputY!AA278</f>
        <v>213.57999999999998</v>
      </c>
      <c r="AB31" s="3508">
        <f>+InputY!AB278</f>
        <v>218.97</v>
      </c>
      <c r="AC31" s="2943">
        <f t="shared" si="33"/>
        <v>215.00000000000003</v>
      </c>
      <c r="AD31" s="2943">
        <f t="shared" si="33"/>
        <v>212.85000000000002</v>
      </c>
      <c r="AE31" s="2943">
        <f t="shared" si="33"/>
        <v>212.42430000000002</v>
      </c>
      <c r="AF31" s="3660"/>
      <c r="AG31" s="3194">
        <f>AC32-AC31</f>
        <v>976.7</v>
      </c>
    </row>
    <row r="32" spans="1:119">
      <c r="A32" s="664">
        <f>+ROW(InputY!A8)</f>
        <v>8</v>
      </c>
      <c r="B32" s="665">
        <v>63</v>
      </c>
      <c r="C32" s="671" t="s">
        <v>1769</v>
      </c>
      <c r="D32" s="746"/>
      <c r="E32" s="750" t="s">
        <v>1711</v>
      </c>
      <c r="F32" s="751" t="str">
        <f>+InputY!B8</f>
        <v>LEmpD</v>
      </c>
      <c r="G32" s="749" t="str">
        <f>+InputY!G8</f>
        <v>:</v>
      </c>
      <c r="H32" s="749" t="str">
        <f>+InputY!H8</f>
        <v>:</v>
      </c>
      <c r="I32" s="749" t="str">
        <f>+InputY!I8</f>
        <v>:</v>
      </c>
      <c r="J32" s="749" t="str">
        <f>+InputY!J8</f>
        <v>:</v>
      </c>
      <c r="K32" s="749" t="str">
        <f>+InputY!K8</f>
        <v>:</v>
      </c>
      <c r="L32" s="749">
        <f>+InputY!L8</f>
        <v>1123.8399999999999</v>
      </c>
      <c r="M32" s="749">
        <f>+InputY!M8</f>
        <v>1078.42</v>
      </c>
      <c r="N32" s="749">
        <f>+InputY!N8</f>
        <v>1112.6500000000001</v>
      </c>
      <c r="O32" s="749">
        <f>+InputY!O8</f>
        <v>1132.8599999999999</v>
      </c>
      <c r="P32" s="3509">
        <f>+InputY!P8</f>
        <v>1146.9000000000001</v>
      </c>
      <c r="Q32" s="3509">
        <f>+InputY!Q8</f>
        <v>1174.57</v>
      </c>
      <c r="R32" s="3509">
        <f>+InputY!R8</f>
        <v>1173.5</v>
      </c>
      <c r="S32" s="3509">
        <f>+InputY!S8</f>
        <v>1233.6600000000001</v>
      </c>
      <c r="T32" s="3509">
        <f>+InputY!T8</f>
        <v>1259.6300000000001</v>
      </c>
      <c r="U32" s="3509">
        <f>+InputY!U8</f>
        <v>1158.73</v>
      </c>
      <c r="V32" s="3509">
        <f>+InputY!V8</f>
        <v>1111.08</v>
      </c>
      <c r="W32" s="3509">
        <f>+InputY!W8</f>
        <v>1119.95</v>
      </c>
      <c r="X32" s="3509">
        <f>+InputY!X8</f>
        <v>1133.8900000000001</v>
      </c>
      <c r="Y32" s="3509">
        <f>+InputY!Y8</f>
        <v>1139.7</v>
      </c>
      <c r="Z32" s="3509">
        <f>+InputY!Z8</f>
        <v>1158.18</v>
      </c>
      <c r="AA32" s="3509">
        <f>+InputY!AA8</f>
        <v>1171</v>
      </c>
      <c r="AB32" s="3509">
        <f>+InputY!AB8</f>
        <v>1193.3</v>
      </c>
      <c r="AC32" s="3509">
        <f>+InputY!AC8</f>
        <v>1191.7</v>
      </c>
      <c r="AD32" s="2934">
        <f>+AD30+AD31</f>
        <v>1185.1548500000004</v>
      </c>
      <c r="AE32" s="2934">
        <f>+AE30+AE31</f>
        <v>1182.6873098150004</v>
      </c>
    </row>
    <row r="33" spans="1:119">
      <c r="A33" s="1130"/>
      <c r="C33" s="671" t="s">
        <v>1767</v>
      </c>
      <c r="D33" s="674"/>
      <c r="E33" s="220" t="s">
        <v>238</v>
      </c>
      <c r="F33" s="710" t="s">
        <v>717</v>
      </c>
      <c r="G33" s="705" t="e">
        <f>+G34-G32</f>
        <v>#VALUE!</v>
      </c>
      <c r="H33" s="705" t="e">
        <f t="shared" ref="H33:T33" si="34">+H34-H32</f>
        <v>#VALUE!</v>
      </c>
      <c r="I33" s="705" t="e">
        <f t="shared" si="34"/>
        <v>#VALUE!</v>
      </c>
      <c r="J33" s="705" t="e">
        <f t="shared" si="34"/>
        <v>#VALUE!</v>
      </c>
      <c r="K33" s="705" t="e">
        <f t="shared" si="34"/>
        <v>#VALUE!</v>
      </c>
      <c r="L33" s="705">
        <f t="shared" si="34"/>
        <v>275.35000000000014</v>
      </c>
      <c r="M33" s="705">
        <f t="shared" si="34"/>
        <v>267.56999999999994</v>
      </c>
      <c r="N33" s="705">
        <f t="shared" si="34"/>
        <v>282.02999999999997</v>
      </c>
      <c r="O33" s="705">
        <f t="shared" si="34"/>
        <v>292.85000000000014</v>
      </c>
      <c r="P33" s="3493">
        <f t="shared" si="34"/>
        <v>263.19999999999982</v>
      </c>
      <c r="Q33" s="3493">
        <f t="shared" si="34"/>
        <v>246.15000000000009</v>
      </c>
      <c r="R33" s="3493">
        <f t="shared" si="34"/>
        <v>242.76</v>
      </c>
      <c r="S33" s="3493">
        <f>+S34-S32</f>
        <v>211.48000000000002</v>
      </c>
      <c r="T33" s="3493">
        <f t="shared" si="34"/>
        <v>166.45999999999981</v>
      </c>
      <c r="U33" s="3493">
        <f t="shared" ref="U33:AC33" si="35">+U34-U32</f>
        <v>157.77999999999997</v>
      </c>
      <c r="V33" s="3493">
        <f t="shared" si="35"/>
        <v>135.69000000000005</v>
      </c>
      <c r="W33" s="3493">
        <f t="shared" si="35"/>
        <v>132.75</v>
      </c>
      <c r="X33" s="3493">
        <f t="shared" si="35"/>
        <v>141.01</v>
      </c>
      <c r="Y33" s="3493">
        <f t="shared" si="35"/>
        <v>152.19000000000005</v>
      </c>
      <c r="Z33" s="3493">
        <f t="shared" si="35"/>
        <v>159.62999999999988</v>
      </c>
      <c r="AA33" s="3493">
        <f t="shared" si="35"/>
        <v>163.73000000000002</v>
      </c>
      <c r="AB33" s="3493">
        <f t="shared" si="35"/>
        <v>167.91000000000008</v>
      </c>
      <c r="AC33" s="3493">
        <f t="shared" si="35"/>
        <v>162.40999999999985</v>
      </c>
      <c r="AD33" s="2944">
        <f>+AC33*(1+AD50/100)</f>
        <v>161.59794999999986</v>
      </c>
      <c r="AE33" s="2944">
        <f>+AD33*(1+AE50/100)</f>
        <v>159.98197049999985</v>
      </c>
    </row>
    <row r="34" spans="1:119">
      <c r="A34" s="664">
        <f>+ROW(InputY!A7)</f>
        <v>7</v>
      </c>
      <c r="B34" s="665">
        <v>59</v>
      </c>
      <c r="C34" s="671" t="s">
        <v>1769</v>
      </c>
      <c r="D34" s="746"/>
      <c r="E34" s="750" t="s">
        <v>752</v>
      </c>
      <c r="F34" s="751" t="str">
        <f>+InputY!B7</f>
        <v>LEmpTotD</v>
      </c>
      <c r="G34" s="749" t="str">
        <f>+InputY!G7</f>
        <v>:</v>
      </c>
      <c r="H34" s="749" t="str">
        <f>+InputY!H7</f>
        <v>:</v>
      </c>
      <c r="I34" s="749" t="str">
        <f>+InputY!I7</f>
        <v>:</v>
      </c>
      <c r="J34" s="749" t="str">
        <f>+InputY!J7</f>
        <v>:</v>
      </c>
      <c r="K34" s="749" t="str">
        <f>+InputY!K7</f>
        <v>:</v>
      </c>
      <c r="L34" s="749">
        <f>+InputY!L7</f>
        <v>1399.19</v>
      </c>
      <c r="M34" s="749">
        <f>+InputY!M7</f>
        <v>1345.99</v>
      </c>
      <c r="N34" s="749">
        <f>+InputY!N7</f>
        <v>1394.68</v>
      </c>
      <c r="O34" s="749">
        <f>+InputY!O7</f>
        <v>1425.71</v>
      </c>
      <c r="P34" s="3509">
        <f>+InputY!P7</f>
        <v>1410.1</v>
      </c>
      <c r="Q34" s="3509">
        <f>+InputY!Q7</f>
        <v>1420.72</v>
      </c>
      <c r="R34" s="3509">
        <f>+InputY!R7</f>
        <v>1416.26</v>
      </c>
      <c r="S34" s="3509">
        <f>+InputY!S7</f>
        <v>1445.14</v>
      </c>
      <c r="T34" s="3509">
        <f>+InputY!T7</f>
        <v>1426.09</v>
      </c>
      <c r="U34" s="3509">
        <f>+InputY!U7</f>
        <v>1316.51</v>
      </c>
      <c r="V34" s="3509">
        <f>+InputY!V7</f>
        <v>1246.77</v>
      </c>
      <c r="W34" s="3509">
        <f>+InputY!W7</f>
        <v>1252.7</v>
      </c>
      <c r="X34" s="3509">
        <f>+InputY!X7</f>
        <v>1274.9000000000001</v>
      </c>
      <c r="Y34" s="3509">
        <f>+InputY!Y7</f>
        <v>1291.8900000000001</v>
      </c>
      <c r="Z34" s="3509">
        <f>+InputY!Z7</f>
        <v>1317.81</v>
      </c>
      <c r="AA34" s="3509">
        <f>+InputY!AA7</f>
        <v>1334.73</v>
      </c>
      <c r="AB34" s="3509">
        <f>+InputY!AB7</f>
        <v>1361.21</v>
      </c>
      <c r="AC34" s="3509">
        <f>+InputY!AC7</f>
        <v>1354.11</v>
      </c>
      <c r="AD34" s="2934">
        <f>+AD32+AD33</f>
        <v>1346.7528000000002</v>
      </c>
      <c r="AE34" s="2934">
        <f>+AE32+AE33</f>
        <v>1342.6692803150002</v>
      </c>
    </row>
    <row r="35" spans="1:119">
      <c r="A35" s="664"/>
      <c r="C35" s="671" t="s">
        <v>1767</v>
      </c>
      <c r="D35" s="674"/>
      <c r="E35" s="220" t="s">
        <v>719</v>
      </c>
      <c r="F35" s="710" t="s">
        <v>272</v>
      </c>
      <c r="G35" s="877" t="e">
        <f>+G36-G34</f>
        <v>#VALUE!</v>
      </c>
      <c r="H35" s="877" t="e">
        <f t="shared" ref="H35:AC35" si="36">+H36-H34</f>
        <v>#VALUE!</v>
      </c>
      <c r="I35" s="877" t="e">
        <f t="shared" si="36"/>
        <v>#VALUE!</v>
      </c>
      <c r="J35" s="877" t="e">
        <f t="shared" si="36"/>
        <v>#VALUE!</v>
      </c>
      <c r="K35" s="877" t="e">
        <f t="shared" si="36"/>
        <v>#VALUE!</v>
      </c>
      <c r="L35" s="877">
        <f t="shared" si="36"/>
        <v>3.5599999999999454</v>
      </c>
      <c r="M35" s="877">
        <f t="shared" si="36"/>
        <v>10.910000000000082</v>
      </c>
      <c r="N35" s="877">
        <f t="shared" si="36"/>
        <v>16.25</v>
      </c>
      <c r="O35" s="877">
        <f t="shared" si="36"/>
        <v>17.269999999999982</v>
      </c>
      <c r="P35" s="3510">
        <f t="shared" si="36"/>
        <v>15.230000000000018</v>
      </c>
      <c r="Q35" s="3510">
        <f t="shared" si="36"/>
        <v>17.029999999999973</v>
      </c>
      <c r="R35" s="3510">
        <f t="shared" si="36"/>
        <v>14.980000000000018</v>
      </c>
      <c r="S35" s="3510">
        <f t="shared" si="36"/>
        <v>9.0999999999999091</v>
      </c>
      <c r="T35" s="3510">
        <f t="shared" si="36"/>
        <v>2.9300000000000637</v>
      </c>
      <c r="U35" s="3510">
        <f t="shared" si="36"/>
        <v>1.8099999999999454</v>
      </c>
      <c r="V35" s="3510">
        <f t="shared" si="36"/>
        <v>0.99000000000000909</v>
      </c>
      <c r="W35" s="3510">
        <f t="shared" si="36"/>
        <v>0.89999999999986358</v>
      </c>
      <c r="X35" s="3510">
        <f t="shared" si="36"/>
        <v>1.0999999999999091</v>
      </c>
      <c r="Y35" s="3510">
        <f t="shared" si="36"/>
        <v>1.2799999999999727</v>
      </c>
      <c r="Z35" s="3510">
        <f t="shared" si="36"/>
        <v>1.4900000000000091</v>
      </c>
      <c r="AA35" s="3510">
        <f t="shared" si="36"/>
        <v>0.94000000000005457</v>
      </c>
      <c r="AB35" s="3510">
        <f t="shared" si="36"/>
        <v>0.89999999999986358</v>
      </c>
      <c r="AC35" s="3510">
        <f t="shared" si="36"/>
        <v>1.6100000000001273</v>
      </c>
      <c r="AD35" s="2934">
        <f>+AC35*(1+AD52/100)</f>
        <v>1.6012524890889011</v>
      </c>
      <c r="AE35" s="2934">
        <f>+AD35*(1+AE52/100)</f>
        <v>1.596397295129141</v>
      </c>
    </row>
    <row r="36" spans="1:119" s="699" customFormat="1" ht="12.75" customHeight="1">
      <c r="A36" s="664">
        <f>+ROW(InputY!A222)</f>
        <v>222</v>
      </c>
      <c r="B36" s="664">
        <v>79</v>
      </c>
      <c r="C36" s="878" t="s">
        <v>1769</v>
      </c>
      <c r="D36" s="746"/>
      <c r="E36" s="747" t="s">
        <v>753</v>
      </c>
      <c r="F36" s="748" t="str">
        <f>+InputY!B222</f>
        <v>LEmpTot</v>
      </c>
      <c r="G36" s="749" t="str">
        <f>+InputY!G222</f>
        <v>:</v>
      </c>
      <c r="H36" s="749" t="str">
        <f>+InputY!H222</f>
        <v>:</v>
      </c>
      <c r="I36" s="749" t="str">
        <f>+InputY!I222</f>
        <v>:</v>
      </c>
      <c r="J36" s="749" t="str">
        <f>+InputY!J222</f>
        <v>:</v>
      </c>
      <c r="K36" s="749" t="str">
        <f>+InputY!K222</f>
        <v>:</v>
      </c>
      <c r="L36" s="749">
        <f>+InputY!L222</f>
        <v>1402.75</v>
      </c>
      <c r="M36" s="749">
        <f>+InputY!M222</f>
        <v>1356.9</v>
      </c>
      <c r="N36" s="749">
        <f>+InputY!N222</f>
        <v>1410.93</v>
      </c>
      <c r="O36" s="749">
        <f>+InputY!O222</f>
        <v>1442.98</v>
      </c>
      <c r="P36" s="3509">
        <f>+InputY!P222</f>
        <v>1425.33</v>
      </c>
      <c r="Q36" s="3509">
        <f>+InputY!Q222</f>
        <v>1437.75</v>
      </c>
      <c r="R36" s="3509">
        <f>+InputY!R222</f>
        <v>1431.24</v>
      </c>
      <c r="S36" s="3509">
        <f>+InputY!S222</f>
        <v>1454.24</v>
      </c>
      <c r="T36" s="3509">
        <f>+InputY!T222</f>
        <v>1429.02</v>
      </c>
      <c r="U36" s="3509">
        <f>+InputY!U222</f>
        <v>1318.32</v>
      </c>
      <c r="V36" s="3509">
        <f>+InputY!V222</f>
        <v>1247.76</v>
      </c>
      <c r="W36" s="3509">
        <f>+InputY!W222</f>
        <v>1253.5999999999999</v>
      </c>
      <c r="X36" s="3509">
        <f>+InputY!X222</f>
        <v>1276</v>
      </c>
      <c r="Y36" s="3509">
        <f>+InputY!Y222</f>
        <v>1293.17</v>
      </c>
      <c r="Z36" s="3509">
        <f>+InputY!Z222</f>
        <v>1319.3</v>
      </c>
      <c r="AA36" s="3509">
        <f>+InputY!AA222</f>
        <v>1335.67</v>
      </c>
      <c r="AB36" s="3509">
        <f>+InputY!AB222</f>
        <v>1362.11</v>
      </c>
      <c r="AC36" s="3509">
        <f>+InputY!AC222</f>
        <v>1355.72</v>
      </c>
      <c r="AD36" s="2934">
        <f>+AD34+AD35</f>
        <v>1348.3540524890891</v>
      </c>
      <c r="AE36" s="2934">
        <f>+AE34+AE35</f>
        <v>1344.2656776101294</v>
      </c>
      <c r="AF36"/>
      <c r="AG36" s="3663"/>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row>
    <row r="37" spans="1:119" s="26" customFormat="1">
      <c r="A37" s="664"/>
      <c r="B37" s="673"/>
      <c r="C37" s="879"/>
      <c r="D37" s="679"/>
      <c r="E37" s="680" t="s">
        <v>915</v>
      </c>
      <c r="F37" s="679" t="s">
        <v>968</v>
      </c>
      <c r="G37" s="682" t="e">
        <f t="shared" ref="G37:Z37" si="37">+G36/G7</f>
        <v>#VALUE!</v>
      </c>
      <c r="H37" s="682" t="e">
        <f t="shared" si="37"/>
        <v>#VALUE!</v>
      </c>
      <c r="I37" s="682" t="e">
        <f t="shared" si="37"/>
        <v>#VALUE!</v>
      </c>
      <c r="J37" s="682" t="e">
        <f t="shared" si="37"/>
        <v>#VALUE!</v>
      </c>
      <c r="K37" s="682" t="e">
        <f t="shared" si="37"/>
        <v>#VALUE!</v>
      </c>
      <c r="L37" s="682">
        <f t="shared" si="37"/>
        <v>0.60530075604880029</v>
      </c>
      <c r="M37" s="682">
        <f t="shared" si="37"/>
        <v>0.58813662245997922</v>
      </c>
      <c r="N37" s="682">
        <f t="shared" si="37"/>
        <v>0.61442395875882816</v>
      </c>
      <c r="O37" s="682">
        <f t="shared" si="37"/>
        <v>0.63153688578849432</v>
      </c>
      <c r="P37" s="682">
        <f t="shared" si="37"/>
        <v>0.62979416464000904</v>
      </c>
      <c r="Q37" s="682">
        <f t="shared" si="37"/>
        <v>0.64481537492801744</v>
      </c>
      <c r="R37" s="682">
        <f t="shared" si="37"/>
        <v>0.65098811020185654</v>
      </c>
      <c r="S37" s="682">
        <f t="shared" si="37"/>
        <v>0.66749761147355624</v>
      </c>
      <c r="T37" s="2933">
        <f t="shared" si="37"/>
        <v>0.66104348115705502</v>
      </c>
      <c r="U37" s="2933">
        <f t="shared" si="37"/>
        <v>0.6158252975493953</v>
      </c>
      <c r="V37" s="2933">
        <f t="shared" si="37"/>
        <v>0.59702778005055612</v>
      </c>
      <c r="W37" s="2933">
        <f t="shared" si="37"/>
        <v>0.61615439248386006</v>
      </c>
      <c r="X37" s="2933">
        <f t="shared" si="37"/>
        <v>0.63650770767934572</v>
      </c>
      <c r="Y37" s="2933">
        <f t="shared" si="37"/>
        <v>0.65249398553298676</v>
      </c>
      <c r="Z37" s="2933">
        <f t="shared" si="37"/>
        <v>0.6732273118109473</v>
      </c>
      <c r="AA37" s="2933">
        <f>+AA36/AA7</f>
        <v>0.69116725127678902</v>
      </c>
      <c r="AB37" s="2933">
        <f>+AB36/AB7</f>
        <v>0.71843726668827423</v>
      </c>
      <c r="AC37" s="2933">
        <f>+AC36/AC7</f>
        <v>0.73068880025870431</v>
      </c>
      <c r="AD37" s="2933">
        <f>+AD36/AD7</f>
        <v>0.74079387883041181</v>
      </c>
      <c r="AE37" s="2933">
        <f>+AE36/AE7</f>
        <v>0.75208523515533077</v>
      </c>
      <c r="AF37"/>
      <c r="AG37" s="3663"/>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row>
    <row r="38" spans="1:119">
      <c r="A38" s="664">
        <f>+ROW(InputY!A17)</f>
        <v>17</v>
      </c>
      <c r="B38" s="1130">
        <v>78</v>
      </c>
      <c r="C38" s="671" t="s">
        <v>1767</v>
      </c>
      <c r="D38" s="674"/>
      <c r="E38" s="220" t="s">
        <v>308</v>
      </c>
      <c r="F38" s="725" t="s">
        <v>309</v>
      </c>
      <c r="G38" s="705">
        <f>+InputY!G17</f>
        <v>108.10000000000001</v>
      </c>
      <c r="H38" s="705">
        <f>+InputY!H17</f>
        <v>124.7</v>
      </c>
      <c r="I38" s="705">
        <f>+InputY!I17</f>
        <v>104.60000000000001</v>
      </c>
      <c r="J38" s="705">
        <f>+InputY!J17</f>
        <v>227</v>
      </c>
      <c r="K38" s="705">
        <f>+InputY!K17</f>
        <v>249</v>
      </c>
      <c r="L38" s="705">
        <f>+InputY!L17</f>
        <v>274</v>
      </c>
      <c r="M38" s="705">
        <f>+InputY!M17</f>
        <v>284</v>
      </c>
      <c r="N38" s="705">
        <f>+InputY!N17</f>
        <v>224</v>
      </c>
      <c r="O38" s="705">
        <f>+InputY!O17</f>
        <v>204</v>
      </c>
      <c r="P38" s="3493">
        <f>+InputY!P17</f>
        <v>173</v>
      </c>
      <c r="Q38" s="3493">
        <f>+InputY!Q17</f>
        <v>130</v>
      </c>
      <c r="R38" s="3493">
        <f>+InputY!R17</f>
        <v>88</v>
      </c>
      <c r="S38" s="3493">
        <f>+InputY!S17</f>
        <v>64</v>
      </c>
      <c r="T38" s="3493">
        <f>+InputY!T17</f>
        <v>88</v>
      </c>
      <c r="U38" s="3493">
        <f>+InputY!U17</f>
        <v>211</v>
      </c>
      <c r="V38" s="3493">
        <f>+InputY!V17</f>
        <v>270</v>
      </c>
      <c r="W38" s="3493">
        <f>+InputY!W17</f>
        <v>228</v>
      </c>
      <c r="X38" s="3511">
        <f>+InputY!X17</f>
        <v>197</v>
      </c>
      <c r="Y38" s="3511">
        <f>+InputY!Y17</f>
        <v>172</v>
      </c>
      <c r="Z38" s="3511">
        <f>+InputY!Z17</f>
        <v>158</v>
      </c>
      <c r="AA38" s="3511">
        <f>+InputY!AA17</f>
        <v>134</v>
      </c>
      <c r="AB38" s="3511">
        <f>+InputY!AB17</f>
        <v>116</v>
      </c>
      <c r="AC38" s="3511">
        <f>+InputY!AC17</f>
        <v>103</v>
      </c>
      <c r="AD38" s="2934">
        <f>+AD12-AD36</f>
        <v>95.069140140910804</v>
      </c>
      <c r="AE38" s="2934">
        <f>+AE12-AE36</f>
        <v>95.629153630878136</v>
      </c>
      <c r="AG38" s="3663"/>
    </row>
    <row r="39" spans="1:119" s="26" customFormat="1">
      <c r="A39" s="1903"/>
      <c r="B39" s="673"/>
      <c r="C39" s="879"/>
      <c r="D39" s="679"/>
      <c r="E39" s="680" t="s">
        <v>310</v>
      </c>
      <c r="F39" s="1908" t="s">
        <v>967</v>
      </c>
      <c r="G39" s="1909" t="e">
        <f t="shared" ref="G39:Z39" si="38">+G38/G12</f>
        <v>#VALUE!</v>
      </c>
      <c r="H39" s="1909" t="e">
        <f t="shared" si="38"/>
        <v>#VALUE!</v>
      </c>
      <c r="I39" s="1909" t="e">
        <f t="shared" si="38"/>
        <v>#VALUE!</v>
      </c>
      <c r="J39" s="1909" t="e">
        <f t="shared" si="38"/>
        <v>#VALUE!</v>
      </c>
      <c r="K39" s="1909" t="e">
        <f t="shared" si="38"/>
        <v>#VALUE!</v>
      </c>
      <c r="L39" s="1909">
        <f t="shared" si="38"/>
        <v>0.16341136126435069</v>
      </c>
      <c r="M39" s="1909">
        <f t="shared" si="38"/>
        <v>0.17307575111219453</v>
      </c>
      <c r="N39" s="1909">
        <f t="shared" si="38"/>
        <v>0.13700892392946487</v>
      </c>
      <c r="O39" s="1909">
        <f t="shared" si="38"/>
        <v>0.12386307058980679</v>
      </c>
      <c r="P39" s="1909">
        <f t="shared" si="38"/>
        <v>0.10823797338472031</v>
      </c>
      <c r="Q39" s="1909">
        <f t="shared" si="38"/>
        <v>8.2921384149258495E-2</v>
      </c>
      <c r="R39" s="1909">
        <f t="shared" si="38"/>
        <v>5.7923698691450989E-2</v>
      </c>
      <c r="S39" s="1909">
        <f t="shared" si="38"/>
        <v>4.2154073137316894E-2</v>
      </c>
      <c r="T39" s="3262">
        <f t="shared" si="38"/>
        <v>5.8008463962241762E-2</v>
      </c>
      <c r="U39" s="3262">
        <f t="shared" si="38"/>
        <v>0.13796981665053751</v>
      </c>
      <c r="V39" s="3262">
        <f t="shared" si="38"/>
        <v>0.17789373814041745</v>
      </c>
      <c r="W39" s="3262">
        <f t="shared" si="38"/>
        <v>0.15388768898488123</v>
      </c>
      <c r="X39" s="3262">
        <f t="shared" si="38"/>
        <v>0.13374066530889342</v>
      </c>
      <c r="Y39" s="2945">
        <f t="shared" si="38"/>
        <v>0.11739252100438856</v>
      </c>
      <c r="Z39" s="2945">
        <f t="shared" si="38"/>
        <v>0.10695187165775401</v>
      </c>
      <c r="AA39" s="2945">
        <f>+AA38/AA12</f>
        <v>9.1176930875638745E-2</v>
      </c>
      <c r="AB39" s="3262">
        <f>+AB38/AB12</f>
        <v>7.8478597668644429E-2</v>
      </c>
      <c r="AC39" s="3720">
        <f>+AC38/AC12</f>
        <v>7.1251106761427055E-2</v>
      </c>
      <c r="AD39" s="2945">
        <f>+AD38/AD12</f>
        <v>6.5863663980408521E-2</v>
      </c>
      <c r="AE39" s="2945">
        <f>+AE38/AE12</f>
        <v>6.6413984935592751E-2</v>
      </c>
      <c r="AF39" s="3344"/>
      <c r="AG39" s="3663"/>
      <c r="AH39" s="3651"/>
      <c r="AI39" s="3651"/>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row>
    <row r="40" spans="1:119" s="1003" customFormat="1">
      <c r="A40" s="998">
        <f>+ROW(InputY!A223)</f>
        <v>223</v>
      </c>
      <c r="B40" s="673"/>
      <c r="C40" s="879"/>
      <c r="D40" s="1911"/>
      <c r="E40" s="1912" t="s">
        <v>311</v>
      </c>
      <c r="F40" s="1913" t="str">
        <f>+InputY!B223</f>
        <v>LUemp</v>
      </c>
      <c r="G40" s="1914" t="str">
        <f>+InputY!G223</f>
        <v>:</v>
      </c>
      <c r="H40" s="1914" t="str">
        <f>+InputY!H223</f>
        <v>:</v>
      </c>
      <c r="I40" s="1914" t="str">
        <f>+InputY!I223</f>
        <v>:</v>
      </c>
      <c r="J40" s="1914" t="str">
        <f>+InputY!J223</f>
        <v>:</v>
      </c>
      <c r="K40" s="1914" t="str">
        <f>+InputY!K223</f>
        <v>:</v>
      </c>
      <c r="L40" s="1914">
        <f>+InputY!L223</f>
        <v>274</v>
      </c>
      <c r="M40" s="1914">
        <f>+InputY!M223</f>
        <v>284</v>
      </c>
      <c r="N40" s="1914">
        <f>+InputY!N223</f>
        <v>224</v>
      </c>
      <c r="O40" s="1914">
        <f>+InputY!O223</f>
        <v>204</v>
      </c>
      <c r="P40" s="1914">
        <f>+InputY!P223</f>
        <v>173</v>
      </c>
      <c r="Q40" s="1914">
        <f>+InputY!Q223</f>
        <v>130</v>
      </c>
      <c r="R40" s="1914">
        <f>+InputY!R223</f>
        <v>88</v>
      </c>
      <c r="S40" s="1914">
        <f>+InputY!S223</f>
        <v>64</v>
      </c>
      <c r="T40" s="2946">
        <f t="shared" ref="T40:AE40" si="39">+T65+S40</f>
        <v>88</v>
      </c>
      <c r="U40" s="2946">
        <f t="shared" si="39"/>
        <v>211</v>
      </c>
      <c r="V40" s="2946">
        <f t="shared" si="39"/>
        <v>270</v>
      </c>
      <c r="W40" s="2946">
        <f>+W65+V40</f>
        <v>228</v>
      </c>
      <c r="X40" s="2946">
        <f t="shared" si="39"/>
        <v>197</v>
      </c>
      <c r="Y40" s="2946">
        <f t="shared" si="39"/>
        <v>172</v>
      </c>
      <c r="Z40" s="2946">
        <f t="shared" si="39"/>
        <v>158</v>
      </c>
      <c r="AA40" s="2946">
        <f t="shared" si="39"/>
        <v>134</v>
      </c>
      <c r="AB40" s="2946">
        <f t="shared" si="39"/>
        <v>116</v>
      </c>
      <c r="AC40" s="2946">
        <f t="shared" si="39"/>
        <v>103</v>
      </c>
      <c r="AD40" s="2946">
        <f t="shared" si="39"/>
        <v>95.069140140910804</v>
      </c>
      <c r="AE40" s="2946">
        <f t="shared" si="39"/>
        <v>95.629153630878136</v>
      </c>
      <c r="AF40"/>
      <c r="AG40" s="3663"/>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row>
    <row r="41" spans="1:119" s="1003" customFormat="1">
      <c r="A41" s="998"/>
      <c r="B41" s="673"/>
      <c r="C41" s="879"/>
      <c r="D41" s="1911"/>
      <c r="E41" s="1912" t="s">
        <v>2128</v>
      </c>
      <c r="F41" s="1913"/>
      <c r="G41" s="1914" t="e">
        <f>+G40-G38</f>
        <v>#VALUE!</v>
      </c>
      <c r="H41" s="1914" t="e">
        <f t="shared" ref="H41:S41" si="40">+H40-H38</f>
        <v>#VALUE!</v>
      </c>
      <c r="I41" s="1914" t="e">
        <f t="shared" si="40"/>
        <v>#VALUE!</v>
      </c>
      <c r="J41" s="1914" t="e">
        <f t="shared" si="40"/>
        <v>#VALUE!</v>
      </c>
      <c r="K41" s="1914" t="e">
        <f t="shared" si="40"/>
        <v>#VALUE!</v>
      </c>
      <c r="L41" s="1914">
        <f t="shared" si="40"/>
        <v>0</v>
      </c>
      <c r="M41" s="1914">
        <f t="shared" si="40"/>
        <v>0</v>
      </c>
      <c r="N41" s="1914">
        <f t="shared" si="40"/>
        <v>0</v>
      </c>
      <c r="O41" s="1914">
        <f t="shared" si="40"/>
        <v>0</v>
      </c>
      <c r="P41" s="1914">
        <f t="shared" si="40"/>
        <v>0</v>
      </c>
      <c r="Q41" s="1914">
        <f t="shared" si="40"/>
        <v>0</v>
      </c>
      <c r="R41" s="1914">
        <f t="shared" si="40"/>
        <v>0</v>
      </c>
      <c r="S41" s="1914">
        <f t="shared" si="40"/>
        <v>0</v>
      </c>
      <c r="T41" s="2946">
        <f t="shared" ref="T41:AB41" si="41">+T40-T38</f>
        <v>0</v>
      </c>
      <c r="U41" s="2946">
        <f t="shared" si="41"/>
        <v>0</v>
      </c>
      <c r="V41" s="2946">
        <f t="shared" si="41"/>
        <v>0</v>
      </c>
      <c r="W41" s="2946">
        <f t="shared" si="41"/>
        <v>0</v>
      </c>
      <c r="X41" s="2946">
        <f t="shared" si="41"/>
        <v>0</v>
      </c>
      <c r="Y41" s="2946">
        <f t="shared" si="41"/>
        <v>0</v>
      </c>
      <c r="Z41" s="2946">
        <f t="shared" si="41"/>
        <v>0</v>
      </c>
      <c r="AA41" s="2946">
        <f t="shared" si="41"/>
        <v>0</v>
      </c>
      <c r="AB41" s="2946">
        <f t="shared" si="41"/>
        <v>0</v>
      </c>
      <c r="AC41" s="2946">
        <f>+AC40-AC38</f>
        <v>0</v>
      </c>
      <c r="AD41" s="2946">
        <f>+AD40-AD38</f>
        <v>0</v>
      </c>
      <c r="AE41" s="2946">
        <f>+AE40-AE38</f>
        <v>0</v>
      </c>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row>
    <row r="42" spans="1:119" s="1003" customFormat="1">
      <c r="A42" s="998"/>
      <c r="B42" s="673"/>
      <c r="C42" s="687"/>
      <c r="D42" s="1910"/>
      <c r="E42" s="1915" t="s">
        <v>2127</v>
      </c>
      <c r="F42" s="1910" t="s">
        <v>967</v>
      </c>
      <c r="G42" s="1916" t="e">
        <f t="shared" ref="G42:Z42" si="42">+G40/G12</f>
        <v>#VALUE!</v>
      </c>
      <c r="H42" s="1916" t="e">
        <f t="shared" si="42"/>
        <v>#VALUE!</v>
      </c>
      <c r="I42" s="1916" t="e">
        <f t="shared" si="42"/>
        <v>#VALUE!</v>
      </c>
      <c r="J42" s="1916" t="e">
        <f t="shared" si="42"/>
        <v>#VALUE!</v>
      </c>
      <c r="K42" s="1916" t="e">
        <f t="shared" si="42"/>
        <v>#VALUE!</v>
      </c>
      <c r="L42" s="1916">
        <f t="shared" si="42"/>
        <v>0.16341136126435069</v>
      </c>
      <c r="M42" s="1916">
        <f t="shared" si="42"/>
        <v>0.17307575111219453</v>
      </c>
      <c r="N42" s="1916">
        <f t="shared" si="42"/>
        <v>0.13700892392946487</v>
      </c>
      <c r="O42" s="1916">
        <f t="shared" si="42"/>
        <v>0.12386307058980679</v>
      </c>
      <c r="P42" s="1916">
        <f t="shared" si="42"/>
        <v>0.10823797338472031</v>
      </c>
      <c r="Q42" s="1916">
        <f t="shared" si="42"/>
        <v>8.2921384149258495E-2</v>
      </c>
      <c r="R42" s="1916">
        <f t="shared" si="42"/>
        <v>5.7923698691450989E-2</v>
      </c>
      <c r="S42" s="1916">
        <f t="shared" si="42"/>
        <v>4.2154073137316894E-2</v>
      </c>
      <c r="T42" s="2947">
        <f t="shared" si="42"/>
        <v>5.8008463962241762E-2</v>
      </c>
      <c r="U42" s="2947">
        <f t="shared" si="42"/>
        <v>0.13796981665053751</v>
      </c>
      <c r="V42" s="2947">
        <f t="shared" si="42"/>
        <v>0.17789373814041745</v>
      </c>
      <c r="W42" s="2947">
        <f t="shared" si="42"/>
        <v>0.15388768898488123</v>
      </c>
      <c r="X42" s="2947">
        <f t="shared" si="42"/>
        <v>0.13374066530889342</v>
      </c>
      <c r="Y42" s="2947">
        <f>+Y40/Y12</f>
        <v>0.11739252100438856</v>
      </c>
      <c r="Z42" s="2947">
        <f t="shared" si="42"/>
        <v>0.10695187165775401</v>
      </c>
      <c r="AA42" s="2947">
        <f>+AA40/AA12</f>
        <v>9.1176930875638745E-2</v>
      </c>
      <c r="AB42" s="2947">
        <f>+AB40/AB12</f>
        <v>7.8478597668644429E-2</v>
      </c>
      <c r="AC42" s="2947">
        <f>+AC40/AC12</f>
        <v>7.1251106761427055E-2</v>
      </c>
      <c r="AD42" s="2947">
        <f>+AD40/AD12</f>
        <v>6.5863663980408521E-2</v>
      </c>
      <c r="AE42" s="2947">
        <f>+AE40/AE12</f>
        <v>6.6413984935592751E-2</v>
      </c>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row>
    <row r="43" spans="1:119" s="699" customFormat="1" ht="12.75" customHeight="1">
      <c r="A43" s="664"/>
      <c r="B43" s="664"/>
      <c r="C43" s="669" t="s">
        <v>1769</v>
      </c>
      <c r="D43" s="752"/>
      <c r="E43" s="753" t="s">
        <v>1977</v>
      </c>
      <c r="F43" s="754" t="s">
        <v>715</v>
      </c>
      <c r="G43" s="755" t="e">
        <f t="shared" ref="G43:Z43" si="43">+G12</f>
        <v>#VALUE!</v>
      </c>
      <c r="H43" s="755" t="e">
        <f t="shared" si="43"/>
        <v>#VALUE!</v>
      </c>
      <c r="I43" s="755" t="e">
        <f t="shared" si="43"/>
        <v>#VALUE!</v>
      </c>
      <c r="J43" s="755" t="e">
        <f t="shared" si="43"/>
        <v>#VALUE!</v>
      </c>
      <c r="K43" s="755" t="e">
        <f t="shared" si="43"/>
        <v>#VALUE!</v>
      </c>
      <c r="L43" s="755">
        <f t="shared" si="43"/>
        <v>1676.75</v>
      </c>
      <c r="M43" s="755">
        <f t="shared" si="43"/>
        <v>1640.9</v>
      </c>
      <c r="N43" s="755">
        <f t="shared" si="43"/>
        <v>1634.93</v>
      </c>
      <c r="O43" s="755">
        <f t="shared" si="43"/>
        <v>1646.98</v>
      </c>
      <c r="P43" s="3494">
        <f t="shared" si="43"/>
        <v>1598.33</v>
      </c>
      <c r="Q43" s="3494">
        <f t="shared" si="43"/>
        <v>1567.75</v>
      </c>
      <c r="R43" s="3494">
        <f t="shared" si="43"/>
        <v>1519.24</v>
      </c>
      <c r="S43" s="3494">
        <f t="shared" si="43"/>
        <v>1518.24</v>
      </c>
      <c r="T43" s="2931">
        <f t="shared" si="43"/>
        <v>1517.02</v>
      </c>
      <c r="U43" s="2931">
        <f t="shared" si="43"/>
        <v>1529.32</v>
      </c>
      <c r="V43" s="2931">
        <f t="shared" si="43"/>
        <v>1517.76</v>
      </c>
      <c r="W43" s="2931">
        <f t="shared" si="43"/>
        <v>1481.6</v>
      </c>
      <c r="X43" s="2931">
        <f t="shared" si="43"/>
        <v>1473</v>
      </c>
      <c r="Y43" s="2931">
        <f t="shared" si="43"/>
        <v>1465.17</v>
      </c>
      <c r="Z43" s="2931">
        <f t="shared" si="43"/>
        <v>1477.3</v>
      </c>
      <c r="AA43" s="2931">
        <f>+AA12</f>
        <v>1469.67</v>
      </c>
      <c r="AB43" s="2931">
        <f>+AB12</f>
        <v>1478.11</v>
      </c>
      <c r="AC43" s="2931">
        <f>+AC12</f>
        <v>1445.5915799999998</v>
      </c>
      <c r="AD43" s="2931">
        <f>+AD12</f>
        <v>1443.4231926299999</v>
      </c>
      <c r="AE43" s="2931">
        <f>+AE12</f>
        <v>1439.8948312410075</v>
      </c>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row>
    <row r="44" spans="1:119">
      <c r="A44" s="1130"/>
      <c r="G44" s="705"/>
      <c r="H44" s="705"/>
      <c r="I44" s="705"/>
      <c r="J44" s="705"/>
      <c r="K44" s="705"/>
      <c r="L44" s="705"/>
      <c r="M44" s="705"/>
      <c r="N44" s="705"/>
      <c r="O44" s="705"/>
      <c r="P44" s="3493"/>
      <c r="Q44" s="3512"/>
      <c r="R44" s="3513"/>
      <c r="S44" s="2280"/>
      <c r="T44" s="2280"/>
      <c r="U44" s="2280"/>
      <c r="V44" s="2280"/>
      <c r="W44" s="2280"/>
      <c r="X44" s="2280"/>
      <c r="Y44" s="2280"/>
      <c r="Z44" s="2280"/>
      <c r="AA44" s="2280"/>
      <c r="AB44" s="2280"/>
      <c r="AC44" s="2280"/>
      <c r="AD44" s="2280"/>
      <c r="AE44" s="2280"/>
    </row>
    <row r="45" spans="1:119">
      <c r="A45" s="1130"/>
      <c r="G45" s="705"/>
      <c r="H45" s="705"/>
      <c r="I45" s="705"/>
      <c r="J45" s="705"/>
      <c r="K45" s="705"/>
      <c r="L45" s="705"/>
      <c r="M45" s="2219">
        <f>'VVP2'!M131</f>
        <v>6.6996058629840372</v>
      </c>
      <c r="N45" s="2219">
        <f>'VVP2'!N131</f>
        <v>6.8379975004915217</v>
      </c>
      <c r="O45" s="2219">
        <f>'VVP2'!O131</f>
        <v>10.275887367570679</v>
      </c>
      <c r="P45" s="2219">
        <f>'VVP2'!P131</f>
        <v>7.4482608885224399</v>
      </c>
      <c r="Q45" s="2219">
        <f>'VVP2'!Q131</f>
        <v>7.7273873836427809</v>
      </c>
      <c r="R45" s="2219">
        <f>'VVP2'!R131</f>
        <v>7.4064505195753805</v>
      </c>
      <c r="S45" s="2219">
        <f>'VVP2'!S131</f>
        <v>11.0869627998611</v>
      </c>
      <c r="T45" s="2219">
        <f>'VVP2'!T131</f>
        <v>2.6280823574654777</v>
      </c>
      <c r="U45" s="2219">
        <f>'VVP2'!U131</f>
        <v>-14.814172950076221</v>
      </c>
      <c r="V45" s="2219">
        <f>'VVP2'!V131</f>
        <v>1.639826991162785</v>
      </c>
      <c r="W45" s="2219">
        <f>'VVP2'!W131</f>
        <v>6.0431373864246796</v>
      </c>
      <c r="X45" s="2219">
        <f>'VVP2'!X131</f>
        <v>3.8269382239940919</v>
      </c>
      <c r="Y45" s="2219">
        <f>'VVP2'!Y131</f>
        <v>3.498577230569011</v>
      </c>
      <c r="Z45" s="2219">
        <f>'VVP2'!Z131</f>
        <v>3.5375855747539431</v>
      </c>
      <c r="AA45" s="2219">
        <f>'VVP2'!AA131</f>
        <v>2.0346676424249033</v>
      </c>
      <c r="AB45" s="2219">
        <f>'VVP2'!AB131</f>
        <v>2.3448829366414126</v>
      </c>
      <c r="AC45" s="2219">
        <f>'VVP2'!AC131</f>
        <v>3.8289347486644365</v>
      </c>
      <c r="AD45" s="2219">
        <f ca="1">'VVP2'!AD131</f>
        <v>3.1205873424164476</v>
      </c>
      <c r="AE45" s="2219">
        <f ca="1">'VVP2'!AE131</f>
        <v>2.6426635456776815</v>
      </c>
      <c r="AG45" s="3657"/>
      <c r="AH45" s="3657"/>
      <c r="AI45" s="3657"/>
      <c r="AJ45" s="3657"/>
    </row>
    <row r="46" spans="1:119" s="699" customFormat="1" ht="12.75" customHeight="1">
      <c r="A46" s="664"/>
      <c r="B46" s="664"/>
      <c r="C46" s="666"/>
      <c r="D46" s="728"/>
      <c r="E46" s="729" t="s">
        <v>1311</v>
      </c>
      <c r="F46" s="730"/>
      <c r="G46" s="731">
        <f>+InputY!$G$3</f>
        <v>1995</v>
      </c>
      <c r="H46" s="731">
        <f>+G46+1</f>
        <v>1996</v>
      </c>
      <c r="I46" s="731">
        <f t="shared" ref="I46:O46" si="44">+H46+1</f>
        <v>1997</v>
      </c>
      <c r="J46" s="731">
        <f t="shared" si="44"/>
        <v>1998</v>
      </c>
      <c r="K46" s="731">
        <f t="shared" si="44"/>
        <v>1999</v>
      </c>
      <c r="L46" s="731">
        <f t="shared" si="44"/>
        <v>2000</v>
      </c>
      <c r="M46" s="731">
        <f t="shared" si="44"/>
        <v>2001</v>
      </c>
      <c r="N46" s="731">
        <f t="shared" si="44"/>
        <v>2002</v>
      </c>
      <c r="O46" s="731">
        <f t="shared" si="44"/>
        <v>2003</v>
      </c>
      <c r="P46" s="3514">
        <f t="shared" ref="P46:V46" si="45">+O46+1</f>
        <v>2004</v>
      </c>
      <c r="Q46" s="3514">
        <f t="shared" si="45"/>
        <v>2005</v>
      </c>
      <c r="R46" s="3514">
        <f t="shared" si="45"/>
        <v>2006</v>
      </c>
      <c r="S46" s="3514">
        <f t="shared" si="45"/>
        <v>2007</v>
      </c>
      <c r="T46" s="3515">
        <f t="shared" si="45"/>
        <v>2008</v>
      </c>
      <c r="U46" s="3515">
        <f t="shared" si="45"/>
        <v>2009</v>
      </c>
      <c r="V46" s="3515">
        <f t="shared" si="45"/>
        <v>2010</v>
      </c>
      <c r="W46" s="3515">
        <f t="shared" ref="W46:AE46" si="46">+V46+1</f>
        <v>2011</v>
      </c>
      <c r="X46" s="3515">
        <f t="shared" si="46"/>
        <v>2012</v>
      </c>
      <c r="Y46" s="3515">
        <f t="shared" si="46"/>
        <v>2013</v>
      </c>
      <c r="Z46" s="3515">
        <f t="shared" si="46"/>
        <v>2014</v>
      </c>
      <c r="AA46" s="3515">
        <f t="shared" si="46"/>
        <v>2015</v>
      </c>
      <c r="AB46" s="3515">
        <f t="shared" si="46"/>
        <v>2016</v>
      </c>
      <c r="AC46" s="3515">
        <f t="shared" si="46"/>
        <v>2017</v>
      </c>
      <c r="AD46" s="3515">
        <f t="shared" si="46"/>
        <v>2018</v>
      </c>
      <c r="AE46" s="3515">
        <f t="shared" si="46"/>
        <v>2019</v>
      </c>
      <c r="AF46"/>
      <c r="AG46" s="3657"/>
      <c r="AH46" s="3657"/>
      <c r="AI46" s="3657"/>
      <c r="AJ46" s="3657"/>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row>
    <row r="47" spans="1:119">
      <c r="A47" s="1130"/>
      <c r="C47" s="762" t="s">
        <v>1769</v>
      </c>
      <c r="D47" s="989"/>
      <c r="E47" s="990" t="s">
        <v>733</v>
      </c>
      <c r="F47" s="991" t="s">
        <v>734</v>
      </c>
      <c r="G47" s="1686"/>
      <c r="H47" s="1095" t="e">
        <f t="shared" ref="H47:P48" si="47">(H30/G30-1)*100</f>
        <v>#VALUE!</v>
      </c>
      <c r="I47" s="1095" t="e">
        <f t="shared" si="47"/>
        <v>#VALUE!</v>
      </c>
      <c r="J47" s="1095" t="e">
        <f t="shared" si="47"/>
        <v>#VALUE!</v>
      </c>
      <c r="K47" s="1095" t="e">
        <f t="shared" si="47"/>
        <v>#VALUE!</v>
      </c>
      <c r="L47" s="1095" t="e">
        <f t="shared" si="47"/>
        <v>#VALUE!</v>
      </c>
      <c r="M47" s="1095">
        <f t="shared" si="47"/>
        <v>-4.6137848407441506</v>
      </c>
      <c r="N47" s="1095">
        <f t="shared" si="47"/>
        <v>4.9684804246848069</v>
      </c>
      <c r="O47" s="1095">
        <f t="shared" si="47"/>
        <v>3.4667268724953182</v>
      </c>
      <c r="P47" s="3516">
        <f t="shared" si="47"/>
        <v>0.39713712141049573</v>
      </c>
      <c r="Q47" s="3516">
        <f t="shared" ref="Q47:Q53" si="48">(Q30/P30-1)*100</f>
        <v>3.0993262334275018</v>
      </c>
      <c r="R47" s="3516">
        <f t="shared" ref="R47:AB47" si="49">(R30/Q30-1)*100</f>
        <v>3.0419934227169154</v>
      </c>
      <c r="S47" s="3516">
        <f t="shared" si="49"/>
        <v>3.2570224431760275</v>
      </c>
      <c r="T47" s="3516">
        <f t="shared" si="49"/>
        <v>2.5787085653147246</v>
      </c>
      <c r="U47" s="3516">
        <f t="shared" si="49"/>
        <v>-9.4722101501762523</v>
      </c>
      <c r="V47" s="3516">
        <f t="shared" si="49"/>
        <v>-4.3910088865656167</v>
      </c>
      <c r="W47" s="3516">
        <f t="shared" si="49"/>
        <v>1.3467825621227281</v>
      </c>
      <c r="X47" s="3516">
        <f t="shared" si="49"/>
        <v>2.0324129123177936</v>
      </c>
      <c r="Y47" s="3516">
        <f t="shared" si="49"/>
        <v>0.85245052549798306</v>
      </c>
      <c r="Z47" s="3516">
        <f t="shared" si="49"/>
        <v>1.7557562269964855</v>
      </c>
      <c r="AA47" s="3516">
        <f t="shared" si="49"/>
        <v>0.66978602597129733</v>
      </c>
      <c r="AB47" s="3516">
        <f t="shared" si="49"/>
        <v>1.766205009295807</v>
      </c>
      <c r="AC47" s="3517">
        <v>0.24324407541596593</v>
      </c>
      <c r="AD47" s="3517">
        <v>-0.45</v>
      </c>
      <c r="AE47" s="3517">
        <v>-0.21</v>
      </c>
      <c r="AF47" s="3654"/>
      <c r="AG47" s="3657"/>
      <c r="AH47" s="3656"/>
      <c r="AI47" s="3656"/>
      <c r="AJ47" s="3657"/>
    </row>
    <row r="48" spans="1:119">
      <c r="A48" s="1130"/>
      <c r="C48" s="932" t="s">
        <v>1767</v>
      </c>
      <c r="D48" s="674"/>
      <c r="E48" s="220" t="s">
        <v>1022</v>
      </c>
      <c r="F48" s="704" t="s">
        <v>1023</v>
      </c>
      <c r="G48" s="1559"/>
      <c r="H48" s="1044">
        <f t="shared" si="47"/>
        <v>1.9083969465648831</v>
      </c>
      <c r="I48" s="1044">
        <f t="shared" si="47"/>
        <v>2.3408239700374533</v>
      </c>
      <c r="J48" s="1044">
        <f t="shared" si="47"/>
        <v>0.32021957913999088</v>
      </c>
      <c r="K48" s="1044">
        <f t="shared" si="47"/>
        <v>6.2927496580027276</v>
      </c>
      <c r="L48" s="1044">
        <f t="shared" si="47"/>
        <v>2.5740025740025763</v>
      </c>
      <c r="M48" s="1044">
        <f t="shared" si="47"/>
        <v>-1.9238812212463374</v>
      </c>
      <c r="N48" s="1044">
        <f t="shared" si="47"/>
        <v>-3.2835820895522394</v>
      </c>
      <c r="O48" s="1044">
        <f t="shared" si="47"/>
        <v>-4.629629629629628</v>
      </c>
      <c r="P48" s="3508">
        <f t="shared" si="47"/>
        <v>4.8081368469717889</v>
      </c>
      <c r="Q48" s="3508">
        <f t="shared" si="48"/>
        <v>-0.37494486104983071</v>
      </c>
      <c r="R48" s="3508">
        <f t="shared" ref="R48:AB50" si="50">(R31/Q31-1)*100</f>
        <v>-13.252158512286915</v>
      </c>
      <c r="S48" s="3508">
        <f t="shared" si="50"/>
        <v>14.454879542670461</v>
      </c>
      <c r="T48" s="3508">
        <f t="shared" si="50"/>
        <v>-2.6757046022118924E-2</v>
      </c>
      <c r="U48" s="3508">
        <f t="shared" si="50"/>
        <v>-1.2579177446694567</v>
      </c>
      <c r="V48" s="3508">
        <f t="shared" si="50"/>
        <v>-2.9318756776292032</v>
      </c>
      <c r="W48" s="3508">
        <f t="shared" si="50"/>
        <v>-1.4892725834225407</v>
      </c>
      <c r="X48" s="3508">
        <f t="shared" si="50"/>
        <v>-2.1353994425284517</v>
      </c>
      <c r="Y48" s="3508">
        <f t="shared" si="50"/>
        <v>-1.0089307265266689</v>
      </c>
      <c r="Z48" s="3508">
        <f t="shared" si="50"/>
        <v>1.0094606456646726</v>
      </c>
      <c r="AA48" s="3508">
        <f t="shared" si="50"/>
        <v>3.1139863853618444</v>
      </c>
      <c r="AB48" s="3508">
        <f t="shared" si="50"/>
        <v>2.5236445360052429</v>
      </c>
      <c r="AC48" s="3518">
        <v>-1.8130337489153641</v>
      </c>
      <c r="AD48" s="3518">
        <v>-1</v>
      </c>
      <c r="AE48" s="3518">
        <v>-0.2</v>
      </c>
      <c r="AF48" s="3654"/>
      <c r="AG48" s="3657"/>
      <c r="AH48" s="3344"/>
      <c r="AI48" s="3344"/>
    </row>
    <row r="49" spans="1:119" s="699" customFormat="1" ht="12.75" customHeight="1">
      <c r="A49" s="664"/>
      <c r="B49" s="664"/>
      <c r="C49" s="942" t="s">
        <v>1769</v>
      </c>
      <c r="D49" s="717"/>
      <c r="E49" s="718" t="s">
        <v>716</v>
      </c>
      <c r="F49" s="723" t="s">
        <v>557</v>
      </c>
      <c r="G49" s="720"/>
      <c r="H49" s="721" t="e">
        <f>(H32/G32-1)*100</f>
        <v>#VALUE!</v>
      </c>
      <c r="I49" s="721" t="e">
        <f t="shared" ref="I49:P49" si="51">(I32/H32-1)*100</f>
        <v>#VALUE!</v>
      </c>
      <c r="J49" s="721" t="e">
        <f t="shared" si="51"/>
        <v>#VALUE!</v>
      </c>
      <c r="K49" s="721" t="e">
        <f t="shared" si="51"/>
        <v>#VALUE!</v>
      </c>
      <c r="L49" s="721" t="e">
        <f t="shared" si="51"/>
        <v>#VALUE!</v>
      </c>
      <c r="M49" s="721">
        <f t="shared" si="51"/>
        <v>-4.0415005694760637</v>
      </c>
      <c r="N49" s="721">
        <f t="shared" si="51"/>
        <v>3.1740880176554631</v>
      </c>
      <c r="O49" s="721">
        <f t="shared" si="51"/>
        <v>1.8163843077337649</v>
      </c>
      <c r="P49" s="3500">
        <f t="shared" si="51"/>
        <v>1.2393411365923646</v>
      </c>
      <c r="Q49" s="3500">
        <f t="shared" si="48"/>
        <v>2.4125904612433358</v>
      </c>
      <c r="R49" s="3500">
        <f t="shared" si="50"/>
        <v>-9.1097167474052387E-2</v>
      </c>
      <c r="S49" s="3500">
        <f t="shared" si="50"/>
        <v>5.1265445249254471</v>
      </c>
      <c r="T49" s="2948">
        <f t="shared" si="50"/>
        <v>2.1051181038535649</v>
      </c>
      <c r="U49" s="2948">
        <f t="shared" ref="U49:AB49" si="52">(U32/T32-1)*100</f>
        <v>-8.0102887355810957</v>
      </c>
      <c r="V49" s="2948">
        <f t="shared" si="52"/>
        <v>-4.1122608372960112</v>
      </c>
      <c r="W49" s="2948">
        <f t="shared" si="52"/>
        <v>0.79832235302590426</v>
      </c>
      <c r="X49" s="2948">
        <f t="shared" si="52"/>
        <v>1.2446984240367831</v>
      </c>
      <c r="Y49" s="2948">
        <f t="shared" si="52"/>
        <v>0.51239538226812709</v>
      </c>
      <c r="Z49" s="2948">
        <f t="shared" si="52"/>
        <v>1.6214793366675417</v>
      </c>
      <c r="AA49" s="2948">
        <f t="shared" si="52"/>
        <v>1.1069091160268663</v>
      </c>
      <c r="AB49" s="2948">
        <f t="shared" si="52"/>
        <v>1.9043552519214302</v>
      </c>
      <c r="AC49" s="2948">
        <f t="shared" ref="AC49" si="53">(AC32/AB32-1)*100</f>
        <v>-0.13408195759657682</v>
      </c>
      <c r="AD49" s="2948">
        <f t="shared" ref="AD49" si="54">(AD32/AC32-1)*100</f>
        <v>-0.54922799362252528</v>
      </c>
      <c r="AE49" s="2948">
        <f t="shared" ref="AE49" si="55">(AE32/AD32-1)*100</f>
        <v>-0.20820403215663363</v>
      </c>
      <c r="AF49" s="3344"/>
      <c r="AG49" s="3657"/>
      <c r="AH49" s="3344"/>
      <c r="AI49" s="3344"/>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row>
    <row r="50" spans="1:119" s="699" customFormat="1" ht="12.75" customHeight="1">
      <c r="A50" s="664"/>
      <c r="B50" s="664"/>
      <c r="C50" s="692" t="s">
        <v>1767</v>
      </c>
      <c r="D50" s="674"/>
      <c r="E50" s="220" t="s">
        <v>238</v>
      </c>
      <c r="F50" s="710" t="s">
        <v>717</v>
      </c>
      <c r="G50" s="705"/>
      <c r="H50" s="706" t="e">
        <f>(H33/G33-1)*100</f>
        <v>#VALUE!</v>
      </c>
      <c r="I50" s="706" t="e">
        <f t="shared" ref="I50:P50" si="56">(I33/H33-1)*100</f>
        <v>#VALUE!</v>
      </c>
      <c r="J50" s="706" t="e">
        <f t="shared" si="56"/>
        <v>#VALUE!</v>
      </c>
      <c r="K50" s="706" t="e">
        <f t="shared" si="56"/>
        <v>#VALUE!</v>
      </c>
      <c r="L50" s="706" t="e">
        <f t="shared" si="56"/>
        <v>#VALUE!</v>
      </c>
      <c r="M50" s="706">
        <f t="shared" si="56"/>
        <v>-2.8254948247685485</v>
      </c>
      <c r="N50" s="706">
        <f t="shared" si="56"/>
        <v>5.4041932952124894</v>
      </c>
      <c r="O50" s="706">
        <f t="shared" si="56"/>
        <v>3.8364712973797621</v>
      </c>
      <c r="P50" s="3511">
        <f t="shared" si="56"/>
        <v>-10.124637186272945</v>
      </c>
      <c r="Q50" s="3511">
        <f t="shared" si="48"/>
        <v>-6.4779635258357722</v>
      </c>
      <c r="R50" s="3511">
        <f t="shared" si="50"/>
        <v>-1.3772090188909569</v>
      </c>
      <c r="S50" s="3511">
        <f t="shared" si="50"/>
        <v>-12.885154061624638</v>
      </c>
      <c r="T50" s="3511">
        <f t="shared" si="50"/>
        <v>-21.288065065254493</v>
      </c>
      <c r="U50" s="3511">
        <f t="shared" ref="U50:AC50" si="57">(U33/T33-1)*100</f>
        <v>-5.2144659377627356</v>
      </c>
      <c r="V50" s="3511">
        <f t="shared" si="57"/>
        <v>-14.000507035112131</v>
      </c>
      <c r="W50" s="3511">
        <f t="shared" si="57"/>
        <v>-2.166703515365942</v>
      </c>
      <c r="X50" s="3511">
        <f t="shared" si="57"/>
        <v>6.2222222222222179</v>
      </c>
      <c r="Y50" s="3511">
        <f t="shared" si="57"/>
        <v>7.9285157081058433</v>
      </c>
      <c r="Z50" s="3511">
        <f t="shared" si="57"/>
        <v>4.8886260595307318</v>
      </c>
      <c r="AA50" s="3511">
        <f t="shared" si="57"/>
        <v>2.5684395163817264</v>
      </c>
      <c r="AB50" s="3511">
        <f t="shared" si="57"/>
        <v>2.5529835705124571</v>
      </c>
      <c r="AC50" s="3511">
        <f t="shared" si="57"/>
        <v>-3.2755642903937954</v>
      </c>
      <c r="AD50" s="2938">
        <v>-0.5</v>
      </c>
      <c r="AE50" s="2938">
        <v>-1</v>
      </c>
      <c r="AF50" s="2938">
        <v>-0.5</v>
      </c>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row>
    <row r="51" spans="1:119">
      <c r="A51" s="1130"/>
      <c r="C51" s="693" t="s">
        <v>1769</v>
      </c>
      <c r="D51" s="717"/>
      <c r="E51" s="718" t="s">
        <v>752</v>
      </c>
      <c r="F51" s="719" t="s">
        <v>553</v>
      </c>
      <c r="G51" s="720"/>
      <c r="H51" s="721" t="e">
        <f t="shared" ref="H51:AE53" si="58">(H34/G34-1)*100</f>
        <v>#VALUE!</v>
      </c>
      <c r="I51" s="721" t="e">
        <f t="shared" si="58"/>
        <v>#VALUE!</v>
      </c>
      <c r="J51" s="721" t="e">
        <f t="shared" si="58"/>
        <v>#VALUE!</v>
      </c>
      <c r="K51" s="721" t="e">
        <f t="shared" si="58"/>
        <v>#VALUE!</v>
      </c>
      <c r="L51" s="721" t="e">
        <f t="shared" si="58"/>
        <v>#VALUE!</v>
      </c>
      <c r="M51" s="721">
        <f t="shared" si="58"/>
        <v>-3.8021998441955751</v>
      </c>
      <c r="N51" s="721">
        <f t="shared" si="58"/>
        <v>3.6174117192549815</v>
      </c>
      <c r="O51" s="721">
        <f t="shared" si="58"/>
        <v>2.2248831273123493</v>
      </c>
      <c r="P51" s="3500">
        <f t="shared" si="58"/>
        <v>-1.0948930708208682</v>
      </c>
      <c r="Q51" s="3500">
        <f t="shared" si="48"/>
        <v>0.75313807531380839</v>
      </c>
      <c r="R51" s="3500">
        <f>(R34/Q34-1)*100</f>
        <v>-0.31392533363365782</v>
      </c>
      <c r="S51" s="3500">
        <f>(S34/R34-1)*100</f>
        <v>2.0391735980681558</v>
      </c>
      <c r="T51" s="2948">
        <f t="shared" si="58"/>
        <v>-1.3182113843641541</v>
      </c>
      <c r="U51" s="2948">
        <f t="shared" si="58"/>
        <v>-7.68394701596673</v>
      </c>
      <c r="V51" s="2948">
        <f>(V34/U34-1)*100</f>
        <v>-5.2973391770666396</v>
      </c>
      <c r="W51" s="2948">
        <f>(W34/V34-1)*100</f>
        <v>0.47562902540163599</v>
      </c>
      <c r="X51" s="2948">
        <f t="shared" si="58"/>
        <v>1.7721721082461839</v>
      </c>
      <c r="Y51" s="2948">
        <f t="shared" si="58"/>
        <v>1.3326535414542429</v>
      </c>
      <c r="Z51" s="2948">
        <f t="shared" si="58"/>
        <v>2.0063627708241327</v>
      </c>
      <c r="AA51" s="2948">
        <f t="shared" si="58"/>
        <v>1.2839483688847464</v>
      </c>
      <c r="AB51" s="2948">
        <f t="shared" si="58"/>
        <v>1.9839218418706395</v>
      </c>
      <c r="AC51" s="2948">
        <f t="shared" si="58"/>
        <v>-0.52159475760537033</v>
      </c>
      <c r="AD51" s="2948">
        <f t="shared" si="58"/>
        <v>-0.54332365908232871</v>
      </c>
      <c r="AE51" s="2948">
        <f t="shared" si="58"/>
        <v>-0.30321226620060315</v>
      </c>
    </row>
    <row r="52" spans="1:119">
      <c r="A52" s="1130"/>
      <c r="C52" s="693" t="s">
        <v>1767</v>
      </c>
      <c r="D52" s="674"/>
      <c r="E52" s="220" t="s">
        <v>719</v>
      </c>
      <c r="F52" s="704" t="s">
        <v>272</v>
      </c>
      <c r="G52" s="705"/>
      <c r="H52" s="706" t="e">
        <f t="shared" si="58"/>
        <v>#VALUE!</v>
      </c>
      <c r="I52" s="706" t="e">
        <f t="shared" si="58"/>
        <v>#VALUE!</v>
      </c>
      <c r="J52" s="706" t="e">
        <f t="shared" si="58"/>
        <v>#VALUE!</v>
      </c>
      <c r="K52" s="706" t="e">
        <f t="shared" si="58"/>
        <v>#VALUE!</v>
      </c>
      <c r="L52" s="706" t="e">
        <f t="shared" si="58"/>
        <v>#VALUE!</v>
      </c>
      <c r="M52" s="706">
        <f t="shared" si="58"/>
        <v>206.46067415731036</v>
      </c>
      <c r="N52" s="706">
        <f t="shared" si="58"/>
        <v>48.945921173234439</v>
      </c>
      <c r="O52" s="706">
        <f t="shared" si="58"/>
        <v>6.2769230769229578</v>
      </c>
      <c r="P52" s="3511">
        <f t="shared" si="58"/>
        <v>-11.812391430225622</v>
      </c>
      <c r="Q52" s="3511">
        <f t="shared" si="48"/>
        <v>11.818778726197987</v>
      </c>
      <c r="R52" s="3511">
        <f>(R35/Q35-1)*100</f>
        <v>-12.037580739870569</v>
      </c>
      <c r="S52" s="3511">
        <f t="shared" ref="S52:AC52" si="59">(S35/R35-1)*100</f>
        <v>-39.252336448598811</v>
      </c>
      <c r="T52" s="3511">
        <f t="shared" si="59"/>
        <v>-67.802197802196787</v>
      </c>
      <c r="U52" s="3511">
        <f t="shared" si="59"/>
        <v>-38.225255972699443</v>
      </c>
      <c r="V52" s="3511">
        <f t="shared" si="59"/>
        <v>-45.303867403312772</v>
      </c>
      <c r="W52" s="3511">
        <f t="shared" si="59"/>
        <v>-9.090909090923704</v>
      </c>
      <c r="X52" s="3511">
        <f t="shared" si="59"/>
        <v>22.222222222230648</v>
      </c>
      <c r="Y52" s="3511">
        <f t="shared" si="59"/>
        <v>16.363636363643508</v>
      </c>
      <c r="Z52" s="3511">
        <f t="shared" si="59"/>
        <v>16.406250000003197</v>
      </c>
      <c r="AA52" s="3511">
        <f t="shared" si="59"/>
        <v>-36.912751677849073</v>
      </c>
      <c r="AB52" s="3511">
        <f t="shared" si="59"/>
        <v>-4.2553191489562376</v>
      </c>
      <c r="AC52" s="3511">
        <f t="shared" si="59"/>
        <v>78.888888888930154</v>
      </c>
      <c r="AD52" s="2938">
        <f>AD51</f>
        <v>-0.54332365908232871</v>
      </c>
      <c r="AE52" s="2938">
        <f>AE51</f>
        <v>-0.30321226620060315</v>
      </c>
      <c r="AG52" s="3344"/>
      <c r="AH52" s="3344"/>
      <c r="AI52" s="3344"/>
    </row>
    <row r="53" spans="1:119" s="699" customFormat="1" ht="12.75" customHeight="1">
      <c r="A53" s="664"/>
      <c r="B53" s="664"/>
      <c r="C53" s="692" t="s">
        <v>1769</v>
      </c>
      <c r="D53" s="717"/>
      <c r="E53" s="722" t="s">
        <v>753</v>
      </c>
      <c r="F53" s="723" t="s">
        <v>881</v>
      </c>
      <c r="G53" s="721"/>
      <c r="H53" s="721" t="e">
        <f t="shared" si="58"/>
        <v>#VALUE!</v>
      </c>
      <c r="I53" s="721" t="e">
        <f t="shared" si="58"/>
        <v>#VALUE!</v>
      </c>
      <c r="J53" s="721" t="e">
        <f t="shared" si="58"/>
        <v>#VALUE!</v>
      </c>
      <c r="K53" s="721" t="e">
        <f t="shared" si="58"/>
        <v>#VALUE!</v>
      </c>
      <c r="L53" s="721" t="e">
        <f t="shared" si="58"/>
        <v>#VALUE!</v>
      </c>
      <c r="M53" s="721">
        <f t="shared" si="58"/>
        <v>-3.2685795758331748</v>
      </c>
      <c r="N53" s="721">
        <f t="shared" si="58"/>
        <v>3.9818704399734672</v>
      </c>
      <c r="O53" s="721">
        <f t="shared" si="58"/>
        <v>2.2715513880915417</v>
      </c>
      <c r="P53" s="3500">
        <f t="shared" si="58"/>
        <v>-1.2231631762048001</v>
      </c>
      <c r="Q53" s="3500">
        <f t="shared" si="48"/>
        <v>0.87137715476417466</v>
      </c>
      <c r="R53" s="3500">
        <f>(R36/Q36-1)*100</f>
        <v>-0.45279081898800255</v>
      </c>
      <c r="S53" s="3500">
        <f>(S36/R36-1)*100</f>
        <v>1.6069981274978273</v>
      </c>
      <c r="T53" s="2948">
        <f t="shared" si="58"/>
        <v>-1.734239190229947</v>
      </c>
      <c r="U53" s="2948">
        <f t="shared" si="58"/>
        <v>-7.7465675777805831</v>
      </c>
      <c r="V53" s="2948">
        <f t="shared" si="58"/>
        <v>-5.3522665210267606</v>
      </c>
      <c r="W53" s="2948">
        <f t="shared" si="58"/>
        <v>0.46803872539591396</v>
      </c>
      <c r="X53" s="2948">
        <f>(X36/W36-1)*100</f>
        <v>1.7868538608806661</v>
      </c>
      <c r="Y53" s="2948">
        <f t="shared" si="58"/>
        <v>1.3456112852664681</v>
      </c>
      <c r="Z53" s="2948">
        <f t="shared" si="58"/>
        <v>2.0206160056295719</v>
      </c>
      <c r="AA53" s="2948">
        <f t="shared" si="58"/>
        <v>1.2408095202001146</v>
      </c>
      <c r="AB53" s="2948">
        <f t="shared" si="58"/>
        <v>1.979530872146551</v>
      </c>
      <c r="AC53" s="3688">
        <f t="shared" si="58"/>
        <v>-0.46912510737017188</v>
      </c>
      <c r="AD53" s="3688">
        <f t="shared" si="58"/>
        <v>-0.54332365908232871</v>
      </c>
      <c r="AE53" s="3688">
        <f t="shared" si="58"/>
        <v>-0.30321226620059205</v>
      </c>
      <c r="AF53" s="3654" t="s">
        <v>2604</v>
      </c>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row>
    <row r="54" spans="1:119">
      <c r="A54" s="1130"/>
      <c r="C54" s="880" t="s">
        <v>1767</v>
      </c>
      <c r="D54" s="691"/>
      <c r="E54" s="735" t="s">
        <v>966</v>
      </c>
      <c r="F54" s="764" t="s">
        <v>620</v>
      </c>
      <c r="G54" s="765"/>
      <c r="H54" s="741">
        <f>(H38/G38-1)*100</f>
        <v>15.356151711378342</v>
      </c>
      <c r="I54" s="741">
        <f>(I38/H38-1)*100</f>
        <v>-16.118684843624699</v>
      </c>
      <c r="J54" s="741">
        <f t="shared" ref="J54:AE54" si="60">(J38/I38-1)*100</f>
        <v>117.0172084130019</v>
      </c>
      <c r="K54" s="741">
        <f t="shared" si="60"/>
        <v>9.6916299559471462</v>
      </c>
      <c r="L54" s="741">
        <f t="shared" si="60"/>
        <v>10.040160642570273</v>
      </c>
      <c r="M54" s="741">
        <f t="shared" si="60"/>
        <v>3.649635036496357</v>
      </c>
      <c r="N54" s="741">
        <f t="shared" si="60"/>
        <v>-21.126760563380287</v>
      </c>
      <c r="O54" s="741">
        <f t="shared" si="60"/>
        <v>-8.9285714285714306</v>
      </c>
      <c r="P54" s="3499">
        <f t="shared" si="60"/>
        <v>-15.19607843137255</v>
      </c>
      <c r="Q54" s="3499">
        <f>(Q38/P38-1)*100</f>
        <v>-24.855491329479772</v>
      </c>
      <c r="R54" s="3499">
        <f>(R38/Q38-1)*100</f>
        <v>-32.307692307692307</v>
      </c>
      <c r="S54" s="3499">
        <f>(S38/R38-1)*100</f>
        <v>-27.27272727272727</v>
      </c>
      <c r="T54" s="3499">
        <f>(T38/S38-1)*100</f>
        <v>37.5</v>
      </c>
      <c r="U54" s="2949">
        <f t="shared" si="60"/>
        <v>139.77272727272728</v>
      </c>
      <c r="V54" s="2949">
        <f t="shared" si="60"/>
        <v>27.96208530805686</v>
      </c>
      <c r="W54" s="2949">
        <f t="shared" si="60"/>
        <v>-15.555555555555555</v>
      </c>
      <c r="X54" s="2949">
        <f t="shared" si="60"/>
        <v>-13.596491228070173</v>
      </c>
      <c r="Y54" s="2949">
        <f t="shared" si="60"/>
        <v>-12.690355329949243</v>
      </c>
      <c r="Z54" s="2949">
        <f t="shared" si="60"/>
        <v>-8.139534883720934</v>
      </c>
      <c r="AA54" s="2949">
        <f t="shared" si="60"/>
        <v>-15.189873417721522</v>
      </c>
      <c r="AB54" s="2949">
        <f t="shared" si="60"/>
        <v>-13.432835820895528</v>
      </c>
      <c r="AC54" s="2949">
        <f t="shared" si="60"/>
        <v>-11.206896551724132</v>
      </c>
      <c r="AD54" s="2949">
        <f t="shared" si="60"/>
        <v>-7.6998639408632936</v>
      </c>
      <c r="AE54" s="2949">
        <f t="shared" si="60"/>
        <v>0.58905917223748272</v>
      </c>
    </row>
    <row r="55" spans="1:119" s="699" customFormat="1" ht="12.75" customHeight="1">
      <c r="A55" s="664"/>
      <c r="B55" s="664"/>
      <c r="C55" s="666" t="s">
        <v>1769</v>
      </c>
      <c r="D55" s="717"/>
      <c r="E55" s="722" t="s">
        <v>1977</v>
      </c>
      <c r="F55" s="723" t="s">
        <v>715</v>
      </c>
      <c r="G55" s="721"/>
      <c r="H55" s="721" t="e">
        <f>(H43/G43-1)*100</f>
        <v>#VALUE!</v>
      </c>
      <c r="I55" s="721" t="e">
        <f t="shared" ref="I55:AE55" si="61">(I43/H43-1)*100</f>
        <v>#VALUE!</v>
      </c>
      <c r="J55" s="721" t="e">
        <f t="shared" si="61"/>
        <v>#VALUE!</v>
      </c>
      <c r="K55" s="721" t="e">
        <f t="shared" si="61"/>
        <v>#VALUE!</v>
      </c>
      <c r="L55" s="721" t="e">
        <f t="shared" si="61"/>
        <v>#VALUE!</v>
      </c>
      <c r="M55" s="721">
        <f t="shared" si="61"/>
        <v>-2.1380647085134874</v>
      </c>
      <c r="N55" s="721">
        <f t="shared" si="61"/>
        <v>-0.36382473033091944</v>
      </c>
      <c r="O55" s="721">
        <f t="shared" si="61"/>
        <v>0.73703461310270502</v>
      </c>
      <c r="P55" s="3500">
        <f t="shared" si="61"/>
        <v>-2.9538913648010312</v>
      </c>
      <c r="Q55" s="3500">
        <f>(Q43/P43-1)*100</f>
        <v>-1.9132469515056316</v>
      </c>
      <c r="R55" s="3500">
        <f>(R43/Q43-1)*100</f>
        <v>-3.0942433423696403</v>
      </c>
      <c r="S55" s="3500">
        <f>(S43/R43-1)*100</f>
        <v>-6.5822384876645934E-2</v>
      </c>
      <c r="T55" s="2948">
        <f t="shared" si="61"/>
        <v>-8.0356201918008185E-2</v>
      </c>
      <c r="U55" s="2948">
        <f t="shared" si="61"/>
        <v>0.81080012129042256</v>
      </c>
      <c r="V55" s="2948">
        <f t="shared" si="61"/>
        <v>-0.75589150733659238</v>
      </c>
      <c r="W55" s="2948">
        <f t="shared" si="61"/>
        <v>-2.3824583596879667</v>
      </c>
      <c r="X55" s="2948">
        <f t="shared" si="61"/>
        <v>-0.58045356371489998</v>
      </c>
      <c r="Y55" s="2948">
        <f t="shared" si="61"/>
        <v>-0.53156822810590532</v>
      </c>
      <c r="Z55" s="2948">
        <f t="shared" si="61"/>
        <v>0.82789027894372147</v>
      </c>
      <c r="AA55" s="2948">
        <f t="shared" si="61"/>
        <v>-0.51648277262572595</v>
      </c>
      <c r="AB55" s="2948">
        <f t="shared" si="61"/>
        <v>0.57427857954506223</v>
      </c>
      <c r="AC55" s="2948">
        <f t="shared" si="61"/>
        <v>-2.200000000000002</v>
      </c>
      <c r="AD55" s="2948">
        <f t="shared" si="61"/>
        <v>-0.14999999999999458</v>
      </c>
      <c r="AE55" s="2948">
        <f t="shared" si="61"/>
        <v>-0.24444399999998812</v>
      </c>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row>
    <row r="56" spans="1:119">
      <c r="A56" s="1130"/>
      <c r="G56" s="705"/>
      <c r="H56" s="705"/>
      <c r="I56" s="705"/>
      <c r="J56" s="705"/>
      <c r="K56" s="705"/>
      <c r="L56" s="705"/>
      <c r="M56" s="705"/>
      <c r="N56" s="705"/>
      <c r="O56" s="705"/>
      <c r="P56" s="3493"/>
      <c r="Q56" s="3493"/>
      <c r="R56" s="3493"/>
      <c r="S56" s="3493"/>
      <c r="T56" s="2950"/>
      <c r="U56" s="2950"/>
      <c r="V56" s="2950"/>
      <c r="W56" s="2950"/>
      <c r="X56" s="2950"/>
      <c r="Y56" s="2950"/>
      <c r="Z56" s="2950"/>
      <c r="AA56" s="2950"/>
      <c r="AB56" s="2950"/>
      <c r="AC56" s="2950"/>
      <c r="AD56" s="2950"/>
      <c r="AE56" s="2950"/>
    </row>
    <row r="57" spans="1:119" s="699" customFormat="1" ht="12.75" customHeight="1">
      <c r="A57" s="664"/>
      <c r="B57" s="664"/>
      <c r="C57" s="666"/>
      <c r="D57" s="858"/>
      <c r="E57" s="859" t="str">
        <f>+E20</f>
        <v>Growth (1000 persons)</v>
      </c>
      <c r="F57" s="860"/>
      <c r="G57" s="861">
        <f>+InputY!$G$3</f>
        <v>1995</v>
      </c>
      <c r="H57" s="861">
        <f>+G57+1</f>
        <v>1996</v>
      </c>
      <c r="I57" s="861">
        <f t="shared" ref="I57:O57" si="62">+H57+1</f>
        <v>1997</v>
      </c>
      <c r="J57" s="861">
        <f t="shared" si="62"/>
        <v>1998</v>
      </c>
      <c r="K57" s="861">
        <f t="shared" si="62"/>
        <v>1999</v>
      </c>
      <c r="L57" s="861">
        <f t="shared" si="62"/>
        <v>2000</v>
      </c>
      <c r="M57" s="861">
        <f t="shared" si="62"/>
        <v>2001</v>
      </c>
      <c r="N57" s="861">
        <f t="shared" si="62"/>
        <v>2002</v>
      </c>
      <c r="O57" s="861">
        <f t="shared" si="62"/>
        <v>2003</v>
      </c>
      <c r="P57" s="3501">
        <f t="shared" ref="P57:V57" si="63">+O57+1</f>
        <v>2004</v>
      </c>
      <c r="Q57" s="3501">
        <f t="shared" si="63"/>
        <v>2005</v>
      </c>
      <c r="R57" s="3501">
        <f t="shared" si="63"/>
        <v>2006</v>
      </c>
      <c r="S57" s="3501">
        <f t="shared" si="63"/>
        <v>2007</v>
      </c>
      <c r="T57" s="3502">
        <f t="shared" si="63"/>
        <v>2008</v>
      </c>
      <c r="U57" s="3502">
        <f t="shared" si="63"/>
        <v>2009</v>
      </c>
      <c r="V57" s="3502">
        <f t="shared" si="63"/>
        <v>2010</v>
      </c>
      <c r="W57" s="3502">
        <f t="shared" ref="W57:AE57" si="64">+V57+1</f>
        <v>2011</v>
      </c>
      <c r="X57" s="3502">
        <f t="shared" si="64"/>
        <v>2012</v>
      </c>
      <c r="Y57" s="3502">
        <f t="shared" si="64"/>
        <v>2013</v>
      </c>
      <c r="Z57" s="3502">
        <f t="shared" si="64"/>
        <v>2014</v>
      </c>
      <c r="AA57" s="3502">
        <f t="shared" si="64"/>
        <v>2015</v>
      </c>
      <c r="AB57" s="3502">
        <f t="shared" si="64"/>
        <v>2016</v>
      </c>
      <c r="AC57" s="3502">
        <f t="shared" si="64"/>
        <v>2017</v>
      </c>
      <c r="AD57" s="3502">
        <f t="shared" si="64"/>
        <v>2018</v>
      </c>
      <c r="AE57" s="3502">
        <f t="shared" si="64"/>
        <v>2019</v>
      </c>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row>
    <row r="58" spans="1:119">
      <c r="A58" s="1130"/>
      <c r="C58" s="992" t="s">
        <v>1769</v>
      </c>
      <c r="D58" s="993"/>
      <c r="E58" s="994" t="s">
        <v>733</v>
      </c>
      <c r="F58" s="995" t="s">
        <v>734</v>
      </c>
      <c r="G58" s="1687"/>
      <c r="H58" s="1687" t="e">
        <f t="shared" ref="H58:AE59" si="65">+H30-G30</f>
        <v>#VALUE!</v>
      </c>
      <c r="I58" s="1687" t="e">
        <f t="shared" si="65"/>
        <v>#VALUE!</v>
      </c>
      <c r="J58" s="1687" t="e">
        <f t="shared" si="65"/>
        <v>#VALUE!</v>
      </c>
      <c r="K58" s="1687" t="e">
        <f t="shared" si="65"/>
        <v>#VALUE!</v>
      </c>
      <c r="L58" s="1687" t="e">
        <f t="shared" si="65"/>
        <v>#VALUE!</v>
      </c>
      <c r="M58" s="1687">
        <f t="shared" si="65"/>
        <v>-40.819999999999823</v>
      </c>
      <c r="N58" s="1687">
        <f t="shared" si="65"/>
        <v>41.930000000000064</v>
      </c>
      <c r="O58" s="1687">
        <f t="shared" si="65"/>
        <v>30.709999999999809</v>
      </c>
      <c r="P58" s="3519">
        <f t="shared" si="65"/>
        <v>3.6400000000001</v>
      </c>
      <c r="Q58" s="3519">
        <f t="shared" ref="Q58:Q64" si="66">+Q30-P30</f>
        <v>28.519999999999868</v>
      </c>
      <c r="R58" s="3519">
        <f t="shared" ref="R58:AB58" si="67">+R30-Q30</f>
        <v>28.860000000000014</v>
      </c>
      <c r="S58" s="3519">
        <f t="shared" si="67"/>
        <v>31.840000000000146</v>
      </c>
      <c r="T58" s="3519">
        <f t="shared" si="67"/>
        <v>26.029999999999973</v>
      </c>
      <c r="U58" s="3519">
        <f t="shared" si="67"/>
        <v>-98.080000000000041</v>
      </c>
      <c r="V58" s="3519">
        <f t="shared" si="67"/>
        <v>-41.160000000000082</v>
      </c>
      <c r="W58" s="3519">
        <f t="shared" si="67"/>
        <v>12.070000000000164</v>
      </c>
      <c r="X58" s="3519">
        <f t="shared" si="67"/>
        <v>18.460000000000036</v>
      </c>
      <c r="Y58" s="3519">
        <f t="shared" si="67"/>
        <v>7.8999999999999773</v>
      </c>
      <c r="Z58" s="3519">
        <f t="shared" si="67"/>
        <v>16.409999999999968</v>
      </c>
      <c r="AA58" s="3519">
        <f t="shared" si="67"/>
        <v>6.3700000000000045</v>
      </c>
      <c r="AB58" s="3519">
        <f t="shared" si="67"/>
        <v>16.909999999999854</v>
      </c>
      <c r="AC58" s="2939">
        <f t="shared" si="65"/>
        <v>2.3700000000003456</v>
      </c>
      <c r="AD58" s="2939">
        <f t="shared" si="65"/>
        <v>-4.3951499999999442</v>
      </c>
      <c r="AE58" s="2939">
        <f t="shared" si="65"/>
        <v>-2.0418401849999555</v>
      </c>
    </row>
    <row r="59" spans="1:119">
      <c r="A59" s="1130"/>
      <c r="C59" s="943" t="s">
        <v>1767</v>
      </c>
      <c r="D59" s="674"/>
      <c r="E59" s="220" t="s">
        <v>1022</v>
      </c>
      <c r="F59" s="704" t="s">
        <v>1023</v>
      </c>
      <c r="G59" s="1559"/>
      <c r="H59" s="1559">
        <f t="shared" si="65"/>
        <v>4</v>
      </c>
      <c r="I59" s="1559">
        <f t="shared" si="65"/>
        <v>5</v>
      </c>
      <c r="J59" s="1559">
        <f t="shared" si="65"/>
        <v>0.70000000000001705</v>
      </c>
      <c r="K59" s="1559">
        <f t="shared" si="65"/>
        <v>13.799999999999983</v>
      </c>
      <c r="L59" s="1559">
        <f t="shared" si="65"/>
        <v>6</v>
      </c>
      <c r="M59" s="1559">
        <f t="shared" si="65"/>
        <v>-4.5999999999999943</v>
      </c>
      <c r="N59" s="1559">
        <f t="shared" si="65"/>
        <v>-7.6999999999999886</v>
      </c>
      <c r="O59" s="1559">
        <f t="shared" si="65"/>
        <v>-10.5</v>
      </c>
      <c r="P59" s="3507">
        <f t="shared" si="65"/>
        <v>10.399999999999977</v>
      </c>
      <c r="Q59" s="3507">
        <f t="shared" si="66"/>
        <v>-0.84999999999996589</v>
      </c>
      <c r="R59" s="3507">
        <f t="shared" ref="R59:AB59" si="68">+R31-Q31</f>
        <v>-29.930000000000007</v>
      </c>
      <c r="S59" s="3507">
        <f t="shared" si="68"/>
        <v>28.319999999999993</v>
      </c>
      <c r="T59" s="3507">
        <f t="shared" si="68"/>
        <v>-6.0000000000002274E-2</v>
      </c>
      <c r="U59" s="3507">
        <f t="shared" si="68"/>
        <v>-2.8199999999999932</v>
      </c>
      <c r="V59" s="3507">
        <f t="shared" si="68"/>
        <v>-6.4900000000000091</v>
      </c>
      <c r="W59" s="3507">
        <f t="shared" si="68"/>
        <v>-3.2000000000000171</v>
      </c>
      <c r="X59" s="3507">
        <f t="shared" si="68"/>
        <v>-4.5199999999999818</v>
      </c>
      <c r="Y59" s="3507">
        <f t="shared" si="68"/>
        <v>-2.0900000000000034</v>
      </c>
      <c r="Z59" s="3507">
        <f t="shared" si="68"/>
        <v>2.0699999999999932</v>
      </c>
      <c r="AA59" s="3507">
        <f t="shared" si="68"/>
        <v>6.4499999999999886</v>
      </c>
      <c r="AB59" s="3507">
        <f t="shared" si="68"/>
        <v>5.3900000000000148</v>
      </c>
      <c r="AC59" s="2951">
        <f t="shared" si="65"/>
        <v>-3.9699999999999704</v>
      </c>
      <c r="AD59" s="2951">
        <f t="shared" si="65"/>
        <v>-2.1500000000000057</v>
      </c>
      <c r="AE59" s="2951">
        <f t="shared" si="65"/>
        <v>-0.42570000000000618</v>
      </c>
    </row>
    <row r="60" spans="1:119" s="699" customFormat="1" ht="12.75" customHeight="1">
      <c r="A60" s="664"/>
      <c r="B60" s="664"/>
      <c r="C60" s="944" t="s">
        <v>1769</v>
      </c>
      <c r="D60" s="806"/>
      <c r="E60" s="334" t="s">
        <v>716</v>
      </c>
      <c r="F60" s="808" t="s">
        <v>557</v>
      </c>
      <c r="G60" s="857"/>
      <c r="H60" s="857" t="e">
        <f>+H32-G32</f>
        <v>#VALUE!</v>
      </c>
      <c r="I60" s="857" t="e">
        <f t="shared" ref="I60:P60" si="69">+I32-H32</f>
        <v>#VALUE!</v>
      </c>
      <c r="J60" s="857" t="e">
        <f t="shared" si="69"/>
        <v>#VALUE!</v>
      </c>
      <c r="K60" s="857" t="e">
        <f t="shared" si="69"/>
        <v>#VALUE!</v>
      </c>
      <c r="L60" s="857" t="e">
        <f t="shared" si="69"/>
        <v>#VALUE!</v>
      </c>
      <c r="M60" s="857">
        <f t="shared" si="69"/>
        <v>-45.419999999999845</v>
      </c>
      <c r="N60" s="857">
        <f t="shared" si="69"/>
        <v>34.230000000000018</v>
      </c>
      <c r="O60" s="857">
        <f t="shared" si="69"/>
        <v>20.209999999999809</v>
      </c>
      <c r="P60" s="3505">
        <f t="shared" si="69"/>
        <v>14.040000000000191</v>
      </c>
      <c r="Q60" s="3505">
        <f t="shared" si="66"/>
        <v>27.669999999999845</v>
      </c>
      <c r="R60" s="3505">
        <f t="shared" ref="R60:T61" si="70">+R32-Q32</f>
        <v>-1.0699999999999363</v>
      </c>
      <c r="S60" s="3505">
        <f t="shared" si="70"/>
        <v>60.160000000000082</v>
      </c>
      <c r="T60" s="3505">
        <f t="shared" si="70"/>
        <v>25.970000000000027</v>
      </c>
      <c r="U60" s="2952">
        <f t="shared" ref="U60:AE61" si="71">+U32-T32</f>
        <v>-100.90000000000009</v>
      </c>
      <c r="V60" s="2952">
        <f t="shared" si="71"/>
        <v>-47.650000000000091</v>
      </c>
      <c r="W60" s="2952">
        <f t="shared" si="71"/>
        <v>8.8700000000001182</v>
      </c>
      <c r="X60" s="2952">
        <f t="shared" si="71"/>
        <v>13.940000000000055</v>
      </c>
      <c r="Y60" s="2952">
        <f t="shared" si="71"/>
        <v>5.8099999999999454</v>
      </c>
      <c r="Z60" s="2952">
        <f t="shared" si="71"/>
        <v>18.480000000000018</v>
      </c>
      <c r="AA60" s="2952">
        <f t="shared" si="71"/>
        <v>12.819999999999936</v>
      </c>
      <c r="AB60" s="2952">
        <f t="shared" si="71"/>
        <v>22.299999999999955</v>
      </c>
      <c r="AC60" s="2952">
        <f t="shared" si="71"/>
        <v>-1.5999999999999091</v>
      </c>
      <c r="AD60" s="2952">
        <f t="shared" si="71"/>
        <v>-6.545149999999694</v>
      </c>
      <c r="AE60" s="2952">
        <f t="shared" si="71"/>
        <v>-2.4675401849999616</v>
      </c>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row>
    <row r="61" spans="1:119" s="699" customFormat="1" ht="12.75" customHeight="1">
      <c r="A61" s="664"/>
      <c r="B61" s="664"/>
      <c r="C61" s="944" t="s">
        <v>1767</v>
      </c>
      <c r="D61" s="674"/>
      <c r="E61" s="220" t="s">
        <v>238</v>
      </c>
      <c r="F61" s="710" t="s">
        <v>717</v>
      </c>
      <c r="G61" s="705"/>
      <c r="H61" s="705" t="e">
        <f>+H33-G33</f>
        <v>#VALUE!</v>
      </c>
      <c r="I61" s="705" t="e">
        <f t="shared" ref="I61:P61" si="72">+I33-H33</f>
        <v>#VALUE!</v>
      </c>
      <c r="J61" s="705" t="e">
        <f t="shared" si="72"/>
        <v>#VALUE!</v>
      </c>
      <c r="K61" s="705" t="e">
        <f t="shared" si="72"/>
        <v>#VALUE!</v>
      </c>
      <c r="L61" s="705" t="e">
        <f t="shared" si="72"/>
        <v>#VALUE!</v>
      </c>
      <c r="M61" s="705">
        <f t="shared" si="72"/>
        <v>-7.7800000000002001</v>
      </c>
      <c r="N61" s="705">
        <f t="shared" si="72"/>
        <v>14.460000000000036</v>
      </c>
      <c r="O61" s="705">
        <f t="shared" si="72"/>
        <v>10.820000000000164</v>
      </c>
      <c r="P61" s="3493">
        <f t="shared" si="72"/>
        <v>-29.650000000000318</v>
      </c>
      <c r="Q61" s="3493">
        <f t="shared" si="66"/>
        <v>-17.049999999999727</v>
      </c>
      <c r="R61" s="3493">
        <f t="shared" si="70"/>
        <v>-3.3900000000001</v>
      </c>
      <c r="S61" s="3493">
        <f t="shared" si="70"/>
        <v>-31.279999999999973</v>
      </c>
      <c r="T61" s="3493">
        <f t="shared" si="70"/>
        <v>-45.020000000000209</v>
      </c>
      <c r="U61" s="3493">
        <f t="shared" si="71"/>
        <v>-8.6799999999998363</v>
      </c>
      <c r="V61" s="3493">
        <f t="shared" si="71"/>
        <v>-22.089999999999918</v>
      </c>
      <c r="W61" s="3493">
        <f t="shared" si="71"/>
        <v>-2.9400000000000546</v>
      </c>
      <c r="X61" s="3493">
        <f t="shared" si="71"/>
        <v>8.2599999999999909</v>
      </c>
      <c r="Y61" s="3493">
        <f t="shared" si="71"/>
        <v>11.180000000000064</v>
      </c>
      <c r="Z61" s="3493">
        <f t="shared" si="71"/>
        <v>7.4399999999998272</v>
      </c>
      <c r="AA61" s="3493">
        <f t="shared" si="71"/>
        <v>4.1000000000001364</v>
      </c>
      <c r="AB61" s="3493">
        <f t="shared" si="71"/>
        <v>4.1800000000000637</v>
      </c>
      <c r="AC61" s="3493">
        <f t="shared" si="71"/>
        <v>-5.5000000000002274</v>
      </c>
      <c r="AD61" s="2952">
        <f t="shared" si="71"/>
        <v>-0.81204999999999927</v>
      </c>
      <c r="AE61" s="2952">
        <f t="shared" si="71"/>
        <v>-1.6159795000000088</v>
      </c>
      <c r="AF61" s="3650"/>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row>
    <row r="62" spans="1:119">
      <c r="A62" s="1130"/>
      <c r="C62" s="943" t="s">
        <v>1769</v>
      </c>
      <c r="D62" s="806"/>
      <c r="E62" s="334" t="s">
        <v>752</v>
      </c>
      <c r="F62" s="873" t="s">
        <v>553</v>
      </c>
      <c r="G62" s="857"/>
      <c r="H62" s="857" t="e">
        <f t="shared" ref="H62:AE64" si="73">+H34-G34</f>
        <v>#VALUE!</v>
      </c>
      <c r="I62" s="857" t="e">
        <f t="shared" si="73"/>
        <v>#VALUE!</v>
      </c>
      <c r="J62" s="857" t="e">
        <f t="shared" si="73"/>
        <v>#VALUE!</v>
      </c>
      <c r="K62" s="857" t="e">
        <f t="shared" si="73"/>
        <v>#VALUE!</v>
      </c>
      <c r="L62" s="857" t="e">
        <f t="shared" si="73"/>
        <v>#VALUE!</v>
      </c>
      <c r="M62" s="857">
        <f t="shared" si="73"/>
        <v>-53.200000000000045</v>
      </c>
      <c r="N62" s="857">
        <f t="shared" si="73"/>
        <v>48.690000000000055</v>
      </c>
      <c r="O62" s="857">
        <f t="shared" si="73"/>
        <v>31.029999999999973</v>
      </c>
      <c r="P62" s="3505">
        <f t="shared" si="73"/>
        <v>-15.610000000000127</v>
      </c>
      <c r="Q62" s="3505">
        <f t="shared" si="66"/>
        <v>10.620000000000118</v>
      </c>
      <c r="R62" s="3505">
        <f t="shared" ref="R62:S64" si="74">+R34-Q34</f>
        <v>-4.4600000000000364</v>
      </c>
      <c r="S62" s="3505">
        <f t="shared" si="74"/>
        <v>28.880000000000109</v>
      </c>
      <c r="T62" s="2951">
        <f t="shared" si="73"/>
        <v>-19.050000000000182</v>
      </c>
      <c r="U62" s="2951">
        <f t="shared" si="73"/>
        <v>-109.57999999999993</v>
      </c>
      <c r="V62" s="2951">
        <f t="shared" si="73"/>
        <v>-69.740000000000009</v>
      </c>
      <c r="W62" s="2951">
        <f t="shared" si="73"/>
        <v>5.9300000000000637</v>
      </c>
      <c r="X62" s="2951">
        <f t="shared" si="73"/>
        <v>22.200000000000045</v>
      </c>
      <c r="Y62" s="2951">
        <f t="shared" si="73"/>
        <v>16.990000000000009</v>
      </c>
      <c r="Z62" s="2951">
        <f t="shared" si="73"/>
        <v>25.919999999999845</v>
      </c>
      <c r="AA62" s="2951">
        <f t="shared" si="73"/>
        <v>16.920000000000073</v>
      </c>
      <c r="AB62" s="2951">
        <f t="shared" si="73"/>
        <v>26.480000000000018</v>
      </c>
      <c r="AC62" s="2951">
        <f t="shared" si="73"/>
        <v>-7.1000000000001364</v>
      </c>
      <c r="AD62" s="2951">
        <f t="shared" si="73"/>
        <v>-7.3571999999996933</v>
      </c>
      <c r="AE62" s="2951">
        <f t="shared" si="73"/>
        <v>-4.0835196850000557</v>
      </c>
      <c r="AF62" s="3650"/>
    </row>
    <row r="63" spans="1:119">
      <c r="A63" s="1130"/>
      <c r="C63" s="875" t="s">
        <v>1767</v>
      </c>
      <c r="D63" s="674"/>
      <c r="E63" s="220" t="s">
        <v>719</v>
      </c>
      <c r="F63" s="704" t="s">
        <v>272</v>
      </c>
      <c r="G63" s="705"/>
      <c r="H63" s="705" t="e">
        <f t="shared" si="73"/>
        <v>#VALUE!</v>
      </c>
      <c r="I63" s="705" t="e">
        <f t="shared" si="73"/>
        <v>#VALUE!</v>
      </c>
      <c r="J63" s="705" t="e">
        <f t="shared" si="73"/>
        <v>#VALUE!</v>
      </c>
      <c r="K63" s="705" t="e">
        <f t="shared" si="73"/>
        <v>#VALUE!</v>
      </c>
      <c r="L63" s="705" t="e">
        <f t="shared" si="73"/>
        <v>#VALUE!</v>
      </c>
      <c r="M63" s="705">
        <f t="shared" si="73"/>
        <v>7.3500000000001364</v>
      </c>
      <c r="N63" s="705">
        <f t="shared" si="73"/>
        <v>5.3399999999999181</v>
      </c>
      <c r="O63" s="705">
        <f t="shared" si="73"/>
        <v>1.0199999999999818</v>
      </c>
      <c r="P63" s="3493">
        <f t="shared" si="73"/>
        <v>-2.0399999999999636</v>
      </c>
      <c r="Q63" s="3493">
        <f t="shared" si="66"/>
        <v>1.7999999999999545</v>
      </c>
      <c r="R63" s="3493">
        <f t="shared" si="74"/>
        <v>-2.0499999999999545</v>
      </c>
      <c r="S63" s="3493">
        <f t="shared" si="74"/>
        <v>-5.8800000000001091</v>
      </c>
      <c r="T63" s="3493">
        <f t="shared" si="73"/>
        <v>-6.1699999999998454</v>
      </c>
      <c r="U63" s="3493">
        <f t="shared" si="73"/>
        <v>-1.1200000000001182</v>
      </c>
      <c r="V63" s="3493">
        <f t="shared" si="73"/>
        <v>-0.81999999999993634</v>
      </c>
      <c r="W63" s="3493">
        <f t="shared" si="73"/>
        <v>-9.0000000000145519E-2</v>
      </c>
      <c r="X63" s="3493">
        <f t="shared" si="73"/>
        <v>0.20000000000004547</v>
      </c>
      <c r="Y63" s="3493">
        <f t="shared" si="73"/>
        <v>0.18000000000006366</v>
      </c>
      <c r="Z63" s="3493">
        <f t="shared" si="73"/>
        <v>0.21000000000003638</v>
      </c>
      <c r="AA63" s="3493">
        <f t="shared" si="73"/>
        <v>-0.54999999999995453</v>
      </c>
      <c r="AB63" s="3493">
        <f t="shared" si="73"/>
        <v>-4.0000000000190994E-2</v>
      </c>
      <c r="AC63" s="3493">
        <f t="shared" si="73"/>
        <v>0.71000000000026375</v>
      </c>
      <c r="AD63" s="2951">
        <f t="shared" si="73"/>
        <v>-8.747510911226275E-3</v>
      </c>
      <c r="AE63" s="2951">
        <f t="shared" si="73"/>
        <v>-4.8551939597600846E-3</v>
      </c>
      <c r="AF63" s="3650"/>
    </row>
    <row r="64" spans="1:119" s="699" customFormat="1" ht="12.75" customHeight="1">
      <c r="A64" s="664"/>
      <c r="B64" s="664"/>
      <c r="C64" s="874" t="s">
        <v>1769</v>
      </c>
      <c r="D64" s="806"/>
      <c r="E64" s="807" t="s">
        <v>753</v>
      </c>
      <c r="F64" s="808" t="s">
        <v>881</v>
      </c>
      <c r="G64" s="809"/>
      <c r="H64" s="857" t="e">
        <f t="shared" si="73"/>
        <v>#VALUE!</v>
      </c>
      <c r="I64" s="857" t="e">
        <f t="shared" si="73"/>
        <v>#VALUE!</v>
      </c>
      <c r="J64" s="857" t="e">
        <f t="shared" si="73"/>
        <v>#VALUE!</v>
      </c>
      <c r="K64" s="857" t="e">
        <f t="shared" si="73"/>
        <v>#VALUE!</v>
      </c>
      <c r="L64" s="857" t="e">
        <f t="shared" si="73"/>
        <v>#VALUE!</v>
      </c>
      <c r="M64" s="857">
        <f t="shared" si="73"/>
        <v>-45.849999999999909</v>
      </c>
      <c r="N64" s="857">
        <f t="shared" si="73"/>
        <v>54.029999999999973</v>
      </c>
      <c r="O64" s="857">
        <f t="shared" si="73"/>
        <v>32.049999999999955</v>
      </c>
      <c r="P64" s="3505">
        <f t="shared" si="73"/>
        <v>-17.650000000000091</v>
      </c>
      <c r="Q64" s="3505">
        <f t="shared" si="66"/>
        <v>12.420000000000073</v>
      </c>
      <c r="R64" s="3505">
        <f t="shared" si="74"/>
        <v>-6.5099999999999909</v>
      </c>
      <c r="S64" s="3505">
        <f t="shared" si="74"/>
        <v>23</v>
      </c>
      <c r="T64" s="2951">
        <f t="shared" si="73"/>
        <v>-25.220000000000027</v>
      </c>
      <c r="U64" s="2951">
        <f t="shared" si="73"/>
        <v>-110.70000000000005</v>
      </c>
      <c r="V64" s="2951">
        <f t="shared" si="73"/>
        <v>-70.559999999999945</v>
      </c>
      <c r="W64" s="2951">
        <f t="shared" si="73"/>
        <v>5.8399999999999181</v>
      </c>
      <c r="X64" s="2951">
        <f t="shared" si="73"/>
        <v>22.400000000000091</v>
      </c>
      <c r="Y64" s="2951">
        <f t="shared" si="73"/>
        <v>17.170000000000073</v>
      </c>
      <c r="Z64" s="2951">
        <f t="shared" si="73"/>
        <v>26.129999999999882</v>
      </c>
      <c r="AA64" s="2951">
        <f t="shared" si="73"/>
        <v>16.370000000000118</v>
      </c>
      <c r="AB64" s="2951">
        <f t="shared" si="73"/>
        <v>26.439999999999827</v>
      </c>
      <c r="AC64" s="2951">
        <f t="shared" si="73"/>
        <v>-6.3899999999998727</v>
      </c>
      <c r="AD64" s="2951">
        <f t="shared" si="73"/>
        <v>-7.365947510910928</v>
      </c>
      <c r="AE64" s="2951">
        <f t="shared" si="73"/>
        <v>-4.0883748789597121</v>
      </c>
      <c r="AF64" s="3650"/>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row>
    <row r="65" spans="1:119">
      <c r="A65" s="1130"/>
      <c r="C65" s="303" t="s">
        <v>1767</v>
      </c>
      <c r="D65" s="828"/>
      <c r="E65" s="116" t="s">
        <v>966</v>
      </c>
      <c r="F65" s="882" t="s">
        <v>620</v>
      </c>
      <c r="G65" s="883"/>
      <c r="H65" s="876">
        <f>+H38-G38</f>
        <v>16.599999999999994</v>
      </c>
      <c r="I65" s="876">
        <f t="shared" ref="I65:AE65" si="75">+I38-H38</f>
        <v>-20.099999999999994</v>
      </c>
      <c r="J65" s="876">
        <f t="shared" si="75"/>
        <v>122.39999999999999</v>
      </c>
      <c r="K65" s="876">
        <f t="shared" si="75"/>
        <v>22</v>
      </c>
      <c r="L65" s="876">
        <f t="shared" si="75"/>
        <v>25</v>
      </c>
      <c r="M65" s="876">
        <f t="shared" si="75"/>
        <v>10</v>
      </c>
      <c r="N65" s="876">
        <f t="shared" si="75"/>
        <v>-60</v>
      </c>
      <c r="O65" s="876">
        <f t="shared" si="75"/>
        <v>-20</v>
      </c>
      <c r="P65" s="3520">
        <f t="shared" si="75"/>
        <v>-31</v>
      </c>
      <c r="Q65" s="3520">
        <f t="shared" ref="Q65:AC65" si="76">+Q38-P38</f>
        <v>-43</v>
      </c>
      <c r="R65" s="3520">
        <f t="shared" si="76"/>
        <v>-42</v>
      </c>
      <c r="S65" s="3520">
        <f t="shared" si="76"/>
        <v>-24</v>
      </c>
      <c r="T65" s="3520">
        <f t="shared" si="76"/>
        <v>24</v>
      </c>
      <c r="U65" s="3520">
        <f t="shared" si="76"/>
        <v>123</v>
      </c>
      <c r="V65" s="3520">
        <f t="shared" si="76"/>
        <v>59</v>
      </c>
      <c r="W65" s="3520">
        <f t="shared" si="76"/>
        <v>-42</v>
      </c>
      <c r="X65" s="3520">
        <f t="shared" si="76"/>
        <v>-31</v>
      </c>
      <c r="Y65" s="3520">
        <f t="shared" si="76"/>
        <v>-25</v>
      </c>
      <c r="Z65" s="3520">
        <f t="shared" si="76"/>
        <v>-14</v>
      </c>
      <c r="AA65" s="3520">
        <f t="shared" si="76"/>
        <v>-24</v>
      </c>
      <c r="AB65" s="3520">
        <f t="shared" si="76"/>
        <v>-18</v>
      </c>
      <c r="AC65" s="3520">
        <f t="shared" si="76"/>
        <v>-13</v>
      </c>
      <c r="AD65" s="2953">
        <f t="shared" si="75"/>
        <v>-7.9308598590891961</v>
      </c>
      <c r="AE65" s="2953">
        <f t="shared" si="75"/>
        <v>0.56001348996733213</v>
      </c>
      <c r="AF65" s="3650"/>
    </row>
    <row r="66" spans="1:119" s="699" customFormat="1" ht="12.75" customHeight="1">
      <c r="A66" s="664"/>
      <c r="B66" s="664"/>
      <c r="C66" s="666" t="s">
        <v>1769</v>
      </c>
      <c r="D66" s="806"/>
      <c r="E66" s="807" t="s">
        <v>1977</v>
      </c>
      <c r="F66" s="808" t="s">
        <v>715</v>
      </c>
      <c r="G66" s="809"/>
      <c r="H66" s="857" t="e">
        <f t="shared" ref="H66:P66" si="77">+H43-G43</f>
        <v>#VALUE!</v>
      </c>
      <c r="I66" s="857" t="e">
        <f t="shared" si="77"/>
        <v>#VALUE!</v>
      </c>
      <c r="J66" s="857" t="e">
        <f t="shared" si="77"/>
        <v>#VALUE!</v>
      </c>
      <c r="K66" s="857" t="e">
        <f t="shared" si="77"/>
        <v>#VALUE!</v>
      </c>
      <c r="L66" s="857" t="e">
        <f t="shared" si="77"/>
        <v>#VALUE!</v>
      </c>
      <c r="M66" s="857">
        <f t="shared" si="77"/>
        <v>-35.849999999999909</v>
      </c>
      <c r="N66" s="857">
        <f t="shared" si="77"/>
        <v>-5.9700000000000273</v>
      </c>
      <c r="O66" s="857">
        <f t="shared" si="77"/>
        <v>12.049999999999955</v>
      </c>
      <c r="P66" s="3505">
        <f t="shared" si="77"/>
        <v>-48.650000000000091</v>
      </c>
      <c r="Q66" s="3505">
        <f t="shared" ref="Q66:AE66" si="78">+Q43-P43</f>
        <v>-30.579999999999927</v>
      </c>
      <c r="R66" s="3505">
        <f t="shared" si="78"/>
        <v>-48.509999999999991</v>
      </c>
      <c r="S66" s="3505">
        <f t="shared" si="78"/>
        <v>-1</v>
      </c>
      <c r="T66" s="2951">
        <f t="shared" si="78"/>
        <v>-1.2200000000000273</v>
      </c>
      <c r="U66" s="2951">
        <f t="shared" si="78"/>
        <v>12.299999999999955</v>
      </c>
      <c r="V66" s="2951">
        <f t="shared" si="78"/>
        <v>-11.559999999999945</v>
      </c>
      <c r="W66" s="2951">
        <f t="shared" si="78"/>
        <v>-36.160000000000082</v>
      </c>
      <c r="X66" s="2951">
        <f t="shared" si="78"/>
        <v>-8.5999999999999091</v>
      </c>
      <c r="Y66" s="2951">
        <f t="shared" si="78"/>
        <v>-7.8299999999999272</v>
      </c>
      <c r="Z66" s="2951">
        <f t="shared" si="78"/>
        <v>12.129999999999882</v>
      </c>
      <c r="AA66" s="2951">
        <f t="shared" si="78"/>
        <v>-7.6299999999998818</v>
      </c>
      <c r="AB66" s="2951">
        <f t="shared" si="78"/>
        <v>8.4399999999998272</v>
      </c>
      <c r="AC66" s="2951">
        <f t="shared" si="78"/>
        <v>-32.518420000000106</v>
      </c>
      <c r="AD66" s="2951">
        <f t="shared" si="78"/>
        <v>-2.1683873699998912</v>
      </c>
      <c r="AE66" s="2951">
        <f t="shared" si="78"/>
        <v>-3.5283613889923799</v>
      </c>
      <c r="AF66" s="3650"/>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row>
    <row r="67" spans="1:119">
      <c r="A67" s="1130"/>
      <c r="G67" s="705"/>
      <c r="H67" s="705"/>
      <c r="I67" s="705"/>
      <c r="J67" s="705"/>
      <c r="K67" s="705"/>
      <c r="L67" s="705"/>
      <c r="M67" s="705"/>
      <c r="N67" s="705"/>
      <c r="O67" s="705"/>
      <c r="P67" s="3493"/>
      <c r="Q67" s="3493"/>
      <c r="R67" s="3493"/>
      <c r="S67" s="3493"/>
      <c r="T67" s="2950"/>
      <c r="U67" s="2950"/>
      <c r="V67" s="2950"/>
      <c r="W67" s="2950"/>
      <c r="X67" s="2950"/>
      <c r="Y67" s="2950"/>
      <c r="Z67" s="2950"/>
      <c r="AA67" s="2950"/>
      <c r="AB67" s="2950"/>
      <c r="AC67" s="2950"/>
      <c r="AD67" s="2950"/>
      <c r="AE67" s="2950"/>
    </row>
    <row r="68" spans="1:119" s="699" customFormat="1" ht="12.75" customHeight="1">
      <c r="A68" s="664"/>
      <c r="B68" s="664"/>
      <c r="C68" s="666"/>
      <c r="D68" s="858"/>
      <c r="E68" s="859" t="s">
        <v>1503</v>
      </c>
      <c r="F68" s="860"/>
      <c r="G68" s="861">
        <f>+InputY!$G$3</f>
        <v>1995</v>
      </c>
      <c r="H68" s="861">
        <f>+G68+1</f>
        <v>1996</v>
      </c>
      <c r="I68" s="861">
        <f t="shared" ref="I68:O68" si="79">+H68+1</f>
        <v>1997</v>
      </c>
      <c r="J68" s="861">
        <f t="shared" si="79"/>
        <v>1998</v>
      </c>
      <c r="K68" s="861">
        <f t="shared" si="79"/>
        <v>1999</v>
      </c>
      <c r="L68" s="861">
        <f t="shared" si="79"/>
        <v>2000</v>
      </c>
      <c r="M68" s="861">
        <f t="shared" si="79"/>
        <v>2001</v>
      </c>
      <c r="N68" s="861">
        <f t="shared" si="79"/>
        <v>2002</v>
      </c>
      <c r="O68" s="861">
        <f t="shared" si="79"/>
        <v>2003</v>
      </c>
      <c r="P68" s="3501">
        <f t="shared" ref="P68:U68" si="80">+O68+1</f>
        <v>2004</v>
      </c>
      <c r="Q68" s="3501">
        <f>+P68+1</f>
        <v>2005</v>
      </c>
      <c r="R68" s="3501">
        <f>+Q68+1</f>
        <v>2006</v>
      </c>
      <c r="S68" s="3501">
        <f>+R68+1</f>
        <v>2007</v>
      </c>
      <c r="T68" s="3502">
        <f t="shared" si="80"/>
        <v>2008</v>
      </c>
      <c r="U68" s="3502">
        <f t="shared" si="80"/>
        <v>2009</v>
      </c>
      <c r="V68" s="3502">
        <f t="shared" ref="V68:AE68" si="81">+U68+1</f>
        <v>2010</v>
      </c>
      <c r="W68" s="3502">
        <f t="shared" si="81"/>
        <v>2011</v>
      </c>
      <c r="X68" s="3502">
        <f t="shared" si="81"/>
        <v>2012</v>
      </c>
      <c r="Y68" s="3502">
        <f t="shared" si="81"/>
        <v>2013</v>
      </c>
      <c r="Z68" s="3502">
        <f t="shared" si="81"/>
        <v>2014</v>
      </c>
      <c r="AA68" s="3502">
        <f t="shared" si="81"/>
        <v>2015</v>
      </c>
      <c r="AB68" s="3502">
        <f t="shared" si="81"/>
        <v>2016</v>
      </c>
      <c r="AC68" s="3502">
        <f t="shared" si="81"/>
        <v>2017</v>
      </c>
      <c r="AD68" s="3502">
        <f t="shared" si="81"/>
        <v>2018</v>
      </c>
      <c r="AE68" s="3502">
        <f t="shared" si="81"/>
        <v>2019</v>
      </c>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row>
    <row r="69" spans="1:119">
      <c r="A69" s="1130"/>
      <c r="C69" s="992"/>
      <c r="D69" s="993"/>
      <c r="E69" s="994" t="s">
        <v>733</v>
      </c>
      <c r="F69" s="995" t="s">
        <v>734</v>
      </c>
      <c r="G69" s="1687"/>
      <c r="H69" s="1919" t="e">
        <f>+H47/'VVP2'!H$131</f>
        <v>#VALUE!</v>
      </c>
      <c r="I69" s="1919" t="e">
        <f>+I47/'VVP2'!I$131</f>
        <v>#VALUE!</v>
      </c>
      <c r="J69" s="1919" t="e">
        <f>+J47/'VVP2'!J$131</f>
        <v>#VALUE!</v>
      </c>
      <c r="K69" s="1919" t="e">
        <f>+K47/'VVP2'!K$131</f>
        <v>#VALUE!</v>
      </c>
      <c r="L69" s="1919" t="e">
        <f>+L47/'VVP2'!L$131</f>
        <v>#VALUE!</v>
      </c>
      <c r="M69" s="1919">
        <f>+M47/'VVP2'!M$131</f>
        <v>-0.68866511479962622</v>
      </c>
      <c r="N69" s="1919">
        <f>+N47/'VVP2'!N$131</f>
        <v>0.72659874829256199</v>
      </c>
      <c r="O69" s="1919">
        <f>+O47/'VVP2'!O$131</f>
        <v>0.33736520735287961</v>
      </c>
      <c r="P69" s="3521">
        <f>+P47/'VVP2'!P$131</f>
        <v>5.3319442934990746E-2</v>
      </c>
      <c r="Q69" s="3521">
        <f>+Q47/'VVP2'!Q$131</f>
        <v>0.40108332603954988</v>
      </c>
      <c r="R69" s="3521">
        <f>+R47/'VVP2'!R$131</f>
        <v>0.41072216909798731</v>
      </c>
      <c r="S69" s="3521">
        <f>+S47/'VVP2'!S$131</f>
        <v>0.29377048538638845</v>
      </c>
      <c r="T69" s="3521">
        <f>+T47/'VVP2'!T$131</f>
        <v>0.98121299661310113</v>
      </c>
      <c r="U69" s="3521">
        <f>+U47/'VVP2'!U$131</f>
        <v>0.63940188777987206</v>
      </c>
      <c r="V69" s="3521">
        <f>+V47/'VVP2'!V$131</f>
        <v>-2.6777269249922493</v>
      </c>
      <c r="W69" s="3521">
        <f>+W47/'VVP2'!W$131</f>
        <v>0.22286148336593242</v>
      </c>
      <c r="X69" s="3521">
        <f>+X47/'VVP2'!X$131</f>
        <v>0.53108066902543538</v>
      </c>
      <c r="Y69" s="3521">
        <f>+Y47/'VVP2'!Y$131</f>
        <v>0.24365634065460945</v>
      </c>
      <c r="Z69" s="3521">
        <f>+Z47/'VVP2'!Z$131</f>
        <v>0.49631484239603368</v>
      </c>
      <c r="AA69" s="3521">
        <f>+AA47/'VVP2'!AA$131</f>
        <v>0.32918694532982834</v>
      </c>
      <c r="AB69" s="3521">
        <f>+AB47/'VVP2'!AB$131</f>
        <v>0.75321670932773777</v>
      </c>
      <c r="AC69" s="2954">
        <f>+AC47/'VVP2'!AC$131</f>
        <v>6.3527871688283916E-2</v>
      </c>
      <c r="AD69" s="2954">
        <f ca="1">+AD47/'VVP2'!AD$131</f>
        <v>-0.14420362278709351</v>
      </c>
      <c r="AE69" s="2954">
        <f ca="1">+AE47/'VVP2'!AE$131</f>
        <v>-7.9465280528606921E-2</v>
      </c>
    </row>
    <row r="70" spans="1:119">
      <c r="A70" s="1130"/>
      <c r="C70" s="943"/>
      <c r="D70" s="806"/>
      <c r="E70" s="334" t="s">
        <v>654</v>
      </c>
      <c r="F70" s="873"/>
      <c r="G70" s="857"/>
      <c r="H70" s="1920"/>
      <c r="I70" s="1920"/>
      <c r="J70" s="1920"/>
      <c r="K70" s="1920" t="e">
        <f>AVERAGE(H69:K69)</f>
        <v>#VALUE!</v>
      </c>
      <c r="L70" s="1920" t="e">
        <f t="shared" ref="L70:AE70" si="82">AVERAGE(I69:L69)</f>
        <v>#VALUE!</v>
      </c>
      <c r="M70" s="1920" t="e">
        <f t="shared" si="82"/>
        <v>#VALUE!</v>
      </c>
      <c r="N70" s="1920" t="e">
        <f t="shared" si="82"/>
        <v>#VALUE!</v>
      </c>
      <c r="O70" s="1920" t="e">
        <f t="shared" si="82"/>
        <v>#VALUE!</v>
      </c>
      <c r="P70" s="3522">
        <f t="shared" si="82"/>
        <v>0.10715457094520153</v>
      </c>
      <c r="Q70" s="3522">
        <f>AVERAGE(N69:Q69)</f>
        <v>0.37959168115499559</v>
      </c>
      <c r="R70" s="3522">
        <f>AVERAGE(O69:R69)</f>
        <v>0.30062253635635189</v>
      </c>
      <c r="S70" s="3522">
        <f>AVERAGE(P69:S69)</f>
        <v>0.2897238558647291</v>
      </c>
      <c r="T70" s="2955">
        <f t="shared" si="82"/>
        <v>0.52169724428425668</v>
      </c>
      <c r="U70" s="2955">
        <f t="shared" si="82"/>
        <v>0.58127688471933725</v>
      </c>
      <c r="V70" s="2955">
        <f t="shared" si="82"/>
        <v>-0.19083538880322193</v>
      </c>
      <c r="W70" s="2955">
        <f t="shared" si="82"/>
        <v>-0.20856263930833591</v>
      </c>
      <c r="X70" s="2955">
        <f t="shared" si="82"/>
        <v>-0.32109572120525232</v>
      </c>
      <c r="Y70" s="2955">
        <f t="shared" si="82"/>
        <v>-0.42003210798656798</v>
      </c>
      <c r="Z70" s="2955">
        <f t="shared" si="82"/>
        <v>0.37347833386050278</v>
      </c>
      <c r="AA70" s="2955">
        <f t="shared" si="82"/>
        <v>0.40005969935147673</v>
      </c>
      <c r="AB70" s="2955">
        <f t="shared" si="82"/>
        <v>0.4555937094270523</v>
      </c>
      <c r="AC70" s="2955">
        <f t="shared" si="82"/>
        <v>0.41056159218547095</v>
      </c>
      <c r="AD70" s="2955">
        <f t="shared" ca="1" si="82"/>
        <v>0.25043197588968913</v>
      </c>
      <c r="AE70" s="2955">
        <f t="shared" ca="1" si="82"/>
        <v>0.1482689194250803</v>
      </c>
    </row>
    <row r="71" spans="1:119">
      <c r="A71" s="1130"/>
      <c r="C71" s="943"/>
      <c r="D71" s="674"/>
      <c r="E71" s="220" t="s">
        <v>1022</v>
      </c>
      <c r="F71" s="704" t="s">
        <v>1023</v>
      </c>
      <c r="G71" s="1559"/>
      <c r="H71" s="1922">
        <f>+H48/'VVP2'!H$131</f>
        <v>0.36425501138901556</v>
      </c>
      <c r="I71" s="1922">
        <f>+I48/'VVP2'!I$131</f>
        <v>0.28756200522090303</v>
      </c>
      <c r="J71" s="1922">
        <f>+J48/'VVP2'!J$131</f>
        <v>4.2005217206074696E-2</v>
      </c>
      <c r="K71" s="1922">
        <f>+K48/'VVP2'!K$131</f>
        <v>-6.160312949439021</v>
      </c>
      <c r="L71" s="1922">
        <f>+L48/'VVP2'!L$131</f>
        <v>0.71077801824475517</v>
      </c>
      <c r="M71" s="1922">
        <f>+M48/'VVP2'!M$131</f>
        <v>-0.28716334372383978</v>
      </c>
      <c r="N71" s="1922">
        <f>+N48/'VVP2'!N$131</f>
        <v>-0.48019644483874296</v>
      </c>
      <c r="O71" s="1922">
        <f>+O48/'VVP2'!O$131</f>
        <v>-0.45053331785633594</v>
      </c>
      <c r="P71" s="3523">
        <f>+P48/'VVP2'!P$131</f>
        <v>0.64553818924106054</v>
      </c>
      <c r="Q71" s="3523">
        <f>+Q48/'VVP2'!Q$131</f>
        <v>-4.8521556178677989E-2</v>
      </c>
      <c r="R71" s="3523">
        <f>+R48/'VVP2'!R$131</f>
        <v>-1.7892725371297931</v>
      </c>
      <c r="S71" s="3523">
        <f>+S48/'VVP2'!S$131</f>
        <v>1.3037727106698289</v>
      </c>
      <c r="T71" s="3523">
        <f>+T48/'VVP2'!T$131</f>
        <v>-1.0181205298270567E-2</v>
      </c>
      <c r="U71" s="3523">
        <f>+U48/'VVP2'!U$131</f>
        <v>8.4913126700264727E-2</v>
      </c>
      <c r="V71" s="3523">
        <f>+V48/'VVP2'!V$131</f>
        <v>-1.7879176848712799</v>
      </c>
      <c r="W71" s="3523">
        <f>+W48/'VVP2'!W$131</f>
        <v>-0.24644029883683377</v>
      </c>
      <c r="X71" s="3523">
        <f>+X48/'VVP2'!X$131</f>
        <v>-0.55799161563151178</v>
      </c>
      <c r="Y71" s="3523">
        <f>+Y48/'VVP2'!Y$131</f>
        <v>-0.28838315121675212</v>
      </c>
      <c r="Z71" s="3523">
        <f>+Z48/'VVP2'!Z$131</f>
        <v>0.28535299693347649</v>
      </c>
      <c r="AA71" s="3523">
        <f>+AA48/'VVP2'!AA$131</f>
        <v>1.5304643964606506</v>
      </c>
      <c r="AB71" s="3523">
        <f>+AB48/'VVP2'!AB$131</f>
        <v>1.0762347648876116</v>
      </c>
      <c r="AC71" s="2955">
        <f>+AC48/'VVP2'!AC$131</f>
        <v>-0.4735086565650577</v>
      </c>
      <c r="AD71" s="2955">
        <f ca="1">+AD48/'VVP2'!AD$131</f>
        <v>-0.32045249508243001</v>
      </c>
      <c r="AE71" s="2955">
        <f ca="1">+AE48/'VVP2'!AE$131</f>
        <v>-7.5681219551054224E-2</v>
      </c>
    </row>
    <row r="72" spans="1:119">
      <c r="A72" s="1130"/>
      <c r="C72" s="943"/>
      <c r="D72" s="806"/>
      <c r="E72" s="334" t="s">
        <v>654</v>
      </c>
      <c r="F72" s="808"/>
      <c r="G72" s="857"/>
      <c r="H72" s="1920"/>
      <c r="I72" s="1920"/>
      <c r="J72" s="1920"/>
      <c r="K72" s="1920">
        <f t="shared" ref="K72:AE72" si="83">AVERAGE(H71:K71)</f>
        <v>-1.3666226789057569</v>
      </c>
      <c r="L72" s="1920">
        <f t="shared" si="83"/>
        <v>-1.2799919271918219</v>
      </c>
      <c r="M72" s="1920">
        <f t="shared" si="83"/>
        <v>-1.4236732644280077</v>
      </c>
      <c r="N72" s="1920">
        <f t="shared" si="83"/>
        <v>-1.5542236799392122</v>
      </c>
      <c r="O72" s="1920">
        <f t="shared" si="83"/>
        <v>-0.12677877204354088</v>
      </c>
      <c r="P72" s="3522">
        <f t="shared" si="83"/>
        <v>-0.14308872929446453</v>
      </c>
      <c r="Q72" s="3522">
        <f>AVERAGE(N71:Q71)</f>
        <v>-8.3428282408174084E-2</v>
      </c>
      <c r="R72" s="3522">
        <f>AVERAGE(O71:R71)</f>
        <v>-0.41069730548093664</v>
      </c>
      <c r="S72" s="3522">
        <f>AVERAGE(P71:S71)</f>
        <v>2.787920165060459E-2</v>
      </c>
      <c r="T72" s="2955">
        <f t="shared" si="83"/>
        <v>-0.1360506469842282</v>
      </c>
      <c r="U72" s="2955">
        <f t="shared" si="83"/>
        <v>-0.10269197626449249</v>
      </c>
      <c r="V72" s="2955">
        <f t="shared" si="83"/>
        <v>-0.10235326319986421</v>
      </c>
      <c r="W72" s="2955">
        <f t="shared" si="83"/>
        <v>-0.48990651557652987</v>
      </c>
      <c r="X72" s="2955">
        <f t="shared" si="83"/>
        <v>-0.62685911815984019</v>
      </c>
      <c r="Y72" s="2955">
        <f t="shared" si="83"/>
        <v>-0.72018318763909439</v>
      </c>
      <c r="Z72" s="2955">
        <f t="shared" si="83"/>
        <v>-0.2018655171879053</v>
      </c>
      <c r="AA72" s="2955">
        <f t="shared" si="83"/>
        <v>0.24236065663646578</v>
      </c>
      <c r="AB72" s="2955">
        <f t="shared" si="83"/>
        <v>0.65091725176624671</v>
      </c>
      <c r="AC72" s="2955">
        <f t="shared" si="83"/>
        <v>0.60463587542917019</v>
      </c>
      <c r="AD72" s="2955">
        <f t="shared" ca="1" si="83"/>
        <v>0.45318450242519359</v>
      </c>
      <c r="AE72" s="2955">
        <f t="shared" ca="1" si="83"/>
        <v>5.1648098422267419E-2</v>
      </c>
    </row>
    <row r="73" spans="1:119" s="699" customFormat="1" ht="12.75" customHeight="1">
      <c r="A73" s="664"/>
      <c r="B73" s="664"/>
      <c r="C73" s="944"/>
      <c r="D73" s="1041"/>
      <c r="E73" s="1042" t="s">
        <v>716</v>
      </c>
      <c r="F73" s="1043" t="s">
        <v>557</v>
      </c>
      <c r="G73" s="1044"/>
      <c r="H73" s="1922" t="e">
        <f>+H49/'VVP2'!H$131</f>
        <v>#VALUE!</v>
      </c>
      <c r="I73" s="1922" t="e">
        <f>+I49/'VVP2'!I$131</f>
        <v>#VALUE!</v>
      </c>
      <c r="J73" s="1922" t="e">
        <f>+J49/'VVP2'!J$131</f>
        <v>#VALUE!</v>
      </c>
      <c r="K73" s="1922" t="e">
        <f>+K49/'VVP2'!K$131</f>
        <v>#VALUE!</v>
      </c>
      <c r="L73" s="1922" t="e">
        <f>+L49/'VVP2'!L$131</f>
        <v>#VALUE!</v>
      </c>
      <c r="M73" s="1922">
        <f>+M49/'VVP2'!M$131</f>
        <v>-0.60324452693638897</v>
      </c>
      <c r="N73" s="1922">
        <f>+N49/'VVP2'!N$131</f>
        <v>0.46418385169449194</v>
      </c>
      <c r="O73" s="1922">
        <f>+O49/'VVP2'!O$131</f>
        <v>0.17676179611174311</v>
      </c>
      <c r="P73" s="3523">
        <f>+P49/'VVP2'!P$131</f>
        <v>0.16639335747518649</v>
      </c>
      <c r="Q73" s="3523">
        <f>+Q49/'VVP2'!Q$131</f>
        <v>0.31221295652270153</v>
      </c>
      <c r="R73" s="3523">
        <f>+R49/'VVP2'!R$131</f>
        <v>-1.2299706483325712E-2</v>
      </c>
      <c r="S73" s="3523">
        <f>+S49/'VVP2'!S$131</f>
        <v>0.46239395021598462</v>
      </c>
      <c r="T73" s="3523">
        <f>+T49/'VVP2'!T$131</f>
        <v>0.80100918370143492</v>
      </c>
      <c r="U73" s="3523">
        <f>+U49/'VVP2'!U$131</f>
        <v>0.54071791672581226</v>
      </c>
      <c r="V73" s="3523">
        <f>+V49/'VVP2'!V$131</f>
        <v>-2.5077406698739897</v>
      </c>
      <c r="W73" s="3523">
        <f>+W49/'VVP2'!W$131</f>
        <v>0.13210395560743957</v>
      </c>
      <c r="X73" s="3523">
        <f>+X49/'VVP2'!X$131</f>
        <v>0.32524654206142856</v>
      </c>
      <c r="Y73" s="3523">
        <f>+Y49/'VVP2'!Y$131</f>
        <v>0.14645821672622925</v>
      </c>
      <c r="Z73" s="3523">
        <f>+Z49/'VVP2'!Z$131</f>
        <v>0.45835762906748168</v>
      </c>
      <c r="AA73" s="3523">
        <f>+AA49/'VVP2'!AA$131</f>
        <v>0.54402453400578943</v>
      </c>
      <c r="AB73" s="3523">
        <f>+AB49/'VVP2'!AB$131</f>
        <v>0.8121323338422376</v>
      </c>
      <c r="AC73" s="2955">
        <f>+AC49/'VVP2'!AC$131</f>
        <v>-3.5018083722462415E-2</v>
      </c>
      <c r="AD73" s="2955">
        <f ca="1">+AD49/'VVP2'!AD$131</f>
        <v>-0.17600148092545517</v>
      </c>
      <c r="AE73" s="2955">
        <f ca="1">+AE49/'VVP2'!AE$131</f>
        <v>-7.8785675345304715E-2</v>
      </c>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row>
    <row r="74" spans="1:119">
      <c r="A74" s="1130"/>
      <c r="C74" s="867"/>
      <c r="D74" s="1923"/>
      <c r="E74" s="1924" t="s">
        <v>654</v>
      </c>
      <c r="F74" s="1925"/>
      <c r="G74" s="1926"/>
      <c r="H74" s="1921"/>
      <c r="I74" s="1921"/>
      <c r="J74" s="1921"/>
      <c r="K74" s="1921" t="e">
        <f t="shared" ref="K74:AE74" si="84">AVERAGE(H73:K73)</f>
        <v>#VALUE!</v>
      </c>
      <c r="L74" s="1921" t="e">
        <f t="shared" si="84"/>
        <v>#VALUE!</v>
      </c>
      <c r="M74" s="1921" t="e">
        <f t="shared" si="84"/>
        <v>#VALUE!</v>
      </c>
      <c r="N74" s="1921" t="e">
        <f t="shared" si="84"/>
        <v>#VALUE!</v>
      </c>
      <c r="O74" s="1921" t="e">
        <f t="shared" si="84"/>
        <v>#VALUE!</v>
      </c>
      <c r="P74" s="3524">
        <f t="shared" si="84"/>
        <v>5.1023619586258145E-2</v>
      </c>
      <c r="Q74" s="3524">
        <f>AVERAGE(N73:Q73)</f>
        <v>0.27988799045103074</v>
      </c>
      <c r="R74" s="3524">
        <f>AVERAGE(O73:R73)</f>
        <v>0.16076710090657637</v>
      </c>
      <c r="S74" s="3524">
        <f>AVERAGE(P73:S73)</f>
        <v>0.23217513943263673</v>
      </c>
      <c r="T74" s="2956">
        <f t="shared" si="84"/>
        <v>0.39082909598919879</v>
      </c>
      <c r="U74" s="2956">
        <f t="shared" si="84"/>
        <v>0.4479553360399765</v>
      </c>
      <c r="V74" s="2956">
        <f t="shared" si="84"/>
        <v>-0.17590490480768944</v>
      </c>
      <c r="W74" s="2956">
        <f t="shared" si="84"/>
        <v>-0.25847740345982578</v>
      </c>
      <c r="X74" s="2956">
        <f t="shared" si="84"/>
        <v>-0.37741806386982735</v>
      </c>
      <c r="Y74" s="2956">
        <f t="shared" si="84"/>
        <v>-0.47598298886972307</v>
      </c>
      <c r="Z74" s="2956">
        <f t="shared" si="84"/>
        <v>0.2655415858656448</v>
      </c>
      <c r="AA74" s="2956">
        <f t="shared" si="84"/>
        <v>0.36852173046523223</v>
      </c>
      <c r="AB74" s="2956">
        <f t="shared" si="84"/>
        <v>0.49024317841043452</v>
      </c>
      <c r="AC74" s="2956">
        <f t="shared" si="84"/>
        <v>0.44487410329826155</v>
      </c>
      <c r="AD74" s="2956">
        <f t="shared" ca="1" si="84"/>
        <v>0.28628432580002738</v>
      </c>
      <c r="AE74" s="2956">
        <f t="shared" ca="1" si="84"/>
        <v>0.13058177346225383</v>
      </c>
    </row>
    <row r="75" spans="1:119" ht="30" customHeight="1">
      <c r="A75" s="1130"/>
      <c r="G75" s="705"/>
      <c r="H75" s="705"/>
      <c r="I75" s="705"/>
      <c r="J75" s="705"/>
      <c r="K75" s="705"/>
      <c r="L75" s="705"/>
      <c r="M75" s="705"/>
      <c r="N75" s="705"/>
      <c r="O75" s="705"/>
      <c r="P75" s="3493"/>
      <c r="Q75" s="3525"/>
      <c r="R75" s="3526"/>
      <c r="S75" s="2950"/>
      <c r="T75" s="2950"/>
      <c r="U75" s="2950"/>
      <c r="V75" s="2950"/>
      <c r="W75" s="2950"/>
      <c r="X75" s="2950"/>
      <c r="Y75" s="2950"/>
      <c r="Z75" s="2950"/>
      <c r="AA75" s="2950"/>
      <c r="AB75" s="2950"/>
      <c r="AC75" s="2950"/>
      <c r="AD75" s="2950"/>
      <c r="AE75" s="2950"/>
    </row>
    <row r="76" spans="1:119" s="699" customFormat="1" ht="12.75" customHeight="1">
      <c r="A76" s="664"/>
      <c r="B76" s="664"/>
      <c r="C76" s="666"/>
      <c r="D76" s="695"/>
      <c r="E76" s="696" t="s">
        <v>969</v>
      </c>
      <c r="F76" s="697"/>
      <c r="G76" s="698">
        <f>+InputY!$G$3</f>
        <v>1995</v>
      </c>
      <c r="H76" s="698">
        <f>+G76+1</f>
        <v>1996</v>
      </c>
      <c r="I76" s="698">
        <f t="shared" ref="I76:O76" si="85">+H76+1</f>
        <v>1997</v>
      </c>
      <c r="J76" s="698">
        <f t="shared" si="85"/>
        <v>1998</v>
      </c>
      <c r="K76" s="698">
        <f t="shared" si="85"/>
        <v>1999</v>
      </c>
      <c r="L76" s="698">
        <f t="shared" si="85"/>
        <v>2000</v>
      </c>
      <c r="M76" s="698">
        <f t="shared" si="85"/>
        <v>2001</v>
      </c>
      <c r="N76" s="698">
        <f t="shared" si="85"/>
        <v>2002</v>
      </c>
      <c r="O76" s="698">
        <f t="shared" si="85"/>
        <v>2003</v>
      </c>
      <c r="P76" s="3490">
        <f t="shared" ref="P76:V76" si="86">+O76+1</f>
        <v>2004</v>
      </c>
      <c r="Q76" s="3490">
        <f t="shared" si="86"/>
        <v>2005</v>
      </c>
      <c r="R76" s="3490">
        <f t="shared" si="86"/>
        <v>2006</v>
      </c>
      <c r="S76" s="3490">
        <f t="shared" si="86"/>
        <v>2007</v>
      </c>
      <c r="T76" s="3491">
        <f t="shared" si="86"/>
        <v>2008</v>
      </c>
      <c r="U76" s="3491">
        <f t="shared" si="86"/>
        <v>2009</v>
      </c>
      <c r="V76" s="3491">
        <f t="shared" si="86"/>
        <v>2010</v>
      </c>
      <c r="W76" s="3491">
        <f t="shared" ref="W76:AE76" si="87">+V76+1</f>
        <v>2011</v>
      </c>
      <c r="X76" s="3491">
        <f t="shared" si="87"/>
        <v>2012</v>
      </c>
      <c r="Y76" s="3491">
        <f t="shared" si="87"/>
        <v>2013</v>
      </c>
      <c r="Z76" s="3491">
        <f t="shared" si="87"/>
        <v>2014</v>
      </c>
      <c r="AA76" s="3491">
        <f t="shared" si="87"/>
        <v>2015</v>
      </c>
      <c r="AB76" s="3491">
        <f t="shared" si="87"/>
        <v>2016</v>
      </c>
      <c r="AC76" s="3491">
        <f t="shared" si="87"/>
        <v>2017</v>
      </c>
      <c r="AD76" s="3491">
        <f t="shared" si="87"/>
        <v>2018</v>
      </c>
      <c r="AE76" s="3491">
        <f t="shared" si="87"/>
        <v>2019</v>
      </c>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row>
    <row r="77" spans="1:119" s="885" customFormat="1" ht="12.75" customHeight="1">
      <c r="A77" s="664"/>
      <c r="B77" s="664"/>
      <c r="C77" s="667" t="s">
        <v>1767</v>
      </c>
      <c r="D77" s="773"/>
      <c r="E77" s="887" t="s">
        <v>716</v>
      </c>
      <c r="F77" s="888" t="s">
        <v>273</v>
      </c>
      <c r="G77" s="889" t="str">
        <f>+G32</f>
        <v>:</v>
      </c>
      <c r="H77" s="889" t="str">
        <f>+H32</f>
        <v>:</v>
      </c>
      <c r="I77" s="889" t="str">
        <f t="shared" ref="I77:O77" si="88">+I32</f>
        <v>:</v>
      </c>
      <c r="J77" s="889" t="str">
        <f t="shared" si="88"/>
        <v>:</v>
      </c>
      <c r="K77" s="889" t="str">
        <f t="shared" si="88"/>
        <v>:</v>
      </c>
      <c r="L77" s="889">
        <f t="shared" si="88"/>
        <v>1123.8399999999999</v>
      </c>
      <c r="M77" s="889">
        <f t="shared" si="88"/>
        <v>1078.42</v>
      </c>
      <c r="N77" s="889">
        <f t="shared" si="88"/>
        <v>1112.6500000000001</v>
      </c>
      <c r="O77" s="889">
        <f t="shared" si="88"/>
        <v>1132.8599999999999</v>
      </c>
      <c r="P77" s="3506">
        <f t="shared" ref="P77:U77" si="89">+P32</f>
        <v>1146.9000000000001</v>
      </c>
      <c r="Q77" s="3506">
        <f>+Q32</f>
        <v>1174.57</v>
      </c>
      <c r="R77" s="3506">
        <f>+R32</f>
        <v>1173.5</v>
      </c>
      <c r="S77" s="3506">
        <f>+S32</f>
        <v>1233.6600000000001</v>
      </c>
      <c r="T77" s="2957">
        <f t="shared" si="89"/>
        <v>1259.6300000000001</v>
      </c>
      <c r="U77" s="2957">
        <f t="shared" si="89"/>
        <v>1158.73</v>
      </c>
      <c r="V77" s="2957">
        <f t="shared" ref="V77:AA77" si="90">+V32</f>
        <v>1111.08</v>
      </c>
      <c r="W77" s="2957">
        <f t="shared" si="90"/>
        <v>1119.95</v>
      </c>
      <c r="X77" s="2957">
        <f t="shared" si="90"/>
        <v>1133.8900000000001</v>
      </c>
      <c r="Y77" s="2957">
        <f t="shared" si="90"/>
        <v>1139.7</v>
      </c>
      <c r="Z77" s="2957">
        <f t="shared" si="90"/>
        <v>1158.18</v>
      </c>
      <c r="AA77" s="2957">
        <f t="shared" si="90"/>
        <v>1171</v>
      </c>
      <c r="AB77" s="2957">
        <f>+AB32</f>
        <v>1193.3</v>
      </c>
      <c r="AC77" s="2957">
        <f>+AC32</f>
        <v>1191.7</v>
      </c>
      <c r="AD77" s="2957">
        <f>+AD32</f>
        <v>1185.1548500000004</v>
      </c>
      <c r="AE77" s="2957">
        <f>+AE32</f>
        <v>1182.6873098150004</v>
      </c>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row>
    <row r="78" spans="1:119" s="884" customFormat="1" ht="12.75" customHeight="1">
      <c r="A78" s="664"/>
      <c r="B78" s="664"/>
      <c r="C78" s="886" t="s">
        <v>1767</v>
      </c>
      <c r="D78" s="890"/>
      <c r="E78" s="891" t="str">
        <f>+E35</f>
        <v>Frontier workers</v>
      </c>
      <c r="F78" s="892" t="s">
        <v>272</v>
      </c>
      <c r="G78" s="893" t="e">
        <f>+G35</f>
        <v>#VALUE!</v>
      </c>
      <c r="H78" s="893" t="e">
        <f>+H35</f>
        <v>#VALUE!</v>
      </c>
      <c r="I78" s="893" t="e">
        <f t="shared" ref="I78:O78" si="91">+I35</f>
        <v>#VALUE!</v>
      </c>
      <c r="J78" s="893" t="e">
        <f t="shared" si="91"/>
        <v>#VALUE!</v>
      </c>
      <c r="K78" s="893" t="e">
        <f t="shared" si="91"/>
        <v>#VALUE!</v>
      </c>
      <c r="L78" s="893">
        <f t="shared" si="91"/>
        <v>3.5599999999999454</v>
      </c>
      <c r="M78" s="893">
        <f t="shared" si="91"/>
        <v>10.910000000000082</v>
      </c>
      <c r="N78" s="893">
        <f t="shared" si="91"/>
        <v>16.25</v>
      </c>
      <c r="O78" s="893">
        <f t="shared" si="91"/>
        <v>17.269999999999982</v>
      </c>
      <c r="P78" s="3527">
        <f t="shared" ref="P78:V78" si="92">+P35</f>
        <v>15.230000000000018</v>
      </c>
      <c r="Q78" s="3527">
        <f t="shared" si="92"/>
        <v>17.029999999999973</v>
      </c>
      <c r="R78" s="3527">
        <f t="shared" si="92"/>
        <v>14.980000000000018</v>
      </c>
      <c r="S78" s="3527">
        <f t="shared" si="92"/>
        <v>9.0999999999999091</v>
      </c>
      <c r="T78" s="2958">
        <f t="shared" si="92"/>
        <v>2.9300000000000637</v>
      </c>
      <c r="U78" s="2958">
        <f t="shared" si="92"/>
        <v>1.8099999999999454</v>
      </c>
      <c r="V78" s="2958">
        <f t="shared" si="92"/>
        <v>0.99000000000000909</v>
      </c>
      <c r="W78" s="2958">
        <f t="shared" ref="W78:AB78" si="93">+W35</f>
        <v>0.89999999999986358</v>
      </c>
      <c r="X78" s="2958">
        <f t="shared" si="93"/>
        <v>1.0999999999999091</v>
      </c>
      <c r="Y78" s="2958">
        <f t="shared" si="93"/>
        <v>1.2799999999999727</v>
      </c>
      <c r="Z78" s="2958">
        <f t="shared" si="93"/>
        <v>1.4900000000000091</v>
      </c>
      <c r="AA78" s="2958">
        <f t="shared" si="93"/>
        <v>0.94000000000005457</v>
      </c>
      <c r="AB78" s="2958">
        <f t="shared" si="93"/>
        <v>0.89999999999986358</v>
      </c>
      <c r="AC78" s="2958">
        <f>+AC35</f>
        <v>1.6100000000001273</v>
      </c>
      <c r="AD78" s="2958">
        <f>+AD35</f>
        <v>1.6012524890889011</v>
      </c>
      <c r="AE78" s="2958">
        <f>+AE35</f>
        <v>1.596397295129141</v>
      </c>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row>
    <row r="79" spans="1:119" s="699" customFormat="1" ht="12.75" customHeight="1">
      <c r="A79" s="664"/>
      <c r="B79" s="664">
        <v>83</v>
      </c>
      <c r="C79" s="666" t="s">
        <v>1769</v>
      </c>
      <c r="D79" s="746"/>
      <c r="E79" s="894" t="s">
        <v>782</v>
      </c>
      <c r="F79" s="895" t="s">
        <v>720</v>
      </c>
      <c r="G79" s="749" t="e">
        <f>+G77+G78</f>
        <v>#VALUE!</v>
      </c>
      <c r="H79" s="749" t="e">
        <f>+H77+H78</f>
        <v>#VALUE!</v>
      </c>
      <c r="I79" s="749" t="e">
        <f t="shared" ref="I79:Y79" si="94">+I77+I78</f>
        <v>#VALUE!</v>
      </c>
      <c r="J79" s="749" t="e">
        <f t="shared" si="94"/>
        <v>#VALUE!</v>
      </c>
      <c r="K79" s="749" t="e">
        <f t="shared" si="94"/>
        <v>#VALUE!</v>
      </c>
      <c r="L79" s="749">
        <f t="shared" si="94"/>
        <v>1127.3999999999999</v>
      </c>
      <c r="M79" s="749">
        <f t="shared" si="94"/>
        <v>1089.3300000000002</v>
      </c>
      <c r="N79" s="749">
        <f t="shared" si="94"/>
        <v>1128.9000000000001</v>
      </c>
      <c r="O79" s="749">
        <f t="shared" si="94"/>
        <v>1150.1299999999999</v>
      </c>
      <c r="P79" s="3509">
        <f t="shared" si="94"/>
        <v>1162.1300000000001</v>
      </c>
      <c r="Q79" s="3509">
        <f>+Q77+Q78</f>
        <v>1191.5999999999999</v>
      </c>
      <c r="R79" s="3509">
        <f>+R77+R78</f>
        <v>1188.48</v>
      </c>
      <c r="S79" s="3509">
        <f>+S77+S78</f>
        <v>1242.76</v>
      </c>
      <c r="T79" s="2959">
        <f t="shared" si="94"/>
        <v>1262.5600000000002</v>
      </c>
      <c r="U79" s="2959">
        <f t="shared" si="94"/>
        <v>1160.54</v>
      </c>
      <c r="V79" s="2959">
        <f t="shared" si="94"/>
        <v>1112.07</v>
      </c>
      <c r="W79" s="2959">
        <f t="shared" si="94"/>
        <v>1120.8499999999999</v>
      </c>
      <c r="X79" s="2959">
        <f t="shared" si="94"/>
        <v>1134.99</v>
      </c>
      <c r="Y79" s="2959">
        <f t="shared" si="94"/>
        <v>1140.98</v>
      </c>
      <c r="Z79" s="2959">
        <f t="shared" ref="Z79:AE79" si="95">+Z77+Z78</f>
        <v>1159.67</v>
      </c>
      <c r="AA79" s="2959">
        <f t="shared" si="95"/>
        <v>1171.94</v>
      </c>
      <c r="AB79" s="2959">
        <f t="shared" si="95"/>
        <v>1194.1999999999998</v>
      </c>
      <c r="AC79" s="2959">
        <f t="shared" si="95"/>
        <v>1193.3100000000002</v>
      </c>
      <c r="AD79" s="2959">
        <f t="shared" si="95"/>
        <v>1186.7561024890892</v>
      </c>
      <c r="AE79" s="2959">
        <f t="shared" si="95"/>
        <v>1184.2837071101296</v>
      </c>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row>
    <row r="80" spans="1:119">
      <c r="A80" s="1130"/>
      <c r="Q80" s="599"/>
      <c r="R80" s="599"/>
      <c r="S80" s="599"/>
      <c r="T80" s="2930"/>
      <c r="U80" s="2930"/>
      <c r="V80" s="2930"/>
      <c r="W80" s="2930"/>
      <c r="X80" s="2930"/>
      <c r="Y80" s="2930"/>
      <c r="Z80" s="2930"/>
      <c r="AA80" s="2930"/>
      <c r="AB80" s="2930"/>
      <c r="AC80" s="2930"/>
      <c r="AD80" s="2930"/>
      <c r="AE80" s="2930"/>
    </row>
    <row r="81" spans="1:119" s="699" customFormat="1" ht="12.75" customHeight="1">
      <c r="A81" s="664"/>
      <c r="B81" s="664"/>
      <c r="C81" s="666"/>
      <c r="D81" s="742"/>
      <c r="E81" s="743" t="s">
        <v>969</v>
      </c>
      <c r="F81" s="744"/>
      <c r="G81" s="745">
        <f>+InputY!$G$3</f>
        <v>1995</v>
      </c>
      <c r="H81" s="745">
        <f>+G81+1</f>
        <v>1996</v>
      </c>
      <c r="I81" s="745">
        <f t="shared" ref="I81:O81" si="96">+H81+1</f>
        <v>1997</v>
      </c>
      <c r="J81" s="745">
        <f t="shared" si="96"/>
        <v>1998</v>
      </c>
      <c r="K81" s="745">
        <f t="shared" si="96"/>
        <v>1999</v>
      </c>
      <c r="L81" s="745">
        <f t="shared" si="96"/>
        <v>2000</v>
      </c>
      <c r="M81" s="745">
        <f t="shared" si="96"/>
        <v>2001</v>
      </c>
      <c r="N81" s="745">
        <f t="shared" si="96"/>
        <v>2002</v>
      </c>
      <c r="O81" s="745">
        <f t="shared" si="96"/>
        <v>2003</v>
      </c>
      <c r="P81" s="3495">
        <f t="shared" ref="P81:V81" si="97">+O81+1</f>
        <v>2004</v>
      </c>
      <c r="Q81" s="3495">
        <f t="shared" si="97"/>
        <v>2005</v>
      </c>
      <c r="R81" s="3495">
        <f t="shared" si="97"/>
        <v>2006</v>
      </c>
      <c r="S81" s="3495">
        <f t="shared" si="97"/>
        <v>2007</v>
      </c>
      <c r="T81" s="3496">
        <f t="shared" si="97"/>
        <v>2008</v>
      </c>
      <c r="U81" s="3496">
        <f t="shared" si="97"/>
        <v>2009</v>
      </c>
      <c r="V81" s="3496">
        <f t="shared" si="97"/>
        <v>2010</v>
      </c>
      <c r="W81" s="3496">
        <f t="shared" ref="W81:AE81" si="98">+V81+1</f>
        <v>2011</v>
      </c>
      <c r="X81" s="3496">
        <f t="shared" si="98"/>
        <v>2012</v>
      </c>
      <c r="Y81" s="3496">
        <f t="shared" si="98"/>
        <v>2013</v>
      </c>
      <c r="Z81" s="3496">
        <f t="shared" si="98"/>
        <v>2014</v>
      </c>
      <c r="AA81" s="3496">
        <f t="shared" si="98"/>
        <v>2015</v>
      </c>
      <c r="AB81" s="3496">
        <f t="shared" si="98"/>
        <v>2016</v>
      </c>
      <c r="AC81" s="3496">
        <f t="shared" si="98"/>
        <v>2017</v>
      </c>
      <c r="AD81" s="3496">
        <f t="shared" si="98"/>
        <v>2018</v>
      </c>
      <c r="AE81" s="3496">
        <f t="shared" si="98"/>
        <v>2019</v>
      </c>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row>
    <row r="82" spans="1:119" s="699" customFormat="1" ht="12.75" customHeight="1">
      <c r="A82" s="664"/>
      <c r="B82" s="664"/>
      <c r="C82" s="688" t="s">
        <v>1767</v>
      </c>
      <c r="D82" s="689"/>
      <c r="E82" s="738" t="s">
        <v>716</v>
      </c>
      <c r="F82" s="733" t="s">
        <v>273</v>
      </c>
      <c r="G82" s="734"/>
      <c r="H82" s="739" t="e">
        <f>(H77/G77-1)*100</f>
        <v>#VALUE!</v>
      </c>
      <c r="I82" s="739" t="e">
        <f t="shared" ref="I82:AE82" si="99">(I77/H77-1)*100</f>
        <v>#VALUE!</v>
      </c>
      <c r="J82" s="739" t="e">
        <f t="shared" si="99"/>
        <v>#VALUE!</v>
      </c>
      <c r="K82" s="739" t="e">
        <f t="shared" si="99"/>
        <v>#VALUE!</v>
      </c>
      <c r="L82" s="739" t="e">
        <f t="shared" si="99"/>
        <v>#VALUE!</v>
      </c>
      <c r="M82" s="739">
        <f t="shared" si="99"/>
        <v>-4.0415005694760637</v>
      </c>
      <c r="N82" s="739">
        <f t="shared" si="99"/>
        <v>3.1740880176554631</v>
      </c>
      <c r="O82" s="739">
        <f t="shared" si="99"/>
        <v>1.8163843077337649</v>
      </c>
      <c r="P82" s="3497">
        <f t="shared" si="99"/>
        <v>1.2393411365923646</v>
      </c>
      <c r="Q82" s="3497">
        <f t="shared" ref="Q82:S84" si="100">(Q77/P77-1)*100</f>
        <v>2.4125904612433358</v>
      </c>
      <c r="R82" s="3497">
        <f t="shared" si="100"/>
        <v>-9.1097167474052387E-2</v>
      </c>
      <c r="S82" s="3497">
        <f t="shared" si="100"/>
        <v>5.1265445249254471</v>
      </c>
      <c r="T82" s="2960">
        <f t="shared" si="99"/>
        <v>2.1051181038535649</v>
      </c>
      <c r="U82" s="2960">
        <f t="shared" si="99"/>
        <v>-8.0102887355810957</v>
      </c>
      <c r="V82" s="2960">
        <f t="shared" si="99"/>
        <v>-4.1122608372960112</v>
      </c>
      <c r="W82" s="2960">
        <f t="shared" si="99"/>
        <v>0.79832235302590426</v>
      </c>
      <c r="X82" s="2960">
        <f t="shared" si="99"/>
        <v>1.2446984240367831</v>
      </c>
      <c r="Y82" s="2960">
        <f t="shared" si="99"/>
        <v>0.51239538226812709</v>
      </c>
      <c r="Z82" s="2960">
        <f t="shared" si="99"/>
        <v>1.6214793366675417</v>
      </c>
      <c r="AA82" s="2960">
        <f t="shared" si="99"/>
        <v>1.1069091160268663</v>
      </c>
      <c r="AB82" s="2960">
        <f t="shared" si="99"/>
        <v>1.9043552519214302</v>
      </c>
      <c r="AC82" s="2960">
        <f t="shared" si="99"/>
        <v>-0.13408195759657682</v>
      </c>
      <c r="AD82" s="2960">
        <f t="shared" si="99"/>
        <v>-0.54922799362252528</v>
      </c>
      <c r="AE82" s="2960">
        <f t="shared" si="99"/>
        <v>-0.20820403215663363</v>
      </c>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row>
    <row r="83" spans="1:119">
      <c r="A83" s="1130"/>
      <c r="C83" s="690" t="s">
        <v>1767</v>
      </c>
      <c r="D83" s="691"/>
      <c r="E83" s="735" t="s">
        <v>719</v>
      </c>
      <c r="F83" s="736" t="s">
        <v>272</v>
      </c>
      <c r="G83" s="737"/>
      <c r="H83" s="741" t="e">
        <f>(H78/G78-1)*100</f>
        <v>#VALUE!</v>
      </c>
      <c r="I83" s="741" t="e">
        <f t="shared" ref="I83:AE83" si="101">(I78/H78-1)*100</f>
        <v>#VALUE!</v>
      </c>
      <c r="J83" s="741" t="e">
        <f t="shared" si="101"/>
        <v>#VALUE!</v>
      </c>
      <c r="K83" s="741" t="e">
        <f t="shared" si="101"/>
        <v>#VALUE!</v>
      </c>
      <c r="L83" s="741" t="e">
        <f t="shared" si="101"/>
        <v>#VALUE!</v>
      </c>
      <c r="M83" s="741">
        <f t="shared" si="101"/>
        <v>206.46067415731036</v>
      </c>
      <c r="N83" s="741">
        <f t="shared" si="101"/>
        <v>48.945921173234439</v>
      </c>
      <c r="O83" s="741">
        <f t="shared" si="101"/>
        <v>6.2769230769229578</v>
      </c>
      <c r="P83" s="3499">
        <f t="shared" si="101"/>
        <v>-11.812391430225622</v>
      </c>
      <c r="Q83" s="3499">
        <f t="shared" si="100"/>
        <v>11.818778726197987</v>
      </c>
      <c r="R83" s="3499">
        <f t="shared" si="100"/>
        <v>-12.037580739870569</v>
      </c>
      <c r="S83" s="3499">
        <f t="shared" si="100"/>
        <v>-39.252336448598811</v>
      </c>
      <c r="T83" s="2961">
        <f t="shared" si="101"/>
        <v>-67.802197802196787</v>
      </c>
      <c r="U83" s="2961">
        <f t="shared" si="101"/>
        <v>-38.225255972699443</v>
      </c>
      <c r="V83" s="2961">
        <f t="shared" si="101"/>
        <v>-45.303867403312772</v>
      </c>
      <c r="W83" s="2961">
        <f t="shared" si="101"/>
        <v>-9.090909090923704</v>
      </c>
      <c r="X83" s="2961">
        <f t="shared" si="101"/>
        <v>22.222222222230648</v>
      </c>
      <c r="Y83" s="2961">
        <f t="shared" si="101"/>
        <v>16.363636363643508</v>
      </c>
      <c r="Z83" s="2961">
        <f t="shared" si="101"/>
        <v>16.406250000003197</v>
      </c>
      <c r="AA83" s="2961">
        <f t="shared" si="101"/>
        <v>-36.912751677849073</v>
      </c>
      <c r="AB83" s="2961">
        <f t="shared" si="101"/>
        <v>-4.2553191489562376</v>
      </c>
      <c r="AC83" s="2961">
        <f t="shared" si="101"/>
        <v>78.888888888930154</v>
      </c>
      <c r="AD83" s="2961">
        <f t="shared" si="101"/>
        <v>-0.54332365908233982</v>
      </c>
      <c r="AE83" s="2961">
        <f t="shared" si="101"/>
        <v>-0.30321226620060315</v>
      </c>
    </row>
    <row r="84" spans="1:119" s="699" customFormat="1" ht="12.75" customHeight="1">
      <c r="A84" s="664"/>
      <c r="B84" s="664"/>
      <c r="C84" s="666" t="s">
        <v>1769</v>
      </c>
      <c r="D84" s="717"/>
      <c r="E84" s="722" t="s">
        <v>782</v>
      </c>
      <c r="F84" s="723" t="s">
        <v>720</v>
      </c>
      <c r="G84" s="721"/>
      <c r="H84" s="721" t="e">
        <f>(H79/G79-1)*100</f>
        <v>#VALUE!</v>
      </c>
      <c r="I84" s="721" t="e">
        <f t="shared" ref="I84:AE84" si="102">(I79/H79-1)*100</f>
        <v>#VALUE!</v>
      </c>
      <c r="J84" s="721" t="e">
        <f t="shared" si="102"/>
        <v>#VALUE!</v>
      </c>
      <c r="K84" s="721" t="e">
        <f t="shared" si="102"/>
        <v>#VALUE!</v>
      </c>
      <c r="L84" s="721" t="e">
        <f t="shared" si="102"/>
        <v>#VALUE!</v>
      </c>
      <c r="M84" s="721">
        <f t="shared" si="102"/>
        <v>-3.376796168174534</v>
      </c>
      <c r="N84" s="721">
        <f t="shared" si="102"/>
        <v>3.6325080554101996</v>
      </c>
      <c r="O84" s="721">
        <f t="shared" si="102"/>
        <v>1.8805917264593575</v>
      </c>
      <c r="P84" s="3500">
        <f t="shared" si="102"/>
        <v>1.0433603157903981</v>
      </c>
      <c r="Q84" s="3500">
        <f t="shared" si="100"/>
        <v>2.5358608761498092</v>
      </c>
      <c r="R84" s="3500">
        <f t="shared" si="100"/>
        <v>-0.2618328298086503</v>
      </c>
      <c r="S84" s="3500">
        <f t="shared" si="100"/>
        <v>4.567178244480341</v>
      </c>
      <c r="T84" s="2948">
        <f t="shared" si="102"/>
        <v>1.5932279764395485</v>
      </c>
      <c r="U84" s="2948">
        <f t="shared" si="102"/>
        <v>-8.0804080598149923</v>
      </c>
      <c r="V84" s="2948">
        <f t="shared" si="102"/>
        <v>-4.176504041222195</v>
      </c>
      <c r="W84" s="2948">
        <f t="shared" si="102"/>
        <v>0.78951864540901528</v>
      </c>
      <c r="X84" s="2948">
        <f t="shared" si="102"/>
        <v>1.2615425792925183</v>
      </c>
      <c r="Y84" s="2948">
        <f t="shared" si="102"/>
        <v>0.52775795381456714</v>
      </c>
      <c r="Z84" s="2948">
        <f t="shared" si="102"/>
        <v>1.6380655226209129</v>
      </c>
      <c r="AA84" s="2948">
        <f t="shared" si="102"/>
        <v>1.0580596204092574</v>
      </c>
      <c r="AB84" s="2948">
        <f t="shared" si="102"/>
        <v>1.8994146458009675</v>
      </c>
      <c r="AC84" s="2948">
        <f t="shared" si="102"/>
        <v>-7.4526879919578626E-2</v>
      </c>
      <c r="AD84" s="2948">
        <f t="shared" si="102"/>
        <v>-0.54922002756290222</v>
      </c>
      <c r="AE84" s="2948">
        <f t="shared" si="102"/>
        <v>-0.2083322237630858</v>
      </c>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row>
    <row r="85" spans="1:119" ht="30" customHeight="1">
      <c r="A85" s="1130"/>
      <c r="S85" s="2930"/>
      <c r="T85" s="2930"/>
      <c r="U85" s="2930"/>
      <c r="V85" s="2930"/>
      <c r="W85" s="2930"/>
      <c r="X85" s="2930"/>
      <c r="Y85" s="2930"/>
      <c r="Z85" s="2930"/>
      <c r="AA85" s="2930"/>
      <c r="AB85" s="2930"/>
      <c r="AC85" s="2930"/>
      <c r="AD85" s="2930"/>
      <c r="AE85" s="2930"/>
    </row>
    <row r="86" spans="1:119" ht="30" customHeight="1">
      <c r="A86" s="1130"/>
      <c r="S86" s="2930"/>
      <c r="T86" s="2930"/>
      <c r="U86" s="2930"/>
      <c r="V86" s="2930"/>
      <c r="W86" s="2930"/>
      <c r="X86" s="2930"/>
      <c r="Y86" s="2930"/>
      <c r="Z86" s="2930"/>
      <c r="AA86" s="2930"/>
      <c r="AB86" s="2930"/>
      <c r="AC86" s="2930"/>
      <c r="AD86" s="2930"/>
      <c r="AE86" s="2930"/>
    </row>
    <row r="87" spans="1:119" ht="22.5" customHeight="1">
      <c r="C87" s="3751" t="s">
        <v>42</v>
      </c>
      <c r="D87" s="3751"/>
      <c r="E87" s="3751"/>
      <c r="F87" s="3751"/>
      <c r="S87" s="2930"/>
      <c r="T87" s="2930"/>
      <c r="U87" s="2930"/>
      <c r="V87" s="2930"/>
      <c r="W87" s="2930"/>
      <c r="X87" s="2930"/>
      <c r="Y87" s="2930"/>
      <c r="Z87" s="2930"/>
      <c r="AA87" s="2930"/>
      <c r="AB87" s="2930"/>
      <c r="AC87" s="2930"/>
      <c r="AD87" s="2930"/>
      <c r="AE87" s="2930"/>
    </row>
    <row r="88" spans="1:119">
      <c r="AB88" s="3486"/>
      <c r="AC88" s="3486"/>
      <c r="AD88" s="3486"/>
      <c r="AE88" s="3486"/>
      <c r="AG88" s="3659"/>
    </row>
    <row r="89" spans="1:119" s="699" customFormat="1" ht="12.75" customHeight="1">
      <c r="A89" s="664"/>
      <c r="B89" s="664"/>
      <c r="C89" s="666"/>
      <c r="D89" s="695"/>
      <c r="E89" s="696" t="s">
        <v>833</v>
      </c>
      <c r="F89" s="697"/>
      <c r="G89" s="698">
        <f>+InputY!$G$3</f>
        <v>1995</v>
      </c>
      <c r="H89" s="698">
        <f>+G89+1</f>
        <v>1996</v>
      </c>
      <c r="I89" s="698">
        <f t="shared" ref="I89:O89" si="103">+H89+1</f>
        <v>1997</v>
      </c>
      <c r="J89" s="698">
        <f t="shared" si="103"/>
        <v>1998</v>
      </c>
      <c r="K89" s="698">
        <f t="shared" si="103"/>
        <v>1999</v>
      </c>
      <c r="L89" s="698">
        <f t="shared" si="103"/>
        <v>2000</v>
      </c>
      <c r="M89" s="698">
        <f t="shared" si="103"/>
        <v>2001</v>
      </c>
      <c r="N89" s="698">
        <f t="shared" si="103"/>
        <v>2002</v>
      </c>
      <c r="O89" s="698">
        <f t="shared" si="103"/>
        <v>2003</v>
      </c>
      <c r="P89" s="3490">
        <f t="shared" ref="P89:W89" si="104">+O89+1</f>
        <v>2004</v>
      </c>
      <c r="Q89" s="3490">
        <f t="shared" si="104"/>
        <v>2005</v>
      </c>
      <c r="R89" s="3490">
        <f t="shared" si="104"/>
        <v>2006</v>
      </c>
      <c r="S89" s="3490">
        <f t="shared" si="104"/>
        <v>2007</v>
      </c>
      <c r="T89" s="3491">
        <f t="shared" si="104"/>
        <v>2008</v>
      </c>
      <c r="U89" s="3491">
        <f>+T89+1</f>
        <v>2009</v>
      </c>
      <c r="V89" s="3491">
        <f t="shared" si="104"/>
        <v>2010</v>
      </c>
      <c r="W89" s="3491">
        <f t="shared" si="104"/>
        <v>2011</v>
      </c>
      <c r="X89" s="3491">
        <f t="shared" ref="X89:AE89" si="105">+W89+1</f>
        <v>2012</v>
      </c>
      <c r="Y89" s="3491">
        <f t="shared" si="105"/>
        <v>2013</v>
      </c>
      <c r="Z89" s="3491">
        <f t="shared" si="105"/>
        <v>2014</v>
      </c>
      <c r="AA89" s="3491">
        <f t="shared" si="105"/>
        <v>2015</v>
      </c>
      <c r="AB89" s="3491">
        <f t="shared" si="105"/>
        <v>2016</v>
      </c>
      <c r="AC89" s="3491">
        <f t="shared" si="105"/>
        <v>2017</v>
      </c>
      <c r="AD89" s="3491">
        <f t="shared" si="105"/>
        <v>2018</v>
      </c>
      <c r="AE89" s="3491">
        <f t="shared" si="105"/>
        <v>2019</v>
      </c>
      <c r="AF89"/>
      <c r="AG89" s="365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row>
    <row r="90" spans="1:119">
      <c r="A90" s="664">
        <f>+ROW(InputY!A224)</f>
        <v>224</v>
      </c>
      <c r="B90" s="665">
        <v>85</v>
      </c>
      <c r="C90" s="677"/>
      <c r="D90" s="678"/>
      <c r="E90" s="726" t="s">
        <v>283</v>
      </c>
      <c r="F90" s="727" t="str">
        <f>+InputY!B224</f>
        <v>AvHoursWorked</v>
      </c>
      <c r="G90" s="727">
        <f>+InputY!G224</f>
        <v>1729.3561604120878</v>
      </c>
      <c r="H90" s="727">
        <f>+InputY!H224</f>
        <v>1727.0403665925201</v>
      </c>
      <c r="I90" s="727">
        <f>+InputY!I224</f>
        <v>1732.6938883909304</v>
      </c>
      <c r="J90" s="727">
        <f>+InputY!J224</f>
        <v>1779.5935693254817</v>
      </c>
      <c r="K90" s="727">
        <f>+InputY!K224</f>
        <v>1726.0135615023025</v>
      </c>
      <c r="L90" s="727">
        <f>+InputY!L224</f>
        <v>1846.2277746410425</v>
      </c>
      <c r="M90" s="727">
        <f>+InputY!M224</f>
        <v>1831.2192363984873</v>
      </c>
      <c r="N90" s="727">
        <f>+InputY!N224</f>
        <v>1802.1709567786158</v>
      </c>
      <c r="O90" s="727">
        <f>+InputY!O224</f>
        <v>1785.8864635865639</v>
      </c>
      <c r="P90" s="3528">
        <f>+InputY!P224</f>
        <v>1878.5560953123895</v>
      </c>
      <c r="Q90" s="3528">
        <f>+InputY!Q224</f>
        <v>1878.9719508418264</v>
      </c>
      <c r="R90" s="3528">
        <f>+InputY!R224</f>
        <v>1874.210342733679</v>
      </c>
      <c r="S90" s="3528">
        <f>+InputY!S224</f>
        <v>1903.756480341005</v>
      </c>
      <c r="T90" s="3528">
        <f>+InputY!T224</f>
        <v>1933.5712472564849</v>
      </c>
      <c r="U90" s="3528">
        <f>+InputY!U224</f>
        <v>1862.9436540550396</v>
      </c>
      <c r="V90" s="3528">
        <f>+InputY!V224</f>
        <v>1884.2864281302889</v>
      </c>
      <c r="W90" s="3528">
        <f>+InputY!W224</f>
        <v>1858.872722918496</v>
      </c>
      <c r="X90" s="3528">
        <f>+InputY!X224</f>
        <v>1857.2941720919287</v>
      </c>
      <c r="Y90" s="3528">
        <f>+InputY!Y224</f>
        <v>1841.2473275588477</v>
      </c>
      <c r="Z90" s="3528">
        <f>+InputY!Z224</f>
        <v>1833.5296135254705</v>
      </c>
      <c r="AA90" s="3528">
        <f>+InputY!AA224</f>
        <v>1859.4973814928862</v>
      </c>
      <c r="AB90" s="3528">
        <f>+InputY!AB224</f>
        <v>1885.0091242350554</v>
      </c>
      <c r="AC90" s="3528">
        <f>+InputY!AC224</f>
        <v>1844.0169040919868</v>
      </c>
      <c r="AD90" s="2962">
        <f>+AC90*(1+AD93/100)</f>
        <v>1845.8609209960787</v>
      </c>
      <c r="AE90" s="2962">
        <f>+AD90*(1+AE93/100)</f>
        <v>1847.7067819170745</v>
      </c>
      <c r="AG90" s="3659"/>
    </row>
    <row r="91" spans="1:119">
      <c r="Q91" s="599"/>
      <c r="R91" s="599"/>
      <c r="S91" s="599"/>
      <c r="T91" s="2930"/>
      <c r="U91" s="2930"/>
      <c r="V91" s="2930"/>
      <c r="W91" s="2930"/>
      <c r="X91" s="2930"/>
      <c r="Y91" s="2930"/>
      <c r="Z91" s="2930"/>
      <c r="AA91" s="2930"/>
      <c r="AB91" s="2930"/>
      <c r="AC91" s="2930"/>
      <c r="AD91" s="2930"/>
      <c r="AE91" s="2930"/>
      <c r="AG91" s="3659"/>
    </row>
    <row r="92" spans="1:119" s="699" customFormat="1" ht="12.75" customHeight="1">
      <c r="A92" s="664"/>
      <c r="B92" s="664"/>
      <c r="C92" s="666"/>
      <c r="D92" s="713"/>
      <c r="E92" s="714" t="s">
        <v>284</v>
      </c>
      <c r="F92" s="715"/>
      <c r="G92" s="716">
        <f>+InputY!$G$3</f>
        <v>1995</v>
      </c>
      <c r="H92" s="716">
        <f>+G92+1</f>
        <v>1996</v>
      </c>
      <c r="I92" s="716">
        <f t="shared" ref="I92:O92" si="106">+H92+1</f>
        <v>1997</v>
      </c>
      <c r="J92" s="716">
        <f t="shared" si="106"/>
        <v>1998</v>
      </c>
      <c r="K92" s="716">
        <f t="shared" si="106"/>
        <v>1999</v>
      </c>
      <c r="L92" s="716">
        <f t="shared" si="106"/>
        <v>2000</v>
      </c>
      <c r="M92" s="716">
        <f t="shared" si="106"/>
        <v>2001</v>
      </c>
      <c r="N92" s="716">
        <f t="shared" si="106"/>
        <v>2002</v>
      </c>
      <c r="O92" s="716">
        <f t="shared" si="106"/>
        <v>2003</v>
      </c>
      <c r="P92" s="3529">
        <f t="shared" ref="P92:W92" si="107">+O92+1</f>
        <v>2004</v>
      </c>
      <c r="Q92" s="3529">
        <f t="shared" si="107"/>
        <v>2005</v>
      </c>
      <c r="R92" s="3529">
        <f t="shared" si="107"/>
        <v>2006</v>
      </c>
      <c r="S92" s="3529">
        <f t="shared" si="107"/>
        <v>2007</v>
      </c>
      <c r="T92" s="3530">
        <f t="shared" si="107"/>
        <v>2008</v>
      </c>
      <c r="U92" s="3530">
        <f>+T92+1</f>
        <v>2009</v>
      </c>
      <c r="V92" s="3530">
        <f t="shared" si="107"/>
        <v>2010</v>
      </c>
      <c r="W92" s="3530">
        <f t="shared" si="107"/>
        <v>2011</v>
      </c>
      <c r="X92" s="3530">
        <f t="shared" ref="X92:AE92" si="108">+W92+1</f>
        <v>2012</v>
      </c>
      <c r="Y92" s="3530">
        <f t="shared" si="108"/>
        <v>2013</v>
      </c>
      <c r="Z92" s="3530">
        <f t="shared" si="108"/>
        <v>2014</v>
      </c>
      <c r="AA92" s="3530">
        <f t="shared" si="108"/>
        <v>2015</v>
      </c>
      <c r="AB92" s="3530">
        <f t="shared" si="108"/>
        <v>2016</v>
      </c>
      <c r="AC92" s="3530">
        <f t="shared" si="108"/>
        <v>2017</v>
      </c>
      <c r="AD92" s="3530">
        <f t="shared" si="108"/>
        <v>2018</v>
      </c>
      <c r="AE92" s="3530">
        <f t="shared" si="108"/>
        <v>2019</v>
      </c>
      <c r="AF92"/>
      <c r="AG92" s="3659"/>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row>
    <row r="93" spans="1:119" s="699" customFormat="1" ht="12.75" customHeight="1">
      <c r="A93" s="664"/>
      <c r="B93" s="664"/>
      <c r="C93" s="756" t="s">
        <v>1767</v>
      </c>
      <c r="D93" s="757"/>
      <c r="E93" s="758" t="str">
        <f>+E90</f>
        <v>Avg. ann. hours worked / person</v>
      </c>
      <c r="F93" s="759" t="str">
        <f>+F90</f>
        <v>AvHoursWorked</v>
      </c>
      <c r="G93" s="760"/>
      <c r="H93" s="761">
        <f t="shared" ref="H93:P93" si="109">(H90/G90-1)*100</f>
        <v>-0.133910750866717</v>
      </c>
      <c r="I93" s="761">
        <f t="shared" si="109"/>
        <v>0.32735319380894357</v>
      </c>
      <c r="J93" s="761">
        <f t="shared" si="109"/>
        <v>2.7067493715294821</v>
      </c>
      <c r="K93" s="761">
        <f t="shared" si="109"/>
        <v>-3.0108002606172302</v>
      </c>
      <c r="L93" s="761">
        <f t="shared" si="109"/>
        <v>6.9648475434982648</v>
      </c>
      <c r="M93" s="761">
        <f t="shared" si="109"/>
        <v>-0.81292993468660146</v>
      </c>
      <c r="N93" s="761">
        <f t="shared" si="109"/>
        <v>-1.5862808255008076</v>
      </c>
      <c r="O93" s="761">
        <f t="shared" si="109"/>
        <v>-0.90360424080746515</v>
      </c>
      <c r="P93" s="3531">
        <f t="shared" si="109"/>
        <v>5.1889990553889431</v>
      </c>
      <c r="Q93" s="3531">
        <f t="shared" ref="Q93:AC93" si="110">(Q90/P90-1)*100</f>
        <v>2.2136976930031693E-2</v>
      </c>
      <c r="R93" s="3531">
        <f t="shared" si="110"/>
        <v>-0.25341560346412439</v>
      </c>
      <c r="S93" s="3531">
        <f t="shared" si="110"/>
        <v>1.576457931836539</v>
      </c>
      <c r="T93" s="3531">
        <f t="shared" si="110"/>
        <v>1.5661019265520437</v>
      </c>
      <c r="U93" s="3531">
        <f t="shared" si="110"/>
        <v>-3.6527018749196727</v>
      </c>
      <c r="V93" s="3531">
        <f t="shared" si="110"/>
        <v>1.1456478583661278</v>
      </c>
      <c r="W93" s="3531">
        <f t="shared" si="110"/>
        <v>-1.3487177338006862</v>
      </c>
      <c r="X93" s="3531">
        <f t="shared" si="110"/>
        <v>-8.4919790747639556E-2</v>
      </c>
      <c r="Y93" s="3531">
        <f t="shared" si="110"/>
        <v>-0.86399046388041523</v>
      </c>
      <c r="Z93" s="3531">
        <f t="shared" si="110"/>
        <v>-0.41915683557892658</v>
      </c>
      <c r="AA93" s="3531">
        <f t="shared" si="110"/>
        <v>1.4162720785013905</v>
      </c>
      <c r="AB93" s="3531">
        <f t="shared" si="110"/>
        <v>1.3719698127075297</v>
      </c>
      <c r="AC93" s="3531">
        <f t="shared" si="110"/>
        <v>-2.1746430622559099</v>
      </c>
      <c r="AD93" s="3532">
        <v>0.1</v>
      </c>
      <c r="AE93" s="3532">
        <v>0.1</v>
      </c>
      <c r="AF93" s="3660" t="s">
        <v>2589</v>
      </c>
      <c r="AG93" s="3659"/>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row>
    <row r="94" spans="1:119" ht="30" customHeight="1">
      <c r="E94" s="167"/>
      <c r="F94" s="705"/>
      <c r="G94" s="705"/>
      <c r="S94" s="2930"/>
      <c r="T94" s="2930"/>
      <c r="U94" s="2930"/>
      <c r="V94" s="2930"/>
      <c r="W94" s="2930"/>
      <c r="X94" s="2930"/>
      <c r="Y94" s="2930"/>
      <c r="Z94" s="2930"/>
      <c r="AA94" s="2930"/>
      <c r="AB94" s="2930"/>
      <c r="AC94" s="2930"/>
      <c r="AD94" s="2930"/>
      <c r="AE94" s="2930"/>
      <c r="AG94" s="3659"/>
    </row>
    <row r="95" spans="1:119" ht="30" customHeight="1">
      <c r="S95" s="2930"/>
      <c r="T95" s="2930"/>
      <c r="U95" s="2930"/>
      <c r="V95" s="2930"/>
      <c r="W95" s="2930"/>
      <c r="X95" s="2930"/>
      <c r="Y95" s="2930"/>
      <c r="Z95" s="2930"/>
      <c r="AA95" s="2930"/>
      <c r="AB95" s="2930"/>
      <c r="AC95" s="2930"/>
      <c r="AD95" s="2930"/>
      <c r="AE95" s="2930"/>
    </row>
    <row r="96" spans="1:119" ht="22.5" customHeight="1">
      <c r="C96" s="3751" t="s">
        <v>2012</v>
      </c>
      <c r="D96" s="3751"/>
      <c r="E96" s="3751"/>
      <c r="F96" s="3751"/>
      <c r="S96" s="2930"/>
      <c r="T96" s="2930"/>
      <c r="U96" s="2930"/>
      <c r="V96" s="2930"/>
      <c r="W96" s="2930"/>
      <c r="X96" s="2930"/>
      <c r="Y96" s="2930"/>
      <c r="Z96" s="2930"/>
      <c r="AA96" s="2930"/>
      <c r="AB96" s="2930"/>
      <c r="AC96" s="2930"/>
      <c r="AD96" s="2930"/>
      <c r="AE96" s="2930"/>
    </row>
    <row r="97" spans="1:119">
      <c r="AB97" s="3486"/>
      <c r="AC97" s="3486"/>
      <c r="AD97" s="3486"/>
      <c r="AE97" s="3486"/>
    </row>
    <row r="98" spans="1:119" s="699" customFormat="1" ht="12.75" customHeight="1">
      <c r="A98" s="664"/>
      <c r="B98" s="664"/>
      <c r="C98" s="666"/>
      <c r="D98" s="695"/>
      <c r="E98" s="696" t="s">
        <v>969</v>
      </c>
      <c r="F98" s="697"/>
      <c r="G98" s="698">
        <f>+InputY!$G$3</f>
        <v>1995</v>
      </c>
      <c r="H98" s="698">
        <f>+G98+1</f>
        <v>1996</v>
      </c>
      <c r="I98" s="698">
        <f t="shared" ref="I98:O98" si="111">+H98+1</f>
        <v>1997</v>
      </c>
      <c r="J98" s="698">
        <f t="shared" si="111"/>
        <v>1998</v>
      </c>
      <c r="K98" s="698">
        <f t="shared" si="111"/>
        <v>1999</v>
      </c>
      <c r="L98" s="698">
        <f t="shared" si="111"/>
        <v>2000</v>
      </c>
      <c r="M98" s="698">
        <f t="shared" si="111"/>
        <v>2001</v>
      </c>
      <c r="N98" s="698">
        <f t="shared" si="111"/>
        <v>2002</v>
      </c>
      <c r="O98" s="698">
        <f t="shared" si="111"/>
        <v>2003</v>
      </c>
      <c r="P98" s="3490">
        <f t="shared" ref="P98:W98" si="112">+O98+1</f>
        <v>2004</v>
      </c>
      <c r="Q98" s="3490">
        <f t="shared" si="112"/>
        <v>2005</v>
      </c>
      <c r="R98" s="3490">
        <f t="shared" si="112"/>
        <v>2006</v>
      </c>
      <c r="S98" s="3490">
        <f t="shared" si="112"/>
        <v>2007</v>
      </c>
      <c r="T98" s="3491">
        <f t="shared" si="112"/>
        <v>2008</v>
      </c>
      <c r="U98" s="3491">
        <f t="shared" si="112"/>
        <v>2009</v>
      </c>
      <c r="V98" s="3491">
        <f t="shared" si="112"/>
        <v>2010</v>
      </c>
      <c r="W98" s="3491">
        <f t="shared" si="112"/>
        <v>2011</v>
      </c>
      <c r="X98" s="3491">
        <f t="shared" ref="X98:AE98" si="113">+W98+1</f>
        <v>2012</v>
      </c>
      <c r="Y98" s="3491">
        <f t="shared" si="113"/>
        <v>2013</v>
      </c>
      <c r="Z98" s="3491">
        <f t="shared" si="113"/>
        <v>2014</v>
      </c>
      <c r="AA98" s="3491">
        <f t="shared" si="113"/>
        <v>2015</v>
      </c>
      <c r="AB98" s="3491">
        <f t="shared" si="113"/>
        <v>2016</v>
      </c>
      <c r="AC98" s="3491">
        <f t="shared" si="113"/>
        <v>2017</v>
      </c>
      <c r="AD98" s="3491">
        <f t="shared" si="113"/>
        <v>2018</v>
      </c>
      <c r="AE98" s="3491">
        <f t="shared" si="113"/>
        <v>2019</v>
      </c>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row>
    <row r="99" spans="1:119">
      <c r="A99" s="664">
        <f>+ROW(InputY!A9)</f>
        <v>9</v>
      </c>
      <c r="B99" s="665">
        <v>60</v>
      </c>
      <c r="C99" s="675"/>
      <c r="D99" s="668"/>
      <c r="E99" s="708" t="s">
        <v>690</v>
      </c>
      <c r="F99" s="709" t="str">
        <f>+InputY!B9</f>
        <v>LEmpTotDFTE</v>
      </c>
      <c r="G99" s="1860">
        <f>+InputY!G9</f>
        <v>0</v>
      </c>
      <c r="H99" s="1860">
        <f>+InputY!H9</f>
        <v>0</v>
      </c>
      <c r="I99" s="1860">
        <f>+InputY!I9</f>
        <v>0</v>
      </c>
      <c r="J99" s="1860">
        <f>+InputY!J9</f>
        <v>0</v>
      </c>
      <c r="K99" s="1860">
        <f>+InputY!K9</f>
        <v>0</v>
      </c>
      <c r="L99" s="1860">
        <f>+InputY!L9</f>
        <v>0</v>
      </c>
      <c r="M99" s="1860">
        <f>+InputY!M9</f>
        <v>0</v>
      </c>
      <c r="N99" s="1860">
        <f>+InputY!N9</f>
        <v>0</v>
      </c>
      <c r="O99" s="1860">
        <f>+InputY!O9</f>
        <v>0</v>
      </c>
      <c r="P99" s="3533">
        <f>+InputY!P9</f>
        <v>0</v>
      </c>
      <c r="Q99" s="3533">
        <f>+InputY!Q9</f>
        <v>0</v>
      </c>
      <c r="R99" s="3533">
        <f>+InputY!R9</f>
        <v>0</v>
      </c>
      <c r="S99" s="3533">
        <f>+InputY!S9</f>
        <v>0</v>
      </c>
      <c r="T99" s="2963">
        <f t="shared" ref="T99:AE99" si="114">+S99*(1+T105/100)</f>
        <v>0</v>
      </c>
      <c r="U99" s="2963">
        <f t="shared" si="114"/>
        <v>0</v>
      </c>
      <c r="V99" s="2963">
        <f t="shared" si="114"/>
        <v>0</v>
      </c>
      <c r="W99" s="2963">
        <f t="shared" si="114"/>
        <v>0</v>
      </c>
      <c r="X99" s="2963">
        <f t="shared" si="114"/>
        <v>0</v>
      </c>
      <c r="Y99" s="2963">
        <f t="shared" si="114"/>
        <v>0</v>
      </c>
      <c r="Z99" s="2963">
        <f t="shared" si="114"/>
        <v>0</v>
      </c>
      <c r="AA99" s="2963">
        <f t="shared" si="114"/>
        <v>0</v>
      </c>
      <c r="AB99" s="2963">
        <f t="shared" si="114"/>
        <v>0</v>
      </c>
      <c r="AC99" s="2963">
        <f t="shared" si="114"/>
        <v>0</v>
      </c>
      <c r="AD99" s="2963">
        <f t="shared" si="114"/>
        <v>0</v>
      </c>
      <c r="AE99" s="2963">
        <f t="shared" si="114"/>
        <v>0</v>
      </c>
    </row>
    <row r="100" spans="1:119" s="26" customFormat="1">
      <c r="A100" s="673"/>
      <c r="B100" s="1851"/>
      <c r="C100" s="1849"/>
      <c r="D100" s="679"/>
      <c r="E100" s="680" t="s">
        <v>1181</v>
      </c>
      <c r="F100" s="1850"/>
      <c r="G100" s="1861" t="e">
        <f t="shared" ref="G100:Y100" si="115">+G99/G34</f>
        <v>#VALUE!</v>
      </c>
      <c r="H100" s="1861" t="e">
        <f t="shared" si="115"/>
        <v>#VALUE!</v>
      </c>
      <c r="I100" s="1861" t="e">
        <f t="shared" si="115"/>
        <v>#VALUE!</v>
      </c>
      <c r="J100" s="1861" t="e">
        <f t="shared" si="115"/>
        <v>#VALUE!</v>
      </c>
      <c r="K100" s="1861" t="e">
        <f t="shared" si="115"/>
        <v>#VALUE!</v>
      </c>
      <c r="L100" s="1861">
        <f t="shared" si="115"/>
        <v>0</v>
      </c>
      <c r="M100" s="1861">
        <f t="shared" si="115"/>
        <v>0</v>
      </c>
      <c r="N100" s="1861">
        <f t="shared" si="115"/>
        <v>0</v>
      </c>
      <c r="O100" s="1861">
        <f t="shared" si="115"/>
        <v>0</v>
      </c>
      <c r="P100" s="1861">
        <f t="shared" si="115"/>
        <v>0</v>
      </c>
      <c r="Q100" s="1861">
        <f>+Q99/Q34</f>
        <v>0</v>
      </c>
      <c r="R100" s="1861">
        <f>+R99/R34</f>
        <v>0</v>
      </c>
      <c r="S100" s="1861">
        <f>+S99/S34</f>
        <v>0</v>
      </c>
      <c r="T100" s="2964">
        <f t="shared" si="115"/>
        <v>0</v>
      </c>
      <c r="U100" s="2964">
        <f t="shared" si="115"/>
        <v>0</v>
      </c>
      <c r="V100" s="2964">
        <f t="shared" si="115"/>
        <v>0</v>
      </c>
      <c r="W100" s="2964">
        <f t="shared" si="115"/>
        <v>0</v>
      </c>
      <c r="X100" s="2964">
        <f t="shared" si="115"/>
        <v>0</v>
      </c>
      <c r="Y100" s="2964">
        <f t="shared" si="115"/>
        <v>0</v>
      </c>
      <c r="Z100" s="2964">
        <f t="shared" ref="Z100:AE100" si="116">+Z99/Z34</f>
        <v>0</v>
      </c>
      <c r="AA100" s="2964">
        <f t="shared" si="116"/>
        <v>0</v>
      </c>
      <c r="AB100" s="2964">
        <f t="shared" si="116"/>
        <v>0</v>
      </c>
      <c r="AC100" s="2964">
        <f t="shared" si="116"/>
        <v>0</v>
      </c>
      <c r="AD100" s="2964">
        <f t="shared" si="116"/>
        <v>0</v>
      </c>
      <c r="AE100" s="2964">
        <f t="shared" si="116"/>
        <v>0</v>
      </c>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row>
    <row r="101" spans="1:119">
      <c r="A101" s="664">
        <f>+ROW(InputY!A10)</f>
        <v>10</v>
      </c>
      <c r="B101" s="665">
        <v>64</v>
      </c>
      <c r="C101" s="671"/>
      <c r="D101" s="674"/>
      <c r="E101" s="220" t="s">
        <v>781</v>
      </c>
      <c r="F101" s="725" t="str">
        <f>+InputY!B10</f>
        <v>LEmpDFTE</v>
      </c>
      <c r="G101" s="1862">
        <f>+InputY!G10</f>
        <v>0</v>
      </c>
      <c r="H101" s="1862">
        <f>+InputY!H10</f>
        <v>0</v>
      </c>
      <c r="I101" s="1862">
        <f>+InputY!I10</f>
        <v>0</v>
      </c>
      <c r="J101" s="1862">
        <f>+InputY!J10</f>
        <v>0</v>
      </c>
      <c r="K101" s="1862">
        <f>+InputY!K10</f>
        <v>0</v>
      </c>
      <c r="L101" s="1862">
        <f>+InputY!L10</f>
        <v>0</v>
      </c>
      <c r="M101" s="1862">
        <f>+InputY!M10</f>
        <v>0</v>
      </c>
      <c r="N101" s="1862">
        <f>+InputY!N10</f>
        <v>0</v>
      </c>
      <c r="O101" s="1862">
        <f>+InputY!O10</f>
        <v>0</v>
      </c>
      <c r="P101" s="3534">
        <f>+InputY!P10</f>
        <v>0</v>
      </c>
      <c r="Q101" s="3534">
        <f>+InputY!Q10</f>
        <v>0</v>
      </c>
      <c r="R101" s="3534">
        <f>+InputY!R10</f>
        <v>0</v>
      </c>
      <c r="S101" s="3534">
        <f>+InputY!S10</f>
        <v>0</v>
      </c>
      <c r="T101" s="2965">
        <f t="shared" ref="T101:AE101" si="117">+S101*(1+T106/100)</f>
        <v>0</v>
      </c>
      <c r="U101" s="2965">
        <f t="shared" si="117"/>
        <v>0</v>
      </c>
      <c r="V101" s="2965">
        <f t="shared" si="117"/>
        <v>0</v>
      </c>
      <c r="W101" s="2965">
        <f t="shared" si="117"/>
        <v>0</v>
      </c>
      <c r="X101" s="2965">
        <f t="shared" si="117"/>
        <v>0</v>
      </c>
      <c r="Y101" s="2965">
        <f t="shared" si="117"/>
        <v>0</v>
      </c>
      <c r="Z101" s="2965">
        <f t="shared" si="117"/>
        <v>0</v>
      </c>
      <c r="AA101" s="2965">
        <f t="shared" si="117"/>
        <v>0</v>
      </c>
      <c r="AB101" s="2965">
        <f t="shared" si="117"/>
        <v>0</v>
      </c>
      <c r="AC101" s="2965">
        <f t="shared" si="117"/>
        <v>0</v>
      </c>
      <c r="AD101" s="2965">
        <f t="shared" si="117"/>
        <v>0</v>
      </c>
      <c r="AE101" s="2965">
        <f t="shared" si="117"/>
        <v>0</v>
      </c>
    </row>
    <row r="102" spans="1:119" s="26" customFormat="1">
      <c r="A102" s="673"/>
      <c r="B102" s="673"/>
      <c r="C102" s="687"/>
      <c r="D102" s="683"/>
      <c r="E102" s="684" t="s">
        <v>2013</v>
      </c>
      <c r="F102" s="767"/>
      <c r="G102" s="1863" t="e">
        <f t="shared" ref="G102:Y102" si="118">+G101/G77</f>
        <v>#VALUE!</v>
      </c>
      <c r="H102" s="1863" t="e">
        <f t="shared" si="118"/>
        <v>#VALUE!</v>
      </c>
      <c r="I102" s="1863" t="e">
        <f t="shared" si="118"/>
        <v>#VALUE!</v>
      </c>
      <c r="J102" s="1863" t="e">
        <f t="shared" si="118"/>
        <v>#VALUE!</v>
      </c>
      <c r="K102" s="1863" t="e">
        <f t="shared" si="118"/>
        <v>#VALUE!</v>
      </c>
      <c r="L102" s="1863">
        <f t="shared" si="118"/>
        <v>0</v>
      </c>
      <c r="M102" s="1863">
        <f t="shared" si="118"/>
        <v>0</v>
      </c>
      <c r="N102" s="1863">
        <f t="shared" si="118"/>
        <v>0</v>
      </c>
      <c r="O102" s="1863">
        <f t="shared" si="118"/>
        <v>0</v>
      </c>
      <c r="P102" s="1863">
        <f t="shared" si="118"/>
        <v>0</v>
      </c>
      <c r="Q102" s="1863">
        <f>+Q101/Q77</f>
        <v>0</v>
      </c>
      <c r="R102" s="1863">
        <f>+R101/R77</f>
        <v>0</v>
      </c>
      <c r="S102" s="1863">
        <f>+S101/S77</f>
        <v>0</v>
      </c>
      <c r="T102" s="2966">
        <f t="shared" si="118"/>
        <v>0</v>
      </c>
      <c r="U102" s="2966">
        <f t="shared" si="118"/>
        <v>0</v>
      </c>
      <c r="V102" s="2966">
        <f t="shared" si="118"/>
        <v>0</v>
      </c>
      <c r="W102" s="2966">
        <f t="shared" si="118"/>
        <v>0</v>
      </c>
      <c r="X102" s="2966">
        <f t="shared" si="118"/>
        <v>0</v>
      </c>
      <c r="Y102" s="2966">
        <f t="shared" si="118"/>
        <v>0</v>
      </c>
      <c r="Z102" s="2966">
        <f t="shared" ref="Z102:AE102" si="119">+Z101/Z77</f>
        <v>0</v>
      </c>
      <c r="AA102" s="2966">
        <f t="shared" si="119"/>
        <v>0</v>
      </c>
      <c r="AB102" s="2966">
        <f t="shared" si="119"/>
        <v>0</v>
      </c>
      <c r="AC102" s="2966">
        <f t="shared" si="119"/>
        <v>0</v>
      </c>
      <c r="AD102" s="2966">
        <f t="shared" si="119"/>
        <v>0</v>
      </c>
      <c r="AE102" s="2966">
        <f t="shared" si="119"/>
        <v>0</v>
      </c>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row>
    <row r="103" spans="1:119">
      <c r="Q103" s="599"/>
      <c r="R103" s="599"/>
      <c r="S103" s="599"/>
      <c r="T103" s="2930"/>
      <c r="U103" s="2930"/>
      <c r="V103" s="2930"/>
      <c r="W103" s="2930"/>
      <c r="X103" s="2930"/>
      <c r="Y103" s="2930"/>
      <c r="Z103" s="2930"/>
      <c r="AA103" s="2930"/>
      <c r="AB103" s="2930"/>
      <c r="AC103" s="2930"/>
      <c r="AD103" s="2930"/>
      <c r="AE103" s="2930"/>
    </row>
    <row r="104" spans="1:119" s="699" customFormat="1" ht="12.75" customHeight="1">
      <c r="A104" s="664"/>
      <c r="B104" s="664"/>
      <c r="C104" s="666"/>
      <c r="D104" s="713"/>
      <c r="E104" s="714" t="s">
        <v>284</v>
      </c>
      <c r="F104" s="715"/>
      <c r="G104" s="716">
        <f>+InputY!$G$3</f>
        <v>1995</v>
      </c>
      <c r="H104" s="716">
        <f>+G104+1</f>
        <v>1996</v>
      </c>
      <c r="I104" s="716">
        <f t="shared" ref="I104:O104" si="120">+H104+1</f>
        <v>1997</v>
      </c>
      <c r="J104" s="716">
        <f t="shared" si="120"/>
        <v>1998</v>
      </c>
      <c r="K104" s="716">
        <f t="shared" si="120"/>
        <v>1999</v>
      </c>
      <c r="L104" s="716">
        <f t="shared" si="120"/>
        <v>2000</v>
      </c>
      <c r="M104" s="716">
        <f t="shared" si="120"/>
        <v>2001</v>
      </c>
      <c r="N104" s="716">
        <f t="shared" si="120"/>
        <v>2002</v>
      </c>
      <c r="O104" s="716">
        <f t="shared" si="120"/>
        <v>2003</v>
      </c>
      <c r="P104" s="3529">
        <f t="shared" ref="P104:W104" si="121">+O104+1</f>
        <v>2004</v>
      </c>
      <c r="Q104" s="3529">
        <f t="shared" si="121"/>
        <v>2005</v>
      </c>
      <c r="R104" s="3529">
        <f t="shared" si="121"/>
        <v>2006</v>
      </c>
      <c r="S104" s="3529">
        <f t="shared" si="121"/>
        <v>2007</v>
      </c>
      <c r="T104" s="3530">
        <f t="shared" si="121"/>
        <v>2008</v>
      </c>
      <c r="U104" s="3530">
        <f t="shared" si="121"/>
        <v>2009</v>
      </c>
      <c r="V104" s="3530">
        <f t="shared" si="121"/>
        <v>2010</v>
      </c>
      <c r="W104" s="3530">
        <f t="shared" si="121"/>
        <v>2011</v>
      </c>
      <c r="X104" s="3530">
        <f t="shared" ref="X104:AE104" si="122">+W104+1</f>
        <v>2012</v>
      </c>
      <c r="Y104" s="3530">
        <f t="shared" si="122"/>
        <v>2013</v>
      </c>
      <c r="Z104" s="3530">
        <f t="shared" si="122"/>
        <v>2014</v>
      </c>
      <c r="AA104" s="3530">
        <f t="shared" si="122"/>
        <v>2015</v>
      </c>
      <c r="AB104" s="3530">
        <f t="shared" si="122"/>
        <v>2016</v>
      </c>
      <c r="AC104" s="3530">
        <f t="shared" si="122"/>
        <v>2017</v>
      </c>
      <c r="AD104" s="3530">
        <f t="shared" si="122"/>
        <v>2018</v>
      </c>
      <c r="AE104" s="3530">
        <f t="shared" si="122"/>
        <v>2019</v>
      </c>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row>
    <row r="105" spans="1:119" s="699" customFormat="1" ht="12.75" customHeight="1">
      <c r="A105" s="664"/>
      <c r="B105" s="664"/>
      <c r="C105" s="1576" t="s">
        <v>1767</v>
      </c>
      <c r="D105" s="1856"/>
      <c r="E105" s="1857" t="str">
        <f>+E99</f>
        <v>Total employment (domestic - full time equivalent)</v>
      </c>
      <c r="F105" s="1858" t="str">
        <f>+F99</f>
        <v>LEmpTotDFTE</v>
      </c>
      <c r="G105" s="1864"/>
      <c r="H105" s="1865" t="e">
        <f>(H99/G99-1)*100</f>
        <v>#DIV/0!</v>
      </c>
      <c r="I105" s="1865" t="e">
        <f t="shared" ref="I105:P105" si="123">(I99/H99-1)*100</f>
        <v>#DIV/0!</v>
      </c>
      <c r="J105" s="1865" t="e">
        <f t="shared" si="123"/>
        <v>#DIV/0!</v>
      </c>
      <c r="K105" s="1865" t="e">
        <f t="shared" si="123"/>
        <v>#DIV/0!</v>
      </c>
      <c r="L105" s="1865" t="e">
        <f t="shared" si="123"/>
        <v>#DIV/0!</v>
      </c>
      <c r="M105" s="1865" t="e">
        <f t="shared" si="123"/>
        <v>#DIV/0!</v>
      </c>
      <c r="N105" s="1865" t="e">
        <f t="shared" si="123"/>
        <v>#DIV/0!</v>
      </c>
      <c r="O105" s="1865" t="e">
        <f t="shared" si="123"/>
        <v>#DIV/0!</v>
      </c>
      <c r="P105" s="3535" t="e">
        <f t="shared" si="123"/>
        <v>#DIV/0!</v>
      </c>
      <c r="Q105" s="3535" t="e">
        <f>(Q99/P99-1)*100</f>
        <v>#DIV/0!</v>
      </c>
      <c r="R105" s="3535" t="e">
        <f>(R99/Q99-1)*100</f>
        <v>#DIV/0!</v>
      </c>
      <c r="S105" s="3535" t="e">
        <f>(S99/R99-1)*100</f>
        <v>#DIV/0!</v>
      </c>
      <c r="T105" s="2967"/>
      <c r="U105" s="2967"/>
      <c r="V105" s="2967"/>
      <c r="W105" s="2967"/>
      <c r="X105" s="2967"/>
      <c r="Y105" s="2967"/>
      <c r="Z105" s="2967"/>
      <c r="AA105" s="2967"/>
      <c r="AB105" s="2967"/>
      <c r="AC105" s="2967"/>
      <c r="AD105" s="2967"/>
      <c r="AE105" s="2967"/>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row>
    <row r="106" spans="1:119" s="699" customFormat="1" ht="12.75" customHeight="1">
      <c r="A106" s="664"/>
      <c r="B106" s="664"/>
      <c r="C106" s="1852" t="s">
        <v>1767</v>
      </c>
      <c r="D106" s="1853"/>
      <c r="E106" s="1854" t="str">
        <f>+E101</f>
        <v>Wage and salary earners (domestic - full time equivalent)</v>
      </c>
      <c r="F106" s="1855" t="str">
        <f>+F101</f>
        <v>LEmpDFTE</v>
      </c>
      <c r="G106" s="1866"/>
      <c r="H106" s="1867" t="e">
        <f>(H101/G101-1)*100</f>
        <v>#DIV/0!</v>
      </c>
      <c r="I106" s="1867" t="e">
        <f t="shared" ref="I106:P106" si="124">(I101/H101-1)*100</f>
        <v>#DIV/0!</v>
      </c>
      <c r="J106" s="1867" t="e">
        <f t="shared" si="124"/>
        <v>#DIV/0!</v>
      </c>
      <c r="K106" s="1867" t="e">
        <f t="shared" si="124"/>
        <v>#DIV/0!</v>
      </c>
      <c r="L106" s="1867" t="e">
        <f t="shared" si="124"/>
        <v>#DIV/0!</v>
      </c>
      <c r="M106" s="1867" t="e">
        <f t="shared" si="124"/>
        <v>#DIV/0!</v>
      </c>
      <c r="N106" s="1867" t="e">
        <f t="shared" si="124"/>
        <v>#DIV/0!</v>
      </c>
      <c r="O106" s="1867" t="e">
        <f t="shared" si="124"/>
        <v>#DIV/0!</v>
      </c>
      <c r="P106" s="3536" t="e">
        <f t="shared" si="124"/>
        <v>#DIV/0!</v>
      </c>
      <c r="Q106" s="3536" t="e">
        <f>(Q101/P101-1)*100</f>
        <v>#DIV/0!</v>
      </c>
      <c r="R106" s="3536" t="e">
        <f>(R101/Q101-1)*100</f>
        <v>#DIV/0!</v>
      </c>
      <c r="S106" s="3536" t="e">
        <f>(S101/R101-1)*100</f>
        <v>#DIV/0!</v>
      </c>
      <c r="T106" s="2968"/>
      <c r="U106" s="2968"/>
      <c r="V106" s="2968"/>
      <c r="W106" s="2968"/>
      <c r="X106" s="2968"/>
      <c r="Y106" s="2968"/>
      <c r="Z106" s="2968"/>
      <c r="AA106" s="2968"/>
      <c r="AB106" s="2968"/>
      <c r="AC106" s="2968"/>
      <c r="AD106" s="2968"/>
      <c r="AE106" s="2968"/>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row>
    <row r="107" spans="1:119" s="699" customFormat="1" ht="30" customHeight="1">
      <c r="A107" s="663"/>
      <c r="B107" s="663"/>
      <c r="C107" s="694"/>
      <c r="D107" s="670"/>
      <c r="F107" s="694"/>
      <c r="P107" s="3226"/>
      <c r="Q107" s="3226"/>
      <c r="R107" s="3226"/>
      <c r="S107" s="547"/>
      <c r="T107" s="2286"/>
      <c r="U107" s="2286"/>
      <c r="V107" s="2286"/>
      <c r="W107" s="2286"/>
      <c r="X107" s="2286"/>
      <c r="Y107" s="2286">
        <f>Y147/Y116</f>
        <v>0.26751784826973046</v>
      </c>
      <c r="Z107" s="2286">
        <f t="shared" ref="Z107:AE107" si="125">Z147/Z116</f>
        <v>0.26947192771042489</v>
      </c>
      <c r="AA107" s="2286">
        <f t="shared" si="125"/>
        <v>0.2701094488930148</v>
      </c>
      <c r="AB107" s="2286">
        <f>AB147/AB116</f>
        <v>0.2741332428202371</v>
      </c>
      <c r="AC107" s="2286">
        <f t="shared" si="125"/>
        <v>0.28350708658848939</v>
      </c>
      <c r="AD107" s="2286">
        <f t="shared" si="125"/>
        <v>0.2880552308777678</v>
      </c>
      <c r="AE107" s="2286">
        <f t="shared" si="125"/>
        <v>0.28905869453810756</v>
      </c>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row>
    <row r="108" spans="1:119" s="699" customFormat="1" ht="30" customHeight="1">
      <c r="A108" s="663"/>
      <c r="B108" s="663"/>
      <c r="C108" s="694"/>
      <c r="D108" s="670"/>
      <c r="F108" s="694"/>
      <c r="P108" s="547"/>
      <c r="Q108" s="3226"/>
      <c r="R108" s="3537"/>
      <c r="S108" s="2286"/>
      <c r="T108" s="2290"/>
      <c r="U108" s="2286"/>
      <c r="V108" s="2286"/>
      <c r="W108" s="2286"/>
      <c r="X108" s="2286"/>
      <c r="Y108" s="2286">
        <f>Y143/Y112</f>
        <v>0.22779003764500416</v>
      </c>
      <c r="Z108" s="2286">
        <f t="shared" ref="Z108:AD108" si="126">Z143/Z112</f>
        <v>0.22816179221407984</v>
      </c>
      <c r="AA108" s="2286">
        <f t="shared" si="126"/>
        <v>0.22849164292788529</v>
      </c>
      <c r="AB108" s="2286">
        <f t="shared" si="126"/>
        <v>0.23308753076446165</v>
      </c>
      <c r="AC108" s="2286">
        <f t="shared" si="126"/>
        <v>0.2453214066885632</v>
      </c>
      <c r="AD108" s="2286">
        <f t="shared" si="126"/>
        <v>0.25161250217561154</v>
      </c>
      <c r="AE108" s="2286">
        <f>AE143/AE112</f>
        <v>0.25303672388603954</v>
      </c>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row>
    <row r="109" spans="1:119" s="699" customFormat="1" ht="22.5" customHeight="1">
      <c r="A109" s="663"/>
      <c r="B109" s="663"/>
      <c r="C109" s="3751" t="s">
        <v>1505</v>
      </c>
      <c r="D109" s="3751"/>
      <c r="E109" s="3751"/>
      <c r="F109" s="3751"/>
      <c r="P109" s="3667">
        <f>P112-P113</f>
        <v>-1.8035261081928224</v>
      </c>
      <c r="Q109" s="3667">
        <f t="shared" ref="Q109:AE109" si="127">Q112-Q113</f>
        <v>-1.911727940560831</v>
      </c>
      <c r="R109" s="3667">
        <f t="shared" si="127"/>
        <v>-3.1848434510964054</v>
      </c>
      <c r="S109" s="3667">
        <f t="shared" si="127"/>
        <v>-1.8361279080706563</v>
      </c>
      <c r="T109" s="3667">
        <f t="shared" si="127"/>
        <v>-2.9977920939814471</v>
      </c>
      <c r="U109" s="3667">
        <f t="shared" si="127"/>
        <v>-3.9639763380522117</v>
      </c>
      <c r="V109" s="3667">
        <f t="shared" si="127"/>
        <v>-2.8078174224987649</v>
      </c>
      <c r="W109" s="3667">
        <f t="shared" si="127"/>
        <v>-2.6185135971541271</v>
      </c>
      <c r="X109" s="3667">
        <f t="shared" si="127"/>
        <v>-2.4769924723891688</v>
      </c>
      <c r="Y109" s="3667">
        <f t="shared" si="127"/>
        <v>-2.4428288552802488</v>
      </c>
      <c r="Z109" s="3667">
        <f t="shared" si="127"/>
        <v>-2.1700047377548444</v>
      </c>
      <c r="AA109" s="3667">
        <f t="shared" si="127"/>
        <v>-1.5452991662447459</v>
      </c>
      <c r="AB109" s="3667">
        <f t="shared" si="127"/>
        <v>-1.1470196907626011</v>
      </c>
      <c r="AC109" s="3667">
        <f t="shared" si="127"/>
        <v>-1.0331805783043659</v>
      </c>
      <c r="AD109" s="3667">
        <f t="shared" si="127"/>
        <v>-1.0935383686459659</v>
      </c>
      <c r="AE109" s="3667">
        <f t="shared" si="127"/>
        <v>-1.1243977845907747</v>
      </c>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row>
    <row r="110" spans="1:119" s="699" customFormat="1">
      <c r="A110" s="663"/>
      <c r="B110" s="663"/>
      <c r="C110" s="694"/>
      <c r="D110" s="670"/>
      <c r="F110" s="694"/>
      <c r="P110" s="547"/>
      <c r="Q110" s="3226"/>
      <c r="R110" s="3537"/>
      <c r="S110" s="2286"/>
      <c r="T110" s="2286"/>
      <c r="U110" s="2286"/>
      <c r="V110" s="2286"/>
      <c r="W110" s="2286"/>
      <c r="X110" s="2286"/>
      <c r="Y110" s="2286"/>
      <c r="Z110" s="2286"/>
      <c r="AA110" s="2286"/>
      <c r="AB110" s="3715"/>
      <c r="AC110" s="2286"/>
      <c r="AD110" s="2286"/>
      <c r="AE110" s="2286"/>
      <c r="AF110"/>
      <c r="AG110" s="3344"/>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row>
    <row r="111" spans="1:119">
      <c r="D111" s="900"/>
      <c r="E111" s="3322" t="s">
        <v>2421</v>
      </c>
      <c r="F111" s="902"/>
      <c r="G111" s="778">
        <f>+InputY!$G$3</f>
        <v>1995</v>
      </c>
      <c r="H111" s="778">
        <f>+G111+1</f>
        <v>1996</v>
      </c>
      <c r="I111" s="778">
        <f>+H111+1</f>
        <v>1997</v>
      </c>
      <c r="J111" s="778">
        <f t="shared" ref="J111:P111" si="128">+I111+1</f>
        <v>1998</v>
      </c>
      <c r="K111" s="778">
        <f t="shared" si="128"/>
        <v>1999</v>
      </c>
      <c r="L111" s="778">
        <f t="shared" si="128"/>
        <v>2000</v>
      </c>
      <c r="M111" s="778">
        <f t="shared" si="128"/>
        <v>2001</v>
      </c>
      <c r="N111" s="778">
        <f t="shared" si="128"/>
        <v>2002</v>
      </c>
      <c r="O111" s="778">
        <f t="shared" si="128"/>
        <v>2003</v>
      </c>
      <c r="P111" s="3538">
        <f t="shared" si="128"/>
        <v>2004</v>
      </c>
      <c r="Q111" s="3538">
        <f t="shared" ref="Q111:V111" si="129">+P111+1</f>
        <v>2005</v>
      </c>
      <c r="R111" s="3538">
        <f t="shared" si="129"/>
        <v>2006</v>
      </c>
      <c r="S111" s="3538">
        <f>+R111+1</f>
        <v>2007</v>
      </c>
      <c r="T111" s="3539">
        <f t="shared" si="129"/>
        <v>2008</v>
      </c>
      <c r="U111" s="3539">
        <f t="shared" si="129"/>
        <v>2009</v>
      </c>
      <c r="V111" s="3539">
        <f t="shared" si="129"/>
        <v>2010</v>
      </c>
      <c r="W111" s="3539">
        <f t="shared" ref="W111:AE111" si="130">+V111+1</f>
        <v>2011</v>
      </c>
      <c r="X111" s="3539">
        <f t="shared" si="130"/>
        <v>2012</v>
      </c>
      <c r="Y111" s="3539">
        <f t="shared" si="130"/>
        <v>2013</v>
      </c>
      <c r="Z111" s="3539">
        <f t="shared" si="130"/>
        <v>2014</v>
      </c>
      <c r="AA111" s="3539">
        <f t="shared" si="130"/>
        <v>2015</v>
      </c>
      <c r="AB111" s="3539">
        <f t="shared" si="130"/>
        <v>2016</v>
      </c>
      <c r="AC111" s="3539">
        <f t="shared" si="130"/>
        <v>2017</v>
      </c>
      <c r="AD111" s="3539">
        <f t="shared" si="130"/>
        <v>2018</v>
      </c>
      <c r="AE111" s="3539">
        <f t="shared" si="130"/>
        <v>2019</v>
      </c>
      <c r="AG111" s="3344"/>
    </row>
    <row r="112" spans="1:119" s="3330" customFormat="1">
      <c r="A112" s="3323"/>
      <c r="B112" s="3323"/>
      <c r="C112" s="3331"/>
      <c r="D112" s="3332"/>
      <c r="E112" s="3333" t="s">
        <v>274</v>
      </c>
      <c r="F112" s="3334" t="s">
        <v>1509</v>
      </c>
      <c r="G112" s="3328" t="e">
        <f t="shared" ref="G112:P112" si="131">+G133/G30*1000</f>
        <v>#VALUE!</v>
      </c>
      <c r="H112" s="3328" t="e">
        <f t="shared" si="131"/>
        <v>#VALUE!</v>
      </c>
      <c r="I112" s="3328" t="e">
        <f t="shared" si="131"/>
        <v>#VALUE!</v>
      </c>
      <c r="J112" s="3328" t="e">
        <f t="shared" si="131"/>
        <v>#VALUE!</v>
      </c>
      <c r="K112" s="3328" t="e">
        <f t="shared" si="131"/>
        <v>#VALUE!</v>
      </c>
      <c r="L112" s="3328">
        <f t="shared" si="131"/>
        <v>3.2185094177304268</v>
      </c>
      <c r="M112" s="3328">
        <f t="shared" si="131"/>
        <v>3.4977334687122732</v>
      </c>
      <c r="N112" s="3328">
        <f t="shared" si="131"/>
        <v>3.7359462118950488</v>
      </c>
      <c r="O112" s="3328">
        <f t="shared" si="131"/>
        <v>4.1375191179041302</v>
      </c>
      <c r="P112" s="3540">
        <f t="shared" si="131"/>
        <v>4.7298518132517025</v>
      </c>
      <c r="Q112" s="3540">
        <f>+Q133/Q30*1000</f>
        <v>5.3851505185934734</v>
      </c>
      <c r="R112" s="3540">
        <f t="shared" ref="Q112:R114" si="132">+R133/R30*1000</f>
        <v>6.3996808445344637</v>
      </c>
      <c r="S112" s="3540">
        <f t="shared" ref="S112:U114" si="133">+S133/S30*1000</f>
        <v>7.4998513998137533</v>
      </c>
      <c r="T112" s="3540">
        <f t="shared" si="133"/>
        <v>8.3484475348882139</v>
      </c>
      <c r="U112" s="3540">
        <f t="shared" ref="U112:W113" si="134">+U133/U30*1000</f>
        <v>7.2860236619477901</v>
      </c>
      <c r="V112" s="3540">
        <f t="shared" si="134"/>
        <v>7.6031287309893898</v>
      </c>
      <c r="W112" s="3540">
        <f t="shared" si="134"/>
        <v>8.1581670850398549</v>
      </c>
      <c r="X112" s="3540">
        <f t="shared" ref="X112:Z114" si="135">+X133/X30*1000</f>
        <v>8.594211968836996</v>
      </c>
      <c r="Y112" s="3540">
        <f t="shared" si="135"/>
        <v>9.066485491740135</v>
      </c>
      <c r="Z112" s="3540">
        <f t="shared" si="135"/>
        <v>9.555964460333314</v>
      </c>
      <c r="AA112" s="3540">
        <f>+AA133/AA30*1000</f>
        <v>10.229679764366734</v>
      </c>
      <c r="AB112" s="3540">
        <f>+AB133/AB30*1000</f>
        <v>10.925867006045181</v>
      </c>
      <c r="AC112" s="3541">
        <f t="shared" ref="AC112:AE113" si="136">+AB112*(1+AC119/100)</f>
        <v>11.865491568565067</v>
      </c>
      <c r="AD112" s="3541">
        <f t="shared" si="136"/>
        <v>12.61001092018812</v>
      </c>
      <c r="AE112" s="3541">
        <f t="shared" si="136"/>
        <v>13.366611575399409</v>
      </c>
      <c r="AF112" s="3329"/>
      <c r="AG112" s="3661"/>
      <c r="AH112" s="3329"/>
      <c r="AI112" s="3329"/>
      <c r="AJ112" s="3329"/>
      <c r="AK112" s="3329"/>
      <c r="AL112" s="3329"/>
      <c r="AM112" s="3329"/>
      <c r="AN112" s="3329"/>
      <c r="AO112" s="3329"/>
      <c r="AP112" s="3329"/>
      <c r="AQ112" s="3329"/>
      <c r="AR112" s="3329"/>
      <c r="AS112" s="3329"/>
      <c r="AT112" s="3329"/>
      <c r="AU112" s="3329"/>
      <c r="AV112" s="3329"/>
      <c r="AW112" s="3329"/>
      <c r="AX112" s="3329"/>
      <c r="AY112" s="3329"/>
      <c r="AZ112" s="3329"/>
      <c r="BA112" s="3329"/>
      <c r="BB112" s="3329"/>
      <c r="BC112" s="3329"/>
      <c r="BD112" s="3329"/>
      <c r="BE112" s="3329"/>
      <c r="BF112" s="3329"/>
      <c r="BG112" s="3329"/>
      <c r="BH112" s="3329"/>
      <c r="BI112" s="3329"/>
      <c r="BJ112" s="3329"/>
      <c r="BK112" s="3329"/>
      <c r="BL112" s="3329"/>
      <c r="BM112" s="3329"/>
      <c r="BN112" s="3329"/>
      <c r="BO112" s="3329"/>
      <c r="BP112" s="3329"/>
      <c r="BQ112" s="3329"/>
      <c r="BR112" s="3329"/>
      <c r="BS112" s="3329"/>
      <c r="BT112" s="3329"/>
      <c r="BU112" s="3329"/>
      <c r="BV112" s="3329"/>
      <c r="BW112" s="3329"/>
      <c r="BX112" s="3329"/>
      <c r="BY112" s="3329"/>
      <c r="BZ112" s="3329"/>
      <c r="CA112" s="3329"/>
      <c r="CB112" s="3329"/>
      <c r="CC112" s="3329"/>
      <c r="CD112" s="3329"/>
      <c r="CE112" s="3329"/>
      <c r="CF112" s="3329"/>
      <c r="CG112" s="3329"/>
      <c r="CH112" s="3329"/>
      <c r="CI112" s="3329"/>
      <c r="CJ112" s="3329"/>
      <c r="CK112" s="3329"/>
      <c r="CL112" s="3329"/>
      <c r="CM112" s="3329"/>
      <c r="CN112" s="3329"/>
      <c r="CO112" s="3329"/>
      <c r="CP112" s="3329"/>
      <c r="CQ112" s="3329"/>
      <c r="CR112" s="3329"/>
      <c r="CS112" s="3329"/>
      <c r="CT112" s="3329"/>
      <c r="CU112" s="3329"/>
      <c r="CV112" s="3329"/>
      <c r="CW112" s="3329"/>
      <c r="CX112" s="3329"/>
      <c r="CY112" s="3329"/>
      <c r="CZ112" s="3329"/>
      <c r="DA112" s="3329"/>
      <c r="DB112" s="3329"/>
      <c r="DC112" s="3329"/>
      <c r="DD112" s="3329"/>
      <c r="DE112" s="3329"/>
      <c r="DF112" s="3329"/>
      <c r="DG112" s="3329"/>
      <c r="DH112" s="3329"/>
      <c r="DI112" s="3329"/>
      <c r="DJ112" s="3329"/>
      <c r="DK112" s="3329"/>
      <c r="DL112" s="3329"/>
      <c r="DM112" s="3329"/>
      <c r="DN112" s="3329"/>
      <c r="DO112" s="3329"/>
    </row>
    <row r="113" spans="1:119" s="3330" customFormat="1">
      <c r="A113" s="3323"/>
      <c r="B113" s="3323"/>
      <c r="C113" s="3324"/>
      <c r="D113" s="3325"/>
      <c r="E113" s="3326" t="s">
        <v>275</v>
      </c>
      <c r="F113" s="3327" t="s">
        <v>1510</v>
      </c>
      <c r="G113" s="3328">
        <f t="shared" ref="G113:P113" si="137">+G134/G31*1000</f>
        <v>2.8160572412963658</v>
      </c>
      <c r="H113" s="3328">
        <f t="shared" si="137"/>
        <v>3.7639755217933102</v>
      </c>
      <c r="I113" s="3328">
        <f t="shared" si="137"/>
        <v>4.6318004794178478</v>
      </c>
      <c r="J113" s="3328">
        <f t="shared" si="137"/>
        <v>5.8623951768348785</v>
      </c>
      <c r="K113" s="3328">
        <f t="shared" si="137"/>
        <v>5.710397276662337</v>
      </c>
      <c r="L113" s="3328">
        <f t="shared" si="137"/>
        <v>5.2146138845508467</v>
      </c>
      <c r="M113" s="3328">
        <f t="shared" si="137"/>
        <v>5.4465854232083331</v>
      </c>
      <c r="N113" s="3328">
        <f t="shared" si="137"/>
        <v>5.8332638653923805</v>
      </c>
      <c r="O113" s="3328">
        <f t="shared" si="137"/>
        <v>6.3668201023447253</v>
      </c>
      <c r="P113" s="3540">
        <f t="shared" si="137"/>
        <v>6.5333779214445249</v>
      </c>
      <c r="Q113" s="3540">
        <f t="shared" si="132"/>
        <v>7.2968784591543043</v>
      </c>
      <c r="R113" s="3540">
        <f t="shared" si="132"/>
        <v>9.5845242956308692</v>
      </c>
      <c r="S113" s="3540">
        <f t="shared" si="133"/>
        <v>9.3359793078844096</v>
      </c>
      <c r="T113" s="3540">
        <f t="shared" si="133"/>
        <v>11.346239628869661</v>
      </c>
      <c r="U113" s="3540">
        <f t="shared" si="134"/>
        <v>11.250000000000002</v>
      </c>
      <c r="V113" s="3540">
        <f t="shared" si="134"/>
        <v>10.410946153488155</v>
      </c>
      <c r="W113" s="3540">
        <f t="shared" si="134"/>
        <v>10.776680682193982</v>
      </c>
      <c r="X113" s="3540">
        <f t="shared" si="135"/>
        <v>11.071204441226165</v>
      </c>
      <c r="Y113" s="3540">
        <f t="shared" si="135"/>
        <v>11.509314347020384</v>
      </c>
      <c r="Z113" s="3540">
        <f t="shared" si="135"/>
        <v>11.725969198088158</v>
      </c>
      <c r="AA113" s="3540">
        <f t="shared" ref="AA113" si="138">+AA134/AA31*1000</f>
        <v>11.77497893061148</v>
      </c>
      <c r="AB113" s="3540">
        <f>+AB134/AB31*1000</f>
        <v>12.072886696807782</v>
      </c>
      <c r="AC113" s="3542">
        <f t="shared" si="136"/>
        <v>12.898672146869433</v>
      </c>
      <c r="AD113" s="3542">
        <f t="shared" si="136"/>
        <v>13.703549288834086</v>
      </c>
      <c r="AE113" s="3542">
        <f t="shared" si="136"/>
        <v>14.491009359990183</v>
      </c>
      <c r="AF113" s="3329"/>
      <c r="AG113" s="3661"/>
      <c r="AH113" s="3329"/>
      <c r="AI113" s="3329"/>
      <c r="AJ113" s="3329"/>
      <c r="AK113" s="3329"/>
      <c r="AL113" s="3329"/>
      <c r="AM113" s="3329"/>
      <c r="AN113" s="3329"/>
      <c r="AO113" s="3329"/>
      <c r="AP113" s="3329"/>
      <c r="AQ113" s="3329"/>
      <c r="AR113" s="3329"/>
      <c r="AS113" s="3329"/>
      <c r="AT113" s="3329"/>
      <c r="AU113" s="3329"/>
      <c r="AV113" s="3329"/>
      <c r="AW113" s="3329"/>
      <c r="AX113" s="3329"/>
      <c r="AY113" s="3329"/>
      <c r="AZ113" s="3329"/>
      <c r="BA113" s="3329"/>
      <c r="BB113" s="3329"/>
      <c r="BC113" s="3329"/>
      <c r="BD113" s="3329"/>
      <c r="BE113" s="3329"/>
      <c r="BF113" s="3329"/>
      <c r="BG113" s="3329"/>
      <c r="BH113" s="3329"/>
      <c r="BI113" s="3329"/>
      <c r="BJ113" s="3329"/>
      <c r="BK113" s="3329"/>
      <c r="BL113" s="3329"/>
      <c r="BM113" s="3329"/>
      <c r="BN113" s="3329"/>
      <c r="BO113" s="3329"/>
      <c r="BP113" s="3329"/>
      <c r="BQ113" s="3329"/>
      <c r="BR113" s="3329"/>
      <c r="BS113" s="3329"/>
      <c r="BT113" s="3329"/>
      <c r="BU113" s="3329"/>
      <c r="BV113" s="3329"/>
      <c r="BW113" s="3329"/>
      <c r="BX113" s="3329"/>
      <c r="BY113" s="3329"/>
      <c r="BZ113" s="3329"/>
      <c r="CA113" s="3329"/>
      <c r="CB113" s="3329"/>
      <c r="CC113" s="3329"/>
      <c r="CD113" s="3329"/>
      <c r="CE113" s="3329"/>
      <c r="CF113" s="3329"/>
      <c r="CG113" s="3329"/>
      <c r="CH113" s="3329"/>
      <c r="CI113" s="3329"/>
      <c r="CJ113" s="3329"/>
      <c r="CK113" s="3329"/>
      <c r="CL113" s="3329"/>
      <c r="CM113" s="3329"/>
      <c r="CN113" s="3329"/>
      <c r="CO113" s="3329"/>
      <c r="CP113" s="3329"/>
      <c r="CQ113" s="3329"/>
      <c r="CR113" s="3329"/>
      <c r="CS113" s="3329"/>
      <c r="CT113" s="3329"/>
      <c r="CU113" s="3329"/>
      <c r="CV113" s="3329"/>
      <c r="CW113" s="3329"/>
      <c r="CX113" s="3329"/>
      <c r="CY113" s="3329"/>
      <c r="CZ113" s="3329"/>
      <c r="DA113" s="3329"/>
      <c r="DB113" s="3329"/>
      <c r="DC113" s="3329"/>
      <c r="DD113" s="3329"/>
      <c r="DE113" s="3329"/>
      <c r="DF113" s="3329"/>
      <c r="DG113" s="3329"/>
      <c r="DH113" s="3329"/>
      <c r="DI113" s="3329"/>
      <c r="DJ113" s="3329"/>
      <c r="DK113" s="3329"/>
      <c r="DL113" s="3329"/>
      <c r="DM113" s="3329"/>
      <c r="DN113" s="3329"/>
      <c r="DO113" s="3329"/>
    </row>
    <row r="114" spans="1:119">
      <c r="C114" s="671"/>
      <c r="D114" s="746"/>
      <c r="E114" s="750" t="s">
        <v>590</v>
      </c>
      <c r="F114" s="895" t="s">
        <v>1511</v>
      </c>
      <c r="G114" s="922" t="e">
        <f t="shared" ref="G114:P114" si="139">+G135/G32*1000</f>
        <v>#VALUE!</v>
      </c>
      <c r="H114" s="922" t="e">
        <f t="shared" si="139"/>
        <v>#VALUE!</v>
      </c>
      <c r="I114" s="922" t="e">
        <f t="shared" si="139"/>
        <v>#VALUE!</v>
      </c>
      <c r="J114" s="922" t="e">
        <f t="shared" si="139"/>
        <v>#VALUE!</v>
      </c>
      <c r="K114" s="922" t="e">
        <f t="shared" si="139"/>
        <v>#VALUE!</v>
      </c>
      <c r="L114" s="922">
        <f t="shared" si="139"/>
        <v>3.6431860425317883</v>
      </c>
      <c r="M114" s="922">
        <f t="shared" si="139"/>
        <v>3.9215069366833109</v>
      </c>
      <c r="N114" s="922">
        <f t="shared" si="139"/>
        <v>4.1634585866878364</v>
      </c>
      <c r="O114" s="922">
        <f t="shared" si="139"/>
        <v>4.5631655375274729</v>
      </c>
      <c r="P114" s="3543">
        <f t="shared" si="139"/>
        <v>5.086342674466553</v>
      </c>
      <c r="Q114" s="3543">
        <f t="shared" si="132"/>
        <v>5.7527435572166841</v>
      </c>
      <c r="R114" s="3543">
        <f t="shared" si="132"/>
        <v>6.9314017895185351</v>
      </c>
      <c r="S114" s="3543">
        <f t="shared" si="133"/>
        <v>7.8336008300504183</v>
      </c>
      <c r="T114" s="3543">
        <f t="shared" si="133"/>
        <v>8.8819732778673099</v>
      </c>
      <c r="U114" s="3543">
        <f t="shared" si="133"/>
        <v>8.0432887730532556</v>
      </c>
      <c r="V114" s="3543">
        <f>+V135/V32*1000</f>
        <v>8.146128091586565</v>
      </c>
      <c r="W114" s="3543">
        <f>+W135/W32*1000</f>
        <v>8.6530648689673662</v>
      </c>
      <c r="X114" s="3543">
        <f t="shared" si="135"/>
        <v>9.0467329282381872</v>
      </c>
      <c r="Y114" s="3543">
        <f t="shared" si="135"/>
        <v>9.5060103536018232</v>
      </c>
      <c r="Z114" s="3543">
        <f t="shared" si="135"/>
        <v>9.9440501476454415</v>
      </c>
      <c r="AA114" s="3543">
        <f t="shared" ref="AA114:AB114" si="140">+AA135/AA32*1000</f>
        <v>10.511528608027326</v>
      </c>
      <c r="AB114" s="3543">
        <f t="shared" si="140"/>
        <v>11.136344590631023</v>
      </c>
      <c r="AC114" s="2969">
        <f>+AC135/AC32*1000</f>
        <v>12.051892360992223</v>
      </c>
      <c r="AD114" s="2969">
        <f>+AD135/AD32*1000</f>
        <v>12.806406894744772</v>
      </c>
      <c r="AE114" s="2969">
        <f>+AE135/AE32*1000</f>
        <v>13.568566403468553</v>
      </c>
      <c r="AF114" s="3699"/>
      <c r="AG114" s="3344"/>
    </row>
    <row r="115" spans="1:119">
      <c r="C115" s="672"/>
      <c r="D115" s="676"/>
      <c r="E115" s="711" t="s">
        <v>589</v>
      </c>
      <c r="F115" s="899" t="s">
        <v>1512</v>
      </c>
      <c r="G115" s="923" t="e">
        <f t="shared" ref="G115:P115" si="141">+G136/G35*1000</f>
        <v>#VALUE!</v>
      </c>
      <c r="H115" s="923" t="e">
        <f t="shared" si="141"/>
        <v>#VALUE!</v>
      </c>
      <c r="I115" s="923" t="e">
        <f t="shared" si="141"/>
        <v>#VALUE!</v>
      </c>
      <c r="J115" s="923" t="e">
        <f t="shared" si="141"/>
        <v>#VALUE!</v>
      </c>
      <c r="K115" s="923" t="e">
        <f t="shared" si="141"/>
        <v>#VALUE!</v>
      </c>
      <c r="L115" s="923">
        <f t="shared" si="141"/>
        <v>3.6437634722122136</v>
      </c>
      <c r="M115" s="923">
        <f t="shared" si="141"/>
        <v>5.1272675840498323</v>
      </c>
      <c r="N115" s="923">
        <f t="shared" si="141"/>
        <v>3.5192494474940781</v>
      </c>
      <c r="O115" s="923">
        <f t="shared" si="141"/>
        <v>2.3961950872395574</v>
      </c>
      <c r="P115" s="3544">
        <f t="shared" si="141"/>
        <v>9.4900582176171948</v>
      </c>
      <c r="Q115" s="3544">
        <f t="shared" ref="Q115:Y115" si="142">+Q136/Q35*1000</f>
        <v>10.93540810334706</v>
      </c>
      <c r="R115" s="3544">
        <f t="shared" si="142"/>
        <v>13.562082777035943</v>
      </c>
      <c r="S115" s="3544">
        <f t="shared" si="142"/>
        <v>17.551648351648538</v>
      </c>
      <c r="T115" s="3544">
        <f t="shared" si="142"/>
        <v>36.866894197951339</v>
      </c>
      <c r="U115" s="3544">
        <f t="shared" si="142"/>
        <v>20.900552486188246</v>
      </c>
      <c r="V115" s="3544">
        <f t="shared" si="142"/>
        <v>182.77777777777715</v>
      </c>
      <c r="W115" s="3544">
        <f t="shared" si="142"/>
        <v>165.33333333335599</v>
      </c>
      <c r="X115" s="3544">
        <f t="shared" si="142"/>
        <v>33.836363636366059</v>
      </c>
      <c r="Y115" s="3544">
        <f t="shared" si="142"/>
        <v>41.882812500001542</v>
      </c>
      <c r="Z115" s="3544">
        <f>+Z136/Z35*1000</f>
        <v>0.75167785235033657</v>
      </c>
      <c r="AA115" s="3544">
        <f>+AA136/AA35*1000</f>
        <v>15.489361702126189</v>
      </c>
      <c r="AB115" s="3544">
        <f>+AB136/AB35*1000</f>
        <v>-34.722222222227487</v>
      </c>
      <c r="AC115" s="2970">
        <f>+AB115*(1+AC122/100)</f>
        <v>-37.576826161503149</v>
      </c>
      <c r="AD115" s="2970">
        <f>+AC115*(1+AD122/100)</f>
        <v>-39.929341486226221</v>
      </c>
      <c r="AE115" s="2970">
        <f>+AD115*(1+AE122/100)</f>
        <v>-42.305693224924653</v>
      </c>
      <c r="AG115" s="3344"/>
    </row>
    <row r="116" spans="1:119" s="220" customFormat="1">
      <c r="A116" s="903"/>
      <c r="B116" s="903"/>
      <c r="C116" s="674"/>
      <c r="D116" s="746"/>
      <c r="E116" s="750" t="s">
        <v>1508</v>
      </c>
      <c r="F116" s="895" t="s">
        <v>1513</v>
      </c>
      <c r="G116" s="922" t="e">
        <f>+G137/G79*1000</f>
        <v>#VALUE!</v>
      </c>
      <c r="H116" s="922" t="e">
        <f>+H137/H79*1000</f>
        <v>#VALUE!</v>
      </c>
      <c r="I116" s="922" t="e">
        <f>+I137/I79*1000</f>
        <v>#VALUE!</v>
      </c>
      <c r="J116" s="922" t="e">
        <f t="shared" ref="J116:P116" si="143">+J137/J79*1000</f>
        <v>#VALUE!</v>
      </c>
      <c r="K116" s="922" t="e">
        <f t="shared" si="143"/>
        <v>#VALUE!</v>
      </c>
      <c r="L116" s="922">
        <f t="shared" si="143"/>
        <v>3.6431878658861101</v>
      </c>
      <c r="M116" s="922">
        <f t="shared" si="143"/>
        <v>3.9335830280998412</v>
      </c>
      <c r="N116" s="922">
        <f t="shared" si="143"/>
        <v>4.1541854903002919</v>
      </c>
      <c r="O116" s="922">
        <f t="shared" si="143"/>
        <v>4.5306269726030983</v>
      </c>
      <c r="P116" s="3543">
        <f t="shared" si="143"/>
        <v>5.1440544517394775</v>
      </c>
      <c r="Q116" s="3543">
        <f t="shared" ref="Q116:W116" si="144">+Q137/Q79*1000</f>
        <v>5.8268126888217529</v>
      </c>
      <c r="R116" s="3543">
        <f t="shared" si="144"/>
        <v>7.0149771136241243</v>
      </c>
      <c r="S116" s="3543">
        <f t="shared" si="144"/>
        <v>7.9047603720750583</v>
      </c>
      <c r="T116" s="3543">
        <f t="shared" si="144"/>
        <v>8.9469173742237977</v>
      </c>
      <c r="U116" s="2246">
        <f t="shared" si="144"/>
        <v>8.0633412032329765</v>
      </c>
      <c r="V116" s="2246">
        <f t="shared" si="144"/>
        <v>8.3015907272024254</v>
      </c>
      <c r="W116" s="2246">
        <f t="shared" si="144"/>
        <v>8.7788731766070391</v>
      </c>
      <c r="X116" s="2246">
        <f t="shared" ref="X116:AC116" si="145">+X137/X79*1000</f>
        <v>9.0707583326725327</v>
      </c>
      <c r="Y116" s="2246">
        <f t="shared" si="145"/>
        <v>9.5423320303598658</v>
      </c>
      <c r="Z116" s="2246">
        <f t="shared" si="145"/>
        <v>9.9322393439512968</v>
      </c>
      <c r="AA116" s="2246">
        <f t="shared" si="145"/>
        <v>10.515521272420088</v>
      </c>
      <c r="AB116" s="2246">
        <f t="shared" si="145"/>
        <v>11.101783620834032</v>
      </c>
      <c r="AC116" s="2246">
        <f t="shared" si="145"/>
        <v>12.035632087717717</v>
      </c>
      <c r="AD116" s="2246">
        <f>+AD137/AD79*1000</f>
        <v>12.78912761480386</v>
      </c>
      <c r="AE116" s="2246">
        <f>+AE137/AE79*1000</f>
        <v>13.550276172356504</v>
      </c>
      <c r="AF116"/>
      <c r="AG116" s="3344"/>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row>
    <row r="117" spans="1:119" s="220" customFormat="1">
      <c r="A117" s="903"/>
      <c r="B117" s="903"/>
      <c r="C117" s="674"/>
      <c r="D117" s="674"/>
      <c r="F117" s="710"/>
      <c r="P117" s="3545"/>
      <c r="Q117" s="3545"/>
      <c r="R117" s="3545"/>
      <c r="S117" s="3545"/>
      <c r="T117" s="2971"/>
      <c r="U117" s="2971"/>
      <c r="V117" s="2971"/>
      <c r="W117" s="2971">
        <f t="shared" ref="W117:Z117" si="146">W144/W113</f>
        <v>0.40166147911095529</v>
      </c>
      <c r="X117" s="2971">
        <f t="shared" si="146"/>
        <v>0.41345164384756256</v>
      </c>
      <c r="Y117" s="2971">
        <f t="shared" si="146"/>
        <v>0.41453751959662721</v>
      </c>
      <c r="Z117" s="2971">
        <f t="shared" si="146"/>
        <v>0.42545701581027667</v>
      </c>
      <c r="AA117" s="2971">
        <f>AA144/AA113</f>
        <v>0.43357986401049742</v>
      </c>
      <c r="AB117" s="2971">
        <f>AB144/AB113</f>
        <v>0.43832274171584223</v>
      </c>
      <c r="AC117" s="2971">
        <f t="shared" ref="AC117:AE117" si="147">AC144/AC113</f>
        <v>0.44308176811410488</v>
      </c>
      <c r="AD117" s="2971">
        <f t="shared" si="147"/>
        <v>0.44124229116450592</v>
      </c>
      <c r="AE117" s="2971">
        <f t="shared" si="147"/>
        <v>0.44082502654648792</v>
      </c>
      <c r="AF117"/>
      <c r="AG117" s="3344"/>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row>
    <row r="118" spans="1:119">
      <c r="D118" s="929"/>
      <c r="E118" s="3212" t="s">
        <v>2130</v>
      </c>
      <c r="F118" s="931"/>
      <c r="G118" s="896">
        <f>+InputY!$G$3</f>
        <v>1995</v>
      </c>
      <c r="H118" s="896">
        <f>+G118+1</f>
        <v>1996</v>
      </c>
      <c r="I118" s="896">
        <f>+H118+1</f>
        <v>1997</v>
      </c>
      <c r="J118" s="896">
        <f t="shared" ref="J118:P118" si="148">+I118+1</f>
        <v>1998</v>
      </c>
      <c r="K118" s="896">
        <f t="shared" si="148"/>
        <v>1999</v>
      </c>
      <c r="L118" s="896">
        <f t="shared" si="148"/>
        <v>2000</v>
      </c>
      <c r="M118" s="896">
        <f t="shared" si="148"/>
        <v>2001</v>
      </c>
      <c r="N118" s="896">
        <f t="shared" si="148"/>
        <v>2002</v>
      </c>
      <c r="O118" s="896">
        <f t="shared" si="148"/>
        <v>2003</v>
      </c>
      <c r="P118" s="3495">
        <f t="shared" si="148"/>
        <v>2004</v>
      </c>
      <c r="Q118" s="3546">
        <f t="shared" ref="Q118:W118" si="149">+P118+1</f>
        <v>2005</v>
      </c>
      <c r="R118" s="3495">
        <f t="shared" si="149"/>
        <v>2006</v>
      </c>
      <c r="S118" s="3495">
        <f t="shared" si="149"/>
        <v>2007</v>
      </c>
      <c r="T118" s="2936">
        <f t="shared" si="149"/>
        <v>2008</v>
      </c>
      <c r="U118" s="2936">
        <f t="shared" si="149"/>
        <v>2009</v>
      </c>
      <c r="V118" s="2936">
        <f t="shared" si="149"/>
        <v>2010</v>
      </c>
      <c r="W118" s="2936">
        <f t="shared" si="149"/>
        <v>2011</v>
      </c>
      <c r="X118" s="2936">
        <f t="shared" ref="X118:AE118" si="150">+W118+1</f>
        <v>2012</v>
      </c>
      <c r="Y118" s="2936">
        <f t="shared" si="150"/>
        <v>2013</v>
      </c>
      <c r="Z118" s="2936">
        <f t="shared" si="150"/>
        <v>2014</v>
      </c>
      <c r="AA118" s="2936">
        <f t="shared" si="150"/>
        <v>2015</v>
      </c>
      <c r="AB118" s="2936">
        <f t="shared" si="150"/>
        <v>2016</v>
      </c>
      <c r="AC118" s="2936">
        <f t="shared" si="150"/>
        <v>2017</v>
      </c>
      <c r="AD118" s="2936">
        <f t="shared" si="150"/>
        <v>2018</v>
      </c>
      <c r="AE118" s="2936">
        <f t="shared" si="150"/>
        <v>2019</v>
      </c>
      <c r="AG118" s="3344"/>
    </row>
    <row r="119" spans="1:119">
      <c r="C119" s="762"/>
      <c r="D119" s="689"/>
      <c r="E119" s="732" t="s">
        <v>274</v>
      </c>
      <c r="F119" s="763" t="s">
        <v>1509</v>
      </c>
      <c r="G119" s="1688"/>
      <c r="H119" s="1689" t="e">
        <f t="shared" ref="H119:I123" si="151">(H112/G112-1)*100</f>
        <v>#VALUE!</v>
      </c>
      <c r="I119" s="1689" t="e">
        <f t="shared" si="151"/>
        <v>#VALUE!</v>
      </c>
      <c r="J119" s="1689" t="e">
        <f t="shared" ref="J119:P119" si="152">(J112/I112-1)*100</f>
        <v>#VALUE!</v>
      </c>
      <c r="K119" s="1689" t="e">
        <f t="shared" si="152"/>
        <v>#VALUE!</v>
      </c>
      <c r="L119" s="1689" t="e">
        <f t="shared" si="152"/>
        <v>#VALUE!</v>
      </c>
      <c r="M119" s="1689">
        <f t="shared" si="152"/>
        <v>8.6755704191397101</v>
      </c>
      <c r="N119" s="1689">
        <f t="shared" si="152"/>
        <v>6.8104887154388116</v>
      </c>
      <c r="O119" s="1689">
        <f t="shared" si="152"/>
        <v>10.74889420866112</v>
      </c>
      <c r="P119" s="3547">
        <f t="shared" si="152"/>
        <v>14.316131925152774</v>
      </c>
      <c r="Q119" s="3548">
        <f t="shared" ref="Q119:T123" si="153">(Q112/P112-1)*100</f>
        <v>13.854529300596896</v>
      </c>
      <c r="R119" s="3547">
        <f t="shared" si="153"/>
        <v>18.839405183533685</v>
      </c>
      <c r="S119" s="3547">
        <f t="shared" si="153"/>
        <v>17.191022208847674</v>
      </c>
      <c r="T119" s="3547">
        <f t="shared" si="153"/>
        <v>11.31483931929016</v>
      </c>
      <c r="U119" s="3547">
        <f t="shared" ref="U119:AB121" si="154">(U112/T112-1)*100</f>
        <v>-12.72600526625517</v>
      </c>
      <c r="V119" s="3547">
        <f t="shared" ref="V119:AB119" si="155">(V112/U112-1)*100</f>
        <v>4.3522377054266537</v>
      </c>
      <c r="W119" s="3547">
        <f t="shared" si="155"/>
        <v>7.3001309551448124</v>
      </c>
      <c r="X119" s="3547">
        <f t="shared" si="155"/>
        <v>5.3448878804743361</v>
      </c>
      <c r="Y119" s="3547">
        <f t="shared" si="155"/>
        <v>5.4952510435584356</v>
      </c>
      <c r="Z119" s="3547">
        <f t="shared" si="155"/>
        <v>5.3987729759134462</v>
      </c>
      <c r="AA119" s="3547">
        <f t="shared" si="155"/>
        <v>7.0502073006864396</v>
      </c>
      <c r="AB119" s="3547">
        <f t="shared" si="155"/>
        <v>6.8055624194951925</v>
      </c>
      <c r="AC119" s="2937">
        <v>8.6</v>
      </c>
      <c r="AD119" s="2937">
        <v>6.274660829016895</v>
      </c>
      <c r="AE119" s="2937">
        <v>6</v>
      </c>
      <c r="AF119" s="3654" t="s">
        <v>2590</v>
      </c>
      <c r="AG119" s="3344"/>
    </row>
    <row r="120" spans="1:119">
      <c r="C120" s="932"/>
      <c r="D120" s="674"/>
      <c r="E120" s="220" t="s">
        <v>275</v>
      </c>
      <c r="F120" s="710" t="s">
        <v>1510</v>
      </c>
      <c r="G120" s="1559"/>
      <c r="H120" s="1044">
        <f t="shared" si="151"/>
        <v>33.661186519794327</v>
      </c>
      <c r="I120" s="1044">
        <f t="shared" si="151"/>
        <v>23.05607336179143</v>
      </c>
      <c r="J120" s="1044">
        <f t="shared" ref="J120:P123" si="156">(J113/I113-1)*100</f>
        <v>26.568387452900378</v>
      </c>
      <c r="K120" s="1044">
        <f t="shared" si="156"/>
        <v>-2.5927610744010843</v>
      </c>
      <c r="L120" s="1044">
        <f t="shared" si="156"/>
        <v>-8.6821173395009392</v>
      </c>
      <c r="M120" s="1044">
        <f t="shared" si="156"/>
        <v>4.448489261012023</v>
      </c>
      <c r="N120" s="1044">
        <f t="shared" si="156"/>
        <v>7.099465300523522</v>
      </c>
      <c r="O120" s="1044">
        <f t="shared" si="156"/>
        <v>9.1467872749221968</v>
      </c>
      <c r="P120" s="3508">
        <f t="shared" si="156"/>
        <v>2.6160283535961781</v>
      </c>
      <c r="Q120" s="3508">
        <f t="shared" si="153"/>
        <v>11.686152965432161</v>
      </c>
      <c r="R120" s="3508">
        <f t="shared" si="153"/>
        <v>31.351020155839326</v>
      </c>
      <c r="S120" s="3508">
        <f t="shared" si="153"/>
        <v>-2.5931906485933687</v>
      </c>
      <c r="T120" s="3508">
        <f t="shared" si="153"/>
        <v>21.532399062705167</v>
      </c>
      <c r="U120" s="3508">
        <f t="shared" si="154"/>
        <v>-0.84820726529328816</v>
      </c>
      <c r="V120" s="3508">
        <f t="shared" si="154"/>
        <v>-7.4582564134386349</v>
      </c>
      <c r="W120" s="3508">
        <f t="shared" si="154"/>
        <v>3.5129806966035293</v>
      </c>
      <c r="X120" s="3508">
        <f t="shared" si="154"/>
        <v>2.7329728672281783</v>
      </c>
      <c r="Y120" s="3508">
        <f t="shared" si="154"/>
        <v>3.9572018394206099</v>
      </c>
      <c r="Z120" s="3508">
        <f t="shared" si="154"/>
        <v>1.8824305648047934</v>
      </c>
      <c r="AA120" s="3508">
        <f t="shared" si="154"/>
        <v>0.41795890553177895</v>
      </c>
      <c r="AB120" s="3508">
        <f t="shared" si="154"/>
        <v>2.530006787713468</v>
      </c>
      <c r="AC120" s="3518">
        <v>6.84</v>
      </c>
      <c r="AD120" s="3518">
        <v>6.24</v>
      </c>
      <c r="AE120" s="3518">
        <v>5.7463950000000006</v>
      </c>
      <c r="AF120" s="3654" t="s">
        <v>2590</v>
      </c>
      <c r="AG120" s="3659"/>
    </row>
    <row r="121" spans="1:119">
      <c r="C121" s="932"/>
      <c r="D121" s="717"/>
      <c r="E121" s="718" t="s">
        <v>590</v>
      </c>
      <c r="F121" s="924" t="s">
        <v>1511</v>
      </c>
      <c r="G121" s="925"/>
      <c r="H121" s="925" t="e">
        <f t="shared" si="151"/>
        <v>#VALUE!</v>
      </c>
      <c r="I121" s="925" t="e">
        <f t="shared" si="151"/>
        <v>#VALUE!</v>
      </c>
      <c r="J121" s="925" t="e">
        <f t="shared" si="156"/>
        <v>#VALUE!</v>
      </c>
      <c r="K121" s="925" t="e">
        <f t="shared" si="156"/>
        <v>#VALUE!</v>
      </c>
      <c r="L121" s="925" t="e">
        <f t="shared" si="156"/>
        <v>#VALUE!</v>
      </c>
      <c r="M121" s="925">
        <f t="shared" si="156"/>
        <v>7.6394916675215141</v>
      </c>
      <c r="N121" s="925">
        <f t="shared" si="156"/>
        <v>6.1698641341473959</v>
      </c>
      <c r="O121" s="925">
        <f t="shared" si="156"/>
        <v>9.600358512455287</v>
      </c>
      <c r="P121" s="3549">
        <f t="shared" si="156"/>
        <v>11.46522370570322</v>
      </c>
      <c r="Q121" s="3549">
        <f t="shared" si="153"/>
        <v>13.10176929477176</v>
      </c>
      <c r="R121" s="3549">
        <f t="shared" si="153"/>
        <v>20.488628088127637</v>
      </c>
      <c r="S121" s="3549">
        <f t="shared" si="153"/>
        <v>13.016112294863103</v>
      </c>
      <c r="T121" s="2972">
        <f>(T114/S114-1)*100</f>
        <v>13.383021046914179</v>
      </c>
      <c r="U121" s="2972">
        <f t="shared" si="154"/>
        <v>-9.4425470396757856</v>
      </c>
      <c r="V121" s="2972">
        <f t="shared" si="154"/>
        <v>1.2785729996148243</v>
      </c>
      <c r="W121" s="2972">
        <f t="shared" ref="W121:AE121" si="157">(W114/V114-1)*100</f>
        <v>6.2230396045990455</v>
      </c>
      <c r="X121" s="2972">
        <f t="shared" si="157"/>
        <v>4.5494638631756956</v>
      </c>
      <c r="Y121" s="2972">
        <f t="shared" si="157"/>
        <v>5.0767213866794059</v>
      </c>
      <c r="Z121" s="2972">
        <f t="shared" si="157"/>
        <v>4.6080298437466416</v>
      </c>
      <c r="AA121" s="2972">
        <f t="shared" si="157"/>
        <v>5.7067135820534132</v>
      </c>
      <c r="AB121" s="2972">
        <f t="shared" si="157"/>
        <v>5.9441020036471448</v>
      </c>
      <c r="AC121" s="2972">
        <f t="shared" si="157"/>
        <v>8.2212593451126637</v>
      </c>
      <c r="AD121" s="2972">
        <f t="shared" si="157"/>
        <v>6.2605482288793812</v>
      </c>
      <c r="AE121" s="2972">
        <f t="shared" si="157"/>
        <v>5.9513922600455738</v>
      </c>
      <c r="AG121" s="3344"/>
    </row>
    <row r="122" spans="1:119">
      <c r="C122" s="690"/>
      <c r="D122" s="691"/>
      <c r="E122" s="735" t="s">
        <v>589</v>
      </c>
      <c r="F122" s="933" t="s">
        <v>1512</v>
      </c>
      <c r="G122" s="934"/>
      <c r="H122" s="934" t="e">
        <f t="shared" si="151"/>
        <v>#VALUE!</v>
      </c>
      <c r="I122" s="934" t="e">
        <f t="shared" si="151"/>
        <v>#VALUE!</v>
      </c>
      <c r="J122" s="934" t="e">
        <f t="shared" si="156"/>
        <v>#VALUE!</v>
      </c>
      <c r="K122" s="934" t="e">
        <f t="shared" si="156"/>
        <v>#VALUE!</v>
      </c>
      <c r="L122" s="934" t="e">
        <f t="shared" si="156"/>
        <v>#VALUE!</v>
      </c>
      <c r="M122" s="934">
        <f t="shared" si="156"/>
        <v>40.713512914628033</v>
      </c>
      <c r="N122" s="934">
        <f t="shared" si="156"/>
        <v>-31.362087314460819</v>
      </c>
      <c r="O122" s="934">
        <f t="shared" si="156"/>
        <v>-31.911757805466291</v>
      </c>
      <c r="P122" s="3550">
        <f t="shared" si="156"/>
        <v>296.04697748336696</v>
      </c>
      <c r="Q122" s="3550">
        <f t="shared" si="153"/>
        <v>15.230147724981702</v>
      </c>
      <c r="R122" s="3550">
        <f t="shared" si="153"/>
        <v>24.019905328315303</v>
      </c>
      <c r="S122" s="3550">
        <f>(S115/R115-1)*100</f>
        <v>29.417056658642025</v>
      </c>
      <c r="T122" s="3550">
        <f>(T115/S115-1)*100</f>
        <v>110.04804482929727</v>
      </c>
      <c r="U122" s="3550">
        <f t="shared" ref="U122:AB122" si="158">(U115/T115-1)*100</f>
        <v>-43.308073704376014</v>
      </c>
      <c r="V122" s="3550">
        <f t="shared" si="158"/>
        <v>774.51170440859175</v>
      </c>
      <c r="W122" s="3550">
        <f t="shared" si="158"/>
        <v>-9.5440729483155522</v>
      </c>
      <c r="X122" s="3550">
        <f t="shared" si="158"/>
        <v>-79.534457478007198</v>
      </c>
      <c r="Y122" s="3550">
        <f t="shared" si="158"/>
        <v>23.780477565820512</v>
      </c>
      <c r="Z122" s="3550">
        <f t="shared" si="158"/>
        <v>-98.205283247512781</v>
      </c>
      <c r="AA122" s="3550">
        <f t="shared" si="158"/>
        <v>1960.6382978684626</v>
      </c>
      <c r="AB122" s="3550">
        <f t="shared" si="158"/>
        <v>-324.16819291824817</v>
      </c>
      <c r="AC122" s="2973">
        <f>AC121</f>
        <v>8.2212593451126637</v>
      </c>
      <c r="AD122" s="2973">
        <f>AD121</f>
        <v>6.2605482288793812</v>
      </c>
      <c r="AE122" s="2973">
        <f>AE121</f>
        <v>5.9513922600455738</v>
      </c>
    </row>
    <row r="123" spans="1:119" s="220" customFormat="1">
      <c r="A123" s="903"/>
      <c r="B123" s="903"/>
      <c r="C123" s="674"/>
      <c r="D123" s="717"/>
      <c r="E123" s="718" t="s">
        <v>1508</v>
      </c>
      <c r="F123" s="924" t="s">
        <v>1513</v>
      </c>
      <c r="G123" s="925"/>
      <c r="H123" s="925" t="e">
        <f t="shared" si="151"/>
        <v>#VALUE!</v>
      </c>
      <c r="I123" s="925" t="e">
        <f t="shared" si="151"/>
        <v>#VALUE!</v>
      </c>
      <c r="J123" s="925" t="e">
        <f t="shared" si="156"/>
        <v>#VALUE!</v>
      </c>
      <c r="K123" s="925" t="e">
        <f t="shared" si="156"/>
        <v>#VALUE!</v>
      </c>
      <c r="L123" s="925" t="e">
        <f t="shared" si="156"/>
        <v>#VALUE!</v>
      </c>
      <c r="M123" s="925">
        <f t="shared" si="156"/>
        <v>7.9709082513399254</v>
      </c>
      <c r="N123" s="925">
        <f t="shared" si="156"/>
        <v>5.6081811576001117</v>
      </c>
      <c r="O123" s="925">
        <f t="shared" si="156"/>
        <v>9.0617398568689111</v>
      </c>
      <c r="P123" s="3549">
        <f t="shared" si="156"/>
        <v>13.539571517271277</v>
      </c>
      <c r="Q123" s="3549">
        <f t="shared" si="153"/>
        <v>13.272764576809614</v>
      </c>
      <c r="R123" s="3549">
        <f t="shared" si="153"/>
        <v>20.391326927013885</v>
      </c>
      <c r="S123" s="3549">
        <f t="shared" si="153"/>
        <v>12.684050767932554</v>
      </c>
      <c r="T123" s="2972">
        <f t="shared" ref="T123:AE123" si="159">(T116/S116-1)*100</f>
        <v>13.18391643888841</v>
      </c>
      <c r="U123" s="2972">
        <f t="shared" si="159"/>
        <v>-9.8757609356762028</v>
      </c>
      <c r="V123" s="2972">
        <f t="shared" si="159"/>
        <v>2.9547245734054206</v>
      </c>
      <c r="W123" s="2972">
        <f t="shared" si="159"/>
        <v>5.7492890831231547</v>
      </c>
      <c r="X123" s="2972">
        <f t="shared" si="159"/>
        <v>3.3248590131507605</v>
      </c>
      <c r="Y123" s="2972">
        <f t="shared" si="159"/>
        <v>5.1988343244549151</v>
      </c>
      <c r="Z123" s="2972">
        <f t="shared" si="159"/>
        <v>4.0860799262790515</v>
      </c>
      <c r="AA123" s="2972">
        <f t="shared" si="159"/>
        <v>5.8726124922070966</v>
      </c>
      <c r="AB123" s="2972">
        <f t="shared" si="159"/>
        <v>5.5752095709376004</v>
      </c>
      <c r="AC123" s="2972">
        <f t="shared" si="159"/>
        <v>8.4116976044388956</v>
      </c>
      <c r="AD123" s="2972">
        <f t="shared" si="159"/>
        <v>6.2605397173537636</v>
      </c>
      <c r="AE123" s="2972">
        <f t="shared" si="159"/>
        <v>5.9515283643865491</v>
      </c>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row>
    <row r="124" spans="1:119" s="220" customFormat="1">
      <c r="A124" s="903"/>
      <c r="B124" s="903"/>
      <c r="C124" s="674"/>
      <c r="D124" s="674"/>
      <c r="F124" s="710"/>
      <c r="P124" s="3545"/>
      <c r="Q124" s="3545"/>
      <c r="R124" s="3545"/>
      <c r="S124" s="3545"/>
      <c r="T124" s="2971"/>
      <c r="U124" s="2971"/>
      <c r="V124" s="2971"/>
      <c r="W124" s="2971"/>
      <c r="X124" s="2971"/>
      <c r="Y124" s="2971"/>
      <c r="Z124" s="2971"/>
      <c r="AA124" s="2971"/>
      <c r="AB124" s="2971"/>
      <c r="AC124" s="2971"/>
      <c r="AD124" s="2971"/>
      <c r="AE124" s="2971"/>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row>
    <row r="125" spans="1:119" s="352" customFormat="1">
      <c r="A125" s="903"/>
      <c r="B125" s="903"/>
      <c r="C125" s="903"/>
      <c r="D125" s="1936"/>
      <c r="E125" s="1937" t="s">
        <v>1565</v>
      </c>
      <c r="F125" s="1938"/>
      <c r="G125" s="1939"/>
      <c r="H125" s="1940" t="str">
        <f>CONCATENATE(G118,"-",H118)</f>
        <v>1995-1996</v>
      </c>
      <c r="I125" s="1940" t="str">
        <f>CONCATENATE(H118,"-",I118)</f>
        <v>1996-1997</v>
      </c>
      <c r="J125" s="1940" t="str">
        <f>CONCATENATE(I118,"-",J118)</f>
        <v>1997-1998</v>
      </c>
      <c r="K125" s="1940" t="str">
        <f t="shared" ref="K125:AE125" si="160">CONCATENATE(J118,"-",K118)</f>
        <v>1998-1999</v>
      </c>
      <c r="L125" s="1940" t="str">
        <f t="shared" si="160"/>
        <v>1999-2000</v>
      </c>
      <c r="M125" s="1940" t="str">
        <f t="shared" si="160"/>
        <v>2000-2001</v>
      </c>
      <c r="N125" s="1940" t="str">
        <f t="shared" si="160"/>
        <v>2001-2002</v>
      </c>
      <c r="O125" s="1940" t="str">
        <f t="shared" si="160"/>
        <v>2002-2003</v>
      </c>
      <c r="P125" s="1940" t="str">
        <f t="shared" si="160"/>
        <v>2003-2004</v>
      </c>
      <c r="Q125" s="1940" t="str">
        <f>CONCATENATE(P118,"-",Q118)</f>
        <v>2004-2005</v>
      </c>
      <c r="R125" s="1940" t="str">
        <f>CONCATENATE(Q118,"-",R118)</f>
        <v>2005-2006</v>
      </c>
      <c r="S125" s="1940" t="str">
        <f>CONCATENATE(R118,"-",S118)</f>
        <v>2006-2007</v>
      </c>
      <c r="T125" s="3050" t="str">
        <f t="shared" si="160"/>
        <v>2007-2008</v>
      </c>
      <c r="U125" s="3050" t="str">
        <f t="shared" si="160"/>
        <v>2008-2009</v>
      </c>
      <c r="V125" s="3050" t="str">
        <f t="shared" si="160"/>
        <v>2009-2010</v>
      </c>
      <c r="W125" s="3050" t="str">
        <f t="shared" si="160"/>
        <v>2010-2011</v>
      </c>
      <c r="X125" s="3050" t="str">
        <f t="shared" si="160"/>
        <v>2011-2012</v>
      </c>
      <c r="Y125" s="3050" t="str">
        <f t="shared" si="160"/>
        <v>2012-2013</v>
      </c>
      <c r="Z125" s="3050" t="str">
        <f t="shared" si="160"/>
        <v>2013-2014</v>
      </c>
      <c r="AA125" s="3050" t="str">
        <f t="shared" si="160"/>
        <v>2014-2015</v>
      </c>
      <c r="AB125" s="3050" t="str">
        <f t="shared" si="160"/>
        <v>2015-2016</v>
      </c>
      <c r="AC125" s="3050" t="str">
        <f t="shared" si="160"/>
        <v>2016-2017</v>
      </c>
      <c r="AD125" s="3050" t="str">
        <f t="shared" si="160"/>
        <v>2017-2018</v>
      </c>
      <c r="AE125" s="3050" t="str">
        <f t="shared" si="160"/>
        <v>2018-2019</v>
      </c>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row>
    <row r="126" spans="1:119" s="220" customFormat="1">
      <c r="A126" s="903"/>
      <c r="B126" s="903"/>
      <c r="C126" s="1928"/>
      <c r="D126" s="823"/>
      <c r="E126" s="218" t="s">
        <v>275</v>
      </c>
      <c r="F126" s="1929"/>
      <c r="G126" s="218"/>
      <c r="H126" s="1930">
        <f>AVERAGE(G113:H113)</f>
        <v>3.290016381544838</v>
      </c>
      <c r="I126" s="1930">
        <f>AVERAGE(H113:I113)</f>
        <v>4.1978880006055785</v>
      </c>
      <c r="J126" s="1930">
        <f t="shared" ref="J126:AE126" si="161">AVERAGE(I113:J113)</f>
        <v>5.2470978281263632</v>
      </c>
      <c r="K126" s="1930">
        <f t="shared" si="161"/>
        <v>5.7863962267486073</v>
      </c>
      <c r="L126" s="1930">
        <f t="shared" si="161"/>
        <v>5.4625055806065923</v>
      </c>
      <c r="M126" s="1930">
        <f t="shared" si="161"/>
        <v>5.3305996538795899</v>
      </c>
      <c r="N126" s="1930">
        <f t="shared" si="161"/>
        <v>5.6399246443003568</v>
      </c>
      <c r="O126" s="1930">
        <f t="shared" si="161"/>
        <v>6.1000419838685529</v>
      </c>
      <c r="P126" s="3551">
        <f t="shared" si="161"/>
        <v>6.4500990118946255</v>
      </c>
      <c r="Q126" s="3551">
        <f>AVERAGE(P113:Q113)</f>
        <v>6.9151281902994146</v>
      </c>
      <c r="R126" s="3551">
        <f>AVERAGE(Q113:R113)</f>
        <v>8.4407013773925872</v>
      </c>
      <c r="S126" s="3551">
        <f>AVERAGE(R113:S113)</f>
        <v>9.4602518017576394</v>
      </c>
      <c r="T126" s="2224">
        <f t="shared" si="161"/>
        <v>10.341109468377034</v>
      </c>
      <c r="U126" s="2224">
        <f>AVERAGE(T113:U113)</f>
        <v>11.29811981443483</v>
      </c>
      <c r="V126" s="2224">
        <f t="shared" si="161"/>
        <v>10.830473076744077</v>
      </c>
      <c r="W126" s="2224">
        <f t="shared" si="161"/>
        <v>10.593813417841069</v>
      </c>
      <c r="X126" s="2224">
        <f t="shared" si="161"/>
        <v>10.923942561710074</v>
      </c>
      <c r="Y126" s="2224">
        <f t="shared" si="161"/>
        <v>11.290259394123275</v>
      </c>
      <c r="Z126" s="2224">
        <f t="shared" si="161"/>
        <v>11.617641772554272</v>
      </c>
      <c r="AA126" s="2224">
        <f t="shared" si="161"/>
        <v>11.75047406434982</v>
      </c>
      <c r="AB126" s="2224">
        <f t="shared" si="161"/>
        <v>11.92393281370963</v>
      </c>
      <c r="AC126" s="2224">
        <f t="shared" si="161"/>
        <v>12.485779421838608</v>
      </c>
      <c r="AD126" s="2224">
        <f t="shared" si="161"/>
        <v>13.30111071785176</v>
      </c>
      <c r="AE126" s="2224">
        <f t="shared" si="161"/>
        <v>14.097279324412135</v>
      </c>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row>
    <row r="127" spans="1:119" s="1933" customFormat="1">
      <c r="A127" s="1931"/>
      <c r="B127" s="1931"/>
      <c r="C127" s="1932"/>
      <c r="D127" s="1941"/>
      <c r="E127" s="1942" t="s">
        <v>820</v>
      </c>
      <c r="F127" s="1943"/>
      <c r="G127" s="1942"/>
      <c r="H127" s="1942"/>
      <c r="I127" s="1944">
        <f>+I126/H126-1</f>
        <v>0.27594744638762148</v>
      </c>
      <c r="J127" s="1944">
        <f t="shared" ref="J127:AE127" si="162">+J126/I126-1</f>
        <v>0.24993754653993339</v>
      </c>
      <c r="K127" s="1944">
        <f t="shared" si="162"/>
        <v>0.1027803209102387</v>
      </c>
      <c r="L127" s="1944">
        <f t="shared" si="162"/>
        <v>-5.5974501822874667E-2</v>
      </c>
      <c r="M127" s="1944">
        <f t="shared" si="162"/>
        <v>-2.4147513403978027E-2</v>
      </c>
      <c r="N127" s="1944">
        <f t="shared" si="162"/>
        <v>5.8028178911474049E-2</v>
      </c>
      <c r="O127" s="1944">
        <f t="shared" si="162"/>
        <v>8.1582178590486221E-2</v>
      </c>
      <c r="P127" s="1944">
        <f t="shared" si="162"/>
        <v>5.7386003072075864E-2</v>
      </c>
      <c r="Q127" s="1944">
        <f>+Q126/P126-1</f>
        <v>7.2096440310021492E-2</v>
      </c>
      <c r="R127" s="1944">
        <f>+R126/Q126-1</f>
        <v>0.22061386934710137</v>
      </c>
      <c r="S127" s="1944">
        <f>+S126/R126-1</f>
        <v>0.12078977549138226</v>
      </c>
      <c r="T127" s="2225">
        <f t="shared" si="162"/>
        <v>9.3111439851499389E-2</v>
      </c>
      <c r="U127" s="2225">
        <f t="shared" si="162"/>
        <v>9.2544262197815419E-2</v>
      </c>
      <c r="V127" s="2225">
        <f t="shared" si="162"/>
        <v>-4.1391554114453055E-2</v>
      </c>
      <c r="W127" s="2225">
        <f t="shared" si="162"/>
        <v>-2.185127623013805E-2</v>
      </c>
      <c r="X127" s="2225">
        <f t="shared" si="162"/>
        <v>3.1162446500429652E-2</v>
      </c>
      <c r="Y127" s="2225">
        <f t="shared" si="162"/>
        <v>3.353339056332949E-2</v>
      </c>
      <c r="Z127" s="2225">
        <f t="shared" si="162"/>
        <v>2.8996887228419421E-2</v>
      </c>
      <c r="AA127" s="2225">
        <f t="shared" si="162"/>
        <v>1.1433670825464315E-2</v>
      </c>
      <c r="AB127" s="2225">
        <f t="shared" si="162"/>
        <v>1.4761851173823892E-2</v>
      </c>
      <c r="AC127" s="2225">
        <f t="shared" si="162"/>
        <v>4.7119236321341074E-2</v>
      </c>
      <c r="AD127" s="2225">
        <f t="shared" si="162"/>
        <v>6.5300792883388192E-2</v>
      </c>
      <c r="AE127" s="2225">
        <f t="shared" si="162"/>
        <v>5.9857302404965118E-2</v>
      </c>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row>
    <row r="128" spans="1:119" s="220" customFormat="1">
      <c r="A128" s="903"/>
      <c r="B128" s="903"/>
      <c r="C128" s="875"/>
      <c r="D128" s="674"/>
      <c r="E128" s="167" t="s">
        <v>73</v>
      </c>
      <c r="F128" s="710"/>
      <c r="H128" s="1927"/>
      <c r="I128" s="1927">
        <f ca="1">OFFSET('Q1'!$G296,0,4*COLUMN()-27)</f>
        <v>60.763333333333335</v>
      </c>
      <c r="J128" s="1927">
        <f ca="1">OFFSET('Q1'!$G296,0,4*COLUMN()-27)</f>
        <v>65.611666666666665</v>
      </c>
      <c r="K128" s="1927">
        <f ca="1">OFFSET('Q1'!$G296,0,4*COLUMN()-27)</f>
        <v>67.676666666666662</v>
      </c>
      <c r="L128" s="1927">
        <f ca="1">OFFSET('Q1'!$G296,0,4*COLUMN()-27)</f>
        <v>68.25</v>
      </c>
      <c r="M128" s="1927">
        <f ca="1">OFFSET('Q1'!$G296,0,4*COLUMN()-27)</f>
        <v>69.008333333333326</v>
      </c>
      <c r="N128" s="1927">
        <f ca="1">OFFSET('Q1'!$G296,0,4*COLUMN()-27)</f>
        <v>70.270833333333329</v>
      </c>
      <c r="O128" s="1927">
        <f ca="1">OFFSET('Q1'!$G296,0,4*COLUMN()-27)</f>
        <v>69.579166666666652</v>
      </c>
      <c r="P128" s="3552">
        <f ca="1">OFFSET('Q1'!$G296,0,4*COLUMN()-27)</f>
        <v>69.11333333333333</v>
      </c>
      <c r="Q128" s="3552">
        <f ca="1">OFFSET('Q1'!$G296,0,4*COLUMN()-27)</f>
        <v>70.974166666666662</v>
      </c>
      <c r="R128" s="3552">
        <f ca="1">OFFSET('Q1'!$G296,0,4*COLUMN()-27)</f>
        <v>73.12</v>
      </c>
      <c r="S128" s="3552">
        <f ca="1">OFFSET('Q1'!$G296,0,4*COLUMN()-27)</f>
        <v>76.32083333333334</v>
      </c>
      <c r="T128" s="3552">
        <f ca="1">OFFSET('Q1'!$G296,0,4*COLUMN()-27)</f>
        <v>83.388333333333321</v>
      </c>
      <c r="U128" s="3552">
        <f ca="1">OFFSET('Q1'!$G296,0,4*COLUMN()-27)</f>
        <v>90.549038249744186</v>
      </c>
      <c r="V128" s="3552">
        <f ca="1">OFFSET('Q1'!$G296,0,4*COLUMN()-27)</f>
        <v>91.371103573086259</v>
      </c>
      <c r="W128" s="3552">
        <f ca="1">OFFSET('Q1'!$G296,0,4*COLUMN()-27)</f>
        <v>94.270618090678397</v>
      </c>
      <c r="X128" s="3552">
        <f ca="1">OFFSET('Q1'!$G296,0,4*COLUMN()-27)</f>
        <v>97.822161346542856</v>
      </c>
      <c r="Y128" s="3552">
        <f ca="1">OFFSET('Q1'!$G296,0,4*COLUMN()-27)</f>
        <v>100.21953789123236</v>
      </c>
      <c r="Z128" s="3552">
        <f ca="1">OFFSET('Q1'!$G296,0,4*COLUMN()-27)</f>
        <v>100.61171025226528</v>
      </c>
      <c r="AA128" s="3552">
        <f ca="1">OFFSET('Q1'!$G296,0,4*COLUMN()-27)</f>
        <v>100.31609355924257</v>
      </c>
      <c r="AB128" s="3552">
        <f ca="1">OFFSET('Q1'!$G296,0,4*COLUMN()-27)</f>
        <v>100.34379048467596</v>
      </c>
      <c r="AC128" s="3552">
        <f ca="1">OFFSET('Q1'!$G296,0,4*COLUMN()-27)</f>
        <v>102.35679960696119</v>
      </c>
      <c r="AD128" s="3552">
        <f ca="1">OFFSET('Q1'!$G296,0,4*COLUMN()-27)</f>
        <v>106.0330876314767</v>
      </c>
      <c r="AE128" s="3552">
        <f ca="1">OFFSET('Q1'!$G296,0,4*COLUMN()-27)</f>
        <v>108.83590040348443</v>
      </c>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row>
    <row r="129" spans="1:119" s="1933" customFormat="1">
      <c r="A129" s="1931"/>
      <c r="B129" s="1931"/>
      <c r="C129" s="1934"/>
      <c r="D129" s="1945"/>
      <c r="E129" s="1946" t="s">
        <v>820</v>
      </c>
      <c r="F129" s="1947"/>
      <c r="G129" s="1946"/>
      <c r="H129" s="1946"/>
      <c r="I129" s="1948" t="e">
        <f ca="1">+I128/H128-1</f>
        <v>#DIV/0!</v>
      </c>
      <c r="J129" s="1948">
        <f t="shared" ref="J129:AE129" ca="1" si="163">+J128/I128-1</f>
        <v>7.9790443798343214E-2</v>
      </c>
      <c r="K129" s="1948">
        <f t="shared" ca="1" si="163"/>
        <v>3.1473061193385332E-2</v>
      </c>
      <c r="L129" s="1948">
        <f t="shared" ca="1" si="163"/>
        <v>8.4716544353051759E-3</v>
      </c>
      <c r="M129" s="1948">
        <f t="shared" ca="1" si="163"/>
        <v>1.1111111111111072E-2</v>
      </c>
      <c r="N129" s="1948">
        <f t="shared" ca="1" si="163"/>
        <v>1.8294891921265544E-2</v>
      </c>
      <c r="O129" s="1948">
        <f t="shared" ca="1" si="163"/>
        <v>-9.8428698487994515E-3</v>
      </c>
      <c r="P129" s="1948">
        <f t="shared" ca="1" si="163"/>
        <v>-6.6950116773457635E-3</v>
      </c>
      <c r="Q129" s="1948">
        <f ca="1">+Q128/P128-1</f>
        <v>2.6924375422012092E-2</v>
      </c>
      <c r="R129" s="1948">
        <f ca="1">+R128/Q128-1</f>
        <v>3.0234005330578073E-2</v>
      </c>
      <c r="S129" s="1948">
        <f ca="1">+S128/R128-1</f>
        <v>4.3775072939460369E-2</v>
      </c>
      <c r="T129" s="2226">
        <f t="shared" ca="1" si="163"/>
        <v>9.2602500409455502E-2</v>
      </c>
      <c r="U129" s="2226">
        <f t="shared" ca="1" si="163"/>
        <v>8.5871783619741349E-2</v>
      </c>
      <c r="V129" s="2226">
        <f t="shared" ca="1" si="163"/>
        <v>9.078675370076672E-3</v>
      </c>
      <c r="W129" s="2226">
        <f t="shared" ca="1" si="163"/>
        <v>3.173338620423749E-2</v>
      </c>
      <c r="X129" s="2226">
        <f t="shared" ca="1" si="163"/>
        <v>3.7673915030961735E-2</v>
      </c>
      <c r="Y129" s="2226">
        <f t="shared" ca="1" si="163"/>
        <v>2.4507499238302533E-2</v>
      </c>
      <c r="Z129" s="2226">
        <f t="shared" ca="1" si="163"/>
        <v>3.9131328010966193E-3</v>
      </c>
      <c r="AA129" s="2226">
        <f t="shared" ca="1" si="163"/>
        <v>-2.9381936981440759E-3</v>
      </c>
      <c r="AB129" s="2226">
        <f t="shared" ca="1" si="163"/>
        <v>2.7609653098226161E-4</v>
      </c>
      <c r="AC129" s="2226">
        <f t="shared" ca="1" si="163"/>
        <v>2.0061122990890468E-2</v>
      </c>
      <c r="AD129" s="2226">
        <f t="shared" ca="1" si="163"/>
        <v>3.5916402609617037E-2</v>
      </c>
      <c r="AE129" s="2226">
        <f t="shared" ca="1" si="163"/>
        <v>2.6433378812366959E-2</v>
      </c>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row>
    <row r="130" spans="1:119" s="220" customFormat="1">
      <c r="A130" s="903"/>
      <c r="B130" s="903"/>
      <c r="C130" s="674"/>
      <c r="D130" s="1949"/>
      <c r="E130" s="1950" t="s">
        <v>448</v>
      </c>
      <c r="F130" s="1951"/>
      <c r="G130" s="1950"/>
      <c r="H130" s="1950"/>
      <c r="I130" s="1952" t="e">
        <f t="shared" ref="I130:N130" ca="1" si="164">+(1+I127)/(1+I129)-1</f>
        <v>#DIV/0!</v>
      </c>
      <c r="J130" s="1952">
        <f t="shared" ca="1" si="164"/>
        <v>0.15757418832405046</v>
      </c>
      <c r="K130" s="1952">
        <f t="shared" ca="1" si="164"/>
        <v>6.9131480403717749E-2</v>
      </c>
      <c r="L130" s="1952">
        <f t="shared" ca="1" si="164"/>
        <v>-6.3904777070076912E-2</v>
      </c>
      <c r="M130" s="1952">
        <f t="shared" ca="1" si="164"/>
        <v>-3.4871167102835332E-2</v>
      </c>
      <c r="N130" s="1952">
        <f t="shared" ca="1" si="164"/>
        <v>3.9019430722314397E-2</v>
      </c>
      <c r="O130" s="1952">
        <f t="shared" ref="O130:Y130" ca="1" si="165">+(1+O127)/(1+O129)-1</f>
        <v>9.233387879085897E-2</v>
      </c>
      <c r="P130" s="3553">
        <f t="shared" ca="1" si="165"/>
        <v>6.4512929566207244E-2</v>
      </c>
      <c r="Q130" s="3553">
        <f ca="1">+(1+Q127)/(1+Q129)-1</f>
        <v>4.3987722922095518E-2</v>
      </c>
      <c r="R130" s="3553">
        <f ca="1">+(1+R127)/(1+R129)-1</f>
        <v>0.18479283641529065</v>
      </c>
      <c r="S130" s="3553">
        <f ca="1">+(1+S127)/(1+S129)-1</f>
        <v>7.3784768911020704E-2</v>
      </c>
      <c r="T130" s="2227">
        <f t="shared" ca="1" si="165"/>
        <v>4.6580475685642497E-4</v>
      </c>
      <c r="U130" s="2227">
        <f t="shared" ca="1" si="165"/>
        <v>6.1448125632581618E-3</v>
      </c>
      <c r="V130" s="2227">
        <f ca="1">+(1+V127)/(1+V129)-1</f>
        <v>-5.0016149103557228E-2</v>
      </c>
      <c r="W130" s="2227">
        <f ca="1">+(1+W127)/(1+W129)-1</f>
        <v>-5.193654014775495E-2</v>
      </c>
      <c r="X130" s="2227">
        <f t="shared" ca="1" si="165"/>
        <v>-6.2750623642089387E-3</v>
      </c>
      <c r="Y130" s="2227">
        <f t="shared" ca="1" si="165"/>
        <v>8.8099807290209498E-3</v>
      </c>
      <c r="Z130" s="2227">
        <f t="shared" ref="Z130:AE130" ca="1" si="166">+(1+Z127)/(1+Z129)-1</f>
        <v>2.4985980965638532E-2</v>
      </c>
      <c r="AA130" s="2227">
        <f t="shared" ca="1" si="166"/>
        <v>1.4414216283054948E-2</v>
      </c>
      <c r="AB130" s="2227">
        <f t="shared" ca="1" si="166"/>
        <v>1.4481756280170233E-2</v>
      </c>
      <c r="AC130" s="2227">
        <f t="shared" ca="1" si="166"/>
        <v>2.652597253301292E-2</v>
      </c>
      <c r="AD130" s="2227">
        <f t="shared" ca="1" si="166"/>
        <v>2.8365599965159083E-2</v>
      </c>
      <c r="AE130" s="2227">
        <f t="shared" ca="1" si="166"/>
        <v>3.256316901080436E-2</v>
      </c>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row>
    <row r="131" spans="1:119" s="220" customFormat="1" ht="30" customHeight="1">
      <c r="A131" s="903"/>
      <c r="B131" s="903"/>
      <c r="C131" s="674"/>
      <c r="D131" s="674"/>
      <c r="F131" s="710"/>
      <c r="P131" s="3545"/>
      <c r="Q131" s="3554"/>
      <c r="R131" s="3555"/>
      <c r="S131" s="3555"/>
      <c r="T131" s="2974"/>
      <c r="U131" s="2974"/>
      <c r="V131" s="2974"/>
      <c r="W131" s="2974"/>
      <c r="X131" s="2974"/>
      <c r="Y131" s="2974"/>
      <c r="Z131" s="2974"/>
      <c r="AA131" s="2974"/>
      <c r="AB131" s="3715"/>
      <c r="AC131" s="2974"/>
      <c r="AD131" s="2974"/>
      <c r="AE131" s="2974"/>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row>
    <row r="132" spans="1:119">
      <c r="D132" s="900"/>
      <c r="E132" s="901" t="s">
        <v>1297</v>
      </c>
      <c r="F132" s="902"/>
      <c r="G132" s="698">
        <f>+InputY!$G$3</f>
        <v>1995</v>
      </c>
      <c r="H132" s="698">
        <f>+G132+1</f>
        <v>1996</v>
      </c>
      <c r="I132" s="698">
        <f>+H132+1</f>
        <v>1997</v>
      </c>
      <c r="J132" s="698">
        <f t="shared" ref="J132:P132" si="167">+I132+1</f>
        <v>1998</v>
      </c>
      <c r="K132" s="698">
        <f t="shared" si="167"/>
        <v>1999</v>
      </c>
      <c r="L132" s="698">
        <f t="shared" si="167"/>
        <v>2000</v>
      </c>
      <c r="M132" s="698">
        <f t="shared" si="167"/>
        <v>2001</v>
      </c>
      <c r="N132" s="698">
        <f t="shared" si="167"/>
        <v>2002</v>
      </c>
      <c r="O132" s="698">
        <f t="shared" si="167"/>
        <v>2003</v>
      </c>
      <c r="P132" s="3490">
        <f t="shared" si="167"/>
        <v>2004</v>
      </c>
      <c r="Q132" s="3490">
        <f t="shared" ref="Q132:V132" si="168">+P132+1</f>
        <v>2005</v>
      </c>
      <c r="R132" s="3490">
        <f t="shared" si="168"/>
        <v>2006</v>
      </c>
      <c r="S132" s="3490">
        <f>+R132+1</f>
        <v>2007</v>
      </c>
      <c r="T132" s="3491">
        <f t="shared" si="168"/>
        <v>2008</v>
      </c>
      <c r="U132" s="3491">
        <f t="shared" si="168"/>
        <v>2009</v>
      </c>
      <c r="V132" s="3491">
        <f t="shared" si="168"/>
        <v>2010</v>
      </c>
      <c r="W132" s="3491">
        <f t="shared" ref="W132:AE132" si="169">+V132+1</f>
        <v>2011</v>
      </c>
      <c r="X132" s="3491">
        <f t="shared" si="169"/>
        <v>2012</v>
      </c>
      <c r="Y132" s="3491">
        <f t="shared" si="169"/>
        <v>2013</v>
      </c>
      <c r="Z132" s="3491">
        <f t="shared" si="169"/>
        <v>2014</v>
      </c>
      <c r="AA132" s="3491">
        <f t="shared" si="169"/>
        <v>2015</v>
      </c>
      <c r="AB132" s="3491">
        <f t="shared" si="169"/>
        <v>2016</v>
      </c>
      <c r="AC132" s="3491">
        <f t="shared" si="169"/>
        <v>2017</v>
      </c>
      <c r="AD132" s="3491">
        <f t="shared" si="169"/>
        <v>2018</v>
      </c>
      <c r="AE132" s="3491">
        <f t="shared" si="169"/>
        <v>2019</v>
      </c>
    </row>
    <row r="133" spans="1:119" s="898" customFormat="1" ht="22.5">
      <c r="A133" s="897"/>
      <c r="B133" s="897"/>
      <c r="C133" s="904" t="s">
        <v>1767</v>
      </c>
      <c r="D133" s="905"/>
      <c r="E133" s="906" t="s">
        <v>1298</v>
      </c>
      <c r="F133" s="917" t="s">
        <v>1292</v>
      </c>
      <c r="G133" s="1454">
        <f t="shared" ref="G133:Q133" si="170">+G135-G134</f>
        <v>1.7684198331788692</v>
      </c>
      <c r="H133" s="1454">
        <f t="shared" si="170"/>
        <v>2.1634615384615383</v>
      </c>
      <c r="I133" s="1454">
        <f t="shared" si="170"/>
        <v>2.5741427247451343</v>
      </c>
      <c r="J133" s="1454">
        <f t="shared" si="170"/>
        <v>2.9955398517145504</v>
      </c>
      <c r="K133" s="1454">
        <f t="shared" si="170"/>
        <v>2.9975671918443005</v>
      </c>
      <c r="L133" s="1454">
        <f>+L135-L134</f>
        <v>2.8475440222428174</v>
      </c>
      <c r="M133" s="1454">
        <f t="shared" si="170"/>
        <v>2.9518072289156621</v>
      </c>
      <c r="N133" s="1454">
        <f t="shared" si="170"/>
        <v>3.3094879518072293</v>
      </c>
      <c r="O133" s="1454">
        <f t="shared" si="170"/>
        <v>3.7922845227062094</v>
      </c>
      <c r="P133" s="3556">
        <f t="shared" si="170"/>
        <v>4.3524096385542164</v>
      </c>
      <c r="Q133" s="3556">
        <f t="shared" si="170"/>
        <v>5.109</v>
      </c>
      <c r="R133" s="3556">
        <f t="shared" ref="R133:W133" si="171">+R135-R134</f>
        <v>6.2562000000000006</v>
      </c>
      <c r="S133" s="3556">
        <f t="shared" si="171"/>
        <v>7.5704999999999991</v>
      </c>
      <c r="T133" s="3556">
        <f t="shared" si="171"/>
        <v>8.644400000000001</v>
      </c>
      <c r="U133" s="3556">
        <f t="shared" si="171"/>
        <v>6.8296999999999999</v>
      </c>
      <c r="V133" s="3556">
        <f t="shared" si="171"/>
        <v>6.8140000000000001</v>
      </c>
      <c r="W133" s="3556">
        <f t="shared" si="171"/>
        <v>7.4099000000000004</v>
      </c>
      <c r="X133" s="3556">
        <f>+X135-X134</f>
        <v>7.964599999999999</v>
      </c>
      <c r="Y133" s="3556">
        <f>+Y135-Y134</f>
        <v>8.4739000000000004</v>
      </c>
      <c r="Z133" s="3556">
        <f>+Z135-Z134</f>
        <v>9.0881999999999987</v>
      </c>
      <c r="AA133" s="3556">
        <f>+AA135-AA134</f>
        <v>9.7941000000000003</v>
      </c>
      <c r="AB133" s="3556">
        <f>+AB135-AB134</f>
        <v>10.6454</v>
      </c>
      <c r="AC133" s="2975">
        <f t="shared" ref="AC133:AD134" si="172">+AC112*AC30/1000</f>
        <v>11.589025615017505</v>
      </c>
      <c r="AD133" s="2975">
        <f t="shared" si="172"/>
        <v>12.260774776251875</v>
      </c>
      <c r="AE133" s="2975">
        <f t="shared" ref="AE133" si="173">+AE112*AE30/1000</f>
        <v>12.969128778175055</v>
      </c>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row>
    <row r="134" spans="1:119" s="898" customFormat="1" ht="22.5">
      <c r="A134" s="1902">
        <v>241</v>
      </c>
      <c r="B134" s="897"/>
      <c r="C134" s="907" t="s">
        <v>1767</v>
      </c>
      <c r="D134" s="908"/>
      <c r="E134" s="909" t="s">
        <v>1299</v>
      </c>
      <c r="F134" s="918" t="s">
        <v>1291</v>
      </c>
      <c r="G134" s="1044">
        <f>+InputY!G279/1000</f>
        <v>0.59024559777571828</v>
      </c>
      <c r="H134" s="1044">
        <f>+InputY!H279/1000</f>
        <v>0.803985171455051</v>
      </c>
      <c r="I134" s="1044">
        <f>+InputY!I279/1000</f>
        <v>1.0125115848007415</v>
      </c>
      <c r="J134" s="1044">
        <f>+InputY!J279/1000</f>
        <v>1.2856232622798889</v>
      </c>
      <c r="K134" s="1044">
        <f>+InputY!K279/1000</f>
        <v>1.3310936051899906</v>
      </c>
      <c r="L134" s="1044">
        <f>+InputY!L279/1000</f>
        <v>1.2468141797961074</v>
      </c>
      <c r="M134" s="1044">
        <f>+InputY!M279/1000</f>
        <v>1.2772242817423543</v>
      </c>
      <c r="N134" s="1044">
        <f>+InputY!N279/1000</f>
        <v>1.3229842446709918</v>
      </c>
      <c r="O134" s="1044">
        <f>+InputY!O279/1000</f>
        <v>1.3771431881371641</v>
      </c>
      <c r="P134" s="3508">
        <f>+InputY!P279/1000</f>
        <v>1.4811167747914737</v>
      </c>
      <c r="Q134" s="3508">
        <f>+InputY!Q279/1000</f>
        <v>1.6479999999999999</v>
      </c>
      <c r="R134" s="3508">
        <f>+InputY!R279/1000</f>
        <v>1.8777999999999999</v>
      </c>
      <c r="S134" s="3508">
        <f>+InputY!S279/1000</f>
        <v>2.0935000000000001</v>
      </c>
      <c r="T134" s="3508">
        <f>+InputY!T279/1000</f>
        <v>2.5436000000000005</v>
      </c>
      <c r="U134" s="3508">
        <f>+InputY!U279/1000</f>
        <v>2.4903000000000004</v>
      </c>
      <c r="V134" s="3508">
        <f>+InputY!V279/1000</f>
        <v>2.2370000000000001</v>
      </c>
      <c r="W134" s="3508">
        <f>+InputY!W279/1000</f>
        <v>2.2810999999999999</v>
      </c>
      <c r="X134" s="3508">
        <f>+InputY!X279/1000</f>
        <v>2.2934000000000001</v>
      </c>
      <c r="Y134" s="3508">
        <f>+InputY!Y279/1000</f>
        <v>2.3601000000000001</v>
      </c>
      <c r="Z134" s="3508">
        <f>+InputY!Z279/1000</f>
        <v>2.4288000000000003</v>
      </c>
      <c r="AA134" s="3508">
        <f>+InputY!AA279/1000</f>
        <v>2.5148999999999999</v>
      </c>
      <c r="AB134" s="3508">
        <f>+InputY!AB279/1000</f>
        <v>2.6435999999999997</v>
      </c>
      <c r="AC134" s="2943">
        <f t="shared" si="172"/>
        <v>2.7732145115769287</v>
      </c>
      <c r="AD134" s="2943">
        <f t="shared" si="172"/>
        <v>2.9168004661283358</v>
      </c>
      <c r="AE134" s="2943">
        <f t="shared" ref="AE134" si="174">+AE113*AE31/1000</f>
        <v>3.078242519589363</v>
      </c>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row>
    <row r="135" spans="1:119" s="898" customFormat="1">
      <c r="A135" s="664">
        <f>+ROW(InputY!A228)</f>
        <v>228</v>
      </c>
      <c r="B135" s="897">
        <v>62</v>
      </c>
      <c r="C135" s="907" t="s">
        <v>1769</v>
      </c>
      <c r="D135" s="910"/>
      <c r="E135" s="911" t="s">
        <v>1300</v>
      </c>
      <c r="F135" s="916" t="s">
        <v>1315</v>
      </c>
      <c r="G135" s="920">
        <f>+InputY!G228/1000</f>
        <v>2.3586654309545874</v>
      </c>
      <c r="H135" s="920">
        <f>+InputY!H228/1000</f>
        <v>2.9674467099165893</v>
      </c>
      <c r="I135" s="920">
        <f>+InputY!I228/1000</f>
        <v>3.5866543095458758</v>
      </c>
      <c r="J135" s="920">
        <f>+InputY!J228/1000</f>
        <v>4.2811631139944391</v>
      </c>
      <c r="K135" s="920">
        <f>+InputY!K228/1000</f>
        <v>4.3286607970342912</v>
      </c>
      <c r="L135" s="920">
        <f>+InputY!L228/1000</f>
        <v>4.0943582020389249</v>
      </c>
      <c r="M135" s="920">
        <f>+InputY!M228/1000</f>
        <v>4.2290315106580163</v>
      </c>
      <c r="N135" s="920">
        <f>+InputY!N228/1000</f>
        <v>4.6324721964782212</v>
      </c>
      <c r="O135" s="920">
        <f>+InputY!O228/1000</f>
        <v>5.1694277108433733</v>
      </c>
      <c r="P135" s="3557">
        <f>+InputY!P228/1000</f>
        <v>5.8335264133456901</v>
      </c>
      <c r="Q135" s="3557">
        <f>+InputY!Q228/1000</f>
        <v>6.7569999999999997</v>
      </c>
      <c r="R135" s="3557">
        <f>+InputY!R228/1000</f>
        <v>8.1340000000000003</v>
      </c>
      <c r="S135" s="3557">
        <f>+InputY!S228/1000</f>
        <v>9.6639999999999997</v>
      </c>
      <c r="T135" s="3557">
        <f>+InputY!T228/1000</f>
        <v>11.188000000000001</v>
      </c>
      <c r="U135" s="3557">
        <f>+InputY!U228/1000</f>
        <v>9.32</v>
      </c>
      <c r="V135" s="3557">
        <f>+InputY!V228/1000</f>
        <v>9.0510000000000002</v>
      </c>
      <c r="W135" s="3557">
        <f>+InputY!W228/1000</f>
        <v>9.6910000000000007</v>
      </c>
      <c r="X135" s="3557">
        <f>+InputY!X228/1000</f>
        <v>10.257999999999999</v>
      </c>
      <c r="Y135" s="3557">
        <f>+InputY!Y228/1000</f>
        <v>10.834</v>
      </c>
      <c r="Z135" s="3557">
        <f>+InputY!Z228/1000</f>
        <v>11.516999999999999</v>
      </c>
      <c r="AA135" s="3557">
        <f>+InputY!AA228/1000</f>
        <v>12.308999999999999</v>
      </c>
      <c r="AB135" s="3557">
        <f>+InputY!AB228/1000</f>
        <v>13.289</v>
      </c>
      <c r="AC135" s="2976">
        <f>+AC133+AC134</f>
        <v>14.362240126594433</v>
      </c>
      <c r="AD135" s="2976">
        <f>+AD133+AD134</f>
        <v>15.177575242380211</v>
      </c>
      <c r="AE135" s="2976">
        <f>+AE133+AE134</f>
        <v>16.047371297764418</v>
      </c>
      <c r="AF135" s="3658"/>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row>
    <row r="136" spans="1:119" s="898" customFormat="1" ht="22.5">
      <c r="A136" s="1902"/>
      <c r="B136" s="897"/>
      <c r="C136" s="912" t="s">
        <v>1767</v>
      </c>
      <c r="D136" s="913"/>
      <c r="E136" s="914" t="s">
        <v>1301</v>
      </c>
      <c r="F136" s="919" t="s">
        <v>1293</v>
      </c>
      <c r="G136" s="921">
        <f t="shared" ref="G136:S136" si="175">+G137-G135</f>
        <v>-3.7543095458758557E-4</v>
      </c>
      <c r="H136" s="921">
        <f t="shared" si="175"/>
        <v>-3.6446709916589271E-2</v>
      </c>
      <c r="I136" s="921">
        <f t="shared" si="175"/>
        <v>-6.4894309545875828E-2</v>
      </c>
      <c r="J136" s="921">
        <f t="shared" si="175"/>
        <v>-6.9973113994439728E-2</v>
      </c>
      <c r="K136" s="921">
        <f t="shared" si="175"/>
        <v>-5.0230797034291008E-2</v>
      </c>
      <c r="L136" s="921">
        <f t="shared" si="175"/>
        <v>1.2971797961075282E-2</v>
      </c>
      <c r="M136" s="921">
        <f t="shared" si="175"/>
        <v>5.5938489341984088E-2</v>
      </c>
      <c r="N136" s="921">
        <f t="shared" si="175"/>
        <v>5.7187803521778768E-2</v>
      </c>
      <c r="O136" s="921">
        <f t="shared" si="175"/>
        <v>4.1382289156627117E-2</v>
      </c>
      <c r="P136" s="3558">
        <f t="shared" si="175"/>
        <v>0.14453358665431004</v>
      </c>
      <c r="Q136" s="3558">
        <f t="shared" si="175"/>
        <v>0.18623000000000012</v>
      </c>
      <c r="R136" s="3558">
        <f t="shared" si="175"/>
        <v>0.20315999999999867</v>
      </c>
      <c r="S136" s="3558">
        <f t="shared" si="175"/>
        <v>0.15972000000000008</v>
      </c>
      <c r="T136" s="3558">
        <f t="shared" ref="T136:Z136" si="176">+T137-T135</f>
        <v>0.10801999999999978</v>
      </c>
      <c r="U136" s="3558">
        <f t="shared" si="176"/>
        <v>3.7829999999999586E-2</v>
      </c>
      <c r="V136" s="3558">
        <f t="shared" si="176"/>
        <v>0.18095000000000105</v>
      </c>
      <c r="W136" s="3558">
        <f t="shared" si="176"/>
        <v>0.14879999999999782</v>
      </c>
      <c r="X136" s="3558">
        <f>+X137-X135</f>
        <v>3.7219999999999587E-2</v>
      </c>
      <c r="Y136" s="3558">
        <f t="shared" si="176"/>
        <v>5.3610000000000824E-2</v>
      </c>
      <c r="Z136" s="3558">
        <f t="shared" si="176"/>
        <v>1.1200000000020083E-3</v>
      </c>
      <c r="AA136" s="3558">
        <f>+AA137-AA135</f>
        <v>1.4559999999999462E-2</v>
      </c>
      <c r="AB136" s="3558">
        <f>+AB137-AB135</f>
        <v>-3.125E-2</v>
      </c>
      <c r="AC136" s="3559">
        <v>0</v>
      </c>
      <c r="AD136" s="3559">
        <v>0</v>
      </c>
      <c r="AE136" s="3559">
        <v>0</v>
      </c>
      <c r="AF136" s="3658"/>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row>
    <row r="137" spans="1:119" s="909" customFormat="1">
      <c r="A137" s="664">
        <f>+ROW(InputY!A185)</f>
        <v>185</v>
      </c>
      <c r="B137" s="915">
        <v>88</v>
      </c>
      <c r="C137" s="908" t="s">
        <v>1769</v>
      </c>
      <c r="D137" s="910"/>
      <c r="E137" s="911" t="s">
        <v>1302</v>
      </c>
      <c r="F137" s="916" t="s">
        <v>334</v>
      </c>
      <c r="G137" s="920">
        <f>+InputY!G185/1000</f>
        <v>2.3582899999999998</v>
      </c>
      <c r="H137" s="920">
        <f>+InputY!H185/1000</f>
        <v>2.931</v>
      </c>
      <c r="I137" s="920">
        <f>+InputY!I185/1000</f>
        <v>3.52176</v>
      </c>
      <c r="J137" s="920">
        <f>+InputY!J185/1000</f>
        <v>4.2111899999999993</v>
      </c>
      <c r="K137" s="920">
        <f>+InputY!K185/1000</f>
        <v>4.2784300000000002</v>
      </c>
      <c r="L137" s="920">
        <f>+InputY!L185/1000</f>
        <v>4.1073300000000001</v>
      </c>
      <c r="M137" s="920">
        <f>+InputY!M185/1000</f>
        <v>4.2849700000000004</v>
      </c>
      <c r="N137" s="920">
        <f>+InputY!N185/1000</f>
        <v>4.6896599999999999</v>
      </c>
      <c r="O137">
        <f>+InputY!O185/1000</f>
        <v>5.2108100000000004</v>
      </c>
      <c r="P137" s="3560">
        <f>+InputY!P185/1000</f>
        <v>5.9780600000000002</v>
      </c>
      <c r="Q137" s="3557">
        <f>+InputY!Q185/1000</f>
        <v>6.9432299999999998</v>
      </c>
      <c r="R137" s="3557">
        <f>+InputY!R185/1000</f>
        <v>8.337159999999999</v>
      </c>
      <c r="S137" s="3557">
        <f>+InputY!S185/1000</f>
        <v>9.8237199999999998</v>
      </c>
      <c r="T137" s="3557">
        <f>+InputY!T185/1000</f>
        <v>11.29602</v>
      </c>
      <c r="U137" s="3557">
        <f>+InputY!U185/1000</f>
        <v>9.3578299999999999</v>
      </c>
      <c r="V137" s="3557">
        <f>+InputY!V185/1000</f>
        <v>9.2319500000000012</v>
      </c>
      <c r="W137" s="3557">
        <f>+InputY!W185/1000</f>
        <v>9.8397999999999985</v>
      </c>
      <c r="X137" s="3557">
        <f>+InputY!X185/1000</f>
        <v>10.295219999999999</v>
      </c>
      <c r="Y137" s="3557">
        <f>+InputY!Y185/1000</f>
        <v>10.88761</v>
      </c>
      <c r="Z137" s="3557">
        <f>+InputY!Z185/1000</f>
        <v>11.518120000000001</v>
      </c>
      <c r="AA137" s="3557">
        <f>+InputY!AA185/1000</f>
        <v>12.323559999999999</v>
      </c>
      <c r="AB137" s="3557">
        <f>+InputY!AB185/1000</f>
        <v>13.25775</v>
      </c>
      <c r="AC137" s="2976">
        <f>+AC135+AC136</f>
        <v>14.362240126594433</v>
      </c>
      <c r="AD137" s="2976">
        <f>+AD135+AD136</f>
        <v>15.177575242380211</v>
      </c>
      <c r="AE137" s="2976">
        <f>+AE135+AE136</f>
        <v>16.047371297764418</v>
      </c>
      <c r="AF137" s="3658"/>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row>
    <row r="138" spans="1:119" s="699" customFormat="1" ht="30" customHeight="1">
      <c r="A138" s="663"/>
      <c r="B138" s="663"/>
      <c r="C138" s="694"/>
      <c r="D138" s="670"/>
      <c r="F138" s="694"/>
      <c r="P138" s="547"/>
      <c r="Q138" s="3226"/>
      <c r="R138" s="2286"/>
      <c r="S138" s="2286"/>
      <c r="T138" s="2286"/>
      <c r="U138" s="2286"/>
      <c r="V138" s="2286"/>
      <c r="W138" s="3561"/>
      <c r="X138" s="3561"/>
      <c r="Y138" s="3562"/>
      <c r="Z138" s="3562"/>
      <c r="AA138" s="3692"/>
      <c r="AB138" s="3742"/>
      <c r="AC138" s="3692"/>
      <c r="AD138" s="3692"/>
      <c r="AE138" s="3692"/>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row>
    <row r="139" spans="1:119" s="699" customFormat="1" ht="30" customHeight="1">
      <c r="A139" s="663"/>
      <c r="B139" s="663"/>
      <c r="C139" s="694"/>
      <c r="D139" s="670"/>
      <c r="F139" s="694"/>
      <c r="P139" s="547"/>
      <c r="Q139" s="3226"/>
      <c r="R139" s="2286"/>
      <c r="S139" s="2286"/>
      <c r="T139" s="2286"/>
      <c r="U139" s="2286"/>
      <c r="V139" s="2286"/>
      <c r="W139" s="3561"/>
      <c r="X139" s="3561"/>
      <c r="Y139" s="3561"/>
      <c r="Z139" s="3561"/>
      <c r="AA139" s="3692"/>
      <c r="AB139" s="3692"/>
      <c r="AC139" s="3692"/>
      <c r="AD139" s="3692"/>
      <c r="AE139" s="3692"/>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row>
    <row r="140" spans="1:119" s="699" customFormat="1" ht="22.5" customHeight="1">
      <c r="A140" s="663"/>
      <c r="B140" s="663"/>
      <c r="C140" s="3751" t="s">
        <v>344</v>
      </c>
      <c r="D140" s="3751"/>
      <c r="E140" s="3751"/>
      <c r="F140" s="3751"/>
      <c r="J140" s="699">
        <v>10.614519406416123</v>
      </c>
      <c r="K140" s="699">
        <v>11.005135730007337</v>
      </c>
      <c r="L140" s="699">
        <v>11.042972347642475</v>
      </c>
      <c r="M140" s="699">
        <v>11.938340439488355</v>
      </c>
      <c r="N140" s="699">
        <v>12.738278376028358</v>
      </c>
      <c r="O140" s="699">
        <v>14.12574436868905</v>
      </c>
      <c r="P140" s="547"/>
      <c r="Q140" s="3226"/>
      <c r="R140" s="3537"/>
      <c r="S140" s="2286"/>
      <c r="T140" s="2286"/>
      <c r="U140" s="2290"/>
      <c r="V140" s="2286"/>
      <c r="W140" s="3561"/>
      <c r="X140" s="3561"/>
      <c r="Y140" s="3561"/>
      <c r="Z140" s="3561"/>
      <c r="AA140" s="3692"/>
      <c r="AB140" s="3692"/>
      <c r="AC140" s="3692"/>
      <c r="AD140" s="3692"/>
      <c r="AE140" s="3692"/>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row>
    <row r="141" spans="1:119" s="699" customFormat="1">
      <c r="A141" s="663"/>
      <c r="B141" s="663"/>
      <c r="C141" s="694"/>
      <c r="D141" s="670"/>
      <c r="F141" s="694"/>
      <c r="J141" s="699">
        <v>20.90909090909091</v>
      </c>
      <c r="K141" s="699">
        <v>20.481283422459892</v>
      </c>
      <c r="L141" s="699">
        <v>18.436830835117771</v>
      </c>
      <c r="M141" s="699">
        <v>19.626168224299068</v>
      </c>
      <c r="N141" s="699">
        <v>21.187384044526901</v>
      </c>
      <c r="O141" s="699">
        <v>23.093734822729481</v>
      </c>
      <c r="P141" s="547"/>
      <c r="Q141" s="3226"/>
      <c r="R141" s="3537"/>
      <c r="S141" s="2286"/>
      <c r="T141" s="2286"/>
      <c r="U141" s="2290"/>
      <c r="V141" s="2286"/>
      <c r="W141" s="2286"/>
      <c r="X141" s="2286"/>
      <c r="Y141" s="2286"/>
      <c r="Z141" s="2286"/>
      <c r="AA141" s="2286"/>
      <c r="AB141" s="2286"/>
      <c r="AC141" s="2286"/>
      <c r="AD141" s="2286"/>
      <c r="AE141" s="2286"/>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row>
    <row r="142" spans="1:119">
      <c r="D142" s="900"/>
      <c r="E142" s="901" t="s">
        <v>1504</v>
      </c>
      <c r="F142" s="902"/>
      <c r="G142" s="698">
        <f>+InputY!$G$3</f>
        <v>1995</v>
      </c>
      <c r="H142" s="698">
        <f>+G142+1</f>
        <v>1996</v>
      </c>
      <c r="I142" s="698">
        <f t="shared" ref="I142:P142" si="177">+H142+1</f>
        <v>1997</v>
      </c>
      <c r="J142" s="698">
        <f t="shared" si="177"/>
        <v>1998</v>
      </c>
      <c r="K142" s="698">
        <f t="shared" si="177"/>
        <v>1999</v>
      </c>
      <c r="L142" s="698">
        <f t="shared" si="177"/>
        <v>2000</v>
      </c>
      <c r="M142" s="698">
        <f t="shared" si="177"/>
        <v>2001</v>
      </c>
      <c r="N142" s="698">
        <f t="shared" si="177"/>
        <v>2002</v>
      </c>
      <c r="O142" s="778">
        <f t="shared" si="177"/>
        <v>2003</v>
      </c>
      <c r="P142" s="3538">
        <f t="shared" si="177"/>
        <v>2004</v>
      </c>
      <c r="Q142" s="3538">
        <f t="shared" ref="Q142:W142" si="178">+P142+1</f>
        <v>2005</v>
      </c>
      <c r="R142" s="3538">
        <f t="shared" si="178"/>
        <v>2006</v>
      </c>
      <c r="S142" s="3538">
        <f t="shared" si="178"/>
        <v>2007</v>
      </c>
      <c r="T142" s="3538">
        <f>+S142+1</f>
        <v>2008</v>
      </c>
      <c r="U142" s="3539">
        <f t="shared" si="178"/>
        <v>2009</v>
      </c>
      <c r="V142" s="3539">
        <f t="shared" si="178"/>
        <v>2010</v>
      </c>
      <c r="W142" s="3539">
        <f t="shared" si="178"/>
        <v>2011</v>
      </c>
      <c r="X142" s="3539">
        <f t="shared" ref="X142:AE142" si="179">+W142+1</f>
        <v>2012</v>
      </c>
      <c r="Y142" s="3539">
        <f t="shared" si="179"/>
        <v>2013</v>
      </c>
      <c r="Z142" s="3539">
        <f t="shared" si="179"/>
        <v>2014</v>
      </c>
      <c r="AA142" s="3539">
        <f t="shared" si="179"/>
        <v>2015</v>
      </c>
      <c r="AB142" s="3539">
        <f t="shared" si="179"/>
        <v>2016</v>
      </c>
      <c r="AC142" s="3539">
        <f t="shared" si="179"/>
        <v>2017</v>
      </c>
      <c r="AD142" s="3539">
        <f t="shared" si="179"/>
        <v>2018</v>
      </c>
      <c r="AE142" s="3539">
        <f t="shared" si="179"/>
        <v>2019</v>
      </c>
    </row>
    <row r="143" spans="1:119">
      <c r="C143" s="675"/>
      <c r="D143" s="668"/>
      <c r="E143" s="708" t="s">
        <v>58</v>
      </c>
      <c r="F143" s="724" t="s">
        <v>1316</v>
      </c>
      <c r="G143" s="1454" t="e">
        <f t="shared" ref="G143:Q143" si="180">+G164/G30*1000</f>
        <v>#VALUE!</v>
      </c>
      <c r="H143" s="1454" t="e">
        <f t="shared" si="180"/>
        <v>#VALUE!</v>
      </c>
      <c r="I143" s="1454" t="e">
        <f t="shared" si="180"/>
        <v>#VALUE!</v>
      </c>
      <c r="J143" s="1454" t="e">
        <f t="shared" si="180"/>
        <v>#VALUE!</v>
      </c>
      <c r="K143" s="1454" t="e">
        <f t="shared" si="180"/>
        <v>#VALUE!</v>
      </c>
      <c r="L143" s="1454">
        <f t="shared" si="180"/>
        <v>0.86774191034335835</v>
      </c>
      <c r="M143" s="1454">
        <f t="shared" si="180"/>
        <v>0.90538531031891378</v>
      </c>
      <c r="N143" s="1454">
        <f t="shared" si="180"/>
        <v>0.88820008826863561</v>
      </c>
      <c r="O143" s="1690">
        <f t="shared" si="180"/>
        <v>0.9429011491814947</v>
      </c>
      <c r="P143" s="3547">
        <f t="shared" si="180"/>
        <v>1.074777615133431</v>
      </c>
      <c r="Q143" s="3547">
        <f t="shared" si="180"/>
        <v>1.3259338898726716</v>
      </c>
      <c r="R143" s="3547">
        <f t="shared" ref="R143:S145" si="181">+R164/R30*1000</f>
        <v>1.5512694613228568</v>
      </c>
      <c r="S143" s="3547">
        <f t="shared" si="181"/>
        <v>1.9029937984188932</v>
      </c>
      <c r="T143" s="3547">
        <f t="shared" ref="T143:Z145" si="182">+T164/T30*1000</f>
        <v>2.1583562702206764</v>
      </c>
      <c r="U143" s="3547">
        <f t="shared" ref="U143:Z143" si="183">+U164/U30*1000</f>
        <v>1.8544331480631973</v>
      </c>
      <c r="V143" s="3547">
        <f t="shared" si="183"/>
        <v>1.782093482554312</v>
      </c>
      <c r="W143" s="3547">
        <f t="shared" si="183"/>
        <v>1.8594045888932911</v>
      </c>
      <c r="X143" s="3547">
        <f t="shared" si="183"/>
        <v>1.9108272007251215</v>
      </c>
      <c r="Y143" s="3547">
        <f t="shared" si="183"/>
        <v>2.0652550714713693</v>
      </c>
      <c r="Z143" s="3547">
        <f t="shared" si="183"/>
        <v>2.1803059776037013</v>
      </c>
      <c r="AA143" s="3547">
        <f t="shared" ref="AA143:AB143" si="184">+AA164/AA30*1000</f>
        <v>2.3373963359862975</v>
      </c>
      <c r="AB143" s="3547">
        <f t="shared" si="184"/>
        <v>2.5466833618999725</v>
      </c>
      <c r="AC143" s="2969">
        <f t="shared" ref="AC143:AE144" si="185">+AB143*(1+AC150/100)</f>
        <v>2.9108590826516685</v>
      </c>
      <c r="AD143" s="2969">
        <f t="shared" si="185"/>
        <v>3.1728364000903189</v>
      </c>
      <c r="AE143" s="2969">
        <f t="shared" si="185"/>
        <v>3.3822436024962803</v>
      </c>
      <c r="AF143" s="3715"/>
    </row>
    <row r="144" spans="1:119">
      <c r="C144" s="671"/>
      <c r="D144" s="674"/>
      <c r="E144" s="220" t="s">
        <v>59</v>
      </c>
      <c r="F144" s="710" t="s">
        <v>1317</v>
      </c>
      <c r="G144" s="1044">
        <f t="shared" ref="G144:Q144" si="186">+G165/G31*1000</f>
        <v>0.75364695717691677</v>
      </c>
      <c r="H144" s="1044">
        <f t="shared" si="186"/>
        <v>0.98953571416174613</v>
      </c>
      <c r="I144" s="1044">
        <f t="shared" si="186"/>
        <v>1.3078152570871842</v>
      </c>
      <c r="J144" s="1044">
        <f t="shared" si="186"/>
        <v>1.6478647410857781</v>
      </c>
      <c r="K144" s="1044">
        <f t="shared" si="186"/>
        <v>1.5655786993136391</v>
      </c>
      <c r="L144" s="1044">
        <f t="shared" si="186"/>
        <v>1.5088491016473968</v>
      </c>
      <c r="M144" s="1044">
        <f t="shared" si="186"/>
        <v>1.5871459200752485</v>
      </c>
      <c r="N144" s="1044">
        <f t="shared" si="186"/>
        <v>1.7240994503042688</v>
      </c>
      <c r="O144" s="1044">
        <f t="shared" si="186"/>
        <v>1.8926805911365503</v>
      </c>
      <c r="P144" s="3508">
        <f t="shared" si="186"/>
        <v>2.150653838590765</v>
      </c>
      <c r="Q144" s="3508">
        <f t="shared" si="186"/>
        <v>2.2363515607704234</v>
      </c>
      <c r="R144" s="3508">
        <f t="shared" si="181"/>
        <v>3.1993160473662723</v>
      </c>
      <c r="S144" s="3508">
        <f t="shared" si="181"/>
        <v>3.304405993578309</v>
      </c>
      <c r="T144" s="3508">
        <f t="shared" si="182"/>
        <v>4.1582656793647939</v>
      </c>
      <c r="U144" s="3508">
        <f t="shared" si="182"/>
        <v>4.1559450668594122</v>
      </c>
      <c r="V144" s="3508">
        <f t="shared" si="182"/>
        <v>3.8248243123749237</v>
      </c>
      <c r="W144" s="3508">
        <f t="shared" si="182"/>
        <v>4.3285775027164934</v>
      </c>
      <c r="X144" s="3508">
        <f t="shared" si="182"/>
        <v>4.5774076755973931</v>
      </c>
      <c r="Y144" s="3508">
        <f t="shared" si="182"/>
        <v>4.7710426216717048</v>
      </c>
      <c r="Z144" s="3508">
        <f t="shared" si="182"/>
        <v>4.9888958625018107</v>
      </c>
      <c r="AA144" s="3508">
        <f t="shared" ref="AA144:AB144" si="187">+AA165/AA31*1000</f>
        <v>5.1053937634609978</v>
      </c>
      <c r="AB144" s="3508">
        <f t="shared" si="187"/>
        <v>5.2918207973695051</v>
      </c>
      <c r="AC144" s="2969">
        <f t="shared" si="185"/>
        <v>5.7151664611590656</v>
      </c>
      <c r="AD144" s="2969">
        <f t="shared" si="185"/>
        <v>6.0465854852908878</v>
      </c>
      <c r="AE144" s="2969">
        <f t="shared" si="185"/>
        <v>6.3879995858030778</v>
      </c>
      <c r="AF144" s="3344"/>
    </row>
    <row r="145" spans="1:119">
      <c r="C145" s="671"/>
      <c r="D145" s="746"/>
      <c r="E145" s="750" t="s">
        <v>710</v>
      </c>
      <c r="F145" s="895" t="s">
        <v>1318</v>
      </c>
      <c r="G145" s="922" t="e">
        <f t="shared" ref="G145:Q145" si="188">+G166/G32*1000</f>
        <v>#VALUE!</v>
      </c>
      <c r="H145" s="922" t="e">
        <f t="shared" si="188"/>
        <v>#VALUE!</v>
      </c>
      <c r="I145" s="922" t="e">
        <f t="shared" si="188"/>
        <v>#VALUE!</v>
      </c>
      <c r="J145" s="922" t="e">
        <f t="shared" si="188"/>
        <v>#VALUE!</v>
      </c>
      <c r="K145" s="922" t="e">
        <f t="shared" si="188"/>
        <v>#VALUE!</v>
      </c>
      <c r="L145" s="922">
        <f t="shared" si="188"/>
        <v>1.0041391994955469</v>
      </c>
      <c r="M145" s="922">
        <f t="shared" si="188"/>
        <v>1.053632619333825</v>
      </c>
      <c r="N145" s="922">
        <f t="shared" si="188"/>
        <v>1.0585878789572452</v>
      </c>
      <c r="O145" s="922">
        <f t="shared" si="188"/>
        <v>1.1242450869097917</v>
      </c>
      <c r="P145" s="3543">
        <f t="shared" si="188"/>
        <v>1.2874388234844445</v>
      </c>
      <c r="Q145" s="3543">
        <f t="shared" si="188"/>
        <v>1.5009918523374521</v>
      </c>
      <c r="R145" s="3543">
        <f t="shared" si="181"/>
        <v>1.8264167021729854</v>
      </c>
      <c r="S145" s="3543">
        <f t="shared" si="181"/>
        <v>2.1577257915471031</v>
      </c>
      <c r="T145" s="3543">
        <f t="shared" si="182"/>
        <v>2.5142859411096898</v>
      </c>
      <c r="U145" s="3543">
        <f t="shared" si="182"/>
        <v>2.2941064786447223</v>
      </c>
      <c r="V145" s="3543">
        <f t="shared" si="182"/>
        <v>2.177133959750873</v>
      </c>
      <c r="W145" s="3543">
        <f t="shared" si="182"/>
        <v>2.3260770570114726</v>
      </c>
      <c r="X145" s="3543">
        <f t="shared" si="182"/>
        <v>2.3979839314219187</v>
      </c>
      <c r="Y145" s="3543">
        <f t="shared" si="182"/>
        <v>2.5520926559620962</v>
      </c>
      <c r="Z145" s="3543">
        <f t="shared" si="182"/>
        <v>2.6825968329620609</v>
      </c>
      <c r="AA145" s="3543">
        <f>+AA166/AA32*1000</f>
        <v>2.8422544833475669</v>
      </c>
      <c r="AB145" s="3543">
        <f>+AB166/AB32*1000</f>
        <v>3.0504148160563145</v>
      </c>
      <c r="AC145" s="2969">
        <f>+AC166/AC32*1000</f>
        <v>3.416796891142976</v>
      </c>
      <c r="AD145" s="2969">
        <f>+AD166/AD32*1000</f>
        <v>3.6889524947803425</v>
      </c>
      <c r="AE145" s="2969">
        <f>+AE166/AE32*1000</f>
        <v>3.9221120913402454</v>
      </c>
      <c r="AF145" s="3344"/>
    </row>
    <row r="146" spans="1:119">
      <c r="C146" s="672"/>
      <c r="D146" s="676"/>
      <c r="E146" s="711" t="s">
        <v>711</v>
      </c>
      <c r="F146" s="899" t="s">
        <v>1319</v>
      </c>
      <c r="G146" s="923" t="e">
        <f t="shared" ref="G146:Q146" si="189">+G167/G35*1000</f>
        <v>#VALUE!</v>
      </c>
      <c r="H146" s="923" t="e">
        <f t="shared" si="189"/>
        <v>#VALUE!</v>
      </c>
      <c r="I146" s="923" t="e">
        <f t="shared" si="189"/>
        <v>#VALUE!</v>
      </c>
      <c r="J146" s="923" t="e">
        <f t="shared" si="189"/>
        <v>#VALUE!</v>
      </c>
      <c r="K146" s="923" t="e">
        <f t="shared" si="189"/>
        <v>#VALUE!</v>
      </c>
      <c r="L146" s="923">
        <f t="shared" si="189"/>
        <v>-0.1156735845717994</v>
      </c>
      <c r="M146" s="923">
        <f t="shared" si="189"/>
        <v>-3.6525145919741903E-2</v>
      </c>
      <c r="N146" s="923">
        <f t="shared" si="189"/>
        <v>-4.7249447494124297E-2</v>
      </c>
      <c r="O146" s="923">
        <f t="shared" si="189"/>
        <v>-5.7457391813940231E-2</v>
      </c>
      <c r="P146" s="3544">
        <f t="shared" si="189"/>
        <v>-1.1397679206186492E-2</v>
      </c>
      <c r="Q146" s="3544">
        <f t="shared" si="189"/>
        <v>-3.9342337052335981E-2</v>
      </c>
      <c r="R146" s="3544">
        <f t="shared" ref="R146:Z146" si="190">+R167/R35*1000</f>
        <v>-5.0734312416294808E-2</v>
      </c>
      <c r="S146" s="3544">
        <f t="shared" si="190"/>
        <v>-6.0439560439420184E-2</v>
      </c>
      <c r="T146" s="3544">
        <f t="shared" si="190"/>
        <v>6.3651877133107639</v>
      </c>
      <c r="U146" s="3544">
        <f t="shared" si="190"/>
        <v>3.9779005524878328</v>
      </c>
      <c r="V146" s="3544">
        <f t="shared" si="190"/>
        <v>0</v>
      </c>
      <c r="W146" s="3544">
        <f t="shared" si="190"/>
        <v>0</v>
      </c>
      <c r="X146" s="3544">
        <f t="shared" si="190"/>
        <v>0</v>
      </c>
      <c r="Y146" s="3544">
        <f t="shared" si="190"/>
        <v>0</v>
      </c>
      <c r="Z146" s="3544">
        <f t="shared" si="190"/>
        <v>0</v>
      </c>
      <c r="AA146" s="3544">
        <f t="shared" ref="AA146:AB146" si="191">+AA167/AA35*1000</f>
        <v>0</v>
      </c>
      <c r="AB146" s="3544">
        <f t="shared" si="191"/>
        <v>0</v>
      </c>
      <c r="AC146" s="2970">
        <f>+AB146*(1+AC153/100)</f>
        <v>0</v>
      </c>
      <c r="AD146" s="2970">
        <f>+AC146*(1+AD153/100)</f>
        <v>0</v>
      </c>
      <c r="AE146" s="2970">
        <f>+AD146*(1+AE153/100)</f>
        <v>0</v>
      </c>
      <c r="AF146" s="3344"/>
    </row>
    <row r="147" spans="1:119" s="220" customFormat="1">
      <c r="A147" s="903"/>
      <c r="B147" s="903"/>
      <c r="C147" s="674"/>
      <c r="D147" s="746"/>
      <c r="E147" s="750" t="s">
        <v>1296</v>
      </c>
      <c r="F147" s="895" t="s">
        <v>1320</v>
      </c>
      <c r="G147" s="922" t="e">
        <f t="shared" ref="G147:O147" si="192">+G168/G79*1000</f>
        <v>#VALUE!</v>
      </c>
      <c r="H147" s="922" t="e">
        <f t="shared" si="192"/>
        <v>#VALUE!</v>
      </c>
      <c r="I147" s="922" t="e">
        <f t="shared" si="192"/>
        <v>#VALUE!</v>
      </c>
      <c r="J147" s="922" t="e">
        <f t="shared" si="192"/>
        <v>#VALUE!</v>
      </c>
      <c r="K147" s="922" t="e">
        <f t="shared" si="192"/>
        <v>#VALUE!</v>
      </c>
      <c r="L147" s="922">
        <f t="shared" si="192"/>
        <v>1.0006031577080006</v>
      </c>
      <c r="M147" s="922">
        <f t="shared" si="192"/>
        <v>1.042714328991214</v>
      </c>
      <c r="N147" s="922">
        <f t="shared" si="192"/>
        <v>1.0426698556116569</v>
      </c>
      <c r="O147" s="922">
        <f t="shared" si="192"/>
        <v>1.1065010042343038</v>
      </c>
      <c r="P147" s="3543">
        <f t="shared" ref="P147:Z147" si="193">+P168/P79*1000</f>
        <v>1.2704172510820642</v>
      </c>
      <c r="Q147" s="3543">
        <f t="shared" si="193"/>
        <v>1.4789778449144007</v>
      </c>
      <c r="R147" s="3543">
        <f t="shared" si="193"/>
        <v>1.802756462035543</v>
      </c>
      <c r="S147" s="3543">
        <f t="shared" si="193"/>
        <v>2.1414834722713967</v>
      </c>
      <c r="T147" s="3543">
        <f>+T168/T79*1000</f>
        <v>2.5232226587251296</v>
      </c>
      <c r="U147" s="2246">
        <f t="shared" si="193"/>
        <v>2.296732555534494</v>
      </c>
      <c r="V147" s="2246">
        <f t="shared" si="193"/>
        <v>2.2038091127357071</v>
      </c>
      <c r="W147" s="2246">
        <f t="shared" si="193"/>
        <v>2.347066958112149</v>
      </c>
      <c r="X147" s="2246">
        <f t="shared" si="193"/>
        <v>2.3970079031533316</v>
      </c>
      <c r="Y147" s="2246">
        <f t="shared" si="193"/>
        <v>2.5527441322371995</v>
      </c>
      <c r="Z147" s="2246">
        <f t="shared" si="193"/>
        <v>2.676459682495882</v>
      </c>
      <c r="AA147" s="2246">
        <f t="shared" ref="AA147" si="194">+AA168/AA79*1000</f>
        <v>2.8403416557161636</v>
      </c>
      <c r="AB147" s="3698">
        <f>+AB168/AB79*1000</f>
        <v>3.0433679450678266</v>
      </c>
      <c r="AC147" s="3698">
        <f>+AC168/AC79*1000</f>
        <v>3.4121869884397884</v>
      </c>
      <c r="AD147" s="3698">
        <f>+AD168/AD79*1000</f>
        <v>3.6839751078075613</v>
      </c>
      <c r="AE147" s="3698">
        <f>+AE168/AE79*1000</f>
        <v>3.9168251410121964</v>
      </c>
      <c r="AF147" s="3344"/>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row>
    <row r="148" spans="1:119" s="220" customFormat="1">
      <c r="A148" s="903"/>
      <c r="B148" s="903"/>
      <c r="C148" s="674"/>
      <c r="D148" s="674"/>
      <c r="F148" s="710"/>
      <c r="P148" s="3545"/>
      <c r="Q148" s="3545"/>
      <c r="R148" s="3545"/>
      <c r="S148" s="3545"/>
      <c r="T148" s="3545"/>
      <c r="U148" s="2971"/>
      <c r="V148" s="2971"/>
      <c r="W148" s="2971"/>
      <c r="X148" s="2971"/>
      <c r="Y148" s="2971"/>
      <c r="Z148" s="2971"/>
      <c r="AA148" s="2971"/>
      <c r="AB148" s="3691"/>
      <c r="AC148" s="2971"/>
      <c r="AD148" s="2971"/>
      <c r="AE148" s="2971"/>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row>
    <row r="149" spans="1:119">
      <c r="D149" s="929"/>
      <c r="E149" s="930" t="s">
        <v>1504</v>
      </c>
      <c r="F149" s="931"/>
      <c r="G149" s="896">
        <f>+InputY!$G$3</f>
        <v>1995</v>
      </c>
      <c r="H149" s="896">
        <f>+G149+1</f>
        <v>1996</v>
      </c>
      <c r="I149" s="896">
        <f t="shared" ref="I149:O149" si="195">+H149+1</f>
        <v>1997</v>
      </c>
      <c r="J149" s="896">
        <f t="shared" si="195"/>
        <v>1998</v>
      </c>
      <c r="K149" s="896">
        <f t="shared" si="195"/>
        <v>1999</v>
      </c>
      <c r="L149" s="896">
        <f t="shared" si="195"/>
        <v>2000</v>
      </c>
      <c r="M149" s="896">
        <f t="shared" si="195"/>
        <v>2001</v>
      </c>
      <c r="N149" s="896">
        <f t="shared" si="195"/>
        <v>2002</v>
      </c>
      <c r="O149" s="896">
        <f t="shared" si="195"/>
        <v>2003</v>
      </c>
      <c r="P149" s="3495">
        <f t="shared" ref="P149:W149" si="196">+O149+1</f>
        <v>2004</v>
      </c>
      <c r="Q149" s="3495">
        <f t="shared" si="196"/>
        <v>2005</v>
      </c>
      <c r="R149" s="3495">
        <f t="shared" si="196"/>
        <v>2006</v>
      </c>
      <c r="S149" s="3495">
        <f t="shared" si="196"/>
        <v>2007</v>
      </c>
      <c r="T149" s="3495">
        <f>+S149+1</f>
        <v>2008</v>
      </c>
      <c r="U149" s="3496">
        <f t="shared" si="196"/>
        <v>2009</v>
      </c>
      <c r="V149" s="3496">
        <f t="shared" si="196"/>
        <v>2010</v>
      </c>
      <c r="W149" s="3496">
        <f t="shared" si="196"/>
        <v>2011</v>
      </c>
      <c r="X149" s="3496">
        <f t="shared" ref="X149:AE149" si="197">+W149+1</f>
        <v>2012</v>
      </c>
      <c r="Y149" s="3496">
        <f t="shared" si="197"/>
        <v>2013</v>
      </c>
      <c r="Z149" s="3496">
        <f t="shared" si="197"/>
        <v>2014</v>
      </c>
      <c r="AA149" s="3496">
        <f t="shared" si="197"/>
        <v>2015</v>
      </c>
      <c r="AB149" s="3496">
        <f t="shared" si="197"/>
        <v>2016</v>
      </c>
      <c r="AC149" s="3496">
        <f t="shared" si="197"/>
        <v>2017</v>
      </c>
      <c r="AD149" s="3496">
        <f t="shared" si="197"/>
        <v>2018</v>
      </c>
      <c r="AE149" s="3496">
        <f t="shared" si="197"/>
        <v>2019</v>
      </c>
      <c r="AF149" s="3699">
        <f>AB193</f>
        <v>0</v>
      </c>
    </row>
    <row r="150" spans="1:119">
      <c r="C150" s="762"/>
      <c r="D150" s="689"/>
      <c r="E150" s="732" t="s">
        <v>58</v>
      </c>
      <c r="F150" s="763" t="s">
        <v>1316</v>
      </c>
      <c r="G150" s="1688"/>
      <c r="H150" s="1689" t="e">
        <f t="shared" ref="H150:R151" si="198">(H143/G143-1)*100</f>
        <v>#VALUE!</v>
      </c>
      <c r="I150" s="1689" t="e">
        <f t="shared" si="198"/>
        <v>#VALUE!</v>
      </c>
      <c r="J150" s="1689" t="e">
        <f t="shared" si="198"/>
        <v>#VALUE!</v>
      </c>
      <c r="K150" s="1689" t="e">
        <f t="shared" si="198"/>
        <v>#VALUE!</v>
      </c>
      <c r="L150" s="1689" t="e">
        <f t="shared" si="198"/>
        <v>#VALUE!</v>
      </c>
      <c r="M150" s="1689">
        <f t="shared" si="198"/>
        <v>4.3380871117150832</v>
      </c>
      <c r="N150" s="1689">
        <f t="shared" si="198"/>
        <v>-1.8981114288484369</v>
      </c>
      <c r="O150" s="1689">
        <f t="shared" si="198"/>
        <v>6.1586416884384265</v>
      </c>
      <c r="P150" s="3547">
        <f t="shared" si="198"/>
        <v>13.986245118739582</v>
      </c>
      <c r="Q150" s="3547">
        <f t="shared" si="198"/>
        <v>23.368208567319314</v>
      </c>
      <c r="R150" s="3547">
        <f t="shared" si="198"/>
        <v>16.994480129912361</v>
      </c>
      <c r="S150" s="3547">
        <f t="shared" ref="S150:AB150" si="199">(S143/R143-1)*100</f>
        <v>22.673323098625353</v>
      </c>
      <c r="T150" s="3547">
        <f t="shared" si="199"/>
        <v>13.418986021601942</v>
      </c>
      <c r="U150" s="3547">
        <f t="shared" si="199"/>
        <v>-14.081230534123323</v>
      </c>
      <c r="V150" s="3547">
        <f t="shared" si="199"/>
        <v>-3.9009044669223059</v>
      </c>
      <c r="W150" s="3547">
        <f t="shared" si="199"/>
        <v>4.3382183424052201</v>
      </c>
      <c r="X150" s="3547">
        <f t="shared" si="199"/>
        <v>2.7655418373704777</v>
      </c>
      <c r="Y150" s="3547">
        <f t="shared" si="199"/>
        <v>8.0817287239602464</v>
      </c>
      <c r="Z150" s="3547">
        <f t="shared" si="199"/>
        <v>5.570784341440449</v>
      </c>
      <c r="AA150" s="3547">
        <f t="shared" si="199"/>
        <v>7.2049684767295341</v>
      </c>
      <c r="AB150" s="3547">
        <f t="shared" si="199"/>
        <v>8.9538527416816329</v>
      </c>
      <c r="AC150" s="3559">
        <v>14.3</v>
      </c>
      <c r="AD150" s="3559">
        <v>9</v>
      </c>
      <c r="AE150" s="3559">
        <v>6.6</v>
      </c>
      <c r="AF150" s="3559">
        <v>5.5</v>
      </c>
    </row>
    <row r="151" spans="1:119">
      <c r="C151" s="932"/>
      <c r="D151" s="674"/>
      <c r="E151" s="220" t="s">
        <v>59</v>
      </c>
      <c r="F151" s="710" t="s">
        <v>1317</v>
      </c>
      <c r="G151" s="1559"/>
      <c r="H151" s="1044">
        <f t="shared" si="198"/>
        <v>31.299636353398697</v>
      </c>
      <c r="I151" s="1044">
        <f t="shared" si="198"/>
        <v>32.164533161398666</v>
      </c>
      <c r="J151" s="1044">
        <f t="shared" si="198"/>
        <v>26.001339421285309</v>
      </c>
      <c r="K151" s="1044">
        <f t="shared" si="198"/>
        <v>-4.993494898004835</v>
      </c>
      <c r="L151" s="1044">
        <f t="shared" si="198"/>
        <v>-3.6235545163659233</v>
      </c>
      <c r="M151" s="1044">
        <f t="shared" si="198"/>
        <v>5.1891748712555419</v>
      </c>
      <c r="N151" s="1044">
        <f t="shared" si="198"/>
        <v>8.6289186455223543</v>
      </c>
      <c r="O151" s="1044">
        <f t="shared" si="198"/>
        <v>9.7779244000414387</v>
      </c>
      <c r="P151" s="3508">
        <f t="shared" si="198"/>
        <v>13.630046647189541</v>
      </c>
      <c r="Q151" s="3508">
        <f t="shared" si="198"/>
        <v>3.9847287667555298</v>
      </c>
      <c r="R151" s="3508">
        <f t="shared" si="198"/>
        <v>43.05962011912419</v>
      </c>
      <c r="S151" s="3508">
        <f t="shared" ref="S151:T153" si="200">(S144/R144-1)*100</f>
        <v>3.2847628885726454</v>
      </c>
      <c r="T151" s="3508">
        <f t="shared" si="200"/>
        <v>25.840035620497371</v>
      </c>
      <c r="U151" s="3508">
        <f t="shared" ref="U151:Z153" si="201">(U144/T144-1)*100</f>
        <v>-5.580722070976929E-2</v>
      </c>
      <c r="V151" s="3508">
        <f t="shared" si="201"/>
        <v>-7.9673996926699413</v>
      </c>
      <c r="W151" s="3508">
        <f t="shared" si="201"/>
        <v>13.170622993367708</v>
      </c>
      <c r="X151" s="3508">
        <f t="shared" si="201"/>
        <v>5.7485437819870588</v>
      </c>
      <c r="Y151" s="3508">
        <f t="shared" si="201"/>
        <v>4.2302316026295417</v>
      </c>
      <c r="Z151" s="3508">
        <f t="shared" si="201"/>
        <v>4.5661558301856697</v>
      </c>
      <c r="AA151" s="3508">
        <f>(AA144/Z144-1)*100</f>
        <v>2.3351439711304378</v>
      </c>
      <c r="AB151" s="3508">
        <f>(AB144/AA144-1)*100</f>
        <v>3.6515701343695417</v>
      </c>
      <c r="AC151" s="3559">
        <v>8</v>
      </c>
      <c r="AD151" s="3559">
        <v>5.7989391277434308</v>
      </c>
      <c r="AE151" s="3559">
        <f>AE120-0.1</f>
        <v>5.6463950000000009</v>
      </c>
      <c r="AF151" s="3730"/>
    </row>
    <row r="152" spans="1:119">
      <c r="C152" s="932"/>
      <c r="D152" s="717"/>
      <c r="E152" s="718" t="s">
        <v>710</v>
      </c>
      <c r="F152" s="924" t="s">
        <v>1318</v>
      </c>
      <c r="G152" s="925"/>
      <c r="H152" s="925" t="e">
        <f>(H145/G145-1)*100</f>
        <v>#VALUE!</v>
      </c>
      <c r="I152" s="925" t="e">
        <f t="shared" ref="I152:R152" si="202">(I145/H145-1)*100</f>
        <v>#VALUE!</v>
      </c>
      <c r="J152" s="925" t="e">
        <f t="shared" si="202"/>
        <v>#VALUE!</v>
      </c>
      <c r="K152" s="925" t="e">
        <f t="shared" si="202"/>
        <v>#VALUE!</v>
      </c>
      <c r="L152" s="925" t="e">
        <f t="shared" si="202"/>
        <v>#VALUE!</v>
      </c>
      <c r="M152" s="925">
        <f t="shared" si="202"/>
        <v>4.9289401173803649</v>
      </c>
      <c r="N152" s="925">
        <f t="shared" si="202"/>
        <v>0.47030241210197499</v>
      </c>
      <c r="O152" s="925">
        <f t="shared" si="202"/>
        <v>6.2023389137255025</v>
      </c>
      <c r="P152" s="3549">
        <f t="shared" si="202"/>
        <v>14.51585054493969</v>
      </c>
      <c r="Q152" s="3549">
        <f t="shared" si="202"/>
        <v>16.587431181780566</v>
      </c>
      <c r="R152" s="3549">
        <f t="shared" si="202"/>
        <v>21.680653984147781</v>
      </c>
      <c r="S152" s="3549">
        <f t="shared" si="200"/>
        <v>18.139841197243854</v>
      </c>
      <c r="T152" s="3549">
        <f t="shared" si="200"/>
        <v>16.524812882128593</v>
      </c>
      <c r="U152" s="2972">
        <f t="shared" si="201"/>
        <v>-8.7571369216577821</v>
      </c>
      <c r="V152" s="2972">
        <f t="shared" si="201"/>
        <v>-5.0988269281621363</v>
      </c>
      <c r="W152" s="2972">
        <f t="shared" si="201"/>
        <v>6.8412463364285969</v>
      </c>
      <c r="X152" s="2972">
        <f t="shared" ref="X152:AE152" si="203">(X145/W145-1)*100</f>
        <v>3.0913367290949401</v>
      </c>
      <c r="Y152" s="2972">
        <f t="shared" si="203"/>
        <v>6.4265953795944242</v>
      </c>
      <c r="Z152" s="2972">
        <f t="shared" si="203"/>
        <v>5.1136143781882692</v>
      </c>
      <c r="AA152" s="2972">
        <f t="shared" si="203"/>
        <v>5.9516080994256537</v>
      </c>
      <c r="AB152" s="2972">
        <f t="shared" si="203"/>
        <v>7.3237753314608023</v>
      </c>
      <c r="AC152" s="2972">
        <f t="shared" si="203"/>
        <v>12.010893507274979</v>
      </c>
      <c r="AD152" s="2972">
        <f t="shared" si="203"/>
        <v>7.9652262720926847</v>
      </c>
      <c r="AE152" s="2972">
        <f t="shared" si="203"/>
        <v>6.3204824917049152</v>
      </c>
    </row>
    <row r="153" spans="1:119">
      <c r="C153" s="690"/>
      <c r="D153" s="691"/>
      <c r="E153" s="735" t="s">
        <v>711</v>
      </c>
      <c r="F153" s="933" t="s">
        <v>1319</v>
      </c>
      <c r="G153" s="934"/>
      <c r="H153" s="934" t="e">
        <f t="shared" ref="H153:R153" si="204">(H146/G146-1)*100</f>
        <v>#VALUE!</v>
      </c>
      <c r="I153" s="934" t="e">
        <f t="shared" si="204"/>
        <v>#VALUE!</v>
      </c>
      <c r="J153" s="934" t="e">
        <f t="shared" si="204"/>
        <v>#VALUE!</v>
      </c>
      <c r="K153" s="934" t="e">
        <f t="shared" si="204"/>
        <v>#VALUE!</v>
      </c>
      <c r="L153" s="934" t="e">
        <f t="shared" si="204"/>
        <v>#VALUE!</v>
      </c>
      <c r="M153" s="934">
        <f t="shared" si="204"/>
        <v>-68.423952577461193</v>
      </c>
      <c r="N153" s="934">
        <f t="shared" si="204"/>
        <v>29.36142020608845</v>
      </c>
      <c r="O153" s="934">
        <f t="shared" si="204"/>
        <v>21.604367587759299</v>
      </c>
      <c r="P153" s="3550">
        <f t="shared" si="204"/>
        <v>-80.163249938154692</v>
      </c>
      <c r="Q153" s="3550">
        <f t="shared" si="204"/>
        <v>245.178490643793</v>
      </c>
      <c r="R153" s="3550">
        <f t="shared" si="204"/>
        <v>28.956020962365315</v>
      </c>
      <c r="S153" s="3550">
        <f t="shared" si="200"/>
        <v>19.129554656205915</v>
      </c>
      <c r="T153" s="3550">
        <f t="shared" si="200"/>
        <v>-10631.492398411339</v>
      </c>
      <c r="U153" s="3550">
        <f t="shared" si="201"/>
        <v>-37.505369336251938</v>
      </c>
      <c r="V153" s="3550">
        <f>(V146/U146-1)*100</f>
        <v>-100</v>
      </c>
      <c r="W153" s="2973"/>
      <c r="X153" s="2973"/>
      <c r="Y153" s="2973"/>
      <c r="Z153" s="2973"/>
      <c r="AA153" s="2973"/>
      <c r="AB153" s="2973"/>
      <c r="AC153" s="2973"/>
      <c r="AD153" s="2973"/>
      <c r="AE153" s="2973"/>
    </row>
    <row r="154" spans="1:119" s="220" customFormat="1">
      <c r="A154" s="903"/>
      <c r="B154" s="903"/>
      <c r="C154" s="674"/>
      <c r="D154" s="717"/>
      <c r="E154" s="718" t="s">
        <v>1296</v>
      </c>
      <c r="F154" s="924" t="s">
        <v>1320</v>
      </c>
      <c r="G154" s="925"/>
      <c r="H154" s="925" t="e">
        <f t="shared" ref="H154:AE154" si="205">(H147/G147-1)*100</f>
        <v>#VALUE!</v>
      </c>
      <c r="I154" s="925" t="e">
        <f t="shared" si="205"/>
        <v>#VALUE!</v>
      </c>
      <c r="J154" s="925" t="e">
        <f t="shared" si="205"/>
        <v>#VALUE!</v>
      </c>
      <c r="K154" s="925" t="e">
        <f t="shared" si="205"/>
        <v>#VALUE!</v>
      </c>
      <c r="L154" s="925" t="e">
        <f t="shared" si="205"/>
        <v>#VALUE!</v>
      </c>
      <c r="M154" s="925">
        <f t="shared" si="205"/>
        <v>4.2085786916437495</v>
      </c>
      <c r="N154" s="925">
        <f t="shared" si="205"/>
        <v>-4.2651547332295259E-3</v>
      </c>
      <c r="O154" s="925">
        <f t="shared" si="205"/>
        <v>6.1218945075574016</v>
      </c>
      <c r="P154" s="3549">
        <f t="shared" si="205"/>
        <v>14.813926622795082</v>
      </c>
      <c r="Q154" s="3549">
        <f t="shared" si="205"/>
        <v>16.416700391520767</v>
      </c>
      <c r="R154" s="3549">
        <f t="shared" si="205"/>
        <v>21.892053233554808</v>
      </c>
      <c r="S154" s="3549">
        <f t="shared" si="205"/>
        <v>18.789393762781881</v>
      </c>
      <c r="T154" s="3549">
        <f t="shared" si="205"/>
        <v>17.825922609098434</v>
      </c>
      <c r="U154" s="2972">
        <f t="shared" si="205"/>
        <v>-8.976223418391104</v>
      </c>
      <c r="V154" s="2972">
        <f t="shared" si="205"/>
        <v>-4.0458974021536314</v>
      </c>
      <c r="W154" s="2972">
        <f t="shared" si="205"/>
        <v>6.500465242137432</v>
      </c>
      <c r="X154" s="2972">
        <f t="shared" si="205"/>
        <v>2.1278023138015634</v>
      </c>
      <c r="Y154" s="2972">
        <f t="shared" si="205"/>
        <v>6.4971095372273302</v>
      </c>
      <c r="Z154" s="2972">
        <f t="shared" si="205"/>
        <v>4.846374875427073</v>
      </c>
      <c r="AA154" s="2972">
        <f t="shared" si="205"/>
        <v>6.123087685275963</v>
      </c>
      <c r="AB154" s="2972">
        <f t="shared" si="205"/>
        <v>7.1479530972294869</v>
      </c>
      <c r="AC154" s="2972">
        <f t="shared" si="205"/>
        <v>12.118779261300983</v>
      </c>
      <c r="AD154" s="2972">
        <f t="shared" si="205"/>
        <v>7.9652176240214478</v>
      </c>
      <c r="AE154" s="2972">
        <f t="shared" si="205"/>
        <v>6.3206190701763587</v>
      </c>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row>
    <row r="155" spans="1:119" s="220" customFormat="1">
      <c r="A155" s="903"/>
      <c r="B155" s="903"/>
      <c r="C155" s="674"/>
      <c r="D155" s="674"/>
      <c r="F155" s="710"/>
      <c r="H155" s="1518"/>
      <c r="I155" s="1518"/>
      <c r="J155" s="1518"/>
      <c r="K155" s="1518"/>
      <c r="L155" s="1518"/>
      <c r="M155" s="1518"/>
      <c r="N155" s="1518"/>
      <c r="O155" s="1518"/>
      <c r="P155" s="3563"/>
      <c r="Q155" s="3563"/>
      <c r="R155" s="3563"/>
      <c r="S155" s="3563"/>
      <c r="T155" s="3563"/>
      <c r="U155" s="2977"/>
      <c r="V155" s="2977"/>
      <c r="W155" s="2977"/>
      <c r="X155" s="2977"/>
      <c r="Y155" s="2977"/>
      <c r="Z155" s="2977"/>
      <c r="AA155" s="2977"/>
      <c r="AB155" s="2977"/>
      <c r="AC155" s="2977"/>
      <c r="AD155" s="2977"/>
      <c r="AE155" s="2977"/>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row>
    <row r="156" spans="1:119">
      <c r="D156" s="1885"/>
      <c r="E156" s="1886" t="s">
        <v>228</v>
      </c>
      <c r="F156" s="1887"/>
      <c r="G156" s="984">
        <f>+InputY!$G$3</f>
        <v>1995</v>
      </c>
      <c r="H156" s="984">
        <f>+G156+1</f>
        <v>1996</v>
      </c>
      <c r="I156" s="984">
        <f t="shared" ref="I156:O156" si="206">+H156+1</f>
        <v>1997</v>
      </c>
      <c r="J156" s="984">
        <f t="shared" si="206"/>
        <v>1998</v>
      </c>
      <c r="K156" s="984">
        <f t="shared" si="206"/>
        <v>1999</v>
      </c>
      <c r="L156" s="984">
        <f t="shared" si="206"/>
        <v>2000</v>
      </c>
      <c r="M156" s="984">
        <f t="shared" si="206"/>
        <v>2001</v>
      </c>
      <c r="N156" s="984">
        <f t="shared" si="206"/>
        <v>2002</v>
      </c>
      <c r="O156" s="984">
        <f t="shared" si="206"/>
        <v>2003</v>
      </c>
      <c r="P156" s="3564">
        <f t="shared" ref="P156:U156" si="207">+O156+1</f>
        <v>2004</v>
      </c>
      <c r="Q156" s="3564">
        <f t="shared" si="207"/>
        <v>2005</v>
      </c>
      <c r="R156" s="3564">
        <f>+Q156+1</f>
        <v>2006</v>
      </c>
      <c r="S156" s="3564">
        <f>+R156+1</f>
        <v>2007</v>
      </c>
      <c r="T156" s="3564">
        <f>+S156+1</f>
        <v>2008</v>
      </c>
      <c r="U156" s="3565">
        <f t="shared" si="207"/>
        <v>2009</v>
      </c>
      <c r="V156" s="3565">
        <f t="shared" ref="V156:AE156" si="208">+U156+1</f>
        <v>2010</v>
      </c>
      <c r="W156" s="3565">
        <f t="shared" si="208"/>
        <v>2011</v>
      </c>
      <c r="X156" s="3565">
        <f t="shared" si="208"/>
        <v>2012</v>
      </c>
      <c r="Y156" s="3565">
        <f t="shared" si="208"/>
        <v>2013</v>
      </c>
      <c r="Z156" s="3565">
        <f t="shared" si="208"/>
        <v>2014</v>
      </c>
      <c r="AA156" s="3565">
        <f t="shared" si="208"/>
        <v>2015</v>
      </c>
      <c r="AB156" s="3565">
        <f t="shared" si="208"/>
        <v>2016</v>
      </c>
      <c r="AC156" s="3565">
        <f t="shared" si="208"/>
        <v>2017</v>
      </c>
      <c r="AD156" s="3565">
        <f t="shared" si="208"/>
        <v>2018</v>
      </c>
      <c r="AE156" s="3565">
        <f t="shared" si="208"/>
        <v>2019</v>
      </c>
    </row>
    <row r="157" spans="1:119">
      <c r="C157" s="992"/>
      <c r="D157" s="863"/>
      <c r="E157" s="1880" t="s">
        <v>58</v>
      </c>
      <c r="F157" s="1881" t="s">
        <v>1316</v>
      </c>
      <c r="G157" s="1882" t="e">
        <f>+G143/G112</f>
        <v>#VALUE!</v>
      </c>
      <c r="H157" s="1882" t="e">
        <f t="shared" ref="H157:P157" si="209">+H143/H112</f>
        <v>#VALUE!</v>
      </c>
      <c r="I157" s="1882" t="e">
        <f t="shared" si="209"/>
        <v>#VALUE!</v>
      </c>
      <c r="J157" s="1882" t="e">
        <f t="shared" si="209"/>
        <v>#VALUE!</v>
      </c>
      <c r="K157" s="1882" t="e">
        <f t="shared" si="209"/>
        <v>#VALUE!</v>
      </c>
      <c r="L157" s="1882">
        <f t="shared" si="209"/>
        <v>0.26960987144019533</v>
      </c>
      <c r="M157" s="1882">
        <f t="shared" si="209"/>
        <v>0.25884914285714306</v>
      </c>
      <c r="N157" s="1882">
        <f t="shared" si="209"/>
        <v>0.23774434584755397</v>
      </c>
      <c r="O157" s="1882">
        <f t="shared" si="209"/>
        <v>0.22789046341835961</v>
      </c>
      <c r="P157" s="3566">
        <f t="shared" si="209"/>
        <v>0.22723283044982701</v>
      </c>
      <c r="Q157" s="3566">
        <f t="shared" ref="Q157:R161" si="210">+Q143/Q112</f>
        <v>0.24622039538070092</v>
      </c>
      <c r="R157" s="3566">
        <f t="shared" si="210"/>
        <v>0.24239794124228733</v>
      </c>
      <c r="S157" s="3566">
        <f t="shared" ref="S157:T161" si="211">+S143/S112</f>
        <v>0.25373753384849079</v>
      </c>
      <c r="T157" s="3566">
        <f t="shared" si="211"/>
        <v>0.25853384850307704</v>
      </c>
      <c r="U157" s="2978">
        <f t="shared" ref="U157:V161" si="212">+U143/U112</f>
        <v>0.2545192321771087</v>
      </c>
      <c r="V157" s="2978">
        <f t="shared" si="212"/>
        <v>0.23438949222189606</v>
      </c>
      <c r="W157" s="2978">
        <f t="shared" ref="W157:X161" si="213">+W143/W112</f>
        <v>0.22791940512017686</v>
      </c>
      <c r="X157" s="2978">
        <f t="shared" si="213"/>
        <v>0.22233884940863316</v>
      </c>
      <c r="Y157" s="2978">
        <f t="shared" ref="Y157:Z161" si="214">+Y143/Y112</f>
        <v>0.22779003764500416</v>
      </c>
      <c r="Z157" s="2978">
        <f t="shared" si="214"/>
        <v>0.22816179221407984</v>
      </c>
      <c r="AA157" s="2978">
        <f t="shared" ref="AA157:AB161" si="215">+AA143/AA112</f>
        <v>0.22849164292788529</v>
      </c>
      <c r="AB157" s="2978">
        <f t="shared" si="215"/>
        <v>0.23308753076446165</v>
      </c>
      <c r="AC157" s="2978">
        <f t="shared" ref="AC157:AD161" si="216">+AC143/AC112</f>
        <v>0.2453214066885632</v>
      </c>
      <c r="AD157" s="2978">
        <f t="shared" si="216"/>
        <v>0.25161250217561154</v>
      </c>
      <c r="AE157" s="2978">
        <f t="shared" ref="AE157" si="217">+AE143/AE112</f>
        <v>0.25303672388603954</v>
      </c>
    </row>
    <row r="158" spans="1:119">
      <c r="C158" s="943"/>
      <c r="D158" s="674"/>
      <c r="E158" s="220" t="s">
        <v>59</v>
      </c>
      <c r="F158" s="710" t="s">
        <v>1317</v>
      </c>
      <c r="G158" s="1502">
        <f>+G144/G113</f>
        <v>0.26762487144259078</v>
      </c>
      <c r="H158" s="1502">
        <f t="shared" ref="H158:P158" si="218">+H144/H113</f>
        <v>0.26289642651296818</v>
      </c>
      <c r="I158" s="1502">
        <f t="shared" si="218"/>
        <v>0.2823556979405033</v>
      </c>
      <c r="J158" s="1502">
        <f t="shared" si="218"/>
        <v>0.28109069610272575</v>
      </c>
      <c r="K158" s="1502">
        <f t="shared" si="218"/>
        <v>0.27416283376849437</v>
      </c>
      <c r="L158" s="1502">
        <f t="shared" si="218"/>
        <v>0.28935011010452971</v>
      </c>
      <c r="M158" s="1502">
        <f t="shared" si="218"/>
        <v>0.29140200634920616</v>
      </c>
      <c r="N158" s="1502">
        <f t="shared" si="218"/>
        <v>0.2955634255691767</v>
      </c>
      <c r="O158" s="1502">
        <f t="shared" si="218"/>
        <v>0.29727250977917968</v>
      </c>
      <c r="P158" s="3567">
        <f t="shared" si="218"/>
        <v>0.32917946343371135</v>
      </c>
      <c r="Q158" s="3567">
        <f t="shared" si="210"/>
        <v>0.30648058252427202</v>
      </c>
      <c r="R158" s="3567">
        <f t="shared" si="210"/>
        <v>0.33380019171370756</v>
      </c>
      <c r="S158" s="3567">
        <f t="shared" si="211"/>
        <v>0.35394315739192739</v>
      </c>
      <c r="T158" s="3567">
        <f t="shared" si="211"/>
        <v>0.36648844157886429</v>
      </c>
      <c r="U158" s="2284">
        <f t="shared" si="212"/>
        <v>0.36941733927639214</v>
      </c>
      <c r="V158" s="2284">
        <f t="shared" si="212"/>
        <v>0.36738489047831913</v>
      </c>
      <c r="W158" s="2284">
        <f t="shared" si="213"/>
        <v>0.40166147911095529</v>
      </c>
      <c r="X158" s="2284">
        <f t="shared" si="213"/>
        <v>0.41345164384756256</v>
      </c>
      <c r="Y158" s="2284">
        <f t="shared" si="214"/>
        <v>0.41453751959662721</v>
      </c>
      <c r="Z158" s="2284">
        <f t="shared" si="214"/>
        <v>0.42545701581027667</v>
      </c>
      <c r="AA158" s="2284">
        <f t="shared" si="215"/>
        <v>0.43357986401049742</v>
      </c>
      <c r="AB158" s="2284">
        <f t="shared" si="215"/>
        <v>0.43832274171584223</v>
      </c>
      <c r="AC158" s="2284">
        <f t="shared" si="216"/>
        <v>0.44308176811410488</v>
      </c>
      <c r="AD158" s="2284">
        <f t="shared" si="216"/>
        <v>0.44124229116450592</v>
      </c>
      <c r="AE158" s="2284">
        <f t="shared" ref="AE158" si="219">+AE144/AE113</f>
        <v>0.44082502654648792</v>
      </c>
    </row>
    <row r="159" spans="1:119">
      <c r="C159" s="943"/>
      <c r="D159" s="806"/>
      <c r="E159" s="334" t="s">
        <v>710</v>
      </c>
      <c r="F159" s="187" t="s">
        <v>1318</v>
      </c>
      <c r="G159" s="1879" t="e">
        <f>+G145/G114</f>
        <v>#VALUE!</v>
      </c>
      <c r="H159" s="1879" t="e">
        <f t="shared" ref="H159:P159" si="220">+H145/H114</f>
        <v>#VALUE!</v>
      </c>
      <c r="I159" s="1879" t="e">
        <f t="shared" si="220"/>
        <v>#VALUE!</v>
      </c>
      <c r="J159" s="1879" t="e">
        <f t="shared" si="220"/>
        <v>#VALUE!</v>
      </c>
      <c r="K159" s="1879" t="e">
        <f t="shared" si="220"/>
        <v>#VALUE!</v>
      </c>
      <c r="L159" s="1879">
        <f t="shared" si="220"/>
        <v>0.27562116997948655</v>
      </c>
      <c r="M159" s="1879">
        <f t="shared" si="220"/>
        <v>0.26868054458293394</v>
      </c>
      <c r="N159" s="1879">
        <f t="shared" si="220"/>
        <v>0.25425685326664565</v>
      </c>
      <c r="O159" s="1879">
        <f t="shared" si="220"/>
        <v>0.24637394319009473</v>
      </c>
      <c r="P159" s="3568">
        <f t="shared" si="220"/>
        <v>0.25311680826134447</v>
      </c>
      <c r="Q159" s="3568">
        <f t="shared" si="210"/>
        <v>0.26091756696758933</v>
      </c>
      <c r="R159" s="3568">
        <f t="shared" si="210"/>
        <v>0.26349889353331668</v>
      </c>
      <c r="S159" s="3568">
        <f t="shared" si="211"/>
        <v>0.27544495033112576</v>
      </c>
      <c r="T159" s="3568">
        <f t="shared" si="211"/>
        <v>0.28307740436181611</v>
      </c>
      <c r="U159" s="2979">
        <f t="shared" si="212"/>
        <v>0.28521995708154502</v>
      </c>
      <c r="V159" s="2979">
        <f t="shared" si="212"/>
        <v>0.26725997127389234</v>
      </c>
      <c r="W159" s="2979">
        <f t="shared" si="213"/>
        <v>0.26881539572799484</v>
      </c>
      <c r="X159" s="2979">
        <f t="shared" si="213"/>
        <v>0.26506628972509261</v>
      </c>
      <c r="Y159" s="2979">
        <f t="shared" si="214"/>
        <v>0.26847147867823534</v>
      </c>
      <c r="Z159" s="2979">
        <f t="shared" si="214"/>
        <v>0.26976903707562738</v>
      </c>
      <c r="AA159" s="2979">
        <f t="shared" si="215"/>
        <v>0.2703940206353076</v>
      </c>
      <c r="AB159" s="2979">
        <f t="shared" si="215"/>
        <v>0.27391526826698775</v>
      </c>
      <c r="AC159" s="2979">
        <f t="shared" si="216"/>
        <v>0.28350708658848939</v>
      </c>
      <c r="AD159" s="2979">
        <f t="shared" si="216"/>
        <v>0.2880552308777678</v>
      </c>
      <c r="AE159" s="2979">
        <f t="shared" ref="AE159" si="221">+AE145/AE114</f>
        <v>0.28905869453810756</v>
      </c>
    </row>
    <row r="160" spans="1:119">
      <c r="C160" s="867"/>
      <c r="D160" s="868"/>
      <c r="E160" s="869" t="s">
        <v>711</v>
      </c>
      <c r="F160" s="1883" t="s">
        <v>1319</v>
      </c>
      <c r="G160" s="1884" t="e">
        <f>+G146/G115</f>
        <v>#VALUE!</v>
      </c>
      <c r="H160" s="1884" t="e">
        <f t="shared" ref="H160:P160" si="222">+H146/H115</f>
        <v>#VALUE!</v>
      </c>
      <c r="I160" s="1884" t="e">
        <f t="shared" si="222"/>
        <v>#VALUE!</v>
      </c>
      <c r="J160" s="1884" t="e">
        <f t="shared" si="222"/>
        <v>#VALUE!</v>
      </c>
      <c r="K160" s="1884" t="e">
        <f t="shared" si="222"/>
        <v>#VALUE!</v>
      </c>
      <c r="L160" s="1884">
        <f t="shared" si="222"/>
        <v>-3.1745634823429215E-2</v>
      </c>
      <c r="M160" s="1884">
        <f t="shared" si="222"/>
        <v>-7.1237058181566736E-3</v>
      </c>
      <c r="N160" s="1884">
        <f t="shared" si="222"/>
        <v>-1.3426001253695957E-2</v>
      </c>
      <c r="O160" s="1884">
        <f t="shared" si="222"/>
        <v>-2.3978595115196469E-2</v>
      </c>
      <c r="P160" s="3569">
        <f t="shared" si="222"/>
        <v>-1.2010125696624305E-3</v>
      </c>
      <c r="Q160" s="3569">
        <f t="shared" si="210"/>
        <v>-3.5977017666395331E-3</v>
      </c>
      <c r="R160" s="3569">
        <f t="shared" si="210"/>
        <v>-3.7408938767282047E-3</v>
      </c>
      <c r="S160" s="3569">
        <f>+S146/S115</f>
        <v>-3.4435261707908703E-3</v>
      </c>
      <c r="T160" s="3569">
        <f>+T146/T115</f>
        <v>0.17265321236808909</v>
      </c>
      <c r="U160" s="2980">
        <f>+U146/U115</f>
        <v>0.19032513877882207</v>
      </c>
      <c r="V160" s="2980">
        <f>+V146/V115</f>
        <v>0</v>
      </c>
      <c r="W160" s="2980">
        <f t="shared" si="213"/>
        <v>0</v>
      </c>
      <c r="X160" s="2980">
        <f t="shared" si="213"/>
        <v>0</v>
      </c>
      <c r="Y160" s="2980">
        <f t="shared" si="214"/>
        <v>0</v>
      </c>
      <c r="Z160" s="2980">
        <f t="shared" si="214"/>
        <v>0</v>
      </c>
      <c r="AA160" s="2980">
        <f t="shared" si="215"/>
        <v>0</v>
      </c>
      <c r="AB160" s="2980">
        <f t="shared" si="215"/>
        <v>0</v>
      </c>
      <c r="AC160" s="2980">
        <f t="shared" si="216"/>
        <v>0</v>
      </c>
      <c r="AD160" s="2980">
        <f t="shared" si="216"/>
        <v>0</v>
      </c>
      <c r="AE160" s="2980">
        <f t="shared" ref="AE160" si="223">+AE146/AE115</f>
        <v>0</v>
      </c>
    </row>
    <row r="161" spans="1:119" s="220" customFormat="1">
      <c r="A161" s="903"/>
      <c r="B161" s="903"/>
      <c r="C161" s="674"/>
      <c r="D161" s="806"/>
      <c r="E161" s="334" t="s">
        <v>1296</v>
      </c>
      <c r="F161" s="187" t="s">
        <v>1320</v>
      </c>
      <c r="G161" s="1879" t="e">
        <f>+G147/G116</f>
        <v>#VALUE!</v>
      </c>
      <c r="H161" s="1879" t="e">
        <f t="shared" ref="H161:P161" si="224">+H147/H116</f>
        <v>#VALUE!</v>
      </c>
      <c r="I161" s="1879" t="e">
        <f t="shared" si="224"/>
        <v>#VALUE!</v>
      </c>
      <c r="J161" s="1879" t="e">
        <f t="shared" si="224"/>
        <v>#VALUE!</v>
      </c>
      <c r="K161" s="1879" t="e">
        <f t="shared" si="224"/>
        <v>#VALUE!</v>
      </c>
      <c r="L161" s="1879">
        <f t="shared" si="224"/>
        <v>0.27465044201464206</v>
      </c>
      <c r="M161" s="1879">
        <f t="shared" si="224"/>
        <v>0.26508003556617643</v>
      </c>
      <c r="N161" s="1879">
        <f t="shared" si="224"/>
        <v>0.25099260927231393</v>
      </c>
      <c r="O161" s="1879">
        <f t="shared" si="224"/>
        <v>0.2442269052220287</v>
      </c>
      <c r="P161" s="3568">
        <f t="shared" si="224"/>
        <v>0.24696807994566791</v>
      </c>
      <c r="Q161" s="3568">
        <f t="shared" si="210"/>
        <v>0.25382278852925794</v>
      </c>
      <c r="R161" s="3568">
        <f t="shared" si="210"/>
        <v>0.25698679166526756</v>
      </c>
      <c r="S161" s="3568">
        <f t="shared" si="211"/>
        <v>0.27091061227315122</v>
      </c>
      <c r="T161" s="3568">
        <f t="shared" si="211"/>
        <v>0.28202145534444878</v>
      </c>
      <c r="U161" s="2979">
        <f t="shared" si="212"/>
        <v>0.28483633491952748</v>
      </c>
      <c r="V161" s="2979">
        <f t="shared" si="212"/>
        <v>0.26546829218095824</v>
      </c>
      <c r="W161" s="2979">
        <f t="shared" si="213"/>
        <v>0.26735401126039171</v>
      </c>
      <c r="X161" s="2979">
        <f t="shared" si="213"/>
        <v>0.26425661617721624</v>
      </c>
      <c r="Y161" s="2979">
        <f t="shared" si="214"/>
        <v>0.26751784826973046</v>
      </c>
      <c r="Z161" s="2979">
        <f t="shared" si="214"/>
        <v>0.26947192771042489</v>
      </c>
      <c r="AA161" s="2979">
        <f t="shared" si="215"/>
        <v>0.2701094488930148</v>
      </c>
      <c r="AB161" s="2979">
        <f t="shared" si="215"/>
        <v>0.2741332428202371</v>
      </c>
      <c r="AC161" s="2979">
        <f t="shared" si="216"/>
        <v>0.28350708658848939</v>
      </c>
      <c r="AD161" s="2979">
        <f t="shared" si="216"/>
        <v>0.2880552308777678</v>
      </c>
      <c r="AE161" s="2979">
        <f t="shared" ref="AE161" si="225">+AE147/AE116</f>
        <v>0.28905869453810756</v>
      </c>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row>
    <row r="162" spans="1:119" s="220" customFormat="1" ht="30" customHeight="1">
      <c r="A162" s="903"/>
      <c r="B162" s="903"/>
      <c r="C162" s="674"/>
      <c r="D162" s="674"/>
      <c r="F162" s="710"/>
      <c r="P162" s="3545"/>
      <c r="Q162" s="3554"/>
      <c r="R162" s="3555"/>
      <c r="S162" s="2971"/>
      <c r="T162" s="2971"/>
      <c r="U162" s="2971"/>
      <c r="V162" s="2971"/>
      <c r="W162" s="2971"/>
      <c r="X162" s="2971"/>
      <c r="Y162" s="2971"/>
      <c r="Z162" s="2971"/>
      <c r="AA162" s="2971"/>
      <c r="AB162" s="2971"/>
      <c r="AC162" s="2971"/>
      <c r="AD162" s="2971"/>
      <c r="AE162" s="2971"/>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row>
    <row r="163" spans="1:119">
      <c r="D163" s="900"/>
      <c r="E163" s="901" t="s">
        <v>2003</v>
      </c>
      <c r="F163" s="902"/>
      <c r="G163" s="698">
        <f>+InputY!$G$3</f>
        <v>1995</v>
      </c>
      <c r="H163" s="698">
        <f>+G163+1</f>
        <v>1996</v>
      </c>
      <c r="I163" s="698">
        <f t="shared" ref="I163:O163" si="226">+H163+1</f>
        <v>1997</v>
      </c>
      <c r="J163" s="698">
        <f t="shared" si="226"/>
        <v>1998</v>
      </c>
      <c r="K163" s="698">
        <f t="shared" si="226"/>
        <v>1999</v>
      </c>
      <c r="L163" s="698">
        <f t="shared" si="226"/>
        <v>2000</v>
      </c>
      <c r="M163" s="698">
        <f t="shared" si="226"/>
        <v>2001</v>
      </c>
      <c r="N163" s="698">
        <f t="shared" si="226"/>
        <v>2002</v>
      </c>
      <c r="O163" s="698">
        <f t="shared" si="226"/>
        <v>2003</v>
      </c>
      <c r="P163" s="3490">
        <f t="shared" ref="P163:W163" si="227">+O163+1</f>
        <v>2004</v>
      </c>
      <c r="Q163" s="3490">
        <f t="shared" si="227"/>
        <v>2005</v>
      </c>
      <c r="R163" s="3490">
        <f t="shared" si="227"/>
        <v>2006</v>
      </c>
      <c r="S163" s="3490">
        <f t="shared" si="227"/>
        <v>2007</v>
      </c>
      <c r="T163" s="3491">
        <f t="shared" si="227"/>
        <v>2008</v>
      </c>
      <c r="U163" s="3491">
        <f t="shared" si="227"/>
        <v>2009</v>
      </c>
      <c r="V163" s="3491">
        <f t="shared" si="227"/>
        <v>2010</v>
      </c>
      <c r="W163" s="3491">
        <f t="shared" si="227"/>
        <v>2011</v>
      </c>
      <c r="X163" s="3491">
        <f t="shared" ref="X163:AE163" si="228">+W163+1</f>
        <v>2012</v>
      </c>
      <c r="Y163" s="3491">
        <f t="shared" si="228"/>
        <v>2013</v>
      </c>
      <c r="Z163" s="3491">
        <f t="shared" si="228"/>
        <v>2014</v>
      </c>
      <c r="AA163" s="3491">
        <f t="shared" si="228"/>
        <v>2015</v>
      </c>
      <c r="AB163" s="3491">
        <f t="shared" si="228"/>
        <v>2016</v>
      </c>
      <c r="AC163" s="3491">
        <f t="shared" si="228"/>
        <v>2017</v>
      </c>
      <c r="AD163" s="3491">
        <f t="shared" si="228"/>
        <v>2018</v>
      </c>
      <c r="AE163" s="3491">
        <f t="shared" si="228"/>
        <v>2019</v>
      </c>
    </row>
    <row r="164" spans="1:119" s="898" customFormat="1" ht="22.5">
      <c r="A164" s="897"/>
      <c r="B164" s="897"/>
      <c r="C164" s="904" t="s">
        <v>1767</v>
      </c>
      <c r="D164" s="905"/>
      <c r="E164" s="906" t="s">
        <v>449</v>
      </c>
      <c r="F164" s="917" t="s">
        <v>1321</v>
      </c>
      <c r="G164" s="1454">
        <f>+G166-G165</f>
        <v>0.38532016682113068</v>
      </c>
      <c r="H164" s="1454">
        <f t="shared" ref="H164:P164" si="229">+H166-H165</f>
        <v>0.51183846153846191</v>
      </c>
      <c r="I164" s="1454">
        <f t="shared" si="229"/>
        <v>0.66385727525486526</v>
      </c>
      <c r="J164" s="1454">
        <f t="shared" si="229"/>
        <v>0.77285014828545018</v>
      </c>
      <c r="K164" s="1454">
        <f t="shared" si="229"/>
        <v>0.76017280815569999</v>
      </c>
      <c r="L164" s="1454">
        <f t="shared" si="229"/>
        <v>0.76772597775718276</v>
      </c>
      <c r="M164" s="1454">
        <f t="shared" si="229"/>
        <v>0.7640727710843378</v>
      </c>
      <c r="N164" s="1454">
        <f t="shared" si="229"/>
        <v>0.78681204819277095</v>
      </c>
      <c r="O164" s="1454">
        <f t="shared" si="229"/>
        <v>0.86422547729379073</v>
      </c>
      <c r="P164" s="3556">
        <f t="shared" si="229"/>
        <v>0.98901036144578325</v>
      </c>
      <c r="Q164" s="3556">
        <f t="shared" ref="Q164:Z164" si="230">+Q166-Q165</f>
        <v>1.2579400000000007</v>
      </c>
      <c r="R164" s="3556">
        <f t="shared" si="230"/>
        <v>1.5164899999999981</v>
      </c>
      <c r="S164" s="3556">
        <f t="shared" si="230"/>
        <v>1.9209199999999993</v>
      </c>
      <c r="T164" s="3556">
        <f t="shared" si="230"/>
        <v>2.2348699999999995</v>
      </c>
      <c r="U164" s="3556">
        <f t="shared" si="230"/>
        <v>1.7382899999999992</v>
      </c>
      <c r="V164" s="3556">
        <f t="shared" si="230"/>
        <v>1.5971299999999999</v>
      </c>
      <c r="W164" s="3556">
        <f t="shared" si="230"/>
        <v>1.6888599999999987</v>
      </c>
      <c r="X164" s="3556">
        <f t="shared" si="230"/>
        <v>1.7708399999999993</v>
      </c>
      <c r="Y164" s="3556">
        <f t="shared" si="230"/>
        <v>1.930270000000001</v>
      </c>
      <c r="Z164" s="3556">
        <f t="shared" si="230"/>
        <v>2.0735800000000002</v>
      </c>
      <c r="AA164" s="3556">
        <f>+AA166-AA165</f>
        <v>2.2378700000000014</v>
      </c>
      <c r="AB164" s="3556">
        <f>+AB166-AB165</f>
        <v>2.4813099999999997</v>
      </c>
      <c r="AC164" s="2975">
        <f t="shared" ref="AC164:AD165" si="231">+AC143*AC30/1000</f>
        <v>2.8430360660258853</v>
      </c>
      <c r="AD164" s="2975">
        <f t="shared" si="231"/>
        <v>3.0849642200643586</v>
      </c>
      <c r="AE164" s="2975">
        <f t="shared" ref="AE164" si="232">+AE143*AE30/1000</f>
        <v>3.2816658576855708</v>
      </c>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row>
    <row r="165" spans="1:119" s="898" customFormat="1" ht="22.5">
      <c r="A165" s="897"/>
      <c r="B165" s="897"/>
      <c r="C165" s="907" t="s">
        <v>1767</v>
      </c>
      <c r="D165" s="908"/>
      <c r="E165" s="909" t="s">
        <v>450</v>
      </c>
      <c r="F165" s="918" t="s">
        <v>1322</v>
      </c>
      <c r="G165" s="1044">
        <f t="shared" ref="G165:P165" si="233">+G211-G134</f>
        <v>0.15796440222428176</v>
      </c>
      <c r="H165" s="1044">
        <f t="shared" si="233"/>
        <v>0.21136482854494898</v>
      </c>
      <c r="I165" s="1044">
        <f t="shared" si="233"/>
        <v>0.28588841519925845</v>
      </c>
      <c r="J165" s="1044">
        <f t="shared" si="233"/>
        <v>0.36137673772011114</v>
      </c>
      <c r="K165" s="1044">
        <f t="shared" si="233"/>
        <v>0.36493639481000928</v>
      </c>
      <c r="L165" s="1044">
        <f t="shared" si="233"/>
        <v>0.36076582020389258</v>
      </c>
      <c r="M165" s="1044">
        <f t="shared" si="233"/>
        <v>0.37218571825764579</v>
      </c>
      <c r="N165" s="1044">
        <f t="shared" si="233"/>
        <v>0.39102575532900818</v>
      </c>
      <c r="O165" s="1044">
        <f t="shared" si="233"/>
        <v>0.40938681186283588</v>
      </c>
      <c r="P165" s="3508">
        <f t="shared" si="233"/>
        <v>0.4875532252085264</v>
      </c>
      <c r="Q165" s="3508">
        <f t="shared" ref="Q165:Z165" si="234">+Q211-Q134</f>
        <v>0.5050800000000002</v>
      </c>
      <c r="R165" s="3508">
        <f t="shared" si="234"/>
        <v>0.62681000000000009</v>
      </c>
      <c r="S165" s="3508">
        <f t="shared" si="234"/>
        <v>0.74097999999999997</v>
      </c>
      <c r="T165" s="3508">
        <f t="shared" si="234"/>
        <v>0.93219999999999947</v>
      </c>
      <c r="U165" s="3508">
        <f t="shared" si="234"/>
        <v>0.91995999999999967</v>
      </c>
      <c r="V165" s="3508">
        <f t="shared" si="234"/>
        <v>0.8218399999999999</v>
      </c>
      <c r="W165" s="3508">
        <f t="shared" si="234"/>
        <v>0.9162300000000001</v>
      </c>
      <c r="X165" s="3508">
        <f t="shared" si="234"/>
        <v>0.94821</v>
      </c>
      <c r="Y165" s="3508">
        <f t="shared" si="234"/>
        <v>0.97834999999999983</v>
      </c>
      <c r="Z165" s="3508">
        <f t="shared" si="234"/>
        <v>1.03335</v>
      </c>
      <c r="AA165" s="3508">
        <f>+AA211-AA134</f>
        <v>1.0904099999999999</v>
      </c>
      <c r="AB165" s="3508">
        <f>+AB211-AB134</f>
        <v>1.1587500000000004</v>
      </c>
      <c r="AC165" s="2969">
        <f t="shared" si="231"/>
        <v>1.2287607891491994</v>
      </c>
      <c r="AD165" s="2969">
        <f t="shared" si="231"/>
        <v>1.2870157205441655</v>
      </c>
      <c r="AE165" s="2969">
        <f t="shared" ref="AE165" si="235">+AE144*AE31/1000</f>
        <v>1.3569663404145087</v>
      </c>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row>
    <row r="166" spans="1:119" s="898" customFormat="1">
      <c r="A166" s="897"/>
      <c r="B166" s="897"/>
      <c r="C166" s="907" t="s">
        <v>1769</v>
      </c>
      <c r="D166" s="910"/>
      <c r="E166" s="911" t="s">
        <v>451</v>
      </c>
      <c r="F166" s="916" t="s">
        <v>237</v>
      </c>
      <c r="G166" s="920">
        <f t="shared" ref="G166:Q166" si="236">+G214-G135</f>
        <v>0.54328456904541245</v>
      </c>
      <c r="H166" s="920">
        <f t="shared" si="236"/>
        <v>0.72320329008341089</v>
      </c>
      <c r="I166" s="920">
        <f t="shared" si="236"/>
        <v>0.94974569045412371</v>
      </c>
      <c r="J166" s="920">
        <f t="shared" si="236"/>
        <v>1.1342268860055613</v>
      </c>
      <c r="K166" s="920">
        <f t="shared" si="236"/>
        <v>1.1251092029657093</v>
      </c>
      <c r="L166" s="920">
        <f t="shared" si="236"/>
        <v>1.1284917979610753</v>
      </c>
      <c r="M166" s="920">
        <f t="shared" si="236"/>
        <v>1.1362584893419836</v>
      </c>
      <c r="N166" s="920">
        <f t="shared" si="236"/>
        <v>1.1778378035217791</v>
      </c>
      <c r="O166" s="920">
        <f t="shared" si="236"/>
        <v>1.2736122891566266</v>
      </c>
      <c r="P166" s="3557">
        <f t="shared" si="236"/>
        <v>1.4765635866543096</v>
      </c>
      <c r="Q166" s="3557">
        <f t="shared" si="236"/>
        <v>1.7630200000000009</v>
      </c>
      <c r="R166" s="3557">
        <f t="shared" ref="R166:W166" si="237">+R214-R135</f>
        <v>2.1432999999999982</v>
      </c>
      <c r="S166" s="3557">
        <f t="shared" si="237"/>
        <v>2.6618999999999993</v>
      </c>
      <c r="T166" s="3557">
        <f t="shared" si="237"/>
        <v>3.1670699999999989</v>
      </c>
      <c r="U166" s="3557">
        <f t="shared" si="237"/>
        <v>2.6582499999999989</v>
      </c>
      <c r="V166" s="3557">
        <f t="shared" si="237"/>
        <v>2.4189699999999998</v>
      </c>
      <c r="W166" s="3557">
        <f t="shared" si="237"/>
        <v>2.6050899999999988</v>
      </c>
      <c r="X166" s="3557">
        <f>+X214-X135</f>
        <v>2.7190499999999993</v>
      </c>
      <c r="Y166" s="3557">
        <f>+Y214-Y135</f>
        <v>2.9086200000000009</v>
      </c>
      <c r="Z166" s="3557">
        <f>+Z214-Z135</f>
        <v>3.1069300000000002</v>
      </c>
      <c r="AA166" s="3557">
        <f>+AA214-AA135</f>
        <v>3.3282800000000012</v>
      </c>
      <c r="AB166" s="3557">
        <f>+AB214-AB135</f>
        <v>3.6400600000000001</v>
      </c>
      <c r="AC166" s="2976">
        <f>+AC164+AC165</f>
        <v>4.0717968551750845</v>
      </c>
      <c r="AD166" s="2976">
        <f>+AD164+AD165</f>
        <v>4.371979940608524</v>
      </c>
      <c r="AE166" s="2976">
        <f>+AE164+AE165</f>
        <v>4.6386321981000798</v>
      </c>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row>
    <row r="167" spans="1:119" s="898" customFormat="1" ht="22.5">
      <c r="A167" s="897"/>
      <c r="B167" s="897"/>
      <c r="C167" s="912" t="s">
        <v>1767</v>
      </c>
      <c r="D167" s="913"/>
      <c r="E167" s="914" t="s">
        <v>1313</v>
      </c>
      <c r="F167" s="919" t="s">
        <v>1549</v>
      </c>
      <c r="G167" s="921">
        <f>+G168-G166</f>
        <v>-7.4569045412253843E-5</v>
      </c>
      <c r="H167" s="921">
        <f>+H168-H166</f>
        <v>-3.3290083410797422E-5</v>
      </c>
      <c r="I167" s="921">
        <f t="shared" ref="I167:S167" si="238">+I168-I166</f>
        <v>1.4430954587574263E-4</v>
      </c>
      <c r="J167" s="921">
        <f t="shared" si="238"/>
        <v>-9.6886005560570254E-5</v>
      </c>
      <c r="K167" s="921">
        <f t="shared" si="238"/>
        <v>-3.1920296570930873E-4</v>
      </c>
      <c r="L167" s="921">
        <f t="shared" si="238"/>
        <v>-4.1179796107559952E-4</v>
      </c>
      <c r="M167" s="921">
        <f t="shared" si="238"/>
        <v>-3.9848934198438712E-4</v>
      </c>
      <c r="N167" s="921">
        <f t="shared" si="238"/>
        <v>-7.6780352177951983E-4</v>
      </c>
      <c r="O167" s="921">
        <f t="shared" si="238"/>
        <v>-9.9228915662674666E-4</v>
      </c>
      <c r="P167" s="3570">
        <f t="shared" si="238"/>
        <v>-1.7358665431022047E-4</v>
      </c>
      <c r="Q167" s="3570">
        <f t="shared" si="238"/>
        <v>-6.7000000000128068E-4</v>
      </c>
      <c r="R167" s="3570">
        <f t="shared" si="238"/>
        <v>-7.5999999999609713E-4</v>
      </c>
      <c r="S167" s="3570">
        <f t="shared" si="238"/>
        <v>-5.4999999999871818E-4</v>
      </c>
      <c r="T167" s="3570">
        <f>+T168-T166</f>
        <v>1.8650000000000944E-2</v>
      </c>
      <c r="U167" s="3570">
        <f>+U168-U166</f>
        <v>7.2000000000027597E-3</v>
      </c>
      <c r="V167" s="3570">
        <v>0</v>
      </c>
      <c r="W167" s="3570">
        <v>0</v>
      </c>
      <c r="X167" s="3570">
        <v>0</v>
      </c>
      <c r="Y167" s="3570">
        <v>0</v>
      </c>
      <c r="Z167" s="3570">
        <v>0</v>
      </c>
      <c r="AA167" s="3570">
        <v>0</v>
      </c>
      <c r="AB167" s="3570">
        <v>0</v>
      </c>
      <c r="AC167" s="3571">
        <v>0</v>
      </c>
      <c r="AD167" s="3571">
        <v>0</v>
      </c>
      <c r="AE167" s="3571">
        <v>0</v>
      </c>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row>
    <row r="168" spans="1:119" s="909" customFormat="1">
      <c r="A168" s="915"/>
      <c r="B168" s="915"/>
      <c r="C168" s="908" t="s">
        <v>1769</v>
      </c>
      <c r="D168" s="910"/>
      <c r="E168" s="911" t="s">
        <v>1314</v>
      </c>
      <c r="F168" s="916" t="s">
        <v>1556</v>
      </c>
      <c r="G168" s="920">
        <f t="shared" ref="G168:Q168" si="239">+G217-G137</f>
        <v>0.54321000000000019</v>
      </c>
      <c r="H168" s="920">
        <f t="shared" si="239"/>
        <v>0.72317000000000009</v>
      </c>
      <c r="I168" s="920">
        <f t="shared" si="239"/>
        <v>0.94988999999999946</v>
      </c>
      <c r="J168" s="920">
        <f t="shared" si="239"/>
        <v>1.1341300000000007</v>
      </c>
      <c r="K168" s="920">
        <f t="shared" si="239"/>
        <v>1.12479</v>
      </c>
      <c r="L168" s="920">
        <f t="shared" si="239"/>
        <v>1.1280799999999997</v>
      </c>
      <c r="M168" s="920">
        <f t="shared" si="239"/>
        <v>1.1358599999999992</v>
      </c>
      <c r="N168" s="920">
        <f t="shared" si="239"/>
        <v>1.1770699999999996</v>
      </c>
      <c r="O168" s="920">
        <f t="shared" si="239"/>
        <v>1.2726199999999999</v>
      </c>
      <c r="P168" s="3557">
        <f t="shared" si="239"/>
        <v>1.4763899999999994</v>
      </c>
      <c r="Q168" s="3557">
        <f t="shared" si="239"/>
        <v>1.7623499999999996</v>
      </c>
      <c r="R168" s="3557">
        <f t="shared" ref="R168:AB168" si="240">+R217-R137</f>
        <v>2.1425400000000021</v>
      </c>
      <c r="S168" s="3557">
        <f t="shared" si="240"/>
        <v>2.6613500000000005</v>
      </c>
      <c r="T168" s="3557">
        <f t="shared" si="240"/>
        <v>3.1857199999999999</v>
      </c>
      <c r="U168" s="3557">
        <f t="shared" si="240"/>
        <v>2.6654500000000017</v>
      </c>
      <c r="V168" s="3557">
        <f t="shared" si="240"/>
        <v>2.4507899999999978</v>
      </c>
      <c r="W168" s="3557">
        <f t="shared" si="240"/>
        <v>2.6307100000000023</v>
      </c>
      <c r="X168" s="3557">
        <f t="shared" si="240"/>
        <v>2.72058</v>
      </c>
      <c r="Y168" s="3557">
        <f t="shared" si="240"/>
        <v>2.9126300000000001</v>
      </c>
      <c r="Z168" s="3557">
        <f t="shared" si="240"/>
        <v>3.1038099999999993</v>
      </c>
      <c r="AA168" s="3557">
        <f t="shared" si="240"/>
        <v>3.3287100000000009</v>
      </c>
      <c r="AB168" s="3557">
        <f t="shared" si="240"/>
        <v>3.634389999999998</v>
      </c>
      <c r="AC168" s="2976">
        <f>+AC166+AC167</f>
        <v>4.0717968551750845</v>
      </c>
      <c r="AD168" s="2976">
        <f>+AD166+AD167</f>
        <v>4.371979940608524</v>
      </c>
      <c r="AE168" s="2976">
        <f>+AE166+AE167</f>
        <v>4.6386321981000798</v>
      </c>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row>
    <row r="169" spans="1:119" s="699" customFormat="1">
      <c r="A169" s="663"/>
      <c r="B169" s="663"/>
      <c r="C169" s="694"/>
      <c r="D169" s="670"/>
      <c r="F169" s="694"/>
      <c r="P169" s="3572"/>
      <c r="Q169" s="3572"/>
      <c r="R169" s="3572"/>
      <c r="S169" s="3572"/>
      <c r="T169" s="3572"/>
      <c r="U169" s="3572"/>
      <c r="V169" s="3572"/>
      <c r="W169" s="3572"/>
      <c r="X169" s="3572"/>
      <c r="Y169" s="3573">
        <f t="shared" ref="Y169:AD169" si="241">Y166/Y32*1000-Y145</f>
        <v>0</v>
      </c>
      <c r="Z169" s="3573">
        <f t="shared" si="241"/>
        <v>0</v>
      </c>
      <c r="AA169" s="3573">
        <f t="shared" si="241"/>
        <v>0</v>
      </c>
      <c r="AB169" s="3573">
        <f t="shared" si="241"/>
        <v>0</v>
      </c>
      <c r="AC169" s="3573">
        <f t="shared" si="241"/>
        <v>0</v>
      </c>
      <c r="AD169" s="3573">
        <f t="shared" si="241"/>
        <v>0</v>
      </c>
      <c r="AE169" s="3573">
        <f t="shared" ref="AE169" si="242">AE166/AE32*1000-AE145</f>
        <v>0</v>
      </c>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row>
    <row r="170" spans="1:119">
      <c r="D170" s="926"/>
      <c r="E170" s="927" t="s">
        <v>358</v>
      </c>
      <c r="F170" s="928"/>
      <c r="G170" s="745">
        <f>+InputY!$G$3</f>
        <v>1995</v>
      </c>
      <c r="H170" s="745">
        <f>+G170+1</f>
        <v>1996</v>
      </c>
      <c r="I170" s="745">
        <f t="shared" ref="I170:O170" si="243">+H170+1</f>
        <v>1997</v>
      </c>
      <c r="J170" s="745">
        <f t="shared" si="243"/>
        <v>1998</v>
      </c>
      <c r="K170" s="745">
        <f t="shared" si="243"/>
        <v>1999</v>
      </c>
      <c r="L170" s="745">
        <f t="shared" si="243"/>
        <v>2000</v>
      </c>
      <c r="M170" s="745">
        <f t="shared" si="243"/>
        <v>2001</v>
      </c>
      <c r="N170" s="745">
        <f t="shared" si="243"/>
        <v>2002</v>
      </c>
      <c r="O170" s="745">
        <f t="shared" si="243"/>
        <v>2003</v>
      </c>
      <c r="P170" s="3495">
        <f t="shared" ref="P170:W170" si="244">+O170+1</f>
        <v>2004</v>
      </c>
      <c r="Q170" s="3495">
        <f t="shared" si="244"/>
        <v>2005</v>
      </c>
      <c r="R170" s="3495">
        <f t="shared" si="244"/>
        <v>2006</v>
      </c>
      <c r="S170" s="3495">
        <f t="shared" si="244"/>
        <v>2007</v>
      </c>
      <c r="T170" s="3496">
        <f t="shared" si="244"/>
        <v>2008</v>
      </c>
      <c r="U170" s="3496">
        <f t="shared" si="244"/>
        <v>2009</v>
      </c>
      <c r="V170" s="3496">
        <f t="shared" si="244"/>
        <v>2010</v>
      </c>
      <c r="W170" s="3496">
        <f t="shared" si="244"/>
        <v>2011</v>
      </c>
      <c r="X170" s="3496">
        <f t="shared" ref="X170:AE170" si="245">+W170+1</f>
        <v>2012</v>
      </c>
      <c r="Y170" s="3496">
        <f t="shared" si="245"/>
        <v>2013</v>
      </c>
      <c r="Z170" s="3496">
        <f t="shared" si="245"/>
        <v>2014</v>
      </c>
      <c r="AA170" s="3496">
        <f t="shared" si="245"/>
        <v>2015</v>
      </c>
      <c r="AB170" s="3496">
        <f t="shared" si="245"/>
        <v>2016</v>
      </c>
      <c r="AC170" s="3496">
        <f t="shared" si="245"/>
        <v>2017</v>
      </c>
      <c r="AD170" s="3496">
        <f t="shared" si="245"/>
        <v>2018</v>
      </c>
      <c r="AE170" s="3496">
        <f t="shared" si="245"/>
        <v>2019</v>
      </c>
    </row>
    <row r="171" spans="1:119" s="898" customFormat="1" ht="22.5">
      <c r="A171" s="897"/>
      <c r="B171" s="897"/>
      <c r="C171" s="949" t="s">
        <v>1767</v>
      </c>
      <c r="D171" s="950"/>
      <c r="E171" s="951" t="s">
        <v>449</v>
      </c>
      <c r="F171" s="952" t="s">
        <v>1321</v>
      </c>
      <c r="G171" s="1689"/>
      <c r="H171" s="1689">
        <f t="shared" ref="H171:AE171" si="246">(H164/G164-1)*100</f>
        <v>32.834589417185178</v>
      </c>
      <c r="I171" s="1689">
        <f t="shared" si="246"/>
        <v>29.70054521879262</v>
      </c>
      <c r="J171" s="1689">
        <f t="shared" si="246"/>
        <v>16.418118335562546</v>
      </c>
      <c r="K171" s="1689">
        <f t="shared" si="246"/>
        <v>-1.6403361192172339</v>
      </c>
      <c r="L171" s="1689">
        <f t="shared" si="246"/>
        <v>0.99361217876339225</v>
      </c>
      <c r="M171" s="1689">
        <f t="shared" si="246"/>
        <v>-0.47584773456765816</v>
      </c>
      <c r="N171" s="1689">
        <f t="shared" si="246"/>
        <v>2.9760617010553325</v>
      </c>
      <c r="O171" s="1689">
        <f t="shared" si="246"/>
        <v>9.838871847327546</v>
      </c>
      <c r="P171" s="3548">
        <f t="shared" si="246"/>
        <v>14.438926811408059</v>
      </c>
      <c r="Q171" s="3548">
        <f t="shared" si="246"/>
        <v>27.191791819155785</v>
      </c>
      <c r="R171" s="3548">
        <f t="shared" si="246"/>
        <v>20.553444520406149</v>
      </c>
      <c r="S171" s="3548">
        <f t="shared" si="246"/>
        <v>26.668820763737422</v>
      </c>
      <c r="T171" s="2981">
        <f t="shared" si="246"/>
        <v>16.343731128834115</v>
      </c>
      <c r="U171" s="2981">
        <f t="shared" si="246"/>
        <v>-22.219636936376631</v>
      </c>
      <c r="V171" s="2981">
        <f t="shared" si="246"/>
        <v>-8.120624291688916</v>
      </c>
      <c r="W171" s="2981">
        <f t="shared" si="246"/>
        <v>5.7434272726702762</v>
      </c>
      <c r="X171" s="2981">
        <f t="shared" si="246"/>
        <v>4.8541619790865242</v>
      </c>
      <c r="Y171" s="2981">
        <f t="shared" si="246"/>
        <v>9.003071988434975</v>
      </c>
      <c r="Z171" s="2981">
        <f t="shared" si="246"/>
        <v>7.4243499614043085</v>
      </c>
      <c r="AA171" s="2981">
        <f t="shared" si="246"/>
        <v>7.9230123747336068</v>
      </c>
      <c r="AB171" s="2981">
        <f t="shared" si="246"/>
        <v>10.878201146625944</v>
      </c>
      <c r="AC171" s="2981">
        <f t="shared" si="246"/>
        <v>14.578027978200447</v>
      </c>
      <c r="AD171" s="2981">
        <f t="shared" si="246"/>
        <v>8.5095000000000134</v>
      </c>
      <c r="AE171" s="2981">
        <f t="shared" si="246"/>
        <v>6.376140000000019</v>
      </c>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row>
    <row r="172" spans="1:119" s="898" customFormat="1" ht="22.5">
      <c r="A172" s="897"/>
      <c r="B172" s="897"/>
      <c r="C172" s="953" t="s">
        <v>1767</v>
      </c>
      <c r="D172" s="908"/>
      <c r="E172" s="909" t="s">
        <v>450</v>
      </c>
      <c r="F172" s="918" t="s">
        <v>1322</v>
      </c>
      <c r="G172" s="1044"/>
      <c r="H172" s="1044">
        <f t="shared" ref="H172:AE172" si="247">(H165/G165-1)*100</f>
        <v>33.805354604417758</v>
      </c>
      <c r="I172" s="1044">
        <f t="shared" si="247"/>
        <v>35.258272233528778</v>
      </c>
      <c r="J172" s="1044">
        <f t="shared" si="247"/>
        <v>26.404820380090911</v>
      </c>
      <c r="K172" s="1044">
        <f t="shared" si="247"/>
        <v>0.98502662688131348</v>
      </c>
      <c r="L172" s="1044">
        <f t="shared" si="247"/>
        <v>-1.1428223288849959</v>
      </c>
      <c r="M172" s="1044">
        <f t="shared" si="247"/>
        <v>3.1654600891234841</v>
      </c>
      <c r="N172" s="1044">
        <f t="shared" si="247"/>
        <v>5.0619989288037015</v>
      </c>
      <c r="O172" s="1044">
        <f t="shared" si="247"/>
        <v>4.6956130852247258</v>
      </c>
      <c r="P172" s="3508">
        <f t="shared" si="247"/>
        <v>19.0935347892643</v>
      </c>
      <c r="Q172" s="3508">
        <f t="shared" si="247"/>
        <v>3.5948433699679816</v>
      </c>
      <c r="R172" s="3508">
        <f t="shared" si="247"/>
        <v>24.10113249386232</v>
      </c>
      <c r="S172" s="3508">
        <f t="shared" si="247"/>
        <v>18.214450950048633</v>
      </c>
      <c r="T172" s="2269">
        <f t="shared" si="247"/>
        <v>25.806364544252137</v>
      </c>
      <c r="U172" s="2269">
        <f t="shared" si="247"/>
        <v>-1.3130229564470963</v>
      </c>
      <c r="V172" s="2269">
        <f t="shared" si="247"/>
        <v>-10.665681116570269</v>
      </c>
      <c r="W172" s="2269">
        <f t="shared" si="247"/>
        <v>11.485203932638989</v>
      </c>
      <c r="X172" s="2269">
        <f t="shared" si="247"/>
        <v>3.4903899675845507</v>
      </c>
      <c r="Y172" s="2269">
        <f t="shared" si="247"/>
        <v>3.1786207696607116</v>
      </c>
      <c r="Z172" s="2269">
        <f t="shared" si="247"/>
        <v>5.6217100219758009</v>
      </c>
      <c r="AA172" s="2269">
        <f t="shared" si="247"/>
        <v>5.5218464218318886</v>
      </c>
      <c r="AB172" s="2269">
        <f t="shared" si="247"/>
        <v>6.2673673205491998</v>
      </c>
      <c r="AC172" s="2269">
        <f t="shared" si="247"/>
        <v>6.0419235511714353</v>
      </c>
      <c r="AD172" s="2269">
        <f t="shared" si="247"/>
        <v>4.7409497364659714</v>
      </c>
      <c r="AE172" s="2269">
        <f t="shared" si="247"/>
        <v>5.4351022099999868</v>
      </c>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row>
    <row r="173" spans="1:119" s="898" customFormat="1">
      <c r="A173" s="897"/>
      <c r="B173" s="897"/>
      <c r="C173" s="953" t="s">
        <v>1769</v>
      </c>
      <c r="D173" s="945"/>
      <c r="E173" s="946" t="s">
        <v>451</v>
      </c>
      <c r="F173" s="947" t="s">
        <v>237</v>
      </c>
      <c r="G173" s="948"/>
      <c r="H173" s="948">
        <f t="shared" ref="H173:S173" si="248">(H166/G166-1)*100</f>
        <v>33.116847282102583</v>
      </c>
      <c r="I173" s="948">
        <f t="shared" si="248"/>
        <v>31.324857543801343</v>
      </c>
      <c r="J173" s="948">
        <f t="shared" si="248"/>
        <v>19.424272982299851</v>
      </c>
      <c r="K173" s="948">
        <f t="shared" si="248"/>
        <v>-0.80386765226153623</v>
      </c>
      <c r="L173" s="948">
        <f t="shared" si="248"/>
        <v>0.30064592720864258</v>
      </c>
      <c r="M173" s="948">
        <f t="shared" si="248"/>
        <v>0.68823640499122707</v>
      </c>
      <c r="N173" s="948">
        <f t="shared" si="248"/>
        <v>3.6593182422667292</v>
      </c>
      <c r="O173" s="948">
        <f t="shared" si="248"/>
        <v>8.1313815322006313</v>
      </c>
      <c r="P173" s="3574">
        <f t="shared" si="248"/>
        <v>15.935092588661771</v>
      </c>
      <c r="Q173" s="3574">
        <f t="shared" si="248"/>
        <v>19.400208425480827</v>
      </c>
      <c r="R173" s="3574">
        <f t="shared" si="248"/>
        <v>21.569806355004317</v>
      </c>
      <c r="S173" s="3574">
        <f t="shared" si="248"/>
        <v>24.196332757896766</v>
      </c>
      <c r="T173" s="2982">
        <f t="shared" ref="T173:AE175" si="249">(T166/S166-1)*100</f>
        <v>18.977797813591792</v>
      </c>
      <c r="U173" s="2982">
        <f t="shared" si="249"/>
        <v>-16.065953704843917</v>
      </c>
      <c r="V173" s="2982">
        <f t="shared" si="249"/>
        <v>-9.0014107025298333</v>
      </c>
      <c r="W173" s="2982">
        <f t="shared" si="249"/>
        <v>7.6941838881837699</v>
      </c>
      <c r="X173" s="2982">
        <f t="shared" si="249"/>
        <v>4.3745129726804333</v>
      </c>
      <c r="Y173" s="2982">
        <f t="shared" si="249"/>
        <v>6.9719203398246332</v>
      </c>
      <c r="Z173" s="2982">
        <f t="shared" si="249"/>
        <v>6.8180099153550167</v>
      </c>
      <c r="AA173" s="2982">
        <f t="shared" si="249"/>
        <v>7.124396108055242</v>
      </c>
      <c r="AB173" s="2982">
        <f t="shared" si="249"/>
        <v>9.3676012835458131</v>
      </c>
      <c r="AC173" s="2982">
        <f t="shared" si="249"/>
        <v>11.860707108538993</v>
      </c>
      <c r="AD173" s="2982">
        <f t="shared" si="249"/>
        <v>7.3722510260284535</v>
      </c>
      <c r="AE173" s="2982">
        <f t="shared" si="249"/>
        <v>6.0991189601487861</v>
      </c>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row>
    <row r="174" spans="1:119" s="898" customFormat="1" ht="22.5">
      <c r="A174" s="897"/>
      <c r="B174" s="897"/>
      <c r="C174" s="954" t="s">
        <v>1767</v>
      </c>
      <c r="D174" s="955"/>
      <c r="E174" s="956" t="s">
        <v>1313</v>
      </c>
      <c r="F174" s="957" t="s">
        <v>1549</v>
      </c>
      <c r="G174" s="958"/>
      <c r="H174" s="958">
        <f t="shared" ref="H174:S174" si="250">(H167/G167-1)*100</f>
        <v>-55.356698980450005</v>
      </c>
      <c r="I174" s="958">
        <f t="shared" si="250"/>
        <v>-533.49109131080388</v>
      </c>
      <c r="J174" s="958">
        <f t="shared" si="250"/>
        <v>-167.13762764106659</v>
      </c>
      <c r="K174" s="958">
        <f t="shared" si="250"/>
        <v>229.4624067350496</v>
      </c>
      <c r="L174" s="958">
        <f t="shared" si="250"/>
        <v>29.008187677872343</v>
      </c>
      <c r="M174" s="958">
        <f t="shared" si="250"/>
        <v>-3.2318321966555708</v>
      </c>
      <c r="N174" s="958">
        <f t="shared" si="250"/>
        <v>92.678558968737107</v>
      </c>
      <c r="O174" s="958">
        <f t="shared" si="250"/>
        <v>29.237380199421569</v>
      </c>
      <c r="P174" s="3575">
        <f t="shared" si="250"/>
        <v>-82.506444502495384</v>
      </c>
      <c r="Q174" s="3575">
        <f t="shared" si="250"/>
        <v>285.97437266341291</v>
      </c>
      <c r="R174" s="3575">
        <f t="shared" si="250"/>
        <v>13.432835820096178</v>
      </c>
      <c r="S174" s="3575">
        <f t="shared" si="250"/>
        <v>-27.631578947165448</v>
      </c>
      <c r="T174" s="2983">
        <f t="shared" si="249"/>
        <v>-3490.9090909171655</v>
      </c>
      <c r="U174" s="2983">
        <f t="shared" si="249"/>
        <v>-61.394101876662766</v>
      </c>
      <c r="V174" s="2983">
        <f t="shared" si="249"/>
        <v>-100</v>
      </c>
      <c r="W174" s="2983" t="e">
        <f t="shared" ref="W174:AE174" si="251">(W167/V167-1)*100</f>
        <v>#DIV/0!</v>
      </c>
      <c r="X174" s="2983" t="e">
        <f t="shared" si="251"/>
        <v>#DIV/0!</v>
      </c>
      <c r="Y174" s="2983" t="e">
        <f t="shared" si="251"/>
        <v>#DIV/0!</v>
      </c>
      <c r="Z174" s="2983" t="e">
        <f t="shared" si="251"/>
        <v>#DIV/0!</v>
      </c>
      <c r="AA174" s="2983" t="e">
        <f t="shared" si="251"/>
        <v>#DIV/0!</v>
      </c>
      <c r="AB174" s="2983" t="e">
        <f t="shared" si="251"/>
        <v>#DIV/0!</v>
      </c>
      <c r="AC174" s="2983" t="e">
        <f t="shared" si="251"/>
        <v>#DIV/0!</v>
      </c>
      <c r="AD174" s="2983" t="e">
        <f t="shared" si="251"/>
        <v>#DIV/0!</v>
      </c>
      <c r="AE174" s="2983" t="e">
        <f t="shared" si="251"/>
        <v>#DIV/0!</v>
      </c>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row>
    <row r="175" spans="1:119" s="909" customFormat="1">
      <c r="A175" s="915"/>
      <c r="B175" s="915"/>
      <c r="C175" s="908" t="s">
        <v>1769</v>
      </c>
      <c r="D175" s="945"/>
      <c r="E175" s="946" t="s">
        <v>1314</v>
      </c>
      <c r="F175" s="947" t="s">
        <v>1556</v>
      </c>
      <c r="G175" s="948"/>
      <c r="H175" s="948">
        <f t="shared" ref="H175:S175" si="252">(H168/G168-1)*100</f>
        <v>33.128992470683507</v>
      </c>
      <c r="I175" s="948">
        <f t="shared" si="252"/>
        <v>31.350858027849515</v>
      </c>
      <c r="J175" s="948">
        <f t="shared" si="252"/>
        <v>19.395930055059154</v>
      </c>
      <c r="K175" s="948">
        <f t="shared" si="252"/>
        <v>-0.82353874776267544</v>
      </c>
      <c r="L175" s="948">
        <f t="shared" si="252"/>
        <v>0.2924990442660258</v>
      </c>
      <c r="M175" s="948">
        <f t="shared" si="252"/>
        <v>0.68966739947515787</v>
      </c>
      <c r="N175" s="948">
        <f t="shared" si="252"/>
        <v>3.6280879685877121</v>
      </c>
      <c r="O175" s="948">
        <f t="shared" si="252"/>
        <v>8.1176140756284987</v>
      </c>
      <c r="P175" s="3574">
        <f t="shared" si="252"/>
        <v>16.011849570178029</v>
      </c>
      <c r="Q175" s="3574">
        <f t="shared" si="252"/>
        <v>19.36886595005387</v>
      </c>
      <c r="R175" s="3574">
        <f t="shared" si="252"/>
        <v>21.572899821261537</v>
      </c>
      <c r="S175" s="3574">
        <f t="shared" si="252"/>
        <v>24.214717111465745</v>
      </c>
      <c r="T175" s="2982">
        <f t="shared" si="249"/>
        <v>19.703158171604617</v>
      </c>
      <c r="U175" s="2982">
        <f t="shared" si="249"/>
        <v>-16.331315997639408</v>
      </c>
      <c r="V175" s="2982">
        <f t="shared" si="249"/>
        <v>-8.0534243748711773</v>
      </c>
      <c r="W175" s="2982">
        <f t="shared" si="249"/>
        <v>7.341306272671444</v>
      </c>
      <c r="X175" s="2982">
        <f t="shared" si="249"/>
        <v>3.416188025285849</v>
      </c>
      <c r="Y175" s="2982">
        <f t="shared" si="249"/>
        <v>7.0591565033926607</v>
      </c>
      <c r="Z175" s="2982">
        <f t="shared" si="249"/>
        <v>6.5638271939792991</v>
      </c>
      <c r="AA175" s="2982">
        <f t="shared" si="249"/>
        <v>7.2459332240053964</v>
      </c>
      <c r="AB175" s="2982">
        <f t="shared" si="249"/>
        <v>9.1831370110342156</v>
      </c>
      <c r="AC175" s="2982">
        <f t="shared" si="249"/>
        <v>12.035220633313614</v>
      </c>
      <c r="AD175" s="2982">
        <f t="shared" si="249"/>
        <v>7.3722510260284535</v>
      </c>
      <c r="AE175" s="2982">
        <f t="shared" si="249"/>
        <v>6.0991189601487861</v>
      </c>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row>
    <row r="176" spans="1:119" s="699" customFormat="1">
      <c r="A176" s="663"/>
      <c r="B176" s="663"/>
      <c r="C176" s="694"/>
      <c r="D176" s="670"/>
      <c r="F176" s="694"/>
      <c r="P176" s="547"/>
      <c r="Q176" s="547"/>
      <c r="R176" s="547"/>
      <c r="S176" s="547"/>
      <c r="T176" s="2286"/>
      <c r="U176" s="2286"/>
      <c r="V176" s="2286"/>
      <c r="W176" s="2286"/>
      <c r="X176" s="2286"/>
      <c r="Y176" s="2286"/>
      <c r="Z176" s="2286"/>
      <c r="AA176" s="2286"/>
      <c r="AB176" s="2286"/>
      <c r="AC176" s="2286"/>
      <c r="AD176" s="2286"/>
      <c r="AE176" s="228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row>
    <row r="177" spans="1:119">
      <c r="D177" s="971"/>
      <c r="E177" s="972" t="s">
        <v>220</v>
      </c>
      <c r="F177" s="973"/>
      <c r="G177" s="974">
        <f>+InputY!$G$3</f>
        <v>1995</v>
      </c>
      <c r="H177" s="974">
        <f>+G177+1</f>
        <v>1996</v>
      </c>
      <c r="I177" s="974">
        <f t="shared" ref="I177:O177" si="253">+H177+1</f>
        <v>1997</v>
      </c>
      <c r="J177" s="974">
        <f t="shared" si="253"/>
        <v>1998</v>
      </c>
      <c r="K177" s="974">
        <f t="shared" si="253"/>
        <v>1999</v>
      </c>
      <c r="L177" s="974">
        <f t="shared" si="253"/>
        <v>2000</v>
      </c>
      <c r="M177" s="974">
        <f t="shared" si="253"/>
        <v>2001</v>
      </c>
      <c r="N177" s="974">
        <f t="shared" si="253"/>
        <v>2002</v>
      </c>
      <c r="O177" s="974">
        <f t="shared" si="253"/>
        <v>2003</v>
      </c>
      <c r="P177" s="3576">
        <f t="shared" ref="P177:W177" si="254">+O177+1</f>
        <v>2004</v>
      </c>
      <c r="Q177" s="3576">
        <f t="shared" si="254"/>
        <v>2005</v>
      </c>
      <c r="R177" s="3576">
        <f t="shared" si="254"/>
        <v>2006</v>
      </c>
      <c r="S177" s="3576">
        <f t="shared" si="254"/>
        <v>2007</v>
      </c>
      <c r="T177" s="3577">
        <f t="shared" si="254"/>
        <v>2008</v>
      </c>
      <c r="U177" s="3577">
        <f t="shared" si="254"/>
        <v>2009</v>
      </c>
      <c r="V177" s="3577">
        <f t="shared" si="254"/>
        <v>2010</v>
      </c>
      <c r="W177" s="3577">
        <f t="shared" si="254"/>
        <v>2011</v>
      </c>
      <c r="X177" s="3577">
        <f t="shared" ref="X177:AE177" si="255">+W177+1</f>
        <v>2012</v>
      </c>
      <c r="Y177" s="3577">
        <f t="shared" si="255"/>
        <v>2013</v>
      </c>
      <c r="Z177" s="3577">
        <f t="shared" si="255"/>
        <v>2014</v>
      </c>
      <c r="AA177" s="3577">
        <f t="shared" si="255"/>
        <v>2015</v>
      </c>
      <c r="AB177" s="3577">
        <f t="shared" si="255"/>
        <v>2016</v>
      </c>
      <c r="AC177" s="3577">
        <f t="shared" si="255"/>
        <v>2017</v>
      </c>
      <c r="AD177" s="3577">
        <f t="shared" si="255"/>
        <v>2018</v>
      </c>
      <c r="AE177" s="3577">
        <f t="shared" si="255"/>
        <v>2019</v>
      </c>
    </row>
    <row r="178" spans="1:119" s="898" customFormat="1" ht="22.5">
      <c r="A178" s="897"/>
      <c r="B178" s="897"/>
      <c r="C178" s="962" t="s">
        <v>1767</v>
      </c>
      <c r="D178" s="963"/>
      <c r="E178" s="964" t="s">
        <v>449</v>
      </c>
      <c r="F178" s="965" t="s">
        <v>1321</v>
      </c>
      <c r="G178" s="1691">
        <f t="shared" ref="G178:P178" si="256">+G164/G210</f>
        <v>0.19103059245690793</v>
      </c>
      <c r="H178" s="1691">
        <f t="shared" si="256"/>
        <v>0.20234208246400057</v>
      </c>
      <c r="I178" s="1691">
        <f t="shared" si="256"/>
        <v>0.21775522044415388</v>
      </c>
      <c r="J178" s="1691">
        <f t="shared" si="256"/>
        <v>0.21967577989660736</v>
      </c>
      <c r="K178" s="1691">
        <f t="shared" si="256"/>
        <v>0.21200418561647119</v>
      </c>
      <c r="L178" s="1691">
        <f t="shared" si="256"/>
        <v>0.22772806971831813</v>
      </c>
      <c r="M178" s="1691">
        <f t="shared" si="256"/>
        <v>0.22343465044414748</v>
      </c>
      <c r="N178" s="1691">
        <f t="shared" si="256"/>
        <v>0.20856294385023644</v>
      </c>
      <c r="O178" s="1691">
        <f t="shared" si="256"/>
        <v>0.20107712862642235</v>
      </c>
      <c r="P178" s="3578">
        <f t="shared" si="256"/>
        <v>0.19979522949863504</v>
      </c>
      <c r="Q178" s="3578">
        <f t="shared" ref="Q178:T179" si="257">+Q164/Q210</f>
        <v>0.21257352978452679</v>
      </c>
      <c r="R178" s="3578">
        <f t="shared" si="257"/>
        <v>0.20967425268921244</v>
      </c>
      <c r="S178" s="3578">
        <f t="shared" si="257"/>
        <v>0.21926708550973439</v>
      </c>
      <c r="T178" s="2984">
        <f t="shared" si="257"/>
        <v>0.22087253184060271</v>
      </c>
      <c r="U178" s="2984">
        <f t="shared" ref="U178:W179" si="258">+U164/U210</f>
        <v>0.21689475496728394</v>
      </c>
      <c r="V178" s="2984">
        <f t="shared" si="258"/>
        <v>0.20089053803339518</v>
      </c>
      <c r="W178" s="2984">
        <f t="shared" si="258"/>
        <v>0.19576536810185732</v>
      </c>
      <c r="X178" s="2984">
        <f t="shared" ref="X178:Z179" si="259">+X164/X210</f>
        <v>0.19091503028395101</v>
      </c>
      <c r="Y178" s="2984">
        <f t="shared" si="259"/>
        <v>0.19457680424581802</v>
      </c>
      <c r="Z178" s="2984">
        <f t="shared" si="259"/>
        <v>0.19436781576872861</v>
      </c>
      <c r="AA178" s="2984">
        <f t="shared" ref="AA178:AC179" si="260">+AA164/AA210</f>
        <v>0.19416701589259991</v>
      </c>
      <c r="AB178" s="2984">
        <f t="shared" si="260"/>
        <v>0.1963467139971149</v>
      </c>
      <c r="AC178" s="2984">
        <f t="shared" si="260"/>
        <v>0.20414550249658561</v>
      </c>
      <c r="AD178" s="2984">
        <f>+AD164/AD210</f>
        <v>0.20857418775098965</v>
      </c>
      <c r="AE178" s="2984">
        <f>+AE164/AE210</f>
        <v>0.2095239759591053</v>
      </c>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row>
    <row r="179" spans="1:119" s="898" customFormat="1" ht="22.5">
      <c r="A179" s="897"/>
      <c r="B179" s="897"/>
      <c r="C179" s="966" t="s">
        <v>1767</v>
      </c>
      <c r="D179" s="908"/>
      <c r="E179" s="909" t="s">
        <v>450</v>
      </c>
      <c r="F179" s="918" t="s">
        <v>1322</v>
      </c>
      <c r="G179" s="1502">
        <f t="shared" ref="G179:P179" si="261">+G165/G211</f>
        <v>0.21112308339140315</v>
      </c>
      <c r="H179" s="1502">
        <f t="shared" si="261"/>
        <v>0.20816942782779238</v>
      </c>
      <c r="I179" s="1502">
        <f t="shared" si="261"/>
        <v>0.22018516266116639</v>
      </c>
      <c r="J179" s="1502">
        <f t="shared" si="261"/>
        <v>0.2194151412993996</v>
      </c>
      <c r="K179" s="1502">
        <f t="shared" si="261"/>
        <v>0.21517095500080147</v>
      </c>
      <c r="L179" s="1502">
        <f t="shared" si="261"/>
        <v>0.22441546934142784</v>
      </c>
      <c r="M179" s="1502">
        <f t="shared" si="261"/>
        <v>0.22564778815312492</v>
      </c>
      <c r="N179" s="1502">
        <f t="shared" si="261"/>
        <v>0.22813504899563491</v>
      </c>
      <c r="O179" s="1502">
        <f t="shared" si="261"/>
        <v>0.22915193803789238</v>
      </c>
      <c r="P179" s="3567">
        <f t="shared" si="261"/>
        <v>0.24765614613344358</v>
      </c>
      <c r="Q179" s="3567">
        <f t="shared" si="257"/>
        <v>0.23458487376223836</v>
      </c>
      <c r="R179" s="3567">
        <f t="shared" si="257"/>
        <v>0.25026251592064236</v>
      </c>
      <c r="S179" s="3567">
        <f t="shared" si="257"/>
        <v>0.26141655612316894</v>
      </c>
      <c r="T179" s="2284">
        <f t="shared" si="257"/>
        <v>0.26819724955405932</v>
      </c>
      <c r="U179" s="2284">
        <f t="shared" si="258"/>
        <v>0.26976242280647211</v>
      </c>
      <c r="V179" s="2284">
        <f t="shared" si="258"/>
        <v>0.26867701481607403</v>
      </c>
      <c r="W179" s="2284">
        <f t="shared" si="258"/>
        <v>0.28656097431294242</v>
      </c>
      <c r="X179" s="2284">
        <f t="shared" si="259"/>
        <v>0.29251205419529186</v>
      </c>
      <c r="Y179" s="2284">
        <f t="shared" si="259"/>
        <v>0.29305516032889511</v>
      </c>
      <c r="Z179" s="2284">
        <f t="shared" si="259"/>
        <v>0.29847060352671023</v>
      </c>
      <c r="AA179" s="2284">
        <f t="shared" si="260"/>
        <v>0.30244555946645363</v>
      </c>
      <c r="AB179" s="2284">
        <f t="shared" si="260"/>
        <v>0.30474574933922455</v>
      </c>
      <c r="AC179" s="2284">
        <f t="shared" si="260"/>
        <v>0.30703857390780254</v>
      </c>
      <c r="AD179" s="2284">
        <f>+AD165/AD211</f>
        <v>0.30615413790556173</v>
      </c>
      <c r="AE179" s="2284">
        <f>+AE165/AE211</f>
        <v>0.30595319932990128</v>
      </c>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row>
    <row r="180" spans="1:119" s="898" customFormat="1">
      <c r="A180" s="897"/>
      <c r="B180" s="897"/>
      <c r="C180" s="966" t="s">
        <v>1769</v>
      </c>
      <c r="D180" s="959"/>
      <c r="E180" s="960" t="s">
        <v>451</v>
      </c>
      <c r="F180" s="961" t="s">
        <v>237</v>
      </c>
      <c r="G180" s="975">
        <f t="shared" ref="G180:U180" si="262">+G166/G214</f>
        <v>0.18721362154599924</v>
      </c>
      <c r="H180" s="975">
        <f t="shared" si="262"/>
        <v>0.19595553360069659</v>
      </c>
      <c r="I180" s="975">
        <f t="shared" si="262"/>
        <v>0.20936109920953264</v>
      </c>
      <c r="J180" s="975">
        <f t="shared" si="262"/>
        <v>0.20944509739936759</v>
      </c>
      <c r="K180" s="975">
        <f t="shared" si="262"/>
        <v>0.20629934943455797</v>
      </c>
      <c r="L180" s="975">
        <f t="shared" si="262"/>
        <v>0.21606819992170467</v>
      </c>
      <c r="M180" s="975">
        <f t="shared" si="262"/>
        <v>0.21177951039775736</v>
      </c>
      <c r="N180" s="975">
        <f t="shared" si="262"/>
        <v>0.20271513972951169</v>
      </c>
      <c r="O180" s="975">
        <f t="shared" si="262"/>
        <v>0.19767257213312764</v>
      </c>
      <c r="P180" s="3579">
        <f t="shared" si="262"/>
        <v>0.20198979583757651</v>
      </c>
      <c r="Q180" s="3579">
        <f t="shared" si="262"/>
        <v>0.20692674430341723</v>
      </c>
      <c r="R180" s="3579">
        <f>+R166/R214</f>
        <v>0.20854699191421858</v>
      </c>
      <c r="S180" s="3579">
        <f>+S166/S214</f>
        <v>0.21595988933870949</v>
      </c>
      <c r="T180" s="2985">
        <f>+T166/T214</f>
        <v>0.22062379354471967</v>
      </c>
      <c r="U180" s="2985">
        <f t="shared" si="262"/>
        <v>0.22192306889570673</v>
      </c>
      <c r="V180" s="2985">
        <f t="shared" ref="V180:AA180" si="263">+V166/V214</f>
        <v>0.21089593085247824</v>
      </c>
      <c r="W180" s="2985">
        <f t="shared" si="263"/>
        <v>0.21186328336894078</v>
      </c>
      <c r="X180" s="2985">
        <f t="shared" si="263"/>
        <v>0.20952758908997035</v>
      </c>
      <c r="Y180" s="2985">
        <f t="shared" si="263"/>
        <v>0.2116495981115683</v>
      </c>
      <c r="Z180" s="2985">
        <f t="shared" si="263"/>
        <v>0.21245520185066533</v>
      </c>
      <c r="AA180" s="2985">
        <f t="shared" si="263"/>
        <v>0.21284264271024125</v>
      </c>
      <c r="AB180" s="2985">
        <f>+AB166/AB214</f>
        <v>0.21501843575484994</v>
      </c>
      <c r="AC180" s="2985">
        <f>+AC166/AC214</f>
        <v>0.22069802240885503</v>
      </c>
      <c r="AD180" s="2985">
        <f>+AD166/AD214</f>
        <v>0.22363577583662117</v>
      </c>
      <c r="AE180" s="2985">
        <f>+AE166/AE214</f>
        <v>0.22424013410939553</v>
      </c>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row>
    <row r="181" spans="1:119" s="898" customFormat="1" ht="22.5">
      <c r="A181" s="897"/>
      <c r="B181" s="897"/>
      <c r="C181" s="967" t="s">
        <v>1767</v>
      </c>
      <c r="D181" s="968"/>
      <c r="E181" s="969" t="s">
        <v>1313</v>
      </c>
      <c r="F181" s="970" t="s">
        <v>1549</v>
      </c>
      <c r="G181" s="976">
        <f t="shared" ref="G181:U181" si="264">+G167/G216</f>
        <v>0.12873599999971502</v>
      </c>
      <c r="H181" s="976">
        <f t="shared" si="264"/>
        <v>9.1225396826032817E-4</v>
      </c>
      <c r="I181" s="976">
        <f t="shared" si="264"/>
        <v>-2.2244285714275182E-3</v>
      </c>
      <c r="J181" s="976">
        <f t="shared" si="264"/>
        <v>1.388082987549946E-3</v>
      </c>
      <c r="K181" s="976">
        <f t="shared" si="264"/>
        <v>6.3341609195465588E-3</v>
      </c>
      <c r="L181" s="976">
        <f t="shared" si="264"/>
        <v>-3.2314909090950673E-2</v>
      </c>
      <c r="M181" s="976">
        <f t="shared" si="264"/>
        <v>-7.2036858638936749E-3</v>
      </c>
      <c r="N181" s="976">
        <f t="shared" si="264"/>
        <v>-1.1427034482760026E-2</v>
      </c>
      <c r="O181" s="976">
        <f t="shared" si="264"/>
        <v>-2.114923456790636E-2</v>
      </c>
      <c r="P181" s="3580">
        <f t="shared" si="264"/>
        <v>-1.2011222444936458E-3</v>
      </c>
      <c r="Q181" s="3580">
        <f t="shared" si="264"/>
        <v>-3.6216216216285444E-3</v>
      </c>
      <c r="R181" s="3580">
        <f t="shared" ref="R181:T182" si="265">+R167/R216</f>
        <v>-3.7623762376044409E-3</v>
      </c>
      <c r="S181" s="3580">
        <f t="shared" si="265"/>
        <v>-3.4591194968472843E-3</v>
      </c>
      <c r="T181" s="2986">
        <f t="shared" si="265"/>
        <v>0.19631578947369413</v>
      </c>
      <c r="U181" s="2986">
        <f t="shared" si="264"/>
        <v>0.42352941176486819</v>
      </c>
      <c r="V181" s="2986">
        <f t="shared" ref="V181:X182" si="266">+V167/V216</f>
        <v>0</v>
      </c>
      <c r="W181" s="2986">
        <f t="shared" si="266"/>
        <v>0</v>
      </c>
      <c r="X181" s="2986">
        <f t="shared" si="266"/>
        <v>0</v>
      </c>
      <c r="Y181" s="2986">
        <f t="shared" ref="Y181:AA182" si="267">+Y167/Y216</f>
        <v>0</v>
      </c>
      <c r="Z181" s="2986">
        <f t="shared" si="267"/>
        <v>0</v>
      </c>
      <c r="AA181" s="2986">
        <f t="shared" si="267"/>
        <v>0</v>
      </c>
      <c r="AB181" s="2986">
        <f t="shared" ref="AB181:AD182" si="268">+AB167/AB216</f>
        <v>0</v>
      </c>
      <c r="AC181" s="2986" t="e">
        <f t="shared" si="268"/>
        <v>#DIV/0!</v>
      </c>
      <c r="AD181" s="2986" t="e">
        <f t="shared" si="268"/>
        <v>#DIV/0!</v>
      </c>
      <c r="AE181" s="2986" t="e">
        <f t="shared" ref="AE181" si="269">+AE167/AE216</f>
        <v>#DIV/0!</v>
      </c>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row>
    <row r="182" spans="1:119" s="909" customFormat="1">
      <c r="A182" s="915"/>
      <c r="B182" s="915"/>
      <c r="C182" s="908" t="s">
        <v>1769</v>
      </c>
      <c r="D182" s="959"/>
      <c r="E182" s="960" t="s">
        <v>1314</v>
      </c>
      <c r="F182" s="961" t="s">
        <v>1556</v>
      </c>
      <c r="G182" s="975">
        <f t="shared" ref="G182:U182" si="270">+G168/G217</f>
        <v>0.18721695674651048</v>
      </c>
      <c r="H182" s="975">
        <f t="shared" si="270"/>
        <v>0.19790267010018692</v>
      </c>
      <c r="I182" s="975">
        <f t="shared" si="270"/>
        <v>0.21242494381268651</v>
      </c>
      <c r="J182" s="975">
        <f t="shared" si="270"/>
        <v>0.21217251726744157</v>
      </c>
      <c r="K182" s="975">
        <f t="shared" si="270"/>
        <v>0.20817031325765006</v>
      </c>
      <c r="L182" s="975">
        <f t="shared" si="270"/>
        <v>0.21547118563780102</v>
      </c>
      <c r="M182" s="975">
        <f t="shared" si="270"/>
        <v>0.20953617803915622</v>
      </c>
      <c r="N182" s="975">
        <f t="shared" si="270"/>
        <v>0.20063476587468654</v>
      </c>
      <c r="O182" s="975">
        <f t="shared" si="270"/>
        <v>0.19628807591043626</v>
      </c>
      <c r="P182" s="3579">
        <f t="shared" si="270"/>
        <v>0.19805485314141211</v>
      </c>
      <c r="Q182" s="3579">
        <f t="shared" si="270"/>
        <v>0.20243912525070124</v>
      </c>
      <c r="R182" s="3579">
        <f t="shared" si="265"/>
        <v>0.20444669217630293</v>
      </c>
      <c r="S182" s="3579">
        <f t="shared" si="265"/>
        <v>0.21316260141112547</v>
      </c>
      <c r="T182" s="2985">
        <f t="shared" si="265"/>
        <v>0.21998185300937592</v>
      </c>
      <c r="U182" s="2985">
        <f t="shared" si="270"/>
        <v>0.22169075327198579</v>
      </c>
      <c r="V182" s="2985">
        <f t="shared" si="266"/>
        <v>0.20977869917502212</v>
      </c>
      <c r="W182" s="2985">
        <f t="shared" si="266"/>
        <v>0.21095448381822413</v>
      </c>
      <c r="X182" s="2985">
        <f t="shared" si="266"/>
        <v>0.20902134329046237</v>
      </c>
      <c r="Y182" s="2985">
        <f t="shared" si="267"/>
        <v>0.21105647438015571</v>
      </c>
      <c r="Z182" s="2985">
        <f t="shared" si="267"/>
        <v>0.21227088352905527</v>
      </c>
      <c r="AA182" s="2985">
        <f t="shared" si="267"/>
        <v>0.21266627779868358</v>
      </c>
      <c r="AB182" s="2985">
        <f t="shared" si="268"/>
        <v>0.21515272783673345</v>
      </c>
      <c r="AC182" s="2985">
        <f t="shared" si="268"/>
        <v>0.22069802240885503</v>
      </c>
      <c r="AD182" s="2985">
        <f t="shared" si="268"/>
        <v>0.22363577583662117</v>
      </c>
      <c r="AE182" s="2985">
        <f t="shared" ref="AE182" si="271">+AE168/AE217</f>
        <v>0.22424013410939553</v>
      </c>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row>
    <row r="183" spans="1:119" s="699" customFormat="1" ht="30" customHeight="1">
      <c r="A183" s="663"/>
      <c r="B183" s="663"/>
      <c r="C183" s="694"/>
      <c r="D183" s="670"/>
      <c r="F183" s="694"/>
      <c r="P183" s="547"/>
      <c r="Q183" s="3226"/>
      <c r="R183" s="3537"/>
      <c r="S183" s="2286"/>
      <c r="T183" s="2286"/>
      <c r="U183" s="2286"/>
      <c r="V183" s="2286"/>
      <c r="W183" s="2286"/>
      <c r="X183" s="2286"/>
      <c r="Y183" s="2286"/>
      <c r="Z183" s="2286"/>
      <c r="AA183" s="2286"/>
      <c r="AB183" s="2286"/>
      <c r="AC183" s="2286"/>
      <c r="AD183" s="2286"/>
      <c r="AE183" s="2286"/>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row>
    <row r="184" spans="1:119" s="699" customFormat="1" ht="30" customHeight="1">
      <c r="A184" s="663"/>
      <c r="B184" s="663"/>
      <c r="C184" s="694"/>
      <c r="D184" s="670"/>
      <c r="F184" s="694"/>
      <c r="P184" s="547"/>
      <c r="Q184" s="3226"/>
      <c r="R184" s="3537"/>
      <c r="S184" s="2286"/>
      <c r="T184" s="2286"/>
      <c r="U184" s="2286"/>
      <c r="V184" s="2286"/>
      <c r="W184" s="2286"/>
      <c r="X184" s="2286"/>
      <c r="Y184" s="2286"/>
      <c r="Z184" s="2286"/>
      <c r="AA184" s="2286"/>
      <c r="AB184" s="2286"/>
      <c r="AC184" s="2286"/>
      <c r="AD184" s="2286"/>
      <c r="AE184" s="2286"/>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row>
    <row r="185" spans="1:119" s="699" customFormat="1" ht="22.5" customHeight="1">
      <c r="A185" s="663"/>
      <c r="B185" s="663"/>
      <c r="C185" s="3751" t="s">
        <v>975</v>
      </c>
      <c r="D185" s="3751"/>
      <c r="E185" s="3751"/>
      <c r="F185" s="3751"/>
      <c r="P185" s="547"/>
      <c r="Q185" s="3226"/>
      <c r="R185" s="3537"/>
      <c r="S185" s="2286"/>
      <c r="T185" s="2286"/>
      <c r="U185" s="2286"/>
      <c r="V185" s="2286"/>
      <c r="W185" s="2286"/>
      <c r="X185" s="2286"/>
      <c r="Y185" s="2286"/>
      <c r="Z185" s="2286"/>
      <c r="AA185" s="2286"/>
      <c r="AB185" s="2286"/>
      <c r="AC185" s="2286"/>
      <c r="AD185" s="2286"/>
      <c r="AE185" s="2286"/>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row>
    <row r="186" spans="1:119" s="699" customFormat="1">
      <c r="A186" s="663"/>
      <c r="B186" s="663"/>
      <c r="C186" s="694"/>
      <c r="D186" s="670"/>
      <c r="F186" s="694"/>
      <c r="P186" s="547"/>
      <c r="Q186" s="3226"/>
      <c r="R186" s="3537"/>
      <c r="S186" s="2286"/>
      <c r="T186" s="2286"/>
      <c r="U186" s="2286"/>
      <c r="V186" s="2286"/>
      <c r="W186" s="2286"/>
      <c r="X186" s="2286"/>
      <c r="Y186" s="2286"/>
      <c r="Z186" s="2286"/>
      <c r="AA186" s="2286"/>
      <c r="AB186" s="2286"/>
      <c r="AC186" s="2286"/>
      <c r="AD186" s="2286"/>
      <c r="AE186" s="22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row>
    <row r="187" spans="1:119">
      <c r="D187" s="900"/>
      <c r="E187" s="901" t="s">
        <v>788</v>
      </c>
      <c r="F187" s="902"/>
      <c r="G187" s="778">
        <f>+InputY!$G$3</f>
        <v>1995</v>
      </c>
      <c r="H187" s="778">
        <f>+G187+1</f>
        <v>1996</v>
      </c>
      <c r="I187" s="778">
        <f t="shared" ref="I187:O187" si="272">+H187+1</f>
        <v>1997</v>
      </c>
      <c r="J187" s="778">
        <f t="shared" si="272"/>
        <v>1998</v>
      </c>
      <c r="K187" s="778">
        <f t="shared" si="272"/>
        <v>1999</v>
      </c>
      <c r="L187" s="778">
        <f t="shared" si="272"/>
        <v>2000</v>
      </c>
      <c r="M187" s="778">
        <f t="shared" si="272"/>
        <v>2001</v>
      </c>
      <c r="N187" s="778">
        <f t="shared" si="272"/>
        <v>2002</v>
      </c>
      <c r="O187" s="778">
        <f t="shared" si="272"/>
        <v>2003</v>
      </c>
      <c r="P187" s="3538">
        <f t="shared" ref="P187:W187" si="273">+O187+1</f>
        <v>2004</v>
      </c>
      <c r="Q187" s="3538">
        <f t="shared" si="273"/>
        <v>2005</v>
      </c>
      <c r="R187" s="3538">
        <f t="shared" si="273"/>
        <v>2006</v>
      </c>
      <c r="S187" s="3538">
        <f t="shared" si="273"/>
        <v>2007</v>
      </c>
      <c r="T187" s="3539">
        <f>+S187+1</f>
        <v>2008</v>
      </c>
      <c r="U187" s="3539">
        <f>+T187+1</f>
        <v>2009</v>
      </c>
      <c r="V187" s="3539">
        <f t="shared" si="273"/>
        <v>2010</v>
      </c>
      <c r="W187" s="3539">
        <f t="shared" si="273"/>
        <v>2011</v>
      </c>
      <c r="X187" s="3539">
        <f t="shared" ref="X187:AE187" si="274">+W187+1</f>
        <v>2012</v>
      </c>
      <c r="Y187" s="3539">
        <f t="shared" si="274"/>
        <v>2013</v>
      </c>
      <c r="Z187" s="3539">
        <f t="shared" si="274"/>
        <v>2014</v>
      </c>
      <c r="AA187" s="3539">
        <f t="shared" si="274"/>
        <v>2015</v>
      </c>
      <c r="AB187" s="3539">
        <f t="shared" si="274"/>
        <v>2016</v>
      </c>
      <c r="AC187" s="3539">
        <f t="shared" si="274"/>
        <v>2017</v>
      </c>
      <c r="AD187" s="3539">
        <f t="shared" si="274"/>
        <v>2018</v>
      </c>
      <c r="AE187" s="3539">
        <f t="shared" si="274"/>
        <v>2019</v>
      </c>
    </row>
    <row r="188" spans="1:119">
      <c r="C188" s="675"/>
      <c r="D188" s="668"/>
      <c r="E188" s="708" t="s">
        <v>2042</v>
      </c>
      <c r="F188" s="710" t="s">
        <v>2010</v>
      </c>
      <c r="G188" s="1692" t="e">
        <f t="shared" ref="G188:Q188" si="275">(G210+G209)/G30*1000</f>
        <v>#VALUE!</v>
      </c>
      <c r="H188" s="1692" t="e">
        <f t="shared" si="275"/>
        <v>#VALUE!</v>
      </c>
      <c r="I188" s="1692" t="e">
        <f t="shared" si="275"/>
        <v>#VALUE!</v>
      </c>
      <c r="J188" s="1692" t="e">
        <f t="shared" si="275"/>
        <v>#VALUE!</v>
      </c>
      <c r="K188" s="1692" t="e">
        <f t="shared" si="275"/>
        <v>#VALUE!</v>
      </c>
      <c r="L188" s="1692">
        <f t="shared" si="275"/>
        <v>4.0862400253181725</v>
      </c>
      <c r="M188" s="1692">
        <f t="shared" si="275"/>
        <v>4.4031069295667837</v>
      </c>
      <c r="N188" s="1692">
        <f t="shared" si="275"/>
        <v>4.6241463001636829</v>
      </c>
      <c r="O188" s="1692">
        <f t="shared" si="275"/>
        <v>5.0804202670856249</v>
      </c>
      <c r="P188" s="3488">
        <f t="shared" si="275"/>
        <v>5.804629428385133</v>
      </c>
      <c r="Q188" s="3488">
        <f t="shared" si="275"/>
        <v>6.711084408466145</v>
      </c>
      <c r="R188" s="3488">
        <f t="shared" ref="R188:X188" si="276">(R210+R209)/R30*1000</f>
        <v>7.9509503058573223</v>
      </c>
      <c r="S188" s="3488">
        <f t="shared" si="276"/>
        <v>9.4028352915535631</v>
      </c>
      <c r="T188" s="3488">
        <f t="shared" si="276"/>
        <v>10.506803805108889</v>
      </c>
      <c r="U188" s="3488">
        <f t="shared" si="276"/>
        <v>9.1404674781569692</v>
      </c>
      <c r="V188" s="3488">
        <f t="shared" si="276"/>
        <v>9.3852110554445964</v>
      </c>
      <c r="W188" s="3488">
        <f t="shared" si="276"/>
        <v>10.017571673933146</v>
      </c>
      <c r="X188" s="3488">
        <f t="shared" si="276"/>
        <v>10.505039169562121</v>
      </c>
      <c r="Y188" s="3488">
        <f>(Y210+Y209)/Y30*1000</f>
        <v>11.131740563211503</v>
      </c>
      <c r="Z188" s="3488">
        <f>(Z210+Z209)/Z30*1000</f>
        <v>11.736270437937014</v>
      </c>
      <c r="AA188" s="3488">
        <f>(AA210+AA209)/AA30*1000</f>
        <v>12.567076100353029</v>
      </c>
      <c r="AB188" s="3488">
        <f>(AB210+AB209)/AB30*1000</f>
        <v>13.472560631408252</v>
      </c>
      <c r="AC188" s="2987">
        <f t="shared" ref="AC188:AD192" si="277">+AC112+AC143</f>
        <v>14.776350651216736</v>
      </c>
      <c r="AD188" s="2987">
        <f t="shared" si="277"/>
        <v>15.782847320278439</v>
      </c>
      <c r="AE188" s="2987">
        <f t="shared" ref="AE188" si="278">+AE112+AE143</f>
        <v>16.748855177895688</v>
      </c>
    </row>
    <row r="189" spans="1:119">
      <c r="C189" s="671"/>
      <c r="D189" s="674"/>
      <c r="E189" s="220" t="s">
        <v>930</v>
      </c>
      <c r="F189" s="710" t="s">
        <v>2011</v>
      </c>
      <c r="G189" s="1692">
        <f t="shared" ref="G189:Q189" si="279">+G211/G31*1000</f>
        <v>3.5697041984732829</v>
      </c>
      <c r="H189" s="1692">
        <f t="shared" si="279"/>
        <v>4.753511235955056</v>
      </c>
      <c r="I189" s="1692">
        <f t="shared" si="279"/>
        <v>5.9396157365050319</v>
      </c>
      <c r="J189" s="1692">
        <f t="shared" si="279"/>
        <v>7.5102599179206564</v>
      </c>
      <c r="K189" s="1692">
        <f t="shared" si="279"/>
        <v>7.2759759759759755</v>
      </c>
      <c r="L189" s="1692">
        <f t="shared" si="279"/>
        <v>6.7234629861982436</v>
      </c>
      <c r="M189" s="1692">
        <f t="shared" si="279"/>
        <v>7.0337313432835824</v>
      </c>
      <c r="N189" s="1692">
        <f t="shared" si="279"/>
        <v>7.5573633156966489</v>
      </c>
      <c r="O189" s="1692">
        <f t="shared" si="279"/>
        <v>8.2595006934812751</v>
      </c>
      <c r="P189" s="3488">
        <f t="shared" si="279"/>
        <v>8.6840317600352908</v>
      </c>
      <c r="Q189" s="3488">
        <f t="shared" si="279"/>
        <v>9.5332300199247282</v>
      </c>
      <c r="R189" s="3488">
        <f t="shared" ref="R189:X189" si="280">+R211/R31*1000</f>
        <v>12.78384034299714</v>
      </c>
      <c r="S189" s="3488">
        <f t="shared" si="280"/>
        <v>12.640385301462718</v>
      </c>
      <c r="T189" s="3488">
        <f t="shared" si="280"/>
        <v>15.504505308234453</v>
      </c>
      <c r="U189" s="3488">
        <f t="shared" si="280"/>
        <v>15.405945066859415</v>
      </c>
      <c r="V189" s="3488">
        <f t="shared" si="280"/>
        <v>14.235770465863078</v>
      </c>
      <c r="W189" s="3488">
        <f t="shared" si="280"/>
        <v>15.105258184910474</v>
      </c>
      <c r="X189" s="3488">
        <f t="shared" si="280"/>
        <v>15.648612116823557</v>
      </c>
      <c r="Y189" s="3488">
        <f>+Y211/Y31*1000</f>
        <v>16.280356968692089</v>
      </c>
      <c r="Z189" s="3488">
        <f>+Z211/Z31*1000</f>
        <v>16.714865060589968</v>
      </c>
      <c r="AA189" s="3488">
        <f>+AA211/AA31*1000</f>
        <v>16.880372694072477</v>
      </c>
      <c r="AB189" s="3488">
        <f>+AB211/AB31*1000</f>
        <v>17.364707494177285</v>
      </c>
      <c r="AC189" s="2988">
        <f t="shared" si="277"/>
        <v>18.613838608028498</v>
      </c>
      <c r="AD189" s="2988">
        <f t="shared" si="277"/>
        <v>19.750134774124973</v>
      </c>
      <c r="AE189" s="3700">
        <f t="shared" ref="AE189" si="281">+AE113+AE144</f>
        <v>20.879008945793259</v>
      </c>
    </row>
    <row r="190" spans="1:119">
      <c r="C190" s="671"/>
      <c r="D190" s="746"/>
      <c r="E190" s="750" t="s">
        <v>906</v>
      </c>
      <c r="F190" s="895" t="s">
        <v>339</v>
      </c>
      <c r="G190" s="922" t="e">
        <f t="shared" ref="G190:Q190" si="282">+G214/G32*1000</f>
        <v>#VALUE!</v>
      </c>
      <c r="H190" s="922" t="e">
        <f t="shared" si="282"/>
        <v>#VALUE!</v>
      </c>
      <c r="I190" s="922" t="e">
        <f t="shared" si="282"/>
        <v>#VALUE!</v>
      </c>
      <c r="J190" s="922" t="e">
        <f t="shared" si="282"/>
        <v>#VALUE!</v>
      </c>
      <c r="K190" s="922" t="e">
        <f t="shared" si="282"/>
        <v>#VALUE!</v>
      </c>
      <c r="L190" s="922">
        <f t="shared" si="282"/>
        <v>4.6473252420273354</v>
      </c>
      <c r="M190" s="922">
        <f t="shared" si="282"/>
        <v>4.9751395560171359</v>
      </c>
      <c r="N190" s="922">
        <f t="shared" si="282"/>
        <v>5.2220464656450813</v>
      </c>
      <c r="O190" s="922">
        <f t="shared" si="282"/>
        <v>5.6874106244372653</v>
      </c>
      <c r="P190" s="3543">
        <f t="shared" si="282"/>
        <v>6.3737814979509979</v>
      </c>
      <c r="Q190" s="3543">
        <f t="shared" si="282"/>
        <v>7.2537354095541353</v>
      </c>
      <c r="R190" s="3543">
        <f t="shared" ref="R190:X190" si="283">+R214/R32*1000</f>
        <v>8.7578184916915198</v>
      </c>
      <c r="S190" s="3543">
        <f t="shared" si="283"/>
        <v>9.9913266215975209</v>
      </c>
      <c r="T190" s="3543">
        <f t="shared" si="283"/>
        <v>11.396259218977001</v>
      </c>
      <c r="U190" s="3543">
        <f t="shared" si="283"/>
        <v>10.337395251697979</v>
      </c>
      <c r="V190" s="3543">
        <f t="shared" si="283"/>
        <v>10.323262051337437</v>
      </c>
      <c r="W190" s="3543">
        <f t="shared" si="283"/>
        <v>10.979141925978839</v>
      </c>
      <c r="X190" s="3543">
        <f t="shared" si="283"/>
        <v>11.444716859660106</v>
      </c>
      <c r="Y190" s="3543">
        <f>+Y214/Y32*1000</f>
        <v>12.05810300956392</v>
      </c>
      <c r="Z190" s="3543">
        <f>+Z214/Z32*1000</f>
        <v>12.626646980607504</v>
      </c>
      <c r="AA190" s="3543">
        <f>+AA214/AA32*1000</f>
        <v>13.353783091374893</v>
      </c>
      <c r="AB190" s="3543">
        <f>+AB214/AB32*1000</f>
        <v>14.186759406687338</v>
      </c>
      <c r="AC190" s="2969">
        <f t="shared" si="277"/>
        <v>15.468689252135199</v>
      </c>
      <c r="AD190" s="2969">
        <f t="shared" si="277"/>
        <v>16.495359389525113</v>
      </c>
      <c r="AE190" s="2969">
        <f t="shared" ref="AE190" si="284">+AE114+AE145</f>
        <v>17.490678494808797</v>
      </c>
    </row>
    <row r="191" spans="1:119">
      <c r="C191" s="672"/>
      <c r="D191" s="676"/>
      <c r="E191" s="711" t="s">
        <v>907</v>
      </c>
      <c r="F191" s="899" t="s">
        <v>1707</v>
      </c>
      <c r="G191" s="923" t="e">
        <f t="shared" ref="G191:Q191" si="285">+G216/G35*1000</f>
        <v>#VALUE!</v>
      </c>
      <c r="H191" s="923" t="e">
        <f t="shared" si="285"/>
        <v>#VALUE!</v>
      </c>
      <c r="I191" s="923" t="e">
        <f t="shared" si="285"/>
        <v>#VALUE!</v>
      </c>
      <c r="J191" s="923" t="e">
        <f t="shared" si="285"/>
        <v>#VALUE!</v>
      </c>
      <c r="K191" s="923" t="e">
        <f t="shared" si="285"/>
        <v>#VALUE!</v>
      </c>
      <c r="L191" s="923">
        <f t="shared" si="285"/>
        <v>3.5795732628006096</v>
      </c>
      <c r="M191" s="923">
        <f t="shared" si="285"/>
        <v>5.0703412960875056</v>
      </c>
      <c r="N191" s="923">
        <f t="shared" si="285"/>
        <v>4.1348827261709564</v>
      </c>
      <c r="O191" s="923">
        <f t="shared" si="285"/>
        <v>2.7167598727724611</v>
      </c>
      <c r="P191" s="3544">
        <f t="shared" si="285"/>
        <v>9.4891916775643281</v>
      </c>
      <c r="Q191" s="3544">
        <f t="shared" si="285"/>
        <v>10.863182618907826</v>
      </c>
      <c r="R191" s="3544">
        <f t="shared" ref="R191:X191" si="286">+R216/R35*1000</f>
        <v>13.484646194926553</v>
      </c>
      <c r="S191" s="3544">
        <f t="shared" si="286"/>
        <v>17.472527472527648</v>
      </c>
      <c r="T191" s="3544">
        <f t="shared" si="286"/>
        <v>32.423208191125575</v>
      </c>
      <c r="U191" s="3544">
        <f t="shared" si="286"/>
        <v>9.3922651933704504</v>
      </c>
      <c r="V191" s="3544">
        <f t="shared" si="286"/>
        <v>172.72727272727116</v>
      </c>
      <c r="W191" s="3544">
        <f t="shared" si="286"/>
        <v>152.22222222224531</v>
      </c>
      <c r="X191" s="3544">
        <f t="shared" si="286"/>
        <v>19.090909090910671</v>
      </c>
      <c r="Y191" s="3544">
        <f>+Y216/Y35*1000</f>
        <v>28.906250000000615</v>
      </c>
      <c r="Z191" s="3544">
        <f>+Z216/Z35*1000</f>
        <v>-12.080536912751603</v>
      </c>
      <c r="AA191" s="3544">
        <f>+AA216/AA35*1000</f>
        <v>-1.0638297872339808</v>
      </c>
      <c r="AB191" s="3544">
        <f>+AB216/AB35*1000</f>
        <v>-52.222222222230137</v>
      </c>
      <c r="AC191" s="2970">
        <f t="shared" si="277"/>
        <v>-37.576826161503149</v>
      </c>
      <c r="AD191" s="2970">
        <f t="shared" si="277"/>
        <v>-39.929341486226221</v>
      </c>
      <c r="AE191" s="2970">
        <f t="shared" ref="AE191" si="287">+AE115+AE146</f>
        <v>-42.305693224924653</v>
      </c>
    </row>
    <row r="192" spans="1:119" s="220" customFormat="1">
      <c r="A192" s="903"/>
      <c r="B192" s="903"/>
      <c r="C192" s="674"/>
      <c r="D192" s="746"/>
      <c r="E192" s="750" t="s">
        <v>2009</v>
      </c>
      <c r="F192" s="895" t="s">
        <v>1708</v>
      </c>
      <c r="G192" s="922" t="e">
        <f t="shared" ref="G192:Q192" si="288">+G217/G77*1000</f>
        <v>#VALUE!</v>
      </c>
      <c r="H192" s="922" t="e">
        <f t="shared" si="288"/>
        <v>#VALUE!</v>
      </c>
      <c r="I192" s="922" t="e">
        <f t="shared" si="288"/>
        <v>#VALUE!</v>
      </c>
      <c r="J192" s="922" t="e">
        <f t="shared" si="288"/>
        <v>#VALUE!</v>
      </c>
      <c r="K192" s="922" t="e">
        <f t="shared" si="288"/>
        <v>#VALUE!</v>
      </c>
      <c r="L192" s="922">
        <f t="shared" si="288"/>
        <v>4.6585012101366745</v>
      </c>
      <c r="M192" s="922">
        <f t="shared" si="288"/>
        <v>5.0266408263941678</v>
      </c>
      <c r="N192" s="922">
        <f t="shared" si="288"/>
        <v>5.2727542353839922</v>
      </c>
      <c r="O192" s="922">
        <f t="shared" si="288"/>
        <v>5.723063750154477</v>
      </c>
      <c r="P192" s="3543">
        <f t="shared" si="288"/>
        <v>6.499651233760571</v>
      </c>
      <c r="Q192" s="3543">
        <f t="shared" si="288"/>
        <v>7.4117166282128784</v>
      </c>
      <c r="R192" s="3543">
        <f t="shared" ref="R192:Z192" si="289">+R217/R77*1000</f>
        <v>8.9302939923306361</v>
      </c>
      <c r="S192" s="3543">
        <f t="shared" si="289"/>
        <v>10.120349204805214</v>
      </c>
      <c r="T192" s="3543">
        <f t="shared" si="289"/>
        <v>11.496820494907235</v>
      </c>
      <c r="U192" s="3543">
        <f t="shared" si="289"/>
        <v>10.37625676387079</v>
      </c>
      <c r="V192" s="3543">
        <f t="shared" si="289"/>
        <v>10.514760413291572</v>
      </c>
      <c r="W192" s="3543">
        <f t="shared" si="289"/>
        <v>11.134881021474174</v>
      </c>
      <c r="X192" s="3543">
        <f t="shared" si="289"/>
        <v>11.47889125047403</v>
      </c>
      <c r="Y192" s="3543">
        <f t="shared" si="289"/>
        <v>12.108660173729929</v>
      </c>
      <c r="Z192" s="3543">
        <f t="shared" si="289"/>
        <v>12.62492013331261</v>
      </c>
      <c r="AA192" s="3543">
        <f>+AA217/AA77*1000</f>
        <v>13.366584116140052</v>
      </c>
      <c r="AB192" s="3543">
        <f>+AB217/AB77*1000</f>
        <v>14.155819994971926</v>
      </c>
      <c r="AC192" s="2969">
        <f t="shared" si="277"/>
        <v>15.447819076157506</v>
      </c>
      <c r="AD192" s="2969">
        <f t="shared" si="277"/>
        <v>16.473102722611422</v>
      </c>
      <c r="AE192" s="2969">
        <f t="shared" ref="AE192" si="290">+AE116+AE147</f>
        <v>17.467101313368701</v>
      </c>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row>
    <row r="193" spans="1:119" s="1933" customFormat="1">
      <c r="A193" s="1931"/>
      <c r="B193" s="1931"/>
      <c r="C193" s="1849"/>
      <c r="D193" s="1849"/>
      <c r="E193" s="1933" t="s">
        <v>2451</v>
      </c>
      <c r="F193"/>
      <c r="T193" s="3581"/>
      <c r="U193" s="3581"/>
      <c r="V193" s="3581"/>
      <c r="W193" s="3581"/>
      <c r="X193" s="3581"/>
      <c r="Y193" s="3582">
        <f t="shared" ref="Y193:AD193" si="291">Y190-(Y214/Y32)*1000</f>
        <v>0</v>
      </c>
      <c r="Z193" s="3582">
        <f t="shared" si="291"/>
        <v>0</v>
      </c>
      <c r="AA193" s="3582">
        <f>AA190-(AA214/AA32)*1000</f>
        <v>0</v>
      </c>
      <c r="AB193" s="3582">
        <f>AB190-(AB214/AB32)*1000</f>
        <v>0</v>
      </c>
      <c r="AC193" s="3582">
        <f t="shared" si="291"/>
        <v>-1.3084684258188872E-2</v>
      </c>
      <c r="AD193" s="3582">
        <f t="shared" si="291"/>
        <v>0</v>
      </c>
      <c r="AE193" s="3582">
        <f t="shared" ref="AE193" si="292">AE190-(AE214/AE32)*1000</f>
        <v>0</v>
      </c>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row>
    <row r="194" spans="1:119">
      <c r="D194" s="929"/>
      <c r="E194" s="930" t="s">
        <v>788</v>
      </c>
      <c r="F194" s="928"/>
      <c r="G194" s="745">
        <f>+InputY!$G$3</f>
        <v>1995</v>
      </c>
      <c r="H194" s="745">
        <f>+G194+1</f>
        <v>1996</v>
      </c>
      <c r="I194" s="745">
        <f t="shared" ref="I194:O194" si="293">+H194+1</f>
        <v>1997</v>
      </c>
      <c r="J194" s="745">
        <f t="shared" si="293"/>
        <v>1998</v>
      </c>
      <c r="K194" s="745">
        <f t="shared" si="293"/>
        <v>1999</v>
      </c>
      <c r="L194" s="745">
        <f t="shared" si="293"/>
        <v>2000</v>
      </c>
      <c r="M194" s="745">
        <f t="shared" si="293"/>
        <v>2001</v>
      </c>
      <c r="N194" s="745">
        <f t="shared" si="293"/>
        <v>2002</v>
      </c>
      <c r="O194" s="745">
        <f t="shared" si="293"/>
        <v>2003</v>
      </c>
      <c r="P194" s="3495">
        <f t="shared" ref="P194:W194" si="294">+O194+1</f>
        <v>2004</v>
      </c>
      <c r="Q194" s="3495">
        <f t="shared" si="294"/>
        <v>2005</v>
      </c>
      <c r="R194" s="3495">
        <f t="shared" si="294"/>
        <v>2006</v>
      </c>
      <c r="S194" s="3495">
        <f t="shared" si="294"/>
        <v>2007</v>
      </c>
      <c r="T194" s="3496">
        <f>+S194+1</f>
        <v>2008</v>
      </c>
      <c r="U194" s="3496">
        <f>+T194+1</f>
        <v>2009</v>
      </c>
      <c r="V194" s="3496">
        <f t="shared" si="294"/>
        <v>2010</v>
      </c>
      <c r="W194" s="3496">
        <f t="shared" si="294"/>
        <v>2011</v>
      </c>
      <c r="X194" s="3496">
        <f t="shared" ref="X194:AE194" si="295">+W194+1</f>
        <v>2012</v>
      </c>
      <c r="Y194" s="3496">
        <f t="shared" si="295"/>
        <v>2013</v>
      </c>
      <c r="Z194" s="3496">
        <f t="shared" si="295"/>
        <v>2014</v>
      </c>
      <c r="AA194" s="3496">
        <f t="shared" si="295"/>
        <v>2015</v>
      </c>
      <c r="AB194" s="3496">
        <f t="shared" si="295"/>
        <v>2016</v>
      </c>
      <c r="AC194" s="3496">
        <f t="shared" si="295"/>
        <v>2017</v>
      </c>
      <c r="AD194" s="3496">
        <f t="shared" si="295"/>
        <v>2018</v>
      </c>
      <c r="AE194" s="3496">
        <f t="shared" si="295"/>
        <v>2019</v>
      </c>
    </row>
    <row r="195" spans="1:119">
      <c r="C195" s="762"/>
      <c r="D195" s="689"/>
      <c r="E195" s="732" t="s">
        <v>2042</v>
      </c>
      <c r="F195" s="710" t="s">
        <v>2010</v>
      </c>
      <c r="H195" s="1692" t="e">
        <f t="shared" ref="H195:AE196" si="296">(H188/G188-1)*100</f>
        <v>#VALUE!</v>
      </c>
      <c r="I195" s="1692" t="e">
        <f t="shared" si="296"/>
        <v>#VALUE!</v>
      </c>
      <c r="J195" s="1692" t="e">
        <f t="shared" si="296"/>
        <v>#VALUE!</v>
      </c>
      <c r="K195" s="1692" t="e">
        <f t="shared" si="296"/>
        <v>#VALUE!</v>
      </c>
      <c r="L195" s="1692" t="e">
        <f t="shared" si="296"/>
        <v>#VALUE!</v>
      </c>
      <c r="M195" s="1692">
        <f t="shared" si="296"/>
        <v>7.7544858423713947</v>
      </c>
      <c r="N195" s="1692">
        <f t="shared" si="296"/>
        <v>5.0200772802637017</v>
      </c>
      <c r="O195" s="1692">
        <f t="shared" si="296"/>
        <v>9.8672043941557597</v>
      </c>
      <c r="P195" s="3488">
        <f t="shared" si="296"/>
        <v>14.254906547622092</v>
      </c>
      <c r="Q195" s="3488">
        <f t="shared" si="296"/>
        <v>15.61606974681915</v>
      </c>
      <c r="R195" s="3488">
        <f t="shared" si="296"/>
        <v>18.474896483600567</v>
      </c>
      <c r="S195" s="3488">
        <f t="shared" si="296"/>
        <v>18.260521445174472</v>
      </c>
      <c r="T195" s="2989">
        <f t="shared" ref="T195:U199" si="297">(T188/S188-1)*100</f>
        <v>11.740804548038897</v>
      </c>
      <c r="U195" s="2989">
        <f>(U188/T188-1)*100</f>
        <v>-13.004300378080202</v>
      </c>
      <c r="V195" s="2989">
        <f>(V188/U188-1)*100</f>
        <v>2.6775827152439646</v>
      </c>
      <c r="W195" s="2989">
        <f t="shared" si="296"/>
        <v>6.7378412137220955</v>
      </c>
      <c r="X195" s="2989">
        <f t="shared" si="296"/>
        <v>4.8661243612303728</v>
      </c>
      <c r="Y195" s="2989">
        <f t="shared" si="296"/>
        <v>5.9657216268666602</v>
      </c>
      <c r="Z195" s="2989">
        <f t="shared" si="296"/>
        <v>5.4306859856523948</v>
      </c>
      <c r="AA195" s="2989">
        <f t="shared" si="296"/>
        <v>7.0789580626096527</v>
      </c>
      <c r="AB195" s="2989">
        <f t="shared" si="296"/>
        <v>7.2052124442040011</v>
      </c>
      <c r="AC195" s="2989">
        <f t="shared" si="296"/>
        <v>9.6773735556178622</v>
      </c>
      <c r="AD195" s="2989">
        <f t="shared" si="296"/>
        <v>6.8115375224857999</v>
      </c>
      <c r="AE195" s="2989">
        <f t="shared" si="296"/>
        <v>6.1206184030943689</v>
      </c>
    </row>
    <row r="196" spans="1:119">
      <c r="C196" s="932"/>
      <c r="D196" s="674"/>
      <c r="E196" s="220" t="s">
        <v>930</v>
      </c>
      <c r="F196" s="710" t="s">
        <v>2011</v>
      </c>
      <c r="H196" s="1692">
        <f t="shared" si="296"/>
        <v>33.162608767081394</v>
      </c>
      <c r="I196" s="1692">
        <f t="shared" si="296"/>
        <v>24.952176226668122</v>
      </c>
      <c r="J196" s="1692">
        <f t="shared" si="296"/>
        <v>26.443531889822513</v>
      </c>
      <c r="K196" s="1692">
        <f t="shared" si="296"/>
        <v>-3.1195184255293551</v>
      </c>
      <c r="L196" s="1692">
        <f t="shared" si="296"/>
        <v>-7.5936615459154204</v>
      </c>
      <c r="M196" s="1692">
        <f t="shared" si="296"/>
        <v>4.6147105698692847</v>
      </c>
      <c r="N196" s="1692">
        <f t="shared" si="296"/>
        <v>7.4445830649058742</v>
      </c>
      <c r="O196" s="1692">
        <f t="shared" si="296"/>
        <v>9.2907717738842432</v>
      </c>
      <c r="P196" s="3488">
        <f t="shared" si="296"/>
        <v>5.1399119911579305</v>
      </c>
      <c r="Q196" s="3488">
        <f t="shared" si="296"/>
        <v>9.7788479286490482</v>
      </c>
      <c r="R196" s="3488">
        <f t="shared" si="296"/>
        <v>34.09768060015903</v>
      </c>
      <c r="S196" s="3488">
        <f t="shared" si="296"/>
        <v>-1.1221592079175502</v>
      </c>
      <c r="T196" s="2989">
        <f t="shared" si="297"/>
        <v>22.658486576673464</v>
      </c>
      <c r="U196" s="2989">
        <f t="shared" si="297"/>
        <v>-0.63568775278945999</v>
      </c>
      <c r="V196" s="2989">
        <f t="shared" si="296"/>
        <v>-7.5956041379997119</v>
      </c>
      <c r="W196" s="2989">
        <f t="shared" si="296"/>
        <v>6.1077671990595661</v>
      </c>
      <c r="X196" s="2989">
        <f t="shared" si="296"/>
        <v>3.5971178066712683</v>
      </c>
      <c r="Y196" s="2989">
        <f t="shared" si="296"/>
        <v>4.037066336313333</v>
      </c>
      <c r="Z196" s="2989">
        <f t="shared" si="296"/>
        <v>2.6689101027296713</v>
      </c>
      <c r="AA196" s="2989">
        <f t="shared" si="296"/>
        <v>0.99018228913341222</v>
      </c>
      <c r="AB196" s="2989">
        <f t="shared" si="296"/>
        <v>2.8692186415699261</v>
      </c>
      <c r="AC196" s="2989">
        <f t="shared" si="296"/>
        <v>7.1935050692335079</v>
      </c>
      <c r="AD196" s="2989">
        <f t="shared" si="296"/>
        <v>6.104577298775804</v>
      </c>
      <c r="AE196" s="2989">
        <f t="shared" si="296"/>
        <v>5.7157795862094352</v>
      </c>
    </row>
    <row r="197" spans="1:119">
      <c r="C197" s="932"/>
      <c r="D197" s="717"/>
      <c r="E197" s="718" t="s">
        <v>906</v>
      </c>
      <c r="F197" s="924" t="s">
        <v>339</v>
      </c>
      <c r="G197" s="925"/>
      <c r="H197" s="925" t="e">
        <f>(H190/G190-1)*100</f>
        <v>#VALUE!</v>
      </c>
      <c r="I197" s="925" t="e">
        <f t="shared" ref="I197:S197" si="298">(I190/H190-1)*100</f>
        <v>#VALUE!</v>
      </c>
      <c r="J197" s="925" t="e">
        <f t="shared" si="298"/>
        <v>#VALUE!</v>
      </c>
      <c r="K197" s="925" t="e">
        <f t="shared" si="298"/>
        <v>#VALUE!</v>
      </c>
      <c r="L197" s="925" t="e">
        <f t="shared" si="298"/>
        <v>#VALUE!</v>
      </c>
      <c r="M197" s="925">
        <f t="shared" si="298"/>
        <v>7.0538276732875271</v>
      </c>
      <c r="N197" s="925">
        <f t="shared" si="298"/>
        <v>4.9628137431708019</v>
      </c>
      <c r="O197" s="925">
        <f t="shared" si="298"/>
        <v>8.9115284946951867</v>
      </c>
      <c r="P197" s="3549">
        <f t="shared" si="298"/>
        <v>12.068248959633454</v>
      </c>
      <c r="Q197" s="3549">
        <f t="shared" si="298"/>
        <v>13.805837427687461</v>
      </c>
      <c r="R197" s="3549">
        <f t="shared" si="298"/>
        <v>20.73529012591646</v>
      </c>
      <c r="S197" s="3549">
        <f t="shared" si="298"/>
        <v>14.084650544838562</v>
      </c>
      <c r="T197" s="2972">
        <f t="shared" si="297"/>
        <v>14.061522063972355</v>
      </c>
      <c r="U197" s="2972">
        <f t="shared" si="297"/>
        <v>-9.2913292593047263</v>
      </c>
      <c r="V197" s="2972">
        <f t="shared" ref="V197:AE199" si="299">(V190/U190-1)*100</f>
        <v>-0.13671916393271921</v>
      </c>
      <c r="W197" s="2972">
        <f t="shared" si="299"/>
        <v>6.3534168887675158</v>
      </c>
      <c r="X197" s="2972">
        <f t="shared" si="299"/>
        <v>4.2405402609799969</v>
      </c>
      <c r="Y197" s="2972">
        <f t="shared" si="299"/>
        <v>5.3595572299901528</v>
      </c>
      <c r="Z197" s="2972">
        <f t="shared" si="299"/>
        <v>4.715036607272638</v>
      </c>
      <c r="AA197" s="2972">
        <f t="shared" si="299"/>
        <v>5.7587426961738464</v>
      </c>
      <c r="AB197" s="2972">
        <f t="shared" si="299"/>
        <v>6.237755320815852</v>
      </c>
      <c r="AC197" s="2972">
        <f t="shared" si="299"/>
        <v>9.0361005547439319</v>
      </c>
      <c r="AD197" s="2972">
        <f t="shared" si="299"/>
        <v>6.6370855387646976</v>
      </c>
      <c r="AE197" s="2972">
        <f t="shared" si="299"/>
        <v>6.0339340403564146</v>
      </c>
    </row>
    <row r="198" spans="1:119">
      <c r="C198" s="690"/>
      <c r="D198" s="691"/>
      <c r="E198" s="735" t="s">
        <v>907</v>
      </c>
      <c r="F198" s="933" t="s">
        <v>1707</v>
      </c>
      <c r="G198" s="934"/>
      <c r="H198" s="934" t="e">
        <f t="shared" ref="H198:S198" si="300">(H191/G191-1)*100</f>
        <v>#VALUE!</v>
      </c>
      <c r="I198" s="934" t="e">
        <f t="shared" si="300"/>
        <v>#VALUE!</v>
      </c>
      <c r="J198" s="934" t="e">
        <f t="shared" si="300"/>
        <v>#VALUE!</v>
      </c>
      <c r="K198" s="934" t="e">
        <f t="shared" si="300"/>
        <v>#VALUE!</v>
      </c>
      <c r="L198" s="934" t="e">
        <f t="shared" si="300"/>
        <v>#VALUE!</v>
      </c>
      <c r="M198" s="934">
        <f t="shared" si="300"/>
        <v>41.646529455875395</v>
      </c>
      <c r="N198" s="934">
        <f t="shared" si="300"/>
        <v>-18.449617398307872</v>
      </c>
      <c r="O198" s="934">
        <f t="shared" si="300"/>
        <v>-34.296567697621882</v>
      </c>
      <c r="P198" s="3550">
        <f t="shared" si="300"/>
        <v>249.28341561083869</v>
      </c>
      <c r="Q198" s="3550">
        <f t="shared" si="300"/>
        <v>14.479536171580133</v>
      </c>
      <c r="R198" s="3550">
        <f t="shared" si="300"/>
        <v>24.131634972756121</v>
      </c>
      <c r="S198" s="3550">
        <f t="shared" si="300"/>
        <v>29.573495811121031</v>
      </c>
      <c r="T198" s="2990">
        <f t="shared" si="297"/>
        <v>85.566789018389784</v>
      </c>
      <c r="U198" s="2990">
        <f t="shared" si="297"/>
        <v>-71.032276824656833</v>
      </c>
      <c r="V198" s="2990">
        <f t="shared" si="299"/>
        <v>1739.0374331550079</v>
      </c>
      <c r="W198" s="2990">
        <f t="shared" si="299"/>
        <v>-11.8713450292256</v>
      </c>
      <c r="X198" s="2990">
        <f t="shared" si="299"/>
        <v>-87.458526874586127</v>
      </c>
      <c r="Y198" s="2990">
        <f t="shared" si="299"/>
        <v>51.413690476181159</v>
      </c>
      <c r="Z198" s="2990">
        <f t="shared" si="299"/>
        <v>-141.79212769816684</v>
      </c>
      <c r="AA198" s="2990">
        <f t="shared" si="299"/>
        <v>-91.193853427896428</v>
      </c>
      <c r="AB198" s="2990">
        <f t="shared" si="299"/>
        <v>4808.8888888899173</v>
      </c>
      <c r="AC198" s="2990">
        <f t="shared" si="299"/>
        <v>-28.044375435430403</v>
      </c>
      <c r="AD198" s="2990">
        <f t="shared" si="299"/>
        <v>6.2605482288793812</v>
      </c>
      <c r="AE198" s="2990">
        <f t="shared" si="299"/>
        <v>5.9513922600455738</v>
      </c>
    </row>
    <row r="199" spans="1:119" s="220" customFormat="1">
      <c r="A199" s="903"/>
      <c r="B199" s="903"/>
      <c r="C199" s="674"/>
      <c r="D199" s="717"/>
      <c r="E199" s="718" t="s">
        <v>2009</v>
      </c>
      <c r="F199" s="924" t="s">
        <v>1708</v>
      </c>
      <c r="G199" s="925"/>
      <c r="H199" s="925" t="e">
        <f t="shared" ref="H199:S199" si="301">(H192/G192-1)*100</f>
        <v>#VALUE!</v>
      </c>
      <c r="I199" s="925" t="e">
        <f t="shared" si="301"/>
        <v>#VALUE!</v>
      </c>
      <c r="J199" s="925" t="e">
        <f t="shared" si="301"/>
        <v>#VALUE!</v>
      </c>
      <c r="K199" s="925" t="e">
        <f t="shared" si="301"/>
        <v>#VALUE!</v>
      </c>
      <c r="L199" s="925" t="e">
        <f t="shared" si="301"/>
        <v>#VALUE!</v>
      </c>
      <c r="M199" s="925">
        <f t="shared" si="301"/>
        <v>7.9025334469472464</v>
      </c>
      <c r="N199" s="925">
        <f t="shared" si="301"/>
        <v>4.89618052074694</v>
      </c>
      <c r="O199" s="925">
        <f t="shared" si="301"/>
        <v>8.5403091945492662</v>
      </c>
      <c r="P199" s="3549">
        <f t="shared" si="301"/>
        <v>13.569436188529838</v>
      </c>
      <c r="Q199" s="3549">
        <f t="shared" si="301"/>
        <v>14.032528233435748</v>
      </c>
      <c r="R199" s="3549">
        <f t="shared" si="301"/>
        <v>20.488875118852445</v>
      </c>
      <c r="S199" s="3549">
        <f t="shared" si="301"/>
        <v>13.326047423484599</v>
      </c>
      <c r="T199" s="2972">
        <f t="shared" si="297"/>
        <v>13.601025639001296</v>
      </c>
      <c r="U199" s="2972">
        <f t="shared" si="297"/>
        <v>-9.746727206298667</v>
      </c>
      <c r="V199" s="2972">
        <f t="shared" si="299"/>
        <v>1.3348132430862636</v>
      </c>
      <c r="W199" s="2972">
        <f t="shared" si="299"/>
        <v>5.8976199533630425</v>
      </c>
      <c r="X199" s="2972">
        <f t="shared" si="299"/>
        <v>3.0894827554638127</v>
      </c>
      <c r="Y199" s="2972">
        <f>(Y192/X192-1)*100</f>
        <v>5.4863218887093446</v>
      </c>
      <c r="Z199" s="2972">
        <f>(Z192/Y192-1)*100</f>
        <v>4.2635597347320253</v>
      </c>
      <c r="AA199" s="2972">
        <f t="shared" si="299"/>
        <v>5.8746033637904649</v>
      </c>
      <c r="AB199" s="2972">
        <f t="shared" si="299"/>
        <v>5.9045442872639242</v>
      </c>
      <c r="AC199" s="2972">
        <f t="shared" si="299"/>
        <v>9.1269815640810048</v>
      </c>
      <c r="AD199" s="2972">
        <f t="shared" si="299"/>
        <v>6.6370769970782506</v>
      </c>
      <c r="AE199" s="2972">
        <f t="shared" si="299"/>
        <v>6.0340702507299282</v>
      </c>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row>
    <row r="200" spans="1:119" s="699" customFormat="1">
      <c r="A200" s="663"/>
      <c r="B200" s="663"/>
      <c r="C200" s="694"/>
      <c r="D200" s="670"/>
      <c r="F200" s="694"/>
      <c r="P200" s="547"/>
      <c r="Q200" s="547"/>
      <c r="R200" s="547"/>
      <c r="S200" s="547"/>
      <c r="T200" s="2971"/>
      <c r="U200" s="2971"/>
      <c r="V200" s="2971"/>
      <c r="W200" s="2971"/>
      <c r="X200" s="2971"/>
      <c r="Y200" s="2971"/>
      <c r="Z200" s="2971"/>
      <c r="AA200" s="2971"/>
      <c r="AB200" s="2971"/>
      <c r="AC200" s="2971"/>
      <c r="AD200" s="2971"/>
      <c r="AE200" s="2971"/>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row>
    <row r="201" spans="1:119" s="699" customFormat="1" ht="12.75" customHeight="1">
      <c r="A201" s="664"/>
      <c r="B201" s="664"/>
      <c r="C201" s="774"/>
      <c r="D201" s="814"/>
      <c r="E201" s="815" t="s">
        <v>1267</v>
      </c>
      <c r="F201" s="816"/>
      <c r="G201" s="821">
        <f>+InputY!$G$3</f>
        <v>1995</v>
      </c>
      <c r="H201" s="817">
        <f t="shared" ref="H201:O201" si="302">+G201+1</f>
        <v>1996</v>
      </c>
      <c r="I201" s="817">
        <f t="shared" si="302"/>
        <v>1997</v>
      </c>
      <c r="J201" s="817">
        <f t="shared" si="302"/>
        <v>1998</v>
      </c>
      <c r="K201" s="817">
        <f t="shared" si="302"/>
        <v>1999</v>
      </c>
      <c r="L201" s="817">
        <f t="shared" si="302"/>
        <v>2000</v>
      </c>
      <c r="M201" s="817">
        <f t="shared" si="302"/>
        <v>2001</v>
      </c>
      <c r="N201" s="817">
        <f t="shared" si="302"/>
        <v>2002</v>
      </c>
      <c r="O201" s="817">
        <f t="shared" si="302"/>
        <v>2003</v>
      </c>
      <c r="P201" s="3583">
        <f t="shared" ref="P201:W201" si="303">+O201+1</f>
        <v>2004</v>
      </c>
      <c r="Q201" s="3583">
        <f t="shared" si="303"/>
        <v>2005</v>
      </c>
      <c r="R201" s="3583">
        <f t="shared" si="303"/>
        <v>2006</v>
      </c>
      <c r="S201" s="3583">
        <f t="shared" si="303"/>
        <v>2007</v>
      </c>
      <c r="T201" s="3584">
        <f t="shared" si="303"/>
        <v>2008</v>
      </c>
      <c r="U201" s="3584">
        <f t="shared" si="303"/>
        <v>2009</v>
      </c>
      <c r="V201" s="3584">
        <f t="shared" si="303"/>
        <v>2010</v>
      </c>
      <c r="W201" s="3584">
        <f t="shared" si="303"/>
        <v>2011</v>
      </c>
      <c r="X201" s="3584">
        <f t="shared" ref="X201:AE201" si="304">+W201+1</f>
        <v>2012</v>
      </c>
      <c r="Y201" s="3584">
        <f t="shared" si="304"/>
        <v>2013</v>
      </c>
      <c r="Z201" s="3584">
        <f t="shared" si="304"/>
        <v>2014</v>
      </c>
      <c r="AA201" s="3584">
        <f t="shared" si="304"/>
        <v>2015</v>
      </c>
      <c r="AB201" s="3584">
        <f t="shared" si="304"/>
        <v>2016</v>
      </c>
      <c r="AC201" s="3584">
        <f t="shared" si="304"/>
        <v>2017</v>
      </c>
      <c r="AD201" s="3584">
        <f t="shared" si="304"/>
        <v>2018</v>
      </c>
      <c r="AE201" s="3584">
        <f t="shared" si="304"/>
        <v>2019</v>
      </c>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row>
    <row r="202" spans="1:119" s="699" customFormat="1" ht="12.75" customHeight="1">
      <c r="A202" s="664"/>
      <c r="B202" s="664"/>
      <c r="C202" s="822" t="s">
        <v>1767</v>
      </c>
      <c r="D202" s="823"/>
      <c r="E202" s="824" t="s">
        <v>2042</v>
      </c>
      <c r="F202" s="1661" t="s">
        <v>2010</v>
      </c>
      <c r="G202" s="1688"/>
      <c r="H202" s="1689" t="e">
        <f>+H195-'VVP2'!H$366</f>
        <v>#VALUE!</v>
      </c>
      <c r="I202" s="1689" t="e">
        <f>+I195-'VVP2'!I$366</f>
        <v>#VALUE!</v>
      </c>
      <c r="J202" s="1689" t="e">
        <f>+J195-'VVP2'!J$366</f>
        <v>#VALUE!</v>
      </c>
      <c r="K202" s="1689" t="e">
        <f>+K195-'VVP2'!K$366</f>
        <v>#VALUE!</v>
      </c>
      <c r="L202" s="1689" t="e">
        <f>+L195-'VVP2'!L$366</f>
        <v>#VALUE!</v>
      </c>
      <c r="M202" s="1689">
        <f>+M195-'VVP2'!M$366</f>
        <v>5.4207260430140236</v>
      </c>
      <c r="N202" s="1689">
        <f>+N195-'VVP2'!N$366</f>
        <v>5.4059565908895486</v>
      </c>
      <c r="O202" s="1689">
        <f>+O195-'VVP2'!O$366</f>
        <v>11.350666340646832</v>
      </c>
      <c r="P202" s="3548">
        <f>+P195-'VVP2'!P$366</f>
        <v>15.132529987653653</v>
      </c>
      <c r="Q202" s="3548">
        <f>+Q195-'VVP2'!Q$366</f>
        <v>13.246806489415697</v>
      </c>
      <c r="R202" s="3548">
        <f>+R195-'VVP2'!R$366</f>
        <v>13.812195566016472</v>
      </c>
      <c r="S202" s="3548">
        <f>+S195-'VVP2'!S$366</f>
        <v>12.383362153207901</v>
      </c>
      <c r="T202" s="2981">
        <f>+T195-'VVP2'!T$366</f>
        <v>0.84576820966570843</v>
      </c>
      <c r="U202" s="2981">
        <f>+U195-'VVP2'!U$366</f>
        <v>-17.350677447954133</v>
      </c>
      <c r="V202" s="2981">
        <f>+V195-'VVP2'!V$366</f>
        <v>1.406925259907621</v>
      </c>
      <c r="W202" s="2981">
        <f>+W195-'VVP2'!W$366</f>
        <v>2.6195319878549173</v>
      </c>
      <c r="X202" s="2981">
        <f>+X195-'VVP2'!X$366</f>
        <v>1.781857061744474</v>
      </c>
      <c r="Y202" s="2981">
        <f>+Y195-'VVP2'!Y$366</f>
        <v>4.9700206306604322</v>
      </c>
      <c r="Z202" s="2981">
        <f>+Z195-'VVP2'!Z$366</f>
        <v>5.3112776357225222</v>
      </c>
      <c r="AA202" s="2981">
        <f>+AA195-'VVP2'!AA$366</f>
        <v>7.9610343087622937</v>
      </c>
      <c r="AB202" s="2981">
        <f>+AB195-'VVP2'!AB$366</f>
        <v>6.2666500350817111</v>
      </c>
      <c r="AC202" s="2981">
        <f>+AC195-'VVP2'!AC$366</f>
        <v>5.9236187958389577</v>
      </c>
      <c r="AD202" s="2981">
        <f ca="1">+AD195-'VVP2'!AD$366</f>
        <v>4.2115375224858003</v>
      </c>
      <c r="AE202" s="2981">
        <f ca="1">+AE195-'VVP2'!AE$366</f>
        <v>3.9206184030943687</v>
      </c>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row>
    <row r="203" spans="1:119" s="699" customFormat="1" ht="12.75" customHeight="1">
      <c r="A203" s="664"/>
      <c r="B203" s="664"/>
      <c r="C203" s="826" t="s">
        <v>1767</v>
      </c>
      <c r="D203" s="674"/>
      <c r="E203" s="783" t="s">
        <v>930</v>
      </c>
      <c r="F203" s="1017" t="s">
        <v>2011</v>
      </c>
      <c r="G203" s="1559"/>
      <c r="H203" s="1044">
        <f>+H196-'VVP2'!H$366</f>
        <v>15.181135553669826</v>
      </c>
      <c r="I203" s="1044">
        <f>+I196-'VVP2'!I$366</f>
        <v>15.699796186585502</v>
      </c>
      <c r="J203" s="1044">
        <f>+J196-'VVP2'!J$366</f>
        <v>20.696842160877836</v>
      </c>
      <c r="K203" s="1044">
        <f>+K196-'VVP2'!K$366</f>
        <v>-1.8891214205894902</v>
      </c>
      <c r="L203" s="1044">
        <f>+L196-'VVP2'!L$366</f>
        <v>-5.9546533060231397</v>
      </c>
      <c r="M203" s="1044">
        <f>+M196-'VVP2'!M$366</f>
        <v>2.2809507705119136</v>
      </c>
      <c r="N203" s="1044">
        <f>+N196-'VVP2'!N$366</f>
        <v>7.830462375531722</v>
      </c>
      <c r="O203" s="1044">
        <f>+O196-'VVP2'!O$366</f>
        <v>10.774233720375314</v>
      </c>
      <c r="P203" s="3508">
        <f>+P196-'VVP2'!P$366</f>
        <v>6.0175354311894917</v>
      </c>
      <c r="Q203" s="3508">
        <f>+Q196-'VVP2'!Q$366</f>
        <v>7.4095846712455948</v>
      </c>
      <c r="R203" s="3508">
        <f>+R196-'VVP2'!R$366</f>
        <v>29.434979682574934</v>
      </c>
      <c r="S203" s="3508">
        <f>+S196-'VVP2'!S$366</f>
        <v>-6.9993184998841222</v>
      </c>
      <c r="T203" s="2269">
        <f>+T196-'VVP2'!T$366</f>
        <v>11.763450238300276</v>
      </c>
      <c r="U203" s="2269">
        <f>+U196-'VVP2'!U$366</f>
        <v>-4.9820648226633901</v>
      </c>
      <c r="V203" s="2269">
        <f>+V196-'VVP2'!V$366</f>
        <v>-8.8662615933360556</v>
      </c>
      <c r="W203" s="2269">
        <f>+W196-'VVP2'!W$366</f>
        <v>1.9894579731923878</v>
      </c>
      <c r="X203" s="2269">
        <f>+X196-'VVP2'!X$366</f>
        <v>0.51285050718536951</v>
      </c>
      <c r="Y203" s="2269">
        <f>+Y196-'VVP2'!Y$366</f>
        <v>3.041365340107105</v>
      </c>
      <c r="Z203" s="2269">
        <f>+Z196-'VVP2'!Z$366</f>
        <v>2.5495017527997987</v>
      </c>
      <c r="AA203" s="2269">
        <f>+AA196-'VVP2'!AA$366</f>
        <v>1.8722585352860532</v>
      </c>
      <c r="AB203" s="2269">
        <f>+AB196-'VVP2'!AB$366</f>
        <v>1.9306562324476362</v>
      </c>
      <c r="AC203" s="2269">
        <f>+AC196-'VVP2'!AC$366</f>
        <v>3.4397503094546034</v>
      </c>
      <c r="AD203" s="2269">
        <f ca="1">+AD196-'VVP2'!AD$366</f>
        <v>3.5045772987758039</v>
      </c>
      <c r="AE203" s="2269">
        <f ca="1">+AE196-'VVP2'!AE$366</f>
        <v>3.515779586209435</v>
      </c>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row>
    <row r="204" spans="1:119" s="699" customFormat="1" ht="12.75" customHeight="1">
      <c r="A204" s="664"/>
      <c r="B204" s="664"/>
      <c r="C204" s="826" t="s">
        <v>1769</v>
      </c>
      <c r="D204" s="806"/>
      <c r="E204" s="807" t="s">
        <v>906</v>
      </c>
      <c r="F204" s="1662" t="s">
        <v>339</v>
      </c>
      <c r="G204" s="841"/>
      <c r="H204" s="1659" t="e">
        <f>+H197-'VVP2'!H$366</f>
        <v>#VALUE!</v>
      </c>
      <c r="I204" s="1659" t="e">
        <f>+I197-'VVP2'!I$366</f>
        <v>#VALUE!</v>
      </c>
      <c r="J204" s="1659" t="e">
        <f>+J197-'VVP2'!J$366</f>
        <v>#VALUE!</v>
      </c>
      <c r="K204" s="1659" t="e">
        <f>+K197-'VVP2'!K$366</f>
        <v>#VALUE!</v>
      </c>
      <c r="L204" s="1659" t="e">
        <f>+L197-'VVP2'!L$366</f>
        <v>#VALUE!</v>
      </c>
      <c r="M204" s="1659">
        <f>+M197-'VVP2'!M$366</f>
        <v>4.720067873930156</v>
      </c>
      <c r="N204" s="1659">
        <f>+N197-'VVP2'!N$366</f>
        <v>5.3486930537966497</v>
      </c>
      <c r="O204" s="1659">
        <f>+O197-'VVP2'!O$366</f>
        <v>10.394990441186259</v>
      </c>
      <c r="P204" s="3585">
        <f>+P197-'VVP2'!P$366</f>
        <v>12.945872399665015</v>
      </c>
      <c r="Q204" s="3585">
        <f>+Q197-'VVP2'!Q$366</f>
        <v>11.436574170284008</v>
      </c>
      <c r="R204" s="3585">
        <f>+R197-'VVP2'!R$366</f>
        <v>16.072589208332367</v>
      </c>
      <c r="S204" s="3585">
        <f>+S197-'VVP2'!S$366</f>
        <v>8.2074912528719892</v>
      </c>
      <c r="T204" s="2992">
        <f>+T197-'VVP2'!T$366</f>
        <v>3.1664857255991663</v>
      </c>
      <c r="U204" s="2992">
        <f>+U197-'VVP2'!U$366</f>
        <v>-13.637706329178656</v>
      </c>
      <c r="V204" s="2992">
        <f>+V197-'VVP2'!V$366</f>
        <v>-1.4073766192690629</v>
      </c>
      <c r="W204" s="2992">
        <f>+W197-'VVP2'!W$366</f>
        <v>2.2351076629003375</v>
      </c>
      <c r="X204" s="2992">
        <f>+X197-'VVP2'!X$366</f>
        <v>1.1562729614940981</v>
      </c>
      <c r="Y204" s="2992">
        <f>+Y197-'VVP2'!Y$366</f>
        <v>4.3638562337839248</v>
      </c>
      <c r="Z204" s="2992">
        <f>+Z197-'VVP2'!Z$366</f>
        <v>4.5956282573427654</v>
      </c>
      <c r="AA204" s="2992">
        <f>+AA197-'VVP2'!AA$366</f>
        <v>6.6408189423264874</v>
      </c>
      <c r="AB204" s="2992">
        <f>+AB197-'VVP2'!AB$366</f>
        <v>5.2991929116935621</v>
      </c>
      <c r="AC204" s="2992">
        <f>+AC197-'VVP2'!AC$366</f>
        <v>5.2823457949650274</v>
      </c>
      <c r="AD204" s="2992">
        <f ca="1">+AD197-'VVP2'!AD$366</f>
        <v>4.037085538764698</v>
      </c>
      <c r="AE204" s="2992">
        <f ca="1">+AE197-'VVP2'!AE$366</f>
        <v>3.8339340403564144</v>
      </c>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row>
    <row r="205" spans="1:119" s="699" customFormat="1" ht="12.75" customHeight="1">
      <c r="A205" s="664"/>
      <c r="B205" s="664"/>
      <c r="C205" s="827" t="s">
        <v>1767</v>
      </c>
      <c r="D205" s="828"/>
      <c r="E205" s="829" t="s">
        <v>907</v>
      </c>
      <c r="F205" s="1663" t="s">
        <v>1707</v>
      </c>
      <c r="G205" s="840"/>
      <c r="H205" s="1660" t="e">
        <f>+H198-'VVP2'!H$366</f>
        <v>#VALUE!</v>
      </c>
      <c r="I205" s="1660" t="e">
        <f>+I198-'VVP2'!I$366</f>
        <v>#VALUE!</v>
      </c>
      <c r="J205" s="1660" t="e">
        <f>+J198-'VVP2'!J$366</f>
        <v>#VALUE!</v>
      </c>
      <c r="K205" s="1660" t="e">
        <f>+K198-'VVP2'!K$366</f>
        <v>#VALUE!</v>
      </c>
      <c r="L205" s="1660" t="e">
        <f>+L198-'VVP2'!L$366</f>
        <v>#VALUE!</v>
      </c>
      <c r="M205" s="1660">
        <f>+M198-'VVP2'!M$366</f>
        <v>39.312769656518022</v>
      </c>
      <c r="N205" s="1660">
        <f>+N198-'VVP2'!N$366</f>
        <v>-18.063738087682026</v>
      </c>
      <c r="O205" s="1660">
        <f>+O198-'VVP2'!O$366</f>
        <v>-32.813105751130813</v>
      </c>
      <c r="P205" s="3586">
        <f>+P198-'VVP2'!P$366</f>
        <v>250.16103905087024</v>
      </c>
      <c r="Q205" s="3586">
        <f>+Q198-'VVP2'!Q$366</f>
        <v>12.110272914176679</v>
      </c>
      <c r="R205" s="3586">
        <f>+R198-'VVP2'!R$366</f>
        <v>19.468934055172028</v>
      </c>
      <c r="S205" s="3586">
        <f>+S198-'VVP2'!S$366</f>
        <v>23.69633651915446</v>
      </c>
      <c r="T205" s="2993">
        <f>+T198-'VVP2'!T$366</f>
        <v>74.671752680016596</v>
      </c>
      <c r="U205" s="2993">
        <f>+U198-'VVP2'!U$366</f>
        <v>-75.378653894530757</v>
      </c>
      <c r="V205" s="2993">
        <f>+V198-'VVP2'!V$366</f>
        <v>1737.7667756996716</v>
      </c>
      <c r="W205" s="2993">
        <f>+W198-'VVP2'!W$366</f>
        <v>-15.989654255092777</v>
      </c>
      <c r="X205" s="2993">
        <f>+X198-'VVP2'!X$366</f>
        <v>-90.542794174072029</v>
      </c>
      <c r="Y205" s="2993">
        <f>+Y198-'VVP2'!Y$366</f>
        <v>50.417989479974935</v>
      </c>
      <c r="Z205" s="2993">
        <f>+Z198-'VVP2'!Z$366</f>
        <v>-141.91153604809671</v>
      </c>
      <c r="AA205" s="2993">
        <f>+AA198-'VVP2'!AA$366</f>
        <v>-90.311777181743793</v>
      </c>
      <c r="AB205" s="2993">
        <f>+AB198-'VVP2'!AB$366</f>
        <v>4807.9503264807954</v>
      </c>
      <c r="AC205" s="2993">
        <f>+AC198-'VVP2'!AC$366</f>
        <v>-31.798130195209307</v>
      </c>
      <c r="AD205" s="2993">
        <f ca="1">+AD198-'VVP2'!AD$366</f>
        <v>3.6605482288793811</v>
      </c>
      <c r="AE205" s="2993">
        <f ca="1">+AE198-'VVP2'!AE$366</f>
        <v>3.7513922600455736</v>
      </c>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row>
    <row r="206" spans="1:119" s="699" customFormat="1" ht="12.75" customHeight="1">
      <c r="A206" s="664"/>
      <c r="B206" s="664"/>
      <c r="C206" s="774" t="s">
        <v>1769</v>
      </c>
      <c r="D206" s="806"/>
      <c r="E206" s="807" t="s">
        <v>2009</v>
      </c>
      <c r="F206" s="1662" t="s">
        <v>1708</v>
      </c>
      <c r="G206" s="841"/>
      <c r="H206" s="1659" t="e">
        <f>+H199-'VVP2'!H$366</f>
        <v>#VALUE!</v>
      </c>
      <c r="I206" s="1659" t="e">
        <f>+I199-'VVP2'!I$366</f>
        <v>#VALUE!</v>
      </c>
      <c r="J206" s="1659" t="e">
        <f>+J199-'VVP2'!J$366</f>
        <v>#VALUE!</v>
      </c>
      <c r="K206" s="1659" t="e">
        <f>+K199-'VVP2'!K$366</f>
        <v>#VALUE!</v>
      </c>
      <c r="L206" s="1659" t="e">
        <f>+L199-'VVP2'!L$366</f>
        <v>#VALUE!</v>
      </c>
      <c r="M206" s="1659">
        <f>+M199-'VVP2'!M$366</f>
        <v>5.5687736475898753</v>
      </c>
      <c r="N206" s="1659">
        <f>+N199-'VVP2'!N$366</f>
        <v>5.2820598313727878</v>
      </c>
      <c r="O206" s="1659">
        <f>+O199-'VVP2'!O$366</f>
        <v>10.023771141040339</v>
      </c>
      <c r="P206" s="3585">
        <f>+P199-'VVP2'!P$366</f>
        <v>14.4470596285614</v>
      </c>
      <c r="Q206" s="3585">
        <f>+Q199-'VVP2'!Q$366</f>
        <v>11.663264976032295</v>
      </c>
      <c r="R206" s="3585">
        <f>+R199-'VVP2'!R$366</f>
        <v>15.82617420126835</v>
      </c>
      <c r="S206" s="3585">
        <f>+S199-'VVP2'!S$366</f>
        <v>7.4488881315180278</v>
      </c>
      <c r="T206" s="2992">
        <f>+T199-'VVP2'!T$366</f>
        <v>2.7059893006281079</v>
      </c>
      <c r="U206" s="2992">
        <f>+U199-'VVP2'!U$366</f>
        <v>-14.093104276172596</v>
      </c>
      <c r="V206" s="2992">
        <f>+V199-'VVP2'!V$366</f>
        <v>6.4155787749919924E-2</v>
      </c>
      <c r="W206" s="2992">
        <f>+W199-'VVP2'!W$366</f>
        <v>1.7793107274958642</v>
      </c>
      <c r="X206" s="3223">
        <f>+X199-'VVP2'!X$366</f>
        <v>5.215455977913841E-3</v>
      </c>
      <c r="Y206" s="3223">
        <f>+Y199-'VVP2'!Y$366</f>
        <v>4.4906208925031166</v>
      </c>
      <c r="Z206" s="3223">
        <f>+Z199-'VVP2'!Z$366</f>
        <v>4.1441513848021527</v>
      </c>
      <c r="AA206" s="3223">
        <f>+AA199-'VVP2'!AA$366</f>
        <v>6.7566796099431059</v>
      </c>
      <c r="AB206" s="3223">
        <f>+AB199-'VVP2'!AB$366</f>
        <v>4.9659818781416343</v>
      </c>
      <c r="AC206" s="3223">
        <f>+AC199-'VVP2'!AC$366</f>
        <v>5.3732268043021003</v>
      </c>
      <c r="AD206" s="3223">
        <f ca="1">+AD199-'VVP2'!AD$366</f>
        <v>4.0370769970782501</v>
      </c>
      <c r="AE206" s="3223">
        <f ca="1">+AE199-'VVP2'!AE$366</f>
        <v>3.834070250729928</v>
      </c>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row>
    <row r="207" spans="1:119" s="699" customFormat="1" ht="30" customHeight="1">
      <c r="A207" s="663"/>
      <c r="B207" s="663"/>
      <c r="C207" s="694"/>
      <c r="D207" s="670"/>
      <c r="F207" s="694"/>
      <c r="G207" s="1935"/>
      <c r="H207" s="1935"/>
      <c r="I207" s="1935"/>
      <c r="J207" s="1935"/>
      <c r="K207" s="1935"/>
      <c r="L207" s="1935"/>
      <c r="M207" s="1935"/>
      <c r="N207" s="1935"/>
      <c r="O207" s="1935"/>
      <c r="P207" s="3587"/>
      <c r="Q207" s="3587"/>
      <c r="R207" s="2231"/>
      <c r="S207" s="3121"/>
      <c r="T207" s="2231"/>
      <c r="U207" s="2231"/>
      <c r="V207" s="2231"/>
      <c r="W207" s="2231"/>
      <c r="X207" s="2231"/>
      <c r="Y207" s="2231"/>
      <c r="Z207" s="2231"/>
      <c r="AA207" s="2231"/>
      <c r="AB207" s="3715"/>
      <c r="AC207" s="2231"/>
      <c r="AD207" s="2231"/>
      <c r="AE207" s="2231"/>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row>
    <row r="208" spans="1:119" s="699" customFormat="1" ht="12.75" customHeight="1">
      <c r="A208" s="664"/>
      <c r="B208" s="664"/>
      <c r="C208" s="774"/>
      <c r="D208" s="775"/>
      <c r="E208" s="776" t="s">
        <v>1384</v>
      </c>
      <c r="F208" s="777"/>
      <c r="G208" s="778">
        <f>+InputY!$G$3</f>
        <v>1995</v>
      </c>
      <c r="H208" s="778">
        <f t="shared" ref="H208:Q208" si="305">+G208+1</f>
        <v>1996</v>
      </c>
      <c r="I208" s="778">
        <f t="shared" si="305"/>
        <v>1997</v>
      </c>
      <c r="J208" s="778">
        <f t="shared" si="305"/>
        <v>1998</v>
      </c>
      <c r="K208" s="778">
        <f t="shared" si="305"/>
        <v>1999</v>
      </c>
      <c r="L208" s="778">
        <f t="shared" si="305"/>
        <v>2000</v>
      </c>
      <c r="M208" s="778">
        <f t="shared" si="305"/>
        <v>2001</v>
      </c>
      <c r="N208" s="778">
        <f t="shared" si="305"/>
        <v>2002</v>
      </c>
      <c r="O208" s="778">
        <f t="shared" si="305"/>
        <v>2003</v>
      </c>
      <c r="P208" s="3538">
        <f>+O208+1</f>
        <v>2004</v>
      </c>
      <c r="Q208" s="3538">
        <f t="shared" si="305"/>
        <v>2005</v>
      </c>
      <c r="R208" s="3539">
        <f t="shared" ref="R208:W208" si="306">+Q208+1</f>
        <v>2006</v>
      </c>
      <c r="S208" s="3539">
        <f t="shared" si="306"/>
        <v>2007</v>
      </c>
      <c r="T208" s="3539">
        <f t="shared" si="306"/>
        <v>2008</v>
      </c>
      <c r="U208" s="3539">
        <f t="shared" si="306"/>
        <v>2009</v>
      </c>
      <c r="V208" s="3539">
        <f t="shared" si="306"/>
        <v>2010</v>
      </c>
      <c r="W208" s="3539">
        <f t="shared" si="306"/>
        <v>2011</v>
      </c>
      <c r="X208" s="3539">
        <f t="shared" ref="X208:AE208" si="307">+W208+1</f>
        <v>2012</v>
      </c>
      <c r="Y208" s="3539">
        <f t="shared" si="307"/>
        <v>2013</v>
      </c>
      <c r="Z208" s="3539">
        <f t="shared" si="307"/>
        <v>2014</v>
      </c>
      <c r="AA208" s="3539">
        <f t="shared" si="307"/>
        <v>2015</v>
      </c>
      <c r="AB208" s="3539">
        <f t="shared" si="307"/>
        <v>2016</v>
      </c>
      <c r="AC208" s="3539">
        <f t="shared" si="307"/>
        <v>2017</v>
      </c>
      <c r="AD208" s="3539">
        <f t="shared" si="307"/>
        <v>2018</v>
      </c>
      <c r="AE208" s="3539">
        <f t="shared" si="307"/>
        <v>2019</v>
      </c>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row>
    <row r="209" spans="1:119" s="699" customFormat="1" ht="12.75" customHeight="1">
      <c r="A209" s="664">
        <f>+ROW(InputY!A186)</f>
        <v>186</v>
      </c>
      <c r="B209" s="664"/>
      <c r="C209" s="779" t="s">
        <v>1767</v>
      </c>
      <c r="D209" s="668" t="s">
        <v>685</v>
      </c>
      <c r="E209" s="700" t="s">
        <v>1376</v>
      </c>
      <c r="F209" s="701" t="str">
        <f>+InputY!B186</f>
        <v>$HComp</v>
      </c>
      <c r="G209" s="780">
        <f>+InputY!G186/1000</f>
        <v>0.13669000000000001</v>
      </c>
      <c r="H209" s="780">
        <f>+InputY!H186/1000</f>
        <v>0.14573</v>
      </c>
      <c r="I209" s="780">
        <f>+InputY!I186/1000</f>
        <v>0.18937000000000001</v>
      </c>
      <c r="J209" s="780">
        <f>+InputY!J186/1000</f>
        <v>0.25024999999999997</v>
      </c>
      <c r="K209" s="780">
        <f>+InputY!K186/1000</f>
        <v>0.1721</v>
      </c>
      <c r="L209" s="780">
        <f>+InputY!L186/1000</f>
        <v>0.24402000000000001</v>
      </c>
      <c r="M209" s="780">
        <f>+InputY!M186/1000</f>
        <v>0.29619999999999996</v>
      </c>
      <c r="N209" s="780">
        <f>+InputY!N186/1000</f>
        <v>0.32375999999999999</v>
      </c>
      <c r="O209" s="780">
        <f>+InputY!O186/1000</f>
        <v>0.35852999999999996</v>
      </c>
      <c r="P209" s="3588">
        <f>+InputY!P186/1000</f>
        <v>0.39130000000000004</v>
      </c>
      <c r="Q209" s="3588">
        <f>+InputY!Q186/1000</f>
        <v>0.44927</v>
      </c>
      <c r="R209" s="3588">
        <f>+InputY!R186/1000</f>
        <v>0.54009000000000007</v>
      </c>
      <c r="S209" s="3588">
        <f>+InputY!S186/1000</f>
        <v>0.73077000000000003</v>
      </c>
      <c r="T209" s="3588">
        <f>+InputY!T186/1000</f>
        <v>0.76090000000000002</v>
      </c>
      <c r="U209" s="3588">
        <f>+InputY!U186/1000</f>
        <v>0.55355999999999994</v>
      </c>
      <c r="V209" s="3588">
        <f>+InputY!V186/1000</f>
        <v>0.46087</v>
      </c>
      <c r="W209" s="3588">
        <f>+InputY!W186/1000</f>
        <v>0.4718</v>
      </c>
      <c r="X209" s="3588">
        <f>+InputY!X186/1000</f>
        <v>0.45989999999999998</v>
      </c>
      <c r="Y209" s="3588">
        <f>+InputY!Y186/1000</f>
        <v>0.48381999999999997</v>
      </c>
      <c r="Z209" s="3683">
        <f>+InputY!Z186/1000</f>
        <v>0.49345</v>
      </c>
      <c r="AA209" s="3683">
        <f>+InputY!AA186/1000</f>
        <v>0.50648000000000004</v>
      </c>
      <c r="AB209" s="3683">
        <f>+InputY!AB186/1000</f>
        <v>0.48932999999999999</v>
      </c>
      <c r="AC209" s="2994">
        <f>+AB209*(1+AC221/100)</f>
        <v>0.52113644999999997</v>
      </c>
      <c r="AD209" s="2994">
        <f>+AC209*(1+AD221/100)</f>
        <v>0.55501031924999999</v>
      </c>
      <c r="AE209" s="2994">
        <f>+AD209*(1+AE221/100)</f>
        <v>0.58831093840500004</v>
      </c>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row>
    <row r="210" spans="1:119" s="699" customFormat="1" ht="12.75" customHeight="1">
      <c r="A210" s="664">
        <f>+ROW(InputY!A116)</f>
        <v>116</v>
      </c>
      <c r="B210" s="664">
        <v>103</v>
      </c>
      <c r="C210" s="782" t="s">
        <v>1767</v>
      </c>
      <c r="D210" s="831" t="s">
        <v>686</v>
      </c>
      <c r="E210" s="832" t="s">
        <v>1376</v>
      </c>
      <c r="F210" s="704" t="str">
        <f>+InputY!B116</f>
        <v>$EComp</v>
      </c>
      <c r="G210" s="706">
        <f>+InputY!G116/1000</f>
        <v>2.0170599999999999</v>
      </c>
      <c r="H210" s="706">
        <f>+InputY!H116/1000</f>
        <v>2.5295700000000001</v>
      </c>
      <c r="I210" s="706">
        <f>+InputY!I116/1000</f>
        <v>3.0486399999999998</v>
      </c>
      <c r="J210" s="706">
        <f>+InputY!J116/1000</f>
        <v>3.5181399999999998</v>
      </c>
      <c r="K210" s="706">
        <f>+InputY!K116/1000</f>
        <v>3.5856500000000002</v>
      </c>
      <c r="L210" s="706">
        <f>+InputY!L116/1000</f>
        <v>3.3712399999999998</v>
      </c>
      <c r="M210" s="706">
        <f>+InputY!M116/1000</f>
        <v>3.41967</v>
      </c>
      <c r="N210" s="706">
        <f>+InputY!N116/1000</f>
        <v>3.7725399999999998</v>
      </c>
      <c r="O210" s="706">
        <f>+InputY!O116/1000</f>
        <v>4.2979799999999999</v>
      </c>
      <c r="P210" s="3511">
        <f>+InputY!P116/1000</f>
        <v>4.9501200000000001</v>
      </c>
      <c r="Q210" s="3511">
        <f>+InputY!Q116/1000</f>
        <v>5.9176700000000002</v>
      </c>
      <c r="R210" s="3511">
        <f>+InputY!R116/1000</f>
        <v>7.2326000000000006</v>
      </c>
      <c r="S210" s="3511">
        <f>+InputY!S116/1000</f>
        <v>8.7606399999999987</v>
      </c>
      <c r="T210" s="3511">
        <f>+InputY!T116/1000</f>
        <v>10.118370000000001</v>
      </c>
      <c r="U210" s="3511">
        <f>+InputY!U116/1000</f>
        <v>8.0144400000000005</v>
      </c>
      <c r="V210" s="3511">
        <f>+InputY!V116/1000</f>
        <v>7.9502499999999996</v>
      </c>
      <c r="W210" s="3511">
        <f>+InputY!W116/1000</f>
        <v>8.6269599999999986</v>
      </c>
      <c r="X210" s="3511">
        <f>+InputY!X116/1000</f>
        <v>9.2755400000000012</v>
      </c>
      <c r="Y210" s="3511">
        <f>+InputY!Y116/1000</f>
        <v>9.9203500000000009</v>
      </c>
      <c r="Z210" s="3511">
        <f>+InputY!Z116/1000</f>
        <v>10.668329999999999</v>
      </c>
      <c r="AA210" s="3511">
        <f>+InputY!AA116/1000</f>
        <v>11.52549</v>
      </c>
      <c r="AB210" s="3511">
        <f>+InputY!AB116/1000</f>
        <v>12.63739</v>
      </c>
      <c r="AC210" s="2995">
        <f>+AC214-AC209-AC211</f>
        <v>13.926518249273876</v>
      </c>
      <c r="AD210" s="2995">
        <f>+AD214-AD209-AD211</f>
        <v>14.79072867706623</v>
      </c>
      <c r="AE210" s="2995">
        <f>+AE214-AE209-AE211</f>
        <v>15.662483697455624</v>
      </c>
      <c r="AF210" s="3658"/>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row>
    <row r="211" spans="1:119" s="699" customFormat="1" ht="12.75" customHeight="1">
      <c r="A211" s="664">
        <f>+ROW(InputY!A145)</f>
        <v>145</v>
      </c>
      <c r="B211" s="664">
        <v>120</v>
      </c>
      <c r="C211" s="782" t="s">
        <v>1767</v>
      </c>
      <c r="D211" s="674" t="s">
        <v>687</v>
      </c>
      <c r="E211" s="783" t="s">
        <v>1376</v>
      </c>
      <c r="F211" s="704" t="str">
        <f>+InputY!B145</f>
        <v>$AComp</v>
      </c>
      <c r="G211" s="706">
        <f>+InputY!G145/1000</f>
        <v>0.74821000000000004</v>
      </c>
      <c r="H211" s="706">
        <f>+InputY!H145/1000</f>
        <v>1.01535</v>
      </c>
      <c r="I211" s="706">
        <f>+InputY!I145/1000</f>
        <v>1.2984</v>
      </c>
      <c r="J211" s="706">
        <f>+InputY!J145/1000</f>
        <v>1.647</v>
      </c>
      <c r="K211" s="706">
        <f>+InputY!K145/1000</f>
        <v>1.6960299999999999</v>
      </c>
      <c r="L211" s="706">
        <f>+InputY!L145/1000</f>
        <v>1.60758</v>
      </c>
      <c r="M211" s="706">
        <f>+InputY!M145/1000</f>
        <v>1.64941</v>
      </c>
      <c r="N211" s="706">
        <f>+InputY!N145/1000</f>
        <v>1.71401</v>
      </c>
      <c r="O211" s="706">
        <f>+InputY!O145/1000</f>
        <v>1.78653</v>
      </c>
      <c r="P211" s="3511">
        <f>+InputY!P145/1000</f>
        <v>1.9686700000000001</v>
      </c>
      <c r="Q211" s="3511">
        <f>+InputY!Q145/1000</f>
        <v>2.1530800000000001</v>
      </c>
      <c r="R211" s="3511">
        <f>+InputY!R145/1000</f>
        <v>2.50461</v>
      </c>
      <c r="S211" s="3511">
        <f>+InputY!S145/1000</f>
        <v>2.8344800000000001</v>
      </c>
      <c r="T211" s="3511">
        <f>+InputY!T145/1000</f>
        <v>3.4758</v>
      </c>
      <c r="U211" s="3511">
        <f>+InputY!U145/1000</f>
        <v>3.4102600000000001</v>
      </c>
      <c r="V211" s="3511">
        <f>+InputY!V145/1000</f>
        <v>3.05884</v>
      </c>
      <c r="W211" s="3511">
        <f>+InputY!W145/1000</f>
        <v>3.19733</v>
      </c>
      <c r="X211" s="3511">
        <f>+InputY!X145/1000</f>
        <v>3.2416100000000001</v>
      </c>
      <c r="Y211" s="3511">
        <f>+InputY!Y145/1000</f>
        <v>3.3384499999999999</v>
      </c>
      <c r="Z211" s="3511">
        <f>+InputY!Z145/1000</f>
        <v>3.4621500000000003</v>
      </c>
      <c r="AA211" s="3511">
        <f>+InputY!AA145/1000</f>
        <v>3.6053099999999998</v>
      </c>
      <c r="AB211" s="3511">
        <f>+InputY!AB145/1000</f>
        <v>3.8023500000000001</v>
      </c>
      <c r="AC211" s="2994">
        <f>AC189*AC31/1000</f>
        <v>4.0019753007261274</v>
      </c>
      <c r="AD211" s="2994">
        <f>AD189*AD31/1000</f>
        <v>4.2038161866725012</v>
      </c>
      <c r="AE211" s="2994">
        <f>AE189*AE31/1000</f>
        <v>4.435208860003871</v>
      </c>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row>
    <row r="212" spans="1:119" s="699" customFormat="1" ht="12.75" customHeight="1">
      <c r="A212" s="664"/>
      <c r="B212" s="664"/>
      <c r="C212" s="782"/>
      <c r="D212" s="1011"/>
      <c r="E212" s="2922" t="s">
        <v>1650</v>
      </c>
      <c r="F212" s="1973"/>
      <c r="G212" s="1973"/>
      <c r="H212" s="1973"/>
      <c r="I212" s="1973"/>
      <c r="J212" s="1973"/>
      <c r="K212" s="1973"/>
      <c r="L212" s="1973"/>
      <c r="M212" s="1973"/>
      <c r="N212" s="1973"/>
      <c r="O212" s="1973"/>
      <c r="P212" s="1973"/>
      <c r="Q212" s="1973"/>
      <c r="R212" s="1973"/>
      <c r="S212" s="1973"/>
      <c r="T212" s="1973"/>
      <c r="U212" s="1973"/>
      <c r="V212" s="1973"/>
      <c r="W212" s="1973"/>
      <c r="X212" s="1973"/>
      <c r="Y212" s="1973"/>
      <c r="Z212" s="1973"/>
      <c r="AA212" s="1973"/>
      <c r="AB212" s="1973"/>
      <c r="AC212" s="1973"/>
      <c r="AD212" s="1973"/>
      <c r="AE212" s="1973"/>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row>
    <row r="213" spans="1:119" s="699" customFormat="1" ht="12.75" customHeight="1">
      <c r="A213" s="664"/>
      <c r="B213" s="664"/>
      <c r="C213" s="782"/>
      <c r="D213" s="1011"/>
      <c r="E213" s="1973" t="s">
        <v>737</v>
      </c>
      <c r="F213" s="1974"/>
      <c r="G213" s="1002">
        <f>ABS(G189*G31/1000-G211)</f>
        <v>0</v>
      </c>
      <c r="H213" s="1002">
        <f t="shared" ref="H213:Q213" si="308">ABS(H189*H31/1000-H211)</f>
        <v>0</v>
      </c>
      <c r="I213" s="1002">
        <f t="shared" si="308"/>
        <v>2.2204460492503131E-16</v>
      </c>
      <c r="J213" s="1002">
        <f t="shared" si="308"/>
        <v>0</v>
      </c>
      <c r="K213" s="1002">
        <f t="shared" si="308"/>
        <v>2.2204460492503131E-16</v>
      </c>
      <c r="L213" s="1002">
        <f t="shared" si="308"/>
        <v>0</v>
      </c>
      <c r="M213" s="1002">
        <f t="shared" si="308"/>
        <v>0</v>
      </c>
      <c r="N213" s="1002">
        <f t="shared" si="308"/>
        <v>0</v>
      </c>
      <c r="O213" s="1002">
        <f t="shared" si="308"/>
        <v>0</v>
      </c>
      <c r="P213" s="1002">
        <f t="shared" si="308"/>
        <v>2.2204460492503131E-16</v>
      </c>
      <c r="Q213" s="1002">
        <f t="shared" si="308"/>
        <v>0</v>
      </c>
      <c r="R213" s="1002">
        <f t="shared" ref="R213:X213" si="309">ABS(R189*R31/1000-R211)</f>
        <v>4.4408920985006262E-16</v>
      </c>
      <c r="S213" s="1002">
        <f t="shared" si="309"/>
        <v>0</v>
      </c>
      <c r="T213" s="2233">
        <f t="shared" si="309"/>
        <v>4.4408920985006262E-16</v>
      </c>
      <c r="U213" s="2233">
        <f t="shared" si="309"/>
        <v>0</v>
      </c>
      <c r="V213" s="2233">
        <f t="shared" si="309"/>
        <v>4.4408920985006262E-16</v>
      </c>
      <c r="W213" s="3190">
        <f t="shared" si="309"/>
        <v>0</v>
      </c>
      <c r="X213" s="3190">
        <f t="shared" si="309"/>
        <v>0</v>
      </c>
      <c r="Y213" s="3190">
        <f t="shared" ref="Y213:AD213" si="310">ABS(Y189*Y31/1000-Y211)</f>
        <v>0</v>
      </c>
      <c r="Z213" s="3190">
        <f t="shared" si="310"/>
        <v>0</v>
      </c>
      <c r="AA213" s="3190">
        <f t="shared" si="310"/>
        <v>4.4408920985006262E-16</v>
      </c>
      <c r="AB213" s="3190">
        <f t="shared" si="310"/>
        <v>0</v>
      </c>
      <c r="AC213" s="3190">
        <f t="shared" si="310"/>
        <v>0</v>
      </c>
      <c r="AD213" s="3190">
        <f t="shared" si="310"/>
        <v>0</v>
      </c>
      <c r="AE213" s="3190">
        <f t="shared" ref="AE213" si="311">ABS(AE189*AE31/1000-AE211)</f>
        <v>0</v>
      </c>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row>
    <row r="214" spans="1:119" s="699" customFormat="1" ht="12.75" customHeight="1">
      <c r="A214" s="1953">
        <f>+ROW(InputY!A101)</f>
        <v>101</v>
      </c>
      <c r="B214" s="664">
        <v>61</v>
      </c>
      <c r="C214" s="782" t="s">
        <v>1769</v>
      </c>
      <c r="D214" s="746"/>
      <c r="E214" s="747" t="s">
        <v>1163</v>
      </c>
      <c r="F214" s="748" t="s">
        <v>474</v>
      </c>
      <c r="G214" s="799">
        <f>+InputY!G101/1000</f>
        <v>2.9019499999999998</v>
      </c>
      <c r="H214" s="799">
        <f>+InputY!H101/1000</f>
        <v>3.6906500000000002</v>
      </c>
      <c r="I214" s="799">
        <f>+InputY!I101/1000</f>
        <v>4.5363999999999995</v>
      </c>
      <c r="J214" s="799">
        <f>+InputY!J101/1000</f>
        <v>5.4153900000000004</v>
      </c>
      <c r="K214" s="799">
        <f>+InputY!K101/1000</f>
        <v>5.4537700000000005</v>
      </c>
      <c r="L214" s="799">
        <f>+InputY!L101/1000</f>
        <v>5.2228500000000002</v>
      </c>
      <c r="M214" s="799">
        <f>+InputY!M101/1000</f>
        <v>5.3652899999999999</v>
      </c>
      <c r="N214" s="799">
        <f>+InputY!N101/1000</f>
        <v>5.8103100000000003</v>
      </c>
      <c r="O214" s="799">
        <f>+InputY!O101/1000</f>
        <v>6.4430399999999999</v>
      </c>
      <c r="P214" s="3589">
        <f>+InputY!P101/1000</f>
        <v>7.3100899999999998</v>
      </c>
      <c r="Q214" s="3589">
        <f>+InputY!Q101/1000</f>
        <v>8.5200200000000006</v>
      </c>
      <c r="R214" s="3589">
        <f>+InputY!R101/1000</f>
        <v>10.277299999999999</v>
      </c>
      <c r="S214" s="3589">
        <f>+InputY!S101/1000</f>
        <v>12.325899999999999</v>
      </c>
      <c r="T214" s="3589">
        <f>+InputY!T101/1000</f>
        <v>14.35507</v>
      </c>
      <c r="U214" s="3589">
        <f>+InputY!U101/1000</f>
        <v>11.978249999999999</v>
      </c>
      <c r="V214" s="3589">
        <f>+InputY!V101/1000</f>
        <v>11.46997</v>
      </c>
      <c r="W214" s="3589">
        <f>+InputY!W101/1000</f>
        <v>12.29609</v>
      </c>
      <c r="X214" s="3589">
        <f>+InputY!X101/1000</f>
        <v>12.977049999999998</v>
      </c>
      <c r="Y214" s="3589">
        <f>+InputY!Y101/1000</f>
        <v>13.742620000000001</v>
      </c>
      <c r="Z214" s="3589">
        <f>+InputY!Z101/1000</f>
        <v>14.62393</v>
      </c>
      <c r="AA214" s="3589">
        <f>+InputY!AA101/1000</f>
        <v>15.637280000000001</v>
      </c>
      <c r="AB214" s="3589">
        <f>+InputY!AB101/1000</f>
        <v>16.92906</v>
      </c>
      <c r="AC214" s="3589">
        <f>+InputY!AC101/1000</f>
        <v>18.449630000000003</v>
      </c>
      <c r="AD214" s="2943">
        <f>+AD135+AD166</f>
        <v>19.549555182988733</v>
      </c>
      <c r="AE214" s="2943">
        <f>+AE135+AE166</f>
        <v>20.686003495864497</v>
      </c>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row>
    <row r="215" spans="1:119" s="699" customFormat="1" ht="12.75" customHeight="1">
      <c r="A215" s="664"/>
      <c r="B215" s="664"/>
      <c r="C215" s="782"/>
      <c r="D215" s="1011"/>
      <c r="E215" s="1973" t="s">
        <v>737</v>
      </c>
      <c r="F215" s="1974"/>
      <c r="G215" s="1002">
        <f t="shared" ref="G215:Z215" si="312">ABS(+G209+G210+G211-G214)</f>
        <v>1.0000000000065512E-5</v>
      </c>
      <c r="H215" s="1002">
        <f t="shared" si="312"/>
        <v>4.4408920985006262E-16</v>
      </c>
      <c r="I215" s="1002">
        <f t="shared" si="312"/>
        <v>1.0000000000509601E-5</v>
      </c>
      <c r="J215" s="1002">
        <f t="shared" si="312"/>
        <v>8.8817841970012523E-16</v>
      </c>
      <c r="K215" s="1002">
        <f t="shared" si="312"/>
        <v>9.9999999996214228E-6</v>
      </c>
      <c r="L215" s="1002">
        <f t="shared" si="312"/>
        <v>1.0000000000509601E-5</v>
      </c>
      <c r="M215" s="1002">
        <f t="shared" si="312"/>
        <v>9.9999999996214228E-6</v>
      </c>
      <c r="N215" s="1002">
        <f t="shared" si="312"/>
        <v>8.8817841970012523E-16</v>
      </c>
      <c r="O215" s="1002">
        <f t="shared" si="312"/>
        <v>0</v>
      </c>
      <c r="P215" s="1002">
        <f t="shared" si="312"/>
        <v>8.8817841970012523E-16</v>
      </c>
      <c r="Q215" s="1002">
        <f t="shared" si="312"/>
        <v>0</v>
      </c>
      <c r="R215" s="1002">
        <f>ABS(+R209+R210+R211-R214)</f>
        <v>1.7763568394002505E-15</v>
      </c>
      <c r="S215" s="1002">
        <f>ABS(+S209+S210+S211-S214)</f>
        <v>1.000000000139778E-5</v>
      </c>
      <c r="T215" s="2233">
        <f>ABS(+T209+T210+T211-T214)</f>
        <v>0</v>
      </c>
      <c r="U215" s="2233">
        <f>ABS(+U209+U210+U211-U214)</f>
        <v>9.9999999996214228E-6</v>
      </c>
      <c r="V215" s="2233">
        <f t="shared" si="312"/>
        <v>9.9999999996214228E-6</v>
      </c>
      <c r="W215" s="2233">
        <f t="shared" si="312"/>
        <v>0</v>
      </c>
      <c r="X215" s="2233">
        <f t="shared" si="312"/>
        <v>1.7763568394002505E-15</v>
      </c>
      <c r="Y215" s="3190">
        <f t="shared" si="312"/>
        <v>0</v>
      </c>
      <c r="Z215" s="3190">
        <f t="shared" si="312"/>
        <v>1.7763568394002505E-15</v>
      </c>
      <c r="AA215" s="3693">
        <f>ABS(+AA209+AA210+AA211-AA214)</f>
        <v>1.7763568394002505E-15</v>
      </c>
      <c r="AB215" s="2233">
        <f>ABS(+AB209+AB210+AB211-AB214)</f>
        <v>9.9999999996214228E-6</v>
      </c>
      <c r="AC215" s="2233">
        <f>ABS(+AC209+AC210+AC211-AC214)</f>
        <v>0</v>
      </c>
      <c r="AD215" s="2233">
        <f>ABS(+AD209+AD210+AD211-AD214)</f>
        <v>0</v>
      </c>
      <c r="AE215" s="2233">
        <f>ABS(+AE209+AE210+AE211-AE214)</f>
        <v>0</v>
      </c>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row>
    <row r="216" spans="1:119" s="699" customFormat="1" ht="12.75" customHeight="1">
      <c r="A216" s="1953">
        <f>+ROW(InputY!A231)</f>
        <v>231</v>
      </c>
      <c r="B216" s="664" t="s">
        <v>1909</v>
      </c>
      <c r="C216" s="782" t="s">
        <v>1767</v>
      </c>
      <c r="D216" s="674" t="s">
        <v>688</v>
      </c>
      <c r="E216" s="783" t="s">
        <v>1164</v>
      </c>
      <c r="F216" s="704" t="s">
        <v>1165</v>
      </c>
      <c r="G216" s="706">
        <f>+InputY!G231/1000</f>
        <v>-5.7924003707136244E-4</v>
      </c>
      <c r="H216" s="706">
        <f>+InputY!H231/1000</f>
        <v>-3.6492122335495827E-2</v>
      </c>
      <c r="I216" s="706">
        <f>+InputY!I231/1000</f>
        <v>-6.4874884151992593E-2</v>
      </c>
      <c r="J216" s="706">
        <f>+InputY!J231/1000</f>
        <v>-6.9798424467099163E-2</v>
      </c>
      <c r="K216" s="706">
        <f>+InputY!K231/1000</f>
        <v>-5.0393883225208526E-2</v>
      </c>
      <c r="L216" s="706">
        <f>+InputY!L231/1000</f>
        <v>1.2743280815569975E-2</v>
      </c>
      <c r="M216" s="706">
        <f>+InputY!M231/1000</f>
        <v>5.5317423540315103E-2</v>
      </c>
      <c r="N216" s="706">
        <f>+InputY!N231/1000</f>
        <v>6.7191844300278039E-2</v>
      </c>
      <c r="O216" s="706">
        <f>+InputY!O231/1000</f>
        <v>4.6918443002780356E-2</v>
      </c>
      <c r="P216" s="3511">
        <f>+InputY!P231/1000</f>
        <v>0.14452038924930491</v>
      </c>
      <c r="Q216" s="3511">
        <f>+InputY!Q231/1000</f>
        <v>0.185</v>
      </c>
      <c r="R216" s="3511">
        <f>+InputY!R231/1000</f>
        <v>0.20200000000000001</v>
      </c>
      <c r="S216" s="3511">
        <f>+InputY!S231/1000</f>
        <v>0.159</v>
      </c>
      <c r="T216" s="3511">
        <f>+InputY!T231/1000</f>
        <v>9.5000000000000001E-2</v>
      </c>
      <c r="U216" s="3511">
        <f>+InputY!U231/1000</f>
        <v>1.7000000000000001E-2</v>
      </c>
      <c r="V216" s="3590">
        <f>+InputY!V231/1000</f>
        <v>0.17100000000000001</v>
      </c>
      <c r="W216" s="3590">
        <f>+InputY!W231/1000</f>
        <v>0.13700000000000001</v>
      </c>
      <c r="X216" s="3590">
        <f>+InputY!X231/1000</f>
        <v>2.1000000000000001E-2</v>
      </c>
      <c r="Y216" s="3590">
        <f>+InputY!Y231/1000</f>
        <v>3.6999999999999998E-2</v>
      </c>
      <c r="Z216" s="3590">
        <f>+InputY!Z231/1000</f>
        <v>-1.7999999999999999E-2</v>
      </c>
      <c r="AA216" s="3590">
        <f>+InputY!AA231/1000</f>
        <v>-1E-3</v>
      </c>
      <c r="AB216" s="3590">
        <f>+InputY!AB231/1000</f>
        <v>-4.7E-2</v>
      </c>
      <c r="AC216" s="2943">
        <f>+AC136+AC167</f>
        <v>0</v>
      </c>
      <c r="AD216" s="2943">
        <f>+AD136+AD167</f>
        <v>0</v>
      </c>
      <c r="AE216" s="2943">
        <f>+AE136+AE167</f>
        <v>0</v>
      </c>
      <c r="AF216" t="s">
        <v>2590</v>
      </c>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row>
    <row r="217" spans="1:119" s="699" customFormat="1" ht="12.75" customHeight="1">
      <c r="A217" s="664">
        <f>+ROW(InputY!A184)</f>
        <v>184</v>
      </c>
      <c r="B217" s="664">
        <v>87</v>
      </c>
      <c r="C217" s="784" t="s">
        <v>1769</v>
      </c>
      <c r="D217" s="752" t="s">
        <v>685</v>
      </c>
      <c r="E217" s="753" t="s">
        <v>1378</v>
      </c>
      <c r="F217" s="754" t="str">
        <f>+InputY!B184</f>
        <v>YHComp</v>
      </c>
      <c r="G217" s="785">
        <f>+InputY!G184/1000</f>
        <v>2.9015</v>
      </c>
      <c r="H217" s="785">
        <f>+InputY!H184/1000</f>
        <v>3.6541700000000001</v>
      </c>
      <c r="I217" s="785">
        <f>+InputY!I184/1000</f>
        <v>4.4716499999999995</v>
      </c>
      <c r="J217" s="785">
        <f>+InputY!J184/1000</f>
        <v>5.3453200000000001</v>
      </c>
      <c r="K217" s="785">
        <f>+InputY!K184/1000</f>
        <v>5.4032200000000001</v>
      </c>
      <c r="L217" s="785">
        <f>+InputY!L184/1000</f>
        <v>5.2354099999999999</v>
      </c>
      <c r="M217" s="785">
        <f>+InputY!M184/1000</f>
        <v>5.4208299999999996</v>
      </c>
      <c r="N217" s="785">
        <f>+InputY!N184/1000</f>
        <v>5.8667299999999996</v>
      </c>
      <c r="O217" s="785">
        <f>+InputY!O184/1000</f>
        <v>6.4834300000000002</v>
      </c>
      <c r="P217" s="3591">
        <f>+InputY!P184/1000</f>
        <v>7.4544499999999996</v>
      </c>
      <c r="Q217" s="3591">
        <f>+InputY!Q184/1000</f>
        <v>8.7055799999999994</v>
      </c>
      <c r="R217" s="3591">
        <f>+InputY!R184/1000</f>
        <v>10.479700000000001</v>
      </c>
      <c r="S217" s="3591">
        <f>+InputY!S184/1000</f>
        <v>12.48507</v>
      </c>
      <c r="T217" s="3591">
        <f>+InputY!T184/1000</f>
        <v>14.48174</v>
      </c>
      <c r="U217" s="3591">
        <f>+InputY!U184/1000</f>
        <v>12.023280000000002</v>
      </c>
      <c r="V217" s="3591">
        <f>+InputY!V184/1000</f>
        <v>11.682739999999999</v>
      </c>
      <c r="W217" s="3591">
        <f>+InputY!W184/1000</f>
        <v>12.470510000000001</v>
      </c>
      <c r="X217" s="3591">
        <f>+InputY!X184/1000</f>
        <v>13.015799999999999</v>
      </c>
      <c r="Y217" s="3591">
        <f>+InputY!Y184/1000</f>
        <v>13.800240000000001</v>
      </c>
      <c r="Z217" s="3591">
        <f>+InputY!Z184/1000</f>
        <v>14.621930000000001</v>
      </c>
      <c r="AA217" s="3591">
        <f>+InputY!AA184/1000</f>
        <v>15.65227</v>
      </c>
      <c r="AB217" s="3591">
        <f>+InputY!AB184/1000</f>
        <v>16.892139999999998</v>
      </c>
      <c r="AC217" s="2994">
        <f>+AC214+AC216</f>
        <v>18.449630000000003</v>
      </c>
      <c r="AD217" s="2994">
        <f>+AD214+AD216</f>
        <v>19.549555182988733</v>
      </c>
      <c r="AE217" s="2994">
        <f>+AE214+AE216</f>
        <v>20.686003495864497</v>
      </c>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row>
    <row r="218" spans="1:119" s="1972" customFormat="1" ht="12.75" customHeight="1">
      <c r="A218" s="998"/>
      <c r="B218" s="998"/>
      <c r="C218" s="1595"/>
      <c r="D218" s="1011"/>
      <c r="E218" s="1973" t="s">
        <v>737</v>
      </c>
      <c r="F218" s="1974"/>
      <c r="G218" s="1002">
        <f>ABS(+G214+G216-G217)</f>
        <v>1.2924003707137643E-4</v>
      </c>
      <c r="H218" s="1002">
        <f t="shared" ref="H218:Y218" si="313">ABS(+H214+H216-H217)</f>
        <v>1.2122335495856618E-5</v>
      </c>
      <c r="I218" s="1002">
        <f t="shared" si="313"/>
        <v>1.2488415199207736E-4</v>
      </c>
      <c r="J218" s="1002">
        <f t="shared" si="313"/>
        <v>2.7157553290102499E-4</v>
      </c>
      <c r="K218" s="1002">
        <f t="shared" si="313"/>
        <v>1.5611677479210329E-4</v>
      </c>
      <c r="L218" s="1002">
        <f t="shared" si="313"/>
        <v>1.8328081557061893E-4</v>
      </c>
      <c r="M218" s="1002">
        <f t="shared" si="313"/>
        <v>2.22576459684376E-4</v>
      </c>
      <c r="N218" s="1002">
        <f t="shared" si="313"/>
        <v>1.0771844300278666E-2</v>
      </c>
      <c r="O218" s="1002">
        <f t="shared" si="313"/>
        <v>6.5284430027796603E-3</v>
      </c>
      <c r="P218" s="1002">
        <f t="shared" si="313"/>
        <v>1.6038924930494858E-4</v>
      </c>
      <c r="Q218" s="1002">
        <f t="shared" si="313"/>
        <v>5.599999999983396E-4</v>
      </c>
      <c r="R218" s="1002">
        <f>ABS(+R214+R216-R217)</f>
        <v>4.0000000000262048E-4</v>
      </c>
      <c r="S218" s="1002">
        <f>ABS(+S214+S216-S217)</f>
        <v>1.7000000000066962E-4</v>
      </c>
      <c r="T218" s="1002">
        <f>ABS(+T214+T216-T217)</f>
        <v>3.1670000000000087E-2</v>
      </c>
      <c r="U218" s="2233">
        <f>ABS(+U214+U216-U217)</f>
        <v>2.8030000000002886E-2</v>
      </c>
      <c r="V218" s="2233">
        <f t="shared" si="313"/>
        <v>4.1769999999999641E-2</v>
      </c>
      <c r="W218" s="2233">
        <f t="shared" si="313"/>
        <v>3.7420000000000897E-2</v>
      </c>
      <c r="X218" s="2233">
        <f t="shared" si="313"/>
        <v>1.7749999999999488E-2</v>
      </c>
      <c r="Y218" s="2233">
        <f t="shared" si="313"/>
        <v>2.0619999999999195E-2</v>
      </c>
      <c r="Z218" s="2233">
        <f t="shared" ref="Z218:AE218" si="314">ABS(+Z214+Z216-Z217)</f>
        <v>1.6000000000001791E-2</v>
      </c>
      <c r="AA218" s="2233">
        <f t="shared" si="314"/>
        <v>1.5989999999998616E-2</v>
      </c>
      <c r="AB218" s="2233">
        <f t="shared" si="314"/>
        <v>1.0079999999998535E-2</v>
      </c>
      <c r="AC218" s="2233">
        <f t="shared" si="314"/>
        <v>0</v>
      </c>
      <c r="AD218" s="2233">
        <f t="shared" si="314"/>
        <v>0</v>
      </c>
      <c r="AE218" s="2233">
        <f t="shared" si="314"/>
        <v>0</v>
      </c>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row>
    <row r="219" spans="1:119" s="699" customFormat="1">
      <c r="A219" s="664"/>
      <c r="B219" s="663"/>
      <c r="C219" s="694"/>
      <c r="D219" s="670"/>
      <c r="F219" s="694"/>
      <c r="P219" s="1869"/>
      <c r="Q219" s="1870"/>
      <c r="R219" s="3555"/>
      <c r="S219" s="3555"/>
      <c r="T219" s="2971"/>
      <c r="U219" s="2971"/>
      <c r="V219" s="2971"/>
      <c r="W219" s="2971"/>
      <c r="X219" s="2971"/>
      <c r="Y219" s="2971"/>
      <c r="Z219" s="2971"/>
      <c r="AA219" s="2971"/>
      <c r="AB219" s="2971"/>
      <c r="AC219" s="2971"/>
      <c r="AD219" s="2971"/>
      <c r="AE219" s="2971"/>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row>
    <row r="220" spans="1:119" s="699" customFormat="1" ht="12.75" customHeight="1">
      <c r="A220" s="664"/>
      <c r="B220" s="664"/>
      <c r="C220" s="774"/>
      <c r="D220" s="742"/>
      <c r="E220" s="743" t="s">
        <v>1311</v>
      </c>
      <c r="F220" s="744"/>
      <c r="G220" s="745">
        <f>+InputY!$G$3</f>
        <v>1995</v>
      </c>
      <c r="H220" s="745">
        <f t="shared" ref="H220:O220" si="315">+G220+1</f>
        <v>1996</v>
      </c>
      <c r="I220" s="745">
        <f t="shared" si="315"/>
        <v>1997</v>
      </c>
      <c r="J220" s="745">
        <f t="shared" si="315"/>
        <v>1998</v>
      </c>
      <c r="K220" s="745">
        <f t="shared" si="315"/>
        <v>1999</v>
      </c>
      <c r="L220" s="745">
        <f t="shared" si="315"/>
        <v>2000</v>
      </c>
      <c r="M220" s="745">
        <f t="shared" si="315"/>
        <v>2001</v>
      </c>
      <c r="N220" s="745">
        <f t="shared" si="315"/>
        <v>2002</v>
      </c>
      <c r="O220" s="745">
        <f t="shared" si="315"/>
        <v>2003</v>
      </c>
      <c r="P220" s="3495">
        <f t="shared" ref="P220:W220" si="316">+O220+1</f>
        <v>2004</v>
      </c>
      <c r="Q220" s="3495">
        <f t="shared" si="316"/>
        <v>2005</v>
      </c>
      <c r="R220" s="3496">
        <f t="shared" si="316"/>
        <v>2006</v>
      </c>
      <c r="S220" s="3496">
        <f t="shared" si="316"/>
        <v>2007</v>
      </c>
      <c r="T220" s="3496">
        <f t="shared" si="316"/>
        <v>2008</v>
      </c>
      <c r="U220" s="3496">
        <f t="shared" si="316"/>
        <v>2009</v>
      </c>
      <c r="V220" s="3496">
        <f t="shared" si="316"/>
        <v>2010</v>
      </c>
      <c r="W220" s="3496">
        <f t="shared" si="316"/>
        <v>2011</v>
      </c>
      <c r="X220" s="3496">
        <f t="shared" ref="X220:AE220" si="317">+W220+1</f>
        <v>2012</v>
      </c>
      <c r="Y220" s="3496">
        <f t="shared" si="317"/>
        <v>2013</v>
      </c>
      <c r="Z220" s="3496">
        <f t="shared" si="317"/>
        <v>2014</v>
      </c>
      <c r="AA220" s="3496">
        <f t="shared" si="317"/>
        <v>2015</v>
      </c>
      <c r="AB220" s="3496">
        <f t="shared" si="317"/>
        <v>2016</v>
      </c>
      <c r="AC220" s="3496">
        <f t="shared" si="317"/>
        <v>2017</v>
      </c>
      <c r="AD220" s="3496">
        <f t="shared" si="317"/>
        <v>2018</v>
      </c>
      <c r="AE220" s="3496">
        <f t="shared" si="317"/>
        <v>2019</v>
      </c>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row>
    <row r="221" spans="1:119" s="699" customFormat="1" ht="12.75" customHeight="1">
      <c r="A221" s="664"/>
      <c r="B221" s="664"/>
      <c r="C221" s="794" t="s">
        <v>1767</v>
      </c>
      <c r="D221" s="689" t="s">
        <v>685</v>
      </c>
      <c r="E221" s="738" t="s">
        <v>1376</v>
      </c>
      <c r="F221" s="733" t="s">
        <v>10</v>
      </c>
      <c r="G221" s="739"/>
      <c r="H221" s="739">
        <f t="shared" ref="H221:Q221" si="318">(H209/G209-1)*100</f>
        <v>6.6135050113395266</v>
      </c>
      <c r="I221" s="739">
        <f t="shared" si="318"/>
        <v>29.945790159884723</v>
      </c>
      <c r="J221" s="739">
        <f t="shared" si="318"/>
        <v>32.148703596134531</v>
      </c>
      <c r="K221" s="739">
        <f t="shared" si="318"/>
        <v>-31.228771228771222</v>
      </c>
      <c r="L221" s="739">
        <f t="shared" si="318"/>
        <v>41.789657176060444</v>
      </c>
      <c r="M221" s="739">
        <f t="shared" si="318"/>
        <v>21.383493156298638</v>
      </c>
      <c r="N221" s="739">
        <f t="shared" si="318"/>
        <v>9.3045239702903579</v>
      </c>
      <c r="O221" s="739">
        <f t="shared" si="318"/>
        <v>10.739436619718301</v>
      </c>
      <c r="P221" s="3497">
        <f t="shared" si="318"/>
        <v>9.1400998521741883</v>
      </c>
      <c r="Q221" s="3497">
        <f t="shared" si="318"/>
        <v>14.814720163557361</v>
      </c>
      <c r="R221" s="3497">
        <f t="shared" ref="R221:AB222" si="319">(R209/Q209-1)*100</f>
        <v>20.215015469539498</v>
      </c>
      <c r="S221" s="3497">
        <f t="shared" si="319"/>
        <v>35.30522690662665</v>
      </c>
      <c r="T221" s="3497">
        <f t="shared" si="319"/>
        <v>4.1230482915281197</v>
      </c>
      <c r="U221" s="3497">
        <f t="shared" si="319"/>
        <v>-27.249310027598906</v>
      </c>
      <c r="V221" s="3497">
        <f t="shared" si="319"/>
        <v>-16.744345689717456</v>
      </c>
      <c r="W221" s="3497">
        <f t="shared" si="319"/>
        <v>2.3716015362249543</v>
      </c>
      <c r="X221" s="3497">
        <f t="shared" si="319"/>
        <v>-2.5222551928783421</v>
      </c>
      <c r="Y221" s="3497">
        <f t="shared" si="319"/>
        <v>5.201130680582744</v>
      </c>
      <c r="Z221" s="3497">
        <f t="shared" si="319"/>
        <v>1.990409656483827</v>
      </c>
      <c r="AA221" s="3497">
        <f t="shared" si="319"/>
        <v>2.6405917519505717</v>
      </c>
      <c r="AB221" s="3497">
        <f t="shared" si="319"/>
        <v>-3.3861159374506511</v>
      </c>
      <c r="AC221" s="3592">
        <v>6.5</v>
      </c>
      <c r="AD221" s="3592">
        <v>6.5</v>
      </c>
      <c r="AE221" s="3592">
        <v>6</v>
      </c>
      <c r="AF221" s="3318" t="s">
        <v>2591</v>
      </c>
      <c r="AG221" s="3344"/>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row>
    <row r="222" spans="1:119" s="699" customFormat="1" ht="12.75" customHeight="1">
      <c r="A222" s="664"/>
      <c r="B222" s="664"/>
      <c r="C222" s="795" t="s">
        <v>1767</v>
      </c>
      <c r="D222" s="831" t="s">
        <v>686</v>
      </c>
      <c r="E222" s="832" t="s">
        <v>1376</v>
      </c>
      <c r="F222" s="704" t="s">
        <v>1158</v>
      </c>
      <c r="G222" s="706"/>
      <c r="H222" s="706">
        <f t="shared" ref="H222:Q222" si="320">(H210/G210-1)*100</f>
        <v>25.408763249481936</v>
      </c>
      <c r="I222" s="706">
        <f t="shared" si="320"/>
        <v>20.520088394470193</v>
      </c>
      <c r="J222" s="706">
        <f t="shared" si="320"/>
        <v>15.400309646268507</v>
      </c>
      <c r="K222" s="706">
        <f t="shared" si="320"/>
        <v>1.9189116976584319</v>
      </c>
      <c r="L222" s="706">
        <f t="shared" si="320"/>
        <v>-5.9796689582084284</v>
      </c>
      <c r="M222" s="706">
        <f t="shared" si="320"/>
        <v>1.4365634010037986</v>
      </c>
      <c r="N222" s="706">
        <f t="shared" si="320"/>
        <v>10.318831934075501</v>
      </c>
      <c r="O222" s="706">
        <f t="shared" si="320"/>
        <v>13.928016667815314</v>
      </c>
      <c r="P222" s="3511">
        <f t="shared" si="320"/>
        <v>15.173174374938924</v>
      </c>
      <c r="Q222" s="3511">
        <f t="shared" si="320"/>
        <v>19.545990804263337</v>
      </c>
      <c r="R222" s="3511">
        <f t="shared" si="319"/>
        <v>22.220400934827399</v>
      </c>
      <c r="S222" s="3511">
        <f t="shared" si="319"/>
        <v>21.127118878411611</v>
      </c>
      <c r="T222" s="3511">
        <f t="shared" si="319"/>
        <v>15.498068634255047</v>
      </c>
      <c r="U222" s="3511">
        <f t="shared" si="319"/>
        <v>-20.793171232125328</v>
      </c>
      <c r="V222" s="3511">
        <f t="shared" si="319"/>
        <v>-0.80092932257276317</v>
      </c>
      <c r="W222" s="3511">
        <f t="shared" si="319"/>
        <v>8.5118078047859989</v>
      </c>
      <c r="X222" s="3511">
        <f t="shared" si="319"/>
        <v>7.5180596641227337</v>
      </c>
      <c r="Y222" s="3511">
        <f t="shared" si="319"/>
        <v>6.9517246435248037</v>
      </c>
      <c r="Z222" s="3511">
        <f t="shared" si="319"/>
        <v>7.5398549446339835</v>
      </c>
      <c r="AA222" s="3511">
        <f t="shared" si="319"/>
        <v>8.034622101116117</v>
      </c>
      <c r="AB222" s="3511">
        <f>(AB210/AA210-1)*100</f>
        <v>9.6473121750138233</v>
      </c>
      <c r="AC222" s="3511">
        <f>(AC210/AB210-1)*100</f>
        <v>10.200905798379868</v>
      </c>
      <c r="AD222" s="3511">
        <f>(AD210/AC210-1)*100</f>
        <v>6.2055024258300451</v>
      </c>
      <c r="AE222" s="3511">
        <f>(AE210/AD210-1)*100</f>
        <v>5.8939288213777807</v>
      </c>
      <c r="AF222" s="3344"/>
      <c r="AG222" s="3344"/>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row>
    <row r="223" spans="1:119" s="699" customFormat="1" ht="12.75" customHeight="1">
      <c r="A223" s="664"/>
      <c r="B223" s="664"/>
      <c r="C223" s="795" t="s">
        <v>1767</v>
      </c>
      <c r="D223" s="674" t="s">
        <v>687</v>
      </c>
      <c r="E223" s="3629" t="s">
        <v>1376</v>
      </c>
      <c r="F223" s="704" t="s">
        <v>321</v>
      </c>
      <c r="G223" s="706"/>
      <c r="H223" s="706">
        <f t="shared" ref="H223:Q223" si="321">(H211/G211-1)*100</f>
        <v>35.703879926758518</v>
      </c>
      <c r="I223" s="706">
        <f t="shared" si="321"/>
        <v>27.877086718865417</v>
      </c>
      <c r="J223" s="706">
        <f t="shared" si="321"/>
        <v>26.848428835489834</v>
      </c>
      <c r="K223" s="706">
        <f t="shared" si="321"/>
        <v>2.9769277474195555</v>
      </c>
      <c r="L223" s="706">
        <f t="shared" si="321"/>
        <v>-5.2151200155657556</v>
      </c>
      <c r="M223" s="706">
        <f t="shared" si="321"/>
        <v>2.6020477985543522</v>
      </c>
      <c r="N223" s="706">
        <f t="shared" si="321"/>
        <v>3.9165519791925618</v>
      </c>
      <c r="O223" s="706">
        <f t="shared" si="321"/>
        <v>4.2310138213895954</v>
      </c>
      <c r="P223" s="3511">
        <f t="shared" si="321"/>
        <v>10.195182840478489</v>
      </c>
      <c r="Q223" s="3511">
        <f t="shared" si="321"/>
        <v>9.3672377798208917</v>
      </c>
      <c r="R223" s="3511">
        <f>(R211/Q211-1)*100</f>
        <v>16.326843405725743</v>
      </c>
      <c r="S223" s="3511">
        <f>(S211/R211-1)*100</f>
        <v>13.170513572971455</v>
      </c>
      <c r="T223" s="2996">
        <f t="shared" ref="T223:AB223" si="322">(T211/S211-1)*100</f>
        <v>22.625666788970111</v>
      </c>
      <c r="U223" s="2996">
        <f t="shared" si="322"/>
        <v>-1.8856090684159055</v>
      </c>
      <c r="V223" s="2996">
        <f t="shared" si="322"/>
        <v>-10.304786145337896</v>
      </c>
      <c r="W223" s="2996">
        <f t="shared" si="322"/>
        <v>4.5275333132821505</v>
      </c>
      <c r="X223" s="2996">
        <f t="shared" si="322"/>
        <v>1.3849055305520608</v>
      </c>
      <c r="Y223" s="2996">
        <f t="shared" si="322"/>
        <v>2.9874044070693273</v>
      </c>
      <c r="Z223" s="2996">
        <f t="shared" si="322"/>
        <v>3.7053123455495829</v>
      </c>
      <c r="AA223" s="2996">
        <f t="shared" si="322"/>
        <v>4.1350028161691199</v>
      </c>
      <c r="AB223" s="2996">
        <f t="shared" si="322"/>
        <v>5.4652720570491864</v>
      </c>
      <c r="AC223" s="3511">
        <f>(AC211/AB211-1)*100</f>
        <v>5.2500506456830021</v>
      </c>
      <c r="AD223" s="3511">
        <f>(AD211/AC211-1)*100</f>
        <v>5.0435315257880697</v>
      </c>
      <c r="AE223" s="3511">
        <f>(AE211/AD211-1)*100</f>
        <v>5.5043480270370093</v>
      </c>
      <c r="AF223" s="3654" t="s">
        <v>2605</v>
      </c>
      <c r="AG223" s="3344"/>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row>
    <row r="224" spans="1:119" s="699" customFormat="1" ht="12.75" customHeight="1">
      <c r="A224" s="664"/>
      <c r="B224" s="664"/>
      <c r="C224" s="795" t="s">
        <v>1769</v>
      </c>
      <c r="D224" s="717"/>
      <c r="E224" s="722" t="s">
        <v>1163</v>
      </c>
      <c r="F224" s="723" t="s">
        <v>474</v>
      </c>
      <c r="G224" s="721"/>
      <c r="H224" s="721">
        <f t="shared" ref="H224:Q224" si="323">(H214/G214-1)*100</f>
        <v>27.178276676028212</v>
      </c>
      <c r="I224" s="721">
        <f t="shared" si="323"/>
        <v>22.916017503691744</v>
      </c>
      <c r="J224" s="721">
        <f t="shared" si="323"/>
        <v>19.376377744466989</v>
      </c>
      <c r="K224" s="721">
        <f t="shared" si="323"/>
        <v>0.70872088621503071</v>
      </c>
      <c r="L224" s="721">
        <f t="shared" si="323"/>
        <v>-4.2341352862331982</v>
      </c>
      <c r="M224" s="721">
        <f t="shared" si="323"/>
        <v>2.727246618225676</v>
      </c>
      <c r="N224" s="721">
        <f t="shared" si="323"/>
        <v>8.2944258371868251</v>
      </c>
      <c r="O224" s="721">
        <f t="shared" si="323"/>
        <v>10.889780407585814</v>
      </c>
      <c r="P224" s="3500">
        <f t="shared" si="323"/>
        <v>13.457156870048914</v>
      </c>
      <c r="Q224" s="3500">
        <f t="shared" si="323"/>
        <v>16.551506205805964</v>
      </c>
      <c r="R224" s="3500">
        <f t="shared" ref="R224:AE224" si="324">(R214/Q214-1)*100</f>
        <v>20.625303696470176</v>
      </c>
      <c r="S224" s="3500">
        <f t="shared" si="324"/>
        <v>19.933250951125302</v>
      </c>
      <c r="T224" s="2948">
        <f t="shared" si="324"/>
        <v>16.462651814471975</v>
      </c>
      <c r="U224" s="2948">
        <f>(U214/T214-1)*100</f>
        <v>-16.55735569384197</v>
      </c>
      <c r="V224" s="2948">
        <f>(V214/U214-1)*100</f>
        <v>-4.2433577525932353</v>
      </c>
      <c r="W224" s="2948">
        <f t="shared" si="324"/>
        <v>7.2024599889973562</v>
      </c>
      <c r="X224" s="2948">
        <f t="shared" si="324"/>
        <v>5.5380206228158535</v>
      </c>
      <c r="Y224" s="2948">
        <f>(Y214/X214-1)*100</f>
        <v>5.8994147360147409</v>
      </c>
      <c r="Z224" s="2948">
        <f t="shared" si="324"/>
        <v>6.4129692882434197</v>
      </c>
      <c r="AA224" s="2948">
        <f t="shared" si="324"/>
        <v>6.9293958600731953</v>
      </c>
      <c r="AB224" s="2948">
        <f t="shared" si="324"/>
        <v>8.2608995937912368</v>
      </c>
      <c r="AC224" s="2948">
        <f t="shared" si="324"/>
        <v>8.9820108145402209</v>
      </c>
      <c r="AD224" s="2948">
        <f t="shared" si="324"/>
        <v>5.961773666944703</v>
      </c>
      <c r="AE224" s="2948">
        <f t="shared" si="324"/>
        <v>5.8131671142300778</v>
      </c>
      <c r="AF224" s="3344"/>
      <c r="AG224" s="334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row>
    <row r="225" spans="1:119" s="699" customFormat="1" ht="12.75" customHeight="1">
      <c r="A225" s="664"/>
      <c r="B225" s="664"/>
      <c r="C225" s="796" t="s">
        <v>1767</v>
      </c>
      <c r="D225" s="691" t="s">
        <v>688</v>
      </c>
      <c r="E225" s="797" t="s">
        <v>1164</v>
      </c>
      <c r="F225" s="941" t="s">
        <v>1165</v>
      </c>
      <c r="G225" s="741"/>
      <c r="H225" s="741">
        <f t="shared" ref="H225:Q225" si="325">(H216/G216-1)*100</f>
        <v>6199.9999999999991</v>
      </c>
      <c r="I225" s="741">
        <f t="shared" si="325"/>
        <v>77.777777777777814</v>
      </c>
      <c r="J225" s="741">
        <f t="shared" si="325"/>
        <v>7.5892857142856984</v>
      </c>
      <c r="K225" s="741">
        <f t="shared" si="325"/>
        <v>-27.800829875518673</v>
      </c>
      <c r="L225" s="741">
        <f t="shared" si="325"/>
        <v>-125.2873563218391</v>
      </c>
      <c r="M225" s="741">
        <f t="shared" si="325"/>
        <v>334.09090909090901</v>
      </c>
      <c r="N225" s="741">
        <f t="shared" si="325"/>
        <v>21.465968586387451</v>
      </c>
      <c r="O225" s="741">
        <f t="shared" si="325"/>
        <v>-30.172413793103448</v>
      </c>
      <c r="P225" s="3499">
        <f t="shared" si="325"/>
        <v>208.02469135802463</v>
      </c>
      <c r="Q225" s="3499">
        <f t="shared" si="325"/>
        <v>28.009619238476958</v>
      </c>
      <c r="R225" s="3499">
        <f t="shared" ref="R225:AE226" si="326">(R216/Q216-1)*100</f>
        <v>9.1891891891892072</v>
      </c>
      <c r="S225" s="3499">
        <f t="shared" si="326"/>
        <v>-21.287128712871294</v>
      </c>
      <c r="T225" s="2266">
        <f t="shared" si="326"/>
        <v>-40.25157232704403</v>
      </c>
      <c r="U225" s="2266">
        <f t="shared" si="326"/>
        <v>-82.10526315789474</v>
      </c>
      <c r="V225" s="2266">
        <f t="shared" si="326"/>
        <v>905.88235294117646</v>
      </c>
      <c r="W225" s="2266">
        <f t="shared" si="326"/>
        <v>-19.883040935672515</v>
      </c>
      <c r="X225" s="2266">
        <f t="shared" si="326"/>
        <v>-84.671532846715323</v>
      </c>
      <c r="Y225" s="2266">
        <f t="shared" si="326"/>
        <v>76.190476190476161</v>
      </c>
      <c r="Z225" s="2266">
        <f t="shared" si="326"/>
        <v>-148.64864864864865</v>
      </c>
      <c r="AA225" s="2266">
        <f t="shared" si="326"/>
        <v>-94.444444444444443</v>
      </c>
      <c r="AB225" s="2266">
        <f t="shared" si="326"/>
        <v>4600</v>
      </c>
      <c r="AC225" s="2266">
        <f t="shared" si="326"/>
        <v>-100</v>
      </c>
      <c r="AD225" s="2266" t="e">
        <f t="shared" si="326"/>
        <v>#DIV/0!</v>
      </c>
      <c r="AE225" s="2266" t="e">
        <f t="shared" si="326"/>
        <v>#DIV/0!</v>
      </c>
      <c r="AF225"/>
      <c r="AG225" s="3344"/>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row>
    <row r="226" spans="1:119" s="699" customFormat="1" ht="12.75" customHeight="1">
      <c r="A226" s="664"/>
      <c r="B226" s="664"/>
      <c r="C226" s="774" t="s">
        <v>1769</v>
      </c>
      <c r="D226" s="717" t="s">
        <v>685</v>
      </c>
      <c r="E226" s="722" t="s">
        <v>1378</v>
      </c>
      <c r="F226" s="723" t="s">
        <v>343</v>
      </c>
      <c r="G226" s="721"/>
      <c r="H226" s="721">
        <f t="shared" ref="H226:Q226" si="327">(H217/G217-1)*100</f>
        <v>25.940720317077371</v>
      </c>
      <c r="I226" s="721">
        <f t="shared" si="327"/>
        <v>22.371154051398801</v>
      </c>
      <c r="J226" s="721">
        <f t="shared" si="327"/>
        <v>19.53797815124172</v>
      </c>
      <c r="K226" s="721">
        <f t="shared" si="327"/>
        <v>1.0831905292854271</v>
      </c>
      <c r="L226" s="721">
        <f t="shared" si="327"/>
        <v>-3.1057406509451768</v>
      </c>
      <c r="M226" s="721">
        <f t="shared" si="327"/>
        <v>3.5416519432097893</v>
      </c>
      <c r="N226" s="721">
        <f t="shared" si="327"/>
        <v>8.2256776176341972</v>
      </c>
      <c r="O226" s="721">
        <f t="shared" si="327"/>
        <v>10.511818338324774</v>
      </c>
      <c r="P226" s="3500">
        <f t="shared" si="327"/>
        <v>14.976948929810296</v>
      </c>
      <c r="Q226" s="3500">
        <f t="shared" si="327"/>
        <v>16.783666132310238</v>
      </c>
      <c r="R226" s="3500">
        <f t="shared" si="326"/>
        <v>20.379113166497831</v>
      </c>
      <c r="S226" s="3500">
        <f t="shared" si="326"/>
        <v>19.135757702987675</v>
      </c>
      <c r="T226" s="2948">
        <f t="shared" si="326"/>
        <v>15.992461395891254</v>
      </c>
      <c r="U226" s="2948">
        <f t="shared" si="326"/>
        <v>-16.976274950385783</v>
      </c>
      <c r="V226" s="2948">
        <f t="shared" si="326"/>
        <v>-2.8323385964562298</v>
      </c>
      <c r="W226" s="2948">
        <f t="shared" si="326"/>
        <v>6.7430243247731392</v>
      </c>
      <c r="X226" s="2948">
        <f t="shared" si="326"/>
        <v>4.3726359226687439</v>
      </c>
      <c r="Y226" s="2948">
        <f t="shared" si="326"/>
        <v>6.026828930991579</v>
      </c>
      <c r="Z226" s="2948">
        <f t="shared" si="326"/>
        <v>5.9541718115047271</v>
      </c>
      <c r="AA226" s="2948">
        <f t="shared" si="326"/>
        <v>7.0465389999815331</v>
      </c>
      <c r="AB226" s="2948">
        <f t="shared" si="326"/>
        <v>7.9213430384218908</v>
      </c>
      <c r="AC226" s="2948">
        <f t="shared" si="326"/>
        <v>9.2202053736235143</v>
      </c>
      <c r="AD226" s="2948">
        <f t="shared" si="326"/>
        <v>5.961773666944703</v>
      </c>
      <c r="AE226" s="2948">
        <f t="shared" si="326"/>
        <v>5.8131671142300778</v>
      </c>
      <c r="AF226"/>
      <c r="AG226" s="3344"/>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row>
    <row r="227" spans="1:119" s="699" customFormat="1">
      <c r="A227" s="663"/>
      <c r="B227" s="663"/>
      <c r="C227" s="694"/>
      <c r="D227" s="670"/>
      <c r="F227" s="694"/>
      <c r="P227" s="547"/>
      <c r="Q227" s="3554"/>
      <c r="R227" s="3555"/>
      <c r="S227" s="3555"/>
      <c r="T227" s="2971"/>
      <c r="U227" s="2971"/>
      <c r="V227" s="2971"/>
      <c r="W227" s="2971"/>
      <c r="X227" s="2971"/>
      <c r="Y227" s="2971"/>
      <c r="Z227" s="2971"/>
      <c r="AA227" s="2971"/>
      <c r="AB227" s="2971"/>
      <c r="AC227" s="2971"/>
      <c r="AD227" s="2971"/>
      <c r="AE227" s="2971"/>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row>
    <row r="228" spans="1:119" s="699" customFormat="1" ht="12.75" customHeight="1">
      <c r="A228" s="664"/>
      <c r="B228" s="664"/>
      <c r="C228" s="774"/>
      <c r="D228" s="814"/>
      <c r="E228" s="815" t="s">
        <v>512</v>
      </c>
      <c r="F228" s="816"/>
      <c r="G228" s="821">
        <f>+InputY!$G$3</f>
        <v>1995</v>
      </c>
      <c r="H228" s="817">
        <f t="shared" ref="H228:O228" si="328">+G228+1</f>
        <v>1996</v>
      </c>
      <c r="I228" s="817">
        <f t="shared" si="328"/>
        <v>1997</v>
      </c>
      <c r="J228" s="817">
        <f t="shared" si="328"/>
        <v>1998</v>
      </c>
      <c r="K228" s="817">
        <f t="shared" si="328"/>
        <v>1999</v>
      </c>
      <c r="L228" s="817">
        <f t="shared" si="328"/>
        <v>2000</v>
      </c>
      <c r="M228" s="817">
        <f t="shared" si="328"/>
        <v>2001</v>
      </c>
      <c r="N228" s="817">
        <f t="shared" si="328"/>
        <v>2002</v>
      </c>
      <c r="O228" s="817">
        <f t="shared" si="328"/>
        <v>2003</v>
      </c>
      <c r="P228" s="3583">
        <f t="shared" ref="P228:W228" si="329">+O228+1</f>
        <v>2004</v>
      </c>
      <c r="Q228" s="3583">
        <f t="shared" si="329"/>
        <v>2005</v>
      </c>
      <c r="R228" s="3584">
        <f t="shared" si="329"/>
        <v>2006</v>
      </c>
      <c r="S228" s="3584">
        <f t="shared" si="329"/>
        <v>2007</v>
      </c>
      <c r="T228" s="3584">
        <f t="shared" si="329"/>
        <v>2008</v>
      </c>
      <c r="U228" s="3584">
        <f t="shared" si="329"/>
        <v>2009</v>
      </c>
      <c r="V228" s="3584">
        <f t="shared" si="329"/>
        <v>2010</v>
      </c>
      <c r="W228" s="3584">
        <f t="shared" si="329"/>
        <v>2011</v>
      </c>
      <c r="X228" s="3584">
        <f t="shared" ref="X228:AE228" si="330">+W228+1</f>
        <v>2012</v>
      </c>
      <c r="Y228" s="3584">
        <f t="shared" si="330"/>
        <v>2013</v>
      </c>
      <c r="Z228" s="3584">
        <f t="shared" si="330"/>
        <v>2014</v>
      </c>
      <c r="AA228" s="3584">
        <f t="shared" si="330"/>
        <v>2015</v>
      </c>
      <c r="AB228" s="3584">
        <f t="shared" si="330"/>
        <v>2016</v>
      </c>
      <c r="AC228" s="3584">
        <f t="shared" si="330"/>
        <v>2017</v>
      </c>
      <c r="AD228" s="3584">
        <f t="shared" si="330"/>
        <v>2018</v>
      </c>
      <c r="AE228" s="3584">
        <f t="shared" si="330"/>
        <v>2019</v>
      </c>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row>
    <row r="229" spans="1:119" s="699" customFormat="1" ht="12.75" customHeight="1">
      <c r="A229" s="664"/>
      <c r="B229" s="664"/>
      <c r="C229" s="822" t="s">
        <v>1767</v>
      </c>
      <c r="D229" s="823" t="s">
        <v>685</v>
      </c>
      <c r="E229" s="824" t="s">
        <v>1376</v>
      </c>
      <c r="F229" s="825" t="s">
        <v>10</v>
      </c>
      <c r="G229" s="838">
        <f>+G209/'VVP2'!G$341</f>
        <v>1.7604413918163753E-2</v>
      </c>
      <c r="H229" s="838">
        <f>+H209/'VVP2'!H$341</f>
        <v>1.500182723140985E-2</v>
      </c>
      <c r="I229" s="838">
        <f>+I209/'VVP2'!I$341</f>
        <v>1.6151868676616339E-2</v>
      </c>
      <c r="J229" s="838">
        <f>+J209/'VVP2'!J$341</f>
        <v>1.921753714494592E-2</v>
      </c>
      <c r="K229" s="838">
        <f>+K209/'VVP2'!K$341</f>
        <v>1.353830372370218E-2</v>
      </c>
      <c r="L229" s="838">
        <f>+L209/'VVP2'!L$341</f>
        <v>1.8253793710138553E-2</v>
      </c>
      <c r="M229" s="838">
        <f>+M209/'VVP2'!M$341</f>
        <v>2.0867207908404083E-2</v>
      </c>
      <c r="N229" s="838">
        <f>+N209/'VVP2'!N$341</f>
        <v>2.1296959578796973E-2</v>
      </c>
      <c r="O229" s="838">
        <f>+O209/'VVP2'!O$341</f>
        <v>2.1509459770776937E-2</v>
      </c>
      <c r="P229" s="3593">
        <f>+P209/'VVP2'!P$341</f>
        <v>2.1455532818795333E-2</v>
      </c>
      <c r="Q229" s="3593">
        <f>+Q209/'VVP2'!Q$341</f>
        <v>2.1391415722526289E-2</v>
      </c>
      <c r="R229" s="3593">
        <f>+R209/'VVP2'!R$341</f>
        <v>2.2429750514760056E-2</v>
      </c>
      <c r="S229" s="3593">
        <f>+S209/'VVP2'!S$341</f>
        <v>2.5163684296431281E-2</v>
      </c>
      <c r="T229" s="2279">
        <f>+T209/'VVP2'!T$341</f>
        <v>2.3271760579490999E-2</v>
      </c>
      <c r="U229" s="2279">
        <f>+U209/'VVP2'!U$341</f>
        <v>2.0551835876386031E-2</v>
      </c>
      <c r="V229" s="2279">
        <f>+V209/'VVP2'!V$341</f>
        <v>1.6443399127861549E-2</v>
      </c>
      <c r="W229" s="2279">
        <f>+W209/'VVP2'!W$341</f>
        <v>1.5085377223958059E-2</v>
      </c>
      <c r="X229" s="2279">
        <f>+X209/'VVP2'!X$341</f>
        <v>1.3790733490701824E-2</v>
      </c>
      <c r="Y229" s="2279">
        <f>+Y209/'VVP2'!Y$341</f>
        <v>1.3839383403437962E-2</v>
      </c>
      <c r="Z229" s="2279">
        <f>+Z209/'VVP2'!Z$341</f>
        <v>1.3493935180981987E-2</v>
      </c>
      <c r="AA229" s="2279">
        <f>+AA209/'VVP2'!AA$341</f>
        <v>1.3532617568088587E-2</v>
      </c>
      <c r="AB229" s="2279">
        <f>+AB209/'VVP2'!AB$341</f>
        <v>1.2654545116001935E-2</v>
      </c>
      <c r="AC229" s="2279">
        <f ca="1">+AC209/'VVP2'!AC$341</f>
        <v>1.2473468240708618E-2</v>
      </c>
      <c r="AD229" s="2279">
        <f ca="1">+AD209/'VVP2'!AD$341</f>
        <v>1.2553511778607678E-2</v>
      </c>
      <c r="AE229" s="2279">
        <f ca="1">+AE209/'VVP2'!AE$341</f>
        <v>1.2604074657663483E-2</v>
      </c>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row>
    <row r="230" spans="1:119" s="699" customFormat="1" ht="12.75" customHeight="1">
      <c r="A230" s="664"/>
      <c r="B230" s="664"/>
      <c r="C230" s="826" t="s">
        <v>1767</v>
      </c>
      <c r="D230" s="674" t="s">
        <v>686</v>
      </c>
      <c r="E230" s="783" t="s">
        <v>1376</v>
      </c>
      <c r="F230" s="704" t="s">
        <v>1158</v>
      </c>
      <c r="G230" s="839">
        <f>+G210/'VVP2'!G$341</f>
        <v>0.25977876317046877</v>
      </c>
      <c r="H230" s="839">
        <f>+H210/'VVP2'!H$341</f>
        <v>0.26040054971356219</v>
      </c>
      <c r="I230" s="839">
        <f>+I210/'VVP2'!I$341</f>
        <v>0.26002657718899314</v>
      </c>
      <c r="J230" s="839">
        <f>+J210/'VVP2'!J$341</f>
        <v>0.27016977474973042</v>
      </c>
      <c r="K230" s="839">
        <f>+K210/'VVP2'!K$341</f>
        <v>0.28206634948804604</v>
      </c>
      <c r="L230" s="839">
        <f>+L210/'VVP2'!L$341</f>
        <v>0.25218391733205264</v>
      </c>
      <c r="M230" s="839">
        <f>+M210/'VVP2'!M$341</f>
        <v>0.24091480374116206</v>
      </c>
      <c r="N230" s="839">
        <f>+N210/'VVP2'!N$341</f>
        <v>0.24815799323386067</v>
      </c>
      <c r="O230" s="839">
        <f>+O210/'VVP2'!O$341</f>
        <v>0.25785074583885276</v>
      </c>
      <c r="P230" s="3512">
        <f>+P210/'VVP2'!P$341</f>
        <v>0.27142208565544379</v>
      </c>
      <c r="Q230" s="3512">
        <f>+Q210/'VVP2'!Q$341</f>
        <v>0.28176227898306622</v>
      </c>
      <c r="R230" s="3512">
        <f>+R210/'VVP2'!R$341</f>
        <v>0.30036737131413943</v>
      </c>
      <c r="S230" s="3512">
        <f>+S210/'VVP2'!S$341</f>
        <v>0.30166807503686205</v>
      </c>
      <c r="T230" s="2280">
        <f>+T210/'VVP2'!T$341</f>
        <v>0.3094654804766781</v>
      </c>
      <c r="U230" s="2280">
        <f>+U210/'VVP2'!U$341</f>
        <v>0.29754941744552221</v>
      </c>
      <c r="V230" s="2280">
        <f>+V210/'VVP2'!V$341</f>
        <v>0.28365728712279226</v>
      </c>
      <c r="W230" s="2280">
        <f>+W210/'VVP2'!W$341</f>
        <v>0.27583922402712419</v>
      </c>
      <c r="X230" s="2280">
        <f>+X210/'VVP2'!X$341</f>
        <v>0.27813981326885068</v>
      </c>
      <c r="Y230" s="2280">
        <f>+Y210/'VVP2'!Y$341</f>
        <v>0.2837657127574218</v>
      </c>
      <c r="Z230" s="2280">
        <f>+Z210/'VVP2'!Z$341</f>
        <v>0.29173726519267512</v>
      </c>
      <c r="AA230" s="2280">
        <f>+AA210/'VVP2'!AA$341</f>
        <v>0.30794907687337963</v>
      </c>
      <c r="AB230" s="2280">
        <f>+AB210/'VVP2'!AB$341</f>
        <v>0.3268150775622008</v>
      </c>
      <c r="AC230" s="2280">
        <f ca="1">+AC210/'VVP2'!AC$341</f>
        <v>0.33333301304479218</v>
      </c>
      <c r="AD230" s="2280">
        <f ca="1">+AD210/'VVP2'!AD$341</f>
        <v>0.33454438633258127</v>
      </c>
      <c r="AE230" s="2280">
        <f ca="1">+AE210/'VVP2'!AE$341</f>
        <v>0.33555574265265109</v>
      </c>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row>
    <row r="231" spans="1:119" s="699" customFormat="1" ht="12.75" customHeight="1">
      <c r="A231" s="664"/>
      <c r="B231" s="664"/>
      <c r="C231" s="826" t="s">
        <v>1767</v>
      </c>
      <c r="D231" s="674" t="s">
        <v>687</v>
      </c>
      <c r="E231" s="783" t="s">
        <v>1376</v>
      </c>
      <c r="F231" s="704" t="s">
        <v>321</v>
      </c>
      <c r="G231" s="839">
        <f>+G211/'VVP2'!G$341</f>
        <v>9.6362561545901698E-2</v>
      </c>
      <c r="H231" s="839">
        <f>+H211/'VVP2'!H$341</f>
        <v>0.10452278377418507</v>
      </c>
      <c r="I231" s="839">
        <f>+I211/'VVP2'!I$341</f>
        <v>0.11074397364798359</v>
      </c>
      <c r="J231" s="839">
        <f>+J211/'VVP2'!J$341</f>
        <v>0.1264786560548489</v>
      </c>
      <c r="K231" s="839">
        <f>+K211/'VVP2'!K$341</f>
        <v>0.13341876388443119</v>
      </c>
      <c r="L231" s="839">
        <f>+L211/'VVP2'!L$341</f>
        <v>0.12025421560750976</v>
      </c>
      <c r="M231" s="839">
        <f>+M211/'VVP2'!M$341</f>
        <v>0.11620047736732203</v>
      </c>
      <c r="N231" s="839">
        <f>+N211/'VVP2'!N$341</f>
        <v>0.11274771956898258</v>
      </c>
      <c r="O231" s="839">
        <f>+O211/'VVP2'!O$341</f>
        <v>0.10718013880089847</v>
      </c>
      <c r="P231" s="3512">
        <f>+P211/'VVP2'!P$341</f>
        <v>0.10794496241854794</v>
      </c>
      <c r="Q231" s="3512">
        <f>+Q211/'VVP2'!Q$341</f>
        <v>0.10251614700259734</v>
      </c>
      <c r="R231" s="3512">
        <f>+R211/'VVP2'!R$341</f>
        <v>0.10401558524833486</v>
      </c>
      <c r="S231" s="3512">
        <f>+S211/'VVP2'!S$341</f>
        <v>9.7603842336916588E-2</v>
      </c>
      <c r="T231" s="2280">
        <f>+T211/'VVP2'!T$341</f>
        <v>0.10630567147088292</v>
      </c>
      <c r="U231" s="2280">
        <f>+U211/'VVP2'!U$341</f>
        <v>0.12661157564817588</v>
      </c>
      <c r="V231" s="2280">
        <f>+V211/'VVP2'!V$341</f>
        <v>0.10913647446843582</v>
      </c>
      <c r="W231" s="2280">
        <f>+W211/'VVP2'!W$341</f>
        <v>0.10223172776489577</v>
      </c>
      <c r="X231" s="2280">
        <f>+X211/'VVP2'!X$341</f>
        <v>9.7204130443126646E-2</v>
      </c>
      <c r="Y231" s="2280">
        <f>+Y211/'VVP2'!Y$341</f>
        <v>9.5494377089015467E-2</v>
      </c>
      <c r="Z231" s="2280">
        <f>+Z211/'VVP2'!Z$341</f>
        <v>9.4676315101503275E-2</v>
      </c>
      <c r="AA231" s="2280">
        <f>+AA211/'VVP2'!AA$341</f>
        <v>9.6330124475607043E-2</v>
      </c>
      <c r="AB231" s="2280">
        <f>+AB211/'VVP2'!AB$341</f>
        <v>9.8332433371814451E-2</v>
      </c>
      <c r="AC231" s="2280">
        <f ca="1">+AC211/'VVP2'!AC$341</f>
        <v>9.5787795717815691E-2</v>
      </c>
      <c r="AD231" s="2280">
        <f ca="1">+AD211/'VVP2'!AD$341</f>
        <v>9.5084098771006514E-2</v>
      </c>
      <c r="AE231" s="2280">
        <f ca="1">+AE211/'VVP2'!AE$341</f>
        <v>9.5020676898133691E-2</v>
      </c>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row>
    <row r="232" spans="1:119" s="699" customFormat="1" ht="12.75" customHeight="1">
      <c r="A232" s="664"/>
      <c r="B232" s="664"/>
      <c r="C232" s="826" t="s">
        <v>1769</v>
      </c>
      <c r="D232" s="806"/>
      <c r="E232" s="807" t="s">
        <v>1163</v>
      </c>
      <c r="F232" s="808" t="s">
        <v>474</v>
      </c>
      <c r="G232" s="841">
        <f>+G214/'VVP2'!G$341</f>
        <v>0.37374445072657325</v>
      </c>
      <c r="H232" s="841">
        <f>+H214/'VVP2'!H$341</f>
        <v>0.37992516071915711</v>
      </c>
      <c r="I232" s="841">
        <f>+I214/'VVP2'!I$341</f>
        <v>0.38692156658711702</v>
      </c>
      <c r="J232" s="841">
        <f>+J214/'VVP2'!J$341</f>
        <v>0.41586596794952529</v>
      </c>
      <c r="K232" s="841">
        <f>+K214/'VVP2'!K$341</f>
        <v>0.42902263044285438</v>
      </c>
      <c r="L232" s="841">
        <f>+L214/'VVP2'!L$341</f>
        <v>0.39069267469468544</v>
      </c>
      <c r="M232" s="841">
        <f>+M214/'VVP2'!M$341</f>
        <v>0.37798319351411669</v>
      </c>
      <c r="N232" s="841">
        <f>+N214/'VVP2'!N$341</f>
        <v>0.38220267238164024</v>
      </c>
      <c r="O232" s="841">
        <f>+O214/'VVP2'!O$341</f>
        <v>0.38654034441052815</v>
      </c>
      <c r="P232" s="3594">
        <f>+P214/'VVP2'!P$341</f>
        <v>0.40082258089278705</v>
      </c>
      <c r="Q232" s="3594">
        <f>+Q214/'VVP2'!Q$341</f>
        <v>0.40566984170818982</v>
      </c>
      <c r="R232" s="3594">
        <f>+R214/'VVP2'!R$341</f>
        <v>0.42681270707723429</v>
      </c>
      <c r="S232" s="3594">
        <f>+S214/'VVP2'!S$341</f>
        <v>0.42443594601500101</v>
      </c>
      <c r="T232" s="2282">
        <f>+T214/'VVP2'!T$341</f>
        <v>0.43904291252705197</v>
      </c>
      <c r="U232" s="2282">
        <f>+U214/'VVP2'!U$341</f>
        <v>0.44471245770344853</v>
      </c>
      <c r="V232" s="2282">
        <f>+V214/'VVP2'!V$341</f>
        <v>0.40923751750948884</v>
      </c>
      <c r="W232" s="2282">
        <f>+W214/'VVP2'!W$341</f>
        <v>0.39315632901597808</v>
      </c>
      <c r="X232" s="2282">
        <f>+X214/'VVP2'!X$341</f>
        <v>0.38913467720267902</v>
      </c>
      <c r="Y232" s="2282">
        <f>+Y214/'VVP2'!Y$341</f>
        <v>0.39309947324987521</v>
      </c>
      <c r="Z232" s="2282">
        <f>+Z214/'VVP2'!Z$341</f>
        <v>0.3999075154751604</v>
      </c>
      <c r="AA232" s="2282">
        <f>+AA214/'VVP2'!AA$341</f>
        <v>0.41781181891707531</v>
      </c>
      <c r="AB232" s="2282">
        <f>+AB214/'VVP2'!AB$341</f>
        <v>0.43780179744038528</v>
      </c>
      <c r="AC232" s="2282">
        <f ca="1">+AC214/'VVP2'!AC$341</f>
        <v>0.44159427700331649</v>
      </c>
      <c r="AD232" s="2282">
        <f ca="1">+AD214/'VVP2'!AD$341</f>
        <v>0.4421819968821955</v>
      </c>
      <c r="AE232" s="2282">
        <f ca="1">+AE214/'VVP2'!AE$341</f>
        <v>0.44318049420844835</v>
      </c>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row>
    <row r="233" spans="1:119" s="699" customFormat="1" ht="12.75" customHeight="1">
      <c r="A233" s="664"/>
      <c r="B233" s="664"/>
      <c r="C233" s="827" t="s">
        <v>1767</v>
      </c>
      <c r="D233" s="828" t="s">
        <v>688</v>
      </c>
      <c r="E233" s="829" t="s">
        <v>1164</v>
      </c>
      <c r="F233" s="830" t="s">
        <v>1165</v>
      </c>
      <c r="G233" s="840">
        <f>+G216/'VVP2'!G$341</f>
        <v>-7.4600785504256215E-5</v>
      </c>
      <c r="H233" s="840">
        <f>+H216/'VVP2'!H$341</f>
        <v>-3.7565944869593147E-3</v>
      </c>
      <c r="I233" s="840">
        <f>+I216/'VVP2'!I$341</f>
        <v>-5.5333506322737648E-3</v>
      </c>
      <c r="J233" s="840">
        <f>+J216/'VVP2'!J$341</f>
        <v>-5.3600552042165055E-3</v>
      </c>
      <c r="K233" s="840">
        <f>+K216/'VVP2'!K$341</f>
        <v>-3.9642515800096074E-3</v>
      </c>
      <c r="L233" s="840">
        <f>+L216/'VVP2'!L$341</f>
        <v>9.5325472993107322E-4</v>
      </c>
      <c r="M233" s="840">
        <f>+M216/'VVP2'!M$341</f>
        <v>3.8970971572349824E-3</v>
      </c>
      <c r="N233" s="840">
        <f>+N216/'VVP2'!N$341</f>
        <v>4.4198850756357834E-3</v>
      </c>
      <c r="O233" s="840">
        <f>+O216/'VVP2'!O$341</f>
        <v>2.8148003298909294E-3</v>
      </c>
      <c r="P233" s="3595">
        <f>+P216/'VVP2'!P$341</f>
        <v>7.9242574866433373E-3</v>
      </c>
      <c r="Q233" s="3595">
        <f>+Q216/'VVP2'!Q$341</f>
        <v>8.8085380921658768E-3</v>
      </c>
      <c r="R233" s="3595">
        <f>+R216/'VVP2'!R$341</f>
        <v>8.388989990522934E-3</v>
      </c>
      <c r="S233" s="3595">
        <f>+S216/'VVP2'!S$341</f>
        <v>5.4750821778843869E-3</v>
      </c>
      <c r="T233" s="2281">
        <f>+T216/'VVP2'!T$341</f>
        <v>2.9055293140381718E-3</v>
      </c>
      <c r="U233" s="2281">
        <f>+U216/'VVP2'!U$341</f>
        <v>6.3115328040061166E-4</v>
      </c>
      <c r="V233" s="2281">
        <f>+V216/'VVP2'!V$341</f>
        <v>6.1011158262944537E-3</v>
      </c>
      <c r="W233" s="2281">
        <f>+W216/'VVP2'!W$341</f>
        <v>4.3804507835571308E-3</v>
      </c>
      <c r="X233" s="2281">
        <f>+X216/'VVP2'!X$341</f>
        <v>6.2971385802291439E-4</v>
      </c>
      <c r="Y233" s="2281">
        <f>+Y216/'VVP2'!Y$341</f>
        <v>1.0583629984853966E-3</v>
      </c>
      <c r="Z233" s="2281">
        <f>+Z216/'VVP2'!Z$341</f>
        <v>-4.9222987791605177E-4</v>
      </c>
      <c r="AA233" s="2281">
        <f>+AA216/'VVP2'!AA$341</f>
        <v>-2.6718957447655556E-5</v>
      </c>
      <c r="AB233" s="2281">
        <f>+AB216/'VVP2'!AB$341</f>
        <v>-1.2154652697608792E-3</v>
      </c>
      <c r="AC233" s="2281">
        <f ca="1">+AC216/'VVP2'!AC$341</f>
        <v>0</v>
      </c>
      <c r="AD233" s="2281">
        <f ca="1">+AD216/'VVP2'!AD$341</f>
        <v>0</v>
      </c>
      <c r="AE233" s="2281">
        <f ca="1">+AE216/'VVP2'!AE$341</f>
        <v>0</v>
      </c>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row>
    <row r="234" spans="1:119" s="699" customFormat="1" ht="12.75" customHeight="1">
      <c r="A234" s="664"/>
      <c r="B234" s="664"/>
      <c r="C234" s="774" t="s">
        <v>1769</v>
      </c>
      <c r="D234" s="806" t="s">
        <v>685</v>
      </c>
      <c r="E234" s="807" t="s">
        <v>1378</v>
      </c>
      <c r="F234" s="808" t="s">
        <v>343</v>
      </c>
      <c r="G234" s="841">
        <f>+G217/'VVP2'!G$341</f>
        <v>0.37368649486833072</v>
      </c>
      <c r="H234" s="841">
        <f>+H217/'VVP2'!H$341</f>
        <v>0.37616981413710926</v>
      </c>
      <c r="I234" s="841">
        <f>+I217/'VVP2'!I$341</f>
        <v>0.3813988676548104</v>
      </c>
      <c r="J234" s="841">
        <f>+J217/'VVP2'!J$341</f>
        <v>0.41048505754894044</v>
      </c>
      <c r="K234" s="841">
        <f>+K217/'VVP2'!K$341</f>
        <v>0.42504609788484654</v>
      </c>
      <c r="L234" s="841">
        <f>+L217/'VVP2'!L$341</f>
        <v>0.39163221919513347</v>
      </c>
      <c r="M234" s="841">
        <f>+M217/'VVP2'!M$341</f>
        <v>0.38189597112124957</v>
      </c>
      <c r="N234" s="841">
        <f>+N217/'VVP2'!N$341</f>
        <v>0.38591398464824428</v>
      </c>
      <c r="O234" s="841">
        <f>+O217/'VVP2'!O$341</f>
        <v>0.3889634807732919</v>
      </c>
      <c r="P234" s="3594">
        <f>+P217/'VVP2'!P$341</f>
        <v>0.40873804400988717</v>
      </c>
      <c r="Q234" s="3594">
        <f>+Q217/'VVP2'!Q$341</f>
        <v>0.41450504348322925</v>
      </c>
      <c r="R234" s="3594">
        <f>+R217/'VVP2'!R$341</f>
        <v>0.43521830892912472</v>
      </c>
      <c r="S234" s="3594">
        <f>+S217/'VVP2'!S$341</f>
        <v>0.42991688205433348</v>
      </c>
      <c r="T234" s="2282">
        <f>+T217/'VVP2'!T$341</f>
        <v>0.44291705356083322</v>
      </c>
      <c r="U234" s="2282">
        <f>+U217/'VVP2'!U$341</f>
        <v>0.44638427136323922</v>
      </c>
      <c r="V234" s="2282">
        <f>+V217/'VVP2'!V$341</f>
        <v>0.4168289468332354</v>
      </c>
      <c r="W234" s="2282">
        <f>+W217/'VVP2'!W$341</f>
        <v>0.39873325037121926</v>
      </c>
      <c r="X234" s="2282">
        <f>+X217/'VVP2'!X$341</f>
        <v>0.39029664920260226</v>
      </c>
      <c r="Y234" s="2282">
        <f>+Y217/'VVP2'!Y$341</f>
        <v>0.39474765908697595</v>
      </c>
      <c r="Z234" s="2282">
        <f>+Z217/'VVP2'!Z$341</f>
        <v>0.39985282326650312</v>
      </c>
      <c r="AA234" s="2282">
        <f>+AA217/'VVP2'!AA$341</f>
        <v>0.4182123360892156</v>
      </c>
      <c r="AB234" s="2282">
        <f>+AB217/'VVP2'!AB$341</f>
        <v>0.43684701067954329</v>
      </c>
      <c r="AC234" s="2282">
        <f ca="1">+AC217/'VVP2'!AC$341</f>
        <v>0.44159427700331649</v>
      </c>
      <c r="AD234" s="2282">
        <f ca="1">+AD217/'VVP2'!AD$341</f>
        <v>0.4421819968821955</v>
      </c>
      <c r="AE234" s="2282">
        <f ca="1">+AE217/'VVP2'!AE$341</f>
        <v>0.44318049420844835</v>
      </c>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row>
    <row r="235" spans="1:119" s="699" customFormat="1">
      <c r="A235" s="663"/>
      <c r="B235" s="663"/>
      <c r="C235" s="694"/>
      <c r="D235" s="670"/>
      <c r="F235" s="694"/>
      <c r="P235" s="547"/>
      <c r="Q235" s="547"/>
      <c r="R235" s="547"/>
      <c r="S235" s="547"/>
      <c r="T235" s="2971"/>
      <c r="U235" s="2971"/>
      <c r="V235" s="2971"/>
      <c r="W235" s="2971"/>
      <c r="X235" s="2971"/>
      <c r="Y235" s="2971"/>
      <c r="Z235" s="2971"/>
      <c r="AA235" s="2971"/>
      <c r="AB235" s="2971"/>
      <c r="AC235" s="2971"/>
      <c r="AD235" s="2971"/>
      <c r="AE235" s="2971"/>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row>
    <row r="236" spans="1:119" s="699" customFormat="1" ht="12.75" customHeight="1">
      <c r="A236" s="664"/>
      <c r="B236" s="664"/>
      <c r="C236" s="774"/>
      <c r="D236" s="814"/>
      <c r="E236" s="815" t="s">
        <v>1262</v>
      </c>
      <c r="F236" s="816"/>
      <c r="G236" s="821">
        <f>+InputY!$G$3</f>
        <v>1995</v>
      </c>
      <c r="H236" s="817">
        <f t="shared" ref="H236:O236" si="331">+G236+1</f>
        <v>1996</v>
      </c>
      <c r="I236" s="817">
        <f t="shared" si="331"/>
        <v>1997</v>
      </c>
      <c r="J236" s="817">
        <f t="shared" si="331"/>
        <v>1998</v>
      </c>
      <c r="K236" s="817">
        <f t="shared" si="331"/>
        <v>1999</v>
      </c>
      <c r="L236" s="817">
        <f t="shared" si="331"/>
        <v>2000</v>
      </c>
      <c r="M236" s="817">
        <f t="shared" si="331"/>
        <v>2001</v>
      </c>
      <c r="N236" s="817">
        <f t="shared" si="331"/>
        <v>2002</v>
      </c>
      <c r="O236" s="817">
        <f t="shared" si="331"/>
        <v>2003</v>
      </c>
      <c r="P236" s="3583">
        <f t="shared" ref="P236:W236" si="332">+O236+1</f>
        <v>2004</v>
      </c>
      <c r="Q236" s="3583">
        <f t="shared" si="332"/>
        <v>2005</v>
      </c>
      <c r="R236" s="3583">
        <f t="shared" si="332"/>
        <v>2006</v>
      </c>
      <c r="S236" s="3583">
        <f t="shared" si="332"/>
        <v>2007</v>
      </c>
      <c r="T236" s="2991">
        <f t="shared" si="332"/>
        <v>2008</v>
      </c>
      <c r="U236" s="2991">
        <f t="shared" si="332"/>
        <v>2009</v>
      </c>
      <c r="V236" s="2991">
        <f t="shared" si="332"/>
        <v>2010</v>
      </c>
      <c r="W236" s="2991">
        <f t="shared" si="332"/>
        <v>2011</v>
      </c>
      <c r="X236" s="2991">
        <f t="shared" ref="X236:AE236" si="333">+W236+1</f>
        <v>2012</v>
      </c>
      <c r="Y236" s="2991">
        <f t="shared" si="333"/>
        <v>2013</v>
      </c>
      <c r="Z236" s="2991">
        <f t="shared" si="333"/>
        <v>2014</v>
      </c>
      <c r="AA236" s="2991">
        <f t="shared" si="333"/>
        <v>2015</v>
      </c>
      <c r="AB236" s="2991">
        <f t="shared" si="333"/>
        <v>2016</v>
      </c>
      <c r="AC236" s="2991">
        <f t="shared" si="333"/>
        <v>2017</v>
      </c>
      <c r="AD236" s="2991">
        <f t="shared" si="333"/>
        <v>2018</v>
      </c>
      <c r="AE236" s="2991">
        <f t="shared" si="333"/>
        <v>2019</v>
      </c>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row>
    <row r="237" spans="1:119" s="699" customFormat="1" ht="12.75" customHeight="1">
      <c r="A237" s="664"/>
      <c r="B237" s="664"/>
      <c r="C237" s="810" t="s">
        <v>1767</v>
      </c>
      <c r="D237" s="1655" t="s">
        <v>685</v>
      </c>
      <c r="E237" s="1656" t="s">
        <v>1378</v>
      </c>
      <c r="F237" s="1657" t="s">
        <v>343</v>
      </c>
      <c r="G237" s="1658">
        <f>+G217/Sector1!G375</f>
        <v>0.57681029769892145</v>
      </c>
      <c r="H237" s="1658">
        <f>+H217/Sector1!H375</f>
        <v>0.59376462406405994</v>
      </c>
      <c r="I237" s="1658">
        <f>+I217/Sector1!I375</f>
        <v>0.60354787594446702</v>
      </c>
      <c r="J237" s="1658">
        <f>+J217/Sector1!J375</f>
        <v>0.62313929156393377</v>
      </c>
      <c r="K237" s="1658">
        <f>+K217/Sector1!K375</f>
        <v>0.6266375647139597</v>
      </c>
      <c r="L237" s="1658">
        <f>+L217/Sector1!L375</f>
        <v>0.56540225192826499</v>
      </c>
      <c r="M237" s="1658">
        <f>+M217/Sector1!M375</f>
        <v>0.55930858582627785</v>
      </c>
      <c r="N237" s="1658">
        <f>+N217/Sector1!N375</f>
        <v>0.57255941053042492</v>
      </c>
      <c r="O237" s="1658">
        <f>+O217/Sector1!O375</f>
        <v>0.59212001987301732</v>
      </c>
      <c r="P237" s="3596">
        <f>+P217/Sector1!P375</f>
        <v>0.58046608909079311</v>
      </c>
      <c r="Q237" s="3596">
        <f>+Q217/Sector1!Q375</f>
        <v>0.61885091200675613</v>
      </c>
      <c r="R237" s="3596">
        <f>+R217/Sector1!R375</f>
        <v>0.64699650439019463</v>
      </c>
      <c r="S237" s="3596">
        <f>+S217/Sector1!S375</f>
        <v>0.71364829711381306</v>
      </c>
      <c r="T237" s="3597">
        <f>+T217/Sector1!T375</f>
        <v>0.6947088066307936</v>
      </c>
      <c r="U237" s="3597">
        <f>+U217/Sector1!U375</f>
        <v>0.6262063031667916</v>
      </c>
      <c r="V237" s="3597">
        <f>+V217/Sector1!V375</f>
        <v>0.60325412316303673</v>
      </c>
      <c r="W237" s="3597">
        <f>+W217/Sector1!W375</f>
        <v>0.61181085171675342</v>
      </c>
      <c r="X237" s="3597">
        <f>+X217/Sector1!X375</f>
        <v>0.61767373171117124</v>
      </c>
      <c r="Y237" s="3597">
        <f>+Y217/Sector1!Y375</f>
        <v>0.61947737667564595</v>
      </c>
      <c r="Z237" s="3597">
        <f>+Z217/Sector1!Z375</f>
        <v>0.64432720980129399</v>
      </c>
      <c r="AA237" s="3597">
        <f>+AA217/Sector1!AA375</f>
        <v>0.6704803541336295</v>
      </c>
      <c r="AB237" s="3597">
        <f>+AB217/Sector1!AB375</f>
        <v>0.68632584686918219</v>
      </c>
      <c r="AC237" s="3597">
        <f>+AC217/Sector1!AC375</f>
        <v>0.70156156496904265</v>
      </c>
      <c r="AD237" s="3597">
        <f>+AD217/Sector1!AD375</f>
        <v>0.70298076779255469</v>
      </c>
      <c r="AE237" s="3597">
        <f>+AE217/Sector1!AE375</f>
        <v>0.70695020670945918</v>
      </c>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row>
    <row r="238" spans="1:119" ht="30" customHeight="1">
      <c r="E238" s="167"/>
      <c r="F238" s="705"/>
      <c r="G238" s="705"/>
      <c r="AB238" s="3486"/>
      <c r="AC238" s="3486"/>
      <c r="AD238" s="3486"/>
      <c r="AE238" s="3486"/>
    </row>
    <row r="239" spans="1:119" ht="30" customHeight="1">
      <c r="AB239" s="3486"/>
      <c r="AC239" s="3486"/>
      <c r="AD239" s="3486"/>
      <c r="AE239" s="3486"/>
    </row>
    <row r="240" spans="1:119" ht="22.5" customHeight="1">
      <c r="C240" s="3751" t="s">
        <v>1287</v>
      </c>
      <c r="D240" s="3751"/>
      <c r="E240" s="3751"/>
      <c r="F240" s="3751"/>
      <c r="AB240" s="3486"/>
      <c r="AC240" s="3486"/>
      <c r="AD240" s="3486"/>
      <c r="AE240" s="3486"/>
    </row>
    <row r="241" spans="1:119">
      <c r="AB241" s="3486"/>
      <c r="AC241" s="3486"/>
      <c r="AD241" s="3486"/>
      <c r="AE241" s="3486"/>
    </row>
    <row r="242" spans="1:119" s="699" customFormat="1" ht="12.75" customHeight="1">
      <c r="A242" s="664"/>
      <c r="B242" s="664"/>
      <c r="C242" s="666"/>
      <c r="D242" s="695"/>
      <c r="E242" s="696" t="s">
        <v>345</v>
      </c>
      <c r="F242" s="697"/>
      <c r="G242" s="698">
        <f>+InputY!$G$3</f>
        <v>1995</v>
      </c>
      <c r="H242" s="698">
        <f>+G242+1</f>
        <v>1996</v>
      </c>
      <c r="I242" s="698">
        <f t="shared" ref="I242:O242" si="334">+H242+1</f>
        <v>1997</v>
      </c>
      <c r="J242" s="698">
        <f t="shared" si="334"/>
        <v>1998</v>
      </c>
      <c r="K242" s="698">
        <f t="shared" si="334"/>
        <v>1999</v>
      </c>
      <c r="L242" s="698">
        <f t="shared" si="334"/>
        <v>2000</v>
      </c>
      <c r="M242" s="698">
        <f t="shared" si="334"/>
        <v>2001</v>
      </c>
      <c r="N242" s="698">
        <f t="shared" si="334"/>
        <v>2002</v>
      </c>
      <c r="O242" s="698">
        <f t="shared" si="334"/>
        <v>2003</v>
      </c>
      <c r="P242" s="3490">
        <f t="shared" ref="P242:U242" si="335">+O242+1</f>
        <v>2004</v>
      </c>
      <c r="Q242" s="3490">
        <f t="shared" si="335"/>
        <v>2005</v>
      </c>
      <c r="R242" s="3490">
        <f t="shared" si="335"/>
        <v>2006</v>
      </c>
      <c r="S242" s="3490">
        <f>+R242+1</f>
        <v>2007</v>
      </c>
      <c r="T242" s="3490">
        <f t="shared" si="335"/>
        <v>2008</v>
      </c>
      <c r="U242" s="3490">
        <f t="shared" si="335"/>
        <v>2009</v>
      </c>
      <c r="V242" s="3490">
        <f t="shared" ref="V242:AE242" si="336">+U242+1</f>
        <v>2010</v>
      </c>
      <c r="W242" s="3490">
        <f t="shared" si="336"/>
        <v>2011</v>
      </c>
      <c r="X242" s="3490">
        <f t="shared" si="336"/>
        <v>2012</v>
      </c>
      <c r="Y242" s="3490">
        <f t="shared" si="336"/>
        <v>2013</v>
      </c>
      <c r="Z242" s="3490">
        <f t="shared" si="336"/>
        <v>2014</v>
      </c>
      <c r="AA242" s="3490">
        <f t="shared" si="336"/>
        <v>2015</v>
      </c>
      <c r="AB242" s="3490">
        <f t="shared" si="336"/>
        <v>2016</v>
      </c>
      <c r="AC242" s="3490">
        <f t="shared" si="336"/>
        <v>2017</v>
      </c>
      <c r="AD242" s="3490">
        <f t="shared" si="336"/>
        <v>2018</v>
      </c>
      <c r="AE242" s="3490">
        <f t="shared" si="336"/>
        <v>2019</v>
      </c>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row>
    <row r="243" spans="1:119">
      <c r="C243" s="675"/>
      <c r="D243" s="668"/>
      <c r="E243" s="708" t="s">
        <v>1120</v>
      </c>
      <c r="F243" s="701" t="str">
        <f>+InputY!B53</f>
        <v>VGrVadd</v>
      </c>
      <c r="G243" s="1454">
        <f>+'VVP2'!G159</f>
        <v>13.007718594954577</v>
      </c>
      <c r="H243" s="1454">
        <f>+'VVP2'!H159</f>
        <v>13.68921744656852</v>
      </c>
      <c r="I243" s="1454">
        <f>+'VVP2'!I159</f>
        <v>14.80355275774415</v>
      </c>
      <c r="J243" s="1454">
        <f>+'VVP2'!J159</f>
        <v>15.932074847052366</v>
      </c>
      <c r="K243" s="1454">
        <f>+'VVP2'!K159</f>
        <v>15.76932793178003</v>
      </c>
      <c r="L243" s="1454">
        <f>+'VVP2'!L159</f>
        <v>16.340395653944416</v>
      </c>
      <c r="M243" s="1454">
        <f>+'VVP2'!M159</f>
        <v>17.435136589285346</v>
      </c>
      <c r="N243" s="1454">
        <f>+'VVP2'!N159</f>
        <v>18.627352195151989</v>
      </c>
      <c r="O243" s="1454">
        <f>+'VVP2'!O159</f>
        <v>20.541478464990298</v>
      </c>
      <c r="P243" s="3556">
        <f>+'VVP2'!P159</f>
        <v>22.072500000000002</v>
      </c>
      <c r="Q243" s="3556">
        <f>+'VVP2'!Q159</f>
        <v>23.778130000000001</v>
      </c>
      <c r="R243" s="3556">
        <f>+'VVP2'!R159</f>
        <v>25.539240000000003</v>
      </c>
      <c r="S243" s="3556">
        <f>+'VVP2'!S159</f>
        <v>28.37077</v>
      </c>
      <c r="T243" s="3556">
        <f>+'VVP2'!T159</f>
        <v>29.11637</v>
      </c>
      <c r="U243" s="3556">
        <f>+'VVP2'!U159</f>
        <v>24.80303</v>
      </c>
      <c r="V243" s="3556">
        <f>+'VVP2'!V159</f>
        <v>25.20975</v>
      </c>
      <c r="W243" s="3556">
        <f>+'VVP2'!W159</f>
        <v>26.73321</v>
      </c>
      <c r="X243" s="3556">
        <f>+'VVP2'!X159</f>
        <v>27.75628</v>
      </c>
      <c r="Y243" s="3556">
        <f>+'VVP2'!Y159</f>
        <v>28.727349999999998</v>
      </c>
      <c r="Z243" s="3556">
        <f>+'VVP2'!Z159</f>
        <v>29.74361</v>
      </c>
      <c r="AA243" s="3556">
        <f>+'VVP2'!AA159</f>
        <v>30.348790000000001</v>
      </c>
      <c r="AB243" s="3556">
        <f>+'VVP2'!AB159</f>
        <v>31.06043</v>
      </c>
      <c r="AC243" s="3556">
        <f>+'VVP2'!AC159</f>
        <v>32.24971</v>
      </c>
      <c r="AD243" s="3556">
        <f ca="1">+'VVP2'!AD159</f>
        <v>33.151944645504848</v>
      </c>
      <c r="AE243" s="3556">
        <f ca="1">+'VVP2'!AE159</f>
        <v>34.017908485511633</v>
      </c>
    </row>
    <row r="244" spans="1:119">
      <c r="C244" s="768" t="s">
        <v>338</v>
      </c>
      <c r="D244" s="676"/>
      <c r="E244" s="711" t="s">
        <v>718</v>
      </c>
      <c r="F244" s="766" t="s">
        <v>553</v>
      </c>
      <c r="G244" s="712" t="str">
        <f t="shared" ref="G244:O244" si="337">+G34</f>
        <v>:</v>
      </c>
      <c r="H244" s="712" t="str">
        <f t="shared" si="337"/>
        <v>:</v>
      </c>
      <c r="I244" s="712" t="str">
        <f t="shared" si="337"/>
        <v>:</v>
      </c>
      <c r="J244" s="712" t="str">
        <f t="shared" si="337"/>
        <v>:</v>
      </c>
      <c r="K244" s="712" t="str">
        <f t="shared" si="337"/>
        <v>:</v>
      </c>
      <c r="L244" s="712">
        <f t="shared" si="337"/>
        <v>1399.19</v>
      </c>
      <c r="M244" s="712">
        <f t="shared" si="337"/>
        <v>1345.99</v>
      </c>
      <c r="N244" s="712">
        <f t="shared" si="337"/>
        <v>1394.68</v>
      </c>
      <c r="O244" s="712">
        <f t="shared" si="337"/>
        <v>1425.71</v>
      </c>
      <c r="P244" s="3598">
        <f t="shared" ref="P244:U244" si="338">+P34</f>
        <v>1410.1</v>
      </c>
      <c r="Q244" s="3598">
        <f t="shared" si="338"/>
        <v>1420.72</v>
      </c>
      <c r="R244" s="3598">
        <f t="shared" si="338"/>
        <v>1416.26</v>
      </c>
      <c r="S244" s="3598">
        <f>+S34</f>
        <v>1445.14</v>
      </c>
      <c r="T244" s="3598">
        <f t="shared" si="338"/>
        <v>1426.09</v>
      </c>
      <c r="U244" s="3598">
        <f t="shared" si="338"/>
        <v>1316.51</v>
      </c>
      <c r="V244" s="3598">
        <f t="shared" ref="V244:AA244" si="339">+V34</f>
        <v>1246.77</v>
      </c>
      <c r="W244" s="3598">
        <f t="shared" si="339"/>
        <v>1252.7</v>
      </c>
      <c r="X244" s="3598">
        <f t="shared" si="339"/>
        <v>1274.9000000000001</v>
      </c>
      <c r="Y244" s="3598">
        <f t="shared" si="339"/>
        <v>1291.8900000000001</v>
      </c>
      <c r="Z244" s="3598">
        <f t="shared" si="339"/>
        <v>1317.81</v>
      </c>
      <c r="AA244" s="3598">
        <f t="shared" si="339"/>
        <v>1334.73</v>
      </c>
      <c r="AB244" s="3598">
        <f>+AB34</f>
        <v>1361.21</v>
      </c>
      <c r="AC244" s="3598">
        <f>+AC34</f>
        <v>1354.11</v>
      </c>
      <c r="AD244" s="3598">
        <f>+AD34</f>
        <v>1346.7528000000002</v>
      </c>
      <c r="AE244" s="3598">
        <f>+AE34</f>
        <v>1342.6692803150002</v>
      </c>
    </row>
    <row r="245" spans="1:119">
      <c r="C245" s="670" t="s">
        <v>1769</v>
      </c>
      <c r="D245" s="769"/>
      <c r="E245" s="770" t="s">
        <v>1289</v>
      </c>
      <c r="F245" s="771" t="s">
        <v>1849</v>
      </c>
      <c r="G245" s="772" t="e">
        <f>+G243/G244*1000</f>
        <v>#VALUE!</v>
      </c>
      <c r="H245" s="772" t="e">
        <f t="shared" ref="H245:Q245" si="340">+H243/H244*1000</f>
        <v>#VALUE!</v>
      </c>
      <c r="I245" s="772" t="e">
        <f t="shared" si="340"/>
        <v>#VALUE!</v>
      </c>
      <c r="J245" s="772" t="e">
        <f t="shared" si="340"/>
        <v>#VALUE!</v>
      </c>
      <c r="K245" s="772" t="e">
        <f t="shared" si="340"/>
        <v>#VALUE!</v>
      </c>
      <c r="L245" s="772">
        <f t="shared" si="340"/>
        <v>11.678468009308538</v>
      </c>
      <c r="M245" s="772">
        <f t="shared" si="340"/>
        <v>12.953392364939818</v>
      </c>
      <c r="N245" s="772">
        <f t="shared" si="340"/>
        <v>13.356004384627289</v>
      </c>
      <c r="O245" s="772">
        <f t="shared" si="340"/>
        <v>14.407893937049119</v>
      </c>
      <c r="P245" s="3599">
        <f t="shared" si="340"/>
        <v>15.653145167009434</v>
      </c>
      <c r="Q245" s="3599">
        <f t="shared" si="340"/>
        <v>16.736675770032097</v>
      </c>
      <c r="R245" s="3599">
        <f t="shared" ref="R245:Y245" si="341">+R243/R244*1000</f>
        <v>18.032875319503482</v>
      </c>
      <c r="S245" s="3599">
        <f t="shared" si="341"/>
        <v>19.631848817415612</v>
      </c>
      <c r="T245" s="3599">
        <f t="shared" si="341"/>
        <v>20.416923195590741</v>
      </c>
      <c r="U245" s="3599">
        <f t="shared" si="341"/>
        <v>18.839986023653445</v>
      </c>
      <c r="V245" s="3599">
        <f t="shared" si="341"/>
        <v>20.220048605596862</v>
      </c>
      <c r="W245" s="3599">
        <f t="shared" si="341"/>
        <v>21.340472579228866</v>
      </c>
      <c r="X245" s="3599">
        <f t="shared" si="341"/>
        <v>21.771338928543415</v>
      </c>
      <c r="Y245" s="3599">
        <f t="shared" si="341"/>
        <v>22.236684237822104</v>
      </c>
      <c r="Z245" s="3599">
        <f t="shared" ref="Z245:AE245" si="342">+Z243/Z244*1000</f>
        <v>22.570484364210319</v>
      </c>
      <c r="AA245" s="3599">
        <f t="shared" si="342"/>
        <v>22.73777468102163</v>
      </c>
      <c r="AB245" s="3599">
        <f t="shared" si="342"/>
        <v>22.818249939392157</v>
      </c>
      <c r="AC245" s="3599">
        <f t="shared" si="342"/>
        <v>23.816167076529972</v>
      </c>
      <c r="AD245" s="3599">
        <f t="shared" ca="1" si="342"/>
        <v>24.616206215056575</v>
      </c>
      <c r="AE245" s="3599">
        <f t="shared" ca="1" si="342"/>
        <v>25.336029493078726</v>
      </c>
    </row>
    <row r="246" spans="1:119">
      <c r="Q246" s="599"/>
      <c r="R246" s="599"/>
      <c r="S246" s="599"/>
      <c r="T246" s="599"/>
      <c r="U246" s="599"/>
      <c r="V246" s="599"/>
      <c r="W246" s="599"/>
      <c r="X246" s="599"/>
      <c r="Y246" s="599"/>
      <c r="Z246" s="599"/>
      <c r="AA246" s="599"/>
      <c r="AB246" s="599"/>
      <c r="AC246" s="599"/>
      <c r="AD246" s="599"/>
      <c r="AE246" s="599"/>
    </row>
    <row r="247" spans="1:119" s="699" customFormat="1" ht="12.75" customHeight="1">
      <c r="A247" s="664"/>
      <c r="B247" s="664"/>
      <c r="C247" s="666"/>
      <c r="D247" s="695"/>
      <c r="E247" s="696" t="s">
        <v>1288</v>
      </c>
      <c r="F247" s="697"/>
      <c r="G247" s="698">
        <f>+InputY!$G$3</f>
        <v>1995</v>
      </c>
      <c r="H247" s="698">
        <f>+G247+1</f>
        <v>1996</v>
      </c>
      <c r="I247" s="698">
        <f t="shared" ref="I247:O247" si="343">+H247+1</f>
        <v>1997</v>
      </c>
      <c r="J247" s="698">
        <f t="shared" si="343"/>
        <v>1998</v>
      </c>
      <c r="K247" s="698">
        <f t="shared" si="343"/>
        <v>1999</v>
      </c>
      <c r="L247" s="698">
        <f t="shared" si="343"/>
        <v>2000</v>
      </c>
      <c r="M247" s="698">
        <f t="shared" si="343"/>
        <v>2001</v>
      </c>
      <c r="N247" s="698">
        <f t="shared" si="343"/>
        <v>2002</v>
      </c>
      <c r="O247" s="698">
        <f t="shared" si="343"/>
        <v>2003</v>
      </c>
      <c r="P247" s="3490">
        <f t="shared" ref="P247:U247" si="344">+O247+1</f>
        <v>2004</v>
      </c>
      <c r="Q247" s="3490">
        <f t="shared" si="344"/>
        <v>2005</v>
      </c>
      <c r="R247" s="3490">
        <f t="shared" si="344"/>
        <v>2006</v>
      </c>
      <c r="S247" s="3490">
        <f>+R247+1</f>
        <v>2007</v>
      </c>
      <c r="T247" s="3490">
        <f t="shared" si="344"/>
        <v>2008</v>
      </c>
      <c r="U247" s="3490">
        <f t="shared" si="344"/>
        <v>2009</v>
      </c>
      <c r="V247" s="3490">
        <f t="shared" ref="V247:AE247" si="345">+U247+1</f>
        <v>2010</v>
      </c>
      <c r="W247" s="3490">
        <f t="shared" si="345"/>
        <v>2011</v>
      </c>
      <c r="X247" s="3490">
        <f t="shared" si="345"/>
        <v>2012</v>
      </c>
      <c r="Y247" s="3490">
        <f t="shared" si="345"/>
        <v>2013</v>
      </c>
      <c r="Z247" s="3490">
        <f t="shared" si="345"/>
        <v>2014</v>
      </c>
      <c r="AA247" s="3490">
        <f t="shared" si="345"/>
        <v>2015</v>
      </c>
      <c r="AB247" s="3490">
        <f t="shared" si="345"/>
        <v>2016</v>
      </c>
      <c r="AC247" s="3490">
        <f t="shared" si="345"/>
        <v>2017</v>
      </c>
      <c r="AD247" s="3490">
        <f t="shared" si="345"/>
        <v>2018</v>
      </c>
      <c r="AE247" s="3490">
        <f t="shared" si="345"/>
        <v>2019</v>
      </c>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row>
    <row r="248" spans="1:119">
      <c r="C248" s="675"/>
      <c r="D248" s="668"/>
      <c r="E248" s="708" t="str">
        <f>+$E$190</f>
        <v>Total compensation / employee (domestic)</v>
      </c>
      <c r="F248" s="724" t="str">
        <f>+$F$190</f>
        <v>YCompAvD</v>
      </c>
      <c r="G248" s="977" t="e">
        <f t="shared" ref="G248:O248" si="346">+G190</f>
        <v>#VALUE!</v>
      </c>
      <c r="H248" s="977" t="e">
        <f t="shared" si="346"/>
        <v>#VALUE!</v>
      </c>
      <c r="I248" s="977" t="e">
        <f t="shared" si="346"/>
        <v>#VALUE!</v>
      </c>
      <c r="J248" s="977" t="e">
        <f t="shared" si="346"/>
        <v>#VALUE!</v>
      </c>
      <c r="K248" s="977" t="e">
        <f t="shared" si="346"/>
        <v>#VALUE!</v>
      </c>
      <c r="L248" s="977">
        <f t="shared" si="346"/>
        <v>4.6473252420273354</v>
      </c>
      <c r="M248" s="977">
        <f t="shared" si="346"/>
        <v>4.9751395560171359</v>
      </c>
      <c r="N248" s="977">
        <f t="shared" si="346"/>
        <v>5.2220464656450813</v>
      </c>
      <c r="O248" s="977">
        <f t="shared" si="346"/>
        <v>5.6874106244372653</v>
      </c>
      <c r="P248" s="3600">
        <f t="shared" ref="P248:U248" si="347">+P190</f>
        <v>6.3737814979509979</v>
      </c>
      <c r="Q248" s="3600">
        <f t="shared" si="347"/>
        <v>7.2537354095541353</v>
      </c>
      <c r="R248" s="3600">
        <f t="shared" si="347"/>
        <v>8.7578184916915198</v>
      </c>
      <c r="S248" s="3600">
        <f>+S190</f>
        <v>9.9913266215975209</v>
      </c>
      <c r="T248" s="3600">
        <f>+T190</f>
        <v>11.396259218977001</v>
      </c>
      <c r="U248" s="3600">
        <f t="shared" si="347"/>
        <v>10.337395251697979</v>
      </c>
      <c r="V248" s="3600">
        <f t="shared" ref="V248:AA248" si="348">+V190</f>
        <v>10.323262051337437</v>
      </c>
      <c r="W248" s="3600">
        <f t="shared" si="348"/>
        <v>10.979141925978839</v>
      </c>
      <c r="X248" s="3600">
        <f t="shared" si="348"/>
        <v>11.444716859660106</v>
      </c>
      <c r="Y248" s="3600">
        <f t="shared" si="348"/>
        <v>12.05810300956392</v>
      </c>
      <c r="Z248" s="3600">
        <f t="shared" si="348"/>
        <v>12.626646980607504</v>
      </c>
      <c r="AA248" s="3600">
        <f t="shared" si="348"/>
        <v>13.353783091374893</v>
      </c>
      <c r="AB248" s="3600">
        <f>+AB190</f>
        <v>14.186759406687338</v>
      </c>
      <c r="AC248" s="3600">
        <f>+AC190</f>
        <v>15.468689252135199</v>
      </c>
      <c r="AD248" s="3600">
        <f>+AD190</f>
        <v>16.495359389525113</v>
      </c>
      <c r="AE248" s="3600">
        <f>+AE190</f>
        <v>17.490678494808797</v>
      </c>
    </row>
    <row r="249" spans="1:119">
      <c r="A249" s="664"/>
      <c r="B249" s="664"/>
      <c r="C249" s="768" t="s">
        <v>338</v>
      </c>
      <c r="D249" s="676"/>
      <c r="E249" s="711" t="str">
        <f>+$E$245</f>
        <v>Unit labour productivity</v>
      </c>
      <c r="F249" s="899" t="str">
        <f>+$F$245</f>
        <v>ULPdty</v>
      </c>
      <c r="G249" s="923" t="e">
        <f>+G245</f>
        <v>#VALUE!</v>
      </c>
      <c r="H249" s="923" t="e">
        <f t="shared" ref="H249:O249" si="349">+H245</f>
        <v>#VALUE!</v>
      </c>
      <c r="I249" s="923" t="e">
        <f t="shared" si="349"/>
        <v>#VALUE!</v>
      </c>
      <c r="J249" s="923" t="e">
        <f t="shared" si="349"/>
        <v>#VALUE!</v>
      </c>
      <c r="K249" s="923" t="e">
        <f t="shared" si="349"/>
        <v>#VALUE!</v>
      </c>
      <c r="L249" s="923">
        <f t="shared" si="349"/>
        <v>11.678468009308538</v>
      </c>
      <c r="M249" s="923">
        <f t="shared" si="349"/>
        <v>12.953392364939818</v>
      </c>
      <c r="N249" s="923">
        <f t="shared" si="349"/>
        <v>13.356004384627289</v>
      </c>
      <c r="O249" s="923">
        <f t="shared" si="349"/>
        <v>14.407893937049119</v>
      </c>
      <c r="P249" s="3544">
        <f t="shared" ref="P249:U249" si="350">+P245</f>
        <v>15.653145167009434</v>
      </c>
      <c r="Q249" s="3544">
        <f t="shared" si="350"/>
        <v>16.736675770032097</v>
      </c>
      <c r="R249" s="3544">
        <f t="shared" si="350"/>
        <v>18.032875319503482</v>
      </c>
      <c r="S249" s="3544">
        <f>+S245</f>
        <v>19.631848817415612</v>
      </c>
      <c r="T249" s="3544">
        <f t="shared" si="350"/>
        <v>20.416923195590741</v>
      </c>
      <c r="U249" s="3544">
        <f t="shared" si="350"/>
        <v>18.839986023653445</v>
      </c>
      <c r="V249" s="3544">
        <f t="shared" ref="V249:AA249" si="351">+V245</f>
        <v>20.220048605596862</v>
      </c>
      <c r="W249" s="3544">
        <f t="shared" si="351"/>
        <v>21.340472579228866</v>
      </c>
      <c r="X249" s="3544">
        <f t="shared" si="351"/>
        <v>21.771338928543415</v>
      </c>
      <c r="Y249" s="3544">
        <f t="shared" si="351"/>
        <v>22.236684237822104</v>
      </c>
      <c r="Z249" s="3544">
        <f t="shared" si="351"/>
        <v>22.570484364210319</v>
      </c>
      <c r="AA249" s="3544">
        <f t="shared" si="351"/>
        <v>22.73777468102163</v>
      </c>
      <c r="AB249" s="3544">
        <f>+AB245</f>
        <v>22.818249939392157</v>
      </c>
      <c r="AC249" s="3544">
        <f>+AC245</f>
        <v>23.816167076529972</v>
      </c>
      <c r="AD249" s="3544">
        <f ca="1">+AD245</f>
        <v>24.616206215056575</v>
      </c>
      <c r="AE249" s="3544">
        <f ca="1">+AE245</f>
        <v>25.336029493078726</v>
      </c>
    </row>
    <row r="250" spans="1:119">
      <c r="C250" s="670" t="s">
        <v>1769</v>
      </c>
      <c r="D250" s="769"/>
      <c r="E250" s="770" t="s">
        <v>1288</v>
      </c>
      <c r="F250" s="771" t="s">
        <v>1290</v>
      </c>
      <c r="G250" s="772" t="e">
        <f>+G248/G249*100</f>
        <v>#VALUE!</v>
      </c>
      <c r="H250" s="772" t="e">
        <f t="shared" ref="H250:Q250" si="352">+H248/H249*100</f>
        <v>#VALUE!</v>
      </c>
      <c r="I250" s="772" t="e">
        <f t="shared" si="352"/>
        <v>#VALUE!</v>
      </c>
      <c r="J250" s="772" t="e">
        <f t="shared" si="352"/>
        <v>#VALUE!</v>
      </c>
      <c r="K250" s="772" t="e">
        <f t="shared" si="352"/>
        <v>#VALUE!</v>
      </c>
      <c r="L250" s="772">
        <f t="shared" si="352"/>
        <v>39.793963029423885</v>
      </c>
      <c r="M250" s="772">
        <f t="shared" si="352"/>
        <v>38.40800475930191</v>
      </c>
      <c r="N250" s="772">
        <f t="shared" si="352"/>
        <v>39.098867559939087</v>
      </c>
      <c r="O250" s="772">
        <f t="shared" si="352"/>
        <v>39.47426771245447</v>
      </c>
      <c r="P250" s="3599">
        <f t="shared" si="352"/>
        <v>40.718855092357913</v>
      </c>
      <c r="Q250" s="3599">
        <f t="shared" si="352"/>
        <v>43.340359275778837</v>
      </c>
      <c r="R250" s="3599">
        <f t="shared" ref="R250:Y250" si="353">+R248/R249*100</f>
        <v>48.565846192146012</v>
      </c>
      <c r="S250" s="3599">
        <f t="shared" si="353"/>
        <v>50.893457435013012</v>
      </c>
      <c r="T250" s="3599">
        <f t="shared" si="353"/>
        <v>55.817711169321285</v>
      </c>
      <c r="U250" s="3599">
        <f t="shared" si="353"/>
        <v>54.869442252873569</v>
      </c>
      <c r="V250" s="3599">
        <f t="shared" si="353"/>
        <v>51.054585736653394</v>
      </c>
      <c r="W250" s="3599">
        <f t="shared" si="353"/>
        <v>51.447510757868919</v>
      </c>
      <c r="X250" s="3599">
        <f t="shared" si="353"/>
        <v>52.567813570048536</v>
      </c>
      <c r="Y250" s="3599">
        <f t="shared" si="353"/>
        <v>54.226173653419252</v>
      </c>
      <c r="Z250" s="3599">
        <f t="shared" ref="Z250:AE250" si="354">+Z248/Z249*100</f>
        <v>55.943181266545572</v>
      </c>
      <c r="AA250" s="3599">
        <f t="shared" si="354"/>
        <v>58.729507520895595</v>
      </c>
      <c r="AB250" s="3599">
        <f t="shared" si="354"/>
        <v>62.172863582303506</v>
      </c>
      <c r="AC250" s="3599">
        <f t="shared" si="354"/>
        <v>64.950372586943558</v>
      </c>
      <c r="AD250" s="3599">
        <f t="shared" ca="1" si="354"/>
        <v>67.010160889193713</v>
      </c>
      <c r="AE250" s="3599">
        <f t="shared" ca="1" si="354"/>
        <v>69.034804761286239</v>
      </c>
    </row>
    <row r="251" spans="1:119" ht="30" customHeight="1">
      <c r="Q251" s="599"/>
      <c r="R251" s="599"/>
      <c r="S251" s="599"/>
      <c r="T251" s="599"/>
      <c r="U251" s="599"/>
      <c r="V251" s="599"/>
      <c r="W251" s="599"/>
      <c r="X251" s="599"/>
      <c r="Y251" s="599"/>
      <c r="Z251" s="599"/>
      <c r="AA251" s="599"/>
      <c r="AB251" s="599"/>
      <c r="AC251" s="599"/>
      <c r="AD251" s="599"/>
      <c r="AE251" s="599"/>
    </row>
    <row r="252" spans="1:119" s="699" customFormat="1" ht="12.75" customHeight="1">
      <c r="A252" s="664"/>
      <c r="B252" s="664"/>
      <c r="C252" s="666"/>
      <c r="D252" s="728"/>
      <c r="E252" s="729" t="s">
        <v>284</v>
      </c>
      <c r="F252" s="730"/>
      <c r="G252" s="731">
        <f>+InputY!$G$3</f>
        <v>1995</v>
      </c>
      <c r="H252" s="731">
        <f>+G252+1</f>
        <v>1996</v>
      </c>
      <c r="I252" s="731">
        <f t="shared" ref="I252:O252" si="355">+H252+1</f>
        <v>1997</v>
      </c>
      <c r="J252" s="731">
        <f t="shared" si="355"/>
        <v>1998</v>
      </c>
      <c r="K252" s="731">
        <f t="shared" si="355"/>
        <v>1999</v>
      </c>
      <c r="L252" s="731">
        <f t="shared" si="355"/>
        <v>2000</v>
      </c>
      <c r="M252" s="731">
        <f t="shared" si="355"/>
        <v>2001</v>
      </c>
      <c r="N252" s="731">
        <f t="shared" si="355"/>
        <v>2002</v>
      </c>
      <c r="O252" s="731">
        <f t="shared" si="355"/>
        <v>2003</v>
      </c>
      <c r="P252" s="3514">
        <f t="shared" ref="P252:U252" si="356">+O252+1</f>
        <v>2004</v>
      </c>
      <c r="Q252" s="3514">
        <f t="shared" si="356"/>
        <v>2005</v>
      </c>
      <c r="R252" s="3514">
        <f t="shared" si="356"/>
        <v>2006</v>
      </c>
      <c r="S252" s="3514">
        <f>+R252+1</f>
        <v>2007</v>
      </c>
      <c r="T252" s="3514">
        <f t="shared" si="356"/>
        <v>2008</v>
      </c>
      <c r="U252" s="3514">
        <f t="shared" si="356"/>
        <v>2009</v>
      </c>
      <c r="V252" s="3514">
        <f t="shared" ref="V252:AE252" si="357">+U252+1</f>
        <v>2010</v>
      </c>
      <c r="W252" s="3514">
        <f t="shared" si="357"/>
        <v>2011</v>
      </c>
      <c r="X252" s="3514">
        <f t="shared" si="357"/>
        <v>2012</v>
      </c>
      <c r="Y252" s="3514">
        <f t="shared" si="357"/>
        <v>2013</v>
      </c>
      <c r="Z252" s="3514">
        <f t="shared" si="357"/>
        <v>2014</v>
      </c>
      <c r="AA252" s="3514">
        <f t="shared" si="357"/>
        <v>2015</v>
      </c>
      <c r="AB252" s="3514">
        <f t="shared" si="357"/>
        <v>2016</v>
      </c>
      <c r="AC252" s="3514">
        <f t="shared" si="357"/>
        <v>2017</v>
      </c>
      <c r="AD252" s="3514">
        <f t="shared" si="357"/>
        <v>2018</v>
      </c>
      <c r="AE252" s="3514">
        <f t="shared" si="357"/>
        <v>2019</v>
      </c>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row>
    <row r="253" spans="1:119" s="699" customFormat="1" ht="12.75" customHeight="1">
      <c r="A253" s="664"/>
      <c r="B253" s="664"/>
      <c r="C253" s="688"/>
      <c r="D253" s="689"/>
      <c r="E253" s="732" t="str">
        <f>+$E$245</f>
        <v>Unit labour productivity</v>
      </c>
      <c r="F253" s="733" t="s">
        <v>1849</v>
      </c>
      <c r="G253" s="734"/>
      <c r="H253" s="978" t="e">
        <f>(H245/G245-1)*100</f>
        <v>#VALUE!</v>
      </c>
      <c r="I253" s="978" t="e">
        <f t="shared" ref="I253:Q253" si="358">(I245/H245-1)*100</f>
        <v>#VALUE!</v>
      </c>
      <c r="J253" s="978" t="e">
        <f t="shared" si="358"/>
        <v>#VALUE!</v>
      </c>
      <c r="K253" s="978" t="e">
        <f t="shared" si="358"/>
        <v>#VALUE!</v>
      </c>
      <c r="L253" s="978" t="e">
        <f t="shared" si="358"/>
        <v>#VALUE!</v>
      </c>
      <c r="M253" s="978">
        <f t="shared" si="358"/>
        <v>10.916880147422404</v>
      </c>
      <c r="N253" s="978">
        <f t="shared" si="358"/>
        <v>3.1081589157848422</v>
      </c>
      <c r="O253" s="978">
        <f t="shared" si="358"/>
        <v>7.8757802268510035</v>
      </c>
      <c r="P253" s="3498">
        <f t="shared" si="358"/>
        <v>8.6428400667096774</v>
      </c>
      <c r="Q253" s="3498">
        <f t="shared" si="358"/>
        <v>6.9221270962612103</v>
      </c>
      <c r="R253" s="3498">
        <f t="shared" ref="R253:AE253" si="359">(R245/Q245-1)*100</f>
        <v>7.7446654716959884</v>
      </c>
      <c r="S253" s="3498">
        <f t="shared" si="359"/>
        <v>8.866991367609355</v>
      </c>
      <c r="T253" s="3498">
        <f t="shared" si="359"/>
        <v>3.9989834145354619</v>
      </c>
      <c r="U253" s="3498">
        <f t="shared" si="359"/>
        <v>-7.7236768578227917</v>
      </c>
      <c r="V253" s="3498">
        <f t="shared" si="359"/>
        <v>7.3251783743934817</v>
      </c>
      <c r="W253" s="3498">
        <f t="shared" si="359"/>
        <v>5.5411537107871833</v>
      </c>
      <c r="X253" s="3498">
        <f t="shared" si="359"/>
        <v>2.0190103462559783</v>
      </c>
      <c r="Y253" s="3498">
        <f t="shared" si="359"/>
        <v>2.1374216386324196</v>
      </c>
      <c r="Z253" s="3498">
        <f t="shared" si="359"/>
        <v>1.5011236514320681</v>
      </c>
      <c r="AA253" s="3498">
        <f t="shared" si="359"/>
        <v>0.7411906369035659</v>
      </c>
      <c r="AB253" s="3498">
        <f t="shared" si="359"/>
        <v>0.35392759185750577</v>
      </c>
      <c r="AC253" s="3498">
        <f t="shared" si="359"/>
        <v>4.3733289791653362</v>
      </c>
      <c r="AD253" s="3498">
        <f t="shared" ca="1" si="359"/>
        <v>3.359227099624329</v>
      </c>
      <c r="AE253" s="3498">
        <f t="shared" ca="1" si="359"/>
        <v>2.9241844650369719</v>
      </c>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row>
    <row r="254" spans="1:119" s="699" customFormat="1">
      <c r="A254" s="663"/>
      <c r="B254" s="663"/>
      <c r="C254" s="979"/>
      <c r="D254" s="691"/>
      <c r="E254" s="980" t="str">
        <f>+$E$250</f>
        <v>Unit labour cost</v>
      </c>
      <c r="F254" s="933" t="str">
        <f>+$F$250</f>
        <v>ULCost</v>
      </c>
      <c r="G254" s="980"/>
      <c r="H254" s="765" t="e">
        <f>(H250/G250-1)*100</f>
        <v>#VALUE!</v>
      </c>
      <c r="I254" s="765" t="e">
        <f t="shared" ref="I254:Q254" si="360">(I250/H250-1)*100</f>
        <v>#VALUE!</v>
      </c>
      <c r="J254" s="765" t="e">
        <f t="shared" si="360"/>
        <v>#VALUE!</v>
      </c>
      <c r="K254" s="765" t="e">
        <f t="shared" si="360"/>
        <v>#VALUE!</v>
      </c>
      <c r="L254" s="765" t="e">
        <f t="shared" si="360"/>
        <v>#VALUE!</v>
      </c>
      <c r="M254" s="765">
        <f t="shared" si="360"/>
        <v>-3.4828354971762621</v>
      </c>
      <c r="N254" s="765">
        <f t="shared" si="360"/>
        <v>1.7987469147817681</v>
      </c>
      <c r="O254" s="765">
        <f t="shared" si="360"/>
        <v>0.96013049978975751</v>
      </c>
      <c r="P254" s="3601">
        <f t="shared" si="360"/>
        <v>3.1529080893140105</v>
      </c>
      <c r="Q254" s="3601">
        <f t="shared" si="360"/>
        <v>6.438059659277906</v>
      </c>
      <c r="R254" s="3601">
        <f t="shared" ref="R254:AE254" si="361">(R250/Q250-1)*100</f>
        <v>12.056861095951943</v>
      </c>
      <c r="S254" s="3601">
        <f t="shared" si="361"/>
        <v>4.7926916245997875</v>
      </c>
      <c r="T254" s="3601">
        <f t="shared" si="361"/>
        <v>9.675612509910847</v>
      </c>
      <c r="U254" s="3601">
        <f t="shared" si="361"/>
        <v>-1.6988674321868458</v>
      </c>
      <c r="V254" s="3601">
        <f t="shared" si="361"/>
        <v>-6.9526066961622668</v>
      </c>
      <c r="W254" s="3601">
        <f t="shared" si="361"/>
        <v>0.76961748988091383</v>
      </c>
      <c r="X254" s="3601">
        <f t="shared" si="361"/>
        <v>2.1775646589631492</v>
      </c>
      <c r="Y254" s="3601">
        <f t="shared" si="361"/>
        <v>3.1547062180185437</v>
      </c>
      <c r="Z254" s="3601">
        <f t="shared" si="361"/>
        <v>3.1663816519682753</v>
      </c>
      <c r="AA254" s="3601">
        <f t="shared" si="361"/>
        <v>4.9806360512005154</v>
      </c>
      <c r="AB254" s="3601">
        <f t="shared" si="361"/>
        <v>5.8630766828459802</v>
      </c>
      <c r="AC254" s="3601">
        <f t="shared" si="361"/>
        <v>4.4673975824890633</v>
      </c>
      <c r="AD254" s="3601">
        <f t="shared" ca="1" si="361"/>
        <v>3.1713263838369699</v>
      </c>
      <c r="AE254" s="3601">
        <f t="shared" ca="1" si="361"/>
        <v>3.0213983151606394</v>
      </c>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row>
    <row r="255" spans="1:119">
      <c r="C255" s="694"/>
      <c r="E255" s="699"/>
      <c r="G255" s="699"/>
      <c r="H255" s="699"/>
    </row>
    <row r="256" spans="1:119" customFormat="1">
      <c r="P256" s="3436"/>
      <c r="Q256" s="3436"/>
      <c r="R256" s="3436"/>
      <c r="S256" s="3436"/>
      <c r="T256" s="3436"/>
      <c r="U256" s="3436"/>
      <c r="V256" s="3194"/>
      <c r="W256" s="3194"/>
      <c r="X256" s="3194"/>
      <c r="Y256" s="3194"/>
      <c r="Z256" s="3194"/>
      <c r="AA256" s="3194"/>
      <c r="AB256" s="3194"/>
      <c r="AC256" s="3194"/>
      <c r="AD256" s="3194"/>
      <c r="AE256" s="3194"/>
    </row>
    <row r="257" spans="16:31" customFormat="1">
      <c r="P257" s="3436"/>
      <c r="Q257" s="3436"/>
      <c r="R257" s="3436"/>
      <c r="S257" s="3436"/>
      <c r="T257" s="3436"/>
      <c r="U257" s="3436"/>
      <c r="V257" s="3486"/>
      <c r="W257" s="3486"/>
      <c r="X257" s="3486"/>
      <c r="Y257" s="3486"/>
      <c r="Z257" s="3486"/>
      <c r="AA257" s="3486"/>
      <c r="AB257" s="3486"/>
      <c r="AC257" s="3486"/>
      <c r="AD257" s="3486"/>
      <c r="AE257" s="3486"/>
    </row>
    <row r="258" spans="16:31" customFormat="1">
      <c r="P258" s="3436"/>
      <c r="Q258" s="3436"/>
      <c r="R258" s="3436"/>
      <c r="S258" s="3436"/>
      <c r="T258" s="3436"/>
      <c r="U258" s="3436"/>
      <c r="V258" s="3436"/>
      <c r="W258" s="3436"/>
      <c r="X258" s="3436"/>
      <c r="Y258" s="3436"/>
      <c r="Z258" s="3436"/>
      <c r="AA258" s="3436"/>
      <c r="AB258" s="3436"/>
      <c r="AC258" s="3436"/>
      <c r="AD258" s="3436"/>
      <c r="AE258" s="3649"/>
    </row>
    <row r="259" spans="16:31" customFormat="1">
      <c r="P259" s="3436"/>
      <c r="Q259" s="3436"/>
      <c r="R259" s="3436"/>
      <c r="S259" s="3436"/>
      <c r="T259" s="3436"/>
      <c r="U259" s="3436"/>
      <c r="V259" s="3436"/>
      <c r="W259" s="3436"/>
      <c r="X259" s="3436"/>
      <c r="Y259" s="3436"/>
      <c r="Z259" s="3436"/>
      <c r="AA259" s="3436"/>
      <c r="AB259" s="3436"/>
      <c r="AC259" s="3436"/>
      <c r="AD259" s="3436"/>
      <c r="AE259" s="3649"/>
    </row>
    <row r="260" spans="16:31" customFormat="1">
      <c r="P260" s="3436"/>
      <c r="Q260" s="3436"/>
      <c r="R260" s="3436"/>
      <c r="S260" s="3436"/>
      <c r="T260" s="3436"/>
      <c r="U260" s="3436"/>
      <c r="V260" s="3436"/>
      <c r="W260" s="3436"/>
      <c r="X260" s="3436"/>
      <c r="Y260" s="3436"/>
      <c r="Z260" s="3436"/>
      <c r="AA260" s="3436"/>
      <c r="AB260" s="3436"/>
      <c r="AC260" s="3436"/>
      <c r="AD260" s="3436"/>
      <c r="AE260" s="3649"/>
    </row>
    <row r="261" spans="16:31" customFormat="1">
      <c r="P261" s="3436"/>
      <c r="Q261" s="3436"/>
      <c r="R261" s="3436"/>
      <c r="S261" s="3436"/>
      <c r="T261" s="3436"/>
      <c r="U261" s="3436"/>
      <c r="V261" s="3436"/>
      <c r="W261" s="3436"/>
      <c r="X261" s="3436"/>
      <c r="Y261" s="3436"/>
      <c r="Z261" s="3436"/>
      <c r="AA261" s="3436"/>
      <c r="AB261" s="3436"/>
      <c r="AC261" s="3436"/>
      <c r="AD261" s="3436"/>
      <c r="AE261" s="3649"/>
    </row>
    <row r="262" spans="16:31" customFormat="1">
      <c r="P262" s="3436"/>
      <c r="Q262" s="3436"/>
      <c r="R262" s="3436"/>
      <c r="S262" s="3436"/>
      <c r="T262" s="3436"/>
      <c r="U262" s="3436"/>
      <c r="V262" s="3436"/>
      <c r="W262" s="3436"/>
      <c r="X262" s="3436"/>
      <c r="Y262" s="3436"/>
      <c r="Z262" s="3436"/>
      <c r="AA262" s="3436"/>
      <c r="AB262" s="3436"/>
      <c r="AC262" s="3436"/>
      <c r="AD262" s="3436"/>
      <c r="AE262" s="3649"/>
    </row>
    <row r="263" spans="16:31" customFormat="1">
      <c r="P263" s="3436"/>
      <c r="Q263" s="3436"/>
      <c r="R263" s="3436"/>
      <c r="S263" s="3436"/>
      <c r="T263" s="3436"/>
      <c r="U263" s="3436"/>
      <c r="V263" s="3436"/>
      <c r="W263" s="3436"/>
      <c r="X263" s="3436"/>
      <c r="Y263" s="3436"/>
      <c r="Z263" s="3436"/>
      <c r="AA263" s="3436"/>
      <c r="AB263" s="3436"/>
      <c r="AC263" s="3436"/>
      <c r="AD263" s="3436"/>
      <c r="AE263" s="3649"/>
    </row>
    <row r="264" spans="16:31" customFormat="1">
      <c r="P264" s="3436"/>
      <c r="Q264" s="3436"/>
      <c r="R264" s="3436"/>
      <c r="S264" s="3436"/>
      <c r="T264" s="3436"/>
      <c r="U264" s="3436"/>
      <c r="V264" s="3436"/>
      <c r="W264" s="3436"/>
      <c r="X264" s="3436"/>
      <c r="Y264" s="3436"/>
      <c r="Z264" s="3436"/>
      <c r="AA264" s="3436"/>
      <c r="AB264" s="3436"/>
      <c r="AC264" s="3436"/>
      <c r="AD264" s="3436"/>
      <c r="AE264" s="3649"/>
    </row>
    <row r="265" spans="16:31" customFormat="1">
      <c r="P265" s="3436"/>
      <c r="Q265" s="3436"/>
      <c r="R265" s="3436"/>
      <c r="S265" s="3436"/>
      <c r="T265" s="3436"/>
      <c r="U265" s="3436"/>
      <c r="V265" s="3436"/>
      <c r="W265" s="3436"/>
      <c r="X265" s="3436"/>
      <c r="Y265" s="3436"/>
      <c r="Z265" s="3436"/>
      <c r="AA265" s="3436"/>
      <c r="AB265" s="3436"/>
      <c r="AC265" s="3436"/>
      <c r="AD265" s="3436"/>
      <c r="AE265" s="3649"/>
    </row>
    <row r="266" spans="16:31" customFormat="1">
      <c r="P266" s="3436"/>
      <c r="Q266" s="3436"/>
      <c r="R266" s="3436"/>
      <c r="S266" s="3436"/>
      <c r="T266" s="3436"/>
      <c r="U266" s="3436"/>
      <c r="V266" s="3436"/>
      <c r="W266" s="3436"/>
      <c r="X266" s="3436"/>
      <c r="Y266" s="3436"/>
      <c r="Z266" s="3436"/>
      <c r="AA266" s="3436"/>
      <c r="AB266" s="3436"/>
      <c r="AC266" s="3436"/>
      <c r="AD266" s="3436"/>
      <c r="AE266" s="3649"/>
    </row>
    <row r="267" spans="16:31" customFormat="1">
      <c r="P267" s="3436"/>
      <c r="Q267" s="3436"/>
      <c r="R267" s="3436"/>
      <c r="S267" s="3436"/>
      <c r="T267" s="3436"/>
      <c r="U267" s="3436"/>
      <c r="V267" s="3436"/>
      <c r="W267" s="3436"/>
      <c r="X267" s="3436"/>
      <c r="Y267" s="3436"/>
      <c r="Z267" s="3436"/>
      <c r="AA267" s="3436"/>
      <c r="AB267" s="3436"/>
      <c r="AC267" s="3436"/>
      <c r="AD267" s="3436"/>
      <c r="AE267" s="3649"/>
    </row>
    <row r="268" spans="16:31" customFormat="1">
      <c r="P268" s="3436"/>
      <c r="Q268" s="3436"/>
      <c r="R268" s="3436"/>
      <c r="S268" s="3436"/>
      <c r="T268" s="3436"/>
      <c r="U268" s="3436"/>
      <c r="V268" s="3436"/>
      <c r="W268" s="3436"/>
      <c r="X268" s="3436"/>
      <c r="Y268" s="3436"/>
      <c r="Z268" s="3436"/>
      <c r="AA268" s="3436"/>
      <c r="AB268" s="3436"/>
      <c r="AC268" s="3436"/>
      <c r="AD268" s="3436"/>
      <c r="AE268" s="3649"/>
    </row>
    <row r="269" spans="16:31" customFormat="1">
      <c r="P269" s="3436"/>
      <c r="Q269" s="3436"/>
      <c r="R269" s="3436"/>
      <c r="S269" s="3436"/>
      <c r="T269" s="3436"/>
      <c r="U269" s="3436"/>
      <c r="V269" s="3436"/>
      <c r="W269" s="3436"/>
      <c r="X269" s="3436"/>
      <c r="Y269" s="3436"/>
      <c r="Z269" s="3436"/>
      <c r="AA269" s="3436"/>
      <c r="AB269" s="3436"/>
      <c r="AC269" s="3436"/>
      <c r="AD269" s="3436"/>
      <c r="AE269" s="3649"/>
    </row>
    <row r="270" spans="16:31" customFormat="1">
      <c r="P270" s="3436"/>
      <c r="Q270" s="3436"/>
      <c r="R270" s="3436"/>
      <c r="S270" s="3436"/>
      <c r="T270" s="3436"/>
      <c r="U270" s="3436"/>
      <c r="V270" s="3436"/>
      <c r="W270" s="3436"/>
      <c r="X270" s="3436"/>
      <c r="Y270" s="3436"/>
      <c r="Z270" s="3436"/>
      <c r="AA270" s="3436"/>
      <c r="AB270" s="3436"/>
      <c r="AC270" s="3436"/>
      <c r="AD270" s="3436"/>
      <c r="AE270" s="3649"/>
    </row>
    <row r="271" spans="16:31" customFormat="1">
      <c r="P271" s="3436"/>
      <c r="Q271" s="3436"/>
      <c r="R271" s="3436"/>
      <c r="S271" s="3436"/>
      <c r="T271" s="3436"/>
      <c r="U271" s="3436"/>
      <c r="V271" s="3436"/>
      <c r="W271" s="3436"/>
      <c r="X271" s="3436"/>
      <c r="Y271" s="3436"/>
      <c r="Z271" s="3436"/>
      <c r="AA271" s="3436"/>
      <c r="AB271" s="3436"/>
      <c r="AC271" s="3436"/>
      <c r="AD271" s="3436"/>
      <c r="AE271" s="3649"/>
    </row>
    <row r="272" spans="16:31" customFormat="1">
      <c r="P272" s="3436"/>
      <c r="Q272" s="3436"/>
      <c r="R272" s="3436"/>
      <c r="S272" s="3436"/>
      <c r="T272" s="3436"/>
      <c r="U272" s="3436"/>
      <c r="V272" s="3436"/>
      <c r="W272" s="3436"/>
      <c r="X272" s="3436"/>
      <c r="Y272" s="3436"/>
      <c r="Z272" s="3436"/>
      <c r="AA272" s="3436"/>
      <c r="AB272" s="3436"/>
      <c r="AC272" s="3436"/>
      <c r="AD272" s="3436"/>
      <c r="AE272" s="3649"/>
    </row>
    <row r="273" spans="16:31" customFormat="1">
      <c r="P273" s="3436"/>
      <c r="Q273" s="3436"/>
      <c r="R273" s="3436"/>
      <c r="S273" s="3436"/>
      <c r="T273" s="3436"/>
      <c r="U273" s="3436"/>
      <c r="V273" s="3436"/>
      <c r="W273" s="3436"/>
      <c r="X273" s="3436"/>
      <c r="Y273" s="3436"/>
      <c r="Z273" s="3436"/>
      <c r="AA273" s="3436"/>
      <c r="AB273" s="3436"/>
      <c r="AC273" s="3436"/>
      <c r="AD273" s="3436"/>
      <c r="AE273" s="3649"/>
    </row>
    <row r="274" spans="16:31" customFormat="1">
      <c r="P274" s="3436"/>
      <c r="Q274" s="3436"/>
      <c r="R274" s="3436"/>
      <c r="S274" s="3436"/>
      <c r="T274" s="3436"/>
      <c r="U274" s="3436"/>
      <c r="V274" s="3436"/>
      <c r="W274" s="3436"/>
      <c r="X274" s="3436"/>
      <c r="Y274" s="3436"/>
      <c r="Z274" s="3436"/>
      <c r="AA274" s="3436"/>
      <c r="AB274" s="3436"/>
      <c r="AC274" s="3436"/>
      <c r="AD274" s="3436"/>
      <c r="AE274" s="3649"/>
    </row>
    <row r="275" spans="16:31" customFormat="1">
      <c r="P275" s="3436"/>
      <c r="Q275" s="3436"/>
      <c r="R275" s="3436"/>
      <c r="S275" s="3436"/>
      <c r="T275" s="3436"/>
      <c r="U275" s="3436"/>
      <c r="V275" s="3436"/>
      <c r="W275" s="3436"/>
      <c r="X275" s="3436"/>
      <c r="Y275" s="3436"/>
      <c r="Z275" s="3436"/>
      <c r="AA275" s="3436"/>
      <c r="AB275" s="3436"/>
      <c r="AC275" s="3436"/>
      <c r="AD275" s="3436"/>
      <c r="AE275" s="3649"/>
    </row>
    <row r="276" spans="16:31" customFormat="1">
      <c r="P276" s="3436"/>
      <c r="Q276" s="3436"/>
      <c r="R276" s="3436"/>
      <c r="S276" s="3436"/>
      <c r="T276" s="3436"/>
      <c r="U276" s="3436"/>
      <c r="V276" s="3436"/>
      <c r="W276" s="3436"/>
      <c r="X276" s="3436"/>
      <c r="Y276" s="3436"/>
      <c r="Z276" s="3436"/>
      <c r="AA276" s="3436"/>
      <c r="AB276" s="3436"/>
      <c r="AC276" s="3436"/>
      <c r="AD276" s="3436"/>
      <c r="AE276" s="3649"/>
    </row>
    <row r="277" spans="16:31" customFormat="1">
      <c r="P277" s="3436"/>
      <c r="Q277" s="3436"/>
      <c r="R277" s="3436"/>
      <c r="S277" s="3436"/>
      <c r="T277" s="3436"/>
      <c r="U277" s="3436"/>
      <c r="V277" s="3436"/>
      <c r="W277" s="3436"/>
      <c r="X277" s="3436"/>
      <c r="Y277" s="3436"/>
      <c r="Z277" s="3436"/>
      <c r="AA277" s="3436"/>
      <c r="AB277" s="3436"/>
      <c r="AC277" s="3436"/>
      <c r="AD277" s="3436"/>
      <c r="AE277" s="3649"/>
    </row>
    <row r="278" spans="16:31" customFormat="1">
      <c r="P278" s="3436"/>
      <c r="Q278" s="3436"/>
      <c r="R278" s="3436"/>
      <c r="S278" s="3436"/>
      <c r="T278" s="3436"/>
      <c r="U278" s="3436"/>
      <c r="V278" s="3436"/>
      <c r="W278" s="3436"/>
      <c r="X278" s="3436"/>
      <c r="Y278" s="3436"/>
      <c r="Z278" s="3436"/>
      <c r="AA278" s="3436"/>
      <c r="AB278" s="3436"/>
      <c r="AC278" s="3436"/>
      <c r="AD278" s="3436"/>
      <c r="AE278" s="3649"/>
    </row>
    <row r="279" spans="16:31" customFormat="1">
      <c r="P279" s="3436"/>
      <c r="Q279" s="3436"/>
      <c r="R279" s="3436"/>
      <c r="S279" s="3436"/>
      <c r="T279" s="3436"/>
      <c r="U279" s="3436"/>
      <c r="V279" s="3436"/>
      <c r="W279" s="3436"/>
      <c r="X279" s="3436"/>
      <c r="Y279" s="3436"/>
      <c r="Z279" s="3436"/>
      <c r="AA279" s="3436"/>
      <c r="AB279" s="3436"/>
      <c r="AC279" s="3436"/>
      <c r="AD279" s="3436"/>
      <c r="AE279" s="3649"/>
    </row>
    <row r="280" spans="16:31" customFormat="1">
      <c r="P280" s="3436"/>
      <c r="Q280" s="3436"/>
      <c r="R280" s="3436"/>
      <c r="S280" s="3436"/>
      <c r="T280" s="3436"/>
      <c r="U280" s="3436"/>
      <c r="V280" s="3436"/>
      <c r="W280" s="3436"/>
      <c r="X280" s="3436"/>
      <c r="Y280" s="3436"/>
      <c r="Z280" s="3436"/>
      <c r="AA280" s="3436"/>
      <c r="AB280" s="3436"/>
      <c r="AC280" s="3436"/>
      <c r="AD280" s="3436"/>
      <c r="AE280" s="3649"/>
    </row>
    <row r="281" spans="16:31" customFormat="1">
      <c r="P281" s="3436"/>
      <c r="Q281" s="3436"/>
      <c r="R281" s="3436"/>
      <c r="S281" s="3436"/>
      <c r="T281" s="3436"/>
      <c r="U281" s="3436"/>
      <c r="V281" s="3436"/>
      <c r="W281" s="3436"/>
      <c r="X281" s="3436"/>
      <c r="Y281" s="3436"/>
      <c r="Z281" s="3436"/>
      <c r="AA281" s="3436"/>
      <c r="AB281" s="3436"/>
      <c r="AC281" s="3436"/>
      <c r="AD281" s="3436"/>
      <c r="AE281" s="3649"/>
    </row>
    <row r="282" spans="16:31" customFormat="1">
      <c r="P282" s="3436"/>
      <c r="Q282" s="3436"/>
      <c r="R282" s="3436"/>
      <c r="S282" s="3436"/>
      <c r="T282" s="3436"/>
      <c r="U282" s="3436"/>
      <c r="V282" s="3436"/>
      <c r="W282" s="3436"/>
      <c r="X282" s="3436"/>
      <c r="Y282" s="3436"/>
      <c r="Z282" s="3436"/>
      <c r="AA282" s="3436"/>
      <c r="AB282" s="3436"/>
      <c r="AC282" s="3436"/>
      <c r="AD282" s="3436"/>
      <c r="AE282" s="3649"/>
    </row>
    <row r="283" spans="16:31" customFormat="1">
      <c r="P283" s="3436"/>
      <c r="Q283" s="3436"/>
      <c r="R283" s="3436"/>
      <c r="S283" s="3436"/>
      <c r="T283" s="3436"/>
      <c r="U283" s="3436"/>
      <c r="V283" s="3436"/>
      <c r="W283" s="3436"/>
      <c r="X283" s="3436"/>
      <c r="Y283" s="3436"/>
      <c r="Z283" s="3436"/>
      <c r="AA283" s="3436"/>
      <c r="AB283" s="3436"/>
      <c r="AC283" s="3436"/>
      <c r="AD283" s="3436"/>
      <c r="AE283" s="3649"/>
    </row>
    <row r="284" spans="16:31" customFormat="1">
      <c r="P284" s="3436"/>
      <c r="Q284" s="3436"/>
      <c r="R284" s="3436"/>
      <c r="S284" s="3436"/>
      <c r="T284" s="3436"/>
      <c r="U284" s="3436"/>
      <c r="V284" s="3436"/>
      <c r="W284" s="3436"/>
      <c r="X284" s="3436"/>
      <c r="Y284" s="3436"/>
      <c r="Z284" s="3436"/>
      <c r="AA284" s="3436"/>
      <c r="AB284" s="3436"/>
      <c r="AC284" s="3436"/>
      <c r="AD284" s="3436"/>
      <c r="AE284" s="3649"/>
    </row>
    <row r="285" spans="16:31" customFormat="1">
      <c r="P285" s="3436"/>
      <c r="Q285" s="3436"/>
      <c r="R285" s="3436"/>
      <c r="S285" s="3436"/>
      <c r="T285" s="3436"/>
      <c r="U285" s="3436"/>
      <c r="V285" s="3436"/>
      <c r="W285" s="3436"/>
      <c r="X285" s="3436"/>
      <c r="Y285" s="3436"/>
      <c r="Z285" s="3436"/>
      <c r="AA285" s="3436"/>
      <c r="AB285" s="3436"/>
      <c r="AC285" s="3436"/>
      <c r="AD285" s="3436"/>
      <c r="AE285" s="3649"/>
    </row>
    <row r="286" spans="16:31" customFormat="1">
      <c r="P286" s="3436"/>
      <c r="Q286" s="3436"/>
      <c r="R286" s="3436"/>
      <c r="S286" s="3436"/>
      <c r="T286" s="3436"/>
      <c r="U286" s="3436"/>
      <c r="V286" s="3436"/>
      <c r="W286" s="3436"/>
      <c r="X286" s="3436"/>
      <c r="Y286" s="3436"/>
      <c r="Z286" s="3436"/>
      <c r="AA286" s="3436"/>
      <c r="AB286" s="3436"/>
      <c r="AC286" s="3436"/>
      <c r="AD286" s="3436"/>
      <c r="AE286" s="3649"/>
    </row>
    <row r="287" spans="16:31" customFormat="1">
      <c r="P287" s="3436"/>
      <c r="Q287" s="3436"/>
      <c r="R287" s="3436"/>
      <c r="S287" s="3436"/>
      <c r="T287" s="3436"/>
      <c r="U287" s="3436"/>
      <c r="V287" s="3436"/>
      <c r="W287" s="3436"/>
      <c r="X287" s="3436"/>
      <c r="Y287" s="3436"/>
      <c r="Z287" s="3436"/>
      <c r="AA287" s="3436"/>
      <c r="AB287" s="3436"/>
      <c r="AC287" s="3436"/>
      <c r="AD287" s="3436"/>
      <c r="AE287" s="3649"/>
    </row>
    <row r="288" spans="16:31" customFormat="1">
      <c r="P288" s="3436"/>
      <c r="Q288" s="3436"/>
      <c r="R288" s="3436"/>
      <c r="S288" s="3436"/>
      <c r="T288" s="3436"/>
      <c r="U288" s="3436"/>
      <c r="V288" s="3436"/>
      <c r="W288" s="3436"/>
      <c r="X288" s="3436"/>
      <c r="Y288" s="3436"/>
      <c r="Z288" s="3436"/>
      <c r="AA288" s="3436"/>
      <c r="AB288" s="3436"/>
      <c r="AC288" s="3436"/>
      <c r="AD288" s="3436"/>
      <c r="AE288" s="3649"/>
    </row>
    <row r="289" spans="16:31" customFormat="1">
      <c r="P289" s="3436"/>
      <c r="Q289" s="3436"/>
      <c r="R289" s="3436"/>
      <c r="S289" s="3436"/>
      <c r="T289" s="3436"/>
      <c r="U289" s="3436"/>
      <c r="V289" s="3436"/>
      <c r="W289" s="3436"/>
      <c r="X289" s="3436"/>
      <c r="Y289" s="3436"/>
      <c r="Z289" s="3436"/>
      <c r="AA289" s="3436"/>
      <c r="AB289" s="3436"/>
      <c r="AC289" s="3436"/>
      <c r="AD289" s="3436"/>
      <c r="AE289" s="3649"/>
    </row>
    <row r="290" spans="16:31" customFormat="1">
      <c r="P290" s="3436"/>
      <c r="Q290" s="3436"/>
      <c r="R290" s="3436"/>
      <c r="S290" s="3436"/>
      <c r="T290" s="3436"/>
      <c r="U290" s="3436"/>
      <c r="V290" s="3436"/>
      <c r="W290" s="3436"/>
      <c r="X290" s="3436"/>
      <c r="Y290" s="3436"/>
      <c r="Z290" s="3436"/>
      <c r="AA290" s="3436"/>
      <c r="AB290" s="3436"/>
      <c r="AC290" s="3436"/>
      <c r="AD290" s="3436"/>
      <c r="AE290" s="3649"/>
    </row>
    <row r="291" spans="16:31" customFormat="1">
      <c r="P291" s="3436"/>
      <c r="Q291" s="3436"/>
      <c r="R291" s="3436"/>
      <c r="S291" s="3436"/>
      <c r="T291" s="3436"/>
      <c r="U291" s="3436"/>
      <c r="V291" s="3436"/>
      <c r="W291" s="3436"/>
      <c r="X291" s="3436"/>
      <c r="Y291" s="3436"/>
      <c r="Z291" s="3436"/>
      <c r="AA291" s="3436"/>
      <c r="AB291" s="3436"/>
      <c r="AC291" s="3436"/>
      <c r="AD291" s="3436"/>
      <c r="AE291" s="3649"/>
    </row>
    <row r="292" spans="16:31" customFormat="1">
      <c r="P292" s="3436"/>
      <c r="Q292" s="3436"/>
      <c r="R292" s="3436"/>
      <c r="S292" s="3436"/>
      <c r="T292" s="3436"/>
      <c r="U292" s="3436"/>
      <c r="V292" s="3436"/>
      <c r="W292" s="3436"/>
      <c r="X292" s="3436"/>
      <c r="Y292" s="3436"/>
      <c r="Z292" s="3436"/>
      <c r="AA292" s="3436"/>
      <c r="AB292" s="3436"/>
      <c r="AC292" s="3436"/>
      <c r="AD292" s="3436"/>
      <c r="AE292" s="3649"/>
    </row>
    <row r="293" spans="16:31" customFormat="1">
      <c r="P293" s="3436"/>
      <c r="Q293" s="3436"/>
      <c r="R293" s="3436"/>
      <c r="S293" s="3436"/>
      <c r="T293" s="3436"/>
      <c r="U293" s="3436"/>
      <c r="V293" s="3436"/>
      <c r="W293" s="3436"/>
      <c r="X293" s="3436"/>
      <c r="Y293" s="3436"/>
      <c r="Z293" s="3436"/>
      <c r="AA293" s="3436"/>
      <c r="AB293" s="3436"/>
      <c r="AC293" s="3436"/>
      <c r="AD293" s="3436"/>
      <c r="AE293" s="3649"/>
    </row>
    <row r="294" spans="16:31" customFormat="1">
      <c r="P294" s="3436"/>
      <c r="Q294" s="3436"/>
      <c r="R294" s="3436"/>
      <c r="S294" s="3436"/>
      <c r="T294" s="3436"/>
      <c r="U294" s="3436"/>
      <c r="V294" s="3436"/>
      <c r="W294" s="3436"/>
      <c r="X294" s="3436"/>
      <c r="Y294" s="3436"/>
      <c r="Z294" s="3436"/>
      <c r="AA294" s="3436"/>
      <c r="AB294" s="3436"/>
      <c r="AC294" s="3436"/>
      <c r="AD294" s="3436"/>
      <c r="AE294" s="3649"/>
    </row>
    <row r="295" spans="16:31" customFormat="1">
      <c r="P295" s="3436"/>
      <c r="Q295" s="3436"/>
      <c r="R295" s="3436"/>
      <c r="S295" s="3436"/>
      <c r="T295" s="3436"/>
      <c r="U295" s="3436"/>
      <c r="V295" s="3436"/>
      <c r="W295" s="3436"/>
      <c r="X295" s="3436"/>
      <c r="Y295" s="3436"/>
      <c r="Z295" s="3436"/>
      <c r="AA295" s="3436"/>
      <c r="AB295" s="3436"/>
      <c r="AC295" s="3436"/>
      <c r="AD295" s="3436"/>
      <c r="AE295" s="3649"/>
    </row>
    <row r="296" spans="16:31" customFormat="1">
      <c r="P296" s="3436"/>
      <c r="Q296" s="3436"/>
      <c r="R296" s="3436"/>
      <c r="S296" s="3436"/>
      <c r="T296" s="3436"/>
      <c r="U296" s="3436"/>
      <c r="V296" s="3436"/>
      <c r="W296" s="3436"/>
      <c r="X296" s="3436"/>
      <c r="Y296" s="3436"/>
      <c r="Z296" s="3436"/>
      <c r="AA296" s="3436"/>
      <c r="AB296" s="3436"/>
      <c r="AC296" s="3436"/>
      <c r="AD296" s="3436"/>
      <c r="AE296" s="3649"/>
    </row>
    <row r="297" spans="16:31" customFormat="1">
      <c r="P297" s="3436"/>
      <c r="Q297" s="3436"/>
      <c r="R297" s="3436"/>
      <c r="S297" s="3436"/>
      <c r="T297" s="3436"/>
      <c r="U297" s="3436"/>
      <c r="V297" s="3436"/>
      <c r="W297" s="3436"/>
      <c r="X297" s="3436"/>
      <c r="Y297" s="3436"/>
      <c r="Z297" s="3436"/>
      <c r="AA297" s="3436"/>
      <c r="AB297" s="3436"/>
      <c r="AC297" s="3436"/>
      <c r="AD297" s="3436"/>
      <c r="AE297" s="3649"/>
    </row>
    <row r="298" spans="16:31" customFormat="1">
      <c r="P298" s="3436"/>
      <c r="Q298" s="3436"/>
      <c r="R298" s="3436"/>
      <c r="S298" s="3436"/>
      <c r="T298" s="3436"/>
      <c r="U298" s="3436"/>
      <c r="V298" s="3436"/>
      <c r="W298" s="3436"/>
      <c r="X298" s="3436"/>
      <c r="Y298" s="3436"/>
      <c r="Z298" s="3436"/>
      <c r="AA298" s="3436"/>
      <c r="AB298" s="3436"/>
      <c r="AC298" s="3436"/>
      <c r="AD298" s="3436"/>
      <c r="AE298" s="3649"/>
    </row>
    <row r="299" spans="16:31" customFormat="1">
      <c r="P299" s="3436"/>
      <c r="Q299" s="3436"/>
      <c r="R299" s="3436"/>
      <c r="S299" s="3436"/>
      <c r="T299" s="3436"/>
      <c r="U299" s="3436"/>
      <c r="V299" s="3436"/>
      <c r="W299" s="3436"/>
      <c r="X299" s="3436"/>
      <c r="Y299" s="3436"/>
      <c r="Z299" s="3436"/>
      <c r="AA299" s="3436"/>
      <c r="AB299" s="3436"/>
      <c r="AC299" s="3436"/>
      <c r="AD299" s="3436"/>
      <c r="AE299" s="3649"/>
    </row>
    <row r="300" spans="16:31" customFormat="1">
      <c r="P300" s="3436"/>
      <c r="Q300" s="3436"/>
      <c r="R300" s="3436"/>
      <c r="S300" s="3436"/>
      <c r="T300" s="3436"/>
      <c r="U300" s="3436"/>
      <c r="V300" s="3436"/>
      <c r="W300" s="3436"/>
      <c r="X300" s="3436"/>
      <c r="Y300" s="3436"/>
      <c r="Z300" s="3436"/>
      <c r="AA300" s="3436"/>
      <c r="AB300" s="3436"/>
      <c r="AC300" s="3436"/>
      <c r="AD300" s="3436"/>
      <c r="AE300" s="3649"/>
    </row>
    <row r="301" spans="16:31" customFormat="1">
      <c r="P301" s="3436"/>
      <c r="Q301" s="3436"/>
      <c r="R301" s="3436"/>
      <c r="S301" s="3436"/>
      <c r="T301" s="3436"/>
      <c r="U301" s="3436"/>
      <c r="V301" s="3436"/>
      <c r="W301" s="3436"/>
      <c r="X301" s="3436"/>
      <c r="Y301" s="3436"/>
      <c r="Z301" s="3436"/>
      <c r="AA301" s="3436"/>
      <c r="AB301" s="3436"/>
      <c r="AC301" s="3436"/>
      <c r="AD301" s="3436"/>
      <c r="AE301" s="3649"/>
    </row>
    <row r="302" spans="16:31" customFormat="1">
      <c r="P302" s="3436"/>
      <c r="Q302" s="3436"/>
      <c r="R302" s="3436"/>
      <c r="S302" s="3436"/>
      <c r="T302" s="3436"/>
      <c r="U302" s="3436"/>
      <c r="V302" s="3436"/>
      <c r="W302" s="3436"/>
      <c r="X302" s="3436"/>
      <c r="Y302" s="3436"/>
      <c r="Z302" s="3436"/>
      <c r="AA302" s="3436"/>
      <c r="AB302" s="3436"/>
      <c r="AC302" s="3436"/>
      <c r="AD302" s="3436"/>
      <c r="AE302" s="3649"/>
    </row>
    <row r="303" spans="16:31" customFormat="1">
      <c r="P303" s="3436"/>
      <c r="Q303" s="3436"/>
      <c r="R303" s="3436"/>
      <c r="S303" s="3436"/>
      <c r="T303" s="3436"/>
      <c r="U303" s="3436"/>
      <c r="V303" s="3436"/>
      <c r="W303" s="3436"/>
      <c r="X303" s="3436"/>
      <c r="Y303" s="3436"/>
      <c r="Z303" s="3436"/>
      <c r="AA303" s="3436"/>
      <c r="AB303" s="3436"/>
      <c r="AC303" s="3436"/>
      <c r="AD303" s="3436"/>
      <c r="AE303" s="3649"/>
    </row>
    <row r="304" spans="16:31" customFormat="1">
      <c r="P304" s="3436"/>
      <c r="Q304" s="3436"/>
      <c r="R304" s="3436"/>
      <c r="S304" s="3436"/>
      <c r="T304" s="3436"/>
      <c r="U304" s="3436"/>
      <c r="V304" s="3436"/>
      <c r="W304" s="3436"/>
      <c r="X304" s="3436"/>
      <c r="Y304" s="3436"/>
      <c r="Z304" s="3436"/>
      <c r="AA304" s="3436"/>
      <c r="AB304" s="3436"/>
      <c r="AC304" s="3436"/>
      <c r="AD304" s="3436"/>
      <c r="AE304" s="3649"/>
    </row>
    <row r="305" spans="16:31" customFormat="1">
      <c r="P305" s="3436"/>
      <c r="Q305" s="3436"/>
      <c r="R305" s="3436"/>
      <c r="S305" s="3436"/>
      <c r="T305" s="3436"/>
      <c r="U305" s="3436"/>
      <c r="V305" s="3436"/>
      <c r="W305" s="3436"/>
      <c r="X305" s="3436"/>
      <c r="Y305" s="3436"/>
      <c r="Z305" s="3436"/>
      <c r="AA305" s="3436"/>
      <c r="AB305" s="3436"/>
      <c r="AC305" s="3436"/>
      <c r="AD305" s="3436"/>
      <c r="AE305" s="3649"/>
    </row>
    <row r="306" spans="16:31" customFormat="1">
      <c r="P306" s="3436"/>
      <c r="Q306" s="3436"/>
      <c r="R306" s="3436"/>
      <c r="S306" s="3436"/>
      <c r="T306" s="3436"/>
      <c r="U306" s="3436"/>
      <c r="V306" s="3436"/>
      <c r="W306" s="3436"/>
      <c r="X306" s="3436"/>
      <c r="Y306" s="3436"/>
      <c r="Z306" s="3436"/>
      <c r="AA306" s="3436"/>
      <c r="AB306" s="3436"/>
      <c r="AC306" s="3436"/>
      <c r="AD306" s="3436"/>
      <c r="AE306" s="3649"/>
    </row>
    <row r="307" spans="16:31" customFormat="1">
      <c r="P307" s="3436"/>
      <c r="Q307" s="3436"/>
      <c r="R307" s="3436"/>
      <c r="S307" s="3436"/>
      <c r="T307" s="3436"/>
      <c r="U307" s="3436"/>
      <c r="V307" s="3436"/>
      <c r="W307" s="3436"/>
      <c r="X307" s="3436"/>
      <c r="Y307" s="3436"/>
      <c r="Z307" s="3436"/>
      <c r="AA307" s="3436"/>
      <c r="AB307" s="3436"/>
      <c r="AC307" s="3436"/>
      <c r="AD307" s="3436"/>
      <c r="AE307" s="3649"/>
    </row>
    <row r="308" spans="16:31" customFormat="1">
      <c r="P308" s="3436"/>
      <c r="Q308" s="3436"/>
      <c r="R308" s="3436"/>
      <c r="S308" s="3436"/>
      <c r="T308" s="3436"/>
      <c r="U308" s="3436"/>
      <c r="V308" s="3436"/>
      <c r="W308" s="3436"/>
      <c r="X308" s="3436"/>
      <c r="Y308" s="3436"/>
      <c r="Z308" s="3436"/>
      <c r="AA308" s="3436"/>
      <c r="AB308" s="3436"/>
      <c r="AC308" s="3436"/>
      <c r="AD308" s="3436"/>
      <c r="AE308" s="3649"/>
    </row>
    <row r="309" spans="16:31" customFormat="1">
      <c r="P309" s="3436"/>
      <c r="Q309" s="3436"/>
      <c r="R309" s="3436"/>
      <c r="S309" s="3436"/>
      <c r="T309" s="3436"/>
      <c r="U309" s="3436"/>
      <c r="V309" s="3436"/>
      <c r="W309" s="3436"/>
      <c r="X309" s="3436"/>
      <c r="Y309" s="3436"/>
      <c r="Z309" s="3436"/>
      <c r="AA309" s="3436"/>
      <c r="AB309" s="3436"/>
      <c r="AC309" s="3436"/>
      <c r="AD309" s="3436"/>
      <c r="AE309" s="3649"/>
    </row>
    <row r="310" spans="16:31" customFormat="1">
      <c r="P310" s="3436"/>
      <c r="Q310" s="3436"/>
      <c r="R310" s="3436"/>
      <c r="S310" s="3436"/>
      <c r="T310" s="3436"/>
      <c r="U310" s="3436"/>
      <c r="V310" s="3436"/>
      <c r="W310" s="3436"/>
      <c r="X310" s="3436"/>
      <c r="Y310" s="3436"/>
      <c r="Z310" s="3436"/>
      <c r="AA310" s="3436"/>
      <c r="AB310" s="3436"/>
      <c r="AC310" s="3436"/>
      <c r="AD310" s="3436"/>
      <c r="AE310" s="3649"/>
    </row>
    <row r="311" spans="16:31" customFormat="1">
      <c r="P311" s="3436"/>
      <c r="Q311" s="3436"/>
      <c r="R311" s="3436"/>
      <c r="S311" s="3436"/>
      <c r="T311" s="3436"/>
      <c r="U311" s="3436"/>
      <c r="V311" s="3436"/>
      <c r="W311" s="3436"/>
      <c r="X311" s="3436"/>
      <c r="Y311" s="3436"/>
      <c r="Z311" s="3436"/>
      <c r="AA311" s="3436"/>
      <c r="AB311" s="3436"/>
      <c r="AC311" s="3436"/>
      <c r="AD311" s="3436"/>
      <c r="AE311" s="3649"/>
    </row>
    <row r="312" spans="16:31" customFormat="1">
      <c r="P312" s="3436"/>
      <c r="Q312" s="3436"/>
      <c r="R312" s="3436"/>
      <c r="S312" s="3436"/>
      <c r="T312" s="3436"/>
      <c r="U312" s="3436"/>
      <c r="V312" s="3436"/>
      <c r="W312" s="3436"/>
      <c r="X312" s="3436"/>
      <c r="Y312" s="3436"/>
      <c r="Z312" s="3436"/>
      <c r="AA312" s="3436"/>
      <c r="AB312" s="3436"/>
      <c r="AC312" s="3436"/>
      <c r="AD312" s="3436"/>
      <c r="AE312" s="3649"/>
    </row>
    <row r="313" spans="16:31" customFormat="1">
      <c r="P313" s="3436"/>
      <c r="Q313" s="3436"/>
      <c r="R313" s="3436"/>
      <c r="S313" s="3436"/>
      <c r="T313" s="3436"/>
      <c r="U313" s="3436"/>
      <c r="V313" s="3436"/>
      <c r="W313" s="3436"/>
      <c r="X313" s="3436"/>
      <c r="Y313" s="3436"/>
      <c r="Z313" s="3436"/>
      <c r="AA313" s="3436"/>
      <c r="AB313" s="3436"/>
      <c r="AC313" s="3436"/>
      <c r="AD313" s="3436"/>
      <c r="AE313" s="3649"/>
    </row>
    <row r="314" spans="16:31" customFormat="1">
      <c r="P314" s="3436"/>
      <c r="Q314" s="3436"/>
      <c r="R314" s="3436"/>
      <c r="S314" s="3436"/>
      <c r="T314" s="3436"/>
      <c r="U314" s="3436"/>
      <c r="V314" s="3436"/>
      <c r="W314" s="3436"/>
      <c r="X314" s="3436"/>
      <c r="Y314" s="3436"/>
      <c r="Z314" s="3436"/>
      <c r="AA314" s="3436"/>
      <c r="AB314" s="3436"/>
      <c r="AC314" s="3436"/>
      <c r="AD314" s="3436"/>
      <c r="AE314" s="3649"/>
    </row>
    <row r="315" spans="16:31" customFormat="1">
      <c r="P315" s="3436"/>
      <c r="Q315" s="3436"/>
      <c r="R315" s="3436"/>
      <c r="S315" s="3436"/>
      <c r="T315" s="3436"/>
      <c r="U315" s="3436"/>
      <c r="V315" s="3436"/>
      <c r="W315" s="3436"/>
      <c r="X315" s="3436"/>
      <c r="Y315" s="3436"/>
      <c r="Z315" s="3436"/>
      <c r="AA315" s="3436"/>
      <c r="AB315" s="3436"/>
      <c r="AC315" s="3436"/>
      <c r="AD315" s="3436"/>
      <c r="AE315" s="3649"/>
    </row>
    <row r="316" spans="16:31" customFormat="1">
      <c r="P316" s="3436"/>
      <c r="Q316" s="3436"/>
      <c r="R316" s="3436"/>
      <c r="S316" s="3436"/>
      <c r="T316" s="3436"/>
      <c r="U316" s="3436"/>
      <c r="V316" s="3436"/>
      <c r="W316" s="3436"/>
      <c r="X316" s="3436"/>
      <c r="Y316" s="3436"/>
      <c r="Z316" s="3436"/>
      <c r="AA316" s="3436"/>
      <c r="AB316" s="3436"/>
      <c r="AC316" s="3436"/>
      <c r="AD316" s="3436"/>
      <c r="AE316" s="3649"/>
    </row>
    <row r="317" spans="16:31" customFormat="1">
      <c r="P317" s="3436"/>
      <c r="Q317" s="3436"/>
      <c r="R317" s="3436"/>
      <c r="S317" s="3436"/>
      <c r="T317" s="3436"/>
      <c r="U317" s="3436"/>
      <c r="V317" s="3436"/>
      <c r="W317" s="3436"/>
      <c r="X317" s="3436"/>
      <c r="Y317" s="3436"/>
      <c r="Z317" s="3436"/>
      <c r="AA317" s="3436"/>
      <c r="AB317" s="3436"/>
      <c r="AC317" s="3436"/>
      <c r="AD317" s="3436"/>
      <c r="AE317" s="3649"/>
    </row>
    <row r="318" spans="16:31" customFormat="1">
      <c r="P318" s="3436"/>
      <c r="Q318" s="3436"/>
      <c r="R318" s="3436"/>
      <c r="S318" s="3436"/>
      <c r="T318" s="3436"/>
      <c r="U318" s="3436"/>
      <c r="V318" s="3436"/>
      <c r="W318" s="3436"/>
      <c r="X318" s="3436"/>
      <c r="Y318" s="3436"/>
      <c r="Z318" s="3436"/>
      <c r="AA318" s="3436"/>
      <c r="AB318" s="3436"/>
      <c r="AC318" s="3436"/>
      <c r="AD318" s="3436"/>
      <c r="AE318" s="3649"/>
    </row>
    <row r="319" spans="16:31" customFormat="1">
      <c r="P319" s="3436"/>
      <c r="Q319" s="3436"/>
      <c r="R319" s="3436"/>
      <c r="S319" s="3436"/>
      <c r="T319" s="3436"/>
      <c r="U319" s="3436"/>
      <c r="V319" s="3436"/>
      <c r="W319" s="3436"/>
      <c r="X319" s="3436"/>
      <c r="Y319" s="3436"/>
      <c r="Z319" s="3436"/>
      <c r="AA319" s="3436"/>
      <c r="AB319" s="3436"/>
      <c r="AC319" s="3436"/>
      <c r="AD319" s="3436"/>
      <c r="AE319" s="3649"/>
    </row>
    <row r="320" spans="16:31" customFormat="1">
      <c r="P320" s="3436"/>
      <c r="Q320" s="3436"/>
      <c r="R320" s="3436"/>
      <c r="S320" s="3436"/>
      <c r="T320" s="3436"/>
      <c r="U320" s="3436"/>
      <c r="V320" s="3436"/>
      <c r="W320" s="3436"/>
      <c r="X320" s="3436"/>
      <c r="Y320" s="3436"/>
      <c r="Z320" s="3436"/>
      <c r="AA320" s="3436"/>
      <c r="AB320" s="3436"/>
      <c r="AC320" s="3436"/>
      <c r="AD320" s="3436"/>
      <c r="AE320" s="3649"/>
    </row>
    <row r="321" spans="16:31" customFormat="1">
      <c r="P321" s="3436"/>
      <c r="Q321" s="3436"/>
      <c r="R321" s="3436"/>
      <c r="S321" s="3436"/>
      <c r="T321" s="3436"/>
      <c r="U321" s="3436"/>
      <c r="V321" s="3436"/>
      <c r="W321" s="3436"/>
      <c r="X321" s="3436"/>
      <c r="Y321" s="3436"/>
      <c r="Z321" s="3436"/>
      <c r="AA321" s="3436"/>
      <c r="AB321" s="3436"/>
      <c r="AC321" s="3436"/>
      <c r="AD321" s="3436"/>
      <c r="AE321" s="3649"/>
    </row>
    <row r="322" spans="16:31" customFormat="1">
      <c r="P322" s="3436"/>
      <c r="Q322" s="3436"/>
      <c r="R322" s="3436"/>
      <c r="S322" s="3436"/>
      <c r="T322" s="3436"/>
      <c r="U322" s="3436"/>
      <c r="V322" s="3436"/>
      <c r="W322" s="3436"/>
      <c r="X322" s="3436"/>
      <c r="Y322" s="3436"/>
      <c r="Z322" s="3436"/>
      <c r="AA322" s="3436"/>
      <c r="AB322" s="3436"/>
      <c r="AC322" s="3436"/>
      <c r="AD322" s="3436"/>
      <c r="AE322" s="3649"/>
    </row>
    <row r="323" spans="16:31" customFormat="1">
      <c r="P323" s="3436"/>
      <c r="Q323" s="3436"/>
      <c r="R323" s="3436"/>
      <c r="S323" s="3436"/>
      <c r="T323" s="3436"/>
      <c r="U323" s="3436"/>
      <c r="V323" s="3436"/>
      <c r="W323" s="3436"/>
      <c r="X323" s="3436"/>
      <c r="Y323" s="3436"/>
      <c r="Z323" s="3436"/>
      <c r="AA323" s="3436"/>
      <c r="AB323" s="3436"/>
      <c r="AC323" s="3436"/>
      <c r="AD323" s="3436"/>
      <c r="AE323" s="3649"/>
    </row>
    <row r="324" spans="16:31" customFormat="1">
      <c r="P324" s="3436"/>
      <c r="Q324" s="3436"/>
      <c r="R324" s="3436"/>
      <c r="S324" s="3436"/>
      <c r="T324" s="3436"/>
      <c r="U324" s="3436"/>
      <c r="V324" s="3436"/>
      <c r="W324" s="3436"/>
      <c r="X324" s="3436"/>
      <c r="Y324" s="3436"/>
      <c r="Z324" s="3436"/>
      <c r="AA324" s="3436"/>
      <c r="AB324" s="3436"/>
      <c r="AC324" s="3436"/>
      <c r="AD324" s="3436"/>
      <c r="AE324" s="3649"/>
    </row>
    <row r="325" spans="16:31" customFormat="1">
      <c r="P325" s="3436"/>
      <c r="Q325" s="3436"/>
      <c r="R325" s="3436"/>
      <c r="S325" s="3436"/>
      <c r="T325" s="3436"/>
      <c r="U325" s="3436"/>
      <c r="V325" s="3436"/>
      <c r="W325" s="3436"/>
      <c r="X325" s="3436"/>
      <c r="Y325" s="3436"/>
      <c r="Z325" s="3436"/>
      <c r="AA325" s="3436"/>
      <c r="AB325" s="3436"/>
      <c r="AC325" s="3436"/>
      <c r="AD325" s="3436"/>
      <c r="AE325" s="3649"/>
    </row>
    <row r="326" spans="16:31" customFormat="1">
      <c r="P326" s="3436"/>
      <c r="Q326" s="3436"/>
      <c r="R326" s="3436"/>
      <c r="S326" s="3436"/>
      <c r="T326" s="3436"/>
      <c r="U326" s="3436"/>
      <c r="V326" s="3436"/>
      <c r="W326" s="3436"/>
      <c r="X326" s="3436"/>
      <c r="Y326" s="3436"/>
      <c r="Z326" s="3436"/>
      <c r="AA326" s="3436"/>
      <c r="AB326" s="3436"/>
      <c r="AC326" s="3436"/>
      <c r="AD326" s="3436"/>
      <c r="AE326" s="3649"/>
    </row>
    <row r="327" spans="16:31" customFormat="1">
      <c r="P327" s="3436"/>
      <c r="Q327" s="3436"/>
      <c r="R327" s="3436"/>
      <c r="S327" s="3436"/>
      <c r="T327" s="3436"/>
      <c r="U327" s="3436"/>
      <c r="V327" s="3436"/>
      <c r="W327" s="3436"/>
      <c r="X327" s="3436"/>
      <c r="Y327" s="3436"/>
      <c r="Z327" s="3436"/>
      <c r="AA327" s="3436"/>
      <c r="AB327" s="3436"/>
      <c r="AC327" s="3436"/>
      <c r="AD327" s="3436"/>
      <c r="AE327" s="3649"/>
    </row>
    <row r="328" spans="16:31" customFormat="1">
      <c r="P328" s="3436"/>
      <c r="Q328" s="3436"/>
      <c r="R328" s="3436"/>
      <c r="S328" s="3436"/>
      <c r="T328" s="3436"/>
      <c r="U328" s="3436"/>
      <c r="V328" s="3436"/>
      <c r="W328" s="3436"/>
      <c r="X328" s="3436"/>
      <c r="Y328" s="3436"/>
      <c r="Z328" s="3436"/>
      <c r="AA328" s="3436"/>
      <c r="AB328" s="3436"/>
      <c r="AC328" s="3436"/>
      <c r="AD328" s="3436"/>
      <c r="AE328" s="3649"/>
    </row>
    <row r="329" spans="16:31" customFormat="1">
      <c r="P329" s="3436"/>
      <c r="Q329" s="3436"/>
      <c r="R329" s="3436"/>
      <c r="S329" s="3436"/>
      <c r="T329" s="3436"/>
      <c r="U329" s="3436"/>
      <c r="V329" s="3436"/>
      <c r="W329" s="3436"/>
      <c r="X329" s="3436"/>
      <c r="Y329" s="3436"/>
      <c r="Z329" s="3436"/>
      <c r="AA329" s="3436"/>
      <c r="AB329" s="3436"/>
      <c r="AC329" s="3436"/>
      <c r="AD329" s="3436"/>
      <c r="AE329" s="3649"/>
    </row>
    <row r="330" spans="16:31" customFormat="1">
      <c r="P330" s="3436"/>
      <c r="Q330" s="3436"/>
      <c r="R330" s="3436"/>
      <c r="S330" s="3436"/>
      <c r="T330" s="3436"/>
      <c r="U330" s="3436"/>
      <c r="V330" s="3436"/>
      <c r="W330" s="3436"/>
      <c r="X330" s="3436"/>
      <c r="Y330" s="3436"/>
      <c r="Z330" s="3436"/>
      <c r="AA330" s="3436"/>
      <c r="AB330" s="3436"/>
      <c r="AC330" s="3436"/>
      <c r="AD330" s="3436"/>
      <c r="AE330" s="3649"/>
    </row>
    <row r="331" spans="16:31" customFormat="1">
      <c r="P331" s="3436"/>
      <c r="Q331" s="3436"/>
      <c r="R331" s="3436"/>
      <c r="S331" s="3436"/>
      <c r="T331" s="3436"/>
      <c r="U331" s="3436"/>
      <c r="V331" s="3436"/>
      <c r="W331" s="3436"/>
      <c r="X331" s="3436"/>
      <c r="Y331" s="3436"/>
      <c r="Z331" s="3436"/>
      <c r="AA331" s="3436"/>
      <c r="AB331" s="3436"/>
      <c r="AC331" s="3436"/>
      <c r="AD331" s="3436"/>
      <c r="AE331" s="3649"/>
    </row>
    <row r="332" spans="16:31" customFormat="1">
      <c r="P332" s="3436"/>
      <c r="Q332" s="3436"/>
      <c r="R332" s="3436"/>
      <c r="S332" s="3436"/>
      <c r="T332" s="3436"/>
      <c r="U332" s="3436"/>
      <c r="V332" s="3436"/>
      <c r="W332" s="3436"/>
      <c r="X332" s="3436"/>
      <c r="Y332" s="3436"/>
      <c r="Z332" s="3436"/>
      <c r="AA332" s="3436"/>
      <c r="AB332" s="3436"/>
      <c r="AC332" s="3436"/>
      <c r="AD332" s="3436"/>
      <c r="AE332" s="3649"/>
    </row>
    <row r="333" spans="16:31" customFormat="1">
      <c r="P333" s="3436"/>
      <c r="Q333" s="3436"/>
      <c r="R333" s="3436"/>
      <c r="S333" s="3436"/>
      <c r="T333" s="3436"/>
      <c r="U333" s="3436"/>
      <c r="V333" s="3436"/>
      <c r="W333" s="3436"/>
      <c r="X333" s="3436"/>
      <c r="Y333" s="3436"/>
      <c r="Z333" s="3436"/>
      <c r="AA333" s="3436"/>
      <c r="AB333" s="3436"/>
      <c r="AC333" s="3436"/>
      <c r="AD333" s="3436"/>
      <c r="AE333" s="3649"/>
    </row>
    <row r="334" spans="16:31" customFormat="1">
      <c r="P334" s="3436"/>
      <c r="Q334" s="3436"/>
      <c r="R334" s="3436"/>
      <c r="S334" s="3436"/>
      <c r="T334" s="3436"/>
      <c r="U334" s="3436"/>
      <c r="V334" s="3436"/>
      <c r="W334" s="3436"/>
      <c r="X334" s="3436"/>
      <c r="Y334" s="3436"/>
      <c r="Z334" s="3436"/>
      <c r="AA334" s="3436"/>
      <c r="AB334" s="3436"/>
      <c r="AC334" s="3436"/>
      <c r="AD334" s="3436"/>
      <c r="AE334" s="3649"/>
    </row>
    <row r="335" spans="16:31" customFormat="1">
      <c r="P335" s="3436"/>
      <c r="Q335" s="3436"/>
      <c r="R335" s="3436"/>
      <c r="S335" s="3436"/>
      <c r="T335" s="3436"/>
      <c r="U335" s="3436"/>
      <c r="V335" s="3436"/>
      <c r="W335" s="3436"/>
      <c r="X335" s="3436"/>
      <c r="Y335" s="3436"/>
      <c r="Z335" s="3436"/>
      <c r="AA335" s="3436"/>
      <c r="AB335" s="3436"/>
      <c r="AC335" s="3436"/>
      <c r="AD335" s="3436"/>
      <c r="AE335" s="3649"/>
    </row>
    <row r="336" spans="16:31" customFormat="1">
      <c r="P336" s="3436"/>
      <c r="Q336" s="3436"/>
      <c r="R336" s="3436"/>
      <c r="S336" s="3436"/>
      <c r="T336" s="3436"/>
      <c r="U336" s="3436"/>
      <c r="V336" s="3436"/>
      <c r="W336" s="3436"/>
      <c r="X336" s="3436"/>
      <c r="Y336" s="3436"/>
      <c r="Z336" s="3436"/>
      <c r="AA336" s="3436"/>
      <c r="AB336" s="3436"/>
      <c r="AC336" s="3436"/>
      <c r="AD336" s="3436"/>
      <c r="AE336" s="3649"/>
    </row>
    <row r="337" spans="16:31" customFormat="1">
      <c r="P337" s="3436"/>
      <c r="Q337" s="3436"/>
      <c r="R337" s="3436"/>
      <c r="S337" s="3436"/>
      <c r="T337" s="3436"/>
      <c r="U337" s="3436"/>
      <c r="V337" s="3436"/>
      <c r="W337" s="3436"/>
      <c r="X337" s="3436"/>
      <c r="Y337" s="3436"/>
      <c r="Z337" s="3436"/>
      <c r="AA337" s="3436"/>
      <c r="AB337" s="3436"/>
      <c r="AC337" s="3436"/>
      <c r="AD337" s="3436"/>
      <c r="AE337" s="3649"/>
    </row>
    <row r="338" spans="16:31" customFormat="1">
      <c r="P338" s="3436"/>
      <c r="Q338" s="3436"/>
      <c r="R338" s="3436"/>
      <c r="S338" s="3436"/>
      <c r="T338" s="3436"/>
      <c r="U338" s="3436"/>
      <c r="V338" s="3436"/>
      <c r="W338" s="3436"/>
      <c r="X338" s="3436"/>
      <c r="Y338" s="3436"/>
      <c r="Z338" s="3436"/>
      <c r="AA338" s="3436"/>
      <c r="AB338" s="3436"/>
      <c r="AC338" s="3436"/>
      <c r="AD338" s="3436"/>
      <c r="AE338" s="3649"/>
    </row>
    <row r="339" spans="16:31" customFormat="1">
      <c r="P339" s="3436"/>
      <c r="Q339" s="3436"/>
      <c r="R339" s="3436"/>
      <c r="S339" s="3436"/>
      <c r="T339" s="3436"/>
      <c r="U339" s="3436"/>
      <c r="V339" s="3436"/>
      <c r="W339" s="3436"/>
      <c r="X339" s="3436"/>
      <c r="Y339" s="3436"/>
      <c r="Z339" s="3436"/>
      <c r="AA339" s="3436"/>
      <c r="AB339" s="3436"/>
      <c r="AC339" s="3436"/>
      <c r="AD339" s="3436"/>
      <c r="AE339" s="3649"/>
    </row>
    <row r="340" spans="16:31" customFormat="1">
      <c r="P340" s="3436"/>
      <c r="Q340" s="3436"/>
      <c r="R340" s="3436"/>
      <c r="S340" s="3436"/>
      <c r="T340" s="3436"/>
      <c r="U340" s="3436"/>
      <c r="V340" s="3436"/>
      <c r="W340" s="3436"/>
      <c r="X340" s="3436"/>
      <c r="Y340" s="3436"/>
      <c r="Z340" s="3436"/>
      <c r="AA340" s="3436"/>
      <c r="AB340" s="3436"/>
      <c r="AC340" s="3436"/>
      <c r="AD340" s="3436"/>
      <c r="AE340" s="3649"/>
    </row>
    <row r="341" spans="16:31" customFormat="1">
      <c r="P341" s="3436"/>
      <c r="Q341" s="3436"/>
      <c r="R341" s="3436"/>
      <c r="S341" s="3436"/>
      <c r="T341" s="3436"/>
      <c r="U341" s="3436"/>
      <c r="V341" s="3436"/>
      <c r="W341" s="3436"/>
      <c r="X341" s="3436"/>
      <c r="Y341" s="3436"/>
      <c r="Z341" s="3436"/>
      <c r="AA341" s="3436"/>
      <c r="AB341" s="3436"/>
      <c r="AC341" s="3436"/>
      <c r="AD341" s="3436"/>
      <c r="AE341" s="3649"/>
    </row>
    <row r="342" spans="16:31" customFormat="1">
      <c r="P342" s="3436"/>
      <c r="Q342" s="3436"/>
      <c r="R342" s="3436"/>
      <c r="S342" s="3436"/>
      <c r="T342" s="3436"/>
      <c r="U342" s="3436"/>
      <c r="V342" s="3436"/>
      <c r="W342" s="3436"/>
      <c r="X342" s="3436"/>
      <c r="Y342" s="3436"/>
      <c r="Z342" s="3436"/>
      <c r="AA342" s="3436"/>
      <c r="AB342" s="3436"/>
      <c r="AC342" s="3436"/>
      <c r="AD342" s="3436"/>
      <c r="AE342" s="3649"/>
    </row>
    <row r="343" spans="16:31" customFormat="1">
      <c r="P343" s="3436"/>
      <c r="Q343" s="3436"/>
      <c r="R343" s="3436"/>
      <c r="S343" s="3436"/>
      <c r="T343" s="3436"/>
      <c r="U343" s="3436"/>
      <c r="V343" s="3436"/>
      <c r="W343" s="3436"/>
      <c r="X343" s="3436"/>
      <c r="Y343" s="3436"/>
      <c r="Z343" s="3436"/>
      <c r="AA343" s="3436"/>
      <c r="AB343" s="3436"/>
      <c r="AC343" s="3436"/>
      <c r="AD343" s="3436"/>
      <c r="AE343" s="3649"/>
    </row>
    <row r="344" spans="16:31" customFormat="1">
      <c r="P344" s="3436"/>
      <c r="Q344" s="3436"/>
      <c r="R344" s="3436"/>
      <c r="S344" s="3436"/>
      <c r="T344" s="3436"/>
      <c r="U344" s="3436"/>
      <c r="V344" s="3436"/>
      <c r="W344" s="3436"/>
      <c r="X344" s="3436"/>
      <c r="Y344" s="3436"/>
      <c r="Z344" s="3436"/>
      <c r="AA344" s="3436"/>
      <c r="AB344" s="3436"/>
      <c r="AC344" s="3436"/>
      <c r="AD344" s="3436"/>
      <c r="AE344" s="3649"/>
    </row>
    <row r="345" spans="16:31" customFormat="1">
      <c r="P345" s="3436"/>
      <c r="Q345" s="3436"/>
      <c r="R345" s="3436"/>
      <c r="S345" s="3436"/>
      <c r="T345" s="3436"/>
      <c r="U345" s="3436"/>
      <c r="V345" s="3436"/>
      <c r="W345" s="3436"/>
      <c r="X345" s="3436"/>
      <c r="Y345" s="3436"/>
      <c r="Z345" s="3436"/>
      <c r="AA345" s="3436"/>
      <c r="AB345" s="3436"/>
      <c r="AC345" s="3436"/>
      <c r="AD345" s="3436"/>
      <c r="AE345" s="3649"/>
    </row>
    <row r="346" spans="16:31" customFormat="1">
      <c r="P346" s="3436"/>
      <c r="Q346" s="3436"/>
      <c r="R346" s="3436"/>
      <c r="S346" s="3436"/>
      <c r="T346" s="3436"/>
      <c r="U346" s="3436"/>
      <c r="V346" s="3436"/>
      <c r="W346" s="3436"/>
      <c r="X346" s="3436"/>
      <c r="Y346" s="3436"/>
      <c r="Z346" s="3436"/>
      <c r="AA346" s="3436"/>
      <c r="AB346" s="3436"/>
      <c r="AC346" s="3436"/>
      <c r="AD346" s="3436"/>
      <c r="AE346" s="3649"/>
    </row>
    <row r="347" spans="16:31" customFormat="1">
      <c r="P347" s="3436"/>
      <c r="Q347" s="3436"/>
      <c r="R347" s="3436"/>
      <c r="S347" s="3436"/>
      <c r="T347" s="3436"/>
      <c r="U347" s="3436"/>
      <c r="V347" s="3436"/>
      <c r="W347" s="3436"/>
      <c r="X347" s="3436"/>
      <c r="Y347" s="3436"/>
      <c r="Z347" s="3436"/>
      <c r="AA347" s="3436"/>
      <c r="AB347" s="3436"/>
      <c r="AC347" s="3436"/>
      <c r="AD347" s="3436"/>
      <c r="AE347" s="3649"/>
    </row>
    <row r="348" spans="16:31" customFormat="1">
      <c r="P348" s="3436"/>
      <c r="Q348" s="3436"/>
      <c r="R348" s="3436"/>
      <c r="S348" s="3436"/>
      <c r="T348" s="3436"/>
      <c r="U348" s="3436"/>
      <c r="V348" s="3436"/>
      <c r="W348" s="3436"/>
      <c r="X348" s="3436"/>
      <c r="Y348" s="3436"/>
      <c r="Z348" s="3436"/>
      <c r="AA348" s="3436"/>
      <c r="AB348" s="3436"/>
      <c r="AC348" s="3436"/>
      <c r="AD348" s="3436"/>
      <c r="AE348" s="3649"/>
    </row>
    <row r="349" spans="16:31" customFormat="1">
      <c r="P349" s="3436"/>
      <c r="Q349" s="3436"/>
      <c r="R349" s="3436"/>
      <c r="S349" s="3436"/>
      <c r="T349" s="3436"/>
      <c r="U349" s="3436"/>
      <c r="V349" s="3436"/>
      <c r="W349" s="3436"/>
      <c r="X349" s="3436"/>
      <c r="Y349" s="3436"/>
      <c r="Z349" s="3436"/>
      <c r="AA349" s="3436"/>
      <c r="AB349" s="3436"/>
      <c r="AC349" s="3436"/>
      <c r="AD349" s="3436"/>
      <c r="AE349" s="3649"/>
    </row>
    <row r="350" spans="16:31" customFormat="1">
      <c r="P350" s="3436"/>
      <c r="Q350" s="3436"/>
      <c r="R350" s="3436"/>
      <c r="S350" s="3436"/>
      <c r="T350" s="3436"/>
      <c r="U350" s="3436"/>
      <c r="V350" s="3436"/>
      <c r="W350" s="3436"/>
      <c r="X350" s="3436"/>
      <c r="Y350" s="3436"/>
      <c r="Z350" s="3436"/>
      <c r="AA350" s="3436"/>
      <c r="AB350" s="3436"/>
      <c r="AC350" s="3436"/>
      <c r="AD350" s="3436"/>
      <c r="AE350" s="3649"/>
    </row>
    <row r="351" spans="16:31" customFormat="1">
      <c r="P351" s="3436"/>
      <c r="Q351" s="3436"/>
      <c r="R351" s="3436"/>
      <c r="S351" s="3436"/>
      <c r="T351" s="3436"/>
      <c r="U351" s="3436"/>
      <c r="V351" s="3436"/>
      <c r="W351" s="3436"/>
      <c r="X351" s="3436"/>
      <c r="Y351" s="3436"/>
      <c r="Z351" s="3436"/>
      <c r="AA351" s="3436"/>
      <c r="AB351" s="3436"/>
      <c r="AC351" s="3436"/>
      <c r="AD351" s="3436"/>
      <c r="AE351" s="3649"/>
    </row>
    <row r="352" spans="16:31" customFormat="1">
      <c r="P352" s="3436"/>
      <c r="Q352" s="3436"/>
      <c r="R352" s="3436"/>
      <c r="S352" s="3436"/>
      <c r="T352" s="3436"/>
      <c r="U352" s="3436"/>
      <c r="V352" s="3436"/>
      <c r="W352" s="3436"/>
      <c r="X352" s="3436"/>
      <c r="Y352" s="3436"/>
      <c r="Z352" s="3436"/>
      <c r="AA352" s="3436"/>
      <c r="AB352" s="3436"/>
      <c r="AC352" s="3436"/>
      <c r="AD352" s="3436"/>
      <c r="AE352" s="3649"/>
    </row>
    <row r="353" spans="16:31" customFormat="1">
      <c r="P353" s="3436"/>
      <c r="Q353" s="3436"/>
      <c r="R353" s="3436"/>
      <c r="S353" s="3436"/>
      <c r="T353" s="3436"/>
      <c r="U353" s="3436"/>
      <c r="V353" s="3436"/>
      <c r="W353" s="3436"/>
      <c r="X353" s="3436"/>
      <c r="Y353" s="3436"/>
      <c r="Z353" s="3436"/>
      <c r="AA353" s="3436"/>
      <c r="AB353" s="3436"/>
      <c r="AC353" s="3436"/>
      <c r="AD353" s="3436"/>
      <c r="AE353" s="3649"/>
    </row>
    <row r="354" spans="16:31" customFormat="1">
      <c r="P354" s="3436"/>
      <c r="Q354" s="3436"/>
      <c r="R354" s="3436"/>
      <c r="S354" s="3436"/>
      <c r="T354" s="3436"/>
      <c r="U354" s="3436"/>
      <c r="V354" s="3436"/>
      <c r="W354" s="3436"/>
      <c r="X354" s="3436"/>
      <c r="Y354" s="3436"/>
      <c r="Z354" s="3436"/>
      <c r="AA354" s="3436"/>
      <c r="AB354" s="3436"/>
      <c r="AC354" s="3436"/>
      <c r="AD354" s="3436"/>
      <c r="AE354" s="3649"/>
    </row>
    <row r="355" spans="16:31" customFormat="1">
      <c r="P355" s="3436"/>
      <c r="Q355" s="3436"/>
      <c r="R355" s="3436"/>
      <c r="S355" s="3436"/>
      <c r="T355" s="3436"/>
      <c r="U355" s="3436"/>
      <c r="V355" s="3436"/>
      <c r="W355" s="3436"/>
      <c r="X355" s="3436"/>
      <c r="Y355" s="3436"/>
      <c r="Z355" s="3436"/>
      <c r="AA355" s="3436"/>
      <c r="AB355" s="3436"/>
      <c r="AC355" s="3436"/>
      <c r="AD355" s="3436"/>
      <c r="AE355" s="3649"/>
    </row>
    <row r="356" spans="16:31" customFormat="1">
      <c r="P356" s="3436"/>
      <c r="Q356" s="3436"/>
      <c r="R356" s="3436"/>
      <c r="S356" s="3436"/>
      <c r="T356" s="3436"/>
      <c r="U356" s="3436"/>
      <c r="V356" s="3436"/>
      <c r="W356" s="3436"/>
      <c r="X356" s="3436"/>
      <c r="Y356" s="3436"/>
      <c r="Z356" s="3436"/>
      <c r="AA356" s="3436"/>
      <c r="AB356" s="3436"/>
      <c r="AC356" s="3436"/>
      <c r="AD356" s="3436"/>
      <c r="AE356" s="3649"/>
    </row>
    <row r="357" spans="16:31" customFormat="1">
      <c r="P357" s="3436"/>
      <c r="Q357" s="3436"/>
      <c r="R357" s="3436"/>
      <c r="S357" s="3436"/>
      <c r="T357" s="3436"/>
      <c r="U357" s="3436"/>
      <c r="V357" s="3436"/>
      <c r="W357" s="3436"/>
      <c r="X357" s="3436"/>
      <c r="Y357" s="3436"/>
      <c r="Z357" s="3436"/>
      <c r="AA357" s="3436"/>
      <c r="AB357" s="3436"/>
      <c r="AC357" s="3436"/>
      <c r="AD357" s="3436"/>
      <c r="AE357" s="3649"/>
    </row>
    <row r="358" spans="16:31" customFormat="1">
      <c r="P358" s="3436"/>
      <c r="Q358" s="3436"/>
      <c r="R358" s="3436"/>
      <c r="S358" s="3436"/>
      <c r="T358" s="3436"/>
      <c r="U358" s="3436"/>
      <c r="V358" s="3436"/>
      <c r="W358" s="3436"/>
      <c r="X358" s="3436"/>
      <c r="Y358" s="3436"/>
      <c r="Z358" s="3436"/>
      <c r="AA358" s="3436"/>
      <c r="AB358" s="3436"/>
      <c r="AC358" s="3436"/>
      <c r="AD358" s="3436"/>
      <c r="AE358" s="3649"/>
    </row>
    <row r="359" spans="16:31" customFormat="1">
      <c r="P359" s="3436"/>
      <c r="Q359" s="3436"/>
      <c r="R359" s="3436"/>
      <c r="S359" s="3436"/>
      <c r="T359" s="3436"/>
      <c r="U359" s="3436"/>
      <c r="V359" s="3436"/>
      <c r="W359" s="3436"/>
      <c r="X359" s="3436"/>
      <c r="Y359" s="3436"/>
      <c r="Z359" s="3436"/>
      <c r="AA359" s="3436"/>
      <c r="AB359" s="3436"/>
      <c r="AC359" s="3436"/>
      <c r="AD359" s="3436"/>
      <c r="AE359" s="3649"/>
    </row>
    <row r="360" spans="16:31" customFormat="1">
      <c r="P360" s="3436"/>
      <c r="Q360" s="3436"/>
      <c r="R360" s="3436"/>
      <c r="S360" s="3436"/>
      <c r="T360" s="3436"/>
      <c r="U360" s="3436"/>
      <c r="V360" s="3436"/>
      <c r="W360" s="3436"/>
      <c r="X360" s="3436"/>
      <c r="Y360" s="3436"/>
      <c r="Z360" s="3436"/>
      <c r="AA360" s="3436"/>
      <c r="AB360" s="3436"/>
      <c r="AC360" s="3436"/>
      <c r="AD360" s="3436"/>
      <c r="AE360" s="3649"/>
    </row>
    <row r="361" spans="16:31" customFormat="1">
      <c r="P361" s="3436"/>
      <c r="Q361" s="3436"/>
      <c r="R361" s="3436"/>
      <c r="S361" s="3436"/>
      <c r="T361" s="3436"/>
      <c r="U361" s="3436"/>
      <c r="V361" s="3436"/>
      <c r="W361" s="3436"/>
      <c r="X361" s="3436"/>
      <c r="Y361" s="3436"/>
      <c r="Z361" s="3436"/>
      <c r="AA361" s="3436"/>
      <c r="AB361" s="3436"/>
      <c r="AC361" s="3436"/>
      <c r="AD361" s="3436"/>
      <c r="AE361" s="3649"/>
    </row>
    <row r="362" spans="16:31" customFormat="1">
      <c r="P362" s="3436"/>
      <c r="Q362" s="3436"/>
      <c r="R362" s="3436"/>
      <c r="S362" s="3436"/>
      <c r="T362" s="3436"/>
      <c r="U362" s="3436"/>
      <c r="V362" s="3436"/>
      <c r="W362" s="3436"/>
      <c r="X362" s="3436"/>
      <c r="Y362" s="3436"/>
      <c r="Z362" s="3436"/>
      <c r="AA362" s="3436"/>
      <c r="AB362" s="3436"/>
      <c r="AC362" s="3436"/>
      <c r="AD362" s="3436"/>
      <c r="AE362" s="3649"/>
    </row>
    <row r="363" spans="16:31" customFormat="1">
      <c r="P363" s="3436"/>
      <c r="Q363" s="3436"/>
      <c r="R363" s="3436"/>
      <c r="S363" s="3436"/>
      <c r="T363" s="3436"/>
      <c r="U363" s="3436"/>
      <c r="V363" s="3436"/>
      <c r="W363" s="3436"/>
      <c r="X363" s="3436"/>
      <c r="Y363" s="3436"/>
      <c r="Z363" s="3436"/>
      <c r="AA363" s="3436"/>
      <c r="AB363" s="3436"/>
      <c r="AC363" s="3436"/>
      <c r="AD363" s="3436"/>
      <c r="AE363" s="3649"/>
    </row>
    <row r="364" spans="16:31" customFormat="1">
      <c r="P364" s="3436"/>
      <c r="Q364" s="3436"/>
      <c r="R364" s="3436"/>
      <c r="S364" s="3436"/>
      <c r="T364" s="3436"/>
      <c r="U364" s="3436"/>
      <c r="V364" s="3436"/>
      <c r="W364" s="3436"/>
      <c r="X364" s="3436"/>
      <c r="Y364" s="3436"/>
      <c r="Z364" s="3436"/>
      <c r="AA364" s="3436"/>
      <c r="AB364" s="3436"/>
      <c r="AC364" s="3436"/>
      <c r="AD364" s="3436"/>
      <c r="AE364" s="3649"/>
    </row>
    <row r="365" spans="16:31" customFormat="1">
      <c r="P365" s="3436"/>
      <c r="Q365" s="3436"/>
      <c r="R365" s="3436"/>
      <c r="S365" s="3436"/>
      <c r="T365" s="3436"/>
      <c r="U365" s="3436"/>
      <c r="V365" s="3436"/>
      <c r="W365" s="3436"/>
      <c r="X365" s="3436"/>
      <c r="Y365" s="3436"/>
      <c r="Z365" s="3436"/>
      <c r="AA365" s="3436"/>
      <c r="AB365" s="3436"/>
      <c r="AC365" s="3436"/>
      <c r="AD365" s="3436"/>
      <c r="AE365" s="3649"/>
    </row>
    <row r="366" spans="16:31" customFormat="1">
      <c r="P366" s="3436"/>
      <c r="Q366" s="3436"/>
      <c r="R366" s="3436"/>
      <c r="S366" s="3436"/>
      <c r="T366" s="3436"/>
      <c r="U366" s="3436"/>
      <c r="V366" s="3436"/>
      <c r="W366" s="3436"/>
      <c r="X366" s="3436"/>
      <c r="Y366" s="3436"/>
      <c r="Z366" s="3436"/>
      <c r="AA366" s="3436"/>
      <c r="AB366" s="3436"/>
      <c r="AC366" s="3436"/>
      <c r="AD366" s="3436"/>
      <c r="AE366" s="3649"/>
    </row>
    <row r="367" spans="16:31" customFormat="1">
      <c r="P367" s="3436"/>
      <c r="Q367" s="3436"/>
      <c r="R367" s="3436"/>
      <c r="S367" s="3436"/>
      <c r="T367" s="3436"/>
      <c r="U367" s="3436"/>
      <c r="V367" s="3436"/>
      <c r="W367" s="3436"/>
      <c r="X367" s="3436"/>
      <c r="Y367" s="3436"/>
      <c r="Z367" s="3436"/>
      <c r="AA367" s="3436"/>
      <c r="AB367" s="3436"/>
      <c r="AC367" s="3436"/>
      <c r="AD367" s="3436"/>
      <c r="AE367" s="3649"/>
    </row>
    <row r="368" spans="16:31" customFormat="1">
      <c r="P368" s="3436"/>
      <c r="Q368" s="3436"/>
      <c r="R368" s="3436"/>
      <c r="S368" s="3436"/>
      <c r="T368" s="3436"/>
      <c r="U368" s="3436"/>
      <c r="V368" s="3436"/>
      <c r="W368" s="3436"/>
      <c r="X368" s="3436"/>
      <c r="Y368" s="3436"/>
      <c r="Z368" s="3436"/>
      <c r="AA368" s="3436"/>
      <c r="AB368" s="3436"/>
      <c r="AC368" s="3436"/>
      <c r="AD368" s="3436"/>
      <c r="AE368" s="3649"/>
    </row>
    <row r="369" spans="16:31" customFormat="1">
      <c r="P369" s="3436"/>
      <c r="Q369" s="3436"/>
      <c r="R369" s="3436"/>
      <c r="S369" s="3436"/>
      <c r="T369" s="3436"/>
      <c r="U369" s="3436"/>
      <c r="V369" s="3436"/>
      <c r="W369" s="3436"/>
      <c r="X369" s="3436"/>
      <c r="Y369" s="3436"/>
      <c r="Z369" s="3436"/>
      <c r="AA369" s="3436"/>
      <c r="AB369" s="3436"/>
      <c r="AC369" s="3436"/>
      <c r="AD369" s="3436"/>
      <c r="AE369" s="3649"/>
    </row>
    <row r="370" spans="16:31" customFormat="1">
      <c r="P370" s="3436"/>
      <c r="Q370" s="3436"/>
      <c r="R370" s="3436"/>
      <c r="S370" s="3436"/>
      <c r="T370" s="3436"/>
      <c r="U370" s="3436"/>
      <c r="V370" s="3436"/>
      <c r="W370" s="3436"/>
      <c r="X370" s="3436"/>
      <c r="Y370" s="3436"/>
      <c r="Z370" s="3436"/>
      <c r="AA370" s="3436"/>
      <c r="AB370" s="3436"/>
      <c r="AC370" s="3436"/>
      <c r="AD370" s="3436"/>
      <c r="AE370" s="3649"/>
    </row>
    <row r="371" spans="16:31" customFormat="1">
      <c r="P371" s="3436"/>
      <c r="Q371" s="3436"/>
      <c r="R371" s="3436"/>
      <c r="S371" s="3436"/>
      <c r="T371" s="3436"/>
      <c r="U371" s="3436"/>
      <c r="V371" s="3436"/>
      <c r="W371" s="3436"/>
      <c r="X371" s="3436"/>
      <c r="Y371" s="3436"/>
      <c r="Z371" s="3436"/>
      <c r="AA371" s="3436"/>
      <c r="AB371" s="3436"/>
      <c r="AC371" s="3436"/>
      <c r="AD371" s="3436"/>
      <c r="AE371" s="3649"/>
    </row>
    <row r="372" spans="16:31" customFormat="1">
      <c r="P372" s="3436"/>
      <c r="Q372" s="3436"/>
      <c r="R372" s="3436"/>
      <c r="S372" s="3436"/>
      <c r="T372" s="3436"/>
      <c r="U372" s="3436"/>
      <c r="V372" s="3436"/>
      <c r="W372" s="3436"/>
      <c r="X372" s="3436"/>
      <c r="Y372" s="3436"/>
      <c r="Z372" s="3436"/>
      <c r="AA372" s="3436"/>
      <c r="AB372" s="3436"/>
      <c r="AC372" s="3436"/>
      <c r="AD372" s="3436"/>
      <c r="AE372" s="3649"/>
    </row>
    <row r="373" spans="16:31" customFormat="1">
      <c r="P373" s="3436"/>
      <c r="Q373" s="3436"/>
      <c r="R373" s="3436"/>
      <c r="S373" s="3436"/>
      <c r="T373" s="3436"/>
      <c r="U373" s="3436"/>
      <c r="V373" s="3436"/>
      <c r="W373" s="3436"/>
      <c r="X373" s="3436"/>
      <c r="Y373" s="3436"/>
      <c r="Z373" s="3436"/>
      <c r="AA373" s="3436"/>
      <c r="AB373" s="3436"/>
      <c r="AC373" s="3436"/>
      <c r="AD373" s="3436"/>
      <c r="AE373" s="3649"/>
    </row>
    <row r="374" spans="16:31" customFormat="1">
      <c r="P374" s="3436"/>
      <c r="Q374" s="3436"/>
      <c r="R374" s="3436"/>
      <c r="S374" s="3436"/>
      <c r="T374" s="3436"/>
      <c r="U374" s="3436"/>
      <c r="V374" s="3436"/>
      <c r="W374" s="3436"/>
      <c r="X374" s="3436"/>
      <c r="Y374" s="3436"/>
      <c r="Z374" s="3436"/>
      <c r="AA374" s="3436"/>
      <c r="AB374" s="3436"/>
      <c r="AC374" s="3436"/>
      <c r="AD374" s="3436"/>
      <c r="AE374" s="3649"/>
    </row>
    <row r="375" spans="16:31" customFormat="1">
      <c r="P375" s="3436"/>
      <c r="Q375" s="3436"/>
      <c r="R375" s="3436"/>
      <c r="S375" s="3436"/>
      <c r="T375" s="3436"/>
      <c r="U375" s="3436"/>
      <c r="V375" s="3436"/>
      <c r="W375" s="3436"/>
      <c r="X375" s="3436"/>
      <c r="Y375" s="3436"/>
      <c r="Z375" s="3436"/>
      <c r="AA375" s="3436"/>
      <c r="AB375" s="3436"/>
      <c r="AC375" s="3436"/>
      <c r="AD375" s="3436"/>
      <c r="AE375" s="3649"/>
    </row>
    <row r="376" spans="16:31" customFormat="1">
      <c r="P376" s="3436"/>
      <c r="Q376" s="3436"/>
      <c r="R376" s="3436"/>
      <c r="S376" s="3436"/>
      <c r="T376" s="3436"/>
      <c r="U376" s="3436"/>
      <c r="V376" s="3436"/>
      <c r="W376" s="3436"/>
      <c r="X376" s="3436"/>
      <c r="Y376" s="3436"/>
      <c r="Z376" s="3436"/>
      <c r="AA376" s="3436"/>
      <c r="AB376" s="3436"/>
      <c r="AC376" s="3436"/>
      <c r="AD376" s="3436"/>
      <c r="AE376" s="3649"/>
    </row>
    <row r="377" spans="16:31" customFormat="1">
      <c r="P377" s="3436"/>
      <c r="Q377" s="3436"/>
      <c r="R377" s="3436"/>
      <c r="S377" s="3436"/>
      <c r="T377" s="3436"/>
      <c r="U377" s="3436"/>
      <c r="V377" s="3436"/>
      <c r="W377" s="3436"/>
      <c r="X377" s="3436"/>
      <c r="Y377" s="3436"/>
      <c r="Z377" s="3436"/>
      <c r="AA377" s="3436"/>
      <c r="AB377" s="3436"/>
      <c r="AC377" s="3436"/>
      <c r="AD377" s="3436"/>
      <c r="AE377" s="3649"/>
    </row>
    <row r="378" spans="16:31" customFormat="1">
      <c r="P378" s="3436"/>
      <c r="Q378" s="3436"/>
      <c r="R378" s="3436"/>
      <c r="S378" s="3436"/>
      <c r="T378" s="3436"/>
      <c r="U378" s="3436"/>
      <c r="V378" s="3436"/>
      <c r="W378" s="3436"/>
      <c r="X378" s="3436"/>
      <c r="Y378" s="3436"/>
      <c r="Z378" s="3436"/>
      <c r="AA378" s="3436"/>
      <c r="AB378" s="3436"/>
      <c r="AC378" s="3436"/>
      <c r="AD378" s="3436"/>
      <c r="AE378" s="3649"/>
    </row>
    <row r="379" spans="16:31" customFormat="1">
      <c r="P379" s="3436"/>
      <c r="Q379" s="3436"/>
      <c r="R379" s="3436"/>
      <c r="S379" s="3436"/>
      <c r="T379" s="3436"/>
      <c r="U379" s="3436"/>
      <c r="V379" s="3436"/>
      <c r="W379" s="3436"/>
      <c r="X379" s="3436"/>
      <c r="Y379" s="3436"/>
      <c r="Z379" s="3436"/>
      <c r="AA379" s="3436"/>
      <c r="AB379" s="3436"/>
      <c r="AC379" s="3436"/>
      <c r="AD379" s="3436"/>
      <c r="AE379" s="3649"/>
    </row>
    <row r="380" spans="16:31" customFormat="1">
      <c r="P380" s="3436"/>
      <c r="Q380" s="3436"/>
      <c r="R380" s="3436"/>
      <c r="S380" s="3436"/>
      <c r="T380" s="3436"/>
      <c r="U380" s="3436"/>
      <c r="V380" s="3436"/>
      <c r="W380" s="3436"/>
      <c r="X380" s="3436"/>
      <c r="Y380" s="3436"/>
      <c r="Z380" s="3436"/>
      <c r="AA380" s="3436"/>
      <c r="AB380" s="3436"/>
      <c r="AC380" s="3436"/>
      <c r="AD380" s="3436"/>
      <c r="AE380" s="3649"/>
    </row>
    <row r="381" spans="16:31" customFormat="1">
      <c r="P381" s="3436"/>
      <c r="Q381" s="3436"/>
      <c r="R381" s="3436"/>
      <c r="S381" s="3436"/>
      <c r="T381" s="3436"/>
      <c r="U381" s="3436"/>
      <c r="V381" s="3436"/>
      <c r="W381" s="3436"/>
      <c r="X381" s="3436"/>
      <c r="Y381" s="3436"/>
      <c r="Z381" s="3436"/>
      <c r="AA381" s="3436"/>
      <c r="AB381" s="3436"/>
      <c r="AC381" s="3436"/>
      <c r="AD381" s="3436"/>
      <c r="AE381" s="3649"/>
    </row>
    <row r="382" spans="16:31" customFormat="1">
      <c r="P382" s="3436"/>
      <c r="Q382" s="3436"/>
      <c r="R382" s="3436"/>
      <c r="S382" s="3436"/>
      <c r="T382" s="3436"/>
      <c r="U382" s="3436"/>
      <c r="V382" s="3436"/>
      <c r="W382" s="3436"/>
      <c r="X382" s="3436"/>
      <c r="Y382" s="3436"/>
      <c r="Z382" s="3436"/>
      <c r="AA382" s="3436"/>
      <c r="AB382" s="3436"/>
      <c r="AC382" s="3436"/>
      <c r="AD382" s="3436"/>
      <c r="AE382" s="3649"/>
    </row>
    <row r="383" spans="16:31" customFormat="1">
      <c r="P383" s="3436"/>
      <c r="Q383" s="3436"/>
      <c r="R383" s="3436"/>
      <c r="S383" s="3436"/>
      <c r="T383" s="3436"/>
      <c r="U383" s="3436"/>
      <c r="V383" s="3436"/>
      <c r="W383" s="3436"/>
      <c r="X383" s="3436"/>
      <c r="Y383" s="3436"/>
      <c r="Z383" s="3436"/>
      <c r="AA383" s="3436"/>
      <c r="AB383" s="3436"/>
      <c r="AC383" s="3436"/>
      <c r="AD383" s="3436"/>
      <c r="AE383" s="3649"/>
    </row>
    <row r="384" spans="16:31" customFormat="1">
      <c r="P384" s="3436"/>
      <c r="Q384" s="3436"/>
      <c r="R384" s="3436"/>
      <c r="S384" s="3436"/>
      <c r="T384" s="3436"/>
      <c r="U384" s="3436"/>
      <c r="V384" s="3436"/>
      <c r="W384" s="3436"/>
      <c r="X384" s="3436"/>
      <c r="Y384" s="3436"/>
      <c r="Z384" s="3436"/>
      <c r="AA384" s="3436"/>
      <c r="AB384" s="3436"/>
      <c r="AC384" s="3436"/>
      <c r="AD384" s="3436"/>
      <c r="AE384" s="3649"/>
    </row>
    <row r="385" spans="16:31" customFormat="1">
      <c r="P385" s="3436"/>
      <c r="Q385" s="3436"/>
      <c r="R385" s="3436"/>
      <c r="S385" s="3436"/>
      <c r="T385" s="3436"/>
      <c r="U385" s="3436"/>
      <c r="V385" s="3436"/>
      <c r="W385" s="3436"/>
      <c r="X385" s="3436"/>
      <c r="Y385" s="3436"/>
      <c r="Z385" s="3436"/>
      <c r="AA385" s="3436"/>
      <c r="AB385" s="3436"/>
      <c r="AC385" s="3436"/>
      <c r="AD385" s="3436"/>
      <c r="AE385" s="3649"/>
    </row>
    <row r="386" spans="16:31" customFormat="1">
      <c r="P386" s="3436"/>
      <c r="Q386" s="3436"/>
      <c r="R386" s="3436"/>
      <c r="S386" s="3436"/>
      <c r="T386" s="3436"/>
      <c r="U386" s="3436"/>
      <c r="V386" s="3436"/>
      <c r="W386" s="3436"/>
      <c r="X386" s="3436"/>
      <c r="Y386" s="3436"/>
      <c r="Z386" s="3436"/>
      <c r="AA386" s="3436"/>
      <c r="AB386" s="3436"/>
      <c r="AC386" s="3436"/>
      <c r="AD386" s="3436"/>
      <c r="AE386" s="3649"/>
    </row>
    <row r="387" spans="16:31" customFormat="1">
      <c r="P387" s="3436"/>
      <c r="Q387" s="3436"/>
      <c r="R387" s="3436"/>
      <c r="S387" s="3436"/>
      <c r="T387" s="3436"/>
      <c r="U387" s="3436"/>
      <c r="V387" s="3436"/>
      <c r="W387" s="3436"/>
      <c r="X387" s="3436"/>
      <c r="Y387" s="3436"/>
      <c r="Z387" s="3436"/>
      <c r="AA387" s="3436"/>
      <c r="AB387" s="3436"/>
      <c r="AC387" s="3436"/>
      <c r="AD387" s="3436"/>
      <c r="AE387" s="3649"/>
    </row>
    <row r="388" spans="16:31" customFormat="1">
      <c r="P388" s="3436"/>
      <c r="Q388" s="3436"/>
      <c r="R388" s="3436"/>
      <c r="S388" s="3436"/>
      <c r="T388" s="3436"/>
      <c r="U388" s="3436"/>
      <c r="V388" s="3436"/>
      <c r="W388" s="3436"/>
      <c r="X388" s="3436"/>
      <c r="Y388" s="3436"/>
      <c r="Z388" s="3436"/>
      <c r="AA388" s="3436"/>
      <c r="AB388" s="3436"/>
      <c r="AC388" s="3436"/>
      <c r="AD388" s="3436"/>
      <c r="AE388" s="3649"/>
    </row>
    <row r="389" spans="16:31" customFormat="1">
      <c r="P389" s="3436"/>
      <c r="Q389" s="3436"/>
      <c r="R389" s="3436"/>
      <c r="S389" s="3436"/>
      <c r="T389" s="3436"/>
      <c r="U389" s="3436"/>
      <c r="V389" s="3436"/>
      <c r="W389" s="3436"/>
      <c r="X389" s="3436"/>
      <c r="Y389" s="3436"/>
      <c r="Z389" s="3436"/>
      <c r="AA389" s="3436"/>
      <c r="AB389" s="3436"/>
      <c r="AC389" s="3436"/>
      <c r="AD389" s="3436"/>
      <c r="AE389" s="3649"/>
    </row>
    <row r="390" spans="16:31" customFormat="1">
      <c r="P390" s="3436"/>
      <c r="Q390" s="3436"/>
      <c r="R390" s="3436"/>
      <c r="S390" s="3436"/>
      <c r="T390" s="3436"/>
      <c r="U390" s="3436"/>
      <c r="V390" s="3436"/>
      <c r="W390" s="3436"/>
      <c r="X390" s="3436"/>
      <c r="Y390" s="3436"/>
      <c r="Z390" s="3436"/>
      <c r="AA390" s="3436"/>
      <c r="AB390" s="3436"/>
      <c r="AC390" s="3436"/>
      <c r="AD390" s="3436"/>
      <c r="AE390" s="3649"/>
    </row>
    <row r="391" spans="16:31" customFormat="1">
      <c r="P391" s="3436"/>
      <c r="Q391" s="3436"/>
      <c r="R391" s="3436"/>
      <c r="S391" s="3436"/>
      <c r="T391" s="3436"/>
      <c r="U391" s="3436"/>
      <c r="V391" s="3436"/>
      <c r="W391" s="3436"/>
      <c r="X391" s="3436"/>
      <c r="Y391" s="3436"/>
      <c r="Z391" s="3436"/>
      <c r="AA391" s="3436"/>
      <c r="AB391" s="3436"/>
      <c r="AC391" s="3436"/>
      <c r="AD391" s="3436"/>
      <c r="AE391" s="3649"/>
    </row>
    <row r="392" spans="16:31" customFormat="1">
      <c r="P392" s="3436"/>
      <c r="Q392" s="3436"/>
      <c r="R392" s="3436"/>
      <c r="S392" s="3436"/>
      <c r="T392" s="3436"/>
      <c r="U392" s="3436"/>
      <c r="V392" s="3436"/>
      <c r="W392" s="3436"/>
      <c r="X392" s="3436"/>
      <c r="Y392" s="3436"/>
      <c r="Z392" s="3436"/>
      <c r="AA392" s="3436"/>
      <c r="AB392" s="3436"/>
      <c r="AC392" s="3436"/>
      <c r="AD392" s="3436"/>
      <c r="AE392" s="3649"/>
    </row>
    <row r="393" spans="16:31" customFormat="1">
      <c r="P393" s="3436"/>
      <c r="Q393" s="3436"/>
      <c r="R393" s="3436"/>
      <c r="S393" s="3436"/>
      <c r="T393" s="3436"/>
      <c r="U393" s="3436"/>
      <c r="V393" s="3436"/>
      <c r="W393" s="3436"/>
      <c r="X393" s="3436"/>
      <c r="Y393" s="3436"/>
      <c r="Z393" s="3436"/>
      <c r="AA393" s="3436"/>
      <c r="AB393" s="3436"/>
      <c r="AC393" s="3436"/>
      <c r="AD393" s="3436"/>
      <c r="AE393" s="3649"/>
    </row>
    <row r="394" spans="16:31" customFormat="1">
      <c r="P394" s="3436"/>
      <c r="Q394" s="3436"/>
      <c r="R394" s="3436"/>
      <c r="S394" s="3436"/>
      <c r="T394" s="3436"/>
      <c r="U394" s="3436"/>
      <c r="V394" s="3436"/>
      <c r="W394" s="3436"/>
      <c r="X394" s="3436"/>
      <c r="Y394" s="3436"/>
      <c r="Z394" s="3436"/>
      <c r="AA394" s="3436"/>
      <c r="AB394" s="3436"/>
      <c r="AC394" s="3436"/>
      <c r="AD394" s="3436"/>
      <c r="AE394" s="3649"/>
    </row>
    <row r="395" spans="16:31" customFormat="1">
      <c r="P395" s="3436"/>
      <c r="Q395" s="3436"/>
      <c r="R395" s="3436"/>
      <c r="S395" s="3436"/>
      <c r="T395" s="3436"/>
      <c r="U395" s="3436"/>
      <c r="V395" s="3436"/>
      <c r="W395" s="3436"/>
      <c r="X395" s="3436"/>
      <c r="Y395" s="3436"/>
      <c r="Z395" s="3436"/>
      <c r="AA395" s="3436"/>
      <c r="AB395" s="3436"/>
      <c r="AC395" s="3436"/>
      <c r="AD395" s="3436"/>
      <c r="AE395" s="3649"/>
    </row>
    <row r="396" spans="16:31" customFormat="1">
      <c r="P396" s="3436"/>
      <c r="Q396" s="3436"/>
      <c r="R396" s="3436"/>
      <c r="S396" s="3436"/>
      <c r="T396" s="3436"/>
      <c r="U396" s="3436"/>
      <c r="V396" s="3436"/>
      <c r="W396" s="3436"/>
      <c r="X396" s="3436"/>
      <c r="Y396" s="3436"/>
      <c r="Z396" s="3436"/>
      <c r="AA396" s="3436"/>
      <c r="AB396" s="3436"/>
      <c r="AC396" s="3436"/>
      <c r="AD396" s="3436"/>
      <c r="AE396" s="3649"/>
    </row>
    <row r="397" spans="16:31" customFormat="1">
      <c r="P397" s="3436"/>
      <c r="Q397" s="3436"/>
      <c r="R397" s="3436"/>
      <c r="S397" s="3436"/>
      <c r="T397" s="3436"/>
      <c r="U397" s="3436"/>
      <c r="V397" s="3436"/>
      <c r="W397" s="3436"/>
      <c r="X397" s="3436"/>
      <c r="Y397" s="3436"/>
      <c r="Z397" s="3436"/>
      <c r="AA397" s="3436"/>
      <c r="AB397" s="3436"/>
      <c r="AC397" s="3436"/>
      <c r="AD397" s="3436"/>
      <c r="AE397" s="3649"/>
    </row>
    <row r="398" spans="16:31" customFormat="1">
      <c r="P398" s="3436"/>
      <c r="Q398" s="3436"/>
      <c r="R398" s="3436"/>
      <c r="S398" s="3436"/>
      <c r="T398" s="3436"/>
      <c r="U398" s="3436"/>
      <c r="V398" s="3436"/>
      <c r="W398" s="3436"/>
      <c r="X398" s="3436"/>
      <c r="Y398" s="3436"/>
      <c r="Z398" s="3436"/>
      <c r="AA398" s="3436"/>
      <c r="AB398" s="3436"/>
      <c r="AC398" s="3436"/>
      <c r="AD398" s="3436"/>
      <c r="AE398" s="3649"/>
    </row>
    <row r="399" spans="16:31" customFormat="1">
      <c r="P399" s="3436"/>
      <c r="Q399" s="3436"/>
      <c r="R399" s="3436"/>
      <c r="S399" s="3436"/>
      <c r="T399" s="3436"/>
      <c r="U399" s="3436"/>
      <c r="V399" s="3436"/>
      <c r="W399" s="3436"/>
      <c r="X399" s="3436"/>
      <c r="Y399" s="3436"/>
      <c r="Z399" s="3436"/>
      <c r="AA399" s="3436"/>
      <c r="AB399" s="3436"/>
      <c r="AC399" s="3436"/>
      <c r="AD399" s="3436"/>
      <c r="AE399" s="3649"/>
    </row>
    <row r="400" spans="16:31" customFormat="1">
      <c r="P400" s="3436"/>
      <c r="Q400" s="3436"/>
      <c r="R400" s="3436"/>
      <c r="S400" s="3436"/>
      <c r="T400" s="3436"/>
      <c r="U400" s="3436"/>
      <c r="V400" s="3436"/>
      <c r="W400" s="3436"/>
      <c r="X400" s="3436"/>
      <c r="Y400" s="3436"/>
      <c r="Z400" s="3436"/>
      <c r="AA400" s="3436"/>
      <c r="AB400" s="3436"/>
      <c r="AC400" s="3436"/>
      <c r="AD400" s="3436"/>
      <c r="AE400" s="3649"/>
    </row>
    <row r="401" spans="16:31" customFormat="1">
      <c r="P401" s="3436"/>
      <c r="Q401" s="3436"/>
      <c r="R401" s="3436"/>
      <c r="S401" s="3436"/>
      <c r="T401" s="3436"/>
      <c r="U401" s="3436"/>
      <c r="V401" s="3436"/>
      <c r="W401" s="3436"/>
      <c r="X401" s="3436"/>
      <c r="Y401" s="3436"/>
      <c r="Z401" s="3436"/>
      <c r="AA401" s="3436"/>
      <c r="AB401" s="3436"/>
      <c r="AC401" s="3436"/>
      <c r="AD401" s="3436"/>
      <c r="AE401" s="3649"/>
    </row>
    <row r="402" spans="16:31" customFormat="1">
      <c r="P402" s="3436"/>
      <c r="Q402" s="3436"/>
      <c r="R402" s="3436"/>
      <c r="S402" s="3436"/>
      <c r="T402" s="3436"/>
      <c r="U402" s="3436"/>
      <c r="V402" s="3436"/>
      <c r="W402" s="3436"/>
      <c r="X402" s="3436"/>
      <c r="Y402" s="3436"/>
      <c r="Z402" s="3436"/>
      <c r="AA402" s="3436"/>
      <c r="AB402" s="3436"/>
      <c r="AC402" s="3436"/>
      <c r="AD402" s="3436"/>
      <c r="AE402" s="3649"/>
    </row>
    <row r="403" spans="16:31" customFormat="1">
      <c r="P403" s="3436"/>
      <c r="Q403" s="3436"/>
      <c r="R403" s="3436"/>
      <c r="S403" s="3436"/>
      <c r="T403" s="3436"/>
      <c r="U403" s="3436"/>
      <c r="V403" s="3436"/>
      <c r="W403" s="3436"/>
      <c r="X403" s="3436"/>
      <c r="Y403" s="3436"/>
      <c r="Z403" s="3436"/>
      <c r="AA403" s="3436"/>
      <c r="AB403" s="3436"/>
      <c r="AC403" s="3436"/>
      <c r="AD403" s="3436"/>
      <c r="AE403" s="3649"/>
    </row>
    <row r="404" spans="16:31" customFormat="1">
      <c r="P404" s="3436"/>
      <c r="Q404" s="3436"/>
      <c r="R404" s="3436"/>
      <c r="S404" s="3436"/>
      <c r="T404" s="3436"/>
      <c r="U404" s="3436"/>
      <c r="V404" s="3436"/>
      <c r="W404" s="3436"/>
      <c r="X404" s="3436"/>
      <c r="Y404" s="3436"/>
      <c r="Z404" s="3436"/>
      <c r="AA404" s="3436"/>
      <c r="AB404" s="3436"/>
      <c r="AC404" s="3436"/>
      <c r="AD404" s="3436"/>
      <c r="AE404" s="3649"/>
    </row>
    <row r="405" spans="16:31" customFormat="1">
      <c r="P405" s="3436"/>
      <c r="Q405" s="3436"/>
      <c r="R405" s="3436"/>
      <c r="S405" s="3436"/>
      <c r="T405" s="3436"/>
      <c r="U405" s="3436"/>
      <c r="V405" s="3436"/>
      <c r="W405" s="3436"/>
      <c r="X405" s="3436"/>
      <c r="Y405" s="3436"/>
      <c r="Z405" s="3436"/>
      <c r="AA405" s="3436"/>
      <c r="AB405" s="3436"/>
      <c r="AC405" s="3436"/>
      <c r="AD405" s="3436"/>
      <c r="AE405" s="3649"/>
    </row>
    <row r="406" spans="16:31" customFormat="1">
      <c r="P406" s="3436"/>
      <c r="Q406" s="3436"/>
      <c r="R406" s="3436"/>
      <c r="S406" s="3436"/>
      <c r="T406" s="3436"/>
      <c r="U406" s="3436"/>
      <c r="V406" s="3436"/>
      <c r="W406" s="3436"/>
      <c r="X406" s="3436"/>
      <c r="Y406" s="3436"/>
      <c r="Z406" s="3436"/>
      <c r="AA406" s="3436"/>
      <c r="AB406" s="3436"/>
      <c r="AC406" s="3436"/>
      <c r="AD406" s="3436"/>
      <c r="AE406" s="3649"/>
    </row>
    <row r="407" spans="16:31" customFormat="1">
      <c r="P407" s="3436"/>
      <c r="Q407" s="3436"/>
      <c r="R407" s="3436"/>
      <c r="S407" s="3436"/>
      <c r="T407" s="3436"/>
      <c r="U407" s="3436"/>
      <c r="V407" s="3436"/>
      <c r="W407" s="3436"/>
      <c r="X407" s="3436"/>
      <c r="Y407" s="3436"/>
      <c r="Z407" s="3436"/>
      <c r="AA407" s="3436"/>
      <c r="AB407" s="3436"/>
      <c r="AC407" s="3436"/>
      <c r="AD407" s="3436"/>
      <c r="AE407" s="3649"/>
    </row>
    <row r="408" spans="16:31" customFormat="1">
      <c r="P408" s="3436"/>
      <c r="Q408" s="3436"/>
      <c r="R408" s="3436"/>
      <c r="S408" s="3436"/>
      <c r="T408" s="3436"/>
      <c r="U408" s="3436"/>
      <c r="V408" s="3436"/>
      <c r="W408" s="3436"/>
      <c r="X408" s="3436"/>
      <c r="Y408" s="3436"/>
      <c r="Z408" s="3436"/>
      <c r="AA408" s="3436"/>
      <c r="AB408" s="3436"/>
      <c r="AC408" s="3436"/>
      <c r="AD408" s="3436"/>
      <c r="AE408" s="3649"/>
    </row>
    <row r="409" spans="16:31" customFormat="1">
      <c r="P409" s="3436"/>
      <c r="Q409" s="3436"/>
      <c r="R409" s="3436"/>
      <c r="S409" s="3436"/>
      <c r="T409" s="3436"/>
      <c r="U409" s="3436"/>
      <c r="V409" s="3436"/>
      <c r="W409" s="3436"/>
      <c r="X409" s="3436"/>
      <c r="Y409" s="3436"/>
      <c r="Z409" s="3436"/>
      <c r="AA409" s="3436"/>
      <c r="AB409" s="3436"/>
      <c r="AC409" s="3436"/>
      <c r="AD409" s="3436"/>
      <c r="AE409" s="3649"/>
    </row>
    <row r="410" spans="16:31" customFormat="1">
      <c r="P410" s="3436"/>
      <c r="Q410" s="3436"/>
      <c r="R410" s="3436"/>
      <c r="S410" s="3436"/>
      <c r="T410" s="3436"/>
      <c r="U410" s="3436"/>
      <c r="V410" s="3436"/>
      <c r="W410" s="3436"/>
      <c r="X410" s="3436"/>
      <c r="Y410" s="3436"/>
      <c r="Z410" s="3436"/>
      <c r="AA410" s="3436"/>
      <c r="AB410" s="3436"/>
      <c r="AC410" s="3436"/>
      <c r="AD410" s="3436"/>
      <c r="AE410" s="3649"/>
    </row>
    <row r="411" spans="16:31" customFormat="1">
      <c r="P411" s="3436"/>
      <c r="Q411" s="3436"/>
      <c r="R411" s="3436"/>
      <c r="S411" s="3436"/>
      <c r="T411" s="3436"/>
      <c r="U411" s="3436"/>
      <c r="V411" s="3436"/>
      <c r="W411" s="3436"/>
      <c r="X411" s="3436"/>
      <c r="Y411" s="3436"/>
      <c r="Z411" s="3436"/>
      <c r="AA411" s="3436"/>
      <c r="AB411" s="3436"/>
      <c r="AC411" s="3436"/>
      <c r="AD411" s="3436"/>
      <c r="AE411" s="3649"/>
    </row>
    <row r="412" spans="16:31" customFormat="1">
      <c r="P412" s="3436"/>
      <c r="Q412" s="3436"/>
      <c r="R412" s="3436"/>
      <c r="S412" s="3436"/>
      <c r="T412" s="3436"/>
      <c r="U412" s="3436"/>
      <c r="V412" s="3436"/>
      <c r="W412" s="3436"/>
      <c r="X412" s="3436"/>
      <c r="Y412" s="3436"/>
      <c r="Z412" s="3436"/>
      <c r="AA412" s="3436"/>
      <c r="AB412" s="3436"/>
      <c r="AC412" s="3436"/>
      <c r="AD412" s="3436"/>
      <c r="AE412" s="3649"/>
    </row>
    <row r="413" spans="16:31" customFormat="1">
      <c r="P413" s="3436"/>
      <c r="Q413" s="3436"/>
      <c r="R413" s="3436"/>
      <c r="S413" s="3436"/>
      <c r="T413" s="3436"/>
      <c r="U413" s="3436"/>
      <c r="V413" s="3436"/>
      <c r="W413" s="3436"/>
      <c r="X413" s="3436"/>
      <c r="Y413" s="3436"/>
      <c r="Z413" s="3436"/>
      <c r="AA413" s="3436"/>
      <c r="AB413" s="3436"/>
      <c r="AC413" s="3436"/>
      <c r="AD413" s="3436"/>
      <c r="AE413" s="3649"/>
    </row>
    <row r="414" spans="16:31" customFormat="1">
      <c r="P414" s="3436"/>
      <c r="Q414" s="3436"/>
      <c r="R414" s="3436"/>
      <c r="S414" s="3436"/>
      <c r="T414" s="3436"/>
      <c r="U414" s="3436"/>
      <c r="V414" s="3436"/>
      <c r="W414" s="3436"/>
      <c r="X414" s="3436"/>
      <c r="Y414" s="3436"/>
      <c r="Z414" s="3436"/>
      <c r="AA414" s="3436"/>
      <c r="AB414" s="3436"/>
      <c r="AC414" s="3436"/>
      <c r="AD414" s="3436"/>
      <c r="AE414" s="3649"/>
    </row>
    <row r="415" spans="16:31" customFormat="1">
      <c r="P415" s="3436"/>
      <c r="Q415" s="3436"/>
      <c r="R415" s="3436"/>
      <c r="S415" s="3436"/>
      <c r="T415" s="3436"/>
      <c r="U415" s="3436"/>
      <c r="V415" s="3436"/>
      <c r="W415" s="3436"/>
      <c r="X415" s="3436"/>
      <c r="Y415" s="3436"/>
      <c r="Z415" s="3436"/>
      <c r="AA415" s="3436"/>
      <c r="AB415" s="3436"/>
      <c r="AC415" s="3436"/>
      <c r="AD415" s="3436"/>
      <c r="AE415" s="3649"/>
    </row>
    <row r="416" spans="16:31" customFormat="1">
      <c r="P416" s="3436"/>
      <c r="Q416" s="3436"/>
      <c r="R416" s="3436"/>
      <c r="S416" s="3436"/>
      <c r="T416" s="3436"/>
      <c r="U416" s="3436"/>
      <c r="V416" s="3436"/>
      <c r="W416" s="3436"/>
      <c r="X416" s="3436"/>
      <c r="Y416" s="3436"/>
      <c r="Z416" s="3436"/>
      <c r="AA416" s="3436"/>
      <c r="AB416" s="3436"/>
      <c r="AC416" s="3436"/>
      <c r="AD416" s="3436"/>
      <c r="AE416" s="3649"/>
    </row>
    <row r="417" spans="16:31" customFormat="1">
      <c r="P417" s="3436"/>
      <c r="Q417" s="3436"/>
      <c r="R417" s="3436"/>
      <c r="S417" s="3436"/>
      <c r="T417" s="3436"/>
      <c r="U417" s="3436"/>
      <c r="V417" s="3436"/>
      <c r="W417" s="3436"/>
      <c r="X417" s="3436"/>
      <c r="Y417" s="3436"/>
      <c r="Z417" s="3436"/>
      <c r="AA417" s="3436"/>
      <c r="AB417" s="3436"/>
      <c r="AC417" s="3436"/>
      <c r="AD417" s="3436"/>
      <c r="AE417" s="3649"/>
    </row>
    <row r="418" spans="16:31" customFormat="1">
      <c r="P418" s="3436"/>
      <c r="Q418" s="3436"/>
      <c r="R418" s="3436"/>
      <c r="S418" s="3436"/>
      <c r="T418" s="3436"/>
      <c r="U418" s="3436"/>
      <c r="V418" s="3436"/>
      <c r="W418" s="3436"/>
      <c r="X418" s="3436"/>
      <c r="Y418" s="3436"/>
      <c r="Z418" s="3436"/>
      <c r="AA418" s="3436"/>
      <c r="AB418" s="3436"/>
      <c r="AC418" s="3436"/>
      <c r="AD418" s="3436"/>
      <c r="AE418" s="3649"/>
    </row>
    <row r="419" spans="16:31" customFormat="1">
      <c r="P419" s="3436"/>
      <c r="Q419" s="3436"/>
      <c r="R419" s="3436"/>
      <c r="S419" s="3436"/>
      <c r="T419" s="3436"/>
      <c r="U419" s="3436"/>
      <c r="V419" s="3436"/>
      <c r="W419" s="3436"/>
      <c r="X419" s="3436"/>
      <c r="Y419" s="3436"/>
      <c r="Z419" s="3436"/>
      <c r="AA419" s="3436"/>
      <c r="AB419" s="3436"/>
      <c r="AC419" s="3436"/>
      <c r="AD419" s="3436"/>
      <c r="AE419" s="3649"/>
    </row>
    <row r="420" spans="16:31" customFormat="1">
      <c r="P420" s="3436"/>
      <c r="Q420" s="3436"/>
      <c r="R420" s="3436"/>
      <c r="S420" s="3436"/>
      <c r="T420" s="3436"/>
      <c r="U420" s="3436"/>
      <c r="V420" s="3436"/>
      <c r="W420" s="3436"/>
      <c r="X420" s="3436"/>
      <c r="Y420" s="3436"/>
      <c r="Z420" s="3436"/>
      <c r="AA420" s="3436"/>
      <c r="AB420" s="3436"/>
      <c r="AC420" s="3436"/>
      <c r="AD420" s="3436"/>
      <c r="AE420" s="3649"/>
    </row>
    <row r="421" spans="16:31" customFormat="1">
      <c r="P421" s="3436"/>
      <c r="Q421" s="3436"/>
      <c r="R421" s="3436"/>
      <c r="S421" s="3436"/>
      <c r="T421" s="3436"/>
      <c r="U421" s="3436"/>
      <c r="V421" s="3436"/>
      <c r="W421" s="3436"/>
      <c r="X421" s="3436"/>
      <c r="Y421" s="3436"/>
      <c r="Z421" s="3436"/>
      <c r="AA421" s="3436"/>
      <c r="AB421" s="3436"/>
      <c r="AC421" s="3436"/>
      <c r="AD421" s="3436"/>
      <c r="AE421" s="3649"/>
    </row>
    <row r="422" spans="16:31" customFormat="1">
      <c r="P422" s="3436"/>
      <c r="Q422" s="3436"/>
      <c r="R422" s="3436"/>
      <c r="S422" s="3436"/>
      <c r="T422" s="3436"/>
      <c r="U422" s="3436"/>
      <c r="V422" s="3436"/>
      <c r="W422" s="3436"/>
      <c r="X422" s="3436"/>
      <c r="Y422" s="3436"/>
      <c r="Z422" s="3436"/>
      <c r="AA422" s="3436"/>
      <c r="AB422" s="3436"/>
      <c r="AC422" s="3436"/>
      <c r="AD422" s="3436"/>
      <c r="AE422" s="3649"/>
    </row>
    <row r="423" spans="16:31" customFormat="1">
      <c r="P423" s="3436"/>
      <c r="Q423" s="3436"/>
      <c r="R423" s="3436"/>
      <c r="S423" s="3436"/>
      <c r="T423" s="3436"/>
      <c r="U423" s="3436"/>
      <c r="V423" s="3436"/>
      <c r="W423" s="3436"/>
      <c r="X423" s="3436"/>
      <c r="Y423" s="3436"/>
      <c r="Z423" s="3436"/>
      <c r="AA423" s="3436"/>
      <c r="AB423" s="3436"/>
      <c r="AC423" s="3436"/>
      <c r="AD423" s="3436"/>
      <c r="AE423" s="3649"/>
    </row>
    <row r="424" spans="16:31" customFormat="1">
      <c r="P424" s="3436"/>
      <c r="Q424" s="3436"/>
      <c r="R424" s="3436"/>
      <c r="S424" s="3436"/>
      <c r="T424" s="3436"/>
      <c r="U424" s="3436"/>
      <c r="V424" s="3436"/>
      <c r="W424" s="3436"/>
      <c r="X424" s="3436"/>
      <c r="Y424" s="3436"/>
      <c r="Z424" s="3436"/>
      <c r="AA424" s="3436"/>
      <c r="AB424" s="3436"/>
      <c r="AC424" s="3436"/>
      <c r="AD424" s="3436"/>
      <c r="AE424" s="3649"/>
    </row>
    <row r="425" spans="16:31" customFormat="1">
      <c r="P425" s="3436"/>
      <c r="Q425" s="3436"/>
      <c r="R425" s="3436"/>
      <c r="S425" s="3436"/>
      <c r="T425" s="3436"/>
      <c r="U425" s="3436"/>
      <c r="V425" s="3436"/>
      <c r="W425" s="3436"/>
      <c r="X425" s="3436"/>
      <c r="Y425" s="3436"/>
      <c r="Z425" s="3436"/>
      <c r="AA425" s="3436"/>
      <c r="AB425" s="3436"/>
      <c r="AC425" s="3436"/>
      <c r="AD425" s="3436"/>
      <c r="AE425" s="3649"/>
    </row>
    <row r="426" spans="16:31" customFormat="1">
      <c r="P426" s="3436"/>
      <c r="Q426" s="3436"/>
      <c r="R426" s="3436"/>
      <c r="S426" s="3436"/>
      <c r="T426" s="3436"/>
      <c r="U426" s="3436"/>
      <c r="V426" s="3436"/>
      <c r="W426" s="3436"/>
      <c r="X426" s="3436"/>
      <c r="Y426" s="3436"/>
      <c r="Z426" s="3436"/>
      <c r="AA426" s="3436"/>
      <c r="AB426" s="3436"/>
      <c r="AC426" s="3436"/>
      <c r="AD426" s="3436"/>
      <c r="AE426" s="3649"/>
    </row>
    <row r="427" spans="16:31" customFormat="1">
      <c r="P427" s="3436"/>
      <c r="Q427" s="3436"/>
      <c r="R427" s="3436"/>
      <c r="S427" s="3436"/>
      <c r="T427" s="3436"/>
      <c r="U427" s="3436"/>
      <c r="V427" s="3436"/>
      <c r="W427" s="3436"/>
      <c r="X427" s="3436"/>
      <c r="Y427" s="3436"/>
      <c r="Z427" s="3436"/>
      <c r="AA427" s="3436"/>
      <c r="AB427" s="3436"/>
      <c r="AC427" s="3436"/>
      <c r="AD427" s="3436"/>
      <c r="AE427" s="3649"/>
    </row>
    <row r="428" spans="16:31" customFormat="1">
      <c r="P428" s="3436"/>
      <c r="Q428" s="3436"/>
      <c r="R428" s="3436"/>
      <c r="S428" s="3436"/>
      <c r="T428" s="3436"/>
      <c r="U428" s="3436"/>
      <c r="V428" s="3436"/>
      <c r="W428" s="3436"/>
      <c r="X428" s="3436"/>
      <c r="Y428" s="3436"/>
      <c r="Z428" s="3436"/>
      <c r="AA428" s="3436"/>
      <c r="AB428" s="3436"/>
      <c r="AC428" s="3436"/>
      <c r="AD428" s="3436"/>
      <c r="AE428" s="3649"/>
    </row>
    <row r="429" spans="16:31" customFormat="1">
      <c r="P429" s="3436"/>
      <c r="Q429" s="3436"/>
      <c r="R429" s="3436"/>
      <c r="S429" s="3436"/>
      <c r="T429" s="3436"/>
      <c r="U429" s="3436"/>
      <c r="V429" s="3436"/>
      <c r="W429" s="3436"/>
      <c r="X429" s="3436"/>
      <c r="Y429" s="3436"/>
      <c r="Z429" s="3436"/>
      <c r="AA429" s="3436"/>
      <c r="AB429" s="3436"/>
      <c r="AC429" s="3436"/>
      <c r="AD429" s="3436"/>
      <c r="AE429" s="3649"/>
    </row>
    <row r="430" spans="16:31" customFormat="1">
      <c r="P430" s="3436"/>
      <c r="Q430" s="3436"/>
      <c r="R430" s="3436"/>
      <c r="S430" s="3436"/>
      <c r="T430" s="3436"/>
      <c r="U430" s="3436"/>
      <c r="V430" s="3436"/>
      <c r="W430" s="3436"/>
      <c r="X430" s="3436"/>
      <c r="Y430" s="3436"/>
      <c r="Z430" s="3436"/>
      <c r="AA430" s="3436"/>
      <c r="AB430" s="3436"/>
      <c r="AC430" s="3436"/>
      <c r="AD430" s="3436"/>
      <c r="AE430" s="3649"/>
    </row>
    <row r="431" spans="16:31" customFormat="1">
      <c r="P431" s="3436"/>
      <c r="Q431" s="3436"/>
      <c r="R431" s="3436"/>
      <c r="S431" s="3436"/>
      <c r="T431" s="3436"/>
      <c r="U431" s="3436"/>
      <c r="V431" s="3436"/>
      <c r="W431" s="3436"/>
      <c r="X431" s="3436"/>
      <c r="Y431" s="3436"/>
      <c r="Z431" s="3436"/>
      <c r="AA431" s="3436"/>
      <c r="AB431" s="3436"/>
      <c r="AC431" s="3436"/>
      <c r="AD431" s="3436"/>
      <c r="AE431" s="3649"/>
    </row>
    <row r="432" spans="16:31" customFormat="1">
      <c r="P432" s="3436"/>
      <c r="Q432" s="3436"/>
      <c r="R432" s="3436"/>
      <c r="S432" s="3436"/>
      <c r="T432" s="3436"/>
      <c r="U432" s="3436"/>
      <c r="V432" s="3436"/>
      <c r="W432" s="3436"/>
      <c r="X432" s="3436"/>
      <c r="Y432" s="3436"/>
      <c r="Z432" s="3436"/>
      <c r="AA432" s="3436"/>
      <c r="AB432" s="3436"/>
      <c r="AC432" s="3436"/>
      <c r="AD432" s="3436"/>
      <c r="AE432" s="3649"/>
    </row>
    <row r="433" spans="16:31" customFormat="1">
      <c r="P433" s="3436"/>
      <c r="Q433" s="3436"/>
      <c r="R433" s="3436"/>
      <c r="S433" s="3436"/>
      <c r="T433" s="3436"/>
      <c r="U433" s="3436"/>
      <c r="V433" s="3436"/>
      <c r="W433" s="3436"/>
      <c r="X433" s="3436"/>
      <c r="Y433" s="3436"/>
      <c r="Z433" s="3436"/>
      <c r="AA433" s="3436"/>
      <c r="AB433" s="3436"/>
      <c r="AC433" s="3436"/>
      <c r="AD433" s="3436"/>
      <c r="AE433" s="3649"/>
    </row>
    <row r="434" spans="16:31" customFormat="1">
      <c r="P434" s="3436"/>
      <c r="Q434" s="3436"/>
      <c r="R434" s="3436"/>
      <c r="S434" s="3436"/>
      <c r="T434" s="3436"/>
      <c r="U434" s="3436"/>
      <c r="V434" s="3436"/>
      <c r="W434" s="3436"/>
      <c r="X434" s="3436"/>
      <c r="Y434" s="3436"/>
      <c r="Z434" s="3436"/>
      <c r="AA434" s="3436"/>
      <c r="AB434" s="3436"/>
      <c r="AC434" s="3436"/>
      <c r="AD434" s="3436"/>
      <c r="AE434" s="3649"/>
    </row>
    <row r="435" spans="16:31" customFormat="1">
      <c r="P435" s="3436"/>
      <c r="Q435" s="3436"/>
      <c r="R435" s="3436"/>
      <c r="S435" s="3436"/>
      <c r="T435" s="3436"/>
      <c r="U435" s="3436"/>
      <c r="V435" s="3436"/>
      <c r="W435" s="3436"/>
      <c r="X435" s="3436"/>
      <c r="Y435" s="3436"/>
      <c r="Z435" s="3436"/>
      <c r="AA435" s="3436"/>
      <c r="AB435" s="3436"/>
      <c r="AC435" s="3436"/>
      <c r="AD435" s="3436"/>
      <c r="AE435" s="3649"/>
    </row>
    <row r="436" spans="16:31" customFormat="1">
      <c r="P436" s="3436"/>
      <c r="Q436" s="3436"/>
      <c r="R436" s="3436"/>
      <c r="S436" s="3436"/>
      <c r="T436" s="3436"/>
      <c r="U436" s="3436"/>
      <c r="V436" s="3436"/>
      <c r="W436" s="3436"/>
      <c r="X436" s="3436"/>
      <c r="Y436" s="3436"/>
      <c r="Z436" s="3436"/>
      <c r="AA436" s="3436"/>
      <c r="AB436" s="3436"/>
      <c r="AC436" s="3436"/>
      <c r="AD436" s="3436"/>
      <c r="AE436" s="3649"/>
    </row>
    <row r="437" spans="16:31" customFormat="1">
      <c r="P437" s="3436"/>
      <c r="Q437" s="3436"/>
      <c r="R437" s="3436"/>
      <c r="S437" s="3436"/>
      <c r="T437" s="3436"/>
      <c r="U437" s="3436"/>
      <c r="V437" s="3436"/>
      <c r="W437" s="3436"/>
      <c r="X437" s="3436"/>
      <c r="Y437" s="3436"/>
      <c r="Z437" s="3436"/>
      <c r="AA437" s="3436"/>
      <c r="AB437" s="3436"/>
      <c r="AC437" s="3436"/>
      <c r="AD437" s="3436"/>
      <c r="AE437" s="3649"/>
    </row>
    <row r="438" spans="16:31" customFormat="1">
      <c r="P438" s="3436"/>
      <c r="Q438" s="3436"/>
      <c r="R438" s="3436"/>
      <c r="S438" s="3436"/>
      <c r="T438" s="3436"/>
      <c r="U438" s="3436"/>
      <c r="V438" s="3436"/>
      <c r="W438" s="3436"/>
      <c r="X438" s="3436"/>
      <c r="Y438" s="3436"/>
      <c r="Z438" s="3436"/>
      <c r="AA438" s="3436"/>
      <c r="AB438" s="3436"/>
      <c r="AC438" s="3436"/>
      <c r="AD438" s="3436"/>
      <c r="AE438" s="3649"/>
    </row>
    <row r="439" spans="16:31" customFormat="1">
      <c r="P439" s="3436"/>
      <c r="Q439" s="3436"/>
      <c r="R439" s="3436"/>
      <c r="S439" s="3436"/>
      <c r="T439" s="3436"/>
      <c r="U439" s="3436"/>
      <c r="V439" s="3436"/>
      <c r="W439" s="3436"/>
      <c r="X439" s="3436"/>
      <c r="Y439" s="3436"/>
      <c r="Z439" s="3436"/>
      <c r="AA439" s="3436"/>
      <c r="AB439" s="3436"/>
      <c r="AC439" s="3436"/>
      <c r="AD439" s="3436"/>
      <c r="AE439" s="3649"/>
    </row>
    <row r="440" spans="16:31" customFormat="1">
      <c r="P440" s="3436"/>
      <c r="Q440" s="3436"/>
      <c r="R440" s="3436"/>
      <c r="S440" s="3436"/>
      <c r="T440" s="3436"/>
      <c r="U440" s="3436"/>
      <c r="V440" s="3436"/>
      <c r="W440" s="3436"/>
      <c r="X440" s="3436"/>
      <c r="Y440" s="3436"/>
      <c r="Z440" s="3436"/>
      <c r="AA440" s="3436"/>
      <c r="AB440" s="3436"/>
      <c r="AC440" s="3436"/>
      <c r="AD440" s="3436"/>
      <c r="AE440" s="3649"/>
    </row>
    <row r="441" spans="16:31" customFormat="1">
      <c r="P441" s="3436"/>
      <c r="Q441" s="3436"/>
      <c r="R441" s="3436"/>
      <c r="S441" s="3436"/>
      <c r="T441" s="3436"/>
      <c r="U441" s="3436"/>
      <c r="V441" s="3436"/>
      <c r="W441" s="3436"/>
      <c r="X441" s="3436"/>
      <c r="Y441" s="3436"/>
      <c r="Z441" s="3436"/>
      <c r="AA441" s="3436"/>
      <c r="AB441" s="3436"/>
      <c r="AC441" s="3436"/>
      <c r="AD441" s="3436"/>
      <c r="AE441" s="3649"/>
    </row>
    <row r="442" spans="16:31" customFormat="1">
      <c r="P442" s="3436"/>
      <c r="Q442" s="3436"/>
      <c r="R442" s="3436"/>
      <c r="S442" s="3436"/>
      <c r="T442" s="3436"/>
      <c r="U442" s="3436"/>
      <c r="V442" s="3436"/>
      <c r="W442" s="3436"/>
      <c r="X442" s="3436"/>
      <c r="Y442" s="3436"/>
      <c r="Z442" s="3436"/>
      <c r="AA442" s="3436"/>
      <c r="AB442" s="3436"/>
      <c r="AC442" s="3436"/>
      <c r="AD442" s="3436"/>
      <c r="AE442" s="3649"/>
    </row>
    <row r="443" spans="16:31" customFormat="1">
      <c r="P443" s="3436"/>
      <c r="Q443" s="3436"/>
      <c r="R443" s="3436"/>
      <c r="S443" s="3436"/>
      <c r="T443" s="3436"/>
      <c r="U443" s="3436"/>
      <c r="V443" s="3436"/>
      <c r="W443" s="3436"/>
      <c r="X443" s="3436"/>
      <c r="Y443" s="3436"/>
      <c r="Z443" s="3436"/>
      <c r="AA443" s="3436"/>
      <c r="AB443" s="3436"/>
      <c r="AC443" s="3436"/>
      <c r="AD443" s="3436"/>
      <c r="AE443" s="3649"/>
    </row>
    <row r="444" spans="16:31" customFormat="1">
      <c r="P444" s="3436"/>
      <c r="Q444" s="3436"/>
      <c r="R444" s="3436"/>
      <c r="S444" s="3436"/>
      <c r="T444" s="3436"/>
      <c r="U444" s="3436"/>
      <c r="V444" s="3436"/>
      <c r="W444" s="3436"/>
      <c r="X444" s="3436"/>
      <c r="Y444" s="3436"/>
      <c r="Z444" s="3436"/>
      <c r="AA444" s="3436"/>
      <c r="AB444" s="3436"/>
      <c r="AC444" s="3436"/>
      <c r="AD444" s="3436"/>
      <c r="AE444" s="3649"/>
    </row>
    <row r="445" spans="16:31" customFormat="1">
      <c r="P445" s="3436"/>
      <c r="Q445" s="3436"/>
      <c r="R445" s="3436"/>
      <c r="S445" s="3436"/>
      <c r="T445" s="3436"/>
      <c r="U445" s="3436"/>
      <c r="V445" s="3436"/>
      <c r="W445" s="3436"/>
      <c r="X445" s="3436"/>
      <c r="Y445" s="3436"/>
      <c r="Z445" s="3436"/>
      <c r="AA445" s="3436"/>
      <c r="AB445" s="3436"/>
      <c r="AC445" s="3436"/>
      <c r="AD445" s="3436"/>
      <c r="AE445" s="3649"/>
    </row>
    <row r="446" spans="16:31" customFormat="1">
      <c r="P446" s="3436"/>
      <c r="Q446" s="3436"/>
      <c r="R446" s="3436"/>
      <c r="S446" s="3436"/>
      <c r="T446" s="3436"/>
      <c r="U446" s="3436"/>
      <c r="V446" s="3436"/>
      <c r="W446" s="3436"/>
      <c r="X446" s="3436"/>
      <c r="Y446" s="3436"/>
      <c r="Z446" s="3436"/>
      <c r="AA446" s="3436"/>
      <c r="AB446" s="3436"/>
      <c r="AC446" s="3436"/>
      <c r="AD446" s="3436"/>
      <c r="AE446" s="3649"/>
    </row>
    <row r="447" spans="16:31" customFormat="1">
      <c r="P447" s="3436"/>
      <c r="Q447" s="3436"/>
      <c r="R447" s="3436"/>
      <c r="S447" s="3436"/>
      <c r="T447" s="3436"/>
      <c r="U447" s="3436"/>
      <c r="V447" s="3436"/>
      <c r="W447" s="3436"/>
      <c r="X447" s="3436"/>
      <c r="Y447" s="3436"/>
      <c r="Z447" s="3436"/>
      <c r="AA447" s="3436"/>
      <c r="AB447" s="3436"/>
      <c r="AC447" s="3436"/>
      <c r="AD447" s="3436"/>
      <c r="AE447" s="3649"/>
    </row>
    <row r="448" spans="16:31" customFormat="1">
      <c r="P448" s="3436"/>
      <c r="Q448" s="3436"/>
      <c r="R448" s="3436"/>
      <c r="S448" s="3436"/>
      <c r="T448" s="3436"/>
      <c r="U448" s="3436"/>
      <c r="V448" s="3436"/>
      <c r="W448" s="3436"/>
      <c r="X448" s="3436"/>
      <c r="Y448" s="3436"/>
      <c r="Z448" s="3436"/>
      <c r="AA448" s="3436"/>
      <c r="AB448" s="3436"/>
      <c r="AC448" s="3436"/>
      <c r="AD448" s="3436"/>
      <c r="AE448" s="3649"/>
    </row>
    <row r="449" spans="16:31" customFormat="1">
      <c r="P449" s="3436"/>
      <c r="Q449" s="3436"/>
      <c r="R449" s="3436"/>
      <c r="S449" s="3436"/>
      <c r="T449" s="3436"/>
      <c r="U449" s="3436"/>
      <c r="V449" s="3436"/>
      <c r="W449" s="3436"/>
      <c r="X449" s="3436"/>
      <c r="Y449" s="3436"/>
      <c r="Z449" s="3436"/>
      <c r="AA449" s="3436"/>
      <c r="AB449" s="3436"/>
      <c r="AC449" s="3436"/>
      <c r="AD449" s="3436"/>
      <c r="AE449" s="3649"/>
    </row>
    <row r="450" spans="16:31" customFormat="1">
      <c r="P450" s="3436"/>
      <c r="Q450" s="3436"/>
      <c r="R450" s="3436"/>
      <c r="S450" s="3436"/>
      <c r="T450" s="3436"/>
      <c r="U450" s="3436"/>
      <c r="V450" s="3436"/>
      <c r="W450" s="3436"/>
      <c r="X450" s="3436"/>
      <c r="Y450" s="3436"/>
      <c r="Z450" s="3436"/>
      <c r="AA450" s="3436"/>
      <c r="AB450" s="3436"/>
      <c r="AC450" s="3436"/>
      <c r="AD450" s="3436"/>
      <c r="AE450" s="3649"/>
    </row>
    <row r="451" spans="16:31" customFormat="1">
      <c r="P451" s="3436"/>
      <c r="Q451" s="3436"/>
      <c r="R451" s="3436"/>
      <c r="S451" s="3436"/>
      <c r="T451" s="3436"/>
      <c r="U451" s="3436"/>
      <c r="V451" s="3436"/>
      <c r="W451" s="3436"/>
      <c r="X451" s="3436"/>
      <c r="Y451" s="3436"/>
      <c r="Z451" s="3436"/>
      <c r="AA451" s="3436"/>
      <c r="AB451" s="3436"/>
      <c r="AC451" s="3436"/>
      <c r="AD451" s="3436"/>
      <c r="AE451" s="3649"/>
    </row>
    <row r="452" spans="16:31" customFormat="1">
      <c r="P452" s="3436"/>
      <c r="Q452" s="3436"/>
      <c r="R452" s="3436"/>
      <c r="S452" s="3436"/>
      <c r="T452" s="3436"/>
      <c r="U452" s="3436"/>
      <c r="V452" s="3436"/>
      <c r="W452" s="3436"/>
      <c r="X452" s="3436"/>
      <c r="Y452" s="3436"/>
      <c r="Z452" s="3436"/>
      <c r="AA452" s="3436"/>
      <c r="AB452" s="3436"/>
      <c r="AC452" s="3436"/>
      <c r="AD452" s="3436"/>
      <c r="AE452" s="3649"/>
    </row>
    <row r="453" spans="16:31" customFormat="1">
      <c r="P453" s="3436"/>
      <c r="Q453" s="3436"/>
      <c r="R453" s="3436"/>
      <c r="S453" s="3436"/>
      <c r="T453" s="3436"/>
      <c r="U453" s="3436"/>
      <c r="V453" s="3436"/>
      <c r="W453" s="3436"/>
      <c r="X453" s="3436"/>
      <c r="Y453" s="3436"/>
      <c r="Z453" s="3436"/>
      <c r="AA453" s="3436"/>
      <c r="AB453" s="3436"/>
      <c r="AC453" s="3436"/>
      <c r="AD453" s="3436"/>
      <c r="AE453" s="3649"/>
    </row>
    <row r="454" spans="16:31" customFormat="1">
      <c r="P454" s="3436"/>
      <c r="Q454" s="3436"/>
      <c r="R454" s="3436"/>
      <c r="S454" s="3436"/>
      <c r="T454" s="3436"/>
      <c r="U454" s="3436"/>
      <c r="V454" s="3436"/>
      <c r="W454" s="3436"/>
      <c r="X454" s="3436"/>
      <c r="Y454" s="3436"/>
      <c r="Z454" s="3436"/>
      <c r="AA454" s="3436"/>
      <c r="AB454" s="3436"/>
      <c r="AC454" s="3436"/>
      <c r="AD454" s="3436"/>
      <c r="AE454" s="3649"/>
    </row>
    <row r="455" spans="16:31" customFormat="1">
      <c r="P455" s="3436"/>
      <c r="Q455" s="3436"/>
      <c r="R455" s="3436"/>
      <c r="S455" s="3436"/>
      <c r="T455" s="3436"/>
      <c r="U455" s="3436"/>
      <c r="V455" s="3436"/>
      <c r="W455" s="3436"/>
      <c r="X455" s="3436"/>
      <c r="Y455" s="3436"/>
      <c r="Z455" s="3436"/>
      <c r="AA455" s="3436"/>
      <c r="AB455" s="3436"/>
      <c r="AC455" s="3436"/>
      <c r="AD455" s="3436"/>
      <c r="AE455" s="3649"/>
    </row>
    <row r="456" spans="16:31" customFormat="1">
      <c r="P456" s="3436"/>
      <c r="Q456" s="3436"/>
      <c r="R456" s="3436"/>
      <c r="S456" s="3436"/>
      <c r="T456" s="3436"/>
      <c r="U456" s="3436"/>
      <c r="V456" s="3436"/>
      <c r="W456" s="3436"/>
      <c r="X456" s="3436"/>
      <c r="Y456" s="3436"/>
      <c r="Z456" s="3436"/>
      <c r="AA456" s="3436"/>
      <c r="AB456" s="3436"/>
      <c r="AC456" s="3436"/>
      <c r="AD456" s="3436"/>
      <c r="AE456" s="3649"/>
    </row>
    <row r="457" spans="16:31" customFormat="1">
      <c r="P457" s="3436"/>
      <c r="Q457" s="3436"/>
      <c r="R457" s="3436"/>
      <c r="S457" s="3436"/>
      <c r="T457" s="3436"/>
      <c r="U457" s="3436"/>
      <c r="V457" s="3436"/>
      <c r="W457" s="3436"/>
      <c r="X457" s="3436"/>
      <c r="Y457" s="3436"/>
      <c r="Z457" s="3436"/>
      <c r="AA457" s="3436"/>
      <c r="AB457" s="3436"/>
      <c r="AC457" s="3436"/>
      <c r="AD457" s="3436"/>
      <c r="AE457" s="3649"/>
    </row>
    <row r="458" spans="16:31" customFormat="1">
      <c r="P458" s="3436"/>
      <c r="Q458" s="3436"/>
      <c r="R458" s="3436"/>
      <c r="S458" s="3436"/>
      <c r="T458" s="3436"/>
      <c r="U458" s="3436"/>
      <c r="V458" s="3436"/>
      <c r="W458" s="3436"/>
      <c r="X458" s="3436"/>
      <c r="Y458" s="3436"/>
      <c r="Z458" s="3436"/>
      <c r="AA458" s="3436"/>
      <c r="AB458" s="3436"/>
      <c r="AC458" s="3436"/>
      <c r="AD458" s="3436"/>
      <c r="AE458" s="3649"/>
    </row>
    <row r="459" spans="16:31" customFormat="1">
      <c r="P459" s="3436"/>
      <c r="Q459" s="3436"/>
      <c r="R459" s="3436"/>
      <c r="S459" s="3436"/>
      <c r="T459" s="3436"/>
      <c r="U459" s="3436"/>
      <c r="V459" s="3436"/>
      <c r="W459" s="3436"/>
      <c r="X459" s="3436"/>
      <c r="Y459" s="3436"/>
      <c r="Z459" s="3436"/>
      <c r="AA459" s="3436"/>
      <c r="AB459" s="3436"/>
      <c r="AC459" s="3436"/>
      <c r="AD459" s="3436"/>
      <c r="AE459" s="3649"/>
    </row>
    <row r="460" spans="16:31" customFormat="1">
      <c r="P460" s="3436"/>
      <c r="Q460" s="3436"/>
      <c r="R460" s="3436"/>
      <c r="S460" s="3436"/>
      <c r="T460" s="3436"/>
      <c r="U460" s="3436"/>
      <c r="V460" s="3436"/>
      <c r="W460" s="3436"/>
      <c r="X460" s="3436"/>
      <c r="Y460" s="3436"/>
      <c r="Z460" s="3436"/>
      <c r="AA460" s="3436"/>
      <c r="AB460" s="3436"/>
      <c r="AC460" s="3436"/>
      <c r="AD460" s="3436"/>
      <c r="AE460" s="3649"/>
    </row>
    <row r="461" spans="16:31" customFormat="1">
      <c r="P461" s="3436"/>
      <c r="Q461" s="3436"/>
      <c r="R461" s="3436"/>
      <c r="S461" s="3436"/>
      <c r="T461" s="3436"/>
      <c r="U461" s="3436"/>
      <c r="V461" s="3436"/>
      <c r="W461" s="3436"/>
      <c r="X461" s="3436"/>
      <c r="Y461" s="3436"/>
      <c r="Z461" s="3436"/>
      <c r="AA461" s="3436"/>
      <c r="AB461" s="3436"/>
      <c r="AC461" s="3436"/>
      <c r="AD461" s="3436"/>
      <c r="AE461" s="3649"/>
    </row>
    <row r="462" spans="16:31" customFormat="1">
      <c r="P462" s="3436"/>
      <c r="Q462" s="3436"/>
      <c r="R462" s="3436"/>
      <c r="S462" s="3436"/>
      <c r="T462" s="3436"/>
      <c r="U462" s="3436"/>
      <c r="V462" s="3436"/>
      <c r="W462" s="3436"/>
      <c r="X462" s="3436"/>
      <c r="Y462" s="3436"/>
      <c r="Z462" s="3436"/>
      <c r="AA462" s="3436"/>
      <c r="AB462" s="3436"/>
      <c r="AC462" s="3436"/>
      <c r="AD462" s="3436"/>
      <c r="AE462" s="3649"/>
    </row>
    <row r="463" spans="16:31" customFormat="1">
      <c r="P463" s="3436"/>
      <c r="Q463" s="3436"/>
      <c r="R463" s="3436"/>
      <c r="S463" s="3436"/>
      <c r="T463" s="3436"/>
      <c r="U463" s="3436"/>
      <c r="V463" s="3436"/>
      <c r="W463" s="3436"/>
      <c r="X463" s="3436"/>
      <c r="Y463" s="3436"/>
      <c r="Z463" s="3436"/>
      <c r="AA463" s="3436"/>
      <c r="AB463" s="3436"/>
      <c r="AC463" s="3436"/>
      <c r="AD463" s="3436"/>
      <c r="AE463" s="3649"/>
    </row>
    <row r="464" spans="16:31" customFormat="1">
      <c r="P464" s="3436"/>
      <c r="Q464" s="3436"/>
      <c r="R464" s="3436"/>
      <c r="S464" s="3436"/>
      <c r="T464" s="3436"/>
      <c r="U464" s="3436"/>
      <c r="V464" s="3436"/>
      <c r="W464" s="3436"/>
      <c r="X464" s="3436"/>
      <c r="Y464" s="3436"/>
      <c r="Z464" s="3436"/>
      <c r="AA464" s="3436"/>
      <c r="AB464" s="3436"/>
      <c r="AC464" s="3436"/>
      <c r="AD464" s="3436"/>
      <c r="AE464" s="3649"/>
    </row>
    <row r="465" spans="16:31" customFormat="1">
      <c r="P465" s="3436"/>
      <c r="Q465" s="3436"/>
      <c r="R465" s="3436"/>
      <c r="S465" s="3436"/>
      <c r="T465" s="3436"/>
      <c r="U465" s="3436"/>
      <c r="V465" s="3436"/>
      <c r="W465" s="3436"/>
      <c r="X465" s="3436"/>
      <c r="Y465" s="3436"/>
      <c r="Z465" s="3436"/>
      <c r="AA465" s="3436"/>
      <c r="AB465" s="3436"/>
      <c r="AC465" s="3436"/>
      <c r="AD465" s="3436"/>
      <c r="AE465" s="3649"/>
    </row>
    <row r="466" spans="16:31" customFormat="1">
      <c r="P466" s="3436"/>
      <c r="Q466" s="3436"/>
      <c r="R466" s="3436"/>
      <c r="S466" s="3436"/>
      <c r="T466" s="3436"/>
      <c r="U466" s="3436"/>
      <c r="V466" s="3436"/>
      <c r="W466" s="3436"/>
      <c r="X466" s="3436"/>
      <c r="Y466" s="3436"/>
      <c r="Z466" s="3436"/>
      <c r="AA466" s="3436"/>
      <c r="AB466" s="3436"/>
      <c r="AC466" s="3436"/>
      <c r="AD466" s="3436"/>
      <c r="AE466" s="3649"/>
    </row>
    <row r="467" spans="16:31" customFormat="1">
      <c r="P467" s="3436"/>
      <c r="Q467" s="3436"/>
      <c r="R467" s="3436"/>
      <c r="S467" s="3436"/>
      <c r="T467" s="3436"/>
      <c r="U467" s="3436"/>
      <c r="V467" s="3436"/>
      <c r="W467" s="3436"/>
      <c r="X467" s="3436"/>
      <c r="Y467" s="3436"/>
      <c r="Z467" s="3436"/>
      <c r="AA467" s="3436"/>
      <c r="AB467" s="3436"/>
      <c r="AC467" s="3436"/>
      <c r="AD467" s="3436"/>
      <c r="AE467" s="3649"/>
    </row>
    <row r="468" spans="16:31" customFormat="1">
      <c r="P468" s="3436"/>
      <c r="Q468" s="3436"/>
      <c r="R468" s="3436"/>
      <c r="S468" s="3436"/>
      <c r="T468" s="3436"/>
      <c r="U468" s="3436"/>
      <c r="V468" s="3436"/>
      <c r="W468" s="3436"/>
      <c r="X468" s="3436"/>
      <c r="Y468" s="3436"/>
      <c r="Z468" s="3436"/>
      <c r="AA468" s="3436"/>
      <c r="AB468" s="3436"/>
      <c r="AC468" s="3436"/>
      <c r="AD468" s="3436"/>
      <c r="AE468" s="3649"/>
    </row>
    <row r="469" spans="16:31" customFormat="1">
      <c r="P469" s="3436"/>
      <c r="Q469" s="3436"/>
      <c r="R469" s="3436"/>
      <c r="S469" s="3436"/>
      <c r="T469" s="3436"/>
      <c r="U469" s="3436"/>
      <c r="V469" s="3436"/>
      <c r="W469" s="3436"/>
      <c r="X469" s="3436"/>
      <c r="Y469" s="3436"/>
      <c r="Z469" s="3436"/>
      <c r="AA469" s="3436"/>
      <c r="AB469" s="3436"/>
      <c r="AC469" s="3436"/>
      <c r="AD469" s="3436"/>
      <c r="AE469" s="3649"/>
    </row>
    <row r="470" spans="16:31" customFormat="1">
      <c r="P470" s="3436"/>
      <c r="Q470" s="3436"/>
      <c r="R470" s="3436"/>
      <c r="S470" s="3436"/>
      <c r="T470" s="3436"/>
      <c r="U470" s="3436"/>
      <c r="V470" s="3436"/>
      <c r="W470" s="3436"/>
      <c r="X470" s="3436"/>
      <c r="Y470" s="3436"/>
      <c r="Z470" s="3436"/>
      <c r="AA470" s="3436"/>
      <c r="AB470" s="3436"/>
      <c r="AC470" s="3436"/>
      <c r="AD470" s="3436"/>
      <c r="AE470" s="3649"/>
    </row>
    <row r="471" spans="16:31" customFormat="1">
      <c r="P471" s="3436"/>
      <c r="Q471" s="3436"/>
      <c r="R471" s="3436"/>
      <c r="S471" s="3436"/>
      <c r="T471" s="3436"/>
      <c r="U471" s="3436"/>
      <c r="V471" s="3436"/>
      <c r="W471" s="3436"/>
      <c r="X471" s="3436"/>
      <c r="Y471" s="3436"/>
      <c r="Z471" s="3436"/>
      <c r="AA471" s="3436"/>
      <c r="AB471" s="3436"/>
      <c r="AC471" s="3436"/>
      <c r="AD471" s="3436"/>
      <c r="AE471" s="3649"/>
    </row>
    <row r="472" spans="16:31" customFormat="1">
      <c r="P472" s="3436"/>
      <c r="Q472" s="3436"/>
      <c r="R472" s="3436"/>
      <c r="S472" s="3436"/>
      <c r="T472" s="3436"/>
      <c r="U472" s="3436"/>
      <c r="V472" s="3436"/>
      <c r="W472" s="3436"/>
      <c r="X472" s="3436"/>
      <c r="Y472" s="3436"/>
      <c r="Z472" s="3436"/>
      <c r="AA472" s="3436"/>
      <c r="AB472" s="3436"/>
      <c r="AC472" s="3436"/>
      <c r="AD472" s="3436"/>
      <c r="AE472" s="3649"/>
    </row>
    <row r="473" spans="16:31" customFormat="1">
      <c r="P473" s="3436"/>
      <c r="Q473" s="3436"/>
      <c r="R473" s="3436"/>
      <c r="S473" s="3436"/>
      <c r="T473" s="3436"/>
      <c r="U473" s="3436"/>
      <c r="V473" s="3436"/>
      <c r="W473" s="3436"/>
      <c r="X473" s="3436"/>
      <c r="Y473" s="3436"/>
      <c r="Z473" s="3436"/>
      <c r="AA473" s="3436"/>
      <c r="AB473" s="3436"/>
      <c r="AC473" s="3436"/>
      <c r="AD473" s="3436"/>
      <c r="AE473" s="3649"/>
    </row>
    <row r="474" spans="16:31" customFormat="1">
      <c r="P474" s="3436"/>
      <c r="Q474" s="3436"/>
      <c r="R474" s="3436"/>
      <c r="S474" s="3436"/>
      <c r="T474" s="3436"/>
      <c r="U474" s="3436"/>
      <c r="V474" s="3436"/>
      <c r="W474" s="3436"/>
      <c r="X474" s="3436"/>
      <c r="Y474" s="3436"/>
      <c r="Z474" s="3436"/>
      <c r="AA474" s="3436"/>
      <c r="AB474" s="3436"/>
      <c r="AC474" s="3436"/>
      <c r="AD474" s="3436"/>
      <c r="AE474" s="3649"/>
    </row>
    <row r="475" spans="16:31" customFormat="1">
      <c r="P475" s="3436"/>
      <c r="Q475" s="3436"/>
      <c r="R475" s="3436"/>
      <c r="S475" s="3436"/>
      <c r="T475" s="3436"/>
      <c r="U475" s="3436"/>
      <c r="V475" s="3436"/>
      <c r="W475" s="3436"/>
      <c r="X475" s="3436"/>
      <c r="Y475" s="3436"/>
      <c r="Z475" s="3436"/>
      <c r="AA475" s="3436"/>
      <c r="AB475" s="3436"/>
      <c r="AC475" s="3436"/>
      <c r="AD475" s="3436"/>
      <c r="AE475" s="3649"/>
    </row>
    <row r="476" spans="16:31" customFormat="1">
      <c r="P476" s="3436"/>
      <c r="Q476" s="3436"/>
      <c r="R476" s="3436"/>
      <c r="S476" s="3436"/>
      <c r="T476" s="3436"/>
      <c r="U476" s="3436"/>
      <c r="V476" s="3436"/>
      <c r="W476" s="3436"/>
      <c r="X476" s="3436"/>
      <c r="Y476" s="3436"/>
      <c r="Z476" s="3436"/>
      <c r="AA476" s="3436"/>
      <c r="AB476" s="3436"/>
      <c r="AC476" s="3436"/>
      <c r="AD476" s="3436"/>
      <c r="AE476" s="3649"/>
    </row>
    <row r="477" spans="16:31" customFormat="1">
      <c r="P477" s="3436"/>
      <c r="Q477" s="3436"/>
      <c r="R477" s="3436"/>
      <c r="S477" s="3436"/>
      <c r="T477" s="3436"/>
      <c r="U477" s="3436"/>
      <c r="V477" s="3436"/>
      <c r="W477" s="3436"/>
      <c r="X477" s="3436"/>
      <c r="Y477" s="3436"/>
      <c r="Z477" s="3436"/>
      <c r="AA477" s="3436"/>
      <c r="AB477" s="3436"/>
      <c r="AC477" s="3436"/>
      <c r="AD477" s="3436"/>
      <c r="AE477" s="3649"/>
    </row>
    <row r="478" spans="16:31" customFormat="1">
      <c r="P478" s="3436"/>
      <c r="Q478" s="3436"/>
      <c r="R478" s="3436"/>
      <c r="S478" s="3436"/>
      <c r="T478" s="3436"/>
      <c r="U478" s="3436"/>
      <c r="V478" s="3436"/>
      <c r="W478" s="3436"/>
      <c r="X478" s="3436"/>
      <c r="Y478" s="3436"/>
      <c r="Z478" s="3436"/>
      <c r="AA478" s="3436"/>
      <c r="AB478" s="3436"/>
      <c r="AC478" s="3436"/>
      <c r="AD478" s="3436"/>
      <c r="AE478" s="3649"/>
    </row>
    <row r="479" spans="16:31" customFormat="1">
      <c r="P479" s="3436"/>
      <c r="Q479" s="3436"/>
      <c r="R479" s="3436"/>
      <c r="S479" s="3436"/>
      <c r="T479" s="3436"/>
      <c r="U479" s="3436"/>
      <c r="V479" s="3436"/>
      <c r="W479" s="3436"/>
      <c r="X479" s="3436"/>
      <c r="Y479" s="3436"/>
      <c r="Z479" s="3436"/>
      <c r="AA479" s="3436"/>
      <c r="AB479" s="3436"/>
      <c r="AC479" s="3436"/>
      <c r="AD479" s="3436"/>
      <c r="AE479" s="3649"/>
    </row>
    <row r="480" spans="16:31" customFormat="1">
      <c r="P480" s="3436"/>
      <c r="Q480" s="3436"/>
      <c r="R480" s="3436"/>
      <c r="S480" s="3436"/>
      <c r="T480" s="3436"/>
      <c r="U480" s="3436"/>
      <c r="V480" s="3436"/>
      <c r="W480" s="3436"/>
      <c r="X480" s="3436"/>
      <c r="Y480" s="3436"/>
      <c r="Z480" s="3436"/>
      <c r="AA480" s="3436"/>
      <c r="AB480" s="3436"/>
      <c r="AC480" s="3436"/>
      <c r="AD480" s="3436"/>
      <c r="AE480" s="3649"/>
    </row>
    <row r="481" spans="16:31" customFormat="1">
      <c r="P481" s="3436"/>
      <c r="Q481" s="3436"/>
      <c r="R481" s="3436"/>
      <c r="S481" s="3436"/>
      <c r="T481" s="3436"/>
      <c r="U481" s="3436"/>
      <c r="V481" s="3436"/>
      <c r="W481" s="3436"/>
      <c r="X481" s="3436"/>
      <c r="Y481" s="3436"/>
      <c r="Z481" s="3436"/>
      <c r="AA481" s="3436"/>
      <c r="AB481" s="3436"/>
      <c r="AC481" s="3436"/>
      <c r="AD481" s="3436"/>
      <c r="AE481" s="3649"/>
    </row>
    <row r="482" spans="16:31" customFormat="1">
      <c r="P482" s="3436"/>
      <c r="Q482" s="3436"/>
      <c r="R482" s="3436"/>
      <c r="S482" s="3436"/>
      <c r="T482" s="3436"/>
      <c r="U482" s="3436"/>
      <c r="V482" s="3436"/>
      <c r="W482" s="3436"/>
      <c r="X482" s="3436"/>
      <c r="Y482" s="3436"/>
      <c r="Z482" s="3436"/>
      <c r="AA482" s="3436"/>
      <c r="AB482" s="3436"/>
      <c r="AC482" s="3436"/>
      <c r="AD482" s="3436"/>
      <c r="AE482" s="3649"/>
    </row>
    <row r="483" spans="16:31" customFormat="1">
      <c r="P483" s="3436"/>
      <c r="Q483" s="3436"/>
      <c r="R483" s="3436"/>
      <c r="S483" s="3436"/>
      <c r="T483" s="3436"/>
      <c r="U483" s="3436"/>
      <c r="V483" s="3436"/>
      <c r="W483" s="3436"/>
      <c r="X483" s="3436"/>
      <c r="Y483" s="3436"/>
      <c r="Z483" s="3436"/>
      <c r="AA483" s="3436"/>
      <c r="AB483" s="3436"/>
      <c r="AC483" s="3436"/>
      <c r="AD483" s="3436"/>
      <c r="AE483" s="3649"/>
    </row>
    <row r="484" spans="16:31" customFormat="1">
      <c r="P484" s="3436"/>
      <c r="Q484" s="3436"/>
      <c r="R484" s="3436"/>
      <c r="S484" s="3436"/>
      <c r="T484" s="3436"/>
      <c r="U484" s="3436"/>
      <c r="V484" s="3436"/>
      <c r="W484" s="3436"/>
      <c r="X484" s="3436"/>
      <c r="Y484" s="3436"/>
      <c r="Z484" s="3436"/>
      <c r="AA484" s="3436"/>
      <c r="AB484" s="3436"/>
      <c r="AC484" s="3436"/>
      <c r="AD484" s="3436"/>
      <c r="AE484" s="3649"/>
    </row>
    <row r="485" spans="16:31" customFormat="1">
      <c r="P485" s="3436"/>
      <c r="Q485" s="3436"/>
      <c r="R485" s="3436"/>
      <c r="S485" s="3436"/>
      <c r="T485" s="3436"/>
      <c r="U485" s="3436"/>
      <c r="V485" s="3436"/>
      <c r="W485" s="3436"/>
      <c r="X485" s="3436"/>
      <c r="Y485" s="3436"/>
      <c r="Z485" s="3436"/>
      <c r="AA485" s="3436"/>
      <c r="AB485" s="3436"/>
      <c r="AC485" s="3436"/>
      <c r="AD485" s="3436"/>
      <c r="AE485" s="3649"/>
    </row>
    <row r="486" spans="16:31" customFormat="1">
      <c r="P486" s="3436"/>
      <c r="Q486" s="3436"/>
      <c r="R486" s="3436"/>
      <c r="S486" s="3436"/>
      <c r="T486" s="3436"/>
      <c r="U486" s="3436"/>
      <c r="V486" s="3436"/>
      <c r="W486" s="3436"/>
      <c r="X486" s="3436"/>
      <c r="Y486" s="3436"/>
      <c r="Z486" s="3436"/>
      <c r="AA486" s="3436"/>
      <c r="AB486" s="3436"/>
      <c r="AC486" s="3436"/>
      <c r="AD486" s="3436"/>
      <c r="AE486" s="3649"/>
    </row>
    <row r="487" spans="16:31" customFormat="1">
      <c r="P487" s="3436"/>
      <c r="Q487" s="3436"/>
      <c r="R487" s="3436"/>
      <c r="S487" s="3436"/>
      <c r="T487" s="3436"/>
      <c r="U487" s="3436"/>
      <c r="V487" s="3436"/>
      <c r="W487" s="3436"/>
      <c r="X487" s="3436"/>
      <c r="Y487" s="3436"/>
      <c r="Z487" s="3436"/>
      <c r="AA487" s="3436"/>
      <c r="AB487" s="3436"/>
      <c r="AC487" s="3436"/>
      <c r="AD487" s="3436"/>
      <c r="AE487" s="3649"/>
    </row>
    <row r="488" spans="16:31" customFormat="1">
      <c r="P488" s="3436"/>
      <c r="Q488" s="3436"/>
      <c r="R488" s="3436"/>
      <c r="S488" s="3436"/>
      <c r="T488" s="3436"/>
      <c r="U488" s="3436"/>
      <c r="V488" s="3436"/>
      <c r="W488" s="3436"/>
      <c r="X488" s="3436"/>
      <c r="Y488" s="3436"/>
      <c r="Z488" s="3436"/>
      <c r="AA488" s="3436"/>
      <c r="AB488" s="3436"/>
      <c r="AC488" s="3436"/>
      <c r="AD488" s="3436"/>
      <c r="AE488" s="3649"/>
    </row>
    <row r="489" spans="16:31" customFormat="1">
      <c r="P489" s="3436"/>
      <c r="Q489" s="3436"/>
      <c r="R489" s="3436"/>
      <c r="S489" s="3436"/>
      <c r="T489" s="3436"/>
      <c r="U489" s="3436"/>
      <c r="V489" s="3436"/>
      <c r="W489" s="3436"/>
      <c r="X489" s="3436"/>
      <c r="Y489" s="3436"/>
      <c r="Z489" s="3436"/>
      <c r="AA489" s="3436"/>
      <c r="AB489" s="3436"/>
      <c r="AC489" s="3436"/>
      <c r="AD489" s="3436"/>
      <c r="AE489" s="3649"/>
    </row>
    <row r="490" spans="16:31" customFormat="1">
      <c r="P490" s="3436"/>
      <c r="Q490" s="3436"/>
      <c r="R490" s="3436"/>
      <c r="S490" s="3436"/>
      <c r="T490" s="3436"/>
      <c r="U490" s="3436"/>
      <c r="V490" s="3436"/>
      <c r="W490" s="3436"/>
      <c r="X490" s="3436"/>
      <c r="Y490" s="3436"/>
      <c r="Z490" s="3436"/>
      <c r="AA490" s="3436"/>
      <c r="AB490" s="3436"/>
      <c r="AC490" s="3436"/>
      <c r="AD490" s="3436"/>
      <c r="AE490" s="3649"/>
    </row>
    <row r="491" spans="16:31" customFormat="1">
      <c r="P491" s="3436"/>
      <c r="Q491" s="3436"/>
      <c r="R491" s="3436"/>
      <c r="S491" s="3436"/>
      <c r="T491" s="3436"/>
      <c r="U491" s="3436"/>
      <c r="V491" s="3436"/>
      <c r="W491" s="3436"/>
      <c r="X491" s="3436"/>
      <c r="Y491" s="3436"/>
      <c r="Z491" s="3436"/>
      <c r="AA491" s="3436"/>
      <c r="AB491" s="3436"/>
      <c r="AC491" s="3436"/>
      <c r="AD491" s="3436"/>
      <c r="AE491" s="3649"/>
    </row>
    <row r="492" spans="16:31" customFormat="1">
      <c r="P492" s="3436"/>
      <c r="Q492" s="3436"/>
      <c r="R492" s="3436"/>
      <c r="S492" s="3436"/>
      <c r="T492" s="3436"/>
      <c r="U492" s="3436"/>
      <c r="V492" s="3436"/>
      <c r="W492" s="3436"/>
      <c r="X492" s="3436"/>
      <c r="Y492" s="3436"/>
      <c r="Z492" s="3436"/>
      <c r="AA492" s="3436"/>
      <c r="AB492" s="3436"/>
      <c r="AC492" s="3436"/>
      <c r="AD492" s="3436"/>
      <c r="AE492" s="3649"/>
    </row>
    <row r="493" spans="16:31" customFormat="1">
      <c r="P493" s="3436"/>
      <c r="Q493" s="3436"/>
      <c r="R493" s="3436"/>
      <c r="S493" s="3436"/>
      <c r="T493" s="3436"/>
      <c r="U493" s="3436"/>
      <c r="V493" s="3436"/>
      <c r="W493" s="3436"/>
      <c r="X493" s="3436"/>
      <c r="Y493" s="3436"/>
      <c r="Z493" s="3436"/>
      <c r="AA493" s="3436"/>
      <c r="AB493" s="3436"/>
      <c r="AC493" s="3436"/>
      <c r="AD493" s="3436"/>
      <c r="AE493" s="3649"/>
    </row>
    <row r="494" spans="16:31" customFormat="1">
      <c r="P494" s="3436"/>
      <c r="Q494" s="3436"/>
      <c r="R494" s="3436"/>
      <c r="S494" s="3436"/>
      <c r="T494" s="3436"/>
      <c r="U494" s="3436"/>
      <c r="V494" s="3436"/>
      <c r="W494" s="3436"/>
      <c r="X494" s="3436"/>
      <c r="Y494" s="3436"/>
      <c r="Z494" s="3436"/>
      <c r="AA494" s="3436"/>
      <c r="AB494" s="3436"/>
      <c r="AC494" s="3436"/>
      <c r="AD494" s="3436"/>
      <c r="AE494" s="3649"/>
    </row>
    <row r="495" spans="16:31" customFormat="1">
      <c r="P495" s="3436"/>
      <c r="Q495" s="3436"/>
      <c r="R495" s="3436"/>
      <c r="S495" s="3436"/>
      <c r="T495" s="3436"/>
      <c r="U495" s="3436"/>
      <c r="V495" s="3436"/>
      <c r="W495" s="3436"/>
      <c r="X495" s="3436"/>
      <c r="Y495" s="3436"/>
      <c r="Z495" s="3436"/>
      <c r="AA495" s="3436"/>
      <c r="AB495" s="3436"/>
      <c r="AC495" s="3436"/>
      <c r="AD495" s="3436"/>
      <c r="AE495" s="3649"/>
    </row>
    <row r="496" spans="16:31" customFormat="1">
      <c r="P496" s="3436"/>
      <c r="Q496" s="3436"/>
      <c r="R496" s="3436"/>
      <c r="S496" s="3436"/>
      <c r="T496" s="3436"/>
      <c r="U496" s="3436"/>
      <c r="V496" s="3436"/>
      <c r="W496" s="3436"/>
      <c r="X496" s="3436"/>
      <c r="Y496" s="3436"/>
      <c r="Z496" s="3436"/>
      <c r="AA496" s="3436"/>
      <c r="AB496" s="3436"/>
      <c r="AC496" s="3436"/>
      <c r="AD496" s="3436"/>
      <c r="AE496" s="3649"/>
    </row>
    <row r="497" spans="16:31" customFormat="1">
      <c r="P497" s="3436"/>
      <c r="Q497" s="3436"/>
      <c r="R497" s="3436"/>
      <c r="S497" s="3436"/>
      <c r="T497" s="3436"/>
      <c r="U497" s="3436"/>
      <c r="V497" s="3436"/>
      <c r="W497" s="3436"/>
      <c r="X497" s="3436"/>
      <c r="Y497" s="3436"/>
      <c r="Z497" s="3436"/>
      <c r="AA497" s="3436"/>
      <c r="AB497" s="3436"/>
      <c r="AC497" s="3436"/>
      <c r="AD497" s="3436"/>
      <c r="AE497" s="3649"/>
    </row>
    <row r="498" spans="16:31" customFormat="1">
      <c r="P498" s="3436"/>
      <c r="Q498" s="3436"/>
      <c r="R498" s="3436"/>
      <c r="S498" s="3436"/>
      <c r="T498" s="3436"/>
      <c r="U498" s="3436"/>
      <c r="V498" s="3436"/>
      <c r="W498" s="3436"/>
      <c r="X498" s="3436"/>
      <c r="Y498" s="3436"/>
      <c r="Z498" s="3436"/>
      <c r="AA498" s="3436"/>
      <c r="AB498" s="3436"/>
      <c r="AC498" s="3436"/>
      <c r="AD498" s="3436"/>
      <c r="AE498" s="3649"/>
    </row>
    <row r="499" spans="16:31" customFormat="1">
      <c r="P499" s="3436"/>
      <c r="Q499" s="3436"/>
      <c r="R499" s="3436"/>
      <c r="S499" s="3436"/>
      <c r="T499" s="3436"/>
      <c r="U499" s="3436"/>
      <c r="V499" s="3436"/>
      <c r="W499" s="3436"/>
      <c r="X499" s="3436"/>
      <c r="Y499" s="3436"/>
      <c r="Z499" s="3436"/>
      <c r="AA499" s="3436"/>
      <c r="AB499" s="3436"/>
      <c r="AC499" s="3436"/>
      <c r="AD499" s="3436"/>
      <c r="AE499" s="3649"/>
    </row>
    <row r="500" spans="16:31" customFormat="1">
      <c r="P500" s="3436"/>
      <c r="Q500" s="3436"/>
      <c r="R500" s="3436"/>
      <c r="S500" s="3436"/>
      <c r="T500" s="3436"/>
      <c r="U500" s="3436"/>
      <c r="V500" s="3436"/>
      <c r="W500" s="3436"/>
      <c r="X500" s="3436"/>
      <c r="Y500" s="3436"/>
      <c r="Z500" s="3436"/>
      <c r="AA500" s="3436"/>
      <c r="AB500" s="3436"/>
      <c r="AC500" s="3436"/>
      <c r="AD500" s="3436"/>
      <c r="AE500" s="3649"/>
    </row>
    <row r="501" spans="16:31" customFormat="1">
      <c r="P501" s="3436"/>
      <c r="Q501" s="3436"/>
      <c r="R501" s="3436"/>
      <c r="S501" s="3436"/>
      <c r="T501" s="3436"/>
      <c r="U501" s="3436"/>
      <c r="V501" s="3436"/>
      <c r="W501" s="3436"/>
      <c r="X501" s="3436"/>
      <c r="Y501" s="3436"/>
      <c r="Z501" s="3436"/>
      <c r="AA501" s="3436"/>
      <c r="AB501" s="3436"/>
      <c r="AC501" s="3436"/>
      <c r="AD501" s="3436"/>
      <c r="AE501" s="3649"/>
    </row>
    <row r="502" spans="16:31" customFormat="1">
      <c r="P502" s="3436"/>
      <c r="Q502" s="3436"/>
      <c r="R502" s="3436"/>
      <c r="S502" s="3436"/>
      <c r="T502" s="3436"/>
      <c r="U502" s="3436"/>
      <c r="V502" s="3436"/>
      <c r="W502" s="3436"/>
      <c r="X502" s="3436"/>
      <c r="Y502" s="3436"/>
      <c r="Z502" s="3436"/>
      <c r="AA502" s="3436"/>
      <c r="AB502" s="3436"/>
      <c r="AC502" s="3436"/>
      <c r="AD502" s="3436"/>
      <c r="AE502" s="3649"/>
    </row>
    <row r="503" spans="16:31" customFormat="1">
      <c r="P503" s="3436"/>
      <c r="Q503" s="3436"/>
      <c r="R503" s="3436"/>
      <c r="S503" s="3436"/>
      <c r="T503" s="3436"/>
      <c r="U503" s="3436"/>
      <c r="V503" s="3436"/>
      <c r="W503" s="3436"/>
      <c r="X503" s="3436"/>
      <c r="Y503" s="3436"/>
      <c r="Z503" s="3436"/>
      <c r="AA503" s="3436"/>
      <c r="AB503" s="3436"/>
      <c r="AC503" s="3436"/>
      <c r="AD503" s="3436"/>
      <c r="AE503" s="3649"/>
    </row>
    <row r="504" spans="16:31" customFormat="1">
      <c r="P504" s="3436"/>
      <c r="Q504" s="3436"/>
      <c r="R504" s="3436"/>
      <c r="S504" s="3436"/>
      <c r="T504" s="3436"/>
      <c r="U504" s="3436"/>
      <c r="V504" s="3436"/>
      <c r="W504" s="3436"/>
      <c r="X504" s="3436"/>
      <c r="Y504" s="3436"/>
      <c r="Z504" s="3436"/>
      <c r="AA504" s="3436"/>
      <c r="AB504" s="3436"/>
      <c r="AC504" s="3436"/>
      <c r="AD504" s="3436"/>
      <c r="AE504" s="3649"/>
    </row>
    <row r="505" spans="16:31" customFormat="1">
      <c r="P505" s="3436"/>
      <c r="Q505" s="3436"/>
      <c r="R505" s="3436"/>
      <c r="S505" s="3436"/>
      <c r="T505" s="3436"/>
      <c r="U505" s="3436"/>
      <c r="V505" s="3436"/>
      <c r="W505" s="3436"/>
      <c r="X505" s="3436"/>
      <c r="Y505" s="3436"/>
      <c r="Z505" s="3436"/>
      <c r="AA505" s="3436"/>
      <c r="AB505" s="3436"/>
      <c r="AC505" s="3436"/>
      <c r="AD505" s="3436"/>
      <c r="AE505" s="3649"/>
    </row>
    <row r="506" spans="16:31" customFormat="1">
      <c r="P506" s="3436"/>
      <c r="Q506" s="3436"/>
      <c r="R506" s="3436"/>
      <c r="S506" s="3436"/>
      <c r="T506" s="3436"/>
      <c r="U506" s="3436"/>
      <c r="V506" s="3436"/>
      <c r="W506" s="3436"/>
      <c r="X506" s="3436"/>
      <c r="Y506" s="3436"/>
      <c r="Z506" s="3436"/>
      <c r="AA506" s="3436"/>
      <c r="AB506" s="3436"/>
      <c r="AC506" s="3436"/>
      <c r="AD506" s="3436"/>
      <c r="AE506" s="3649"/>
    </row>
    <row r="507" spans="16:31" customFormat="1">
      <c r="P507" s="3436"/>
      <c r="Q507" s="3436"/>
      <c r="R507" s="3436"/>
      <c r="S507" s="3436"/>
      <c r="T507" s="3436"/>
      <c r="U507" s="3436"/>
      <c r="V507" s="3436"/>
      <c r="W507" s="3436"/>
      <c r="X507" s="3436"/>
      <c r="Y507" s="3436"/>
      <c r="Z507" s="3436"/>
      <c r="AA507" s="3436"/>
      <c r="AB507" s="3436"/>
      <c r="AC507" s="3436"/>
      <c r="AD507" s="3436"/>
      <c r="AE507" s="3649"/>
    </row>
    <row r="508" spans="16:31" customFormat="1">
      <c r="P508" s="3436"/>
      <c r="Q508" s="3436"/>
      <c r="R508" s="3436"/>
      <c r="S508" s="3436"/>
      <c r="T508" s="3436"/>
      <c r="U508" s="3436"/>
      <c r="V508" s="3436"/>
      <c r="W508" s="3436"/>
      <c r="X508" s="3436"/>
      <c r="Y508" s="3436"/>
      <c r="Z508" s="3436"/>
      <c r="AA508" s="3436"/>
      <c r="AB508" s="3436"/>
      <c r="AC508" s="3436"/>
      <c r="AD508" s="3436"/>
      <c r="AE508" s="3649"/>
    </row>
    <row r="509" spans="16:31" customFormat="1">
      <c r="P509" s="3436"/>
      <c r="Q509" s="3436"/>
      <c r="R509" s="3436"/>
      <c r="S509" s="3436"/>
      <c r="T509" s="3436"/>
      <c r="U509" s="3436"/>
      <c r="V509" s="3436"/>
      <c r="W509" s="3436"/>
      <c r="X509" s="3436"/>
      <c r="Y509" s="3436"/>
      <c r="Z509" s="3436"/>
      <c r="AA509" s="3436"/>
      <c r="AB509" s="3436"/>
      <c r="AC509" s="3436"/>
      <c r="AD509" s="3436"/>
      <c r="AE509" s="3649"/>
    </row>
    <row r="510" spans="16:31" customFormat="1">
      <c r="P510" s="3436"/>
      <c r="Q510" s="3436"/>
      <c r="R510" s="3436"/>
      <c r="S510" s="3436"/>
      <c r="T510" s="3436"/>
      <c r="U510" s="3436"/>
      <c r="V510" s="3436"/>
      <c r="W510" s="3436"/>
      <c r="X510" s="3436"/>
      <c r="Y510" s="3436"/>
      <c r="Z510" s="3436"/>
      <c r="AA510" s="3436"/>
      <c r="AB510" s="3436"/>
      <c r="AC510" s="3436"/>
      <c r="AD510" s="3436"/>
      <c r="AE510" s="3649"/>
    </row>
    <row r="511" spans="16:31" customFormat="1">
      <c r="P511" s="3436"/>
      <c r="Q511" s="3436"/>
      <c r="R511" s="3436"/>
      <c r="S511" s="3436"/>
      <c r="T511" s="3436"/>
      <c r="U511" s="3436"/>
      <c r="V511" s="3436"/>
      <c r="W511" s="3436"/>
      <c r="X511" s="3436"/>
      <c r="Y511" s="3436"/>
      <c r="Z511" s="3436"/>
      <c r="AA511" s="3436"/>
      <c r="AB511" s="3436"/>
      <c r="AC511" s="3436"/>
      <c r="AD511" s="3436"/>
      <c r="AE511" s="3649"/>
    </row>
    <row r="512" spans="16:31" customFormat="1">
      <c r="P512" s="3436"/>
      <c r="Q512" s="3436"/>
      <c r="R512" s="3436"/>
      <c r="S512" s="3436"/>
      <c r="T512" s="3436"/>
      <c r="U512" s="3436"/>
      <c r="V512" s="3436"/>
      <c r="W512" s="3436"/>
      <c r="X512" s="3436"/>
      <c r="Y512" s="3436"/>
      <c r="Z512" s="3436"/>
      <c r="AA512" s="3436"/>
      <c r="AB512" s="3436"/>
      <c r="AC512" s="3436"/>
      <c r="AD512" s="3436"/>
      <c r="AE512" s="3649"/>
    </row>
    <row r="513" spans="16:31" customFormat="1">
      <c r="P513" s="3436"/>
      <c r="Q513" s="3436"/>
      <c r="R513" s="3436"/>
      <c r="S513" s="3436"/>
      <c r="T513" s="3436"/>
      <c r="U513" s="3436"/>
      <c r="V513" s="3436"/>
      <c r="W513" s="3436"/>
      <c r="X513" s="3436"/>
      <c r="Y513" s="3436"/>
      <c r="Z513" s="3436"/>
      <c r="AA513" s="3436"/>
      <c r="AB513" s="3436"/>
      <c r="AC513" s="3436"/>
      <c r="AD513" s="3436"/>
      <c r="AE513" s="3649"/>
    </row>
    <row r="514" spans="16:31" customFormat="1">
      <c r="P514" s="3436"/>
      <c r="Q514" s="3436"/>
      <c r="R514" s="3436"/>
      <c r="S514" s="3436"/>
      <c r="T514" s="3436"/>
      <c r="U514" s="3436"/>
      <c r="V514" s="3436"/>
      <c r="W514" s="3436"/>
      <c r="X514" s="3436"/>
      <c r="Y514" s="3436"/>
      <c r="Z514" s="3436"/>
      <c r="AA514" s="3436"/>
      <c r="AB514" s="3436"/>
      <c r="AC514" s="3436"/>
      <c r="AD514" s="3436"/>
      <c r="AE514" s="3649"/>
    </row>
    <row r="515" spans="16:31" customFormat="1">
      <c r="P515" s="3436"/>
      <c r="Q515" s="3436"/>
      <c r="R515" s="3436"/>
      <c r="S515" s="3436"/>
      <c r="T515" s="3436"/>
      <c r="U515" s="3436"/>
      <c r="V515" s="3436"/>
      <c r="W515" s="3436"/>
      <c r="X515" s="3436"/>
      <c r="Y515" s="3436"/>
      <c r="Z515" s="3436"/>
      <c r="AA515" s="3436"/>
      <c r="AB515" s="3436"/>
      <c r="AC515" s="3436"/>
      <c r="AD515" s="3436"/>
      <c r="AE515" s="3649"/>
    </row>
    <row r="516" spans="16:31" customFormat="1">
      <c r="P516" s="3436"/>
      <c r="Q516" s="3436"/>
      <c r="R516" s="3436"/>
      <c r="S516" s="3436"/>
      <c r="T516" s="3436"/>
      <c r="U516" s="3436"/>
      <c r="V516" s="3436"/>
      <c r="W516" s="3436"/>
      <c r="X516" s="3436"/>
      <c r="Y516" s="3436"/>
      <c r="Z516" s="3436"/>
      <c r="AA516" s="3436"/>
      <c r="AB516" s="3436"/>
      <c r="AC516" s="3436"/>
      <c r="AD516" s="3436"/>
      <c r="AE516" s="3649"/>
    </row>
    <row r="517" spans="16:31" customFormat="1">
      <c r="P517" s="3436"/>
      <c r="Q517" s="3436"/>
      <c r="R517" s="3436"/>
      <c r="S517" s="3436"/>
      <c r="T517" s="3436"/>
      <c r="U517" s="3436"/>
      <c r="V517" s="3436"/>
      <c r="W517" s="3436"/>
      <c r="X517" s="3436"/>
      <c r="Y517" s="3436"/>
      <c r="Z517" s="3436"/>
      <c r="AA517" s="3436"/>
      <c r="AB517" s="3436"/>
      <c r="AC517" s="3436"/>
      <c r="AD517" s="3436"/>
      <c r="AE517" s="3649"/>
    </row>
    <row r="518" spans="16:31" customFormat="1">
      <c r="P518" s="3436"/>
      <c r="Q518" s="3436"/>
      <c r="R518" s="3436"/>
      <c r="S518" s="3436"/>
      <c r="T518" s="3436"/>
      <c r="U518" s="3436"/>
      <c r="V518" s="3436"/>
      <c r="W518" s="3436"/>
      <c r="X518" s="3436"/>
      <c r="Y518" s="3436"/>
      <c r="Z518" s="3436"/>
      <c r="AA518" s="3436"/>
      <c r="AB518" s="3436"/>
      <c r="AC518" s="3436"/>
      <c r="AD518" s="3436"/>
      <c r="AE518" s="3649"/>
    </row>
    <row r="519" spans="16:31" customFormat="1">
      <c r="P519" s="3436"/>
      <c r="Q519" s="3436"/>
      <c r="R519" s="3436"/>
      <c r="S519" s="3436"/>
      <c r="T519" s="3436"/>
      <c r="U519" s="3436"/>
      <c r="V519" s="3436"/>
      <c r="W519" s="3436"/>
      <c r="X519" s="3436"/>
      <c r="Y519" s="3436"/>
      <c r="Z519" s="3436"/>
      <c r="AA519" s="3436"/>
      <c r="AB519" s="3436"/>
      <c r="AC519" s="3436"/>
      <c r="AD519" s="3436"/>
      <c r="AE519" s="3649"/>
    </row>
    <row r="520" spans="16:31" customFormat="1">
      <c r="P520" s="3436"/>
      <c r="Q520" s="3436"/>
      <c r="R520" s="3436"/>
      <c r="S520" s="3436"/>
      <c r="T520" s="3436"/>
      <c r="U520" s="3436"/>
      <c r="V520" s="3436"/>
      <c r="W520" s="3436"/>
      <c r="X520" s="3436"/>
      <c r="Y520" s="3436"/>
      <c r="Z520" s="3436"/>
      <c r="AA520" s="3436"/>
      <c r="AB520" s="3436"/>
      <c r="AC520" s="3436"/>
      <c r="AD520" s="3436"/>
      <c r="AE520" s="3649"/>
    </row>
    <row r="521" spans="16:31" customFormat="1">
      <c r="P521" s="3436"/>
      <c r="Q521" s="3436"/>
      <c r="R521" s="3436"/>
      <c r="S521" s="3436"/>
      <c r="T521" s="3436"/>
      <c r="U521" s="3436"/>
      <c r="V521" s="3436"/>
      <c r="W521" s="3436"/>
      <c r="X521" s="3436"/>
      <c r="Y521" s="3436"/>
      <c r="Z521" s="3436"/>
      <c r="AA521" s="3436"/>
      <c r="AB521" s="3436"/>
      <c r="AC521" s="3436"/>
      <c r="AD521" s="3436"/>
      <c r="AE521" s="3649"/>
    </row>
    <row r="522" spans="16:31" customFormat="1">
      <c r="P522" s="3436"/>
      <c r="Q522" s="3436"/>
      <c r="R522" s="3436"/>
      <c r="S522" s="3436"/>
      <c r="T522" s="3436"/>
      <c r="U522" s="3436"/>
      <c r="V522" s="3436"/>
      <c r="W522" s="3436"/>
      <c r="X522" s="3436"/>
      <c r="Y522" s="3436"/>
      <c r="Z522" s="3436"/>
      <c r="AA522" s="3436"/>
      <c r="AB522" s="3436"/>
      <c r="AC522" s="3436"/>
      <c r="AD522" s="3436"/>
      <c r="AE522" s="3649"/>
    </row>
    <row r="523" spans="16:31" customFormat="1">
      <c r="P523" s="3436"/>
      <c r="Q523" s="3436"/>
      <c r="R523" s="3436"/>
      <c r="S523" s="3436"/>
      <c r="T523" s="3436"/>
      <c r="U523" s="3436"/>
      <c r="V523" s="3436"/>
      <c r="W523" s="3436"/>
      <c r="X523" s="3436"/>
      <c r="Y523" s="3436"/>
      <c r="Z523" s="3436"/>
      <c r="AA523" s="3436"/>
      <c r="AB523" s="3436"/>
      <c r="AC523" s="3436"/>
      <c r="AD523" s="3436"/>
      <c r="AE523" s="3649"/>
    </row>
    <row r="524" spans="16:31" customFormat="1">
      <c r="P524" s="3436"/>
      <c r="Q524" s="3436"/>
      <c r="R524" s="3436"/>
      <c r="S524" s="3436"/>
      <c r="T524" s="3436"/>
      <c r="U524" s="3436"/>
      <c r="V524" s="3436"/>
      <c r="W524" s="3436"/>
      <c r="X524" s="3436"/>
      <c r="Y524" s="3436"/>
      <c r="Z524" s="3436"/>
      <c r="AA524" s="3436"/>
      <c r="AB524" s="3436"/>
      <c r="AC524" s="3436"/>
      <c r="AD524" s="3436"/>
      <c r="AE524" s="3649"/>
    </row>
    <row r="525" spans="16:31" customFormat="1">
      <c r="P525" s="3436"/>
      <c r="Q525" s="3436"/>
      <c r="R525" s="3436"/>
      <c r="S525" s="3436"/>
      <c r="T525" s="3436"/>
      <c r="U525" s="3436"/>
      <c r="V525" s="3436"/>
      <c r="W525" s="3436"/>
      <c r="X525" s="3436"/>
      <c r="Y525" s="3436"/>
      <c r="Z525" s="3436"/>
      <c r="AA525" s="3436"/>
      <c r="AB525" s="3436"/>
      <c r="AC525" s="3436"/>
      <c r="AD525" s="3436"/>
      <c r="AE525" s="3649"/>
    </row>
    <row r="526" spans="16:31" customFormat="1">
      <c r="P526" s="3436"/>
      <c r="Q526" s="3436"/>
      <c r="R526" s="3436"/>
      <c r="S526" s="3436"/>
      <c r="T526" s="3436"/>
      <c r="U526" s="3436"/>
      <c r="V526" s="3436"/>
      <c r="W526" s="3436"/>
      <c r="X526" s="3436"/>
      <c r="Y526" s="3436"/>
      <c r="Z526" s="3436"/>
      <c r="AA526" s="3436"/>
      <c r="AB526" s="3436"/>
      <c r="AC526" s="3436"/>
      <c r="AD526" s="3436"/>
      <c r="AE526" s="3649"/>
    </row>
    <row r="527" spans="16:31" customFormat="1">
      <c r="P527" s="3436"/>
      <c r="Q527" s="3436"/>
      <c r="R527" s="3436"/>
      <c r="S527" s="3436"/>
      <c r="T527" s="3436"/>
      <c r="U527" s="3436"/>
      <c r="V527" s="3436"/>
      <c r="W527" s="3436"/>
      <c r="X527" s="3436"/>
      <c r="Y527" s="3436"/>
      <c r="Z527" s="3436"/>
      <c r="AA527" s="3436"/>
      <c r="AB527" s="3436"/>
      <c r="AC527" s="3436"/>
      <c r="AD527" s="3436"/>
      <c r="AE527" s="3649"/>
    </row>
    <row r="528" spans="16:31" customFormat="1">
      <c r="P528" s="3436"/>
      <c r="Q528" s="3436"/>
      <c r="R528" s="3436"/>
      <c r="S528" s="3436"/>
      <c r="T528" s="3436"/>
      <c r="U528" s="3436"/>
      <c r="V528" s="3436"/>
      <c r="W528" s="3436"/>
      <c r="X528" s="3436"/>
      <c r="Y528" s="3436"/>
      <c r="Z528" s="3436"/>
      <c r="AA528" s="3436"/>
      <c r="AB528" s="3436"/>
      <c r="AC528" s="3436"/>
      <c r="AD528" s="3436"/>
      <c r="AE528" s="3649"/>
    </row>
    <row r="529" spans="16:31" customFormat="1">
      <c r="P529" s="3436"/>
      <c r="Q529" s="3436"/>
      <c r="R529" s="3436"/>
      <c r="S529" s="3436"/>
      <c r="T529" s="3436"/>
      <c r="U529" s="3436"/>
      <c r="V529" s="3436"/>
      <c r="W529" s="3436"/>
      <c r="X529" s="3436"/>
      <c r="Y529" s="3436"/>
      <c r="Z529" s="3436"/>
      <c r="AA529" s="3436"/>
      <c r="AB529" s="3436"/>
      <c r="AC529" s="3436"/>
      <c r="AD529" s="3436"/>
      <c r="AE529" s="3649"/>
    </row>
    <row r="530" spans="16:31" customFormat="1">
      <c r="P530" s="3436"/>
      <c r="Q530" s="3436"/>
      <c r="R530" s="3436"/>
      <c r="S530" s="3436"/>
      <c r="T530" s="3436"/>
      <c r="U530" s="3436"/>
      <c r="V530" s="3436"/>
      <c r="W530" s="3436"/>
      <c r="X530" s="3436"/>
      <c r="Y530" s="3436"/>
      <c r="Z530" s="3436"/>
      <c r="AA530" s="3436"/>
      <c r="AB530" s="3436"/>
      <c r="AC530" s="3436"/>
      <c r="AD530" s="3436"/>
      <c r="AE530" s="3649"/>
    </row>
    <row r="531" spans="16:31" customFormat="1">
      <c r="P531" s="3436"/>
      <c r="Q531" s="3436"/>
      <c r="R531" s="3436"/>
      <c r="S531" s="3436"/>
      <c r="T531" s="3436"/>
      <c r="U531" s="3436"/>
      <c r="V531" s="3436"/>
      <c r="W531" s="3436"/>
      <c r="X531" s="3436"/>
      <c r="Y531" s="3436"/>
      <c r="Z531" s="3436"/>
      <c r="AA531" s="3436"/>
      <c r="AB531" s="3436"/>
      <c r="AC531" s="3436"/>
      <c r="AD531" s="3436"/>
      <c r="AE531" s="3649"/>
    </row>
    <row r="532" spans="16:31" customFormat="1">
      <c r="P532" s="3436"/>
      <c r="Q532" s="3436"/>
      <c r="R532" s="3436"/>
      <c r="S532" s="3436"/>
      <c r="T532" s="3436"/>
      <c r="U532" s="3436"/>
      <c r="V532" s="3436"/>
      <c r="W532" s="3436"/>
      <c r="X532" s="3436"/>
      <c r="Y532" s="3436"/>
      <c r="Z532" s="3436"/>
      <c r="AA532" s="3436"/>
      <c r="AB532" s="3436"/>
      <c r="AC532" s="3436"/>
      <c r="AD532" s="3436"/>
      <c r="AE532" s="3649"/>
    </row>
    <row r="533" spans="16:31" customFormat="1">
      <c r="P533" s="3436"/>
      <c r="Q533" s="3436"/>
      <c r="R533" s="3436"/>
      <c r="S533" s="3436"/>
      <c r="T533" s="3436"/>
      <c r="U533" s="3436"/>
      <c r="V533" s="3436"/>
      <c r="W533" s="3436"/>
      <c r="X533" s="3436"/>
      <c r="Y533" s="3436"/>
      <c r="Z533" s="3436"/>
      <c r="AA533" s="3436"/>
      <c r="AB533" s="3436"/>
      <c r="AC533" s="3436"/>
      <c r="AD533" s="3436"/>
      <c r="AE533" s="3649"/>
    </row>
    <row r="534" spans="16:31" customFormat="1">
      <c r="P534" s="3436"/>
      <c r="Q534" s="3436"/>
      <c r="R534" s="3436"/>
      <c r="S534" s="3436"/>
      <c r="T534" s="3436"/>
      <c r="U534" s="3436"/>
      <c r="V534" s="3436"/>
      <c r="W534" s="3436"/>
      <c r="X534" s="3436"/>
      <c r="Y534" s="3436"/>
      <c r="Z534" s="3436"/>
      <c r="AA534" s="3436"/>
      <c r="AB534" s="3436"/>
      <c r="AC534" s="3436"/>
      <c r="AD534" s="3436"/>
      <c r="AE534" s="3649"/>
    </row>
    <row r="535" spans="16:31" customFormat="1">
      <c r="P535" s="3436"/>
      <c r="Q535" s="3436"/>
      <c r="R535" s="3436"/>
      <c r="S535" s="3436"/>
      <c r="T535" s="3436"/>
      <c r="U535" s="3436"/>
      <c r="V535" s="3436"/>
      <c r="W535" s="3436"/>
      <c r="X535" s="3436"/>
      <c r="Y535" s="3436"/>
      <c r="Z535" s="3436"/>
      <c r="AA535" s="3436"/>
      <c r="AB535" s="3436"/>
      <c r="AC535" s="3436"/>
      <c r="AD535" s="3436"/>
      <c r="AE535" s="3649"/>
    </row>
    <row r="536" spans="16:31" customFormat="1">
      <c r="P536" s="3436"/>
      <c r="Q536" s="3436"/>
      <c r="R536" s="3436"/>
      <c r="S536" s="3436"/>
      <c r="T536" s="3436"/>
      <c r="U536" s="3436"/>
      <c r="V536" s="3436"/>
      <c r="W536" s="3436"/>
      <c r="X536" s="3436"/>
      <c r="Y536" s="3436"/>
      <c r="Z536" s="3436"/>
      <c r="AA536" s="3436"/>
      <c r="AB536" s="3436"/>
      <c r="AC536" s="3436"/>
      <c r="AD536" s="3436"/>
      <c r="AE536" s="3649"/>
    </row>
    <row r="537" spans="16:31" customFormat="1">
      <c r="P537" s="3436"/>
      <c r="Q537" s="3436"/>
      <c r="R537" s="3436"/>
      <c r="S537" s="3436"/>
      <c r="T537" s="3436"/>
      <c r="U537" s="3436"/>
      <c r="V537" s="3436"/>
      <c r="W537" s="3436"/>
      <c r="X537" s="3436"/>
      <c r="Y537" s="3436"/>
      <c r="Z537" s="3436"/>
      <c r="AA537" s="3436"/>
      <c r="AB537" s="3436"/>
      <c r="AC537" s="3436"/>
      <c r="AD537" s="3436"/>
      <c r="AE537" s="3649"/>
    </row>
    <row r="538" spans="16:31" customFormat="1">
      <c r="P538" s="3436"/>
      <c r="Q538" s="3436"/>
      <c r="R538" s="3436"/>
      <c r="S538" s="3436"/>
      <c r="T538" s="3436"/>
      <c r="U538" s="3436"/>
      <c r="V538" s="3436"/>
      <c r="W538" s="3436"/>
      <c r="X538" s="3436"/>
      <c r="Y538" s="3436"/>
      <c r="Z538" s="3436"/>
      <c r="AA538" s="3436"/>
      <c r="AB538" s="3436"/>
      <c r="AC538" s="3436"/>
      <c r="AD538" s="3436"/>
      <c r="AE538" s="3649"/>
    </row>
    <row r="539" spans="16:31" customFormat="1">
      <c r="P539" s="3436"/>
      <c r="Q539" s="3436"/>
      <c r="R539" s="3436"/>
      <c r="S539" s="3436"/>
      <c r="T539" s="3436"/>
      <c r="U539" s="3436"/>
      <c r="V539" s="3436"/>
      <c r="W539" s="3436"/>
      <c r="X539" s="3436"/>
      <c r="Y539" s="3436"/>
      <c r="Z539" s="3436"/>
      <c r="AA539" s="3436"/>
      <c r="AB539" s="3436"/>
      <c r="AC539" s="3436"/>
      <c r="AD539" s="3436"/>
      <c r="AE539" s="3649"/>
    </row>
    <row r="540" spans="16:31" customFormat="1">
      <c r="P540" s="3436"/>
      <c r="Q540" s="3436"/>
      <c r="R540" s="3436"/>
      <c r="S540" s="3436"/>
      <c r="T540" s="3436"/>
      <c r="U540" s="3436"/>
      <c r="V540" s="3436"/>
      <c r="W540" s="3436"/>
      <c r="X540" s="3436"/>
      <c r="Y540" s="3436"/>
      <c r="Z540" s="3436"/>
      <c r="AA540" s="3436"/>
      <c r="AB540" s="3436"/>
      <c r="AC540" s="3436"/>
      <c r="AD540" s="3436"/>
      <c r="AE540" s="3649"/>
    </row>
    <row r="541" spans="16:31" customFormat="1">
      <c r="P541" s="3436"/>
      <c r="Q541" s="3436"/>
      <c r="R541" s="3436"/>
      <c r="S541" s="3436"/>
      <c r="T541" s="3436"/>
      <c r="U541" s="3436"/>
      <c r="V541" s="3436"/>
      <c r="W541" s="3436"/>
      <c r="X541" s="3436"/>
      <c r="Y541" s="3436"/>
      <c r="Z541" s="3436"/>
      <c r="AA541" s="3436"/>
      <c r="AB541" s="3436"/>
      <c r="AC541" s="3436"/>
      <c r="AD541" s="3436"/>
      <c r="AE541" s="3649"/>
    </row>
    <row r="542" spans="16:31" customFormat="1">
      <c r="P542" s="3436"/>
      <c r="Q542" s="3436"/>
      <c r="R542" s="3436"/>
      <c r="S542" s="3436"/>
      <c r="T542" s="3436"/>
      <c r="U542" s="3436"/>
      <c r="V542" s="3436"/>
      <c r="W542" s="3436"/>
      <c r="X542" s="3436"/>
      <c r="Y542" s="3436"/>
      <c r="Z542" s="3436"/>
      <c r="AA542" s="3436"/>
      <c r="AB542" s="3436"/>
      <c r="AC542" s="3436"/>
      <c r="AD542" s="3436"/>
      <c r="AE542" s="3649"/>
    </row>
    <row r="543" spans="16:31" customFormat="1">
      <c r="P543" s="3436"/>
      <c r="Q543" s="3436"/>
      <c r="R543" s="3436"/>
      <c r="S543" s="3436"/>
      <c r="T543" s="3436"/>
      <c r="U543" s="3436"/>
      <c r="V543" s="3436"/>
      <c r="W543" s="3436"/>
      <c r="X543" s="3436"/>
      <c r="Y543" s="3436"/>
      <c r="Z543" s="3436"/>
      <c r="AA543" s="3436"/>
      <c r="AB543" s="3436"/>
      <c r="AC543" s="3436"/>
      <c r="AD543" s="3436"/>
      <c r="AE543" s="3649"/>
    </row>
    <row r="544" spans="16:31" customFormat="1">
      <c r="P544" s="3436"/>
      <c r="Q544" s="3436"/>
      <c r="R544" s="3436"/>
      <c r="S544" s="3436"/>
      <c r="T544" s="3436"/>
      <c r="U544" s="3436"/>
      <c r="V544" s="3436"/>
      <c r="W544" s="3436"/>
      <c r="X544" s="3436"/>
      <c r="Y544" s="3436"/>
      <c r="Z544" s="3436"/>
      <c r="AA544" s="3436"/>
      <c r="AB544" s="3436"/>
      <c r="AC544" s="3436"/>
      <c r="AD544" s="3436"/>
      <c r="AE544" s="3649"/>
    </row>
    <row r="545" spans="16:31" customFormat="1">
      <c r="P545" s="3436"/>
      <c r="Q545" s="3436"/>
      <c r="R545" s="3436"/>
      <c r="S545" s="3436"/>
      <c r="T545" s="3436"/>
      <c r="U545" s="3436"/>
      <c r="V545" s="3436"/>
      <c r="W545" s="3436"/>
      <c r="X545" s="3436"/>
      <c r="Y545" s="3436"/>
      <c r="Z545" s="3436"/>
      <c r="AA545" s="3436"/>
      <c r="AB545" s="3436"/>
      <c r="AC545" s="3436"/>
      <c r="AD545" s="3436"/>
      <c r="AE545" s="3649"/>
    </row>
    <row r="546" spans="16:31" customFormat="1">
      <c r="P546" s="3436"/>
      <c r="Q546" s="3436"/>
      <c r="R546" s="3436"/>
      <c r="S546" s="3436"/>
      <c r="T546" s="3436"/>
      <c r="U546" s="3436"/>
      <c r="V546" s="3436"/>
      <c r="W546" s="3436"/>
      <c r="X546" s="3436"/>
      <c r="Y546" s="3436"/>
      <c r="Z546" s="3436"/>
      <c r="AA546" s="3436"/>
      <c r="AB546" s="3436"/>
      <c r="AC546" s="3436"/>
      <c r="AD546" s="3436"/>
      <c r="AE546" s="3649"/>
    </row>
    <row r="547" spans="16:31" customFormat="1">
      <c r="P547" s="3436"/>
      <c r="Q547" s="3436"/>
      <c r="R547" s="3436"/>
      <c r="S547" s="3436"/>
      <c r="T547" s="3436"/>
      <c r="U547" s="3436"/>
      <c r="V547" s="3436"/>
      <c r="W547" s="3436"/>
      <c r="X547" s="3436"/>
      <c r="Y547" s="3436"/>
      <c r="Z547" s="3436"/>
      <c r="AA547" s="3436"/>
      <c r="AB547" s="3436"/>
      <c r="AC547" s="3436"/>
      <c r="AD547" s="3436"/>
      <c r="AE547" s="3649"/>
    </row>
    <row r="548" spans="16:31" customFormat="1">
      <c r="P548" s="3436"/>
      <c r="Q548" s="3436"/>
      <c r="R548" s="3436"/>
      <c r="S548" s="3436"/>
      <c r="T548" s="3436"/>
      <c r="U548" s="3436"/>
      <c r="V548" s="3436"/>
      <c r="W548" s="3436"/>
      <c r="X548" s="3436"/>
      <c r="Y548" s="3436"/>
      <c r="Z548" s="3436"/>
      <c r="AA548" s="3436"/>
      <c r="AB548" s="3436"/>
      <c r="AC548" s="3436"/>
      <c r="AD548" s="3436"/>
      <c r="AE548" s="3649"/>
    </row>
    <row r="549" spans="16:31" customFormat="1">
      <c r="P549" s="3436"/>
      <c r="Q549" s="3436"/>
      <c r="R549" s="3436"/>
      <c r="S549" s="3436"/>
      <c r="T549" s="3436"/>
      <c r="U549" s="3436"/>
      <c r="V549" s="3436"/>
      <c r="W549" s="3436"/>
      <c r="X549" s="3436"/>
      <c r="Y549" s="3436"/>
      <c r="Z549" s="3436"/>
      <c r="AA549" s="3436"/>
      <c r="AB549" s="3436"/>
      <c r="AC549" s="3436"/>
      <c r="AD549" s="3436"/>
      <c r="AE549" s="3649"/>
    </row>
    <row r="550" spans="16:31" customFormat="1">
      <c r="P550" s="3436"/>
      <c r="Q550" s="3436"/>
      <c r="R550" s="3436"/>
      <c r="S550" s="3436"/>
      <c r="T550" s="3436"/>
      <c r="U550" s="3436"/>
      <c r="V550" s="3436"/>
      <c r="W550" s="3436"/>
      <c r="X550" s="3436"/>
      <c r="Y550" s="3436"/>
      <c r="Z550" s="3436"/>
      <c r="AA550" s="3436"/>
      <c r="AB550" s="3436"/>
      <c r="AC550" s="3436"/>
      <c r="AD550" s="3436"/>
      <c r="AE550" s="3649"/>
    </row>
    <row r="551" spans="16:31" customFormat="1">
      <c r="P551" s="3436"/>
      <c r="Q551" s="3436"/>
      <c r="R551" s="3436"/>
      <c r="S551" s="3436"/>
      <c r="T551" s="3436"/>
      <c r="U551" s="3436"/>
      <c r="V551" s="3436"/>
      <c r="W551" s="3436"/>
      <c r="X551" s="3436"/>
      <c r="Y551" s="3436"/>
      <c r="Z551" s="3436"/>
      <c r="AA551" s="3436"/>
      <c r="AB551" s="3436"/>
      <c r="AC551" s="3436"/>
      <c r="AD551" s="3436"/>
      <c r="AE551" s="3649"/>
    </row>
    <row r="552" spans="16:31" customFormat="1">
      <c r="P552" s="3436"/>
      <c r="Q552" s="3436"/>
      <c r="R552" s="3436"/>
      <c r="S552" s="3436"/>
      <c r="T552" s="3436"/>
      <c r="U552" s="3436"/>
      <c r="V552" s="3436"/>
      <c r="W552" s="3436"/>
      <c r="X552" s="3436"/>
      <c r="Y552" s="3436"/>
      <c r="Z552" s="3436"/>
      <c r="AA552" s="3436"/>
      <c r="AB552" s="3436"/>
      <c r="AC552" s="3436"/>
      <c r="AD552" s="3436"/>
      <c r="AE552" s="3649"/>
    </row>
    <row r="553" spans="16:31" customFormat="1">
      <c r="P553" s="3436"/>
      <c r="Q553" s="3436"/>
      <c r="R553" s="3436"/>
      <c r="S553" s="3436"/>
      <c r="T553" s="3436"/>
      <c r="U553" s="3436"/>
      <c r="V553" s="3436"/>
      <c r="W553" s="3436"/>
      <c r="X553" s="3436"/>
      <c r="Y553" s="3436"/>
      <c r="Z553" s="3436"/>
      <c r="AA553" s="3436"/>
      <c r="AB553" s="3436"/>
      <c r="AC553" s="3436"/>
      <c r="AD553" s="3436"/>
      <c r="AE553" s="3649"/>
    </row>
    <row r="554" spans="16:31" customFormat="1">
      <c r="P554" s="3436"/>
      <c r="Q554" s="3436"/>
      <c r="R554" s="3436"/>
      <c r="S554" s="3436"/>
      <c r="T554" s="3436"/>
      <c r="U554" s="3436"/>
      <c r="V554" s="3436"/>
      <c r="W554" s="3436"/>
      <c r="X554" s="3436"/>
      <c r="Y554" s="3436"/>
      <c r="Z554" s="3436"/>
      <c r="AA554" s="3436"/>
      <c r="AB554" s="3436"/>
      <c r="AC554" s="3436"/>
      <c r="AD554" s="3436"/>
      <c r="AE554" s="3649"/>
    </row>
    <row r="555" spans="16:31" customFormat="1">
      <c r="P555" s="3436"/>
      <c r="Q555" s="3436"/>
      <c r="R555" s="3436"/>
      <c r="S555" s="3436"/>
      <c r="T555" s="3436"/>
      <c r="U555" s="3436"/>
      <c r="V555" s="3436"/>
      <c r="W555" s="3436"/>
      <c r="X555" s="3436"/>
      <c r="Y555" s="3436"/>
      <c r="Z555" s="3436"/>
      <c r="AA555" s="3436"/>
      <c r="AB555" s="3436"/>
      <c r="AC555" s="3436"/>
      <c r="AD555" s="3436"/>
      <c r="AE555" s="3649"/>
    </row>
    <row r="556" spans="16:31" customFormat="1">
      <c r="P556" s="3436"/>
      <c r="Q556" s="3436"/>
      <c r="R556" s="3436"/>
      <c r="S556" s="3436"/>
      <c r="T556" s="3436"/>
      <c r="U556" s="3436"/>
      <c r="V556" s="3436"/>
      <c r="W556" s="3436"/>
      <c r="X556" s="3436"/>
      <c r="Y556" s="3436"/>
      <c r="Z556" s="3436"/>
      <c r="AA556" s="3436"/>
      <c r="AB556" s="3436"/>
      <c r="AC556" s="3436"/>
      <c r="AD556" s="3436"/>
      <c r="AE556" s="3649"/>
    </row>
    <row r="557" spans="16:31" customFormat="1">
      <c r="P557" s="3436"/>
      <c r="Q557" s="3436"/>
      <c r="R557" s="3436"/>
      <c r="S557" s="3436"/>
      <c r="T557" s="3436"/>
      <c r="U557" s="3436"/>
      <c r="V557" s="3436"/>
      <c r="W557" s="3436"/>
      <c r="X557" s="3436"/>
      <c r="Y557" s="3436"/>
      <c r="Z557" s="3436"/>
      <c r="AA557" s="3436"/>
      <c r="AB557" s="3436"/>
      <c r="AC557" s="3436"/>
      <c r="AD557" s="3436"/>
      <c r="AE557" s="3649"/>
    </row>
    <row r="558" spans="16:31" customFormat="1">
      <c r="P558" s="3436"/>
      <c r="Q558" s="3436"/>
      <c r="R558" s="3436"/>
      <c r="S558" s="3436"/>
      <c r="T558" s="3436"/>
      <c r="U558" s="3436"/>
      <c r="V558" s="3436"/>
      <c r="W558" s="3436"/>
      <c r="X558" s="3436"/>
      <c r="Y558" s="3436"/>
      <c r="Z558" s="3436"/>
      <c r="AA558" s="3436"/>
      <c r="AB558" s="3436"/>
      <c r="AC558" s="3436"/>
      <c r="AD558" s="3436"/>
      <c r="AE558" s="3649"/>
    </row>
    <row r="559" spans="16:31" customFormat="1">
      <c r="P559" s="3436"/>
      <c r="Q559" s="3436"/>
      <c r="R559" s="3436"/>
      <c r="S559" s="3436"/>
      <c r="T559" s="3436"/>
      <c r="U559" s="3436"/>
      <c r="V559" s="3436"/>
      <c r="W559" s="3436"/>
      <c r="X559" s="3436"/>
      <c r="Y559" s="3436"/>
      <c r="Z559" s="3436"/>
      <c r="AA559" s="3436"/>
      <c r="AB559" s="3436"/>
      <c r="AC559" s="3436"/>
      <c r="AD559" s="3436"/>
      <c r="AE559" s="3649"/>
    </row>
    <row r="560" spans="16:31" customFormat="1">
      <c r="P560" s="3436"/>
      <c r="Q560" s="3436"/>
      <c r="R560" s="3436"/>
      <c r="S560" s="3436"/>
      <c r="T560" s="3436"/>
      <c r="U560" s="3436"/>
      <c r="V560" s="3436"/>
      <c r="W560" s="3436"/>
      <c r="X560" s="3436"/>
      <c r="Y560" s="3436"/>
      <c r="Z560" s="3436"/>
      <c r="AA560" s="3436"/>
      <c r="AB560" s="3436"/>
      <c r="AC560" s="3436"/>
      <c r="AD560" s="3436"/>
      <c r="AE560" s="3649"/>
    </row>
    <row r="561" spans="16:31" customFormat="1">
      <c r="P561" s="3436"/>
      <c r="Q561" s="3436"/>
      <c r="R561" s="3436"/>
      <c r="S561" s="3436"/>
      <c r="T561" s="3436"/>
      <c r="U561" s="3436"/>
      <c r="V561" s="3436"/>
      <c r="W561" s="3436"/>
      <c r="X561" s="3436"/>
      <c r="Y561" s="3436"/>
      <c r="Z561" s="3436"/>
      <c r="AA561" s="3436"/>
      <c r="AB561" s="3436"/>
      <c r="AC561" s="3436"/>
      <c r="AD561" s="3436"/>
      <c r="AE561" s="3649"/>
    </row>
    <row r="562" spans="16:31" customFormat="1">
      <c r="P562" s="3436"/>
      <c r="Q562" s="3436"/>
      <c r="R562" s="3436"/>
      <c r="S562" s="3436"/>
      <c r="T562" s="3436"/>
      <c r="U562" s="3436"/>
      <c r="V562" s="3436"/>
      <c r="W562" s="3436"/>
      <c r="X562" s="3436"/>
      <c r="Y562" s="3436"/>
      <c r="Z562" s="3436"/>
      <c r="AA562" s="3436"/>
      <c r="AB562" s="3436"/>
      <c r="AC562" s="3436"/>
      <c r="AD562" s="3436"/>
      <c r="AE562" s="3649"/>
    </row>
    <row r="563" spans="16:31" customFormat="1">
      <c r="P563" s="3436"/>
      <c r="Q563" s="3436"/>
      <c r="R563" s="3436"/>
      <c r="S563" s="3436"/>
      <c r="T563" s="3436"/>
      <c r="U563" s="3436"/>
      <c r="V563" s="3436"/>
      <c r="W563" s="3436"/>
      <c r="X563" s="3436"/>
      <c r="Y563" s="3436"/>
      <c r="Z563" s="3436"/>
      <c r="AA563" s="3436"/>
      <c r="AB563" s="3436"/>
      <c r="AC563" s="3436"/>
      <c r="AD563" s="3436"/>
      <c r="AE563" s="3649"/>
    </row>
    <row r="564" spans="16:31" customFormat="1">
      <c r="P564" s="3436"/>
      <c r="Q564" s="3436"/>
      <c r="R564" s="3436"/>
      <c r="S564" s="3436"/>
      <c r="T564" s="3436"/>
      <c r="U564" s="3436"/>
      <c r="V564" s="3436"/>
      <c r="W564" s="3436"/>
      <c r="X564" s="3436"/>
      <c r="Y564" s="3436"/>
      <c r="Z564" s="3436"/>
      <c r="AA564" s="3436"/>
      <c r="AB564" s="3436"/>
      <c r="AC564" s="3436"/>
      <c r="AD564" s="3436"/>
      <c r="AE564" s="3649"/>
    </row>
    <row r="565" spans="16:31" customFormat="1">
      <c r="P565" s="3436"/>
      <c r="Q565" s="3436"/>
      <c r="R565" s="3436"/>
      <c r="S565" s="3436"/>
      <c r="T565" s="3436"/>
      <c r="U565" s="3436"/>
      <c r="V565" s="3436"/>
      <c r="W565" s="3436"/>
      <c r="X565" s="3436"/>
      <c r="Y565" s="3436"/>
      <c r="Z565" s="3436"/>
      <c r="AA565" s="3436"/>
      <c r="AB565" s="3436"/>
      <c r="AC565" s="3436"/>
      <c r="AD565" s="3436"/>
      <c r="AE565" s="3649"/>
    </row>
    <row r="566" spans="16:31" customFormat="1">
      <c r="P566" s="3436"/>
      <c r="Q566" s="3436"/>
      <c r="R566" s="3436"/>
      <c r="S566" s="3436"/>
      <c r="T566" s="3436"/>
      <c r="U566" s="3436"/>
      <c r="V566" s="3436"/>
      <c r="W566" s="3436"/>
      <c r="X566" s="3436"/>
      <c r="Y566" s="3436"/>
      <c r="Z566" s="3436"/>
      <c r="AA566" s="3436"/>
      <c r="AB566" s="3436"/>
      <c r="AC566" s="3436"/>
      <c r="AD566" s="3436"/>
      <c r="AE566" s="3649"/>
    </row>
    <row r="567" spans="16:31" customFormat="1">
      <c r="P567" s="3436"/>
      <c r="Q567" s="3436"/>
      <c r="R567" s="3436"/>
      <c r="S567" s="3436"/>
      <c r="T567" s="3436"/>
      <c r="U567" s="3436"/>
      <c r="V567" s="3436"/>
      <c r="W567" s="3436"/>
      <c r="X567" s="3436"/>
      <c r="Y567" s="3436"/>
      <c r="Z567" s="3436"/>
      <c r="AA567" s="3436"/>
      <c r="AB567" s="3436"/>
      <c r="AC567" s="3436"/>
      <c r="AD567" s="3436"/>
      <c r="AE567" s="3649"/>
    </row>
    <row r="568" spans="16:31" customFormat="1">
      <c r="P568" s="3436"/>
      <c r="Q568" s="3436"/>
      <c r="R568" s="3436"/>
      <c r="S568" s="3436"/>
      <c r="T568" s="3436"/>
      <c r="U568" s="3436"/>
      <c r="V568" s="3436"/>
      <c r="W568" s="3436"/>
      <c r="X568" s="3436"/>
      <c r="Y568" s="3436"/>
      <c r="Z568" s="3436"/>
      <c r="AA568" s="3436"/>
      <c r="AB568" s="3436"/>
      <c r="AC568" s="3436"/>
      <c r="AD568" s="3436"/>
      <c r="AE568" s="3649"/>
    </row>
    <row r="569" spans="16:31" customFormat="1">
      <c r="P569" s="3436"/>
      <c r="Q569" s="3436"/>
      <c r="R569" s="3436"/>
      <c r="S569" s="3436"/>
      <c r="T569" s="3436"/>
      <c r="U569" s="3436"/>
      <c r="V569" s="3436"/>
      <c r="W569" s="3436"/>
      <c r="X569" s="3436"/>
      <c r="Y569" s="3436"/>
      <c r="Z569" s="3436"/>
      <c r="AA569" s="3436"/>
      <c r="AB569" s="3436"/>
      <c r="AC569" s="3436"/>
      <c r="AD569" s="3436"/>
      <c r="AE569" s="3649"/>
    </row>
    <row r="570" spans="16:31" customFormat="1">
      <c r="P570" s="3436"/>
      <c r="Q570" s="3436"/>
      <c r="R570" s="3436"/>
      <c r="S570" s="3436"/>
      <c r="T570" s="3436"/>
      <c r="U570" s="3436"/>
      <c r="V570" s="3436"/>
      <c r="W570" s="3436"/>
      <c r="X570" s="3436"/>
      <c r="Y570" s="3436"/>
      <c r="Z570" s="3436"/>
      <c r="AA570" s="3436"/>
      <c r="AB570" s="3436"/>
      <c r="AC570" s="3436"/>
      <c r="AD570" s="3436"/>
      <c r="AE570" s="3649"/>
    </row>
    <row r="571" spans="16:31" customFormat="1">
      <c r="P571" s="3436"/>
      <c r="Q571" s="3436"/>
      <c r="R571" s="3436"/>
      <c r="S571" s="3436"/>
      <c r="T571" s="3436"/>
      <c r="U571" s="3436"/>
      <c r="V571" s="3436"/>
      <c r="W571" s="3436"/>
      <c r="X571" s="3436"/>
      <c r="Y571" s="3436"/>
      <c r="Z571" s="3436"/>
      <c r="AA571" s="3436"/>
      <c r="AB571" s="3436"/>
      <c r="AC571" s="3436"/>
      <c r="AD571" s="3436"/>
      <c r="AE571" s="3649"/>
    </row>
    <row r="572" spans="16:31" customFormat="1">
      <c r="P572" s="3436"/>
      <c r="Q572" s="3436"/>
      <c r="R572" s="3436"/>
      <c r="S572" s="3436"/>
      <c r="T572" s="3436"/>
      <c r="U572" s="3436"/>
      <c r="V572" s="3436"/>
      <c r="W572" s="3436"/>
      <c r="X572" s="3436"/>
      <c r="Y572" s="3436"/>
      <c r="Z572" s="3436"/>
      <c r="AA572" s="3436"/>
      <c r="AB572" s="3436"/>
      <c r="AC572" s="3436"/>
      <c r="AD572" s="3436"/>
      <c r="AE572" s="3649"/>
    </row>
    <row r="573" spans="16:31" customFormat="1">
      <c r="P573" s="3436"/>
      <c r="Q573" s="3436"/>
      <c r="R573" s="3436"/>
      <c r="S573" s="3436"/>
      <c r="T573" s="3436"/>
      <c r="U573" s="3436"/>
      <c r="V573" s="3436"/>
      <c r="W573" s="3436"/>
      <c r="X573" s="3436"/>
      <c r="Y573" s="3436"/>
      <c r="Z573" s="3436"/>
      <c r="AA573" s="3436"/>
      <c r="AB573" s="3436"/>
      <c r="AC573" s="3436"/>
      <c r="AD573" s="3436"/>
      <c r="AE573" s="3649"/>
    </row>
    <row r="574" spans="16:31" customFormat="1">
      <c r="P574" s="3436"/>
      <c r="Q574" s="3436"/>
      <c r="R574" s="3436"/>
      <c r="S574" s="3436"/>
      <c r="T574" s="3436"/>
      <c r="U574" s="3436"/>
      <c r="V574" s="3436"/>
      <c r="W574" s="3436"/>
      <c r="X574" s="3436"/>
      <c r="Y574" s="3436"/>
      <c r="Z574" s="3436"/>
      <c r="AA574" s="3436"/>
      <c r="AB574" s="3436"/>
      <c r="AC574" s="3436"/>
      <c r="AD574" s="3436"/>
      <c r="AE574" s="3649"/>
    </row>
    <row r="575" spans="16:31" customFormat="1">
      <c r="P575" s="3436"/>
      <c r="Q575" s="3436"/>
      <c r="R575" s="3436"/>
      <c r="S575" s="3436"/>
      <c r="T575" s="3436"/>
      <c r="U575" s="3436"/>
      <c r="V575" s="3436"/>
      <c r="W575" s="3436"/>
      <c r="X575" s="3436"/>
      <c r="Y575" s="3436"/>
      <c r="Z575" s="3436"/>
      <c r="AA575" s="3436"/>
      <c r="AB575" s="3436"/>
      <c r="AC575" s="3436"/>
      <c r="AD575" s="3436"/>
      <c r="AE575" s="3649"/>
    </row>
    <row r="576" spans="16:31" customFormat="1">
      <c r="P576" s="3436"/>
      <c r="Q576" s="3436"/>
      <c r="R576" s="3436"/>
      <c r="S576" s="3436"/>
      <c r="T576" s="3436"/>
      <c r="U576" s="3436"/>
      <c r="V576" s="3436"/>
      <c r="W576" s="3436"/>
      <c r="X576" s="3436"/>
      <c r="Y576" s="3436"/>
      <c r="Z576" s="3436"/>
      <c r="AA576" s="3436"/>
      <c r="AB576" s="3436"/>
      <c r="AC576" s="3436"/>
      <c r="AD576" s="3436"/>
      <c r="AE576" s="3649"/>
    </row>
    <row r="577" spans="16:31" customFormat="1">
      <c r="P577" s="3436"/>
      <c r="Q577" s="3436"/>
      <c r="R577" s="3436"/>
      <c r="S577" s="3436"/>
      <c r="T577" s="3436"/>
      <c r="U577" s="3436"/>
      <c r="V577" s="3436"/>
      <c r="W577" s="3436"/>
      <c r="X577" s="3436"/>
      <c r="Y577" s="3436"/>
      <c r="Z577" s="3436"/>
      <c r="AA577" s="3436"/>
      <c r="AB577" s="3436"/>
      <c r="AC577" s="3436"/>
      <c r="AD577" s="3436"/>
      <c r="AE577" s="3649"/>
    </row>
    <row r="578" spans="16:31" customFormat="1">
      <c r="P578" s="3436"/>
      <c r="Q578" s="3436"/>
      <c r="R578" s="3436"/>
      <c r="S578" s="3436"/>
      <c r="T578" s="3436"/>
      <c r="U578" s="3436"/>
      <c r="V578" s="3436"/>
      <c r="W578" s="3436"/>
      <c r="X578" s="3436"/>
      <c r="Y578" s="3436"/>
      <c r="Z578" s="3436"/>
      <c r="AA578" s="3436"/>
      <c r="AB578" s="3436"/>
      <c r="AC578" s="3436"/>
      <c r="AD578" s="3436"/>
      <c r="AE578" s="3649"/>
    </row>
    <row r="579" spans="16:31" customFormat="1">
      <c r="P579" s="3436"/>
      <c r="Q579" s="3436"/>
      <c r="R579" s="3436"/>
      <c r="S579" s="3436"/>
      <c r="T579" s="3436"/>
      <c r="U579" s="3436"/>
      <c r="V579" s="3436"/>
      <c r="W579" s="3436"/>
      <c r="X579" s="3436"/>
      <c r="Y579" s="3436"/>
      <c r="Z579" s="3436"/>
      <c r="AA579" s="3436"/>
      <c r="AB579" s="3436"/>
      <c r="AC579" s="3436"/>
      <c r="AD579" s="3436"/>
      <c r="AE579" s="3649"/>
    </row>
    <row r="580" spans="16:31" customFormat="1">
      <c r="P580" s="3436"/>
      <c r="Q580" s="3436"/>
      <c r="R580" s="3436"/>
      <c r="S580" s="3436"/>
      <c r="T580" s="3436"/>
      <c r="U580" s="3436"/>
      <c r="V580" s="3436"/>
      <c r="W580" s="3436"/>
      <c r="X580" s="3436"/>
      <c r="Y580" s="3436"/>
      <c r="Z580" s="3436"/>
      <c r="AA580" s="3436"/>
      <c r="AB580" s="3436"/>
      <c r="AC580" s="3436"/>
      <c r="AD580" s="3436"/>
      <c r="AE580" s="3649"/>
    </row>
    <row r="581" spans="16:31" customFormat="1">
      <c r="P581" s="3436"/>
      <c r="Q581" s="3436"/>
      <c r="R581" s="3436"/>
      <c r="S581" s="3436"/>
      <c r="T581" s="3436"/>
      <c r="U581" s="3436"/>
      <c r="V581" s="3436"/>
      <c r="W581" s="3436"/>
      <c r="X581" s="3436"/>
      <c r="Y581" s="3436"/>
      <c r="Z581" s="3436"/>
      <c r="AA581" s="3436"/>
      <c r="AB581" s="3436"/>
      <c r="AC581" s="3436"/>
      <c r="AD581" s="3436"/>
      <c r="AE581" s="3649"/>
    </row>
    <row r="582" spans="16:31" customFormat="1">
      <c r="P582" s="3436"/>
      <c r="Q582" s="3436"/>
      <c r="R582" s="3436"/>
      <c r="S582" s="3436"/>
      <c r="T582" s="3436"/>
      <c r="U582" s="3436"/>
      <c r="V582" s="3436"/>
      <c r="W582" s="3436"/>
      <c r="X582" s="3436"/>
      <c r="Y582" s="3436"/>
      <c r="Z582" s="3436"/>
      <c r="AA582" s="3436"/>
      <c r="AB582" s="3436"/>
      <c r="AC582" s="3436"/>
      <c r="AD582" s="3436"/>
      <c r="AE582" s="3649"/>
    </row>
    <row r="583" spans="16:31" customFormat="1">
      <c r="P583" s="3436"/>
      <c r="Q583" s="3436"/>
      <c r="R583" s="3436"/>
      <c r="S583" s="3436"/>
      <c r="T583" s="3436"/>
      <c r="U583" s="3436"/>
      <c r="V583" s="3436"/>
      <c r="W583" s="3436"/>
      <c r="X583" s="3436"/>
      <c r="Y583" s="3436"/>
      <c r="Z583" s="3436"/>
      <c r="AA583" s="3436"/>
      <c r="AB583" s="3436"/>
      <c r="AC583" s="3436"/>
      <c r="AD583" s="3436"/>
      <c r="AE583" s="3649"/>
    </row>
    <row r="584" spans="16:31" customFormat="1">
      <c r="P584" s="3436"/>
      <c r="Q584" s="3436"/>
      <c r="R584" s="3436"/>
      <c r="S584" s="3436"/>
      <c r="T584" s="3436"/>
      <c r="U584" s="3436"/>
      <c r="V584" s="3436"/>
      <c r="W584" s="3436"/>
      <c r="X584" s="3436"/>
      <c r="Y584" s="3436"/>
      <c r="Z584" s="3436"/>
      <c r="AA584" s="3436"/>
      <c r="AB584" s="3436"/>
      <c r="AC584" s="3436"/>
      <c r="AD584" s="3436"/>
      <c r="AE584" s="3649"/>
    </row>
    <row r="585" spans="16:31" customFormat="1">
      <c r="P585" s="3436"/>
      <c r="Q585" s="3436"/>
      <c r="R585" s="3436"/>
      <c r="S585" s="3436"/>
      <c r="T585" s="3436"/>
      <c r="U585" s="3436"/>
      <c r="V585" s="3436"/>
      <c r="W585" s="3436"/>
      <c r="X585" s="3436"/>
      <c r="Y585" s="3436"/>
      <c r="Z585" s="3436"/>
      <c r="AA585" s="3436"/>
      <c r="AB585" s="3436"/>
      <c r="AC585" s="3436"/>
      <c r="AD585" s="3436"/>
      <c r="AE585" s="3649"/>
    </row>
    <row r="586" spans="16:31" customFormat="1">
      <c r="P586" s="3436"/>
      <c r="Q586" s="3436"/>
      <c r="R586" s="3436"/>
      <c r="S586" s="3436"/>
      <c r="T586" s="3436"/>
      <c r="U586" s="3436"/>
      <c r="V586" s="3436"/>
      <c r="W586" s="3436"/>
      <c r="X586" s="3436"/>
      <c r="Y586" s="3436"/>
      <c r="Z586" s="3436"/>
      <c r="AA586" s="3436"/>
      <c r="AB586" s="3436"/>
      <c r="AC586" s="3436"/>
      <c r="AD586" s="3436"/>
      <c r="AE586" s="3649"/>
    </row>
    <row r="587" spans="16:31" customFormat="1">
      <c r="P587" s="3436"/>
      <c r="Q587" s="3436"/>
      <c r="R587" s="3436"/>
      <c r="S587" s="3436"/>
      <c r="T587" s="3436"/>
      <c r="U587" s="3436"/>
      <c r="V587" s="3436"/>
      <c r="W587" s="3436"/>
      <c r="X587" s="3436"/>
      <c r="Y587" s="3436"/>
      <c r="Z587" s="3436"/>
      <c r="AA587" s="3436"/>
      <c r="AB587" s="3436"/>
      <c r="AC587" s="3436"/>
      <c r="AD587" s="3436"/>
      <c r="AE587" s="3649"/>
    </row>
    <row r="588" spans="16:31" customFormat="1">
      <c r="P588" s="3436"/>
      <c r="Q588" s="3436"/>
      <c r="R588" s="3436"/>
      <c r="S588" s="3436"/>
      <c r="T588" s="3436"/>
      <c r="U588" s="3436"/>
      <c r="V588" s="3436"/>
      <c r="W588" s="3436"/>
      <c r="X588" s="3436"/>
      <c r="Y588" s="3436"/>
      <c r="Z588" s="3436"/>
      <c r="AA588" s="3436"/>
      <c r="AB588" s="3436"/>
      <c r="AC588" s="3436"/>
      <c r="AD588" s="3436"/>
      <c r="AE588" s="3649"/>
    </row>
    <row r="589" spans="16:31" customFormat="1">
      <c r="P589" s="3436"/>
      <c r="Q589" s="3436"/>
      <c r="R589" s="3436"/>
      <c r="S589" s="3436"/>
      <c r="T589" s="3436"/>
      <c r="U589" s="3436"/>
      <c r="V589" s="3436"/>
      <c r="W589" s="3436"/>
      <c r="X589" s="3436"/>
      <c r="Y589" s="3436"/>
      <c r="Z589" s="3436"/>
      <c r="AA589" s="3436"/>
      <c r="AB589" s="3436"/>
      <c r="AC589" s="3436"/>
      <c r="AD589" s="3436"/>
      <c r="AE589" s="3649"/>
    </row>
    <row r="590" spans="16:31" customFormat="1">
      <c r="P590" s="3436"/>
      <c r="Q590" s="3436"/>
      <c r="R590" s="3436"/>
      <c r="S590" s="3436"/>
      <c r="T590" s="3436"/>
      <c r="U590" s="3436"/>
      <c r="V590" s="3436"/>
      <c r="W590" s="3436"/>
      <c r="X590" s="3436"/>
      <c r="Y590" s="3436"/>
      <c r="Z590" s="3436"/>
      <c r="AA590" s="3436"/>
      <c r="AB590" s="3436"/>
      <c r="AC590" s="3436"/>
      <c r="AD590" s="3436"/>
      <c r="AE590" s="3649"/>
    </row>
    <row r="591" spans="16:31" customFormat="1">
      <c r="P591" s="3436"/>
      <c r="Q591" s="3436"/>
      <c r="R591" s="3436"/>
      <c r="S591" s="3436"/>
      <c r="T591" s="3436"/>
      <c r="U591" s="3436"/>
      <c r="V591" s="3436"/>
      <c r="W591" s="3436"/>
      <c r="X591" s="3436"/>
      <c r="Y591" s="3436"/>
      <c r="Z591" s="3436"/>
      <c r="AA591" s="3436"/>
      <c r="AB591" s="3436"/>
      <c r="AC591" s="3436"/>
      <c r="AD591" s="3436"/>
      <c r="AE591" s="3649"/>
    </row>
    <row r="592" spans="16:31" customFormat="1">
      <c r="P592" s="3436"/>
      <c r="Q592" s="3436"/>
      <c r="R592" s="3436"/>
      <c r="S592" s="3436"/>
      <c r="T592" s="3436"/>
      <c r="U592" s="3436"/>
      <c r="V592" s="3436"/>
      <c r="W592" s="3436"/>
      <c r="X592" s="3436"/>
      <c r="Y592" s="3436"/>
      <c r="Z592" s="3436"/>
      <c r="AA592" s="3436"/>
      <c r="AB592" s="3436"/>
      <c r="AC592" s="3436"/>
      <c r="AD592" s="3436"/>
      <c r="AE592" s="3649"/>
    </row>
    <row r="593" spans="16:31" customFormat="1">
      <c r="P593" s="3436"/>
      <c r="Q593" s="3436"/>
      <c r="R593" s="3436"/>
      <c r="S593" s="3436"/>
      <c r="T593" s="3436"/>
      <c r="U593" s="3436"/>
      <c r="V593" s="3436"/>
      <c r="W593" s="3436"/>
      <c r="X593" s="3436"/>
      <c r="Y593" s="3436"/>
      <c r="Z593" s="3436"/>
      <c r="AA593" s="3436"/>
      <c r="AB593" s="3436"/>
      <c r="AC593" s="3436"/>
      <c r="AD593" s="3436"/>
      <c r="AE593" s="3649"/>
    </row>
    <row r="594" spans="16:31" customFormat="1">
      <c r="P594" s="3436"/>
      <c r="Q594" s="3436"/>
      <c r="R594" s="3436"/>
      <c r="S594" s="3436"/>
      <c r="T594" s="3436"/>
      <c r="U594" s="3436"/>
      <c r="V594" s="3436"/>
      <c r="W594" s="3436"/>
      <c r="X594" s="3436"/>
      <c r="Y594" s="3436"/>
      <c r="Z594" s="3436"/>
      <c r="AA594" s="3436"/>
      <c r="AB594" s="3436"/>
      <c r="AC594" s="3436"/>
      <c r="AD594" s="3436"/>
      <c r="AE594" s="3649"/>
    </row>
    <row r="595" spans="16:31" customFormat="1">
      <c r="P595" s="3436"/>
      <c r="Q595" s="3436"/>
      <c r="R595" s="3436"/>
      <c r="S595" s="3436"/>
      <c r="T595" s="3436"/>
      <c r="U595" s="3436"/>
      <c r="V595" s="3436"/>
      <c r="W595" s="3436"/>
      <c r="X595" s="3436"/>
      <c r="Y595" s="3436"/>
      <c r="Z595" s="3436"/>
      <c r="AA595" s="3436"/>
      <c r="AB595" s="3436"/>
      <c r="AC595" s="3436"/>
      <c r="AD595" s="3436"/>
      <c r="AE595" s="3649"/>
    </row>
    <row r="596" spans="16:31" customFormat="1">
      <c r="P596" s="3436"/>
      <c r="Q596" s="3436"/>
      <c r="R596" s="3436"/>
      <c r="S596" s="3436"/>
      <c r="T596" s="3436"/>
      <c r="U596" s="3436"/>
      <c r="V596" s="3436"/>
      <c r="W596" s="3436"/>
      <c r="X596" s="3436"/>
      <c r="Y596" s="3436"/>
      <c r="Z596" s="3436"/>
      <c r="AA596" s="3436"/>
      <c r="AB596" s="3436"/>
      <c r="AC596" s="3436"/>
      <c r="AD596" s="3436"/>
      <c r="AE596" s="3649"/>
    </row>
    <row r="597" spans="16:31" customFormat="1">
      <c r="P597" s="3436"/>
      <c r="Q597" s="3436"/>
      <c r="R597" s="3436"/>
      <c r="S597" s="3436"/>
      <c r="T597" s="3436"/>
      <c r="U597" s="3436"/>
      <c r="V597" s="3436"/>
      <c r="W597" s="3436"/>
      <c r="X597" s="3436"/>
      <c r="Y597" s="3436"/>
      <c r="Z597" s="3436"/>
      <c r="AA597" s="3436"/>
      <c r="AB597" s="3436"/>
      <c r="AC597" s="3436"/>
      <c r="AD597" s="3436"/>
      <c r="AE597" s="3649"/>
    </row>
    <row r="598" spans="16:31" customFormat="1">
      <c r="P598" s="3436"/>
      <c r="Q598" s="3436"/>
      <c r="R598" s="3436"/>
      <c r="S598" s="3436"/>
      <c r="T598" s="3436"/>
      <c r="U598" s="3436"/>
      <c r="V598" s="3436"/>
      <c r="W598" s="3436"/>
      <c r="X598" s="3436"/>
      <c r="Y598" s="3436"/>
      <c r="Z598" s="3436"/>
      <c r="AA598" s="3436"/>
      <c r="AB598" s="3436"/>
      <c r="AC598" s="3436"/>
      <c r="AD598" s="3436"/>
      <c r="AE598" s="3649"/>
    </row>
    <row r="599" spans="16:31" customFormat="1">
      <c r="P599" s="3436"/>
      <c r="Q599" s="3436"/>
      <c r="R599" s="3436"/>
      <c r="S599" s="3436"/>
      <c r="T599" s="3436"/>
      <c r="U599" s="3436"/>
      <c r="V599" s="3436"/>
      <c r="W599" s="3436"/>
      <c r="X599" s="3436"/>
      <c r="Y599" s="3436"/>
      <c r="Z599" s="3436"/>
      <c r="AA599" s="3436"/>
      <c r="AB599" s="3436"/>
      <c r="AC599" s="3436"/>
      <c r="AD599" s="3436"/>
      <c r="AE599" s="3649"/>
    </row>
    <row r="600" spans="16:31" customFormat="1">
      <c r="P600" s="3436"/>
      <c r="Q600" s="3436"/>
      <c r="R600" s="3436"/>
      <c r="S600" s="3436"/>
      <c r="T600" s="3436"/>
      <c r="U600" s="3436"/>
      <c r="V600" s="3436"/>
      <c r="W600" s="3436"/>
      <c r="X600" s="3436"/>
      <c r="Y600" s="3436"/>
      <c r="Z600" s="3436"/>
      <c r="AA600" s="3436"/>
      <c r="AB600" s="3436"/>
      <c r="AC600" s="3436"/>
      <c r="AD600" s="3436"/>
      <c r="AE600" s="3649"/>
    </row>
    <row r="601" spans="16:31" customFormat="1">
      <c r="P601" s="3436"/>
      <c r="Q601" s="3436"/>
      <c r="R601" s="3436"/>
      <c r="S601" s="3436"/>
      <c r="T601" s="3436"/>
      <c r="U601" s="3436"/>
      <c r="V601" s="3436"/>
      <c r="W601" s="3436"/>
      <c r="X601" s="3436"/>
      <c r="Y601" s="3436"/>
      <c r="Z601" s="3436"/>
      <c r="AA601" s="3436"/>
      <c r="AB601" s="3436"/>
      <c r="AC601" s="3436"/>
      <c r="AD601" s="3436"/>
      <c r="AE601" s="3649"/>
    </row>
    <row r="602" spans="16:31" customFormat="1">
      <c r="P602" s="3436"/>
      <c r="Q602" s="3436"/>
      <c r="R602" s="3436"/>
      <c r="S602" s="3436"/>
      <c r="T602" s="3436"/>
      <c r="U602" s="3436"/>
      <c r="V602" s="3436"/>
      <c r="W602" s="3436"/>
      <c r="X602" s="3436"/>
      <c r="Y602" s="3436"/>
      <c r="Z602" s="3436"/>
      <c r="AA602" s="3436"/>
      <c r="AB602" s="3436"/>
      <c r="AC602" s="3436"/>
      <c r="AD602" s="3436"/>
      <c r="AE602" s="3649"/>
    </row>
    <row r="603" spans="16:31" customFormat="1">
      <c r="P603" s="3436"/>
      <c r="Q603" s="3436"/>
      <c r="R603" s="3436"/>
      <c r="S603" s="3436"/>
      <c r="T603" s="3436"/>
      <c r="U603" s="3436"/>
      <c r="V603" s="3436"/>
      <c r="W603" s="3436"/>
      <c r="X603" s="3436"/>
      <c r="Y603" s="3436"/>
      <c r="Z603" s="3436"/>
      <c r="AA603" s="3436"/>
      <c r="AB603" s="3436"/>
      <c r="AC603" s="3436"/>
      <c r="AD603" s="3436"/>
      <c r="AE603" s="3649"/>
    </row>
    <row r="604" spans="16:31" customFormat="1">
      <c r="P604" s="3436"/>
      <c r="Q604" s="3436"/>
      <c r="R604" s="3436"/>
      <c r="S604" s="3436"/>
      <c r="T604" s="3436"/>
      <c r="U604" s="3436"/>
      <c r="V604" s="3436"/>
      <c r="W604" s="3436"/>
      <c r="X604" s="3436"/>
      <c r="Y604" s="3436"/>
      <c r="Z604" s="3436"/>
      <c r="AA604" s="3436"/>
      <c r="AB604" s="3436"/>
      <c r="AC604" s="3436"/>
      <c r="AD604" s="3436"/>
      <c r="AE604" s="3649"/>
    </row>
    <row r="605" spans="16:31" customFormat="1">
      <c r="P605" s="3436"/>
      <c r="Q605" s="3436"/>
      <c r="R605" s="3436"/>
      <c r="S605" s="3436"/>
      <c r="T605" s="3436"/>
      <c r="U605" s="3436"/>
      <c r="V605" s="3436"/>
      <c r="W605" s="3436"/>
      <c r="X605" s="3436"/>
      <c r="Y605" s="3436"/>
      <c r="Z605" s="3436"/>
      <c r="AA605" s="3436"/>
      <c r="AB605" s="3436"/>
      <c r="AC605" s="3436"/>
      <c r="AD605" s="3436"/>
      <c r="AE605" s="3649"/>
    </row>
    <row r="606" spans="16:31" customFormat="1">
      <c r="P606" s="3436"/>
      <c r="Q606" s="3436"/>
      <c r="R606" s="3436"/>
      <c r="S606" s="3436"/>
      <c r="T606" s="3436"/>
      <c r="U606" s="3436"/>
      <c r="V606" s="3436"/>
      <c r="W606" s="3436"/>
      <c r="X606" s="3436"/>
      <c r="Y606" s="3436"/>
      <c r="Z606" s="3436"/>
      <c r="AA606" s="3436"/>
      <c r="AB606" s="3436"/>
      <c r="AC606" s="3436"/>
      <c r="AD606" s="3436"/>
      <c r="AE606" s="3649"/>
    </row>
    <row r="607" spans="16:31" customFormat="1">
      <c r="P607" s="3436"/>
      <c r="Q607" s="3436"/>
      <c r="R607" s="3436"/>
      <c r="S607" s="3436"/>
      <c r="T607" s="3436"/>
      <c r="U607" s="3436"/>
      <c r="V607" s="3436"/>
      <c r="W607" s="3436"/>
      <c r="X607" s="3436"/>
      <c r="Y607" s="3436"/>
      <c r="Z607" s="3436"/>
      <c r="AA607" s="3436"/>
      <c r="AB607" s="3436"/>
      <c r="AC607" s="3436"/>
      <c r="AD607" s="3436"/>
      <c r="AE607" s="3649"/>
    </row>
    <row r="608" spans="16:31" customFormat="1">
      <c r="P608" s="3436"/>
      <c r="Q608" s="3436"/>
      <c r="R608" s="3436"/>
      <c r="S608" s="3436"/>
      <c r="T608" s="3436"/>
      <c r="U608" s="3436"/>
      <c r="V608" s="3436"/>
      <c r="W608" s="3436"/>
      <c r="X608" s="3436"/>
      <c r="Y608" s="3436"/>
      <c r="Z608" s="3436"/>
      <c r="AA608" s="3436"/>
      <c r="AB608" s="3436"/>
      <c r="AC608" s="3436"/>
      <c r="AD608" s="3436"/>
      <c r="AE608" s="3649"/>
    </row>
    <row r="609" spans="16:31" customFormat="1">
      <c r="P609" s="3436"/>
      <c r="Q609" s="3436"/>
      <c r="R609" s="3436"/>
      <c r="S609" s="3436"/>
      <c r="T609" s="3436"/>
      <c r="U609" s="3436"/>
      <c r="V609" s="3436"/>
      <c r="W609" s="3436"/>
      <c r="X609" s="3436"/>
      <c r="Y609" s="3436"/>
      <c r="Z609" s="3436"/>
      <c r="AA609" s="3436"/>
      <c r="AB609" s="3436"/>
      <c r="AC609" s="3436"/>
      <c r="AD609" s="3436"/>
      <c r="AE609" s="3649"/>
    </row>
    <row r="610" spans="16:31" customFormat="1">
      <c r="P610" s="3436"/>
      <c r="Q610" s="3436"/>
      <c r="R610" s="3436"/>
      <c r="S610" s="3436"/>
      <c r="T610" s="3436"/>
      <c r="U610" s="3436"/>
      <c r="V610" s="3436"/>
      <c r="W610" s="3436"/>
      <c r="X610" s="3436"/>
      <c r="Y610" s="3436"/>
      <c r="Z610" s="3436"/>
      <c r="AA610" s="3436"/>
      <c r="AB610" s="3436"/>
      <c r="AC610" s="3436"/>
      <c r="AD610" s="3436"/>
      <c r="AE610" s="3649"/>
    </row>
    <row r="611" spans="16:31" customFormat="1">
      <c r="P611" s="3436"/>
      <c r="Q611" s="3436"/>
      <c r="R611" s="3436"/>
      <c r="S611" s="3436"/>
      <c r="T611" s="3436"/>
      <c r="U611" s="3436"/>
      <c r="V611" s="3436"/>
      <c r="W611" s="3436"/>
      <c r="X611" s="3436"/>
      <c r="Y611" s="3436"/>
      <c r="Z611" s="3436"/>
      <c r="AA611" s="3436"/>
      <c r="AB611" s="3436"/>
      <c r="AC611" s="3436"/>
      <c r="AD611" s="3436"/>
      <c r="AE611" s="3649"/>
    </row>
    <row r="612" spans="16:31" customFormat="1">
      <c r="P612" s="3436"/>
      <c r="Q612" s="3436"/>
      <c r="R612" s="3436"/>
      <c r="S612" s="3436"/>
      <c r="T612" s="3436"/>
      <c r="U612" s="3436"/>
      <c r="V612" s="3436"/>
      <c r="W612" s="3436"/>
      <c r="X612" s="3436"/>
      <c r="Y612" s="3436"/>
      <c r="Z612" s="3436"/>
      <c r="AA612" s="3436"/>
      <c r="AB612" s="3436"/>
      <c r="AC612" s="3436"/>
      <c r="AD612" s="3436"/>
      <c r="AE612" s="3649"/>
    </row>
    <row r="613" spans="16:31" customFormat="1">
      <c r="P613" s="3436"/>
      <c r="Q613" s="3436"/>
      <c r="R613" s="3436"/>
      <c r="S613" s="3436"/>
      <c r="T613" s="3436"/>
      <c r="U613" s="3436"/>
      <c r="V613" s="3436"/>
      <c r="W613" s="3436"/>
      <c r="X613" s="3436"/>
      <c r="Y613" s="3436"/>
      <c r="Z613" s="3436"/>
      <c r="AA613" s="3436"/>
      <c r="AB613" s="3436"/>
      <c r="AC613" s="3436"/>
      <c r="AD613" s="3436"/>
      <c r="AE613" s="3649"/>
    </row>
    <row r="614" spans="16:31" customFormat="1">
      <c r="P614" s="3436"/>
      <c r="Q614" s="3436"/>
      <c r="R614" s="3436"/>
      <c r="S614" s="3436"/>
      <c r="T614" s="3436"/>
      <c r="U614" s="3436"/>
      <c r="V614" s="3436"/>
      <c r="W614" s="3436"/>
      <c r="X614" s="3436"/>
      <c r="Y614" s="3436"/>
      <c r="Z614" s="3436"/>
      <c r="AA614" s="3436"/>
      <c r="AB614" s="3436"/>
      <c r="AC614" s="3436"/>
      <c r="AD614" s="3436"/>
      <c r="AE614" s="3649"/>
    </row>
    <row r="615" spans="16:31" customFormat="1">
      <c r="P615" s="3436"/>
      <c r="Q615" s="3436"/>
      <c r="R615" s="3436"/>
      <c r="S615" s="3436"/>
      <c r="T615" s="3436"/>
      <c r="U615" s="3436"/>
      <c r="V615" s="3436"/>
      <c r="W615" s="3436"/>
      <c r="X615" s="3436"/>
      <c r="Y615" s="3436"/>
      <c r="Z615" s="3436"/>
      <c r="AA615" s="3436"/>
      <c r="AB615" s="3436"/>
      <c r="AC615" s="3436"/>
      <c r="AD615" s="3436"/>
      <c r="AE615" s="3649"/>
    </row>
    <row r="616" spans="16:31" customFormat="1">
      <c r="P616" s="3436"/>
      <c r="Q616" s="3436"/>
      <c r="R616" s="3436"/>
      <c r="S616" s="3436"/>
      <c r="T616" s="3436"/>
      <c r="U616" s="3436"/>
      <c r="V616" s="3436"/>
      <c r="W616" s="3436"/>
      <c r="X616" s="3436"/>
      <c r="Y616" s="3436"/>
      <c r="Z616" s="3436"/>
      <c r="AA616" s="3436"/>
      <c r="AB616" s="3436"/>
      <c r="AC616" s="3436"/>
      <c r="AD616" s="3436"/>
      <c r="AE616" s="3649"/>
    </row>
    <row r="617" spans="16:31" customFormat="1">
      <c r="P617" s="3436"/>
      <c r="Q617" s="3436"/>
      <c r="R617" s="3436"/>
      <c r="S617" s="3436"/>
      <c r="T617" s="3436"/>
      <c r="U617" s="3436"/>
      <c r="V617" s="3436"/>
      <c r="W617" s="3436"/>
      <c r="X617" s="3436"/>
      <c r="Y617" s="3436"/>
      <c r="Z617" s="3436"/>
      <c r="AA617" s="3436"/>
      <c r="AB617" s="3436"/>
      <c r="AC617" s="3436"/>
      <c r="AD617" s="3436"/>
      <c r="AE617" s="3649"/>
    </row>
    <row r="618" spans="16:31" customFormat="1">
      <c r="P618" s="3436"/>
      <c r="Q618" s="3436"/>
      <c r="R618" s="3436"/>
      <c r="S618" s="3436"/>
      <c r="T618" s="3436"/>
      <c r="U618" s="3436"/>
      <c r="V618" s="3436"/>
      <c r="W618" s="3436"/>
      <c r="X618" s="3436"/>
      <c r="Y618" s="3436"/>
      <c r="Z618" s="3436"/>
      <c r="AA618" s="3436"/>
      <c r="AB618" s="3436"/>
      <c r="AC618" s="3436"/>
      <c r="AD618" s="3436"/>
      <c r="AE618" s="3649"/>
    </row>
    <row r="619" spans="16:31" customFormat="1">
      <c r="P619" s="3436"/>
      <c r="Q619" s="3436"/>
      <c r="R619" s="3436"/>
      <c r="S619" s="3436"/>
      <c r="T619" s="3436"/>
      <c r="U619" s="3436"/>
      <c r="V619" s="3436"/>
      <c r="W619" s="3436"/>
      <c r="X619" s="3436"/>
      <c r="Y619" s="3436"/>
      <c r="Z619" s="3436"/>
      <c r="AA619" s="3436"/>
      <c r="AB619" s="3436"/>
      <c r="AC619" s="3436"/>
      <c r="AD619" s="3436"/>
      <c r="AE619" s="3649"/>
    </row>
    <row r="620" spans="16:31" customFormat="1">
      <c r="P620" s="3436"/>
      <c r="Q620" s="3436"/>
      <c r="R620" s="3436"/>
      <c r="S620" s="3436"/>
      <c r="T620" s="3436"/>
      <c r="U620" s="3436"/>
      <c r="V620" s="3436"/>
      <c r="W620" s="3436"/>
      <c r="X620" s="3436"/>
      <c r="Y620" s="3436"/>
      <c r="Z620" s="3436"/>
      <c r="AA620" s="3436"/>
      <c r="AB620" s="3436"/>
      <c r="AC620" s="3436"/>
      <c r="AD620" s="3436"/>
      <c r="AE620" s="3649"/>
    </row>
    <row r="621" spans="16:31" customFormat="1">
      <c r="P621" s="3436"/>
      <c r="Q621" s="3436"/>
      <c r="R621" s="3436"/>
      <c r="S621" s="3436"/>
      <c r="T621" s="3436"/>
      <c r="U621" s="3436"/>
      <c r="V621" s="3436"/>
      <c r="W621" s="3436"/>
      <c r="X621" s="3436"/>
      <c r="Y621" s="3436"/>
      <c r="Z621" s="3436"/>
      <c r="AA621" s="3436"/>
      <c r="AB621" s="3436"/>
      <c r="AC621" s="3436"/>
      <c r="AD621" s="3436"/>
      <c r="AE621" s="3649"/>
    </row>
    <row r="622" spans="16:31" customFormat="1">
      <c r="P622" s="3436"/>
      <c r="Q622" s="3436"/>
      <c r="R622" s="3436"/>
      <c r="S622" s="3436"/>
      <c r="T622" s="3436"/>
      <c r="U622" s="3436"/>
      <c r="V622" s="3436"/>
      <c r="W622" s="3436"/>
      <c r="X622" s="3436"/>
      <c r="Y622" s="3436"/>
      <c r="Z622" s="3436"/>
      <c r="AA622" s="3436"/>
      <c r="AB622" s="3436"/>
      <c r="AC622" s="3436"/>
      <c r="AD622" s="3436"/>
      <c r="AE622" s="3649"/>
    </row>
    <row r="623" spans="16:31" customFormat="1">
      <c r="P623" s="3436"/>
      <c r="Q623" s="3436"/>
      <c r="R623" s="3436"/>
      <c r="S623" s="3436"/>
      <c r="T623" s="3436"/>
      <c r="U623" s="3436"/>
      <c r="V623" s="3436"/>
      <c r="W623" s="3436"/>
      <c r="X623" s="3436"/>
      <c r="Y623" s="3436"/>
      <c r="Z623" s="3436"/>
      <c r="AA623" s="3436"/>
      <c r="AB623" s="3436"/>
      <c r="AC623" s="3436"/>
      <c r="AD623" s="3436"/>
      <c r="AE623" s="3649"/>
    </row>
    <row r="624" spans="16:31" customFormat="1">
      <c r="P624" s="3436"/>
      <c r="Q624" s="3436"/>
      <c r="R624" s="3436"/>
      <c r="S624" s="3436"/>
      <c r="T624" s="3436"/>
      <c r="U624" s="3436"/>
      <c r="V624" s="3436"/>
      <c r="W624" s="3436"/>
      <c r="X624" s="3436"/>
      <c r="Y624" s="3436"/>
      <c r="Z624" s="3436"/>
      <c r="AA624" s="3436"/>
      <c r="AB624" s="3436"/>
      <c r="AC624" s="3436"/>
      <c r="AD624" s="3436"/>
      <c r="AE624" s="3649"/>
    </row>
    <row r="625" spans="16:31" customFormat="1">
      <c r="P625" s="3436"/>
      <c r="Q625" s="3436"/>
      <c r="R625" s="3436"/>
      <c r="S625" s="3436"/>
      <c r="T625" s="3436"/>
      <c r="U625" s="3436"/>
      <c r="V625" s="3436"/>
      <c r="W625" s="3436"/>
      <c r="X625" s="3436"/>
      <c r="Y625" s="3436"/>
      <c r="Z625" s="3436"/>
      <c r="AA625" s="3436"/>
      <c r="AB625" s="3436"/>
      <c r="AC625" s="3436"/>
      <c r="AD625" s="3436"/>
      <c r="AE625" s="3649"/>
    </row>
    <row r="626" spans="16:31" customFormat="1">
      <c r="P626" s="3436"/>
      <c r="Q626" s="3436"/>
      <c r="R626" s="3436"/>
      <c r="S626" s="3436"/>
      <c r="T626" s="3436"/>
      <c r="U626" s="3436"/>
      <c r="V626" s="3436"/>
      <c r="W626" s="3436"/>
      <c r="X626" s="3436"/>
      <c r="Y626" s="3436"/>
      <c r="Z626" s="3436"/>
      <c r="AA626" s="3436"/>
      <c r="AB626" s="3436"/>
      <c r="AC626" s="3436"/>
      <c r="AD626" s="3436"/>
      <c r="AE626" s="3649"/>
    </row>
    <row r="627" spans="16:31" customFormat="1">
      <c r="P627" s="3436"/>
      <c r="Q627" s="3436"/>
      <c r="R627" s="3436"/>
      <c r="S627" s="3436"/>
      <c r="T627" s="3436"/>
      <c r="U627" s="3436"/>
      <c r="V627" s="3436"/>
      <c r="W627" s="3436"/>
      <c r="X627" s="3436"/>
      <c r="Y627" s="3436"/>
      <c r="Z627" s="3436"/>
      <c r="AA627" s="3436"/>
      <c r="AB627" s="3436"/>
      <c r="AC627" s="3436"/>
      <c r="AD627" s="3436"/>
      <c r="AE627" s="3649"/>
    </row>
    <row r="628" spans="16:31" customFormat="1">
      <c r="P628" s="3436"/>
      <c r="Q628" s="3436"/>
      <c r="R628" s="3436"/>
      <c r="S628" s="3436"/>
      <c r="T628" s="3436"/>
      <c r="U628" s="3436"/>
      <c r="V628" s="3436"/>
      <c r="W628" s="3436"/>
      <c r="X628" s="3436"/>
      <c r="Y628" s="3436"/>
      <c r="Z628" s="3436"/>
      <c r="AA628" s="3436"/>
      <c r="AB628" s="3436"/>
      <c r="AC628" s="3436"/>
      <c r="AD628" s="3436"/>
      <c r="AE628" s="3649"/>
    </row>
    <row r="629" spans="16:31" customFormat="1">
      <c r="P629" s="3436"/>
      <c r="Q629" s="3436"/>
      <c r="R629" s="3436"/>
      <c r="S629" s="3436"/>
      <c r="T629" s="3436"/>
      <c r="U629" s="3436"/>
      <c r="V629" s="3436"/>
      <c r="W629" s="3436"/>
      <c r="X629" s="3436"/>
      <c r="Y629" s="3436"/>
      <c r="Z629" s="3436"/>
      <c r="AA629" s="3436"/>
      <c r="AB629" s="3436"/>
      <c r="AC629" s="3436"/>
      <c r="AD629" s="3436"/>
      <c r="AE629" s="3649"/>
    </row>
    <row r="630" spans="16:31" customFormat="1">
      <c r="P630" s="3436"/>
      <c r="Q630" s="3436"/>
      <c r="R630" s="3436"/>
      <c r="S630" s="3436"/>
      <c r="T630" s="3436"/>
      <c r="U630" s="3436"/>
      <c r="V630" s="3436"/>
      <c r="W630" s="3436"/>
      <c r="X630" s="3436"/>
      <c r="Y630" s="3436"/>
      <c r="Z630" s="3436"/>
      <c r="AA630" s="3436"/>
      <c r="AB630" s="3436"/>
      <c r="AC630" s="3436"/>
      <c r="AD630" s="3436"/>
      <c r="AE630" s="3649"/>
    </row>
    <row r="631" spans="16:31" customFormat="1">
      <c r="P631" s="3436"/>
      <c r="Q631" s="3436"/>
      <c r="R631" s="3436"/>
      <c r="S631" s="3436"/>
      <c r="T631" s="3436"/>
      <c r="U631" s="3436"/>
      <c r="V631" s="3436"/>
      <c r="W631" s="3436"/>
      <c r="X631" s="3436"/>
      <c r="Y631" s="3436"/>
      <c r="Z631" s="3436"/>
      <c r="AA631" s="3436"/>
      <c r="AB631" s="3436"/>
      <c r="AC631" s="3436"/>
      <c r="AD631" s="3436"/>
      <c r="AE631" s="3649"/>
    </row>
    <row r="632" spans="16:31" customFormat="1">
      <c r="P632" s="3436"/>
      <c r="Q632" s="3436"/>
      <c r="R632" s="3436"/>
      <c r="S632" s="3436"/>
      <c r="T632" s="3436"/>
      <c r="U632" s="3436"/>
      <c r="V632" s="3436"/>
      <c r="W632" s="3436"/>
      <c r="X632" s="3436"/>
      <c r="Y632" s="3436"/>
      <c r="Z632" s="3436"/>
      <c r="AA632" s="3436"/>
      <c r="AB632" s="3436"/>
      <c r="AC632" s="3436"/>
      <c r="AD632" s="3436"/>
      <c r="AE632" s="3649"/>
    </row>
    <row r="633" spans="16:31" customFormat="1">
      <c r="P633" s="3436"/>
      <c r="Q633" s="3436"/>
      <c r="R633" s="3436"/>
      <c r="S633" s="3436"/>
      <c r="T633" s="3436"/>
      <c r="U633" s="3436"/>
      <c r="V633" s="3436"/>
      <c r="W633" s="3436"/>
      <c r="X633" s="3436"/>
      <c r="Y633" s="3436"/>
      <c r="Z633" s="3436"/>
      <c r="AA633" s="3436"/>
      <c r="AB633" s="3436"/>
      <c r="AC633" s="3436"/>
      <c r="AD633" s="3436"/>
      <c r="AE633" s="3649"/>
    </row>
    <row r="634" spans="16:31" customFormat="1">
      <c r="P634" s="3436"/>
      <c r="Q634" s="3436"/>
      <c r="R634" s="3436"/>
      <c r="S634" s="3436"/>
      <c r="T634" s="3436"/>
      <c r="U634" s="3436"/>
      <c r="V634" s="3436"/>
      <c r="W634" s="3436"/>
      <c r="X634" s="3436"/>
      <c r="Y634" s="3436"/>
      <c r="Z634" s="3436"/>
      <c r="AA634" s="3436"/>
      <c r="AB634" s="3436"/>
      <c r="AC634" s="3436"/>
      <c r="AD634" s="3436"/>
      <c r="AE634" s="3649"/>
    </row>
    <row r="635" spans="16:31" customFormat="1">
      <c r="P635" s="3436"/>
      <c r="Q635" s="3436"/>
      <c r="R635" s="3436"/>
      <c r="S635" s="3436"/>
      <c r="T635" s="3436"/>
      <c r="U635" s="3436"/>
      <c r="V635" s="3436"/>
      <c r="W635" s="3436"/>
      <c r="X635" s="3436"/>
      <c r="Y635" s="3436"/>
      <c r="Z635" s="3436"/>
      <c r="AA635" s="3436"/>
      <c r="AB635" s="3436"/>
      <c r="AC635" s="3436"/>
      <c r="AD635" s="3436"/>
      <c r="AE635" s="3649"/>
    </row>
    <row r="636" spans="16:31" customFormat="1">
      <c r="P636" s="3436"/>
      <c r="Q636" s="3436"/>
      <c r="R636" s="3436"/>
      <c r="S636" s="3436"/>
      <c r="T636" s="3436"/>
      <c r="U636" s="3436"/>
      <c r="V636" s="3436"/>
      <c r="W636" s="3436"/>
      <c r="X636" s="3436"/>
      <c r="Y636" s="3436"/>
      <c r="Z636" s="3436"/>
      <c r="AA636" s="3436"/>
      <c r="AB636" s="3436"/>
      <c r="AC636" s="3436"/>
      <c r="AD636" s="3436"/>
      <c r="AE636" s="3649"/>
    </row>
    <row r="637" spans="16:31" customFormat="1">
      <c r="P637" s="3436"/>
      <c r="Q637" s="3436"/>
      <c r="R637" s="3436"/>
      <c r="S637" s="3436"/>
      <c r="T637" s="3436"/>
      <c r="U637" s="3436"/>
      <c r="V637" s="3436"/>
      <c r="W637" s="3436"/>
      <c r="X637" s="3436"/>
      <c r="Y637" s="3436"/>
      <c r="Z637" s="3436"/>
      <c r="AA637" s="3436"/>
      <c r="AB637" s="3436"/>
      <c r="AC637" s="3436"/>
      <c r="AD637" s="3436"/>
      <c r="AE637" s="3649"/>
    </row>
    <row r="638" spans="16:31" customFormat="1">
      <c r="P638" s="3436"/>
      <c r="Q638" s="3436"/>
      <c r="R638" s="3436"/>
      <c r="S638" s="3436"/>
      <c r="T638" s="3436"/>
      <c r="U638" s="3436"/>
      <c r="V638" s="3436"/>
      <c r="W638" s="3436"/>
      <c r="X638" s="3436"/>
      <c r="Y638" s="3436"/>
      <c r="Z638" s="3436"/>
      <c r="AA638" s="3436"/>
      <c r="AB638" s="3436"/>
      <c r="AC638" s="3436"/>
      <c r="AD638" s="3436"/>
      <c r="AE638" s="3649"/>
    </row>
    <row r="639" spans="16:31" customFormat="1">
      <c r="P639" s="3436"/>
      <c r="Q639" s="3436"/>
      <c r="R639" s="3436"/>
      <c r="S639" s="3436"/>
      <c r="T639" s="3436"/>
      <c r="U639" s="3436"/>
      <c r="V639" s="3436"/>
      <c r="W639" s="3436"/>
      <c r="X639" s="3436"/>
      <c r="Y639" s="3436"/>
      <c r="Z639" s="3436"/>
      <c r="AA639" s="3436"/>
      <c r="AB639" s="3436"/>
      <c r="AC639" s="3436"/>
      <c r="AD639" s="3436"/>
      <c r="AE639" s="3649"/>
    </row>
    <row r="640" spans="16:31" customFormat="1">
      <c r="P640" s="3436"/>
      <c r="Q640" s="3436"/>
      <c r="R640" s="3436"/>
      <c r="S640" s="3436"/>
      <c r="T640" s="3436"/>
      <c r="U640" s="3436"/>
      <c r="V640" s="3436"/>
      <c r="W640" s="3436"/>
      <c r="X640" s="3436"/>
      <c r="Y640" s="3436"/>
      <c r="Z640" s="3436"/>
      <c r="AA640" s="3436"/>
      <c r="AB640" s="3436"/>
      <c r="AC640" s="3436"/>
      <c r="AD640" s="3436"/>
      <c r="AE640" s="3649"/>
    </row>
    <row r="641" spans="16:31" customFormat="1">
      <c r="P641" s="3436"/>
      <c r="Q641" s="3436"/>
      <c r="R641" s="3436"/>
      <c r="S641" s="3436"/>
      <c r="T641" s="3436"/>
      <c r="U641" s="3436"/>
      <c r="V641" s="3436"/>
      <c r="W641" s="3436"/>
      <c r="X641" s="3436"/>
      <c r="Y641" s="3436"/>
      <c r="Z641" s="3436"/>
      <c r="AA641" s="3436"/>
      <c r="AB641" s="3436"/>
      <c r="AC641" s="3436"/>
      <c r="AD641" s="3436"/>
      <c r="AE641" s="3649"/>
    </row>
    <row r="642" spans="16:31" customFormat="1">
      <c r="P642" s="3436"/>
      <c r="Q642" s="3436"/>
      <c r="R642" s="3436"/>
      <c r="S642" s="3436"/>
      <c r="T642" s="3436"/>
      <c r="U642" s="3436"/>
      <c r="V642" s="3436"/>
      <c r="W642" s="3436"/>
      <c r="X642" s="3436"/>
      <c r="Y642" s="3436"/>
      <c r="Z642" s="3436"/>
      <c r="AA642" s="3436"/>
      <c r="AB642" s="3436"/>
      <c r="AC642" s="3436"/>
      <c r="AD642" s="3436"/>
      <c r="AE642" s="3649"/>
    </row>
    <row r="643" spans="16:31" customFormat="1">
      <c r="P643" s="3436"/>
      <c r="Q643" s="3436"/>
      <c r="R643" s="3436"/>
      <c r="S643" s="3436"/>
      <c r="T643" s="3436"/>
      <c r="U643" s="3436"/>
      <c r="V643" s="3436"/>
      <c r="W643" s="3436"/>
      <c r="X643" s="3436"/>
      <c r="Y643" s="3436"/>
      <c r="Z643" s="3436"/>
      <c r="AA643" s="3436"/>
      <c r="AB643" s="3436"/>
      <c r="AC643" s="3436"/>
      <c r="AD643" s="3436"/>
      <c r="AE643" s="3649"/>
    </row>
    <row r="644" spans="16:31" customFormat="1">
      <c r="P644" s="3436"/>
      <c r="Q644" s="3436"/>
      <c r="R644" s="3436"/>
      <c r="S644" s="3436"/>
      <c r="T644" s="3436"/>
      <c r="U644" s="3436"/>
      <c r="V644" s="3436"/>
      <c r="W644" s="3436"/>
      <c r="X644" s="3436"/>
      <c r="Y644" s="3436"/>
      <c r="Z644" s="3436"/>
      <c r="AA644" s="3436"/>
      <c r="AB644" s="3436"/>
      <c r="AC644" s="3436"/>
      <c r="AD644" s="3436"/>
      <c r="AE644" s="3649"/>
    </row>
    <row r="645" spans="16:31" customFormat="1">
      <c r="P645" s="3436"/>
      <c r="Q645" s="3436"/>
      <c r="R645" s="3436"/>
      <c r="S645" s="3436"/>
      <c r="T645" s="3436"/>
      <c r="U645" s="3436"/>
      <c r="V645" s="3436"/>
      <c r="W645" s="3436"/>
      <c r="X645" s="3436"/>
      <c r="Y645" s="3436"/>
      <c r="Z645" s="3436"/>
      <c r="AA645" s="3436"/>
      <c r="AB645" s="3436"/>
      <c r="AC645" s="3436"/>
      <c r="AD645" s="3436"/>
      <c r="AE645" s="3649"/>
    </row>
    <row r="646" spans="16:31" customFormat="1">
      <c r="P646" s="3436"/>
      <c r="Q646" s="3436"/>
      <c r="R646" s="3436"/>
      <c r="S646" s="3436"/>
      <c r="T646" s="3436"/>
      <c r="U646" s="3436"/>
      <c r="V646" s="3436"/>
      <c r="W646" s="3436"/>
      <c r="X646" s="3436"/>
      <c r="Y646" s="3436"/>
      <c r="Z646" s="3436"/>
      <c r="AA646" s="3436"/>
      <c r="AB646" s="3436"/>
      <c r="AC646" s="3436"/>
      <c r="AD646" s="3436"/>
      <c r="AE646" s="3649"/>
    </row>
    <row r="647" spans="16:31" customFormat="1">
      <c r="P647" s="3436"/>
      <c r="Q647" s="3436"/>
      <c r="R647" s="3436"/>
      <c r="S647" s="3436"/>
      <c r="T647" s="3436"/>
      <c r="U647" s="3436"/>
      <c r="V647" s="3436"/>
      <c r="W647" s="3436"/>
      <c r="X647" s="3436"/>
      <c r="Y647" s="3436"/>
      <c r="Z647" s="3436"/>
      <c r="AA647" s="3436"/>
      <c r="AB647" s="3436"/>
      <c r="AC647" s="3436"/>
      <c r="AD647" s="3436"/>
      <c r="AE647" s="3649"/>
    </row>
    <row r="648" spans="16:31" customFormat="1">
      <c r="P648" s="3436"/>
      <c r="Q648" s="3436"/>
      <c r="R648" s="3436"/>
      <c r="S648" s="3436"/>
      <c r="T648" s="3436"/>
      <c r="U648" s="3436"/>
      <c r="V648" s="3436"/>
      <c r="W648" s="3436"/>
      <c r="X648" s="3436"/>
      <c r="Y648" s="3436"/>
      <c r="Z648" s="3436"/>
      <c r="AA648" s="3436"/>
      <c r="AB648" s="3436"/>
      <c r="AC648" s="3436"/>
      <c r="AD648" s="3436"/>
      <c r="AE648" s="3649"/>
    </row>
    <row r="649" spans="16:31" customFormat="1">
      <c r="P649" s="3436"/>
      <c r="Q649" s="3436"/>
      <c r="R649" s="3436"/>
      <c r="S649" s="3436"/>
      <c r="T649" s="3436"/>
      <c r="U649" s="3436"/>
      <c r="V649" s="3436"/>
      <c r="W649" s="3436"/>
      <c r="X649" s="3436"/>
      <c r="Y649" s="3436"/>
      <c r="Z649" s="3436"/>
      <c r="AA649" s="3436"/>
      <c r="AB649" s="3436"/>
      <c r="AC649" s="3436"/>
      <c r="AD649" s="3436"/>
      <c r="AE649" s="3649"/>
    </row>
    <row r="650" spans="16:31" customFormat="1">
      <c r="P650" s="3436"/>
      <c r="Q650" s="3436"/>
      <c r="R650" s="3436"/>
      <c r="S650" s="3436"/>
      <c r="T650" s="3436"/>
      <c r="U650" s="3436"/>
      <c r="V650" s="3436"/>
      <c r="W650" s="3436"/>
      <c r="X650" s="3436"/>
      <c r="Y650" s="3436"/>
      <c r="Z650" s="3436"/>
      <c r="AA650" s="3436"/>
      <c r="AB650" s="3436"/>
      <c r="AC650" s="3436"/>
      <c r="AD650" s="3436"/>
      <c r="AE650" s="3649"/>
    </row>
    <row r="651" spans="16:31" customFormat="1">
      <c r="P651" s="3436"/>
      <c r="Q651" s="3436"/>
      <c r="R651" s="3436"/>
      <c r="S651" s="3436"/>
      <c r="T651" s="3436"/>
      <c r="U651" s="3436"/>
      <c r="V651" s="3436"/>
      <c r="W651" s="3436"/>
      <c r="X651" s="3436"/>
      <c r="Y651" s="3436"/>
      <c r="Z651" s="3436"/>
      <c r="AA651" s="3436"/>
      <c r="AB651" s="3436"/>
      <c r="AC651" s="3436"/>
      <c r="AD651" s="3436"/>
      <c r="AE651" s="3649"/>
    </row>
    <row r="652" spans="16:31" customFormat="1">
      <c r="P652" s="3436"/>
      <c r="Q652" s="3436"/>
      <c r="R652" s="3436"/>
      <c r="S652" s="3436"/>
      <c r="T652" s="3436"/>
      <c r="U652" s="3436"/>
      <c r="V652" s="3436"/>
      <c r="W652" s="3436"/>
      <c r="X652" s="3436"/>
      <c r="Y652" s="3436"/>
      <c r="Z652" s="3436"/>
      <c r="AA652" s="3436"/>
      <c r="AB652" s="3436"/>
      <c r="AC652" s="3436"/>
      <c r="AD652" s="3436"/>
      <c r="AE652" s="3649"/>
    </row>
    <row r="653" spans="16:31" customFormat="1">
      <c r="P653" s="3436"/>
      <c r="Q653" s="3436"/>
      <c r="R653" s="3436"/>
      <c r="S653" s="3436"/>
      <c r="T653" s="3436"/>
      <c r="U653" s="3436"/>
      <c r="V653" s="3436"/>
      <c r="W653" s="3436"/>
      <c r="X653" s="3436"/>
      <c r="Y653" s="3436"/>
      <c r="Z653" s="3436"/>
      <c r="AA653" s="3436"/>
      <c r="AB653" s="3436"/>
      <c r="AC653" s="3436"/>
      <c r="AD653" s="3436"/>
      <c r="AE653" s="3649"/>
    </row>
    <row r="654" spans="16:31" customFormat="1">
      <c r="P654" s="3436"/>
      <c r="Q654" s="3436"/>
      <c r="R654" s="3436"/>
      <c r="S654" s="3436"/>
      <c r="T654" s="3436"/>
      <c r="U654" s="3436"/>
      <c r="V654" s="3436"/>
      <c r="W654" s="3436"/>
      <c r="X654" s="3436"/>
      <c r="Y654" s="3436"/>
      <c r="Z654" s="3436"/>
      <c r="AA654" s="3436"/>
      <c r="AB654" s="3436"/>
      <c r="AC654" s="3436"/>
      <c r="AD654" s="3436"/>
      <c r="AE654" s="3649"/>
    </row>
    <row r="655" spans="16:31" customFormat="1">
      <c r="P655" s="3436"/>
      <c r="Q655" s="3436"/>
      <c r="R655" s="3436"/>
      <c r="S655" s="3436"/>
      <c r="T655" s="3436"/>
      <c r="U655" s="3436"/>
      <c r="V655" s="3436"/>
      <c r="W655" s="3436"/>
      <c r="X655" s="3436"/>
      <c r="Y655" s="3436"/>
      <c r="Z655" s="3436"/>
      <c r="AA655" s="3436"/>
      <c r="AB655" s="3436"/>
      <c r="AC655" s="3436"/>
      <c r="AD655" s="3436"/>
      <c r="AE655" s="3649"/>
    </row>
    <row r="656" spans="16:31" customFormat="1">
      <c r="P656" s="3436"/>
      <c r="Q656" s="3436"/>
      <c r="R656" s="3436"/>
      <c r="S656" s="3436"/>
      <c r="T656" s="3436"/>
      <c r="U656" s="3436"/>
      <c r="V656" s="3436"/>
      <c r="W656" s="3436"/>
      <c r="X656" s="3436"/>
      <c r="Y656" s="3436"/>
      <c r="Z656" s="3436"/>
      <c r="AA656" s="3436"/>
      <c r="AB656" s="3436"/>
      <c r="AC656" s="3436"/>
      <c r="AD656" s="3436"/>
      <c r="AE656" s="3649"/>
    </row>
    <row r="657" spans="16:31" customFormat="1">
      <c r="P657" s="3436"/>
      <c r="Q657" s="3436"/>
      <c r="R657" s="3436"/>
      <c r="S657" s="3436"/>
      <c r="T657" s="3436"/>
      <c r="U657" s="3436"/>
      <c r="V657" s="3436"/>
      <c r="W657" s="3436"/>
      <c r="X657" s="3436"/>
      <c r="Y657" s="3436"/>
      <c r="Z657" s="3436"/>
      <c r="AA657" s="3436"/>
      <c r="AB657" s="3436"/>
      <c r="AC657" s="3436"/>
      <c r="AD657" s="3436"/>
      <c r="AE657" s="3649"/>
    </row>
    <row r="658" spans="16:31" customFormat="1">
      <c r="P658" s="3436"/>
      <c r="Q658" s="3436"/>
      <c r="R658" s="3436"/>
      <c r="S658" s="3436"/>
      <c r="T658" s="3436"/>
      <c r="U658" s="3436"/>
      <c r="V658" s="3436"/>
      <c r="W658" s="3436"/>
      <c r="X658" s="3436"/>
      <c r="Y658" s="3436"/>
      <c r="Z658" s="3436"/>
      <c r="AA658" s="3436"/>
      <c r="AB658" s="3436"/>
      <c r="AC658" s="3436"/>
      <c r="AD658" s="3436"/>
      <c r="AE658" s="3649"/>
    </row>
    <row r="659" spans="16:31" customFormat="1">
      <c r="P659" s="3436"/>
      <c r="Q659" s="3436"/>
      <c r="R659" s="3436"/>
      <c r="S659" s="3436"/>
      <c r="T659" s="3436"/>
      <c r="U659" s="3436"/>
      <c r="V659" s="3436"/>
      <c r="W659" s="3436"/>
      <c r="X659" s="3436"/>
      <c r="Y659" s="3436"/>
      <c r="Z659" s="3436"/>
      <c r="AA659" s="3436"/>
      <c r="AB659" s="3436"/>
      <c r="AC659" s="3436"/>
      <c r="AD659" s="3436"/>
      <c r="AE659" s="3649"/>
    </row>
    <row r="660" spans="16:31" customFormat="1">
      <c r="P660" s="3436"/>
      <c r="Q660" s="3436"/>
      <c r="R660" s="3436"/>
      <c r="S660" s="3436"/>
      <c r="T660" s="3436"/>
      <c r="U660" s="3436"/>
      <c r="V660" s="3436"/>
      <c r="W660" s="3436"/>
      <c r="X660" s="3436"/>
      <c r="Y660" s="3436"/>
      <c r="Z660" s="3436"/>
      <c r="AA660" s="3436"/>
      <c r="AB660" s="3436"/>
      <c r="AC660" s="3436"/>
      <c r="AD660" s="3436"/>
      <c r="AE660" s="3649"/>
    </row>
    <row r="661" spans="16:31" customFormat="1">
      <c r="P661" s="3436"/>
      <c r="Q661" s="3436"/>
      <c r="R661" s="3436"/>
      <c r="S661" s="3436"/>
      <c r="T661" s="3436"/>
      <c r="U661" s="3436"/>
      <c r="V661" s="3436"/>
      <c r="W661" s="3436"/>
      <c r="X661" s="3436"/>
      <c r="Y661" s="3436"/>
      <c r="Z661" s="3436"/>
      <c r="AA661" s="3436"/>
      <c r="AB661" s="3436"/>
      <c r="AC661" s="3436"/>
      <c r="AD661" s="3436"/>
      <c r="AE661" s="3649"/>
    </row>
    <row r="662" spans="16:31" customFormat="1">
      <c r="P662" s="3436"/>
      <c r="Q662" s="3436"/>
      <c r="R662" s="3436"/>
      <c r="S662" s="3436"/>
      <c r="T662" s="3436"/>
      <c r="U662" s="3436"/>
      <c r="V662" s="3436"/>
      <c r="W662" s="3436"/>
      <c r="X662" s="3436"/>
      <c r="Y662" s="3436"/>
      <c r="Z662" s="3436"/>
      <c r="AA662" s="3436"/>
      <c r="AB662" s="3436"/>
      <c r="AC662" s="3436"/>
      <c r="AD662" s="3436"/>
      <c r="AE662" s="3649"/>
    </row>
    <row r="663" spans="16:31" customFormat="1">
      <c r="P663" s="3436"/>
      <c r="Q663" s="3436"/>
      <c r="R663" s="3436"/>
      <c r="S663" s="3436"/>
      <c r="T663" s="3436"/>
      <c r="U663" s="3436"/>
      <c r="V663" s="3436"/>
      <c r="W663" s="3436"/>
      <c r="X663" s="3436"/>
      <c r="Y663" s="3436"/>
      <c r="Z663" s="3436"/>
      <c r="AA663" s="3436"/>
      <c r="AB663" s="3436"/>
      <c r="AC663" s="3436"/>
      <c r="AD663" s="3436"/>
      <c r="AE663" s="3649"/>
    </row>
    <row r="664" spans="16:31" customFormat="1">
      <c r="P664" s="3436"/>
      <c r="Q664" s="3436"/>
      <c r="R664" s="3436"/>
      <c r="S664" s="3436"/>
      <c r="T664" s="3436"/>
      <c r="U664" s="3436"/>
      <c r="V664" s="3436"/>
      <c r="W664" s="3436"/>
      <c r="X664" s="3436"/>
      <c r="Y664" s="3436"/>
      <c r="Z664" s="3436"/>
      <c r="AA664" s="3436"/>
      <c r="AB664" s="3436"/>
      <c r="AC664" s="3436"/>
      <c r="AD664" s="3436"/>
      <c r="AE664" s="3649"/>
    </row>
    <row r="665" spans="16:31" customFormat="1">
      <c r="P665" s="3436"/>
      <c r="Q665" s="3436"/>
      <c r="R665" s="3436"/>
      <c r="S665" s="3436"/>
      <c r="T665" s="3436"/>
      <c r="U665" s="3436"/>
      <c r="V665" s="3436"/>
      <c r="W665" s="3436"/>
      <c r="X665" s="3436"/>
      <c r="Y665" s="3436"/>
      <c r="Z665" s="3436"/>
      <c r="AA665" s="3436"/>
      <c r="AB665" s="3436"/>
      <c r="AC665" s="3436"/>
      <c r="AD665" s="3436"/>
      <c r="AE665" s="3649"/>
    </row>
    <row r="666" spans="16:31" customFormat="1">
      <c r="P666" s="3436"/>
      <c r="Q666" s="3436"/>
      <c r="R666" s="3436"/>
      <c r="S666" s="3436"/>
      <c r="T666" s="3436"/>
      <c r="U666" s="3436"/>
      <c r="V666" s="3436"/>
      <c r="W666" s="3436"/>
      <c r="X666" s="3436"/>
      <c r="Y666" s="3436"/>
      <c r="Z666" s="3436"/>
      <c r="AA666" s="3436"/>
      <c r="AB666" s="3436"/>
      <c r="AC666" s="3436"/>
      <c r="AD666" s="3436"/>
      <c r="AE666" s="3649"/>
    </row>
    <row r="667" spans="16:31" customFormat="1">
      <c r="P667" s="3436"/>
      <c r="Q667" s="3436"/>
      <c r="R667" s="3436"/>
      <c r="S667" s="3436"/>
      <c r="T667" s="3436"/>
      <c r="U667" s="3436"/>
      <c r="V667" s="3436"/>
      <c r="W667" s="3436"/>
      <c r="X667" s="3436"/>
      <c r="Y667" s="3436"/>
      <c r="Z667" s="3436"/>
      <c r="AA667" s="3436"/>
      <c r="AB667" s="3436"/>
      <c r="AC667" s="3436"/>
      <c r="AD667" s="3436"/>
      <c r="AE667" s="3649"/>
    </row>
    <row r="668" spans="16:31" customFormat="1">
      <c r="P668" s="3436"/>
      <c r="Q668" s="3436"/>
      <c r="R668" s="3436"/>
      <c r="S668" s="3436"/>
      <c r="T668" s="3436"/>
      <c r="U668" s="3436"/>
      <c r="V668" s="3436"/>
      <c r="W668" s="3436"/>
      <c r="X668" s="3436"/>
      <c r="Y668" s="3436"/>
      <c r="Z668" s="3436"/>
      <c r="AA668" s="3436"/>
      <c r="AB668" s="3436"/>
      <c r="AC668" s="3436"/>
      <c r="AD668" s="3436"/>
      <c r="AE668" s="3649"/>
    </row>
    <row r="669" spans="16:31" customFormat="1">
      <c r="P669" s="3436"/>
      <c r="Q669" s="3436"/>
      <c r="R669" s="3436"/>
      <c r="S669" s="3436"/>
      <c r="T669" s="3436"/>
      <c r="U669" s="3436"/>
      <c r="V669" s="3436"/>
      <c r="W669" s="3436"/>
      <c r="X669" s="3436"/>
      <c r="Y669" s="3436"/>
      <c r="Z669" s="3436"/>
      <c r="AA669" s="3436"/>
      <c r="AB669" s="3436"/>
      <c r="AC669" s="3436"/>
      <c r="AD669" s="3436"/>
      <c r="AE669" s="3649"/>
    </row>
    <row r="670" spans="16:31" customFormat="1">
      <c r="P670" s="3436"/>
      <c r="Q670" s="3436"/>
      <c r="R670" s="3436"/>
      <c r="S670" s="3436"/>
      <c r="T670" s="3436"/>
      <c r="U670" s="3436"/>
      <c r="V670" s="3436"/>
      <c r="W670" s="3436"/>
      <c r="X670" s="3436"/>
      <c r="Y670" s="3436"/>
      <c r="Z670" s="3436"/>
      <c r="AA670" s="3436"/>
      <c r="AB670" s="3436"/>
      <c r="AC670" s="3436"/>
      <c r="AD670" s="3436"/>
      <c r="AE670" s="3649"/>
    </row>
    <row r="671" spans="16:31" customFormat="1">
      <c r="P671" s="3436"/>
      <c r="Q671" s="3436"/>
      <c r="R671" s="3436"/>
      <c r="S671" s="3436"/>
      <c r="T671" s="3436"/>
      <c r="U671" s="3436"/>
      <c r="V671" s="3436"/>
      <c r="W671" s="3436"/>
      <c r="X671" s="3436"/>
      <c r="Y671" s="3436"/>
      <c r="Z671" s="3436"/>
      <c r="AA671" s="3436"/>
      <c r="AB671" s="3436"/>
      <c r="AC671" s="3436"/>
      <c r="AD671" s="3436"/>
      <c r="AE671" s="3649"/>
    </row>
    <row r="672" spans="16:31" customFormat="1">
      <c r="P672" s="3436"/>
      <c r="Q672" s="3436"/>
      <c r="R672" s="3436"/>
      <c r="S672" s="3436"/>
      <c r="T672" s="3436"/>
      <c r="U672" s="3436"/>
      <c r="V672" s="3436"/>
      <c r="W672" s="3436"/>
      <c r="X672" s="3436"/>
      <c r="Y672" s="3436"/>
      <c r="Z672" s="3436"/>
      <c r="AA672" s="3436"/>
      <c r="AB672" s="3436"/>
      <c r="AC672" s="3436"/>
      <c r="AD672" s="3436"/>
      <c r="AE672" s="3649"/>
    </row>
    <row r="673" spans="16:31" customFormat="1">
      <c r="P673" s="3436"/>
      <c r="Q673" s="3436"/>
      <c r="R673" s="3436"/>
      <c r="S673" s="3436"/>
      <c r="T673" s="3436"/>
      <c r="U673" s="3436"/>
      <c r="V673" s="3436"/>
      <c r="W673" s="3436"/>
      <c r="X673" s="3436"/>
      <c r="Y673" s="3436"/>
      <c r="Z673" s="3436"/>
      <c r="AA673" s="3436"/>
      <c r="AB673" s="3436"/>
      <c r="AC673" s="3436"/>
      <c r="AD673" s="3436"/>
      <c r="AE673" s="3649"/>
    </row>
    <row r="674" spans="16:31" customFormat="1">
      <c r="P674" s="3436"/>
      <c r="Q674" s="3436"/>
      <c r="R674" s="3436"/>
      <c r="S674" s="3436"/>
      <c r="T674" s="3436"/>
      <c r="U674" s="3436"/>
      <c r="V674" s="3436"/>
      <c r="W674" s="3436"/>
      <c r="X674" s="3436"/>
      <c r="Y674" s="3436"/>
      <c r="Z674" s="3436"/>
      <c r="AA674" s="3436"/>
      <c r="AB674" s="3436"/>
      <c r="AC674" s="3436"/>
      <c r="AD674" s="3436"/>
      <c r="AE674" s="3649"/>
    </row>
    <row r="675" spans="16:31" customFormat="1">
      <c r="P675" s="3436"/>
      <c r="Q675" s="3436"/>
      <c r="R675" s="3436"/>
      <c r="S675" s="3436"/>
      <c r="T675" s="3436"/>
      <c r="U675" s="3436"/>
      <c r="V675" s="3436"/>
      <c r="W675" s="3436"/>
      <c r="X675" s="3436"/>
      <c r="Y675" s="3436"/>
      <c r="Z675" s="3436"/>
      <c r="AA675" s="3436"/>
      <c r="AB675" s="3436"/>
      <c r="AC675" s="3436"/>
      <c r="AD675" s="3436"/>
      <c r="AE675" s="3649"/>
    </row>
    <row r="676" spans="16:31" customFormat="1">
      <c r="P676" s="3436"/>
      <c r="Q676" s="3436"/>
      <c r="R676" s="3436"/>
      <c r="S676" s="3436"/>
      <c r="T676" s="3436"/>
      <c r="U676" s="3436"/>
      <c r="V676" s="3436"/>
      <c r="W676" s="3436"/>
      <c r="X676" s="3436"/>
      <c r="Y676" s="3436"/>
      <c r="Z676" s="3436"/>
      <c r="AA676" s="3436"/>
      <c r="AB676" s="3436"/>
      <c r="AC676" s="3436"/>
      <c r="AD676" s="3436"/>
      <c r="AE676" s="3649"/>
    </row>
    <row r="677" spans="16:31" customFormat="1">
      <c r="P677" s="3436"/>
      <c r="Q677" s="3436"/>
      <c r="R677" s="3436"/>
      <c r="S677" s="3436"/>
      <c r="T677" s="3436"/>
      <c r="U677" s="3436"/>
      <c r="V677" s="3436"/>
      <c r="W677" s="3436"/>
      <c r="X677" s="3436"/>
      <c r="Y677" s="3436"/>
      <c r="Z677" s="3436"/>
      <c r="AA677" s="3436"/>
      <c r="AB677" s="3436"/>
      <c r="AC677" s="3436"/>
      <c r="AD677" s="3436"/>
      <c r="AE677" s="3649"/>
    </row>
    <row r="678" spans="16:31" customFormat="1">
      <c r="P678" s="3436"/>
      <c r="Q678" s="3436"/>
      <c r="R678" s="3436"/>
      <c r="S678" s="3436"/>
      <c r="T678" s="3436"/>
      <c r="U678" s="3436"/>
      <c r="V678" s="3436"/>
      <c r="W678" s="3436"/>
      <c r="X678" s="3436"/>
      <c r="Y678" s="3436"/>
      <c r="Z678" s="3436"/>
      <c r="AA678" s="3436"/>
      <c r="AB678" s="3436"/>
      <c r="AC678" s="3436"/>
      <c r="AD678" s="3436"/>
      <c r="AE678" s="3649"/>
    </row>
    <row r="679" spans="16:31" customFormat="1">
      <c r="P679" s="3436"/>
      <c r="Q679" s="3436"/>
      <c r="R679" s="3436"/>
      <c r="S679" s="3436"/>
      <c r="T679" s="3436"/>
      <c r="U679" s="3436"/>
      <c r="V679" s="3436"/>
      <c r="W679" s="3436"/>
      <c r="X679" s="3436"/>
      <c r="Y679" s="3436"/>
      <c r="Z679" s="3436"/>
      <c r="AA679" s="3436"/>
      <c r="AB679" s="3436"/>
      <c r="AC679" s="3436"/>
      <c r="AD679" s="3436"/>
      <c r="AE679" s="3649"/>
    </row>
    <row r="680" spans="16:31" customFormat="1">
      <c r="P680" s="3436"/>
      <c r="Q680" s="3436"/>
      <c r="R680" s="3436"/>
      <c r="S680" s="3436"/>
      <c r="T680" s="3436"/>
      <c r="U680" s="3436"/>
      <c r="V680" s="3436"/>
      <c r="W680" s="3436"/>
      <c r="X680" s="3436"/>
      <c r="Y680" s="3436"/>
      <c r="Z680" s="3436"/>
      <c r="AA680" s="3436"/>
      <c r="AB680" s="3436"/>
      <c r="AC680" s="3436"/>
      <c r="AD680" s="3436"/>
      <c r="AE680" s="3649"/>
    </row>
    <row r="681" spans="16:31" customFormat="1">
      <c r="P681" s="3436"/>
      <c r="Q681" s="3436"/>
      <c r="R681" s="3436"/>
      <c r="S681" s="3436"/>
      <c r="T681" s="3436"/>
      <c r="U681" s="3436"/>
      <c r="V681" s="3436"/>
      <c r="W681" s="3436"/>
      <c r="X681" s="3436"/>
      <c r="Y681" s="3436"/>
      <c r="Z681" s="3436"/>
      <c r="AA681" s="3436"/>
      <c r="AB681" s="3436"/>
      <c r="AC681" s="3436"/>
      <c r="AD681" s="3436"/>
      <c r="AE681" s="3649"/>
    </row>
    <row r="682" spans="16:31" customFormat="1">
      <c r="P682" s="3436"/>
      <c r="Q682" s="3436"/>
      <c r="R682" s="3436"/>
      <c r="S682" s="3436"/>
      <c r="T682" s="3436"/>
      <c r="U682" s="3436"/>
      <c r="V682" s="3436"/>
      <c r="W682" s="3436"/>
      <c r="X682" s="3436"/>
      <c r="Y682" s="3436"/>
      <c r="Z682" s="3436"/>
      <c r="AA682" s="3436"/>
      <c r="AB682" s="3436"/>
      <c r="AC682" s="3436"/>
      <c r="AD682" s="3436"/>
      <c r="AE682" s="3649"/>
    </row>
    <row r="683" spans="16:31" customFormat="1">
      <c r="P683" s="3436"/>
      <c r="Q683" s="3436"/>
      <c r="R683" s="3436"/>
      <c r="S683" s="3436"/>
      <c r="T683" s="3436"/>
      <c r="U683" s="3436"/>
      <c r="V683" s="3436"/>
      <c r="W683" s="3436"/>
      <c r="X683" s="3436"/>
      <c r="Y683" s="3436"/>
      <c r="Z683" s="3436"/>
      <c r="AA683" s="3436"/>
      <c r="AB683" s="3436"/>
      <c r="AC683" s="3436"/>
      <c r="AD683" s="3436"/>
      <c r="AE683" s="3649"/>
    </row>
    <row r="684" spans="16:31" customFormat="1">
      <c r="P684" s="3436"/>
      <c r="Q684" s="3436"/>
      <c r="R684" s="3436"/>
      <c r="S684" s="3436"/>
      <c r="T684" s="3436"/>
      <c r="U684" s="3436"/>
      <c r="V684" s="3436"/>
      <c r="W684" s="3436"/>
      <c r="X684" s="3436"/>
      <c r="Y684" s="3436"/>
      <c r="Z684" s="3436"/>
      <c r="AA684" s="3436"/>
      <c r="AB684" s="3436"/>
      <c r="AC684" s="3436"/>
      <c r="AD684" s="3436"/>
      <c r="AE684" s="3649"/>
    </row>
    <row r="685" spans="16:31" customFormat="1">
      <c r="P685" s="3436"/>
      <c r="Q685" s="3436"/>
      <c r="R685" s="3436"/>
      <c r="S685" s="3436"/>
      <c r="T685" s="3436"/>
      <c r="U685" s="3436"/>
      <c r="V685" s="3436"/>
      <c r="W685" s="3436"/>
      <c r="X685" s="3436"/>
      <c r="Y685" s="3436"/>
      <c r="Z685" s="3436"/>
      <c r="AA685" s="3436"/>
      <c r="AB685" s="3436"/>
      <c r="AC685" s="3436"/>
      <c r="AD685" s="3436"/>
      <c r="AE685" s="3649"/>
    </row>
    <row r="686" spans="16:31" customFormat="1">
      <c r="P686" s="3436"/>
      <c r="Q686" s="3436"/>
      <c r="R686" s="3436"/>
      <c r="S686" s="3436"/>
      <c r="T686" s="3436"/>
      <c r="U686" s="3436"/>
      <c r="V686" s="3436"/>
      <c r="W686" s="3436"/>
      <c r="X686" s="3436"/>
      <c r="Y686" s="3436"/>
      <c r="Z686" s="3436"/>
      <c r="AA686" s="3436"/>
      <c r="AB686" s="3436"/>
      <c r="AC686" s="3436"/>
      <c r="AD686" s="3436"/>
      <c r="AE686" s="3649"/>
    </row>
    <row r="687" spans="16:31" customFormat="1">
      <c r="P687" s="3436"/>
      <c r="Q687" s="3436"/>
      <c r="R687" s="3436"/>
      <c r="S687" s="3436"/>
      <c r="T687" s="3436"/>
      <c r="U687" s="3436"/>
      <c r="V687" s="3436"/>
      <c r="W687" s="3436"/>
      <c r="X687" s="3436"/>
      <c r="Y687" s="3436"/>
      <c r="Z687" s="3436"/>
      <c r="AA687" s="3436"/>
      <c r="AB687" s="3436"/>
      <c r="AC687" s="3436"/>
      <c r="AD687" s="3436"/>
      <c r="AE687" s="3649"/>
    </row>
    <row r="688" spans="16:31" customFormat="1">
      <c r="P688" s="3436"/>
      <c r="Q688" s="3436"/>
      <c r="R688" s="3436"/>
      <c r="S688" s="3436"/>
      <c r="T688" s="3436"/>
      <c r="U688" s="3436"/>
      <c r="V688" s="3436"/>
      <c r="W688" s="3436"/>
      <c r="X688" s="3436"/>
      <c r="Y688" s="3436"/>
      <c r="Z688" s="3436"/>
      <c r="AA688" s="3436"/>
      <c r="AB688" s="3436"/>
      <c r="AC688" s="3436"/>
      <c r="AD688" s="3436"/>
      <c r="AE688" s="3649"/>
    </row>
    <row r="689" spans="16:31" customFormat="1">
      <c r="P689" s="3436"/>
      <c r="Q689" s="3436"/>
      <c r="R689" s="3436"/>
      <c r="S689" s="3436"/>
      <c r="T689" s="3436"/>
      <c r="U689" s="3436"/>
      <c r="V689" s="3436"/>
      <c r="W689" s="3436"/>
      <c r="X689" s="3436"/>
      <c r="Y689" s="3436"/>
      <c r="Z689" s="3436"/>
      <c r="AA689" s="3436"/>
      <c r="AB689" s="3436"/>
      <c r="AC689" s="3436"/>
      <c r="AD689" s="3436"/>
      <c r="AE689" s="3649"/>
    </row>
    <row r="690" spans="16:31" customFormat="1">
      <c r="P690" s="3436"/>
      <c r="Q690" s="3436"/>
      <c r="R690" s="3436"/>
      <c r="S690" s="3436"/>
      <c r="T690" s="3436"/>
      <c r="U690" s="3436"/>
      <c r="V690" s="3436"/>
      <c r="W690" s="3436"/>
      <c r="X690" s="3436"/>
      <c r="Y690" s="3436"/>
      <c r="Z690" s="3436"/>
      <c r="AA690" s="3436"/>
      <c r="AB690" s="3436"/>
      <c r="AC690" s="3436"/>
      <c r="AD690" s="3436"/>
      <c r="AE690" s="3649"/>
    </row>
    <row r="691" spans="16:31" customFormat="1">
      <c r="P691" s="3436"/>
      <c r="Q691" s="3436"/>
      <c r="R691" s="3436"/>
      <c r="S691" s="3436"/>
      <c r="T691" s="3436"/>
      <c r="U691" s="3436"/>
      <c r="V691" s="3436"/>
      <c r="W691" s="3436"/>
      <c r="X691" s="3436"/>
      <c r="Y691" s="3436"/>
      <c r="Z691" s="3436"/>
      <c r="AA691" s="3436"/>
      <c r="AB691" s="3436"/>
      <c r="AC691" s="3436"/>
      <c r="AD691" s="3436"/>
      <c r="AE691" s="3649"/>
    </row>
    <row r="692" spans="16:31" customFormat="1">
      <c r="P692" s="3436"/>
      <c r="Q692" s="3436"/>
      <c r="R692" s="3436"/>
      <c r="S692" s="3436"/>
      <c r="T692" s="3436"/>
      <c r="U692" s="3436"/>
      <c r="V692" s="3436"/>
      <c r="W692" s="3436"/>
      <c r="X692" s="3436"/>
      <c r="Y692" s="3436"/>
      <c r="Z692" s="3436"/>
      <c r="AA692" s="3436"/>
      <c r="AB692" s="3436"/>
      <c r="AC692" s="3436"/>
      <c r="AD692" s="3436"/>
      <c r="AE692" s="3649"/>
    </row>
    <row r="693" spans="16:31" customFormat="1">
      <c r="P693" s="3436"/>
      <c r="Q693" s="3436"/>
      <c r="R693" s="3436"/>
      <c r="S693" s="3436"/>
      <c r="T693" s="3436"/>
      <c r="U693" s="3436"/>
      <c r="V693" s="3436"/>
      <c r="W693" s="3436"/>
      <c r="X693" s="3436"/>
      <c r="Y693" s="3436"/>
      <c r="Z693" s="3436"/>
      <c r="AA693" s="3436"/>
      <c r="AB693" s="3436"/>
      <c r="AC693" s="3436"/>
      <c r="AD693" s="3436"/>
      <c r="AE693" s="3649"/>
    </row>
    <row r="694" spans="16:31" customFormat="1">
      <c r="P694" s="3436"/>
      <c r="Q694" s="3436"/>
      <c r="R694" s="3436"/>
      <c r="S694" s="3436"/>
      <c r="T694" s="3436"/>
      <c r="U694" s="3436"/>
      <c r="V694" s="3436"/>
      <c r="W694" s="3436"/>
      <c r="X694" s="3436"/>
      <c r="Y694" s="3436"/>
      <c r="Z694" s="3436"/>
      <c r="AA694" s="3436"/>
      <c r="AB694" s="3436"/>
      <c r="AC694" s="3436"/>
      <c r="AD694" s="3436"/>
      <c r="AE694" s="3649"/>
    </row>
    <row r="695" spans="16:31" customFormat="1">
      <c r="P695" s="3436"/>
      <c r="Q695" s="3436"/>
      <c r="R695" s="3436"/>
      <c r="S695" s="3436"/>
      <c r="T695" s="3436"/>
      <c r="U695" s="3436"/>
      <c r="V695" s="3436"/>
      <c r="W695" s="3436"/>
      <c r="X695" s="3436"/>
      <c r="Y695" s="3436"/>
      <c r="Z695" s="3436"/>
      <c r="AA695" s="3436"/>
      <c r="AB695" s="3436"/>
      <c r="AC695" s="3436"/>
      <c r="AD695" s="3436"/>
      <c r="AE695" s="3649"/>
    </row>
    <row r="696" spans="16:31" customFormat="1">
      <c r="P696" s="3436"/>
      <c r="Q696" s="3436"/>
      <c r="R696" s="3436"/>
      <c r="S696" s="3436"/>
      <c r="T696" s="3436"/>
      <c r="U696" s="3436"/>
      <c r="V696" s="3436"/>
      <c r="W696" s="3436"/>
      <c r="X696" s="3436"/>
      <c r="Y696" s="3436"/>
      <c r="Z696" s="3436"/>
      <c r="AA696" s="3436"/>
      <c r="AB696" s="3436"/>
      <c r="AC696" s="3436"/>
      <c r="AD696" s="3436"/>
      <c r="AE696" s="3649"/>
    </row>
    <row r="697" spans="16:31" customFormat="1">
      <c r="P697" s="3436"/>
      <c r="Q697" s="3436"/>
      <c r="R697" s="3436"/>
      <c r="S697" s="3436"/>
      <c r="T697" s="3436"/>
      <c r="U697" s="3436"/>
      <c r="V697" s="3436"/>
      <c r="W697" s="3436"/>
      <c r="X697" s="3436"/>
      <c r="Y697" s="3436"/>
      <c r="Z697" s="3436"/>
      <c r="AA697" s="3436"/>
      <c r="AB697" s="3436"/>
      <c r="AC697" s="3436"/>
      <c r="AD697" s="3436"/>
      <c r="AE697" s="3649"/>
    </row>
    <row r="698" spans="16:31" customFormat="1">
      <c r="P698" s="3436"/>
      <c r="Q698" s="3436"/>
      <c r="R698" s="3436"/>
      <c r="S698" s="3436"/>
      <c r="T698" s="3436"/>
      <c r="U698" s="3436"/>
      <c r="V698" s="3436"/>
      <c r="W698" s="3436"/>
      <c r="X698" s="3436"/>
      <c r="Y698" s="3436"/>
      <c r="Z698" s="3436"/>
      <c r="AA698" s="3436"/>
      <c r="AB698" s="3436"/>
      <c r="AC698" s="3436"/>
      <c r="AD698" s="3436"/>
      <c r="AE698" s="3649"/>
    </row>
    <row r="699" spans="16:31" customFormat="1">
      <c r="P699" s="3436"/>
      <c r="Q699" s="3436"/>
      <c r="R699" s="3436"/>
      <c r="S699" s="3436"/>
      <c r="T699" s="3436"/>
      <c r="U699" s="3436"/>
      <c r="V699" s="3436"/>
      <c r="W699" s="3436"/>
      <c r="X699" s="3436"/>
      <c r="Y699" s="3436"/>
      <c r="Z699" s="3436"/>
      <c r="AA699" s="3436"/>
      <c r="AB699" s="3436"/>
      <c r="AC699" s="3436"/>
      <c r="AD699" s="3436"/>
      <c r="AE699" s="3649"/>
    </row>
    <row r="700" spans="16:31" customFormat="1">
      <c r="P700" s="3436"/>
      <c r="Q700" s="3436"/>
      <c r="R700" s="3436"/>
      <c r="S700" s="3436"/>
      <c r="T700" s="3436"/>
      <c r="U700" s="3436"/>
      <c r="V700" s="3436"/>
      <c r="W700" s="3436"/>
      <c r="X700" s="3436"/>
      <c r="Y700" s="3436"/>
      <c r="Z700" s="3436"/>
      <c r="AA700" s="3436"/>
      <c r="AB700" s="3436"/>
      <c r="AC700" s="3436"/>
      <c r="AD700" s="3436"/>
      <c r="AE700" s="3649"/>
    </row>
    <row r="701" spans="16:31" customFormat="1">
      <c r="P701" s="3436"/>
      <c r="Q701" s="3436"/>
      <c r="R701" s="3436"/>
      <c r="S701" s="3436"/>
      <c r="T701" s="3436"/>
      <c r="U701" s="3436"/>
      <c r="V701" s="3436"/>
      <c r="W701" s="3436"/>
      <c r="X701" s="3436"/>
      <c r="Y701" s="3436"/>
      <c r="Z701" s="3436"/>
      <c r="AA701" s="3436"/>
      <c r="AB701" s="3436"/>
      <c r="AC701" s="3436"/>
      <c r="AD701" s="3436"/>
      <c r="AE701" s="3649"/>
    </row>
    <row r="702" spans="16:31" customFormat="1">
      <c r="P702" s="3436"/>
      <c r="Q702" s="3436"/>
      <c r="R702" s="3436"/>
      <c r="S702" s="3436"/>
      <c r="T702" s="3436"/>
      <c r="U702" s="3436"/>
      <c r="V702" s="3436"/>
      <c r="W702" s="3436"/>
      <c r="X702" s="3436"/>
      <c r="Y702" s="3436"/>
      <c r="Z702" s="3436"/>
      <c r="AA702" s="3436"/>
      <c r="AB702" s="3436"/>
      <c r="AC702" s="3436"/>
      <c r="AD702" s="3436"/>
      <c r="AE702" s="3649"/>
    </row>
    <row r="703" spans="16:31" customFormat="1">
      <c r="P703" s="3436"/>
      <c r="Q703" s="3436"/>
      <c r="R703" s="3436"/>
      <c r="S703" s="3436"/>
      <c r="T703" s="3436"/>
      <c r="U703" s="3436"/>
      <c r="V703" s="3436"/>
      <c r="W703" s="3436"/>
      <c r="X703" s="3436"/>
      <c r="Y703" s="3436"/>
      <c r="Z703" s="3436"/>
      <c r="AA703" s="3436"/>
      <c r="AB703" s="3436"/>
      <c r="AC703" s="3436"/>
      <c r="AD703" s="3436"/>
      <c r="AE703" s="3649"/>
    </row>
    <row r="704" spans="16:31" customFormat="1">
      <c r="P704" s="3436"/>
      <c r="Q704" s="3436"/>
      <c r="R704" s="3436"/>
      <c r="S704" s="3436"/>
      <c r="T704" s="3436"/>
      <c r="U704" s="3436"/>
      <c r="V704" s="3436"/>
      <c r="W704" s="3436"/>
      <c r="X704" s="3436"/>
      <c r="Y704" s="3436"/>
      <c r="Z704" s="3436"/>
      <c r="AA704" s="3436"/>
      <c r="AB704" s="3436"/>
      <c r="AC704" s="3436"/>
      <c r="AD704" s="3436"/>
      <c r="AE704" s="3649"/>
    </row>
    <row r="705" spans="16:31" customFormat="1">
      <c r="P705" s="3436"/>
      <c r="Q705" s="3436"/>
      <c r="R705" s="3436"/>
      <c r="S705" s="3436"/>
      <c r="T705" s="3436"/>
      <c r="U705" s="3436"/>
      <c r="V705" s="3436"/>
      <c r="W705" s="3436"/>
      <c r="X705" s="3436"/>
      <c r="Y705" s="3436"/>
      <c r="Z705" s="3436"/>
      <c r="AA705" s="3436"/>
      <c r="AB705" s="3436"/>
      <c r="AC705" s="3436"/>
      <c r="AD705" s="3436"/>
      <c r="AE705" s="3649"/>
    </row>
    <row r="706" spans="16:31" customFormat="1">
      <c r="P706" s="3436"/>
      <c r="Q706" s="3436"/>
      <c r="R706" s="3436"/>
      <c r="S706" s="3436"/>
      <c r="T706" s="3436"/>
      <c r="U706" s="3436"/>
      <c r="V706" s="3436"/>
      <c r="W706" s="3436"/>
      <c r="X706" s="3436"/>
      <c r="Y706" s="3436"/>
      <c r="Z706" s="3436"/>
      <c r="AA706" s="3436"/>
      <c r="AB706" s="3436"/>
      <c r="AC706" s="3436"/>
      <c r="AD706" s="3436"/>
      <c r="AE706" s="3649"/>
    </row>
    <row r="707" spans="16:31" customFormat="1">
      <c r="P707" s="3436"/>
      <c r="Q707" s="3436"/>
      <c r="R707" s="3436"/>
      <c r="S707" s="3436"/>
      <c r="T707" s="3436"/>
      <c r="U707" s="3436"/>
      <c r="V707" s="3436"/>
      <c r="W707" s="3436"/>
      <c r="X707" s="3436"/>
      <c r="Y707" s="3436"/>
      <c r="Z707" s="3436"/>
      <c r="AA707" s="3436"/>
      <c r="AB707" s="3436"/>
      <c r="AC707" s="3436"/>
      <c r="AD707" s="3436"/>
      <c r="AE707" s="3649"/>
    </row>
    <row r="708" spans="16:31" customFormat="1">
      <c r="P708" s="3436"/>
      <c r="Q708" s="3436"/>
      <c r="R708" s="3436"/>
      <c r="S708" s="3436"/>
      <c r="T708" s="3436"/>
      <c r="U708" s="3436"/>
      <c r="V708" s="3436"/>
      <c r="W708" s="3436"/>
      <c r="X708" s="3436"/>
      <c r="Y708" s="3436"/>
      <c r="Z708" s="3436"/>
      <c r="AA708" s="3436"/>
      <c r="AB708" s="3436"/>
      <c r="AC708" s="3436"/>
      <c r="AD708" s="3436"/>
      <c r="AE708" s="3649"/>
    </row>
    <row r="709" spans="16:31" customFormat="1">
      <c r="P709" s="3436"/>
      <c r="Q709" s="3436"/>
      <c r="R709" s="3436"/>
      <c r="S709" s="3436"/>
      <c r="T709" s="3436"/>
      <c r="U709" s="3436"/>
      <c r="V709" s="3436"/>
      <c r="W709" s="3436"/>
      <c r="X709" s="3436"/>
      <c r="Y709" s="3436"/>
      <c r="Z709" s="3436"/>
      <c r="AA709" s="3436"/>
      <c r="AB709" s="3436"/>
      <c r="AC709" s="3436"/>
      <c r="AD709" s="3436"/>
      <c r="AE709" s="3649"/>
    </row>
    <row r="710" spans="16:31" customFormat="1">
      <c r="P710" s="3436"/>
      <c r="Q710" s="3436"/>
      <c r="R710" s="3436"/>
      <c r="S710" s="3436"/>
      <c r="T710" s="3436"/>
      <c r="U710" s="3436"/>
      <c r="V710" s="3436"/>
      <c r="W710" s="3436"/>
      <c r="X710" s="3436"/>
      <c r="Y710" s="3436"/>
      <c r="Z710" s="3436"/>
      <c r="AA710" s="3436"/>
      <c r="AB710" s="3436"/>
      <c r="AC710" s="3436"/>
      <c r="AD710" s="3436"/>
      <c r="AE710" s="3649"/>
    </row>
    <row r="711" spans="16:31" customFormat="1">
      <c r="P711" s="3436"/>
      <c r="Q711" s="3436"/>
      <c r="R711" s="3436"/>
      <c r="S711" s="3436"/>
      <c r="T711" s="3436"/>
      <c r="U711" s="3436"/>
      <c r="V711" s="3436"/>
      <c r="W711" s="3436"/>
      <c r="X711" s="3436"/>
      <c r="Y711" s="3436"/>
      <c r="Z711" s="3436"/>
      <c r="AA711" s="3436"/>
      <c r="AB711" s="3436"/>
      <c r="AC711" s="3436"/>
      <c r="AD711" s="3436"/>
      <c r="AE711" s="3649"/>
    </row>
    <row r="712" spans="16:31" customFormat="1">
      <c r="P712" s="3436"/>
      <c r="Q712" s="3436"/>
      <c r="R712" s="3436"/>
      <c r="S712" s="3436"/>
      <c r="T712" s="3436"/>
      <c r="U712" s="3436"/>
      <c r="V712" s="3436"/>
      <c r="W712" s="3436"/>
      <c r="X712" s="3436"/>
      <c r="Y712" s="3436"/>
      <c r="Z712" s="3436"/>
      <c r="AA712" s="3436"/>
      <c r="AB712" s="3436"/>
      <c r="AC712" s="3436"/>
      <c r="AD712" s="3436"/>
      <c r="AE712" s="3649"/>
    </row>
    <row r="713" spans="16:31" customFormat="1">
      <c r="P713" s="3436"/>
      <c r="Q713" s="3436"/>
      <c r="R713" s="3436"/>
      <c r="S713" s="3436"/>
      <c r="T713" s="3436"/>
      <c r="U713" s="3436"/>
      <c r="V713" s="3436"/>
      <c r="W713" s="3436"/>
      <c r="X713" s="3436"/>
      <c r="Y713" s="3436"/>
      <c r="Z713" s="3436"/>
      <c r="AA713" s="3436"/>
      <c r="AB713" s="3436"/>
      <c r="AC713" s="3436"/>
      <c r="AD713" s="3436"/>
      <c r="AE713" s="3649"/>
    </row>
    <row r="714" spans="16:31" customFormat="1">
      <c r="P714" s="3436"/>
      <c r="Q714" s="3436"/>
      <c r="R714" s="3436"/>
      <c r="S714" s="3436"/>
      <c r="T714" s="3436"/>
      <c r="U714" s="3436"/>
      <c r="V714" s="3436"/>
      <c r="W714" s="3436"/>
      <c r="X714" s="3436"/>
      <c r="Y714" s="3436"/>
      <c r="Z714" s="3436"/>
      <c r="AA714" s="3436"/>
      <c r="AB714" s="3436"/>
      <c r="AC714" s="3436"/>
      <c r="AD714" s="3436"/>
      <c r="AE714" s="3649"/>
    </row>
    <row r="715" spans="16:31" customFormat="1">
      <c r="P715" s="3436"/>
      <c r="Q715" s="3436"/>
      <c r="R715" s="3436"/>
      <c r="S715" s="3436"/>
      <c r="T715" s="3436"/>
      <c r="U715" s="3436"/>
      <c r="V715" s="3436"/>
      <c r="W715" s="3436"/>
      <c r="X715" s="3436"/>
      <c r="Y715" s="3436"/>
      <c r="Z715" s="3436"/>
      <c r="AA715" s="3436"/>
      <c r="AB715" s="3436"/>
      <c r="AC715" s="3436"/>
      <c r="AD715" s="3436"/>
      <c r="AE715" s="3649"/>
    </row>
    <row r="716" spans="16:31" customFormat="1">
      <c r="P716" s="3436"/>
      <c r="Q716" s="3436"/>
      <c r="R716" s="3436"/>
      <c r="S716" s="3436"/>
      <c r="T716" s="3436"/>
      <c r="U716" s="3436"/>
      <c r="V716" s="3436"/>
      <c r="W716" s="3436"/>
      <c r="X716" s="3436"/>
      <c r="Y716" s="3436"/>
      <c r="Z716" s="3436"/>
      <c r="AA716" s="3436"/>
      <c r="AB716" s="3436"/>
      <c r="AC716" s="3436"/>
      <c r="AD716" s="3436"/>
      <c r="AE716" s="3649"/>
    </row>
    <row r="717" spans="16:31" customFormat="1">
      <c r="P717" s="3436"/>
      <c r="Q717" s="3436"/>
      <c r="R717" s="3436"/>
      <c r="S717" s="3436"/>
      <c r="T717" s="3436"/>
      <c r="U717" s="3436"/>
      <c r="V717" s="3436"/>
      <c r="W717" s="3436"/>
      <c r="X717" s="3436"/>
      <c r="Y717" s="3436"/>
      <c r="Z717" s="3436"/>
      <c r="AA717" s="3436"/>
      <c r="AB717" s="3436"/>
      <c r="AC717" s="3436"/>
      <c r="AD717" s="3436"/>
      <c r="AE717" s="3649"/>
    </row>
    <row r="718" spans="16:31" customFormat="1">
      <c r="P718" s="3436"/>
      <c r="Q718" s="3436"/>
      <c r="R718" s="3436"/>
      <c r="S718" s="3436"/>
      <c r="T718" s="3436"/>
      <c r="U718" s="3436"/>
      <c r="V718" s="3436"/>
      <c r="W718" s="3436"/>
      <c r="X718" s="3436"/>
      <c r="Y718" s="3436"/>
      <c r="Z718" s="3436"/>
      <c r="AA718" s="3436"/>
      <c r="AB718" s="3436"/>
      <c r="AC718" s="3436"/>
      <c r="AD718" s="3436"/>
      <c r="AE718" s="3649"/>
    </row>
    <row r="719" spans="16:31" customFormat="1">
      <c r="P719" s="3436"/>
      <c r="Q719" s="3436"/>
      <c r="R719" s="3436"/>
      <c r="S719" s="3436"/>
      <c r="T719" s="3436"/>
      <c r="U719" s="3436"/>
      <c r="V719" s="3436"/>
      <c r="W719" s="3436"/>
      <c r="X719" s="3436"/>
      <c r="Y719" s="3436"/>
      <c r="Z719" s="3436"/>
      <c r="AA719" s="3436"/>
      <c r="AB719" s="3436"/>
      <c r="AC719" s="3436"/>
      <c r="AD719" s="3436"/>
      <c r="AE719" s="3649"/>
    </row>
    <row r="720" spans="16:31" customFormat="1">
      <c r="P720" s="3436"/>
      <c r="Q720" s="3436"/>
      <c r="R720" s="3436"/>
      <c r="S720" s="3436"/>
      <c r="T720" s="3436"/>
      <c r="U720" s="3436"/>
      <c r="V720" s="3436"/>
      <c r="W720" s="3436"/>
      <c r="X720" s="3436"/>
      <c r="Y720" s="3436"/>
      <c r="Z720" s="3436"/>
      <c r="AA720" s="3436"/>
      <c r="AB720" s="3436"/>
      <c r="AC720" s="3436"/>
      <c r="AD720" s="3436"/>
      <c r="AE720" s="3649"/>
    </row>
    <row r="721" spans="16:31" customFormat="1">
      <c r="P721" s="3436"/>
      <c r="Q721" s="3436"/>
      <c r="R721" s="3436"/>
      <c r="S721" s="3436"/>
      <c r="T721" s="3436"/>
      <c r="U721" s="3436"/>
      <c r="V721" s="3436"/>
      <c r="W721" s="3436"/>
      <c r="X721" s="3436"/>
      <c r="Y721" s="3436"/>
      <c r="Z721" s="3436"/>
      <c r="AA721" s="3436"/>
      <c r="AB721" s="3436"/>
      <c r="AC721" s="3436"/>
      <c r="AD721" s="3436"/>
      <c r="AE721" s="3649"/>
    </row>
    <row r="722" spans="16:31" customFormat="1">
      <c r="P722" s="3436"/>
      <c r="Q722" s="3436"/>
      <c r="R722" s="3436"/>
      <c r="S722" s="3436"/>
      <c r="T722" s="3436"/>
      <c r="U722" s="3436"/>
      <c r="V722" s="3436"/>
      <c r="W722" s="3436"/>
      <c r="X722" s="3436"/>
      <c r="Y722" s="3436"/>
      <c r="Z722" s="3436"/>
      <c r="AA722" s="3436"/>
      <c r="AB722" s="3436"/>
      <c r="AC722" s="3436"/>
      <c r="AD722" s="3436"/>
      <c r="AE722" s="3649"/>
    </row>
    <row r="723" spans="16:31" customFormat="1">
      <c r="P723" s="3436"/>
      <c r="Q723" s="3436"/>
      <c r="R723" s="3436"/>
      <c r="S723" s="3436"/>
      <c r="T723" s="3436"/>
      <c r="U723" s="3436"/>
      <c r="V723" s="3436"/>
      <c r="W723" s="3436"/>
      <c r="X723" s="3436"/>
      <c r="Y723" s="3436"/>
      <c r="Z723" s="3436"/>
      <c r="AA723" s="3436"/>
      <c r="AB723" s="3436"/>
      <c r="AC723" s="3436"/>
      <c r="AD723" s="3436"/>
      <c r="AE723" s="3649"/>
    </row>
    <row r="724" spans="16:31" customFormat="1">
      <c r="P724" s="3436"/>
      <c r="Q724" s="3436"/>
      <c r="R724" s="3436"/>
      <c r="S724" s="3436"/>
      <c r="T724" s="3436"/>
      <c r="U724" s="3436"/>
      <c r="V724" s="3436"/>
      <c r="W724" s="3436"/>
      <c r="X724" s="3436"/>
      <c r="Y724" s="3436"/>
      <c r="Z724" s="3436"/>
      <c r="AA724" s="3436"/>
      <c r="AB724" s="3436"/>
      <c r="AC724" s="3436"/>
      <c r="AD724" s="3436"/>
      <c r="AE724" s="3649"/>
    </row>
    <row r="725" spans="16:31" customFormat="1">
      <c r="P725" s="3436"/>
      <c r="Q725" s="3436"/>
      <c r="R725" s="3436"/>
      <c r="S725" s="3436"/>
      <c r="T725" s="3436"/>
      <c r="U725" s="3436"/>
      <c r="V725" s="3436"/>
      <c r="W725" s="3436"/>
      <c r="X725" s="3436"/>
      <c r="Y725" s="3436"/>
      <c r="Z725" s="3436"/>
      <c r="AA725" s="3436"/>
      <c r="AB725" s="3436"/>
      <c r="AC725" s="3436"/>
      <c r="AD725" s="3436"/>
      <c r="AE725" s="3649"/>
    </row>
    <row r="726" spans="16:31" customFormat="1">
      <c r="P726" s="3436"/>
      <c r="Q726" s="3436"/>
      <c r="R726" s="3436"/>
      <c r="S726" s="3436"/>
      <c r="T726" s="3436"/>
      <c r="U726" s="3436"/>
      <c r="V726" s="3436"/>
      <c r="W726" s="3436"/>
      <c r="X726" s="3436"/>
      <c r="Y726" s="3436"/>
      <c r="Z726" s="3436"/>
      <c r="AA726" s="3436"/>
      <c r="AB726" s="3436"/>
      <c r="AC726" s="3436"/>
      <c r="AD726" s="3436"/>
      <c r="AE726" s="3649"/>
    </row>
    <row r="727" spans="16:31" customFormat="1">
      <c r="P727" s="3436"/>
      <c r="Q727" s="3436"/>
      <c r="R727" s="3436"/>
      <c r="S727" s="3436"/>
      <c r="T727" s="3436"/>
      <c r="U727" s="3436"/>
      <c r="V727" s="3436"/>
      <c r="W727" s="3436"/>
      <c r="X727" s="3436"/>
      <c r="Y727" s="3436"/>
      <c r="Z727" s="3436"/>
      <c r="AA727" s="3436"/>
      <c r="AB727" s="3436"/>
      <c r="AC727" s="3436"/>
      <c r="AD727" s="3436"/>
      <c r="AE727" s="3649"/>
    </row>
    <row r="728" spans="16:31" customFormat="1">
      <c r="P728" s="3436"/>
      <c r="Q728" s="3436"/>
      <c r="R728" s="3436"/>
      <c r="S728" s="3436"/>
      <c r="T728" s="3436"/>
      <c r="U728" s="3436"/>
      <c r="V728" s="3436"/>
      <c r="W728" s="3436"/>
      <c r="X728" s="3436"/>
      <c r="Y728" s="3436"/>
      <c r="Z728" s="3436"/>
      <c r="AA728" s="3436"/>
      <c r="AB728" s="3436"/>
      <c r="AC728" s="3436"/>
      <c r="AD728" s="3436"/>
      <c r="AE728" s="3649"/>
    </row>
    <row r="729" spans="16:31" customFormat="1">
      <c r="P729" s="3436"/>
      <c r="Q729" s="3436"/>
      <c r="R729" s="3436"/>
      <c r="S729" s="3436"/>
      <c r="T729" s="3436"/>
      <c r="U729" s="3436"/>
      <c r="V729" s="3436"/>
      <c r="W729" s="3436"/>
      <c r="X729" s="3436"/>
      <c r="Y729" s="3436"/>
      <c r="Z729" s="3436"/>
      <c r="AA729" s="3436"/>
      <c r="AB729" s="3436"/>
      <c r="AC729" s="3436"/>
      <c r="AD729" s="3436"/>
      <c r="AE729" s="3649"/>
    </row>
    <row r="730" spans="16:31" customFormat="1">
      <c r="P730" s="3436"/>
      <c r="Q730" s="3436"/>
      <c r="R730" s="3436"/>
      <c r="S730" s="3436"/>
      <c r="T730" s="3436"/>
      <c r="U730" s="3436"/>
      <c r="V730" s="3436"/>
      <c r="W730" s="3436"/>
      <c r="X730" s="3436"/>
      <c r="Y730" s="3436"/>
      <c r="Z730" s="3436"/>
      <c r="AA730" s="3436"/>
      <c r="AB730" s="3436"/>
      <c r="AC730" s="3436"/>
      <c r="AD730" s="3436"/>
      <c r="AE730" s="3649"/>
    </row>
    <row r="731" spans="16:31" customFormat="1">
      <c r="P731" s="3436"/>
      <c r="Q731" s="3436"/>
      <c r="R731" s="3436"/>
      <c r="S731" s="3436"/>
      <c r="T731" s="3436"/>
      <c r="U731" s="3436"/>
      <c r="V731" s="3436"/>
      <c r="W731" s="3436"/>
      <c r="X731" s="3436"/>
      <c r="Y731" s="3436"/>
      <c r="Z731" s="3436"/>
      <c r="AA731" s="3436"/>
      <c r="AB731" s="3436"/>
      <c r="AC731" s="3436"/>
      <c r="AD731" s="3436"/>
      <c r="AE731" s="3649"/>
    </row>
    <row r="732" spans="16:31" customFormat="1">
      <c r="P732" s="3436"/>
      <c r="Q732" s="3436"/>
      <c r="R732" s="3436"/>
      <c r="S732" s="3436"/>
      <c r="T732" s="3436"/>
      <c r="U732" s="3436"/>
      <c r="V732" s="3436"/>
      <c r="W732" s="3436"/>
      <c r="X732" s="3436"/>
      <c r="Y732" s="3436"/>
      <c r="Z732" s="3436"/>
      <c r="AA732" s="3436"/>
      <c r="AB732" s="3436"/>
      <c r="AC732" s="3436"/>
      <c r="AD732" s="3436"/>
      <c r="AE732" s="3649"/>
    </row>
    <row r="733" spans="16:31" customFormat="1">
      <c r="P733" s="3436"/>
      <c r="Q733" s="3436"/>
      <c r="R733" s="3436"/>
      <c r="S733" s="3436"/>
      <c r="T733" s="3436"/>
      <c r="U733" s="3436"/>
      <c r="V733" s="3436"/>
      <c r="W733" s="3436"/>
      <c r="X733" s="3436"/>
      <c r="Y733" s="3436"/>
      <c r="Z733" s="3436"/>
      <c r="AA733" s="3436"/>
      <c r="AB733" s="3436"/>
      <c r="AC733" s="3436"/>
      <c r="AD733" s="3436"/>
      <c r="AE733" s="3649"/>
    </row>
    <row r="734" spans="16:31" customFormat="1">
      <c r="P734" s="3436"/>
      <c r="Q734" s="3436"/>
      <c r="R734" s="3436"/>
      <c r="S734" s="3436"/>
      <c r="T734" s="3436"/>
      <c r="U734" s="3436"/>
      <c r="V734" s="3436"/>
      <c r="W734" s="3436"/>
      <c r="X734" s="3436"/>
      <c r="Y734" s="3436"/>
      <c r="Z734" s="3436"/>
      <c r="AA734" s="3436"/>
      <c r="AB734" s="3436"/>
      <c r="AC734" s="3436"/>
      <c r="AD734" s="3436"/>
      <c r="AE734" s="3649"/>
    </row>
    <row r="735" spans="16:31" customFormat="1">
      <c r="P735" s="3436"/>
      <c r="Q735" s="3436"/>
      <c r="R735" s="3436"/>
      <c r="S735" s="3436"/>
      <c r="T735" s="3436"/>
      <c r="U735" s="3436"/>
      <c r="V735" s="3436"/>
      <c r="W735" s="3436"/>
      <c r="X735" s="3436"/>
      <c r="Y735" s="3436"/>
      <c r="Z735" s="3436"/>
      <c r="AA735" s="3436"/>
      <c r="AB735" s="3436"/>
      <c r="AC735" s="3436"/>
      <c r="AD735" s="3436"/>
      <c r="AE735" s="3649"/>
    </row>
    <row r="736" spans="16:31" customFormat="1">
      <c r="P736" s="3436"/>
      <c r="Q736" s="3436"/>
      <c r="R736" s="3436"/>
      <c r="S736" s="3436"/>
      <c r="T736" s="3436"/>
      <c r="U736" s="3436"/>
      <c r="V736" s="3436"/>
      <c r="W736" s="3436"/>
      <c r="X736" s="3436"/>
      <c r="Y736" s="3436"/>
      <c r="Z736" s="3436"/>
      <c r="AA736" s="3436"/>
      <c r="AB736" s="3436"/>
      <c r="AC736" s="3436"/>
      <c r="AD736" s="3436"/>
      <c r="AE736" s="3649"/>
    </row>
    <row r="737" spans="16:31" customFormat="1">
      <c r="P737" s="3436"/>
      <c r="Q737" s="3436"/>
      <c r="R737" s="3436"/>
      <c r="S737" s="3436"/>
      <c r="T737" s="3436"/>
      <c r="U737" s="3436"/>
      <c r="V737" s="3436"/>
      <c r="W737" s="3436"/>
      <c r="X737" s="3436"/>
      <c r="Y737" s="3436"/>
      <c r="Z737" s="3436"/>
      <c r="AA737" s="3436"/>
      <c r="AB737" s="3436"/>
      <c r="AC737" s="3436"/>
      <c r="AD737" s="3436"/>
      <c r="AE737" s="3649"/>
    </row>
    <row r="738" spans="16:31" customFormat="1">
      <c r="P738" s="3436"/>
      <c r="Q738" s="3436"/>
      <c r="R738" s="3436"/>
      <c r="S738" s="3436"/>
      <c r="T738" s="3436"/>
      <c r="U738" s="3436"/>
      <c r="V738" s="3436"/>
      <c r="W738" s="3436"/>
      <c r="X738" s="3436"/>
      <c r="Y738" s="3436"/>
      <c r="Z738" s="3436"/>
      <c r="AA738" s="3436"/>
      <c r="AB738" s="3436"/>
      <c r="AC738" s="3436"/>
      <c r="AD738" s="3436"/>
      <c r="AE738" s="3649"/>
    </row>
    <row r="739" spans="16:31" customFormat="1">
      <c r="P739" s="3436"/>
      <c r="Q739" s="3436"/>
      <c r="R739" s="3436"/>
      <c r="S739" s="3436"/>
      <c r="T739" s="3436"/>
      <c r="U739" s="3436"/>
      <c r="V739" s="3436"/>
      <c r="W739" s="3436"/>
      <c r="X739" s="3436"/>
      <c r="Y739" s="3436"/>
      <c r="Z739" s="3436"/>
      <c r="AA739" s="3436"/>
      <c r="AB739" s="3436"/>
      <c r="AC739" s="3436"/>
      <c r="AD739" s="3436"/>
      <c r="AE739" s="3649"/>
    </row>
    <row r="740" spans="16:31" customFormat="1">
      <c r="P740" s="3436"/>
      <c r="Q740" s="3436"/>
      <c r="R740" s="3436"/>
      <c r="S740" s="3436"/>
      <c r="T740" s="3436"/>
      <c r="U740" s="3436"/>
      <c r="V740" s="3436"/>
      <c r="W740" s="3436"/>
      <c r="X740" s="3436"/>
      <c r="Y740" s="3436"/>
      <c r="Z740" s="3436"/>
      <c r="AA740" s="3436"/>
      <c r="AB740" s="3436"/>
      <c r="AC740" s="3436"/>
      <c r="AD740" s="3436"/>
      <c r="AE740" s="3649"/>
    </row>
    <row r="741" spans="16:31" customFormat="1">
      <c r="P741" s="3436"/>
      <c r="Q741" s="3436"/>
      <c r="R741" s="3436"/>
      <c r="S741" s="3436"/>
      <c r="T741" s="3436"/>
      <c r="U741" s="3436"/>
      <c r="V741" s="3436"/>
      <c r="W741" s="3436"/>
      <c r="X741" s="3436"/>
      <c r="Y741" s="3436"/>
      <c r="Z741" s="3436"/>
      <c r="AA741" s="3436"/>
      <c r="AB741" s="3436"/>
      <c r="AC741" s="3436"/>
      <c r="AD741" s="3436"/>
      <c r="AE741" s="3649"/>
    </row>
    <row r="742" spans="16:31" customFormat="1">
      <c r="P742" s="3436"/>
      <c r="Q742" s="3436"/>
      <c r="R742" s="3436"/>
      <c r="S742" s="3436"/>
      <c r="T742" s="3436"/>
      <c r="U742" s="3436"/>
      <c r="V742" s="3436"/>
      <c r="W742" s="3436"/>
      <c r="X742" s="3436"/>
      <c r="Y742" s="3436"/>
      <c r="Z742" s="3436"/>
      <c r="AA742" s="3436"/>
      <c r="AB742" s="3436"/>
      <c r="AC742" s="3436"/>
      <c r="AD742" s="3436"/>
      <c r="AE742" s="3649"/>
    </row>
    <row r="743" spans="16:31" customFormat="1">
      <c r="P743" s="3436"/>
      <c r="Q743" s="3436"/>
      <c r="R743" s="3436"/>
      <c r="S743" s="3436"/>
      <c r="T743" s="3436"/>
      <c r="U743" s="3436"/>
      <c r="V743" s="3436"/>
      <c r="W743" s="3436"/>
      <c r="X743" s="3436"/>
      <c r="Y743" s="3436"/>
      <c r="Z743" s="3436"/>
      <c r="AA743" s="3436"/>
      <c r="AB743" s="3436"/>
      <c r="AC743" s="3436"/>
      <c r="AD743" s="3436"/>
      <c r="AE743" s="3649"/>
    </row>
    <row r="744" spans="16:31" customFormat="1">
      <c r="P744" s="3436"/>
      <c r="Q744" s="3436"/>
      <c r="R744" s="3436"/>
      <c r="S744" s="3436"/>
      <c r="T744" s="3436"/>
      <c r="U744" s="3436"/>
      <c r="V744" s="3436"/>
      <c r="W744" s="3436"/>
      <c r="X744" s="3436"/>
      <c r="Y744" s="3436"/>
      <c r="Z744" s="3436"/>
      <c r="AA744" s="3436"/>
      <c r="AB744" s="3436"/>
      <c r="AC744" s="3436"/>
      <c r="AD744" s="3436"/>
      <c r="AE744" s="3649"/>
    </row>
    <row r="745" spans="16:31" customFormat="1">
      <c r="P745" s="3436"/>
      <c r="Q745" s="3436"/>
      <c r="R745" s="3436"/>
      <c r="S745" s="3436"/>
      <c r="T745" s="3436"/>
      <c r="U745" s="3436"/>
      <c r="V745" s="3436"/>
      <c r="W745" s="3436"/>
      <c r="X745" s="3436"/>
      <c r="Y745" s="3436"/>
      <c r="Z745" s="3436"/>
      <c r="AA745" s="3436"/>
      <c r="AB745" s="3436"/>
      <c r="AC745" s="3436"/>
      <c r="AD745" s="3436"/>
      <c r="AE745" s="3649"/>
    </row>
    <row r="746" spans="16:31" customFormat="1">
      <c r="P746" s="3436"/>
      <c r="Q746" s="3436"/>
      <c r="R746" s="3436"/>
      <c r="S746" s="3436"/>
      <c r="T746" s="3436"/>
      <c r="U746" s="3436"/>
      <c r="V746" s="3436"/>
      <c r="W746" s="3436"/>
      <c r="X746" s="3436"/>
      <c r="Y746" s="3436"/>
      <c r="Z746" s="3436"/>
      <c r="AA746" s="3436"/>
      <c r="AB746" s="3436"/>
      <c r="AC746" s="3436"/>
      <c r="AD746" s="3436"/>
      <c r="AE746" s="3649"/>
    </row>
    <row r="747" spans="16:31" customFormat="1">
      <c r="P747" s="3436"/>
      <c r="Q747" s="3436"/>
      <c r="R747" s="3436"/>
      <c r="S747" s="3436"/>
      <c r="T747" s="3436"/>
      <c r="U747" s="3436"/>
      <c r="V747" s="3436"/>
      <c r="W747" s="3436"/>
      <c r="X747" s="3436"/>
      <c r="Y747" s="3436"/>
      <c r="Z747" s="3436"/>
      <c r="AA747" s="3436"/>
      <c r="AB747" s="3436"/>
      <c r="AC747" s="3436"/>
      <c r="AD747" s="3436"/>
      <c r="AE747" s="3649"/>
    </row>
    <row r="748" spans="16:31" customFormat="1">
      <c r="P748" s="3436"/>
      <c r="Q748" s="3436"/>
      <c r="R748" s="3436"/>
      <c r="S748" s="3436"/>
      <c r="T748" s="3436"/>
      <c r="U748" s="3436"/>
      <c r="V748" s="3436"/>
      <c r="W748" s="3436"/>
      <c r="X748" s="3436"/>
      <c r="Y748" s="3436"/>
      <c r="Z748" s="3436"/>
      <c r="AA748" s="3436"/>
      <c r="AB748" s="3436"/>
      <c r="AC748" s="3436"/>
      <c r="AD748" s="3436"/>
      <c r="AE748" s="3649"/>
    </row>
    <row r="749" spans="16:31" customFormat="1">
      <c r="P749" s="3436"/>
      <c r="Q749" s="3436"/>
      <c r="R749" s="3436"/>
      <c r="S749" s="3436"/>
      <c r="T749" s="3436"/>
      <c r="U749" s="3436"/>
      <c r="V749" s="3436"/>
      <c r="W749" s="3436"/>
      <c r="X749" s="3436"/>
      <c r="Y749" s="3436"/>
      <c r="Z749" s="3436"/>
      <c r="AA749" s="3436"/>
      <c r="AB749" s="3436"/>
      <c r="AC749" s="3436"/>
      <c r="AD749" s="3436"/>
      <c r="AE749" s="3649"/>
    </row>
    <row r="750" spans="16:31" customFormat="1">
      <c r="P750" s="3436"/>
      <c r="Q750" s="3436"/>
      <c r="R750" s="3436"/>
      <c r="S750" s="3436"/>
      <c r="T750" s="3436"/>
      <c r="U750" s="3436"/>
      <c r="V750" s="3436"/>
      <c r="W750" s="3436"/>
      <c r="X750" s="3436"/>
      <c r="Y750" s="3436"/>
      <c r="Z750" s="3436"/>
      <c r="AA750" s="3436"/>
      <c r="AB750" s="3436"/>
      <c r="AC750" s="3436"/>
      <c r="AD750" s="3436"/>
      <c r="AE750" s="3649"/>
    </row>
    <row r="751" spans="16:31" customFormat="1">
      <c r="P751" s="3436"/>
      <c r="Q751" s="3436"/>
      <c r="R751" s="3436"/>
      <c r="S751" s="3436"/>
      <c r="T751" s="3436"/>
      <c r="U751" s="3436"/>
      <c r="V751" s="3436"/>
      <c r="W751" s="3436"/>
      <c r="X751" s="3436"/>
      <c r="Y751" s="3436"/>
      <c r="Z751" s="3436"/>
      <c r="AA751" s="3436"/>
      <c r="AB751" s="3436"/>
      <c r="AC751" s="3436"/>
      <c r="AD751" s="3436"/>
      <c r="AE751" s="3649"/>
    </row>
    <row r="752" spans="16:31" customFormat="1">
      <c r="P752" s="3436"/>
      <c r="Q752" s="3436"/>
      <c r="R752" s="3436"/>
      <c r="S752" s="3436"/>
      <c r="T752" s="3436"/>
      <c r="U752" s="3436"/>
      <c r="V752" s="3436"/>
      <c r="W752" s="3436"/>
      <c r="X752" s="3436"/>
      <c r="Y752" s="3436"/>
      <c r="Z752" s="3436"/>
      <c r="AA752" s="3436"/>
      <c r="AB752" s="3436"/>
      <c r="AC752" s="3436"/>
      <c r="AD752" s="3436"/>
      <c r="AE752" s="3649"/>
    </row>
    <row r="753" spans="16:31" customFormat="1">
      <c r="P753" s="3436"/>
      <c r="Q753" s="3436"/>
      <c r="R753" s="3436"/>
      <c r="S753" s="3436"/>
      <c r="T753" s="3436"/>
      <c r="U753" s="3436"/>
      <c r="V753" s="3436"/>
      <c r="W753" s="3436"/>
      <c r="X753" s="3436"/>
      <c r="Y753" s="3436"/>
      <c r="Z753" s="3436"/>
      <c r="AA753" s="3436"/>
      <c r="AB753" s="3436"/>
      <c r="AC753" s="3436"/>
      <c r="AD753" s="3436"/>
      <c r="AE753" s="3649"/>
    </row>
    <row r="754" spans="16:31" customFormat="1">
      <c r="P754" s="3436"/>
      <c r="Q754" s="3436"/>
      <c r="R754" s="3436"/>
      <c r="S754" s="3436"/>
      <c r="T754" s="3436"/>
      <c r="U754" s="3436"/>
      <c r="V754" s="3436"/>
      <c r="W754" s="3436"/>
      <c r="X754" s="3436"/>
      <c r="Y754" s="3436"/>
      <c r="Z754" s="3436"/>
      <c r="AA754" s="3436"/>
      <c r="AB754" s="3436"/>
      <c r="AC754" s="3436"/>
      <c r="AD754" s="3436"/>
      <c r="AE754" s="3649"/>
    </row>
    <row r="755" spans="16:31" customFormat="1">
      <c r="P755" s="3436"/>
      <c r="Q755" s="3436"/>
      <c r="R755" s="3436"/>
      <c r="S755" s="3436"/>
      <c r="T755" s="3436"/>
      <c r="U755" s="3436"/>
      <c r="V755" s="3436"/>
      <c r="W755" s="3436"/>
      <c r="X755" s="3436"/>
      <c r="Y755" s="3436"/>
      <c r="Z755" s="3436"/>
      <c r="AA755" s="3436"/>
      <c r="AB755" s="3436"/>
      <c r="AC755" s="3436"/>
      <c r="AD755" s="3436"/>
      <c r="AE755" s="3649"/>
    </row>
    <row r="756" spans="16:31" customFormat="1">
      <c r="P756" s="3436"/>
      <c r="Q756" s="3436"/>
      <c r="R756" s="3436"/>
      <c r="S756" s="3436"/>
      <c r="T756" s="3436"/>
      <c r="U756" s="3436"/>
      <c r="V756" s="3436"/>
      <c r="W756" s="3436"/>
      <c r="X756" s="3436"/>
      <c r="Y756" s="3436"/>
      <c r="Z756" s="3436"/>
      <c r="AA756" s="3436"/>
      <c r="AB756" s="3436"/>
      <c r="AC756" s="3436"/>
      <c r="AD756" s="3436"/>
      <c r="AE756" s="3649"/>
    </row>
    <row r="757" spans="16:31" customFormat="1">
      <c r="P757" s="3436"/>
      <c r="Q757" s="3436"/>
      <c r="R757" s="3436"/>
      <c r="S757" s="3436"/>
      <c r="T757" s="3436"/>
      <c r="U757" s="3436"/>
      <c r="V757" s="3436"/>
      <c r="W757" s="3436"/>
      <c r="X757" s="3436"/>
      <c r="Y757" s="3436"/>
      <c r="Z757" s="3436"/>
      <c r="AA757" s="3436"/>
      <c r="AB757" s="3436"/>
      <c r="AC757" s="3436"/>
      <c r="AD757" s="3436"/>
      <c r="AE757" s="3649"/>
    </row>
    <row r="758" spans="16:31" customFormat="1">
      <c r="P758" s="3436"/>
      <c r="Q758" s="3436"/>
      <c r="R758" s="3436"/>
      <c r="S758" s="3436"/>
      <c r="T758" s="3436"/>
      <c r="U758" s="3436"/>
      <c r="V758" s="3436"/>
      <c r="W758" s="3436"/>
      <c r="X758" s="3436"/>
      <c r="Y758" s="3436"/>
      <c r="Z758" s="3436"/>
      <c r="AA758" s="3436"/>
      <c r="AB758" s="3436"/>
      <c r="AC758" s="3436"/>
      <c r="AD758" s="3436"/>
      <c r="AE758" s="3649"/>
    </row>
    <row r="759" spans="16:31" customFormat="1">
      <c r="P759" s="3436"/>
      <c r="Q759" s="3436"/>
      <c r="R759" s="3436"/>
      <c r="S759" s="3436"/>
      <c r="T759" s="3436"/>
      <c r="U759" s="3436"/>
      <c r="V759" s="3436"/>
      <c r="W759" s="3436"/>
      <c r="X759" s="3436"/>
      <c r="Y759" s="3436"/>
      <c r="Z759" s="3436"/>
      <c r="AA759" s="3436"/>
      <c r="AB759" s="3436"/>
      <c r="AC759" s="3436"/>
      <c r="AD759" s="3436"/>
      <c r="AE759" s="3649"/>
    </row>
    <row r="760" spans="16:31" customFormat="1">
      <c r="P760" s="3436"/>
      <c r="Q760" s="3436"/>
      <c r="R760" s="3436"/>
      <c r="S760" s="3436"/>
      <c r="T760" s="3436"/>
      <c r="U760" s="3436"/>
      <c r="V760" s="3436"/>
      <c r="W760" s="3436"/>
      <c r="X760" s="3436"/>
      <c r="Y760" s="3436"/>
      <c r="Z760" s="3436"/>
      <c r="AA760" s="3436"/>
      <c r="AB760" s="3436"/>
      <c r="AC760" s="3436"/>
      <c r="AD760" s="3436"/>
      <c r="AE760" s="3649"/>
    </row>
    <row r="761" spans="16:31" customFormat="1">
      <c r="P761" s="3436"/>
      <c r="Q761" s="3436"/>
      <c r="R761" s="3436"/>
      <c r="S761" s="3436"/>
      <c r="T761" s="3436"/>
      <c r="U761" s="3436"/>
      <c r="V761" s="3436"/>
      <c r="W761" s="3436"/>
      <c r="X761" s="3436"/>
      <c r="Y761" s="3436"/>
      <c r="Z761" s="3436"/>
      <c r="AA761" s="3436"/>
      <c r="AB761" s="3436"/>
      <c r="AC761" s="3436"/>
      <c r="AD761" s="3436"/>
      <c r="AE761" s="3649"/>
    </row>
    <row r="762" spans="16:31" customFormat="1">
      <c r="P762" s="3436"/>
      <c r="Q762" s="3436"/>
      <c r="R762" s="3436"/>
      <c r="S762" s="3436"/>
      <c r="T762" s="3436"/>
      <c r="U762" s="3436"/>
      <c r="V762" s="3436"/>
      <c r="W762" s="3436"/>
      <c r="X762" s="3436"/>
      <c r="Y762" s="3436"/>
      <c r="Z762" s="3436"/>
      <c r="AA762" s="3436"/>
      <c r="AB762" s="3436"/>
      <c r="AC762" s="3436"/>
      <c r="AD762" s="3436"/>
      <c r="AE762" s="3649"/>
    </row>
    <row r="763" spans="16:31" customFormat="1">
      <c r="P763" s="3436"/>
      <c r="Q763" s="3436"/>
      <c r="R763" s="3436"/>
      <c r="S763" s="3436"/>
      <c r="T763" s="3436"/>
      <c r="U763" s="3436"/>
      <c r="V763" s="3436"/>
      <c r="W763" s="3436"/>
      <c r="X763" s="3436"/>
      <c r="Y763" s="3436"/>
      <c r="Z763" s="3436"/>
      <c r="AA763" s="3436"/>
      <c r="AB763" s="3436"/>
      <c r="AC763" s="3436"/>
      <c r="AD763" s="3436"/>
      <c r="AE763" s="3649"/>
    </row>
    <row r="764" spans="16:31" customFormat="1">
      <c r="P764" s="3436"/>
      <c r="Q764" s="3436"/>
      <c r="R764" s="3436"/>
      <c r="S764" s="3436"/>
      <c r="T764" s="3436"/>
      <c r="U764" s="3436"/>
      <c r="V764" s="3436"/>
      <c r="W764" s="3436"/>
      <c r="X764" s="3436"/>
      <c r="Y764" s="3436"/>
      <c r="Z764" s="3436"/>
      <c r="AA764" s="3436"/>
      <c r="AB764" s="3436"/>
      <c r="AC764" s="3436"/>
      <c r="AD764" s="3436"/>
      <c r="AE764" s="3649"/>
    </row>
    <row r="765" spans="16:31" customFormat="1">
      <c r="P765" s="3436"/>
      <c r="Q765" s="3436"/>
      <c r="R765" s="3436"/>
      <c r="S765" s="3436"/>
      <c r="T765" s="3436"/>
      <c r="U765" s="3436"/>
      <c r="V765" s="3436"/>
      <c r="W765" s="3436"/>
      <c r="X765" s="3436"/>
      <c r="Y765" s="3436"/>
      <c r="Z765" s="3436"/>
      <c r="AA765" s="3436"/>
      <c r="AB765" s="3436"/>
      <c r="AC765" s="3436"/>
      <c r="AD765" s="3436"/>
      <c r="AE765" s="3649"/>
    </row>
    <row r="766" spans="16:31" customFormat="1">
      <c r="P766" s="3436"/>
      <c r="Q766" s="3436"/>
      <c r="R766" s="3436"/>
      <c r="S766" s="3436"/>
      <c r="T766" s="3436"/>
      <c r="U766" s="3436"/>
      <c r="V766" s="3436"/>
      <c r="W766" s="3436"/>
      <c r="X766" s="3436"/>
      <c r="Y766" s="3436"/>
      <c r="Z766" s="3436"/>
      <c r="AA766" s="3436"/>
      <c r="AB766" s="3436"/>
      <c r="AC766" s="3436"/>
      <c r="AD766" s="3436"/>
      <c r="AE766" s="3649"/>
    </row>
    <row r="767" spans="16:31" customFormat="1">
      <c r="P767" s="3436"/>
      <c r="Q767" s="3436"/>
      <c r="R767" s="3436"/>
      <c r="S767" s="3436"/>
      <c r="T767" s="3436"/>
      <c r="U767" s="3436"/>
      <c r="V767" s="3436"/>
      <c r="W767" s="3436"/>
      <c r="X767" s="3436"/>
      <c r="Y767" s="3436"/>
      <c r="Z767" s="3436"/>
      <c r="AA767" s="3436"/>
      <c r="AB767" s="3436"/>
      <c r="AC767" s="3436"/>
      <c r="AD767" s="3436"/>
      <c r="AE767" s="3649"/>
    </row>
    <row r="768" spans="16:31" customFormat="1">
      <c r="P768" s="3436"/>
      <c r="Q768" s="3436"/>
      <c r="R768" s="3436"/>
      <c r="S768" s="3436"/>
      <c r="T768" s="3436"/>
      <c r="U768" s="3436"/>
      <c r="V768" s="3436"/>
      <c r="W768" s="3436"/>
      <c r="X768" s="3436"/>
      <c r="Y768" s="3436"/>
      <c r="Z768" s="3436"/>
      <c r="AA768" s="3436"/>
      <c r="AB768" s="3436"/>
      <c r="AC768" s="3436"/>
      <c r="AD768" s="3436"/>
      <c r="AE768" s="3649"/>
    </row>
    <row r="769" spans="16:31" customFormat="1">
      <c r="P769" s="3436"/>
      <c r="Q769" s="3436"/>
      <c r="R769" s="3436"/>
      <c r="S769" s="3436"/>
      <c r="T769" s="3436"/>
      <c r="U769" s="3436"/>
      <c r="V769" s="3436"/>
      <c r="W769" s="3436"/>
      <c r="X769" s="3436"/>
      <c r="Y769" s="3436"/>
      <c r="Z769" s="3436"/>
      <c r="AA769" s="3436"/>
      <c r="AB769" s="3436"/>
      <c r="AC769" s="3436"/>
      <c r="AD769" s="3436"/>
      <c r="AE769" s="3649"/>
    </row>
    <row r="770" spans="16:31" customFormat="1">
      <c r="P770" s="3436"/>
      <c r="Q770" s="3436"/>
      <c r="R770" s="3436"/>
      <c r="S770" s="3436"/>
      <c r="T770" s="3436"/>
      <c r="U770" s="3436"/>
      <c r="V770" s="3436"/>
      <c r="W770" s="3436"/>
      <c r="X770" s="3436"/>
      <c r="Y770" s="3436"/>
      <c r="Z770" s="3436"/>
      <c r="AA770" s="3436"/>
      <c r="AB770" s="3436"/>
      <c r="AC770" s="3436"/>
      <c r="AD770" s="3436"/>
      <c r="AE770" s="3649"/>
    </row>
    <row r="771" spans="16:31" customFormat="1">
      <c r="P771" s="3436"/>
      <c r="Q771" s="3436"/>
      <c r="R771" s="3436"/>
      <c r="S771" s="3436"/>
      <c r="T771" s="3436"/>
      <c r="U771" s="3436"/>
      <c r="V771" s="3436"/>
      <c r="W771" s="3436"/>
      <c r="X771" s="3436"/>
      <c r="Y771" s="3436"/>
      <c r="Z771" s="3436"/>
      <c r="AA771" s="3436"/>
      <c r="AB771" s="3436"/>
      <c r="AC771" s="3436"/>
      <c r="AD771" s="3436"/>
      <c r="AE771" s="3649"/>
    </row>
    <row r="772" spans="16:31" customFormat="1">
      <c r="P772" s="3436"/>
      <c r="Q772" s="3436"/>
      <c r="R772" s="3436"/>
      <c r="S772" s="3436"/>
      <c r="T772" s="3436"/>
      <c r="U772" s="3436"/>
      <c r="V772" s="3436"/>
      <c r="W772" s="3436"/>
      <c r="X772" s="3436"/>
      <c r="Y772" s="3436"/>
      <c r="Z772" s="3436"/>
      <c r="AA772" s="3436"/>
      <c r="AB772" s="3436"/>
      <c r="AC772" s="3436"/>
      <c r="AD772" s="3436"/>
      <c r="AE772" s="3649"/>
    </row>
    <row r="773" spans="16:31" customFormat="1">
      <c r="P773" s="3436"/>
      <c r="Q773" s="3436"/>
      <c r="R773" s="3436"/>
      <c r="S773" s="3436"/>
      <c r="T773" s="3436"/>
      <c r="U773" s="3436"/>
      <c r="V773" s="3436"/>
      <c r="W773" s="3436"/>
      <c r="X773" s="3436"/>
      <c r="Y773" s="3436"/>
      <c r="Z773" s="3436"/>
      <c r="AA773" s="3436"/>
      <c r="AB773" s="3436"/>
      <c r="AC773" s="3436"/>
      <c r="AD773" s="3436"/>
      <c r="AE773" s="3649"/>
    </row>
    <row r="774" spans="16:31" customFormat="1">
      <c r="P774" s="3436"/>
      <c r="Q774" s="3436"/>
      <c r="R774" s="3436"/>
      <c r="S774" s="3436"/>
      <c r="T774" s="3436"/>
      <c r="U774" s="3436"/>
      <c r="V774" s="3436"/>
      <c r="W774" s="3436"/>
      <c r="X774" s="3436"/>
      <c r="Y774" s="3436"/>
      <c r="Z774" s="3436"/>
      <c r="AA774" s="3436"/>
      <c r="AB774" s="3436"/>
      <c r="AC774" s="3436"/>
      <c r="AD774" s="3436"/>
      <c r="AE774" s="3649"/>
    </row>
    <row r="775" spans="16:31" customFormat="1">
      <c r="P775" s="3436"/>
      <c r="Q775" s="3436"/>
      <c r="R775" s="3436"/>
      <c r="S775" s="3436"/>
      <c r="T775" s="3436"/>
      <c r="U775" s="3436"/>
      <c r="V775" s="3436"/>
      <c r="W775" s="3436"/>
      <c r="X775" s="3436"/>
      <c r="Y775" s="3436"/>
      <c r="Z775" s="3436"/>
      <c r="AA775" s="3436"/>
      <c r="AB775" s="3436"/>
      <c r="AC775" s="3436"/>
      <c r="AD775" s="3436"/>
      <c r="AE775" s="3649"/>
    </row>
    <row r="776" spans="16:31" customFormat="1">
      <c r="P776" s="3436"/>
      <c r="Q776" s="3436"/>
      <c r="R776" s="3436"/>
      <c r="S776" s="3436"/>
      <c r="T776" s="3436"/>
      <c r="U776" s="3436"/>
      <c r="V776" s="3436"/>
      <c r="W776" s="3436"/>
      <c r="X776" s="3436"/>
      <c r="Y776" s="3436"/>
      <c r="Z776" s="3436"/>
      <c r="AA776" s="3436"/>
      <c r="AB776" s="3436"/>
      <c r="AC776" s="3436"/>
      <c r="AD776" s="3436"/>
      <c r="AE776" s="3649"/>
    </row>
    <row r="777" spans="16:31" customFormat="1">
      <c r="P777" s="3436"/>
      <c r="Q777" s="3436"/>
      <c r="R777" s="3436"/>
      <c r="S777" s="3436"/>
      <c r="T777" s="3436"/>
      <c r="U777" s="3436"/>
      <c r="V777" s="3436"/>
      <c r="W777" s="3436"/>
      <c r="X777" s="3436"/>
      <c r="Y777" s="3436"/>
      <c r="Z777" s="3436"/>
      <c r="AA777" s="3436"/>
      <c r="AB777" s="3436"/>
      <c r="AC777" s="3436"/>
      <c r="AD777" s="3436"/>
      <c r="AE777" s="3649"/>
    </row>
    <row r="778" spans="16:31" customFormat="1">
      <c r="P778" s="3436"/>
      <c r="Q778" s="3436"/>
      <c r="R778" s="3436"/>
      <c r="S778" s="3436"/>
      <c r="T778" s="3436"/>
      <c r="U778" s="3436"/>
      <c r="V778" s="3436"/>
      <c r="W778" s="3436"/>
      <c r="X778" s="3436"/>
      <c r="Y778" s="3436"/>
      <c r="Z778" s="3436"/>
      <c r="AA778" s="3436"/>
      <c r="AB778" s="3436"/>
      <c r="AC778" s="3436"/>
      <c r="AD778" s="3436"/>
      <c r="AE778" s="3649"/>
    </row>
    <row r="779" spans="16:31" customFormat="1">
      <c r="P779" s="3436"/>
      <c r="Q779" s="3436"/>
      <c r="R779" s="3436"/>
      <c r="S779" s="3436"/>
      <c r="T779" s="3436"/>
      <c r="U779" s="3436"/>
      <c r="V779" s="3436"/>
      <c r="W779" s="3436"/>
      <c r="X779" s="3436"/>
      <c r="Y779" s="3436"/>
      <c r="Z779" s="3436"/>
      <c r="AA779" s="3436"/>
      <c r="AB779" s="3436"/>
      <c r="AC779" s="3436"/>
      <c r="AD779" s="3436"/>
      <c r="AE779" s="3649"/>
    </row>
    <row r="780" spans="16:31" customFormat="1">
      <c r="P780" s="3436"/>
      <c r="Q780" s="3436"/>
      <c r="R780" s="3436"/>
      <c r="S780" s="3436"/>
      <c r="T780" s="3436"/>
      <c r="U780" s="3436"/>
      <c r="V780" s="3436"/>
      <c r="W780" s="3436"/>
      <c r="X780" s="3436"/>
      <c r="Y780" s="3436"/>
      <c r="Z780" s="3436"/>
      <c r="AA780" s="3436"/>
      <c r="AB780" s="3436"/>
      <c r="AC780" s="3436"/>
      <c r="AD780" s="3436"/>
      <c r="AE780" s="3649"/>
    </row>
    <row r="781" spans="16:31" customFormat="1">
      <c r="P781" s="3436"/>
      <c r="Q781" s="3436"/>
      <c r="R781" s="3436"/>
      <c r="S781" s="3436"/>
      <c r="T781" s="3436"/>
      <c r="U781" s="3436"/>
      <c r="V781" s="3436"/>
      <c r="W781" s="3436"/>
      <c r="X781" s="3436"/>
      <c r="Y781" s="3436"/>
      <c r="Z781" s="3436"/>
      <c r="AA781" s="3436"/>
      <c r="AB781" s="3436"/>
      <c r="AC781" s="3436"/>
      <c r="AD781" s="3436"/>
      <c r="AE781" s="3649"/>
    </row>
    <row r="782" spans="16:31" customFormat="1">
      <c r="P782" s="3436"/>
      <c r="Q782" s="3436"/>
      <c r="R782" s="3436"/>
      <c r="S782" s="3436"/>
      <c r="T782" s="3436"/>
      <c r="U782" s="3436"/>
      <c r="V782" s="3436"/>
      <c r="W782" s="3436"/>
      <c r="X782" s="3436"/>
      <c r="Y782" s="3436"/>
      <c r="Z782" s="3436"/>
      <c r="AA782" s="3436"/>
      <c r="AB782" s="3436"/>
      <c r="AC782" s="3436"/>
      <c r="AD782" s="3436"/>
      <c r="AE782" s="3649"/>
    </row>
    <row r="783" spans="16:31" customFormat="1">
      <c r="P783" s="3436"/>
      <c r="Q783" s="3436"/>
      <c r="R783" s="3436"/>
      <c r="S783" s="3436"/>
      <c r="T783" s="3436"/>
      <c r="U783" s="3436"/>
      <c r="V783" s="3436"/>
      <c r="W783" s="3436"/>
      <c r="X783" s="3436"/>
      <c r="Y783" s="3436"/>
      <c r="Z783" s="3436"/>
      <c r="AA783" s="3436"/>
      <c r="AB783" s="3436"/>
      <c r="AC783" s="3436"/>
      <c r="AD783" s="3436"/>
      <c r="AE783" s="3649"/>
    </row>
    <row r="784" spans="16:31" customFormat="1">
      <c r="P784" s="3436"/>
      <c r="Q784" s="3436"/>
      <c r="R784" s="3436"/>
      <c r="S784" s="3436"/>
      <c r="T784" s="3436"/>
      <c r="U784" s="3436"/>
      <c r="V784" s="3436"/>
      <c r="W784" s="3436"/>
      <c r="X784" s="3436"/>
      <c r="Y784" s="3436"/>
      <c r="Z784" s="3436"/>
      <c r="AA784" s="3436"/>
      <c r="AB784" s="3436"/>
      <c r="AC784" s="3436"/>
      <c r="AD784" s="3436"/>
      <c r="AE784" s="3649"/>
    </row>
    <row r="785" spans="16:31" customFormat="1">
      <c r="P785" s="3436"/>
      <c r="Q785" s="3436"/>
      <c r="R785" s="3436"/>
      <c r="S785" s="3436"/>
      <c r="T785" s="3436"/>
      <c r="U785" s="3436"/>
      <c r="V785" s="3436"/>
      <c r="W785" s="3436"/>
      <c r="X785" s="3436"/>
      <c r="Y785" s="3436"/>
      <c r="Z785" s="3436"/>
      <c r="AA785" s="3436"/>
      <c r="AB785" s="3436"/>
      <c r="AC785" s="3436"/>
      <c r="AD785" s="3436"/>
      <c r="AE785" s="3649"/>
    </row>
    <row r="786" spans="16:31" customFormat="1">
      <c r="P786" s="3436"/>
      <c r="Q786" s="3436"/>
      <c r="R786" s="3436"/>
      <c r="S786" s="3436"/>
      <c r="T786" s="3436"/>
      <c r="U786" s="3436"/>
      <c r="V786" s="3436"/>
      <c r="W786" s="3436"/>
      <c r="X786" s="3436"/>
      <c r="Y786" s="3436"/>
      <c r="Z786" s="3436"/>
      <c r="AA786" s="3436"/>
      <c r="AB786" s="3436"/>
      <c r="AC786" s="3436"/>
      <c r="AD786" s="3436"/>
      <c r="AE786" s="3649"/>
    </row>
    <row r="787" spans="16:31" customFormat="1">
      <c r="P787" s="3436"/>
      <c r="Q787" s="3436"/>
      <c r="R787" s="3436"/>
      <c r="S787" s="3436"/>
      <c r="T787" s="3436"/>
      <c r="U787" s="3436"/>
      <c r="V787" s="3436"/>
      <c r="W787" s="3436"/>
      <c r="X787" s="3436"/>
      <c r="Y787" s="3436"/>
      <c r="Z787" s="3436"/>
      <c r="AA787" s="3436"/>
      <c r="AB787" s="3436"/>
      <c r="AC787" s="3436"/>
      <c r="AD787" s="3436"/>
      <c r="AE787" s="3649"/>
    </row>
    <row r="788" spans="16:31" customFormat="1">
      <c r="P788" s="3436"/>
      <c r="Q788" s="3436"/>
      <c r="R788" s="3436"/>
      <c r="S788" s="3436"/>
      <c r="T788" s="3436"/>
      <c r="U788" s="3436"/>
      <c r="V788" s="3436"/>
      <c r="W788" s="3436"/>
      <c r="X788" s="3436"/>
      <c r="Y788" s="3436"/>
      <c r="Z788" s="3436"/>
      <c r="AA788" s="3436"/>
      <c r="AB788" s="3436"/>
      <c r="AC788" s="3436"/>
      <c r="AD788" s="3436"/>
      <c r="AE788" s="3649"/>
    </row>
    <row r="789" spans="16:31" customFormat="1">
      <c r="P789" s="3436"/>
      <c r="Q789" s="3436"/>
      <c r="R789" s="3436"/>
      <c r="S789" s="3436"/>
      <c r="T789" s="3436"/>
      <c r="U789" s="3436"/>
      <c r="V789" s="3436"/>
      <c r="W789" s="3436"/>
      <c r="X789" s="3436"/>
      <c r="Y789" s="3436"/>
      <c r="Z789" s="3436"/>
      <c r="AA789" s="3436"/>
      <c r="AB789" s="3436"/>
      <c r="AC789" s="3436"/>
      <c r="AD789" s="3436"/>
      <c r="AE789" s="3649"/>
    </row>
    <row r="790" spans="16:31" customFormat="1">
      <c r="P790" s="3436"/>
      <c r="Q790" s="3436"/>
      <c r="R790" s="3436"/>
      <c r="S790" s="3436"/>
      <c r="T790" s="3436"/>
      <c r="U790" s="3436"/>
      <c r="V790" s="3436"/>
      <c r="W790" s="3436"/>
      <c r="X790" s="3436"/>
      <c r="Y790" s="3436"/>
      <c r="Z790" s="3436"/>
      <c r="AA790" s="3436"/>
      <c r="AB790" s="3436"/>
      <c r="AC790" s="3436"/>
      <c r="AD790" s="3436"/>
      <c r="AE790" s="3649"/>
    </row>
    <row r="791" spans="16:31" customFormat="1">
      <c r="P791" s="3436"/>
      <c r="Q791" s="3436"/>
      <c r="R791" s="3436"/>
      <c r="S791" s="3436"/>
      <c r="T791" s="3436"/>
      <c r="U791" s="3436"/>
      <c r="V791" s="3436"/>
      <c r="W791" s="3436"/>
      <c r="X791" s="3436"/>
      <c r="Y791" s="3436"/>
      <c r="Z791" s="3436"/>
      <c r="AA791" s="3436"/>
      <c r="AB791" s="3436"/>
      <c r="AC791" s="3436"/>
      <c r="AD791" s="3436"/>
      <c r="AE791" s="3649"/>
    </row>
    <row r="792" spans="16:31" customFormat="1">
      <c r="P792" s="3436"/>
      <c r="Q792" s="3436"/>
      <c r="R792" s="3436"/>
      <c r="S792" s="3436"/>
      <c r="T792" s="3436"/>
      <c r="U792" s="3436"/>
      <c r="V792" s="3436"/>
      <c r="W792" s="3436"/>
      <c r="X792" s="3436"/>
      <c r="Y792" s="3436"/>
      <c r="Z792" s="3436"/>
      <c r="AA792" s="3436"/>
      <c r="AB792" s="3436"/>
      <c r="AC792" s="3436"/>
      <c r="AD792" s="3436"/>
      <c r="AE792" s="3649"/>
    </row>
    <row r="793" spans="16:31" customFormat="1">
      <c r="P793" s="3436"/>
      <c r="Q793" s="3436"/>
      <c r="R793" s="3436"/>
      <c r="S793" s="3436"/>
      <c r="T793" s="3436"/>
      <c r="U793" s="3436"/>
      <c r="V793" s="3436"/>
      <c r="W793" s="3436"/>
      <c r="X793" s="3436"/>
      <c r="Y793" s="3436"/>
      <c r="Z793" s="3436"/>
      <c r="AA793" s="3436"/>
      <c r="AB793" s="3436"/>
      <c r="AC793" s="3436"/>
      <c r="AD793" s="3436"/>
      <c r="AE793" s="3649"/>
    </row>
    <row r="794" spans="16:31" customFormat="1">
      <c r="P794" s="3436"/>
      <c r="Q794" s="3436"/>
      <c r="R794" s="3436"/>
      <c r="S794" s="3436"/>
      <c r="T794" s="3436"/>
      <c r="U794" s="3436"/>
      <c r="V794" s="3436"/>
      <c r="W794" s="3436"/>
      <c r="X794" s="3436"/>
      <c r="Y794" s="3436"/>
      <c r="Z794" s="3436"/>
      <c r="AA794" s="3436"/>
      <c r="AB794" s="3436"/>
      <c r="AC794" s="3436"/>
      <c r="AD794" s="3436"/>
      <c r="AE794" s="3649"/>
    </row>
    <row r="795" spans="16:31" customFormat="1">
      <c r="P795" s="3436"/>
      <c r="Q795" s="3436"/>
      <c r="R795" s="3436"/>
      <c r="S795" s="3436"/>
      <c r="T795" s="3436"/>
      <c r="U795" s="3436"/>
      <c r="V795" s="3436"/>
      <c r="W795" s="3436"/>
      <c r="X795" s="3436"/>
      <c r="Y795" s="3436"/>
      <c r="Z795" s="3436"/>
      <c r="AA795" s="3436"/>
      <c r="AB795" s="3436"/>
      <c r="AC795" s="3436"/>
      <c r="AD795" s="3436"/>
      <c r="AE795" s="3649"/>
    </row>
    <row r="796" spans="16:31" customFormat="1">
      <c r="P796" s="3436"/>
      <c r="Q796" s="3436"/>
      <c r="R796" s="3436"/>
      <c r="S796" s="3436"/>
      <c r="T796" s="3436"/>
      <c r="U796" s="3436"/>
      <c r="V796" s="3436"/>
      <c r="W796" s="3436"/>
      <c r="X796" s="3436"/>
      <c r="Y796" s="3436"/>
      <c r="Z796" s="3436"/>
      <c r="AA796" s="3436"/>
      <c r="AB796" s="3436"/>
      <c r="AC796" s="3436"/>
      <c r="AD796" s="3436"/>
      <c r="AE796" s="3649"/>
    </row>
    <row r="797" spans="16:31" customFormat="1">
      <c r="P797" s="3436"/>
      <c r="Q797" s="3436"/>
      <c r="R797" s="3436"/>
      <c r="S797" s="3436"/>
      <c r="T797" s="3436"/>
      <c r="U797" s="3436"/>
      <c r="V797" s="3436"/>
      <c r="W797" s="3436"/>
      <c r="X797" s="3436"/>
      <c r="Y797" s="3436"/>
      <c r="Z797" s="3436"/>
      <c r="AA797" s="3436"/>
      <c r="AB797" s="3436"/>
      <c r="AC797" s="3436"/>
      <c r="AD797" s="3436"/>
      <c r="AE797" s="3649"/>
    </row>
    <row r="798" spans="16:31" customFormat="1">
      <c r="P798" s="3436"/>
      <c r="Q798" s="3436"/>
      <c r="R798" s="3436"/>
      <c r="S798" s="3436"/>
      <c r="T798" s="3436"/>
      <c r="U798" s="3436"/>
      <c r="V798" s="3436"/>
      <c r="W798" s="3436"/>
      <c r="X798" s="3436"/>
      <c r="Y798" s="3436"/>
      <c r="Z798" s="3436"/>
      <c r="AA798" s="3436"/>
      <c r="AB798" s="3436"/>
      <c r="AC798" s="3436"/>
      <c r="AD798" s="3436"/>
      <c r="AE798" s="3649"/>
    </row>
    <row r="799" spans="16:31" customFormat="1">
      <c r="P799" s="3436"/>
      <c r="Q799" s="3436"/>
      <c r="R799" s="3436"/>
      <c r="S799" s="3436"/>
      <c r="T799" s="3436"/>
      <c r="U799" s="3436"/>
      <c r="V799" s="3436"/>
      <c r="W799" s="3436"/>
      <c r="X799" s="3436"/>
      <c r="Y799" s="3436"/>
      <c r="Z799" s="3436"/>
      <c r="AA799" s="3436"/>
      <c r="AB799" s="3436"/>
      <c r="AC799" s="3436"/>
      <c r="AD799" s="3436"/>
      <c r="AE799" s="3649"/>
    </row>
    <row r="800" spans="16:31" customFormat="1">
      <c r="P800" s="3436"/>
      <c r="Q800" s="3436"/>
      <c r="R800" s="3436"/>
      <c r="S800" s="3436"/>
      <c r="T800" s="3436"/>
      <c r="U800" s="3436"/>
      <c r="V800" s="3436"/>
      <c r="W800" s="3436"/>
      <c r="X800" s="3436"/>
      <c r="Y800" s="3436"/>
      <c r="Z800" s="3436"/>
      <c r="AA800" s="3436"/>
      <c r="AB800" s="3436"/>
      <c r="AC800" s="3436"/>
      <c r="AD800" s="3436"/>
      <c r="AE800" s="3649"/>
    </row>
    <row r="801" spans="16:31" customFormat="1">
      <c r="P801" s="3436"/>
      <c r="Q801" s="3436"/>
      <c r="R801" s="3436"/>
      <c r="S801" s="3436"/>
      <c r="T801" s="3436"/>
      <c r="U801" s="3436"/>
      <c r="V801" s="3436"/>
      <c r="W801" s="3436"/>
      <c r="X801" s="3436"/>
      <c r="Y801" s="3436"/>
      <c r="Z801" s="3436"/>
      <c r="AA801" s="3436"/>
      <c r="AB801" s="3436"/>
      <c r="AC801" s="3436"/>
      <c r="AD801" s="3436"/>
      <c r="AE801" s="3649"/>
    </row>
    <row r="802" spans="16:31" customFormat="1">
      <c r="P802" s="3436"/>
      <c r="Q802" s="3436"/>
      <c r="R802" s="3436"/>
      <c r="S802" s="3436"/>
      <c r="T802" s="3436"/>
      <c r="U802" s="3436"/>
      <c r="V802" s="3436"/>
      <c r="W802" s="3436"/>
      <c r="X802" s="3436"/>
      <c r="Y802" s="3436"/>
      <c r="Z802" s="3436"/>
      <c r="AA802" s="3436"/>
      <c r="AB802" s="3436"/>
      <c r="AC802" s="3436"/>
      <c r="AD802" s="3436"/>
      <c r="AE802" s="3649"/>
    </row>
    <row r="803" spans="16:31" customFormat="1">
      <c r="P803" s="3436"/>
      <c r="Q803" s="3436"/>
      <c r="R803" s="3436"/>
      <c r="S803" s="3436"/>
      <c r="T803" s="3436"/>
      <c r="U803" s="3436"/>
      <c r="V803" s="3436"/>
      <c r="W803" s="3436"/>
      <c r="X803" s="3436"/>
      <c r="Y803" s="3436"/>
      <c r="Z803" s="3436"/>
      <c r="AA803" s="3436"/>
      <c r="AB803" s="3436"/>
      <c r="AC803" s="3436"/>
      <c r="AD803" s="3436"/>
      <c r="AE803" s="3649"/>
    </row>
    <row r="804" spans="16:31" customFormat="1">
      <c r="P804" s="3436"/>
      <c r="Q804" s="3436"/>
      <c r="R804" s="3436"/>
      <c r="S804" s="3436"/>
      <c r="T804" s="3436"/>
      <c r="U804" s="3436"/>
      <c r="V804" s="3436"/>
      <c r="W804" s="3436"/>
      <c r="X804" s="3436"/>
      <c r="Y804" s="3436"/>
      <c r="Z804" s="3436"/>
      <c r="AA804" s="3436"/>
      <c r="AB804" s="3436"/>
      <c r="AC804" s="3436"/>
      <c r="AD804" s="3436"/>
      <c r="AE804" s="3649"/>
    </row>
    <row r="805" spans="16:31" customFormat="1">
      <c r="P805" s="3436"/>
      <c r="Q805" s="3436"/>
      <c r="R805" s="3436"/>
      <c r="S805" s="3436"/>
      <c r="T805" s="3436"/>
      <c r="U805" s="3436"/>
      <c r="V805" s="3436"/>
      <c r="W805" s="3436"/>
      <c r="X805" s="3436"/>
      <c r="Y805" s="3436"/>
      <c r="Z805" s="3436"/>
      <c r="AA805" s="3436"/>
      <c r="AB805" s="3436"/>
      <c r="AC805" s="3436"/>
      <c r="AD805" s="3436"/>
      <c r="AE805" s="3649"/>
    </row>
    <row r="806" spans="16:31" customFormat="1">
      <c r="P806" s="3436"/>
      <c r="Q806" s="3436"/>
      <c r="R806" s="3436"/>
      <c r="S806" s="3436"/>
      <c r="T806" s="3436"/>
      <c r="U806" s="3436"/>
      <c r="V806" s="3436"/>
      <c r="W806" s="3436"/>
      <c r="X806" s="3436"/>
      <c r="Y806" s="3436"/>
      <c r="Z806" s="3436"/>
      <c r="AA806" s="3436"/>
      <c r="AB806" s="3436"/>
      <c r="AC806" s="3436"/>
      <c r="AD806" s="3436"/>
      <c r="AE806" s="3649"/>
    </row>
    <row r="807" spans="16:31" customFormat="1">
      <c r="P807" s="3436"/>
      <c r="Q807" s="3436"/>
      <c r="R807" s="3436"/>
      <c r="S807" s="3436"/>
      <c r="T807" s="3436"/>
      <c r="U807" s="3436"/>
      <c r="V807" s="3436"/>
      <c r="W807" s="3436"/>
      <c r="X807" s="3436"/>
      <c r="Y807" s="3436"/>
      <c r="Z807" s="3436"/>
      <c r="AA807" s="3436"/>
      <c r="AB807" s="3436"/>
      <c r="AC807" s="3436"/>
      <c r="AD807" s="3436"/>
      <c r="AE807" s="3649"/>
    </row>
    <row r="808" spans="16:31" customFormat="1">
      <c r="P808" s="3436"/>
      <c r="Q808" s="3436"/>
      <c r="R808" s="3436"/>
      <c r="S808" s="3436"/>
      <c r="T808" s="3436"/>
      <c r="U808" s="3436"/>
      <c r="V808" s="3436"/>
      <c r="W808" s="3436"/>
      <c r="X808" s="3436"/>
      <c r="Y808" s="3436"/>
      <c r="Z808" s="3436"/>
      <c r="AA808" s="3436"/>
      <c r="AB808" s="3436"/>
      <c r="AC808" s="3436"/>
      <c r="AD808" s="3436"/>
      <c r="AE808" s="3649"/>
    </row>
    <row r="809" spans="16:31" customFormat="1">
      <c r="P809" s="3436"/>
      <c r="Q809" s="3436"/>
      <c r="R809" s="3436"/>
      <c r="S809" s="3436"/>
      <c r="T809" s="3436"/>
      <c r="U809" s="3436"/>
      <c r="V809" s="3436"/>
      <c r="W809" s="3436"/>
      <c r="X809" s="3436"/>
      <c r="Y809" s="3436"/>
      <c r="Z809" s="3436"/>
      <c r="AA809" s="3436"/>
      <c r="AB809" s="3436"/>
      <c r="AC809" s="3436"/>
      <c r="AD809" s="3436"/>
      <c r="AE809" s="3649"/>
    </row>
    <row r="810" spans="16:31" customFormat="1">
      <c r="P810" s="3436"/>
      <c r="Q810" s="3436"/>
      <c r="R810" s="3436"/>
      <c r="S810" s="3436"/>
      <c r="T810" s="3436"/>
      <c r="U810" s="3436"/>
      <c r="V810" s="3436"/>
      <c r="W810" s="3436"/>
      <c r="X810" s="3436"/>
      <c r="Y810" s="3436"/>
      <c r="Z810" s="3436"/>
      <c r="AA810" s="3436"/>
      <c r="AB810" s="3436"/>
      <c r="AC810" s="3436"/>
      <c r="AD810" s="3436"/>
      <c r="AE810" s="3649"/>
    </row>
    <row r="811" spans="16:31" customFormat="1">
      <c r="P811" s="3436"/>
      <c r="Q811" s="3436"/>
      <c r="R811" s="3436"/>
      <c r="S811" s="3436"/>
      <c r="T811" s="3436"/>
      <c r="U811" s="3436"/>
      <c r="V811" s="3436"/>
      <c r="W811" s="3436"/>
      <c r="X811" s="3436"/>
      <c r="Y811" s="3436"/>
      <c r="Z811" s="3436"/>
      <c r="AA811" s="3436"/>
      <c r="AB811" s="3436"/>
      <c r="AC811" s="3436"/>
      <c r="AD811" s="3436"/>
      <c r="AE811" s="3649"/>
    </row>
    <row r="812" spans="16:31" customFormat="1">
      <c r="P812" s="3436"/>
      <c r="Q812" s="3436"/>
      <c r="R812" s="3436"/>
      <c r="S812" s="3436"/>
      <c r="T812" s="3436"/>
      <c r="U812" s="3436"/>
      <c r="V812" s="3436"/>
      <c r="W812" s="3436"/>
      <c r="X812" s="3436"/>
      <c r="Y812" s="3436"/>
      <c r="Z812" s="3436"/>
      <c r="AA812" s="3436"/>
      <c r="AB812" s="3436"/>
      <c r="AC812" s="3436"/>
      <c r="AD812" s="3436"/>
      <c r="AE812" s="3649"/>
    </row>
    <row r="813" spans="16:31" customFormat="1">
      <c r="P813" s="3436"/>
      <c r="Q813" s="3436"/>
      <c r="R813" s="3436"/>
      <c r="S813" s="3436"/>
      <c r="T813" s="3436"/>
      <c r="U813" s="3436"/>
      <c r="V813" s="3436"/>
      <c r="W813" s="3436"/>
      <c r="X813" s="3436"/>
      <c r="Y813" s="3436"/>
      <c r="Z813" s="3436"/>
      <c r="AA813" s="3436"/>
      <c r="AB813" s="3436"/>
      <c r="AC813" s="3436"/>
      <c r="AD813" s="3436"/>
      <c r="AE813" s="3649"/>
    </row>
    <row r="814" spans="16:31" customFormat="1">
      <c r="P814" s="3436"/>
      <c r="Q814" s="3436"/>
      <c r="R814" s="3436"/>
      <c r="S814" s="3436"/>
      <c r="T814" s="3436"/>
      <c r="U814" s="3436"/>
      <c r="V814" s="3436"/>
      <c r="W814" s="3436"/>
      <c r="X814" s="3436"/>
      <c r="Y814" s="3436"/>
      <c r="Z814" s="3436"/>
      <c r="AA814" s="3436"/>
      <c r="AB814" s="3436"/>
      <c r="AC814" s="3436"/>
      <c r="AD814" s="3436"/>
      <c r="AE814" s="3649"/>
    </row>
    <row r="815" spans="16:31" customFormat="1">
      <c r="P815" s="3436"/>
      <c r="Q815" s="3436"/>
      <c r="R815" s="3436"/>
      <c r="S815" s="3436"/>
      <c r="T815" s="3436"/>
      <c r="U815" s="3436"/>
      <c r="V815" s="3436"/>
      <c r="W815" s="3436"/>
      <c r="X815" s="3436"/>
      <c r="Y815" s="3436"/>
      <c r="Z815" s="3436"/>
      <c r="AA815" s="3436"/>
      <c r="AB815" s="3436"/>
      <c r="AC815" s="3436"/>
      <c r="AD815" s="3436"/>
      <c r="AE815" s="3649"/>
    </row>
    <row r="816" spans="16:31" customFormat="1">
      <c r="P816" s="3436"/>
      <c r="Q816" s="3436"/>
      <c r="R816" s="3436"/>
      <c r="S816" s="3436"/>
      <c r="T816" s="3436"/>
      <c r="U816" s="3436"/>
      <c r="V816" s="3436"/>
      <c r="W816" s="3436"/>
      <c r="X816" s="3436"/>
      <c r="Y816" s="3436"/>
      <c r="Z816" s="3436"/>
      <c r="AA816" s="3436"/>
      <c r="AB816" s="3436"/>
      <c r="AC816" s="3436"/>
      <c r="AD816" s="3436"/>
      <c r="AE816" s="3649"/>
    </row>
    <row r="817" spans="16:31" customFormat="1">
      <c r="P817" s="3436"/>
      <c r="Q817" s="3436"/>
      <c r="R817" s="3436"/>
      <c r="S817" s="3436"/>
      <c r="T817" s="3436"/>
      <c r="U817" s="3436"/>
      <c r="V817" s="3436"/>
      <c r="W817" s="3436"/>
      <c r="X817" s="3436"/>
      <c r="Y817" s="3436"/>
      <c r="Z817" s="3436"/>
      <c r="AA817" s="3436"/>
      <c r="AB817" s="3436"/>
      <c r="AC817" s="3436"/>
      <c r="AD817" s="3436"/>
      <c r="AE817" s="3649"/>
    </row>
    <row r="818" spans="16:31" customFormat="1">
      <c r="P818" s="3436"/>
      <c r="Q818" s="3436"/>
      <c r="R818" s="3436"/>
      <c r="S818" s="3436"/>
      <c r="T818" s="3436"/>
      <c r="U818" s="3436"/>
      <c r="V818" s="3436"/>
      <c r="W818" s="3436"/>
      <c r="X818" s="3436"/>
      <c r="Y818" s="3436"/>
      <c r="Z818" s="3436"/>
      <c r="AA818" s="3436"/>
      <c r="AB818" s="3436"/>
      <c r="AC818" s="3436"/>
      <c r="AD818" s="3436"/>
      <c r="AE818" s="3649"/>
    </row>
    <row r="819" spans="16:31" customFormat="1">
      <c r="P819" s="3436"/>
      <c r="Q819" s="3436"/>
      <c r="R819" s="3436"/>
      <c r="S819" s="3436"/>
      <c r="T819" s="3436"/>
      <c r="U819" s="3436"/>
      <c r="V819" s="3436"/>
      <c r="W819" s="3436"/>
      <c r="X819" s="3436"/>
      <c r="Y819" s="3436"/>
      <c r="Z819" s="3436"/>
      <c r="AA819" s="3436"/>
      <c r="AB819" s="3436"/>
      <c r="AC819" s="3436"/>
      <c r="AD819" s="3436"/>
      <c r="AE819" s="3649"/>
    </row>
    <row r="820" spans="16:31" customFormat="1">
      <c r="P820" s="3436"/>
      <c r="Q820" s="3436"/>
      <c r="R820" s="3436"/>
      <c r="S820" s="3436"/>
      <c r="T820" s="3436"/>
      <c r="U820" s="3436"/>
      <c r="V820" s="3436"/>
      <c r="W820" s="3436"/>
      <c r="X820" s="3436"/>
      <c r="Y820" s="3436"/>
      <c r="Z820" s="3436"/>
      <c r="AA820" s="3436"/>
      <c r="AB820" s="3436"/>
      <c r="AC820" s="3436"/>
      <c r="AD820" s="3436"/>
      <c r="AE820" s="3649"/>
    </row>
    <row r="821" spans="16:31" customFormat="1">
      <c r="P821" s="3436"/>
      <c r="Q821" s="3436"/>
      <c r="R821" s="3436"/>
      <c r="S821" s="3436"/>
      <c r="T821" s="3436"/>
      <c r="U821" s="3436"/>
      <c r="V821" s="3436"/>
      <c r="W821" s="3436"/>
      <c r="X821" s="3436"/>
      <c r="Y821" s="3436"/>
      <c r="Z821" s="3436"/>
      <c r="AA821" s="3436"/>
      <c r="AB821" s="3436"/>
      <c r="AC821" s="3436"/>
      <c r="AD821" s="3436"/>
      <c r="AE821" s="3649"/>
    </row>
    <row r="822" spans="16:31" customFormat="1">
      <c r="P822" s="3436"/>
      <c r="Q822" s="3436"/>
      <c r="R822" s="3436"/>
      <c r="S822" s="3436"/>
      <c r="T822" s="3436"/>
      <c r="U822" s="3436"/>
      <c r="V822" s="3436"/>
      <c r="W822" s="3436"/>
      <c r="X822" s="3436"/>
      <c r="Y822" s="3436"/>
      <c r="Z822" s="3436"/>
      <c r="AA822" s="3436"/>
      <c r="AB822" s="3436"/>
      <c r="AC822" s="3436"/>
      <c r="AD822" s="3436"/>
      <c r="AE822" s="3649"/>
    </row>
    <row r="823" spans="16:31" customFormat="1">
      <c r="P823" s="3436"/>
      <c r="Q823" s="3436"/>
      <c r="R823" s="3436"/>
      <c r="S823" s="3436"/>
      <c r="T823" s="3436"/>
      <c r="U823" s="3436"/>
      <c r="V823" s="3436"/>
      <c r="W823" s="3436"/>
      <c r="X823" s="3436"/>
      <c r="Y823" s="3436"/>
      <c r="Z823" s="3436"/>
      <c r="AA823" s="3436"/>
      <c r="AB823" s="3436"/>
      <c r="AC823" s="3436"/>
      <c r="AD823" s="3436"/>
      <c r="AE823" s="3649"/>
    </row>
    <row r="824" spans="16:31" customFormat="1">
      <c r="P824" s="3436"/>
      <c r="Q824" s="3436"/>
      <c r="R824" s="3436"/>
      <c r="S824" s="3436"/>
      <c r="T824" s="3436"/>
      <c r="U824" s="3436"/>
      <c r="V824" s="3436"/>
      <c r="W824" s="3436"/>
      <c r="X824" s="3436"/>
      <c r="Y824" s="3436"/>
      <c r="Z824" s="3436"/>
      <c r="AA824" s="3436"/>
      <c r="AB824" s="3436"/>
      <c r="AC824" s="3436"/>
      <c r="AD824" s="3436"/>
      <c r="AE824" s="3649"/>
    </row>
    <row r="825" spans="16:31" customFormat="1">
      <c r="P825" s="3436"/>
      <c r="Q825" s="3436"/>
      <c r="R825" s="3436"/>
      <c r="S825" s="3436"/>
      <c r="T825" s="3436"/>
      <c r="U825" s="3436"/>
      <c r="V825" s="3436"/>
      <c r="W825" s="3436"/>
      <c r="X825" s="3436"/>
      <c r="Y825" s="3436"/>
      <c r="Z825" s="3436"/>
      <c r="AA825" s="3436"/>
      <c r="AB825" s="3436"/>
      <c r="AC825" s="3436"/>
      <c r="AD825" s="3436"/>
      <c r="AE825" s="3649"/>
    </row>
    <row r="826" spans="16:31" customFormat="1">
      <c r="P826" s="3436"/>
      <c r="Q826" s="3436"/>
      <c r="R826" s="3436"/>
      <c r="S826" s="3436"/>
      <c r="T826" s="3436"/>
      <c r="U826" s="3436"/>
      <c r="V826" s="3436"/>
      <c r="W826" s="3436"/>
      <c r="X826" s="3436"/>
      <c r="Y826" s="3436"/>
      <c r="Z826" s="3436"/>
      <c r="AA826" s="3436"/>
      <c r="AB826" s="3436"/>
      <c r="AC826" s="3436"/>
      <c r="AD826" s="3436"/>
      <c r="AE826" s="3649"/>
    </row>
    <row r="827" spans="16:31" customFormat="1">
      <c r="P827" s="3436"/>
      <c r="Q827" s="3436"/>
      <c r="R827" s="3436"/>
      <c r="S827" s="3436"/>
      <c r="T827" s="3436"/>
      <c r="U827" s="3436"/>
      <c r="V827" s="3436"/>
      <c r="W827" s="3436"/>
      <c r="X827" s="3436"/>
      <c r="Y827" s="3436"/>
      <c r="Z827" s="3436"/>
      <c r="AA827" s="3436"/>
      <c r="AB827" s="3436"/>
      <c r="AC827" s="3436"/>
      <c r="AD827" s="3436"/>
      <c r="AE827" s="3649"/>
    </row>
    <row r="828" spans="16:31" customFormat="1">
      <c r="P828" s="3436"/>
      <c r="Q828" s="3436"/>
      <c r="R828" s="3436"/>
      <c r="S828" s="3436"/>
      <c r="T828" s="3436"/>
      <c r="U828" s="3436"/>
      <c r="V828" s="3436"/>
      <c r="W828" s="3436"/>
      <c r="X828" s="3436"/>
      <c r="Y828" s="3436"/>
      <c r="Z828" s="3436"/>
      <c r="AA828" s="3436"/>
      <c r="AB828" s="3436"/>
      <c r="AC828" s="3436"/>
      <c r="AD828" s="3436"/>
      <c r="AE828" s="3649"/>
    </row>
    <row r="829" spans="16:31" customFormat="1">
      <c r="P829" s="3436"/>
      <c r="Q829" s="3436"/>
      <c r="R829" s="3436"/>
      <c r="S829" s="3436"/>
      <c r="T829" s="3436"/>
      <c r="U829" s="3436"/>
      <c r="V829" s="3436"/>
      <c r="W829" s="3436"/>
      <c r="X829" s="3436"/>
      <c r="Y829" s="3436"/>
      <c r="Z829" s="3436"/>
      <c r="AA829" s="3436"/>
      <c r="AB829" s="3436"/>
      <c r="AC829" s="3436"/>
      <c r="AD829" s="3436"/>
      <c r="AE829" s="3649"/>
    </row>
    <row r="830" spans="16:31" customFormat="1">
      <c r="P830" s="3436"/>
      <c r="Q830" s="3436"/>
      <c r="R830" s="3436"/>
      <c r="S830" s="3436"/>
      <c r="T830" s="3436"/>
      <c r="U830" s="3436"/>
      <c r="V830" s="3436"/>
      <c r="W830" s="3436"/>
      <c r="X830" s="3436"/>
      <c r="Y830" s="3436"/>
      <c r="Z830" s="3436"/>
      <c r="AA830" s="3436"/>
      <c r="AB830" s="3436"/>
      <c r="AC830" s="3436"/>
      <c r="AD830" s="3436"/>
      <c r="AE830" s="3649"/>
    </row>
    <row r="831" spans="16:31" customFormat="1">
      <c r="P831" s="3436"/>
      <c r="Q831" s="3436"/>
      <c r="R831" s="3436"/>
      <c r="S831" s="3436"/>
      <c r="T831" s="3436"/>
      <c r="U831" s="3436"/>
      <c r="V831" s="3436"/>
      <c r="W831" s="3436"/>
      <c r="X831" s="3436"/>
      <c r="Y831" s="3436"/>
      <c r="Z831" s="3436"/>
      <c r="AA831" s="3436"/>
      <c r="AB831" s="3436"/>
      <c r="AC831" s="3436"/>
      <c r="AD831" s="3436"/>
      <c r="AE831" s="3649"/>
    </row>
    <row r="832" spans="16:31" customFormat="1">
      <c r="P832" s="3436"/>
      <c r="Q832" s="3436"/>
      <c r="R832" s="3436"/>
      <c r="S832" s="3436"/>
      <c r="T832" s="3436"/>
      <c r="U832" s="3436"/>
      <c r="V832" s="3436"/>
      <c r="W832" s="3436"/>
      <c r="X832" s="3436"/>
      <c r="Y832" s="3436"/>
      <c r="Z832" s="3436"/>
      <c r="AA832" s="3436"/>
      <c r="AB832" s="3436"/>
      <c r="AC832" s="3436"/>
      <c r="AD832" s="3436"/>
      <c r="AE832" s="3649"/>
    </row>
    <row r="833" spans="16:31" customFormat="1">
      <c r="P833" s="3436"/>
      <c r="Q833" s="3436"/>
      <c r="R833" s="3436"/>
      <c r="S833" s="3436"/>
      <c r="T833" s="3436"/>
      <c r="U833" s="3436"/>
      <c r="V833" s="3436"/>
      <c r="W833" s="3436"/>
      <c r="X833" s="3436"/>
      <c r="Y833" s="3436"/>
      <c r="Z833" s="3436"/>
      <c r="AA833" s="3436"/>
      <c r="AB833" s="3436"/>
      <c r="AC833" s="3436"/>
      <c r="AD833" s="3436"/>
      <c r="AE833" s="3649"/>
    </row>
    <row r="834" spans="16:31" customFormat="1">
      <c r="P834" s="3436"/>
      <c r="Q834" s="3436"/>
      <c r="R834" s="3436"/>
      <c r="S834" s="3436"/>
      <c r="T834" s="3436"/>
      <c r="U834" s="3436"/>
      <c r="V834" s="3436"/>
      <c r="W834" s="3436"/>
      <c r="X834" s="3436"/>
      <c r="Y834" s="3436"/>
      <c r="Z834" s="3436"/>
      <c r="AA834" s="3436"/>
      <c r="AB834" s="3436"/>
      <c r="AC834" s="3436"/>
      <c r="AD834" s="3436"/>
      <c r="AE834" s="3649"/>
    </row>
    <row r="835" spans="16:31" customFormat="1">
      <c r="P835" s="3436"/>
      <c r="Q835" s="3436"/>
      <c r="R835" s="3436"/>
      <c r="S835" s="3436"/>
      <c r="T835" s="3436"/>
      <c r="U835" s="3436"/>
      <c r="V835" s="3436"/>
      <c r="W835" s="3436"/>
      <c r="X835" s="3436"/>
      <c r="Y835" s="3436"/>
      <c r="Z835" s="3436"/>
      <c r="AA835" s="3436"/>
      <c r="AB835" s="3436"/>
      <c r="AC835" s="3436"/>
      <c r="AD835" s="3436"/>
      <c r="AE835" s="3649"/>
    </row>
    <row r="836" spans="16:31" customFormat="1">
      <c r="P836" s="3436"/>
      <c r="Q836" s="3436"/>
      <c r="R836" s="3436"/>
      <c r="S836" s="3436"/>
      <c r="T836" s="3436"/>
      <c r="U836" s="3436"/>
      <c r="V836" s="3436"/>
      <c r="W836" s="3436"/>
      <c r="X836" s="3436"/>
      <c r="Y836" s="3436"/>
      <c r="Z836" s="3436"/>
      <c r="AA836" s="3436"/>
      <c r="AB836" s="3436"/>
      <c r="AC836" s="3436"/>
      <c r="AD836" s="3436"/>
      <c r="AE836" s="3649"/>
    </row>
    <row r="837" spans="16:31" customFormat="1">
      <c r="P837" s="3436"/>
      <c r="Q837" s="3436"/>
      <c r="R837" s="3436"/>
      <c r="S837" s="3436"/>
      <c r="T837" s="3436"/>
      <c r="U837" s="3436"/>
      <c r="V837" s="3436"/>
      <c r="W837" s="3436"/>
      <c r="X837" s="3436"/>
      <c r="Y837" s="3436"/>
      <c r="Z837" s="3436"/>
      <c r="AA837" s="3436"/>
      <c r="AB837" s="3436"/>
      <c r="AC837" s="3436"/>
      <c r="AD837" s="3436"/>
      <c r="AE837" s="3649"/>
    </row>
    <row r="838" spans="16:31" customFormat="1">
      <c r="P838" s="3436"/>
      <c r="Q838" s="3436"/>
      <c r="R838" s="3436"/>
      <c r="S838" s="3436"/>
      <c r="T838" s="3436"/>
      <c r="U838" s="3436"/>
      <c r="V838" s="3436"/>
      <c r="W838" s="3436"/>
      <c r="X838" s="3436"/>
      <c r="Y838" s="3436"/>
      <c r="Z838" s="3436"/>
      <c r="AA838" s="3436"/>
      <c r="AB838" s="3436"/>
      <c r="AC838" s="3436"/>
      <c r="AD838" s="3436"/>
      <c r="AE838" s="3649"/>
    </row>
    <row r="839" spans="16:31" customFormat="1">
      <c r="P839" s="3436"/>
      <c r="Q839" s="3436"/>
      <c r="R839" s="3436"/>
      <c r="S839" s="3436"/>
      <c r="T839" s="3436"/>
      <c r="U839" s="3436"/>
      <c r="V839" s="3436"/>
      <c r="W839" s="3436"/>
      <c r="X839" s="3436"/>
      <c r="Y839" s="3436"/>
      <c r="Z839" s="3436"/>
      <c r="AA839" s="3436"/>
      <c r="AB839" s="3436"/>
      <c r="AC839" s="3436"/>
      <c r="AD839" s="3436"/>
      <c r="AE839" s="3649"/>
    </row>
    <row r="840" spans="16:31" customFormat="1">
      <c r="P840" s="3436"/>
      <c r="Q840" s="3436"/>
      <c r="R840" s="3436"/>
      <c r="S840" s="3436"/>
      <c r="T840" s="3436"/>
      <c r="U840" s="3436"/>
      <c r="V840" s="3436"/>
      <c r="W840" s="3436"/>
      <c r="X840" s="3436"/>
      <c r="Y840" s="3436"/>
      <c r="Z840" s="3436"/>
      <c r="AA840" s="3436"/>
      <c r="AB840" s="3436"/>
      <c r="AC840" s="3436"/>
      <c r="AD840" s="3436"/>
      <c r="AE840" s="3649"/>
    </row>
    <row r="841" spans="16:31" customFormat="1">
      <c r="P841" s="3436"/>
      <c r="Q841" s="3436"/>
      <c r="R841" s="3436"/>
      <c r="S841" s="3436"/>
      <c r="T841" s="3436"/>
      <c r="U841" s="3436"/>
      <c r="V841" s="3436"/>
      <c r="W841" s="3436"/>
      <c r="X841" s="3436"/>
      <c r="Y841" s="3436"/>
      <c r="Z841" s="3436"/>
      <c r="AA841" s="3436"/>
      <c r="AB841" s="3436"/>
      <c r="AC841" s="3436"/>
      <c r="AD841" s="3436"/>
      <c r="AE841" s="3649"/>
    </row>
    <row r="842" spans="16:31" customFormat="1">
      <c r="P842" s="3436"/>
      <c r="Q842" s="3436"/>
      <c r="R842" s="3436"/>
      <c r="S842" s="3436"/>
      <c r="T842" s="3436"/>
      <c r="U842" s="3436"/>
      <c r="V842" s="3436"/>
      <c r="W842" s="3436"/>
      <c r="X842" s="3436"/>
      <c r="Y842" s="3436"/>
      <c r="Z842" s="3436"/>
      <c r="AA842" s="3436"/>
      <c r="AB842" s="3436"/>
      <c r="AC842" s="3436"/>
      <c r="AD842" s="3436"/>
      <c r="AE842" s="3649"/>
    </row>
    <row r="843" spans="16:31" customFormat="1">
      <c r="P843" s="3436"/>
      <c r="Q843" s="3436"/>
      <c r="R843" s="3436"/>
      <c r="S843" s="3436"/>
      <c r="T843" s="3436"/>
      <c r="U843" s="3436"/>
      <c r="V843" s="3436"/>
      <c r="W843" s="3436"/>
      <c r="X843" s="3436"/>
      <c r="Y843" s="3436"/>
      <c r="Z843" s="3436"/>
      <c r="AA843" s="3436"/>
      <c r="AB843" s="3436"/>
      <c r="AC843" s="3436"/>
      <c r="AD843" s="3436"/>
      <c r="AE843" s="3649"/>
    </row>
    <row r="844" spans="16:31" customFormat="1">
      <c r="P844" s="3436"/>
      <c r="Q844" s="3436"/>
      <c r="R844" s="3436"/>
      <c r="S844" s="3436"/>
      <c r="T844" s="3436"/>
      <c r="U844" s="3436"/>
      <c r="V844" s="3436"/>
      <c r="W844" s="3436"/>
      <c r="X844" s="3436"/>
      <c r="Y844" s="3436"/>
      <c r="Z844" s="3436"/>
      <c r="AA844" s="3436"/>
      <c r="AB844" s="3436"/>
      <c r="AC844" s="3436"/>
      <c r="AD844" s="3436"/>
      <c r="AE844" s="3649"/>
    </row>
    <row r="845" spans="16:31" customFormat="1">
      <c r="P845" s="3436"/>
      <c r="Q845" s="3436"/>
      <c r="R845" s="3436"/>
      <c r="S845" s="3436"/>
      <c r="T845" s="3436"/>
      <c r="U845" s="3436"/>
      <c r="V845" s="3436"/>
      <c r="W845" s="3436"/>
      <c r="X845" s="3436"/>
      <c r="Y845" s="3436"/>
      <c r="Z845" s="3436"/>
      <c r="AA845" s="3436"/>
      <c r="AB845" s="3436"/>
      <c r="AC845" s="3436"/>
      <c r="AD845" s="3436"/>
      <c r="AE845" s="3649"/>
    </row>
    <row r="846" spans="16:31" customFormat="1">
      <c r="P846" s="3436"/>
      <c r="Q846" s="3436"/>
      <c r="R846" s="3436"/>
      <c r="S846" s="3436"/>
      <c r="T846" s="3436"/>
      <c r="U846" s="3436"/>
      <c r="V846" s="3436"/>
      <c r="W846" s="3436"/>
      <c r="X846" s="3436"/>
      <c r="Y846" s="3436"/>
      <c r="Z846" s="3436"/>
      <c r="AA846" s="3436"/>
      <c r="AB846" s="3436"/>
      <c r="AC846" s="3436"/>
      <c r="AD846" s="3436"/>
      <c r="AE846" s="3649"/>
    </row>
    <row r="847" spans="16:31" customFormat="1">
      <c r="P847" s="3436"/>
      <c r="Q847" s="3436"/>
      <c r="R847" s="3436"/>
      <c r="S847" s="3436"/>
      <c r="T847" s="3436"/>
      <c r="U847" s="3436"/>
      <c r="V847" s="3436"/>
      <c r="W847" s="3436"/>
      <c r="X847" s="3436"/>
      <c r="Y847" s="3436"/>
      <c r="Z847" s="3436"/>
      <c r="AA847" s="3436"/>
      <c r="AB847" s="3436"/>
      <c r="AC847" s="3436"/>
      <c r="AD847" s="3436"/>
      <c r="AE847" s="3649"/>
    </row>
    <row r="848" spans="16:31" customFormat="1">
      <c r="P848" s="3436"/>
      <c r="Q848" s="3436"/>
      <c r="R848" s="3436"/>
      <c r="S848" s="3436"/>
      <c r="T848" s="3436"/>
      <c r="U848" s="3436"/>
      <c r="V848" s="3436"/>
      <c r="W848" s="3436"/>
      <c r="X848" s="3436"/>
      <c r="Y848" s="3436"/>
      <c r="Z848" s="3436"/>
      <c r="AA848" s="3436"/>
      <c r="AB848" s="3436"/>
      <c r="AC848" s="3436"/>
      <c r="AD848" s="3436"/>
      <c r="AE848" s="3649"/>
    </row>
    <row r="849" spans="16:31" customFormat="1">
      <c r="P849" s="3436"/>
      <c r="Q849" s="3436"/>
      <c r="R849" s="3436"/>
      <c r="S849" s="3436"/>
      <c r="T849" s="3436"/>
      <c r="U849" s="3436"/>
      <c r="V849" s="3436"/>
      <c r="W849" s="3436"/>
      <c r="X849" s="3436"/>
      <c r="Y849" s="3436"/>
      <c r="Z849" s="3436"/>
      <c r="AA849" s="3436"/>
      <c r="AB849" s="3436"/>
      <c r="AC849" s="3436"/>
      <c r="AD849" s="3436"/>
      <c r="AE849" s="3649"/>
    </row>
    <row r="850" spans="16:31" customFormat="1">
      <c r="P850" s="3436"/>
      <c r="Q850" s="3436"/>
      <c r="R850" s="3436"/>
      <c r="S850" s="3436"/>
      <c r="T850" s="3436"/>
      <c r="U850" s="3436"/>
      <c r="V850" s="3436"/>
      <c r="W850" s="3436"/>
      <c r="X850" s="3436"/>
      <c r="Y850" s="3436"/>
      <c r="Z850" s="3436"/>
      <c r="AA850" s="3436"/>
      <c r="AB850" s="3436"/>
      <c r="AC850" s="3436"/>
      <c r="AD850" s="3436"/>
      <c r="AE850" s="3649"/>
    </row>
    <row r="851" spans="16:31" customFormat="1">
      <c r="P851" s="3436"/>
      <c r="Q851" s="3436"/>
      <c r="R851" s="3436"/>
      <c r="S851" s="3436"/>
      <c r="T851" s="3436"/>
      <c r="U851" s="3436"/>
      <c r="V851" s="3436"/>
      <c r="W851" s="3436"/>
      <c r="X851" s="3436"/>
      <c r="Y851" s="3436"/>
      <c r="Z851" s="3436"/>
      <c r="AA851" s="3436"/>
      <c r="AB851" s="3436"/>
      <c r="AC851" s="3436"/>
      <c r="AD851" s="3436"/>
      <c r="AE851" s="3649"/>
    </row>
    <row r="852" spans="16:31" customFormat="1">
      <c r="P852" s="3436"/>
      <c r="Q852" s="3436"/>
      <c r="R852" s="3436"/>
      <c r="S852" s="3436"/>
      <c r="T852" s="3436"/>
      <c r="U852" s="3436"/>
      <c r="V852" s="3436"/>
      <c r="W852" s="3436"/>
      <c r="X852" s="3436"/>
      <c r="Y852" s="3436"/>
      <c r="Z852" s="3436"/>
      <c r="AA852" s="3436"/>
      <c r="AB852" s="3436"/>
      <c r="AC852" s="3436"/>
      <c r="AD852" s="3436"/>
      <c r="AE852" s="3649"/>
    </row>
    <row r="853" spans="16:31" customFormat="1">
      <c r="P853" s="3436"/>
      <c r="Q853" s="3436"/>
      <c r="R853" s="3436"/>
      <c r="S853" s="3436"/>
      <c r="T853" s="3436"/>
      <c r="U853" s="3436"/>
      <c r="V853" s="3436"/>
      <c r="W853" s="3436"/>
      <c r="X853" s="3436"/>
      <c r="Y853" s="3436"/>
      <c r="Z853" s="3436"/>
      <c r="AA853" s="3436"/>
      <c r="AB853" s="3436"/>
      <c r="AC853" s="3436"/>
      <c r="AD853" s="3436"/>
      <c r="AE853" s="3649"/>
    </row>
    <row r="854" spans="16:31" customFormat="1">
      <c r="P854" s="3436"/>
      <c r="Q854" s="3436"/>
      <c r="R854" s="3436"/>
      <c r="S854" s="3436"/>
      <c r="T854" s="3436"/>
      <c r="U854" s="3436"/>
      <c r="V854" s="3436"/>
      <c r="W854" s="3436"/>
      <c r="X854" s="3436"/>
      <c r="Y854" s="3436"/>
      <c r="Z854" s="3436"/>
      <c r="AA854" s="3436"/>
      <c r="AB854" s="3436"/>
      <c r="AC854" s="3436"/>
      <c r="AD854" s="3436"/>
      <c r="AE854" s="3649"/>
    </row>
    <row r="855" spans="16:31" customFormat="1">
      <c r="P855" s="3436"/>
      <c r="Q855" s="3436"/>
      <c r="R855" s="3436"/>
      <c r="S855" s="3436"/>
      <c r="T855" s="3436"/>
      <c r="U855" s="3436"/>
      <c r="V855" s="3436"/>
      <c r="W855" s="3436"/>
      <c r="X855" s="3436"/>
      <c r="Y855" s="3436"/>
      <c r="Z855" s="3436"/>
      <c r="AA855" s="3436"/>
      <c r="AB855" s="3436"/>
      <c r="AC855" s="3436"/>
      <c r="AD855" s="3436"/>
      <c r="AE855" s="3649"/>
    </row>
    <row r="856" spans="16:31" customFormat="1">
      <c r="P856" s="3436"/>
      <c r="Q856" s="3436"/>
      <c r="R856" s="3436"/>
      <c r="S856" s="3436"/>
      <c r="T856" s="3436"/>
      <c r="U856" s="3436"/>
      <c r="V856" s="3436"/>
      <c r="W856" s="3436"/>
      <c r="X856" s="3436"/>
      <c r="Y856" s="3436"/>
      <c r="Z856" s="3436"/>
      <c r="AA856" s="3436"/>
      <c r="AB856" s="3436"/>
      <c r="AC856" s="3436"/>
      <c r="AD856" s="3436"/>
      <c r="AE856" s="3649"/>
    </row>
    <row r="857" spans="16:31" customFormat="1">
      <c r="P857" s="3436"/>
      <c r="Q857" s="3436"/>
      <c r="R857" s="3436"/>
      <c r="S857" s="3436"/>
      <c r="T857" s="3436"/>
      <c r="U857" s="3436"/>
      <c r="V857" s="3436"/>
      <c r="W857" s="3436"/>
      <c r="X857" s="3436"/>
      <c r="Y857" s="3436"/>
      <c r="Z857" s="3436"/>
      <c r="AA857" s="3436"/>
      <c r="AB857" s="3436"/>
      <c r="AC857" s="3436"/>
      <c r="AD857" s="3436"/>
      <c r="AE857" s="3649"/>
    </row>
    <row r="858" spans="16:31" customFormat="1">
      <c r="P858" s="3436"/>
      <c r="Q858" s="3436"/>
      <c r="R858" s="3436"/>
      <c r="S858" s="3436"/>
      <c r="T858" s="3436"/>
      <c r="U858" s="3436"/>
      <c r="V858" s="3436"/>
      <c r="W858" s="3436"/>
      <c r="X858" s="3436"/>
      <c r="Y858" s="3436"/>
      <c r="Z858" s="3436"/>
      <c r="AA858" s="3436"/>
      <c r="AB858" s="3436"/>
      <c r="AC858" s="3436"/>
      <c r="AD858" s="3436"/>
      <c r="AE858" s="3649"/>
    </row>
    <row r="859" spans="16:31" customFormat="1">
      <c r="P859" s="3436"/>
      <c r="Q859" s="3436"/>
      <c r="R859" s="3436"/>
      <c r="S859" s="3436"/>
      <c r="T859" s="3436"/>
      <c r="U859" s="3436"/>
      <c r="V859" s="3436"/>
      <c r="W859" s="3436"/>
      <c r="X859" s="3436"/>
      <c r="Y859" s="3436"/>
      <c r="Z859" s="3436"/>
      <c r="AA859" s="3436"/>
      <c r="AB859" s="3436"/>
      <c r="AC859" s="3436"/>
      <c r="AD859" s="3436"/>
      <c r="AE859" s="3649"/>
    </row>
    <row r="860" spans="16:31" customFormat="1">
      <c r="P860" s="3436"/>
      <c r="Q860" s="3436"/>
      <c r="R860" s="3436"/>
      <c r="S860" s="3436"/>
      <c r="T860" s="3436"/>
      <c r="U860" s="3436"/>
      <c r="V860" s="3436"/>
      <c r="W860" s="3436"/>
      <c r="X860" s="3436"/>
      <c r="Y860" s="3436"/>
      <c r="Z860" s="3436"/>
      <c r="AA860" s="3436"/>
      <c r="AB860" s="3436"/>
      <c r="AC860" s="3436"/>
      <c r="AD860" s="3436"/>
      <c r="AE860" s="3649"/>
    </row>
    <row r="861" spans="16:31" customFormat="1">
      <c r="P861" s="3436"/>
      <c r="Q861" s="3436"/>
      <c r="R861" s="3436"/>
      <c r="S861" s="3436"/>
      <c r="T861" s="3436"/>
      <c r="U861" s="3436"/>
      <c r="V861" s="3436"/>
      <c r="W861" s="3436"/>
      <c r="X861" s="3436"/>
      <c r="Y861" s="3436"/>
      <c r="Z861" s="3436"/>
      <c r="AA861" s="3436"/>
      <c r="AB861" s="3436"/>
      <c r="AC861" s="3436"/>
      <c r="AD861" s="3436"/>
      <c r="AE861" s="3649"/>
    </row>
    <row r="862" spans="16:31" customFormat="1">
      <c r="P862" s="3436"/>
      <c r="Q862" s="3436"/>
      <c r="R862" s="3436"/>
      <c r="S862" s="3436"/>
      <c r="T862" s="3436"/>
      <c r="U862" s="3436"/>
      <c r="V862" s="3436"/>
      <c r="W862" s="3436"/>
      <c r="X862" s="3436"/>
      <c r="Y862" s="3436"/>
      <c r="Z862" s="3436"/>
      <c r="AA862" s="3436"/>
      <c r="AB862" s="3436"/>
      <c r="AC862" s="3436"/>
      <c r="AD862" s="3436"/>
      <c r="AE862" s="3649"/>
    </row>
    <row r="863" spans="16:31" customFormat="1">
      <c r="P863" s="3436"/>
      <c r="Q863" s="3436"/>
      <c r="R863" s="3436"/>
      <c r="S863" s="3436"/>
      <c r="T863" s="3436"/>
      <c r="U863" s="3436"/>
      <c r="V863" s="3436"/>
      <c r="W863" s="3436"/>
      <c r="X863" s="3436"/>
      <c r="Y863" s="3436"/>
      <c r="Z863" s="3436"/>
      <c r="AA863" s="3436"/>
      <c r="AB863" s="3436"/>
      <c r="AC863" s="3436"/>
      <c r="AD863" s="3436"/>
      <c r="AE863" s="3649"/>
    </row>
    <row r="864" spans="16:31" customFormat="1">
      <c r="P864" s="3436"/>
      <c r="Q864" s="3436"/>
      <c r="R864" s="3436"/>
      <c r="S864" s="3436"/>
      <c r="T864" s="3436"/>
      <c r="U864" s="3436"/>
      <c r="V864" s="3436"/>
      <c r="W864" s="3436"/>
      <c r="X864" s="3436"/>
      <c r="Y864" s="3436"/>
      <c r="Z864" s="3436"/>
      <c r="AA864" s="3436"/>
      <c r="AB864" s="3436"/>
      <c r="AC864" s="3436"/>
      <c r="AD864" s="3436"/>
      <c r="AE864" s="3649"/>
    </row>
    <row r="865" spans="16:31" customFormat="1">
      <c r="P865" s="3436"/>
      <c r="Q865" s="3436"/>
      <c r="R865" s="3436"/>
      <c r="S865" s="3436"/>
      <c r="T865" s="3436"/>
      <c r="U865" s="3436"/>
      <c r="V865" s="3436"/>
      <c r="W865" s="3436"/>
      <c r="X865" s="3436"/>
      <c r="Y865" s="3436"/>
      <c r="Z865" s="3436"/>
      <c r="AA865" s="3436"/>
      <c r="AB865" s="3436"/>
      <c r="AC865" s="3436"/>
      <c r="AD865" s="3436"/>
      <c r="AE865" s="3649"/>
    </row>
    <row r="866" spans="16:31" customFormat="1">
      <c r="P866" s="3436"/>
      <c r="Q866" s="3436"/>
      <c r="R866" s="3436"/>
      <c r="S866" s="3436"/>
      <c r="T866" s="3436"/>
      <c r="U866" s="3436"/>
      <c r="V866" s="3436"/>
      <c r="W866" s="3436"/>
      <c r="X866" s="3436"/>
      <c r="Y866" s="3436"/>
      <c r="Z866" s="3436"/>
      <c r="AA866" s="3436"/>
      <c r="AB866" s="3436"/>
      <c r="AC866" s="3436"/>
      <c r="AD866" s="3436"/>
      <c r="AE866" s="3649"/>
    </row>
    <row r="867" spans="16:31" customFormat="1">
      <c r="P867" s="3436"/>
      <c r="Q867" s="3436"/>
      <c r="R867" s="3436"/>
      <c r="S867" s="3436"/>
      <c r="T867" s="3436"/>
      <c r="U867" s="3436"/>
      <c r="V867" s="3436"/>
      <c r="W867" s="3436"/>
      <c r="X867" s="3436"/>
      <c r="Y867" s="3436"/>
      <c r="Z867" s="3436"/>
      <c r="AA867" s="3436"/>
      <c r="AB867" s="3436"/>
      <c r="AC867" s="3436"/>
      <c r="AD867" s="3436"/>
      <c r="AE867" s="3649"/>
    </row>
    <row r="868" spans="16:31" customFormat="1">
      <c r="P868" s="3436"/>
      <c r="Q868" s="3436"/>
      <c r="R868" s="3436"/>
      <c r="S868" s="3436"/>
      <c r="T868" s="3436"/>
      <c r="U868" s="3436"/>
      <c r="V868" s="3436"/>
      <c r="W868" s="3436"/>
      <c r="X868" s="3436"/>
      <c r="Y868" s="3436"/>
      <c r="Z868" s="3436"/>
      <c r="AA868" s="3436"/>
      <c r="AB868" s="3436"/>
      <c r="AC868" s="3436"/>
      <c r="AD868" s="3436"/>
      <c r="AE868" s="3649"/>
    </row>
    <row r="869" spans="16:31" customFormat="1">
      <c r="P869" s="3436"/>
      <c r="Q869" s="3436"/>
      <c r="R869" s="3436"/>
      <c r="S869" s="3436"/>
      <c r="T869" s="3436"/>
      <c r="U869" s="3436"/>
      <c r="V869" s="3436"/>
      <c r="W869" s="3436"/>
      <c r="X869" s="3436"/>
      <c r="Y869" s="3436"/>
      <c r="Z869" s="3436"/>
      <c r="AA869" s="3436"/>
      <c r="AB869" s="3436"/>
      <c r="AC869" s="3436"/>
      <c r="AD869" s="3436"/>
      <c r="AE869" s="3649"/>
    </row>
    <row r="870" spans="16:31" customFormat="1">
      <c r="P870" s="3436"/>
      <c r="Q870" s="3436"/>
      <c r="R870" s="3436"/>
      <c r="S870" s="3436"/>
      <c r="T870" s="3436"/>
      <c r="U870" s="3436"/>
      <c r="V870" s="3436"/>
      <c r="W870" s="3436"/>
      <c r="X870" s="3436"/>
      <c r="Y870" s="3436"/>
      <c r="Z870" s="3436"/>
      <c r="AA870" s="3436"/>
      <c r="AB870" s="3436"/>
      <c r="AC870" s="3436"/>
      <c r="AD870" s="3436"/>
      <c r="AE870" s="3649"/>
    </row>
    <row r="871" spans="16:31" customFormat="1">
      <c r="P871" s="3436"/>
      <c r="Q871" s="3436"/>
      <c r="R871" s="3436"/>
      <c r="S871" s="3436"/>
      <c r="T871" s="3436"/>
      <c r="U871" s="3436"/>
      <c r="V871" s="3436"/>
      <c r="W871" s="3436"/>
      <c r="X871" s="3436"/>
      <c r="Y871" s="3436"/>
      <c r="Z871" s="3436"/>
      <c r="AA871" s="3436"/>
      <c r="AB871" s="3436"/>
      <c r="AC871" s="3436"/>
      <c r="AD871" s="3436"/>
      <c r="AE871" s="3649"/>
    </row>
    <row r="872" spans="16:31" customFormat="1">
      <c r="P872" s="3436"/>
      <c r="Q872" s="3436"/>
      <c r="R872" s="3436"/>
      <c r="S872" s="3436"/>
      <c r="T872" s="3436"/>
      <c r="U872" s="3436"/>
      <c r="V872" s="3436"/>
      <c r="W872" s="3436"/>
      <c r="X872" s="3436"/>
      <c r="Y872" s="3436"/>
      <c r="Z872" s="3436"/>
      <c r="AA872" s="3436"/>
      <c r="AB872" s="3436"/>
      <c r="AC872" s="3436"/>
      <c r="AD872" s="3436"/>
      <c r="AE872" s="3649"/>
    </row>
    <row r="873" spans="16:31" customFormat="1">
      <c r="P873" s="3436"/>
      <c r="Q873" s="3436"/>
      <c r="R873" s="3436"/>
      <c r="S873" s="3436"/>
      <c r="T873" s="3436"/>
      <c r="U873" s="3436"/>
      <c r="V873" s="3436"/>
      <c r="W873" s="3436"/>
      <c r="X873" s="3436"/>
      <c r="Y873" s="3436"/>
      <c r="Z873" s="3436"/>
      <c r="AA873" s="3436"/>
      <c r="AB873" s="3436"/>
      <c r="AC873" s="3436"/>
      <c r="AD873" s="3436"/>
      <c r="AE873" s="3649"/>
    </row>
    <row r="874" spans="16:31" customFormat="1">
      <c r="P874" s="3436"/>
      <c r="Q874" s="3436"/>
      <c r="R874" s="3436"/>
      <c r="S874" s="3436"/>
      <c r="T874" s="3436"/>
      <c r="U874" s="3436"/>
      <c r="V874" s="3436"/>
      <c r="W874" s="3436"/>
      <c r="X874" s="3436"/>
      <c r="Y874" s="3436"/>
      <c r="Z874" s="3436"/>
      <c r="AA874" s="3436"/>
      <c r="AB874" s="3436"/>
      <c r="AC874" s="3436"/>
      <c r="AD874" s="3436"/>
      <c r="AE874" s="3649"/>
    </row>
    <row r="875" spans="16:31" customFormat="1">
      <c r="P875" s="3436"/>
      <c r="Q875" s="3436"/>
      <c r="R875" s="3436"/>
      <c r="S875" s="3436"/>
      <c r="T875" s="3436"/>
      <c r="U875" s="3436"/>
      <c r="V875" s="3436"/>
      <c r="W875" s="3436"/>
      <c r="X875" s="3436"/>
      <c r="Y875" s="3436"/>
      <c r="Z875" s="3436"/>
      <c r="AA875" s="3436"/>
      <c r="AB875" s="3436"/>
      <c r="AC875" s="3436"/>
      <c r="AD875" s="3436"/>
      <c r="AE875" s="3649"/>
    </row>
    <row r="876" spans="16:31" customFormat="1">
      <c r="P876" s="3436"/>
      <c r="Q876" s="3436"/>
      <c r="R876" s="3436"/>
      <c r="S876" s="3436"/>
      <c r="T876" s="3436"/>
      <c r="U876" s="3436"/>
      <c r="V876" s="3436"/>
      <c r="W876" s="3436"/>
      <c r="X876" s="3436"/>
      <c r="Y876" s="3436"/>
      <c r="Z876" s="3436"/>
      <c r="AA876" s="3436"/>
      <c r="AB876" s="3436"/>
      <c r="AC876" s="3436"/>
      <c r="AD876" s="3436"/>
      <c r="AE876" s="3649"/>
    </row>
    <row r="877" spans="16:31" customFormat="1">
      <c r="P877" s="3436"/>
      <c r="Q877" s="3436"/>
      <c r="R877" s="3436"/>
      <c r="S877" s="3436"/>
      <c r="T877" s="3436"/>
      <c r="U877" s="3436"/>
      <c r="V877" s="3436"/>
      <c r="W877" s="3436"/>
      <c r="X877" s="3436"/>
      <c r="Y877" s="3436"/>
      <c r="Z877" s="3436"/>
      <c r="AA877" s="3436"/>
      <c r="AB877" s="3436"/>
      <c r="AC877" s="3436"/>
      <c r="AD877" s="3436"/>
      <c r="AE877" s="3649"/>
    </row>
    <row r="878" spans="16:31" customFormat="1">
      <c r="P878" s="3436"/>
      <c r="Q878" s="3436"/>
      <c r="R878" s="3436"/>
      <c r="S878" s="3436"/>
      <c r="T878" s="3436"/>
      <c r="U878" s="3436"/>
      <c r="V878" s="3436"/>
      <c r="W878" s="3436"/>
      <c r="X878" s="3436"/>
      <c r="Y878" s="3436"/>
      <c r="Z878" s="3436"/>
      <c r="AA878" s="3436"/>
      <c r="AB878" s="3436"/>
      <c r="AC878" s="3436"/>
      <c r="AD878" s="3436"/>
      <c r="AE878" s="3649"/>
    </row>
    <row r="879" spans="16:31" customFormat="1">
      <c r="P879" s="3436"/>
      <c r="Q879" s="3436"/>
      <c r="R879" s="3436"/>
      <c r="S879" s="3436"/>
      <c r="T879" s="3436"/>
      <c r="U879" s="3436"/>
      <c r="V879" s="3436"/>
      <c r="W879" s="3436"/>
      <c r="X879" s="3436"/>
      <c r="Y879" s="3436"/>
      <c r="Z879" s="3436"/>
      <c r="AA879" s="3436"/>
      <c r="AB879" s="3436"/>
      <c r="AC879" s="3436"/>
      <c r="AD879" s="3436"/>
      <c r="AE879" s="3649"/>
    </row>
    <row r="880" spans="16:31" customFormat="1">
      <c r="P880" s="3436"/>
      <c r="Q880" s="3436"/>
      <c r="R880" s="3436"/>
      <c r="S880" s="3436"/>
      <c r="T880" s="3436"/>
      <c r="U880" s="3436"/>
      <c r="V880" s="3436"/>
      <c r="W880" s="3436"/>
      <c r="X880" s="3436"/>
      <c r="Y880" s="3436"/>
      <c r="Z880" s="3436"/>
      <c r="AA880" s="3436"/>
      <c r="AB880" s="3436"/>
      <c r="AC880" s="3436"/>
      <c r="AD880" s="3436"/>
      <c r="AE880" s="3649"/>
    </row>
    <row r="881" spans="16:31" customFormat="1">
      <c r="P881" s="3436"/>
      <c r="Q881" s="3436"/>
      <c r="R881" s="3436"/>
      <c r="S881" s="3436"/>
      <c r="T881" s="3436"/>
      <c r="U881" s="3436"/>
      <c r="V881" s="3436"/>
      <c r="W881" s="3436"/>
      <c r="X881" s="3436"/>
      <c r="Y881" s="3436"/>
      <c r="Z881" s="3436"/>
      <c r="AA881" s="3436"/>
      <c r="AB881" s="3436"/>
      <c r="AC881" s="3436"/>
      <c r="AD881" s="3436"/>
      <c r="AE881" s="3649"/>
    </row>
    <row r="882" spans="16:31" customFormat="1">
      <c r="P882" s="3436"/>
      <c r="Q882" s="3436"/>
      <c r="R882" s="3436"/>
      <c r="S882" s="3436"/>
      <c r="T882" s="3436"/>
      <c r="U882" s="3436"/>
      <c r="V882" s="3436"/>
      <c r="W882" s="3436"/>
      <c r="X882" s="3436"/>
      <c r="Y882" s="3436"/>
      <c r="Z882" s="3436"/>
      <c r="AA882" s="3436"/>
      <c r="AB882" s="3436"/>
      <c r="AC882" s="3436"/>
      <c r="AD882" s="3436"/>
      <c r="AE882" s="3649"/>
    </row>
    <row r="883" spans="16:31" customFormat="1">
      <c r="P883" s="3436"/>
      <c r="Q883" s="3436"/>
      <c r="R883" s="3436"/>
      <c r="S883" s="3436"/>
      <c r="T883" s="3436"/>
      <c r="U883" s="3436"/>
      <c r="V883" s="3436"/>
      <c r="W883" s="3436"/>
      <c r="X883" s="3436"/>
      <c r="Y883" s="3436"/>
      <c r="Z883" s="3436"/>
      <c r="AA883" s="3436"/>
      <c r="AB883" s="3436"/>
      <c r="AC883" s="3436"/>
      <c r="AD883" s="3436"/>
      <c r="AE883" s="3649"/>
    </row>
    <row r="884" spans="16:31" customFormat="1">
      <c r="P884" s="3436"/>
      <c r="Q884" s="3436"/>
      <c r="R884" s="3436"/>
      <c r="S884" s="3436"/>
      <c r="T884" s="3436"/>
      <c r="U884" s="3436"/>
      <c r="V884" s="3436"/>
      <c r="W884" s="3436"/>
      <c r="X884" s="3436"/>
      <c r="Y884" s="3436"/>
      <c r="Z884" s="3436"/>
      <c r="AA884" s="3436"/>
      <c r="AB884" s="3436"/>
      <c r="AC884" s="3436"/>
      <c r="AD884" s="3436"/>
      <c r="AE884" s="3649"/>
    </row>
    <row r="885" spans="16:31" customFormat="1">
      <c r="P885" s="3436"/>
      <c r="Q885" s="3436"/>
      <c r="R885" s="3436"/>
      <c r="S885" s="3436"/>
      <c r="T885" s="3436"/>
      <c r="U885" s="3436"/>
      <c r="V885" s="3436"/>
      <c r="W885" s="3436"/>
      <c r="X885" s="3436"/>
      <c r="Y885" s="3436"/>
      <c r="Z885" s="3436"/>
      <c r="AA885" s="3436"/>
      <c r="AB885" s="3436"/>
      <c r="AC885" s="3436"/>
      <c r="AD885" s="3436"/>
      <c r="AE885" s="3649"/>
    </row>
    <row r="886" spans="16:31" customFormat="1">
      <c r="P886" s="3436"/>
      <c r="Q886" s="3436"/>
      <c r="R886" s="3436"/>
      <c r="S886" s="3436"/>
      <c r="T886" s="3436"/>
      <c r="U886" s="3436"/>
      <c r="V886" s="3436"/>
      <c r="W886" s="3436"/>
      <c r="X886" s="3436"/>
      <c r="Y886" s="3436"/>
      <c r="Z886" s="3436"/>
      <c r="AA886" s="3436"/>
      <c r="AB886" s="3436"/>
      <c r="AC886" s="3436"/>
      <c r="AD886" s="3436"/>
      <c r="AE886" s="3649"/>
    </row>
    <row r="887" spans="16:31" customFormat="1">
      <c r="P887" s="3436"/>
      <c r="Q887" s="3436"/>
      <c r="R887" s="3436"/>
      <c r="S887" s="3436"/>
      <c r="T887" s="3436"/>
      <c r="U887" s="3436"/>
      <c r="V887" s="3436"/>
      <c r="W887" s="3436"/>
      <c r="X887" s="3436"/>
      <c r="Y887" s="3436"/>
      <c r="Z887" s="3436"/>
      <c r="AA887" s="3436"/>
      <c r="AB887" s="3436"/>
      <c r="AC887" s="3436"/>
      <c r="AD887" s="3436"/>
      <c r="AE887" s="3649"/>
    </row>
    <row r="888" spans="16:31" customFormat="1">
      <c r="P888" s="3436"/>
      <c r="Q888" s="3436"/>
      <c r="R888" s="3436"/>
      <c r="S888" s="3436"/>
      <c r="T888" s="3436"/>
      <c r="U888" s="3436"/>
      <c r="V888" s="3436"/>
      <c r="W888" s="3436"/>
      <c r="X888" s="3436"/>
      <c r="Y888" s="3436"/>
      <c r="Z888" s="3436"/>
      <c r="AA888" s="3436"/>
      <c r="AB888" s="3436"/>
      <c r="AC888" s="3436"/>
      <c r="AD888" s="3436"/>
      <c r="AE888" s="3649"/>
    </row>
    <row r="889" spans="16:31" customFormat="1">
      <c r="P889" s="3436"/>
      <c r="Q889" s="3436"/>
      <c r="R889" s="3436"/>
      <c r="S889" s="3436"/>
      <c r="T889" s="3436"/>
      <c r="U889" s="3436"/>
      <c r="V889" s="3436"/>
      <c r="W889" s="3436"/>
      <c r="X889" s="3436"/>
      <c r="Y889" s="3436"/>
      <c r="Z889" s="3436"/>
      <c r="AA889" s="3436"/>
      <c r="AB889" s="3436"/>
      <c r="AC889" s="3436"/>
      <c r="AD889" s="3436"/>
      <c r="AE889" s="3649"/>
    </row>
    <row r="890" spans="16:31" customFormat="1">
      <c r="P890" s="3436"/>
      <c r="Q890" s="3436"/>
      <c r="R890" s="3436"/>
      <c r="S890" s="3436"/>
      <c r="T890" s="3436"/>
      <c r="U890" s="3436"/>
      <c r="V890" s="3436"/>
      <c r="W890" s="3436"/>
      <c r="X890" s="3436"/>
      <c r="Y890" s="3436"/>
      <c r="Z890" s="3436"/>
      <c r="AA890" s="3436"/>
      <c r="AB890" s="3436"/>
      <c r="AC890" s="3436"/>
      <c r="AD890" s="3436"/>
      <c r="AE890" s="3649"/>
    </row>
    <row r="891" spans="16:31" customFormat="1">
      <c r="P891" s="3436"/>
      <c r="Q891" s="3436"/>
      <c r="R891" s="3436"/>
      <c r="S891" s="3436"/>
      <c r="T891" s="3436"/>
      <c r="U891" s="3436"/>
      <c r="V891" s="3436"/>
      <c r="W891" s="3436"/>
      <c r="X891" s="3436"/>
      <c r="Y891" s="3436"/>
      <c r="Z891" s="3436"/>
      <c r="AA891" s="3436"/>
      <c r="AB891" s="3436"/>
      <c r="AC891" s="3436"/>
      <c r="AD891" s="3436"/>
      <c r="AE891" s="3649"/>
    </row>
    <row r="892" spans="16:31" customFormat="1">
      <c r="P892" s="3436"/>
      <c r="Q892" s="3436"/>
      <c r="R892" s="3436"/>
      <c r="S892" s="3436"/>
      <c r="T892" s="3436"/>
      <c r="U892" s="3436"/>
      <c r="V892" s="3436"/>
      <c r="W892" s="3436"/>
      <c r="X892" s="3436"/>
      <c r="Y892" s="3436"/>
      <c r="Z892" s="3436"/>
      <c r="AA892" s="3436"/>
      <c r="AB892" s="3436"/>
      <c r="AC892" s="3436"/>
      <c r="AD892" s="3436"/>
      <c r="AE892" s="3649"/>
    </row>
    <row r="893" spans="16:31" customFormat="1">
      <c r="P893" s="3436"/>
      <c r="Q893" s="3436"/>
      <c r="R893" s="3436"/>
      <c r="S893" s="3436"/>
      <c r="T893" s="3436"/>
      <c r="U893" s="3436"/>
      <c r="V893" s="3436"/>
      <c r="W893" s="3436"/>
      <c r="X893" s="3436"/>
      <c r="Y893" s="3436"/>
      <c r="Z893" s="3436"/>
      <c r="AA893" s="3436"/>
      <c r="AB893" s="3436"/>
      <c r="AC893" s="3436"/>
      <c r="AD893" s="3436"/>
      <c r="AE893" s="3649"/>
    </row>
    <row r="894" spans="16:31" customFormat="1">
      <c r="P894" s="3436"/>
      <c r="Q894" s="3436"/>
      <c r="R894" s="3436"/>
      <c r="S894" s="3436"/>
      <c r="T894" s="3436"/>
      <c r="U894" s="3436"/>
      <c r="V894" s="3436"/>
      <c r="W894" s="3436"/>
      <c r="X894" s="3436"/>
      <c r="Y894" s="3436"/>
      <c r="Z894" s="3436"/>
      <c r="AA894" s="3436"/>
      <c r="AB894" s="3436"/>
      <c r="AC894" s="3436"/>
      <c r="AD894" s="3436"/>
      <c r="AE894" s="3649"/>
    </row>
    <row r="895" spans="16:31" customFormat="1">
      <c r="P895" s="3436"/>
      <c r="Q895" s="3436"/>
      <c r="R895" s="3436"/>
      <c r="S895" s="3436"/>
      <c r="T895" s="3436"/>
      <c r="U895" s="3436"/>
      <c r="V895" s="3436"/>
      <c r="W895" s="3436"/>
      <c r="X895" s="3436"/>
      <c r="Y895" s="3436"/>
      <c r="Z895" s="3436"/>
      <c r="AA895" s="3436"/>
      <c r="AB895" s="3436"/>
      <c r="AC895" s="3436"/>
      <c r="AD895" s="3436"/>
      <c r="AE895" s="3649"/>
    </row>
    <row r="896" spans="16:31" customFormat="1">
      <c r="P896" s="3436"/>
      <c r="Q896" s="3436"/>
      <c r="R896" s="3436"/>
      <c r="S896" s="3436"/>
      <c r="T896" s="3436"/>
      <c r="U896" s="3436"/>
      <c r="V896" s="3436"/>
      <c r="W896" s="3436"/>
      <c r="X896" s="3436"/>
      <c r="Y896" s="3436"/>
      <c r="Z896" s="3436"/>
      <c r="AA896" s="3436"/>
      <c r="AB896" s="3436"/>
      <c r="AC896" s="3436"/>
      <c r="AD896" s="3436"/>
      <c r="AE896" s="3649"/>
    </row>
    <row r="897" spans="16:31" customFormat="1">
      <c r="P897" s="3436"/>
      <c r="Q897" s="3436"/>
      <c r="R897" s="3436"/>
      <c r="S897" s="3436"/>
      <c r="T897" s="3436"/>
      <c r="U897" s="3436"/>
      <c r="V897" s="3436"/>
      <c r="W897" s="3436"/>
      <c r="X897" s="3436"/>
      <c r="Y897" s="3436"/>
      <c r="Z897" s="3436"/>
      <c r="AA897" s="3436"/>
      <c r="AB897" s="3436"/>
      <c r="AC897" s="3436"/>
      <c r="AD897" s="3436"/>
      <c r="AE897" s="3649"/>
    </row>
    <row r="898" spans="16:31" customFormat="1">
      <c r="P898" s="3436"/>
      <c r="Q898" s="3436"/>
      <c r="R898" s="3436"/>
      <c r="S898" s="3436"/>
      <c r="T898" s="3436"/>
      <c r="U898" s="3436"/>
      <c r="V898" s="3436"/>
      <c r="W898" s="3436"/>
      <c r="X898" s="3436"/>
      <c r="Y898" s="3436"/>
      <c r="Z898" s="3436"/>
      <c r="AA898" s="3436"/>
      <c r="AB898" s="3436"/>
      <c r="AC898" s="3436"/>
      <c r="AD898" s="3436"/>
      <c r="AE898" s="3649"/>
    </row>
    <row r="899" spans="16:31" customFormat="1">
      <c r="P899" s="3436"/>
      <c r="Q899" s="3436"/>
      <c r="R899" s="3436"/>
      <c r="S899" s="3436"/>
      <c r="T899" s="3436"/>
      <c r="U899" s="3436"/>
      <c r="V899" s="3436"/>
      <c r="W899" s="3436"/>
      <c r="X899" s="3436"/>
      <c r="Y899" s="3436"/>
      <c r="Z899" s="3436"/>
      <c r="AA899" s="3436"/>
      <c r="AB899" s="3436"/>
      <c r="AC899" s="3436"/>
      <c r="AD899" s="3436"/>
      <c r="AE899" s="3649"/>
    </row>
    <row r="900" spans="16:31" customFormat="1">
      <c r="P900" s="3436"/>
      <c r="Q900" s="3436"/>
      <c r="R900" s="3436"/>
      <c r="S900" s="3436"/>
      <c r="T900" s="3436"/>
      <c r="U900" s="3436"/>
      <c r="V900" s="3436"/>
      <c r="W900" s="3436"/>
      <c r="X900" s="3436"/>
      <c r="Y900" s="3436"/>
      <c r="Z900" s="3436"/>
      <c r="AA900" s="3436"/>
      <c r="AB900" s="3436"/>
      <c r="AC900" s="3436"/>
      <c r="AD900" s="3436"/>
      <c r="AE900" s="3649"/>
    </row>
    <row r="901" spans="16:31" customFormat="1">
      <c r="P901" s="3436"/>
      <c r="Q901" s="3436"/>
      <c r="R901" s="3436"/>
      <c r="S901" s="3436"/>
      <c r="T901" s="3436"/>
      <c r="U901" s="3436"/>
      <c r="V901" s="3436"/>
      <c r="W901" s="3436"/>
      <c r="X901" s="3436"/>
      <c r="Y901" s="3436"/>
      <c r="Z901" s="3436"/>
      <c r="AA901" s="3436"/>
      <c r="AB901" s="3436"/>
      <c r="AC901" s="3436"/>
      <c r="AD901" s="3436"/>
      <c r="AE901" s="3649"/>
    </row>
    <row r="902" spans="16:31" customFormat="1">
      <c r="P902" s="3436"/>
      <c r="Q902" s="3436"/>
      <c r="R902" s="3436"/>
      <c r="S902" s="3436"/>
      <c r="T902" s="3436"/>
      <c r="U902" s="3436"/>
      <c r="V902" s="3436"/>
      <c r="W902" s="3436"/>
      <c r="X902" s="3436"/>
      <c r="Y902" s="3436"/>
      <c r="Z902" s="3436"/>
      <c r="AA902" s="3436"/>
      <c r="AB902" s="3436"/>
      <c r="AC902" s="3436"/>
      <c r="AD902" s="3436"/>
      <c r="AE902" s="3649"/>
    </row>
    <row r="903" spans="16:31" customFormat="1">
      <c r="P903" s="3436"/>
      <c r="Q903" s="3436"/>
      <c r="R903" s="3436"/>
      <c r="S903" s="3436"/>
      <c r="T903" s="3436"/>
      <c r="U903" s="3436"/>
      <c r="V903" s="3436"/>
      <c r="W903" s="3436"/>
      <c r="X903" s="3436"/>
      <c r="Y903" s="3436"/>
      <c r="Z903" s="3436"/>
      <c r="AA903" s="3436"/>
      <c r="AB903" s="3436"/>
      <c r="AC903" s="3436"/>
      <c r="AD903" s="3436"/>
      <c r="AE903" s="3649"/>
    </row>
    <row r="904" spans="16:31" customFormat="1">
      <c r="P904" s="3436"/>
      <c r="Q904" s="3436"/>
      <c r="R904" s="3436"/>
      <c r="S904" s="3436"/>
      <c r="T904" s="3436"/>
      <c r="U904" s="3436"/>
      <c r="V904" s="3436"/>
      <c r="W904" s="3436"/>
      <c r="X904" s="3436"/>
      <c r="Y904" s="3436"/>
      <c r="Z904" s="3436"/>
      <c r="AA904" s="3436"/>
      <c r="AB904" s="3436"/>
      <c r="AC904" s="3436"/>
      <c r="AD904" s="3436"/>
      <c r="AE904" s="3649"/>
    </row>
    <row r="905" spans="16:31" customFormat="1">
      <c r="P905" s="3436"/>
      <c r="Q905" s="3436"/>
      <c r="R905" s="3436"/>
      <c r="S905" s="3436"/>
      <c r="T905" s="3436"/>
      <c r="U905" s="3436"/>
      <c r="V905" s="3436"/>
      <c r="W905" s="3436"/>
      <c r="X905" s="3436"/>
      <c r="Y905" s="3436"/>
      <c r="Z905" s="3436"/>
      <c r="AA905" s="3436"/>
      <c r="AB905" s="3436"/>
      <c r="AC905" s="3436"/>
      <c r="AD905" s="3436"/>
      <c r="AE905" s="3649"/>
    </row>
    <row r="906" spans="16:31" customFormat="1">
      <c r="P906" s="3436"/>
      <c r="Q906" s="3436"/>
      <c r="R906" s="3436"/>
      <c r="S906" s="3436"/>
      <c r="T906" s="3436"/>
      <c r="U906" s="3436"/>
      <c r="V906" s="3436"/>
      <c r="W906" s="3436"/>
      <c r="X906" s="3436"/>
      <c r="Y906" s="3436"/>
      <c r="Z906" s="3436"/>
      <c r="AA906" s="3436"/>
      <c r="AB906" s="3436"/>
      <c r="AC906" s="3436"/>
      <c r="AD906" s="3436"/>
      <c r="AE906" s="3649"/>
    </row>
    <row r="907" spans="16:31" customFormat="1">
      <c r="P907" s="3436"/>
      <c r="Q907" s="3436"/>
      <c r="R907" s="3436"/>
      <c r="S907" s="3436"/>
      <c r="T907" s="3436"/>
      <c r="U907" s="3436"/>
      <c r="V907" s="3436"/>
      <c r="W907" s="3436"/>
      <c r="X907" s="3436"/>
      <c r="Y907" s="3436"/>
      <c r="Z907" s="3436"/>
      <c r="AA907" s="3436"/>
      <c r="AB907" s="3436"/>
      <c r="AC907" s="3436"/>
      <c r="AD907" s="3436"/>
      <c r="AE907" s="3649"/>
    </row>
    <row r="908" spans="16:31" customFormat="1">
      <c r="P908" s="3436"/>
      <c r="Q908" s="3436"/>
      <c r="R908" s="3436"/>
      <c r="S908" s="3436"/>
      <c r="T908" s="3436"/>
      <c r="U908" s="3436"/>
      <c r="V908" s="3436"/>
      <c r="W908" s="3436"/>
      <c r="X908" s="3436"/>
      <c r="Y908" s="3436"/>
      <c r="Z908" s="3436"/>
      <c r="AA908" s="3436"/>
      <c r="AB908" s="3436"/>
      <c r="AC908" s="3436"/>
      <c r="AD908" s="3436"/>
      <c r="AE908" s="3649"/>
    </row>
    <row r="909" spans="16:31" customFormat="1">
      <c r="P909" s="3436"/>
      <c r="Q909" s="3436"/>
      <c r="R909" s="3436"/>
      <c r="S909" s="3436"/>
      <c r="T909" s="3436"/>
      <c r="U909" s="3436"/>
      <c r="V909" s="3436"/>
      <c r="W909" s="3436"/>
      <c r="X909" s="3436"/>
      <c r="Y909" s="3436"/>
      <c r="Z909" s="3436"/>
      <c r="AA909" s="3436"/>
      <c r="AB909" s="3436"/>
      <c r="AC909" s="3436"/>
      <c r="AD909" s="3436"/>
      <c r="AE909" s="3649"/>
    </row>
    <row r="910" spans="16:31" customFormat="1">
      <c r="P910" s="3436"/>
      <c r="Q910" s="3436"/>
      <c r="R910" s="3436"/>
      <c r="S910" s="3436"/>
      <c r="T910" s="3436"/>
      <c r="U910" s="3436"/>
      <c r="V910" s="3436"/>
      <c r="W910" s="3436"/>
      <c r="X910" s="3436"/>
      <c r="Y910" s="3436"/>
      <c r="Z910" s="3436"/>
      <c r="AA910" s="3436"/>
      <c r="AB910" s="3436"/>
      <c r="AC910" s="3436"/>
      <c r="AD910" s="3436"/>
      <c r="AE910" s="3649"/>
    </row>
    <row r="911" spans="16:31" customFormat="1">
      <c r="P911" s="3436"/>
      <c r="Q911" s="3436"/>
      <c r="R911" s="3436"/>
      <c r="S911" s="3436"/>
      <c r="T911" s="3436"/>
      <c r="U911" s="3436"/>
      <c r="V911" s="3436"/>
      <c r="W911" s="3436"/>
      <c r="X911" s="3436"/>
      <c r="Y911" s="3436"/>
      <c r="Z911" s="3436"/>
      <c r="AA911" s="3436"/>
      <c r="AB911" s="3436"/>
      <c r="AC911" s="3436"/>
      <c r="AD911" s="3436"/>
      <c r="AE911" s="3649"/>
    </row>
    <row r="912" spans="16:31" customFormat="1">
      <c r="P912" s="3436"/>
      <c r="Q912" s="3436"/>
      <c r="R912" s="3436"/>
      <c r="S912" s="3436"/>
      <c r="T912" s="3436"/>
      <c r="U912" s="3436"/>
      <c r="V912" s="3436"/>
      <c r="W912" s="3436"/>
      <c r="X912" s="3436"/>
      <c r="Y912" s="3436"/>
      <c r="Z912" s="3436"/>
      <c r="AA912" s="3436"/>
      <c r="AB912" s="3436"/>
      <c r="AC912" s="3436"/>
      <c r="AD912" s="3436"/>
      <c r="AE912" s="3649"/>
    </row>
    <row r="913" spans="16:31" customFormat="1">
      <c r="P913" s="3436"/>
      <c r="Q913" s="3436"/>
      <c r="R913" s="3436"/>
      <c r="S913" s="3436"/>
      <c r="T913" s="3436"/>
      <c r="U913" s="3436"/>
      <c r="V913" s="3436"/>
      <c r="W913" s="3436"/>
      <c r="X913" s="3436"/>
      <c r="Y913" s="3436"/>
      <c r="Z913" s="3436"/>
      <c r="AA913" s="3436"/>
      <c r="AB913" s="3436"/>
      <c r="AC913" s="3436"/>
      <c r="AD913" s="3436"/>
      <c r="AE913" s="3649"/>
    </row>
    <row r="914" spans="16:31" customFormat="1">
      <c r="P914" s="3436"/>
      <c r="Q914" s="3436"/>
      <c r="R914" s="3436"/>
      <c r="S914" s="3436"/>
      <c r="T914" s="3436"/>
      <c r="U914" s="3436"/>
      <c r="V914" s="3436"/>
      <c r="W914" s="3436"/>
      <c r="X914" s="3436"/>
      <c r="Y914" s="3436"/>
      <c r="Z914" s="3436"/>
      <c r="AA914" s="3436"/>
      <c r="AB914" s="3436"/>
      <c r="AC914" s="3436"/>
      <c r="AD914" s="3436"/>
      <c r="AE914" s="3649"/>
    </row>
    <row r="915" spans="16:31" customFormat="1">
      <c r="P915" s="3436"/>
      <c r="Q915" s="3436"/>
      <c r="R915" s="3436"/>
      <c r="S915" s="3436"/>
      <c r="T915" s="3436"/>
      <c r="U915" s="3436"/>
      <c r="V915" s="3436"/>
      <c r="W915" s="3436"/>
      <c r="X915" s="3436"/>
      <c r="Y915" s="3436"/>
      <c r="Z915" s="3436"/>
      <c r="AA915" s="3436"/>
      <c r="AB915" s="3436"/>
      <c r="AC915" s="3436"/>
      <c r="AD915" s="3436"/>
      <c r="AE915" s="3649"/>
    </row>
    <row r="916" spans="16:31" customFormat="1">
      <c r="P916" s="3436"/>
      <c r="Q916" s="3436"/>
      <c r="R916" s="3436"/>
      <c r="S916" s="3436"/>
      <c r="T916" s="3436"/>
      <c r="U916" s="3436"/>
      <c r="V916" s="3436"/>
      <c r="W916" s="3436"/>
      <c r="X916" s="3436"/>
      <c r="Y916" s="3436"/>
      <c r="Z916" s="3436"/>
      <c r="AA916" s="3436"/>
      <c r="AB916" s="3436"/>
      <c r="AC916" s="3436"/>
      <c r="AD916" s="3436"/>
      <c r="AE916" s="3649"/>
    </row>
    <row r="917" spans="16:31" customFormat="1">
      <c r="P917" s="3436"/>
      <c r="Q917" s="3436"/>
      <c r="R917" s="3436"/>
      <c r="S917" s="3436"/>
      <c r="T917" s="3436"/>
      <c r="U917" s="3436"/>
      <c r="V917" s="3436"/>
      <c r="W917" s="3436"/>
      <c r="X917" s="3436"/>
      <c r="Y917" s="3436"/>
      <c r="Z917" s="3436"/>
      <c r="AA917" s="3436"/>
      <c r="AB917" s="3436"/>
      <c r="AC917" s="3436"/>
      <c r="AD917" s="3436"/>
      <c r="AE917" s="3649"/>
    </row>
    <row r="918" spans="16:31" customFormat="1">
      <c r="P918" s="3436"/>
      <c r="Q918" s="3436"/>
      <c r="R918" s="3436"/>
      <c r="S918" s="3436"/>
      <c r="T918" s="3436"/>
      <c r="U918" s="3436"/>
      <c r="V918" s="3436"/>
      <c r="W918" s="3436"/>
      <c r="X918" s="3436"/>
      <c r="Y918" s="3436"/>
      <c r="Z918" s="3436"/>
      <c r="AA918" s="3436"/>
      <c r="AB918" s="3436"/>
      <c r="AC918" s="3436"/>
      <c r="AD918" s="3436"/>
      <c r="AE918" s="3649"/>
    </row>
    <row r="919" spans="16:31" customFormat="1">
      <c r="P919" s="3436"/>
      <c r="Q919" s="3436"/>
      <c r="R919" s="3436"/>
      <c r="S919" s="3436"/>
      <c r="T919" s="3436"/>
      <c r="U919" s="3436"/>
      <c r="V919" s="3436"/>
      <c r="W919" s="3436"/>
      <c r="X919" s="3436"/>
      <c r="Y919" s="3436"/>
      <c r="Z919" s="3436"/>
      <c r="AA919" s="3436"/>
      <c r="AB919" s="3436"/>
      <c r="AC919" s="3436"/>
      <c r="AD919" s="3436"/>
      <c r="AE919" s="3649"/>
    </row>
    <row r="920" spans="16:31" customFormat="1">
      <c r="P920" s="3436"/>
      <c r="Q920" s="3436"/>
      <c r="R920" s="3436"/>
      <c r="S920" s="3436"/>
      <c r="T920" s="3436"/>
      <c r="U920" s="3436"/>
      <c r="V920" s="3436"/>
      <c r="W920" s="3436"/>
      <c r="X920" s="3436"/>
      <c r="Y920" s="3436"/>
      <c r="Z920" s="3436"/>
      <c r="AA920" s="3436"/>
      <c r="AB920" s="3436"/>
      <c r="AC920" s="3436"/>
      <c r="AD920" s="3436"/>
      <c r="AE920" s="3649"/>
    </row>
    <row r="921" spans="16:31" customFormat="1">
      <c r="P921" s="3436"/>
      <c r="Q921" s="3436"/>
      <c r="R921" s="3436"/>
      <c r="S921" s="3436"/>
      <c r="T921" s="3436"/>
      <c r="U921" s="3436"/>
      <c r="V921" s="3436"/>
      <c r="W921" s="3436"/>
      <c r="X921" s="3436"/>
      <c r="Y921" s="3436"/>
      <c r="Z921" s="3436"/>
      <c r="AA921" s="3436"/>
      <c r="AB921" s="3436"/>
      <c r="AC921" s="3436"/>
      <c r="AD921" s="3436"/>
      <c r="AE921" s="3649"/>
    </row>
    <row r="922" spans="16:31" customFormat="1">
      <c r="P922" s="3436"/>
      <c r="Q922" s="3436"/>
      <c r="R922" s="3436"/>
      <c r="S922" s="3436"/>
      <c r="T922" s="3436"/>
      <c r="U922" s="3436"/>
      <c r="V922" s="3436"/>
      <c r="W922" s="3436"/>
      <c r="X922" s="3436"/>
      <c r="Y922" s="3436"/>
      <c r="Z922" s="3436"/>
      <c r="AA922" s="3436"/>
      <c r="AB922" s="3436"/>
      <c r="AC922" s="3436"/>
      <c r="AD922" s="3436"/>
      <c r="AE922" s="3649"/>
    </row>
    <row r="923" spans="16:31" customFormat="1">
      <c r="P923" s="3436"/>
      <c r="Q923" s="3436"/>
      <c r="R923" s="3436"/>
      <c r="S923" s="3436"/>
      <c r="T923" s="3436"/>
      <c r="U923" s="3436"/>
      <c r="V923" s="3436"/>
      <c r="W923" s="3436"/>
      <c r="X923" s="3436"/>
      <c r="Y923" s="3436"/>
      <c r="Z923" s="3436"/>
      <c r="AA923" s="3436"/>
      <c r="AB923" s="3436"/>
      <c r="AC923" s="3436"/>
      <c r="AD923" s="3436"/>
      <c r="AE923" s="3649"/>
    </row>
    <row r="924" spans="16:31" customFormat="1">
      <c r="P924" s="3436"/>
      <c r="Q924" s="3436"/>
      <c r="R924" s="3436"/>
      <c r="S924" s="3436"/>
      <c r="T924" s="3436"/>
      <c r="U924" s="3436"/>
      <c r="V924" s="3436"/>
      <c r="W924" s="3436"/>
      <c r="X924" s="3436"/>
      <c r="Y924" s="3436"/>
      <c r="Z924" s="3436"/>
      <c r="AA924" s="3436"/>
      <c r="AB924" s="3436"/>
      <c r="AC924" s="3436"/>
      <c r="AD924" s="3436"/>
      <c r="AE924" s="3649"/>
    </row>
    <row r="925" spans="16:31" customFormat="1">
      <c r="P925" s="3436"/>
      <c r="Q925" s="3436"/>
      <c r="R925" s="3436"/>
      <c r="S925" s="3436"/>
      <c r="T925" s="3436"/>
      <c r="U925" s="3436"/>
      <c r="V925" s="3436"/>
      <c r="W925" s="3436"/>
      <c r="X925" s="3436"/>
      <c r="Y925" s="3436"/>
      <c r="Z925" s="3436"/>
      <c r="AA925" s="3436"/>
      <c r="AB925" s="3436"/>
      <c r="AC925" s="3436"/>
      <c r="AD925" s="3436"/>
      <c r="AE925" s="3649"/>
    </row>
    <row r="926" spans="16:31" customFormat="1">
      <c r="P926" s="3436"/>
      <c r="Q926" s="3436"/>
      <c r="R926" s="3436"/>
      <c r="S926" s="3436"/>
      <c r="T926" s="3436"/>
      <c r="U926" s="3436"/>
      <c r="V926" s="3436"/>
      <c r="W926" s="3436"/>
      <c r="X926" s="3436"/>
      <c r="Y926" s="3436"/>
      <c r="Z926" s="3436"/>
      <c r="AA926" s="3436"/>
      <c r="AB926" s="3436"/>
      <c r="AC926" s="3436"/>
      <c r="AD926" s="3436"/>
      <c r="AE926" s="3649"/>
    </row>
    <row r="927" spans="16:31" customFormat="1">
      <c r="P927" s="3436"/>
      <c r="Q927" s="3436"/>
      <c r="R927" s="3436"/>
      <c r="S927" s="3436"/>
      <c r="T927" s="3436"/>
      <c r="U927" s="3436"/>
      <c r="V927" s="3436"/>
      <c r="W927" s="3436"/>
      <c r="X927" s="3436"/>
      <c r="Y927" s="3436"/>
      <c r="Z927" s="3436"/>
      <c r="AA927" s="3436"/>
      <c r="AB927" s="3436"/>
      <c r="AC927" s="3436"/>
      <c r="AD927" s="3436"/>
      <c r="AE927" s="3649"/>
    </row>
    <row r="928" spans="16:31" customFormat="1">
      <c r="P928" s="3436"/>
      <c r="Q928" s="3436"/>
      <c r="R928" s="3436"/>
      <c r="S928" s="3436"/>
      <c r="T928" s="3436"/>
      <c r="U928" s="3436"/>
      <c r="V928" s="3436"/>
      <c r="W928" s="3436"/>
      <c r="X928" s="3436"/>
      <c r="Y928" s="3436"/>
      <c r="Z928" s="3436"/>
      <c r="AA928" s="3436"/>
      <c r="AB928" s="3436"/>
      <c r="AC928" s="3436"/>
      <c r="AD928" s="3436"/>
      <c r="AE928" s="3649"/>
    </row>
    <row r="929" spans="16:31" customFormat="1">
      <c r="P929" s="3436"/>
      <c r="Q929" s="3436"/>
      <c r="R929" s="3436"/>
      <c r="S929" s="3436"/>
      <c r="T929" s="3436"/>
      <c r="U929" s="3436"/>
      <c r="V929" s="3436"/>
      <c r="W929" s="3436"/>
      <c r="X929" s="3436"/>
      <c r="Y929" s="3436"/>
      <c r="Z929" s="3436"/>
      <c r="AA929" s="3436"/>
      <c r="AB929" s="3436"/>
      <c r="AC929" s="3436"/>
      <c r="AD929" s="3436"/>
      <c r="AE929" s="3649"/>
    </row>
    <row r="930" spans="16:31" customFormat="1">
      <c r="P930" s="3436"/>
      <c r="Q930" s="3436"/>
      <c r="R930" s="3436"/>
      <c r="S930" s="3436"/>
      <c r="T930" s="3436"/>
      <c r="U930" s="3436"/>
      <c r="V930" s="3436"/>
      <c r="W930" s="3436"/>
      <c r="X930" s="3436"/>
      <c r="Y930" s="3436"/>
      <c r="Z930" s="3436"/>
      <c r="AA930" s="3436"/>
      <c r="AB930" s="3436"/>
      <c r="AC930" s="3436"/>
      <c r="AD930" s="3436"/>
      <c r="AE930" s="3649"/>
    </row>
    <row r="931" spans="16:31" customFormat="1">
      <c r="P931" s="3436"/>
      <c r="Q931" s="3436"/>
      <c r="R931" s="3436"/>
      <c r="S931" s="3436"/>
      <c r="T931" s="3436"/>
      <c r="U931" s="3436"/>
      <c r="V931" s="3436"/>
      <c r="W931" s="3436"/>
      <c r="X931" s="3436"/>
      <c r="Y931" s="3436"/>
      <c r="Z931" s="3436"/>
      <c r="AA931" s="3436"/>
      <c r="AB931" s="3436"/>
      <c r="AC931" s="3436"/>
      <c r="AD931" s="3436"/>
      <c r="AE931" s="3649"/>
    </row>
    <row r="932" spans="16:31" customFormat="1">
      <c r="P932" s="3436"/>
      <c r="Q932" s="3436"/>
      <c r="R932" s="3436"/>
      <c r="S932" s="3436"/>
      <c r="T932" s="3436"/>
      <c r="U932" s="3436"/>
      <c r="V932" s="3436"/>
      <c r="W932" s="3436"/>
      <c r="X932" s="3436"/>
      <c r="Y932" s="3436"/>
      <c r="Z932" s="3436"/>
      <c r="AA932" s="3436"/>
      <c r="AB932" s="3436"/>
      <c r="AC932" s="3436"/>
      <c r="AD932" s="3436"/>
      <c r="AE932" s="3649"/>
    </row>
    <row r="933" spans="16:31" customFormat="1">
      <c r="P933" s="3436"/>
      <c r="Q933" s="3436"/>
      <c r="R933" s="3436"/>
      <c r="S933" s="3436"/>
      <c r="T933" s="3436"/>
      <c r="U933" s="3436"/>
      <c r="V933" s="3436"/>
      <c r="W933" s="3436"/>
      <c r="X933" s="3436"/>
      <c r="Y933" s="3436"/>
      <c r="Z933" s="3436"/>
      <c r="AA933" s="3436"/>
      <c r="AB933" s="3436"/>
      <c r="AC933" s="3436"/>
      <c r="AD933" s="3436"/>
      <c r="AE933" s="3649"/>
    </row>
    <row r="934" spans="16:31" customFormat="1">
      <c r="P934" s="3436"/>
      <c r="Q934" s="3436"/>
      <c r="R934" s="3436"/>
      <c r="S934" s="3436"/>
      <c r="T934" s="3436"/>
      <c r="U934" s="3436"/>
      <c r="V934" s="3436"/>
      <c r="W934" s="3436"/>
      <c r="X934" s="3436"/>
      <c r="Y934" s="3436"/>
      <c r="Z934" s="3436"/>
      <c r="AA934" s="3436"/>
      <c r="AB934" s="3436"/>
      <c r="AC934" s="3436"/>
      <c r="AD934" s="3436"/>
      <c r="AE934" s="3649"/>
    </row>
    <row r="935" spans="16:31" customFormat="1">
      <c r="P935" s="3436"/>
      <c r="Q935" s="3436"/>
      <c r="R935" s="3436"/>
      <c r="S935" s="3436"/>
      <c r="T935" s="3436"/>
      <c r="U935" s="3436"/>
      <c r="V935" s="3436"/>
      <c r="W935" s="3436"/>
      <c r="X935" s="3436"/>
      <c r="Y935" s="3436"/>
      <c r="Z935" s="3436"/>
      <c r="AA935" s="3436"/>
      <c r="AB935" s="3436"/>
      <c r="AC935" s="3436"/>
      <c r="AD935" s="3436"/>
      <c r="AE935" s="3649"/>
    </row>
    <row r="936" spans="16:31" customFormat="1">
      <c r="P936" s="3436"/>
      <c r="Q936" s="3436"/>
      <c r="R936" s="3436"/>
      <c r="S936" s="3436"/>
      <c r="T936" s="3436"/>
      <c r="U936" s="3436"/>
      <c r="V936" s="3436"/>
      <c r="W936" s="3436"/>
      <c r="X936" s="3436"/>
      <c r="Y936" s="3436"/>
      <c r="Z936" s="3436"/>
      <c r="AA936" s="3436"/>
      <c r="AB936" s="3436"/>
      <c r="AC936" s="3436"/>
      <c r="AD936" s="3436"/>
      <c r="AE936" s="3649"/>
    </row>
    <row r="937" spans="16:31" customFormat="1">
      <c r="P937" s="3436"/>
      <c r="Q937" s="3436"/>
      <c r="R937" s="3436"/>
      <c r="S937" s="3436"/>
      <c r="T937" s="3436"/>
      <c r="U937" s="3436"/>
      <c r="V937" s="3436"/>
      <c r="W937" s="3436"/>
      <c r="X937" s="3436"/>
      <c r="Y937" s="3436"/>
      <c r="Z937" s="3436"/>
      <c r="AA937" s="3436"/>
      <c r="AB937" s="3436"/>
      <c r="AC937" s="3436"/>
      <c r="AD937" s="3436"/>
      <c r="AE937" s="3649"/>
    </row>
    <row r="938" spans="16:31" customFormat="1">
      <c r="P938" s="3436"/>
      <c r="Q938" s="3436"/>
      <c r="R938" s="3436"/>
      <c r="S938" s="3436"/>
      <c r="T938" s="3436"/>
      <c r="U938" s="3436"/>
      <c r="V938" s="3436"/>
      <c r="W938" s="3436"/>
      <c r="X938" s="3436"/>
      <c r="Y938" s="3436"/>
      <c r="Z938" s="3436"/>
      <c r="AA938" s="3436"/>
      <c r="AB938" s="3436"/>
      <c r="AC938" s="3436"/>
      <c r="AD938" s="3436"/>
      <c r="AE938" s="3649"/>
    </row>
    <row r="939" spans="16:31" customFormat="1">
      <c r="P939" s="3436"/>
      <c r="Q939" s="3436"/>
      <c r="R939" s="3436"/>
      <c r="S939" s="3436"/>
      <c r="T939" s="3436"/>
      <c r="U939" s="3436"/>
      <c r="V939" s="3436"/>
      <c r="W939" s="3436"/>
      <c r="X939" s="3436"/>
      <c r="Y939" s="3436"/>
      <c r="Z939" s="3436"/>
      <c r="AA939" s="3436"/>
      <c r="AB939" s="3436"/>
      <c r="AC939" s="3436"/>
      <c r="AD939" s="3436"/>
      <c r="AE939" s="3649"/>
    </row>
    <row r="940" spans="16:31" customFormat="1">
      <c r="P940" s="3436"/>
      <c r="Q940" s="3436"/>
      <c r="R940" s="3436"/>
      <c r="S940" s="3436"/>
      <c r="T940" s="3436"/>
      <c r="U940" s="3436"/>
      <c r="V940" s="3436"/>
      <c r="W940" s="3436"/>
      <c r="X940" s="3436"/>
      <c r="Y940" s="3436"/>
      <c r="Z940" s="3436"/>
      <c r="AA940" s="3436"/>
      <c r="AB940" s="3436"/>
      <c r="AC940" s="3436"/>
      <c r="AD940" s="3436"/>
      <c r="AE940" s="3649"/>
    </row>
    <row r="941" spans="16:31" customFormat="1">
      <c r="P941" s="3436"/>
      <c r="Q941" s="3436"/>
      <c r="R941" s="3436"/>
      <c r="S941" s="3436"/>
      <c r="T941" s="3436"/>
      <c r="U941" s="3436"/>
      <c r="V941" s="3436"/>
      <c r="W941" s="3436"/>
      <c r="X941" s="3436"/>
      <c r="Y941" s="3436"/>
      <c r="Z941" s="3436"/>
      <c r="AA941" s="3436"/>
      <c r="AB941" s="3436"/>
      <c r="AC941" s="3436"/>
      <c r="AD941" s="3436"/>
      <c r="AE941" s="3649"/>
    </row>
    <row r="942" spans="16:31" customFormat="1">
      <c r="P942" s="3436"/>
      <c r="Q942" s="3436"/>
      <c r="R942" s="3436"/>
      <c r="S942" s="3436"/>
      <c r="T942" s="3436"/>
      <c r="U942" s="3436"/>
      <c r="V942" s="3436"/>
      <c r="W942" s="3436"/>
      <c r="X942" s="3436"/>
      <c r="Y942" s="3436"/>
      <c r="Z942" s="3436"/>
      <c r="AA942" s="3436"/>
      <c r="AB942" s="3436"/>
      <c r="AC942" s="3436"/>
      <c r="AD942" s="3436"/>
      <c r="AE942" s="3649"/>
    </row>
    <row r="943" spans="16:31" customFormat="1">
      <c r="P943" s="3436"/>
      <c r="Q943" s="3436"/>
      <c r="R943" s="3436"/>
      <c r="S943" s="3436"/>
      <c r="T943" s="3436"/>
      <c r="U943" s="3436"/>
      <c r="V943" s="3436"/>
      <c r="W943" s="3436"/>
      <c r="X943" s="3436"/>
      <c r="Y943" s="3436"/>
      <c r="Z943" s="3436"/>
      <c r="AA943" s="3436"/>
      <c r="AB943" s="3436"/>
      <c r="AC943" s="3436"/>
      <c r="AD943" s="3436"/>
      <c r="AE943" s="3649"/>
    </row>
    <row r="944" spans="16:31" customFormat="1">
      <c r="P944" s="3436"/>
      <c r="Q944" s="3436"/>
      <c r="R944" s="3436"/>
      <c r="S944" s="3436"/>
      <c r="T944" s="3436"/>
      <c r="U944" s="3436"/>
      <c r="V944" s="3436"/>
      <c r="W944" s="3436"/>
      <c r="X944" s="3436"/>
      <c r="Y944" s="3436"/>
      <c r="Z944" s="3436"/>
      <c r="AA944" s="3436"/>
      <c r="AB944" s="3436"/>
      <c r="AC944" s="3436"/>
      <c r="AD944" s="3436"/>
      <c r="AE944" s="3649"/>
    </row>
    <row r="945" spans="16:31" customFormat="1">
      <c r="P945" s="3436"/>
      <c r="Q945" s="3436"/>
      <c r="R945" s="3436"/>
      <c r="S945" s="3436"/>
      <c r="T945" s="3436"/>
      <c r="U945" s="3436"/>
      <c r="V945" s="3436"/>
      <c r="W945" s="3436"/>
      <c r="X945" s="3436"/>
      <c r="Y945" s="3436"/>
      <c r="Z945" s="3436"/>
      <c r="AA945" s="3436"/>
      <c r="AB945" s="3436"/>
      <c r="AC945" s="3436"/>
      <c r="AD945" s="3436"/>
      <c r="AE945" s="3649"/>
    </row>
    <row r="946" spans="16:31" customFormat="1">
      <c r="P946" s="3436"/>
      <c r="Q946" s="3436"/>
      <c r="R946" s="3436"/>
      <c r="S946" s="3436"/>
      <c r="T946" s="3436"/>
      <c r="U946" s="3436"/>
      <c r="V946" s="3436"/>
      <c r="W946" s="3436"/>
      <c r="X946" s="3436"/>
      <c r="Y946" s="3436"/>
      <c r="Z946" s="3436"/>
      <c r="AA946" s="3436"/>
      <c r="AB946" s="3436"/>
      <c r="AC946" s="3436"/>
      <c r="AD946" s="3436"/>
      <c r="AE946" s="3649"/>
    </row>
    <row r="947" spans="16:31" customFormat="1">
      <c r="P947" s="3436"/>
      <c r="Q947" s="3436"/>
      <c r="R947" s="3436"/>
      <c r="S947" s="3436"/>
      <c r="T947" s="3436"/>
      <c r="U947" s="3436"/>
      <c r="V947" s="3436"/>
      <c r="W947" s="3436"/>
      <c r="X947" s="3436"/>
      <c r="Y947" s="3436"/>
      <c r="Z947" s="3436"/>
      <c r="AA947" s="3436"/>
      <c r="AB947" s="3436"/>
      <c r="AC947" s="3436"/>
      <c r="AD947" s="3436"/>
      <c r="AE947" s="3649"/>
    </row>
    <row r="948" spans="16:31" customFormat="1">
      <c r="P948" s="3436"/>
      <c r="Q948" s="3436"/>
      <c r="R948" s="3436"/>
      <c r="S948" s="3436"/>
      <c r="T948" s="3436"/>
      <c r="U948" s="3436"/>
      <c r="V948" s="3436"/>
      <c r="W948" s="3436"/>
      <c r="X948" s="3436"/>
      <c r="Y948" s="3436"/>
      <c r="Z948" s="3436"/>
      <c r="AA948" s="3436"/>
      <c r="AB948" s="3436"/>
      <c r="AC948" s="3436"/>
      <c r="AD948" s="3436"/>
      <c r="AE948" s="3649"/>
    </row>
    <row r="949" spans="16:31" customFormat="1">
      <c r="P949" s="3436"/>
      <c r="Q949" s="3436"/>
      <c r="R949" s="3436"/>
      <c r="S949" s="3436"/>
      <c r="T949" s="3436"/>
      <c r="U949" s="3436"/>
      <c r="V949" s="3436"/>
      <c r="W949" s="3436"/>
      <c r="X949" s="3436"/>
      <c r="Y949" s="3436"/>
      <c r="Z949" s="3436"/>
      <c r="AA949" s="3436"/>
      <c r="AB949" s="3436"/>
      <c r="AC949" s="3436"/>
      <c r="AD949" s="3436"/>
      <c r="AE949" s="3649"/>
    </row>
    <row r="950" spans="16:31" customFormat="1">
      <c r="P950" s="3436"/>
      <c r="Q950" s="3436"/>
      <c r="R950" s="3436"/>
      <c r="S950" s="3436"/>
      <c r="T950" s="3436"/>
      <c r="U950" s="3436"/>
      <c r="V950" s="3436"/>
      <c r="W950" s="3436"/>
      <c r="X950" s="3436"/>
      <c r="Y950" s="3436"/>
      <c r="Z950" s="3436"/>
      <c r="AA950" s="3436"/>
      <c r="AB950" s="3436"/>
      <c r="AC950" s="3436"/>
      <c r="AD950" s="3436"/>
      <c r="AE950" s="3649"/>
    </row>
    <row r="951" spans="16:31" customFormat="1">
      <c r="P951" s="3436"/>
      <c r="Q951" s="3436"/>
      <c r="R951" s="3436"/>
      <c r="S951" s="3436"/>
      <c r="T951" s="3436"/>
      <c r="U951" s="3436"/>
      <c r="V951" s="3436"/>
      <c r="W951" s="3436"/>
      <c r="X951" s="3436"/>
      <c r="Y951" s="3436"/>
      <c r="Z951" s="3436"/>
      <c r="AA951" s="3436"/>
      <c r="AB951" s="3436"/>
      <c r="AC951" s="3436"/>
      <c r="AD951" s="3436"/>
      <c r="AE951" s="3649"/>
    </row>
    <row r="952" spans="16:31" customFormat="1">
      <c r="P952" s="3436"/>
      <c r="Q952" s="3436"/>
      <c r="R952" s="3436"/>
      <c r="S952" s="3436"/>
      <c r="T952" s="3436"/>
      <c r="U952" s="3436"/>
      <c r="V952" s="3436"/>
      <c r="W952" s="3436"/>
      <c r="X952" s="3436"/>
      <c r="Y952" s="3436"/>
      <c r="Z952" s="3436"/>
      <c r="AA952" s="3436"/>
      <c r="AB952" s="3436"/>
      <c r="AC952" s="3436"/>
      <c r="AD952" s="3436"/>
      <c r="AE952" s="3649"/>
    </row>
    <row r="953" spans="16:31" customFormat="1">
      <c r="P953" s="3436"/>
      <c r="Q953" s="3436"/>
      <c r="R953" s="3436"/>
      <c r="S953" s="3436"/>
      <c r="T953" s="3436"/>
      <c r="U953" s="3436"/>
      <c r="V953" s="3436"/>
      <c r="W953" s="3436"/>
      <c r="X953" s="3436"/>
      <c r="Y953" s="3436"/>
      <c r="Z953" s="3436"/>
      <c r="AA953" s="3436"/>
      <c r="AB953" s="3436"/>
      <c r="AC953" s="3436"/>
      <c r="AD953" s="3436"/>
      <c r="AE953" s="3649"/>
    </row>
    <row r="954" spans="16:31" customFormat="1">
      <c r="P954" s="3436"/>
      <c r="Q954" s="3436"/>
      <c r="R954" s="3436"/>
      <c r="S954" s="3436"/>
      <c r="T954" s="3436"/>
      <c r="U954" s="3436"/>
      <c r="V954" s="3436"/>
      <c r="W954" s="3436"/>
      <c r="X954" s="3436"/>
      <c r="Y954" s="3436"/>
      <c r="Z954" s="3436"/>
      <c r="AA954" s="3436"/>
      <c r="AB954" s="3436"/>
      <c r="AC954" s="3436"/>
      <c r="AD954" s="3436"/>
      <c r="AE954" s="3649"/>
    </row>
    <row r="955" spans="16:31" customFormat="1">
      <c r="P955" s="3436"/>
      <c r="Q955" s="3436"/>
      <c r="R955" s="3436"/>
      <c r="S955" s="3436"/>
      <c r="T955" s="3436"/>
      <c r="U955" s="3436"/>
      <c r="V955" s="3436"/>
      <c r="W955" s="3436"/>
      <c r="X955" s="3436"/>
      <c r="Y955" s="3436"/>
      <c r="Z955" s="3436"/>
      <c r="AA955" s="3436"/>
      <c r="AB955" s="3436"/>
      <c r="AC955" s="3436"/>
      <c r="AD955" s="3436"/>
      <c r="AE955" s="3649"/>
    </row>
    <row r="956" spans="16:31" customFormat="1">
      <c r="P956" s="3436"/>
      <c r="Q956" s="3436"/>
      <c r="R956" s="3436"/>
      <c r="S956" s="3436"/>
      <c r="T956" s="3436"/>
      <c r="U956" s="3436"/>
      <c r="V956" s="3436"/>
      <c r="W956" s="3436"/>
      <c r="X956" s="3436"/>
      <c r="Y956" s="3436"/>
      <c r="Z956" s="3436"/>
      <c r="AA956" s="3436"/>
      <c r="AB956" s="3436"/>
      <c r="AC956" s="3436"/>
      <c r="AD956" s="3436"/>
      <c r="AE956" s="3649"/>
    </row>
    <row r="957" spans="16:31" customFormat="1">
      <c r="P957" s="3436"/>
      <c r="Q957" s="3436"/>
      <c r="R957" s="3436"/>
      <c r="S957" s="3436"/>
      <c r="T957" s="3436"/>
      <c r="U957" s="3436"/>
      <c r="V957" s="3436"/>
      <c r="W957" s="3436"/>
      <c r="X957" s="3436"/>
      <c r="Y957" s="3436"/>
      <c r="Z957" s="3436"/>
      <c r="AA957" s="3436"/>
      <c r="AB957" s="3436"/>
      <c r="AC957" s="3436"/>
      <c r="AD957" s="3436"/>
      <c r="AE957" s="3649"/>
    </row>
    <row r="958" spans="16:31" customFormat="1">
      <c r="P958" s="3436"/>
      <c r="Q958" s="3436"/>
      <c r="R958" s="3436"/>
      <c r="S958" s="3436"/>
      <c r="T958" s="3436"/>
      <c r="U958" s="3436"/>
      <c r="V958" s="3436"/>
      <c r="W958" s="3436"/>
      <c r="X958" s="3436"/>
      <c r="Y958" s="3436"/>
      <c r="Z958" s="3436"/>
      <c r="AA958" s="3436"/>
      <c r="AB958" s="3436"/>
      <c r="AC958" s="3436"/>
      <c r="AD958" s="3436"/>
      <c r="AE958" s="3649"/>
    </row>
    <row r="959" spans="16:31" customFormat="1">
      <c r="P959" s="3436"/>
      <c r="Q959" s="3436"/>
      <c r="R959" s="3436"/>
      <c r="S959" s="3436"/>
      <c r="T959" s="3436"/>
      <c r="U959" s="3436"/>
      <c r="V959" s="3436"/>
      <c r="W959" s="3436"/>
      <c r="X959" s="3436"/>
      <c r="Y959" s="3436"/>
      <c r="Z959" s="3436"/>
      <c r="AA959" s="3436"/>
      <c r="AB959" s="3436"/>
      <c r="AC959" s="3436"/>
      <c r="AD959" s="3436"/>
      <c r="AE959" s="3649"/>
    </row>
    <row r="960" spans="16:31" customFormat="1">
      <c r="P960" s="3436"/>
      <c r="Q960" s="3436"/>
      <c r="R960" s="3436"/>
      <c r="S960" s="3436"/>
      <c r="T960" s="3436"/>
      <c r="U960" s="3436"/>
      <c r="V960" s="3436"/>
      <c r="W960" s="3436"/>
      <c r="X960" s="3436"/>
      <c r="Y960" s="3436"/>
      <c r="Z960" s="3436"/>
      <c r="AA960" s="3436"/>
      <c r="AB960" s="3436"/>
      <c r="AC960" s="3436"/>
      <c r="AD960" s="3436"/>
      <c r="AE960" s="3649"/>
    </row>
    <row r="961" spans="16:31" customFormat="1">
      <c r="P961" s="3436"/>
      <c r="Q961" s="3436"/>
      <c r="R961" s="3436"/>
      <c r="S961" s="3436"/>
      <c r="T961" s="3436"/>
      <c r="U961" s="3436"/>
      <c r="V961" s="3436"/>
      <c r="W961" s="3436"/>
      <c r="X961" s="3436"/>
      <c r="Y961" s="3436"/>
      <c r="Z961" s="3436"/>
      <c r="AA961" s="3436"/>
      <c r="AB961" s="3436"/>
      <c r="AC961" s="3436"/>
      <c r="AD961" s="3436"/>
      <c r="AE961" s="3649"/>
    </row>
    <row r="962" spans="16:31" customFormat="1">
      <c r="P962" s="3436"/>
      <c r="Q962" s="3436"/>
      <c r="R962" s="3436"/>
      <c r="S962" s="3436"/>
      <c r="T962" s="3436"/>
      <c r="U962" s="3436"/>
      <c r="V962" s="3436"/>
      <c r="W962" s="3436"/>
      <c r="X962" s="3436"/>
      <c r="Y962" s="3436"/>
      <c r="Z962" s="3436"/>
      <c r="AA962" s="3436"/>
      <c r="AB962" s="3436"/>
      <c r="AC962" s="3436"/>
      <c r="AD962" s="3436"/>
      <c r="AE962" s="3649"/>
    </row>
    <row r="963" spans="16:31" customFormat="1">
      <c r="P963" s="3436"/>
      <c r="Q963" s="3436"/>
      <c r="R963" s="3436"/>
      <c r="S963" s="3436"/>
      <c r="T963" s="3436"/>
      <c r="U963" s="3436"/>
      <c r="V963" s="3436"/>
      <c r="W963" s="3436"/>
      <c r="X963" s="3436"/>
      <c r="Y963" s="3436"/>
      <c r="Z963" s="3436"/>
      <c r="AA963" s="3436"/>
      <c r="AB963" s="3436"/>
      <c r="AC963" s="3436"/>
      <c r="AD963" s="3436"/>
      <c r="AE963" s="3649"/>
    </row>
    <row r="964" spans="16:31" customFormat="1">
      <c r="P964" s="3436"/>
      <c r="Q964" s="3436"/>
      <c r="R964" s="3436"/>
      <c r="S964" s="3436"/>
      <c r="T964" s="3436"/>
      <c r="U964" s="3436"/>
      <c r="V964" s="3436"/>
      <c r="W964" s="3436"/>
      <c r="X964" s="3436"/>
      <c r="Y964" s="3436"/>
      <c r="Z964" s="3436"/>
      <c r="AA964" s="3436"/>
      <c r="AB964" s="3436"/>
      <c r="AC964" s="3436"/>
      <c r="AD964" s="3436"/>
      <c r="AE964" s="3649"/>
    </row>
    <row r="965" spans="16:31" customFormat="1">
      <c r="P965" s="3436"/>
      <c r="Q965" s="3436"/>
      <c r="R965" s="3436"/>
      <c r="S965" s="3436"/>
      <c r="T965" s="3436"/>
      <c r="U965" s="3436"/>
      <c r="V965" s="3436"/>
      <c r="W965" s="3436"/>
      <c r="X965" s="3436"/>
      <c r="Y965" s="3436"/>
      <c r="Z965" s="3436"/>
      <c r="AA965" s="3436"/>
      <c r="AB965" s="3436"/>
      <c r="AC965" s="3436"/>
      <c r="AD965" s="3436"/>
      <c r="AE965" s="3649"/>
    </row>
    <row r="966" spans="16:31" customFormat="1">
      <c r="P966" s="3436"/>
      <c r="Q966" s="3436"/>
      <c r="R966" s="3436"/>
      <c r="S966" s="3436"/>
      <c r="T966" s="3436"/>
      <c r="U966" s="3436"/>
      <c r="V966" s="3436"/>
      <c r="W966" s="3436"/>
      <c r="X966" s="3436"/>
      <c r="Y966" s="3436"/>
      <c r="Z966" s="3436"/>
      <c r="AA966" s="3436"/>
      <c r="AB966" s="3436"/>
      <c r="AC966" s="3436"/>
      <c r="AD966" s="3436"/>
      <c r="AE966" s="3649"/>
    </row>
    <row r="967" spans="16:31" customFormat="1">
      <c r="P967" s="3436"/>
      <c r="Q967" s="3436"/>
      <c r="R967" s="3436"/>
      <c r="S967" s="3436"/>
      <c r="T967" s="3436"/>
      <c r="U967" s="3436"/>
      <c r="V967" s="3436"/>
      <c r="W967" s="3436"/>
      <c r="X967" s="3436"/>
      <c r="Y967" s="3436"/>
      <c r="Z967" s="3436"/>
      <c r="AA967" s="3436"/>
      <c r="AB967" s="3436"/>
      <c r="AC967" s="3436"/>
      <c r="AD967" s="3436"/>
      <c r="AE967" s="3649"/>
    </row>
    <row r="968" spans="16:31" customFormat="1">
      <c r="P968" s="3436"/>
      <c r="Q968" s="3436"/>
      <c r="R968" s="3436"/>
      <c r="S968" s="3436"/>
      <c r="T968" s="3436"/>
      <c r="U968" s="3436"/>
      <c r="V968" s="3436"/>
      <c r="W968" s="3436"/>
      <c r="X968" s="3436"/>
      <c r="Y968" s="3436"/>
      <c r="Z968" s="3436"/>
      <c r="AA968" s="3436"/>
      <c r="AB968" s="3436"/>
      <c r="AC968" s="3436"/>
      <c r="AD968" s="3436"/>
      <c r="AE968" s="3649"/>
    </row>
    <row r="969" spans="16:31" customFormat="1">
      <c r="P969" s="3436"/>
      <c r="Q969" s="3436"/>
      <c r="R969" s="3436"/>
      <c r="S969" s="3436"/>
      <c r="T969" s="3436"/>
      <c r="U969" s="3436"/>
      <c r="V969" s="3436"/>
      <c r="W969" s="3436"/>
      <c r="X969" s="3436"/>
      <c r="Y969" s="3436"/>
      <c r="Z969" s="3436"/>
      <c r="AA969" s="3436"/>
      <c r="AB969" s="3436"/>
      <c r="AC969" s="3436"/>
      <c r="AD969" s="3436"/>
      <c r="AE969" s="3649"/>
    </row>
    <row r="970" spans="16:31" customFormat="1">
      <c r="P970" s="3436"/>
      <c r="Q970" s="3436"/>
      <c r="R970" s="3436"/>
      <c r="S970" s="3436"/>
      <c r="T970" s="3436"/>
      <c r="U970" s="3436"/>
      <c r="V970" s="3436"/>
      <c r="W970" s="3436"/>
      <c r="X970" s="3436"/>
      <c r="Y970" s="3436"/>
      <c r="Z970" s="3436"/>
      <c r="AA970" s="3436"/>
      <c r="AB970" s="3436"/>
      <c r="AC970" s="3436"/>
      <c r="AD970" s="3436"/>
      <c r="AE970" s="3649"/>
    </row>
    <row r="971" spans="16:31" customFormat="1">
      <c r="P971" s="3436"/>
      <c r="Q971" s="3436"/>
      <c r="R971" s="3436"/>
      <c r="S971" s="3436"/>
      <c r="T971" s="3436"/>
      <c r="U971" s="3436"/>
      <c r="V971" s="3436"/>
      <c r="W971" s="3436"/>
      <c r="X971" s="3436"/>
      <c r="Y971" s="3436"/>
      <c r="Z971" s="3436"/>
      <c r="AA971" s="3436"/>
      <c r="AB971" s="3436"/>
      <c r="AC971" s="3436"/>
      <c r="AD971" s="3436"/>
      <c r="AE971" s="3649"/>
    </row>
    <row r="972" spans="16:31" customFormat="1">
      <c r="P972" s="3436"/>
      <c r="Q972" s="3436"/>
      <c r="R972" s="3436"/>
      <c r="S972" s="3436"/>
      <c r="T972" s="3436"/>
      <c r="U972" s="3436"/>
      <c r="V972" s="3436"/>
      <c r="W972" s="3436"/>
      <c r="X972" s="3436"/>
      <c r="Y972" s="3436"/>
      <c r="Z972" s="3436"/>
      <c r="AA972" s="3436"/>
      <c r="AB972" s="3436"/>
      <c r="AC972" s="3436"/>
      <c r="AD972" s="3436"/>
      <c r="AE972" s="3649"/>
    </row>
    <row r="973" spans="16:31" customFormat="1">
      <c r="P973" s="3436"/>
      <c r="Q973" s="3436"/>
      <c r="R973" s="3436"/>
      <c r="S973" s="3436"/>
      <c r="T973" s="3436"/>
      <c r="U973" s="3436"/>
      <c r="V973" s="3436"/>
      <c r="W973" s="3436"/>
      <c r="X973" s="3436"/>
      <c r="Y973" s="3436"/>
      <c r="Z973" s="3436"/>
      <c r="AA973" s="3436"/>
      <c r="AB973" s="3436"/>
      <c r="AC973" s="3436"/>
      <c r="AD973" s="3436"/>
      <c r="AE973" s="3649"/>
    </row>
    <row r="974" spans="16:31" customFormat="1">
      <c r="P974" s="3436"/>
      <c r="Q974" s="3436"/>
      <c r="R974" s="3436"/>
      <c r="S974" s="3436"/>
      <c r="T974" s="3436"/>
      <c r="U974" s="3436"/>
      <c r="V974" s="3436"/>
      <c r="W974" s="3436"/>
      <c r="X974" s="3436"/>
      <c r="Y974" s="3436"/>
      <c r="Z974" s="3436"/>
      <c r="AA974" s="3436"/>
      <c r="AB974" s="3436"/>
      <c r="AC974" s="3436"/>
      <c r="AD974" s="3436"/>
      <c r="AE974" s="3649"/>
    </row>
    <row r="975" spans="16:31" customFormat="1">
      <c r="P975" s="3436"/>
      <c r="Q975" s="3436"/>
      <c r="R975" s="3436"/>
      <c r="S975" s="3436"/>
      <c r="T975" s="3436"/>
      <c r="U975" s="3436"/>
      <c r="V975" s="3436"/>
      <c r="W975" s="3436"/>
      <c r="X975" s="3436"/>
      <c r="Y975" s="3436"/>
      <c r="Z975" s="3436"/>
      <c r="AA975" s="3436"/>
      <c r="AB975" s="3436"/>
      <c r="AC975" s="3436"/>
      <c r="AD975" s="3436"/>
      <c r="AE975" s="3649"/>
    </row>
    <row r="976" spans="16:31" customFormat="1">
      <c r="P976" s="3436"/>
      <c r="Q976" s="3436"/>
      <c r="R976" s="3436"/>
      <c r="S976" s="3436"/>
      <c r="T976" s="3436"/>
      <c r="U976" s="3436"/>
      <c r="V976" s="3436"/>
      <c r="W976" s="3436"/>
      <c r="X976" s="3436"/>
      <c r="Y976" s="3436"/>
      <c r="Z976" s="3436"/>
      <c r="AA976" s="3436"/>
      <c r="AB976" s="3436"/>
      <c r="AC976" s="3436"/>
      <c r="AD976" s="3436"/>
      <c r="AE976" s="3649"/>
    </row>
    <row r="977" spans="16:31" customFormat="1">
      <c r="P977" s="3436"/>
      <c r="Q977" s="3436"/>
      <c r="R977" s="3436"/>
      <c r="S977" s="3436"/>
      <c r="T977" s="3436"/>
      <c r="U977" s="3436"/>
      <c r="V977" s="3436"/>
      <c r="W977" s="3436"/>
      <c r="X977" s="3436"/>
      <c r="Y977" s="3436"/>
      <c r="Z977" s="3436"/>
      <c r="AA977" s="3436"/>
      <c r="AB977" s="3436"/>
      <c r="AC977" s="3436"/>
      <c r="AD977" s="3436"/>
      <c r="AE977" s="3649"/>
    </row>
    <row r="978" spans="16:31" customFormat="1">
      <c r="P978" s="3436"/>
      <c r="Q978" s="3436"/>
      <c r="R978" s="3436"/>
      <c r="S978" s="3436"/>
      <c r="T978" s="3436"/>
      <c r="U978" s="3436"/>
      <c r="V978" s="3436"/>
      <c r="W978" s="3436"/>
      <c r="X978" s="3436"/>
      <c r="Y978" s="3436"/>
      <c r="Z978" s="3436"/>
      <c r="AA978" s="3436"/>
      <c r="AB978" s="3436"/>
      <c r="AC978" s="3436"/>
      <c r="AD978" s="3436"/>
      <c r="AE978" s="3649"/>
    </row>
    <row r="979" spans="16:31" customFormat="1">
      <c r="P979" s="3436"/>
      <c r="Q979" s="3436"/>
      <c r="R979" s="3436"/>
      <c r="S979" s="3436"/>
      <c r="T979" s="3436"/>
      <c r="U979" s="3436"/>
      <c r="V979" s="3436"/>
      <c r="W979" s="3436"/>
      <c r="X979" s="3436"/>
      <c r="Y979" s="3436"/>
      <c r="Z979" s="3436"/>
      <c r="AA979" s="3436"/>
      <c r="AB979" s="3436"/>
      <c r="AC979" s="3436"/>
      <c r="AD979" s="3436"/>
      <c r="AE979" s="3649"/>
    </row>
    <row r="980" spans="16:31" customFormat="1">
      <c r="P980" s="3436"/>
      <c r="Q980" s="3436"/>
      <c r="R980" s="3436"/>
      <c r="S980" s="3436"/>
      <c r="T980" s="3436"/>
      <c r="U980" s="3436"/>
      <c r="V980" s="3436"/>
      <c r="W980" s="3436"/>
      <c r="X980" s="3436"/>
      <c r="Y980" s="3436"/>
      <c r="Z980" s="3436"/>
      <c r="AA980" s="3436"/>
      <c r="AB980" s="3436"/>
      <c r="AC980" s="3436"/>
      <c r="AD980" s="3436"/>
      <c r="AE980" s="3649"/>
    </row>
    <row r="981" spans="16:31" customFormat="1">
      <c r="P981" s="3436"/>
      <c r="Q981" s="3436"/>
      <c r="R981" s="3436"/>
      <c r="S981" s="3436"/>
      <c r="T981" s="3436"/>
      <c r="U981" s="3436"/>
      <c r="V981" s="3436"/>
      <c r="W981" s="3436"/>
      <c r="X981" s="3436"/>
      <c r="Y981" s="3436"/>
      <c r="Z981" s="3436"/>
      <c r="AA981" s="3436"/>
      <c r="AB981" s="3436"/>
      <c r="AC981" s="3436"/>
      <c r="AD981" s="3436"/>
      <c r="AE981" s="3649"/>
    </row>
    <row r="982" spans="16:31" customFormat="1">
      <c r="P982" s="3436"/>
      <c r="Q982" s="3436"/>
      <c r="R982" s="3436"/>
      <c r="S982" s="3436"/>
      <c r="T982" s="3436"/>
      <c r="U982" s="3436"/>
      <c r="V982" s="3436"/>
      <c r="W982" s="3436"/>
      <c r="X982" s="3436"/>
      <c r="Y982" s="3436"/>
      <c r="Z982" s="3436"/>
      <c r="AA982" s="3436"/>
      <c r="AB982" s="3436"/>
      <c r="AC982" s="3436"/>
      <c r="AD982" s="3436"/>
      <c r="AE982" s="3649"/>
    </row>
    <row r="983" spans="16:31" customFormat="1">
      <c r="P983" s="3436"/>
      <c r="Q983" s="3436"/>
      <c r="R983" s="3436"/>
      <c r="S983" s="3436"/>
      <c r="T983" s="3436"/>
      <c r="U983" s="3436"/>
      <c r="V983" s="3436"/>
      <c r="W983" s="3436"/>
      <c r="X983" s="3436"/>
      <c r="Y983" s="3436"/>
      <c r="Z983" s="3436"/>
      <c r="AA983" s="3436"/>
      <c r="AB983" s="3436"/>
      <c r="AC983" s="3436"/>
      <c r="AD983" s="3436"/>
      <c r="AE983" s="3649"/>
    </row>
    <row r="984" spans="16:31" customFormat="1">
      <c r="P984" s="3436"/>
      <c r="Q984" s="3436"/>
      <c r="R984" s="3436"/>
      <c r="S984" s="3436"/>
      <c r="T984" s="3436"/>
      <c r="U984" s="3436"/>
      <c r="V984" s="3436"/>
      <c r="W984" s="3436"/>
      <c r="X984" s="3436"/>
      <c r="Y984" s="3436"/>
      <c r="Z984" s="3436"/>
      <c r="AA984" s="3436"/>
      <c r="AB984" s="3436"/>
      <c r="AC984" s="3436"/>
      <c r="AD984" s="3436"/>
      <c r="AE984" s="3649"/>
    </row>
    <row r="985" spans="16:31" customFormat="1">
      <c r="P985" s="3436"/>
      <c r="Q985" s="3436"/>
      <c r="R985" s="3436"/>
      <c r="S985" s="3436"/>
      <c r="T985" s="3436"/>
      <c r="U985" s="3436"/>
      <c r="V985" s="3436"/>
      <c r="W985" s="3436"/>
      <c r="X985" s="3436"/>
      <c r="Y985" s="3436"/>
      <c r="Z985" s="3436"/>
      <c r="AA985" s="3436"/>
      <c r="AB985" s="3436"/>
      <c r="AC985" s="3436"/>
      <c r="AD985" s="3436"/>
      <c r="AE985" s="3649"/>
    </row>
    <row r="986" spans="16:31" customFormat="1">
      <c r="P986" s="3436"/>
      <c r="Q986" s="3436"/>
      <c r="R986" s="3436"/>
      <c r="S986" s="3436"/>
      <c r="T986" s="3436"/>
      <c r="U986" s="3436"/>
      <c r="V986" s="3436"/>
      <c r="W986" s="3436"/>
      <c r="X986" s="3436"/>
      <c r="Y986" s="3436"/>
      <c r="Z986" s="3436"/>
      <c r="AA986" s="3436"/>
      <c r="AB986" s="3436"/>
      <c r="AC986" s="3436"/>
      <c r="AD986" s="3436"/>
      <c r="AE986" s="3649"/>
    </row>
    <row r="987" spans="16:31" customFormat="1">
      <c r="P987" s="3436"/>
      <c r="Q987" s="3436"/>
      <c r="R987" s="3436"/>
      <c r="S987" s="3436"/>
      <c r="T987" s="3436"/>
      <c r="U987" s="3436"/>
      <c r="V987" s="3436"/>
      <c r="W987" s="3436"/>
      <c r="X987" s="3436"/>
      <c r="Y987" s="3436"/>
      <c r="Z987" s="3436"/>
      <c r="AA987" s="3436"/>
      <c r="AB987" s="3436"/>
      <c r="AC987" s="3436"/>
      <c r="AD987" s="3436"/>
      <c r="AE987" s="3649"/>
    </row>
    <row r="988" spans="16:31" customFormat="1">
      <c r="P988" s="3436"/>
      <c r="Q988" s="3436"/>
      <c r="R988" s="3436"/>
      <c r="S988" s="3436"/>
      <c r="T988" s="3436"/>
      <c r="U988" s="3436"/>
      <c r="V988" s="3436"/>
      <c r="W988" s="3436"/>
      <c r="X988" s="3436"/>
      <c r="Y988" s="3436"/>
      <c r="Z988" s="3436"/>
      <c r="AA988" s="3436"/>
      <c r="AB988" s="3436"/>
      <c r="AC988" s="3436"/>
      <c r="AD988" s="3436"/>
      <c r="AE988" s="3649"/>
    </row>
    <row r="989" spans="16:31" customFormat="1">
      <c r="P989" s="3436"/>
      <c r="Q989" s="3436"/>
      <c r="R989" s="3436"/>
      <c r="S989" s="3436"/>
      <c r="T989" s="3436"/>
      <c r="U989" s="3436"/>
      <c r="V989" s="3436"/>
      <c r="W989" s="3436"/>
      <c r="X989" s="3436"/>
      <c r="Y989" s="3436"/>
      <c r="Z989" s="3436"/>
      <c r="AA989" s="3436"/>
      <c r="AB989" s="3436"/>
      <c r="AC989" s="3436"/>
      <c r="AD989" s="3436"/>
      <c r="AE989" s="3649"/>
    </row>
    <row r="990" spans="16:31" customFormat="1">
      <c r="P990" s="3436"/>
      <c r="Q990" s="3436"/>
      <c r="R990" s="3436"/>
      <c r="S990" s="3436"/>
      <c r="T990" s="3436"/>
      <c r="U990" s="3436"/>
      <c r="V990" s="3436"/>
      <c r="W990" s="3436"/>
      <c r="X990" s="3436"/>
      <c r="Y990" s="3436"/>
      <c r="Z990" s="3436"/>
      <c r="AA990" s="3436"/>
      <c r="AB990" s="3436"/>
      <c r="AC990" s="3436"/>
      <c r="AD990" s="3436"/>
      <c r="AE990" s="3649"/>
    </row>
    <row r="991" spans="16:31" customFormat="1">
      <c r="P991" s="3436"/>
      <c r="Q991" s="3436"/>
      <c r="R991" s="3436"/>
      <c r="S991" s="3436"/>
      <c r="T991" s="3436"/>
      <c r="U991" s="3436"/>
      <c r="V991" s="3436"/>
      <c r="W991" s="3436"/>
      <c r="X991" s="3436"/>
      <c r="Y991" s="3436"/>
      <c r="Z991" s="3436"/>
      <c r="AA991" s="3436"/>
      <c r="AB991" s="3436"/>
      <c r="AC991" s="3436"/>
      <c r="AD991" s="3436"/>
      <c r="AE991" s="3649"/>
    </row>
    <row r="992" spans="16:31" customFormat="1">
      <c r="P992" s="3436"/>
      <c r="Q992" s="3436"/>
      <c r="R992" s="3436"/>
      <c r="S992" s="3436"/>
      <c r="T992" s="3436"/>
      <c r="U992" s="3436"/>
      <c r="V992" s="3436"/>
      <c r="W992" s="3436"/>
      <c r="X992" s="3436"/>
      <c r="Y992" s="3436"/>
      <c r="Z992" s="3436"/>
      <c r="AA992" s="3436"/>
      <c r="AB992" s="3436"/>
      <c r="AC992" s="3436"/>
      <c r="AD992" s="3436"/>
      <c r="AE992" s="3649"/>
    </row>
    <row r="993" spans="16:31" customFormat="1">
      <c r="P993" s="3436"/>
      <c r="Q993" s="3436"/>
      <c r="R993" s="3436"/>
      <c r="S993" s="3436"/>
      <c r="T993" s="3436"/>
      <c r="U993" s="3436"/>
      <c r="V993" s="3436"/>
      <c r="W993" s="3436"/>
      <c r="X993" s="3436"/>
      <c r="Y993" s="3436"/>
      <c r="Z993" s="3436"/>
      <c r="AA993" s="3436"/>
      <c r="AB993" s="3436"/>
      <c r="AC993" s="3436"/>
      <c r="AD993" s="3436"/>
      <c r="AE993" s="3649"/>
    </row>
    <row r="994" spans="16:31" customFormat="1">
      <c r="P994" s="3436"/>
      <c r="Q994" s="3436"/>
      <c r="R994" s="3436"/>
      <c r="S994" s="3436"/>
      <c r="T994" s="3436"/>
      <c r="U994" s="3436"/>
      <c r="V994" s="3436"/>
      <c r="W994" s="3436"/>
      <c r="X994" s="3436"/>
      <c r="Y994" s="3436"/>
      <c r="Z994" s="3436"/>
      <c r="AA994" s="3436"/>
      <c r="AB994" s="3436"/>
      <c r="AC994" s="3436"/>
      <c r="AD994" s="3436"/>
      <c r="AE994" s="3649"/>
    </row>
    <row r="995" spans="16:31" customFormat="1">
      <c r="P995" s="3436"/>
      <c r="Q995" s="3436"/>
      <c r="R995" s="3436"/>
      <c r="S995" s="3436"/>
      <c r="T995" s="3436"/>
      <c r="U995" s="3436"/>
      <c r="V995" s="3436"/>
      <c r="W995" s="3436"/>
      <c r="X995" s="3436"/>
      <c r="Y995" s="3436"/>
      <c r="Z995" s="3436"/>
      <c r="AA995" s="3436"/>
      <c r="AB995" s="3436"/>
      <c r="AC995" s="3436"/>
      <c r="AD995" s="3436"/>
      <c r="AE995" s="3649"/>
    </row>
    <row r="996" spans="16:31" customFormat="1">
      <c r="P996" s="3436"/>
      <c r="Q996" s="3436"/>
      <c r="R996" s="3436"/>
      <c r="S996" s="3436"/>
      <c r="T996" s="3436"/>
      <c r="U996" s="3436"/>
      <c r="V996" s="3436"/>
      <c r="W996" s="3436"/>
      <c r="X996" s="3436"/>
      <c r="Y996" s="3436"/>
      <c r="Z996" s="3436"/>
      <c r="AA996" s="3436"/>
      <c r="AB996" s="3436"/>
      <c r="AC996" s="3436"/>
      <c r="AD996" s="3436"/>
      <c r="AE996" s="3649"/>
    </row>
    <row r="997" spans="16:31" customFormat="1">
      <c r="P997" s="3436"/>
      <c r="Q997" s="3436"/>
      <c r="R997" s="3436"/>
      <c r="S997" s="3436"/>
      <c r="T997" s="3436"/>
      <c r="U997" s="3436"/>
      <c r="V997" s="3436"/>
      <c r="W997" s="3436"/>
      <c r="X997" s="3436"/>
      <c r="Y997" s="3436"/>
      <c r="Z997" s="3436"/>
      <c r="AA997" s="3436"/>
      <c r="AB997" s="3436"/>
      <c r="AC997" s="3436"/>
      <c r="AD997" s="3436"/>
      <c r="AE997" s="3649"/>
    </row>
    <row r="998" spans="16:31" customFormat="1">
      <c r="P998" s="3436"/>
      <c r="Q998" s="3436"/>
      <c r="R998" s="3436"/>
      <c r="S998" s="3436"/>
      <c r="T998" s="3436"/>
      <c r="U998" s="3436"/>
      <c r="V998" s="3436"/>
      <c r="W998" s="3436"/>
      <c r="X998" s="3436"/>
      <c r="Y998" s="3436"/>
      <c r="Z998" s="3436"/>
      <c r="AA998" s="3436"/>
      <c r="AB998" s="3436"/>
      <c r="AC998" s="3436"/>
      <c r="AD998" s="3436"/>
      <c r="AE998" s="3649"/>
    </row>
    <row r="999" spans="16:31" customFormat="1">
      <c r="P999" s="3436"/>
      <c r="Q999" s="3436"/>
      <c r="R999" s="3436"/>
      <c r="S999" s="3436"/>
      <c r="T999" s="3436"/>
      <c r="U999" s="3436"/>
      <c r="V999" s="3436"/>
      <c r="W999" s="3436"/>
      <c r="X999" s="3436"/>
      <c r="Y999" s="3436"/>
      <c r="Z999" s="3436"/>
      <c r="AA999" s="3436"/>
      <c r="AB999" s="3436"/>
      <c r="AC999" s="3436"/>
      <c r="AD999" s="3436"/>
      <c r="AE999" s="3649"/>
    </row>
    <row r="1000" spans="16:31" customFormat="1">
      <c r="P1000" s="3436"/>
      <c r="Q1000" s="3436"/>
      <c r="R1000" s="3436"/>
      <c r="S1000" s="3436"/>
      <c r="T1000" s="3436"/>
      <c r="U1000" s="3436"/>
      <c r="V1000" s="3436"/>
      <c r="W1000" s="3436"/>
      <c r="X1000" s="3436"/>
      <c r="Y1000" s="3436"/>
      <c r="Z1000" s="3436"/>
      <c r="AA1000" s="3436"/>
      <c r="AB1000" s="3436"/>
      <c r="AC1000" s="3436"/>
      <c r="AD1000" s="3436"/>
      <c r="AE1000" s="3649"/>
    </row>
    <row r="1001" spans="16:31" customFormat="1">
      <c r="P1001" s="3436"/>
      <c r="Q1001" s="3436"/>
      <c r="R1001" s="3436"/>
      <c r="S1001" s="3436"/>
      <c r="T1001" s="3436"/>
      <c r="U1001" s="3436"/>
      <c r="V1001" s="3436"/>
      <c r="W1001" s="3436"/>
      <c r="X1001" s="3436"/>
      <c r="Y1001" s="3436"/>
      <c r="Z1001" s="3436"/>
      <c r="AA1001" s="3436"/>
      <c r="AB1001" s="3436"/>
      <c r="AC1001" s="3436"/>
      <c r="AD1001" s="3436"/>
      <c r="AE1001" s="3649"/>
    </row>
    <row r="1002" spans="16:31" customFormat="1">
      <c r="P1002" s="3436"/>
      <c r="Q1002" s="3436"/>
      <c r="R1002" s="3436"/>
      <c r="S1002" s="3436"/>
      <c r="T1002" s="3436"/>
      <c r="U1002" s="3436"/>
      <c r="V1002" s="3436"/>
      <c r="W1002" s="3436"/>
      <c r="X1002" s="3436"/>
      <c r="Y1002" s="3436"/>
      <c r="Z1002" s="3436"/>
      <c r="AA1002" s="3436"/>
      <c r="AB1002" s="3436"/>
      <c r="AC1002" s="3436"/>
      <c r="AD1002" s="3436"/>
      <c r="AE1002" s="3649"/>
    </row>
    <row r="1003" spans="16:31" customFormat="1">
      <c r="P1003" s="3436"/>
      <c r="Q1003" s="3436"/>
      <c r="R1003" s="3436"/>
      <c r="S1003" s="3436"/>
      <c r="T1003" s="3436"/>
      <c r="U1003" s="3436"/>
      <c r="V1003" s="3436"/>
      <c r="W1003" s="3436"/>
      <c r="X1003" s="3436"/>
      <c r="Y1003" s="3436"/>
      <c r="Z1003" s="3436"/>
      <c r="AA1003" s="3436"/>
      <c r="AB1003" s="3436"/>
      <c r="AC1003" s="3436"/>
      <c r="AD1003" s="3436"/>
      <c r="AE1003" s="3649"/>
    </row>
    <row r="1004" spans="16:31" customFormat="1">
      <c r="P1004" s="3436"/>
      <c r="Q1004" s="3436"/>
      <c r="R1004" s="3436"/>
      <c r="S1004" s="3436"/>
      <c r="T1004" s="3436"/>
      <c r="U1004" s="3436"/>
      <c r="V1004" s="3436"/>
      <c r="W1004" s="3436"/>
      <c r="X1004" s="3436"/>
      <c r="Y1004" s="3436"/>
      <c r="Z1004" s="3436"/>
      <c r="AA1004" s="3436"/>
      <c r="AB1004" s="3436"/>
      <c r="AC1004" s="3436"/>
      <c r="AD1004" s="3436"/>
      <c r="AE1004" s="3649"/>
    </row>
    <row r="1005" spans="16:31" customFormat="1">
      <c r="P1005" s="3436"/>
      <c r="Q1005" s="3436"/>
      <c r="R1005" s="3436"/>
      <c r="S1005" s="3436"/>
      <c r="T1005" s="3436"/>
      <c r="U1005" s="3436"/>
      <c r="V1005" s="3436"/>
      <c r="W1005" s="3436"/>
      <c r="X1005" s="3436"/>
      <c r="Y1005" s="3436"/>
      <c r="Z1005" s="3436"/>
      <c r="AA1005" s="3436"/>
      <c r="AB1005" s="3436"/>
      <c r="AC1005" s="3436"/>
      <c r="AD1005" s="3436"/>
      <c r="AE1005" s="3649"/>
    </row>
    <row r="1006" spans="16:31" customFormat="1">
      <c r="P1006" s="3436"/>
      <c r="Q1006" s="3436"/>
      <c r="R1006" s="3436"/>
      <c r="S1006" s="3436"/>
      <c r="T1006" s="3436"/>
      <c r="U1006" s="3436"/>
      <c r="V1006" s="3436"/>
      <c r="W1006" s="3436"/>
      <c r="X1006" s="3436"/>
      <c r="Y1006" s="3436"/>
      <c r="Z1006" s="3436"/>
      <c r="AA1006" s="3436"/>
      <c r="AB1006" s="3436"/>
      <c r="AC1006" s="3436"/>
      <c r="AD1006" s="3436"/>
      <c r="AE1006" s="3649"/>
    </row>
    <row r="1007" spans="16:31" customFormat="1">
      <c r="P1007" s="3436"/>
      <c r="Q1007" s="3436"/>
      <c r="R1007" s="3436"/>
      <c r="S1007" s="3436"/>
      <c r="T1007" s="3436"/>
      <c r="U1007" s="3436"/>
      <c r="V1007" s="3436"/>
      <c r="W1007" s="3436"/>
      <c r="X1007" s="3436"/>
      <c r="Y1007" s="3436"/>
      <c r="Z1007" s="3436"/>
      <c r="AA1007" s="3436"/>
      <c r="AB1007" s="3436"/>
      <c r="AC1007" s="3436"/>
      <c r="AD1007" s="3436"/>
      <c r="AE1007" s="3649"/>
    </row>
    <row r="1008" spans="16:31" customFormat="1">
      <c r="P1008" s="3436"/>
      <c r="Q1008" s="3436"/>
      <c r="R1008" s="3436"/>
      <c r="S1008" s="3436"/>
      <c r="T1008" s="3436"/>
      <c r="U1008" s="3436"/>
      <c r="V1008" s="3436"/>
      <c r="W1008" s="3436"/>
      <c r="X1008" s="3436"/>
      <c r="Y1008" s="3436"/>
      <c r="Z1008" s="3436"/>
      <c r="AA1008" s="3436"/>
      <c r="AB1008" s="3436"/>
      <c r="AC1008" s="3436"/>
      <c r="AD1008" s="3436"/>
      <c r="AE1008" s="3649"/>
    </row>
    <row r="1009" spans="16:31" customFormat="1">
      <c r="P1009" s="3436"/>
      <c r="Q1009" s="3436"/>
      <c r="R1009" s="3436"/>
      <c r="S1009" s="3436"/>
      <c r="T1009" s="3436"/>
      <c r="U1009" s="3436"/>
      <c r="V1009" s="3436"/>
      <c r="W1009" s="3436"/>
      <c r="X1009" s="3436"/>
      <c r="Y1009" s="3436"/>
      <c r="Z1009" s="3436"/>
      <c r="AA1009" s="3436"/>
      <c r="AB1009" s="3436"/>
      <c r="AC1009" s="3436"/>
      <c r="AD1009" s="3436"/>
      <c r="AE1009" s="3649"/>
    </row>
    <row r="1010" spans="16:31" customFormat="1">
      <c r="P1010" s="3436"/>
      <c r="Q1010" s="3436"/>
      <c r="R1010" s="3436"/>
      <c r="S1010" s="3436"/>
      <c r="T1010" s="3436"/>
      <c r="U1010" s="3436"/>
      <c r="V1010" s="3436"/>
      <c r="W1010" s="3436"/>
      <c r="X1010" s="3436"/>
      <c r="Y1010" s="3436"/>
      <c r="Z1010" s="3436"/>
      <c r="AA1010" s="3436"/>
      <c r="AB1010" s="3436"/>
      <c r="AC1010" s="3436"/>
      <c r="AD1010" s="3436"/>
      <c r="AE1010" s="3649"/>
    </row>
    <row r="1011" spans="16:31" customFormat="1">
      <c r="P1011" s="3436"/>
      <c r="Q1011" s="3436"/>
      <c r="R1011" s="3436"/>
      <c r="S1011" s="3436"/>
      <c r="T1011" s="3436"/>
      <c r="U1011" s="3436"/>
      <c r="V1011" s="3436"/>
      <c r="W1011" s="3436"/>
      <c r="X1011" s="3436"/>
      <c r="Y1011" s="3436"/>
      <c r="Z1011" s="3436"/>
      <c r="AA1011" s="3436"/>
      <c r="AB1011" s="3436"/>
      <c r="AC1011" s="3436"/>
      <c r="AD1011" s="3436"/>
      <c r="AE1011" s="3649"/>
    </row>
    <row r="1012" spans="16:31" customFormat="1">
      <c r="P1012" s="3436"/>
      <c r="Q1012" s="3436"/>
      <c r="R1012" s="3436"/>
      <c r="S1012" s="3436"/>
      <c r="T1012" s="3436"/>
      <c r="U1012" s="3436"/>
      <c r="V1012" s="3436"/>
      <c r="W1012" s="3436"/>
      <c r="X1012" s="3436"/>
      <c r="Y1012" s="3436"/>
      <c r="Z1012" s="3436"/>
      <c r="AA1012" s="3436"/>
      <c r="AB1012" s="3436"/>
      <c r="AC1012" s="3436"/>
      <c r="AD1012" s="3436"/>
      <c r="AE1012" s="3649"/>
    </row>
    <row r="1013" spans="16:31" customFormat="1">
      <c r="P1013" s="3436"/>
      <c r="Q1013" s="3436"/>
      <c r="R1013" s="3436"/>
      <c r="S1013" s="3436"/>
      <c r="T1013" s="3436"/>
      <c r="U1013" s="3436"/>
      <c r="V1013" s="3436"/>
      <c r="W1013" s="3436"/>
      <c r="X1013" s="3436"/>
      <c r="Y1013" s="3436"/>
      <c r="Z1013" s="3436"/>
      <c r="AA1013" s="3436"/>
      <c r="AB1013" s="3436"/>
      <c r="AC1013" s="3436"/>
      <c r="AD1013" s="3436"/>
      <c r="AE1013" s="3649"/>
    </row>
    <row r="1014" spans="16:31" customFormat="1">
      <c r="P1014" s="3436"/>
      <c r="Q1014" s="3436"/>
      <c r="R1014" s="3436"/>
      <c r="S1014" s="3436"/>
      <c r="T1014" s="3436"/>
      <c r="U1014" s="3436"/>
      <c r="V1014" s="3436"/>
      <c r="W1014" s="3436"/>
      <c r="X1014" s="3436"/>
      <c r="Y1014" s="3436"/>
      <c r="Z1014" s="3436"/>
      <c r="AA1014" s="3436"/>
      <c r="AB1014" s="3436"/>
      <c r="AC1014" s="3436"/>
      <c r="AD1014" s="3436"/>
      <c r="AE1014" s="3649"/>
    </row>
    <row r="1015" spans="16:31" customFormat="1">
      <c r="P1015" s="3436"/>
      <c r="Q1015" s="3436"/>
      <c r="R1015" s="3436"/>
      <c r="S1015" s="3436"/>
      <c r="T1015" s="3436"/>
      <c r="U1015" s="3436"/>
      <c r="V1015" s="3436"/>
      <c r="W1015" s="3436"/>
      <c r="X1015" s="3436"/>
      <c r="Y1015" s="3436"/>
      <c r="Z1015" s="3436"/>
      <c r="AA1015" s="3436"/>
      <c r="AB1015" s="3436"/>
      <c r="AC1015" s="3436"/>
      <c r="AD1015" s="3436"/>
      <c r="AE1015" s="3649"/>
    </row>
    <row r="1016" spans="16:31" customFormat="1">
      <c r="P1016" s="3436"/>
      <c r="Q1016" s="3436"/>
      <c r="R1016" s="3436"/>
      <c r="S1016" s="3436"/>
      <c r="T1016" s="3436"/>
      <c r="U1016" s="3436"/>
      <c r="V1016" s="3436"/>
      <c r="W1016" s="3436"/>
      <c r="X1016" s="3436"/>
      <c r="Y1016" s="3436"/>
      <c r="Z1016" s="3436"/>
      <c r="AA1016" s="3436"/>
      <c r="AB1016" s="3436"/>
      <c r="AC1016" s="3436"/>
      <c r="AD1016" s="3436"/>
      <c r="AE1016" s="3649"/>
    </row>
    <row r="1017" spans="16:31" customFormat="1">
      <c r="P1017" s="3436"/>
      <c r="Q1017" s="3436"/>
      <c r="R1017" s="3436"/>
      <c r="S1017" s="3436"/>
      <c r="T1017" s="3436"/>
      <c r="U1017" s="3436"/>
      <c r="V1017" s="3436"/>
      <c r="W1017" s="3436"/>
      <c r="X1017" s="3436"/>
      <c r="Y1017" s="3436"/>
      <c r="Z1017" s="3436"/>
      <c r="AA1017" s="3436"/>
      <c r="AB1017" s="3436"/>
      <c r="AC1017" s="3436"/>
      <c r="AD1017" s="3436"/>
      <c r="AE1017" s="3649"/>
    </row>
    <row r="1018" spans="16:31" customFormat="1">
      <c r="P1018" s="3436"/>
      <c r="Q1018" s="3436"/>
      <c r="R1018" s="3436"/>
      <c r="S1018" s="3436"/>
      <c r="T1018" s="3436"/>
      <c r="U1018" s="3436"/>
      <c r="V1018" s="3436"/>
      <c r="W1018" s="3436"/>
      <c r="X1018" s="3436"/>
      <c r="Y1018" s="3436"/>
      <c r="Z1018" s="3436"/>
      <c r="AA1018" s="3436"/>
      <c r="AB1018" s="3436"/>
      <c r="AC1018" s="3436"/>
      <c r="AD1018" s="3436"/>
      <c r="AE1018" s="3649"/>
    </row>
    <row r="1019" spans="16:31" customFormat="1">
      <c r="P1019" s="3436"/>
      <c r="Q1019" s="3436"/>
      <c r="R1019" s="3436"/>
      <c r="S1019" s="3436"/>
      <c r="T1019" s="3436"/>
      <c r="U1019" s="3436"/>
      <c r="V1019" s="3436"/>
      <c r="W1019" s="3436"/>
      <c r="X1019" s="3436"/>
      <c r="Y1019" s="3436"/>
      <c r="Z1019" s="3436"/>
      <c r="AA1019" s="3436"/>
      <c r="AB1019" s="3436"/>
      <c r="AC1019" s="3436"/>
      <c r="AD1019" s="3436"/>
      <c r="AE1019" s="3649"/>
    </row>
    <row r="1020" spans="16:31" customFormat="1">
      <c r="P1020" s="3436"/>
      <c r="Q1020" s="3436"/>
      <c r="R1020" s="3436"/>
      <c r="S1020" s="3436"/>
      <c r="T1020" s="3436"/>
      <c r="U1020" s="3436"/>
      <c r="V1020" s="3436"/>
      <c r="W1020" s="3436"/>
      <c r="X1020" s="3436"/>
      <c r="Y1020" s="3436"/>
      <c r="Z1020" s="3436"/>
      <c r="AA1020" s="3436"/>
      <c r="AB1020" s="3436"/>
      <c r="AC1020" s="3436"/>
      <c r="AD1020" s="3436"/>
      <c r="AE1020" s="3649"/>
    </row>
    <row r="1021" spans="16:31" customFormat="1">
      <c r="P1021" s="3436"/>
      <c r="Q1021" s="3436"/>
      <c r="R1021" s="3436"/>
      <c r="S1021" s="3436"/>
      <c r="T1021" s="3436"/>
      <c r="U1021" s="3436"/>
      <c r="V1021" s="3436"/>
      <c r="W1021" s="3436"/>
      <c r="X1021" s="3436"/>
      <c r="Y1021" s="3436"/>
      <c r="Z1021" s="3436"/>
      <c r="AA1021" s="3436"/>
      <c r="AB1021" s="3436"/>
      <c r="AC1021" s="3436"/>
      <c r="AD1021" s="3436"/>
      <c r="AE1021" s="3649"/>
    </row>
    <row r="1022" spans="16:31" customFormat="1">
      <c r="P1022" s="3436"/>
      <c r="Q1022" s="3436"/>
      <c r="R1022" s="3436"/>
      <c r="S1022" s="3436"/>
      <c r="T1022" s="3436"/>
      <c r="U1022" s="3436"/>
      <c r="V1022" s="3436"/>
      <c r="W1022" s="3436"/>
      <c r="X1022" s="3436"/>
      <c r="Y1022" s="3436"/>
      <c r="Z1022" s="3436"/>
      <c r="AA1022" s="3436"/>
      <c r="AB1022" s="3436"/>
      <c r="AC1022" s="3436"/>
      <c r="AD1022" s="3436"/>
      <c r="AE1022" s="3649"/>
    </row>
    <row r="1023" spans="16:31" customFormat="1">
      <c r="P1023" s="3436"/>
      <c r="Q1023" s="3436"/>
      <c r="R1023" s="3436"/>
      <c r="S1023" s="3436"/>
      <c r="T1023" s="3436"/>
      <c r="U1023" s="3436"/>
      <c r="V1023" s="3436"/>
      <c r="W1023" s="3436"/>
      <c r="X1023" s="3436"/>
      <c r="Y1023" s="3436"/>
      <c r="Z1023" s="3436"/>
      <c r="AA1023" s="3436"/>
      <c r="AB1023" s="3436"/>
      <c r="AC1023" s="3436"/>
      <c r="AD1023" s="3436"/>
      <c r="AE1023" s="3649"/>
    </row>
    <row r="1024" spans="16:31" customFormat="1">
      <c r="P1024" s="3436"/>
      <c r="Q1024" s="3436"/>
      <c r="R1024" s="3436"/>
      <c r="S1024" s="3436"/>
      <c r="T1024" s="3436"/>
      <c r="U1024" s="3436"/>
      <c r="V1024" s="3436"/>
      <c r="W1024" s="3436"/>
      <c r="X1024" s="3436"/>
      <c r="Y1024" s="3436"/>
      <c r="Z1024" s="3436"/>
      <c r="AA1024" s="3436"/>
      <c r="AB1024" s="3436"/>
      <c r="AC1024" s="3436"/>
      <c r="AD1024" s="3436"/>
      <c r="AE1024" s="3649"/>
    </row>
    <row r="1025" spans="16:31" customFormat="1">
      <c r="P1025" s="3436"/>
      <c r="Q1025" s="3436"/>
      <c r="R1025" s="3436"/>
      <c r="S1025" s="3436"/>
      <c r="T1025" s="3436"/>
      <c r="U1025" s="3436"/>
      <c r="V1025" s="3436"/>
      <c r="W1025" s="3436"/>
      <c r="X1025" s="3436"/>
      <c r="Y1025" s="3436"/>
      <c r="Z1025" s="3436"/>
      <c r="AA1025" s="3436"/>
      <c r="AB1025" s="3436"/>
      <c r="AC1025" s="3436"/>
      <c r="AD1025" s="3436"/>
      <c r="AE1025" s="3649"/>
    </row>
    <row r="1026" spans="16:31" customFormat="1">
      <c r="P1026" s="3436"/>
      <c r="Q1026" s="3436"/>
      <c r="R1026" s="3436"/>
      <c r="S1026" s="3436"/>
      <c r="T1026" s="3436"/>
      <c r="U1026" s="3436"/>
      <c r="V1026" s="3436"/>
      <c r="W1026" s="3436"/>
      <c r="X1026" s="3436"/>
      <c r="Y1026" s="3436"/>
      <c r="Z1026" s="3436"/>
      <c r="AA1026" s="3436"/>
      <c r="AB1026" s="3436"/>
      <c r="AC1026" s="3436"/>
      <c r="AD1026" s="3436"/>
      <c r="AE1026" s="3649"/>
    </row>
    <row r="1027" spans="16:31" customFormat="1">
      <c r="P1027" s="3436"/>
      <c r="Q1027" s="3436"/>
      <c r="R1027" s="3436"/>
      <c r="S1027" s="3436"/>
      <c r="T1027" s="3436"/>
      <c r="U1027" s="3436"/>
      <c r="V1027" s="3436"/>
      <c r="W1027" s="3436"/>
      <c r="X1027" s="3436"/>
      <c r="Y1027" s="3436"/>
      <c r="Z1027" s="3436"/>
      <c r="AA1027" s="3436"/>
      <c r="AB1027" s="3436"/>
      <c r="AC1027" s="3436"/>
      <c r="AD1027" s="3436"/>
      <c r="AE1027" s="3649"/>
    </row>
    <row r="1028" spans="16:31" customFormat="1">
      <c r="P1028" s="3436"/>
      <c r="Q1028" s="3436"/>
      <c r="R1028" s="3436"/>
      <c r="S1028" s="3436"/>
      <c r="T1028" s="3436"/>
      <c r="U1028" s="3436"/>
      <c r="V1028" s="3436"/>
      <c r="W1028" s="3436"/>
      <c r="X1028" s="3436"/>
      <c r="Y1028" s="3436"/>
      <c r="Z1028" s="3436"/>
      <c r="AA1028" s="3436"/>
      <c r="AB1028" s="3436"/>
      <c r="AC1028" s="3436"/>
      <c r="AD1028" s="3436"/>
      <c r="AE1028" s="3649"/>
    </row>
    <row r="1029" spans="16:31" customFormat="1">
      <c r="P1029" s="3436"/>
      <c r="Q1029" s="3436"/>
      <c r="R1029" s="3436"/>
      <c r="S1029" s="3436"/>
      <c r="T1029" s="3436"/>
      <c r="U1029" s="3436"/>
      <c r="V1029" s="3436"/>
      <c r="W1029" s="3436"/>
      <c r="X1029" s="3436"/>
      <c r="Y1029" s="3436"/>
      <c r="Z1029" s="3436"/>
      <c r="AA1029" s="3436"/>
      <c r="AB1029" s="3436"/>
      <c r="AC1029" s="3436"/>
      <c r="AD1029" s="3436"/>
      <c r="AE1029" s="3649"/>
    </row>
    <row r="1030" spans="16:31" customFormat="1">
      <c r="P1030" s="3436"/>
      <c r="Q1030" s="3436"/>
      <c r="R1030" s="3436"/>
      <c r="S1030" s="3436"/>
      <c r="T1030" s="3436"/>
      <c r="U1030" s="3436"/>
      <c r="V1030" s="3436"/>
      <c r="W1030" s="3436"/>
      <c r="X1030" s="3436"/>
      <c r="Y1030" s="3436"/>
      <c r="Z1030" s="3436"/>
      <c r="AA1030" s="3436"/>
      <c r="AB1030" s="3436"/>
      <c r="AC1030" s="3436"/>
      <c r="AD1030" s="3436"/>
      <c r="AE1030" s="3649"/>
    </row>
    <row r="1031" spans="16:31" customFormat="1">
      <c r="P1031" s="3436"/>
      <c r="Q1031" s="3436"/>
      <c r="R1031" s="3436"/>
      <c r="S1031" s="3436"/>
      <c r="T1031" s="3436"/>
      <c r="U1031" s="3436"/>
      <c r="V1031" s="3436"/>
      <c r="W1031" s="3436"/>
      <c r="X1031" s="3436"/>
      <c r="Y1031" s="3436"/>
      <c r="Z1031" s="3436"/>
      <c r="AA1031" s="3436"/>
      <c r="AB1031" s="3436"/>
      <c r="AC1031" s="3436"/>
      <c r="AD1031" s="3436"/>
      <c r="AE1031" s="3649"/>
    </row>
    <row r="1032" spans="16:31" customFormat="1">
      <c r="P1032" s="3436"/>
      <c r="Q1032" s="3436"/>
      <c r="R1032" s="3436"/>
      <c r="S1032" s="3436"/>
      <c r="T1032" s="3436"/>
      <c r="U1032" s="3436"/>
      <c r="V1032" s="3436"/>
      <c r="W1032" s="3436"/>
      <c r="X1032" s="3436"/>
      <c r="Y1032" s="3436"/>
      <c r="Z1032" s="3436"/>
      <c r="AA1032" s="3436"/>
      <c r="AB1032" s="3436"/>
      <c r="AC1032" s="3436"/>
      <c r="AD1032" s="3436"/>
      <c r="AE1032" s="3649"/>
    </row>
    <row r="1033" spans="16:31" customFormat="1">
      <c r="P1033" s="3436"/>
      <c r="Q1033" s="3436"/>
      <c r="R1033" s="3436"/>
      <c r="S1033" s="3436"/>
      <c r="T1033" s="3436"/>
      <c r="U1033" s="3436"/>
      <c r="V1033" s="3436"/>
      <c r="W1033" s="3436"/>
      <c r="X1033" s="3436"/>
      <c r="Y1033" s="3436"/>
      <c r="Z1033" s="3436"/>
      <c r="AA1033" s="3436"/>
      <c r="AB1033" s="3436"/>
      <c r="AC1033" s="3436"/>
      <c r="AD1033" s="3436"/>
      <c r="AE1033" s="3649"/>
    </row>
    <row r="1034" spans="16:31" customFormat="1">
      <c r="P1034" s="3436"/>
      <c r="Q1034" s="3436"/>
      <c r="R1034" s="3436"/>
      <c r="S1034" s="3436"/>
      <c r="T1034" s="3436"/>
      <c r="U1034" s="3436"/>
      <c r="V1034" s="3436"/>
      <c r="W1034" s="3436"/>
      <c r="X1034" s="3436"/>
      <c r="Y1034" s="3436"/>
      <c r="Z1034" s="3436"/>
      <c r="AA1034" s="3436"/>
      <c r="AB1034" s="3436"/>
      <c r="AC1034" s="3436"/>
      <c r="AD1034" s="3436"/>
      <c r="AE1034" s="3649"/>
    </row>
    <row r="1035" spans="16:31" customFormat="1">
      <c r="P1035" s="3436"/>
      <c r="Q1035" s="3436"/>
      <c r="R1035" s="3436"/>
      <c r="S1035" s="3436"/>
      <c r="T1035" s="3436"/>
      <c r="U1035" s="3436"/>
      <c r="V1035" s="3436"/>
      <c r="W1035" s="3436"/>
      <c r="X1035" s="3436"/>
      <c r="Y1035" s="3436"/>
      <c r="Z1035" s="3436"/>
      <c r="AA1035" s="3436"/>
      <c r="AB1035" s="3436"/>
      <c r="AC1035" s="3436"/>
      <c r="AD1035" s="3436"/>
      <c r="AE1035" s="3649"/>
    </row>
    <row r="1036" spans="16:31" customFormat="1">
      <c r="P1036" s="3436"/>
      <c r="Q1036" s="3436"/>
      <c r="R1036" s="3436"/>
      <c r="S1036" s="3436"/>
      <c r="T1036" s="3436"/>
      <c r="U1036" s="3436"/>
      <c r="V1036" s="3436"/>
      <c r="W1036" s="3436"/>
      <c r="X1036" s="3436"/>
      <c r="Y1036" s="3436"/>
      <c r="Z1036" s="3436"/>
      <c r="AA1036" s="3436"/>
      <c r="AB1036" s="3436"/>
      <c r="AC1036" s="3436"/>
      <c r="AD1036" s="3436"/>
      <c r="AE1036" s="3649"/>
    </row>
    <row r="1037" spans="16:31" customFormat="1">
      <c r="P1037" s="3436"/>
      <c r="Q1037" s="3436"/>
      <c r="R1037" s="3436"/>
      <c r="S1037" s="3436"/>
      <c r="T1037" s="3436"/>
      <c r="U1037" s="3436"/>
      <c r="V1037" s="3436"/>
      <c r="W1037" s="3436"/>
      <c r="X1037" s="3436"/>
      <c r="Y1037" s="3436"/>
      <c r="Z1037" s="3436"/>
      <c r="AA1037" s="3436"/>
      <c r="AB1037" s="3436"/>
      <c r="AC1037" s="3436"/>
      <c r="AD1037" s="3436"/>
      <c r="AE1037" s="3649"/>
    </row>
    <row r="1038" spans="16:31" customFormat="1">
      <c r="P1038" s="3436"/>
      <c r="Q1038" s="3436"/>
      <c r="R1038" s="3436"/>
      <c r="S1038" s="3436"/>
      <c r="T1038" s="3436"/>
      <c r="U1038" s="3436"/>
      <c r="V1038" s="3436"/>
      <c r="W1038" s="3436"/>
      <c r="X1038" s="3436"/>
      <c r="Y1038" s="3436"/>
      <c r="Z1038" s="3436"/>
      <c r="AA1038" s="3436"/>
      <c r="AB1038" s="3436"/>
      <c r="AC1038" s="3436"/>
      <c r="AD1038" s="3436"/>
      <c r="AE1038" s="3649"/>
    </row>
    <row r="1039" spans="16:31" customFormat="1">
      <c r="P1039" s="3436"/>
      <c r="Q1039" s="3436"/>
      <c r="R1039" s="3436"/>
      <c r="S1039" s="3436"/>
      <c r="T1039" s="3436"/>
      <c r="U1039" s="3436"/>
      <c r="V1039" s="3436"/>
      <c r="W1039" s="3436"/>
      <c r="X1039" s="3436"/>
      <c r="Y1039" s="3436"/>
      <c r="Z1039" s="3436"/>
      <c r="AA1039" s="3436"/>
      <c r="AB1039" s="3436"/>
      <c r="AC1039" s="3436"/>
      <c r="AD1039" s="3436"/>
      <c r="AE1039" s="3649"/>
    </row>
    <row r="1040" spans="16:31" customFormat="1">
      <c r="P1040" s="3436"/>
      <c r="Q1040" s="3436"/>
      <c r="R1040" s="3436"/>
      <c r="S1040" s="3436"/>
      <c r="T1040" s="3436"/>
      <c r="U1040" s="3436"/>
      <c r="V1040" s="3436"/>
      <c r="W1040" s="3436"/>
      <c r="X1040" s="3436"/>
      <c r="Y1040" s="3436"/>
      <c r="Z1040" s="3436"/>
      <c r="AA1040" s="3436"/>
      <c r="AB1040" s="3436"/>
      <c r="AC1040" s="3436"/>
      <c r="AD1040" s="3436"/>
      <c r="AE1040" s="3649"/>
    </row>
    <row r="1041" spans="16:31" customFormat="1">
      <c r="P1041" s="3436"/>
      <c r="Q1041" s="3436"/>
      <c r="R1041" s="3436"/>
      <c r="S1041" s="3436"/>
      <c r="T1041" s="3436"/>
      <c r="U1041" s="3436"/>
      <c r="V1041" s="3436"/>
      <c r="W1041" s="3436"/>
      <c r="X1041" s="3436"/>
      <c r="Y1041" s="3436"/>
      <c r="Z1041" s="3436"/>
      <c r="AA1041" s="3436"/>
      <c r="AB1041" s="3436"/>
      <c r="AC1041" s="3436"/>
      <c r="AD1041" s="3436"/>
      <c r="AE1041" s="3649"/>
    </row>
    <row r="1042" spans="16:31" customFormat="1">
      <c r="P1042" s="3436"/>
      <c r="Q1042" s="3436"/>
      <c r="R1042" s="3436"/>
      <c r="S1042" s="3436"/>
      <c r="T1042" s="3436"/>
      <c r="U1042" s="3436"/>
      <c r="V1042" s="3436"/>
      <c r="W1042" s="3436"/>
      <c r="X1042" s="3436"/>
      <c r="Y1042" s="3436"/>
      <c r="Z1042" s="3436"/>
      <c r="AA1042" s="3436"/>
      <c r="AB1042" s="3436"/>
      <c r="AC1042" s="3436"/>
      <c r="AD1042" s="3436"/>
      <c r="AE1042" s="3649"/>
    </row>
    <row r="1043" spans="16:31" customFormat="1">
      <c r="P1043" s="3436"/>
      <c r="Q1043" s="3436"/>
      <c r="R1043" s="3436"/>
      <c r="S1043" s="3436"/>
      <c r="T1043" s="3436"/>
      <c r="U1043" s="3436"/>
      <c r="V1043" s="3436"/>
      <c r="W1043" s="3436"/>
      <c r="X1043" s="3436"/>
      <c r="Y1043" s="3436"/>
      <c r="Z1043" s="3436"/>
      <c r="AA1043" s="3436"/>
      <c r="AB1043" s="3436"/>
      <c r="AC1043" s="3436"/>
      <c r="AD1043" s="3436"/>
      <c r="AE1043" s="3649"/>
    </row>
    <row r="1044" spans="16:31" customFormat="1">
      <c r="P1044" s="3436"/>
      <c r="Q1044" s="3436"/>
      <c r="R1044" s="3436"/>
      <c r="S1044" s="3436"/>
      <c r="T1044" s="3436"/>
      <c r="U1044" s="3436"/>
      <c r="V1044" s="3436"/>
      <c r="W1044" s="3436"/>
      <c r="X1044" s="3436"/>
      <c r="Y1044" s="3436"/>
      <c r="Z1044" s="3436"/>
      <c r="AA1044" s="3436"/>
      <c r="AB1044" s="3436"/>
      <c r="AC1044" s="3436"/>
      <c r="AD1044" s="3436"/>
      <c r="AE1044" s="3649"/>
    </row>
    <row r="1045" spans="16:31" customFormat="1">
      <c r="P1045" s="3436"/>
      <c r="Q1045" s="3436"/>
      <c r="R1045" s="3436"/>
      <c r="S1045" s="3436"/>
      <c r="T1045" s="3436"/>
      <c r="U1045" s="3436"/>
      <c r="V1045" s="3436"/>
      <c r="W1045" s="3436"/>
      <c r="X1045" s="3436"/>
      <c r="Y1045" s="3436"/>
      <c r="Z1045" s="3436"/>
      <c r="AA1045" s="3436"/>
      <c r="AB1045" s="3436"/>
      <c r="AC1045" s="3436"/>
      <c r="AD1045" s="3436"/>
      <c r="AE1045" s="3649"/>
    </row>
    <row r="1046" spans="16:31" customFormat="1">
      <c r="P1046" s="3436"/>
      <c r="Q1046" s="3436"/>
      <c r="R1046" s="3436"/>
      <c r="S1046" s="3436"/>
      <c r="T1046" s="3436"/>
      <c r="U1046" s="3436"/>
      <c r="V1046" s="3436"/>
      <c r="W1046" s="3436"/>
      <c r="X1046" s="3436"/>
      <c r="Y1046" s="3436"/>
      <c r="Z1046" s="3436"/>
      <c r="AA1046" s="3436"/>
      <c r="AB1046" s="3436"/>
      <c r="AC1046" s="3436"/>
      <c r="AD1046" s="3436"/>
      <c r="AE1046" s="3649"/>
    </row>
    <row r="1047" spans="16:31" customFormat="1">
      <c r="P1047" s="3436"/>
      <c r="Q1047" s="3436"/>
      <c r="R1047" s="3436"/>
      <c r="S1047" s="3436"/>
      <c r="T1047" s="3436"/>
      <c r="U1047" s="3436"/>
      <c r="V1047" s="3436"/>
      <c r="W1047" s="3436"/>
      <c r="X1047" s="3436"/>
      <c r="Y1047" s="3436"/>
      <c r="Z1047" s="3436"/>
      <c r="AA1047" s="3436"/>
      <c r="AB1047" s="3436"/>
      <c r="AC1047" s="3436"/>
      <c r="AD1047" s="3436"/>
      <c r="AE1047" s="3649"/>
    </row>
    <row r="1048" spans="16:31" customFormat="1">
      <c r="P1048" s="3436"/>
      <c r="Q1048" s="3436"/>
      <c r="R1048" s="3436"/>
      <c r="S1048" s="3436"/>
      <c r="T1048" s="3436"/>
      <c r="U1048" s="3436"/>
      <c r="V1048" s="3436"/>
      <c r="W1048" s="3436"/>
      <c r="X1048" s="3436"/>
      <c r="Y1048" s="3436"/>
      <c r="Z1048" s="3436"/>
      <c r="AA1048" s="3436"/>
      <c r="AB1048" s="3436"/>
      <c r="AC1048" s="3436"/>
      <c r="AD1048" s="3436"/>
      <c r="AE1048" s="3649"/>
    </row>
    <row r="1049" spans="16:31" customFormat="1">
      <c r="P1049" s="3436"/>
      <c r="Q1049" s="3436"/>
      <c r="R1049" s="3436"/>
      <c r="S1049" s="3436"/>
      <c r="T1049" s="3436"/>
      <c r="U1049" s="3436"/>
      <c r="V1049" s="3436"/>
      <c r="W1049" s="3436"/>
      <c r="X1049" s="3436"/>
      <c r="Y1049" s="3436"/>
      <c r="Z1049" s="3436"/>
      <c r="AA1049" s="3436"/>
      <c r="AB1049" s="3436"/>
      <c r="AC1049" s="3436"/>
      <c r="AD1049" s="3436"/>
      <c r="AE1049" s="3649"/>
    </row>
    <row r="1050" spans="16:31" customFormat="1">
      <c r="P1050" s="3436"/>
      <c r="Q1050" s="3436"/>
      <c r="R1050" s="3436"/>
      <c r="S1050" s="3436"/>
      <c r="T1050" s="3436"/>
      <c r="U1050" s="3436"/>
      <c r="V1050" s="3436"/>
      <c r="W1050" s="3436"/>
      <c r="X1050" s="3436"/>
      <c r="Y1050" s="3436"/>
      <c r="Z1050" s="3436"/>
      <c r="AA1050" s="3436"/>
      <c r="AB1050" s="3436"/>
      <c r="AC1050" s="3436"/>
      <c r="AD1050" s="3436"/>
      <c r="AE1050" s="3649"/>
    </row>
    <row r="1051" spans="16:31" customFormat="1">
      <c r="P1051" s="3436"/>
      <c r="Q1051" s="3436"/>
      <c r="R1051" s="3436"/>
      <c r="S1051" s="3436"/>
      <c r="T1051" s="3436"/>
      <c r="U1051" s="3436"/>
      <c r="V1051" s="3436"/>
      <c r="W1051" s="3436"/>
      <c r="X1051" s="3436"/>
      <c r="Y1051" s="3436"/>
      <c r="Z1051" s="3436"/>
      <c r="AA1051" s="3436"/>
      <c r="AB1051" s="3436"/>
      <c r="AC1051" s="3436"/>
      <c r="AD1051" s="3436"/>
      <c r="AE1051" s="3649"/>
    </row>
    <row r="1052" spans="16:31" customFormat="1">
      <c r="P1052" s="3436"/>
      <c r="Q1052" s="3436"/>
      <c r="R1052" s="3436"/>
      <c r="S1052" s="3436"/>
      <c r="T1052" s="3436"/>
      <c r="U1052" s="3436"/>
      <c r="V1052" s="3436"/>
      <c r="W1052" s="3436"/>
      <c r="X1052" s="3436"/>
      <c r="Y1052" s="3436"/>
      <c r="Z1052" s="3436"/>
      <c r="AA1052" s="3436"/>
      <c r="AB1052" s="3436"/>
      <c r="AC1052" s="3436"/>
      <c r="AD1052" s="3436"/>
      <c r="AE1052" s="3649"/>
    </row>
    <row r="1053" spans="16:31" customFormat="1">
      <c r="P1053" s="3436"/>
      <c r="Q1053" s="3436"/>
      <c r="R1053" s="3436"/>
      <c r="S1053" s="3436"/>
      <c r="T1053" s="3436"/>
      <c r="U1053" s="3436"/>
      <c r="V1053" s="3436"/>
      <c r="W1053" s="3436"/>
      <c r="X1053" s="3436"/>
      <c r="Y1053" s="3436"/>
      <c r="Z1053" s="3436"/>
      <c r="AA1053" s="3436"/>
      <c r="AB1053" s="3436"/>
      <c r="AC1053" s="3436"/>
      <c r="AD1053" s="3436"/>
      <c r="AE1053" s="3649"/>
    </row>
    <row r="1054" spans="16:31" customFormat="1">
      <c r="P1054" s="3436"/>
      <c r="Q1054" s="3436"/>
      <c r="R1054" s="3436"/>
      <c r="S1054" s="3436"/>
      <c r="T1054" s="3436"/>
      <c r="U1054" s="3436"/>
      <c r="V1054" s="3436"/>
      <c r="W1054" s="3436"/>
      <c r="X1054" s="3436"/>
      <c r="Y1054" s="3436"/>
      <c r="Z1054" s="3436"/>
      <c r="AA1054" s="3436"/>
      <c r="AB1054" s="3436"/>
      <c r="AC1054" s="3436"/>
      <c r="AD1054" s="3436"/>
      <c r="AE1054" s="3649"/>
    </row>
    <row r="1055" spans="16:31" customFormat="1">
      <c r="P1055" s="3436"/>
      <c r="Q1055" s="3436"/>
      <c r="R1055" s="3436"/>
      <c r="S1055" s="3436"/>
      <c r="T1055" s="3436"/>
      <c r="U1055" s="3436"/>
      <c r="V1055" s="3436"/>
      <c r="W1055" s="3436"/>
      <c r="X1055" s="3436"/>
      <c r="Y1055" s="3436"/>
      <c r="Z1055" s="3436"/>
      <c r="AA1055" s="3436"/>
      <c r="AB1055" s="3436"/>
      <c r="AC1055" s="3436"/>
      <c r="AD1055" s="3436"/>
      <c r="AE1055" s="3649"/>
    </row>
    <row r="1056" spans="16:31" customFormat="1">
      <c r="P1056" s="3436"/>
      <c r="Q1056" s="3436"/>
      <c r="R1056" s="3436"/>
      <c r="S1056" s="3436"/>
      <c r="T1056" s="3436"/>
      <c r="U1056" s="3436"/>
      <c r="V1056" s="3436"/>
      <c r="W1056" s="3436"/>
      <c r="X1056" s="3436"/>
      <c r="Y1056" s="3436"/>
      <c r="Z1056" s="3436"/>
      <c r="AA1056" s="3436"/>
      <c r="AB1056" s="3436"/>
      <c r="AC1056" s="3436"/>
      <c r="AD1056" s="3436"/>
      <c r="AE1056" s="3649"/>
    </row>
    <row r="1057" spans="16:31" customFormat="1">
      <c r="P1057" s="3436"/>
      <c r="Q1057" s="3436"/>
      <c r="R1057" s="3436"/>
      <c r="S1057" s="3436"/>
      <c r="T1057" s="3436"/>
      <c r="U1057" s="3436"/>
      <c r="V1057" s="3436"/>
      <c r="W1057" s="3436"/>
      <c r="X1057" s="3436"/>
      <c r="Y1057" s="3436"/>
      <c r="Z1057" s="3436"/>
      <c r="AA1057" s="3436"/>
      <c r="AB1057" s="3436"/>
      <c r="AC1057" s="3436"/>
      <c r="AD1057" s="3436"/>
      <c r="AE1057" s="3649"/>
    </row>
    <row r="1058" spans="16:31" customFormat="1">
      <c r="P1058" s="3436"/>
      <c r="Q1058" s="3436"/>
      <c r="R1058" s="3436"/>
      <c r="S1058" s="3436"/>
      <c r="T1058" s="3436"/>
      <c r="U1058" s="3436"/>
      <c r="V1058" s="3436"/>
      <c r="W1058" s="3436"/>
      <c r="X1058" s="3436"/>
      <c r="Y1058" s="3436"/>
      <c r="Z1058" s="3436"/>
      <c r="AA1058" s="3436"/>
      <c r="AB1058" s="3436"/>
      <c r="AC1058" s="3436"/>
      <c r="AD1058" s="3436"/>
      <c r="AE1058" s="3649"/>
    </row>
    <row r="1059" spans="16:31" customFormat="1">
      <c r="P1059" s="3436"/>
      <c r="Q1059" s="3436"/>
      <c r="R1059" s="3436"/>
      <c r="S1059" s="3436"/>
      <c r="T1059" s="3436"/>
      <c r="U1059" s="3436"/>
      <c r="V1059" s="3436"/>
      <c r="W1059" s="3436"/>
      <c r="X1059" s="3436"/>
      <c r="Y1059" s="3436"/>
      <c r="Z1059" s="3436"/>
      <c r="AA1059" s="3436"/>
      <c r="AB1059" s="3436"/>
      <c r="AC1059" s="3436"/>
      <c r="AD1059" s="3436"/>
      <c r="AE1059" s="3649"/>
    </row>
    <row r="1060" spans="16:31" customFormat="1">
      <c r="P1060" s="3436"/>
      <c r="Q1060" s="3436"/>
      <c r="R1060" s="3436"/>
      <c r="S1060" s="3436"/>
      <c r="T1060" s="3436"/>
      <c r="U1060" s="3436"/>
      <c r="V1060" s="3436"/>
      <c r="W1060" s="3436"/>
      <c r="X1060" s="3436"/>
      <c r="Y1060" s="3436"/>
      <c r="Z1060" s="3436"/>
      <c r="AA1060" s="3436"/>
      <c r="AB1060" s="3436"/>
      <c r="AC1060" s="3436"/>
      <c r="AD1060" s="3436"/>
      <c r="AE1060" s="3649"/>
    </row>
    <row r="1061" spans="16:31" customFormat="1">
      <c r="P1061" s="3436"/>
      <c r="Q1061" s="3436"/>
      <c r="R1061" s="3436"/>
      <c r="S1061" s="3436"/>
      <c r="T1061" s="3436"/>
      <c r="U1061" s="3436"/>
      <c r="V1061" s="3436"/>
      <c r="W1061" s="3436"/>
      <c r="X1061" s="3436"/>
      <c r="Y1061" s="3436"/>
      <c r="Z1061" s="3436"/>
      <c r="AA1061" s="3436"/>
      <c r="AB1061" s="3436"/>
      <c r="AC1061" s="3436"/>
      <c r="AD1061" s="3436"/>
      <c r="AE1061" s="3649"/>
    </row>
    <row r="1062" spans="16:31" customFormat="1">
      <c r="P1062" s="3436"/>
      <c r="Q1062" s="3436"/>
      <c r="R1062" s="3436"/>
      <c r="S1062" s="3436"/>
      <c r="T1062" s="3436"/>
      <c r="U1062" s="3436"/>
      <c r="V1062" s="3436"/>
      <c r="W1062" s="3436"/>
      <c r="X1062" s="3436"/>
      <c r="Y1062" s="3436"/>
      <c r="Z1062" s="3436"/>
      <c r="AA1062" s="3436"/>
      <c r="AB1062" s="3436"/>
      <c r="AC1062" s="3436"/>
      <c r="AD1062" s="3436"/>
      <c r="AE1062" s="3649"/>
    </row>
    <row r="1063" spans="16:31" customFormat="1">
      <c r="P1063" s="3436"/>
      <c r="Q1063" s="3436"/>
      <c r="R1063" s="3436"/>
      <c r="S1063" s="3436"/>
      <c r="T1063" s="3436"/>
      <c r="U1063" s="3436"/>
      <c r="V1063" s="3436"/>
      <c r="W1063" s="3436"/>
      <c r="X1063" s="3436"/>
      <c r="Y1063" s="3436"/>
      <c r="Z1063" s="3436"/>
      <c r="AA1063" s="3436"/>
      <c r="AB1063" s="3436"/>
      <c r="AC1063" s="3436"/>
      <c r="AD1063" s="3436"/>
      <c r="AE1063" s="3649"/>
    </row>
    <row r="1064" spans="16:31" customFormat="1">
      <c r="P1064" s="3436"/>
      <c r="Q1064" s="3436"/>
      <c r="R1064" s="3436"/>
      <c r="S1064" s="3436"/>
      <c r="T1064" s="3436"/>
      <c r="U1064" s="3436"/>
      <c r="V1064" s="3436"/>
      <c r="W1064" s="3436"/>
      <c r="X1064" s="3436"/>
      <c r="Y1064" s="3436"/>
      <c r="Z1064" s="3436"/>
      <c r="AA1064" s="3436"/>
      <c r="AB1064" s="3436"/>
      <c r="AC1064" s="3436"/>
      <c r="AD1064" s="3436"/>
      <c r="AE1064" s="3649"/>
    </row>
    <row r="1065" spans="16:31" customFormat="1">
      <c r="P1065" s="3436"/>
      <c r="Q1065" s="3436"/>
      <c r="R1065" s="3436"/>
      <c r="S1065" s="3436"/>
      <c r="T1065" s="3436"/>
      <c r="U1065" s="3436"/>
      <c r="V1065" s="3436"/>
      <c r="W1065" s="3436"/>
      <c r="X1065" s="3436"/>
      <c r="Y1065" s="3436"/>
      <c r="Z1065" s="3436"/>
      <c r="AA1065" s="3436"/>
      <c r="AB1065" s="3436"/>
      <c r="AC1065" s="3436"/>
      <c r="AD1065" s="3436"/>
      <c r="AE1065" s="3649"/>
    </row>
    <row r="1066" spans="16:31" customFormat="1">
      <c r="P1066" s="3436"/>
      <c r="Q1066" s="3436"/>
      <c r="R1066" s="3436"/>
      <c r="S1066" s="3436"/>
      <c r="T1066" s="3436"/>
      <c r="U1066" s="3436"/>
      <c r="V1066" s="3436"/>
      <c r="W1066" s="3436"/>
      <c r="X1066" s="3436"/>
      <c r="Y1066" s="3436"/>
      <c r="Z1066" s="3436"/>
      <c r="AA1066" s="3436"/>
      <c r="AB1066" s="3436"/>
      <c r="AC1066" s="3436"/>
      <c r="AD1066" s="3436"/>
      <c r="AE1066" s="3649"/>
    </row>
    <row r="1067" spans="16:31" customFormat="1">
      <c r="P1067" s="3436"/>
      <c r="Q1067" s="3436"/>
      <c r="R1067" s="3436"/>
      <c r="S1067" s="3436"/>
      <c r="T1067" s="3436"/>
      <c r="U1067" s="3436"/>
      <c r="V1067" s="3436"/>
      <c r="W1067" s="3436"/>
      <c r="X1067" s="3436"/>
      <c r="Y1067" s="3436"/>
      <c r="Z1067" s="3436"/>
      <c r="AA1067" s="3436"/>
      <c r="AB1067" s="3436"/>
      <c r="AC1067" s="3436"/>
      <c r="AD1067" s="3436"/>
      <c r="AE1067" s="3649"/>
    </row>
    <row r="1068" spans="16:31" customFormat="1">
      <c r="P1068" s="3436"/>
      <c r="Q1068" s="3436"/>
      <c r="R1068" s="3436"/>
      <c r="S1068" s="3436"/>
      <c r="T1068" s="3436"/>
      <c r="U1068" s="3436"/>
      <c r="V1068" s="3436"/>
      <c r="W1068" s="3436"/>
      <c r="X1068" s="3436"/>
      <c r="Y1068" s="3436"/>
      <c r="Z1068" s="3436"/>
      <c r="AA1068" s="3436"/>
      <c r="AB1068" s="3436"/>
      <c r="AC1068" s="3436"/>
      <c r="AD1068" s="3436"/>
      <c r="AE1068" s="3649"/>
    </row>
    <row r="1069" spans="16:31" customFormat="1">
      <c r="P1069" s="3436"/>
      <c r="Q1069" s="3436"/>
      <c r="R1069" s="3436"/>
      <c r="S1069" s="3436"/>
      <c r="T1069" s="3436"/>
      <c r="U1069" s="3436"/>
      <c r="V1069" s="3436"/>
      <c r="W1069" s="3436"/>
      <c r="X1069" s="3436"/>
      <c r="Y1069" s="3436"/>
      <c r="Z1069" s="3436"/>
      <c r="AA1069" s="3436"/>
      <c r="AB1069" s="3436"/>
      <c r="AC1069" s="3436"/>
      <c r="AD1069" s="3436"/>
      <c r="AE1069" s="3649"/>
    </row>
    <row r="1070" spans="16:31" customFormat="1">
      <c r="P1070" s="3436"/>
      <c r="Q1070" s="3436"/>
      <c r="R1070" s="3436"/>
      <c r="S1070" s="3436"/>
      <c r="T1070" s="3436"/>
      <c r="U1070" s="3436"/>
      <c r="V1070" s="3436"/>
      <c r="W1070" s="3436"/>
      <c r="X1070" s="3436"/>
      <c r="Y1070" s="3436"/>
      <c r="Z1070" s="3436"/>
      <c r="AA1070" s="3436"/>
      <c r="AB1070" s="3436"/>
      <c r="AC1070" s="3436"/>
      <c r="AD1070" s="3436"/>
      <c r="AE1070" s="3649"/>
    </row>
    <row r="1071" spans="16:31" customFormat="1">
      <c r="P1071" s="3436"/>
      <c r="Q1071" s="3436"/>
      <c r="R1071" s="3436"/>
      <c r="S1071" s="3436"/>
      <c r="T1071" s="3436"/>
      <c r="U1071" s="3436"/>
      <c r="V1071" s="3436"/>
      <c r="W1071" s="3436"/>
      <c r="X1071" s="3436"/>
      <c r="Y1071" s="3436"/>
      <c r="Z1071" s="3436"/>
      <c r="AA1071" s="3436"/>
      <c r="AB1071" s="3436"/>
      <c r="AC1071" s="3436"/>
      <c r="AD1071" s="3436"/>
      <c r="AE1071" s="3649"/>
    </row>
    <row r="1072" spans="16:31" customFormat="1">
      <c r="P1072" s="3436"/>
      <c r="Q1072" s="3436"/>
      <c r="R1072" s="3436"/>
      <c r="S1072" s="3436"/>
      <c r="T1072" s="3436"/>
      <c r="U1072" s="3436"/>
      <c r="V1072" s="3436"/>
      <c r="W1072" s="3436"/>
      <c r="X1072" s="3436"/>
      <c r="Y1072" s="3436"/>
      <c r="Z1072" s="3436"/>
      <c r="AA1072" s="3436"/>
      <c r="AB1072" s="3436"/>
      <c r="AC1072" s="3436"/>
      <c r="AD1072" s="3436"/>
      <c r="AE1072" s="3649"/>
    </row>
    <row r="1073" spans="16:31" customFormat="1">
      <c r="P1073" s="3436"/>
      <c r="Q1073" s="3436"/>
      <c r="R1073" s="3436"/>
      <c r="S1073" s="3436"/>
      <c r="T1073" s="3436"/>
      <c r="U1073" s="3436"/>
      <c r="V1073" s="3436"/>
      <c r="W1073" s="3436"/>
      <c r="X1073" s="3436"/>
      <c r="Y1073" s="3436"/>
      <c r="Z1073" s="3436"/>
      <c r="AA1073" s="3436"/>
      <c r="AB1073" s="3436"/>
      <c r="AC1073" s="3436"/>
      <c r="AD1073" s="3436"/>
      <c r="AE1073" s="3649"/>
    </row>
    <row r="1074" spans="16:31" customFormat="1">
      <c r="P1074" s="3436"/>
      <c r="Q1074" s="3436"/>
      <c r="R1074" s="3436"/>
      <c r="S1074" s="3436"/>
      <c r="T1074" s="3436"/>
      <c r="U1074" s="3436"/>
      <c r="V1074" s="3436"/>
      <c r="W1074" s="3436"/>
      <c r="X1074" s="3436"/>
      <c r="Y1074" s="3436"/>
      <c r="Z1074" s="3436"/>
      <c r="AA1074" s="3436"/>
      <c r="AB1074" s="3436"/>
      <c r="AC1074" s="3436"/>
      <c r="AD1074" s="3436"/>
      <c r="AE1074" s="3649"/>
    </row>
    <row r="1075" spans="16:31" customFormat="1">
      <c r="P1075" s="3436"/>
      <c r="Q1075" s="3436"/>
      <c r="R1075" s="3436"/>
      <c r="S1075" s="3436"/>
      <c r="T1075" s="3436"/>
      <c r="U1075" s="3436"/>
      <c r="V1075" s="3436"/>
      <c r="W1075" s="3436"/>
      <c r="X1075" s="3436"/>
      <c r="Y1075" s="3436"/>
      <c r="Z1075" s="3436"/>
      <c r="AA1075" s="3436"/>
      <c r="AB1075" s="3436"/>
      <c r="AC1075" s="3436"/>
      <c r="AD1075" s="3436"/>
      <c r="AE1075" s="3649"/>
    </row>
    <row r="1076" spans="16:31" customFormat="1">
      <c r="P1076" s="3436"/>
      <c r="Q1076" s="3436"/>
      <c r="R1076" s="3436"/>
      <c r="S1076" s="3436"/>
      <c r="T1076" s="3436"/>
      <c r="U1076" s="3436"/>
      <c r="V1076" s="3436"/>
      <c r="W1076" s="3436"/>
      <c r="X1076" s="3436"/>
      <c r="Y1076" s="3436"/>
      <c r="Z1076" s="3436"/>
      <c r="AA1076" s="3436"/>
      <c r="AB1076" s="3436"/>
      <c r="AC1076" s="3436"/>
      <c r="AD1076" s="3436"/>
      <c r="AE1076" s="3649"/>
    </row>
    <row r="1077" spans="16:31" customFormat="1">
      <c r="P1077" s="3436"/>
      <c r="Q1077" s="3436"/>
      <c r="R1077" s="3436"/>
      <c r="S1077" s="3436"/>
      <c r="T1077" s="3436"/>
      <c r="U1077" s="3436"/>
      <c r="V1077" s="3436"/>
      <c r="W1077" s="3436"/>
      <c r="X1077" s="3436"/>
      <c r="Y1077" s="3436"/>
      <c r="Z1077" s="3436"/>
      <c r="AA1077" s="3436"/>
      <c r="AB1077" s="3436"/>
      <c r="AC1077" s="3436"/>
      <c r="AD1077" s="3436"/>
      <c r="AE1077" s="3649"/>
    </row>
    <row r="1078" spans="16:31" customFormat="1">
      <c r="P1078" s="3436"/>
      <c r="Q1078" s="3436"/>
      <c r="R1078" s="3436"/>
      <c r="S1078" s="3436"/>
      <c r="T1078" s="3436"/>
      <c r="U1078" s="3436"/>
      <c r="V1078" s="3436"/>
      <c r="W1078" s="3436"/>
      <c r="X1078" s="3436"/>
      <c r="Y1078" s="3436"/>
      <c r="Z1078" s="3436"/>
      <c r="AA1078" s="3436"/>
      <c r="AB1078" s="3436"/>
      <c r="AC1078" s="3436"/>
      <c r="AD1078" s="3436"/>
      <c r="AE1078" s="3649"/>
    </row>
    <row r="1079" spans="16:31" customFormat="1">
      <c r="P1079" s="3436"/>
      <c r="Q1079" s="3436"/>
      <c r="R1079" s="3436"/>
      <c r="S1079" s="3436"/>
      <c r="T1079" s="3436"/>
      <c r="U1079" s="3436"/>
      <c r="V1079" s="3436"/>
      <c r="W1079" s="3436"/>
      <c r="X1079" s="3436"/>
      <c r="Y1079" s="3436"/>
      <c r="Z1079" s="3436"/>
      <c r="AA1079" s="3436"/>
      <c r="AB1079" s="3436"/>
      <c r="AC1079" s="3436"/>
      <c r="AD1079" s="3436"/>
      <c r="AE1079" s="3649"/>
    </row>
    <row r="1080" spans="16:31" customFormat="1">
      <c r="P1080" s="3436"/>
      <c r="Q1080" s="3436"/>
      <c r="R1080" s="3436"/>
      <c r="S1080" s="3436"/>
      <c r="T1080" s="3436"/>
      <c r="U1080" s="3436"/>
      <c r="V1080" s="3436"/>
      <c r="W1080" s="3436"/>
      <c r="X1080" s="3436"/>
      <c r="Y1080" s="3436"/>
      <c r="Z1080" s="3436"/>
      <c r="AA1080" s="3436"/>
      <c r="AB1080" s="3436"/>
      <c r="AC1080" s="3436"/>
      <c r="AD1080" s="3436"/>
      <c r="AE1080" s="3649"/>
    </row>
    <row r="1081" spans="16:31" customFormat="1">
      <c r="P1081" s="3436"/>
      <c r="Q1081" s="3436"/>
      <c r="R1081" s="3436"/>
      <c r="S1081" s="3436"/>
      <c r="T1081" s="3436"/>
      <c r="U1081" s="3436"/>
      <c r="V1081" s="3436"/>
      <c r="W1081" s="3436"/>
      <c r="X1081" s="3436"/>
      <c r="Y1081" s="3436"/>
      <c r="Z1081" s="3436"/>
      <c r="AA1081" s="3436"/>
      <c r="AB1081" s="3436"/>
      <c r="AC1081" s="3436"/>
      <c r="AD1081" s="3436"/>
      <c r="AE1081" s="3649"/>
    </row>
    <row r="1082" spans="16:31" customFormat="1">
      <c r="P1082" s="3436"/>
      <c r="Q1082" s="3436"/>
      <c r="R1082" s="3436"/>
      <c r="S1082" s="3436"/>
      <c r="T1082" s="3436"/>
      <c r="U1082" s="3436"/>
      <c r="V1082" s="3436"/>
      <c r="W1082" s="3436"/>
      <c r="X1082" s="3436"/>
      <c r="Y1082" s="3436"/>
      <c r="Z1082" s="3436"/>
      <c r="AA1082" s="3436"/>
      <c r="AB1082" s="3436"/>
      <c r="AC1082" s="3436"/>
      <c r="AD1082" s="3436"/>
      <c r="AE1082" s="3649"/>
    </row>
    <row r="1083" spans="16:31" customFormat="1">
      <c r="P1083" s="3436"/>
      <c r="Q1083" s="3436"/>
      <c r="R1083" s="3436"/>
      <c r="S1083" s="3436"/>
      <c r="T1083" s="3436"/>
      <c r="U1083" s="3436"/>
      <c r="V1083" s="3436"/>
      <c r="W1083" s="3436"/>
      <c r="X1083" s="3436"/>
      <c r="Y1083" s="3436"/>
      <c r="Z1083" s="3436"/>
      <c r="AA1083" s="3436"/>
      <c r="AB1083" s="3436"/>
      <c r="AC1083" s="3436"/>
      <c r="AD1083" s="3436"/>
      <c r="AE1083" s="3649"/>
    </row>
    <row r="1084" spans="16:31" customFormat="1">
      <c r="P1084" s="3436"/>
      <c r="Q1084" s="3436"/>
      <c r="R1084" s="3436"/>
      <c r="S1084" s="3436"/>
      <c r="T1084" s="3436"/>
      <c r="U1084" s="3436"/>
      <c r="V1084" s="3436"/>
      <c r="W1084" s="3436"/>
      <c r="X1084" s="3436"/>
      <c r="Y1084" s="3436"/>
      <c r="Z1084" s="3436"/>
      <c r="AA1084" s="3436"/>
      <c r="AB1084" s="3436"/>
      <c r="AC1084" s="3436"/>
      <c r="AD1084" s="3436"/>
      <c r="AE1084" s="3649"/>
    </row>
    <row r="1085" spans="16:31" customFormat="1">
      <c r="P1085" s="3436"/>
      <c r="Q1085" s="3436"/>
      <c r="R1085" s="3436"/>
      <c r="S1085" s="3436"/>
      <c r="T1085" s="3436"/>
      <c r="U1085" s="3436"/>
      <c r="V1085" s="3436"/>
      <c r="W1085" s="3436"/>
      <c r="X1085" s="3436"/>
      <c r="Y1085" s="3436"/>
      <c r="Z1085" s="3436"/>
      <c r="AA1085" s="3436"/>
      <c r="AB1085" s="3436"/>
      <c r="AC1085" s="3436"/>
      <c r="AD1085" s="3436"/>
      <c r="AE1085" s="3649"/>
    </row>
    <row r="1086" spans="16:31" customFormat="1">
      <c r="P1086" s="3436"/>
      <c r="Q1086" s="3436"/>
      <c r="R1086" s="3436"/>
      <c r="S1086" s="3436"/>
      <c r="T1086" s="3436"/>
      <c r="U1086" s="3436"/>
      <c r="V1086" s="3436"/>
      <c r="W1086" s="3436"/>
      <c r="X1086" s="3436"/>
      <c r="Y1086" s="3436"/>
      <c r="Z1086" s="3436"/>
      <c r="AA1086" s="3436"/>
      <c r="AB1086" s="3436"/>
      <c r="AC1086" s="3436"/>
      <c r="AD1086" s="3436"/>
      <c r="AE1086" s="3649"/>
    </row>
    <row r="1087" spans="16:31" customFormat="1">
      <c r="P1087" s="3436"/>
      <c r="Q1087" s="3436"/>
      <c r="R1087" s="3436"/>
      <c r="S1087" s="3436"/>
      <c r="T1087" s="3436"/>
      <c r="U1087" s="3436"/>
      <c r="V1087" s="3436"/>
      <c r="W1087" s="3436"/>
      <c r="X1087" s="3436"/>
      <c r="Y1087" s="3436"/>
      <c r="Z1087" s="3436"/>
      <c r="AA1087" s="3436"/>
      <c r="AB1087" s="3436"/>
      <c r="AC1087" s="3436"/>
      <c r="AD1087" s="3436"/>
      <c r="AE1087" s="3649"/>
    </row>
    <row r="1088" spans="16:31" customFormat="1">
      <c r="P1088" s="3436"/>
      <c r="Q1088" s="3436"/>
      <c r="R1088" s="3436"/>
      <c r="S1088" s="3436"/>
      <c r="T1088" s="3436"/>
      <c r="U1088" s="3436"/>
      <c r="V1088" s="3436"/>
      <c r="W1088" s="3436"/>
      <c r="X1088" s="3436"/>
      <c r="Y1088" s="3436"/>
      <c r="Z1088" s="3436"/>
      <c r="AA1088" s="3436"/>
      <c r="AB1088" s="3436"/>
      <c r="AC1088" s="3436"/>
      <c r="AD1088" s="3436"/>
      <c r="AE1088" s="3649"/>
    </row>
    <row r="1089" spans="16:31" customFormat="1">
      <c r="P1089" s="3436"/>
      <c r="Q1089" s="3436"/>
      <c r="R1089" s="3436"/>
      <c r="S1089" s="3436"/>
      <c r="T1089" s="3436"/>
      <c r="U1089" s="3436"/>
      <c r="V1089" s="3436"/>
      <c r="W1089" s="3436"/>
      <c r="X1089" s="3436"/>
      <c r="Y1089" s="3436"/>
      <c r="Z1089" s="3436"/>
      <c r="AA1089" s="3436"/>
      <c r="AB1089" s="3436"/>
      <c r="AC1089" s="3436"/>
      <c r="AD1089" s="3436"/>
      <c r="AE1089" s="3649"/>
    </row>
    <row r="1090" spans="16:31" customFormat="1">
      <c r="P1090" s="3436"/>
      <c r="Q1090" s="3436"/>
      <c r="R1090" s="3436"/>
      <c r="S1090" s="3436"/>
      <c r="T1090" s="3436"/>
      <c r="U1090" s="3436"/>
      <c r="V1090" s="3436"/>
      <c r="W1090" s="3436"/>
      <c r="X1090" s="3436"/>
      <c r="Y1090" s="3436"/>
      <c r="Z1090" s="3436"/>
      <c r="AA1090" s="3436"/>
      <c r="AB1090" s="3436"/>
      <c r="AC1090" s="3436"/>
      <c r="AD1090" s="3436"/>
      <c r="AE1090" s="3649"/>
    </row>
    <row r="1091" spans="16:31" customFormat="1">
      <c r="P1091" s="3436"/>
      <c r="Q1091" s="3436"/>
      <c r="R1091" s="3436"/>
      <c r="S1091" s="3436"/>
      <c r="T1091" s="3436"/>
      <c r="U1091" s="3436"/>
      <c r="V1091" s="3436"/>
      <c r="W1091" s="3436"/>
      <c r="X1091" s="3436"/>
      <c r="Y1091" s="3436"/>
      <c r="Z1091" s="3436"/>
      <c r="AA1091" s="3436"/>
      <c r="AB1091" s="3436"/>
      <c r="AC1091" s="3436"/>
      <c r="AD1091" s="3436"/>
      <c r="AE1091" s="3649"/>
    </row>
    <row r="1092" spans="16:31" customFormat="1">
      <c r="P1092" s="3436"/>
      <c r="Q1092" s="3436"/>
      <c r="R1092" s="3436"/>
      <c r="S1092" s="3436"/>
      <c r="T1092" s="3436"/>
      <c r="U1092" s="3436"/>
      <c r="V1092" s="3436"/>
      <c r="W1092" s="3436"/>
      <c r="X1092" s="3436"/>
      <c r="Y1092" s="3436"/>
      <c r="Z1092" s="3436"/>
      <c r="AA1092" s="3436"/>
      <c r="AB1092" s="3436"/>
      <c r="AC1092" s="3436"/>
      <c r="AD1092" s="3436"/>
      <c r="AE1092" s="3649"/>
    </row>
    <row r="1093" spans="16:31" customFormat="1">
      <c r="P1093" s="3436"/>
      <c r="Q1093" s="3436"/>
      <c r="R1093" s="3436"/>
      <c r="S1093" s="3436"/>
      <c r="T1093" s="3436"/>
      <c r="U1093" s="3436"/>
      <c r="V1093" s="3436"/>
      <c r="W1093" s="3436"/>
      <c r="X1093" s="3436"/>
      <c r="Y1093" s="3436"/>
      <c r="Z1093" s="3436"/>
      <c r="AA1093" s="3436"/>
      <c r="AB1093" s="3436"/>
      <c r="AC1093" s="3436"/>
      <c r="AD1093" s="3436"/>
      <c r="AE1093" s="3649"/>
    </row>
    <row r="1094" spans="16:31" customFormat="1">
      <c r="P1094" s="3436"/>
      <c r="Q1094" s="3436"/>
      <c r="R1094" s="3436"/>
      <c r="S1094" s="3436"/>
      <c r="T1094" s="3436"/>
      <c r="U1094" s="3436"/>
      <c r="V1094" s="3436"/>
      <c r="W1094" s="3436"/>
      <c r="X1094" s="3436"/>
      <c r="Y1094" s="3436"/>
      <c r="Z1094" s="3436"/>
      <c r="AA1094" s="3436"/>
      <c r="AB1094" s="3436"/>
      <c r="AC1094" s="3436"/>
      <c r="AD1094" s="3436"/>
      <c r="AE1094" s="3649"/>
    </row>
    <row r="1095" spans="16:31" customFormat="1">
      <c r="P1095" s="3436"/>
      <c r="Q1095" s="3436"/>
      <c r="R1095" s="3436"/>
      <c r="S1095" s="3436"/>
      <c r="T1095" s="3436"/>
      <c r="U1095" s="3436"/>
      <c r="V1095" s="3436"/>
      <c r="W1095" s="3436"/>
      <c r="X1095" s="3436"/>
      <c r="Y1095" s="3436"/>
      <c r="Z1095" s="3436"/>
      <c r="AA1095" s="3436"/>
      <c r="AB1095" s="3436"/>
      <c r="AC1095" s="3436"/>
      <c r="AD1095" s="3436"/>
      <c r="AE1095" s="3649"/>
    </row>
    <row r="1096" spans="16:31" customFormat="1">
      <c r="P1096" s="3436"/>
      <c r="Q1096" s="3436"/>
      <c r="R1096" s="3436"/>
      <c r="S1096" s="3436"/>
      <c r="T1096" s="3436"/>
      <c r="U1096" s="3436"/>
      <c r="V1096" s="3436"/>
      <c r="W1096" s="3436"/>
      <c r="X1096" s="3436"/>
      <c r="Y1096" s="3436"/>
      <c r="Z1096" s="3436"/>
      <c r="AA1096" s="3436"/>
      <c r="AB1096" s="3436"/>
      <c r="AC1096" s="3436"/>
      <c r="AD1096" s="3436"/>
      <c r="AE1096" s="3649"/>
    </row>
    <row r="1097" spans="16:31" customFormat="1">
      <c r="P1097" s="3436"/>
      <c r="Q1097" s="3436"/>
      <c r="R1097" s="3436"/>
      <c r="S1097" s="3436"/>
      <c r="T1097" s="3436"/>
      <c r="U1097" s="3436"/>
      <c r="V1097" s="3436"/>
      <c r="W1097" s="3436"/>
      <c r="X1097" s="3436"/>
      <c r="Y1097" s="3436"/>
      <c r="Z1097" s="3436"/>
      <c r="AA1097" s="3436"/>
      <c r="AB1097" s="3436"/>
      <c r="AC1097" s="3436"/>
      <c r="AD1097" s="3436"/>
      <c r="AE1097" s="3649"/>
    </row>
    <row r="1098" spans="16:31" customFormat="1">
      <c r="P1098" s="3436"/>
      <c r="Q1098" s="3436"/>
      <c r="R1098" s="3436"/>
      <c r="S1098" s="3436"/>
      <c r="T1098" s="3436"/>
      <c r="U1098" s="3436"/>
      <c r="V1098" s="3436"/>
      <c r="W1098" s="3436"/>
      <c r="X1098" s="3436"/>
      <c r="Y1098" s="3436"/>
      <c r="Z1098" s="3436"/>
      <c r="AA1098" s="3436"/>
      <c r="AB1098" s="3436"/>
      <c r="AC1098" s="3436"/>
      <c r="AD1098" s="3436"/>
      <c r="AE1098" s="3649"/>
    </row>
    <row r="1099" spans="16:31" customFormat="1">
      <c r="P1099" s="3436"/>
      <c r="Q1099" s="3436"/>
      <c r="R1099" s="3436"/>
      <c r="S1099" s="3436"/>
      <c r="T1099" s="3436"/>
      <c r="U1099" s="3436"/>
      <c r="V1099" s="3436"/>
      <c r="W1099" s="3436"/>
      <c r="X1099" s="3436"/>
      <c r="Y1099" s="3436"/>
      <c r="Z1099" s="3436"/>
      <c r="AA1099" s="3436"/>
      <c r="AB1099" s="3436"/>
      <c r="AC1099" s="3436"/>
      <c r="AD1099" s="3436"/>
      <c r="AE1099" s="3649"/>
    </row>
    <row r="1100" spans="16:31" customFormat="1">
      <c r="P1100" s="3436"/>
      <c r="Q1100" s="3436"/>
      <c r="R1100" s="3436"/>
      <c r="S1100" s="3436"/>
      <c r="T1100" s="3436"/>
      <c r="U1100" s="3436"/>
      <c r="V1100" s="3436"/>
      <c r="W1100" s="3436"/>
      <c r="X1100" s="3436"/>
      <c r="Y1100" s="3436"/>
      <c r="Z1100" s="3436"/>
      <c r="AA1100" s="3436"/>
      <c r="AB1100" s="3436"/>
      <c r="AC1100" s="3436"/>
      <c r="AD1100" s="3436"/>
      <c r="AE1100" s="3649"/>
    </row>
    <row r="1101" spans="16:31" customFormat="1">
      <c r="P1101" s="3436"/>
      <c r="Q1101" s="3436"/>
      <c r="R1101" s="3436"/>
      <c r="S1101" s="3436"/>
      <c r="T1101" s="3436"/>
      <c r="U1101" s="3436"/>
      <c r="V1101" s="3436"/>
      <c r="W1101" s="3436"/>
      <c r="X1101" s="3436"/>
      <c r="Y1101" s="3436"/>
      <c r="Z1101" s="3436"/>
      <c r="AA1101" s="3436"/>
      <c r="AB1101" s="3436"/>
      <c r="AC1101" s="3436"/>
      <c r="AD1101" s="3436"/>
      <c r="AE1101" s="3649"/>
    </row>
    <row r="1102" spans="16:31" customFormat="1">
      <c r="P1102" s="3436"/>
      <c r="Q1102" s="3436"/>
      <c r="R1102" s="3436"/>
      <c r="S1102" s="3436"/>
      <c r="T1102" s="3436"/>
      <c r="U1102" s="3436"/>
      <c r="V1102" s="3436"/>
      <c r="W1102" s="3436"/>
      <c r="X1102" s="3436"/>
      <c r="Y1102" s="3436"/>
      <c r="Z1102" s="3436"/>
      <c r="AA1102" s="3436"/>
      <c r="AB1102" s="3436"/>
      <c r="AC1102" s="3436"/>
      <c r="AD1102" s="3436"/>
      <c r="AE1102" s="3649"/>
    </row>
    <row r="1103" spans="16:31" customFormat="1">
      <c r="P1103" s="3436"/>
      <c r="Q1103" s="3436"/>
      <c r="R1103" s="3436"/>
      <c r="S1103" s="3436"/>
      <c r="T1103" s="3436"/>
      <c r="U1103" s="3436"/>
      <c r="V1103" s="3436"/>
      <c r="W1103" s="3436"/>
      <c r="X1103" s="3436"/>
      <c r="Y1103" s="3436"/>
      <c r="Z1103" s="3436"/>
      <c r="AA1103" s="3436"/>
      <c r="AB1103" s="3436"/>
      <c r="AC1103" s="3436"/>
      <c r="AD1103" s="3436"/>
      <c r="AE1103" s="3649"/>
    </row>
    <row r="1104" spans="16:31" customFormat="1">
      <c r="P1104" s="3436"/>
      <c r="Q1104" s="3436"/>
      <c r="R1104" s="3436"/>
      <c r="S1104" s="3436"/>
      <c r="T1104" s="3436"/>
      <c r="U1104" s="3436"/>
      <c r="V1104" s="3436"/>
      <c r="W1104" s="3436"/>
      <c r="X1104" s="3436"/>
      <c r="Y1104" s="3436"/>
      <c r="Z1104" s="3436"/>
      <c r="AA1104" s="3436"/>
      <c r="AB1104" s="3436"/>
      <c r="AC1104" s="3436"/>
      <c r="AD1104" s="3436"/>
      <c r="AE1104" s="3649"/>
    </row>
    <row r="1105" spans="16:31" customFormat="1">
      <c r="P1105" s="3436"/>
      <c r="Q1105" s="3436"/>
      <c r="R1105" s="3436"/>
      <c r="S1105" s="3436"/>
      <c r="T1105" s="3436"/>
      <c r="U1105" s="3436"/>
      <c r="V1105" s="3436"/>
      <c r="W1105" s="3436"/>
      <c r="X1105" s="3436"/>
      <c r="Y1105" s="3436"/>
      <c r="Z1105" s="3436"/>
      <c r="AA1105" s="3436"/>
      <c r="AB1105" s="3436"/>
      <c r="AC1105" s="3436"/>
      <c r="AD1105" s="3436"/>
      <c r="AE1105" s="3649"/>
    </row>
    <row r="1106" spans="16:31" customFormat="1">
      <c r="P1106" s="3436"/>
      <c r="Q1106" s="3436"/>
      <c r="R1106" s="3436"/>
      <c r="S1106" s="3436"/>
      <c r="T1106" s="3436"/>
      <c r="U1106" s="3436"/>
      <c r="V1106" s="3436"/>
      <c r="W1106" s="3436"/>
      <c r="X1106" s="3436"/>
      <c r="Y1106" s="3436"/>
      <c r="Z1106" s="3436"/>
      <c r="AA1106" s="3436"/>
      <c r="AB1106" s="3436"/>
      <c r="AC1106" s="3436"/>
      <c r="AD1106" s="3436"/>
      <c r="AE1106" s="3649"/>
    </row>
    <row r="1107" spans="16:31" customFormat="1">
      <c r="P1107" s="3436"/>
      <c r="Q1107" s="3436"/>
      <c r="R1107" s="3436"/>
      <c r="S1107" s="3436"/>
      <c r="T1107" s="3436"/>
      <c r="U1107" s="3436"/>
      <c r="V1107" s="3436"/>
      <c r="W1107" s="3436"/>
      <c r="X1107" s="3436"/>
      <c r="Y1107" s="3436"/>
      <c r="Z1107" s="3436"/>
      <c r="AA1107" s="3436"/>
      <c r="AB1107" s="3436"/>
      <c r="AC1107" s="3436"/>
      <c r="AD1107" s="3436"/>
      <c r="AE1107" s="3649"/>
    </row>
    <row r="1108" spans="16:31" customFormat="1">
      <c r="P1108" s="3436"/>
      <c r="Q1108" s="3436"/>
      <c r="R1108" s="3436"/>
      <c r="S1108" s="3436"/>
      <c r="T1108" s="3436"/>
      <c r="U1108" s="3436"/>
      <c r="V1108" s="3436"/>
      <c r="W1108" s="3436"/>
      <c r="X1108" s="3436"/>
      <c r="Y1108" s="3436"/>
      <c r="Z1108" s="3436"/>
      <c r="AA1108" s="3436"/>
      <c r="AB1108" s="3436"/>
      <c r="AC1108" s="3436"/>
      <c r="AD1108" s="3436"/>
      <c r="AE1108" s="3649"/>
    </row>
    <row r="1109" spans="16:31" customFormat="1">
      <c r="P1109" s="3436"/>
      <c r="Q1109" s="3436"/>
      <c r="R1109" s="3436"/>
      <c r="S1109" s="3436"/>
      <c r="T1109" s="3436"/>
      <c r="U1109" s="3436"/>
      <c r="V1109" s="3436"/>
      <c r="W1109" s="3436"/>
      <c r="X1109" s="3436"/>
      <c r="Y1109" s="3436"/>
      <c r="Z1109" s="3436"/>
      <c r="AA1109" s="3436"/>
      <c r="AB1109" s="3436"/>
      <c r="AC1109" s="3436"/>
      <c r="AD1109" s="3436"/>
      <c r="AE1109" s="3649"/>
    </row>
    <row r="1110" spans="16:31" customFormat="1">
      <c r="P1110" s="3436"/>
      <c r="Q1110" s="3436"/>
      <c r="R1110" s="3436"/>
      <c r="S1110" s="3436"/>
      <c r="T1110" s="3436"/>
      <c r="U1110" s="3436"/>
      <c r="V1110" s="3436"/>
      <c r="W1110" s="3436"/>
      <c r="X1110" s="3436"/>
      <c r="Y1110" s="3436"/>
      <c r="Z1110" s="3436"/>
      <c r="AA1110" s="3436"/>
      <c r="AB1110" s="3436"/>
      <c r="AC1110" s="3436"/>
      <c r="AD1110" s="3436"/>
      <c r="AE1110" s="3649"/>
    </row>
    <row r="1111" spans="16:31" customFormat="1">
      <c r="P1111" s="3436"/>
      <c r="Q1111" s="3436"/>
      <c r="R1111" s="3436"/>
      <c r="S1111" s="3436"/>
      <c r="T1111" s="3436"/>
      <c r="U1111" s="3436"/>
      <c r="V1111" s="3436"/>
      <c r="W1111" s="3436"/>
      <c r="X1111" s="3436"/>
      <c r="Y1111" s="3436"/>
      <c r="Z1111" s="3436"/>
      <c r="AA1111" s="3436"/>
      <c r="AB1111" s="3436"/>
      <c r="AC1111" s="3436"/>
      <c r="AD1111" s="3436"/>
      <c r="AE1111" s="3649"/>
    </row>
    <row r="1112" spans="16:31" customFormat="1">
      <c r="P1112" s="3436"/>
      <c r="Q1112" s="3436"/>
      <c r="R1112" s="3436"/>
      <c r="S1112" s="3436"/>
      <c r="T1112" s="3436"/>
      <c r="U1112" s="3436"/>
      <c r="V1112" s="3436"/>
      <c r="W1112" s="3436"/>
      <c r="X1112" s="3436"/>
      <c r="Y1112" s="3436"/>
      <c r="Z1112" s="3436"/>
      <c r="AA1112" s="3436"/>
      <c r="AB1112" s="3436"/>
      <c r="AC1112" s="3436"/>
      <c r="AD1112" s="3436"/>
      <c r="AE1112" s="3649"/>
    </row>
    <row r="1113" spans="16:31" customFormat="1">
      <c r="P1113" s="3436"/>
      <c r="Q1113" s="3436"/>
      <c r="R1113" s="3436"/>
      <c r="S1113" s="3436"/>
      <c r="T1113" s="3436"/>
      <c r="U1113" s="3436"/>
      <c r="V1113" s="3436"/>
      <c r="W1113" s="3436"/>
      <c r="X1113" s="3436"/>
      <c r="Y1113" s="3436"/>
      <c r="Z1113" s="3436"/>
      <c r="AA1113" s="3436"/>
      <c r="AB1113" s="3436"/>
      <c r="AC1113" s="3436"/>
      <c r="AD1113" s="3436"/>
      <c r="AE1113" s="3649"/>
    </row>
    <row r="1114" spans="16:31" customFormat="1">
      <c r="P1114" s="3436"/>
      <c r="Q1114" s="3436"/>
      <c r="R1114" s="3436"/>
      <c r="S1114" s="3436"/>
      <c r="T1114" s="3436"/>
      <c r="U1114" s="3436"/>
      <c r="V1114" s="3436"/>
      <c r="W1114" s="3436"/>
      <c r="X1114" s="3436"/>
      <c r="Y1114" s="3436"/>
      <c r="Z1114" s="3436"/>
      <c r="AA1114" s="3436"/>
      <c r="AB1114" s="3436"/>
      <c r="AC1114" s="3436"/>
      <c r="AD1114" s="3436"/>
      <c r="AE1114" s="3649"/>
    </row>
    <row r="1115" spans="16:31" customFormat="1">
      <c r="P1115" s="3436"/>
      <c r="Q1115" s="3436"/>
      <c r="R1115" s="3436"/>
      <c r="S1115" s="3436"/>
      <c r="T1115" s="3436"/>
      <c r="U1115" s="3436"/>
      <c r="V1115" s="3436"/>
      <c r="W1115" s="3436"/>
      <c r="X1115" s="3436"/>
      <c r="Y1115" s="3436"/>
      <c r="Z1115" s="3436"/>
      <c r="AA1115" s="3436"/>
      <c r="AB1115" s="3436"/>
      <c r="AC1115" s="3436"/>
      <c r="AD1115" s="3436"/>
      <c r="AE1115" s="3649"/>
    </row>
    <row r="1116" spans="16:31" customFormat="1">
      <c r="P1116" s="3436"/>
      <c r="Q1116" s="3436"/>
      <c r="R1116" s="3436"/>
      <c r="S1116" s="3436"/>
      <c r="T1116" s="3436"/>
      <c r="U1116" s="3436"/>
      <c r="V1116" s="3436"/>
      <c r="W1116" s="3436"/>
      <c r="X1116" s="3436"/>
      <c r="Y1116" s="3436"/>
      <c r="Z1116" s="3436"/>
      <c r="AA1116" s="3436"/>
      <c r="AB1116" s="3436"/>
      <c r="AC1116" s="3436"/>
      <c r="AD1116" s="3436"/>
      <c r="AE1116" s="3649"/>
    </row>
    <row r="1117" spans="16:31" customFormat="1">
      <c r="P1117" s="3436"/>
      <c r="Q1117" s="3436"/>
      <c r="R1117" s="3436"/>
      <c r="S1117" s="3436"/>
      <c r="T1117" s="3436"/>
      <c r="U1117" s="3436"/>
      <c r="V1117" s="3436"/>
      <c r="W1117" s="3436"/>
      <c r="X1117" s="3436"/>
      <c r="Y1117" s="3436"/>
      <c r="Z1117" s="3436"/>
      <c r="AA1117" s="3436"/>
      <c r="AB1117" s="3436"/>
      <c r="AC1117" s="3436"/>
      <c r="AD1117" s="3436"/>
      <c r="AE1117" s="3649"/>
    </row>
    <row r="1118" spans="16:31" customFormat="1">
      <c r="P1118" s="3436"/>
      <c r="Q1118" s="3436"/>
      <c r="R1118" s="3436"/>
      <c r="S1118" s="3436"/>
      <c r="T1118" s="3436"/>
      <c r="U1118" s="3436"/>
      <c r="V1118" s="3436"/>
      <c r="W1118" s="3436"/>
      <c r="X1118" s="3436"/>
      <c r="Y1118" s="3436"/>
      <c r="Z1118" s="3436"/>
      <c r="AA1118" s="3436"/>
      <c r="AB1118" s="3436"/>
      <c r="AC1118" s="3436"/>
      <c r="AD1118" s="3436"/>
      <c r="AE1118" s="3649"/>
    </row>
    <row r="1119" spans="16:31" customFormat="1">
      <c r="P1119" s="3436"/>
      <c r="Q1119" s="3436"/>
      <c r="R1119" s="3436"/>
      <c r="S1119" s="3436"/>
      <c r="T1119" s="3436"/>
      <c r="U1119" s="3436"/>
      <c r="V1119" s="3436"/>
      <c r="W1119" s="3436"/>
      <c r="X1119" s="3436"/>
      <c r="Y1119" s="3436"/>
      <c r="Z1119" s="3436"/>
      <c r="AA1119" s="3436"/>
      <c r="AB1119" s="3436"/>
      <c r="AC1119" s="3436"/>
      <c r="AD1119" s="3436"/>
      <c r="AE1119" s="3649"/>
    </row>
    <row r="1120" spans="16:31" customFormat="1">
      <c r="P1120" s="3436"/>
      <c r="Q1120" s="3436"/>
      <c r="R1120" s="3436"/>
      <c r="S1120" s="3436"/>
      <c r="T1120" s="3436"/>
      <c r="U1120" s="3436"/>
      <c r="V1120" s="3436"/>
      <c r="W1120" s="3436"/>
      <c r="X1120" s="3436"/>
      <c r="Y1120" s="3436"/>
      <c r="Z1120" s="3436"/>
      <c r="AA1120" s="3436"/>
      <c r="AB1120" s="3436"/>
      <c r="AC1120" s="3436"/>
      <c r="AD1120" s="3436"/>
      <c r="AE1120" s="3649"/>
    </row>
    <row r="1121" spans="16:31" customFormat="1">
      <c r="P1121" s="3436"/>
      <c r="Q1121" s="3436"/>
      <c r="R1121" s="3436"/>
      <c r="S1121" s="3436"/>
      <c r="T1121" s="3436"/>
      <c r="U1121" s="3436"/>
      <c r="V1121" s="3436"/>
      <c r="W1121" s="3436"/>
      <c r="X1121" s="3436"/>
      <c r="Y1121" s="3436"/>
      <c r="Z1121" s="3436"/>
      <c r="AA1121" s="3436"/>
      <c r="AB1121" s="3436"/>
      <c r="AC1121" s="3436"/>
      <c r="AD1121" s="3436"/>
      <c r="AE1121" s="3649"/>
    </row>
    <row r="1122" spans="16:31" customFormat="1">
      <c r="P1122" s="3436"/>
      <c r="Q1122" s="3436"/>
      <c r="R1122" s="3436"/>
      <c r="S1122" s="3436"/>
      <c r="T1122" s="3436"/>
      <c r="U1122" s="3436"/>
      <c r="V1122" s="3436"/>
      <c r="W1122" s="3436"/>
      <c r="X1122" s="3436"/>
      <c r="Y1122" s="3436"/>
      <c r="Z1122" s="3436"/>
      <c r="AA1122" s="3436"/>
      <c r="AB1122" s="3436"/>
      <c r="AC1122" s="3436"/>
      <c r="AD1122" s="3436"/>
      <c r="AE1122" s="3649"/>
    </row>
    <row r="1123" spans="16:31" customFormat="1">
      <c r="P1123" s="3436"/>
      <c r="Q1123" s="3436"/>
      <c r="R1123" s="3436"/>
      <c r="S1123" s="3436"/>
      <c r="T1123" s="3436"/>
      <c r="U1123" s="3436"/>
      <c r="V1123" s="3436"/>
      <c r="W1123" s="3436"/>
      <c r="X1123" s="3436"/>
      <c r="Y1123" s="3436"/>
      <c r="Z1123" s="3436"/>
      <c r="AA1123" s="3436"/>
      <c r="AB1123" s="3436"/>
      <c r="AC1123" s="3436"/>
      <c r="AD1123" s="3436"/>
      <c r="AE1123" s="3649"/>
    </row>
    <row r="1124" spans="16:31" customFormat="1">
      <c r="P1124" s="3436"/>
      <c r="Q1124" s="3436"/>
      <c r="R1124" s="3436"/>
      <c r="S1124" s="3436"/>
      <c r="T1124" s="3436"/>
      <c r="U1124" s="3436"/>
      <c r="V1124" s="3436"/>
      <c r="W1124" s="3436"/>
      <c r="X1124" s="3436"/>
      <c r="Y1124" s="3436"/>
      <c r="Z1124" s="3436"/>
      <c r="AA1124" s="3436"/>
      <c r="AB1124" s="3436"/>
      <c r="AC1124" s="3436"/>
      <c r="AD1124" s="3436"/>
      <c r="AE1124" s="3649"/>
    </row>
    <row r="1125" spans="16:31" customFormat="1">
      <c r="P1125" s="3436"/>
      <c r="Q1125" s="3436"/>
      <c r="R1125" s="3436"/>
      <c r="S1125" s="3436"/>
      <c r="T1125" s="3436"/>
      <c r="U1125" s="3436"/>
      <c r="V1125" s="3436"/>
      <c r="W1125" s="3436"/>
      <c r="X1125" s="3436"/>
      <c r="Y1125" s="3436"/>
      <c r="Z1125" s="3436"/>
      <c r="AA1125" s="3436"/>
      <c r="AB1125" s="3436"/>
      <c r="AC1125" s="3436"/>
      <c r="AD1125" s="3436"/>
      <c r="AE1125" s="3649"/>
    </row>
    <row r="1126" spans="16:31" customFormat="1">
      <c r="P1126" s="3436"/>
      <c r="Q1126" s="3436"/>
      <c r="R1126" s="3436"/>
      <c r="S1126" s="3436"/>
      <c r="T1126" s="3436"/>
      <c r="U1126" s="3436"/>
      <c r="V1126" s="3436"/>
      <c r="W1126" s="3436"/>
      <c r="X1126" s="3436"/>
      <c r="Y1126" s="3436"/>
      <c r="Z1126" s="3436"/>
      <c r="AA1126" s="3436"/>
      <c r="AB1126" s="3436"/>
      <c r="AC1126" s="3436"/>
      <c r="AD1126" s="3436"/>
      <c r="AE1126" s="3649"/>
    </row>
    <row r="1127" spans="16:31" customFormat="1">
      <c r="P1127" s="3436"/>
      <c r="Q1127" s="3436"/>
      <c r="R1127" s="3436"/>
      <c r="S1127" s="3436"/>
      <c r="T1127" s="3436"/>
      <c r="U1127" s="3436"/>
      <c r="V1127" s="3436"/>
      <c r="W1127" s="3436"/>
      <c r="X1127" s="3436"/>
      <c r="Y1127" s="3436"/>
      <c r="Z1127" s="3436"/>
      <c r="AA1127" s="3436"/>
      <c r="AB1127" s="3436"/>
      <c r="AC1127" s="3436"/>
      <c r="AD1127" s="3436"/>
      <c r="AE1127" s="3649"/>
    </row>
    <row r="1128" spans="16:31" customFormat="1">
      <c r="P1128" s="3436"/>
      <c r="Q1128" s="3436"/>
      <c r="R1128" s="3436"/>
      <c r="S1128" s="3436"/>
      <c r="T1128" s="3436"/>
      <c r="U1128" s="3436"/>
      <c r="V1128" s="3436"/>
      <c r="W1128" s="3436"/>
      <c r="X1128" s="3436"/>
      <c r="Y1128" s="3436"/>
      <c r="Z1128" s="3436"/>
      <c r="AA1128" s="3436"/>
      <c r="AB1128" s="3436"/>
      <c r="AC1128" s="3436"/>
      <c r="AD1128" s="3436"/>
      <c r="AE1128" s="3649"/>
    </row>
    <row r="1129" spans="16:31" customFormat="1">
      <c r="P1129" s="3436"/>
      <c r="Q1129" s="3436"/>
      <c r="R1129" s="3436"/>
      <c r="S1129" s="3436"/>
      <c r="T1129" s="3436"/>
      <c r="U1129" s="3436"/>
      <c r="V1129" s="3436"/>
      <c r="W1129" s="3436"/>
      <c r="X1129" s="3436"/>
      <c r="Y1129" s="3436"/>
      <c r="Z1129" s="3436"/>
      <c r="AA1129" s="3436"/>
      <c r="AB1129" s="3436"/>
      <c r="AC1129" s="3436"/>
      <c r="AD1129" s="3436"/>
      <c r="AE1129" s="3649"/>
    </row>
    <row r="1130" spans="16:31" customFormat="1">
      <c r="P1130" s="3436"/>
      <c r="Q1130" s="3436"/>
      <c r="R1130" s="3436"/>
      <c r="S1130" s="3436"/>
      <c r="T1130" s="3436"/>
      <c r="U1130" s="3436"/>
      <c r="V1130" s="3436"/>
      <c r="W1130" s="3436"/>
      <c r="X1130" s="3436"/>
      <c r="Y1130" s="3436"/>
      <c r="Z1130" s="3436"/>
      <c r="AA1130" s="3436"/>
      <c r="AB1130" s="3436"/>
      <c r="AC1130" s="3436"/>
      <c r="AD1130" s="3436"/>
      <c r="AE1130" s="3649"/>
    </row>
    <row r="1131" spans="16:31" customFormat="1">
      <c r="P1131" s="3436"/>
      <c r="Q1131" s="3436"/>
      <c r="R1131" s="3436"/>
      <c r="S1131" s="3436"/>
      <c r="T1131" s="3436"/>
      <c r="U1131" s="3436"/>
      <c r="V1131" s="3436"/>
      <c r="W1131" s="3436"/>
      <c r="X1131" s="3436"/>
      <c r="Y1131" s="3436"/>
      <c r="Z1131" s="3436"/>
      <c r="AA1131" s="3436"/>
      <c r="AB1131" s="3436"/>
      <c r="AC1131" s="3436"/>
      <c r="AD1131" s="3436"/>
      <c r="AE1131" s="3649"/>
    </row>
    <row r="1132" spans="16:31" customFormat="1">
      <c r="P1132" s="3436"/>
      <c r="Q1132" s="3436"/>
      <c r="R1132" s="3436"/>
      <c r="S1132" s="3436"/>
      <c r="T1132" s="3436"/>
      <c r="U1132" s="3436"/>
      <c r="V1132" s="3436"/>
      <c r="W1132" s="3436"/>
      <c r="X1132" s="3436"/>
      <c r="Y1132" s="3436"/>
      <c r="Z1132" s="3436"/>
      <c r="AA1132" s="3436"/>
      <c r="AB1132" s="3436"/>
      <c r="AC1132" s="3436"/>
      <c r="AD1132" s="3436"/>
      <c r="AE1132" s="3649"/>
    </row>
    <row r="1133" spans="16:31" customFormat="1">
      <c r="P1133" s="3436"/>
      <c r="Q1133" s="3436"/>
      <c r="R1133" s="3436"/>
      <c r="S1133" s="3436"/>
      <c r="T1133" s="3436"/>
      <c r="U1133" s="3436"/>
      <c r="V1133" s="3436"/>
      <c r="W1133" s="3436"/>
      <c r="X1133" s="3436"/>
      <c r="Y1133" s="3436"/>
      <c r="Z1133" s="3436"/>
      <c r="AA1133" s="3436"/>
      <c r="AB1133" s="3436"/>
      <c r="AC1133" s="3436"/>
      <c r="AD1133" s="3436"/>
      <c r="AE1133" s="3649"/>
    </row>
    <row r="1134" spans="16:31" customFormat="1">
      <c r="P1134" s="3436"/>
      <c r="Q1134" s="3436"/>
      <c r="R1134" s="3436"/>
      <c r="S1134" s="3436"/>
      <c r="T1134" s="3436"/>
      <c r="U1134" s="3436"/>
      <c r="V1134" s="3436"/>
      <c r="W1134" s="3436"/>
      <c r="X1134" s="3436"/>
      <c r="Y1134" s="3436"/>
      <c r="Z1134" s="3436"/>
      <c r="AA1134" s="3436"/>
      <c r="AB1134" s="3436"/>
      <c r="AC1134" s="3436"/>
      <c r="AD1134" s="3436"/>
      <c r="AE1134" s="3649"/>
    </row>
    <row r="1135" spans="16:31" customFormat="1">
      <c r="P1135" s="3436"/>
      <c r="Q1135" s="3436"/>
      <c r="R1135" s="3436"/>
      <c r="S1135" s="3436"/>
      <c r="T1135" s="3436"/>
      <c r="U1135" s="3436"/>
      <c r="V1135" s="3436"/>
      <c r="W1135" s="3436"/>
      <c r="X1135" s="3436"/>
      <c r="Y1135" s="3436"/>
      <c r="Z1135" s="3436"/>
      <c r="AA1135" s="3436"/>
      <c r="AB1135" s="3436"/>
      <c r="AC1135" s="3436"/>
      <c r="AD1135" s="3436"/>
      <c r="AE1135" s="3649"/>
    </row>
    <row r="1136" spans="16:31" customFormat="1">
      <c r="P1136" s="3436"/>
      <c r="Q1136" s="3436"/>
      <c r="R1136" s="3436"/>
      <c r="S1136" s="3436"/>
      <c r="T1136" s="3436"/>
      <c r="U1136" s="3436"/>
      <c r="V1136" s="3436"/>
      <c r="W1136" s="3436"/>
      <c r="X1136" s="3436"/>
      <c r="Y1136" s="3436"/>
      <c r="Z1136" s="3436"/>
      <c r="AA1136" s="3436"/>
      <c r="AB1136" s="3436"/>
      <c r="AC1136" s="3436"/>
      <c r="AD1136" s="3436"/>
      <c r="AE1136" s="3649"/>
    </row>
    <row r="1137" spans="16:31" customFormat="1">
      <c r="P1137" s="3436"/>
      <c r="Q1137" s="3436"/>
      <c r="R1137" s="3436"/>
      <c r="S1137" s="3436"/>
      <c r="T1137" s="3436"/>
      <c r="U1137" s="3436"/>
      <c r="V1137" s="3436"/>
      <c r="W1137" s="3436"/>
      <c r="X1137" s="3436"/>
      <c r="Y1137" s="3436"/>
      <c r="Z1137" s="3436"/>
      <c r="AA1137" s="3436"/>
      <c r="AB1137" s="3436"/>
      <c r="AC1137" s="3436"/>
      <c r="AD1137" s="3436"/>
      <c r="AE1137" s="3649"/>
    </row>
    <row r="1138" spans="16:31" customFormat="1">
      <c r="P1138" s="3436"/>
      <c r="Q1138" s="3436"/>
      <c r="R1138" s="3436"/>
      <c r="S1138" s="3436"/>
      <c r="T1138" s="3436"/>
      <c r="U1138" s="3436"/>
      <c r="V1138" s="3436"/>
      <c r="W1138" s="3436"/>
      <c r="X1138" s="3436"/>
      <c r="Y1138" s="3436"/>
      <c r="Z1138" s="3436"/>
      <c r="AA1138" s="3436"/>
      <c r="AB1138" s="3436"/>
      <c r="AC1138" s="3436"/>
      <c r="AD1138" s="3436"/>
      <c r="AE1138" s="3649"/>
    </row>
    <row r="1139" spans="16:31" customFormat="1">
      <c r="P1139" s="3436"/>
      <c r="Q1139" s="3436"/>
      <c r="R1139" s="3436"/>
      <c r="S1139" s="3436"/>
      <c r="T1139" s="3436"/>
      <c r="U1139" s="3436"/>
      <c r="V1139" s="3436"/>
      <c r="W1139" s="3436"/>
      <c r="X1139" s="3436"/>
      <c r="Y1139" s="3436"/>
      <c r="Z1139" s="3436"/>
      <c r="AA1139" s="3436"/>
      <c r="AB1139" s="3436"/>
      <c r="AC1139" s="3436"/>
      <c r="AD1139" s="3436"/>
      <c r="AE1139" s="3649"/>
    </row>
    <row r="1140" spans="16:31" customFormat="1">
      <c r="P1140" s="3436"/>
      <c r="Q1140" s="3436"/>
      <c r="R1140" s="3436"/>
      <c r="S1140" s="3436"/>
      <c r="T1140" s="3436"/>
      <c r="U1140" s="3436"/>
      <c r="V1140" s="3436"/>
      <c r="W1140" s="3436"/>
      <c r="X1140" s="3436"/>
      <c r="Y1140" s="3436"/>
      <c r="Z1140" s="3436"/>
      <c r="AA1140" s="3436"/>
      <c r="AB1140" s="3436"/>
      <c r="AC1140" s="3436"/>
      <c r="AD1140" s="3436"/>
      <c r="AE1140" s="3649"/>
    </row>
    <row r="1141" spans="16:31" customFormat="1">
      <c r="P1141" s="3436"/>
      <c r="Q1141" s="3436"/>
      <c r="R1141" s="3436"/>
      <c r="S1141" s="3436"/>
      <c r="T1141" s="3436"/>
      <c r="U1141" s="3436"/>
      <c r="V1141" s="3436"/>
      <c r="W1141" s="3436"/>
      <c r="X1141" s="3436"/>
      <c r="Y1141" s="3436"/>
      <c r="Z1141" s="3436"/>
      <c r="AA1141" s="3436"/>
      <c r="AB1141" s="3436"/>
      <c r="AC1141" s="3436"/>
      <c r="AD1141" s="3436"/>
      <c r="AE1141" s="3649"/>
    </row>
    <row r="1142" spans="16:31" customFormat="1">
      <c r="P1142" s="3436"/>
      <c r="Q1142" s="3436"/>
      <c r="R1142" s="3436"/>
      <c r="S1142" s="3436"/>
      <c r="T1142" s="3436"/>
      <c r="U1142" s="3436"/>
      <c r="V1142" s="3436"/>
      <c r="W1142" s="3436"/>
      <c r="X1142" s="3436"/>
      <c r="Y1142" s="3436"/>
      <c r="Z1142" s="3436"/>
      <c r="AA1142" s="3436"/>
      <c r="AB1142" s="3436"/>
      <c r="AC1142" s="3436"/>
      <c r="AD1142" s="3436"/>
      <c r="AE1142" s="3649"/>
    </row>
    <row r="1143" spans="16:31" customFormat="1">
      <c r="P1143" s="3436"/>
      <c r="Q1143" s="3436"/>
      <c r="R1143" s="3436"/>
      <c r="S1143" s="3436"/>
      <c r="T1143" s="3436"/>
      <c r="U1143" s="3436"/>
      <c r="V1143" s="3436"/>
      <c r="W1143" s="3436"/>
      <c r="X1143" s="3436"/>
      <c r="Y1143" s="3436"/>
      <c r="Z1143" s="3436"/>
      <c r="AA1143" s="3436"/>
      <c r="AB1143" s="3436"/>
      <c r="AC1143" s="3436"/>
      <c r="AD1143" s="3436"/>
      <c r="AE1143" s="3649"/>
    </row>
    <row r="1144" spans="16:31" customFormat="1">
      <c r="P1144" s="3436"/>
      <c r="Q1144" s="3436"/>
      <c r="R1144" s="3436"/>
      <c r="S1144" s="3436"/>
      <c r="T1144" s="3436"/>
      <c r="U1144" s="3436"/>
      <c r="V1144" s="3436"/>
      <c r="W1144" s="3436"/>
      <c r="X1144" s="3436"/>
      <c r="Y1144" s="3436"/>
      <c r="Z1144" s="3436"/>
      <c r="AA1144" s="3436"/>
      <c r="AB1144" s="3436"/>
      <c r="AC1144" s="3436"/>
      <c r="AD1144" s="3436"/>
      <c r="AE1144" s="3649"/>
    </row>
    <row r="1145" spans="16:31" customFormat="1">
      <c r="P1145" s="3436"/>
      <c r="Q1145" s="3436"/>
      <c r="R1145" s="3436"/>
      <c r="S1145" s="3436"/>
      <c r="T1145" s="3436"/>
      <c r="U1145" s="3436"/>
      <c r="V1145" s="3436"/>
      <c r="W1145" s="3436"/>
      <c r="X1145" s="3436"/>
      <c r="Y1145" s="3436"/>
      <c r="Z1145" s="3436"/>
      <c r="AA1145" s="3436"/>
      <c r="AB1145" s="3436"/>
      <c r="AC1145" s="3436"/>
      <c r="AD1145" s="3436"/>
      <c r="AE1145" s="3649"/>
    </row>
    <row r="1146" spans="16:31" customFormat="1">
      <c r="P1146" s="3436"/>
      <c r="Q1146" s="3436"/>
      <c r="R1146" s="3436"/>
      <c r="S1146" s="3436"/>
      <c r="T1146" s="3436"/>
      <c r="U1146" s="3436"/>
      <c r="V1146" s="3436"/>
      <c r="W1146" s="3436"/>
      <c r="X1146" s="3436"/>
      <c r="Y1146" s="3436"/>
      <c r="Z1146" s="3436"/>
      <c r="AA1146" s="3436"/>
      <c r="AB1146" s="3436"/>
      <c r="AC1146" s="3436"/>
      <c r="AD1146" s="3436"/>
      <c r="AE1146" s="3649"/>
    </row>
    <row r="1147" spans="16:31" customFormat="1">
      <c r="P1147" s="3436"/>
      <c r="Q1147" s="3436"/>
      <c r="R1147" s="3436"/>
      <c r="S1147" s="3436"/>
      <c r="T1147" s="3436"/>
      <c r="U1147" s="3436"/>
      <c r="V1147" s="3436"/>
      <c r="W1147" s="3436"/>
      <c r="X1147" s="3436"/>
      <c r="Y1147" s="3436"/>
      <c r="Z1147" s="3436"/>
      <c r="AA1147" s="3436"/>
      <c r="AB1147" s="3436"/>
      <c r="AC1147" s="3436"/>
      <c r="AD1147" s="3436"/>
      <c r="AE1147" s="3649"/>
    </row>
    <row r="1148" spans="16:31" customFormat="1">
      <c r="P1148" s="3436"/>
      <c r="Q1148" s="3436"/>
      <c r="R1148" s="3436"/>
      <c r="S1148" s="3436"/>
      <c r="T1148" s="3436"/>
      <c r="U1148" s="3436"/>
      <c r="V1148" s="3436"/>
      <c r="W1148" s="3436"/>
      <c r="X1148" s="3436"/>
      <c r="Y1148" s="3436"/>
      <c r="Z1148" s="3436"/>
      <c r="AA1148" s="3436"/>
      <c r="AB1148" s="3436"/>
      <c r="AC1148" s="3436"/>
      <c r="AD1148" s="3436"/>
      <c r="AE1148" s="3649"/>
    </row>
    <row r="1149" spans="16:31" customFormat="1">
      <c r="P1149" s="3436"/>
      <c r="Q1149" s="3436"/>
      <c r="R1149" s="3436"/>
      <c r="S1149" s="3436"/>
      <c r="T1149" s="3436"/>
      <c r="U1149" s="3436"/>
      <c r="V1149" s="3436"/>
      <c r="W1149" s="3436"/>
      <c r="X1149" s="3436"/>
      <c r="Y1149" s="3436"/>
      <c r="Z1149" s="3436"/>
      <c r="AA1149" s="3436"/>
      <c r="AB1149" s="3436"/>
      <c r="AC1149" s="3436"/>
      <c r="AD1149" s="3436"/>
      <c r="AE1149" s="3649"/>
    </row>
    <row r="1150" spans="16:31" customFormat="1">
      <c r="P1150" s="3436"/>
      <c r="Q1150" s="3436"/>
      <c r="R1150" s="3436"/>
      <c r="S1150" s="3436"/>
      <c r="T1150" s="3436"/>
      <c r="U1150" s="3436"/>
      <c r="V1150" s="3436"/>
      <c r="W1150" s="3436"/>
      <c r="X1150" s="3436"/>
      <c r="Y1150" s="3436"/>
      <c r="Z1150" s="3436"/>
      <c r="AA1150" s="3436"/>
      <c r="AB1150" s="3436"/>
      <c r="AC1150" s="3436"/>
      <c r="AD1150" s="3436"/>
      <c r="AE1150" s="3649"/>
    </row>
    <row r="1151" spans="16:31" customFormat="1">
      <c r="P1151" s="3436"/>
      <c r="Q1151" s="3436"/>
      <c r="R1151" s="3436"/>
      <c r="S1151" s="3436"/>
      <c r="T1151" s="3436"/>
      <c r="U1151" s="3436"/>
      <c r="V1151" s="3436"/>
      <c r="W1151" s="3436"/>
      <c r="X1151" s="3436"/>
      <c r="Y1151" s="3436"/>
      <c r="Z1151" s="3436"/>
      <c r="AA1151" s="3436"/>
      <c r="AB1151" s="3436"/>
      <c r="AC1151" s="3436"/>
      <c r="AD1151" s="3436"/>
      <c r="AE1151" s="3649"/>
    </row>
    <row r="1152" spans="16:31" customFormat="1">
      <c r="P1152" s="3436"/>
      <c r="Q1152" s="3436"/>
      <c r="R1152" s="3436"/>
      <c r="S1152" s="3436"/>
      <c r="T1152" s="3436"/>
      <c r="U1152" s="3436"/>
      <c r="V1152" s="3436"/>
      <c r="W1152" s="3436"/>
      <c r="X1152" s="3436"/>
      <c r="Y1152" s="3436"/>
      <c r="Z1152" s="3436"/>
      <c r="AA1152" s="3436"/>
      <c r="AB1152" s="3436"/>
      <c r="AC1152" s="3436"/>
      <c r="AD1152" s="3436"/>
      <c r="AE1152" s="3649"/>
    </row>
    <row r="1153" spans="16:31" customFormat="1">
      <c r="P1153" s="3436"/>
      <c r="Q1153" s="3436"/>
      <c r="R1153" s="3436"/>
      <c r="S1153" s="3436"/>
      <c r="T1153" s="3436"/>
      <c r="U1153" s="3436"/>
      <c r="V1153" s="3436"/>
      <c r="W1153" s="3436"/>
      <c r="X1153" s="3436"/>
      <c r="Y1153" s="3436"/>
      <c r="Z1153" s="3436"/>
      <c r="AA1153" s="3436"/>
      <c r="AB1153" s="3436"/>
      <c r="AC1153" s="3436"/>
      <c r="AD1153" s="3436"/>
      <c r="AE1153" s="3649"/>
    </row>
    <row r="1154" spans="16:31" customFormat="1">
      <c r="P1154" s="3436"/>
      <c r="Q1154" s="3436"/>
      <c r="R1154" s="3436"/>
      <c r="S1154" s="3436"/>
      <c r="T1154" s="3436"/>
      <c r="U1154" s="3436"/>
      <c r="V1154" s="3436"/>
      <c r="W1154" s="3436"/>
      <c r="X1154" s="3436"/>
      <c r="Y1154" s="3436"/>
      <c r="Z1154" s="3436"/>
      <c r="AA1154" s="3436"/>
      <c r="AB1154" s="3436"/>
      <c r="AC1154" s="3436"/>
      <c r="AD1154" s="3436"/>
      <c r="AE1154" s="3649"/>
    </row>
    <row r="1155" spans="16:31" customFormat="1">
      <c r="P1155" s="3436"/>
      <c r="Q1155" s="3436"/>
      <c r="R1155" s="3436"/>
      <c r="S1155" s="3436"/>
      <c r="T1155" s="3436"/>
      <c r="U1155" s="3436"/>
      <c r="V1155" s="3436"/>
      <c r="W1155" s="3436"/>
      <c r="X1155" s="3436"/>
      <c r="Y1155" s="3436"/>
      <c r="Z1155" s="3436"/>
      <c r="AA1155" s="3436"/>
      <c r="AB1155" s="3436"/>
      <c r="AC1155" s="3436"/>
      <c r="AD1155" s="3436"/>
      <c r="AE1155" s="3649"/>
    </row>
    <row r="1156" spans="16:31" customFormat="1">
      <c r="P1156" s="3436"/>
      <c r="Q1156" s="3436"/>
      <c r="R1156" s="3436"/>
      <c r="S1156" s="3436"/>
      <c r="T1156" s="3436"/>
      <c r="U1156" s="3436"/>
      <c r="V1156" s="3436"/>
      <c r="W1156" s="3436"/>
      <c r="X1156" s="3436"/>
      <c r="Y1156" s="3436"/>
      <c r="Z1156" s="3436"/>
      <c r="AA1156" s="3436"/>
      <c r="AB1156" s="3436"/>
      <c r="AC1156" s="3436"/>
      <c r="AD1156" s="3436"/>
      <c r="AE1156" s="3649"/>
    </row>
    <row r="1157" spans="16:31" customFormat="1">
      <c r="P1157" s="3436"/>
      <c r="Q1157" s="3436"/>
      <c r="R1157" s="3436"/>
      <c r="S1157" s="3436"/>
      <c r="T1157" s="3436"/>
      <c r="U1157" s="3436"/>
      <c r="V1157" s="3436"/>
      <c r="W1157" s="3436"/>
      <c r="X1157" s="3436"/>
      <c r="Y1157" s="3436"/>
      <c r="Z1157" s="3436"/>
      <c r="AA1157" s="3436"/>
      <c r="AB1157" s="3436"/>
      <c r="AC1157" s="3436"/>
      <c r="AD1157" s="3436"/>
      <c r="AE1157" s="3649"/>
    </row>
    <row r="1158" spans="16:31" customFormat="1">
      <c r="P1158" s="3436"/>
      <c r="Q1158" s="3436"/>
      <c r="R1158" s="3436"/>
      <c r="S1158" s="3436"/>
      <c r="T1158" s="3436"/>
      <c r="U1158" s="3436"/>
      <c r="V1158" s="3436"/>
      <c r="W1158" s="3436"/>
      <c r="X1158" s="3436"/>
      <c r="Y1158" s="3436"/>
      <c r="Z1158" s="3436"/>
      <c r="AA1158" s="3436"/>
      <c r="AB1158" s="3436"/>
      <c r="AC1158" s="3436"/>
      <c r="AD1158" s="3436"/>
      <c r="AE1158" s="3649"/>
    </row>
    <row r="1159" spans="16:31" customFormat="1">
      <c r="P1159" s="3436"/>
      <c r="Q1159" s="3436"/>
      <c r="R1159" s="3436"/>
      <c r="S1159" s="3436"/>
      <c r="T1159" s="3436"/>
      <c r="U1159" s="3436"/>
      <c r="V1159" s="3436"/>
      <c r="W1159" s="3436"/>
      <c r="X1159" s="3436"/>
      <c r="Y1159" s="3436"/>
      <c r="Z1159" s="3436"/>
      <c r="AA1159" s="3436"/>
      <c r="AB1159" s="3436"/>
      <c r="AC1159" s="3436"/>
      <c r="AD1159" s="3436"/>
      <c r="AE1159" s="3649"/>
    </row>
    <row r="1160" spans="16:31" customFormat="1">
      <c r="P1160" s="3436"/>
      <c r="Q1160" s="3436"/>
      <c r="R1160" s="3436"/>
      <c r="S1160" s="3436"/>
      <c r="T1160" s="3436"/>
      <c r="U1160" s="3436"/>
      <c r="V1160" s="3436"/>
      <c r="W1160" s="3436"/>
      <c r="X1160" s="3436"/>
      <c r="Y1160" s="3436"/>
      <c r="Z1160" s="3436"/>
      <c r="AA1160" s="3436"/>
      <c r="AB1160" s="3436"/>
      <c r="AC1160" s="3436"/>
      <c r="AD1160" s="3436"/>
      <c r="AE1160" s="3649"/>
    </row>
    <row r="1161" spans="16:31" customFormat="1">
      <c r="P1161" s="3436"/>
      <c r="Q1161" s="3436"/>
      <c r="R1161" s="3436"/>
      <c r="S1161" s="3436"/>
      <c r="T1161" s="3436"/>
      <c r="U1161" s="3436"/>
      <c r="V1161" s="3436"/>
      <c r="W1161" s="3436"/>
      <c r="X1161" s="3436"/>
      <c r="Y1161" s="3436"/>
      <c r="Z1161" s="3436"/>
      <c r="AA1161" s="3436"/>
      <c r="AB1161" s="3436"/>
      <c r="AC1161" s="3436"/>
      <c r="AD1161" s="3436"/>
      <c r="AE1161" s="3649"/>
    </row>
    <row r="1162" spans="16:31" customFormat="1">
      <c r="P1162" s="3436"/>
      <c r="Q1162" s="3436"/>
      <c r="R1162" s="3436"/>
      <c r="S1162" s="3436"/>
      <c r="T1162" s="3436"/>
      <c r="U1162" s="3436"/>
      <c r="V1162" s="3436"/>
      <c r="W1162" s="3436"/>
      <c r="X1162" s="3436"/>
      <c r="Y1162" s="3436"/>
      <c r="Z1162" s="3436"/>
      <c r="AA1162" s="3436"/>
      <c r="AB1162" s="3436"/>
      <c r="AC1162" s="3436"/>
      <c r="AD1162" s="3436"/>
      <c r="AE1162" s="3649"/>
    </row>
  </sheetData>
  <mergeCells count="8">
    <mergeCell ref="C2:F2"/>
    <mergeCell ref="C27:F27"/>
    <mergeCell ref="C87:F87"/>
    <mergeCell ref="C96:F96"/>
    <mergeCell ref="C240:F240"/>
    <mergeCell ref="C185:F185"/>
    <mergeCell ref="C109:F109"/>
    <mergeCell ref="C140:F140"/>
  </mergeCells>
  <phoneticPr fontId="60" type="noConversion"/>
  <conditionalFormatting sqref="G213:O213 G218:O218 G215:O215">
    <cfRule type="cellIs" dxfId="40" priority="9" stopIfTrue="1" operator="notBetween">
      <formula>-0.001</formula>
      <formula>0.001</formula>
    </cfRule>
  </conditionalFormatting>
  <conditionalFormatting sqref="P213:Y213 P218:Y218 P215:Z215">
    <cfRule type="cellIs" dxfId="39" priority="5" stopIfTrue="1" operator="notBetween">
      <formula>-0.001</formula>
      <formula>0.001</formula>
    </cfRule>
  </conditionalFormatting>
  <conditionalFormatting sqref="Z218 Z213:AA213">
    <cfRule type="cellIs" dxfId="38" priority="4" stopIfTrue="1" operator="notBetween">
      <formula>-0.001</formula>
      <formula>0.001</formula>
    </cfRule>
  </conditionalFormatting>
  <conditionalFormatting sqref="AA215:AC215 AA218:AC218 AA213:AC213">
    <cfRule type="cellIs" dxfId="37" priority="3" stopIfTrue="1" operator="notBetween">
      <formula>-0.001</formula>
      <formula>0.001</formula>
    </cfRule>
  </conditionalFormatting>
  <conditionalFormatting sqref="AD215 AD213 AD218">
    <cfRule type="cellIs" dxfId="36" priority="2" stopIfTrue="1" operator="notBetween">
      <formula>-0.001</formula>
      <formula>0.001</formula>
    </cfRule>
  </conditionalFormatting>
  <conditionalFormatting sqref="AE215 AE213 AE218">
    <cfRule type="cellIs" dxfId="35" priority="1" stopIfTrue="1" operator="notBetween">
      <formula>-0.001</formula>
      <formula>0.001</formula>
    </cfRule>
  </conditionalFormatting>
  <hyperlinks>
    <hyperlink ref="E212" location="Sector1!E416" display="Follow this link to GVT final consumption expenditure"/>
  </hyperlinks>
  <pageMargins left="0.75" right="0.75" top="1" bottom="1" header="0.5" footer="0.5"/>
  <pageSetup scale="11" orientation="landscape" r:id="rId1"/>
  <headerFooter alignWithMargins="0"/>
  <ignoredErrors>
    <ignoredError sqref="G34 H7:O7 G7 H34:O34"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42"/>
  </sheetPr>
  <dimension ref="A1:O222"/>
  <sheetViews>
    <sheetView showGridLines="0" workbookViewId="0">
      <selection activeCell="O91" sqref="O91"/>
    </sheetView>
  </sheetViews>
  <sheetFormatPr defaultRowHeight="12.75"/>
  <sheetData>
    <row r="1" spans="1:14">
      <c r="A1" s="1503"/>
      <c r="B1" s="1503"/>
      <c r="C1" s="1503"/>
      <c r="D1" s="1503"/>
      <c r="E1" s="1503"/>
      <c r="F1" s="1503"/>
      <c r="G1" s="1503"/>
      <c r="H1" s="1503"/>
      <c r="I1" s="1503"/>
      <c r="J1" s="1503"/>
      <c r="K1" s="1503"/>
      <c r="L1" s="1503"/>
      <c r="M1" s="1503"/>
      <c r="N1" s="1503"/>
    </row>
    <row r="2" spans="1:14" ht="18">
      <c r="A2" s="1504" t="s">
        <v>50</v>
      </c>
      <c r="B2" s="1503"/>
      <c r="C2" s="1503"/>
      <c r="D2" s="1503"/>
      <c r="E2" s="1503"/>
      <c r="F2" s="1503"/>
      <c r="G2" s="1503"/>
      <c r="H2" s="1503"/>
      <c r="I2" s="1503"/>
      <c r="J2" s="1503"/>
      <c r="K2" s="1503"/>
      <c r="L2" s="1503"/>
      <c r="M2" s="1503"/>
      <c r="N2" s="1503"/>
    </row>
    <row r="3" spans="1:14">
      <c r="A3" s="1503"/>
      <c r="B3" s="1503"/>
      <c r="C3" s="1503"/>
      <c r="D3" s="1503"/>
      <c r="E3" s="1503"/>
      <c r="F3" s="1503"/>
      <c r="G3" s="1503"/>
      <c r="H3" s="1503"/>
      <c r="I3" s="1503"/>
      <c r="J3" s="1503"/>
      <c r="K3" s="1503"/>
      <c r="L3" s="1503"/>
      <c r="M3" s="1503"/>
      <c r="N3" s="1503"/>
    </row>
    <row r="88" spans="15:15">
      <c r="O88" t="s">
        <v>784</v>
      </c>
    </row>
    <row r="89" spans="15:15">
      <c r="O89" t="s">
        <v>785</v>
      </c>
    </row>
    <row r="90" spans="15:15">
      <c r="O90" t="s">
        <v>1864</v>
      </c>
    </row>
    <row r="91" spans="15:15">
      <c r="O91" t="s">
        <v>1865</v>
      </c>
    </row>
    <row r="92" spans="15:15">
      <c r="O92" t="s">
        <v>1830</v>
      </c>
    </row>
    <row r="109" spans="1:14">
      <c r="A109" s="1503"/>
      <c r="B109" s="1503"/>
      <c r="C109" s="1503"/>
      <c r="D109" s="1503"/>
      <c r="E109" s="1503"/>
      <c r="F109" s="1503"/>
      <c r="G109" s="1503"/>
      <c r="H109" s="1503"/>
      <c r="I109" s="1503"/>
      <c r="J109" s="1503"/>
      <c r="K109" s="1503"/>
      <c r="L109" s="1503"/>
      <c r="M109" s="1503"/>
      <c r="N109" s="1503"/>
    </row>
    <row r="110" spans="1:14" ht="18">
      <c r="A110" s="1504" t="s">
        <v>51</v>
      </c>
      <c r="B110" s="1503"/>
      <c r="C110" s="1503"/>
      <c r="D110" s="1503"/>
      <c r="E110" s="1503"/>
      <c r="F110" s="1503"/>
      <c r="G110" s="1503"/>
      <c r="H110" s="1503"/>
      <c r="I110" s="1503"/>
      <c r="J110" s="1503"/>
      <c r="K110" s="1503"/>
      <c r="L110" s="1503"/>
      <c r="M110" s="1503"/>
      <c r="N110" s="1503"/>
    </row>
    <row r="111" spans="1:14">
      <c r="A111" s="1503"/>
      <c r="B111" s="1503"/>
      <c r="C111" s="1503"/>
      <c r="D111" s="1503"/>
      <c r="E111" s="1503"/>
      <c r="F111" s="1503"/>
      <c r="G111" s="1503"/>
      <c r="H111" s="1503"/>
      <c r="I111" s="1503"/>
      <c r="J111" s="1503"/>
      <c r="K111" s="1503"/>
      <c r="L111" s="1503"/>
      <c r="M111" s="1503"/>
      <c r="N111" s="1503"/>
    </row>
    <row r="133" spans="1:14">
      <c r="A133" s="1503"/>
      <c r="B133" s="1503"/>
      <c r="C133" s="1503"/>
      <c r="D133" s="1503"/>
      <c r="E133" s="1503"/>
      <c r="F133" s="1503"/>
      <c r="G133" s="1503"/>
      <c r="H133" s="1503"/>
      <c r="I133" s="1503"/>
      <c r="J133" s="1503"/>
      <c r="K133" s="1503"/>
      <c r="L133" s="1503"/>
      <c r="M133" s="1503"/>
      <c r="N133" s="1503"/>
    </row>
    <row r="134" spans="1:14" ht="18">
      <c r="A134" s="1504" t="s">
        <v>193</v>
      </c>
      <c r="B134" s="1503"/>
      <c r="C134" s="1503"/>
      <c r="D134" s="1503"/>
      <c r="E134" s="1503"/>
      <c r="F134" s="1503"/>
      <c r="G134" s="1503"/>
      <c r="H134" s="1503"/>
      <c r="I134" s="1503"/>
      <c r="J134" s="1503"/>
      <c r="K134" s="1503"/>
      <c r="L134" s="1503"/>
      <c r="M134" s="1503"/>
      <c r="N134" s="1503"/>
    </row>
    <row r="135" spans="1:14">
      <c r="A135" s="1503"/>
      <c r="B135" s="1503"/>
      <c r="C135" s="1503"/>
      <c r="D135" s="1503"/>
      <c r="E135" s="1503"/>
      <c r="F135" s="1503"/>
      <c r="G135" s="1503"/>
      <c r="H135" s="1503"/>
      <c r="I135" s="1503"/>
      <c r="J135" s="1503"/>
      <c r="K135" s="1503"/>
      <c r="L135" s="1503"/>
      <c r="M135" s="1503"/>
      <c r="N135" s="1503"/>
    </row>
    <row r="220" spans="1:14">
      <c r="A220" s="1503"/>
      <c r="B220" s="1503"/>
      <c r="C220" s="1503"/>
      <c r="D220" s="1503"/>
      <c r="E220" s="1503"/>
      <c r="F220" s="1503"/>
      <c r="G220" s="1503"/>
      <c r="H220" s="1503"/>
      <c r="I220" s="1503"/>
      <c r="J220" s="1503"/>
      <c r="K220" s="1503"/>
      <c r="L220" s="1503"/>
      <c r="M220" s="1503"/>
      <c r="N220" s="1503"/>
    </row>
    <row r="221" spans="1:14" ht="18">
      <c r="A221" s="1504" t="s">
        <v>1261</v>
      </c>
      <c r="B221" s="1503"/>
      <c r="C221" s="1503"/>
      <c r="D221" s="1503"/>
      <c r="E221" s="1503"/>
      <c r="F221" s="1503"/>
      <c r="G221" s="1503"/>
      <c r="H221" s="1503"/>
      <c r="I221" s="1503"/>
      <c r="J221" s="1503"/>
      <c r="K221" s="1503"/>
      <c r="L221" s="1503"/>
      <c r="M221" s="1503"/>
      <c r="N221" s="1503"/>
    </row>
    <row r="222" spans="1:14">
      <c r="A222" s="1503"/>
      <c r="B222" s="1503"/>
      <c r="C222" s="1503"/>
      <c r="D222" s="1503"/>
      <c r="E222" s="1503"/>
      <c r="F222" s="1503"/>
      <c r="G222" s="1503"/>
      <c r="H222" s="1503"/>
      <c r="I222" s="1503"/>
      <c r="J222" s="1503"/>
      <c r="K222" s="1503"/>
      <c r="L222" s="1503"/>
      <c r="M222" s="1503"/>
      <c r="N222" s="1503"/>
    </row>
  </sheetData>
  <phoneticPr fontId="60" type="noConversion"/>
  <pageMargins left="0.75" right="0.75" top="1" bottom="1" header="0.5" footer="0.5"/>
  <headerFooter alignWithMargins="0"/>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indexed="43"/>
    <pageSetUpPr fitToPage="1"/>
  </sheetPr>
  <dimension ref="A1:DI1979"/>
  <sheetViews>
    <sheetView showGridLines="0" topLeftCell="C418" zoomScaleNormal="100" workbookViewId="0">
      <pane ySplit="7845" topLeftCell="A524" activePane="bottomLeft"/>
      <selection activeCell="AD433" sqref="AD433"/>
      <selection pane="bottomLeft" activeCell="AC568" sqref="AC568"/>
    </sheetView>
  </sheetViews>
  <sheetFormatPr defaultRowHeight="12.75"/>
  <cols>
    <col min="1" max="1" width="4.28515625" style="663" customWidth="1"/>
    <col min="2" max="2" width="7.140625" style="663" customWidth="1"/>
    <col min="3" max="3" width="4" style="694" customWidth="1"/>
    <col min="4" max="4" width="4" style="670" customWidth="1"/>
    <col min="5" max="5" width="46.5703125" style="699" customWidth="1"/>
    <col min="6" max="6" width="12.42578125" style="694" customWidth="1"/>
    <col min="7" max="7" width="9.28515625" style="699" hidden="1" customWidth="1"/>
    <col min="8" max="9" width="9.5703125" style="699" hidden="1" customWidth="1"/>
    <col min="10" max="13" width="9.140625" style="699" hidden="1" customWidth="1"/>
    <col min="14" max="14" width="9.28515625" style="699" hidden="1" customWidth="1"/>
    <col min="15" max="16" width="10" style="699" hidden="1" customWidth="1"/>
    <col min="17" max="17" width="10" style="843" hidden="1" customWidth="1"/>
    <col min="18" max="18" width="9.85546875" style="2221" customWidth="1"/>
    <col min="19" max="19" width="9.5703125" style="2221" customWidth="1"/>
    <col min="20" max="20" width="10.5703125" style="2221" customWidth="1"/>
    <col min="21" max="22" width="9.5703125" style="2221" customWidth="1"/>
    <col min="23" max="23" width="10.85546875" style="2221" bestFit="1" customWidth="1"/>
    <col min="24" max="24" width="14" style="2221" bestFit="1" customWidth="1"/>
    <col min="25" max="25" width="13.7109375" style="2221" bestFit="1" customWidth="1"/>
    <col min="26" max="26" width="11.42578125" style="2221" bestFit="1" customWidth="1"/>
    <col min="27" max="27" width="11.7109375" style="2221" bestFit="1" customWidth="1"/>
    <col min="28" max="28" width="11.28515625" style="2861" bestFit="1" customWidth="1"/>
    <col min="29" max="31" width="16.85546875" style="2861" bestFit="1" customWidth="1"/>
    <col min="32" max="32" width="11.28515625" customWidth="1"/>
    <col min="114" max="16384" width="9.140625" style="699"/>
  </cols>
  <sheetData>
    <row r="1" spans="1:113">
      <c r="R1" s="843"/>
      <c r="S1" s="843"/>
      <c r="T1" s="843"/>
      <c r="U1" s="843"/>
      <c r="V1" s="843"/>
      <c r="W1" s="843"/>
      <c r="X1" s="843"/>
      <c r="Y1" s="843"/>
      <c r="Z1" s="843"/>
      <c r="AA1" s="843"/>
    </row>
    <row r="2" spans="1:113" ht="22.5" customHeight="1">
      <c r="A2" s="574"/>
      <c r="B2" s="574"/>
      <c r="C2" s="3751" t="s">
        <v>738</v>
      </c>
      <c r="D2" s="3751"/>
      <c r="E2" s="3769"/>
      <c r="F2" s="2306">
        <v>0.1</v>
      </c>
      <c r="G2" s="1977" t="e">
        <f t="shared" ref="G2:AC2" si="0">IF(G14+G51+G89+G115+G144+G206+G262+G303+G330+G428+G491+G523+G545+G567+G569+G632+G665+G774+G784+G791&lt;$F$2,"ok","Not ok")</f>
        <v>#VALUE!</v>
      </c>
      <c r="H2" s="1977" t="e">
        <f t="shared" si="0"/>
        <v>#VALUE!</v>
      </c>
      <c r="I2" s="1977" t="e">
        <f t="shared" si="0"/>
        <v>#VALUE!</v>
      </c>
      <c r="J2" s="1977" t="e">
        <f t="shared" si="0"/>
        <v>#VALUE!</v>
      </c>
      <c r="K2" s="1977" t="e">
        <f t="shared" si="0"/>
        <v>#VALUE!</v>
      </c>
      <c r="L2" s="1977" t="e">
        <f t="shared" si="0"/>
        <v>#VALUE!</v>
      </c>
      <c r="M2" s="1977" t="e">
        <f t="shared" si="0"/>
        <v>#VALUE!</v>
      </c>
      <c r="N2" s="1977" t="e">
        <f t="shared" si="0"/>
        <v>#VALUE!</v>
      </c>
      <c r="O2" s="1977" t="e">
        <f t="shared" si="0"/>
        <v>#VALUE!</v>
      </c>
      <c r="P2" s="1977" t="e">
        <f t="shared" si="0"/>
        <v>#VALUE!</v>
      </c>
      <c r="Q2" s="1977" t="e">
        <f t="shared" si="0"/>
        <v>#VALUE!</v>
      </c>
      <c r="R2" s="1977" t="e">
        <f t="shared" si="0"/>
        <v>#VALUE!</v>
      </c>
      <c r="S2" s="1977" t="e">
        <f t="shared" si="0"/>
        <v>#VALUE!</v>
      </c>
      <c r="T2" s="1977" t="str">
        <f t="shared" si="0"/>
        <v>Not ok</v>
      </c>
      <c r="U2" s="1977" t="str">
        <f t="shared" si="0"/>
        <v>Not ok</v>
      </c>
      <c r="V2" s="1977" t="str">
        <f t="shared" si="0"/>
        <v>Not ok</v>
      </c>
      <c r="W2" s="1977" t="str">
        <f t="shared" si="0"/>
        <v>Not ok</v>
      </c>
      <c r="X2" s="1977" t="str">
        <f t="shared" si="0"/>
        <v>Not ok</v>
      </c>
      <c r="Y2" s="1977" t="str">
        <f t="shared" si="0"/>
        <v>Not ok</v>
      </c>
      <c r="Z2" s="1977" t="str">
        <f t="shared" si="0"/>
        <v>ok</v>
      </c>
      <c r="AA2" s="1977" t="str">
        <f>IF(AA14+AA51+AA89+AA115+AA144+AA206+AA262+AA303+AA330+AA428+AA491+AA523+AA545+AA567+AA569+AA632+AA665+AA774+AA784+AA791&lt;$F$2,"ok","Not ok")</f>
        <v>ok</v>
      </c>
      <c r="AB2" s="1977" t="str">
        <f t="shared" si="0"/>
        <v>ok</v>
      </c>
      <c r="AC2" s="1977" t="str">
        <f t="shared" ca="1" si="0"/>
        <v>ok</v>
      </c>
      <c r="AD2" s="1977" t="str">
        <f ca="1">IF(AD14+AD51+AD89+AD115+AD144+AD206+AD262+AD303+AD330+AD428+AD491+AD523+AD545+AD567+AD569+AD632+AD665+AD774+AD784+AD791&lt;$F$2,"ok","Not ok")</f>
        <v>ok</v>
      </c>
      <c r="AE2" s="1977" t="str">
        <f ca="1">IF(AE14+AE51+AE89+AE115+AE144+AE206+AE262+AE303+AE330+AE428+AE491+AE523+AE545+AE567+AE569+AE632+AE665+AE774+AE784+AE791&lt;$F$2,"ok","Not ok")</f>
        <v>ok</v>
      </c>
    </row>
    <row r="3" spans="1:113">
      <c r="AB3" s="2221"/>
    </row>
    <row r="4" spans="1:113">
      <c r="AB4" s="2221"/>
    </row>
    <row r="5" spans="1:113" ht="22.5" customHeight="1">
      <c r="A5" s="574"/>
      <c r="B5" s="574"/>
      <c r="C5" s="3751" t="s">
        <v>976</v>
      </c>
      <c r="D5" s="3751"/>
      <c r="E5" s="3751"/>
      <c r="F5" s="3751"/>
      <c r="V5" s="3120"/>
      <c r="W5" s="2274"/>
      <c r="AB5" s="2221"/>
    </row>
    <row r="6" spans="1:113" ht="12.75" customHeight="1">
      <c r="A6" s="664"/>
      <c r="B6" s="664"/>
      <c r="C6" s="774"/>
      <c r="T6" s="3120"/>
      <c r="U6" s="3120"/>
      <c r="V6" s="1869"/>
      <c r="AB6" s="2221"/>
      <c r="AC6" s="2861">
        <v>4.66</v>
      </c>
    </row>
    <row r="7" spans="1:113" ht="12.75" customHeight="1">
      <c r="A7" s="664"/>
      <c r="B7" s="664"/>
      <c r="C7" s="774"/>
      <c r="D7" s="775"/>
      <c r="E7" s="776" t="s">
        <v>1384</v>
      </c>
      <c r="F7" s="777"/>
      <c r="G7" s="778">
        <f>+InputY!$G$3</f>
        <v>1995</v>
      </c>
      <c r="H7" s="778">
        <f t="shared" ref="H7:R7" si="1">+G7+1</f>
        <v>1996</v>
      </c>
      <c r="I7" s="778">
        <f t="shared" si="1"/>
        <v>1997</v>
      </c>
      <c r="J7" s="778">
        <f t="shared" si="1"/>
        <v>1998</v>
      </c>
      <c r="K7" s="778">
        <f>+J7+1</f>
        <v>1999</v>
      </c>
      <c r="L7" s="778">
        <f t="shared" si="1"/>
        <v>2000</v>
      </c>
      <c r="M7" s="778">
        <f t="shared" si="1"/>
        <v>2001</v>
      </c>
      <c r="N7" s="778">
        <f t="shared" si="1"/>
        <v>2002</v>
      </c>
      <c r="O7" s="778">
        <f t="shared" si="1"/>
        <v>2003</v>
      </c>
      <c r="P7" s="778">
        <f>+O7+1</f>
        <v>2004</v>
      </c>
      <c r="Q7" s="778">
        <f t="shared" si="1"/>
        <v>2005</v>
      </c>
      <c r="R7" s="2222">
        <f t="shared" si="1"/>
        <v>2006</v>
      </c>
      <c r="S7" s="2222">
        <f t="shared" ref="S7:X7" si="2">+R7+1</f>
        <v>2007</v>
      </c>
      <c r="T7" s="2222">
        <f t="shared" si="2"/>
        <v>2008</v>
      </c>
      <c r="U7" s="2222">
        <f t="shared" si="2"/>
        <v>2009</v>
      </c>
      <c r="V7" s="2222">
        <f t="shared" si="2"/>
        <v>2010</v>
      </c>
      <c r="W7" s="2222">
        <f t="shared" si="2"/>
        <v>2011</v>
      </c>
      <c r="X7" s="2222">
        <f t="shared" si="2"/>
        <v>2012</v>
      </c>
      <c r="Y7" s="2222">
        <f t="shared" ref="Y7:AE7" si="3">+X7+1</f>
        <v>2013</v>
      </c>
      <c r="Z7" s="2222">
        <f t="shared" si="3"/>
        <v>2014</v>
      </c>
      <c r="AA7" s="2222">
        <f t="shared" si="3"/>
        <v>2015</v>
      </c>
      <c r="AB7" s="2222">
        <f t="shared" si="3"/>
        <v>2016</v>
      </c>
      <c r="AC7" s="2222">
        <f t="shared" si="3"/>
        <v>2017</v>
      </c>
      <c r="AD7" s="2222">
        <f t="shared" si="3"/>
        <v>2018</v>
      </c>
      <c r="AE7" s="2222">
        <f t="shared" si="3"/>
        <v>2019</v>
      </c>
      <c r="AF7" s="2861"/>
    </row>
    <row r="8" spans="1:113" ht="12.75" customHeight="1">
      <c r="A8" s="664">
        <f>+ROW(InputY!A103)</f>
        <v>103</v>
      </c>
      <c r="B8" s="664">
        <v>50</v>
      </c>
      <c r="C8" s="779" t="s">
        <v>1767</v>
      </c>
      <c r="D8" s="668" t="s">
        <v>684</v>
      </c>
      <c r="E8" s="700" t="s">
        <v>1766</v>
      </c>
      <c r="F8" s="701" t="str">
        <f>+InputY!B103</f>
        <v>YATaxProd</v>
      </c>
      <c r="G8" s="780">
        <f>+InputY!G103/1000</f>
        <v>0.89854000000000001</v>
      </c>
      <c r="H8" s="780">
        <f>+InputY!H103/1000</f>
        <v>1.06829</v>
      </c>
      <c r="I8" s="780">
        <f>+InputY!I103/1000</f>
        <v>1.5122899999999999</v>
      </c>
      <c r="J8" s="780">
        <f>+InputY!J103/1000</f>
        <v>1.7178800000000001</v>
      </c>
      <c r="K8" s="780">
        <f>+InputY!K103/1000</f>
        <v>1.65448</v>
      </c>
      <c r="L8" s="780">
        <f>+InputY!L103/1000</f>
        <v>1.58941</v>
      </c>
      <c r="M8" s="780">
        <f>+InputY!M103/1000</f>
        <v>1.6358499999999998</v>
      </c>
      <c r="N8" s="780">
        <f>+InputY!N103/1000</f>
        <v>1.7799700000000001</v>
      </c>
      <c r="O8" s="780">
        <f>+InputY!O103/1000</f>
        <v>1.8392200000000001</v>
      </c>
      <c r="P8" s="780">
        <f>+InputY!P103/1000</f>
        <v>1.9280999999999999</v>
      </c>
      <c r="Q8" s="780">
        <f>+InputY!Q103/1000</f>
        <v>2.2637700000000001</v>
      </c>
      <c r="R8" s="780">
        <f>+InputY!R103/1000</f>
        <v>2.61253</v>
      </c>
      <c r="S8" s="780">
        <f>+InputY!S103/1000</f>
        <v>3.2654899999999998</v>
      </c>
      <c r="T8" s="780">
        <f>+InputY!T103/1000</f>
        <v>3.7011799999999999</v>
      </c>
      <c r="U8" s="780">
        <f>+InputY!U103/1000</f>
        <v>2.9961599999999997</v>
      </c>
      <c r="V8" s="780">
        <f>+InputY!V103/1000</f>
        <v>3.1924800000000002</v>
      </c>
      <c r="W8" s="780">
        <f>+InputY!W103/1000</f>
        <v>3.5021399999999998</v>
      </c>
      <c r="X8" s="780">
        <f>+InputY!X103/1000</f>
        <v>3.5937899999999998</v>
      </c>
      <c r="Y8" s="780">
        <f>+InputY!Y103/1000</f>
        <v>3.7091500000000002</v>
      </c>
      <c r="Z8" s="780">
        <f>+InputY!Z103/1000</f>
        <v>3.9403299999999999</v>
      </c>
      <c r="AA8" s="3689">
        <f>+InputY!AA103/1000</f>
        <v>4.2110900000000004</v>
      </c>
      <c r="AB8" s="3744">
        <f>+InputY!AB103/1000</f>
        <v>4.4171499999999995</v>
      </c>
      <c r="AC8" s="3744">
        <f>+InputY!AC103/1000</f>
        <v>4.8132999999999999</v>
      </c>
      <c r="AD8" s="2232">
        <f t="shared" ref="AC8:AE12" si="4">+AC8*(1+AD17/100)</f>
        <v>5.123979558019216</v>
      </c>
      <c r="AE8" s="2232">
        <f t="shared" si="4"/>
        <v>5.4109224132682927</v>
      </c>
      <c r="AF8" s="2861" t="s">
        <v>2462</v>
      </c>
    </row>
    <row r="9" spans="1:113" ht="12.75" customHeight="1">
      <c r="A9" s="664">
        <f>+ROW(InputY!A181)</f>
        <v>181</v>
      </c>
      <c r="B9" s="664"/>
      <c r="C9" s="782" t="s">
        <v>1767</v>
      </c>
      <c r="D9" s="674" t="s">
        <v>685</v>
      </c>
      <c r="E9" s="783" t="s">
        <v>1374</v>
      </c>
      <c r="F9" s="704" t="str">
        <f>+InputY!B181</f>
        <v>$HTaxOth</v>
      </c>
      <c r="G9" s="706">
        <f>+InputY!G181/1000</f>
        <v>8.3099999999999997E-3</v>
      </c>
      <c r="H9" s="706">
        <f>+InputY!H181/1000</f>
        <v>3.058E-2</v>
      </c>
      <c r="I9" s="706">
        <f>+InputY!I181/1000</f>
        <v>1.2670000000000001E-2</v>
      </c>
      <c r="J9" s="706">
        <f>+InputY!J181/1000</f>
        <v>1.191E-2</v>
      </c>
      <c r="K9" s="706">
        <f>+InputY!K181/1000</f>
        <v>1.1630000000000001E-2</v>
      </c>
      <c r="L9" s="706">
        <f>+InputY!L181/1000</f>
        <v>1.585E-2</v>
      </c>
      <c r="M9" s="706">
        <f>+InputY!M181/1000</f>
        <v>2.0829999999999998E-2</v>
      </c>
      <c r="N9" s="706">
        <f>+InputY!N181/1000</f>
        <v>3.5810000000000002E-2</v>
      </c>
      <c r="O9" s="706">
        <f>+InputY!O181/1000</f>
        <v>1.5619999999999998E-2</v>
      </c>
      <c r="P9" s="706">
        <f>+InputY!P181/1000</f>
        <v>1.992E-2</v>
      </c>
      <c r="Q9" s="706">
        <f>+InputY!Q181/1000</f>
        <v>2.2589999999999999E-2</v>
      </c>
      <c r="R9" s="706">
        <f>+InputY!R181/1000</f>
        <v>2.104E-2</v>
      </c>
      <c r="S9" s="706">
        <f>+InputY!S181/1000</f>
        <v>2.4559999999999998E-2</v>
      </c>
      <c r="T9" s="706">
        <f>+InputY!T181/1000</f>
        <v>2.8829999999999998E-2</v>
      </c>
      <c r="U9" s="706">
        <f>+InputY!U181/1000</f>
        <v>2.1950000000000001E-2</v>
      </c>
      <c r="V9" s="706">
        <f>+InputY!V181/1000</f>
        <v>2.9440000000000001E-2</v>
      </c>
      <c r="W9" s="706">
        <f>+InputY!W181/1000</f>
        <v>2.375E-2</v>
      </c>
      <c r="X9" s="706">
        <f>+InputY!X181/1000</f>
        <v>2.214E-2</v>
      </c>
      <c r="Y9" s="706">
        <f>+InputY!Y181/1000</f>
        <v>2.2120000000000001E-2</v>
      </c>
      <c r="Z9" s="706">
        <f>+InputY!Z181/1000</f>
        <v>1.7780000000000001E-2</v>
      </c>
      <c r="AA9" s="706">
        <f>+InputY!AA181/1000</f>
        <v>2.4340000000000001E-2</v>
      </c>
      <c r="AB9" s="706">
        <f>+InputY!AB181/1000</f>
        <v>2.4559999999999998E-2</v>
      </c>
      <c r="AC9" s="2217">
        <f t="shared" si="4"/>
        <v>2.6279199999999999E-2</v>
      </c>
      <c r="AD9" s="2217">
        <f t="shared" si="4"/>
        <v>2.8118744000000001E-2</v>
      </c>
      <c r="AE9" s="2217">
        <f t="shared" si="4"/>
        <v>3.0087056080000004E-2</v>
      </c>
      <c r="AF9" s="2861" t="s">
        <v>2463</v>
      </c>
    </row>
    <row r="10" spans="1:113" ht="12.75" customHeight="1">
      <c r="A10" s="664">
        <f>+ROW(InputY!A114)</f>
        <v>114</v>
      </c>
      <c r="B10" s="664">
        <v>102</v>
      </c>
      <c r="C10" s="782" t="s">
        <v>1767</v>
      </c>
      <c r="D10" s="674" t="s">
        <v>686</v>
      </c>
      <c r="E10" s="783" t="s">
        <v>1374</v>
      </c>
      <c r="F10" s="704" t="str">
        <f>+InputY!B114</f>
        <v>$ETaxProd</v>
      </c>
      <c r="G10" s="706">
        <f>+InputY!G114/1000</f>
        <v>2.444E-2</v>
      </c>
      <c r="H10" s="706">
        <f>+InputY!H114/1000</f>
        <v>2.0420000000000001E-2</v>
      </c>
      <c r="I10" s="706">
        <f>+InputY!I114/1000</f>
        <v>5.4789999999999998E-2</v>
      </c>
      <c r="J10" s="706">
        <f>+InputY!J114/1000</f>
        <v>5.9069999999999998E-2</v>
      </c>
      <c r="K10" s="706">
        <f>+InputY!K114/1000</f>
        <v>7.102E-2</v>
      </c>
      <c r="L10" s="706">
        <f>+InputY!L114/1000</f>
        <v>6.1149999999999996E-2</v>
      </c>
      <c r="M10" s="706">
        <f>+InputY!M114/1000</f>
        <v>6.5700000000000008E-2</v>
      </c>
      <c r="N10" s="706">
        <f>+InputY!N114/1000</f>
        <v>6.003E-2</v>
      </c>
      <c r="O10" s="706">
        <f>+InputY!O114/1000</f>
        <v>7.8189999999999996E-2</v>
      </c>
      <c r="P10" s="706">
        <f>+InputY!P114/1000</f>
        <v>0.10031</v>
      </c>
      <c r="Q10" s="706">
        <f>+InputY!Q114/1000</f>
        <v>0.10956999999999999</v>
      </c>
      <c r="R10" s="706">
        <f>+InputY!R114/1000</f>
        <v>0.13700999999999999</v>
      </c>
      <c r="S10" s="706">
        <f>+InputY!S114/1000</f>
        <v>0.15727000000000002</v>
      </c>
      <c r="T10" s="706">
        <f>+InputY!T114/1000</f>
        <v>0.15278999999999998</v>
      </c>
      <c r="U10" s="706">
        <f>+InputY!U114/1000</f>
        <v>0.15337000000000001</v>
      </c>
      <c r="V10" s="706">
        <f>+InputY!V114/1000</f>
        <v>0.14898</v>
      </c>
      <c r="W10" s="706">
        <f>+InputY!W114/1000</f>
        <v>0.16141999999999998</v>
      </c>
      <c r="X10" s="1455">
        <f>+InputY!X114/1000</f>
        <v>0.16938999999999999</v>
      </c>
      <c r="Y10" s="1455">
        <f>+InputY!Y114/1000</f>
        <v>0.18053999999999998</v>
      </c>
      <c r="Z10" s="1455">
        <f>+InputY!Z114/1000</f>
        <v>0.20343</v>
      </c>
      <c r="AA10" s="1455">
        <f>+InputY!AA114/1000</f>
        <v>0.21567</v>
      </c>
      <c r="AB10" s="1455">
        <f>+InputY!AB114/1000</f>
        <v>0.19243000000000002</v>
      </c>
      <c r="AC10" s="2217">
        <f t="shared" si="4"/>
        <v>0.20205150000000002</v>
      </c>
      <c r="AD10" s="2217">
        <f t="shared" si="4"/>
        <v>0.21215407500000003</v>
      </c>
      <c r="AE10" s="2217">
        <f t="shared" si="4"/>
        <v>0.22276177875000003</v>
      </c>
      <c r="AF10" s="2861" t="s">
        <v>2463</v>
      </c>
    </row>
    <row r="11" spans="1:113" ht="12.75" customHeight="1">
      <c r="A11" s="664">
        <f>+ROW(InputY!A148)</f>
        <v>148</v>
      </c>
      <c r="B11" s="664" t="s">
        <v>1695</v>
      </c>
      <c r="C11" s="782" t="s">
        <v>1767</v>
      </c>
      <c r="D11" s="674" t="s">
        <v>687</v>
      </c>
      <c r="E11" s="783" t="s">
        <v>1374</v>
      </c>
      <c r="F11" s="704" t="s">
        <v>215</v>
      </c>
      <c r="G11" s="706">
        <f>+InputY!G148/1000</f>
        <v>2.8500000000000001E-3</v>
      </c>
      <c r="H11" s="706">
        <f>+InputY!H148/1000</f>
        <v>4.4299999999999999E-3</v>
      </c>
      <c r="I11" s="706">
        <f>+InputY!I148/1000</f>
        <v>5.8700000000000002E-3</v>
      </c>
      <c r="J11" s="706">
        <f>+InputY!J148/1000</f>
        <v>6.1700000000000001E-3</v>
      </c>
      <c r="K11" s="706">
        <f>+InputY!K148/1000</f>
        <v>6.43E-3</v>
      </c>
      <c r="L11" s="706">
        <f>+InputY!L148/1000</f>
        <v>6.1900000000000002E-3</v>
      </c>
      <c r="M11" s="706">
        <f>+InputY!M148/1000</f>
        <v>6.9500000000000004E-3</v>
      </c>
      <c r="N11" s="706">
        <f>+InputY!N148/1000</f>
        <v>7.62E-3</v>
      </c>
      <c r="O11" s="706">
        <f>+InputY!O148/1000</f>
        <v>7.6699999999999997E-3</v>
      </c>
      <c r="P11" s="706">
        <f>+InputY!P148/1000</f>
        <v>9.5500000000000012E-3</v>
      </c>
      <c r="Q11" s="706">
        <f>+InputY!Q148/1000</f>
        <v>4.15E-3</v>
      </c>
      <c r="R11" s="706">
        <f>+InputY!R148/1000</f>
        <v>3.5999999999999999E-3</v>
      </c>
      <c r="S11" s="706">
        <f>+InputY!S148/1000</f>
        <v>3.64E-3</v>
      </c>
      <c r="T11" s="706">
        <f>+InputY!T148/1000</f>
        <v>3.2699999999999999E-3</v>
      </c>
      <c r="U11" s="706">
        <f>+InputY!U148/1000</f>
        <v>2.4599999999999999E-3</v>
      </c>
      <c r="V11" s="706">
        <f>+InputY!V148/1000</f>
        <v>2.2200000000000002E-3</v>
      </c>
      <c r="W11" s="706">
        <f>+InputY!W148/1000</f>
        <v>2.8200000000000005E-3</v>
      </c>
      <c r="X11" s="706">
        <f>+InputY!X148/1000</f>
        <v>3.7200000000000002E-3</v>
      </c>
      <c r="Y11" s="706">
        <f>+InputY!Y148/1000</f>
        <v>4.3600000000000002E-3</v>
      </c>
      <c r="Z11" s="706">
        <f>+InputY!Z148/1000</f>
        <v>5.0499999999999998E-3</v>
      </c>
      <c r="AA11" s="706">
        <f>+InputY!AA148/1000</f>
        <v>2.6199999999999999E-3</v>
      </c>
      <c r="AB11" s="706">
        <f>+InputY!AB148/1000</f>
        <v>2.7000000000000001E-3</v>
      </c>
      <c r="AC11" s="2217">
        <f t="shared" si="4"/>
        <v>2.8350000000000003E-3</v>
      </c>
      <c r="AD11" s="2217">
        <f t="shared" si="4"/>
        <v>2.9767500000000002E-3</v>
      </c>
      <c r="AE11" s="2217">
        <f t="shared" si="4"/>
        <v>3.1255875000000006E-3</v>
      </c>
      <c r="AF11" s="2861" t="s">
        <v>2463</v>
      </c>
    </row>
    <row r="12" spans="1:113" ht="12.75" customHeight="1">
      <c r="A12" s="1953">
        <f>+ROW(InputY!A233)</f>
        <v>233</v>
      </c>
      <c r="B12" s="664" t="s">
        <v>1916</v>
      </c>
      <c r="C12" s="782" t="s">
        <v>401</v>
      </c>
      <c r="D12" s="674" t="s">
        <v>688</v>
      </c>
      <c r="E12" s="783" t="s">
        <v>768</v>
      </c>
      <c r="F12" s="704" t="str">
        <f>+InputY!B233</f>
        <v>TaxToRow</v>
      </c>
      <c r="G12" s="3116">
        <v>0</v>
      </c>
      <c r="H12" s="3116">
        <v>0</v>
      </c>
      <c r="I12" s="3116">
        <v>0</v>
      </c>
      <c r="J12" s="3116">
        <v>0</v>
      </c>
      <c r="K12" s="3116">
        <v>0</v>
      </c>
      <c r="L12" s="3116">
        <v>0</v>
      </c>
      <c r="M12" s="3116">
        <v>0</v>
      </c>
      <c r="N12" s="3116">
        <v>0</v>
      </c>
      <c r="O12" s="3116">
        <v>0</v>
      </c>
      <c r="P12" s="706">
        <f>+InputY!P233/1000</f>
        <v>3.4464782205746058E-2</v>
      </c>
      <c r="Q12" s="706" t="e">
        <f>+InputY!Q233/1000</f>
        <v>#VALUE!</v>
      </c>
      <c r="R12" s="706" t="e">
        <f>+InputY!R233/1000</f>
        <v>#VALUE!</v>
      </c>
      <c r="S12" s="706" t="e">
        <f>+InputY!S233/1000</f>
        <v>#VALUE!</v>
      </c>
      <c r="T12" s="706">
        <f>+InputY!T233/1000</f>
        <v>0.11799999999999999</v>
      </c>
      <c r="U12" s="706">
        <f>+InputY!U233/1000</f>
        <v>7.9000000000000001E-2</v>
      </c>
      <c r="V12" s="706">
        <f>+InputY!V233/1000</f>
        <v>8.7999999999999995E-2</v>
      </c>
      <c r="W12" s="706">
        <f>+InputY!W233/1000</f>
        <v>9.1999999999999998E-2</v>
      </c>
      <c r="X12" s="706">
        <f>+InputY!X233/1000</f>
        <v>8.6999999999999994E-2</v>
      </c>
      <c r="Y12" s="1564">
        <f>+InputY!Y233/1000</f>
        <v>0.1</v>
      </c>
      <c r="Z12" s="1564">
        <f>+InputY!Z233/1000</f>
        <v>0.10299999999999999</v>
      </c>
      <c r="AA12" s="1455">
        <f>+InputY!AA233/1000</f>
        <v>0.123</v>
      </c>
      <c r="AB12" s="1455">
        <f>+InputY!AB233/1000</f>
        <v>0.112</v>
      </c>
      <c r="AC12" s="2275">
        <f t="shared" si="4"/>
        <v>0.11648</v>
      </c>
      <c r="AD12" s="2275">
        <f t="shared" si="4"/>
        <v>0.1211392</v>
      </c>
      <c r="AE12" s="2275">
        <f t="shared" si="4"/>
        <v>0.125984768</v>
      </c>
      <c r="AF12" t="s">
        <v>2464</v>
      </c>
    </row>
    <row r="13" spans="1:113" ht="12.75" customHeight="1">
      <c r="A13" s="664">
        <f>+ROW(InputY!A146)</f>
        <v>146</v>
      </c>
      <c r="B13" s="664">
        <v>113</v>
      </c>
      <c r="C13" s="784" t="s">
        <v>1769</v>
      </c>
      <c r="D13" s="752" t="s">
        <v>687</v>
      </c>
      <c r="E13" s="753" t="s">
        <v>1381</v>
      </c>
      <c r="F13" s="754" t="str">
        <f>+InputY!B146</f>
        <v>YATaxIndir</v>
      </c>
      <c r="G13" s="785">
        <f>+InputY!G146/1000</f>
        <v>0.93413999999999997</v>
      </c>
      <c r="H13" s="785">
        <f>+InputY!H146/1000</f>
        <v>1.1237200000000001</v>
      </c>
      <c r="I13" s="785">
        <f>+InputY!I146/1000</f>
        <v>1.58561</v>
      </c>
      <c r="J13" s="785">
        <f>+InputY!J146/1000</f>
        <v>1.7950299999999999</v>
      </c>
      <c r="K13" s="785">
        <f>+InputY!K146/1000</f>
        <v>1.74356</v>
      </c>
      <c r="L13" s="785">
        <f>+InputY!L146/1000</f>
        <v>1.6726099999999999</v>
      </c>
      <c r="M13" s="785">
        <f>+InputY!M146/1000</f>
        <v>1.72933</v>
      </c>
      <c r="N13" s="785">
        <f>+InputY!N146/1000</f>
        <v>1.8834200000000001</v>
      </c>
      <c r="O13" s="785">
        <f>+InputY!O146/1000</f>
        <v>1.94069</v>
      </c>
      <c r="P13" s="785">
        <f>+InputY!P146/1000</f>
        <v>2.0387400000000002</v>
      </c>
      <c r="Q13" s="785">
        <f>+InputY!Q146/1000</f>
        <v>2.3545599999999998</v>
      </c>
      <c r="R13" s="785">
        <f>+InputY!R146/1000</f>
        <v>2.7234699999999998</v>
      </c>
      <c r="S13" s="785">
        <f>+InputY!S146/1000</f>
        <v>3.3773499999999999</v>
      </c>
      <c r="T13" s="785">
        <f>+InputY!T146/1000</f>
        <v>3.79074</v>
      </c>
      <c r="U13" s="785">
        <f>+InputY!U146/1000</f>
        <v>3.1144400000000001</v>
      </c>
      <c r="V13" s="785">
        <f>+InputY!V146/1000</f>
        <v>3.3192600000000003</v>
      </c>
      <c r="W13" s="785">
        <f>+InputY!W146/1000</f>
        <v>3.6286</v>
      </c>
      <c r="X13" s="785">
        <f>+InputY!X146/1000</f>
        <v>3.7240700000000002</v>
      </c>
      <c r="Y13" s="785">
        <f>+InputY!Y146/1000</f>
        <v>3.8413400000000002</v>
      </c>
      <c r="Z13" s="785">
        <f>+InputY!Z146/1000</f>
        <v>4.0795399999999997</v>
      </c>
      <c r="AA13" s="785">
        <f>+InputY!AA146/1000</f>
        <v>4.3436300000000001</v>
      </c>
      <c r="AB13" s="785">
        <f>+InputY!AB146/1000</f>
        <v>4.5327600000000006</v>
      </c>
      <c r="AC13" s="3122">
        <f>+AC8+AC9+AC10+AC11-AC12</f>
        <v>4.9279856999999998</v>
      </c>
      <c r="AD13" s="2232">
        <f>+AD8+AD9+AD10+AD11-AD12</f>
        <v>5.2460899270192165</v>
      </c>
      <c r="AE13" s="2232">
        <f>+AE8+AE9+AE10+AE11-AE12</f>
        <v>5.5409120675982919</v>
      </c>
    </row>
    <row r="14" spans="1:113" s="1972" customFormat="1" ht="12.75" customHeight="1">
      <c r="A14" s="998"/>
      <c r="B14" s="998"/>
      <c r="C14" s="1595"/>
      <c r="D14" s="1011"/>
      <c r="E14" s="1973" t="s">
        <v>737</v>
      </c>
      <c r="F14" s="1974"/>
      <c r="G14" s="1002">
        <f t="shared" ref="G14:Y14" si="5">ABS(+G8+G9+G10+G11-G12-G13)</f>
        <v>1.1102230246251565E-16</v>
      </c>
      <c r="H14" s="1002">
        <f t="shared" si="5"/>
        <v>0</v>
      </c>
      <c r="I14" s="1002">
        <f t="shared" si="5"/>
        <v>9.9999999998434674E-6</v>
      </c>
      <c r="J14" s="1002">
        <f t="shared" si="5"/>
        <v>2.2204460492503131E-16</v>
      </c>
      <c r="K14" s="1002">
        <f t="shared" si="5"/>
        <v>0</v>
      </c>
      <c r="L14" s="1002">
        <f t="shared" si="5"/>
        <v>1.0000000000065512E-5</v>
      </c>
      <c r="M14" s="1002">
        <f t="shared" si="5"/>
        <v>2.2204460492503131E-16</v>
      </c>
      <c r="N14" s="1002">
        <f t="shared" si="5"/>
        <v>9.9999999998434674E-6</v>
      </c>
      <c r="O14" s="1002">
        <f t="shared" si="5"/>
        <v>1.0000000000065512E-5</v>
      </c>
      <c r="P14" s="1002">
        <f t="shared" si="5"/>
        <v>1.5324782205746512E-2</v>
      </c>
      <c r="Q14" s="1002" t="e">
        <f t="shared" si="5"/>
        <v>#VALUE!</v>
      </c>
      <c r="R14" s="1002" t="e">
        <f t="shared" si="5"/>
        <v>#VALUE!</v>
      </c>
      <c r="S14" s="1002" t="e">
        <f t="shared" si="5"/>
        <v>#VALUE!</v>
      </c>
      <c r="T14" s="3217">
        <f t="shared" si="5"/>
        <v>2.2669999999999746E-2</v>
      </c>
      <c r="U14" s="3217">
        <f t="shared" si="5"/>
        <v>1.9500000000000295E-2</v>
      </c>
      <c r="V14" s="3217">
        <f>ABS(+V8+V9+V10+V11-V12-V13)</f>
        <v>3.4140000000000281E-2</v>
      </c>
      <c r="W14" s="3217">
        <f t="shared" si="5"/>
        <v>3.0470000000000219E-2</v>
      </c>
      <c r="X14" s="3217">
        <f t="shared" si="5"/>
        <v>2.2030000000000882E-2</v>
      </c>
      <c r="Y14" s="3217">
        <f t="shared" si="5"/>
        <v>2.5169999999999693E-2</v>
      </c>
      <c r="Z14" s="3217">
        <f t="shared" ref="Z14:AE14" si="6">ABS(+Z8+Z9+Z10+Z11-Z12-Z13)</f>
        <v>1.5949999999999243E-2</v>
      </c>
      <c r="AA14" s="3217">
        <f t="shared" si="6"/>
        <v>1.2909999999999755E-2</v>
      </c>
      <c r="AB14" s="3217">
        <f t="shared" si="6"/>
        <v>7.9200000000012594E-3</v>
      </c>
      <c r="AC14" s="2904">
        <f t="shared" si="6"/>
        <v>0</v>
      </c>
      <c r="AD14" s="2904">
        <f t="shared" si="6"/>
        <v>0</v>
      </c>
      <c r="AE14" s="2904">
        <f t="shared" si="6"/>
        <v>0</v>
      </c>
      <c r="AF14" s="3265"/>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c r="Q15" s="1869"/>
      <c r="X15" s="3268"/>
      <c r="AB15" s="3201"/>
      <c r="AC15" s="2221"/>
      <c r="AD15" s="2221"/>
      <c r="AE15" s="2221"/>
    </row>
    <row r="16" spans="1:113" ht="12.75" customHeight="1">
      <c r="A16" s="664"/>
      <c r="B16" s="664"/>
      <c r="C16" s="774"/>
      <c r="D16" s="742"/>
      <c r="E16" s="743" t="s">
        <v>1311</v>
      </c>
      <c r="F16" s="744"/>
      <c r="G16" s="745">
        <f>+InputY!$G$3</f>
        <v>1995</v>
      </c>
      <c r="H16" s="745">
        <f t="shared" ref="H16:R16" si="7">+G16+1</f>
        <v>1996</v>
      </c>
      <c r="I16" s="745">
        <f t="shared" si="7"/>
        <v>1997</v>
      </c>
      <c r="J16" s="745">
        <f t="shared" si="7"/>
        <v>1998</v>
      </c>
      <c r="K16" s="745">
        <f>+J16+1</f>
        <v>1999</v>
      </c>
      <c r="L16" s="745">
        <f t="shared" si="7"/>
        <v>2000</v>
      </c>
      <c r="M16" s="745">
        <f t="shared" si="7"/>
        <v>2001</v>
      </c>
      <c r="N16" s="745">
        <f t="shared" si="7"/>
        <v>2002</v>
      </c>
      <c r="O16" s="745">
        <f t="shared" si="7"/>
        <v>2003</v>
      </c>
      <c r="P16" s="745">
        <f>+O16+1</f>
        <v>2004</v>
      </c>
      <c r="Q16" s="745">
        <f>+P16+1</f>
        <v>2005</v>
      </c>
      <c r="R16" s="2211">
        <f t="shared" si="7"/>
        <v>2006</v>
      </c>
      <c r="S16" s="2211">
        <f t="shared" ref="S16:X16" si="8">+R16+1</f>
        <v>2007</v>
      </c>
      <c r="T16" s="2211">
        <f t="shared" si="8"/>
        <v>2008</v>
      </c>
      <c r="U16" s="2211">
        <f t="shared" si="8"/>
        <v>2009</v>
      </c>
      <c r="V16" s="2211">
        <f t="shared" si="8"/>
        <v>2010</v>
      </c>
      <c r="W16" s="2211">
        <f t="shared" si="8"/>
        <v>2011</v>
      </c>
      <c r="X16" s="2211">
        <f t="shared" si="8"/>
        <v>2012</v>
      </c>
      <c r="Y16" s="2211">
        <f t="shared" ref="Y16:AE16" si="9">+X16+1</f>
        <v>2013</v>
      </c>
      <c r="Z16" s="2211">
        <f t="shared" si="9"/>
        <v>2014</v>
      </c>
      <c r="AA16" s="2211">
        <f t="shared" si="9"/>
        <v>2015</v>
      </c>
      <c r="AB16" s="2211">
        <f t="shared" si="9"/>
        <v>2016</v>
      </c>
      <c r="AC16" s="2211">
        <f t="shared" si="9"/>
        <v>2017</v>
      </c>
      <c r="AD16" s="2211">
        <f t="shared" si="9"/>
        <v>2018</v>
      </c>
      <c r="AE16" s="2211">
        <f t="shared" si="9"/>
        <v>2019</v>
      </c>
    </row>
    <row r="17" spans="1:31" ht="12.75" customHeight="1">
      <c r="A17" s="664"/>
      <c r="B17" s="664"/>
      <c r="C17" s="794" t="s">
        <v>1767</v>
      </c>
      <c r="D17" s="689" t="s">
        <v>684</v>
      </c>
      <c r="E17" s="738" t="s">
        <v>1766</v>
      </c>
      <c r="F17" s="733" t="str">
        <f>+$F$8</f>
        <v>YATaxProd</v>
      </c>
      <c r="G17" s="739"/>
      <c r="H17" s="739">
        <f t="shared" ref="H17:AC17" si="10">(H8/G8-1)*100</f>
        <v>18.891757740334313</v>
      </c>
      <c r="I17" s="739">
        <f t="shared" si="10"/>
        <v>41.561748214436143</v>
      </c>
      <c r="J17" s="739">
        <f t="shared" si="10"/>
        <v>13.594614789491445</v>
      </c>
      <c r="K17" s="739">
        <f>(K8/J8-1)*100</f>
        <v>-3.690595385009432</v>
      </c>
      <c r="L17" s="739">
        <f t="shared" si="10"/>
        <v>-3.9329577873410404</v>
      </c>
      <c r="M17" s="739">
        <f t="shared" si="10"/>
        <v>2.9218389213607532</v>
      </c>
      <c r="N17" s="739">
        <f t="shared" si="10"/>
        <v>8.8100987254332797</v>
      </c>
      <c r="O17" s="739">
        <f t="shared" si="10"/>
        <v>3.3287077872099058</v>
      </c>
      <c r="P17" s="739">
        <f t="shared" si="10"/>
        <v>4.8324833353269314</v>
      </c>
      <c r="Q17" s="739">
        <f t="shared" si="10"/>
        <v>17.409366734090568</v>
      </c>
      <c r="R17" s="739">
        <f t="shared" si="10"/>
        <v>15.406158752876831</v>
      </c>
      <c r="S17" s="739">
        <f t="shared" si="10"/>
        <v>24.993397205008172</v>
      </c>
      <c r="T17" s="739">
        <f t="shared" si="10"/>
        <v>13.342254914270146</v>
      </c>
      <c r="U17" s="739">
        <f t="shared" si="10"/>
        <v>-19.048519661297213</v>
      </c>
      <c r="V17" s="739">
        <f t="shared" si="10"/>
        <v>6.5523870554309749</v>
      </c>
      <c r="W17" s="739">
        <f t="shared" si="10"/>
        <v>9.6996692226732684</v>
      </c>
      <c r="X17" s="739">
        <f t="shared" si="10"/>
        <v>2.6169713375250536</v>
      </c>
      <c r="Y17" s="739">
        <f t="shared" si="10"/>
        <v>3.2099816628128108</v>
      </c>
      <c r="Z17" s="739">
        <f t="shared" si="10"/>
        <v>6.2326948222638512</v>
      </c>
      <c r="AA17" s="739">
        <f t="shared" si="10"/>
        <v>6.8715056860719992</v>
      </c>
      <c r="AB17" s="739">
        <f t="shared" si="10"/>
        <v>4.8932699134903057</v>
      </c>
      <c r="AC17" s="739">
        <f t="shared" si="10"/>
        <v>8.9684525089707368</v>
      </c>
      <c r="AD17" s="2213">
        <v>6.4546061541814561</v>
      </c>
      <c r="AE17" s="2213">
        <v>5.6</v>
      </c>
    </row>
    <row r="18" spans="1:31" ht="12.75" customHeight="1">
      <c r="A18" s="664"/>
      <c r="B18" s="664"/>
      <c r="C18" s="795" t="s">
        <v>1767</v>
      </c>
      <c r="D18" s="674" t="s">
        <v>685</v>
      </c>
      <c r="E18" s="783" t="s">
        <v>1374</v>
      </c>
      <c r="F18" s="704" t="str">
        <f>+$F$9</f>
        <v>$HTaxOth</v>
      </c>
      <c r="G18" s="706"/>
      <c r="H18" s="706">
        <f t="shared" ref="H18:AB18" si="11">(H9/G9-1)*100</f>
        <v>267.99037304452469</v>
      </c>
      <c r="I18" s="706">
        <f t="shared" si="11"/>
        <v>-58.567691301504254</v>
      </c>
      <c r="J18" s="706">
        <f t="shared" si="11"/>
        <v>-5.9984214680347314</v>
      </c>
      <c r="K18" s="706">
        <f>(K9/J9-1)*100</f>
        <v>-2.3509655751469238</v>
      </c>
      <c r="L18" s="706">
        <f t="shared" si="11"/>
        <v>36.285468615649165</v>
      </c>
      <c r="M18" s="706">
        <f t="shared" si="11"/>
        <v>31.419558359621448</v>
      </c>
      <c r="N18" s="706">
        <f t="shared" si="11"/>
        <v>71.915506481036999</v>
      </c>
      <c r="O18" s="706">
        <f t="shared" si="11"/>
        <v>-56.380899190170354</v>
      </c>
      <c r="P18" s="706">
        <f t="shared" si="11"/>
        <v>27.528809218950066</v>
      </c>
      <c r="Q18" s="706">
        <f t="shared" si="11"/>
        <v>13.403614457831313</v>
      </c>
      <c r="R18" s="706">
        <f t="shared" si="11"/>
        <v>-6.8614431164231942</v>
      </c>
      <c r="S18" s="706">
        <f t="shared" si="11"/>
        <v>16.730038022813677</v>
      </c>
      <c r="T18" s="706">
        <f t="shared" si="11"/>
        <v>17.38599348534202</v>
      </c>
      <c r="U18" s="706">
        <f t="shared" si="11"/>
        <v>-23.864030523759961</v>
      </c>
      <c r="V18" s="706">
        <f t="shared" si="11"/>
        <v>34.123006833712985</v>
      </c>
      <c r="W18" s="706">
        <f t="shared" si="11"/>
        <v>-19.327445652173914</v>
      </c>
      <c r="X18" s="706">
        <f t="shared" si="11"/>
        <v>-6.7789473684210506</v>
      </c>
      <c r="Y18" s="706">
        <f t="shared" si="11"/>
        <v>-9.033423667569318E-2</v>
      </c>
      <c r="Z18" s="706">
        <f t="shared" si="11"/>
        <v>-19.620253164556967</v>
      </c>
      <c r="AA18" s="706">
        <f t="shared" si="11"/>
        <v>36.895388076490441</v>
      </c>
      <c r="AB18" s="706">
        <f t="shared" si="11"/>
        <v>0.90386195562859317</v>
      </c>
      <c r="AC18" s="2215">
        <v>7</v>
      </c>
      <c r="AD18" s="2215">
        <v>7</v>
      </c>
      <c r="AE18" s="2215">
        <v>7</v>
      </c>
    </row>
    <row r="19" spans="1:31" ht="12.75" customHeight="1">
      <c r="A19" s="664"/>
      <c r="B19" s="664"/>
      <c r="C19" s="795" t="s">
        <v>1767</v>
      </c>
      <c r="D19" s="674" t="s">
        <v>686</v>
      </c>
      <c r="E19" s="783" t="s">
        <v>1374</v>
      </c>
      <c r="F19" s="704" t="str">
        <f>+$F$10</f>
        <v>$ETaxProd</v>
      </c>
      <c r="G19" s="706"/>
      <c r="H19" s="706">
        <f t="shared" ref="H19:AB20" si="12">(H10/G10-1)*100</f>
        <v>-16.448445171849425</v>
      </c>
      <c r="I19" s="706">
        <f t="shared" si="12"/>
        <v>168.31537708129284</v>
      </c>
      <c r="J19" s="706">
        <f t="shared" si="12"/>
        <v>7.8116444606679991</v>
      </c>
      <c r="K19" s="706">
        <f>(K10/J10-1)*100</f>
        <v>20.230235314034207</v>
      </c>
      <c r="L19" s="706">
        <f t="shared" si="12"/>
        <v>-13.897493663756688</v>
      </c>
      <c r="M19" s="706">
        <f t="shared" si="12"/>
        <v>7.4407195421095862</v>
      </c>
      <c r="N19" s="706">
        <f t="shared" si="12"/>
        <v>-8.6301369863013839</v>
      </c>
      <c r="O19" s="706">
        <f t="shared" si="12"/>
        <v>30.251540896218554</v>
      </c>
      <c r="P19" s="706">
        <f t="shared" si="12"/>
        <v>28.29006266786034</v>
      </c>
      <c r="Q19" s="706">
        <f t="shared" si="12"/>
        <v>9.2313827135878768</v>
      </c>
      <c r="R19" s="706">
        <f t="shared" si="12"/>
        <v>25.043351282285297</v>
      </c>
      <c r="S19" s="706">
        <f t="shared" si="12"/>
        <v>14.787241807167373</v>
      </c>
      <c r="T19" s="706">
        <f t="shared" si="12"/>
        <v>-2.8486043110574455</v>
      </c>
      <c r="U19" s="706">
        <f t="shared" si="12"/>
        <v>0.37960599515676208</v>
      </c>
      <c r="V19" s="706">
        <f t="shared" si="12"/>
        <v>-2.8623590011084388</v>
      </c>
      <c r="W19" s="706">
        <f t="shared" si="12"/>
        <v>8.3501141092763973</v>
      </c>
      <c r="X19" s="706">
        <f t="shared" si="12"/>
        <v>4.9374303060339519</v>
      </c>
      <c r="Y19" s="706">
        <f t="shared" si="12"/>
        <v>6.5824428832870874</v>
      </c>
      <c r="Z19" s="706">
        <f t="shared" si="12"/>
        <v>12.678630774343658</v>
      </c>
      <c r="AA19" s="706">
        <f t="shared" si="12"/>
        <v>6.0168116796932569</v>
      </c>
      <c r="AB19" s="706">
        <f t="shared" si="12"/>
        <v>-10.775722168127222</v>
      </c>
      <c r="AC19" s="2215">
        <v>5</v>
      </c>
      <c r="AD19" s="2215">
        <v>5</v>
      </c>
      <c r="AE19" s="2215">
        <v>5</v>
      </c>
    </row>
    <row r="20" spans="1:31" ht="12.75" customHeight="1">
      <c r="A20" s="664"/>
      <c r="B20" s="664"/>
      <c r="C20" s="795" t="s">
        <v>1767</v>
      </c>
      <c r="D20" s="674" t="s">
        <v>687</v>
      </c>
      <c r="E20" s="783" t="s">
        <v>1374</v>
      </c>
      <c r="F20" s="704" t="s">
        <v>215</v>
      </c>
      <c r="G20" s="706"/>
      <c r="H20" s="706">
        <f t="shared" ref="H20:P20" si="13">(H11/G11-1)*100</f>
        <v>55.438596491228068</v>
      </c>
      <c r="I20" s="706">
        <f t="shared" si="13"/>
        <v>32.505643340857794</v>
      </c>
      <c r="J20" s="706">
        <f t="shared" si="13"/>
        <v>5.110732538330498</v>
      </c>
      <c r="K20" s="706">
        <f>(K11/J11-1)*100</f>
        <v>4.2139384116693712</v>
      </c>
      <c r="L20" s="706">
        <f t="shared" si="13"/>
        <v>-3.7325038880248851</v>
      </c>
      <c r="M20" s="706">
        <f t="shared" si="13"/>
        <v>12.277867528271402</v>
      </c>
      <c r="N20" s="706">
        <f t="shared" si="13"/>
        <v>9.6402877697841625</v>
      </c>
      <c r="O20" s="706">
        <f t="shared" si="13"/>
        <v>0.65616797900263091</v>
      </c>
      <c r="P20" s="706">
        <f t="shared" si="13"/>
        <v>24.511082138200813</v>
      </c>
      <c r="Q20" s="706">
        <f t="shared" si="12"/>
        <v>-56.544502617801051</v>
      </c>
      <c r="R20" s="706">
        <f t="shared" si="12"/>
        <v>-13.253012048192769</v>
      </c>
      <c r="S20" s="706">
        <f t="shared" si="12"/>
        <v>1.1111111111111072</v>
      </c>
      <c r="T20" s="706">
        <f t="shared" si="12"/>
        <v>-10.164835164835173</v>
      </c>
      <c r="U20" s="706">
        <f t="shared" ref="U20:AB20" si="14">(U11/T11-1)*100</f>
        <v>-24.770642201834857</v>
      </c>
      <c r="V20" s="706">
        <f t="shared" si="14"/>
        <v>-9.7560975609755971</v>
      </c>
      <c r="W20" s="706">
        <f t="shared" si="14"/>
        <v>27.027027027027039</v>
      </c>
      <c r="X20" s="706">
        <f t="shared" si="14"/>
        <v>31.914893617021267</v>
      </c>
      <c r="Y20" s="706">
        <f t="shared" si="14"/>
        <v>17.204301075268823</v>
      </c>
      <c r="Z20" s="706">
        <f t="shared" si="14"/>
        <v>15.825688073394485</v>
      </c>
      <c r="AA20" s="706">
        <f t="shared" si="14"/>
        <v>-48.118811881188115</v>
      </c>
      <c r="AB20" s="706">
        <f t="shared" si="14"/>
        <v>3.0534351145038219</v>
      </c>
      <c r="AC20" s="2215">
        <f>AC19</f>
        <v>5</v>
      </c>
      <c r="AD20" s="2215">
        <f>AD19</f>
        <v>5</v>
      </c>
      <c r="AE20" s="2215">
        <f>AE19</f>
        <v>5</v>
      </c>
    </row>
    <row r="21" spans="1:31" ht="12.75" customHeight="1">
      <c r="A21" s="664"/>
      <c r="B21" s="664"/>
      <c r="C21" s="796" t="s">
        <v>401</v>
      </c>
      <c r="D21" s="691" t="s">
        <v>688</v>
      </c>
      <c r="E21" s="797" t="s">
        <v>768</v>
      </c>
      <c r="F21" s="736" t="str">
        <f>+$F$12</f>
        <v>TaxToRow</v>
      </c>
      <c r="G21" s="741"/>
      <c r="H21" s="3117">
        <v>0</v>
      </c>
      <c r="I21" s="3117">
        <v>0</v>
      </c>
      <c r="J21" s="3117">
        <v>0</v>
      </c>
      <c r="K21" s="3117">
        <v>0</v>
      </c>
      <c r="L21" s="3117">
        <v>0</v>
      </c>
      <c r="M21" s="3117">
        <v>0</v>
      </c>
      <c r="N21" s="3117">
        <v>0</v>
      </c>
      <c r="O21" s="3117">
        <v>0</v>
      </c>
      <c r="P21" s="3117">
        <v>0</v>
      </c>
      <c r="Q21" s="741" t="e">
        <f t="shared" ref="Q21:W22" si="15">(Q12/P12-1)*100</f>
        <v>#VALUE!</v>
      </c>
      <c r="R21" s="741" t="e">
        <f t="shared" si="15"/>
        <v>#VALUE!</v>
      </c>
      <c r="S21" s="741" t="e">
        <f t="shared" si="15"/>
        <v>#VALUE!</v>
      </c>
      <c r="T21" s="741" t="e">
        <f t="shared" si="15"/>
        <v>#VALUE!</v>
      </c>
      <c r="U21" s="741">
        <f t="shared" si="15"/>
        <v>-33.050847457627121</v>
      </c>
      <c r="V21" s="741">
        <f t="shared" si="15"/>
        <v>11.392405063291132</v>
      </c>
      <c r="W21" s="741">
        <f t="shared" si="15"/>
        <v>4.5454545454545414</v>
      </c>
      <c r="X21" s="741">
        <v>6.3398226881925916</v>
      </c>
      <c r="Y21" s="741">
        <v>6.3398226881925916</v>
      </c>
      <c r="Z21" s="741">
        <v>6.3398226881925916</v>
      </c>
      <c r="AA21" s="741">
        <v>6.3398226881925916</v>
      </c>
      <c r="AB21" s="741">
        <v>6.3398226881925916</v>
      </c>
      <c r="AC21" s="2214">
        <v>4</v>
      </c>
      <c r="AD21" s="2214">
        <v>4</v>
      </c>
      <c r="AE21" s="2214">
        <v>4</v>
      </c>
    </row>
    <row r="22" spans="1:31" ht="12.75" customHeight="1">
      <c r="A22" s="664"/>
      <c r="B22" s="664"/>
      <c r="C22" s="774" t="s">
        <v>1769</v>
      </c>
      <c r="D22" s="717" t="s">
        <v>687</v>
      </c>
      <c r="E22" s="722" t="s">
        <v>1381</v>
      </c>
      <c r="F22" s="723" t="str">
        <f>+$F$13</f>
        <v>YATaxIndir</v>
      </c>
      <c r="G22" s="721"/>
      <c r="H22" s="721">
        <f t="shared" ref="H22:V22" si="16">(H13/G13-1)*100</f>
        <v>20.294602522105908</v>
      </c>
      <c r="I22" s="721">
        <f t="shared" si="16"/>
        <v>41.103655714946782</v>
      </c>
      <c r="J22" s="721">
        <f t="shared" si="16"/>
        <v>13.207535270337601</v>
      </c>
      <c r="K22" s="721">
        <f>(K13/J13-1)*100</f>
        <v>-2.8673615482749493</v>
      </c>
      <c r="L22" s="721">
        <f t="shared" si="16"/>
        <v>-4.069260593268953</v>
      </c>
      <c r="M22" s="721">
        <f t="shared" si="16"/>
        <v>3.3911073113278123</v>
      </c>
      <c r="N22" s="721">
        <f t="shared" si="16"/>
        <v>8.9103872598058196</v>
      </c>
      <c r="O22" s="721">
        <f t="shared" si="16"/>
        <v>3.0407450276624504</v>
      </c>
      <c r="P22" s="721">
        <f t="shared" si="16"/>
        <v>5.0523267497642799</v>
      </c>
      <c r="Q22" s="721">
        <f t="shared" si="16"/>
        <v>15.490940482847225</v>
      </c>
      <c r="R22" s="721">
        <f>(R13/Q13-1)*100</f>
        <v>15.667895487904326</v>
      </c>
      <c r="S22" s="721">
        <f t="shared" si="16"/>
        <v>24.009076655883852</v>
      </c>
      <c r="T22" s="721">
        <f t="shared" si="16"/>
        <v>12.240069877270642</v>
      </c>
      <c r="U22" s="721">
        <f t="shared" si="16"/>
        <v>-17.840843740272348</v>
      </c>
      <c r="V22" s="721">
        <f t="shared" si="16"/>
        <v>6.5764631843927113</v>
      </c>
      <c r="W22" s="721">
        <f t="shared" si="15"/>
        <v>9.3195471279742925</v>
      </c>
      <c r="X22" s="721">
        <f t="shared" ref="X22:AE22" si="17">(X13/W13-1)*100</f>
        <v>2.6310422752576779</v>
      </c>
      <c r="Y22" s="721">
        <f t="shared" si="17"/>
        <v>3.1489741062869392</v>
      </c>
      <c r="Z22" s="721">
        <f t="shared" si="17"/>
        <v>6.2009611229414618</v>
      </c>
      <c r="AA22" s="721">
        <f t="shared" si="17"/>
        <v>6.4735239757423679</v>
      </c>
      <c r="AB22" s="721">
        <f t="shared" si="17"/>
        <v>4.3541922309220826</v>
      </c>
      <c r="AC22" s="2220">
        <f t="shared" si="17"/>
        <v>8.7193167077012532</v>
      </c>
      <c r="AD22" s="2220">
        <f t="shared" si="17"/>
        <v>6.4550558054423002</v>
      </c>
      <c r="AE22" s="2220">
        <f t="shared" si="17"/>
        <v>5.6198453453997654</v>
      </c>
    </row>
    <row r="23" spans="1:31" ht="12.75" customHeight="1">
      <c r="A23" s="664"/>
      <c r="B23" s="664"/>
      <c r="C23" s="774"/>
      <c r="D23" s="806"/>
      <c r="E23" s="807" t="s">
        <v>660</v>
      </c>
      <c r="F23" s="808" t="s">
        <v>661</v>
      </c>
      <c r="G23" s="809"/>
      <c r="H23" s="809">
        <f>+$F$36*'VVP2'!H188</f>
        <v>25.622229970634393</v>
      </c>
      <c r="I23" s="809">
        <f>+$F$36*'VVP2'!I188</f>
        <v>15.393575341015197</v>
      </c>
      <c r="J23" s="809">
        <f>+$F$36*'VVP2'!J188</f>
        <v>10.775243593166062</v>
      </c>
      <c r="K23" s="809">
        <f>+$F$36*'VVP2'!K188</f>
        <v>3.6730088323411403</v>
      </c>
      <c r="L23" s="809">
        <f>+$F$36*'VVP2'!L188</f>
        <v>5.2293294753600117</v>
      </c>
      <c r="M23" s="809">
        <f>+$F$36*'VVP2'!M188</f>
        <v>6.639982788553489</v>
      </c>
      <c r="N23" s="809">
        <f>+$F$36*'VVP2'!N188</f>
        <v>5.75453957965395</v>
      </c>
      <c r="O23" s="809">
        <f>+$F$36*'VVP2'!O188</f>
        <v>9.5645769105996195</v>
      </c>
      <c r="P23" s="809">
        <f>+$F$36*'VVP2'!P188</f>
        <v>10.699275045204937</v>
      </c>
      <c r="Q23" s="809">
        <f>+$F$36*'VVP2'!Q188</f>
        <v>14.248369091637048</v>
      </c>
      <c r="R23" s="809">
        <f>+$F$36*'VVP2'!R188</f>
        <v>14.18500075093425</v>
      </c>
      <c r="S23" s="809">
        <f>+$F$36*'VVP2'!S188</f>
        <v>19.025147906103477</v>
      </c>
      <c r="T23" s="2253">
        <f>+$F$36*'VVP2'!T188</f>
        <v>15.168621188573962</v>
      </c>
      <c r="U23" s="2253">
        <f>+$F$36*'VVP2'!U188</f>
        <v>-13.759763847413298</v>
      </c>
      <c r="V23" s="2253">
        <f>+$F$36*'VVP2'!V188</f>
        <v>-2.1262160226752647</v>
      </c>
      <c r="W23" s="2253">
        <f>+$F$36*'VVP2'!W188</f>
        <v>8.9064469500499612</v>
      </c>
      <c r="X23" s="2253">
        <f>+$F$36*'VVP2'!X188</f>
        <v>6.2742499558684717</v>
      </c>
      <c r="Y23" s="2253">
        <f>+$F$36*'VVP2'!Y188</f>
        <v>5.3520737522436024</v>
      </c>
      <c r="Z23" s="2253">
        <f>+$F$36*'VVP2'!Z188</f>
        <v>4.0906766427303953</v>
      </c>
      <c r="AA23" s="2253">
        <f>+$F$36*'VVP2'!AA188</f>
        <v>3.0593383975462629</v>
      </c>
      <c r="AB23" s="2253">
        <f>+$F$36*'VVP2'!AB188</f>
        <v>5.9202577870326012</v>
      </c>
      <c r="AC23" s="2253">
        <f>+$F$36*'VVP2'!AC188</f>
        <v>7.790787561124124</v>
      </c>
      <c r="AD23" s="2253">
        <f ca="1">+$F$36*'VVP2'!AD188</f>
        <v>6.190999999999991</v>
      </c>
      <c r="AE23" s="2253">
        <f ca="1">+$F$36*'VVP2'!AE188</f>
        <v>5.5725999999999942</v>
      </c>
    </row>
    <row r="24" spans="1:31" ht="12.75" customHeight="1">
      <c r="A24" s="664"/>
      <c r="B24" s="664"/>
      <c r="C24" s="774"/>
      <c r="E24" s="786"/>
      <c r="F24" s="787"/>
      <c r="G24" s="703"/>
      <c r="H24" s="788"/>
      <c r="I24" s="703"/>
      <c r="J24" s="703"/>
      <c r="K24" s="703"/>
      <c r="L24" s="703"/>
      <c r="M24" s="703"/>
      <c r="N24" s="703"/>
      <c r="O24" s="703"/>
      <c r="P24" s="703"/>
      <c r="Q24" s="845"/>
      <c r="R24" s="2254"/>
      <c r="S24" s="2254"/>
      <c r="T24" s="2254"/>
      <c r="U24" s="2254"/>
      <c r="V24" s="2254"/>
      <c r="W24" s="2254"/>
      <c r="X24" s="2254"/>
      <c r="Y24" s="2254"/>
      <c r="Z24" s="2254"/>
      <c r="AA24" s="2254"/>
      <c r="AB24" s="2254"/>
      <c r="AC24" s="2254"/>
      <c r="AD24" s="2254"/>
      <c r="AE24" s="2254"/>
    </row>
    <row r="25" spans="1:31" ht="12.75" customHeight="1">
      <c r="A25" s="664"/>
      <c r="B25" s="664"/>
      <c r="C25" s="774"/>
      <c r="D25" s="818"/>
      <c r="E25" s="819" t="s">
        <v>512</v>
      </c>
      <c r="F25" s="820"/>
      <c r="G25" s="821">
        <f>+InputY!$G$3</f>
        <v>1995</v>
      </c>
      <c r="H25" s="821">
        <f t="shared" ref="H25:O25" si="18">+G25+1</f>
        <v>1996</v>
      </c>
      <c r="I25" s="821">
        <f t="shared" si="18"/>
        <v>1997</v>
      </c>
      <c r="J25" s="821">
        <f t="shared" si="18"/>
        <v>1998</v>
      </c>
      <c r="K25" s="821">
        <f>+J25+1</f>
        <v>1999</v>
      </c>
      <c r="L25" s="821">
        <f t="shared" si="18"/>
        <v>2000</v>
      </c>
      <c r="M25" s="821">
        <f t="shared" si="18"/>
        <v>2001</v>
      </c>
      <c r="N25" s="821">
        <f t="shared" si="18"/>
        <v>2002</v>
      </c>
      <c r="O25" s="821">
        <f t="shared" si="18"/>
        <v>2003</v>
      </c>
      <c r="P25" s="821">
        <f t="shared" ref="P25:V25" si="19">+O25+1</f>
        <v>2004</v>
      </c>
      <c r="Q25" s="821">
        <f t="shared" si="19"/>
        <v>2005</v>
      </c>
      <c r="R25" s="821">
        <f t="shared" si="19"/>
        <v>2006</v>
      </c>
      <c r="S25" s="821">
        <f>+R25+1</f>
        <v>2007</v>
      </c>
      <c r="T25" s="821">
        <f>+S25+1</f>
        <v>2008</v>
      </c>
      <c r="U25" s="821">
        <f>+T25+1</f>
        <v>2009</v>
      </c>
      <c r="V25" s="821">
        <f t="shared" si="19"/>
        <v>2010</v>
      </c>
      <c r="W25" s="821">
        <f t="shared" ref="W25:AE25" si="20">+V25+1</f>
        <v>2011</v>
      </c>
      <c r="X25" s="821">
        <f t="shared" si="20"/>
        <v>2012</v>
      </c>
      <c r="Y25" s="821">
        <f t="shared" si="20"/>
        <v>2013</v>
      </c>
      <c r="Z25" s="821">
        <f t="shared" si="20"/>
        <v>2014</v>
      </c>
      <c r="AA25" s="821">
        <f t="shared" si="20"/>
        <v>2015</v>
      </c>
      <c r="AB25" s="821">
        <f t="shared" si="20"/>
        <v>2016</v>
      </c>
      <c r="AC25" s="821">
        <f t="shared" si="20"/>
        <v>2017</v>
      </c>
      <c r="AD25" s="821">
        <f t="shared" si="20"/>
        <v>2018</v>
      </c>
      <c r="AE25" s="821">
        <f t="shared" si="20"/>
        <v>2019</v>
      </c>
    </row>
    <row r="26" spans="1:31" ht="12.75" customHeight="1">
      <c r="A26" s="664"/>
      <c r="B26" s="664"/>
      <c r="C26" s="822" t="s">
        <v>1767</v>
      </c>
      <c r="D26" s="823" t="s">
        <v>684</v>
      </c>
      <c r="E26" s="824" t="s">
        <v>1766</v>
      </c>
      <c r="F26" s="825" t="str">
        <f>+$F$8</f>
        <v>YATaxProd</v>
      </c>
      <c r="G26" s="838">
        <f>+G8/'VVP2'!G$341</f>
        <v>0.11572368192279507</v>
      </c>
      <c r="H26" s="838">
        <f>+H8/'VVP2'!H$341</f>
        <v>0.10997256579319857</v>
      </c>
      <c r="I26" s="838">
        <f>+I8/'VVP2'!I$341</f>
        <v>0.12898721804383018</v>
      </c>
      <c r="J26" s="838">
        <f>+J8/'VVP2'!J$341</f>
        <v>0.13192176907316563</v>
      </c>
      <c r="K26" s="838">
        <f>+K8/'VVP2'!K$341</f>
        <v>0.13015021931894702</v>
      </c>
      <c r="L26" s="838">
        <f>+L8/'VVP2'!L$341</f>
        <v>0.11889501787079468</v>
      </c>
      <c r="M26" s="838">
        <f>+M8/'VVP2'!M$341</f>
        <v>0.11524517912546529</v>
      </c>
      <c r="N26" s="838">
        <f>+N8/'VVP2'!N$341</f>
        <v>0.11708657382465792</v>
      </c>
      <c r="O26" s="838">
        <f>+O8/'VVP2'!O$341</f>
        <v>0.11034119487799729</v>
      </c>
      <c r="P26" s="838">
        <f>+P8/'VVP2'!P$341</f>
        <v>0.10572045189859258</v>
      </c>
      <c r="Q26" s="838">
        <f>+Q8/'VVP2'!Q$341</f>
        <v>0.10778650960487755</v>
      </c>
      <c r="R26" s="838">
        <f>+R8/'VVP2'!R$341</f>
        <v>0.10849746544525186</v>
      </c>
      <c r="S26" s="838">
        <f>+S8/'VVP2'!S$341</f>
        <v>0.11244544717647602</v>
      </c>
      <c r="T26" s="838">
        <f>+T8/'VVP2'!T$341</f>
        <v>0.11319881038454527</v>
      </c>
      <c r="U26" s="838">
        <f>+U8/'VVP2'!U$341</f>
        <v>0.11123742427088801</v>
      </c>
      <c r="V26" s="2909">
        <f>+V8/'VVP2'!V$341</f>
        <v>0.11390462136332466</v>
      </c>
      <c r="W26" s="2909">
        <f>+W8/'VVP2'!W$341</f>
        <v>0.11197775114691072</v>
      </c>
      <c r="X26" s="2909">
        <f>+X8/'VVP2'!X$341</f>
        <v>0.10776473170591282</v>
      </c>
      <c r="Y26" s="2909">
        <f>+Y8/'VVP2'!Y$341</f>
        <v>0.10609803015762458</v>
      </c>
      <c r="Z26" s="2909">
        <f>+Z8/'VVP2'!Z$341</f>
        <v>0.10775267526938646</v>
      </c>
      <c r="AA26" s="2909">
        <f>+AA8/'VVP2'!AA$341</f>
        <v>0.11251593451824785</v>
      </c>
      <c r="AB26" s="2909">
        <f>+AB8/'VVP2'!AB$341</f>
        <v>0.11423175353881418</v>
      </c>
      <c r="AC26" s="2909">
        <f ca="1">+AC8/'VVP2'!AC$341</f>
        <v>0.11520695718559466</v>
      </c>
      <c r="AD26" s="2909">
        <f ca="1">+AD8/'VVP2'!AD$341</f>
        <v>0.11589683201181163</v>
      </c>
      <c r="AE26" s="2909">
        <f ca="1">+AE8/'VVP2'!AE$341</f>
        <v>0.11592453175961312</v>
      </c>
    </row>
    <row r="27" spans="1:31" ht="12.75" customHeight="1">
      <c r="A27" s="664"/>
      <c r="B27" s="664"/>
      <c r="C27" s="826" t="s">
        <v>1767</v>
      </c>
      <c r="D27" s="674" t="s">
        <v>685</v>
      </c>
      <c r="E27" s="783" t="s">
        <v>1374</v>
      </c>
      <c r="F27" s="704" t="str">
        <f>+$F$9</f>
        <v>$HTaxOth</v>
      </c>
      <c r="G27" s="839">
        <f>+G9/'VVP2'!G$341</f>
        <v>1.0702515155456931E-3</v>
      </c>
      <c r="H27" s="839">
        <f>+H9/'VVP2'!H$341</f>
        <v>3.1479851556749689E-3</v>
      </c>
      <c r="I27" s="839">
        <f>+I9/'VVP2'!I$341</f>
        <v>1.0806578451324339E-3</v>
      </c>
      <c r="J27" s="839">
        <f>+J9/'VVP2'!J$341</f>
        <v>9.1460886072449929E-4</v>
      </c>
      <c r="K27" s="839">
        <f>+K9/'VVP2'!K$341</f>
        <v>9.1487781700555699E-4</v>
      </c>
      <c r="L27" s="839">
        <f>+L9/'VVP2'!L$341</f>
        <v>1.1856513003265963E-3</v>
      </c>
      <c r="M27" s="839">
        <f>+M9/'VVP2'!M$341</f>
        <v>1.4674677269819619E-3</v>
      </c>
      <c r="N27" s="839">
        <f>+N9/'VVP2'!N$341</f>
        <v>2.3555847619122798E-3</v>
      </c>
      <c r="O27" s="839">
        <f>+O9/'VVP2'!O$341</f>
        <v>9.3709804373284182E-4</v>
      </c>
      <c r="P27" s="839">
        <f>+P9/'VVP2'!P$341</f>
        <v>1.0922417933820676E-3</v>
      </c>
      <c r="Q27" s="839">
        <f>+Q9/'VVP2'!Q$341</f>
        <v>1.0755939216325792E-3</v>
      </c>
      <c r="R27" s="839">
        <f>+R9/'VVP2'!R$341</f>
        <v>8.7378390792377473E-4</v>
      </c>
      <c r="S27" s="839">
        <f>+S9/'VVP2'!S$341</f>
        <v>8.4571080684805371E-4</v>
      </c>
      <c r="T27" s="839">
        <f>+T9/'VVP2'!T$341</f>
        <v>8.8175168551284718E-4</v>
      </c>
      <c r="U27" s="839">
        <f>+U9/'VVP2'!U$341</f>
        <v>8.1493026498784856E-4</v>
      </c>
      <c r="V27" s="2910">
        <f>+V9/'VVP2'!V$341</f>
        <v>1.0503909352404018E-3</v>
      </c>
      <c r="W27" s="2910">
        <f>+W9/'VVP2'!W$341</f>
        <v>7.593847161276048E-4</v>
      </c>
      <c r="X27" s="2910">
        <f>+X9/'VVP2'!X$341</f>
        <v>6.6389832460130114E-4</v>
      </c>
      <c r="Y27" s="2910">
        <f>+Y9/'VVP2'!Y$341</f>
        <v>6.3272944666208043E-4</v>
      </c>
      <c r="Z27" s="2910">
        <f>+Z9/'VVP2'!Z$341</f>
        <v>4.8621373496374453E-4</v>
      </c>
      <c r="AA27" s="2910">
        <f>+AA9/'VVP2'!AA$341</f>
        <v>6.5033942427593621E-4</v>
      </c>
      <c r="AB27" s="2910">
        <f>+AB9/'VVP2'!AB$341</f>
        <v>6.3514525585802535E-4</v>
      </c>
      <c r="AC27" s="2910">
        <f ca="1">+AC9/'VVP2'!AC$341</f>
        <v>6.2899604622019807E-4</v>
      </c>
      <c r="AD27" s="2910">
        <f ca="1">+AD9/'VVP2'!AD$341</f>
        <v>6.3600436201016448E-4</v>
      </c>
      <c r="AE27" s="2910">
        <f ca="1">+AE9/'VVP2'!AE$341</f>
        <v>6.4459026053425E-4</v>
      </c>
    </row>
    <row r="28" spans="1:31" ht="12.75" customHeight="1">
      <c r="A28" s="664"/>
      <c r="B28" s="664"/>
      <c r="C28" s="826" t="s">
        <v>1767</v>
      </c>
      <c r="D28" s="674" t="s">
        <v>686</v>
      </c>
      <c r="E28" s="783" t="s">
        <v>1374</v>
      </c>
      <c r="F28" s="704" t="str">
        <f>+$F$10</f>
        <v>$ETaxProd</v>
      </c>
      <c r="G28" s="839">
        <f>+G10/'VVP2'!G$341</f>
        <v>3.1476470565507506E-3</v>
      </c>
      <c r="H28" s="839">
        <f>+H10/'VVP2'!H$341</f>
        <v>2.1020881909379618E-3</v>
      </c>
      <c r="I28" s="839">
        <f>+I10/'VVP2'!I$341</f>
        <v>4.6731841621788514E-3</v>
      </c>
      <c r="J28" s="839">
        <f>+J10/'VVP2'!J$341</f>
        <v>4.536183493114708E-3</v>
      </c>
      <c r="K28" s="839">
        <f>+K10/'VVP2'!K$341</f>
        <v>5.5868119143365992E-3</v>
      </c>
      <c r="L28" s="839">
        <f>+L10/'VVP2'!L$341</f>
        <v>4.5742950798089189E-3</v>
      </c>
      <c r="M28" s="839">
        <f>+M10/'VVP2'!M$341</f>
        <v>4.6285467912969237E-3</v>
      </c>
      <c r="N28" s="839">
        <f>+N10/'VVP2'!N$341</f>
        <v>3.9487783651939159E-3</v>
      </c>
      <c r="O28" s="839">
        <f>+O10/'VVP2'!O$341</f>
        <v>4.690889631208125E-3</v>
      </c>
      <c r="P28" s="839">
        <f>+P10/'VVP2'!P$341</f>
        <v>5.5001392717949392E-3</v>
      </c>
      <c r="Q28" s="839">
        <f>+Q10/'VVP2'!Q$341</f>
        <v>5.2170352365330536E-3</v>
      </c>
      <c r="R28" s="839">
        <f>+R10/'VVP2'!R$341</f>
        <v>5.6899778148591434E-3</v>
      </c>
      <c r="S28" s="839">
        <f>+S10/'VVP2'!S$341</f>
        <v>5.415510529030677E-3</v>
      </c>
      <c r="T28" s="839">
        <f>+T10/'VVP2'!T$341</f>
        <v>4.6730086725462342E-3</v>
      </c>
      <c r="U28" s="839">
        <f>+U10/'VVP2'!U$341</f>
        <v>5.6941163891201059E-3</v>
      </c>
      <c r="V28" s="2910">
        <f>+V10/'VVP2'!V$341</f>
        <v>5.315463367259343E-3</v>
      </c>
      <c r="W28" s="2910">
        <f>+W10/'VVP2'!W$341</f>
        <v>5.1612581422028608E-3</v>
      </c>
      <c r="X28" s="2910">
        <f>+X10/'VVP2'!X$341</f>
        <v>5.0793919243095932E-3</v>
      </c>
      <c r="Y28" s="2910">
        <f>+Y10/'VVP2'!Y$341</f>
        <v>5.1642393445014458E-3</v>
      </c>
      <c r="Z28" s="2910">
        <f>+Z10/'VVP2'!Z$341</f>
        <v>5.5630180035812458E-3</v>
      </c>
      <c r="AA28" s="2910">
        <f>+AA10/'VVP2'!AA$341</f>
        <v>5.7624775527358738E-3</v>
      </c>
      <c r="AB28" s="2910">
        <f>+AB10/'VVP2'!AB$341</f>
        <v>4.9764251459592764E-3</v>
      </c>
      <c r="AC28" s="2910">
        <f ca="1">+AC10/'VVP2'!AC$341</f>
        <v>4.8361287494619459E-3</v>
      </c>
      <c r="AD28" s="2910">
        <f ca="1">+AD10/'VVP2'!AD$341</f>
        <v>4.7986111014855998E-3</v>
      </c>
      <c r="AE28" s="2910">
        <f ca="1">+AE10/'VVP2'!AE$341</f>
        <v>4.7724866341105794E-3</v>
      </c>
    </row>
    <row r="29" spans="1:31" ht="12.75" customHeight="1">
      <c r="A29" s="664"/>
      <c r="B29" s="664"/>
      <c r="C29" s="826" t="s">
        <v>1767</v>
      </c>
      <c r="D29" s="674" t="s">
        <v>687</v>
      </c>
      <c r="E29" s="783" t="s">
        <v>1374</v>
      </c>
      <c r="F29" s="704" t="s">
        <v>215</v>
      </c>
      <c r="G29" s="839">
        <f>+G11/'VVP2'!G$341</f>
        <v>3.6705376886946153E-4</v>
      </c>
      <c r="H29" s="839">
        <f>+H11/'VVP2'!H$341</f>
        <v>4.5603578285284866E-4</v>
      </c>
      <c r="I29" s="839">
        <f>+I11/'VVP2'!I$341</f>
        <v>5.0066784143073303E-4</v>
      </c>
      <c r="J29" s="839">
        <f>+J11/'VVP2'!J$341</f>
        <v>4.7381500173552984E-4</v>
      </c>
      <c r="K29" s="839">
        <f>+K11/'VVP2'!K$341</f>
        <v>5.0581808799189426E-4</v>
      </c>
      <c r="L29" s="839">
        <f>+L11/'VVP2'!L$341</f>
        <v>4.6303984536414083E-4</v>
      </c>
      <c r="M29" s="839">
        <f>+M11/'VVP2'!M$341</f>
        <v>4.8962557381299261E-4</v>
      </c>
      <c r="N29" s="839">
        <f>+N11/'VVP2'!N$341</f>
        <v>5.0124423026449516E-4</v>
      </c>
      <c r="O29" s="839">
        <f>+O11/'VVP2'!O$341</f>
        <v>4.6014993568699726E-4</v>
      </c>
      <c r="P29" s="839">
        <f>+P11/'VVP2'!P$341</f>
        <v>5.2364001640555955E-4</v>
      </c>
      <c r="Q29" s="839">
        <f>+Q11/'VVP2'!Q$341</f>
        <v>1.9759693558101831E-4</v>
      </c>
      <c r="R29" s="839">
        <f>+R11/'VVP2'!R$341</f>
        <v>1.4950675230634928E-4</v>
      </c>
      <c r="S29" s="839">
        <f>+S11/'VVP2'!S$341</f>
        <v>1.2534150394653566E-4</v>
      </c>
      <c r="T29" s="839">
        <f>+T11/'VVP2'!T$341</f>
        <v>1.0001137744110338E-4</v>
      </c>
      <c r="U29" s="839">
        <f>+U11/'VVP2'!U$341</f>
        <v>9.1331592340323787E-5</v>
      </c>
      <c r="V29" s="2910">
        <f>+V11/'VVP2'!V$341</f>
        <v>7.9207468622068345E-5</v>
      </c>
      <c r="W29" s="2910">
        <f>+W11/'VVP2'!W$341</f>
        <v>9.0166943135993501E-5</v>
      </c>
      <c r="X29" s="2910">
        <f>+X11/'VVP2'!X$341</f>
        <v>1.1154931199263055E-4</v>
      </c>
      <c r="Y29" s="2910">
        <f>+Y11/'VVP2'!Y$341</f>
        <v>1.2471520738908999E-4</v>
      </c>
      <c r="Z29" s="2910">
        <f>+Z11/'VVP2'!Z$341</f>
        <v>1.380978268597812E-4</v>
      </c>
      <c r="AA29" s="2910">
        <f>+AA11/'VVP2'!AA$341</f>
        <v>7.0003668512857553E-5</v>
      </c>
      <c r="AB29" s="2910">
        <f>+AB11/'VVP2'!AB$341</f>
        <v>6.9824600603284555E-5</v>
      </c>
      <c r="AC29" s="2910">
        <f ca="1">+AC11/'VVP2'!AC$341</f>
        <v>6.7856091168462572E-5</v>
      </c>
      <c r="AD29" s="2910">
        <f ca="1">+AD11/'VVP2'!AD$341</f>
        <v>6.732967818952928E-5</v>
      </c>
      <c r="AE29" s="2910">
        <f ca="1">+AE11/'VVP2'!AE$341</f>
        <v>6.6963123796178172E-5</v>
      </c>
    </row>
    <row r="30" spans="1:31" ht="12.75" customHeight="1">
      <c r="A30" s="664"/>
      <c r="B30" s="664"/>
      <c r="C30" s="827" t="s">
        <v>401</v>
      </c>
      <c r="D30" s="828" t="s">
        <v>688</v>
      </c>
      <c r="E30" s="829" t="s">
        <v>768</v>
      </c>
      <c r="F30" s="830" t="str">
        <f>+$F$12</f>
        <v>TaxToRow</v>
      </c>
      <c r="G30" s="840">
        <f>+G12/'VVP2'!G$341</f>
        <v>0</v>
      </c>
      <c r="H30" s="840">
        <f>+H12/'VVP2'!H$341</f>
        <v>0</v>
      </c>
      <c r="I30" s="840">
        <f>+I12/'VVP2'!I$341</f>
        <v>0</v>
      </c>
      <c r="J30" s="840">
        <f>+J12/'VVP2'!J$341</f>
        <v>0</v>
      </c>
      <c r="K30" s="840">
        <f>+K12/'VVP2'!K$341</f>
        <v>0</v>
      </c>
      <c r="L30" s="840">
        <f>+L12/'VVP2'!L$341</f>
        <v>0</v>
      </c>
      <c r="M30" s="840">
        <f>+M12/'VVP2'!M$341</f>
        <v>0</v>
      </c>
      <c r="N30" s="840">
        <f>+N12/'VVP2'!N$341</f>
        <v>0</v>
      </c>
      <c r="O30" s="840">
        <f>+O12/'VVP2'!O$341</f>
        <v>0</v>
      </c>
      <c r="P30" s="840">
        <f>+P12/'VVP2'!P$341</f>
        <v>1.8897527873959058E-3</v>
      </c>
      <c r="Q30" s="840" t="e">
        <f>+Q12/'VVP2'!Q$341</f>
        <v>#VALUE!</v>
      </c>
      <c r="R30" s="840" t="e">
        <f>+R12/'VVP2'!R$341</f>
        <v>#VALUE!</v>
      </c>
      <c r="S30" s="840" t="e">
        <f>+S12/'VVP2'!S$341</f>
        <v>#VALUE!</v>
      </c>
      <c r="T30" s="840">
        <f>+T12/'VVP2'!T$341</f>
        <v>3.6089732532263606E-3</v>
      </c>
      <c r="U30" s="840">
        <f>+U12/'VVP2'!U$341</f>
        <v>2.9330064206851952E-3</v>
      </c>
      <c r="V30" s="2911">
        <f>+V12/'VVP2'!V$341</f>
        <v>3.1397555129468531E-3</v>
      </c>
      <c r="W30" s="2911">
        <f>+W12/'VVP2'!W$341</f>
        <v>2.9416165845785108E-3</v>
      </c>
      <c r="X30" s="2911">
        <f>+X12/'VVP2'!X$341</f>
        <v>2.6088145546663594E-3</v>
      </c>
      <c r="Y30" s="2911">
        <f>+Y12/'VVP2'!Y$341</f>
        <v>2.860440536447018E-3</v>
      </c>
      <c r="Z30" s="2911">
        <f>+Z12/'VVP2'!Z$341</f>
        <v>2.8166487458529629E-3</v>
      </c>
      <c r="AA30" s="2911">
        <f>+AA12/'VVP2'!AA$341</f>
        <v>3.2864317660616332E-3</v>
      </c>
      <c r="AB30" s="2911">
        <f>+AB12/'VVP2'!AB$341</f>
        <v>2.8964278768769886E-3</v>
      </c>
      <c r="AC30" s="2911">
        <f ca="1">+AC12/'VVP2'!AC$341</f>
        <v>2.7879638445511535E-3</v>
      </c>
      <c r="AD30" s="2911">
        <f ca="1">+AD12/'VVP2'!AD$341</f>
        <v>2.7399893683167967E-3</v>
      </c>
      <c r="AE30" s="2911">
        <f ca="1">+AE12/'VVP2'!AE$341</f>
        <v>2.6991193226927048E-3</v>
      </c>
    </row>
    <row r="31" spans="1:31" ht="12.75" customHeight="1">
      <c r="A31" s="664"/>
      <c r="B31" s="664"/>
      <c r="C31" s="774" t="s">
        <v>1769</v>
      </c>
      <c r="D31" s="806" t="s">
        <v>687</v>
      </c>
      <c r="E31" s="807" t="s">
        <v>1381</v>
      </c>
      <c r="F31" s="808" t="str">
        <f>+$F$13</f>
        <v>YATaxIndir</v>
      </c>
      <c r="G31" s="841">
        <f>+G13/'VVP2'!G$341</f>
        <v>0.12030863426376097</v>
      </c>
      <c r="H31" s="841">
        <f>+H13/'VVP2'!H$341</f>
        <v>0.11567867492266437</v>
      </c>
      <c r="I31" s="841">
        <f>+I13/'VVP2'!I$341</f>
        <v>0.13524087496609616</v>
      </c>
      <c r="J31" s="841">
        <f>+J13/'VVP2'!J$341</f>
        <v>0.13784637642874037</v>
      </c>
      <c r="K31" s="841">
        <f>+K13/'VVP2'!K$341</f>
        <v>0.13715772713828106</v>
      </c>
      <c r="L31" s="841">
        <f>+L13/'VVP2'!L$341</f>
        <v>0.12511875214127877</v>
      </c>
      <c r="M31" s="841">
        <f>+M13/'VVP2'!M$341</f>
        <v>0.1218308192175572</v>
      </c>
      <c r="N31" s="841">
        <f>+N13/'VVP2'!N$341</f>
        <v>0.1238915233812015</v>
      </c>
      <c r="O31" s="841">
        <f>+O13/'VVP2'!O$341</f>
        <v>0.11642873255389814</v>
      </c>
      <c r="P31" s="841">
        <f>+P13/'VVP2'!P$341</f>
        <v>0.11178699969075083</v>
      </c>
      <c r="Q31" s="841">
        <f>+Q13/'VVP2'!Q$341</f>
        <v>0.11210935919075722</v>
      </c>
      <c r="R31" s="841">
        <f>+R13/'VVP2'!R$341</f>
        <v>0.11310476519549252</v>
      </c>
      <c r="S31" s="841">
        <f>+S13/'VVP2'!S$341</f>
        <v>0.11629728800929455</v>
      </c>
      <c r="T31" s="841">
        <f>+T13/'VVP2'!T$341</f>
        <v>0.11593795991470589</v>
      </c>
      <c r="U31" s="841">
        <f>+U13/'VVP2'!U$341</f>
        <v>0.11562876603593417</v>
      </c>
      <c r="V31" s="2912">
        <f>+V13/'VVP2'!V$341</f>
        <v>0.11842801004436333</v>
      </c>
      <c r="W31" s="2912">
        <f>+W13/'VVP2'!W$341</f>
        <v>0.11602119498697375</v>
      </c>
      <c r="X31" s="2912">
        <f>+X13/'VVP2'!X$341</f>
        <v>0.11167135653559022</v>
      </c>
      <c r="Y31" s="2912">
        <f>+Y13/'VVP2'!Y$341</f>
        <v>0.10987924650275388</v>
      </c>
      <c r="Z31" s="2912">
        <f>+Z13/'VVP2'!Z$341</f>
        <v>0.11155952645298055</v>
      </c>
      <c r="AA31" s="2912">
        <f>+AA13/'VVP2'!AA$341</f>
        <v>0.11605726513836011</v>
      </c>
      <c r="AB31" s="2912">
        <f>+AB13/'VVP2'!AB$341</f>
        <v>0.11722153949279411</v>
      </c>
      <c r="AC31" s="2912">
        <f ca="1">+AC13/'VVP2'!AC$341</f>
        <v>0.11795197422789411</v>
      </c>
      <c r="AD31" s="2912">
        <f ca="1">+AD13/'VVP2'!AD$341</f>
        <v>0.11865878778518013</v>
      </c>
      <c r="AE31" s="2912">
        <f ca="1">+AE13/'VVP2'!AE$341</f>
        <v>0.11870945245536141</v>
      </c>
    </row>
    <row r="32" spans="1:31" ht="12.75" customHeight="1">
      <c r="A32" s="664"/>
      <c r="B32" s="664"/>
      <c r="C32" s="774"/>
      <c r="AB32" s="2221"/>
      <c r="AC32" s="2221"/>
      <c r="AD32" s="2221"/>
      <c r="AE32" s="2221"/>
    </row>
    <row r="33" spans="1:113" ht="12.75" customHeight="1">
      <c r="A33" s="664"/>
      <c r="B33" s="664"/>
      <c r="C33" s="774"/>
      <c r="D33" s="818"/>
      <c r="E33" s="819" t="s">
        <v>1367</v>
      </c>
      <c r="F33" s="820"/>
      <c r="G33" s="821">
        <f>+InputY!$G$3</f>
        <v>1995</v>
      </c>
      <c r="H33" s="821">
        <f t="shared" ref="H33:O33" si="21">+G33+1</f>
        <v>1996</v>
      </c>
      <c r="I33" s="821">
        <f t="shared" si="21"/>
        <v>1997</v>
      </c>
      <c r="J33" s="821">
        <f t="shared" si="21"/>
        <v>1998</v>
      </c>
      <c r="K33" s="821">
        <f>+J33+1</f>
        <v>1999</v>
      </c>
      <c r="L33" s="821">
        <f t="shared" si="21"/>
        <v>2000</v>
      </c>
      <c r="M33" s="821">
        <f t="shared" si="21"/>
        <v>2001</v>
      </c>
      <c r="N33" s="821">
        <f t="shared" si="21"/>
        <v>2002</v>
      </c>
      <c r="O33" s="821">
        <f t="shared" si="21"/>
        <v>2003</v>
      </c>
      <c r="P33" s="821">
        <f t="shared" ref="P33:W33" si="22">+O33+1</f>
        <v>2004</v>
      </c>
      <c r="Q33" s="821">
        <f t="shared" si="22"/>
        <v>2005</v>
      </c>
      <c r="R33" s="821">
        <f t="shared" si="22"/>
        <v>2006</v>
      </c>
      <c r="S33" s="821">
        <f t="shared" si="22"/>
        <v>2007</v>
      </c>
      <c r="T33" s="2255">
        <f t="shared" si="22"/>
        <v>2008</v>
      </c>
      <c r="U33" s="2255">
        <f t="shared" si="22"/>
        <v>2009</v>
      </c>
      <c r="V33" s="2255">
        <f t="shared" si="22"/>
        <v>2010</v>
      </c>
      <c r="W33" s="2255">
        <f t="shared" si="22"/>
        <v>2011</v>
      </c>
      <c r="X33" s="2255">
        <f t="shared" ref="X33:AE33" si="23">+W33+1</f>
        <v>2012</v>
      </c>
      <c r="Y33" s="2255">
        <f t="shared" si="23"/>
        <v>2013</v>
      </c>
      <c r="Z33" s="2255">
        <f t="shared" si="23"/>
        <v>2014</v>
      </c>
      <c r="AA33" s="2255">
        <f t="shared" si="23"/>
        <v>2015</v>
      </c>
      <c r="AB33" s="2255">
        <f t="shared" si="23"/>
        <v>2016</v>
      </c>
      <c r="AC33" s="2255">
        <f t="shared" si="23"/>
        <v>2017</v>
      </c>
      <c r="AD33" s="2255">
        <f t="shared" si="23"/>
        <v>2018</v>
      </c>
      <c r="AE33" s="2255">
        <f t="shared" si="23"/>
        <v>2019</v>
      </c>
    </row>
    <row r="34" spans="1:113" s="898" customFormat="1" ht="25.5">
      <c r="A34" s="664"/>
      <c r="B34" s="664"/>
      <c r="C34" s="822"/>
      <c r="D34" s="1835" t="s">
        <v>337</v>
      </c>
      <c r="E34" s="1836" t="s">
        <v>655</v>
      </c>
      <c r="F34" s="1837" t="s">
        <v>1544</v>
      </c>
      <c r="G34" s="1838">
        <f>+G13+G12</f>
        <v>0.93413999999999997</v>
      </c>
      <c r="H34" s="1838">
        <f t="shared" ref="H34:U34" si="24">+H13+H12</f>
        <v>1.1237200000000001</v>
      </c>
      <c r="I34" s="1838">
        <f t="shared" si="24"/>
        <v>1.58561</v>
      </c>
      <c r="J34" s="1838">
        <f t="shared" si="24"/>
        <v>1.7950299999999999</v>
      </c>
      <c r="K34" s="1838">
        <f t="shared" si="24"/>
        <v>1.74356</v>
      </c>
      <c r="L34" s="1838">
        <f t="shared" si="24"/>
        <v>1.6726099999999999</v>
      </c>
      <c r="M34" s="1838">
        <f t="shared" si="24"/>
        <v>1.72933</v>
      </c>
      <c r="N34" s="1838">
        <f t="shared" si="24"/>
        <v>1.8834200000000001</v>
      </c>
      <c r="O34" s="1838">
        <f t="shared" si="24"/>
        <v>1.94069</v>
      </c>
      <c r="P34" s="1838">
        <f t="shared" si="24"/>
        <v>2.0732047822057464</v>
      </c>
      <c r="Q34" s="1838" t="e">
        <f t="shared" si="24"/>
        <v>#VALUE!</v>
      </c>
      <c r="R34" s="1838" t="e">
        <f t="shared" si="24"/>
        <v>#VALUE!</v>
      </c>
      <c r="S34" s="1838" t="e">
        <f>+S13+S12</f>
        <v>#VALUE!</v>
      </c>
      <c r="T34" s="2256">
        <f t="shared" si="24"/>
        <v>3.9087399999999999</v>
      </c>
      <c r="U34" s="2256">
        <f t="shared" si="24"/>
        <v>3.1934400000000003</v>
      </c>
      <c r="V34" s="2256">
        <f t="shared" ref="V34:AA34" si="25">+V13+V12</f>
        <v>3.4072600000000004</v>
      </c>
      <c r="W34" s="2256">
        <f t="shared" si="25"/>
        <v>3.7206000000000001</v>
      </c>
      <c r="X34" s="2256">
        <f t="shared" si="25"/>
        <v>3.8110700000000004</v>
      </c>
      <c r="Y34" s="2256">
        <f t="shared" si="25"/>
        <v>3.9413400000000003</v>
      </c>
      <c r="Z34" s="2256">
        <f t="shared" si="25"/>
        <v>4.1825399999999995</v>
      </c>
      <c r="AA34" s="2256">
        <f t="shared" si="25"/>
        <v>4.4666300000000003</v>
      </c>
      <c r="AB34" s="2256">
        <f>+AB13+AB12</f>
        <v>4.6447600000000007</v>
      </c>
      <c r="AC34" s="2256">
        <f>+AC13+AC12</f>
        <v>5.0444656999999999</v>
      </c>
      <c r="AD34" s="2256">
        <f>+AD13+AD12</f>
        <v>5.3672291270192165</v>
      </c>
      <c r="AE34" s="2256">
        <f>+AE13+AE12</f>
        <v>5.6668968355982923</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1:113" ht="12.75" customHeight="1" thickBot="1">
      <c r="A35" s="664"/>
      <c r="B35" s="664"/>
      <c r="C35" s="826"/>
      <c r="D35" s="806"/>
      <c r="E35" s="1733" t="s">
        <v>284</v>
      </c>
      <c r="F35" s="187"/>
      <c r="G35" s="1733"/>
      <c r="H35" s="809">
        <f>(H34/G34-1)*100</f>
        <v>20.294602522105908</v>
      </c>
      <c r="I35" s="809">
        <f t="shared" ref="I35:V35" si="26">(I34/H34-1)*100</f>
        <v>41.103655714946782</v>
      </c>
      <c r="J35" s="809">
        <f t="shared" si="26"/>
        <v>13.207535270337601</v>
      </c>
      <c r="K35" s="809">
        <f>(K34/J34-1)*100</f>
        <v>-2.8673615482749493</v>
      </c>
      <c r="L35" s="809">
        <f t="shared" si="26"/>
        <v>-4.069260593268953</v>
      </c>
      <c r="M35" s="809">
        <f t="shared" si="26"/>
        <v>3.3911073113278123</v>
      </c>
      <c r="N35" s="809">
        <f t="shared" si="26"/>
        <v>8.9103872598058196</v>
      </c>
      <c r="O35" s="809">
        <f t="shared" si="26"/>
        <v>3.0407450276624504</v>
      </c>
      <c r="P35" s="809">
        <f t="shared" si="26"/>
        <v>6.8282302792175065</v>
      </c>
      <c r="Q35" s="809" t="e">
        <f t="shared" si="26"/>
        <v>#VALUE!</v>
      </c>
      <c r="R35" s="809" t="e">
        <f t="shared" si="26"/>
        <v>#VALUE!</v>
      </c>
      <c r="S35" s="809" t="e">
        <f t="shared" si="26"/>
        <v>#VALUE!</v>
      </c>
      <c r="T35" s="809" t="e">
        <f t="shared" si="26"/>
        <v>#VALUE!</v>
      </c>
      <c r="U35" s="2253">
        <f t="shared" si="26"/>
        <v>-18.300014838541312</v>
      </c>
      <c r="V35" s="2253">
        <f t="shared" si="26"/>
        <v>6.695600982013139</v>
      </c>
      <c r="W35" s="2253">
        <f t="shared" ref="W35:AE35" si="27">(W34/V34-1)*100</f>
        <v>9.1962456636710996</v>
      </c>
      <c r="X35" s="2253">
        <f t="shared" si="27"/>
        <v>2.4315970542385656</v>
      </c>
      <c r="Y35" s="2253">
        <f t="shared" si="27"/>
        <v>3.4182001380189675</v>
      </c>
      <c r="Z35" s="2253">
        <f t="shared" si="27"/>
        <v>6.1197460762075551</v>
      </c>
      <c r="AA35" s="2253">
        <f t="shared" si="27"/>
        <v>6.7922841144376633</v>
      </c>
      <c r="AB35" s="2253">
        <f t="shared" si="27"/>
        <v>3.9880178120865306</v>
      </c>
      <c r="AC35" s="2253">
        <f t="shared" si="27"/>
        <v>8.6055189073278129</v>
      </c>
      <c r="AD35" s="2253">
        <f t="shared" si="27"/>
        <v>6.3983669671738852</v>
      </c>
      <c r="AE35" s="2253">
        <f t="shared" si="27"/>
        <v>5.5832851828612196</v>
      </c>
    </row>
    <row r="36" spans="1:113" s="884" customFormat="1" ht="12.75" customHeight="1" thickBot="1">
      <c r="A36" s="664"/>
      <c r="B36" s="664"/>
      <c r="C36" s="826"/>
      <c r="D36" s="1041"/>
      <c r="E36" s="1042" t="s">
        <v>1078</v>
      </c>
      <c r="F36" s="1505">
        <v>1</v>
      </c>
      <c r="G36" s="1044"/>
      <c r="H36" s="1044">
        <f>+H35/'VVP2'!H188</f>
        <v>0.79207011042229847</v>
      </c>
      <c r="I36" s="1044">
        <f>+I35/'VVP2'!I188</f>
        <v>2.6701825147422849</v>
      </c>
      <c r="J36" s="1044">
        <f>+J35/'VVP2'!J188</f>
        <v>1.2257296232926151</v>
      </c>
      <c r="K36" s="1044">
        <f>+K35/'VVP2'!K188</f>
        <v>-0.78065740627346125</v>
      </c>
      <c r="L36" s="1044">
        <f>+L35/'VVP2'!L188</f>
        <v>-0.77816106490188319</v>
      </c>
      <c r="M36" s="1044">
        <f>+M35/'VVP2'!M188</f>
        <v>0.51071025623344424</v>
      </c>
      <c r="N36" s="1044">
        <f>+N35/'VVP2'!N188</f>
        <v>1.5484101093525968</v>
      </c>
      <c r="O36" s="1044">
        <f>+O35/'VVP2'!O188</f>
        <v>0.3179173586123446</v>
      </c>
      <c r="P36" s="1044">
        <f>+P35/'VVP2'!P188</f>
        <v>0.63819560207284276</v>
      </c>
      <c r="Q36" s="1044" t="e">
        <f>+Q35/'VVP2'!Q188</f>
        <v>#VALUE!</v>
      </c>
      <c r="R36" s="1044" t="e">
        <f>+R35/'VVP2'!R188</f>
        <v>#VALUE!</v>
      </c>
      <c r="S36" s="1044" t="e">
        <f>+S35/'VVP2'!S188</f>
        <v>#VALUE!</v>
      </c>
      <c r="T36" s="1044" t="e">
        <f>+T35/'VVP2'!T188</f>
        <v>#VALUE!</v>
      </c>
      <c r="U36" s="1044">
        <f>+U35/'VVP2'!U188</f>
        <v>1.329965764054994</v>
      </c>
      <c r="V36" s="1044">
        <f>+V35/'VVP2'!V188</f>
        <v>-3.149069008326137</v>
      </c>
      <c r="W36" s="1044">
        <f>+W35/'VVP2'!W188</f>
        <v>1.0325380833958162</v>
      </c>
      <c r="X36" s="1044">
        <f>+X35/'VVP2'!X188</f>
        <v>0.3875518303130765</v>
      </c>
      <c r="Y36" s="3229">
        <f>+Y35/'VVP2'!Y188</f>
        <v>0.63866835478230277</v>
      </c>
      <c r="Z36" s="3229">
        <f>+Z35/'VVP2'!Z188</f>
        <v>1.4960229347589842</v>
      </c>
      <c r="AA36" s="3229">
        <f>+AA35/'VVP2'!AA188</f>
        <v>2.2201807161592204</v>
      </c>
      <c r="AB36" s="3229">
        <f>+AB35/'VVP2'!AB188</f>
        <v>0.67362232449094694</v>
      </c>
      <c r="AC36" s="3277">
        <f>+AC35/'VVP2'!AC188</f>
        <v>1.1045762498093494</v>
      </c>
      <c r="AD36" s="3277">
        <f ca="1">+AD35/'VVP2'!AD188</f>
        <v>1.0334949066667574</v>
      </c>
      <c r="AE36" s="3277">
        <f ca="1">+AE35/'VVP2'!AE188</f>
        <v>1.0019174501778749</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1:113" s="884" customFormat="1" ht="12.75" customHeight="1">
      <c r="A37" s="664"/>
      <c r="B37" s="664"/>
      <c r="C37" s="826"/>
      <c r="D37" s="806"/>
      <c r="E37" s="807" t="s">
        <v>654</v>
      </c>
      <c r="F37" s="808"/>
      <c r="G37" s="809"/>
      <c r="H37" s="809"/>
      <c r="I37" s="809"/>
      <c r="J37" s="809"/>
      <c r="K37" s="809">
        <f>AVERAGE(H36:K36)</f>
        <v>0.97683121054593436</v>
      </c>
      <c r="L37" s="809">
        <f>AVERAGE(I36:L36)</f>
        <v>0.58427341671488886</v>
      </c>
      <c r="M37" s="809">
        <f>AVERAGE(J36:M36)</f>
        <v>4.4405352087678734E-2</v>
      </c>
      <c r="N37" s="809">
        <f t="shared" ref="N37:AE37" si="28">AVERAGE(K36:N36)</f>
        <v>0.12507547360267413</v>
      </c>
      <c r="O37" s="809">
        <f t="shared" si="28"/>
        <v>0.39971916482412562</v>
      </c>
      <c r="P37" s="809">
        <f t="shared" si="28"/>
        <v>0.75380833156780713</v>
      </c>
      <c r="Q37" s="809" t="e">
        <f t="shared" si="28"/>
        <v>#VALUE!</v>
      </c>
      <c r="R37" s="809" t="e">
        <f t="shared" si="28"/>
        <v>#VALUE!</v>
      </c>
      <c r="S37" s="809" t="e">
        <f t="shared" si="28"/>
        <v>#VALUE!</v>
      </c>
      <c r="T37" s="2253" t="e">
        <f t="shared" si="28"/>
        <v>#VALUE!</v>
      </c>
      <c r="U37" s="2253" t="e">
        <f t="shared" si="28"/>
        <v>#VALUE!</v>
      </c>
      <c r="V37" s="2253" t="e">
        <f t="shared" si="28"/>
        <v>#VALUE!</v>
      </c>
      <c r="W37" s="2253" t="e">
        <f t="shared" si="28"/>
        <v>#VALUE!</v>
      </c>
      <c r="X37" s="2253">
        <f t="shared" si="28"/>
        <v>-9.9753332640562575E-2</v>
      </c>
      <c r="Y37" s="2253">
        <f t="shared" si="28"/>
        <v>-0.27257768495873536</v>
      </c>
      <c r="Z37" s="2253">
        <f t="shared" si="28"/>
        <v>0.88869530081254489</v>
      </c>
      <c r="AA37" s="2253">
        <f t="shared" si="28"/>
        <v>1.185605959003396</v>
      </c>
      <c r="AB37" s="2253">
        <f t="shared" si="28"/>
        <v>1.2571235825478635</v>
      </c>
      <c r="AC37" s="2253">
        <f t="shared" si="28"/>
        <v>1.3736005563046252</v>
      </c>
      <c r="AD37" s="2253">
        <f t="shared" ca="1" si="28"/>
        <v>1.2579685492815686</v>
      </c>
      <c r="AE37" s="2253">
        <f t="shared" ca="1" si="28"/>
        <v>0.95340273278623222</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1:113" s="884" customFormat="1" ht="12.75" customHeight="1">
      <c r="A38" s="664"/>
      <c r="B38" s="664"/>
      <c r="C38" s="826"/>
      <c r="D38" s="1041"/>
      <c r="E38" s="1042" t="s">
        <v>1531</v>
      </c>
      <c r="F38" s="1044"/>
      <c r="G38" s="1502">
        <f>+G34/'VVP2'!G185</f>
        <v>0.18827432335198999</v>
      </c>
      <c r="H38" s="1502">
        <f>+H34/'VVP2'!H185</f>
        <v>0.18028962627108586</v>
      </c>
      <c r="I38" s="1502">
        <f>+I34/'VVP2'!I185</f>
        <v>0.22045876712938245</v>
      </c>
      <c r="J38" s="1502">
        <f>+J34/'VVP2'!J185</f>
        <v>0.225299379589849</v>
      </c>
      <c r="K38" s="1502">
        <f>+K34/'VVP2'!K185</f>
        <v>0.21108602352314482</v>
      </c>
      <c r="L38" s="1502">
        <f>+L34/'VVP2'!L185</f>
        <v>0.19243340631324143</v>
      </c>
      <c r="M38" s="1502">
        <f>+M34/'VVP2'!M185</f>
        <v>0.18657076306798012</v>
      </c>
      <c r="N38" s="1502">
        <f>+N34/'VVP2'!N185</f>
        <v>0.19213826789711114</v>
      </c>
      <c r="O38" s="1502">
        <f>+O34/'VVP2'!O185</f>
        <v>0.18069772941849055</v>
      </c>
      <c r="P38" s="1502">
        <f>+P34/'VVP2'!P185</f>
        <v>0.17437890755262361</v>
      </c>
      <c r="Q38" s="1502" t="e">
        <f>+Q34/'VVP2'!Q185</f>
        <v>#VALUE!</v>
      </c>
      <c r="R38" s="1502" t="e">
        <f>+R34/'VVP2'!R185</f>
        <v>#VALUE!</v>
      </c>
      <c r="S38" s="1502" t="e">
        <f>+S34/'VVP2'!S185</f>
        <v>#VALUE!</v>
      </c>
      <c r="T38" s="2229">
        <f>+T34/'VVP2'!T185</f>
        <v>0.18384700879504701</v>
      </c>
      <c r="U38" s="2229">
        <f>+U34/'VVP2'!U185</f>
        <v>0.17416809786974807</v>
      </c>
      <c r="V38" s="2229">
        <f>+V34/'VVP2'!V185</f>
        <v>0.1898666743937491</v>
      </c>
      <c r="W38" s="2229">
        <f>+W34/'VVP2'!W185</f>
        <v>0.19037190727517866</v>
      </c>
      <c r="X38" s="2229">
        <f>+X34/'VVP2'!X185</f>
        <v>0.18348846032369642</v>
      </c>
      <c r="Y38" s="2229">
        <f>+Y34/'VVP2'!Y185</f>
        <v>0.18012029224407053</v>
      </c>
      <c r="Z38" s="2229">
        <f>+Z34/'VVP2'!Z185</f>
        <v>0.1836314287947132</v>
      </c>
      <c r="AA38" s="2229">
        <f>+AA34/'VVP2'!AA185</f>
        <v>0.19028280232635417</v>
      </c>
      <c r="AB38" s="2229">
        <f>+AB34/'VVP2'!AB185</f>
        <v>0.18681158685840279</v>
      </c>
      <c r="AC38" s="2229">
        <f>+AC34/'VVP2'!AC185</f>
        <v>0.18822359301487776</v>
      </c>
      <c r="AD38" s="2229">
        <f ca="1">+AD34/'VVP2'!AD185</f>
        <v>0.18859115105307372</v>
      </c>
      <c r="AE38" s="2229">
        <f ca="1">+AE34/'VVP2'!AE185</f>
        <v>0.18861023868504465</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1:113" s="884" customFormat="1" ht="12.75" customHeight="1">
      <c r="A39" s="664"/>
      <c r="B39" s="664">
        <v>158</v>
      </c>
      <c r="C39" s="827"/>
      <c r="D39" s="1049"/>
      <c r="E39" s="1050" t="s">
        <v>654</v>
      </c>
      <c r="F39" s="1051"/>
      <c r="G39" s="1500"/>
      <c r="H39" s="1501"/>
      <c r="I39" s="1501"/>
      <c r="J39" s="1501">
        <f t="shared" ref="J39:AE39" si="29">AVERAGE(G38:J38)</f>
        <v>0.20358052408557681</v>
      </c>
      <c r="K39" s="1501">
        <f>AVERAGE(H38:K38)</f>
        <v>0.20928344912836555</v>
      </c>
      <c r="L39" s="1501">
        <f>AVERAGE(I38:L38)</f>
        <v>0.21231939413890441</v>
      </c>
      <c r="M39" s="1501">
        <f>AVERAGE(J38:M38)</f>
        <v>0.20384739312355385</v>
      </c>
      <c r="N39" s="1501">
        <f t="shared" si="29"/>
        <v>0.19555711520036939</v>
      </c>
      <c r="O39" s="1501">
        <f t="shared" si="29"/>
        <v>0.18796004167420582</v>
      </c>
      <c r="P39" s="1501">
        <f t="shared" si="29"/>
        <v>0.18344641698405134</v>
      </c>
      <c r="Q39" s="1501" t="e">
        <f t="shared" si="29"/>
        <v>#VALUE!</v>
      </c>
      <c r="R39" s="1501" t="e">
        <f t="shared" si="29"/>
        <v>#VALUE!</v>
      </c>
      <c r="S39" s="1501" t="e">
        <f t="shared" si="29"/>
        <v>#VALUE!</v>
      </c>
      <c r="T39" s="2258" t="e">
        <f t="shared" si="29"/>
        <v>#VALUE!</v>
      </c>
      <c r="U39" s="2258" t="e">
        <f t="shared" si="29"/>
        <v>#VALUE!</v>
      </c>
      <c r="V39" s="2258" t="e">
        <f t="shared" si="29"/>
        <v>#VALUE!</v>
      </c>
      <c r="W39" s="2258">
        <f t="shared" si="29"/>
        <v>0.18456342208343068</v>
      </c>
      <c r="X39" s="2258">
        <f t="shared" si="29"/>
        <v>0.18447378496559308</v>
      </c>
      <c r="Y39" s="2258">
        <f t="shared" si="29"/>
        <v>0.18596183355917367</v>
      </c>
      <c r="Z39" s="2258">
        <f t="shared" si="29"/>
        <v>0.1844030221594147</v>
      </c>
      <c r="AA39" s="2258">
        <f t="shared" si="29"/>
        <v>0.18438074592220857</v>
      </c>
      <c r="AB39" s="2258">
        <f t="shared" si="29"/>
        <v>0.18521152755588519</v>
      </c>
      <c r="AC39" s="2258">
        <f t="shared" si="29"/>
        <v>0.18723735274858699</v>
      </c>
      <c r="AD39" s="2258">
        <f t="shared" ca="1" si="29"/>
        <v>0.18847728331317709</v>
      </c>
      <c r="AE39" s="2258">
        <f t="shared" ca="1" si="29"/>
        <v>0.18805914240284974</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1:113" ht="30" customHeight="1">
      <c r="A40" s="664"/>
      <c r="B40" s="664"/>
      <c r="C40" s="774"/>
      <c r="AB40" s="2221"/>
      <c r="AC40" s="2221"/>
      <c r="AD40" s="2221"/>
      <c r="AE40" s="2221"/>
    </row>
    <row r="41" spans="1:113" ht="30" customHeight="1">
      <c r="AB41" s="2221"/>
      <c r="AC41" s="2221"/>
      <c r="AD41" s="2221"/>
      <c r="AE41" s="2221"/>
    </row>
    <row r="42" spans="1:113" ht="22.5" customHeight="1">
      <c r="A42" s="574"/>
      <c r="B42" s="574"/>
      <c r="C42" s="3751" t="s">
        <v>977</v>
      </c>
      <c r="D42" s="3751"/>
      <c r="E42" s="3751"/>
      <c r="F42" s="3751"/>
      <c r="AB42" s="2221"/>
      <c r="AC42" s="2221"/>
      <c r="AD42" s="2221"/>
      <c r="AE42" s="2221"/>
    </row>
    <row r="43" spans="1:113" ht="12.75" customHeight="1">
      <c r="A43" s="664"/>
      <c r="B43" s="664"/>
      <c r="C43" s="774"/>
      <c r="AB43" s="2221"/>
      <c r="AC43" s="2221"/>
      <c r="AD43" s="2221"/>
      <c r="AE43" s="2221"/>
    </row>
    <row r="44" spans="1:113" ht="12.75" customHeight="1">
      <c r="A44" s="664"/>
      <c r="B44" s="664"/>
      <c r="C44" s="774"/>
      <c r="D44" s="775"/>
      <c r="E44" s="776" t="s">
        <v>1384</v>
      </c>
      <c r="F44" s="777"/>
      <c r="G44" s="778">
        <f>+InputY!$G$3</f>
        <v>1995</v>
      </c>
      <c r="H44" s="778">
        <f t="shared" ref="H44:O44" si="30">+G44+1</f>
        <v>1996</v>
      </c>
      <c r="I44" s="778">
        <f t="shared" si="30"/>
        <v>1997</v>
      </c>
      <c r="J44" s="778">
        <f t="shared" si="30"/>
        <v>1998</v>
      </c>
      <c r="K44" s="778">
        <f>+J44+1</f>
        <v>1999</v>
      </c>
      <c r="L44" s="778">
        <f t="shared" si="30"/>
        <v>2000</v>
      </c>
      <c r="M44" s="778">
        <f t="shared" si="30"/>
        <v>2001</v>
      </c>
      <c r="N44" s="778">
        <f t="shared" si="30"/>
        <v>2002</v>
      </c>
      <c r="O44" s="778">
        <f t="shared" si="30"/>
        <v>2003</v>
      </c>
      <c r="P44" s="778">
        <f t="shared" ref="P44:W44" si="31">+O44+1</f>
        <v>2004</v>
      </c>
      <c r="Q44" s="778">
        <f t="shared" si="31"/>
        <v>2005</v>
      </c>
      <c r="R44" s="778">
        <f t="shared" si="31"/>
        <v>2006</v>
      </c>
      <c r="S44" s="778">
        <f t="shared" si="31"/>
        <v>2007</v>
      </c>
      <c r="T44" s="2222">
        <f t="shared" si="31"/>
        <v>2008</v>
      </c>
      <c r="U44" s="2222">
        <f t="shared" si="31"/>
        <v>2009</v>
      </c>
      <c r="V44" s="2222">
        <f t="shared" si="31"/>
        <v>2010</v>
      </c>
      <c r="W44" s="2222">
        <f t="shared" si="31"/>
        <v>2011</v>
      </c>
      <c r="X44" s="2222">
        <f t="shared" ref="X44:AE44" si="32">+W44+1</f>
        <v>2012</v>
      </c>
      <c r="Y44" s="2222">
        <f t="shared" si="32"/>
        <v>2013</v>
      </c>
      <c r="Z44" s="2222">
        <f t="shared" si="32"/>
        <v>2014</v>
      </c>
      <c r="AA44" s="2222">
        <f t="shared" si="32"/>
        <v>2015</v>
      </c>
      <c r="AB44" s="2222">
        <f t="shared" si="32"/>
        <v>2016</v>
      </c>
      <c r="AC44" s="2222">
        <f t="shared" si="32"/>
        <v>2017</v>
      </c>
      <c r="AD44" s="2222">
        <f t="shared" si="32"/>
        <v>2018</v>
      </c>
      <c r="AE44" s="2222">
        <f t="shared" si="32"/>
        <v>2019</v>
      </c>
    </row>
    <row r="45" spans="1:113" ht="12.75" customHeight="1">
      <c r="A45" s="664">
        <f>+ROW(InputY!A104)</f>
        <v>104</v>
      </c>
      <c r="B45" s="664">
        <v>51</v>
      </c>
      <c r="C45" s="779" t="s">
        <v>1767</v>
      </c>
      <c r="D45" s="668" t="s">
        <v>684</v>
      </c>
      <c r="E45" s="700" t="s">
        <v>1768</v>
      </c>
      <c r="F45" s="701" t="str">
        <f>+InputY!B104</f>
        <v>$ASubProd</v>
      </c>
      <c r="G45" s="780">
        <f>+InputY!G104/1000</f>
        <v>6.9860000000000005E-2</v>
      </c>
      <c r="H45" s="780">
        <f>+InputY!H104/1000</f>
        <v>8.7959999999999997E-2</v>
      </c>
      <c r="I45" s="780">
        <f>+InputY!I104/1000</f>
        <v>6.3109999999999999E-2</v>
      </c>
      <c r="J45" s="780">
        <f>+InputY!J104/1000</f>
        <v>0.10904999999999999</v>
      </c>
      <c r="K45" s="780">
        <f>+InputY!K104/1000</f>
        <v>0.11612</v>
      </c>
      <c r="L45" s="780">
        <f>+InputY!L104/1000</f>
        <v>0.10212</v>
      </c>
      <c r="M45" s="780">
        <f>+InputY!M104/1000</f>
        <v>7.5840000000000005E-2</v>
      </c>
      <c r="N45" s="780">
        <f>+InputY!N104/1000</f>
        <v>0.10173</v>
      </c>
      <c r="O45" s="780">
        <f>+InputY!O104/1000</f>
        <v>0.10779000000000001</v>
      </c>
      <c r="P45" s="780">
        <f>+InputY!P104/1000</f>
        <v>0.18997</v>
      </c>
      <c r="Q45" s="780">
        <f>+InputY!Q104/1000</f>
        <v>0.27112999999999998</v>
      </c>
      <c r="R45" s="780">
        <f>+InputY!R104/1000</f>
        <v>0.26702999999999999</v>
      </c>
      <c r="S45" s="780">
        <f>+InputY!S104/1000</f>
        <v>0.30131999999999998</v>
      </c>
      <c r="T45" s="780">
        <f>+InputY!T104/1000</f>
        <v>0.35411000000000004</v>
      </c>
      <c r="U45" s="780">
        <f>+InputY!U104/1000</f>
        <v>0.36169999999999997</v>
      </c>
      <c r="V45" s="2872">
        <f>+InputY!V104/1000</f>
        <v>0.37457000000000001</v>
      </c>
      <c r="W45" s="2872">
        <f>+InputY!W104/1000</f>
        <v>0.38688</v>
      </c>
      <c r="X45" s="2872">
        <f>+InputY!X104/1000</f>
        <v>0.41048000000000001</v>
      </c>
      <c r="Y45" s="2872">
        <f>+InputY!Y104/1000</f>
        <v>0.43957999999999997</v>
      </c>
      <c r="Z45" s="2872">
        <f>+InputY!Z104/1000</f>
        <v>0.43972</v>
      </c>
      <c r="AA45" s="2872">
        <f>+InputY!AA104/1000</f>
        <v>0.49363000000000001</v>
      </c>
      <c r="AB45" s="2872">
        <f>+InputY!AB104/1000</f>
        <v>0.53820000000000001</v>
      </c>
      <c r="AC45" s="2872">
        <f>+InputY!AC104/1000</f>
        <v>0.54600000000000004</v>
      </c>
      <c r="AD45" s="2232">
        <f t="shared" ref="AC45:AE49" si="33">+AC45*(1+AD54/100)</f>
        <v>0.56565600000000005</v>
      </c>
      <c r="AE45" s="2232">
        <f t="shared" si="33"/>
        <v>0.58601961600000008</v>
      </c>
    </row>
    <row r="46" spans="1:113" ht="12.75" customHeight="1">
      <c r="A46" s="664">
        <f>+ROW(InputY!A182)</f>
        <v>182</v>
      </c>
      <c r="B46" s="664"/>
      <c r="C46" s="782" t="s">
        <v>1767</v>
      </c>
      <c r="D46" s="674" t="s">
        <v>685</v>
      </c>
      <c r="E46" s="783" t="s">
        <v>1375</v>
      </c>
      <c r="F46" s="704" t="str">
        <f>+InputY!B182</f>
        <v>YHSubOth</v>
      </c>
      <c r="G46" s="706">
        <f>+InputY!G182/1000</f>
        <v>0</v>
      </c>
      <c r="H46" s="706">
        <f>+InputY!H182/1000</f>
        <v>0</v>
      </c>
      <c r="I46" s="706">
        <f>+InputY!I182/1000</f>
        <v>0</v>
      </c>
      <c r="J46" s="706">
        <f>+InputY!J182/1000</f>
        <v>0</v>
      </c>
      <c r="K46" s="706">
        <f>+InputY!K182/1000</f>
        <v>0</v>
      </c>
      <c r="L46" s="706">
        <f>+InputY!L182/1000</f>
        <v>0</v>
      </c>
      <c r="M46" s="706">
        <f>+InputY!M182/1000</f>
        <v>1.184E-2</v>
      </c>
      <c r="N46" s="706">
        <f>+InputY!N182/1000</f>
        <v>0</v>
      </c>
      <c r="O46" s="706">
        <f>+InputY!O182/1000</f>
        <v>7.5499999999999994E-3</v>
      </c>
      <c r="P46" s="706">
        <f>+InputY!P182/1000</f>
        <v>3.5569999999999997E-2</v>
      </c>
      <c r="Q46" s="706">
        <f>+InputY!Q182/1000</f>
        <v>9.2980000000000007E-2</v>
      </c>
      <c r="R46" s="706">
        <f>+InputY!R182/1000</f>
        <v>6.3270000000000007E-2</v>
      </c>
      <c r="S46" s="706">
        <f>+InputY!S182/1000</f>
        <v>7.1400000000000005E-2</v>
      </c>
      <c r="T46" s="706">
        <f>+InputY!T182/1000</f>
        <v>3.7039999999999997E-2</v>
      </c>
      <c r="U46" s="706">
        <f>+InputY!U182/1000</f>
        <v>6.3250000000000001E-2</v>
      </c>
      <c r="V46" s="706">
        <f>+InputY!V182/1000</f>
        <v>2.2339999999999999E-2</v>
      </c>
      <c r="W46" s="706">
        <f>+InputY!W182/1000</f>
        <v>3.1730000000000001E-2</v>
      </c>
      <c r="X46" s="706">
        <f>+InputY!X182/1000</f>
        <v>3.5049999999999998E-2</v>
      </c>
      <c r="Y46" s="706">
        <f>+InputY!Y182/1000</f>
        <v>1.5939999999999999E-2</v>
      </c>
      <c r="Z46" s="706">
        <f>+InputY!Z182/1000</f>
        <v>1.7649999999999999E-2</v>
      </c>
      <c r="AA46" s="706">
        <f>+InputY!AA182/1000</f>
        <v>3.4369999999999998E-2</v>
      </c>
      <c r="AB46" s="706">
        <f>+InputY!AB182/1000</f>
        <v>1.8620000000000001E-2</v>
      </c>
      <c r="AC46" s="2217">
        <f t="shared" si="33"/>
        <v>1.8620000000000001E-2</v>
      </c>
      <c r="AD46" s="2217">
        <f t="shared" si="33"/>
        <v>1.8620000000000001E-2</v>
      </c>
      <c r="AE46" s="2217">
        <f t="shared" si="33"/>
        <v>1.8620000000000001E-2</v>
      </c>
    </row>
    <row r="47" spans="1:113" ht="12.75" customHeight="1">
      <c r="A47" s="664">
        <f>+ROW(InputY!A115)</f>
        <v>115</v>
      </c>
      <c r="B47" s="664">
        <v>101</v>
      </c>
      <c r="C47" s="782" t="s">
        <v>1767</v>
      </c>
      <c r="D47" s="674" t="s">
        <v>686</v>
      </c>
      <c r="E47" s="783" t="s">
        <v>1375</v>
      </c>
      <c r="F47" s="704" t="str">
        <f>+InputY!B115</f>
        <v>YESubProd</v>
      </c>
      <c r="G47" s="706">
        <f>+InputY!G115/1000</f>
        <v>9.7899999999999984E-3</v>
      </c>
      <c r="H47" s="706">
        <f>+InputY!H115/1000</f>
        <v>2.6850000000000002E-2</v>
      </c>
      <c r="I47" s="706">
        <f>+InputY!I115/1000</f>
        <v>3.7999999999999999E-2</v>
      </c>
      <c r="J47" s="706">
        <f>+InputY!J115/1000</f>
        <v>2.7570000000000001E-2</v>
      </c>
      <c r="K47" s="706">
        <f>+InputY!K115/1000</f>
        <v>1.627E-2</v>
      </c>
      <c r="L47" s="706">
        <f>+InputY!L115/1000</f>
        <v>2.5300000000000001E-3</v>
      </c>
      <c r="M47" s="706">
        <f>+InputY!M115/1000</f>
        <v>3.1579999999999997E-2</v>
      </c>
      <c r="N47" s="706">
        <f>+InputY!N115/1000</f>
        <v>1.8100000000000002E-2</v>
      </c>
      <c r="O47" s="706">
        <f>+InputY!O115/1000</f>
        <v>1.4150000000000001E-2</v>
      </c>
      <c r="P47" s="706">
        <f>+InputY!P115/1000</f>
        <v>2.214E-2</v>
      </c>
      <c r="Q47" s="706">
        <f>+InputY!Q115/1000</f>
        <v>2.2510000000000002E-2</v>
      </c>
      <c r="R47" s="706">
        <f>+InputY!R115/1000</f>
        <v>6.6269999999999996E-2</v>
      </c>
      <c r="S47" s="706">
        <f>+InputY!S115/1000</f>
        <v>7.1400000000000005E-2</v>
      </c>
      <c r="T47" s="706">
        <f>+InputY!T115/1000</f>
        <v>3.6409999999999998E-2</v>
      </c>
      <c r="U47" s="706">
        <f>+InputY!U115/1000</f>
        <v>1.898E-2</v>
      </c>
      <c r="V47" s="706">
        <f>+InputY!V115/1000</f>
        <v>4.5649999999999996E-2</v>
      </c>
      <c r="W47" s="706">
        <f>+InputY!W115/1000</f>
        <v>2.6890000000000001E-2</v>
      </c>
      <c r="X47" s="706">
        <f>+InputY!X115/1000</f>
        <v>2.572E-2</v>
      </c>
      <c r="Y47" s="706">
        <f>+InputY!Y115/1000</f>
        <v>4.9030000000000004E-2</v>
      </c>
      <c r="Z47" s="706">
        <f>+InputY!Z115/1000</f>
        <v>4.7329999999999997E-2</v>
      </c>
      <c r="AA47" s="706">
        <f>+InputY!AA115/1000</f>
        <v>6.0969999999999996E-2</v>
      </c>
      <c r="AB47" s="706">
        <f>+InputY!AB115/1000</f>
        <v>7.2870000000000004E-2</v>
      </c>
      <c r="AC47" s="2217">
        <f t="shared" si="33"/>
        <v>7.2870000000000004E-2</v>
      </c>
      <c r="AD47" s="2217">
        <f t="shared" si="33"/>
        <v>7.2870000000000004E-2</v>
      </c>
      <c r="AE47" s="2217">
        <f t="shared" si="33"/>
        <v>7.2870000000000004E-2</v>
      </c>
    </row>
    <row r="48" spans="1:113" ht="12.75" customHeight="1">
      <c r="A48" s="664">
        <f>+ROW(InputY!A149)</f>
        <v>149</v>
      </c>
      <c r="B48" s="664" t="s">
        <v>1913</v>
      </c>
      <c r="C48" s="782" t="s">
        <v>1767</v>
      </c>
      <c r="D48" s="674" t="s">
        <v>687</v>
      </c>
      <c r="E48" s="783" t="s">
        <v>1375</v>
      </c>
      <c r="F48" s="704" t="s">
        <v>218</v>
      </c>
      <c r="G48" s="706">
        <f>+InputY!G149/1000</f>
        <v>0</v>
      </c>
      <c r="H48" s="706">
        <f>+InputY!H149/1000</f>
        <v>0</v>
      </c>
      <c r="I48" s="706">
        <f>+InputY!I149/1000</f>
        <v>0</v>
      </c>
      <c r="J48" s="706">
        <f>+InputY!J149/1000</f>
        <v>0</v>
      </c>
      <c r="K48" s="706">
        <f>+InputY!K149/1000</f>
        <v>0</v>
      </c>
      <c r="L48" s="706">
        <f>+InputY!L149/1000</f>
        <v>0</v>
      </c>
      <c r="M48" s="706">
        <f>+InputY!M149/1000</f>
        <v>0</v>
      </c>
      <c r="N48" s="706">
        <f>+InputY!N149/1000</f>
        <v>0</v>
      </c>
      <c r="O48" s="706">
        <f>+InputY!O149/1000</f>
        <v>0</v>
      </c>
      <c r="P48" s="706">
        <f>+InputY!P149/1000</f>
        <v>0</v>
      </c>
      <c r="Q48" s="706">
        <f>+InputY!Q149/1000</f>
        <v>0</v>
      </c>
      <c r="R48" s="706">
        <f>+InputY!R149/1000</f>
        <v>0</v>
      </c>
      <c r="S48" s="706">
        <f>+InputY!S149/1000</f>
        <v>0</v>
      </c>
      <c r="T48" s="706">
        <f>+InputY!T149/1000</f>
        <v>0</v>
      </c>
      <c r="U48" s="706">
        <f>+InputY!U149/1000</f>
        <v>0</v>
      </c>
      <c r="V48" s="706">
        <f>+InputY!V149/1000</f>
        <v>0</v>
      </c>
      <c r="W48" s="706">
        <f>+InputY!W149/1000</f>
        <v>0</v>
      </c>
      <c r="X48" s="706">
        <f>+InputY!X149/1000</f>
        <v>0</v>
      </c>
      <c r="Y48" s="706">
        <f>+InputY!Y149/1000</f>
        <v>0</v>
      </c>
      <c r="Z48" s="706">
        <f>+InputY!Z149/1000</f>
        <v>0</v>
      </c>
      <c r="AA48" s="706">
        <f>+InputY!AA149/1000</f>
        <v>0</v>
      </c>
      <c r="AB48" s="706">
        <f>+InputY!AB149/1000</f>
        <v>0</v>
      </c>
      <c r="AC48" s="2217">
        <f t="shared" si="33"/>
        <v>0</v>
      </c>
      <c r="AD48" s="2217">
        <f t="shared" si="33"/>
        <v>0</v>
      </c>
      <c r="AE48" s="2217">
        <f t="shared" si="33"/>
        <v>0</v>
      </c>
    </row>
    <row r="49" spans="1:113" ht="12.75" customHeight="1">
      <c r="A49" s="1953">
        <f>+ROW(InputY!A235)</f>
        <v>235</v>
      </c>
      <c r="B49" s="664" t="s">
        <v>1879</v>
      </c>
      <c r="C49" s="782" t="s">
        <v>401</v>
      </c>
      <c r="D49" s="674" t="s">
        <v>688</v>
      </c>
      <c r="E49" s="783" t="s">
        <v>1880</v>
      </c>
      <c r="F49" s="704" t="str">
        <f>+InputY!B235</f>
        <v>SubFrRow</v>
      </c>
      <c r="G49" s="706">
        <f>+InputY!G235/1000</f>
        <v>0</v>
      </c>
      <c r="H49" s="706">
        <f>+InputY!H235/1000</f>
        <v>0</v>
      </c>
      <c r="I49" s="706">
        <f>+InputY!I235/1000</f>
        <v>0</v>
      </c>
      <c r="J49" s="706">
        <f>+InputY!J235/1000</f>
        <v>0</v>
      </c>
      <c r="K49" s="706">
        <f>+InputY!K235/1000</f>
        <v>0</v>
      </c>
      <c r="L49" s="706">
        <f>+InputY!L235/1000</f>
        <v>0</v>
      </c>
      <c r="M49" s="706">
        <f>+InputY!M235/1000</f>
        <v>0</v>
      </c>
      <c r="N49" s="706">
        <f>+InputY!N235/1000</f>
        <v>0</v>
      </c>
      <c r="O49" s="706">
        <f>+InputY!O235/1000</f>
        <v>0</v>
      </c>
      <c r="P49" s="706">
        <f>+InputY!P235/1000</f>
        <v>0.12193002780352179</v>
      </c>
      <c r="Q49" s="706">
        <f>+InputY!Q235/1000</f>
        <v>0.245</v>
      </c>
      <c r="R49" s="706">
        <f>+InputY!R235/1000</f>
        <v>0.23499999999999999</v>
      </c>
      <c r="S49" s="706">
        <f>+InputY!S235/1000</f>
        <v>0.189</v>
      </c>
      <c r="T49" s="706">
        <f>+InputY!T235/1000</f>
        <v>0.20699999999999999</v>
      </c>
      <c r="U49" s="706">
        <f>+InputY!U235/1000</f>
        <v>0.27300000000000002</v>
      </c>
      <c r="V49" s="706">
        <f>+InputY!V235/1000</f>
        <v>0.30499999999999999</v>
      </c>
      <c r="W49" s="706">
        <f>+InputY!W235/1000</f>
        <v>0.32300000000000001</v>
      </c>
      <c r="X49" s="706">
        <f>+InputY!X235/1000</f>
        <v>0.36599999999999999</v>
      </c>
      <c r="Y49" s="706">
        <f>+InputY!Y235/1000</f>
        <v>0.38900000000000001</v>
      </c>
      <c r="Z49" s="706">
        <f>+InputY!Z235/1000</f>
        <v>0.38600000000000001</v>
      </c>
      <c r="AA49" s="706">
        <f>+InputY!AA235/1000</f>
        <v>0.441</v>
      </c>
      <c r="AB49" s="706">
        <f>+InputY!AB235/1000</f>
        <v>0.46700000000000003</v>
      </c>
      <c r="AC49" s="2275">
        <f t="shared" si="33"/>
        <v>0.47867499999999996</v>
      </c>
      <c r="AD49" s="2275">
        <f t="shared" si="33"/>
        <v>0.49064187499999989</v>
      </c>
      <c r="AE49" s="2275">
        <f t="shared" si="33"/>
        <v>0.50290792187499989</v>
      </c>
    </row>
    <row r="50" spans="1:113" ht="12.75" customHeight="1">
      <c r="A50" s="664">
        <f>+ROW(InputY!A147)</f>
        <v>147</v>
      </c>
      <c r="B50" s="664">
        <v>123</v>
      </c>
      <c r="C50" s="784" t="s">
        <v>1769</v>
      </c>
      <c r="D50" s="752" t="s">
        <v>687</v>
      </c>
      <c r="E50" s="753" t="s">
        <v>1488</v>
      </c>
      <c r="F50" s="754" t="str">
        <f>+InputY!B147</f>
        <v>$ATE</v>
      </c>
      <c r="G50" s="785">
        <f>+InputY!G147/1000</f>
        <v>7.9650000000000012E-2</v>
      </c>
      <c r="H50" s="785">
        <f>+InputY!H147/1000</f>
        <v>0.11481</v>
      </c>
      <c r="I50" s="785">
        <f>+InputY!I147/1000</f>
        <v>0.10111000000000001</v>
      </c>
      <c r="J50" s="785">
        <f>+InputY!J147/1000</f>
        <v>0.13661000000000001</v>
      </c>
      <c r="K50" s="785">
        <f>+InputY!K147/1000</f>
        <v>0.13238999999999998</v>
      </c>
      <c r="L50" s="785">
        <f>+InputY!L147/1000</f>
        <v>0.10464</v>
      </c>
      <c r="M50" s="785">
        <f>+InputY!M147/1000</f>
        <v>0.11926</v>
      </c>
      <c r="N50" s="785">
        <f>+InputY!N147/1000</f>
        <v>0.11982</v>
      </c>
      <c r="O50" s="785">
        <f>+InputY!O147/1000</f>
        <v>0.1295</v>
      </c>
      <c r="P50" s="785">
        <f>+InputY!P147/1000</f>
        <v>0.12561</v>
      </c>
      <c r="Q50" s="785">
        <f>+InputY!Q147/1000</f>
        <v>0.14176</v>
      </c>
      <c r="R50" s="785">
        <f>+InputY!R147/1000</f>
        <v>0.16190000000000002</v>
      </c>
      <c r="S50" s="785">
        <f>+InputY!S147/1000</f>
        <v>0.25557000000000002</v>
      </c>
      <c r="T50" s="2099">
        <f>+InputY!T147/1000</f>
        <v>0.22084000000000001</v>
      </c>
      <c r="U50" s="2099">
        <f>+InputY!U147/1000</f>
        <v>0.17044000000000001</v>
      </c>
      <c r="V50" s="2099">
        <f>+InputY!V147/1000</f>
        <v>0.13799</v>
      </c>
      <c r="W50" s="2099">
        <f>+InputY!W147/1000</f>
        <v>0.12257</v>
      </c>
      <c r="X50" s="2099">
        <f>+InputY!X147/1000</f>
        <v>0.10482</v>
      </c>
      <c r="Y50" s="2099">
        <f>+InputY!Y147/1000</f>
        <v>0.11563</v>
      </c>
      <c r="Z50" s="2099">
        <f>+InputY!Z147/1000</f>
        <v>0.11874</v>
      </c>
      <c r="AA50" s="2099">
        <f>+InputY!AA147/1000</f>
        <v>0.14757000000000001</v>
      </c>
      <c r="AB50" s="2099">
        <f>+InputY!AB147/1000</f>
        <v>0.16243000000000002</v>
      </c>
      <c r="AC50" s="3122">
        <f>+AC45+AC46+AC47+AC48-AC49</f>
        <v>0.15881500000000004</v>
      </c>
      <c r="AD50" s="3122">
        <f>+AD45+AD46+AD47+AD48-AD49</f>
        <v>0.16650412500000011</v>
      </c>
      <c r="AE50" s="3122">
        <f>+AE45+AE46+AE47+AE48-AE49</f>
        <v>0.17460169412500015</v>
      </c>
    </row>
    <row r="51" spans="1:113" s="1972" customFormat="1" ht="12.75" customHeight="1">
      <c r="A51" s="998"/>
      <c r="B51" s="998"/>
      <c r="C51" s="1595"/>
      <c r="D51" s="1011"/>
      <c r="E51" s="1973" t="s">
        <v>737</v>
      </c>
      <c r="F51" s="1974"/>
      <c r="G51" s="1002">
        <f t="shared" ref="G51:T51" si="34">ABS(+G45+G46+G47+G48-G49-G50)</f>
        <v>1.3877787807814457E-17</v>
      </c>
      <c r="H51" s="1002">
        <f t="shared" si="34"/>
        <v>0</v>
      </c>
      <c r="I51" s="1002">
        <f t="shared" si="34"/>
        <v>0</v>
      </c>
      <c r="J51" s="1002">
        <f t="shared" si="34"/>
        <v>9.9999999999822453E-6</v>
      </c>
      <c r="K51" s="1002">
        <f t="shared" si="34"/>
        <v>2.7755575615628914E-17</v>
      </c>
      <c r="L51" s="1002">
        <f t="shared" si="34"/>
        <v>1.0000000000010001E-5</v>
      </c>
      <c r="M51" s="1002">
        <f t="shared" si="34"/>
        <v>0</v>
      </c>
      <c r="N51" s="1002">
        <f t="shared" si="34"/>
        <v>1.0000000000010001E-5</v>
      </c>
      <c r="O51" s="1002">
        <f t="shared" si="34"/>
        <v>9.9999999999822453E-6</v>
      </c>
      <c r="P51" s="1002">
        <f t="shared" si="34"/>
        <v>1.399721964782108E-4</v>
      </c>
      <c r="Q51" s="1002">
        <f t="shared" si="34"/>
        <v>1.4000000000002899E-4</v>
      </c>
      <c r="R51" s="1002">
        <f t="shared" si="34"/>
        <v>3.3000000000002472E-4</v>
      </c>
      <c r="S51" s="1002">
        <f t="shared" si="34"/>
        <v>4.5000000000000595E-4</v>
      </c>
      <c r="T51" s="2904">
        <f t="shared" si="34"/>
        <v>2.7999999999994696E-4</v>
      </c>
      <c r="U51" s="2904">
        <f t="shared" ref="U51:Z51" si="35">ABS(+U45+U46+U47+U48-U49-U50)</f>
        <v>4.8999999999990718E-4</v>
      </c>
      <c r="V51" s="3130">
        <f t="shared" si="35"/>
        <v>4.3000000000004146E-4</v>
      </c>
      <c r="W51" s="3130">
        <f t="shared" si="35"/>
        <v>7.0000000000000617E-5</v>
      </c>
      <c r="X51" s="3130">
        <f t="shared" si="35"/>
        <v>4.300000000000137E-4</v>
      </c>
      <c r="Y51" s="3130">
        <f t="shared" si="35"/>
        <v>8.0000000000066129E-5</v>
      </c>
      <c r="Z51" s="3130">
        <f t="shared" si="35"/>
        <v>3.9999999999970615E-5</v>
      </c>
      <c r="AA51" s="3130">
        <f>ABS(+AA45+AA46+AA47+AA48-AA49-AA50)</f>
        <v>3.999999999999837E-4</v>
      </c>
      <c r="AB51" s="3130">
        <f>ABS(+AB45+AB46+AB47+AB48-AB49-AB50)</f>
        <v>2.5999999999992696E-4</v>
      </c>
      <c r="AC51" s="3130">
        <f>ABS(+AC45+AC46+AC47+AC48-AC49-AC50)</f>
        <v>0</v>
      </c>
      <c r="AD51" s="3130">
        <f>ABS(+AD45+AD46+AD47+AD48-AD49-AD50)</f>
        <v>0</v>
      </c>
      <c r="AE51" s="3130">
        <f>ABS(+AE45+AE46+AE47+AE48-AE49-AE50)</f>
        <v>0</v>
      </c>
      <c r="AF51" s="3432"/>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113">
      <c r="W52" s="3120"/>
      <c r="X52" s="3202"/>
      <c r="AB52" s="2221"/>
      <c r="AC52" s="2221"/>
      <c r="AD52" s="2221"/>
      <c r="AE52" s="2221"/>
    </row>
    <row r="53" spans="1:113" ht="12.75" customHeight="1">
      <c r="A53" s="664"/>
      <c r="B53" s="664"/>
      <c r="C53" s="774"/>
      <c r="D53" s="742"/>
      <c r="E53" s="743" t="s">
        <v>1311</v>
      </c>
      <c r="F53" s="744"/>
      <c r="G53" s="745">
        <f>+InputY!$G$3</f>
        <v>1995</v>
      </c>
      <c r="H53" s="745">
        <f t="shared" ref="H53:Q53" si="36">+G53+1</f>
        <v>1996</v>
      </c>
      <c r="I53" s="745">
        <f t="shared" si="36"/>
        <v>1997</v>
      </c>
      <c r="J53" s="745">
        <f t="shared" si="36"/>
        <v>1998</v>
      </c>
      <c r="K53" s="745">
        <f>+J53+1</f>
        <v>1999</v>
      </c>
      <c r="L53" s="745">
        <f t="shared" si="36"/>
        <v>2000</v>
      </c>
      <c r="M53" s="745">
        <f t="shared" si="36"/>
        <v>2001</v>
      </c>
      <c r="N53" s="745">
        <f t="shared" si="36"/>
        <v>2002</v>
      </c>
      <c r="O53" s="745">
        <f t="shared" si="36"/>
        <v>2003</v>
      </c>
      <c r="P53" s="745">
        <f>+O53+1</f>
        <v>2004</v>
      </c>
      <c r="Q53" s="745">
        <f t="shared" si="36"/>
        <v>2005</v>
      </c>
      <c r="R53" s="745">
        <f t="shared" ref="R53:W53" si="37">+Q53+1</f>
        <v>2006</v>
      </c>
      <c r="S53" s="745">
        <f t="shared" si="37"/>
        <v>2007</v>
      </c>
      <c r="T53" s="2211">
        <f t="shared" si="37"/>
        <v>2008</v>
      </c>
      <c r="U53" s="2211">
        <f t="shared" si="37"/>
        <v>2009</v>
      </c>
      <c r="V53" s="2211">
        <f>+U53+1</f>
        <v>2010</v>
      </c>
      <c r="W53" s="2211">
        <f t="shared" si="37"/>
        <v>2011</v>
      </c>
      <c r="X53" s="2211">
        <f t="shared" ref="X53:AE53" si="38">+W53+1</f>
        <v>2012</v>
      </c>
      <c r="Y53" s="2211">
        <f t="shared" si="38"/>
        <v>2013</v>
      </c>
      <c r="Z53" s="2211">
        <f t="shared" si="38"/>
        <v>2014</v>
      </c>
      <c r="AA53" s="2211">
        <f t="shared" si="38"/>
        <v>2015</v>
      </c>
      <c r="AB53" s="2211">
        <f t="shared" si="38"/>
        <v>2016</v>
      </c>
      <c r="AC53" s="2211">
        <f t="shared" si="38"/>
        <v>2017</v>
      </c>
      <c r="AD53" s="2211">
        <f t="shared" si="38"/>
        <v>2018</v>
      </c>
      <c r="AE53" s="2211">
        <f t="shared" si="38"/>
        <v>2019</v>
      </c>
    </row>
    <row r="54" spans="1:113" ht="12.75" customHeight="1">
      <c r="A54" s="664"/>
      <c r="B54" s="664"/>
      <c r="C54" s="794" t="s">
        <v>1767</v>
      </c>
      <c r="D54" s="689" t="s">
        <v>684</v>
      </c>
      <c r="E54" s="738" t="s">
        <v>1768</v>
      </c>
      <c r="F54" s="733" t="str">
        <f>+$F$45</f>
        <v>$ASubProd</v>
      </c>
      <c r="G54" s="739"/>
      <c r="H54" s="739">
        <f t="shared" ref="H54:S54" si="39">(H45/G45-1)*100</f>
        <v>25.908960778700241</v>
      </c>
      <c r="I54" s="739">
        <f t="shared" si="39"/>
        <v>-28.251477944520232</v>
      </c>
      <c r="J54" s="739">
        <f t="shared" si="39"/>
        <v>72.793535097448881</v>
      </c>
      <c r="K54" s="739">
        <f t="shared" si="39"/>
        <v>6.483264557542423</v>
      </c>
      <c r="L54" s="739">
        <f t="shared" si="39"/>
        <v>-12.056493282810887</v>
      </c>
      <c r="M54" s="739">
        <f t="shared" si="39"/>
        <v>-25.734430082256164</v>
      </c>
      <c r="N54" s="739">
        <f t="shared" si="39"/>
        <v>34.137658227848092</v>
      </c>
      <c r="O54" s="739">
        <f t="shared" si="39"/>
        <v>5.9569448540253811</v>
      </c>
      <c r="P54" s="739">
        <f t="shared" si="39"/>
        <v>76.240838667779926</v>
      </c>
      <c r="Q54" s="739">
        <f t="shared" si="39"/>
        <v>42.722535137126918</v>
      </c>
      <c r="R54" s="739">
        <f t="shared" si="39"/>
        <v>-1.5121897244864013</v>
      </c>
      <c r="S54" s="739">
        <f t="shared" si="39"/>
        <v>12.841253791708795</v>
      </c>
      <c r="T54" s="739">
        <f t="shared" ref="T54:AA54" si="40">(T45/S45-1)*100</f>
        <v>17.51958051241207</v>
      </c>
      <c r="U54" s="739">
        <f t="shared" si="40"/>
        <v>2.1434017678122474</v>
      </c>
      <c r="V54" s="739">
        <f t="shared" si="40"/>
        <v>3.5581974011611894</v>
      </c>
      <c r="W54" s="739">
        <f t="shared" si="40"/>
        <v>3.2864351122620539</v>
      </c>
      <c r="X54" s="739">
        <f t="shared" si="40"/>
        <v>6.1000827129859436</v>
      </c>
      <c r="Y54" s="739">
        <f t="shared" si="40"/>
        <v>7.0892613525628478</v>
      </c>
      <c r="Z54" s="739">
        <f t="shared" si="40"/>
        <v>3.1848582738080999E-2</v>
      </c>
      <c r="AA54" s="739">
        <f t="shared" si="40"/>
        <v>12.260074592922777</v>
      </c>
      <c r="AB54" s="739">
        <f>(AB45/AA45-1)*100</f>
        <v>9.0290298401636946</v>
      </c>
      <c r="AC54" s="739">
        <f>(AC45/AB45-1)*100</f>
        <v>1.449275362318847</v>
      </c>
      <c r="AD54" s="3269">
        <v>3.6</v>
      </c>
      <c r="AE54" s="3269">
        <v>3.6</v>
      </c>
      <c r="AF54" s="3653" t="s">
        <v>2592</v>
      </c>
    </row>
    <row r="55" spans="1:113" ht="12.75" customHeight="1">
      <c r="A55" s="664"/>
      <c r="B55" s="664"/>
      <c r="C55" s="795" t="s">
        <v>1767</v>
      </c>
      <c r="D55" s="674" t="s">
        <v>685</v>
      </c>
      <c r="E55" s="783" t="s">
        <v>1375</v>
      </c>
      <c r="F55" s="704" t="str">
        <f>+$F$46</f>
        <v>YHSubOth</v>
      </c>
      <c r="G55" s="706"/>
      <c r="H55" s="837">
        <v>0</v>
      </c>
      <c r="I55" s="837">
        <v>0</v>
      </c>
      <c r="J55" s="837">
        <v>0</v>
      </c>
      <c r="K55" s="837">
        <v>0</v>
      </c>
      <c r="L55" s="837">
        <v>0</v>
      </c>
      <c r="M55" s="837">
        <v>0</v>
      </c>
      <c r="N55" s="837">
        <v>0</v>
      </c>
      <c r="O55" s="837">
        <v>0</v>
      </c>
      <c r="P55" s="837">
        <v>0</v>
      </c>
      <c r="Q55" s="739">
        <f t="shared" ref="Q55:AA55" si="41">(Q46/P46-1)*100</f>
        <v>161.40005622715776</v>
      </c>
      <c r="R55" s="739">
        <f t="shared" si="41"/>
        <v>-31.953108195310818</v>
      </c>
      <c r="S55" s="739">
        <f t="shared" si="41"/>
        <v>12.849691797060213</v>
      </c>
      <c r="T55" s="739">
        <f t="shared" si="41"/>
        <v>-48.123249299719895</v>
      </c>
      <c r="U55" s="739">
        <f t="shared" si="41"/>
        <v>70.761339092872589</v>
      </c>
      <c r="V55" s="739">
        <f t="shared" si="41"/>
        <v>-64.679841897233203</v>
      </c>
      <c r="W55" s="739">
        <f t="shared" si="41"/>
        <v>42.032229185317838</v>
      </c>
      <c r="X55" s="739">
        <f t="shared" si="41"/>
        <v>10.463283958398971</v>
      </c>
      <c r="Y55" s="739">
        <f t="shared" si="41"/>
        <v>-54.52211126961484</v>
      </c>
      <c r="Z55" s="739">
        <f t="shared" si="41"/>
        <v>10.727728983688834</v>
      </c>
      <c r="AA55" s="739">
        <f t="shared" si="41"/>
        <v>94.730878186968837</v>
      </c>
      <c r="AB55" s="739">
        <f>(AB46/AA46-1)*100</f>
        <v>-45.824847250509158</v>
      </c>
      <c r="AC55" s="2259">
        <v>0</v>
      </c>
      <c r="AD55" s="2259">
        <v>0</v>
      </c>
      <c r="AE55" s="2259">
        <v>0</v>
      </c>
    </row>
    <row r="56" spans="1:113" ht="12.75" customHeight="1">
      <c r="A56" s="664"/>
      <c r="B56" s="664"/>
      <c r="C56" s="795" t="s">
        <v>1767</v>
      </c>
      <c r="D56" s="674" t="s">
        <v>686</v>
      </c>
      <c r="E56" s="783" t="s">
        <v>1375</v>
      </c>
      <c r="F56" s="704" t="str">
        <f>+$F$47</f>
        <v>YESubProd</v>
      </c>
      <c r="G56" s="706"/>
      <c r="H56" s="706">
        <f t="shared" ref="H56:AB56" si="42">(H47/G47-1)*100</f>
        <v>174.25944841675184</v>
      </c>
      <c r="I56" s="706">
        <f t="shared" si="42"/>
        <v>41.52700186219738</v>
      </c>
      <c r="J56" s="706">
        <f t="shared" si="42"/>
        <v>-27.44736842105263</v>
      </c>
      <c r="K56" s="706">
        <f t="shared" si="42"/>
        <v>-40.986579615524121</v>
      </c>
      <c r="L56" s="706">
        <f t="shared" si="42"/>
        <v>-84.449907805777499</v>
      </c>
      <c r="M56" s="706">
        <f t="shared" si="42"/>
        <v>1148.2213438735175</v>
      </c>
      <c r="N56" s="706">
        <f t="shared" si="42"/>
        <v>-42.685243825205823</v>
      </c>
      <c r="O56" s="706">
        <f t="shared" si="42"/>
        <v>-21.823204419889507</v>
      </c>
      <c r="P56" s="706">
        <f t="shared" si="42"/>
        <v>56.466431095406342</v>
      </c>
      <c r="Q56" s="706">
        <f t="shared" si="42"/>
        <v>1.6711833785004515</v>
      </c>
      <c r="R56" s="706">
        <f t="shared" si="42"/>
        <v>194.40248778320745</v>
      </c>
      <c r="S56" s="706">
        <f t="shared" si="42"/>
        <v>7.7410593028519825</v>
      </c>
      <c r="T56" s="706">
        <f t="shared" si="42"/>
        <v>-49.005602240896366</v>
      </c>
      <c r="U56" s="706">
        <f t="shared" si="42"/>
        <v>-47.871463883548472</v>
      </c>
      <c r="V56" s="706">
        <f t="shared" si="42"/>
        <v>140.5163329820864</v>
      </c>
      <c r="W56" s="706">
        <f t="shared" si="42"/>
        <v>-41.095290251916751</v>
      </c>
      <c r="X56" s="706">
        <f t="shared" si="42"/>
        <v>-4.351059873558949</v>
      </c>
      <c r="Y56" s="706">
        <f t="shared" si="42"/>
        <v>90.629860031104229</v>
      </c>
      <c r="Z56" s="706">
        <f t="shared" si="42"/>
        <v>-3.4672649398327704</v>
      </c>
      <c r="AA56" s="706">
        <f t="shared" si="42"/>
        <v>28.818930910627504</v>
      </c>
      <c r="AB56" s="706">
        <f t="shared" si="42"/>
        <v>19.517795637198642</v>
      </c>
      <c r="AC56" s="2215">
        <v>0</v>
      </c>
      <c r="AD56" s="2215">
        <v>0</v>
      </c>
      <c r="AE56" s="2215">
        <v>0</v>
      </c>
    </row>
    <row r="57" spans="1:113" ht="12.75" customHeight="1">
      <c r="A57" s="664"/>
      <c r="B57" s="664"/>
      <c r="C57" s="795" t="s">
        <v>1767</v>
      </c>
      <c r="D57" s="674" t="s">
        <v>687</v>
      </c>
      <c r="E57" s="783" t="s">
        <v>1375</v>
      </c>
      <c r="F57" s="704" t="s">
        <v>218</v>
      </c>
      <c r="G57" s="706"/>
      <c r="H57" s="837">
        <v>0</v>
      </c>
      <c r="I57" s="837">
        <v>0</v>
      </c>
      <c r="J57" s="837">
        <v>0</v>
      </c>
      <c r="K57" s="837">
        <v>0</v>
      </c>
      <c r="L57" s="837">
        <v>0</v>
      </c>
      <c r="M57" s="837">
        <v>0</v>
      </c>
      <c r="N57" s="837">
        <v>0</v>
      </c>
      <c r="O57" s="837">
        <v>0</v>
      </c>
      <c r="P57" s="837">
        <v>0</v>
      </c>
      <c r="Q57" s="837">
        <v>0</v>
      </c>
      <c r="R57" s="3511">
        <v>0</v>
      </c>
      <c r="S57" s="3511">
        <v>0</v>
      </c>
      <c r="T57" s="3511">
        <v>0</v>
      </c>
      <c r="U57" s="3511">
        <v>0</v>
      </c>
      <c r="V57" s="3511">
        <v>0</v>
      </c>
      <c r="W57" s="3511">
        <v>0</v>
      </c>
      <c r="X57" s="3511">
        <v>0</v>
      </c>
      <c r="Y57" s="3511">
        <v>0</v>
      </c>
      <c r="Z57" s="3511">
        <v>0</v>
      </c>
      <c r="AA57" s="3511">
        <v>0</v>
      </c>
      <c r="AB57" s="3511">
        <v>1</v>
      </c>
      <c r="AC57" s="2215">
        <v>1.4</v>
      </c>
      <c r="AD57" s="2215">
        <v>1</v>
      </c>
      <c r="AE57" s="2215">
        <v>1</v>
      </c>
    </row>
    <row r="58" spans="1:113" ht="12.75" customHeight="1">
      <c r="A58" s="664"/>
      <c r="B58" s="664"/>
      <c r="C58" s="796" t="s">
        <v>401</v>
      </c>
      <c r="D58" s="691" t="s">
        <v>688</v>
      </c>
      <c r="E58" s="797" t="s">
        <v>1880</v>
      </c>
      <c r="F58" s="736" t="str">
        <f>+$F$49</f>
        <v>SubFrRow</v>
      </c>
      <c r="G58" s="741"/>
      <c r="H58" s="741" t="e">
        <f t="shared" ref="H58:AB58" si="43">(H49/G49-1)*100</f>
        <v>#DIV/0!</v>
      </c>
      <c r="I58" s="741" t="e">
        <f t="shared" si="43"/>
        <v>#DIV/0!</v>
      </c>
      <c r="J58" s="741" t="e">
        <f t="shared" si="43"/>
        <v>#DIV/0!</v>
      </c>
      <c r="K58" s="741" t="e">
        <f t="shared" si="43"/>
        <v>#DIV/0!</v>
      </c>
      <c r="L58" s="741" t="e">
        <f t="shared" si="43"/>
        <v>#DIV/0!</v>
      </c>
      <c r="M58" s="741" t="e">
        <f t="shared" si="43"/>
        <v>#DIV/0!</v>
      </c>
      <c r="N58" s="741" t="e">
        <f t="shared" si="43"/>
        <v>#DIV/0!</v>
      </c>
      <c r="O58" s="741" t="e">
        <f t="shared" si="43"/>
        <v>#DIV/0!</v>
      </c>
      <c r="P58" s="741" t="e">
        <f t="shared" si="43"/>
        <v>#DIV/0!</v>
      </c>
      <c r="Q58" s="741">
        <f t="shared" si="43"/>
        <v>100.93491686460806</v>
      </c>
      <c r="R58" s="741">
        <f t="shared" si="43"/>
        <v>-4.081632653061229</v>
      </c>
      <c r="S58" s="741">
        <f t="shared" si="43"/>
        <v>-19.574468085106378</v>
      </c>
      <c r="T58" s="741">
        <f t="shared" si="43"/>
        <v>9.5238095238095113</v>
      </c>
      <c r="U58" s="741">
        <f t="shared" si="43"/>
        <v>31.884057971014499</v>
      </c>
      <c r="V58" s="741">
        <f t="shared" si="43"/>
        <v>11.721611721611701</v>
      </c>
      <c r="W58" s="741">
        <f t="shared" si="43"/>
        <v>5.9016393442623105</v>
      </c>
      <c r="X58" s="741">
        <f t="shared" si="43"/>
        <v>13.31269349845201</v>
      </c>
      <c r="Y58" s="741">
        <f t="shared" si="43"/>
        <v>6.2841530054644767</v>
      </c>
      <c r="Z58" s="741">
        <f t="shared" si="43"/>
        <v>-0.77120822622107621</v>
      </c>
      <c r="AA58" s="741">
        <f t="shared" si="43"/>
        <v>14.248704663212441</v>
      </c>
      <c r="AB58" s="741">
        <f t="shared" si="43"/>
        <v>5.8956916099773382</v>
      </c>
      <c r="AC58" s="3179">
        <v>2.5</v>
      </c>
      <c r="AD58" s="3179">
        <v>2.5</v>
      </c>
      <c r="AE58" s="3179">
        <v>2.5</v>
      </c>
      <c r="AF58" s="3653" t="s">
        <v>2593</v>
      </c>
    </row>
    <row r="59" spans="1:113" ht="12.75" customHeight="1">
      <c r="A59" s="664"/>
      <c r="B59" s="664"/>
      <c r="C59" s="774" t="s">
        <v>1769</v>
      </c>
      <c r="D59" s="717" t="s">
        <v>687</v>
      </c>
      <c r="E59" s="722" t="s">
        <v>1488</v>
      </c>
      <c r="F59" s="723" t="str">
        <f>+$F$50</f>
        <v>$ATE</v>
      </c>
      <c r="G59" s="721"/>
      <c r="H59" s="721">
        <f t="shared" ref="H59:V59" si="44">(H50/G50-1)*100</f>
        <v>44.143126177024449</v>
      </c>
      <c r="I59" s="721">
        <f t="shared" si="44"/>
        <v>-11.932758470516502</v>
      </c>
      <c r="J59" s="721">
        <f t="shared" si="44"/>
        <v>35.110275937098208</v>
      </c>
      <c r="K59" s="721">
        <f>(K50/J50-1)*100</f>
        <v>-3.0890857184686538</v>
      </c>
      <c r="L59" s="721">
        <f t="shared" si="44"/>
        <v>-20.960797643326522</v>
      </c>
      <c r="M59" s="721">
        <f t="shared" si="44"/>
        <v>13.97171253822631</v>
      </c>
      <c r="N59" s="721">
        <f t="shared" si="44"/>
        <v>0.46956230085526407</v>
      </c>
      <c r="O59" s="721">
        <f t="shared" si="44"/>
        <v>8.0787848439325636</v>
      </c>
      <c r="P59" s="721">
        <f t="shared" si="44"/>
        <v>-3.0038610038610081</v>
      </c>
      <c r="Q59" s="721">
        <f t="shared" si="44"/>
        <v>12.857256587851285</v>
      </c>
      <c r="R59" s="721">
        <f t="shared" si="44"/>
        <v>14.207110609480832</v>
      </c>
      <c r="S59" s="721">
        <f t="shared" si="44"/>
        <v>57.8567016676961</v>
      </c>
      <c r="T59" s="721">
        <f t="shared" si="44"/>
        <v>-13.589231912978839</v>
      </c>
      <c r="U59" s="721">
        <f t="shared" si="44"/>
        <v>-22.821952544828839</v>
      </c>
      <c r="V59" s="721">
        <f t="shared" si="44"/>
        <v>-19.038957991081908</v>
      </c>
      <c r="W59" s="721">
        <f t="shared" ref="W59:AE59" si="45">(W50/V50-1)*100</f>
        <v>-11.174722806000437</v>
      </c>
      <c r="X59" s="721">
        <f t="shared" si="45"/>
        <v>-14.481520763645261</v>
      </c>
      <c r="Y59" s="721">
        <f t="shared" si="45"/>
        <v>10.312917382178966</v>
      </c>
      <c r="Z59" s="721">
        <f t="shared" si="45"/>
        <v>2.6896134221222834</v>
      </c>
      <c r="AA59" s="721">
        <f t="shared" si="45"/>
        <v>24.279939363314806</v>
      </c>
      <c r="AB59" s="2260">
        <f t="shared" si="45"/>
        <v>10.069797384292212</v>
      </c>
      <c r="AC59" s="2260">
        <f t="shared" si="45"/>
        <v>-2.225574093455629</v>
      </c>
      <c r="AD59" s="2260">
        <f t="shared" si="45"/>
        <v>4.8415609356799338</v>
      </c>
      <c r="AE59" s="2260">
        <f t="shared" si="45"/>
        <v>4.8632843931043945</v>
      </c>
    </row>
    <row r="60" spans="1:113" ht="12.75" customHeight="1">
      <c r="A60" s="664"/>
      <c r="B60" s="664"/>
      <c r="C60" s="774"/>
      <c r="E60" s="786"/>
      <c r="F60" s="787"/>
      <c r="G60" s="703"/>
      <c r="H60" s="788"/>
      <c r="I60" s="703"/>
      <c r="J60" s="703"/>
      <c r="K60" s="703"/>
      <c r="L60" s="703"/>
      <c r="M60" s="703"/>
      <c r="N60" s="703"/>
      <c r="O60" s="703"/>
      <c r="P60" s="703"/>
      <c r="Q60" s="845"/>
      <c r="R60" s="2270"/>
      <c r="S60" s="2270"/>
      <c r="T60" s="2254"/>
      <c r="U60" s="2254"/>
      <c r="V60" s="2254"/>
      <c r="W60" s="2254"/>
      <c r="X60" s="2254"/>
      <c r="Y60" s="2254"/>
      <c r="Z60" s="2254"/>
      <c r="AA60" s="2254"/>
      <c r="AB60" s="2254"/>
      <c r="AC60" s="2254"/>
      <c r="AD60" s="2254"/>
      <c r="AE60" s="2254"/>
    </row>
    <row r="61" spans="1:113" ht="12.75" customHeight="1">
      <c r="A61" s="664"/>
      <c r="B61" s="664"/>
      <c r="C61" s="774"/>
      <c r="D61" s="818"/>
      <c r="E61" s="819" t="s">
        <v>512</v>
      </c>
      <c r="F61" s="820"/>
      <c r="G61" s="821">
        <f>+InputY!$G$3</f>
        <v>1995</v>
      </c>
      <c r="H61" s="821">
        <f t="shared" ref="H61:O61" si="46">+G61+1</f>
        <v>1996</v>
      </c>
      <c r="I61" s="821">
        <f t="shared" si="46"/>
        <v>1997</v>
      </c>
      <c r="J61" s="821">
        <f t="shared" si="46"/>
        <v>1998</v>
      </c>
      <c r="K61" s="821">
        <f>+J61+1</f>
        <v>1999</v>
      </c>
      <c r="L61" s="821">
        <f t="shared" si="46"/>
        <v>2000</v>
      </c>
      <c r="M61" s="821">
        <f t="shared" si="46"/>
        <v>2001</v>
      </c>
      <c r="N61" s="821">
        <f t="shared" si="46"/>
        <v>2002</v>
      </c>
      <c r="O61" s="821">
        <f t="shared" si="46"/>
        <v>2003</v>
      </c>
      <c r="P61" s="821">
        <f t="shared" ref="P61:V61" si="47">+O61+1</f>
        <v>2004</v>
      </c>
      <c r="Q61" s="821">
        <f t="shared" si="47"/>
        <v>2005</v>
      </c>
      <c r="R61" s="821">
        <f t="shared" si="47"/>
        <v>2006</v>
      </c>
      <c r="S61" s="821">
        <f>+R61+1</f>
        <v>2007</v>
      </c>
      <c r="T61" s="821">
        <f t="shared" si="47"/>
        <v>2008</v>
      </c>
      <c r="U61" s="821">
        <f t="shared" si="47"/>
        <v>2009</v>
      </c>
      <c r="V61" s="821">
        <f t="shared" si="47"/>
        <v>2010</v>
      </c>
      <c r="W61" s="821">
        <f t="shared" ref="W61:AE61" si="48">+V61+1</f>
        <v>2011</v>
      </c>
      <c r="X61" s="821">
        <f t="shared" si="48"/>
        <v>2012</v>
      </c>
      <c r="Y61" s="821">
        <f t="shared" si="48"/>
        <v>2013</v>
      </c>
      <c r="Z61" s="821">
        <f t="shared" si="48"/>
        <v>2014</v>
      </c>
      <c r="AA61" s="821">
        <f t="shared" si="48"/>
        <v>2015</v>
      </c>
      <c r="AB61" s="821">
        <f t="shared" si="48"/>
        <v>2016</v>
      </c>
      <c r="AC61" s="821">
        <f t="shared" si="48"/>
        <v>2017</v>
      </c>
      <c r="AD61" s="821">
        <f t="shared" si="48"/>
        <v>2018</v>
      </c>
      <c r="AE61" s="821">
        <f t="shared" si="48"/>
        <v>2019</v>
      </c>
    </row>
    <row r="62" spans="1:113" ht="12.75" customHeight="1">
      <c r="A62" s="664"/>
      <c r="B62" s="664"/>
      <c r="C62" s="822" t="s">
        <v>1767</v>
      </c>
      <c r="D62" s="823" t="s">
        <v>684</v>
      </c>
      <c r="E62" s="824" t="s">
        <v>1768</v>
      </c>
      <c r="F62" s="825" t="str">
        <f>+$F$8</f>
        <v>YATaxProd</v>
      </c>
      <c r="G62" s="838">
        <f>+G45/'VVP2'!G$341</f>
        <v>8.9973250151651179E-3</v>
      </c>
      <c r="H62" s="838">
        <f>+H45/'VVP2'!H$341</f>
        <v>9.0548323836877123E-3</v>
      </c>
      <c r="I62" s="838">
        <f>+I45/'VVP2'!I$341</f>
        <v>5.3828189902374035E-3</v>
      </c>
      <c r="J62" s="838">
        <f>+J45/'VVP2'!J$341</f>
        <v>8.3743153872381723E-3</v>
      </c>
      <c r="K62" s="838">
        <f>+K45/'VVP2'!K$341</f>
        <v>9.1346184102050962E-3</v>
      </c>
      <c r="L62" s="838">
        <f>+L45/'VVP2'!L$341</f>
        <v>7.6390353810316738E-3</v>
      </c>
      <c r="M62" s="838">
        <f>+M45/'VVP2'!M$341</f>
        <v>5.3429069810039366E-3</v>
      </c>
      <c r="N62" s="838">
        <f>+N45/'VVP2'!N$341</f>
        <v>6.6918078142791451E-3</v>
      </c>
      <c r="O62" s="838">
        <f>+O45/'VVP2'!O$341</f>
        <v>6.4666964234291321E-3</v>
      </c>
      <c r="P62" s="838">
        <f>+P45/'VVP2'!P$341</f>
        <v>1.0416323970320851E-2</v>
      </c>
      <c r="Q62" s="838">
        <f>+Q45/'VVP2'!Q$341</f>
        <v>1.2909507745561806E-2</v>
      </c>
      <c r="R62" s="838">
        <f>+R45/'VVP2'!R$341</f>
        <v>1.1089663352323458E-2</v>
      </c>
      <c r="S62" s="838">
        <f>+S45/'VVP2'!S$341</f>
        <v>1.0375797244277505E-2</v>
      </c>
      <c r="T62" s="2909">
        <f>+T45/'VVP2'!T$341</f>
        <v>1.0830284056779549E-2</v>
      </c>
      <c r="U62" s="2909">
        <f>+U45/'VVP2'!U$341</f>
        <v>1.3428714207111834E-2</v>
      </c>
      <c r="V62" s="2909">
        <f>+V45/'VVP2'!V$341</f>
        <v>1.3364297982778441E-2</v>
      </c>
      <c r="W62" s="2909">
        <f>+W45/'VVP2'!W$341</f>
        <v>1.2370137220018852E-2</v>
      </c>
      <c r="X62" s="2909">
        <f>+X45/'VVP2'!X$341</f>
        <v>1.2308806878154567E-2</v>
      </c>
      <c r="Y62" s="2909">
        <f>+Y45/'VVP2'!Y$341</f>
        <v>1.25739245101138E-2</v>
      </c>
      <c r="Z62" s="2909">
        <f>+Z45/'VVP2'!Z$341</f>
        <v>1.2024628995402572E-2</v>
      </c>
      <c r="AA62" s="2909">
        <f>+AA45/'VVP2'!AA$341</f>
        <v>1.3189278964886213E-2</v>
      </c>
      <c r="AB62" s="2909">
        <f>+AB45/'VVP2'!AB$341</f>
        <v>1.3918370386921387E-2</v>
      </c>
      <c r="AC62" s="2909">
        <f ca="1">+AC45/'VVP2'!AC$341</f>
        <v>1.3068580521333532E-2</v>
      </c>
      <c r="AD62" s="2909">
        <f ca="1">+AD45/'VVP2'!AD$341</f>
        <v>1.2794301317200428E-2</v>
      </c>
      <c r="AE62" s="2909">
        <f ca="1">+AE45/'VVP2'!AE$341</f>
        <v>1.2554984972648116E-2</v>
      </c>
    </row>
    <row r="63" spans="1:113" ht="12.75" customHeight="1">
      <c r="A63" s="664"/>
      <c r="B63" s="664"/>
      <c r="C63" s="826" t="s">
        <v>1767</v>
      </c>
      <c r="D63" s="674" t="s">
        <v>685</v>
      </c>
      <c r="E63" s="783" t="s">
        <v>1375</v>
      </c>
      <c r="F63" s="704" t="str">
        <f>+$F$9</f>
        <v>$HTaxOth</v>
      </c>
      <c r="G63" s="839">
        <f>+G46/'VVP2'!G$341</f>
        <v>0</v>
      </c>
      <c r="H63" s="839">
        <f>+H46/'VVP2'!H$341</f>
        <v>0</v>
      </c>
      <c r="I63" s="839">
        <f>+I46/'VVP2'!I$341</f>
        <v>0</v>
      </c>
      <c r="J63" s="839">
        <f>+J46/'VVP2'!J$341</f>
        <v>0</v>
      </c>
      <c r="K63" s="839">
        <f>+K46/'VVP2'!K$341</f>
        <v>0</v>
      </c>
      <c r="L63" s="839">
        <f>+L46/'VVP2'!L$341</f>
        <v>0</v>
      </c>
      <c r="M63" s="839">
        <f>+M46/'VVP2'!M$341</f>
        <v>8.3412471855335711E-4</v>
      </c>
      <c r="N63" s="839">
        <f>+N46/'VVP2'!N$341</f>
        <v>0</v>
      </c>
      <c r="O63" s="839">
        <f>+O46/'VVP2'!O$341</f>
        <v>4.5295071896177697E-4</v>
      </c>
      <c r="P63" s="839">
        <f>+P46/'VVP2'!P$341</f>
        <v>1.9503534433032198E-3</v>
      </c>
      <c r="Q63" s="839">
        <f>+Q46/'VVP2'!Q$341</f>
        <v>4.4271236314031527E-3</v>
      </c>
      <c r="R63" s="839">
        <f>+R46/'VVP2'!R$341</f>
        <v>2.6275811717840891E-3</v>
      </c>
      <c r="S63" s="839">
        <f>+S46/'VVP2'!S$341</f>
        <v>2.4586218081820458E-3</v>
      </c>
      <c r="T63" s="2910">
        <f>+T46/'VVP2'!T$341</f>
        <v>1.1328505872839356E-3</v>
      </c>
      <c r="U63" s="2910">
        <f>+U46/'VVP2'!U$341</f>
        <v>2.3482614697258051E-3</v>
      </c>
      <c r="V63" s="2910">
        <f>+V46/'VVP2'!V$341</f>
        <v>7.9706975180946242E-4</v>
      </c>
      <c r="W63" s="2910">
        <f>+W46/'VVP2'!W$341</f>
        <v>1.0145379807464799E-3</v>
      </c>
      <c r="X63" s="2910">
        <f>+X46/'VVP2'!X$341</f>
        <v>1.0510224154144355E-3</v>
      </c>
      <c r="Y63" s="2910">
        <f>+Y46/'VVP2'!Y$341</f>
        <v>4.5595422150965465E-4</v>
      </c>
      <c r="Z63" s="2910">
        <f>+Z46/'VVP2'!Z$341</f>
        <v>4.8265874140101747E-4</v>
      </c>
      <c r="AA63" s="2910">
        <f>+AA46/'VVP2'!AA$341</f>
        <v>9.1833056747592137E-4</v>
      </c>
      <c r="AB63" s="2910">
        <f>+AB46/'VVP2'!AB$341</f>
        <v>4.8153113453079936E-4</v>
      </c>
      <c r="AC63" s="2910">
        <f ca="1">+AC46/'VVP2'!AC$341</f>
        <v>4.4567210495829735E-4</v>
      </c>
      <c r="AD63" s="2910">
        <f ca="1">+AD46/'VVP2'!AD$341</f>
        <v>4.2115683476577983E-4</v>
      </c>
      <c r="AE63" s="2910">
        <f ca="1">+AE46/'VVP2'!AE$341</f>
        <v>3.9891808022806508E-4</v>
      </c>
    </row>
    <row r="64" spans="1:113" ht="12.75" customHeight="1">
      <c r="A64" s="664"/>
      <c r="B64" s="664"/>
      <c r="C64" s="826" t="s">
        <v>1767</v>
      </c>
      <c r="D64" s="674" t="s">
        <v>686</v>
      </c>
      <c r="E64" s="783" t="s">
        <v>1375</v>
      </c>
      <c r="F64" s="704" t="str">
        <f>+$F$10</f>
        <v>$ETaxProd</v>
      </c>
      <c r="G64" s="839">
        <f>+G47/'VVP2'!G$341</f>
        <v>1.2608618937656238E-3</v>
      </c>
      <c r="H64" s="839">
        <f>+H47/'VVP2'!H$341</f>
        <v>2.7640092030697489E-3</v>
      </c>
      <c r="I64" s="839">
        <f>+I47/'VVP2'!I$341</f>
        <v>3.2411206089212699E-3</v>
      </c>
      <c r="J64" s="839">
        <f>+J47/'VVP2'!J$341</f>
        <v>2.1171928035410952E-3</v>
      </c>
      <c r="K64" s="839">
        <f>+K47/'VVP2'!K$341</f>
        <v>1.2798849598177481E-3</v>
      </c>
      <c r="L64" s="839">
        <f>+L47/'VVP2'!L$341</f>
        <v>1.8925538106159552E-4</v>
      </c>
      <c r="M64" s="839">
        <f>+M47/'VVP2'!M$341</f>
        <v>2.2248022476279573E-3</v>
      </c>
      <c r="N64" s="839">
        <f>+N47/'VVP2'!N$341</f>
        <v>1.1906194970849556E-3</v>
      </c>
      <c r="O64" s="839">
        <f>+O47/'VVP2'!O$341</f>
        <v>8.4890763884889336E-4</v>
      </c>
      <c r="P64" s="839">
        <f>+P47/'VVP2'!P$341</f>
        <v>1.2139675354156112E-3</v>
      </c>
      <c r="Q64" s="839">
        <f>+Q47/'VVP2'!Q$341</f>
        <v>1.0717848240792104E-3</v>
      </c>
      <c r="R64" s="839">
        <f>+R47/'VVP2'!R$341</f>
        <v>2.7521701320393798E-3</v>
      </c>
      <c r="S64" s="839">
        <f>+S47/'VVP2'!S$341</f>
        <v>2.4586218081820458E-3</v>
      </c>
      <c r="T64" s="2910">
        <f>+T47/'VVP2'!T$341</f>
        <v>1.1135823402539983E-3</v>
      </c>
      <c r="U64" s="2910">
        <f>+U47/'VVP2'!U$341</f>
        <v>7.0466407423550633E-4</v>
      </c>
      <c r="V64" s="2910">
        <f>+V47/'VVP2'!V$341</f>
        <v>1.6287481723411799E-3</v>
      </c>
      <c r="W64" s="2910">
        <f>+W47/'VVP2'!W$341</f>
        <v>8.5978336912300184E-4</v>
      </c>
      <c r="X64" s="2910">
        <f>+X47/'VVP2'!X$341</f>
        <v>7.7124954420711221E-4</v>
      </c>
      <c r="Y64" s="2910">
        <f>+Y47/'VVP2'!Y$341</f>
        <v>1.4024739950199731E-3</v>
      </c>
      <c r="Z64" s="2910">
        <f>+Z47/'VVP2'!Z$341</f>
        <v>1.2942911178759294E-3</v>
      </c>
      <c r="AA64" s="2910">
        <f>+AA47/'VVP2'!AA$341</f>
        <v>1.6290548355835592E-3</v>
      </c>
      <c r="AB64" s="2910">
        <f>+AB47/'VVP2'!AB$341</f>
        <v>1.8844883873930908E-3</v>
      </c>
      <c r="AC64" s="2910">
        <f ca="1">+AC47/'VVP2'!AC$341</f>
        <v>1.7441528618856676E-3</v>
      </c>
      <c r="AD64" s="2910">
        <f ca="1">+AD47/'VVP2'!AD$341</f>
        <v>1.6482115225232212E-3</v>
      </c>
      <c r="AE64" s="2910">
        <f ca="1">+AE47/'VVP2'!AE$341</f>
        <v>1.5611794042008111E-3</v>
      </c>
    </row>
    <row r="65" spans="1:31" ht="12.75" customHeight="1">
      <c r="A65" s="664"/>
      <c r="B65" s="664"/>
      <c r="C65" s="826" t="s">
        <v>1767</v>
      </c>
      <c r="D65" s="674" t="s">
        <v>687</v>
      </c>
      <c r="E65" s="783" t="s">
        <v>1375</v>
      </c>
      <c r="F65" s="704" t="s">
        <v>218</v>
      </c>
      <c r="G65" s="839">
        <f>+G48/'VVP2'!G$341</f>
        <v>0</v>
      </c>
      <c r="H65" s="839">
        <f>+H48/'VVP2'!H$341</f>
        <v>0</v>
      </c>
      <c r="I65" s="839">
        <f>+I48/'VVP2'!I$341</f>
        <v>0</v>
      </c>
      <c r="J65" s="839">
        <f>+J48/'VVP2'!J$341</f>
        <v>0</v>
      </c>
      <c r="K65" s="839">
        <f>+K48/'VVP2'!K$341</f>
        <v>0</v>
      </c>
      <c r="L65" s="839">
        <f>+L48/'VVP2'!L$341</f>
        <v>0</v>
      </c>
      <c r="M65" s="839">
        <f>+M48/'VVP2'!M$341</f>
        <v>0</v>
      </c>
      <c r="N65" s="839">
        <f>+N48/'VVP2'!N$341</f>
        <v>0</v>
      </c>
      <c r="O65" s="839">
        <f>+O48/'VVP2'!O$341</f>
        <v>0</v>
      </c>
      <c r="P65" s="839">
        <f>+P48/'VVP2'!P$341</f>
        <v>0</v>
      </c>
      <c r="Q65" s="839">
        <f>+Q48/'VVP2'!Q$341</f>
        <v>0</v>
      </c>
      <c r="R65" s="839">
        <f>+R48/'VVP2'!R$341</f>
        <v>0</v>
      </c>
      <c r="S65" s="839">
        <f>+S48/'VVP2'!S$341</f>
        <v>0</v>
      </c>
      <c r="T65" s="2910">
        <f>+T48/'VVP2'!T$341</f>
        <v>0</v>
      </c>
      <c r="U65" s="2910">
        <f>+U48/'VVP2'!U$341</f>
        <v>0</v>
      </c>
      <c r="V65" s="2910">
        <f>+V48/'VVP2'!V$341</f>
        <v>0</v>
      </c>
      <c r="W65" s="2910">
        <f>+W48/'VVP2'!W$341</f>
        <v>0</v>
      </c>
      <c r="X65" s="2910">
        <f>+X48/'VVP2'!X$341</f>
        <v>0</v>
      </c>
      <c r="Y65" s="2910">
        <f>+Y48/'VVP2'!Y$341</f>
        <v>0</v>
      </c>
      <c r="Z65" s="2910">
        <f>+Z48/'VVP2'!Z$341</f>
        <v>0</v>
      </c>
      <c r="AA65" s="2910">
        <f>+AA48/'VVP2'!AA$341</f>
        <v>0</v>
      </c>
      <c r="AB65" s="2910">
        <f>+AB48/'VVP2'!AB$341</f>
        <v>0</v>
      </c>
      <c r="AC65" s="2910">
        <f ca="1">+AC48/'VVP2'!AC$341</f>
        <v>0</v>
      </c>
      <c r="AD65" s="2910">
        <f ca="1">+AD48/'VVP2'!AD$341</f>
        <v>0</v>
      </c>
      <c r="AE65" s="2910">
        <f ca="1">+AE48/'VVP2'!AE$341</f>
        <v>0</v>
      </c>
    </row>
    <row r="66" spans="1:31" ht="12.75" customHeight="1">
      <c r="A66" s="664"/>
      <c r="B66" s="664"/>
      <c r="C66" s="827" t="s">
        <v>401</v>
      </c>
      <c r="D66" s="828" t="s">
        <v>688</v>
      </c>
      <c r="E66" s="829" t="s">
        <v>1880</v>
      </c>
      <c r="F66" s="830" t="str">
        <f>+$F$12</f>
        <v>TaxToRow</v>
      </c>
      <c r="G66" s="840">
        <f>+G49/'VVP2'!G$341</f>
        <v>0</v>
      </c>
      <c r="H66" s="840">
        <f>+H49/'VVP2'!H$341</f>
        <v>0</v>
      </c>
      <c r="I66" s="840">
        <f>+I49/'VVP2'!I$341</f>
        <v>0</v>
      </c>
      <c r="J66" s="840">
        <f>+J49/'VVP2'!J$341</f>
        <v>0</v>
      </c>
      <c r="K66" s="840">
        <f>+K49/'VVP2'!K$341</f>
        <v>0</v>
      </c>
      <c r="L66" s="840">
        <f>+L49/'VVP2'!L$341</f>
        <v>0</v>
      </c>
      <c r="M66" s="840">
        <f>+M49/'VVP2'!M$341</f>
        <v>0</v>
      </c>
      <c r="N66" s="840">
        <f>+N49/'VVP2'!N$341</f>
        <v>0</v>
      </c>
      <c r="O66" s="840">
        <f>+O49/'VVP2'!O$341</f>
        <v>0</v>
      </c>
      <c r="P66" s="840">
        <f>+P49/'VVP2'!P$341</f>
        <v>6.6855959957451807E-3</v>
      </c>
      <c r="Q66" s="840">
        <f>+Q49/'VVP2'!Q$341</f>
        <v>1.1665361257192648E-2</v>
      </c>
      <c r="R66" s="840">
        <f>+R49/'VVP2'!R$341</f>
        <v>9.7594685533311347E-3</v>
      </c>
      <c r="S66" s="840">
        <f>+S49/'VVP2'!S$341</f>
        <v>6.5081165510701205E-3</v>
      </c>
      <c r="T66" s="2911">
        <f>+T49/'VVP2'!T$341</f>
        <v>6.3309954526937001E-3</v>
      </c>
      <c r="U66" s="2911">
        <f>+U49/'VVP2'!U$341</f>
        <v>1.0135579149962763E-2</v>
      </c>
      <c r="V66" s="2911">
        <f>+V49/'VVP2'!V$341</f>
        <v>1.0882107175554434E-2</v>
      </c>
      <c r="W66" s="2911">
        <f>+W49/'VVP2'!W$341</f>
        <v>1.0327632139335425E-2</v>
      </c>
      <c r="X66" s="2911">
        <f>+X49/'VVP2'!X$341</f>
        <v>1.097501295411365E-2</v>
      </c>
      <c r="Y66" s="2911">
        <f>+Y49/'VVP2'!Y$341</f>
        <v>1.11271136867789E-2</v>
      </c>
      <c r="Z66" s="2911">
        <f>+Z49/'VVP2'!Z$341</f>
        <v>1.0555596270866444E-2</v>
      </c>
      <c r="AA66" s="2911">
        <f>+AA49/'VVP2'!AA$341</f>
        <v>1.1783060234416101E-2</v>
      </c>
      <c r="AB66" s="2911">
        <f>+AB49/'VVP2'!AB$341</f>
        <v>1.2077069808049587E-2</v>
      </c>
      <c r="AC66" s="2911">
        <f ca="1">+AC49/'VVP2'!AC$341</f>
        <v>1.1457147950639793E-2</v>
      </c>
      <c r="AD66" s="2911">
        <f ca="1">+AD49/'VVP2'!AD$341</f>
        <v>1.1097592861361296E-2</v>
      </c>
      <c r="AE66" s="2911">
        <f ca="1">+AE49/'VVP2'!AE$341</f>
        <v>1.0774385753268565E-2</v>
      </c>
    </row>
    <row r="67" spans="1:31" ht="12.75" customHeight="1">
      <c r="A67" s="664"/>
      <c r="B67" s="664"/>
      <c r="C67" s="774" t="s">
        <v>1769</v>
      </c>
      <c r="D67" s="806" t="s">
        <v>687</v>
      </c>
      <c r="E67" s="807" t="s">
        <v>1488</v>
      </c>
      <c r="F67" s="808" t="str">
        <f>+$F$13</f>
        <v>YATaxIndir</v>
      </c>
      <c r="G67" s="841">
        <f>+G50/'VVP2'!G$341</f>
        <v>1.0258186908930742E-2</v>
      </c>
      <c r="H67" s="841">
        <f>+H50/'VVP2'!H$341</f>
        <v>1.1818841586757462E-2</v>
      </c>
      <c r="I67" s="841">
        <f>+I50/'VVP2'!I$341</f>
        <v>8.6239395991586747E-3</v>
      </c>
      <c r="J67" s="841">
        <f>+J50/'VVP2'!J$341</f>
        <v>1.0490740257227023E-2</v>
      </c>
      <c r="K67" s="841">
        <f>+K50/'VVP2'!K$341</f>
        <v>1.0414503370022843E-2</v>
      </c>
      <c r="L67" s="841">
        <f>+L50/'VVP2'!L$341</f>
        <v>7.8275427171088357E-3</v>
      </c>
      <c r="M67" s="841">
        <f>+M50/'VVP2'!M$341</f>
        <v>8.4018339471852513E-3</v>
      </c>
      <c r="N67" s="841">
        <f>+N50/'VVP2'!N$341</f>
        <v>7.8817695105369828E-3</v>
      </c>
      <c r="O67" s="841">
        <f>+O50/'VVP2'!O$341</f>
        <v>7.7691547159669033E-3</v>
      </c>
      <c r="P67" s="841">
        <f>+P50/'VVP2'!P$341</f>
        <v>6.8873740796546942E-3</v>
      </c>
      <c r="Q67" s="841">
        <f>+Q50/'VVP2'!Q$341</f>
        <v>6.7497208645699172E-3</v>
      </c>
      <c r="R67" s="841">
        <f>+R50/'VVP2'!R$341</f>
        <v>6.723650888443876E-3</v>
      </c>
      <c r="S67" s="841">
        <f>+S50/'VVP2'!S$341</f>
        <v>8.8004198251692631E-3</v>
      </c>
      <c r="T67" s="2912">
        <f>+T50/'VVP2'!T$341</f>
        <v>6.7542851969704196E-3</v>
      </c>
      <c r="U67" s="2912">
        <f>+U50/'VVP2'!U$341</f>
        <v>6.3278685359694263E-3</v>
      </c>
      <c r="V67" s="2912">
        <f>+V50/'VVP2'!V$341</f>
        <v>4.9233507185401848E-3</v>
      </c>
      <c r="W67" s="2912">
        <f>+W50/'VVP2'!W$341</f>
        <v>3.9190646170846532E-3</v>
      </c>
      <c r="X67" s="2912">
        <f>+X50/'VVP2'!X$341</f>
        <v>3.1431717427600897E-3</v>
      </c>
      <c r="Y67" s="2912">
        <f>+Y50/'VVP2'!Y$341</f>
        <v>3.3075273922936869E-3</v>
      </c>
      <c r="Z67" s="2912">
        <f>+Z50/'VVP2'!Z$341</f>
        <v>3.2470764279862218E-3</v>
      </c>
      <c r="AA67" s="2912">
        <f>+AA50/'VVP2'!AA$341</f>
        <v>3.9429165505505308E-3</v>
      </c>
      <c r="AB67" s="2912">
        <f>+AB50/'VVP2'!AB$341</f>
        <v>4.2005962503672261E-3</v>
      </c>
      <c r="AC67" s="2912">
        <f ca="1">+AC50/'VVP2'!AC$341</f>
        <v>3.801257537537702E-3</v>
      </c>
      <c r="AD67" s="2912">
        <f ca="1">+AD50/'VVP2'!AD$341</f>
        <v>3.7660768131281309E-3</v>
      </c>
      <c r="AE67" s="2912">
        <f ca="1">+AE50/'VVP2'!AE$341</f>
        <v>3.7406967038084256E-3</v>
      </c>
    </row>
    <row r="68" spans="1:31">
      <c r="A68" s="664"/>
      <c r="B68" s="664"/>
      <c r="C68" s="774"/>
      <c r="S68" s="843"/>
      <c r="U68" s="843"/>
      <c r="AB68" s="2221"/>
      <c r="AC68" s="2221"/>
      <c r="AD68" s="2221"/>
      <c r="AE68" s="2221"/>
    </row>
    <row r="69" spans="1:31">
      <c r="A69" s="664"/>
      <c r="B69" s="664"/>
      <c r="C69" s="774"/>
      <c r="AB69" s="2221"/>
      <c r="AC69" s="2221"/>
      <c r="AD69" s="2221"/>
      <c r="AE69" s="2221"/>
    </row>
    <row r="70" spans="1:31" ht="22.5" customHeight="1">
      <c r="A70" s="574"/>
      <c r="B70" s="574"/>
      <c r="C70" s="3751" t="s">
        <v>1373</v>
      </c>
      <c r="D70" s="3751"/>
      <c r="E70" s="3751"/>
      <c r="F70" s="3751"/>
      <c r="G70" s="2899"/>
      <c r="AB70" s="2221"/>
      <c r="AC70" s="2221"/>
      <c r="AD70" s="2221"/>
      <c r="AE70" s="2221"/>
    </row>
    <row r="71" spans="1:31" ht="12.75" customHeight="1">
      <c r="A71" s="664"/>
      <c r="B71" s="664"/>
      <c r="C71" s="774"/>
      <c r="AB71" s="2221"/>
      <c r="AC71" s="2221"/>
      <c r="AD71" s="2221"/>
      <c r="AE71" s="2221"/>
    </row>
    <row r="72" spans="1:31" ht="12.75" customHeight="1">
      <c r="A72" s="664"/>
      <c r="B72" s="664"/>
      <c r="C72" s="774"/>
      <c r="D72" s="775"/>
      <c r="E72" s="776" t="s">
        <v>1384</v>
      </c>
      <c r="F72" s="777"/>
      <c r="G72" s="778">
        <f>+InputY!$G$3</f>
        <v>1995</v>
      </c>
      <c r="H72" s="778">
        <f t="shared" ref="H72:N72" si="49">+G72+1</f>
        <v>1996</v>
      </c>
      <c r="I72" s="778">
        <f t="shared" si="49"/>
        <v>1997</v>
      </c>
      <c r="J72" s="778">
        <f t="shared" si="49"/>
        <v>1998</v>
      </c>
      <c r="K72" s="778">
        <f>+J72+1</f>
        <v>1999</v>
      </c>
      <c r="L72" s="778">
        <f t="shared" si="49"/>
        <v>2000</v>
      </c>
      <c r="M72" s="778">
        <f t="shared" si="49"/>
        <v>2001</v>
      </c>
      <c r="N72" s="778">
        <f t="shared" si="49"/>
        <v>2002</v>
      </c>
      <c r="O72" s="778">
        <f t="shared" ref="O72:W72" si="50">+N72+1</f>
        <v>2003</v>
      </c>
      <c r="P72" s="778">
        <f t="shared" si="50"/>
        <v>2004</v>
      </c>
      <c r="Q72" s="778">
        <f t="shared" si="50"/>
        <v>2005</v>
      </c>
      <c r="R72" s="778">
        <f t="shared" si="50"/>
        <v>2006</v>
      </c>
      <c r="S72" s="778">
        <f t="shared" si="50"/>
        <v>2007</v>
      </c>
      <c r="T72" s="2222">
        <f t="shared" si="50"/>
        <v>2008</v>
      </c>
      <c r="U72" s="2222">
        <f t="shared" si="50"/>
        <v>2009</v>
      </c>
      <c r="V72" s="2222">
        <f>+U72+1</f>
        <v>2010</v>
      </c>
      <c r="W72" s="2222">
        <f t="shared" si="50"/>
        <v>2011</v>
      </c>
      <c r="X72" s="2222">
        <f t="shared" ref="X72:AE72" si="51">+W72+1</f>
        <v>2012</v>
      </c>
      <c r="Y72" s="2222">
        <f t="shared" si="51"/>
        <v>2013</v>
      </c>
      <c r="Z72" s="2222">
        <f t="shared" si="51"/>
        <v>2014</v>
      </c>
      <c r="AA72" s="2222">
        <f t="shared" si="51"/>
        <v>2015</v>
      </c>
      <c r="AB72" s="2222">
        <f t="shared" si="51"/>
        <v>2016</v>
      </c>
      <c r="AC72" s="2222">
        <f t="shared" si="51"/>
        <v>2017</v>
      </c>
      <c r="AD72" s="2222">
        <f t="shared" si="51"/>
        <v>2018</v>
      </c>
      <c r="AE72" s="2222">
        <f t="shared" si="51"/>
        <v>2019</v>
      </c>
    </row>
    <row r="73" spans="1:31" ht="12.75" customHeight="1">
      <c r="A73" s="664">
        <f>+ROW(InputY!A180)</f>
        <v>180</v>
      </c>
      <c r="B73" s="664"/>
      <c r="C73" s="779" t="s">
        <v>1767</v>
      </c>
      <c r="D73" s="668" t="s">
        <v>685</v>
      </c>
      <c r="E73" s="700" t="s">
        <v>1373</v>
      </c>
      <c r="F73" s="701" t="str">
        <f>+InputY!B180</f>
        <v>YHGrVadd</v>
      </c>
      <c r="G73" s="780">
        <f>+InputY!G180/1000</f>
        <v>1.84365</v>
      </c>
      <c r="H73" s="780">
        <f>+InputY!H180/1000</f>
        <v>2.30016</v>
      </c>
      <c r="I73" s="780">
        <f>+InputY!I180/1000</f>
        <v>2.6009799999999998</v>
      </c>
      <c r="J73" s="780">
        <f>+InputY!J180/1000</f>
        <v>2.8379499999999998</v>
      </c>
      <c r="K73" s="780">
        <f>+InputY!K180/1000</f>
        <v>2.6959400000000002</v>
      </c>
      <c r="L73" s="780">
        <f>+InputY!L180/1000</f>
        <v>2.7768699999999997</v>
      </c>
      <c r="M73" s="780">
        <f>+InputY!M180/1000</f>
        <v>2.6924899999999998</v>
      </c>
      <c r="N73" s="780">
        <f>+InputY!N180/1000</f>
        <v>2.7059600000000001</v>
      </c>
      <c r="O73" s="780">
        <f>+InputY!O180/1000</f>
        <v>2.8033899999999998</v>
      </c>
      <c r="P73" s="780">
        <f>+InputY!P180/1000</f>
        <v>2.92544</v>
      </c>
      <c r="Q73" s="780">
        <f>+InputY!Q180/1000</f>
        <v>3.2303899999999999</v>
      </c>
      <c r="R73" s="780">
        <f>+InputY!R180/1000</f>
        <v>3.4656799999999999</v>
      </c>
      <c r="S73" s="780">
        <f>+InputY!S180/1000</f>
        <v>3.8770199999999999</v>
      </c>
      <c r="T73" s="780">
        <f>+InputY!T180/1000</f>
        <v>4.1631099999999996</v>
      </c>
      <c r="U73" s="780">
        <f>+InputY!U180/1000</f>
        <v>3.3344800000000001</v>
      </c>
      <c r="V73" s="780">
        <f>+InputY!V180/1000</f>
        <v>3.0989499999999999</v>
      </c>
      <c r="W73" s="780">
        <f>+InputY!W180/1000</f>
        <v>3.3005</v>
      </c>
      <c r="X73" s="780">
        <f>+InputY!X180/1000</f>
        <v>3.7175500000000001</v>
      </c>
      <c r="Y73" s="780">
        <f>+InputY!Y180/1000</f>
        <v>3.8779400000000002</v>
      </c>
      <c r="Z73" s="780">
        <f>+InputY!Z180/1000</f>
        <v>4.0212899999999996</v>
      </c>
      <c r="AA73" s="780">
        <f>+InputY!AA180/1000</f>
        <v>4.2696000000000005</v>
      </c>
      <c r="AB73" s="780">
        <f>+InputY!AB180/1000</f>
        <v>4.2739500000000001</v>
      </c>
      <c r="AC73" s="2232">
        <f>+AC107+Labour1!AC209+Sector1!AC9-Sector1!AC46</f>
        <v>4.3074756499999998</v>
      </c>
      <c r="AD73" s="2232">
        <f>+AD107+Labour1!AD209+Sector1!AD9-Sector1!AD46</f>
        <v>4.3431890632499996</v>
      </c>
      <c r="AE73" s="2232">
        <f>+AE107+Labour1!AE209+Sector1!AE9-Sector1!AE46</f>
        <v>4.3784579944850002</v>
      </c>
    </row>
    <row r="74" spans="1:31" ht="12.75" customHeight="1">
      <c r="A74" s="664"/>
      <c r="B74" s="664"/>
      <c r="C74" s="782"/>
      <c r="D74" s="1973" t="s">
        <v>727</v>
      </c>
      <c r="E74" s="1973"/>
      <c r="F74" s="1973"/>
      <c r="G74" s="2898"/>
      <c r="H74" s="2898"/>
      <c r="I74" s="2898"/>
      <c r="J74" s="2898"/>
      <c r="K74" s="2898"/>
      <c r="L74" s="2898"/>
      <c r="M74" s="2898"/>
      <c r="N74" s="2898"/>
      <c r="O74" s="2898"/>
      <c r="P74" s="2898"/>
      <c r="Q74" s="2898"/>
      <c r="R74" s="2898"/>
      <c r="S74" s="2898"/>
      <c r="T74" s="2905"/>
      <c r="U74" s="2905"/>
      <c r="V74" s="2905"/>
      <c r="W74" s="2905"/>
      <c r="X74" s="2905"/>
      <c r="Y74" s="2905"/>
      <c r="Z74" s="2905"/>
      <c r="AA74" s="2905"/>
      <c r="AB74" s="2905"/>
      <c r="AC74" s="2905"/>
      <c r="AD74" s="2905"/>
      <c r="AE74" s="2905"/>
    </row>
    <row r="75" spans="1:31" ht="12.75" customHeight="1">
      <c r="A75" s="664"/>
      <c r="B75" s="664"/>
      <c r="C75" s="782"/>
      <c r="D75" s="1973"/>
      <c r="E75" s="1973" t="s">
        <v>2018</v>
      </c>
      <c r="F75" s="1973"/>
      <c r="G75" s="2898">
        <f t="shared" ref="G75:U75" si="52">(G9-G46)/G73</f>
        <v>4.5073631112195912E-3</v>
      </c>
      <c r="H75" s="2898">
        <f t="shared" si="52"/>
        <v>1.3294727323316638E-2</v>
      </c>
      <c r="I75" s="2898">
        <f t="shared" si="52"/>
        <v>4.8712408399910808E-3</v>
      </c>
      <c r="J75" s="2898">
        <f t="shared" si="52"/>
        <v>4.1966912736306145E-3</v>
      </c>
      <c r="K75" s="2898">
        <f t="shared" si="52"/>
        <v>4.3138942261326295E-3</v>
      </c>
      <c r="L75" s="2898">
        <f t="shared" si="52"/>
        <v>5.7078653303899718E-3</v>
      </c>
      <c r="M75" s="2898">
        <f t="shared" si="52"/>
        <v>3.3389167647790703E-3</v>
      </c>
      <c r="N75" s="2898">
        <f t="shared" si="52"/>
        <v>1.3233750683676033E-2</v>
      </c>
      <c r="O75" s="2898">
        <f t="shared" si="52"/>
        <v>2.8786576252323079E-3</v>
      </c>
      <c r="P75" s="2898">
        <f t="shared" si="52"/>
        <v>-5.3496226208707056E-3</v>
      </c>
      <c r="Q75" s="2898">
        <f t="shared" si="52"/>
        <v>-2.1789938676135084E-2</v>
      </c>
      <c r="R75" s="2898">
        <f t="shared" si="52"/>
        <v>-1.2185198864292146E-2</v>
      </c>
      <c r="S75" s="2898">
        <f>(S9-S46)/S73</f>
        <v>-1.2081443995646143E-2</v>
      </c>
      <c r="T75" s="2905">
        <f t="shared" si="52"/>
        <v>-1.9720833703649435E-3</v>
      </c>
      <c r="U75" s="2905">
        <f t="shared" si="52"/>
        <v>-1.2385739305678847E-2</v>
      </c>
      <c r="V75" s="2905">
        <f t="shared" ref="V75:AA75" si="53">(V9-V46)/V73</f>
        <v>2.2910985979121968E-3</v>
      </c>
      <c r="W75" s="2905">
        <f t="shared" si="53"/>
        <v>-2.4178154825026514E-3</v>
      </c>
      <c r="X75" s="2905">
        <f t="shared" si="53"/>
        <v>-3.4727172465736835E-3</v>
      </c>
      <c r="Y75" s="2905">
        <f t="shared" si="53"/>
        <v>1.5936296074720087E-3</v>
      </c>
      <c r="Z75" s="2905">
        <f t="shared" si="53"/>
        <v>3.2327934568260844E-5</v>
      </c>
      <c r="AA75" s="2905">
        <f t="shared" si="53"/>
        <v>-2.3491661982387099E-3</v>
      </c>
      <c r="AB75" s="2905">
        <f>(AB9-AB46)/AB73</f>
        <v>1.3898150422910884E-3</v>
      </c>
      <c r="AC75" s="2905">
        <f>(AC9-AC46)/AC73</f>
        <v>1.7781180028260863E-3</v>
      </c>
      <c r="AD75" s="2905">
        <f>(AD9-AD46)/AD73</f>
        <v>2.1870436358329077E-3</v>
      </c>
      <c r="AE75" s="2905">
        <f>(AE9-AE46)/AE73</f>
        <v>2.6189713580542806E-3</v>
      </c>
    </row>
    <row r="76" spans="1:31" ht="12.75" customHeight="1">
      <c r="A76" s="664"/>
      <c r="B76" s="664"/>
      <c r="C76" s="782"/>
      <c r="D76" s="1973"/>
      <c r="E76" s="1973" t="s">
        <v>729</v>
      </c>
      <c r="F76" s="1973"/>
      <c r="G76" s="2898">
        <f>+Labour1!G209/G73</f>
        <v>7.4140970357714317E-2</v>
      </c>
      <c r="H76" s="2898">
        <f>+Labour1!H209/H73</f>
        <v>6.335646215915415E-2</v>
      </c>
      <c r="I76" s="2898">
        <f>+Labour1!I209/I73</f>
        <v>7.2807172681066373E-2</v>
      </c>
      <c r="J76" s="2898">
        <f>+Labour1!J209/J73</f>
        <v>8.8179848129812013E-2</v>
      </c>
      <c r="K76" s="2898">
        <f>+Labour1!K209/K73</f>
        <v>6.3836732271489713E-2</v>
      </c>
      <c r="L76" s="2898">
        <f>+Labour1!L209/L73</f>
        <v>8.7875917849953383E-2</v>
      </c>
      <c r="M76" s="2898">
        <f>+Labour1!M209/M73</f>
        <v>0.11000969362931709</v>
      </c>
      <c r="N76" s="2898">
        <f>+Labour1!N209/N73</f>
        <v>0.11964700143387189</v>
      </c>
      <c r="O76" s="2898">
        <f>+Labour1!O209/O73</f>
        <v>0.12789158839833201</v>
      </c>
      <c r="P76" s="2898">
        <f>+Labour1!P209/P73</f>
        <v>0.13375765696784075</v>
      </c>
      <c r="Q76" s="2898">
        <f>+Labour1!Q209/Q73</f>
        <v>0.13907608678828254</v>
      </c>
      <c r="R76" s="2898">
        <f>+Labour1!R209/R73</f>
        <v>0.15583954664019761</v>
      </c>
      <c r="S76" s="2898">
        <f>+Labour1!S209/S73</f>
        <v>0.18848754971601903</v>
      </c>
      <c r="T76" s="2905">
        <f>+Labour1!T209/T73</f>
        <v>0.18277201419131373</v>
      </c>
      <c r="U76" s="2905">
        <f>+Labour1!U209/U73</f>
        <v>0.16601089225306492</v>
      </c>
      <c r="V76" s="2905">
        <f>+Labour1!V209/V73</f>
        <v>0.14871811419997097</v>
      </c>
      <c r="W76" s="2905">
        <f>+Labour1!W209/W73</f>
        <v>0.14294803817603394</v>
      </c>
      <c r="X76" s="2905">
        <f>+Labour1!X209/X73</f>
        <v>0.12371050826485185</v>
      </c>
      <c r="Y76" s="2905">
        <f>+Labour1!Y209/Y73</f>
        <v>0.12476211596878754</v>
      </c>
      <c r="Z76" s="2905">
        <f>+Labour1!Z209/Z73</f>
        <v>0.12270937932852394</v>
      </c>
      <c r="AA76" s="2905">
        <f>+Labour1!AA209/AA73</f>
        <v>0.11862469552182874</v>
      </c>
      <c r="AB76" s="2905">
        <f>+Labour1!AB209/AB73</f>
        <v>0.11449127855964622</v>
      </c>
      <c r="AC76" s="2905">
        <f>+Labour1!AC209/AC73</f>
        <v>0.120984189428906</v>
      </c>
      <c r="AD76" s="2905">
        <f>+Labour1!AD209/AD73</f>
        <v>0.12778866201018818</v>
      </c>
      <c r="AE76" s="2905">
        <f>+Labour1!AE209/AE73</f>
        <v>0.13436486981170592</v>
      </c>
    </row>
    <row r="77" spans="1:31" ht="12.75" customHeight="1">
      <c r="A77" s="664"/>
      <c r="B77" s="664"/>
      <c r="C77" s="782"/>
      <c r="D77" s="1973"/>
      <c r="E77" s="1973" t="s">
        <v>728</v>
      </c>
      <c r="F77" s="1973"/>
      <c r="G77" s="2898">
        <f t="shared" ref="G77:U77" si="54">+G107/G73</f>
        <v>0.92135166653106604</v>
      </c>
      <c r="H77" s="2898">
        <f t="shared" si="54"/>
        <v>0.92334881051752926</v>
      </c>
      <c r="I77" s="2898">
        <f t="shared" si="54"/>
        <v>0.92232158647894258</v>
      </c>
      <c r="J77" s="2898">
        <f t="shared" si="54"/>
        <v>0.90762346059655741</v>
      </c>
      <c r="K77" s="2898">
        <f t="shared" si="54"/>
        <v>0.93184937350237773</v>
      </c>
      <c r="L77" s="2898">
        <f t="shared" si="54"/>
        <v>0.90641621681965667</v>
      </c>
      <c r="M77" s="2898">
        <f t="shared" si="54"/>
        <v>0.88665138960590384</v>
      </c>
      <c r="N77" s="2898">
        <f t="shared" si="54"/>
        <v>0.86711924788245198</v>
      </c>
      <c r="O77" s="2898">
        <f t="shared" si="54"/>
        <v>0.86922975397643565</v>
      </c>
      <c r="P77" s="2898">
        <f t="shared" si="54"/>
        <v>0.87159196565302988</v>
      </c>
      <c r="Q77" s="2898">
        <f t="shared" si="54"/>
        <v>0.88271385188785256</v>
      </c>
      <c r="R77" s="2898">
        <f t="shared" si="54"/>
        <v>0.85634565222409453</v>
      </c>
      <c r="S77" s="2898">
        <f>+S107/S73</f>
        <v>0.82359389427962715</v>
      </c>
      <c r="T77" s="2905">
        <f t="shared" si="54"/>
        <v>0.8192000691790513</v>
      </c>
      <c r="U77" s="2905">
        <f t="shared" si="54"/>
        <v>0.8463748470526139</v>
      </c>
      <c r="V77" s="2905">
        <f t="shared" ref="V77:AA77" si="55">+V107/V73</f>
        <v>0.84899078720211674</v>
      </c>
      <c r="W77" s="2905">
        <f t="shared" si="55"/>
        <v>0.85946977730646867</v>
      </c>
      <c r="X77" s="2905">
        <f t="shared" si="55"/>
        <v>0.87976220898172186</v>
      </c>
      <c r="Y77" s="2905">
        <f t="shared" si="55"/>
        <v>0.87364425442374039</v>
      </c>
      <c r="Z77" s="2905">
        <f t="shared" si="55"/>
        <v>0.87725829273690781</v>
      </c>
      <c r="AA77" s="2905">
        <f t="shared" si="55"/>
        <v>0.88372447067641002</v>
      </c>
      <c r="AB77" s="2905">
        <f>+AB107/AB73</f>
        <v>0.88411890639806268</v>
      </c>
      <c r="AC77" s="2905">
        <f>+AC107/AC73</f>
        <v>0.877237692568268</v>
      </c>
      <c r="AD77" s="2905">
        <f>+AD107/AD73</f>
        <v>0.87002429435397899</v>
      </c>
      <c r="AE77" s="2905">
        <f>+AE107/AE73</f>
        <v>0.86301615883023974</v>
      </c>
    </row>
    <row r="78" spans="1:31" ht="12.75" customHeight="1">
      <c r="A78" s="664">
        <f>+ROW(InputY!A113)</f>
        <v>113</v>
      </c>
      <c r="B78" s="664">
        <v>100</v>
      </c>
      <c r="C78" s="782" t="s">
        <v>1767</v>
      </c>
      <c r="D78" s="674" t="s">
        <v>686</v>
      </c>
      <c r="E78" s="783" t="s">
        <v>1373</v>
      </c>
      <c r="F78" s="704" t="str">
        <f>+InputY!B113</f>
        <v>YEGrVadd</v>
      </c>
      <c r="G78" s="706">
        <f>+InputY!G113/1000</f>
        <v>3.9930599999999998</v>
      </c>
      <c r="H78" s="706">
        <f>+InputY!H113/1000</f>
        <v>5.0259799999999997</v>
      </c>
      <c r="I78" s="706">
        <f>+InputY!I113/1000</f>
        <v>5.9436200000000001</v>
      </c>
      <c r="J78" s="706">
        <f>+InputY!J113/1000</f>
        <v>6.4824099999999998</v>
      </c>
      <c r="K78" s="706">
        <f>+InputY!K113/1000</f>
        <v>6.3313900000000007</v>
      </c>
      <c r="L78" s="706">
        <f>+InputY!L113/1000</f>
        <v>7.04054</v>
      </c>
      <c r="M78" s="706">
        <f>+InputY!M113/1000</f>
        <v>7.8377799999999995</v>
      </c>
      <c r="N78" s="706">
        <f>+InputY!N113/1000</f>
        <v>8.6526899999999998</v>
      </c>
      <c r="O78" s="706">
        <f>+InputY!O113/1000</f>
        <v>9.867700000000001</v>
      </c>
      <c r="P78" s="706">
        <f>+InputY!P113/1000</f>
        <v>11.10008</v>
      </c>
      <c r="Q78" s="706">
        <f>+InputY!Q113/1000</f>
        <v>13.076600000000001</v>
      </c>
      <c r="R78" s="706">
        <f>+InputY!R113/1000</f>
        <v>15.146889999999999</v>
      </c>
      <c r="S78" s="706">
        <f>+InputY!S113/1000</f>
        <v>18.65231</v>
      </c>
      <c r="T78" s="706">
        <f>+InputY!T113/1000</f>
        <v>20.88843</v>
      </c>
      <c r="U78" s="706">
        <f>+InputY!U113/1000</f>
        <v>16.73537</v>
      </c>
      <c r="V78" s="706">
        <f>+InputY!V113/1000</f>
        <v>18.234159999999999</v>
      </c>
      <c r="W78" s="706">
        <f>+InputY!W113/1000</f>
        <v>20.770669999999999</v>
      </c>
      <c r="X78" s="706">
        <f>+InputY!X113/1000</f>
        <v>22.225490000000001</v>
      </c>
      <c r="Y78" s="706">
        <f>+InputY!Y113/1000</f>
        <v>23.43872</v>
      </c>
      <c r="Z78" s="706">
        <f>+InputY!Z113/1000</f>
        <v>24.500109999999999</v>
      </c>
      <c r="AA78" s="706">
        <f>+InputY!AA113/1000</f>
        <v>24.728159999999999</v>
      </c>
      <c r="AB78" s="706">
        <f>+InputY!AB113/1000</f>
        <v>25.56738</v>
      </c>
      <c r="AC78" s="2217">
        <f>+AC88-AC73-AC83</f>
        <v>28.093316769273876</v>
      </c>
      <c r="AD78" s="2217">
        <f ca="1">+AD88-AD73-AD83</f>
        <v>29.895443026415556</v>
      </c>
      <c r="AE78" s="2217">
        <f ca="1">+AE88-AE73-AE83</f>
        <v>31.814666730987341</v>
      </c>
    </row>
    <row r="79" spans="1:31" ht="12.75" customHeight="1">
      <c r="A79" s="664"/>
      <c r="B79" s="664"/>
      <c r="C79" s="782"/>
      <c r="D79" s="1973" t="s">
        <v>727</v>
      </c>
      <c r="E79" s="1973"/>
      <c r="F79" s="1973"/>
      <c r="G79" s="2898"/>
      <c r="H79" s="2898"/>
      <c r="I79" s="2898"/>
      <c r="J79" s="2898"/>
      <c r="K79" s="2898"/>
      <c r="L79" s="2898"/>
      <c r="M79" s="2898"/>
      <c r="N79" s="2898"/>
      <c r="O79" s="2898"/>
      <c r="P79" s="2898"/>
      <c r="Q79" s="2898"/>
      <c r="R79" s="2898"/>
      <c r="S79" s="2898"/>
      <c r="T79" s="2905"/>
      <c r="U79" s="2905"/>
      <c r="V79" s="2905"/>
      <c r="W79" s="2905"/>
      <c r="X79" s="2905"/>
      <c r="Y79" s="2905"/>
      <c r="Z79" s="2905"/>
      <c r="AA79" s="2905"/>
      <c r="AB79" s="2905"/>
      <c r="AC79" s="2905"/>
      <c r="AD79" s="2905"/>
      <c r="AE79" s="2905"/>
    </row>
    <row r="80" spans="1:31" ht="12.75" customHeight="1">
      <c r="A80" s="664"/>
      <c r="B80" s="664"/>
      <c r="C80" s="782"/>
      <c r="D80" s="1973"/>
      <c r="E80" s="1973" t="s">
        <v>2018</v>
      </c>
      <c r="F80" s="1973"/>
      <c r="G80" s="2898">
        <f t="shared" ref="G80:U80" si="56">+(G10-G47)/G78</f>
        <v>3.668865481610595E-3</v>
      </c>
      <c r="H80" s="2898">
        <f t="shared" si="56"/>
        <v>-1.2793524844905873E-3</v>
      </c>
      <c r="I80" s="2898">
        <f t="shared" si="56"/>
        <v>2.8248777680941915E-3</v>
      </c>
      <c r="J80" s="2898">
        <f t="shared" si="56"/>
        <v>4.8593038700113075E-3</v>
      </c>
      <c r="K80" s="2898">
        <f t="shared" si="56"/>
        <v>8.6473902255270949E-3</v>
      </c>
      <c r="L80" s="2898">
        <f t="shared" si="56"/>
        <v>8.326065898354388E-3</v>
      </c>
      <c r="M80" s="2898">
        <f t="shared" si="56"/>
        <v>4.3532735034665449E-3</v>
      </c>
      <c r="N80" s="2898">
        <f t="shared" si="56"/>
        <v>4.8458918555963513E-3</v>
      </c>
      <c r="O80" s="2898">
        <f t="shared" si="56"/>
        <v>6.489860859166776E-3</v>
      </c>
      <c r="P80" s="2898">
        <f t="shared" si="56"/>
        <v>7.0422915870876597E-3</v>
      </c>
      <c r="Q80" s="2898">
        <f t="shared" si="56"/>
        <v>6.6576938959668399E-3</v>
      </c>
      <c r="R80" s="2898">
        <f t="shared" si="56"/>
        <v>4.6702656452908813E-3</v>
      </c>
      <c r="S80" s="2898">
        <f>+(S10-S47)/S78</f>
        <v>4.6037193248450198E-3</v>
      </c>
      <c r="T80" s="2905">
        <f t="shared" si="56"/>
        <v>5.5715053740276309E-3</v>
      </c>
      <c r="U80" s="2905">
        <f t="shared" si="56"/>
        <v>8.0302975076141144E-3</v>
      </c>
      <c r="V80" s="2905">
        <f t="shared" ref="V80:AA80" si="57">+(V10-V47)/V78</f>
        <v>5.666836311626091E-3</v>
      </c>
      <c r="W80" s="2905">
        <f t="shared" si="57"/>
        <v>6.4769215436959902E-3</v>
      </c>
      <c r="X80" s="2905">
        <f t="shared" si="57"/>
        <v>6.4641994394724249E-3</v>
      </c>
      <c r="Y80" s="2905">
        <f t="shared" si="57"/>
        <v>5.6108012724244314E-3</v>
      </c>
      <c r="Z80" s="2905">
        <f t="shared" si="57"/>
        <v>6.3713999651430148E-3</v>
      </c>
      <c r="AA80" s="2905">
        <f t="shared" si="57"/>
        <v>6.2560255190843156E-3</v>
      </c>
      <c r="AB80" s="2905">
        <f>+(AB10-AB47)/AB78</f>
        <v>4.6762710923059E-3</v>
      </c>
      <c r="AC80" s="2905">
        <f>+(AC10-AC47)/AC78</f>
        <v>4.5983000533880687E-3</v>
      </c>
      <c r="AD80" s="2905">
        <f ca="1">+(AD10-AD47)/AD78</f>
        <v>4.6590403385870166E-3</v>
      </c>
      <c r="AE80" s="2905">
        <f ca="1">+(AE10-AE47)/AE78</f>
        <v>4.7114049635480267E-3</v>
      </c>
    </row>
    <row r="81" spans="1:113" ht="12.75" customHeight="1">
      <c r="A81" s="664"/>
      <c r="B81" s="664"/>
      <c r="C81" s="782"/>
      <c r="D81" s="1973"/>
      <c r="E81" s="1973" t="s">
        <v>729</v>
      </c>
      <c r="F81" s="1973"/>
      <c r="G81" s="2898">
        <f>+Labour1!G210/Sector1!G78</f>
        <v>0.50514142036433207</v>
      </c>
      <c r="H81" s="2898">
        <f>+Labour1!H210/Sector1!H78</f>
        <v>0.50329885912797112</v>
      </c>
      <c r="I81" s="2898">
        <f>+Labour1!I210/Sector1!I78</f>
        <v>0.51292646568926004</v>
      </c>
      <c r="J81" s="2898">
        <f>+Labour1!J210/Sector1!J78</f>
        <v>0.54272099419814546</v>
      </c>
      <c r="K81" s="2898">
        <f>+Labour1!K210/Sector1!K78</f>
        <v>0.56632903675180324</v>
      </c>
      <c r="L81" s="2898">
        <f>+Labour1!L210/Sector1!L78</f>
        <v>0.47883258954568825</v>
      </c>
      <c r="M81" s="2898">
        <f>+Labour1!M210/Sector1!M78</f>
        <v>0.43630594377489545</v>
      </c>
      <c r="N81" s="2898">
        <f>+Labour1!N210/Sector1!N78</f>
        <v>0.43599620464849659</v>
      </c>
      <c r="O81" s="2898">
        <f>+Labour1!O210/Sector1!O78</f>
        <v>0.43556046495130574</v>
      </c>
      <c r="P81" s="2898">
        <f>+Labour1!P210/Sector1!P78</f>
        <v>0.44595354267716991</v>
      </c>
      <c r="Q81" s="2898">
        <f>+Labour1!Q210/Sector1!Q78</f>
        <v>0.45253888625483685</v>
      </c>
      <c r="R81" s="2898">
        <f>+Labour1!R210/Sector1!R78</f>
        <v>0.47749736084437144</v>
      </c>
      <c r="S81" s="2898">
        <f>+Labour1!S210/Sector1!S78</f>
        <v>0.46968123519285271</v>
      </c>
      <c r="T81" s="2905">
        <f>+Labour1!T210/Sector1!T78</f>
        <v>0.48440069454717277</v>
      </c>
      <c r="U81" s="2905">
        <f>+Labour1!U210/Sector1!U78</f>
        <v>0.47889231011922656</v>
      </c>
      <c r="V81" s="2905">
        <f>+Labour1!V210/Sector1!V78</f>
        <v>0.43600856853290748</v>
      </c>
      <c r="W81" s="2905">
        <f>+Labour1!W210/Sector1!W78</f>
        <v>0.41534336639116598</v>
      </c>
      <c r="X81" s="2905">
        <f>+Labour1!X210/Sector1!X78</f>
        <v>0.41733793045732631</v>
      </c>
      <c r="Y81" s="2905">
        <f>+Labour1!Y210/Sector1!Y78</f>
        <v>0.42324623528929911</v>
      </c>
      <c r="Z81" s="2905">
        <f>+Labour1!Z210/Sector1!Z78</f>
        <v>0.43544008577920668</v>
      </c>
      <c r="AA81" s="2905">
        <f>+Labour1!AA210/Sector1!AA78</f>
        <v>0.46608765067841684</v>
      </c>
      <c r="AB81" s="2905">
        <f>+Labour1!AB210/Sector1!AB78</f>
        <v>0.49427786499829079</v>
      </c>
      <c r="AC81" s="2905">
        <f>+Labour1!AC210/Sector1!AC78</f>
        <v>0.4957235332392485</v>
      </c>
      <c r="AD81" s="2905">
        <f ca="1">+Labour1!AD210/Sector1!AD78</f>
        <v>0.49474860312313051</v>
      </c>
      <c r="AE81" s="2905">
        <f ca="1">+Labour1!AE210/Sector1!AE78</f>
        <v>0.49230387449573487</v>
      </c>
    </row>
    <row r="82" spans="1:113" ht="12.75" customHeight="1">
      <c r="A82" s="664"/>
      <c r="B82" s="664"/>
      <c r="C82" s="782"/>
      <c r="D82" s="1973"/>
      <c r="E82" s="1973" t="s">
        <v>728</v>
      </c>
      <c r="F82" s="1973"/>
      <c r="G82" s="2898">
        <f t="shared" ref="G82:U82" si="58">+G108/G78</f>
        <v>0.49118971415405727</v>
      </c>
      <c r="H82" s="2898">
        <f t="shared" si="58"/>
        <v>0.49798049335651945</v>
      </c>
      <c r="I82" s="2898">
        <f t="shared" si="58"/>
        <v>0.48424865654264571</v>
      </c>
      <c r="J82" s="2898">
        <f t="shared" si="58"/>
        <v>0.45241970193184322</v>
      </c>
      <c r="K82" s="2898">
        <f t="shared" si="58"/>
        <v>0.42502357302266963</v>
      </c>
      <c r="L82" s="2898">
        <f t="shared" si="58"/>
        <v>0.51284134455595742</v>
      </c>
      <c r="M82" s="2898">
        <f t="shared" si="58"/>
        <v>0.55934078272163801</v>
      </c>
      <c r="N82" s="2898">
        <f t="shared" si="58"/>
        <v>0.55915790349590699</v>
      </c>
      <c r="O82" s="2898">
        <f t="shared" si="58"/>
        <v>0.55794967418952746</v>
      </c>
      <c r="P82" s="2898">
        <f t="shared" si="58"/>
        <v>0.5470041657357424</v>
      </c>
      <c r="Q82" s="2898">
        <f t="shared" si="58"/>
        <v>0.54080341984919633</v>
      </c>
      <c r="R82" s="2898">
        <f t="shared" si="58"/>
        <v>0.51783237351033773</v>
      </c>
      <c r="S82" s="2898">
        <f>+S108/S78</f>
        <v>0.5257150454823023</v>
      </c>
      <c r="T82" s="2905">
        <f t="shared" si="58"/>
        <v>0.51002780007879955</v>
      </c>
      <c r="U82" s="2905">
        <f t="shared" si="58"/>
        <v>0.5130773923731593</v>
      </c>
      <c r="V82" s="2905">
        <f t="shared" ref="V82:AA82" si="59">+V108/V78</f>
        <v>0.5583245951554664</v>
      </c>
      <c r="W82" s="2905">
        <f t="shared" si="59"/>
        <v>0.57817971206513807</v>
      </c>
      <c r="X82" s="2905">
        <f t="shared" si="59"/>
        <v>0.57619787010320123</v>
      </c>
      <c r="Y82" s="2905">
        <f t="shared" si="59"/>
        <v>0.57114296343827642</v>
      </c>
      <c r="Z82" s="2905">
        <f t="shared" si="59"/>
        <v>0.55818851425565041</v>
      </c>
      <c r="AA82" s="2905">
        <f t="shared" si="59"/>
        <v>0.52765632380249883</v>
      </c>
      <c r="AB82" s="2905">
        <f>+AB108/AB78</f>
        <v>0.50104586390940331</v>
      </c>
      <c r="AC82" s="2905">
        <f>+AC108/AC78</f>
        <v>0.49967816670736342</v>
      </c>
      <c r="AD82" s="2905">
        <f ca="1">+AD108/AD78</f>
        <v>0.50059235653828238</v>
      </c>
      <c r="AE82" s="2905">
        <f ca="1">+AE108/AE78</f>
        <v>0.50298472054071708</v>
      </c>
    </row>
    <row r="83" spans="1:113" ht="12.75" customHeight="1">
      <c r="A83" s="664">
        <f>+ROW(InputY!A143)</f>
        <v>143</v>
      </c>
      <c r="B83" s="664"/>
      <c r="C83" s="782" t="s">
        <v>1767</v>
      </c>
      <c r="D83" s="674" t="s">
        <v>687</v>
      </c>
      <c r="E83" s="783" t="s">
        <v>1373</v>
      </c>
      <c r="F83" s="704" t="str">
        <f>+InputY!B143</f>
        <v>YAGVadd</v>
      </c>
      <c r="G83" s="706">
        <f>+InputY!G143/1000</f>
        <v>1.09914</v>
      </c>
      <c r="H83" s="706">
        <f>+InputY!H143/1000</f>
        <v>1.40767</v>
      </c>
      <c r="I83" s="706">
        <f>+InputY!I143/1000</f>
        <v>1.7305599999999999</v>
      </c>
      <c r="J83" s="706">
        <f>+InputY!J143/1000</f>
        <v>2.0927699999999998</v>
      </c>
      <c r="K83" s="706">
        <f>+InputY!K143/1000</f>
        <v>2.1463899999999998</v>
      </c>
      <c r="L83" s="706">
        <f>+InputY!L143/1000</f>
        <v>2.0634800000000002</v>
      </c>
      <c r="M83" s="706">
        <f>+InputY!M143/1000</f>
        <v>2.1042299999999998</v>
      </c>
      <c r="N83" s="706">
        <f>+InputY!N143/1000</f>
        <v>2.1652600000000004</v>
      </c>
      <c r="O83" s="706">
        <f>+InputY!O143/1000</f>
        <v>2.2659699999999998</v>
      </c>
      <c r="P83" s="706">
        <f>+InputY!P143/1000</f>
        <v>2.4740900000000003</v>
      </c>
      <c r="Q83" s="706">
        <f>+InputY!Q143/1000</f>
        <v>2.7027199999999998</v>
      </c>
      <c r="R83" s="706">
        <f>+InputY!R143/1000</f>
        <v>3.1210999999999998</v>
      </c>
      <c r="S83" s="706">
        <f>+InputY!S143/1000</f>
        <v>3.5471599999999999</v>
      </c>
      <c r="T83" s="706">
        <f>+InputY!T143/1000</f>
        <v>4.2976700000000001</v>
      </c>
      <c r="U83" s="706">
        <f>+InputY!U143/1000</f>
        <v>4.2305000000000001</v>
      </c>
      <c r="V83" s="706">
        <f>+InputY!V143/1000</f>
        <v>3.8766500000000002</v>
      </c>
      <c r="W83" s="706">
        <f>+InputY!W143/1000</f>
        <v>4.0888900000000001</v>
      </c>
      <c r="X83" s="706">
        <f>+InputY!X143/1000</f>
        <v>4.2221200000000003</v>
      </c>
      <c r="Y83" s="706">
        <f>+InputY!Y143/1000</f>
        <v>4.3734099999999998</v>
      </c>
      <c r="Z83" s="706">
        <f>+InputY!Z143/1000</f>
        <v>4.5462799999999994</v>
      </c>
      <c r="AA83" s="706">
        <f>+InputY!AA143/1000</f>
        <v>4.7113900000000006</v>
      </c>
      <c r="AB83" s="706">
        <f>+InputY!AB143/1000</f>
        <v>4.9480300000000002</v>
      </c>
      <c r="AC83" s="2217">
        <f>+AC109+Labour1!AC211+Sector1!AC11-Sector1!AC48</f>
        <v>5.1889375807261278</v>
      </c>
      <c r="AD83" s="2217">
        <f>+AD109+Labour1!AD211+Sector1!AD11-Sector1!AD48</f>
        <v>5.4146027622725015</v>
      </c>
      <c r="AE83" s="2217">
        <f>+AE109+Labour1!AE211+Sector1!AE11-Sector1!AE48</f>
        <v>5.6582223713598712</v>
      </c>
    </row>
    <row r="84" spans="1:113" ht="12.75" customHeight="1">
      <c r="A84" s="664"/>
      <c r="B84" s="664"/>
      <c r="C84" s="782"/>
      <c r="D84" s="1973" t="s">
        <v>727</v>
      </c>
      <c r="E84" s="1973"/>
      <c r="F84" s="1973"/>
      <c r="G84" s="2898"/>
      <c r="H84" s="2898"/>
      <c r="I84" s="2898"/>
      <c r="J84" s="2898"/>
      <c r="K84" s="2898"/>
      <c r="L84" s="2898"/>
      <c r="M84" s="2898"/>
      <c r="N84" s="2898"/>
      <c r="O84" s="2898"/>
      <c r="P84" s="2898"/>
      <c r="Q84" s="2898"/>
      <c r="R84" s="2898"/>
      <c r="S84" s="2898"/>
      <c r="T84" s="2905"/>
      <c r="U84" s="2905"/>
      <c r="V84" s="2905"/>
      <c r="W84" s="2905"/>
      <c r="X84" s="2905"/>
      <c r="Y84" s="2905"/>
      <c r="Z84" s="2905"/>
      <c r="AA84" s="2905"/>
      <c r="AB84" s="2905"/>
      <c r="AC84" s="2905"/>
      <c r="AD84" s="2905"/>
      <c r="AE84" s="2905"/>
    </row>
    <row r="85" spans="1:113" ht="12.75" customHeight="1">
      <c r="A85" s="664"/>
      <c r="B85" s="664"/>
      <c r="C85" s="782"/>
      <c r="D85" s="1973"/>
      <c r="E85" s="1973" t="s">
        <v>2018</v>
      </c>
      <c r="F85" s="1973"/>
      <c r="G85" s="2898">
        <f t="shared" ref="G85:U85" si="60">(G11-G48)/G83</f>
        <v>2.5929362956493259E-3</v>
      </c>
      <c r="H85" s="2898">
        <f t="shared" si="60"/>
        <v>3.1470444067146419E-3</v>
      </c>
      <c r="I85" s="2898">
        <f t="shared" si="60"/>
        <v>3.3919656065088759E-3</v>
      </c>
      <c r="J85" s="2898">
        <f t="shared" si="60"/>
        <v>2.9482456266097089E-3</v>
      </c>
      <c r="K85" s="2898">
        <f t="shared" si="60"/>
        <v>2.9957277102483706E-3</v>
      </c>
      <c r="L85" s="2898">
        <f t="shared" si="60"/>
        <v>2.9997867679841818E-3</v>
      </c>
      <c r="M85" s="2898">
        <f t="shared" si="60"/>
        <v>3.3028708838862678E-3</v>
      </c>
      <c r="N85" s="2898">
        <f t="shared" si="60"/>
        <v>3.5192078549458258E-3</v>
      </c>
      <c r="O85" s="2898">
        <f t="shared" si="60"/>
        <v>3.3848638772799289E-3</v>
      </c>
      <c r="P85" s="2898">
        <f t="shared" si="60"/>
        <v>3.8600050927815885E-3</v>
      </c>
      <c r="Q85" s="2898">
        <f t="shared" si="60"/>
        <v>1.5354901728628937E-3</v>
      </c>
      <c r="R85" s="2898">
        <f t="shared" si="60"/>
        <v>1.1534394924866233E-3</v>
      </c>
      <c r="S85" s="2898">
        <f>(S11-S48)/S83</f>
        <v>1.0261730511169499E-3</v>
      </c>
      <c r="T85" s="2905">
        <f t="shared" si="60"/>
        <v>7.6087740566399933E-4</v>
      </c>
      <c r="U85" s="2905">
        <f t="shared" si="60"/>
        <v>5.8149154946223846E-4</v>
      </c>
      <c r="V85" s="2905">
        <f t="shared" ref="V85:AA85" si="61">(V11-V48)/V83</f>
        <v>5.7265938374627585E-4</v>
      </c>
      <c r="W85" s="2905">
        <f t="shared" si="61"/>
        <v>6.896737256321399E-4</v>
      </c>
      <c r="X85" s="2905">
        <f t="shared" si="61"/>
        <v>8.8107396284331095E-4</v>
      </c>
      <c r="Y85" s="2905">
        <f t="shared" si="61"/>
        <v>9.9693374277737517E-4</v>
      </c>
      <c r="Z85" s="2905">
        <f t="shared" si="61"/>
        <v>1.1107982790325278E-3</v>
      </c>
      <c r="AA85" s="2905">
        <f t="shared" si="61"/>
        <v>5.5609915545093902E-4</v>
      </c>
      <c r="AB85" s="2905">
        <f>(AB11-AB48)/AB83</f>
        <v>5.4567171177215983E-4</v>
      </c>
      <c r="AC85" s="2905">
        <f>(AC11-AC48)/AC83</f>
        <v>5.4635461612226159E-4</v>
      </c>
      <c r="AD85" s="2905">
        <f>(AD11-AD48)/AD83</f>
        <v>5.4976332164959453E-4</v>
      </c>
      <c r="AE85" s="2905">
        <f>(AE11-AE48)/AE83</f>
        <v>5.5239743065255511E-4</v>
      </c>
    </row>
    <row r="86" spans="1:113" ht="12.75" customHeight="1">
      <c r="A86" s="664"/>
      <c r="B86" s="664"/>
      <c r="C86" s="782"/>
      <c r="D86" s="1973"/>
      <c r="E86" s="1973" t="s">
        <v>729</v>
      </c>
      <c r="F86" s="1973"/>
      <c r="G86" s="2898">
        <f>+Labour1!G211/Sector1!G83</f>
        <v>0.68072311079571302</v>
      </c>
      <c r="H86" s="2898">
        <f>+Labour1!H211/Sector1!H83</f>
        <v>0.72129831565636837</v>
      </c>
      <c r="I86" s="2898">
        <f>+Labour1!I211/Sector1!I83</f>
        <v>0.75027736686390534</v>
      </c>
      <c r="J86" s="2898">
        <f>+Labour1!J211/Sector1!J83</f>
        <v>0.78699522642239716</v>
      </c>
      <c r="K86" s="2898">
        <f>+Labour1!K211/Sector1!K83</f>
        <v>0.79017792665824949</v>
      </c>
      <c r="L86" s="2898">
        <f>+Labour1!L211/Sector1!L83</f>
        <v>0.77906255451954942</v>
      </c>
      <c r="M86" s="2898">
        <f>+Labour1!M211/Sector1!M83</f>
        <v>0.78385442655983428</v>
      </c>
      <c r="N86" s="2898">
        <f>+Labour1!N211/Sector1!N83</f>
        <v>0.7915954665952355</v>
      </c>
      <c r="O86" s="2898">
        <f>+Labour1!O211/Sector1!O83</f>
        <v>0.78841732238290896</v>
      </c>
      <c r="P86" s="2898">
        <f>+Labour1!P211/Sector1!P83</f>
        <v>0.79571478806348994</v>
      </c>
      <c r="Q86" s="2898">
        <f>+Labour1!Q211/Sector1!Q83</f>
        <v>0.79663450153919024</v>
      </c>
      <c r="R86" s="2898">
        <f>+Labour1!R211/Sector1!R83</f>
        <v>0.80247669091025609</v>
      </c>
      <c r="S86" s="2898">
        <f>+Labour1!S211/Sector1!S83</f>
        <v>0.79908433789284961</v>
      </c>
      <c r="T86" s="2905">
        <f>+Labour1!T211/Sector1!T83</f>
        <v>0.80876381853422896</v>
      </c>
      <c r="U86" s="2905">
        <f>+Labour1!U211/Sector1!U83</f>
        <v>0.80611275262971283</v>
      </c>
      <c r="V86" s="2905">
        <f>+Labour1!V211/Sector1!V83</f>
        <v>0.78904208530561182</v>
      </c>
      <c r="W86" s="2905">
        <f>+Labour1!W211/Sector1!W83</f>
        <v>0.78195549403383313</v>
      </c>
      <c r="X86" s="2905">
        <f>+Labour1!X211/Sector1!X83</f>
        <v>0.76776832491734004</v>
      </c>
      <c r="Y86" s="2905">
        <f>+Labour1!Y211/Sector1!Y83</f>
        <v>0.76335170953557985</v>
      </c>
      <c r="Z86" s="2905">
        <f>+Labour1!Z211/Sector1!Z83</f>
        <v>0.7615347052975181</v>
      </c>
      <c r="AA86" s="2905">
        <f>+Labour1!AA211/Sector1!AA83</f>
        <v>0.76523276570184151</v>
      </c>
      <c r="AB86" s="2905">
        <f>+Labour1!AB211/Sector1!AB83</f>
        <v>0.76845734565069335</v>
      </c>
      <c r="AC86" s="2905">
        <f>+Labour1!AC211/Sector1!AC83</f>
        <v>0.77125138594673559</v>
      </c>
      <c r="AD86" s="2905">
        <f>+Labour1!AD211/Sector1!AD83</f>
        <v>0.7763849669570525</v>
      </c>
      <c r="AE86" s="2905">
        <f>+Labour1!AE211/Sector1!AE83</f>
        <v>0.78385198900161523</v>
      </c>
    </row>
    <row r="87" spans="1:113" ht="12.75" customHeight="1">
      <c r="A87" s="664"/>
      <c r="B87" s="664"/>
      <c r="C87" s="842"/>
      <c r="D87" s="1973"/>
      <c r="E87" s="1973" t="s">
        <v>728</v>
      </c>
      <c r="F87" s="1973"/>
      <c r="G87" s="2898">
        <f t="shared" ref="G87:U87" si="62">+G109/G83</f>
        <v>0.3166839529086376</v>
      </c>
      <c r="H87" s="2898">
        <f t="shared" si="62"/>
        <v>0.27555463993691703</v>
      </c>
      <c r="I87" s="2898">
        <f t="shared" si="62"/>
        <v>0.24633066752958577</v>
      </c>
      <c r="J87" s="2898">
        <f t="shared" si="62"/>
        <v>0.21005652795099308</v>
      </c>
      <c r="K87" s="2898">
        <f t="shared" si="62"/>
        <v>0.20682634563150215</v>
      </c>
      <c r="L87" s="2898">
        <f t="shared" si="62"/>
        <v>0.2179376587124664</v>
      </c>
      <c r="M87" s="2898">
        <f t="shared" si="62"/>
        <v>0.21284270255627941</v>
      </c>
      <c r="N87" s="2898">
        <f t="shared" si="62"/>
        <v>0.20488532554981861</v>
      </c>
      <c r="O87" s="2898">
        <f t="shared" si="62"/>
        <v>0.20819781373981117</v>
      </c>
      <c r="P87" s="2898">
        <f t="shared" si="62"/>
        <v>0.20042520684372844</v>
      </c>
      <c r="Q87" s="2898">
        <f t="shared" si="62"/>
        <v>0.20183000828794687</v>
      </c>
      <c r="R87" s="2898">
        <f t="shared" si="62"/>
        <v>0.1963698695972573</v>
      </c>
      <c r="S87" s="2898">
        <f>+S109/S83</f>
        <v>0.19988948905603351</v>
      </c>
      <c r="T87" s="2905">
        <f t="shared" si="62"/>
        <v>0.19047530406010701</v>
      </c>
      <c r="U87" s="2905">
        <f t="shared" si="62"/>
        <v>0.19330575582082496</v>
      </c>
      <c r="V87" s="2905">
        <f t="shared" ref="V87:AA87" si="63">+V109/V83</f>
        <v>0.21038525531064195</v>
      </c>
      <c r="W87" s="2905">
        <f t="shared" si="63"/>
        <v>0.21735483224053473</v>
      </c>
      <c r="X87" s="2905">
        <f t="shared" si="63"/>
        <v>0.23135060111981662</v>
      </c>
      <c r="Y87" s="2905">
        <f t="shared" si="63"/>
        <v>0.23565135672164284</v>
      </c>
      <c r="Z87" s="2905">
        <f t="shared" si="63"/>
        <v>0.23735449642344936</v>
      </c>
      <c r="AA87" s="2905">
        <f t="shared" si="63"/>
        <v>0.2342111351427075</v>
      </c>
      <c r="AB87" s="2905">
        <f>+AB109/AB83</f>
        <v>0.23099698263753454</v>
      </c>
      <c r="AC87" s="2905">
        <f>+AC109/AC83</f>
        <v>0.22820225943714209</v>
      </c>
      <c r="AD87" s="2905">
        <f>+AD109/AD83</f>
        <v>0.22306526972129792</v>
      </c>
      <c r="AE87" s="2905">
        <f>+AE109/AE83</f>
        <v>0.21559561356773224</v>
      </c>
    </row>
    <row r="88" spans="1:113" ht="12.75" customHeight="1">
      <c r="A88" s="1953">
        <f>+ROW(InputY!A100)</f>
        <v>100</v>
      </c>
      <c r="B88" s="664">
        <v>57</v>
      </c>
      <c r="C88" s="784" t="s">
        <v>1769</v>
      </c>
      <c r="D88" s="752"/>
      <c r="E88" s="753" t="s">
        <v>1373</v>
      </c>
      <c r="F88" s="754" t="s">
        <v>1908</v>
      </c>
      <c r="G88" s="785">
        <f>+InputY!G100/1000</f>
        <v>6.9358399999999998</v>
      </c>
      <c r="H88" s="785">
        <f>+InputY!H100/1000</f>
        <v>8.7338100000000001</v>
      </c>
      <c r="I88" s="785">
        <f>+InputY!I100/1000</f>
        <v>10.27515</v>
      </c>
      <c r="J88" s="785">
        <f>+InputY!J100/1000</f>
        <v>11.413129999999999</v>
      </c>
      <c r="K88" s="785">
        <f>+InputY!K100/1000</f>
        <v>11.17371</v>
      </c>
      <c r="L88" s="785">
        <f>+InputY!L100/1000</f>
        <v>11.880889999999999</v>
      </c>
      <c r="M88" s="785">
        <f>+InputY!M100/1000</f>
        <v>12.634510000000001</v>
      </c>
      <c r="N88" s="785">
        <f>+InputY!N100/1000</f>
        <v>13.52392</v>
      </c>
      <c r="O88" s="785">
        <f>+InputY!O100/1000</f>
        <v>14.937059999999999</v>
      </c>
      <c r="P88" s="785">
        <f>+InputY!P100/1000</f>
        <v>16.499599999999997</v>
      </c>
      <c r="Q88" s="785">
        <f>+InputY!Q100/1000</f>
        <v>19.009709999999998</v>
      </c>
      <c r="R88" s="785">
        <f>+InputY!R100/1000</f>
        <v>21.73368</v>
      </c>
      <c r="S88" s="785">
        <f>+InputY!S100/1000</f>
        <v>26.076499999999999</v>
      </c>
      <c r="T88" s="785">
        <f>+InputY!T100/1000</f>
        <v>29.349209999999999</v>
      </c>
      <c r="U88" s="785">
        <f>+InputY!U100/1000</f>
        <v>24.300360000000001</v>
      </c>
      <c r="V88" s="785">
        <f>+InputY!V100/1000</f>
        <v>25.20975</v>
      </c>
      <c r="W88" s="785">
        <f>+InputY!W100/1000</f>
        <v>28.160060000000001</v>
      </c>
      <c r="X88" s="785">
        <f>+InputY!X100/1000</f>
        <v>30.16516</v>
      </c>
      <c r="Y88" s="785">
        <f>+InputY!Y100/1000</f>
        <v>31.690080000000002</v>
      </c>
      <c r="Z88" s="785">
        <f>+InputY!Z100/1000</f>
        <v>33.067680000000003</v>
      </c>
      <c r="AA88" s="785">
        <f>+InputY!AA100/1000</f>
        <v>33.709150000000001</v>
      </c>
      <c r="AB88" s="785">
        <f>+InputY!AB100/1000</f>
        <v>34.789370000000005</v>
      </c>
      <c r="AC88" s="785">
        <f>+InputY!AC100/1000</f>
        <v>37.589730000000003</v>
      </c>
      <c r="AD88" s="2232">
        <f ca="1">+'VVP2'!AD341-AD8+AD45</f>
        <v>39.653234851938059</v>
      </c>
      <c r="AE88" s="2232">
        <f ca="1">+'VVP2'!AE341-AE8+AE45</f>
        <v>41.851347096832214</v>
      </c>
    </row>
    <row r="89" spans="1:113" s="1972" customFormat="1" ht="12.75" customHeight="1">
      <c r="A89" s="998"/>
      <c r="B89" s="998"/>
      <c r="C89" s="1595"/>
      <c r="D89" s="1011"/>
      <c r="E89" s="1973" t="s">
        <v>737</v>
      </c>
      <c r="F89" s="1974"/>
      <c r="G89" s="1002">
        <f t="shared" ref="G89:Y89" si="64">ABS(+G73+G78+G83-G88)</f>
        <v>1.0000000000509601E-5</v>
      </c>
      <c r="H89" s="1002">
        <f t="shared" si="64"/>
        <v>0</v>
      </c>
      <c r="I89" s="1002">
        <f t="shared" si="64"/>
        <v>9.9999999996214228E-6</v>
      </c>
      <c r="J89" s="1002">
        <f t="shared" si="64"/>
        <v>0</v>
      </c>
      <c r="K89" s="1002">
        <f t="shared" si="64"/>
        <v>1.000000000139778E-5</v>
      </c>
      <c r="L89" s="1002">
        <f t="shared" si="64"/>
        <v>0</v>
      </c>
      <c r="M89" s="1002">
        <f t="shared" si="64"/>
        <v>1.000000000139778E-5</v>
      </c>
      <c r="N89" s="1002">
        <f t="shared" si="64"/>
        <v>9.9999999996214228E-6</v>
      </c>
      <c r="O89" s="1002">
        <f t="shared" si="64"/>
        <v>1.7763568394002505E-15</v>
      </c>
      <c r="P89" s="1002">
        <f t="shared" si="64"/>
        <v>1.0000000003174137E-5</v>
      </c>
      <c r="Q89" s="1002">
        <f t="shared" si="64"/>
        <v>0</v>
      </c>
      <c r="R89" s="1002">
        <f t="shared" si="64"/>
        <v>1.0000000003174137E-5</v>
      </c>
      <c r="S89" s="1002">
        <f t="shared" si="64"/>
        <v>9.9999999996214228E-6</v>
      </c>
      <c r="T89" s="2906">
        <f>ABS(+T73+T78+T83-T88)</f>
        <v>0</v>
      </c>
      <c r="U89" s="2906">
        <f t="shared" si="64"/>
        <v>1.0000000003174137E-5</v>
      </c>
      <c r="V89" s="2906">
        <f t="shared" si="64"/>
        <v>9.9999999996214228E-6</v>
      </c>
      <c r="W89" s="2921">
        <f t="shared" si="64"/>
        <v>3.5527136788005009E-15</v>
      </c>
      <c r="X89" s="2906">
        <f t="shared" si="64"/>
        <v>0</v>
      </c>
      <c r="Y89" s="2906">
        <f t="shared" si="64"/>
        <v>1.0000000003174137E-5</v>
      </c>
      <c r="Z89" s="2906">
        <f t="shared" ref="Z89:AE89" si="65">ABS(+Z73+Z78+Z83-Z88)</f>
        <v>7.1054273576010019E-15</v>
      </c>
      <c r="AA89" s="2906">
        <f t="shared" si="65"/>
        <v>0</v>
      </c>
      <c r="AB89" s="2906">
        <f t="shared" si="65"/>
        <v>1.0000000003174137E-5</v>
      </c>
      <c r="AC89" s="2906">
        <f t="shared" si="65"/>
        <v>0</v>
      </c>
      <c r="AD89" s="2906">
        <f t="shared" ca="1" si="65"/>
        <v>0</v>
      </c>
      <c r="AE89" s="2906">
        <f t="shared" ca="1" si="65"/>
        <v>0</v>
      </c>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row>
    <row r="90" spans="1:113">
      <c r="G90" s="703"/>
      <c r="Q90" s="699"/>
      <c r="R90" s="699"/>
      <c r="S90" s="699"/>
      <c r="AB90" s="2221"/>
      <c r="AC90" s="2221"/>
      <c r="AD90" s="2221"/>
      <c r="AE90" s="2221"/>
    </row>
    <row r="91" spans="1:113" ht="12.75" customHeight="1">
      <c r="A91" s="664"/>
      <c r="B91" s="664"/>
      <c r="C91" s="774"/>
      <c r="D91" s="742"/>
      <c r="E91" s="743" t="s">
        <v>1311</v>
      </c>
      <c r="F91" s="744"/>
      <c r="G91" s="745">
        <f>+InputY!$G$3</f>
        <v>1995</v>
      </c>
      <c r="H91" s="745">
        <f t="shared" ref="H91:N91" si="66">+G91+1</f>
        <v>1996</v>
      </c>
      <c r="I91" s="745">
        <f t="shared" si="66"/>
        <v>1997</v>
      </c>
      <c r="J91" s="745">
        <f t="shared" si="66"/>
        <v>1998</v>
      </c>
      <c r="K91" s="745">
        <f>+J91+1</f>
        <v>1999</v>
      </c>
      <c r="L91" s="745">
        <f t="shared" si="66"/>
        <v>2000</v>
      </c>
      <c r="M91" s="745">
        <f t="shared" si="66"/>
        <v>2001</v>
      </c>
      <c r="N91" s="745">
        <f t="shared" si="66"/>
        <v>2002</v>
      </c>
      <c r="O91" s="745">
        <f t="shared" ref="O91:V91" si="67">+N91+1</f>
        <v>2003</v>
      </c>
      <c r="P91" s="745">
        <f t="shared" si="67"/>
        <v>2004</v>
      </c>
      <c r="Q91" s="745">
        <f t="shared" si="67"/>
        <v>2005</v>
      </c>
      <c r="R91" s="745">
        <f t="shared" si="67"/>
        <v>2006</v>
      </c>
      <c r="S91" s="745">
        <f>+R91+1</f>
        <v>2007</v>
      </c>
      <c r="T91" s="745">
        <f t="shared" si="67"/>
        <v>2008</v>
      </c>
      <c r="U91" s="745">
        <f t="shared" si="67"/>
        <v>2009</v>
      </c>
      <c r="V91" s="745">
        <f t="shared" si="67"/>
        <v>2010</v>
      </c>
      <c r="W91" s="745">
        <f t="shared" ref="W91:AE91" si="68">+V91+1</f>
        <v>2011</v>
      </c>
      <c r="X91" s="745">
        <f t="shared" si="68"/>
        <v>2012</v>
      </c>
      <c r="Y91" s="745">
        <f t="shared" si="68"/>
        <v>2013</v>
      </c>
      <c r="Z91" s="745">
        <f t="shared" si="68"/>
        <v>2014</v>
      </c>
      <c r="AA91" s="745">
        <f t="shared" si="68"/>
        <v>2015</v>
      </c>
      <c r="AB91" s="745">
        <f t="shared" si="68"/>
        <v>2016</v>
      </c>
      <c r="AC91" s="745">
        <f t="shared" si="68"/>
        <v>2017</v>
      </c>
      <c r="AD91" s="745">
        <f t="shared" si="68"/>
        <v>2018</v>
      </c>
      <c r="AE91" s="745">
        <f t="shared" si="68"/>
        <v>2019</v>
      </c>
    </row>
    <row r="92" spans="1:113" ht="12.75" customHeight="1">
      <c r="A92" s="664"/>
      <c r="B92" s="664"/>
      <c r="C92" s="794" t="s">
        <v>1767</v>
      </c>
      <c r="D92" s="689" t="s">
        <v>685</v>
      </c>
      <c r="E92" s="738" t="s">
        <v>1373</v>
      </c>
      <c r="F92" s="733" t="s">
        <v>1215</v>
      </c>
      <c r="G92" s="739"/>
      <c r="H92" s="739">
        <f t="shared" ref="H92:N92" si="69">(H73/G73-1)*100</f>
        <v>24.761207387519324</v>
      </c>
      <c r="I92" s="739">
        <f t="shared" si="69"/>
        <v>13.078220645520311</v>
      </c>
      <c r="J92" s="739">
        <f t="shared" si="69"/>
        <v>9.1107966997054923</v>
      </c>
      <c r="K92" s="739">
        <f>(K73/J73-1)*100</f>
        <v>-5.0039641290367864</v>
      </c>
      <c r="L92" s="739">
        <f t="shared" si="69"/>
        <v>3.001921407746444</v>
      </c>
      <c r="M92" s="739">
        <f t="shared" si="69"/>
        <v>-3.0386730383489269</v>
      </c>
      <c r="N92" s="739">
        <f t="shared" si="69"/>
        <v>0.50028040958369768</v>
      </c>
      <c r="O92" s="739">
        <f t="shared" ref="O92:AE92" si="70">(O73/N73-1)*100</f>
        <v>3.6005705923221276</v>
      </c>
      <c r="P92" s="739">
        <f t="shared" si="70"/>
        <v>4.3536575360545671</v>
      </c>
      <c r="Q92" s="739">
        <f t="shared" si="70"/>
        <v>10.424072959964992</v>
      </c>
      <c r="R92" s="739">
        <f t="shared" si="70"/>
        <v>7.2836406749649418</v>
      </c>
      <c r="S92" s="739">
        <f t="shared" si="70"/>
        <v>11.868955010272163</v>
      </c>
      <c r="T92" s="2907">
        <f t="shared" si="70"/>
        <v>7.3791210775286054</v>
      </c>
      <c r="U92" s="2907">
        <f t="shared" si="70"/>
        <v>-19.904110148422681</v>
      </c>
      <c r="V92" s="2907">
        <f t="shared" si="70"/>
        <v>-7.0634701662628085</v>
      </c>
      <c r="W92" s="2907">
        <f t="shared" si="70"/>
        <v>6.5038158085803266</v>
      </c>
      <c r="X92" s="2907">
        <f t="shared" si="70"/>
        <v>12.635964247841237</v>
      </c>
      <c r="Y92" s="2907">
        <f t="shared" si="70"/>
        <v>4.3144006133071455</v>
      </c>
      <c r="Z92" s="2907">
        <f t="shared" si="70"/>
        <v>3.6965502302768849</v>
      </c>
      <c r="AA92" s="2907">
        <f t="shared" si="70"/>
        <v>6.1748841789575293</v>
      </c>
      <c r="AB92" s="2907">
        <f t="shared" si="70"/>
        <v>0.10188308038223681</v>
      </c>
      <c r="AC92" s="2907">
        <f t="shared" si="70"/>
        <v>0.78441839516136813</v>
      </c>
      <c r="AD92" s="2907">
        <f t="shared" si="70"/>
        <v>0.82910307920138759</v>
      </c>
      <c r="AE92" s="2907">
        <f t="shared" si="70"/>
        <v>0.81205148386076509</v>
      </c>
    </row>
    <row r="93" spans="1:113" ht="12.75" customHeight="1">
      <c r="A93" s="664"/>
      <c r="B93" s="664"/>
      <c r="C93" s="795" t="s">
        <v>1767</v>
      </c>
      <c r="D93" s="674" t="s">
        <v>686</v>
      </c>
      <c r="E93" s="783" t="s">
        <v>1373</v>
      </c>
      <c r="F93" s="704" t="s">
        <v>1551</v>
      </c>
      <c r="G93" s="706"/>
      <c r="H93" s="706">
        <f t="shared" ref="H93:N93" si="71">(H78/G78-1)*100</f>
        <v>25.867880773141394</v>
      </c>
      <c r="I93" s="706">
        <f t="shared" si="71"/>
        <v>18.257931786437688</v>
      </c>
      <c r="J93" s="706">
        <f t="shared" si="71"/>
        <v>9.0650142505745546</v>
      </c>
      <c r="K93" s="706">
        <f>(K78/J78-1)*100</f>
        <v>-2.3296891125368369</v>
      </c>
      <c r="L93" s="706">
        <f t="shared" si="71"/>
        <v>11.200542061063977</v>
      </c>
      <c r="M93" s="706">
        <f t="shared" si="71"/>
        <v>11.32356324940984</v>
      </c>
      <c r="N93" s="706">
        <f t="shared" si="71"/>
        <v>10.397204310404229</v>
      </c>
      <c r="O93" s="706">
        <f t="shared" ref="O93:AE93" si="72">(O78/N78-1)*100</f>
        <v>14.041991565628731</v>
      </c>
      <c r="P93" s="706">
        <f t="shared" si="72"/>
        <v>12.489029865115464</v>
      </c>
      <c r="Q93" s="706">
        <f t="shared" si="72"/>
        <v>17.806358152373679</v>
      </c>
      <c r="R93" s="706">
        <f t="shared" si="72"/>
        <v>15.83202055580195</v>
      </c>
      <c r="S93" s="706">
        <f t="shared" si="72"/>
        <v>23.142836582295125</v>
      </c>
      <c r="T93" s="792">
        <f t="shared" si="72"/>
        <v>11.988434676455629</v>
      </c>
      <c r="U93" s="792">
        <f t="shared" si="72"/>
        <v>-19.88210698458429</v>
      </c>
      <c r="V93" s="792">
        <f t="shared" si="72"/>
        <v>8.9558223092766944</v>
      </c>
      <c r="W93" s="792">
        <f t="shared" si="72"/>
        <v>13.910758707831894</v>
      </c>
      <c r="X93" s="792">
        <f t="shared" si="72"/>
        <v>7.0042035235262201</v>
      </c>
      <c r="Y93" s="792">
        <f t="shared" si="72"/>
        <v>5.4587322934162463</v>
      </c>
      <c r="Z93" s="792">
        <f t="shared" si="72"/>
        <v>4.5283616170166185</v>
      </c>
      <c r="AA93" s="792">
        <f t="shared" si="72"/>
        <v>0.93081214737402718</v>
      </c>
      <c r="AB93" s="792">
        <f t="shared" si="72"/>
        <v>3.393782634858411</v>
      </c>
      <c r="AC93" s="792">
        <f t="shared" si="72"/>
        <v>9.879529186306435</v>
      </c>
      <c r="AD93" s="792">
        <f t="shared" ca="1" si="72"/>
        <v>6.4147863776365943</v>
      </c>
      <c r="AE93" s="792">
        <f t="shared" ca="1" si="72"/>
        <v>6.4197867978606604</v>
      </c>
    </row>
    <row r="94" spans="1:113" ht="12.75" customHeight="1">
      <c r="A94" s="664"/>
      <c r="B94" s="664"/>
      <c r="C94" s="796" t="s">
        <v>1767</v>
      </c>
      <c r="D94" s="691" t="s">
        <v>687</v>
      </c>
      <c r="E94" s="797" t="s">
        <v>1373</v>
      </c>
      <c r="F94" s="736" t="s">
        <v>1027</v>
      </c>
      <c r="G94" s="741"/>
      <c r="H94" s="741">
        <f t="shared" ref="H94:N94" si="73">(H83/G83-1)*100</f>
        <v>28.070127554269696</v>
      </c>
      <c r="I94" s="741">
        <f t="shared" si="73"/>
        <v>22.937904480453518</v>
      </c>
      <c r="J94" s="741">
        <f t="shared" si="73"/>
        <v>20.930219119822489</v>
      </c>
      <c r="K94" s="741">
        <f>(K83/J83-1)*100</f>
        <v>2.562154465134725</v>
      </c>
      <c r="L94" s="741">
        <f t="shared" si="73"/>
        <v>-3.8627649215659643</v>
      </c>
      <c r="M94" s="741">
        <f t="shared" si="73"/>
        <v>1.9748192374047457</v>
      </c>
      <c r="N94" s="741">
        <f t="shared" si="73"/>
        <v>2.9003483459508095</v>
      </c>
      <c r="O94" s="741">
        <f t="shared" ref="O94:AE94" si="74">(O83/N83-1)*100</f>
        <v>4.6511735311232538</v>
      </c>
      <c r="P94" s="741">
        <f t="shared" si="74"/>
        <v>9.1845876158996198</v>
      </c>
      <c r="Q94" s="741">
        <f t="shared" si="74"/>
        <v>9.2409734488235742</v>
      </c>
      <c r="R94" s="741">
        <f t="shared" si="74"/>
        <v>15.479960928250058</v>
      </c>
      <c r="S94" s="741">
        <f t="shared" si="74"/>
        <v>13.650956393579182</v>
      </c>
      <c r="T94" s="2908">
        <f t="shared" si="74"/>
        <v>21.158053203125892</v>
      </c>
      <c r="U94" s="2908">
        <f t="shared" si="74"/>
        <v>-1.5629399186070536</v>
      </c>
      <c r="V94" s="2908">
        <f t="shared" si="74"/>
        <v>-8.3642595437891547</v>
      </c>
      <c r="W94" s="2908">
        <f t="shared" si="74"/>
        <v>5.4748300723562959</v>
      </c>
      <c r="X94" s="2908">
        <f t="shared" si="74"/>
        <v>3.2583415058854648</v>
      </c>
      <c r="Y94" s="2908">
        <f t="shared" si="74"/>
        <v>3.5832709634022519</v>
      </c>
      <c r="Z94" s="2908">
        <f t="shared" si="74"/>
        <v>3.9527508283010215</v>
      </c>
      <c r="AA94" s="2908">
        <f t="shared" si="74"/>
        <v>3.6317604722982511</v>
      </c>
      <c r="AB94" s="2908">
        <f t="shared" si="74"/>
        <v>5.0227215322866448</v>
      </c>
      <c r="AC94" s="2908">
        <f t="shared" si="74"/>
        <v>4.8687574797672495</v>
      </c>
      <c r="AD94" s="2908">
        <f t="shared" si="74"/>
        <v>4.3489669712849954</v>
      </c>
      <c r="AE94" s="2908">
        <f t="shared" si="74"/>
        <v>4.4993071474207724</v>
      </c>
    </row>
    <row r="95" spans="1:113" ht="12.75" customHeight="1">
      <c r="A95" s="664"/>
      <c r="B95" s="664"/>
      <c r="C95" s="774" t="s">
        <v>1769</v>
      </c>
      <c r="D95" s="717"/>
      <c r="E95" s="722" t="s">
        <v>1373</v>
      </c>
      <c r="F95" s="723" t="s">
        <v>1908</v>
      </c>
      <c r="G95" s="721"/>
      <c r="H95" s="721">
        <f t="shared" ref="H95:N95" si="75">(H88/G88-1)*100</f>
        <v>25.922887494521206</v>
      </c>
      <c r="I95" s="721">
        <f t="shared" si="75"/>
        <v>17.647968068918374</v>
      </c>
      <c r="J95" s="721">
        <f t="shared" si="75"/>
        <v>11.075069463706111</v>
      </c>
      <c r="K95" s="721">
        <f>(K88/J88-1)*100</f>
        <v>-2.0977593350816059</v>
      </c>
      <c r="L95" s="721">
        <f t="shared" si="75"/>
        <v>6.3289632539237139</v>
      </c>
      <c r="M95" s="721">
        <f t="shared" si="75"/>
        <v>6.3431274929740322</v>
      </c>
      <c r="N95" s="721">
        <f t="shared" si="75"/>
        <v>7.0395290359499541</v>
      </c>
      <c r="O95" s="721">
        <f t="shared" ref="O95:AE95" si="76">(O88/N88-1)*100</f>
        <v>10.449189288312844</v>
      </c>
      <c r="P95" s="721">
        <f t="shared" si="76"/>
        <v>10.46082696327122</v>
      </c>
      <c r="Q95" s="721">
        <f t="shared" si="76"/>
        <v>15.213156682586249</v>
      </c>
      <c r="R95" s="721">
        <f t="shared" si="76"/>
        <v>14.329361152800345</v>
      </c>
      <c r="S95" s="721">
        <f t="shared" si="76"/>
        <v>19.981981882497578</v>
      </c>
      <c r="T95" s="801">
        <f t="shared" si="76"/>
        <v>12.550418959599629</v>
      </c>
      <c r="U95" s="801">
        <f t="shared" si="76"/>
        <v>-17.202677687065503</v>
      </c>
      <c r="V95" s="801">
        <f t="shared" si="76"/>
        <v>3.7422902376754941</v>
      </c>
      <c r="W95" s="801">
        <f t="shared" si="76"/>
        <v>11.703051398764375</v>
      </c>
      <c r="X95" s="801">
        <f t="shared" si="76"/>
        <v>7.1203683514878824</v>
      </c>
      <c r="Y95" s="801">
        <f t="shared" si="76"/>
        <v>5.0552359079149678</v>
      </c>
      <c r="Z95" s="801">
        <f t="shared" si="76"/>
        <v>4.3471016797685724</v>
      </c>
      <c r="AA95" s="801">
        <f t="shared" si="76"/>
        <v>1.9398699878552028</v>
      </c>
      <c r="AB95" s="801">
        <f t="shared" si="76"/>
        <v>3.2045305206449992</v>
      </c>
      <c r="AC95" s="801">
        <f t="shared" si="76"/>
        <v>8.0494702835952392</v>
      </c>
      <c r="AD95" s="801">
        <f t="shared" ca="1" si="76"/>
        <v>5.4895442237495651</v>
      </c>
      <c r="AE95" s="801">
        <f t="shared" ca="1" si="76"/>
        <v>5.543336509875485</v>
      </c>
    </row>
    <row r="96" spans="1:113" ht="12.75" customHeight="1">
      <c r="A96" s="664"/>
      <c r="B96" s="664"/>
      <c r="C96" s="774"/>
      <c r="E96" s="786"/>
      <c r="F96" s="787"/>
      <c r="G96" s="703"/>
      <c r="H96" s="788"/>
      <c r="I96" s="703"/>
      <c r="J96" s="703"/>
      <c r="K96" s="703"/>
      <c r="L96" s="703"/>
      <c r="M96" s="703"/>
      <c r="N96" s="703"/>
      <c r="O96" s="703"/>
      <c r="P96" s="703"/>
      <c r="Q96" s="703"/>
      <c r="R96" s="703"/>
      <c r="S96" s="703"/>
      <c r="T96" s="845"/>
      <c r="U96" s="845"/>
      <c r="V96" s="845"/>
      <c r="W96" s="845"/>
      <c r="X96" s="845"/>
      <c r="Y96" s="845"/>
      <c r="Z96" s="845"/>
      <c r="AA96" s="845"/>
      <c r="AB96" s="845"/>
      <c r="AC96" s="845"/>
      <c r="AD96" s="845"/>
      <c r="AE96" s="845"/>
    </row>
    <row r="97" spans="1:31" ht="12.75" customHeight="1">
      <c r="A97" s="664"/>
      <c r="B97" s="664"/>
      <c r="C97" s="774"/>
      <c r="D97" s="818"/>
      <c r="E97" s="819" t="s">
        <v>1167</v>
      </c>
      <c r="F97" s="820"/>
      <c r="G97" s="821">
        <f>+InputY!$G$3</f>
        <v>1995</v>
      </c>
      <c r="H97" s="821">
        <f t="shared" ref="H97:N97" si="77">+G97+1</f>
        <v>1996</v>
      </c>
      <c r="I97" s="821">
        <f t="shared" si="77"/>
        <v>1997</v>
      </c>
      <c r="J97" s="821">
        <f t="shared" si="77"/>
        <v>1998</v>
      </c>
      <c r="K97" s="821">
        <f>+J97+1</f>
        <v>1999</v>
      </c>
      <c r="L97" s="821">
        <f t="shared" si="77"/>
        <v>2000</v>
      </c>
      <c r="M97" s="821">
        <f t="shared" si="77"/>
        <v>2001</v>
      </c>
      <c r="N97" s="821">
        <f t="shared" si="77"/>
        <v>2002</v>
      </c>
      <c r="O97" s="821">
        <f t="shared" ref="O97:V97" si="78">+N97+1</f>
        <v>2003</v>
      </c>
      <c r="P97" s="821">
        <f t="shared" si="78"/>
        <v>2004</v>
      </c>
      <c r="Q97" s="821">
        <f t="shared" si="78"/>
        <v>2005</v>
      </c>
      <c r="R97" s="821">
        <f t="shared" si="78"/>
        <v>2006</v>
      </c>
      <c r="S97" s="821">
        <f>+R97+1</f>
        <v>2007</v>
      </c>
      <c r="T97" s="821">
        <f t="shared" si="78"/>
        <v>2008</v>
      </c>
      <c r="U97" s="821">
        <f t="shared" si="78"/>
        <v>2009</v>
      </c>
      <c r="V97" s="821">
        <f t="shared" si="78"/>
        <v>2010</v>
      </c>
      <c r="W97" s="821">
        <f t="shared" ref="W97:AE97" si="79">+V97+1</f>
        <v>2011</v>
      </c>
      <c r="X97" s="821">
        <f t="shared" si="79"/>
        <v>2012</v>
      </c>
      <c r="Y97" s="821">
        <f t="shared" si="79"/>
        <v>2013</v>
      </c>
      <c r="Z97" s="821">
        <f t="shared" si="79"/>
        <v>2014</v>
      </c>
      <c r="AA97" s="821">
        <f t="shared" si="79"/>
        <v>2015</v>
      </c>
      <c r="AB97" s="821">
        <f t="shared" si="79"/>
        <v>2016</v>
      </c>
      <c r="AC97" s="821">
        <f t="shared" si="79"/>
        <v>2017</v>
      </c>
      <c r="AD97" s="821">
        <f t="shared" si="79"/>
        <v>2018</v>
      </c>
      <c r="AE97" s="821">
        <f t="shared" si="79"/>
        <v>2019</v>
      </c>
    </row>
    <row r="98" spans="1:31" ht="12.75" customHeight="1">
      <c r="A98" s="664"/>
      <c r="B98" s="664"/>
      <c r="C98" s="822" t="s">
        <v>1767</v>
      </c>
      <c r="D98" s="823" t="s">
        <v>685</v>
      </c>
      <c r="E98" s="824" t="s">
        <v>1373</v>
      </c>
      <c r="F98" s="825" t="s">
        <v>1215</v>
      </c>
      <c r="G98" s="838">
        <f t="shared" ref="G98:R98" si="80">+G73/G$88</f>
        <v>0.2658149553622921</v>
      </c>
      <c r="H98" s="838">
        <f t="shared" si="80"/>
        <v>0.26336272485891038</v>
      </c>
      <c r="I98" s="838">
        <f t="shared" si="80"/>
        <v>0.25313304428645811</v>
      </c>
      <c r="J98" s="838">
        <f t="shared" si="80"/>
        <v>0.24865659113669958</v>
      </c>
      <c r="K98" s="838">
        <f t="shared" si="80"/>
        <v>0.24127527920448985</v>
      </c>
      <c r="L98" s="838">
        <f t="shared" si="80"/>
        <v>0.23372575623543354</v>
      </c>
      <c r="M98" s="838">
        <f t="shared" si="80"/>
        <v>0.21310600885986078</v>
      </c>
      <c r="N98" s="838">
        <f t="shared" si="80"/>
        <v>0.20008695703612561</v>
      </c>
      <c r="O98" s="838">
        <f t="shared" si="80"/>
        <v>0.18768017267119499</v>
      </c>
      <c r="P98" s="838">
        <f t="shared" si="80"/>
        <v>0.17730369221072029</v>
      </c>
      <c r="Q98" s="838">
        <f t="shared" si="80"/>
        <v>0.16993368126078726</v>
      </c>
      <c r="R98" s="838">
        <f t="shared" si="80"/>
        <v>0.15946126012713907</v>
      </c>
      <c r="S98" s="838">
        <f t="shared" ref="S98:X98" si="81">+S73/S$88</f>
        <v>0.14867869537706363</v>
      </c>
      <c r="T98" s="2909">
        <f t="shared" si="81"/>
        <v>0.14184742962417046</v>
      </c>
      <c r="U98" s="2909">
        <f t="shared" si="81"/>
        <v>0.13721936629745402</v>
      </c>
      <c r="V98" s="2909">
        <f t="shared" si="81"/>
        <v>0.1229266454447188</v>
      </c>
      <c r="W98" s="2909">
        <f t="shared" si="81"/>
        <v>0.11720500595524298</v>
      </c>
      <c r="X98" s="2909">
        <f t="shared" si="81"/>
        <v>0.12323985684146876</v>
      </c>
      <c r="Y98" s="2909">
        <f t="shared" ref="Y98:AD98" si="82">+Y73/Y$88</f>
        <v>0.12237078606302035</v>
      </c>
      <c r="Z98" s="2909">
        <f t="shared" si="82"/>
        <v>0.12160786604926621</v>
      </c>
      <c r="AA98" s="2909">
        <f t="shared" si="82"/>
        <v>0.1266599721440618</v>
      </c>
      <c r="AB98" s="2909">
        <f t="shared" si="82"/>
        <v>0.12285218157155474</v>
      </c>
      <c r="AC98" s="2909">
        <f t="shared" si="82"/>
        <v>0.11459182202160004</v>
      </c>
      <c r="AD98" s="2909">
        <f t="shared" ca="1" si="82"/>
        <v>0.10952924974386359</v>
      </c>
      <c r="AE98" s="2909">
        <f t="shared" ref="AE98" ca="1" si="83">+AE73/AE$88</f>
        <v>0.10461928463985838</v>
      </c>
    </row>
    <row r="99" spans="1:31" ht="12.75" customHeight="1">
      <c r="A99" s="664"/>
      <c r="B99" s="664"/>
      <c r="C99" s="826" t="s">
        <v>1767</v>
      </c>
      <c r="D99" s="674" t="s">
        <v>686</v>
      </c>
      <c r="E99" s="783" t="s">
        <v>1373</v>
      </c>
      <c r="F99" s="704" t="s">
        <v>1551</v>
      </c>
      <c r="G99" s="839">
        <f t="shared" ref="G99:N99" si="84">+G78/G$88</f>
        <v>0.57571397264066071</v>
      </c>
      <c r="H99" s="839">
        <f t="shared" si="84"/>
        <v>0.57546248429952096</v>
      </c>
      <c r="I99" s="839">
        <f t="shared" si="84"/>
        <v>0.57844605674856331</v>
      </c>
      <c r="J99" s="839">
        <f t="shared" si="84"/>
        <v>0.56797828465986111</v>
      </c>
      <c r="K99" s="839">
        <f t="shared" si="84"/>
        <v>0.56663274776238159</v>
      </c>
      <c r="L99" s="839">
        <f t="shared" si="84"/>
        <v>0.59259365249573059</v>
      </c>
      <c r="M99" s="839">
        <f t="shared" si="84"/>
        <v>0.62034697032176156</v>
      </c>
      <c r="N99" s="839">
        <f t="shared" si="84"/>
        <v>0.63980635791989304</v>
      </c>
      <c r="O99" s="839">
        <f t="shared" ref="O99:V99" si="85">+O78/O$88</f>
        <v>0.66061862240628355</v>
      </c>
      <c r="P99" s="839">
        <f t="shared" si="85"/>
        <v>0.67274843026497622</v>
      </c>
      <c r="Q99" s="839">
        <f t="shared" si="85"/>
        <v>0.6878905569837731</v>
      </c>
      <c r="R99" s="839">
        <f t="shared" si="85"/>
        <v>0.69693167470948314</v>
      </c>
      <c r="S99" s="839">
        <f>+S78/S$88</f>
        <v>0.71529192951508069</v>
      </c>
      <c r="T99" s="2910">
        <f t="shared" si="85"/>
        <v>0.71172034954262819</v>
      </c>
      <c r="U99" s="2910">
        <f t="shared" si="85"/>
        <v>0.68868815112204096</v>
      </c>
      <c r="V99" s="2910">
        <f t="shared" si="85"/>
        <v>0.72329793036424395</v>
      </c>
      <c r="W99" s="2910">
        <f t="shared" ref="W99:AB99" si="86">+W78/W$88</f>
        <v>0.73759324376439528</v>
      </c>
      <c r="X99" s="2910">
        <f t="shared" si="86"/>
        <v>0.73679337354749652</v>
      </c>
      <c r="Y99" s="2910">
        <f t="shared" si="86"/>
        <v>0.73962325118775329</v>
      </c>
      <c r="Z99" s="2910">
        <f t="shared" si="86"/>
        <v>0.74090804072133265</v>
      </c>
      <c r="AA99" s="2910">
        <f t="shared" si="86"/>
        <v>0.733574118599846</v>
      </c>
      <c r="AB99" s="2910">
        <f t="shared" si="86"/>
        <v>0.73491931587148596</v>
      </c>
      <c r="AC99" s="2910">
        <f>+AC78/AC$88</f>
        <v>0.74736681453348763</v>
      </c>
      <c r="AD99" s="2910">
        <f ca="1">+AD78/AD$88</f>
        <v>0.7539219218316664</v>
      </c>
      <c r="AE99" s="2910">
        <f ca="1">+AE78/AE$88</f>
        <v>0.76018262106061185</v>
      </c>
    </row>
    <row r="100" spans="1:31" ht="12.75" customHeight="1">
      <c r="A100" s="664"/>
      <c r="B100" s="664"/>
      <c r="C100" s="827" t="s">
        <v>1767</v>
      </c>
      <c r="D100" s="828" t="s">
        <v>687</v>
      </c>
      <c r="E100" s="829" t="s">
        <v>1373</v>
      </c>
      <c r="F100" s="830" t="s">
        <v>1027</v>
      </c>
      <c r="G100" s="840">
        <f t="shared" ref="G100:N100" si="87">+G83/G$88</f>
        <v>0.15847251378347829</v>
      </c>
      <c r="H100" s="840">
        <f t="shared" si="87"/>
        <v>0.16117479084156858</v>
      </c>
      <c r="I100" s="840">
        <f t="shared" si="87"/>
        <v>0.1684218721867807</v>
      </c>
      <c r="J100" s="840">
        <f t="shared" si="87"/>
        <v>0.18336512420343937</v>
      </c>
      <c r="K100" s="840">
        <f t="shared" si="87"/>
        <v>0.19209286799102535</v>
      </c>
      <c r="L100" s="840">
        <f t="shared" si="87"/>
        <v>0.17368059126883595</v>
      </c>
      <c r="M100" s="840">
        <f t="shared" si="87"/>
        <v>0.16654622933536795</v>
      </c>
      <c r="N100" s="840">
        <f t="shared" si="87"/>
        <v>0.16010594561340205</v>
      </c>
      <c r="O100" s="840">
        <f t="shared" ref="O100:V100" si="88">+O83/O$88</f>
        <v>0.15170120492252157</v>
      </c>
      <c r="P100" s="840">
        <f t="shared" si="88"/>
        <v>0.14994848359960247</v>
      </c>
      <c r="Q100" s="840">
        <f t="shared" si="88"/>
        <v>0.14217576175543972</v>
      </c>
      <c r="R100" s="840">
        <f t="shared" si="88"/>
        <v>0.14360660504801764</v>
      </c>
      <c r="S100" s="840">
        <f>+S83/S$88</f>
        <v>0.136028991620808</v>
      </c>
      <c r="T100" s="2911">
        <f t="shared" si="88"/>
        <v>0.14643222083320132</v>
      </c>
      <c r="U100" s="2911">
        <f t="shared" si="88"/>
        <v>0.17409207106396776</v>
      </c>
      <c r="V100" s="2911">
        <f t="shared" si="88"/>
        <v>0.15377582086295977</v>
      </c>
      <c r="W100" s="2911">
        <f t="shared" ref="W100:AB100" si="89">+W83/W$88</f>
        <v>0.14520175028036161</v>
      </c>
      <c r="X100" s="2911">
        <f t="shared" si="89"/>
        <v>0.13996676961103471</v>
      </c>
      <c r="Y100" s="2911">
        <f t="shared" si="89"/>
        <v>0.13800564719306482</v>
      </c>
      <c r="Z100" s="2911">
        <f t="shared" si="89"/>
        <v>0.137484093229401</v>
      </c>
      <c r="AA100" s="2911">
        <f t="shared" si="89"/>
        <v>0.1397659092560922</v>
      </c>
      <c r="AB100" s="2911">
        <f t="shared" si="89"/>
        <v>0.14222821511283473</v>
      </c>
      <c r="AC100" s="2911">
        <f>+AC83/AC$88</f>
        <v>0.13804136344491241</v>
      </c>
      <c r="AD100" s="2911">
        <f ca="1">+AD83/AD$88</f>
        <v>0.13654882842446994</v>
      </c>
      <c r="AE100" s="2911">
        <f ca="1">+AE83/AE$88</f>
        <v>0.13519809429952973</v>
      </c>
    </row>
    <row r="101" spans="1:31" ht="12.75" customHeight="1">
      <c r="A101" s="664"/>
      <c r="B101" s="664"/>
      <c r="C101" s="774" t="s">
        <v>1769</v>
      </c>
      <c r="D101" s="806"/>
      <c r="E101" s="807" t="s">
        <v>1373</v>
      </c>
      <c r="F101" s="808" t="s">
        <v>1908</v>
      </c>
      <c r="G101" s="841">
        <f t="shared" ref="G101:N101" si="90">+G88/G$88</f>
        <v>1</v>
      </c>
      <c r="H101" s="841">
        <f t="shared" si="90"/>
        <v>1</v>
      </c>
      <c r="I101" s="841">
        <f t="shared" si="90"/>
        <v>1</v>
      </c>
      <c r="J101" s="841">
        <f t="shared" si="90"/>
        <v>1</v>
      </c>
      <c r="K101" s="841">
        <f t="shared" si="90"/>
        <v>1</v>
      </c>
      <c r="L101" s="841">
        <f t="shared" si="90"/>
        <v>1</v>
      </c>
      <c r="M101" s="841">
        <f t="shared" si="90"/>
        <v>1</v>
      </c>
      <c r="N101" s="841">
        <f t="shared" si="90"/>
        <v>1</v>
      </c>
      <c r="O101" s="841">
        <f t="shared" ref="O101:V101" si="91">+O88/O$88</f>
        <v>1</v>
      </c>
      <c r="P101" s="841">
        <f t="shared" si="91"/>
        <v>1</v>
      </c>
      <c r="Q101" s="841">
        <f t="shared" si="91"/>
        <v>1</v>
      </c>
      <c r="R101" s="841">
        <f t="shared" si="91"/>
        <v>1</v>
      </c>
      <c r="S101" s="841">
        <f>+S88/S$88</f>
        <v>1</v>
      </c>
      <c r="T101" s="2912">
        <f t="shared" si="91"/>
        <v>1</v>
      </c>
      <c r="U101" s="2912">
        <f t="shared" si="91"/>
        <v>1</v>
      </c>
      <c r="V101" s="2912">
        <f t="shared" si="91"/>
        <v>1</v>
      </c>
      <c r="W101" s="2912">
        <f t="shared" ref="W101:AB101" si="92">+W88/W$88</f>
        <v>1</v>
      </c>
      <c r="X101" s="2912">
        <f t="shared" si="92"/>
        <v>1</v>
      </c>
      <c r="Y101" s="2912">
        <f t="shared" si="92"/>
        <v>1</v>
      </c>
      <c r="Z101" s="2912">
        <f t="shared" si="92"/>
        <v>1</v>
      </c>
      <c r="AA101" s="2912">
        <f t="shared" si="92"/>
        <v>1</v>
      </c>
      <c r="AB101" s="2912">
        <f t="shared" si="92"/>
        <v>1</v>
      </c>
      <c r="AC101" s="2912">
        <f>+AC88/AC$88</f>
        <v>1</v>
      </c>
      <c r="AD101" s="2912">
        <f ca="1">+AD88/AD$88</f>
        <v>1</v>
      </c>
      <c r="AE101" s="2912">
        <f ca="1">+AE88/AE$88</f>
        <v>1</v>
      </c>
    </row>
    <row r="102" spans="1:31" ht="12.75" customHeight="1">
      <c r="A102" s="664"/>
      <c r="B102" s="664"/>
      <c r="C102" s="774"/>
      <c r="E102" s="786"/>
      <c r="F102" s="787"/>
      <c r="G102" s="703"/>
      <c r="H102" s="788"/>
      <c r="I102" s="703"/>
      <c r="J102" s="703"/>
      <c r="K102" s="703"/>
      <c r="L102" s="703"/>
      <c r="M102" s="703"/>
      <c r="N102" s="703"/>
      <c r="O102" s="703"/>
      <c r="P102" s="703"/>
      <c r="Q102" s="703"/>
      <c r="R102" s="2254"/>
      <c r="S102" s="2254"/>
      <c r="T102" s="2254"/>
      <c r="U102" s="2254"/>
      <c r="V102" s="2254"/>
      <c r="W102" s="2254"/>
      <c r="X102" s="2254"/>
      <c r="Y102" s="2254"/>
      <c r="Z102" s="2254"/>
      <c r="AA102" s="2254"/>
      <c r="AB102" s="2254"/>
      <c r="AC102" s="2254"/>
      <c r="AD102" s="2254"/>
      <c r="AE102" s="2254"/>
    </row>
    <row r="103" spans="1:31">
      <c r="AB103" s="2221"/>
      <c r="AC103" s="2221"/>
      <c r="AD103" s="2221"/>
      <c r="AE103" s="2221"/>
    </row>
    <row r="104" spans="1:31" ht="22.5" customHeight="1">
      <c r="A104" s="574"/>
      <c r="B104" s="574"/>
      <c r="C104" s="3751" t="s">
        <v>1204</v>
      </c>
      <c r="D104" s="3751"/>
      <c r="E104" s="3751"/>
      <c r="F104" s="3751"/>
      <c r="V104" s="2270"/>
      <c r="AB104" s="2221"/>
      <c r="AC104" s="2221"/>
      <c r="AD104" s="2221"/>
      <c r="AE104" s="2221"/>
    </row>
    <row r="105" spans="1:31" ht="12.75" customHeight="1">
      <c r="A105" s="664"/>
      <c r="B105" s="664"/>
      <c r="C105" s="774"/>
      <c r="AB105" s="2221"/>
      <c r="AC105" s="2221"/>
      <c r="AD105" s="2221"/>
      <c r="AE105" s="2221"/>
    </row>
    <row r="106" spans="1:31" ht="12.75" customHeight="1">
      <c r="A106" s="664"/>
      <c r="B106" s="664"/>
      <c r="C106" s="774"/>
      <c r="D106" s="775"/>
      <c r="E106" s="776" t="s">
        <v>1384</v>
      </c>
      <c r="F106" s="777"/>
      <c r="G106" s="778">
        <f>+InputY!$G$3</f>
        <v>1995</v>
      </c>
      <c r="H106" s="778">
        <f t="shared" ref="H106:R106" si="93">+G106+1</f>
        <v>1996</v>
      </c>
      <c r="I106" s="778">
        <f t="shared" si="93"/>
        <v>1997</v>
      </c>
      <c r="J106" s="778">
        <f t="shared" si="93"/>
        <v>1998</v>
      </c>
      <c r="K106" s="778">
        <f>+J106+1</f>
        <v>1999</v>
      </c>
      <c r="L106" s="778">
        <f t="shared" si="93"/>
        <v>2000</v>
      </c>
      <c r="M106" s="778">
        <f t="shared" si="93"/>
        <v>2001</v>
      </c>
      <c r="N106" s="778">
        <f t="shared" si="93"/>
        <v>2002</v>
      </c>
      <c r="O106" s="778">
        <f t="shared" si="93"/>
        <v>2003</v>
      </c>
      <c r="P106" s="778">
        <f>+O106+1</f>
        <v>2004</v>
      </c>
      <c r="Q106" s="778">
        <f>+P106+1</f>
        <v>2005</v>
      </c>
      <c r="R106" s="2222">
        <f t="shared" si="93"/>
        <v>2006</v>
      </c>
      <c r="S106" s="2222">
        <f t="shared" ref="S106:X106" si="94">+R106+1</f>
        <v>2007</v>
      </c>
      <c r="T106" s="2222">
        <f t="shared" si="94"/>
        <v>2008</v>
      </c>
      <c r="U106" s="2222">
        <f t="shared" si="94"/>
        <v>2009</v>
      </c>
      <c r="V106" s="2222">
        <f t="shared" si="94"/>
        <v>2010</v>
      </c>
      <c r="W106" s="2222">
        <f t="shared" si="94"/>
        <v>2011</v>
      </c>
      <c r="X106" s="2222">
        <f t="shared" si="94"/>
        <v>2012</v>
      </c>
      <c r="Y106" s="2222">
        <f t="shared" ref="Y106:AE106" si="95">+X106+1</f>
        <v>2013</v>
      </c>
      <c r="Z106" s="2222">
        <f t="shared" si="95"/>
        <v>2014</v>
      </c>
      <c r="AA106" s="2222">
        <f t="shared" si="95"/>
        <v>2015</v>
      </c>
      <c r="AB106" s="2222">
        <f t="shared" si="95"/>
        <v>2016</v>
      </c>
      <c r="AC106" s="2222">
        <f t="shared" si="95"/>
        <v>2017</v>
      </c>
      <c r="AD106" s="2222">
        <f t="shared" si="95"/>
        <v>2018</v>
      </c>
      <c r="AE106" s="2222">
        <f t="shared" si="95"/>
        <v>2019</v>
      </c>
    </row>
    <row r="107" spans="1:31" ht="12.75" customHeight="1">
      <c r="A107" s="664"/>
      <c r="B107" s="664">
        <v>89</v>
      </c>
      <c r="C107" s="779" t="s">
        <v>1767</v>
      </c>
      <c r="D107" s="668" t="s">
        <v>685</v>
      </c>
      <c r="E107" s="700" t="s">
        <v>732</v>
      </c>
      <c r="F107" s="701" t="s">
        <v>124</v>
      </c>
      <c r="G107" s="780">
        <f>+G73-Labour1!G209-G9+G46</f>
        <v>1.69865</v>
      </c>
      <c r="H107" s="780">
        <f>+H73-Labour1!H209-H9+H46</f>
        <v>2.12385</v>
      </c>
      <c r="I107" s="780">
        <f>+I73-Labour1!I209-I9+I46</f>
        <v>2.3989400000000001</v>
      </c>
      <c r="J107" s="780">
        <f>+J73-Labour1!J209-J9+J46</f>
        <v>2.57579</v>
      </c>
      <c r="K107" s="780">
        <f>+K73-Labour1!K209-K9+K46</f>
        <v>2.5122100000000005</v>
      </c>
      <c r="L107" s="780">
        <f>+L73-Labour1!L209-L9+L46</f>
        <v>2.5169999999999999</v>
      </c>
      <c r="M107" s="780">
        <f>+M73-Labour1!M209-M9+M46</f>
        <v>2.3872999999999998</v>
      </c>
      <c r="N107" s="780">
        <f>+N73-Labour1!N209-N9+N46</f>
        <v>2.34639</v>
      </c>
      <c r="O107" s="780">
        <f>+O73-Labour1!O209-O9+O46</f>
        <v>2.4367899999999998</v>
      </c>
      <c r="P107" s="780">
        <f>+P73-Labour1!P209-P9+P46</f>
        <v>2.5497899999999998</v>
      </c>
      <c r="Q107" s="780">
        <f>+Q73-Labour1!Q209-Q9+Q46</f>
        <v>2.8515099999999998</v>
      </c>
      <c r="R107" s="780">
        <f>+R73-Labour1!R209-R9+R46</f>
        <v>2.9678199999999997</v>
      </c>
      <c r="S107" s="780">
        <f>+S73-Labour1!S209-S9+S46</f>
        <v>3.1930899999999998</v>
      </c>
      <c r="T107" s="780">
        <f>+T73-Labour1!T209-T9+T46</f>
        <v>3.4104199999999998</v>
      </c>
      <c r="U107" s="780">
        <f>+U73-Labour1!U209-U9+U46</f>
        <v>2.8222200000000002</v>
      </c>
      <c r="V107" s="780">
        <f>+V73-Labour1!V209-V9+V46</f>
        <v>2.6309799999999997</v>
      </c>
      <c r="W107" s="780">
        <f>+W73-Labour1!W209-W9+W46</f>
        <v>2.8366799999999999</v>
      </c>
      <c r="X107" s="780">
        <f>+X73-Labour1!X209-X9+X46</f>
        <v>3.2705600000000001</v>
      </c>
      <c r="Y107" s="780">
        <f>+Y73-Labour1!Y209-Y9+Y46</f>
        <v>3.38794</v>
      </c>
      <c r="Z107" s="780">
        <f>+Z73-Labour1!Z209-Z9+Z46</f>
        <v>3.5277099999999995</v>
      </c>
      <c r="AA107" s="780">
        <f>+AA73-Labour1!AA209-AA9+AA46</f>
        <v>3.7731500000000007</v>
      </c>
      <c r="AB107" s="780">
        <f>+AB73-Labour1!AB209-AB9+AB46</f>
        <v>3.77868</v>
      </c>
      <c r="AC107" s="2217">
        <f>+AB107*(1+AC118/100)</f>
        <v>3.77868</v>
      </c>
      <c r="AD107" s="2217">
        <f>+AC107*(1+AD118/100)</f>
        <v>3.77868</v>
      </c>
      <c r="AE107" s="2217">
        <f>+AD107*(1+AE118/100)</f>
        <v>3.77868</v>
      </c>
    </row>
    <row r="108" spans="1:31" ht="12.75" customHeight="1">
      <c r="A108" s="664"/>
      <c r="B108" s="664">
        <v>104</v>
      </c>
      <c r="C108" s="782" t="s">
        <v>1767</v>
      </c>
      <c r="D108" s="674" t="s">
        <v>686</v>
      </c>
      <c r="E108" s="783" t="s">
        <v>1065</v>
      </c>
      <c r="F108" s="704" t="s">
        <v>1160</v>
      </c>
      <c r="G108" s="706">
        <f>+G78-Labour1!G210-G10+G47</f>
        <v>1.9613499999999999</v>
      </c>
      <c r="H108" s="706">
        <f>+H78-Labour1!H210-H10+H47</f>
        <v>2.5028399999999995</v>
      </c>
      <c r="I108" s="706">
        <f>+I78-Labour1!I210-I10+I47</f>
        <v>2.87819</v>
      </c>
      <c r="J108" s="706">
        <f>+J78-Labour1!J210-J10+J47</f>
        <v>2.9327699999999997</v>
      </c>
      <c r="K108" s="706">
        <f>+K78-Labour1!K210-K10+K47</f>
        <v>2.6909900000000007</v>
      </c>
      <c r="L108" s="706">
        <f>+L78-Labour1!L210-L10+L47</f>
        <v>3.6106800000000003</v>
      </c>
      <c r="M108" s="706">
        <f>+M78-Labour1!M210-M10+M47</f>
        <v>4.3839899999999998</v>
      </c>
      <c r="N108" s="706">
        <f>+N78-Labour1!N210-N10+N47</f>
        <v>4.8382199999999997</v>
      </c>
      <c r="O108" s="706">
        <f>+O78-Labour1!O210-O10+O47</f>
        <v>5.5056800000000008</v>
      </c>
      <c r="P108" s="706">
        <f>+P78-Labour1!P210-P10+P47</f>
        <v>6.07179</v>
      </c>
      <c r="Q108" s="706">
        <f>+Q78-Labour1!Q210-Q10+Q47</f>
        <v>7.0718700000000005</v>
      </c>
      <c r="R108" s="706">
        <f>+R78-Labour1!R210-R10+R47</f>
        <v>7.8435499999999987</v>
      </c>
      <c r="S108" s="706">
        <f>+S78-Labour1!S210-S10+S47</f>
        <v>9.8058000000000014</v>
      </c>
      <c r="T108" s="706">
        <f>+T78-Labour1!T210-T10+T47</f>
        <v>10.65368</v>
      </c>
      <c r="U108" s="706">
        <f>+U78-Labour1!U210-U10+U47</f>
        <v>8.5865399999999994</v>
      </c>
      <c r="V108" s="706">
        <f>+V78-Labour1!V210-V10+V47</f>
        <v>10.180579999999999</v>
      </c>
      <c r="W108" s="706">
        <f>+W78-Labour1!W210-W10+W47</f>
        <v>12.009180000000001</v>
      </c>
      <c r="X108" s="706">
        <f>+X78-Labour1!X210-X10+X47</f>
        <v>12.806279999999999</v>
      </c>
      <c r="Y108" s="706">
        <f>+Y78-Labour1!Y210-Y10+Y47</f>
        <v>13.386859999999999</v>
      </c>
      <c r="Z108" s="706">
        <f>+Z78-Labour1!Z210-Z10+Z47</f>
        <v>13.675680000000002</v>
      </c>
      <c r="AA108" s="706">
        <f>+AA78-Labour1!AA210-AA10+AA47</f>
        <v>13.047969999999999</v>
      </c>
      <c r="AB108" s="706">
        <f>+AB78-Labour1!AB210-AB10+AB47</f>
        <v>12.81043</v>
      </c>
      <c r="AC108" s="3278">
        <f>+AC78-Labour1!AC210-Sector1!AC10+Sector1!AC47</f>
        <v>14.037617020000001</v>
      </c>
      <c r="AD108" s="3278">
        <f ca="1">+AD78-Labour1!AD210-Sector1!AD10+Sector1!AD47</f>
        <v>14.965430274349325</v>
      </c>
      <c r="AE108" s="3278">
        <f ca="1">+AE78-Labour1!AE210-Sector1!AE10+Sector1!AE47</f>
        <v>16.002291254781717</v>
      </c>
    </row>
    <row r="109" spans="1:31" ht="12.75" customHeight="1">
      <c r="A109" s="664"/>
      <c r="B109" s="664" t="s">
        <v>1913</v>
      </c>
      <c r="C109" s="782" t="s">
        <v>1767</v>
      </c>
      <c r="D109" s="674" t="s">
        <v>687</v>
      </c>
      <c r="E109" s="783" t="s">
        <v>732</v>
      </c>
      <c r="F109" s="704" t="s">
        <v>1914</v>
      </c>
      <c r="G109" s="706">
        <f>+G83-Labour1!G211-G11+G48</f>
        <v>0.34807999999999995</v>
      </c>
      <c r="H109" s="706">
        <f>+H83-Labour1!H211-H11+H48</f>
        <v>0.38789000000000001</v>
      </c>
      <c r="I109" s="706">
        <f>+I83-Labour1!I211-I11+I48</f>
        <v>0.42628999999999989</v>
      </c>
      <c r="J109" s="706">
        <f>+J83-Labour1!J211-J11+J48</f>
        <v>0.43959999999999977</v>
      </c>
      <c r="K109" s="706">
        <f>+K83-Labour1!K211-K11+K48</f>
        <v>0.44392999999999988</v>
      </c>
      <c r="L109" s="706">
        <f>+L83-Labour1!L211-L11+L48</f>
        <v>0.44971000000000022</v>
      </c>
      <c r="M109" s="706">
        <f>+M83-Labour1!M211-M11+M48</f>
        <v>0.44786999999999977</v>
      </c>
      <c r="N109" s="706">
        <f>+N83-Labour1!N211-N11+N48</f>
        <v>0.44363000000000036</v>
      </c>
      <c r="O109" s="706">
        <f>+O83-Labour1!O211-O11+O48</f>
        <v>0.47176999999999986</v>
      </c>
      <c r="P109" s="706">
        <f>+P83-Labour1!P211-P11+P48</f>
        <v>0.4958700000000002</v>
      </c>
      <c r="Q109" s="706">
        <f>+Q83-Labour1!Q211-Q11+Q48</f>
        <v>0.5454899999999997</v>
      </c>
      <c r="R109" s="706">
        <f>+R83-Labour1!R211-R11+R48</f>
        <v>0.61288999999999971</v>
      </c>
      <c r="S109" s="706">
        <f>+S83-Labour1!S211-S11+S48</f>
        <v>0.70903999999999978</v>
      </c>
      <c r="T109" s="706">
        <f>+T83-Labour1!T211-T11+T48</f>
        <v>0.81860000000000011</v>
      </c>
      <c r="U109" s="706">
        <f>+U83-Labour1!U211-U11+U48</f>
        <v>0.81778000000000006</v>
      </c>
      <c r="V109" s="706">
        <f>+V83-Labour1!V211-V11+V48</f>
        <v>0.81559000000000015</v>
      </c>
      <c r="W109" s="706">
        <f>+W83-Labour1!W211-W11+W48</f>
        <v>0.88874000000000009</v>
      </c>
      <c r="X109" s="706">
        <f>+X83-Labour1!X211-X11+X48</f>
        <v>0.97679000000000027</v>
      </c>
      <c r="Y109" s="706">
        <f>+Y83-Labour1!Y211-Y11+Y48</f>
        <v>1.0306</v>
      </c>
      <c r="Z109" s="706">
        <f>+Z83-Labour1!Z211-Z11+Z48</f>
        <v>1.0790799999999992</v>
      </c>
      <c r="AA109" s="706">
        <f>+AA83-Labour1!AA211-AA11+AA48</f>
        <v>1.1034600000000008</v>
      </c>
      <c r="AB109" s="706">
        <f>+AB83-Labour1!AB211-AB11+AB48</f>
        <v>1.1429800000000001</v>
      </c>
      <c r="AC109" s="2217">
        <f>AB109*(1+AC120/100)</f>
        <v>1.1841272800000002</v>
      </c>
      <c r="AD109" s="2217">
        <f>AC109*(1+AD120/100)</f>
        <v>1.2078098256000003</v>
      </c>
      <c r="AE109" s="2217">
        <f>AD109*(1+AE120/100)</f>
        <v>1.2198879238560003</v>
      </c>
    </row>
    <row r="110" spans="1:31" ht="12.75" customHeight="1">
      <c r="A110" s="664"/>
      <c r="B110" s="664"/>
      <c r="C110" s="782"/>
      <c r="D110" s="1973"/>
      <c r="E110" s="2922" t="s">
        <v>1651</v>
      </c>
      <c r="F110" s="1973"/>
      <c r="G110" s="2898"/>
      <c r="H110" s="2898"/>
      <c r="I110" s="2898"/>
      <c r="J110" s="2898"/>
      <c r="K110" s="2898"/>
      <c r="L110" s="2898"/>
      <c r="M110" s="2898"/>
      <c r="N110" s="2898"/>
      <c r="O110" s="2898"/>
      <c r="P110" s="2898"/>
      <c r="Q110" s="2898"/>
      <c r="R110" s="2898"/>
      <c r="S110" s="2898"/>
      <c r="T110" s="2905"/>
      <c r="U110" s="2905"/>
      <c r="V110" s="2905"/>
      <c r="W110" s="2905"/>
      <c r="X110" s="2905"/>
      <c r="Y110" s="2905"/>
      <c r="Z110" s="2905"/>
      <c r="AA110" s="2905"/>
      <c r="AB110" s="2905"/>
      <c r="AC110" s="2905"/>
      <c r="AD110" s="2905"/>
      <c r="AE110" s="2905"/>
    </row>
    <row r="111" spans="1:31" ht="12.75" customHeight="1">
      <c r="A111" s="664"/>
      <c r="B111" s="664"/>
      <c r="C111" s="782"/>
      <c r="D111" s="1973" t="s">
        <v>727</v>
      </c>
      <c r="E111" s="1973"/>
      <c r="F111" s="1973"/>
      <c r="G111" s="2898"/>
      <c r="H111" s="2898"/>
      <c r="I111" s="2898"/>
      <c r="J111" s="2898"/>
      <c r="K111" s="2898"/>
      <c r="L111" s="2898"/>
      <c r="M111" s="2898"/>
      <c r="N111" s="2898"/>
      <c r="O111" s="2898"/>
      <c r="P111" s="2898"/>
      <c r="Q111" s="2898"/>
      <c r="R111" s="2898"/>
      <c r="S111" s="2898"/>
      <c r="T111" s="2905"/>
      <c r="U111" s="2905"/>
      <c r="V111" s="2905"/>
      <c r="W111" s="2905"/>
      <c r="X111" s="2905"/>
      <c r="Y111" s="2905"/>
      <c r="Z111" s="2905"/>
      <c r="AA111" s="2905"/>
      <c r="AB111" s="2905"/>
      <c r="AC111" s="2905"/>
      <c r="AD111" s="2905"/>
      <c r="AE111" s="2905"/>
    </row>
    <row r="112" spans="1:31" ht="12.75" customHeight="1">
      <c r="C112" s="782"/>
      <c r="D112" s="1973" t="s">
        <v>687</v>
      </c>
      <c r="E112" s="1973" t="s">
        <v>731</v>
      </c>
      <c r="F112" s="1973"/>
      <c r="G112" s="1012">
        <f>+G422</f>
        <v>0.34808</v>
      </c>
      <c r="H112" s="1012">
        <f t="shared" ref="H112:R112" si="96">+H422</f>
        <v>0.38789000000000001</v>
      </c>
      <c r="I112" s="1012">
        <f t="shared" si="96"/>
        <v>0.42630000000000001</v>
      </c>
      <c r="J112" s="1012">
        <f t="shared" si="96"/>
        <v>0.43960000000000005</v>
      </c>
      <c r="K112" s="1012">
        <f t="shared" si="96"/>
        <v>0.44392999999999999</v>
      </c>
      <c r="L112" s="1012">
        <f t="shared" si="96"/>
        <v>0.44969999999999999</v>
      </c>
      <c r="M112" s="1012">
        <f t="shared" si="96"/>
        <v>0.44792000000000004</v>
      </c>
      <c r="N112" s="1012">
        <f t="shared" si="96"/>
        <v>0.44373000000000001</v>
      </c>
      <c r="O112" s="1012">
        <f t="shared" si="96"/>
        <v>0.47164999999999996</v>
      </c>
      <c r="P112" s="1012">
        <f t="shared" si="96"/>
        <v>0.49575999999999998</v>
      </c>
      <c r="Q112" s="1012">
        <f>+Q422</f>
        <v>0.54459000000000002</v>
      </c>
      <c r="R112" s="1012">
        <f t="shared" si="96"/>
        <v>0.60770000000000002</v>
      </c>
      <c r="S112" s="1012">
        <f t="shared" ref="S112:X112" si="97">+S422</f>
        <v>0.70246000000000008</v>
      </c>
      <c r="T112" s="1012">
        <f t="shared" si="97"/>
        <v>0.81538999999999995</v>
      </c>
      <c r="U112" s="1012">
        <f t="shared" si="97"/>
        <v>0.81699999999999995</v>
      </c>
      <c r="V112" s="1012">
        <f t="shared" si="97"/>
        <v>0.81259000000000003</v>
      </c>
      <c r="W112" s="1012">
        <f t="shared" si="97"/>
        <v>0.88575000000000004</v>
      </c>
      <c r="X112" s="1012">
        <f t="shared" si="97"/>
        <v>0.96163999999999994</v>
      </c>
      <c r="Y112" s="1012">
        <f>+Y422</f>
        <v>1.02627</v>
      </c>
      <c r="Z112" s="1012">
        <f>+Z422</f>
        <v>1.0739400000000001</v>
      </c>
      <c r="AA112" s="1012">
        <f>+AA422</f>
        <v>1.1040000000000001</v>
      </c>
      <c r="AB112" s="1012">
        <f>+AB422</f>
        <v>1.14178</v>
      </c>
      <c r="AC112" s="3395">
        <f>+AB112*(1+AC122/100)</f>
        <v>1.18288408</v>
      </c>
      <c r="AD112" s="3395">
        <f>+AC112*(1+AD122/100)</f>
        <v>1.2065417616</v>
      </c>
      <c r="AE112" s="3395">
        <f>+AD112*(1+AE122/100)</f>
        <v>1.218607179216</v>
      </c>
    </row>
    <row r="113" spans="1:113" ht="12.75" customHeight="1">
      <c r="C113" s="782"/>
      <c r="D113" s="1973" t="s">
        <v>687</v>
      </c>
      <c r="E113" s="1973" t="s">
        <v>730</v>
      </c>
      <c r="F113" s="1973"/>
      <c r="G113" s="1012">
        <f t="shared" ref="G113:AB113" si="98">+G109-G112</f>
        <v>0</v>
      </c>
      <c r="H113" s="1012">
        <f t="shared" si="98"/>
        <v>0</v>
      </c>
      <c r="I113" s="1012">
        <f t="shared" si="98"/>
        <v>-1.0000000000121023E-5</v>
      </c>
      <c r="J113" s="1012">
        <f t="shared" si="98"/>
        <v>0</v>
      </c>
      <c r="K113" s="1012">
        <f t="shared" si="98"/>
        <v>0</v>
      </c>
      <c r="L113" s="1012">
        <f t="shared" si="98"/>
        <v>1.0000000000232045E-5</v>
      </c>
      <c r="M113" s="1012">
        <f t="shared" si="98"/>
        <v>-5.0000000000272049E-5</v>
      </c>
      <c r="N113" s="1012">
        <f t="shared" si="98"/>
        <v>-9.999999999965592E-5</v>
      </c>
      <c r="O113" s="1012">
        <f t="shared" si="98"/>
        <v>1.1999999999989797E-4</v>
      </c>
      <c r="P113" s="1012">
        <f t="shared" si="98"/>
        <v>1.1000000000022103E-4</v>
      </c>
      <c r="Q113" s="1012">
        <f t="shared" si="98"/>
        <v>8.9999999999967883E-4</v>
      </c>
      <c r="R113" s="1012">
        <f t="shared" si="98"/>
        <v>5.1899999999996949E-3</v>
      </c>
      <c r="S113" s="1012">
        <f t="shared" si="98"/>
        <v>6.5799999999996972E-3</v>
      </c>
      <c r="T113" s="1012">
        <f t="shared" si="98"/>
        <v>3.2100000000001572E-3</v>
      </c>
      <c r="U113" s="1012">
        <f t="shared" si="98"/>
        <v>7.8000000000011394E-4</v>
      </c>
      <c r="V113" s="2913">
        <f t="shared" si="98"/>
        <v>3.0000000000001137E-3</v>
      </c>
      <c r="W113" s="2913">
        <f t="shared" si="98"/>
        <v>2.9900000000000482E-3</v>
      </c>
      <c r="X113" s="2913">
        <f t="shared" si="98"/>
        <v>1.515000000000033E-2</v>
      </c>
      <c r="Y113" s="2913">
        <f t="shared" si="98"/>
        <v>4.329999999999945E-3</v>
      </c>
      <c r="Z113" s="2913">
        <f t="shared" si="98"/>
        <v>5.1399999999990342E-3</v>
      </c>
      <c r="AA113" s="2913">
        <f t="shared" si="98"/>
        <v>-5.399999999993188E-4</v>
      </c>
      <c r="AB113" s="2913">
        <f t="shared" si="98"/>
        <v>1.2000000000000899E-3</v>
      </c>
      <c r="AC113" s="3395">
        <f>+AC109-AC112</f>
        <v>1.2432000000002219E-3</v>
      </c>
      <c r="AD113" s="3395">
        <f>+AD109-AD112</f>
        <v>1.2680640000002352E-3</v>
      </c>
      <c r="AE113" s="3395">
        <f>+AE109-AE112</f>
        <v>1.2807446400002753E-3</v>
      </c>
    </row>
    <row r="114" spans="1:113" ht="12.75" customHeight="1">
      <c r="A114" s="1953">
        <f>+ROW(InputY!A106)</f>
        <v>106</v>
      </c>
      <c r="B114" s="664"/>
      <c r="C114" s="784" t="s">
        <v>1769</v>
      </c>
      <c r="D114" s="752"/>
      <c r="E114" s="753" t="s">
        <v>1204</v>
      </c>
      <c r="F114" s="754" t="s">
        <v>1107</v>
      </c>
      <c r="G114" s="785">
        <f>+InputY!G106/1000</f>
        <v>4.0080799999999996</v>
      </c>
      <c r="H114" s="785">
        <f>+InputY!H106/1000</f>
        <v>5.0145799999999996</v>
      </c>
      <c r="I114" s="785">
        <f>+InputY!I106/1000</f>
        <v>5.70343</v>
      </c>
      <c r="J114" s="785">
        <f>+InputY!J106/1000</f>
        <v>5.94815</v>
      </c>
      <c r="K114" s="785">
        <f>+InputY!K106/1000</f>
        <v>5.6471299999999998</v>
      </c>
      <c r="L114" s="785">
        <f>+InputY!L106/1000</f>
        <v>6.5773599999999997</v>
      </c>
      <c r="M114" s="785">
        <f>+InputY!M106/1000</f>
        <v>7.2191700000000001</v>
      </c>
      <c r="N114" s="785">
        <f>+InputY!N106/1000</f>
        <v>7.62826</v>
      </c>
      <c r="O114" s="785">
        <f>+InputY!O106/1000</f>
        <v>8.4142499999999991</v>
      </c>
      <c r="P114" s="785">
        <f>+InputY!P106/1000</f>
        <v>9.1174400000000002</v>
      </c>
      <c r="Q114" s="785">
        <f>+InputY!Q106/1000</f>
        <v>10.468870000000001</v>
      </c>
      <c r="R114" s="785">
        <f>+InputY!R106/1000</f>
        <v>11.42427</v>
      </c>
      <c r="S114" s="785">
        <f>+InputY!S106/1000</f>
        <v>13.70792</v>
      </c>
      <c r="T114" s="785">
        <f>+InputY!T106/1000</f>
        <v>14.882709999999999</v>
      </c>
      <c r="U114" s="785">
        <f>+InputY!U106/1000</f>
        <v>12.226559999999999</v>
      </c>
      <c r="V114" s="2099">
        <f>+InputY!V106/1000</f>
        <v>13.627139999999999</v>
      </c>
      <c r="W114" s="2099">
        <f>+InputY!W106/1000</f>
        <v>15.734590000000001</v>
      </c>
      <c r="X114" s="2099">
        <f>+InputY!X106/1000</f>
        <v>17.053639999999998</v>
      </c>
      <c r="Y114" s="2099">
        <f>+InputY!Y106/1000</f>
        <v>17.805409999999998</v>
      </c>
      <c r="Z114" s="2099">
        <f>+InputY!Z106/1000</f>
        <v>18.28246</v>
      </c>
      <c r="AA114" s="2099">
        <f>+InputY!AA106/1000</f>
        <v>17.924569999999999</v>
      </c>
      <c r="AB114" s="2099">
        <f>+InputY!AB106/1000</f>
        <v>17.732099999999999</v>
      </c>
      <c r="AC114" s="2232">
        <f>+AC107+AC108+AC109</f>
        <v>19.000424299999999</v>
      </c>
      <c r="AD114" s="2232">
        <f ca="1">+AD107+AD108+AD109</f>
        <v>19.951920099949326</v>
      </c>
      <c r="AE114" s="2232">
        <f ca="1">+AE107+AE108+AE109</f>
        <v>21.000859178637718</v>
      </c>
    </row>
    <row r="115" spans="1:113" s="1972" customFormat="1" ht="12.75" customHeight="1">
      <c r="A115" s="998"/>
      <c r="B115" s="998"/>
      <c r="C115" s="1595"/>
      <c r="D115" s="1011"/>
      <c r="E115" s="1973" t="s">
        <v>737</v>
      </c>
      <c r="F115" s="1974"/>
      <c r="G115" s="1002">
        <f t="shared" ref="G115:Z115" si="99">ABS(+G107+G108+G109-G114)</f>
        <v>0</v>
      </c>
      <c r="H115" s="1002">
        <f t="shared" si="99"/>
        <v>0</v>
      </c>
      <c r="I115" s="1002">
        <f t="shared" si="99"/>
        <v>1.0000000000509601E-5</v>
      </c>
      <c r="J115" s="1002">
        <f t="shared" si="99"/>
        <v>9.9999999987332444E-6</v>
      </c>
      <c r="K115" s="1002">
        <f t="shared" si="99"/>
        <v>8.8817841970012523E-16</v>
      </c>
      <c r="L115" s="1002">
        <f t="shared" si="99"/>
        <v>3.0000000000640625E-5</v>
      </c>
      <c r="M115" s="1002">
        <f t="shared" si="99"/>
        <v>1.0000000000509601E-5</v>
      </c>
      <c r="N115" s="1002">
        <f t="shared" si="99"/>
        <v>2.0000000000131024E-5</v>
      </c>
      <c r="O115" s="1002">
        <f t="shared" si="99"/>
        <v>9.9999999996214228E-6</v>
      </c>
      <c r="P115" s="1002">
        <f t="shared" si="99"/>
        <v>9.9999999996214228E-6</v>
      </c>
      <c r="Q115" s="1002">
        <f t="shared" si="99"/>
        <v>1.7763568394002505E-15</v>
      </c>
      <c r="R115" s="1002">
        <f t="shared" si="99"/>
        <v>1.000000000139778E-5</v>
      </c>
      <c r="S115" s="1002">
        <f t="shared" si="99"/>
        <v>1.000000000139778E-5</v>
      </c>
      <c r="T115" s="2906">
        <f t="shared" si="99"/>
        <v>9.9999999996214228E-6</v>
      </c>
      <c r="U115" s="3146">
        <f>ABS(+U107+U108+U109-U114)</f>
        <v>1.9999999999242846E-5</v>
      </c>
      <c r="V115" s="3146">
        <f>ABS(+V107+V108+V109-V114)</f>
        <v>9.9999999996214228E-6</v>
      </c>
      <c r="W115" s="3146">
        <f t="shared" si="99"/>
        <v>9.9999999996214228E-6</v>
      </c>
      <c r="X115" s="3125">
        <f t="shared" si="99"/>
        <v>9.9999999960687092E-6</v>
      </c>
      <c r="Y115" s="3125">
        <f t="shared" si="99"/>
        <v>9.9999999996214228E-6</v>
      </c>
      <c r="Z115" s="3125">
        <f t="shared" si="99"/>
        <v>9.9999999996214228E-6</v>
      </c>
      <c r="AA115" s="3125">
        <f>ABS(+AA107+AA108+AA109-AA114)</f>
        <v>1.0000000003174137E-5</v>
      </c>
      <c r="AB115" s="3125">
        <f>ABS(+AB107+AB108+AB109-AB114)</f>
        <v>9.9999999960687092E-6</v>
      </c>
      <c r="AC115" s="2906">
        <f>ABS(+AC107+AC108+AC109-AC114)</f>
        <v>0</v>
      </c>
      <c r="AD115" s="2906">
        <f ca="1">ABS(+AD107+AD108+AD109-AD114)</f>
        <v>0</v>
      </c>
      <c r="AE115" s="2906">
        <f ca="1">ABS(+AE107+AE108+AE109-AE114)</f>
        <v>0</v>
      </c>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row>
    <row r="116" spans="1:113" ht="12.75" customHeight="1">
      <c r="A116" s="664"/>
      <c r="B116" s="664"/>
      <c r="C116" s="774"/>
      <c r="E116" s="786"/>
      <c r="F116" s="787"/>
      <c r="G116" s="703"/>
      <c r="H116" s="788"/>
      <c r="I116" s="703"/>
      <c r="J116" s="703"/>
      <c r="K116" s="703"/>
      <c r="L116" s="703"/>
      <c r="M116" s="703"/>
      <c r="N116" s="703"/>
      <c r="O116" s="703"/>
      <c r="P116" s="703"/>
      <c r="Q116" s="703"/>
      <c r="R116" s="2254"/>
      <c r="S116" s="3124"/>
      <c r="T116" s="2254"/>
      <c r="U116" s="2254"/>
      <c r="V116" s="2254"/>
      <c r="W116" s="2254"/>
      <c r="X116" s="2254"/>
      <c r="Y116" s="2254"/>
      <c r="Z116" s="2254"/>
      <c r="AA116" s="2254"/>
      <c r="AB116" s="3684"/>
      <c r="AC116" s="2270"/>
      <c r="AD116" s="2867"/>
      <c r="AE116" s="2254"/>
    </row>
    <row r="117" spans="1:113" ht="12.75" customHeight="1">
      <c r="A117" s="664"/>
      <c r="B117" s="664"/>
      <c r="C117" s="774"/>
      <c r="D117" s="742"/>
      <c r="E117" s="743" t="s">
        <v>1311</v>
      </c>
      <c r="F117" s="744"/>
      <c r="G117" s="745">
        <f>+InputY!$G$3</f>
        <v>1995</v>
      </c>
      <c r="H117" s="745">
        <f>+G117+1</f>
        <v>1996</v>
      </c>
      <c r="I117" s="745">
        <f t="shared" ref="I117:O117" si="100">+H117+1</f>
        <v>1997</v>
      </c>
      <c r="J117" s="745">
        <f t="shared" si="100"/>
        <v>1998</v>
      </c>
      <c r="K117" s="745">
        <f>+J117+1</f>
        <v>1999</v>
      </c>
      <c r="L117" s="745">
        <f t="shared" si="100"/>
        <v>2000</v>
      </c>
      <c r="M117" s="745">
        <f t="shared" si="100"/>
        <v>2001</v>
      </c>
      <c r="N117" s="745">
        <f t="shared" si="100"/>
        <v>2002</v>
      </c>
      <c r="O117" s="745">
        <f t="shared" si="100"/>
        <v>2003</v>
      </c>
      <c r="P117" s="745">
        <f t="shared" ref="P117:W117" si="101">+O117+1</f>
        <v>2004</v>
      </c>
      <c r="Q117" s="745">
        <f t="shared" si="101"/>
        <v>2005</v>
      </c>
      <c r="R117" s="745">
        <f t="shared" si="101"/>
        <v>2006</v>
      </c>
      <c r="S117" s="745">
        <f t="shared" si="101"/>
        <v>2007</v>
      </c>
      <c r="T117" s="2211">
        <f t="shared" si="101"/>
        <v>2008</v>
      </c>
      <c r="U117" s="2211">
        <f t="shared" si="101"/>
        <v>2009</v>
      </c>
      <c r="V117" s="2211">
        <f t="shared" si="101"/>
        <v>2010</v>
      </c>
      <c r="W117" s="2211">
        <f t="shared" si="101"/>
        <v>2011</v>
      </c>
      <c r="X117" s="2211">
        <f t="shared" ref="X117:AE117" si="102">+W117+1</f>
        <v>2012</v>
      </c>
      <c r="Y117" s="2211">
        <f t="shared" si="102"/>
        <v>2013</v>
      </c>
      <c r="Z117" s="2211">
        <f t="shared" si="102"/>
        <v>2014</v>
      </c>
      <c r="AA117" s="2211">
        <f t="shared" si="102"/>
        <v>2015</v>
      </c>
      <c r="AB117" s="2211">
        <f t="shared" si="102"/>
        <v>2016</v>
      </c>
      <c r="AC117" s="2211">
        <f t="shared" si="102"/>
        <v>2017</v>
      </c>
      <c r="AD117" s="2211">
        <f t="shared" si="102"/>
        <v>2018</v>
      </c>
      <c r="AE117" s="2211">
        <f t="shared" si="102"/>
        <v>2019</v>
      </c>
    </row>
    <row r="118" spans="1:113" ht="12.75" customHeight="1">
      <c r="A118" s="664"/>
      <c r="B118" s="664"/>
      <c r="C118" s="794" t="s">
        <v>1767</v>
      </c>
      <c r="D118" s="689" t="s">
        <v>685</v>
      </c>
      <c r="E118" s="738" t="s">
        <v>1204</v>
      </c>
      <c r="F118" s="733" t="s">
        <v>124</v>
      </c>
      <c r="G118" s="739"/>
      <c r="H118" s="739">
        <f t="shared" ref="H118:P118" si="103">(H107/G107-1)*100</f>
        <v>25.031642775144981</v>
      </c>
      <c r="I118" s="739">
        <f t="shared" si="103"/>
        <v>12.952421310356188</v>
      </c>
      <c r="J118" s="739">
        <f t="shared" si="103"/>
        <v>7.372005969303097</v>
      </c>
      <c r="K118" s="739">
        <f>(K107/J107-1)*100</f>
        <v>-2.4683689275911247</v>
      </c>
      <c r="L118" s="739">
        <f t="shared" si="103"/>
        <v>0.19066877370919055</v>
      </c>
      <c r="M118" s="739">
        <f t="shared" si="103"/>
        <v>-5.1529598728645265</v>
      </c>
      <c r="N118" s="739">
        <f t="shared" si="103"/>
        <v>-1.7136514053533225</v>
      </c>
      <c r="O118" s="739">
        <f t="shared" si="103"/>
        <v>3.8527269550245213</v>
      </c>
      <c r="P118" s="739">
        <f t="shared" si="103"/>
        <v>4.637248183060505</v>
      </c>
      <c r="Q118" s="739">
        <f t="shared" ref="Q118:X120" si="104">(Q107/P107-1)*100</f>
        <v>11.833131355915594</v>
      </c>
      <c r="R118" s="739">
        <f t="shared" si="104"/>
        <v>4.0788915346605892</v>
      </c>
      <c r="S118" s="739">
        <f t="shared" si="104"/>
        <v>7.5904199041720855</v>
      </c>
      <c r="T118" s="3144">
        <f t="shared" ref="T118:AB118" si="105">(T107/S107-1)*100</f>
        <v>6.8062597671847636</v>
      </c>
      <c r="U118" s="3144">
        <f t="shared" si="105"/>
        <v>-17.247142580679199</v>
      </c>
      <c r="V118" s="3144">
        <f t="shared" si="105"/>
        <v>-6.7762258080518389</v>
      </c>
      <c r="W118" s="3144">
        <f t="shared" si="105"/>
        <v>7.8183794631658365</v>
      </c>
      <c r="X118" s="3144">
        <f t="shared" si="105"/>
        <v>15.295345262771987</v>
      </c>
      <c r="Y118" s="3144">
        <f t="shared" si="105"/>
        <v>3.5889878185998647</v>
      </c>
      <c r="Z118" s="3144">
        <f t="shared" si="105"/>
        <v>4.1255158001617387</v>
      </c>
      <c r="AA118" s="3144">
        <f t="shared" si="105"/>
        <v>6.9574880021317398</v>
      </c>
      <c r="AB118" s="3144">
        <f t="shared" si="105"/>
        <v>0.14656189125794583</v>
      </c>
      <c r="AC118" s="3269">
        <v>0</v>
      </c>
      <c r="AD118" s="3269">
        <v>0</v>
      </c>
      <c r="AE118" s="3269">
        <v>0</v>
      </c>
    </row>
    <row r="119" spans="1:113" ht="12.75" customHeight="1">
      <c r="A119" s="664"/>
      <c r="B119" s="664"/>
      <c r="C119" s="795" t="s">
        <v>1767</v>
      </c>
      <c r="D119" s="674" t="s">
        <v>686</v>
      </c>
      <c r="E119" s="783" t="s">
        <v>1204</v>
      </c>
      <c r="F119" s="704" t="s">
        <v>1160</v>
      </c>
      <c r="G119" s="706"/>
      <c r="H119" s="706">
        <f t="shared" ref="H119:P120" si="106">(H108/G108-1)*100</f>
        <v>27.608025084763032</v>
      </c>
      <c r="I119" s="706">
        <f t="shared" si="106"/>
        <v>14.996963449521372</v>
      </c>
      <c r="J119" s="706">
        <f t="shared" si="106"/>
        <v>1.8963306800454216</v>
      </c>
      <c r="K119" s="706">
        <f>(K108/J108-1)*100</f>
        <v>-8.244083238712852</v>
      </c>
      <c r="L119" s="706">
        <f t="shared" si="106"/>
        <v>34.176641310447067</v>
      </c>
      <c r="M119" s="706">
        <f t="shared" si="106"/>
        <v>21.417295357107236</v>
      </c>
      <c r="N119" s="706">
        <f t="shared" si="106"/>
        <v>10.361109400340784</v>
      </c>
      <c r="O119" s="706">
        <f t="shared" si="106"/>
        <v>13.795569444961187</v>
      </c>
      <c r="P119" s="706">
        <f t="shared" si="106"/>
        <v>10.28229028930121</v>
      </c>
      <c r="Q119" s="706">
        <f t="shared" si="104"/>
        <v>16.470925377853995</v>
      </c>
      <c r="R119" s="706">
        <f t="shared" si="104"/>
        <v>10.911965293479643</v>
      </c>
      <c r="S119" s="706">
        <f t="shared" si="104"/>
        <v>25.017370960853214</v>
      </c>
      <c r="T119" s="706">
        <f t="shared" si="104"/>
        <v>8.6467192885842934</v>
      </c>
      <c r="U119" s="706">
        <f t="shared" si="104"/>
        <v>-19.40306072643444</v>
      </c>
      <c r="V119" s="706">
        <f t="shared" si="104"/>
        <v>18.564404288572579</v>
      </c>
      <c r="W119" s="706">
        <f t="shared" si="104"/>
        <v>17.96164855047553</v>
      </c>
      <c r="X119" s="706">
        <f t="shared" si="104"/>
        <v>6.637422371885493</v>
      </c>
      <c r="Y119" s="706">
        <f t="shared" ref="Y119:AE119" si="107">(Y108/X108-1)*100</f>
        <v>4.5335569736098202</v>
      </c>
      <c r="Z119" s="706">
        <f t="shared" si="107"/>
        <v>2.1574887613675209</v>
      </c>
      <c r="AA119" s="706">
        <f t="shared" si="107"/>
        <v>-4.5899728569255949</v>
      </c>
      <c r="AB119" s="706">
        <f t="shared" si="107"/>
        <v>-1.82051307598039</v>
      </c>
      <c r="AC119" s="706">
        <f t="shared" si="107"/>
        <v>9.579592722492535</v>
      </c>
      <c r="AD119" s="706">
        <f t="shared" ca="1" si="107"/>
        <v>6.6094783254695422</v>
      </c>
      <c r="AE119" s="706">
        <f t="shared" ca="1" si="107"/>
        <v>6.928374002113169</v>
      </c>
    </row>
    <row r="120" spans="1:113" ht="12.75" customHeight="1">
      <c r="A120" s="664"/>
      <c r="B120" s="664"/>
      <c r="C120" s="795" t="s">
        <v>1767</v>
      </c>
      <c r="D120" s="674" t="s">
        <v>687</v>
      </c>
      <c r="E120" s="783" t="s">
        <v>1204</v>
      </c>
      <c r="F120" s="704" t="s">
        <v>1914</v>
      </c>
      <c r="G120" s="706"/>
      <c r="H120" s="706">
        <f>(H109/G109-1)*100</f>
        <v>11.437025971041169</v>
      </c>
      <c r="I120" s="706">
        <f t="shared" si="106"/>
        <v>9.8997138363968951</v>
      </c>
      <c r="J120" s="706">
        <f t="shared" si="106"/>
        <v>3.1222876445611947</v>
      </c>
      <c r="K120" s="706">
        <f>(K109/J109-1)*100</f>
        <v>0.98498635122841183</v>
      </c>
      <c r="L120" s="706">
        <f t="shared" si="106"/>
        <v>1.3020070731872835</v>
      </c>
      <c r="M120" s="706">
        <f t="shared" si="106"/>
        <v>-0.40915256498642583</v>
      </c>
      <c r="N120" s="706">
        <f t="shared" si="106"/>
        <v>-0.94670328443507978</v>
      </c>
      <c r="O120" s="706">
        <f t="shared" si="106"/>
        <v>6.3431237743163171</v>
      </c>
      <c r="P120" s="706">
        <f>(P109/O109-1)*100</f>
        <v>5.1084214765670488</v>
      </c>
      <c r="Q120" s="706">
        <f t="shared" si="104"/>
        <v>10.00665497005253</v>
      </c>
      <c r="R120" s="706">
        <f t="shared" si="104"/>
        <v>12.355863535536859</v>
      </c>
      <c r="S120" s="706">
        <f t="shared" si="104"/>
        <v>15.687970108828676</v>
      </c>
      <c r="T120" s="706">
        <f t="shared" si="104"/>
        <v>15.451878596412104</v>
      </c>
      <c r="U120" s="706">
        <f t="shared" ref="U120:AB120" si="108">(U109/T109-1)*100</f>
        <v>-0.10017102369900277</v>
      </c>
      <c r="V120" s="706">
        <f t="shared" si="108"/>
        <v>-0.26779818533100297</v>
      </c>
      <c r="W120" s="706">
        <f t="shared" si="108"/>
        <v>8.9689672507019313</v>
      </c>
      <c r="X120" s="706">
        <f t="shared" si="108"/>
        <v>9.9072844701487703</v>
      </c>
      <c r="Y120" s="706">
        <f t="shared" si="108"/>
        <v>5.5088606558215902</v>
      </c>
      <c r="Z120" s="706">
        <f t="shared" si="108"/>
        <v>4.7040558897728735</v>
      </c>
      <c r="AA120" s="706">
        <f t="shared" si="108"/>
        <v>2.2593320235757997</v>
      </c>
      <c r="AB120" s="706">
        <f t="shared" si="108"/>
        <v>3.5814619469667575</v>
      </c>
      <c r="AC120" s="3274">
        <v>3.6</v>
      </c>
      <c r="AD120" s="3274">
        <v>2</v>
      </c>
      <c r="AE120" s="3274">
        <v>1</v>
      </c>
    </row>
    <row r="121" spans="1:113" ht="12.75" customHeight="1">
      <c r="A121" s="664"/>
      <c r="B121" s="664"/>
      <c r="C121" s="795"/>
      <c r="D121" s="2900" t="s">
        <v>727</v>
      </c>
      <c r="E121" s="2900"/>
      <c r="F121" s="2900"/>
      <c r="G121" s="2901"/>
      <c r="H121" s="2901"/>
      <c r="I121" s="2901"/>
      <c r="J121" s="2901"/>
      <c r="K121" s="2901"/>
      <c r="L121" s="2901"/>
      <c r="M121" s="2901"/>
      <c r="N121" s="2901"/>
      <c r="O121" s="2901"/>
      <c r="P121" s="2901"/>
      <c r="Q121" s="2901"/>
      <c r="R121" s="2901"/>
      <c r="S121" s="2901"/>
      <c r="T121" s="2914"/>
      <c r="U121" s="2914"/>
      <c r="V121" s="2914"/>
      <c r="W121" s="2914"/>
      <c r="X121" s="2914"/>
      <c r="Y121" s="2914"/>
      <c r="Z121" s="2914"/>
      <c r="AA121" s="2914"/>
      <c r="AB121" s="2914"/>
      <c r="AC121" s="2914"/>
      <c r="AD121" s="2914"/>
      <c r="AE121" s="2914"/>
    </row>
    <row r="122" spans="1:113" ht="12.75" customHeight="1">
      <c r="A122" s="664"/>
      <c r="B122" s="664"/>
      <c r="C122" s="795"/>
      <c r="D122" s="2900" t="s">
        <v>687</v>
      </c>
      <c r="E122" s="2900" t="s">
        <v>731</v>
      </c>
      <c r="F122" s="2900"/>
      <c r="G122" s="1005"/>
      <c r="H122" s="1005">
        <f t="shared" ref="H122:X123" si="109">(H112/G112-1)*100</f>
        <v>11.437025971041148</v>
      </c>
      <c r="I122" s="1005">
        <f t="shared" si="109"/>
        <v>9.9022918868751475</v>
      </c>
      <c r="J122" s="1005">
        <f t="shared" si="109"/>
        <v>3.1198686371100237</v>
      </c>
      <c r="K122" s="1005">
        <f>(K112/J112-1)*100</f>
        <v>0.98498635122836742</v>
      </c>
      <c r="L122" s="1005">
        <f t="shared" si="109"/>
        <v>1.2997544657941562</v>
      </c>
      <c r="M122" s="1005">
        <f t="shared" si="109"/>
        <v>-0.3958194351790012</v>
      </c>
      <c r="N122" s="1005">
        <f t="shared" si="109"/>
        <v>-0.93543489908912703</v>
      </c>
      <c r="O122" s="1005">
        <f t="shared" si="109"/>
        <v>6.292114574177976</v>
      </c>
      <c r="P122" s="1005">
        <f t="shared" si="109"/>
        <v>5.1118414078235919</v>
      </c>
      <c r="Q122" s="1005">
        <f t="shared" si="109"/>
        <v>9.8495239632080178</v>
      </c>
      <c r="R122" s="1005">
        <f t="shared" si="109"/>
        <v>11.588534493839408</v>
      </c>
      <c r="S122" s="1005">
        <f t="shared" si="109"/>
        <v>15.593220338983071</v>
      </c>
      <c r="T122" s="1005">
        <f t="shared" si="109"/>
        <v>16.076360219798968</v>
      </c>
      <c r="U122" s="1005">
        <f t="shared" si="109"/>
        <v>0.19745152626351459</v>
      </c>
      <c r="V122" s="1005">
        <f t="shared" si="109"/>
        <v>-0.5397796817625311</v>
      </c>
      <c r="W122" s="1005">
        <f t="shared" si="109"/>
        <v>9.0033104025400323</v>
      </c>
      <c r="X122" s="1005">
        <f t="shared" si="109"/>
        <v>8.5678803274061401</v>
      </c>
      <c r="Y122" s="1005">
        <f>(Y112/X112-1)*100</f>
        <v>6.7208102824341864</v>
      </c>
      <c r="Z122" s="1005">
        <f>(Z112/Y112-1)*100</f>
        <v>4.6449764681808947</v>
      </c>
      <c r="AA122" s="1005">
        <f>(AA112/Z112-1)*100</f>
        <v>2.7990390524610387</v>
      </c>
      <c r="AB122" s="1005">
        <f>(AB112/AA112-1)*100</f>
        <v>3.4221014492753499</v>
      </c>
      <c r="AC122" s="2259">
        <f>+AC120</f>
        <v>3.6</v>
      </c>
      <c r="AD122" s="2259">
        <f>+AD120</f>
        <v>2</v>
      </c>
      <c r="AE122" s="2259">
        <f>+AE120</f>
        <v>1</v>
      </c>
    </row>
    <row r="123" spans="1:113" ht="12.75" customHeight="1">
      <c r="A123" s="664"/>
      <c r="B123" s="664"/>
      <c r="C123" s="796"/>
      <c r="D123" s="2902" t="s">
        <v>687</v>
      </c>
      <c r="E123" s="2902" t="s">
        <v>730</v>
      </c>
      <c r="F123" s="2902"/>
      <c r="G123" s="2903"/>
      <c r="H123" s="2903" t="e">
        <f t="shared" ref="H123:S123" si="110">(H113/G113-1)*100</f>
        <v>#DIV/0!</v>
      </c>
      <c r="I123" s="2903" t="e">
        <f t="shared" si="110"/>
        <v>#DIV/0!</v>
      </c>
      <c r="J123" s="2903">
        <f t="shared" si="110"/>
        <v>-100</v>
      </c>
      <c r="K123" s="2903" t="e">
        <f>(K113/J113-1)*100</f>
        <v>#DIV/0!</v>
      </c>
      <c r="L123" s="2903" t="e">
        <f t="shared" si="110"/>
        <v>#DIV/0!</v>
      </c>
      <c r="M123" s="2903">
        <f t="shared" si="110"/>
        <v>-599.99999999111822</v>
      </c>
      <c r="N123" s="2903">
        <f t="shared" si="110"/>
        <v>99.999999998223643</v>
      </c>
      <c r="O123" s="2903">
        <f t="shared" si="110"/>
        <v>-220.00000000031088</v>
      </c>
      <c r="P123" s="2903">
        <f t="shared" si="110"/>
        <v>-8.3333333330712023</v>
      </c>
      <c r="Q123" s="2903">
        <f t="shared" si="110"/>
        <v>718.18181817988216</v>
      </c>
      <c r="R123" s="2903">
        <f t="shared" si="110"/>
        <v>476.66666666683852</v>
      </c>
      <c r="S123" s="2903">
        <f t="shared" si="110"/>
        <v>26.782273603084473</v>
      </c>
      <c r="T123" s="2903">
        <f t="shared" si="109"/>
        <v>-51.215805471119992</v>
      </c>
      <c r="U123" s="2903">
        <f t="shared" si="109"/>
        <v>-75.70093457943689</v>
      </c>
      <c r="V123" s="3170">
        <f t="shared" ref="V123:AE123" si="111">(V113/U113-1)*100</f>
        <v>284.61538461534303</v>
      </c>
      <c r="W123" s="3170">
        <f t="shared" si="111"/>
        <v>-0.33333333333550597</v>
      </c>
      <c r="X123" s="3170">
        <f t="shared" si="111"/>
        <v>406.6889632107052</v>
      </c>
      <c r="Y123" s="2915">
        <f t="shared" si="111"/>
        <v>-71.419141914192409</v>
      </c>
      <c r="Z123" s="2915">
        <f t="shared" si="111"/>
        <v>18.706697459563504</v>
      </c>
      <c r="AA123" s="2915">
        <f t="shared" si="111"/>
        <v>-110.50583657586421</v>
      </c>
      <c r="AB123" s="2915">
        <f t="shared" si="111"/>
        <v>-322.22222222251918</v>
      </c>
      <c r="AC123" s="2915">
        <f t="shared" si="111"/>
        <v>3.600000000010728</v>
      </c>
      <c r="AD123" s="2915">
        <f t="shared" si="111"/>
        <v>2.0000000000007123</v>
      </c>
      <c r="AE123" s="2915">
        <f t="shared" si="111"/>
        <v>1.0000000000029763</v>
      </c>
    </row>
    <row r="124" spans="1:113" ht="12.75" customHeight="1">
      <c r="A124" s="664"/>
      <c r="B124" s="664"/>
      <c r="C124" s="774" t="s">
        <v>1769</v>
      </c>
      <c r="D124" s="717"/>
      <c r="E124" s="722" t="s">
        <v>1204</v>
      </c>
      <c r="F124" s="723" t="s">
        <v>1107</v>
      </c>
      <c r="G124" s="721"/>
      <c r="H124" s="721">
        <f t="shared" ref="H124:P124" si="112">(H114/G114-1)*100</f>
        <v>25.111774216083504</v>
      </c>
      <c r="I124" s="721">
        <f t="shared" si="112"/>
        <v>13.736943073996244</v>
      </c>
      <c r="J124" s="721">
        <f t="shared" si="112"/>
        <v>4.2907513548864573</v>
      </c>
      <c r="K124" s="721">
        <f>(K114/J114-1)*100</f>
        <v>-5.060733169136622</v>
      </c>
      <c r="L124" s="721">
        <f t="shared" si="112"/>
        <v>16.472615293078086</v>
      </c>
      <c r="M124" s="721">
        <f t="shared" si="112"/>
        <v>9.7578663779996901</v>
      </c>
      <c r="N124" s="721">
        <f t="shared" si="112"/>
        <v>5.6667179190959649</v>
      </c>
      <c r="O124" s="721">
        <f t="shared" si="112"/>
        <v>10.303660336695387</v>
      </c>
      <c r="P124" s="721">
        <f t="shared" si="112"/>
        <v>8.3571322458924069</v>
      </c>
      <c r="Q124" s="721">
        <f t="shared" ref="Q124:V124" si="113">(Q114/P114-1)*100</f>
        <v>14.822472097430861</v>
      </c>
      <c r="R124" s="721">
        <f t="shared" si="113"/>
        <v>9.1261043455501891</v>
      </c>
      <c r="S124" s="721">
        <f t="shared" si="113"/>
        <v>19.989461033396449</v>
      </c>
      <c r="T124" s="721">
        <f t="shared" si="113"/>
        <v>8.5701550636420478</v>
      </c>
      <c r="U124" s="721">
        <f t="shared" si="113"/>
        <v>-17.847220029147913</v>
      </c>
      <c r="V124" s="2260">
        <f t="shared" si="113"/>
        <v>11.455225345477382</v>
      </c>
      <c r="W124" s="2260">
        <f t="shared" ref="W124:AE124" si="114">(W114/V114-1)*100</f>
        <v>15.465093922862771</v>
      </c>
      <c r="X124" s="2260">
        <f t="shared" si="114"/>
        <v>8.3831227887094517</v>
      </c>
      <c r="Y124" s="2260">
        <f t="shared" si="114"/>
        <v>4.4082670913658362</v>
      </c>
      <c r="Z124" s="2260">
        <f t="shared" si="114"/>
        <v>2.6792418708695864</v>
      </c>
      <c r="AA124" s="2260">
        <f t="shared" si="114"/>
        <v>-1.9575593218855714</v>
      </c>
      <c r="AB124" s="2260">
        <f t="shared" si="114"/>
        <v>-1.0737775020544404</v>
      </c>
      <c r="AC124" s="2260">
        <f t="shared" si="114"/>
        <v>7.1527021616164976</v>
      </c>
      <c r="AD124" s="2260">
        <f t="shared" ca="1" si="114"/>
        <v>5.0077608001065865</v>
      </c>
      <c r="AE124" s="2260">
        <f t="shared" ca="1" si="114"/>
        <v>5.2573339981000444</v>
      </c>
    </row>
    <row r="125" spans="1:113" ht="12.75" customHeight="1">
      <c r="A125" s="664"/>
      <c r="B125" s="664"/>
      <c r="C125" s="774"/>
      <c r="E125" s="786"/>
      <c r="F125" s="787"/>
      <c r="G125" s="703"/>
      <c r="H125" s="788"/>
      <c r="I125" s="703"/>
      <c r="J125" s="703"/>
      <c r="K125" s="703"/>
      <c r="L125" s="703"/>
      <c r="M125" s="703"/>
      <c r="N125" s="703"/>
      <c r="O125" s="703"/>
      <c r="P125" s="703"/>
      <c r="Q125" s="703"/>
      <c r="R125" s="703"/>
      <c r="S125" s="703"/>
      <c r="T125" s="2254"/>
      <c r="U125" s="2254"/>
      <c r="V125" s="2254"/>
      <c r="W125" s="2254"/>
      <c r="X125" s="2254"/>
      <c r="Y125" s="2254"/>
      <c r="Z125" s="2254"/>
      <c r="AA125" s="2254"/>
      <c r="AB125" s="2254"/>
      <c r="AC125" s="2254"/>
      <c r="AD125" s="2254"/>
      <c r="AE125" s="2254"/>
    </row>
    <row r="126" spans="1:113" ht="12.75" customHeight="1">
      <c r="A126" s="664"/>
      <c r="B126" s="664"/>
      <c r="C126" s="774"/>
      <c r="D126" s="818"/>
      <c r="E126" s="819" t="s">
        <v>512</v>
      </c>
      <c r="F126" s="820"/>
      <c r="G126" s="821">
        <f>+InputY!$G$3</f>
        <v>1995</v>
      </c>
      <c r="H126" s="821">
        <f>+G126+1</f>
        <v>1996</v>
      </c>
      <c r="I126" s="821">
        <f t="shared" ref="I126:O126" si="115">+H126+1</f>
        <v>1997</v>
      </c>
      <c r="J126" s="821">
        <f t="shared" si="115"/>
        <v>1998</v>
      </c>
      <c r="K126" s="821">
        <f>+J126+1</f>
        <v>1999</v>
      </c>
      <c r="L126" s="821">
        <f t="shared" si="115"/>
        <v>2000</v>
      </c>
      <c r="M126" s="821">
        <f t="shared" si="115"/>
        <v>2001</v>
      </c>
      <c r="N126" s="821">
        <f t="shared" si="115"/>
        <v>2002</v>
      </c>
      <c r="O126" s="821">
        <f t="shared" si="115"/>
        <v>2003</v>
      </c>
      <c r="P126" s="821">
        <f t="shared" ref="P126:V126" si="116">+O126+1</f>
        <v>2004</v>
      </c>
      <c r="Q126" s="821">
        <f t="shared" si="116"/>
        <v>2005</v>
      </c>
      <c r="R126" s="821">
        <f t="shared" si="116"/>
        <v>2006</v>
      </c>
      <c r="S126" s="821">
        <f>+R126+1</f>
        <v>2007</v>
      </c>
      <c r="T126" s="821">
        <f t="shared" si="116"/>
        <v>2008</v>
      </c>
      <c r="U126" s="821">
        <f t="shared" si="116"/>
        <v>2009</v>
      </c>
      <c r="V126" s="821">
        <f t="shared" si="116"/>
        <v>2010</v>
      </c>
      <c r="W126" s="821">
        <f t="shared" ref="W126:AE126" si="117">+V126+1</f>
        <v>2011</v>
      </c>
      <c r="X126" s="821">
        <f t="shared" si="117"/>
        <v>2012</v>
      </c>
      <c r="Y126" s="821">
        <f t="shared" si="117"/>
        <v>2013</v>
      </c>
      <c r="Z126" s="821">
        <f t="shared" si="117"/>
        <v>2014</v>
      </c>
      <c r="AA126" s="821">
        <f t="shared" si="117"/>
        <v>2015</v>
      </c>
      <c r="AB126" s="821">
        <f t="shared" si="117"/>
        <v>2016</v>
      </c>
      <c r="AC126" s="821">
        <f t="shared" si="117"/>
        <v>2017</v>
      </c>
      <c r="AD126" s="821">
        <f t="shared" si="117"/>
        <v>2018</v>
      </c>
      <c r="AE126" s="821">
        <f t="shared" si="117"/>
        <v>2019</v>
      </c>
    </row>
    <row r="127" spans="1:113" ht="12.75" customHeight="1">
      <c r="A127" s="664"/>
      <c r="B127" s="664"/>
      <c r="C127" s="822" t="s">
        <v>1767</v>
      </c>
      <c r="D127" s="823" t="s">
        <v>685</v>
      </c>
      <c r="E127" s="824" t="s">
        <v>1204</v>
      </c>
      <c r="F127" s="825" t="s">
        <v>124</v>
      </c>
      <c r="G127" s="838">
        <f>+G107/'VVP2'!G$341</f>
        <v>0.2187704857860038</v>
      </c>
      <c r="H127" s="838">
        <f>+H107/'VVP2'!H$341</f>
        <v>0.21863467210203671</v>
      </c>
      <c r="I127" s="838">
        <f>+I107/'VVP2'!I$341</f>
        <v>0.20461194404119978</v>
      </c>
      <c r="J127" s="838">
        <f>+J107/'VVP2'!J$341</f>
        <v>0.19780355645386716</v>
      </c>
      <c r="K127" s="838">
        <f>+K107/'VVP2'!K$341</f>
        <v>0.19762383496642566</v>
      </c>
      <c r="L127" s="838">
        <f>+L107/'VVP2'!L$341</f>
        <v>0.18828292258183235</v>
      </c>
      <c r="M127" s="838">
        <f>+M107/'VVP2'!M$341</f>
        <v>0.16818462336169168</v>
      </c>
      <c r="N127" s="838">
        <f>+N107/'VVP2'!N$341</f>
        <v>0.15434572827431872</v>
      </c>
      <c r="O127" s="838">
        <f>+O107/'VVP2'!O$341</f>
        <v>0.14619149436541304</v>
      </c>
      <c r="P127" s="838">
        <f>+P107/'VVP2'!P$341</f>
        <v>0.13980859449536454</v>
      </c>
      <c r="Q127" s="838">
        <f>+Q107/'VVP2'!Q$341</f>
        <v>0.13577099705509144</v>
      </c>
      <c r="R127" s="838">
        <f>+R107/'VVP2'!R$341</f>
        <v>0.12325253600828598</v>
      </c>
      <c r="S127" s="838">
        <f>+S107/'VVP2'!S$341</f>
        <v>0.10995239088918778</v>
      </c>
      <c r="T127" s="838">
        <f>+T107/'VVP2'!T$341</f>
        <v>0.10430605561244274</v>
      </c>
      <c r="U127" s="2909">
        <f>+U107/'VVP2'!U$341</f>
        <v>0.10477961241248318</v>
      </c>
      <c r="V127" s="2909">
        <f>+V107/'VVP2'!V$341</f>
        <v>9.3870840448328524E-2</v>
      </c>
      <c r="W127" s="2909">
        <f>+W107/'VVP2'!W$341</f>
        <v>9.0700271012414901E-2</v>
      </c>
      <c r="X127" s="2909">
        <f>+X107/'VVP2'!X$341</f>
        <v>9.8072235975972519E-2</v>
      </c>
      <c r="Y127" s="2909">
        <f>+Y107/'VVP2'!Y$341</f>
        <v>9.6910009110503098E-2</v>
      </c>
      <c r="Z127" s="2909">
        <f>+Z107/'VVP2'!Z$341</f>
        <v>9.6469125701290834E-2</v>
      </c>
      <c r="AA127" s="2909">
        <f>+AA107/'VVP2'!AA$341</f>
        <v>0.10081463429362157</v>
      </c>
      <c r="AB127" s="2909">
        <f>+AB107/'VVP2'!AB$341</f>
        <v>9.7720304373192318E-2</v>
      </c>
      <c r="AC127" s="2909">
        <f ca="1">+AC107/'VVP2'!AC$341</f>
        <v>9.0443193854125623E-2</v>
      </c>
      <c r="AD127" s="2909">
        <f ca="1">+AD107/'VVP2'!AD$341</f>
        <v>8.5468147604337102E-2</v>
      </c>
      <c r="AE127" s="2909">
        <f ca="1">+AE107/'VVP2'!AE$341</f>
        <v>8.0955089763490057E-2</v>
      </c>
    </row>
    <row r="128" spans="1:113" ht="12.75" customHeight="1">
      <c r="A128" s="664"/>
      <c r="B128" s="664"/>
      <c r="C128" s="826" t="s">
        <v>1767</v>
      </c>
      <c r="D128" s="674" t="s">
        <v>686</v>
      </c>
      <c r="E128" s="783" t="s">
        <v>1204</v>
      </c>
      <c r="F128" s="704" t="s">
        <v>1160</v>
      </c>
      <c r="G128" s="839">
        <f>+G108/'VVP2'!G$341</f>
        <v>0.25260382792004155</v>
      </c>
      <c r="H128" s="839">
        <f>+H108/'VVP2'!H$341</f>
        <v>0.25764889362424909</v>
      </c>
      <c r="I128" s="839">
        <f>+I108/'VVP2'!I$341</f>
        <v>0.2454884454050292</v>
      </c>
      <c r="J128" s="839">
        <f>+J108/'VVP2'!J$341</f>
        <v>0.22521724840193025</v>
      </c>
      <c r="K128" s="839">
        <f>+K108/'VVP2'!K$341</f>
        <v>0.21168762311124542</v>
      </c>
      <c r="L128" s="839">
        <f>+L108/'VVP2'!L$341</f>
        <v>0.27009510643932083</v>
      </c>
      <c r="M128" s="839">
        <f>+M108/'VVP2'!M$341</f>
        <v>0.30885088048063614</v>
      </c>
      <c r="N128" s="839">
        <f>+N108/'VVP2'!N$341</f>
        <v>0.31825851177825271</v>
      </c>
      <c r="O128" s="839">
        <f>+O108/'VVP2'!O$341</f>
        <v>0.33030486283092408</v>
      </c>
      <c r="P128" s="839">
        <f>+P108/'VVP2'!P$341</f>
        <v>0.3329248392891217</v>
      </c>
      <c r="Q128" s="839">
        <f>+Q108/'VVP2'!Q$341</f>
        <v>0.33671803393429783</v>
      </c>
      <c r="R128" s="839">
        <f>+R108/'VVP2'!R$341</f>
        <v>0.32573991307012939</v>
      </c>
      <c r="S128" s="839">
        <f>+S108/'VVP2'!S$341</f>
        <v>0.33765761521948889</v>
      </c>
      <c r="T128" s="839">
        <f>+T108/'VVP2'!T$341</f>
        <v>0.32583767939349673</v>
      </c>
      <c r="U128" s="2910">
        <f>+U108/'VVP2'!U$341</f>
        <v>0.31878958166418042</v>
      </c>
      <c r="V128" s="2910">
        <f>+V108/'VVP2'!V$341</f>
        <v>0.36323332022723265</v>
      </c>
      <c r="W128" s="2910">
        <f>+W108/'VVP2'!W$341</f>
        <v>0.38398264190422354</v>
      </c>
      <c r="X128" s="2910">
        <f>+X108/'VVP2'!X$341</f>
        <v>0.3840139040819851</v>
      </c>
      <c r="Y128" s="2910">
        <f>+Y108/'VVP2'!Y$341</f>
        <v>0.38292316999741122</v>
      </c>
      <c r="Z128" s="2910">
        <f>+Z108/'VVP2'!Z$341</f>
        <v>0.37397657204549956</v>
      </c>
      <c r="AA128" s="2910">
        <f>+AA108/'VVP2'!AA$341</f>
        <v>0.34862815520828627</v>
      </c>
      <c r="AB128" s="2910">
        <f>+AB108/'VVP2'!AB$341</f>
        <v>0.33129005863197575</v>
      </c>
      <c r="AC128" s="2910">
        <f ca="1">+AC108/'VVP2'!AC$341</f>
        <v>0.33599217647163382</v>
      </c>
      <c r="AD128" s="2910">
        <f ca="1">+AD108/'VVP2'!AD$341</f>
        <v>0.33849587783313306</v>
      </c>
      <c r="AE128" s="2910">
        <f ca="1">+AE108/'VVP2'!AE$341</f>
        <v>0.34283583816368834</v>
      </c>
    </row>
    <row r="129" spans="1:113" ht="12.75" customHeight="1">
      <c r="A129" s="664"/>
      <c r="B129" s="664"/>
      <c r="C129" s="827" t="s">
        <v>1767</v>
      </c>
      <c r="D129" s="828" t="s">
        <v>687</v>
      </c>
      <c r="E129" s="829" t="s">
        <v>1204</v>
      </c>
      <c r="F129" s="830" t="s">
        <v>1914</v>
      </c>
      <c r="G129" s="840">
        <f>+G109/'VVP2'!G$341</f>
        <v>4.4829500304590229E-2</v>
      </c>
      <c r="H129" s="840">
        <f>+H109/'VVP2'!H$341</f>
        <v>3.9930410792503722E-2</v>
      </c>
      <c r="I129" s="840">
        <f>+I109/'VVP2'!I$341</f>
        <v>3.6359402746764413E-2</v>
      </c>
      <c r="J129" s="840">
        <f>+J109/'VVP2'!J$341</f>
        <v>3.3758358956716174E-2</v>
      </c>
      <c r="K129" s="840">
        <f>+K109/'VVP2'!K$341</f>
        <v>3.4921901057891384E-2</v>
      </c>
      <c r="L129" s="840">
        <f>+L109/'VVP2'!L$341</f>
        <v>3.3640330994944727E-2</v>
      </c>
      <c r="M129" s="840">
        <f>+M109/'VVP2'!M$341</f>
        <v>3.1552317373183439E-2</v>
      </c>
      <c r="N129" s="840">
        <f>+N109/'VVP2'!N$341</f>
        <v>2.9182018093469573E-2</v>
      </c>
      <c r="O129" s="840">
        <f>+O109/'VVP2'!O$341</f>
        <v>2.8303120620476484E-2</v>
      </c>
      <c r="P129" s="840">
        <f>+P109/'VVP2'!P$341</f>
        <v>2.7189253919897894E-2</v>
      </c>
      <c r="Q129" s="840">
        <f>+Q109/'VVP2'!Q$341</f>
        <v>2.5972807804840872E-2</v>
      </c>
      <c r="R129" s="840">
        <f>+R109/'VVP2'!R$341</f>
        <v>2.545310928362177E-2</v>
      </c>
      <c r="S129" s="840">
        <f>+S109/'VVP2'!S$341</f>
        <v>2.4415423065453738E-2</v>
      </c>
      <c r="T129" s="840">
        <f>+T109/'VVP2'!T$341</f>
        <v>2.5036487331280503E-2</v>
      </c>
      <c r="U129" s="2911">
        <f>+U109/'VVP2'!U$341</f>
        <v>3.0361442920353657E-2</v>
      </c>
      <c r="V129" s="2911">
        <f>+V109/'VVP2'!V$341</f>
        <v>2.909946816823096E-2</v>
      </c>
      <c r="W129" s="2911">
        <f>+W109/'VVP2'!W$341</f>
        <v>2.8416655688894631E-2</v>
      </c>
      <c r="X129" s="2911">
        <f>+X109/'VVP2'!X$341</f>
        <v>2.9290390446581081E-2</v>
      </c>
      <c r="Y129" s="2911">
        <f>+Y109/'VVP2'!Y$341</f>
        <v>2.9479700168622964E-2</v>
      </c>
      <c r="Z129" s="2911">
        <f>+Z109/'VVP2'!Z$341</f>
        <v>2.9508634258980711E-2</v>
      </c>
      <c r="AA129" s="2911">
        <f>+AA109/'VVP2'!AA$341</f>
        <v>2.9483300785190021E-2</v>
      </c>
      <c r="AB129" s="2911">
        <f>+AB109/'VVP2'!AB$341</f>
        <v>2.9558563702793399E-2</v>
      </c>
      <c r="AC129" s="2911">
        <f ca="1">+AC109/'VVP2'!AC$341</f>
        <v>2.8342239388622088E-2</v>
      </c>
      <c r="AD129" s="2911">
        <f ca="1">+AD109/'VVP2'!AD$341</f>
        <v>2.731887020132678E-2</v>
      </c>
      <c r="AE129" s="2911">
        <f ca="1">+AE109/'VVP2'!AE$341</f>
        <v>2.6135088543396114E-2</v>
      </c>
    </row>
    <row r="130" spans="1:113" ht="12.75" customHeight="1">
      <c r="A130" s="664"/>
      <c r="B130" s="664"/>
      <c r="C130" s="774" t="s">
        <v>1769</v>
      </c>
      <c r="D130" s="806"/>
      <c r="E130" s="807" t="s">
        <v>1204</v>
      </c>
      <c r="F130" s="808" t="s">
        <v>1107</v>
      </c>
      <c r="G130" s="841">
        <f>+G114/'VVP2'!G$341</f>
        <v>0.51620381401063553</v>
      </c>
      <c r="H130" s="841">
        <f>+H114/'VVP2'!H$341</f>
        <v>0.51621397651878953</v>
      </c>
      <c r="I130" s="841">
        <f>+I114/'VVP2'!I$341</f>
        <v>0.4864606451194694</v>
      </c>
      <c r="J130" s="841">
        <f>+J114/'VVP2'!J$341</f>
        <v>0.45677839587896141</v>
      </c>
      <c r="K130" s="841">
        <f>+K114/'VVP2'!K$341</f>
        <v>0.44423335913556239</v>
      </c>
      <c r="L130" s="841">
        <f>+L114/'VVP2'!L$341</f>
        <v>0.49201611588114458</v>
      </c>
      <c r="M130" s="841">
        <f>+M114/'VVP2'!M$341</f>
        <v>0.50858852571273983</v>
      </c>
      <c r="N130" s="841">
        <f>+N114/'VVP2'!N$341</f>
        <v>0.50178757374769523</v>
      </c>
      <c r="O130" s="841">
        <f>+O114/'VVP2'!O$341</f>
        <v>0.50480007775154057</v>
      </c>
      <c r="P130" s="841">
        <f>+P114/'VVP2'!P$341</f>
        <v>0.49992213939023084</v>
      </c>
      <c r="Q130" s="841">
        <f>+Q114/'VVP2'!Q$341</f>
        <v>0.49846183879423023</v>
      </c>
      <c r="R130" s="841">
        <f>+R114/'VVP2'!R$341</f>
        <v>0.47444597365857138</v>
      </c>
      <c r="S130" s="841">
        <f>+S114/'VVP2'!S$341</f>
        <v>0.4720250848293393</v>
      </c>
      <c r="T130" s="841">
        <f>+T114/'VVP2'!T$341</f>
        <v>0.45518052818241095</v>
      </c>
      <c r="U130" s="2912">
        <f>+U114/'VVP2'!U$341</f>
        <v>0.45393137953028828</v>
      </c>
      <c r="V130" s="2912">
        <f>+V114/'VVP2'!V$341</f>
        <v>0.48620327205339292</v>
      </c>
      <c r="W130" s="2912">
        <f>+W114/'VVP2'!W$341</f>
        <v>0.5030992488646</v>
      </c>
      <c r="X130" s="2912">
        <f>+X114/'VVP2'!X$341</f>
        <v>0.51137683036828052</v>
      </c>
      <c r="Y130" s="2912">
        <f>+Y114/'VVP2'!Y$341</f>
        <v>0.5093131653205909</v>
      </c>
      <c r="Z130" s="2912">
        <f>+Z114/'VVP2'!Z$341</f>
        <v>0.49995405854472785</v>
      </c>
      <c r="AA130" s="2912">
        <f>+AA114/'VVP2'!AA$341</f>
        <v>0.47892582309752335</v>
      </c>
      <c r="AB130" s="2912">
        <f>+AB114/'VVP2'!AB$341</f>
        <v>0.45856918531759328</v>
      </c>
      <c r="AC130" s="2912">
        <f ca="1">+AC114/'VVP2'!AC$341</f>
        <v>0.45477760971438147</v>
      </c>
      <c r="AD130" s="2912">
        <f ca="1">+AD114/'VVP2'!AD$341</f>
        <v>0.45128289563879698</v>
      </c>
      <c r="AE130" s="2912">
        <f ca="1">+AE114/'VVP2'!AE$341</f>
        <v>0.44992601647057456</v>
      </c>
    </row>
    <row r="131" spans="1:113" ht="30" customHeight="1">
      <c r="AB131" s="2221"/>
      <c r="AC131" s="2221"/>
      <c r="AD131" s="2221"/>
      <c r="AE131" s="2221"/>
    </row>
    <row r="132" spans="1:113" ht="30" customHeight="1">
      <c r="AB132" s="2221"/>
      <c r="AC132" s="2221"/>
      <c r="AD132" s="2221"/>
      <c r="AE132" s="2221"/>
    </row>
    <row r="133" spans="1:113" ht="22.5" customHeight="1">
      <c r="A133" s="574"/>
      <c r="B133" s="574"/>
      <c r="C133" s="3751" t="s">
        <v>1489</v>
      </c>
      <c r="D133" s="3751"/>
      <c r="E133" s="3751"/>
      <c r="F133" s="3751"/>
      <c r="R133" s="843"/>
      <c r="S133" s="843"/>
      <c r="T133" s="843"/>
      <c r="U133" s="843"/>
      <c r="V133" s="843"/>
      <c r="W133" s="843"/>
      <c r="X133" s="1907"/>
      <c r="Y133" s="843"/>
      <c r="Z133" s="843"/>
      <c r="AA133" s="843"/>
      <c r="AB133" s="843"/>
      <c r="AC133" s="843"/>
      <c r="AD133" s="843"/>
      <c r="AE133" s="843"/>
    </row>
    <row r="134" spans="1:113" ht="12.75" customHeight="1">
      <c r="A134" s="664"/>
      <c r="B134" s="664"/>
      <c r="C134" s="774"/>
      <c r="Q134" s="699"/>
      <c r="R134" s="2254"/>
      <c r="S134" s="2254"/>
      <c r="T134" s="2254"/>
      <c r="V134" s="2254"/>
      <c r="W134" s="2254"/>
      <c r="X134" s="2254"/>
      <c r="Y134" s="2254"/>
      <c r="Z134" s="2254"/>
      <c r="AA134" s="2254"/>
      <c r="AB134" s="2254"/>
      <c r="AC134" s="2254"/>
      <c r="AD134" s="2254"/>
      <c r="AE134" s="2254"/>
    </row>
    <row r="135" spans="1:113" ht="12.75" customHeight="1">
      <c r="A135" s="664"/>
      <c r="B135" s="664"/>
      <c r="C135" s="774"/>
      <c r="D135" s="775"/>
      <c r="E135" s="776" t="s">
        <v>1384</v>
      </c>
      <c r="F135" s="777"/>
      <c r="G135" s="778">
        <f>+InputY!$G$3</f>
        <v>1995</v>
      </c>
      <c r="H135" s="778">
        <f>+G135+1</f>
        <v>1996</v>
      </c>
      <c r="I135" s="778">
        <f t="shared" ref="I135:O135" si="118">+H135+1</f>
        <v>1997</v>
      </c>
      <c r="J135" s="778">
        <f t="shared" si="118"/>
        <v>1998</v>
      </c>
      <c r="K135" s="778">
        <f>+J135+1</f>
        <v>1999</v>
      </c>
      <c r="L135" s="778">
        <f t="shared" si="118"/>
        <v>2000</v>
      </c>
      <c r="M135" s="778">
        <f t="shared" si="118"/>
        <v>2001</v>
      </c>
      <c r="N135" s="778">
        <f t="shared" si="118"/>
        <v>2002</v>
      </c>
      <c r="O135" s="778">
        <f t="shared" si="118"/>
        <v>2003</v>
      </c>
      <c r="P135" s="778">
        <f t="shared" ref="P135:W135" si="119">+O135+1</f>
        <v>2004</v>
      </c>
      <c r="Q135" s="778">
        <f t="shared" si="119"/>
        <v>2005</v>
      </c>
      <c r="R135" s="778">
        <f t="shared" si="119"/>
        <v>2006</v>
      </c>
      <c r="S135" s="778">
        <f t="shared" si="119"/>
        <v>2007</v>
      </c>
      <c r="T135" s="2222">
        <f t="shared" si="119"/>
        <v>2008</v>
      </c>
      <c r="U135" s="2222">
        <f t="shared" si="119"/>
        <v>2009</v>
      </c>
      <c r="V135" s="2222">
        <f t="shared" si="119"/>
        <v>2010</v>
      </c>
      <c r="W135" s="2222">
        <f t="shared" si="119"/>
        <v>2011</v>
      </c>
      <c r="X135" s="2222">
        <f t="shared" ref="X135:AE135" si="120">+W135+1</f>
        <v>2012</v>
      </c>
      <c r="Y135" s="2222">
        <f t="shared" si="120"/>
        <v>2013</v>
      </c>
      <c r="Z135" s="2222">
        <f t="shared" si="120"/>
        <v>2014</v>
      </c>
      <c r="AA135" s="2222">
        <f t="shared" si="120"/>
        <v>2015</v>
      </c>
      <c r="AB135" s="2222">
        <f t="shared" si="120"/>
        <v>2016</v>
      </c>
      <c r="AC135" s="2222">
        <f t="shared" si="120"/>
        <v>2017</v>
      </c>
      <c r="AD135" s="2222">
        <f t="shared" si="120"/>
        <v>2018</v>
      </c>
      <c r="AE135" s="2222">
        <f t="shared" si="120"/>
        <v>2019</v>
      </c>
    </row>
    <row r="136" spans="1:113" ht="12.75" customHeight="1">
      <c r="A136" s="664">
        <f>+ROW(InputY!A119)</f>
        <v>119</v>
      </c>
      <c r="B136" s="664">
        <v>105</v>
      </c>
      <c r="C136" s="779" t="s">
        <v>401</v>
      </c>
      <c r="D136" s="668" t="s">
        <v>686</v>
      </c>
      <c r="E136" s="700" t="s">
        <v>1692</v>
      </c>
      <c r="F136" s="701" t="str">
        <f>+InputY!B119</f>
        <v>YEPropN</v>
      </c>
      <c r="G136" s="780">
        <f>+InputY!G119/1000</f>
        <v>-0.78402000000000005</v>
      </c>
      <c r="H136" s="780">
        <f>+InputY!H119/1000</f>
        <v>-0.92613000000000012</v>
      </c>
      <c r="I136" s="780">
        <f>+InputY!I119/1000</f>
        <v>-1.30352</v>
      </c>
      <c r="J136" s="780">
        <f>+InputY!J119/1000</f>
        <v>-1.6185399999999999</v>
      </c>
      <c r="K136" s="780">
        <f>+InputY!K119/1000</f>
        <v>-1.5516400000000001</v>
      </c>
      <c r="L136" s="780">
        <f>+InputY!L119/1000</f>
        <v>-2.4417300000000002</v>
      </c>
      <c r="M136" s="780">
        <f>+InputY!M119/1000</f>
        <v>-2.69787</v>
      </c>
      <c r="N136" s="780">
        <f>+InputY!N119/1000</f>
        <v>-3.0302600000000002</v>
      </c>
      <c r="O136" s="780">
        <f>+InputY!O119/1000</f>
        <v>-3.2625700000000002</v>
      </c>
      <c r="P136" s="780">
        <f>+InputY!P119/1000</f>
        <v>-4.324110000000001</v>
      </c>
      <c r="Q136" s="780">
        <f>+InputY!Q119/1000</f>
        <v>-4.0924699999999996</v>
      </c>
      <c r="R136" s="780">
        <f>+InputY!R119/1000</f>
        <v>-4.8829799999999999</v>
      </c>
      <c r="S136" s="780">
        <f>+InputY!S119/1000</f>
        <v>-4.5213700000000001</v>
      </c>
      <c r="T136" s="780">
        <f>+InputY!T119/1000</f>
        <v>-5.0862400000000001</v>
      </c>
      <c r="U136" s="780">
        <f>+InputY!U119/1000</f>
        <v>-3.3473299999999999</v>
      </c>
      <c r="V136" s="780">
        <f>+InputY!V119/1000</f>
        <v>-5.076950000000001</v>
      </c>
      <c r="W136" s="780">
        <f>+InputY!W119/1000</f>
        <v>-6.1153799999999991</v>
      </c>
      <c r="X136" s="780">
        <f>+InputY!X119/1000</f>
        <v>-5.9805399999999995</v>
      </c>
      <c r="Y136" s="780">
        <f>+InputY!Y119/1000</f>
        <v>-5.8831499999999997</v>
      </c>
      <c r="Z136" s="780">
        <f>+InputY!Z119/1000</f>
        <v>-5.0425499999999994</v>
      </c>
      <c r="AA136" s="780">
        <f>+InputY!AA119/1000</f>
        <v>-6.1047099999999999</v>
      </c>
      <c r="AB136" s="780">
        <f>+InputY!AB119/1000</f>
        <v>-6.4326499999999998</v>
      </c>
      <c r="AC136" s="2232">
        <f>+AB136*(1+AC147/100)</f>
        <v>-6.7864457499999995</v>
      </c>
      <c r="AD136" s="2232">
        <f>+AC136*(1+AD147/100)</f>
        <v>-7.1597002662499989</v>
      </c>
      <c r="AE136" s="2232">
        <f>+AD136*(1+AE147/100)</f>
        <v>-7.5534837808937487</v>
      </c>
    </row>
    <row r="137" spans="1:113" ht="12.75" customHeight="1">
      <c r="A137" s="664">
        <f>+ROW(InputY!A151)</f>
        <v>151</v>
      </c>
      <c r="B137" s="664" t="s">
        <v>1913</v>
      </c>
      <c r="C137" s="782" t="s">
        <v>401</v>
      </c>
      <c r="D137" s="674" t="s">
        <v>687</v>
      </c>
      <c r="E137" s="783" t="s">
        <v>852</v>
      </c>
      <c r="F137" s="704" t="str">
        <f>+InputY!B151</f>
        <v>YAProp</v>
      </c>
      <c r="G137" s="706">
        <f>+InputY!G151/1000</f>
        <v>2.7739999999999997E-2</v>
      </c>
      <c r="H137" s="706">
        <f>+InputY!H151/1000</f>
        <v>3.005E-2</v>
      </c>
      <c r="I137" s="706">
        <f>+InputY!I151/1000</f>
        <v>5.4469999999999998E-2</v>
      </c>
      <c r="J137" s="706">
        <f>+InputY!J151/1000</f>
        <v>0.15242</v>
      </c>
      <c r="K137" s="706">
        <f>+InputY!K151/1000</f>
        <v>0.15071999999999999</v>
      </c>
      <c r="L137" s="706">
        <f>+InputY!L151/1000</f>
        <v>0.17279</v>
      </c>
      <c r="M137" s="706">
        <f>+InputY!M151/1000</f>
        <v>0.21227000000000001</v>
      </c>
      <c r="N137" s="706">
        <f>+InputY!N151/1000</f>
        <v>0.16736000000000001</v>
      </c>
      <c r="O137" s="706">
        <f>+InputY!O151/1000</f>
        <v>0.15512999999999999</v>
      </c>
      <c r="P137" s="706">
        <f>+InputY!P151/1000</f>
        <v>0.14368999999999998</v>
      </c>
      <c r="Q137" s="706">
        <f>+InputY!Q151/1000</f>
        <v>0.16131999999999999</v>
      </c>
      <c r="R137" s="706">
        <f>+InputY!R151/1000</f>
        <v>0.14407</v>
      </c>
      <c r="S137" s="706">
        <f>+InputY!S151/1000</f>
        <v>0.17216999999999999</v>
      </c>
      <c r="T137" s="706">
        <f>+InputY!T151/1000</f>
        <v>0.19849</v>
      </c>
      <c r="U137" s="1564">
        <f>+InputY!U151/1000</f>
        <v>0.16755</v>
      </c>
      <c r="V137" s="1564">
        <f>+InputY!V151/1000</f>
        <v>0.1923</v>
      </c>
      <c r="W137" s="1564">
        <f>+InputY!W151/1000</f>
        <v>0.17241000000000001</v>
      </c>
      <c r="X137" s="1564">
        <f>+InputY!X151/1000</f>
        <v>0.20311999999999999</v>
      </c>
      <c r="Y137" s="1564">
        <f>+InputY!Y151/1000</f>
        <v>0.12808</v>
      </c>
      <c r="Z137" s="1564">
        <f>+InputY!Z151/1000</f>
        <v>0.13741</v>
      </c>
      <c r="AA137" s="1564">
        <f>+InputY!AA151/1000</f>
        <v>0.14858000000000002</v>
      </c>
      <c r="AB137" s="1564">
        <f>+InputY!AB151/1000</f>
        <v>0.18825999999999998</v>
      </c>
      <c r="AC137" s="3341">
        <f t="shared" ref="AC137:AE139" si="121">+AB137*(1+AC148/100)</f>
        <v>0.21649899999999997</v>
      </c>
      <c r="AD137" s="3341">
        <f t="shared" si="121"/>
        <v>0.2381489</v>
      </c>
      <c r="AE137" s="3341">
        <f t="shared" si="121"/>
        <v>0.25243783400000003</v>
      </c>
    </row>
    <row r="138" spans="1:113" ht="12.75" customHeight="1">
      <c r="A138" s="664">
        <f>+ROW(InputY!A154)</f>
        <v>154</v>
      </c>
      <c r="B138" s="664" t="s">
        <v>1695</v>
      </c>
      <c r="C138" s="782" t="s">
        <v>1767</v>
      </c>
      <c r="D138" s="674" t="s">
        <v>687</v>
      </c>
      <c r="E138" s="783" t="s">
        <v>851</v>
      </c>
      <c r="F138" s="981" t="s">
        <v>854</v>
      </c>
      <c r="G138" s="706">
        <f>+InputY!G154/1000</f>
        <v>0</v>
      </c>
      <c r="H138" s="706">
        <f>+InputY!H154/1000</f>
        <v>0</v>
      </c>
      <c r="I138" s="706">
        <f>+InputY!I154/1000</f>
        <v>0</v>
      </c>
      <c r="J138" s="706">
        <f>+InputY!J154/1000</f>
        <v>0</v>
      </c>
      <c r="K138" s="706">
        <f>+InputY!K154/1000</f>
        <v>0</v>
      </c>
      <c r="L138" s="706">
        <f>+InputY!L154/1000</f>
        <v>0</v>
      </c>
      <c r="M138" s="706">
        <f>+InputY!M154/1000</f>
        <v>0</v>
      </c>
      <c r="N138" s="706">
        <f>+InputY!N154/1000</f>
        <v>0</v>
      </c>
      <c r="O138" s="706">
        <f>+InputY!O154/1000</f>
        <v>0</v>
      </c>
      <c r="P138" s="706">
        <f>+InputY!P154/1000</f>
        <v>9.9999999999909054E-6</v>
      </c>
      <c r="Q138" s="706">
        <f>+InputY!Q154/1000</f>
        <v>9.9999999999909054E-6</v>
      </c>
      <c r="R138" s="706">
        <f>+InputY!R154/1000</f>
        <v>1.0000000000019327E-5</v>
      </c>
      <c r="S138" s="706">
        <f>+InputY!S154/1000</f>
        <v>9.9999999999909054E-6</v>
      </c>
      <c r="T138" s="706">
        <f>+InputY!T154/1000</f>
        <v>2.000000000001023E-5</v>
      </c>
      <c r="U138" s="706">
        <f>+InputY!U154/1000</f>
        <v>2.0000000000038653E-5</v>
      </c>
      <c r="V138" s="706">
        <f>+InputY!V154/1000</f>
        <v>1.9999999999981811E-5</v>
      </c>
      <c r="W138" s="706">
        <f>+InputY!W154/1000</f>
        <v>1.9999999999981811E-5</v>
      </c>
      <c r="X138" s="706">
        <f>+InputY!X154/1000</f>
        <v>9.9999999999909054E-6</v>
      </c>
      <c r="Y138" s="706">
        <f>+InputY!Y154/1000</f>
        <v>1.0000000000104592E-5</v>
      </c>
      <c r="Z138" s="706">
        <f>+InputY!Z154/1000</f>
        <v>9.9999999999909054E-6</v>
      </c>
      <c r="AA138" s="706">
        <f>+InputY!AA154/1000</f>
        <v>1.0000000000104592E-5</v>
      </c>
      <c r="AB138" s="706">
        <f>+InputY!AB154/1000</f>
        <v>9.9999999999909054E-6</v>
      </c>
      <c r="AC138" s="2217">
        <f t="shared" si="121"/>
        <v>9.9999999999909054E-6</v>
      </c>
      <c r="AD138" s="2217">
        <f t="shared" si="121"/>
        <v>9.9999999999909054E-6</v>
      </c>
      <c r="AE138" s="2217">
        <f t="shared" si="121"/>
        <v>9.9999999999909054E-6</v>
      </c>
      <c r="AF138" t="s">
        <v>724</v>
      </c>
    </row>
    <row r="139" spans="1:113" ht="12.75" customHeight="1">
      <c r="A139" s="664">
        <f>+ROW(InputY!A153)</f>
        <v>153</v>
      </c>
      <c r="B139" s="664">
        <v>122</v>
      </c>
      <c r="C139" s="782" t="s">
        <v>1767</v>
      </c>
      <c r="D139" s="674" t="s">
        <v>687</v>
      </c>
      <c r="E139" s="783" t="s">
        <v>1205</v>
      </c>
      <c r="F139" s="704" t="str">
        <f>+InputY!B153</f>
        <v>$AInt</v>
      </c>
      <c r="G139" s="706">
        <f>+InputY!G153/1000</f>
        <v>2.6940000000000002E-2</v>
      </c>
      <c r="H139" s="706">
        <f>+InputY!H153/1000</f>
        <v>8.097E-2</v>
      </c>
      <c r="I139" s="706">
        <f>+InputY!I153/1000</f>
        <v>8.584E-2</v>
      </c>
      <c r="J139" s="706">
        <f>+InputY!J153/1000</f>
        <v>0.14752999999999999</v>
      </c>
      <c r="K139" s="706">
        <f>+InputY!K153/1000</f>
        <v>0.18694</v>
      </c>
      <c r="L139" s="706">
        <f>+InputY!L153/1000</f>
        <v>0.23169999999999999</v>
      </c>
      <c r="M139" s="706">
        <f>+InputY!M153/1000</f>
        <v>0.21352000000000002</v>
      </c>
      <c r="N139" s="706">
        <f>+InputY!N153/1000</f>
        <v>0.19841</v>
      </c>
      <c r="O139" s="706">
        <f>+InputY!O153/1000</f>
        <v>0.20580999999999999</v>
      </c>
      <c r="P139" s="706">
        <f>+InputY!P153/1000</f>
        <v>0.16370999999999999</v>
      </c>
      <c r="Q139" s="706">
        <f>+InputY!Q153/1000</f>
        <v>0.16072</v>
      </c>
      <c r="R139" s="706">
        <f>+InputY!R153/1000</f>
        <v>0.16800999999999999</v>
      </c>
      <c r="S139" s="706">
        <f>+InputY!S153/1000</f>
        <v>0.19231000000000001</v>
      </c>
      <c r="T139" s="706">
        <f>+InputY!T153/1000</f>
        <v>0.21409999999999998</v>
      </c>
      <c r="U139" s="706">
        <f>+InputY!U153/1000</f>
        <v>0.3332</v>
      </c>
      <c r="V139" s="706">
        <f>+InputY!V153/1000</f>
        <v>0.50985999999999998</v>
      </c>
      <c r="W139" s="706">
        <f>+InputY!W153/1000</f>
        <v>0.57565</v>
      </c>
      <c r="X139" s="706">
        <f>+InputY!X153/1000</f>
        <v>0.6585700000000001</v>
      </c>
      <c r="Y139" s="706">
        <f>+InputY!Y153/1000</f>
        <v>0.61480999999999997</v>
      </c>
      <c r="Z139" s="706">
        <f>+InputY!Z153/1000</f>
        <v>0.58675999999999995</v>
      </c>
      <c r="AA139" s="1455">
        <f>+InputY!AA153/1000</f>
        <v>0.56867999999999996</v>
      </c>
      <c r="AB139" s="3612">
        <f>+InputY!AB153/1000</f>
        <v>0.51676999999999995</v>
      </c>
      <c r="AC139" s="3697">
        <f t="shared" si="121"/>
        <v>0.49499999999999994</v>
      </c>
      <c r="AD139" s="3697">
        <f t="shared" si="121"/>
        <v>0.38500000000000001</v>
      </c>
      <c r="AE139" s="3697">
        <f t="shared" si="121"/>
        <v>0.40100000000000002</v>
      </c>
      <c r="AF139">
        <v>1.2490000000000001</v>
      </c>
      <c r="AG139" s="3660" t="s">
        <v>2594</v>
      </c>
    </row>
    <row r="140" spans="1:113" ht="12.75" customHeight="1">
      <c r="A140" s="3114"/>
      <c r="B140" s="3114"/>
      <c r="C140" s="3115"/>
      <c r="D140" s="1000" t="s">
        <v>688</v>
      </c>
      <c r="E140" s="1000" t="s">
        <v>327</v>
      </c>
      <c r="F140" s="723"/>
      <c r="G140" s="721"/>
      <c r="H140" s="721"/>
      <c r="I140" s="721"/>
      <c r="J140" s="721"/>
      <c r="K140" s="721"/>
      <c r="L140" s="721">
        <f>-InputY!L285/1000</f>
        <v>-0.166241890639481</v>
      </c>
      <c r="M140" s="721">
        <f>-InputY!M285/1000</f>
        <v>-0.15089202965708989</v>
      </c>
      <c r="N140" s="721">
        <f>-InputY!N285/1000</f>
        <v>-0.12859128822984245</v>
      </c>
      <c r="O140" s="721">
        <f>-InputY!O285/1000</f>
        <v>-0.14220342910101949</v>
      </c>
      <c r="P140" s="721">
        <f>-InputY!P285/1000</f>
        <v>-0.159001390176089</v>
      </c>
      <c r="Q140" s="721">
        <f>-InputY!Q285/1000</f>
        <v>-0.123</v>
      </c>
      <c r="R140" s="721">
        <f>-InputY!R285/1000</f>
        <v>-0.215</v>
      </c>
      <c r="S140" s="721">
        <f>-InputY!S285/1000</f>
        <v>-0.32400000000000001</v>
      </c>
      <c r="T140" s="721">
        <f>-InputY!T285/1000</f>
        <v>-0.436</v>
      </c>
      <c r="U140" s="721">
        <f>-InputY!U285/1000</f>
        <v>-0.20499999999999999</v>
      </c>
      <c r="V140" s="721">
        <f>-InputY!V285/1000</f>
        <v>-0.26900000000000002</v>
      </c>
      <c r="W140" s="721">
        <f>-InputY!W285/1000</f>
        <v>-0.41599999999999998</v>
      </c>
      <c r="X140" s="721">
        <f>-InputY!X285/1000</f>
        <v>-0.432</v>
      </c>
      <c r="Y140" s="721">
        <f>-InputY!Y285/1000</f>
        <v>-0.33700000000000002</v>
      </c>
      <c r="Z140" s="721">
        <f>-InputY!Z285/1000</f>
        <v>-0.29799999999999999</v>
      </c>
      <c r="AA140" s="721">
        <f>-InputY!AA285/1000</f>
        <v>-0.22900000000000001</v>
      </c>
      <c r="AB140" s="721">
        <f>-InputY!AB285/1000</f>
        <v>-0.22900000000000001</v>
      </c>
      <c r="AC140" s="2302">
        <f>AC142-AC141</f>
        <v>0.77876499999999971</v>
      </c>
      <c r="AD140" s="2302">
        <f>AD142-AD141</f>
        <v>0.8163402999999998</v>
      </c>
      <c r="AE140" s="2302">
        <f>AE142-AE141</f>
        <v>0.85466710599999973</v>
      </c>
    </row>
    <row r="141" spans="1:113" ht="12.75" customHeight="1">
      <c r="A141" s="3114"/>
      <c r="B141" s="3114"/>
      <c r="C141" s="3115"/>
      <c r="D141" s="1000" t="s">
        <v>688</v>
      </c>
      <c r="E141" s="1000" t="s">
        <v>905</v>
      </c>
      <c r="F141" s="723"/>
      <c r="G141" s="721"/>
      <c r="H141" s="721"/>
      <c r="I141" s="721"/>
      <c r="J141" s="721"/>
      <c r="K141" s="721"/>
      <c r="L141" s="721">
        <f>InputY!L286/1000</f>
        <v>0.41039156626506024</v>
      </c>
      <c r="M141" s="721">
        <f>InputY!M286/1000</f>
        <v>0.39214550509731239</v>
      </c>
      <c r="N141" s="721">
        <f>InputY!N286/1000</f>
        <v>0.34291010194624655</v>
      </c>
      <c r="O141" s="721">
        <f>InputY!O286/1000</f>
        <v>0.59516913809082483</v>
      </c>
      <c r="P141" s="721">
        <f>InputY!P286/1000</f>
        <v>0.74374420759962934</v>
      </c>
      <c r="Q141" s="721">
        <f>InputY!Q286/1000</f>
        <v>0.78900000000000003</v>
      </c>
      <c r="R141" s="721">
        <f>InputY!R286/1000</f>
        <v>1.0609999999999999</v>
      </c>
      <c r="S141" s="721">
        <f>InputY!S286/1000</f>
        <v>1.6919999999999999</v>
      </c>
      <c r="T141" s="721">
        <f>InputY!T286/1000</f>
        <v>1.7889999999999999</v>
      </c>
      <c r="U141" s="721">
        <f>InputY!U286/1000</f>
        <v>-3.9E-2</v>
      </c>
      <c r="V141" s="721">
        <f>InputY!V286/1000</f>
        <v>1.254</v>
      </c>
      <c r="W141" s="721">
        <f>InputY!W286/1000</f>
        <v>2</v>
      </c>
      <c r="X141" s="721">
        <f>InputY!X286/1000</f>
        <v>1.778</v>
      </c>
      <c r="Y141" s="721">
        <f>InputY!Y286/1000</f>
        <v>1.6180000000000001</v>
      </c>
      <c r="Z141" s="721">
        <f>InputY!Z286/1000</f>
        <v>1.069</v>
      </c>
      <c r="AA141" s="721">
        <f>InputY!AA286/1000</f>
        <v>2.0990000000000002</v>
      </c>
      <c r="AB141" s="721">
        <f>InputY!AB286/1000</f>
        <v>2.08</v>
      </c>
      <c r="AC141" s="2295">
        <v>1.1000000000000001</v>
      </c>
      <c r="AD141" s="2295">
        <v>1.1000000000000001</v>
      </c>
      <c r="AE141" s="2295">
        <v>1.1000000000000001</v>
      </c>
    </row>
    <row r="142" spans="1:113" ht="12.75" customHeight="1">
      <c r="A142" s="1953">
        <f>+ROW(InputY!A238)</f>
        <v>238</v>
      </c>
      <c r="B142" s="664" t="s">
        <v>1909</v>
      </c>
      <c r="C142" s="842" t="s">
        <v>401</v>
      </c>
      <c r="D142" s="674" t="s">
        <v>688</v>
      </c>
      <c r="E142" s="783" t="s">
        <v>1692</v>
      </c>
      <c r="F142" s="704" t="str">
        <f>InputY!B238</f>
        <v>PropFrRowN</v>
      </c>
      <c r="G142" s="706">
        <f>-InputY!G238/1000</f>
        <v>7.8197405004633899E-3</v>
      </c>
      <c r="H142" s="706">
        <f>-InputY!H238/1000</f>
        <v>7.24050046339203E-2</v>
      </c>
      <c r="I142" s="706">
        <f>-InputY!I238/1000</f>
        <v>0.15118164967562558</v>
      </c>
      <c r="J142" s="706">
        <f>-InputY!J238/1000</f>
        <v>0.22329703429101019</v>
      </c>
      <c r="K142" s="706">
        <f>-InputY!K238/1000</f>
        <v>0.24357043558850788</v>
      </c>
      <c r="L142" s="706">
        <f>-InputY!L238/1000</f>
        <v>0.24414967562557924</v>
      </c>
      <c r="M142" s="706">
        <f>-InputY!M238/1000</f>
        <v>0.24125347544022246</v>
      </c>
      <c r="N142" s="706">
        <f>-InputY!N238/1000</f>
        <v>0.21431881371640407</v>
      </c>
      <c r="O142" s="706">
        <f>-InputY!O238/1000</f>
        <v>0.45296570898980537</v>
      </c>
      <c r="P142" s="706">
        <f>-InputY!P238/1000</f>
        <v>0.5847428174235404</v>
      </c>
      <c r="Q142" s="706">
        <f>-InputY!Q238/1000</f>
        <v>0.66600000000000004</v>
      </c>
      <c r="R142" s="706">
        <f>-InputY!R238/1000</f>
        <v>0.84499999999999997</v>
      </c>
      <c r="S142" s="706">
        <f>-InputY!S238/1000</f>
        <v>1.367</v>
      </c>
      <c r="T142" s="706">
        <f>-InputY!T238/1000</f>
        <v>1.353</v>
      </c>
      <c r="U142" s="706">
        <f>-InputY!U238/1000</f>
        <v>-0.24299999999999999</v>
      </c>
      <c r="V142" s="706">
        <f>-InputY!V238/1000</f>
        <v>0.98599999999999999</v>
      </c>
      <c r="W142" s="706">
        <f>-InputY!W238/1000</f>
        <v>1.583</v>
      </c>
      <c r="X142" s="706">
        <f>-InputY!X238/1000</f>
        <v>1.347</v>
      </c>
      <c r="Y142" s="706">
        <f>-InputY!Y238/1000</f>
        <v>1.2809999999999999</v>
      </c>
      <c r="Z142" s="706">
        <f>-InputY!Z238/1000</f>
        <v>0.77200000000000002</v>
      </c>
      <c r="AA142" s="706">
        <f>-InputY!AA238/1000</f>
        <v>1.871</v>
      </c>
      <c r="AB142" s="706">
        <f>-InputY!AB238/1000</f>
        <v>1.851</v>
      </c>
      <c r="AC142" s="2217">
        <f>+AB142*(1+AC151/100)</f>
        <v>1.8787649999999998</v>
      </c>
      <c r="AD142" s="2217">
        <f>+AC142*(1+AD151/100)</f>
        <v>1.9163402999999999</v>
      </c>
      <c r="AE142" s="2217">
        <f>+AD142*(1+AE151/100)</f>
        <v>1.9546671059999998</v>
      </c>
    </row>
    <row r="143" spans="1:113" ht="12.75" customHeight="1">
      <c r="A143" s="664">
        <f>+ROW(InputY!A189)</f>
        <v>189</v>
      </c>
      <c r="B143" s="664">
        <v>90</v>
      </c>
      <c r="C143" s="784" t="s">
        <v>1769</v>
      </c>
      <c r="D143" s="752" t="s">
        <v>685</v>
      </c>
      <c r="E143" s="753" t="s">
        <v>1692</v>
      </c>
      <c r="F143" s="754" t="str">
        <f>+InputY!B189</f>
        <v>HPropN</v>
      </c>
      <c r="G143" s="785">
        <f>+InputY!G189/1000</f>
        <v>0.77046999999999999</v>
      </c>
      <c r="H143" s="785">
        <f>+InputY!H189/1000</f>
        <v>0.91266999999999998</v>
      </c>
      <c r="I143" s="785">
        <f>+InputY!I189/1000</f>
        <v>1.17761</v>
      </c>
      <c r="J143" s="785">
        <f>+InputY!J189/1000</f>
        <v>1.3924300000000001</v>
      </c>
      <c r="K143" s="785">
        <f>+InputY!K189/1000</f>
        <v>1.3356299999999999</v>
      </c>
      <c r="L143" s="785">
        <f>+InputY!L189/1000</f>
        <v>2.2481900000000001</v>
      </c>
      <c r="M143" s="785">
        <f>+InputY!M189/1000</f>
        <v>2.4520399999999998</v>
      </c>
      <c r="N143" s="785">
        <f>+InputY!N189/1000</f>
        <v>2.8442200000000004</v>
      </c>
      <c r="O143" s="785">
        <f>+InputY!O189/1000</f>
        <v>2.8599800000000002</v>
      </c>
      <c r="P143" s="785">
        <f>+InputY!P189/1000</f>
        <v>3.7417699999999998</v>
      </c>
      <c r="Q143" s="785">
        <f>+InputY!Q189/1000</f>
        <v>3.4261699999999999</v>
      </c>
      <c r="R143" s="785">
        <f>+InputY!R189/1000</f>
        <v>4.061090000000001</v>
      </c>
      <c r="S143" s="785">
        <f>+InputY!S189/1000</f>
        <v>3.1740200000000001</v>
      </c>
      <c r="T143" s="785">
        <f>+InputY!T189/1000</f>
        <v>3.7490299999999999</v>
      </c>
      <c r="U143" s="785">
        <f>+InputY!U189/1000</f>
        <v>3.7567799999999996</v>
      </c>
      <c r="V143" s="785">
        <f>+InputY!V189/1000</f>
        <v>4.4089599999999995</v>
      </c>
      <c r="W143" s="785">
        <f>+InputY!W189/1000</f>
        <v>4.9348000000000001</v>
      </c>
      <c r="X143" s="785">
        <f>+InputY!X189/1000</f>
        <v>5.0896300000000005</v>
      </c>
      <c r="Y143" s="785">
        <f>+InputY!Y189/1000</f>
        <v>5.0884999999999998</v>
      </c>
      <c r="Z143" s="785">
        <f>+InputY!Z189/1000</f>
        <v>4.7201900000000006</v>
      </c>
      <c r="AA143" s="785">
        <f>+InputY!AA189/1000</f>
        <v>4.6545599999999991</v>
      </c>
      <c r="AB143" s="785">
        <f>+InputY!AB189/1000</f>
        <v>4.9098900000000008</v>
      </c>
      <c r="AC143" s="2232">
        <f>-AC136-AC137+AC138+AC139-AC142</f>
        <v>5.1861917499999999</v>
      </c>
      <c r="AD143" s="2232">
        <f>-AD136-AD137+AD138+AD139-AD142</f>
        <v>5.3902210662499987</v>
      </c>
      <c r="AE143" s="2232">
        <f>-AE136-AE137+AE138+AE139-AE142</f>
        <v>5.7473888408937484</v>
      </c>
    </row>
    <row r="144" spans="1:113" s="1972" customFormat="1" ht="12.75" customHeight="1">
      <c r="A144" s="998"/>
      <c r="B144" s="998"/>
      <c r="C144" s="1595"/>
      <c r="D144" s="1011"/>
      <c r="E144" s="1973" t="s">
        <v>737</v>
      </c>
      <c r="F144" s="1974"/>
      <c r="G144" s="1002">
        <f>ABS(+G143+G142-G139-G138+G137+G136)</f>
        <v>4.9302594995366267E-3</v>
      </c>
      <c r="H144" s="1002">
        <f t="shared" ref="H144:S144" si="122">ABS(+H143+H142-H139-H138+H137+H136)</f>
        <v>8.0250046339201964E-3</v>
      </c>
      <c r="I144" s="1002">
        <f t="shared" si="122"/>
        <v>6.0983503243743353E-3</v>
      </c>
      <c r="J144" s="1002">
        <f t="shared" si="122"/>
        <v>2.0770342910103601E-3</v>
      </c>
      <c r="K144" s="1002">
        <f t="shared" si="122"/>
        <v>8.6595644114924042E-3</v>
      </c>
      <c r="L144" s="1002">
        <f t="shared" si="122"/>
        <v>8.3003243744208532E-3</v>
      </c>
      <c r="M144" s="1002">
        <f t="shared" si="122"/>
        <v>5.8265245597777238E-3</v>
      </c>
      <c r="N144" s="1002">
        <f t="shared" si="122"/>
        <v>2.771186283595739E-3</v>
      </c>
      <c r="O144" s="1002">
        <f t="shared" si="122"/>
        <v>3.0429101019446847E-4</v>
      </c>
      <c r="P144" s="1002">
        <f>ABS(+P143+P142-P139-P138+P137+P136)</f>
        <v>1.7627182576459788E-2</v>
      </c>
      <c r="Q144" s="1002">
        <f t="shared" si="122"/>
        <v>2.9000000000056758E-4</v>
      </c>
      <c r="R144" s="1002">
        <f t="shared" si="122"/>
        <v>8.3999999999839758E-4</v>
      </c>
      <c r="S144" s="1002">
        <f t="shared" si="122"/>
        <v>4.9999999999972289E-4</v>
      </c>
      <c r="T144" s="2906">
        <f t="shared" ref="T144:Y144" si="123">ABS(+T143+T142-T139-T138+T137+T136)</f>
        <v>1.5999999999927184E-4</v>
      </c>
      <c r="U144" s="2906">
        <f t="shared" si="123"/>
        <v>7.7999999999933678E-4</v>
      </c>
      <c r="V144" s="2906">
        <f t="shared" si="123"/>
        <v>4.2999999999882021E-4</v>
      </c>
      <c r="W144" s="2906">
        <f t="shared" si="123"/>
        <v>8.3999999999928576E-4</v>
      </c>
      <c r="X144" s="2906">
        <f t="shared" si="123"/>
        <v>6.3000000000190681E-4</v>
      </c>
      <c r="Y144" s="2906">
        <f t="shared" si="123"/>
        <v>3.900000000012227E-4</v>
      </c>
      <c r="Z144" s="2921">
        <f t="shared" ref="Z144:AE144" si="124">ABS(+Z143+Z142-Z139-Z138+Z137+Z136)</f>
        <v>2.8000000000183434E-4</v>
      </c>
      <c r="AA144" s="2906">
        <f t="shared" si="124"/>
        <v>7.3999999999863064E-4</v>
      </c>
      <c r="AB144" s="2906">
        <f t="shared" si="124"/>
        <v>2.799999999991698E-4</v>
      </c>
      <c r="AC144" s="2906">
        <f t="shared" si="124"/>
        <v>0</v>
      </c>
      <c r="AD144" s="2906">
        <f t="shared" si="124"/>
        <v>0</v>
      </c>
      <c r="AE144" s="2906">
        <f t="shared" si="124"/>
        <v>0</v>
      </c>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row>
    <row r="145" spans="1:31" ht="12.75" customHeight="1">
      <c r="A145" s="664"/>
      <c r="B145" s="664"/>
      <c r="C145" s="774"/>
      <c r="E145" s="786"/>
      <c r="F145" s="787"/>
      <c r="G145" s="703"/>
      <c r="H145" s="788"/>
      <c r="I145" s="703"/>
      <c r="J145" s="703"/>
      <c r="K145" s="703"/>
      <c r="L145" s="703"/>
      <c r="M145" s="703"/>
      <c r="N145" s="703"/>
      <c r="O145" s="703"/>
      <c r="P145" s="703"/>
      <c r="Q145" s="845"/>
      <c r="R145" s="845"/>
      <c r="S145" s="2254"/>
      <c r="T145" s="2254"/>
      <c r="U145" s="2254"/>
      <c r="V145" s="2254"/>
      <c r="W145" s="2254"/>
      <c r="X145" s="2254"/>
      <c r="Y145" s="2254"/>
      <c r="Z145" s="2254"/>
      <c r="AA145" s="2270"/>
      <c r="AB145" s="2254"/>
      <c r="AC145" s="2254"/>
      <c r="AD145" s="2254"/>
      <c r="AE145" s="2254"/>
    </row>
    <row r="146" spans="1:31" ht="12.75" customHeight="1">
      <c r="A146" s="664"/>
      <c r="B146" s="664"/>
      <c r="C146" s="774"/>
      <c r="D146" s="742"/>
      <c r="E146" s="743" t="s">
        <v>1311</v>
      </c>
      <c r="F146" s="744"/>
      <c r="G146" s="745">
        <f>+InputY!$G$3</f>
        <v>1995</v>
      </c>
      <c r="H146" s="745">
        <f>+G146+1</f>
        <v>1996</v>
      </c>
      <c r="I146" s="745">
        <f t="shared" ref="I146:O146" si="125">+H146+1</f>
        <v>1997</v>
      </c>
      <c r="J146" s="745">
        <f t="shared" si="125"/>
        <v>1998</v>
      </c>
      <c r="K146" s="745">
        <f>+J146+1</f>
        <v>1999</v>
      </c>
      <c r="L146" s="745">
        <f t="shared" si="125"/>
        <v>2000</v>
      </c>
      <c r="M146" s="745">
        <f t="shared" si="125"/>
        <v>2001</v>
      </c>
      <c r="N146" s="745">
        <f t="shared" si="125"/>
        <v>2002</v>
      </c>
      <c r="O146" s="745">
        <f t="shared" si="125"/>
        <v>2003</v>
      </c>
      <c r="P146" s="745">
        <f t="shared" ref="P146:U146" si="126">+O146+1</f>
        <v>2004</v>
      </c>
      <c r="Q146" s="745">
        <f t="shared" si="126"/>
        <v>2005</v>
      </c>
      <c r="R146" s="745">
        <f>+Q146+1</f>
        <v>2006</v>
      </c>
      <c r="S146" s="745">
        <f>+R146+1</f>
        <v>2007</v>
      </c>
      <c r="T146" s="2211">
        <f t="shared" si="126"/>
        <v>2008</v>
      </c>
      <c r="U146" s="2211">
        <f t="shared" si="126"/>
        <v>2009</v>
      </c>
      <c r="V146" s="2211">
        <f t="shared" ref="V146:AE146" si="127">+U146+1</f>
        <v>2010</v>
      </c>
      <c r="W146" s="2211">
        <f t="shared" si="127"/>
        <v>2011</v>
      </c>
      <c r="X146" s="2211">
        <f t="shared" si="127"/>
        <v>2012</v>
      </c>
      <c r="Y146" s="2211">
        <f t="shared" si="127"/>
        <v>2013</v>
      </c>
      <c r="Z146" s="2211">
        <f t="shared" si="127"/>
        <v>2014</v>
      </c>
      <c r="AA146" s="2211">
        <f t="shared" si="127"/>
        <v>2015</v>
      </c>
      <c r="AB146" s="2211">
        <f t="shared" si="127"/>
        <v>2016</v>
      </c>
      <c r="AC146" s="2211">
        <f t="shared" si="127"/>
        <v>2017</v>
      </c>
      <c r="AD146" s="2211">
        <f t="shared" si="127"/>
        <v>2018</v>
      </c>
      <c r="AE146" s="2211">
        <f t="shared" si="127"/>
        <v>2019</v>
      </c>
    </row>
    <row r="147" spans="1:31" ht="12.75" customHeight="1">
      <c r="A147" s="664"/>
      <c r="B147" s="664"/>
      <c r="C147" s="794" t="s">
        <v>401</v>
      </c>
      <c r="D147" s="689" t="s">
        <v>686</v>
      </c>
      <c r="E147" s="738" t="s">
        <v>1692</v>
      </c>
      <c r="F147" s="733" t="s">
        <v>1162</v>
      </c>
      <c r="G147" s="739"/>
      <c r="H147" s="739">
        <f t="shared" ref="H147:AB147" si="128">(H136/G136-1)*100</f>
        <v>18.125813117012335</v>
      </c>
      <c r="I147" s="739">
        <f t="shared" si="128"/>
        <v>40.749138889788682</v>
      </c>
      <c r="J147" s="739">
        <f t="shared" si="128"/>
        <v>24.166871240947586</v>
      </c>
      <c r="K147" s="739">
        <f t="shared" si="128"/>
        <v>-4.1333547518133447</v>
      </c>
      <c r="L147" s="739">
        <f t="shared" si="128"/>
        <v>57.364465984377809</v>
      </c>
      <c r="M147" s="739">
        <f t="shared" si="128"/>
        <v>10.490103328377831</v>
      </c>
      <c r="N147" s="739">
        <f t="shared" si="128"/>
        <v>12.320460214910289</v>
      </c>
      <c r="O147" s="739">
        <f t="shared" si="128"/>
        <v>7.6663388620118456</v>
      </c>
      <c r="P147" s="739">
        <f t="shared" si="128"/>
        <v>32.536926410774349</v>
      </c>
      <c r="Q147" s="739">
        <f t="shared" si="128"/>
        <v>-5.3569405033637274</v>
      </c>
      <c r="R147" s="739">
        <f t="shared" si="128"/>
        <v>19.316207571466638</v>
      </c>
      <c r="S147" s="739">
        <f t="shared" si="128"/>
        <v>-7.4055187610844175</v>
      </c>
      <c r="T147" s="739">
        <f t="shared" si="128"/>
        <v>12.493337196469213</v>
      </c>
      <c r="U147" s="739">
        <f t="shared" si="128"/>
        <v>-34.188516467960618</v>
      </c>
      <c r="V147" s="739">
        <f t="shared" si="128"/>
        <v>51.671630822177718</v>
      </c>
      <c r="W147" s="739">
        <f t="shared" si="128"/>
        <v>20.45381577521934</v>
      </c>
      <c r="X147" s="739">
        <f t="shared" si="128"/>
        <v>-2.2049324817100424</v>
      </c>
      <c r="Y147" s="739">
        <f t="shared" si="128"/>
        <v>-1.6284482672133227</v>
      </c>
      <c r="Z147" s="739">
        <f t="shared" si="128"/>
        <v>-14.288263940236101</v>
      </c>
      <c r="AA147" s="739">
        <f t="shared" si="128"/>
        <v>21.063945821062767</v>
      </c>
      <c r="AB147" s="739">
        <f t="shared" si="128"/>
        <v>5.371917748754651</v>
      </c>
      <c r="AC147" s="2213">
        <v>5.5</v>
      </c>
      <c r="AD147" s="2213">
        <v>5.5</v>
      </c>
      <c r="AE147" s="2213">
        <v>5.5</v>
      </c>
    </row>
    <row r="148" spans="1:31" ht="12.75" customHeight="1">
      <c r="A148" s="664"/>
      <c r="B148" s="664"/>
      <c r="C148" s="795" t="s">
        <v>401</v>
      </c>
      <c r="D148" s="674" t="s">
        <v>687</v>
      </c>
      <c r="E148" s="783" t="s">
        <v>2015</v>
      </c>
      <c r="F148" s="704" t="s">
        <v>2094</v>
      </c>
      <c r="G148" s="706"/>
      <c r="H148" s="706">
        <f>(H137/G137-1)*100</f>
        <v>8.3273251622206335</v>
      </c>
      <c r="I148" s="706">
        <f>(I137/H137-1)*100</f>
        <v>81.264559068219626</v>
      </c>
      <c r="J148" s="706">
        <f>(J137/I137-1)*100</f>
        <v>179.82375619607126</v>
      </c>
      <c r="K148" s="706">
        <f>(K137/J137-1)*100</f>
        <v>-1.115339194331455</v>
      </c>
      <c r="L148" s="706">
        <f t="shared" ref="L148:V148" si="129">(L137/K137-1)*100</f>
        <v>14.643046709129525</v>
      </c>
      <c r="M148" s="706">
        <f t="shared" si="129"/>
        <v>22.848544475953481</v>
      </c>
      <c r="N148" s="706">
        <f t="shared" si="129"/>
        <v>-21.157017006642487</v>
      </c>
      <c r="O148" s="706">
        <f t="shared" si="129"/>
        <v>-7.3076003824091851</v>
      </c>
      <c r="P148" s="706">
        <f t="shared" si="129"/>
        <v>-7.3744601302133788</v>
      </c>
      <c r="Q148" s="706">
        <f t="shared" si="129"/>
        <v>12.269468995754762</v>
      </c>
      <c r="R148" s="706">
        <f t="shared" si="129"/>
        <v>-10.693032482023302</v>
      </c>
      <c r="S148" s="706">
        <f t="shared" si="129"/>
        <v>19.504407579648774</v>
      </c>
      <c r="T148" s="706">
        <f t="shared" si="129"/>
        <v>15.287216123598778</v>
      </c>
      <c r="U148" s="706">
        <f t="shared" si="129"/>
        <v>-15.587687037130326</v>
      </c>
      <c r="V148" s="706">
        <f t="shared" si="129"/>
        <v>14.771709937332144</v>
      </c>
      <c r="W148" s="706">
        <f t="shared" ref="W148:AB149" si="130">(W137/V137-1)*100</f>
        <v>-10.343213728549138</v>
      </c>
      <c r="X148" s="706">
        <f t="shared" si="130"/>
        <v>17.812191868221095</v>
      </c>
      <c r="Y148" s="706">
        <f t="shared" si="130"/>
        <v>-36.943678613627405</v>
      </c>
      <c r="Z148" s="706">
        <f t="shared" si="130"/>
        <v>7.2845096814490917</v>
      </c>
      <c r="AA148" s="706">
        <f t="shared" si="130"/>
        <v>8.128957135579661</v>
      </c>
      <c r="AB148" s="706">
        <f t="shared" si="130"/>
        <v>26.706151568178726</v>
      </c>
      <c r="AC148" s="2215">
        <v>15</v>
      </c>
      <c r="AD148" s="2215">
        <v>10</v>
      </c>
      <c r="AE148" s="2215">
        <v>6</v>
      </c>
    </row>
    <row r="149" spans="1:31" ht="12.75" customHeight="1">
      <c r="A149" s="664"/>
      <c r="B149" s="664"/>
      <c r="C149" s="795" t="s">
        <v>1767</v>
      </c>
      <c r="D149" s="674" t="s">
        <v>687</v>
      </c>
      <c r="E149" s="783" t="s">
        <v>851</v>
      </c>
      <c r="F149" s="981" t="s">
        <v>854</v>
      </c>
      <c r="G149" s="706"/>
      <c r="H149" s="706" t="e">
        <f>(H138/G138-1)*100</f>
        <v>#DIV/0!</v>
      </c>
      <c r="I149" s="706" t="e">
        <f t="shared" ref="I149:T149" si="131">(I138/H138-1)*100</f>
        <v>#DIV/0!</v>
      </c>
      <c r="J149" s="706" t="e">
        <f t="shared" si="131"/>
        <v>#DIV/0!</v>
      </c>
      <c r="K149" s="706" t="e">
        <f>(K138/J138-1)*100</f>
        <v>#DIV/0!</v>
      </c>
      <c r="L149" s="706" t="e">
        <f t="shared" si="131"/>
        <v>#DIV/0!</v>
      </c>
      <c r="M149" s="706" t="e">
        <f t="shared" si="131"/>
        <v>#DIV/0!</v>
      </c>
      <c r="N149" s="706" t="e">
        <f t="shared" si="131"/>
        <v>#DIV/0!</v>
      </c>
      <c r="O149" s="706" t="e">
        <f t="shared" si="131"/>
        <v>#DIV/0!</v>
      </c>
      <c r="P149" s="706" t="e">
        <f t="shared" si="131"/>
        <v>#DIV/0!</v>
      </c>
      <c r="Q149" s="706">
        <f t="shared" si="131"/>
        <v>0</v>
      </c>
      <c r="R149" s="706">
        <f t="shared" si="131"/>
        <v>2.8421709430404007E-10</v>
      </c>
      <c r="S149" s="706">
        <f t="shared" si="131"/>
        <v>-2.8421709430404007E-10</v>
      </c>
      <c r="T149" s="706">
        <f t="shared" si="131"/>
        <v>100.00000000028422</v>
      </c>
      <c r="U149" s="706">
        <f>(U138/T138-1)*100</f>
        <v>1.4210854715202004E-10</v>
      </c>
      <c r="V149" s="706">
        <f>(V138/U138-1)*100</f>
        <v>-2.8421709430404007E-10</v>
      </c>
      <c r="W149" s="706">
        <f t="shared" si="130"/>
        <v>0</v>
      </c>
      <c r="X149" s="706">
        <f t="shared" si="130"/>
        <v>-50</v>
      </c>
      <c r="Y149" s="706">
        <f t="shared" si="130"/>
        <v>1.1368683772161603E-9</v>
      </c>
      <c r="Z149" s="706">
        <f t="shared" si="130"/>
        <v>-1.1368683772161603E-9</v>
      </c>
      <c r="AA149" s="706">
        <f t="shared" si="130"/>
        <v>1.1368683772161603E-9</v>
      </c>
      <c r="AB149" s="706">
        <f t="shared" si="130"/>
        <v>-1.1368683772161603E-9</v>
      </c>
      <c r="AC149" s="3077">
        <v>0</v>
      </c>
      <c r="AD149" s="3077">
        <v>0</v>
      </c>
      <c r="AE149" s="3077">
        <v>0</v>
      </c>
    </row>
    <row r="150" spans="1:31" ht="12.75" customHeight="1">
      <c r="A150" s="664"/>
      <c r="B150" s="664"/>
      <c r="C150" s="795" t="s">
        <v>1767</v>
      </c>
      <c r="D150" s="674" t="s">
        <v>687</v>
      </c>
      <c r="E150" s="783" t="s">
        <v>1205</v>
      </c>
      <c r="F150" s="704" t="s">
        <v>846</v>
      </c>
      <c r="G150" s="706"/>
      <c r="H150" s="706">
        <f t="shared" ref="H150:AB150" si="132">(H139/G139-1)*100</f>
        <v>200.55679287305122</v>
      </c>
      <c r="I150" s="706">
        <f t="shared" si="132"/>
        <v>6.0145732987526346</v>
      </c>
      <c r="J150" s="706">
        <f t="shared" si="132"/>
        <v>71.866262814538672</v>
      </c>
      <c r="K150" s="706">
        <f>(K139/J139-1)*100</f>
        <v>26.713210872364932</v>
      </c>
      <c r="L150" s="706">
        <f t="shared" si="132"/>
        <v>23.943511287043972</v>
      </c>
      <c r="M150" s="706">
        <f t="shared" si="132"/>
        <v>-7.8463530427276496</v>
      </c>
      <c r="N150" s="706">
        <f t="shared" si="132"/>
        <v>-7.0766204571000468</v>
      </c>
      <c r="O150" s="706">
        <f t="shared" si="132"/>
        <v>3.7296507232498222</v>
      </c>
      <c r="P150" s="706">
        <f t="shared" si="132"/>
        <v>-20.455760167144454</v>
      </c>
      <c r="Q150" s="706">
        <f t="shared" si="132"/>
        <v>-1.8264003420682906</v>
      </c>
      <c r="R150" s="706">
        <f t="shared" si="132"/>
        <v>4.5358387257341981</v>
      </c>
      <c r="S150" s="706">
        <f t="shared" si="132"/>
        <v>14.463424796143087</v>
      </c>
      <c r="T150" s="706">
        <f t="shared" si="132"/>
        <v>11.330664032031601</v>
      </c>
      <c r="U150" s="706">
        <f t="shared" si="132"/>
        <v>55.628211116300804</v>
      </c>
      <c r="V150" s="706">
        <f t="shared" si="132"/>
        <v>53.019207683073219</v>
      </c>
      <c r="W150" s="706">
        <f t="shared" si="132"/>
        <v>12.903542148825164</v>
      </c>
      <c r="X150" s="706">
        <f t="shared" si="132"/>
        <v>14.404586120038232</v>
      </c>
      <c r="Y150" s="706">
        <f t="shared" si="132"/>
        <v>-6.6446998800431478</v>
      </c>
      <c r="Z150" s="706">
        <f t="shared" si="132"/>
        <v>-4.5623851271124449</v>
      </c>
      <c r="AA150" s="706">
        <f t="shared" si="132"/>
        <v>-3.0813279705501406</v>
      </c>
      <c r="AB150" s="706">
        <f t="shared" si="132"/>
        <v>-9.1281564324400382</v>
      </c>
      <c r="AC150" s="3670">
        <v>-4.2127058459275926</v>
      </c>
      <c r="AD150" s="3670">
        <v>-22.222222222222207</v>
      </c>
      <c r="AE150" s="3670">
        <v>4.1558441558441572</v>
      </c>
    </row>
    <row r="151" spans="1:31" ht="12.75" customHeight="1">
      <c r="A151" s="664"/>
      <c r="B151" s="664"/>
      <c r="C151" s="796" t="s">
        <v>401</v>
      </c>
      <c r="D151" s="691" t="s">
        <v>688</v>
      </c>
      <c r="E151" s="797" t="s">
        <v>1692</v>
      </c>
      <c r="F151" s="736" t="s">
        <v>885</v>
      </c>
      <c r="G151" s="741"/>
      <c r="H151" s="741">
        <f t="shared" ref="H151:AB151" si="133">(H142/G142-1)*100</f>
        <v>825.92592592592632</v>
      </c>
      <c r="I151" s="741">
        <f t="shared" si="133"/>
        <v>108.80000000000001</v>
      </c>
      <c r="J151" s="741">
        <f t="shared" si="133"/>
        <v>47.701149425287362</v>
      </c>
      <c r="K151" s="741">
        <f>(K142/J142-1)*100</f>
        <v>9.0791180285343831</v>
      </c>
      <c r="L151" s="741">
        <f t="shared" si="133"/>
        <v>0.23781212841853527</v>
      </c>
      <c r="M151" s="741">
        <f t="shared" si="133"/>
        <v>-1.1862396204033065</v>
      </c>
      <c r="N151" s="741">
        <f t="shared" si="133"/>
        <v>-11.164465786314537</v>
      </c>
      <c r="O151" s="741">
        <f t="shared" si="133"/>
        <v>111.35135135135137</v>
      </c>
      <c r="P151" s="741">
        <f t="shared" si="133"/>
        <v>29.092071611253225</v>
      </c>
      <c r="Q151" s="741">
        <f t="shared" si="133"/>
        <v>13.896225854383349</v>
      </c>
      <c r="R151" s="741">
        <f t="shared" si="133"/>
        <v>26.876876876876878</v>
      </c>
      <c r="S151" s="741">
        <f t="shared" si="133"/>
        <v>61.77514792899408</v>
      </c>
      <c r="T151" s="741">
        <f t="shared" si="133"/>
        <v>-1.0241404535479171</v>
      </c>
      <c r="U151" s="741">
        <f t="shared" si="133"/>
        <v>-117.96008869179602</v>
      </c>
      <c r="V151" s="741">
        <f t="shared" si="133"/>
        <v>-505.76131687242798</v>
      </c>
      <c r="W151" s="741">
        <f t="shared" si="133"/>
        <v>60.547667342799194</v>
      </c>
      <c r="X151" s="741">
        <f t="shared" si="133"/>
        <v>-14.908401768793434</v>
      </c>
      <c r="Y151" s="741">
        <f t="shared" si="133"/>
        <v>-4.8997772828507813</v>
      </c>
      <c r="Z151" s="741">
        <f t="shared" si="133"/>
        <v>-39.734582357533178</v>
      </c>
      <c r="AA151" s="741">
        <f t="shared" si="133"/>
        <v>142.35751295336786</v>
      </c>
      <c r="AB151" s="741">
        <f t="shared" si="133"/>
        <v>-1.0689470871191875</v>
      </c>
      <c r="AC151" s="3610">
        <v>1.5</v>
      </c>
      <c r="AD151" s="3610">
        <v>2</v>
      </c>
      <c r="AE151" s="3610">
        <v>2</v>
      </c>
    </row>
    <row r="152" spans="1:31" ht="12.75" customHeight="1">
      <c r="A152" s="664"/>
      <c r="B152" s="664"/>
      <c r="C152" s="774" t="s">
        <v>1769</v>
      </c>
      <c r="D152" s="717" t="s">
        <v>685</v>
      </c>
      <c r="E152" s="722" t="s">
        <v>1692</v>
      </c>
      <c r="F152" s="723" t="s">
        <v>682</v>
      </c>
      <c r="G152" s="721"/>
      <c r="H152" s="721">
        <f t="shared" ref="H152:T152" si="134">(H143/G143-1)*100</f>
        <v>18.456266953937206</v>
      </c>
      <c r="I152" s="721">
        <f t="shared" si="134"/>
        <v>29.029112384542067</v>
      </c>
      <c r="J152" s="721">
        <f t="shared" si="134"/>
        <v>18.242032591435198</v>
      </c>
      <c r="K152" s="721">
        <f>(K143/J143-1)*100</f>
        <v>-4.0791996725149655</v>
      </c>
      <c r="L152" s="721">
        <f>(L143/K143-1)*100</f>
        <v>68.324311373658901</v>
      </c>
      <c r="M152" s="721">
        <f t="shared" si="134"/>
        <v>9.0672941343925331</v>
      </c>
      <c r="N152" s="721">
        <f t="shared" si="134"/>
        <v>15.994029461183379</v>
      </c>
      <c r="O152" s="721">
        <f t="shared" si="134"/>
        <v>0.55410622244411734</v>
      </c>
      <c r="P152" s="721">
        <f t="shared" si="134"/>
        <v>30.832033790446079</v>
      </c>
      <c r="Q152" s="721">
        <f t="shared" si="134"/>
        <v>-8.4345109400096767</v>
      </c>
      <c r="R152" s="721">
        <f t="shared" si="134"/>
        <v>18.531479757280025</v>
      </c>
      <c r="S152" s="721">
        <f t="shared" si="134"/>
        <v>-21.843150484229625</v>
      </c>
      <c r="T152" s="721">
        <f t="shared" si="134"/>
        <v>18.116142935457248</v>
      </c>
      <c r="U152" s="2220">
        <f t="shared" ref="U152:AE152" si="135">(U143/T143-1)*100</f>
        <v>0.20672013827576219</v>
      </c>
      <c r="V152" s="2220">
        <f t="shared" si="135"/>
        <v>17.360079642672723</v>
      </c>
      <c r="W152" s="2220">
        <f t="shared" si="135"/>
        <v>11.926622151255639</v>
      </c>
      <c r="X152" s="2220">
        <f t="shared" si="135"/>
        <v>3.1375131717597649</v>
      </c>
      <c r="Y152" s="2220">
        <f t="shared" si="135"/>
        <v>-2.2202006825655651E-2</v>
      </c>
      <c r="Z152" s="2220">
        <f t="shared" si="135"/>
        <v>-7.2380858799253041</v>
      </c>
      <c r="AA152" s="2220">
        <f t="shared" si="135"/>
        <v>-1.3904101317955719</v>
      </c>
      <c r="AB152" s="2220">
        <f t="shared" si="135"/>
        <v>5.4855883262865168</v>
      </c>
      <c r="AC152" s="2220">
        <f t="shared" si="135"/>
        <v>5.6274529571945342</v>
      </c>
      <c r="AD152" s="2220">
        <f t="shared" si="135"/>
        <v>3.9340874014154759</v>
      </c>
      <c r="AE152" s="2220">
        <f t="shared" si="135"/>
        <v>6.6262175568289505</v>
      </c>
    </row>
    <row r="153" spans="1:31" ht="12.75" customHeight="1">
      <c r="A153" s="664"/>
      <c r="B153" s="664"/>
      <c r="C153" s="774"/>
      <c r="E153" s="786"/>
      <c r="F153" s="787"/>
      <c r="G153" s="703"/>
      <c r="H153" s="788"/>
      <c r="I153" s="703"/>
      <c r="J153" s="703"/>
      <c r="K153" s="703"/>
      <c r="L153" s="703"/>
      <c r="M153" s="703"/>
      <c r="N153" s="703"/>
      <c r="O153" s="703"/>
      <c r="P153" s="703"/>
      <c r="Q153" s="703"/>
      <c r="R153" s="703"/>
      <c r="S153" s="703"/>
      <c r="T153" s="2254"/>
      <c r="U153" s="2254"/>
      <c r="V153" s="2254"/>
      <c r="W153" s="2254"/>
      <c r="X153">
        <f>'VVP2'!X464</f>
        <v>-1.0469999999999999</v>
      </c>
      <c r="Y153">
        <f>'VVP2'!Y464</f>
        <v>-0.95499999999999996</v>
      </c>
      <c r="Z153">
        <f>'VVP2'!Z464</f>
        <v>-0.50700000000000001</v>
      </c>
      <c r="AA153">
        <f>'VVP2'!AA464</f>
        <v>-1.554</v>
      </c>
      <c r="AB153">
        <f>'VVP2'!AB464</f>
        <v>-1.5429999999999999</v>
      </c>
      <c r="AC153">
        <f>'VVP2'!AC464</f>
        <v>-1.5165699999999998</v>
      </c>
      <c r="AD153">
        <f>'VVP2'!AD464</f>
        <v>-1.546837625</v>
      </c>
      <c r="AE153" s="3649">
        <f>'VVP2'!AE464</f>
        <v>-1.5777439521250001</v>
      </c>
    </row>
    <row r="154" spans="1:31" ht="12.75" customHeight="1">
      <c r="A154" s="664"/>
      <c r="B154" s="664"/>
      <c r="C154" s="774"/>
      <c r="D154" s="818"/>
      <c r="E154" s="819" t="s">
        <v>512</v>
      </c>
      <c r="F154" s="820"/>
      <c r="G154" s="821">
        <f>+InputY!$G$3</f>
        <v>1995</v>
      </c>
      <c r="H154" s="821">
        <f>+G154+1</f>
        <v>1996</v>
      </c>
      <c r="I154" s="821">
        <f t="shared" ref="I154:O154" si="136">+H154+1</f>
        <v>1997</v>
      </c>
      <c r="J154" s="821">
        <f t="shared" si="136"/>
        <v>1998</v>
      </c>
      <c r="K154" s="821">
        <f>+J154+1</f>
        <v>1999</v>
      </c>
      <c r="L154" s="821">
        <f t="shared" si="136"/>
        <v>2000</v>
      </c>
      <c r="M154" s="821">
        <f t="shared" si="136"/>
        <v>2001</v>
      </c>
      <c r="N154" s="821">
        <f t="shared" si="136"/>
        <v>2002</v>
      </c>
      <c r="O154" s="821">
        <f t="shared" si="136"/>
        <v>2003</v>
      </c>
      <c r="P154" s="821">
        <f t="shared" ref="P154:V154" si="137">+O154+1</f>
        <v>2004</v>
      </c>
      <c r="Q154" s="821">
        <f t="shared" si="137"/>
        <v>2005</v>
      </c>
      <c r="R154" s="821">
        <f t="shared" si="137"/>
        <v>2006</v>
      </c>
      <c r="S154" s="821">
        <f>+R154+1</f>
        <v>2007</v>
      </c>
      <c r="T154" s="821">
        <f t="shared" si="137"/>
        <v>2008</v>
      </c>
      <c r="U154" s="821">
        <f t="shared" si="137"/>
        <v>2009</v>
      </c>
      <c r="V154" s="821">
        <f t="shared" si="137"/>
        <v>2010</v>
      </c>
      <c r="W154" s="821">
        <f t="shared" ref="W154:AE154" si="138">+V154+1</f>
        <v>2011</v>
      </c>
      <c r="X154" s="821">
        <f t="shared" si="138"/>
        <v>2012</v>
      </c>
      <c r="Y154" s="821">
        <f t="shared" si="138"/>
        <v>2013</v>
      </c>
      <c r="Z154" s="821">
        <f t="shared" si="138"/>
        <v>2014</v>
      </c>
      <c r="AA154" s="821">
        <f t="shared" si="138"/>
        <v>2015</v>
      </c>
      <c r="AB154" s="821">
        <f t="shared" si="138"/>
        <v>2016</v>
      </c>
      <c r="AC154" s="821">
        <f t="shared" si="138"/>
        <v>2017</v>
      </c>
      <c r="AD154" s="821">
        <f t="shared" si="138"/>
        <v>2018</v>
      </c>
      <c r="AE154" s="821">
        <f t="shared" si="138"/>
        <v>2019</v>
      </c>
    </row>
    <row r="155" spans="1:31" ht="12.75" customHeight="1">
      <c r="A155" s="664"/>
      <c r="B155" s="664"/>
      <c r="C155" s="822" t="s">
        <v>401</v>
      </c>
      <c r="D155" s="823" t="s">
        <v>686</v>
      </c>
      <c r="E155" s="824" t="s">
        <v>1692</v>
      </c>
      <c r="F155" s="825" t="s">
        <v>1162</v>
      </c>
      <c r="G155" s="838">
        <f>+G136/'VVP2'!G$341</f>
        <v>-0.10097455995404746</v>
      </c>
      <c r="H155" s="838">
        <f>+H136/'VVP2'!H$341</f>
        <v>-9.533824369605165E-2</v>
      </c>
      <c r="I155" s="838">
        <f>+I136/'VVP2'!I$341</f>
        <v>-0.11118067200371194</v>
      </c>
      <c r="J155" s="838">
        <f>+J136/'VVP2'!J$341</f>
        <v>-0.12429311716515792</v>
      </c>
      <c r="K155" s="838">
        <f>+K136/'VVP2'!K$341</f>
        <v>-0.12206027652437682</v>
      </c>
      <c r="L155" s="838">
        <f>+L136/'VVP2'!L$341</f>
        <v>-0.18265238798400382</v>
      </c>
      <c r="M155" s="838">
        <f>+M136/'VVP2'!M$341</f>
        <v>-0.19006419378746164</v>
      </c>
      <c r="N155" s="838">
        <f>+N136/'VVP2'!N$341</f>
        <v>-0.19933075343848938</v>
      </c>
      <c r="O155" s="838">
        <f>+O136/'VVP2'!O$341</f>
        <v>-0.19573290426001652</v>
      </c>
      <c r="P155" s="838">
        <f>+P136/'VVP2'!P$341</f>
        <v>-0.23709707134444444</v>
      </c>
      <c r="Q155" s="838">
        <f>+Q136/'VVP2'!Q$341</f>
        <v>-0.19485771830295179</v>
      </c>
      <c r="R155" s="838">
        <f>+R136/'VVP2'!R$341</f>
        <v>-0.20278846704912706</v>
      </c>
      <c r="S155" s="838">
        <f>+S136/'VVP2'!S$341</f>
        <v>-0.15569102079635933</v>
      </c>
      <c r="T155" s="2909">
        <f>+T136/'VVP2'!T$341</f>
        <v>-0.15556020440245802</v>
      </c>
      <c r="U155" s="2909">
        <f>+U136/'VVP2'!U$341</f>
        <v>-0.124275194710787</v>
      </c>
      <c r="V155" s="2909">
        <f>+V136/'VVP2'!V$341</f>
        <v>-0.18114070172108557</v>
      </c>
      <c r="W155" s="2909">
        <f>+W136/'VVP2'!W$341</f>
        <v>-0.19553373074999708</v>
      </c>
      <c r="X155" s="2909">
        <f>+X136/'VVP2'!X$341</f>
        <v>-0.17933471030763617</v>
      </c>
      <c r="Y155" s="2909">
        <f>+Y136/'VVP2'!Y$341</f>
        <v>-0.16828400741998273</v>
      </c>
      <c r="Z155" s="2909">
        <f>+Z136/'VVP2'!Z$341</f>
        <v>-0.13789409838253261</v>
      </c>
      <c r="AA155" s="2909">
        <f>+AA136/'VVP2'!AA$341</f>
        <v>-0.16311148672027734</v>
      </c>
      <c r="AB155" s="2909">
        <f>+AB136/'VVP2'!AB$341</f>
        <v>-0.1663545248410068</v>
      </c>
      <c r="AC155" s="2909">
        <f ca="1">+AC136/'VVP2'!AC$341</f>
        <v>-0.16243445556325406</v>
      </c>
      <c r="AD155" s="2909">
        <f ca="1">+AD136/'VVP2'!AD$341</f>
        <v>-0.16194182073069605</v>
      </c>
      <c r="AE155" s="2909">
        <f ca="1">+AE136/'VVP2'!AE$341</f>
        <v>-0.16182713474264021</v>
      </c>
    </row>
    <row r="156" spans="1:31" ht="12.75" customHeight="1">
      <c r="A156" s="664"/>
      <c r="B156" s="664"/>
      <c r="C156" s="826" t="s">
        <v>401</v>
      </c>
      <c r="D156" s="674" t="s">
        <v>687</v>
      </c>
      <c r="E156" s="783" t="s">
        <v>2015</v>
      </c>
      <c r="F156" s="704" t="s">
        <v>2094</v>
      </c>
      <c r="G156" s="839">
        <f>+G137/'VVP2'!G$341</f>
        <v>3.5726566836627584E-3</v>
      </c>
      <c r="H156" s="839">
        <f>+H137/'VVP2'!H$341</f>
        <v>3.0934255699160505E-3</v>
      </c>
      <c r="I156" s="839">
        <f>+I137/'VVP2'!I$341</f>
        <v>4.6458905149458305E-3</v>
      </c>
      <c r="J156" s="839">
        <f>+J137/'VVP2'!J$341</f>
        <v>1.1704843203327302E-2</v>
      </c>
      <c r="K156" s="839">
        <f>+K137/'VVP2'!K$341</f>
        <v>1.1856438914796005E-2</v>
      </c>
      <c r="L156" s="839">
        <f>+L137/'VVP2'!L$341</f>
        <v>1.2925469286020983E-2</v>
      </c>
      <c r="M156" s="839">
        <f>+M137/'VVP2'!M$341</f>
        <v>1.4954362669537258E-2</v>
      </c>
      <c r="N156" s="839">
        <f>+N137/'VVP2'!N$341</f>
        <v>1.1008954642659568E-2</v>
      </c>
      <c r="O156" s="839">
        <f>+O137/'VVP2'!O$341</f>
        <v>9.3067874215285382E-3</v>
      </c>
      <c r="P156" s="839">
        <f>+P137/'VVP2'!P$341</f>
        <v>7.8787260688287786E-3</v>
      </c>
      <c r="Q156" s="839">
        <f>+Q137/'VVP2'!Q$341</f>
        <v>7.6810452163686444E-3</v>
      </c>
      <c r="R156" s="839">
        <f>+R137/'VVP2'!R$341</f>
        <v>5.9831771679932618E-3</v>
      </c>
      <c r="S156" s="839">
        <f>+S137/'VVP2'!S$341</f>
        <v>5.9285842677129236E-3</v>
      </c>
      <c r="T156" s="2910">
        <f>+T137/'VVP2'!T$341</f>
        <v>6.0707211951940704E-3</v>
      </c>
      <c r="U156" s="2910">
        <f>+U137/'VVP2'!U$341</f>
        <v>6.2205724783013219E-3</v>
      </c>
      <c r="V156" s="2910">
        <f>+V137/'VVP2'!V$341</f>
        <v>6.8610793765872709E-3</v>
      </c>
      <c r="W156" s="2910">
        <f>+W137/'VVP2'!W$341</f>
        <v>5.5126534276867516E-3</v>
      </c>
      <c r="X156" s="2910">
        <f>+X137/'VVP2'!X$341</f>
        <v>6.0908323257911597E-3</v>
      </c>
      <c r="Y156" s="2910">
        <f>+Y137/'VVP2'!Y$341</f>
        <v>3.6636522390813405E-3</v>
      </c>
      <c r="Z156" s="2910">
        <f>+Z137/'VVP2'!Z$341</f>
        <v>3.7576281958024821E-3</v>
      </c>
      <c r="AA156" s="2910">
        <f>+AA137/'VVP2'!AA$341</f>
        <v>3.9699026975726628E-3</v>
      </c>
      <c r="AB156" s="2910">
        <f>+AB137/'VVP2'!AB$341</f>
        <v>4.8685849294719807E-3</v>
      </c>
      <c r="AC156" s="2910">
        <f ca="1">+AC137/'VVP2'!AC$341</f>
        <v>5.1819315280003438E-3</v>
      </c>
      <c r="AD156" s="2910">
        <f ca="1">+AD137/'VVP2'!AD$341</f>
        <v>5.3865755599866927E-3</v>
      </c>
      <c r="AE156" s="2910">
        <f ca="1">+AE137/'VVP2'!AE$341</f>
        <v>5.4082715422240054E-3</v>
      </c>
    </row>
    <row r="157" spans="1:31" ht="12.75" customHeight="1">
      <c r="A157" s="664"/>
      <c r="B157" s="664"/>
      <c r="C157" s="826" t="s">
        <v>1767</v>
      </c>
      <c r="D157" s="674" t="s">
        <v>687</v>
      </c>
      <c r="E157" s="783" t="s">
        <v>851</v>
      </c>
      <c r="F157" s="981" t="s">
        <v>854</v>
      </c>
      <c r="G157" s="839">
        <f>+G138/'VVP2'!G$341</f>
        <v>0</v>
      </c>
      <c r="H157" s="839">
        <f>+H138/'VVP2'!H$341</f>
        <v>0</v>
      </c>
      <c r="I157" s="839">
        <f>+I138/'VVP2'!I$341</f>
        <v>0</v>
      </c>
      <c r="J157" s="839">
        <f>+J138/'VVP2'!J$341</f>
        <v>0</v>
      </c>
      <c r="K157" s="839">
        <f>+K138/'VVP2'!K$341</f>
        <v>0</v>
      </c>
      <c r="L157" s="839">
        <f>+L138/'VVP2'!L$341</f>
        <v>0</v>
      </c>
      <c r="M157" s="839">
        <f>+M138/'VVP2'!M$341</f>
        <v>0</v>
      </c>
      <c r="N157" s="839">
        <f>+N138/'VVP2'!N$341</f>
        <v>0</v>
      </c>
      <c r="O157" s="839">
        <f>+O138/'VVP2'!O$341</f>
        <v>0</v>
      </c>
      <c r="P157" s="839">
        <f>+P138/'VVP2'!P$341</f>
        <v>5.4831415330375204E-7</v>
      </c>
      <c r="Q157" s="839">
        <f>+Q138/'VVP2'!Q$341</f>
        <v>4.7613719417069547E-7</v>
      </c>
      <c r="R157" s="839">
        <f>+R138/'VVP2'!R$341</f>
        <v>4.1529653418510623E-7</v>
      </c>
      <c r="S157" s="839">
        <f>+S138/'VVP2'!S$341</f>
        <v>3.4434479106159797E-7</v>
      </c>
      <c r="T157" s="2910">
        <f>+T138/'VVP2'!T$341</f>
        <v>6.1169038190308593E-7</v>
      </c>
      <c r="U157" s="2910">
        <f>+U138/'VVP2'!U$341</f>
        <v>7.4253327106097809E-7</v>
      </c>
      <c r="V157" s="2910">
        <f>+V138/'VVP2'!V$341</f>
        <v>7.1358079839636308E-7</v>
      </c>
      <c r="W157" s="2910">
        <f>+W138/'VVP2'!W$341</f>
        <v>6.3948186621213818E-7</v>
      </c>
      <c r="X157" s="2910">
        <f>+X138/'VVP2'!X$341</f>
        <v>2.9986374191540079E-7</v>
      </c>
      <c r="Y157" s="2910">
        <f>+Y138/'VVP2'!Y$341</f>
        <v>2.8604405364769361E-7</v>
      </c>
      <c r="Z157" s="2910">
        <f>+Z138/'VVP2'!Z$341</f>
        <v>2.7346104328644673E-7</v>
      </c>
      <c r="AA157" s="2910">
        <f>+AA138/'VVP2'!AA$341</f>
        <v>2.6718957447935017E-7</v>
      </c>
      <c r="AB157" s="2910">
        <f>+AB138/'VVP2'!AB$341</f>
        <v>2.5860963186378164E-7</v>
      </c>
      <c r="AC157" s="2910">
        <f ca="1">+AC138/'VVP2'!AC$341</f>
        <v>2.3935129159929752E-7</v>
      </c>
      <c r="AD157" s="2910">
        <f ca="1">+AD138/'VVP2'!AD$341</f>
        <v>2.2618519589978346E-7</v>
      </c>
      <c r="AE157" s="2910">
        <f ca="1">+AE138/'VVP2'!AE$341</f>
        <v>2.142417187044588E-7</v>
      </c>
    </row>
    <row r="158" spans="1:31" ht="12.75" customHeight="1">
      <c r="A158" s="664"/>
      <c r="B158" s="664"/>
      <c r="C158" s="826" t="s">
        <v>1767</v>
      </c>
      <c r="D158" s="674" t="s">
        <v>687</v>
      </c>
      <c r="E158" s="783" t="s">
        <v>1205</v>
      </c>
      <c r="F158" s="704" t="s">
        <v>846</v>
      </c>
      <c r="G158" s="839">
        <f>+G139/'VVP2'!G$341</f>
        <v>3.4696240467871208E-3</v>
      </c>
      <c r="H158" s="839">
        <f>+H139/'VVP2'!H$341</f>
        <v>8.3352635073578232E-3</v>
      </c>
      <c r="I158" s="839">
        <f>+I139/'VVP2'!I$341</f>
        <v>7.3215208702579419E-3</v>
      </c>
      <c r="J158" s="839">
        <f>+J139/'VVP2'!J$341</f>
        <v>1.1329323696279208E-2</v>
      </c>
      <c r="K158" s="839">
        <f>+K139/'VVP2'!K$341</f>
        <v>1.470569725804117E-2</v>
      </c>
      <c r="L158" s="839">
        <f>+L139/'VVP2'!L$341</f>
        <v>1.733220228931687E-2</v>
      </c>
      <c r="M158" s="839">
        <f>+M139/'VVP2'!M$341</f>
        <v>1.5042424823100746E-2</v>
      </c>
      <c r="N158" s="839">
        <f>+N139/'VVP2'!N$341</f>
        <v>1.3051426210863318E-2</v>
      </c>
      <c r="O158" s="839">
        <f>+O139/'VVP2'!O$341</f>
        <v>1.2347256618479911E-2</v>
      </c>
      <c r="P158" s="839">
        <f>+P139/'VVP2'!P$341</f>
        <v>8.9764510037438888E-3</v>
      </c>
      <c r="Q158" s="839">
        <f>+Q139/'VVP2'!Q$341</f>
        <v>7.6524769847183772E-3</v>
      </c>
      <c r="R158" s="839">
        <f>+R139/'VVP2'!R$341</f>
        <v>6.9773970708304845E-3</v>
      </c>
      <c r="S158" s="839">
        <f>+S139/'VVP2'!S$341</f>
        <v>6.6220946769116138E-3</v>
      </c>
      <c r="T158" s="2910">
        <f>+T139/'VVP2'!T$341</f>
        <v>6.5481455382691844E-3</v>
      </c>
      <c r="U158" s="2910">
        <f>+U139/'VVP2'!U$341</f>
        <v>1.2370604295851987E-2</v>
      </c>
      <c r="V158" s="2910">
        <f>+V139/'VVP2'!V$341</f>
        <v>1.8191315293535029E-2</v>
      </c>
      <c r="W158" s="2910">
        <f>+W139/'VVP2'!W$341</f>
        <v>1.8405886814267608E-2</v>
      </c>
      <c r="X158" s="2910">
        <f>+X139/'VVP2'!X$341</f>
        <v>1.9748126451340511E-2</v>
      </c>
      <c r="Y158" s="2910">
        <f>+Y139/'VVP2'!Y$341</f>
        <v>1.758627446212991E-2</v>
      </c>
      <c r="Z158" s="2910">
        <f>+Z139/'VVP2'!Z$341</f>
        <v>1.6045600175890139E-2</v>
      </c>
      <c r="AA158" s="2910">
        <f>+AA139/'VVP2'!AA$341</f>
        <v>1.5194536721332761E-2</v>
      </c>
      <c r="AB158" s="2910">
        <f>+AB139/'VVP2'!AB$341</f>
        <v>1.3364169945836796E-2</v>
      </c>
      <c r="AC158" s="2910">
        <f ca="1">+AC139/'VVP2'!AC$341</f>
        <v>1.1847888934176003E-2</v>
      </c>
      <c r="AD158" s="2910">
        <f ca="1">+AD139/'VVP2'!AD$341</f>
        <v>8.7081300421495821E-3</v>
      </c>
      <c r="AE158" s="2910">
        <f ca="1">+AE139/'VVP2'!AE$341</f>
        <v>8.5910929200566106E-3</v>
      </c>
    </row>
    <row r="159" spans="1:31" ht="12.75" customHeight="1">
      <c r="A159" s="664"/>
      <c r="B159" s="664"/>
      <c r="C159" s="827" t="s">
        <v>401</v>
      </c>
      <c r="D159" s="828" t="s">
        <v>688</v>
      </c>
      <c r="E159" s="829" t="s">
        <v>1692</v>
      </c>
      <c r="F159" s="830" t="s">
        <v>885</v>
      </c>
      <c r="G159" s="840">
        <f>+G142/'VVP2'!G$341</f>
        <v>1.0071106043074583E-3</v>
      </c>
      <c r="H159" s="840">
        <f>+H142/'VVP2'!H$341</f>
        <v>7.4535604899986412E-3</v>
      </c>
      <c r="I159" s="840">
        <f>+I142/'VVP2'!I$341</f>
        <v>1.2894683169852254E-2</v>
      </c>
      <c r="J159" s="840">
        <f>+J142/'VVP2'!J$341</f>
        <v>1.7147728474900106E-2</v>
      </c>
      <c r="K159" s="840">
        <f>+K142/'VVP2'!K$341</f>
        <v>1.9160549303379768E-2</v>
      </c>
      <c r="L159" s="840">
        <f>+L142/'VVP2'!L$341</f>
        <v>1.826349403027033E-2</v>
      </c>
      <c r="M159" s="840">
        <f>+M142/'VVP2'!M$341</f>
        <v>1.6996240481553616E-2</v>
      </c>
      <c r="N159" s="840">
        <f>+N142/'VVP2'!N$341</f>
        <v>1.4097909292976205E-2</v>
      </c>
      <c r="O159" s="840">
        <f>+O142/'VVP2'!O$341</f>
        <v>2.7174985900922304E-2</v>
      </c>
      <c r="P159" s="840">
        <f>+P142/'VVP2'!P$341</f>
        <v>3.2062276283633062E-2</v>
      </c>
      <c r="Q159" s="840">
        <f>+Q142/'VVP2'!Q$341</f>
        <v>3.1710737131797159E-2</v>
      </c>
      <c r="R159" s="840">
        <f>+R142/'VVP2'!R$341</f>
        <v>3.5092557138573656E-2</v>
      </c>
      <c r="S159" s="840">
        <f>+S142/'VVP2'!S$341</f>
        <v>4.7071932938163252E-2</v>
      </c>
      <c r="T159" s="2911">
        <f>+T142/'VVP2'!T$341</f>
        <v>4.138085433572259E-2</v>
      </c>
      <c r="U159" s="2911">
        <f>+U142/'VVP2'!U$341</f>
        <v>-9.021779243373447E-3</v>
      </c>
      <c r="V159" s="2911">
        <f>+V142/'VVP2'!V$341</f>
        <v>3.5179533360972695E-2</v>
      </c>
      <c r="W159" s="2911">
        <f>+W142/'VVP2'!W$341</f>
        <v>5.0614989710736767E-2</v>
      </c>
      <c r="X159" s="2911">
        <f>+X142/'VVP2'!X$341</f>
        <v>4.0391646036041222E-2</v>
      </c>
      <c r="Y159" s="2911">
        <f>+Y142/'VVP2'!Y$341</f>
        <v>3.6642243271886296E-2</v>
      </c>
      <c r="Z159" s="2911">
        <f>+Z142/'VVP2'!Z$341</f>
        <v>2.1111192541732889E-2</v>
      </c>
      <c r="AA159" s="2911">
        <f>+AA142/'VVP2'!AA$341</f>
        <v>4.9991169384563543E-2</v>
      </c>
      <c r="AB159" s="2911">
        <f>+AB142/'VVP2'!AB$341</f>
        <v>4.7868642858029518E-2</v>
      </c>
      <c r="AC159" s="2911">
        <f ca="1">+AC142/'VVP2'!AC$341</f>
        <v>4.4968482936196319E-2</v>
      </c>
      <c r="AD159" s="2911">
        <f ca="1">+AD142/'VVP2'!AD$341</f>
        <v>4.3344780616654401E-2</v>
      </c>
      <c r="AE159" s="2911">
        <f ca="1">+AE142/'VVP2'!AE$341</f>
        <v>4.1877124028489136E-2</v>
      </c>
    </row>
    <row r="160" spans="1:31" ht="12.75" customHeight="1">
      <c r="A160" s="664"/>
      <c r="B160" s="664"/>
      <c r="C160" s="774" t="s">
        <v>1769</v>
      </c>
      <c r="D160" s="806" t="s">
        <v>685</v>
      </c>
      <c r="E160" s="807" t="s">
        <v>1692</v>
      </c>
      <c r="F160" s="808" t="s">
        <v>682</v>
      </c>
      <c r="G160" s="841">
        <f>+G143/'VVP2'!G$341</f>
        <v>9.9229444666966315E-2</v>
      </c>
      <c r="H160" s="841">
        <f>+H143/'VVP2'!H$341</f>
        <v>9.3952636103004375E-2</v>
      </c>
      <c r="I160" s="841">
        <f>+I143/'VVP2'!I$341</f>
        <v>0.10044147474399412</v>
      </c>
      <c r="J160" s="841">
        <f>+J143/'VVP2'!J$341</f>
        <v>0.10692937161533288</v>
      </c>
      <c r="K160" s="841">
        <f>+K143/'VVP2'!K$341</f>
        <v>0.10506777805048426</v>
      </c>
      <c r="L160" s="841">
        <f>+L143/'VVP2'!L$341</f>
        <v>0.16817472535528397</v>
      </c>
      <c r="M160" s="841">
        <f>+M143/'VVP2'!M$341</f>
        <v>0.17274553841905183</v>
      </c>
      <c r="N160" s="841">
        <f>+N143/'VVP2'!N$341</f>
        <v>0.18709302685077198</v>
      </c>
      <c r="O160" s="841">
        <f>+O143/'VVP2'!O$341</f>
        <v>0.17158013208162953</v>
      </c>
      <c r="P160" s="841">
        <f>+P143/'VVP2'!P$341</f>
        <v>0.20516654494092462</v>
      </c>
      <c r="Q160" s="841">
        <f>+Q143/'VVP2'!Q$341</f>
        <v>0.16313269705532951</v>
      </c>
      <c r="R160" s="841">
        <f>+R143/'VVP2'!R$341</f>
        <v>0.16865566020105338</v>
      </c>
      <c r="S160" s="841">
        <f>+S143/'VVP2'!S$341</f>
        <v>0.10929572537263273</v>
      </c>
      <c r="T160" s="2912">
        <f>+T143/'VVP2'!T$341</f>
        <v>0.11466227962324765</v>
      </c>
      <c r="U160" s="2912">
        <f>+U143/'VVP2'!U$341</f>
        <v>0.1394767071025535</v>
      </c>
      <c r="V160" s="2912">
        <f>+V143/'VVP2'!V$341</f>
        <v>0.15730745984502451</v>
      </c>
      <c r="W160" s="2912">
        <f>+W143/'VVP2'!W$341</f>
        <v>0.15778575566932648</v>
      </c>
      <c r="X160" s="2912">
        <f>+X143/'VVP2'!X$341</f>
        <v>0.15261954967662694</v>
      </c>
      <c r="Y160" s="2912">
        <f>+Y143/'VVP2'!Y$341</f>
        <v>0.14555351669710651</v>
      </c>
      <c r="Z160" s="2912">
        <f>+Z143/'VVP2'!Z$341</f>
        <v>0.12907880819114273</v>
      </c>
      <c r="AA160" s="2912">
        <f>+AA143/'VVP2'!AA$341</f>
        <v>0.12436499057755962</v>
      </c>
      <c r="AB160" s="2912">
        <f>+AB143/'VVP2'!AB$341</f>
        <v>0.12697448453928178</v>
      </c>
      <c r="AC160" s="2912">
        <f ca="1">+AC143/'VVP2'!AC$341</f>
        <v>0.12413216938452501</v>
      </c>
      <c r="AD160" s="2912">
        <f ca="1">+AD143/'VVP2'!AD$341</f>
        <v>0.12191882078140044</v>
      </c>
      <c r="AE160" s="2912">
        <f ca="1">+AE143/'VVP2'!AE$341</f>
        <v>0.12313304633370237</v>
      </c>
    </row>
    <row r="161" spans="1:113" ht="30" customHeight="1">
      <c r="AB161" s="2221"/>
      <c r="AC161" s="2221"/>
      <c r="AD161" s="2221"/>
      <c r="AE161" s="2221"/>
    </row>
    <row r="162" spans="1:113" ht="12.75" customHeight="1">
      <c r="A162" s="664"/>
      <c r="B162" s="664"/>
      <c r="C162" s="774"/>
      <c r="D162" s="775"/>
      <c r="E162" s="776" t="s">
        <v>1384</v>
      </c>
      <c r="F162" s="777"/>
      <c r="G162" s="778">
        <f>+InputY!$G$3</f>
        <v>1995</v>
      </c>
      <c r="H162" s="778">
        <f>+G162+1</f>
        <v>1996</v>
      </c>
      <c r="I162" s="778">
        <f t="shared" ref="I162:Q162" si="139">+H162+1</f>
        <v>1997</v>
      </c>
      <c r="J162" s="778">
        <f t="shared" si="139"/>
        <v>1998</v>
      </c>
      <c r="K162" s="778">
        <f>+J162+1</f>
        <v>1999</v>
      </c>
      <c r="L162" s="778">
        <f t="shared" si="139"/>
        <v>2000</v>
      </c>
      <c r="M162" s="778">
        <f t="shared" si="139"/>
        <v>2001</v>
      </c>
      <c r="N162" s="778">
        <f t="shared" si="139"/>
        <v>2002</v>
      </c>
      <c r="O162" s="778">
        <f t="shared" si="139"/>
        <v>2003</v>
      </c>
      <c r="P162" s="778">
        <f>+O162+1</f>
        <v>2004</v>
      </c>
      <c r="Q162" s="778">
        <f t="shared" si="139"/>
        <v>2005</v>
      </c>
      <c r="R162" s="778">
        <f t="shared" ref="R162:W162" si="140">+Q162+1</f>
        <v>2006</v>
      </c>
      <c r="S162" s="778">
        <f t="shared" si="140"/>
        <v>2007</v>
      </c>
      <c r="T162" s="2222">
        <f t="shared" si="140"/>
        <v>2008</v>
      </c>
      <c r="U162" s="2222">
        <f t="shared" si="140"/>
        <v>2009</v>
      </c>
      <c r="V162" s="2222">
        <f t="shared" si="140"/>
        <v>2010</v>
      </c>
      <c r="W162" s="2222">
        <f t="shared" si="140"/>
        <v>2011</v>
      </c>
      <c r="X162" s="2222">
        <f t="shared" ref="X162:AE162" si="141">+W162+1</f>
        <v>2012</v>
      </c>
      <c r="Y162" s="2222">
        <f t="shared" si="141"/>
        <v>2013</v>
      </c>
      <c r="Z162" s="2222">
        <f t="shared" si="141"/>
        <v>2014</v>
      </c>
      <c r="AA162" s="2222">
        <f t="shared" si="141"/>
        <v>2015</v>
      </c>
      <c r="AB162" s="2222">
        <f t="shared" si="141"/>
        <v>2016</v>
      </c>
      <c r="AC162" s="2222">
        <f t="shared" si="141"/>
        <v>2017</v>
      </c>
      <c r="AD162" s="2222">
        <f t="shared" si="141"/>
        <v>2018</v>
      </c>
      <c r="AE162" s="2222">
        <f t="shared" si="141"/>
        <v>2019</v>
      </c>
    </row>
    <row r="163" spans="1:113" ht="12.75" customHeight="1">
      <c r="A163" s="664"/>
      <c r="B163" s="664"/>
      <c r="C163" s="779" t="s">
        <v>1767</v>
      </c>
      <c r="D163" s="668" t="s">
        <v>687</v>
      </c>
      <c r="E163" s="700" t="s">
        <v>1205</v>
      </c>
      <c r="F163" s="701" t="s">
        <v>846</v>
      </c>
      <c r="G163" s="780">
        <f>+G139</f>
        <v>2.6940000000000002E-2</v>
      </c>
      <c r="H163" s="780">
        <f t="shared" ref="H163:O163" si="142">+H139</f>
        <v>8.097E-2</v>
      </c>
      <c r="I163" s="780">
        <f t="shared" si="142"/>
        <v>8.584E-2</v>
      </c>
      <c r="J163" s="780">
        <f t="shared" si="142"/>
        <v>0.14752999999999999</v>
      </c>
      <c r="K163" s="780">
        <f t="shared" si="142"/>
        <v>0.18694</v>
      </c>
      <c r="L163" s="780">
        <f t="shared" si="142"/>
        <v>0.23169999999999999</v>
      </c>
      <c r="M163" s="780">
        <f t="shared" si="142"/>
        <v>0.21352000000000002</v>
      </c>
      <c r="N163" s="780">
        <f t="shared" si="142"/>
        <v>0.19841</v>
      </c>
      <c r="O163" s="780">
        <f t="shared" si="142"/>
        <v>0.20580999999999999</v>
      </c>
      <c r="P163" s="780">
        <f t="shared" ref="P163:Z163" si="143">+P139</f>
        <v>0.16370999999999999</v>
      </c>
      <c r="Q163" s="780">
        <f t="shared" si="143"/>
        <v>0.16072</v>
      </c>
      <c r="R163" s="780">
        <f t="shared" si="143"/>
        <v>0.16800999999999999</v>
      </c>
      <c r="S163" s="780">
        <f t="shared" si="143"/>
        <v>0.19231000000000001</v>
      </c>
      <c r="T163" s="780">
        <f t="shared" si="143"/>
        <v>0.21409999999999998</v>
      </c>
      <c r="U163" s="780">
        <f t="shared" si="143"/>
        <v>0.3332</v>
      </c>
      <c r="V163" s="2267">
        <f t="shared" si="143"/>
        <v>0.50985999999999998</v>
      </c>
      <c r="W163" s="2267">
        <f t="shared" si="143"/>
        <v>0.57565</v>
      </c>
      <c r="X163" s="2267">
        <f t="shared" si="143"/>
        <v>0.6585700000000001</v>
      </c>
      <c r="Y163" s="2267">
        <f>+Y139</f>
        <v>0.61480999999999997</v>
      </c>
      <c r="Z163" s="2267">
        <f t="shared" si="143"/>
        <v>0.58675999999999995</v>
      </c>
      <c r="AA163" s="2267">
        <f>+AA139</f>
        <v>0.56867999999999996</v>
      </c>
      <c r="AB163" s="2267">
        <f>+AB139</f>
        <v>0.51676999999999995</v>
      </c>
      <c r="AC163" s="2267">
        <f>+AC139</f>
        <v>0.49499999999999994</v>
      </c>
      <c r="AD163" s="2267">
        <f>+AD139</f>
        <v>0.38500000000000001</v>
      </c>
      <c r="AE163" s="2267">
        <f>+AE139</f>
        <v>0.40100000000000002</v>
      </c>
    </row>
    <row r="164" spans="1:113" ht="12.75" customHeight="1">
      <c r="A164" s="664"/>
      <c r="B164" s="664"/>
      <c r="C164" s="782" t="s">
        <v>401</v>
      </c>
      <c r="D164" s="674" t="s">
        <v>687</v>
      </c>
      <c r="E164" s="783" t="s">
        <v>210</v>
      </c>
      <c r="F164" s="704" t="s">
        <v>211</v>
      </c>
      <c r="G164" s="706">
        <f t="shared" ref="G164:P164" si="144">+G163-G165</f>
        <v>0</v>
      </c>
      <c r="H164" s="706">
        <f t="shared" si="144"/>
        <v>0</v>
      </c>
      <c r="I164" s="706">
        <f t="shared" si="144"/>
        <v>0</v>
      </c>
      <c r="J164" s="706">
        <f t="shared" si="144"/>
        <v>0</v>
      </c>
      <c r="K164" s="706">
        <f t="shared" si="144"/>
        <v>0</v>
      </c>
      <c r="L164" s="706">
        <f t="shared" si="144"/>
        <v>0</v>
      </c>
      <c r="M164" s="706">
        <f t="shared" si="144"/>
        <v>0</v>
      </c>
      <c r="N164" s="706">
        <f t="shared" si="144"/>
        <v>0</v>
      </c>
      <c r="O164" s="706">
        <f t="shared" si="144"/>
        <v>0</v>
      </c>
      <c r="P164" s="706">
        <f t="shared" si="144"/>
        <v>0</v>
      </c>
      <c r="Q164" s="706">
        <f t="shared" ref="Q164:AB164" si="145">+Q163-Q165</f>
        <v>0</v>
      </c>
      <c r="R164" s="706">
        <f t="shared" si="145"/>
        <v>0</v>
      </c>
      <c r="S164" s="706">
        <f t="shared" si="145"/>
        <v>0</v>
      </c>
      <c r="T164" s="706">
        <f t="shared" si="145"/>
        <v>0</v>
      </c>
      <c r="U164" s="706">
        <f t="shared" si="145"/>
        <v>0</v>
      </c>
      <c r="V164" s="706">
        <f t="shared" si="145"/>
        <v>0</v>
      </c>
      <c r="W164" s="706">
        <f t="shared" si="145"/>
        <v>0</v>
      </c>
      <c r="X164" s="706">
        <f t="shared" si="145"/>
        <v>0</v>
      </c>
      <c r="Y164" s="706">
        <f t="shared" si="145"/>
        <v>0</v>
      </c>
      <c r="Z164" s="706">
        <f t="shared" si="145"/>
        <v>0</v>
      </c>
      <c r="AA164" s="706">
        <f t="shared" si="145"/>
        <v>0</v>
      </c>
      <c r="AB164" s="706">
        <f t="shared" si="145"/>
        <v>0</v>
      </c>
      <c r="AC164" s="2217">
        <f>AB164*(1+AC169/100)</f>
        <v>0</v>
      </c>
      <c r="AD164" s="2217">
        <f>AC164*(1+AD169/100)</f>
        <v>0</v>
      </c>
      <c r="AE164" s="2217">
        <f>AD164*(1+AE169/100)</f>
        <v>0</v>
      </c>
    </row>
    <row r="165" spans="1:113" ht="12.75" customHeight="1">
      <c r="A165" s="664">
        <f>+ROW(InputY!A178)</f>
        <v>178</v>
      </c>
      <c r="B165" s="664">
        <v>132</v>
      </c>
      <c r="C165" s="784" t="s">
        <v>1769</v>
      </c>
      <c r="D165" s="752" t="s">
        <v>687</v>
      </c>
      <c r="E165" s="753" t="s">
        <v>212</v>
      </c>
      <c r="F165" s="754" t="s">
        <v>1028</v>
      </c>
      <c r="G165" s="785">
        <f>+InputY!G178/1000</f>
        <v>2.6940000000000002E-2</v>
      </c>
      <c r="H165" s="785">
        <f>+InputY!H178/1000</f>
        <v>8.097E-2</v>
      </c>
      <c r="I165" s="785">
        <f>+InputY!I178/1000</f>
        <v>8.584E-2</v>
      </c>
      <c r="J165" s="785">
        <f>+InputY!J178/1000</f>
        <v>0.14752999999999999</v>
      </c>
      <c r="K165" s="785">
        <f>+InputY!K178/1000</f>
        <v>0.18694</v>
      </c>
      <c r="L165" s="785">
        <f>+InputY!L178/1000</f>
        <v>0.23169999999999999</v>
      </c>
      <c r="M165" s="785">
        <f>+InputY!M178/1000</f>
        <v>0.21352000000000002</v>
      </c>
      <c r="N165" s="785">
        <f>+InputY!N178/1000</f>
        <v>0.19841</v>
      </c>
      <c r="O165" s="785">
        <f>+InputY!O178/1000</f>
        <v>0.20580999999999999</v>
      </c>
      <c r="P165" s="785">
        <f>+InputY!P178/1000</f>
        <v>0.16370999999999999</v>
      </c>
      <c r="Q165" s="785">
        <f>+InputY!Q178/1000</f>
        <v>0.16072</v>
      </c>
      <c r="R165" s="785">
        <f>+InputY!R178/1000</f>
        <v>0.16800999999999999</v>
      </c>
      <c r="S165" s="785">
        <f>+InputY!S178/1000</f>
        <v>0.19231000000000001</v>
      </c>
      <c r="T165" s="785">
        <f>+InputY!T178/1000</f>
        <v>0.21409999999999998</v>
      </c>
      <c r="U165" s="785">
        <f>+InputY!U178/1000</f>
        <v>0.3332</v>
      </c>
      <c r="V165" s="785">
        <f>+InputY!V178/1000</f>
        <v>0.50985999999999998</v>
      </c>
      <c r="W165" s="785">
        <f>+InputY!W178/1000</f>
        <v>0.57565</v>
      </c>
      <c r="X165" s="785">
        <f>+InputY!X178/1000</f>
        <v>0.6585700000000001</v>
      </c>
      <c r="Y165" s="785">
        <f>+InputY!Y178/1000</f>
        <v>0.61480999999999997</v>
      </c>
      <c r="Z165" s="3611">
        <f>+InputY!Z178/1000</f>
        <v>0.58675999999999995</v>
      </c>
      <c r="AA165" s="3611">
        <f>+InputY!AA178/1000</f>
        <v>0.56867999999999996</v>
      </c>
      <c r="AB165" s="3611">
        <f>+InputY!AB178/1000</f>
        <v>0.51676999999999995</v>
      </c>
      <c r="AC165" s="2232">
        <f>+AC163-AC164</f>
        <v>0.49499999999999994</v>
      </c>
      <c r="AD165" s="2232">
        <f>+AD163-AD164</f>
        <v>0.38500000000000001</v>
      </c>
      <c r="AE165" s="2232">
        <f>+AE163-AE164</f>
        <v>0.40100000000000002</v>
      </c>
    </row>
    <row r="166" spans="1:113" ht="12.75" customHeight="1">
      <c r="A166" s="664"/>
      <c r="B166" s="664"/>
      <c r="C166" s="774"/>
      <c r="E166" s="786"/>
      <c r="F166" s="787"/>
      <c r="G166" s="703"/>
      <c r="H166" s="788"/>
      <c r="I166" s="703"/>
      <c r="J166" s="703"/>
      <c r="K166" s="703"/>
      <c r="L166" s="703"/>
      <c r="M166" s="703"/>
      <c r="N166" s="703"/>
      <c r="O166" s="703"/>
      <c r="P166" s="703"/>
      <c r="Q166" s="1907"/>
      <c r="R166" s="1907"/>
      <c r="S166" s="1907"/>
      <c r="T166" s="2271"/>
      <c r="U166" s="2271"/>
      <c r="V166" s="2271"/>
      <c r="W166" s="2271"/>
      <c r="X166" s="2271"/>
      <c r="Y166" s="2271"/>
      <c r="Z166" s="2271"/>
      <c r="AA166" s="2271"/>
      <c r="AB166" s="2271"/>
      <c r="AC166" s="2271"/>
      <c r="AD166" s="2271"/>
      <c r="AE166" s="2271"/>
    </row>
    <row r="167" spans="1:113" ht="12.75" customHeight="1">
      <c r="A167" s="664"/>
      <c r="B167" s="664"/>
      <c r="C167" s="774"/>
      <c r="D167" s="742"/>
      <c r="E167" s="743" t="s">
        <v>1311</v>
      </c>
      <c r="F167" s="744"/>
      <c r="G167" s="745">
        <f>+G162</f>
        <v>1995</v>
      </c>
      <c r="H167" s="745">
        <f>+G167+1</f>
        <v>1996</v>
      </c>
      <c r="I167" s="745">
        <f t="shared" ref="I167:Q167" si="146">+H167+1</f>
        <v>1997</v>
      </c>
      <c r="J167" s="745">
        <f t="shared" si="146"/>
        <v>1998</v>
      </c>
      <c r="K167" s="745">
        <f>+J167+1</f>
        <v>1999</v>
      </c>
      <c r="L167" s="745">
        <f t="shared" si="146"/>
        <v>2000</v>
      </c>
      <c r="M167" s="745">
        <f t="shared" si="146"/>
        <v>2001</v>
      </c>
      <c r="N167" s="745">
        <f t="shared" si="146"/>
        <v>2002</v>
      </c>
      <c r="O167" s="745">
        <f t="shared" si="146"/>
        <v>2003</v>
      </c>
      <c r="P167" s="745">
        <f>+O167+1</f>
        <v>2004</v>
      </c>
      <c r="Q167" s="745">
        <f t="shared" si="146"/>
        <v>2005</v>
      </c>
      <c r="R167" s="745">
        <f t="shared" ref="R167:W167" si="147">+Q167+1</f>
        <v>2006</v>
      </c>
      <c r="S167" s="745">
        <f t="shared" si="147"/>
        <v>2007</v>
      </c>
      <c r="T167" s="2211">
        <f t="shared" si="147"/>
        <v>2008</v>
      </c>
      <c r="U167" s="2211">
        <f t="shared" si="147"/>
        <v>2009</v>
      </c>
      <c r="V167" s="2211">
        <f t="shared" si="147"/>
        <v>2010</v>
      </c>
      <c r="W167" s="2211">
        <f t="shared" si="147"/>
        <v>2011</v>
      </c>
      <c r="X167" s="2211">
        <f t="shared" ref="X167:AE167" si="148">+W167+1</f>
        <v>2012</v>
      </c>
      <c r="Y167" s="2211">
        <f t="shared" si="148"/>
        <v>2013</v>
      </c>
      <c r="Z167" s="2211">
        <f t="shared" si="148"/>
        <v>2014</v>
      </c>
      <c r="AA167" s="2211">
        <f t="shared" si="148"/>
        <v>2015</v>
      </c>
      <c r="AB167" s="2211">
        <f t="shared" si="148"/>
        <v>2016</v>
      </c>
      <c r="AC167" s="2211">
        <f t="shared" si="148"/>
        <v>2017</v>
      </c>
      <c r="AD167" s="2211">
        <f t="shared" si="148"/>
        <v>2018</v>
      </c>
      <c r="AE167" s="2211">
        <f t="shared" si="148"/>
        <v>2019</v>
      </c>
    </row>
    <row r="168" spans="1:113" ht="12.75" customHeight="1">
      <c r="A168" s="664"/>
      <c r="B168" s="664"/>
      <c r="C168" s="794" t="s">
        <v>1767</v>
      </c>
      <c r="D168" s="689" t="s">
        <v>687</v>
      </c>
      <c r="E168" s="738" t="s">
        <v>1205</v>
      </c>
      <c r="F168" s="733" t="s">
        <v>846</v>
      </c>
      <c r="G168" s="739"/>
      <c r="H168" s="739">
        <f t="shared" ref="H168:AB168" si="149">(H163/G163-1)*100</f>
        <v>200.55679287305122</v>
      </c>
      <c r="I168" s="739">
        <f t="shared" si="149"/>
        <v>6.0145732987526346</v>
      </c>
      <c r="J168" s="739">
        <f t="shared" si="149"/>
        <v>71.866262814538672</v>
      </c>
      <c r="K168" s="739">
        <f>(K163/J163-1)*100</f>
        <v>26.713210872364932</v>
      </c>
      <c r="L168" s="739">
        <f t="shared" si="149"/>
        <v>23.943511287043972</v>
      </c>
      <c r="M168" s="739">
        <f t="shared" si="149"/>
        <v>-7.8463530427276496</v>
      </c>
      <c r="N168" s="739">
        <f t="shared" si="149"/>
        <v>-7.0766204571000468</v>
      </c>
      <c r="O168" s="739">
        <f t="shared" si="149"/>
        <v>3.7296507232498222</v>
      </c>
      <c r="P168" s="739">
        <f t="shared" si="149"/>
        <v>-20.455760167144454</v>
      </c>
      <c r="Q168" s="739">
        <f t="shared" si="149"/>
        <v>-1.8264003420682906</v>
      </c>
      <c r="R168" s="739">
        <f t="shared" si="149"/>
        <v>4.5358387257341981</v>
      </c>
      <c r="S168" s="739">
        <f t="shared" si="149"/>
        <v>14.463424796143087</v>
      </c>
      <c r="T168" s="2268">
        <f t="shared" si="149"/>
        <v>11.330664032031601</v>
      </c>
      <c r="U168" s="2268">
        <f t="shared" si="149"/>
        <v>55.628211116300804</v>
      </c>
      <c r="V168" s="2268">
        <f t="shared" si="149"/>
        <v>53.019207683073219</v>
      </c>
      <c r="W168" s="2268">
        <f t="shared" si="149"/>
        <v>12.903542148825164</v>
      </c>
      <c r="X168" s="2268">
        <f t="shared" si="149"/>
        <v>14.404586120038232</v>
      </c>
      <c r="Y168" s="2268">
        <f t="shared" si="149"/>
        <v>-6.6446998800431478</v>
      </c>
      <c r="Z168" s="2268">
        <f t="shared" si="149"/>
        <v>-4.5623851271124449</v>
      </c>
      <c r="AA168" s="2268">
        <f t="shared" si="149"/>
        <v>-3.0813279705501406</v>
      </c>
      <c r="AB168" s="2268">
        <f t="shared" si="149"/>
        <v>-9.1281564324400382</v>
      </c>
      <c r="AC168" s="2268">
        <f>(AC163/AB163-1)*100</f>
        <v>-4.212705845927589</v>
      </c>
      <c r="AD168" s="2268">
        <f>(AD163/AC163-1)*100</f>
        <v>-22.222222222222211</v>
      </c>
      <c r="AE168" s="2268">
        <f>(AE163/AD163-1)*100</f>
        <v>4.1558441558441572</v>
      </c>
    </row>
    <row r="169" spans="1:113" ht="12.75" customHeight="1">
      <c r="A169" s="664"/>
      <c r="B169" s="664"/>
      <c r="C169" s="796" t="s">
        <v>1767</v>
      </c>
      <c r="D169" s="691" t="s">
        <v>687</v>
      </c>
      <c r="E169" s="797" t="s">
        <v>210</v>
      </c>
      <c r="F169" s="736" t="s">
        <v>211</v>
      </c>
      <c r="G169" s="741"/>
      <c r="H169" s="741" t="e">
        <f t="shared" ref="H169:R169" si="150">(H164/G164-1)*100</f>
        <v>#DIV/0!</v>
      </c>
      <c r="I169" s="741" t="e">
        <f t="shared" si="150"/>
        <v>#DIV/0!</v>
      </c>
      <c r="J169" s="741" t="e">
        <f t="shared" si="150"/>
        <v>#DIV/0!</v>
      </c>
      <c r="K169" s="741" t="e">
        <f>(K164/J164-1)*100</f>
        <v>#DIV/0!</v>
      </c>
      <c r="L169" s="741" t="e">
        <f t="shared" si="150"/>
        <v>#DIV/0!</v>
      </c>
      <c r="M169" s="741" t="e">
        <f t="shared" si="150"/>
        <v>#DIV/0!</v>
      </c>
      <c r="N169" s="741" t="e">
        <f t="shared" si="150"/>
        <v>#DIV/0!</v>
      </c>
      <c r="O169" s="741" t="e">
        <f t="shared" si="150"/>
        <v>#DIV/0!</v>
      </c>
      <c r="P169" s="741" t="e">
        <f t="shared" si="150"/>
        <v>#DIV/0!</v>
      </c>
      <c r="Q169" s="741" t="e">
        <f t="shared" si="150"/>
        <v>#DIV/0!</v>
      </c>
      <c r="R169" s="741" t="e">
        <f t="shared" si="150"/>
        <v>#DIV/0!</v>
      </c>
      <c r="S169" s="3076">
        <v>0</v>
      </c>
      <c r="T169" s="3076">
        <v>0</v>
      </c>
      <c r="U169" s="3076">
        <v>0</v>
      </c>
      <c r="V169" s="3076">
        <v>0</v>
      </c>
      <c r="W169" s="3076">
        <v>0</v>
      </c>
      <c r="X169" s="3076">
        <v>0</v>
      </c>
      <c r="Y169" s="3076">
        <v>0</v>
      </c>
      <c r="Z169" s="3076">
        <v>0</v>
      </c>
      <c r="AA169" s="3076">
        <v>0</v>
      </c>
      <c r="AB169" s="3076">
        <v>0</v>
      </c>
      <c r="AC169" s="2214">
        <v>0</v>
      </c>
      <c r="AD169" s="2214">
        <v>0</v>
      </c>
      <c r="AE169" s="2214">
        <v>0</v>
      </c>
    </row>
    <row r="170" spans="1:113" ht="12.75" customHeight="1">
      <c r="A170" s="664"/>
      <c r="B170" s="664"/>
      <c r="C170" s="774" t="s">
        <v>1769</v>
      </c>
      <c r="D170" s="717" t="s">
        <v>687</v>
      </c>
      <c r="E170" s="722" t="s">
        <v>212</v>
      </c>
      <c r="F170" s="723" t="s">
        <v>1028</v>
      </c>
      <c r="G170" s="721"/>
      <c r="H170" s="721">
        <f t="shared" ref="H170:S170" si="151">(H165/G165-1)*100</f>
        <v>200.55679287305122</v>
      </c>
      <c r="I170" s="721">
        <f t="shared" si="151"/>
        <v>6.0145732987526346</v>
      </c>
      <c r="J170" s="721">
        <f t="shared" si="151"/>
        <v>71.866262814538672</v>
      </c>
      <c r="K170" s="721">
        <f>(K165/J165-1)*100</f>
        <v>26.713210872364932</v>
      </c>
      <c r="L170" s="721">
        <f t="shared" si="151"/>
        <v>23.943511287043972</v>
      </c>
      <c r="M170" s="721">
        <f t="shared" si="151"/>
        <v>-7.8463530427276496</v>
      </c>
      <c r="N170" s="721">
        <f t="shared" si="151"/>
        <v>-7.0766204571000468</v>
      </c>
      <c r="O170" s="721">
        <f t="shared" si="151"/>
        <v>3.7296507232498222</v>
      </c>
      <c r="P170" s="721">
        <f t="shared" si="151"/>
        <v>-20.455760167144454</v>
      </c>
      <c r="Q170" s="721">
        <f t="shared" si="151"/>
        <v>-1.8264003420682906</v>
      </c>
      <c r="R170" s="721">
        <f t="shared" si="151"/>
        <v>4.5358387257341981</v>
      </c>
      <c r="S170" s="721">
        <f t="shared" si="151"/>
        <v>14.463424796143087</v>
      </c>
      <c r="T170" s="2260">
        <f t="shared" ref="T170:AB170" si="152">(T165/S165-1)*100</f>
        <v>11.330664032031601</v>
      </c>
      <c r="U170" s="2260">
        <f t="shared" si="152"/>
        <v>55.628211116300804</v>
      </c>
      <c r="V170" s="2260">
        <f t="shared" si="152"/>
        <v>53.019207683073219</v>
      </c>
      <c r="W170" s="2260">
        <f t="shared" si="152"/>
        <v>12.903542148825164</v>
      </c>
      <c r="X170" s="2260">
        <f t="shared" si="152"/>
        <v>14.404586120038232</v>
      </c>
      <c r="Y170" s="2260">
        <f t="shared" si="152"/>
        <v>-6.6446998800431478</v>
      </c>
      <c r="Z170" s="2260">
        <f t="shared" si="152"/>
        <v>-4.5623851271124449</v>
      </c>
      <c r="AA170" s="2260">
        <f t="shared" si="152"/>
        <v>-3.0813279705501406</v>
      </c>
      <c r="AB170" s="2260">
        <f t="shared" si="152"/>
        <v>-9.1281564324400382</v>
      </c>
      <c r="AC170" s="2260">
        <f>(AC165/AB165-1)*100</f>
        <v>-4.212705845927589</v>
      </c>
      <c r="AD170" s="2260">
        <f>(AD165/AC165-1)*100</f>
        <v>-22.222222222222211</v>
      </c>
      <c r="AE170" s="2260">
        <f>(AE165/AD165-1)*100</f>
        <v>4.1558441558441572</v>
      </c>
    </row>
    <row r="171" spans="1:113" ht="12.75" customHeight="1">
      <c r="A171" s="664"/>
      <c r="B171" s="664"/>
      <c r="C171" s="774"/>
      <c r="E171" s="786"/>
      <c r="F171" s="787"/>
      <c r="G171" s="703"/>
      <c r="H171" s="788"/>
      <c r="I171" s="703"/>
      <c r="J171" s="703"/>
      <c r="K171" s="703"/>
      <c r="L171" s="703"/>
      <c r="M171" s="703"/>
      <c r="N171" s="703"/>
      <c r="O171" s="703"/>
      <c r="P171" s="703"/>
      <c r="Q171" s="1907"/>
      <c r="R171" s="1907"/>
      <c r="S171" s="1907"/>
      <c r="T171" s="2270"/>
      <c r="U171" s="2270"/>
      <c r="V171" s="2270"/>
      <c r="W171" s="2270"/>
      <c r="X171" s="2270"/>
      <c r="Y171" s="2270"/>
      <c r="Z171" s="2270"/>
      <c r="AA171" s="2270"/>
      <c r="AB171" s="2270"/>
      <c r="AC171" s="2270"/>
      <c r="AD171" s="2270"/>
      <c r="AE171" s="2270"/>
    </row>
    <row r="172" spans="1:113" ht="12.75" customHeight="1">
      <c r="A172" s="664"/>
      <c r="B172" s="664"/>
      <c r="C172" s="774"/>
      <c r="D172" s="814"/>
      <c r="E172" s="815" t="s">
        <v>1282</v>
      </c>
      <c r="F172" s="816"/>
      <c r="G172" s="821">
        <f>+InputY!$G$3</f>
        <v>1995</v>
      </c>
      <c r="H172" s="817">
        <f>+G172+1</f>
        <v>1996</v>
      </c>
      <c r="I172" s="817">
        <f t="shared" ref="I172:O172" si="153">+H172+1</f>
        <v>1997</v>
      </c>
      <c r="J172" s="817">
        <f t="shared" si="153"/>
        <v>1998</v>
      </c>
      <c r="K172" s="817">
        <f>+J172+1</f>
        <v>1999</v>
      </c>
      <c r="L172" s="817">
        <f t="shared" si="153"/>
        <v>2000</v>
      </c>
      <c r="M172" s="817">
        <f t="shared" si="153"/>
        <v>2001</v>
      </c>
      <c r="N172" s="817">
        <f t="shared" si="153"/>
        <v>2002</v>
      </c>
      <c r="O172" s="817">
        <f t="shared" si="153"/>
        <v>2003</v>
      </c>
      <c r="P172" s="817">
        <f t="shared" ref="P172:V172" si="154">+O172+1</f>
        <v>2004</v>
      </c>
      <c r="Q172" s="817">
        <f t="shared" si="154"/>
        <v>2005</v>
      </c>
      <c r="R172" s="817">
        <f t="shared" si="154"/>
        <v>2006</v>
      </c>
      <c r="S172" s="817">
        <f>+R172+1</f>
        <v>2007</v>
      </c>
      <c r="T172" s="817">
        <f t="shared" si="154"/>
        <v>2008</v>
      </c>
      <c r="U172" s="817">
        <f t="shared" si="154"/>
        <v>2009</v>
      </c>
      <c r="V172" s="817">
        <f t="shared" si="154"/>
        <v>2010</v>
      </c>
      <c r="W172" s="817">
        <f t="shared" ref="W172:AE172" si="155">+V172+1</f>
        <v>2011</v>
      </c>
      <c r="X172" s="817">
        <f t="shared" si="155"/>
        <v>2012</v>
      </c>
      <c r="Y172" s="817">
        <f t="shared" si="155"/>
        <v>2013</v>
      </c>
      <c r="Z172" s="817">
        <f t="shared" si="155"/>
        <v>2014</v>
      </c>
      <c r="AA172" s="817">
        <f t="shared" si="155"/>
        <v>2015</v>
      </c>
      <c r="AB172" s="817">
        <f t="shared" si="155"/>
        <v>2016</v>
      </c>
      <c r="AC172" s="817">
        <f t="shared" si="155"/>
        <v>2017</v>
      </c>
      <c r="AD172" s="817">
        <f t="shared" si="155"/>
        <v>2018</v>
      </c>
      <c r="AE172" s="817">
        <f t="shared" si="155"/>
        <v>2019</v>
      </c>
    </row>
    <row r="173" spans="1:113" ht="12.75" customHeight="1">
      <c r="A173" s="664"/>
      <c r="B173" s="664"/>
      <c r="C173" s="810"/>
      <c r="D173" s="811" t="s">
        <v>687</v>
      </c>
      <c r="E173" s="812" t="s">
        <v>1205</v>
      </c>
      <c r="F173" s="813" t="s">
        <v>1283</v>
      </c>
      <c r="G173" s="1527"/>
      <c r="H173" s="1527">
        <f t="shared" ref="H173:R173" si="156">+H163/G$605</f>
        <v>9.0519843487982116E-2</v>
      </c>
      <c r="I173" s="1527">
        <f t="shared" si="156"/>
        <v>6.3514613392526828E-2</v>
      </c>
      <c r="J173" s="1527">
        <f t="shared" si="156"/>
        <v>8.186105870602596E-2</v>
      </c>
      <c r="K173" s="1527">
        <f>+K163/J$605</f>
        <v>8.6799461392023033E-2</v>
      </c>
      <c r="L173" s="1527">
        <f t="shared" si="156"/>
        <v>8.0295259218186865E-2</v>
      </c>
      <c r="M173" s="1527">
        <f t="shared" si="156"/>
        <v>6.8000000000000005E-2</v>
      </c>
      <c r="N173" s="1527">
        <f t="shared" si="156"/>
        <v>6.1052987876176995E-2</v>
      </c>
      <c r="O173" s="1527">
        <f t="shared" si="156"/>
        <v>6.115469186426576E-2</v>
      </c>
      <c r="P173" s="1527">
        <f t="shared" si="156"/>
        <v>4.8225174536777916E-2</v>
      </c>
      <c r="Q173" s="1527">
        <f t="shared" si="156"/>
        <v>4.7208106917315321E-2</v>
      </c>
      <c r="R173" s="1527">
        <f t="shared" si="156"/>
        <v>4.5384802398768194E-2</v>
      </c>
      <c r="S173" s="1527">
        <f t="shared" ref="S173:X173" si="157">+S163/R$605</f>
        <v>4.6318552951660694E-2</v>
      </c>
      <c r="T173" s="3001">
        <f t="shared" si="157"/>
        <v>4.6445538755233523E-2</v>
      </c>
      <c r="U173" s="3001">
        <f t="shared" si="157"/>
        <v>6.9969131265618101E-2</v>
      </c>
      <c r="V173" s="3001">
        <f t="shared" si="157"/>
        <v>6.7723982200969646E-2</v>
      </c>
      <c r="W173" s="3001">
        <f t="shared" si="157"/>
        <v>5.6709815975095564E-2</v>
      </c>
      <c r="X173" s="3001">
        <f t="shared" si="157"/>
        <v>5.6630722663639804E-2</v>
      </c>
      <c r="Y173" s="3001">
        <f t="shared" ref="Y173:AE173" si="158">+Y163/X$605</f>
        <v>4.6351429799232506E-2</v>
      </c>
      <c r="Z173" s="3001">
        <f t="shared" si="158"/>
        <v>4.3303321033210329E-2</v>
      </c>
      <c r="AA173" s="3001">
        <f t="shared" si="158"/>
        <v>3.8359527824620571E-2</v>
      </c>
      <c r="AB173" s="3001">
        <f t="shared" si="158"/>
        <v>3.2420715831738757E-2</v>
      </c>
      <c r="AC173" s="3001">
        <f t="shared" si="158"/>
        <v>3.1907281950791878E-2</v>
      </c>
      <c r="AD173" s="3001">
        <f t="shared" ca="1" si="158"/>
        <v>2.2688977506363533E-2</v>
      </c>
      <c r="AE173" s="3001">
        <f t="shared" ca="1" si="158"/>
        <v>2.4499746367397567E-2</v>
      </c>
    </row>
    <row r="174" spans="1:113" s="793" customFormat="1" ht="12.75" customHeight="1">
      <c r="A174" s="664"/>
      <c r="B174" s="664"/>
      <c r="C174" s="694"/>
      <c r="D174" s="803" t="s">
        <v>687</v>
      </c>
      <c r="E174" s="804" t="s">
        <v>212</v>
      </c>
      <c r="F174" s="805" t="s">
        <v>239</v>
      </c>
      <c r="G174" s="1526"/>
      <c r="H174" s="1526">
        <f t="shared" ref="H174:R174" si="159">+H165/G$605</f>
        <v>9.0519843487982116E-2</v>
      </c>
      <c r="I174" s="1526">
        <f t="shared" si="159"/>
        <v>6.3514613392526828E-2</v>
      </c>
      <c r="J174" s="1526">
        <f t="shared" si="159"/>
        <v>8.186105870602596E-2</v>
      </c>
      <c r="K174" s="1526">
        <f>+K165/J$605</f>
        <v>8.6799461392023033E-2</v>
      </c>
      <c r="L174" s="1526">
        <f t="shared" si="159"/>
        <v>8.0295259218186865E-2</v>
      </c>
      <c r="M174" s="1526">
        <f t="shared" si="159"/>
        <v>6.8000000000000005E-2</v>
      </c>
      <c r="N174" s="1526">
        <f t="shared" si="159"/>
        <v>6.1052987876176995E-2</v>
      </c>
      <c r="O174" s="1526">
        <f t="shared" si="159"/>
        <v>6.115469186426576E-2</v>
      </c>
      <c r="P174" s="1526">
        <f t="shared" si="159"/>
        <v>4.8225174536777916E-2</v>
      </c>
      <c r="Q174" s="1526">
        <f t="shared" si="159"/>
        <v>4.7208106917315321E-2</v>
      </c>
      <c r="R174" s="1526">
        <f t="shared" si="159"/>
        <v>4.5384802398768194E-2</v>
      </c>
      <c r="S174" s="1526">
        <f t="shared" ref="S174:X174" si="160">+S165/R$605</f>
        <v>4.6318552951660694E-2</v>
      </c>
      <c r="T174" s="1971">
        <f t="shared" si="160"/>
        <v>4.6445538755233523E-2</v>
      </c>
      <c r="U174" s="1971">
        <f t="shared" si="160"/>
        <v>6.9969131265618101E-2</v>
      </c>
      <c r="V174" s="1971">
        <f t="shared" si="160"/>
        <v>6.7723982200969646E-2</v>
      </c>
      <c r="W174" s="1971">
        <f t="shared" si="160"/>
        <v>5.6709815975095564E-2</v>
      </c>
      <c r="X174" s="1971">
        <f t="shared" si="160"/>
        <v>5.6630722663639804E-2</v>
      </c>
      <c r="Y174" s="1971">
        <f t="shared" ref="Y174:AE174" si="161">+Y165/X$605</f>
        <v>4.6351429799232506E-2</v>
      </c>
      <c r="Z174" s="1971">
        <f t="shared" si="161"/>
        <v>4.3303321033210329E-2</v>
      </c>
      <c r="AA174" s="1971">
        <f t="shared" si="161"/>
        <v>3.8359527824620571E-2</v>
      </c>
      <c r="AB174" s="1971">
        <f t="shared" si="161"/>
        <v>3.2420715831738757E-2</v>
      </c>
      <c r="AC174" s="1971">
        <f t="shared" si="161"/>
        <v>3.1907281950791878E-2</v>
      </c>
      <c r="AD174" s="1971">
        <f t="shared" ca="1" si="161"/>
        <v>2.2688977506363533E-2</v>
      </c>
      <c r="AE174" s="1971">
        <f t="shared" ca="1" si="161"/>
        <v>2.4499746367397567E-2</v>
      </c>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row>
    <row r="175" spans="1:113" ht="30" customHeight="1">
      <c r="AB175" s="2221"/>
      <c r="AC175" s="2221"/>
      <c r="AD175" s="2221"/>
      <c r="AE175" s="2221"/>
    </row>
    <row r="176" spans="1:113" ht="30" customHeight="1">
      <c r="AB176" s="2221"/>
      <c r="AC176" s="2221"/>
      <c r="AD176" s="2221"/>
      <c r="AE176" s="2221"/>
    </row>
    <row r="177" spans="1:31" ht="22.5" customHeight="1">
      <c r="A177" s="574"/>
      <c r="B177" s="574"/>
      <c r="C177" s="3751" t="s">
        <v>1491</v>
      </c>
      <c r="D177" s="3751"/>
      <c r="E177" s="3751"/>
      <c r="F177" s="3751"/>
      <c r="AB177" s="2221"/>
      <c r="AC177" s="2221"/>
      <c r="AD177" s="2221"/>
      <c r="AE177" s="2221"/>
    </row>
    <row r="178" spans="1:31" ht="12.75" customHeight="1">
      <c r="A178" s="664"/>
      <c r="B178" s="664"/>
      <c r="C178" s="774"/>
      <c r="AB178" s="2221"/>
      <c r="AC178" s="2221"/>
      <c r="AD178" s="2221"/>
      <c r="AE178" s="2221"/>
    </row>
    <row r="179" spans="1:31" ht="12.75" customHeight="1">
      <c r="A179" s="664"/>
      <c r="B179" s="664"/>
      <c r="C179" s="774"/>
      <c r="D179" s="775"/>
      <c r="E179" s="776" t="s">
        <v>1384</v>
      </c>
      <c r="F179" s="777"/>
      <c r="G179" s="778">
        <f>+InputY!$G$3</f>
        <v>1995</v>
      </c>
      <c r="H179" s="778">
        <f>+G179+1</f>
        <v>1996</v>
      </c>
      <c r="I179" s="778">
        <f t="shared" ref="I179:O179" si="162">+H179+1</f>
        <v>1997</v>
      </c>
      <c r="J179" s="778">
        <f t="shared" si="162"/>
        <v>1998</v>
      </c>
      <c r="K179" s="778">
        <f>+J179+1</f>
        <v>1999</v>
      </c>
      <c r="L179" s="778">
        <f t="shared" si="162"/>
        <v>2000</v>
      </c>
      <c r="M179" s="778">
        <f t="shared" si="162"/>
        <v>2001</v>
      </c>
      <c r="N179" s="778">
        <f t="shared" si="162"/>
        <v>2002</v>
      </c>
      <c r="O179" s="778">
        <f t="shared" si="162"/>
        <v>2003</v>
      </c>
      <c r="P179" s="778">
        <f t="shared" ref="P179:V179" si="163">+O179+1</f>
        <v>2004</v>
      </c>
      <c r="Q179" s="778">
        <f t="shared" si="163"/>
        <v>2005</v>
      </c>
      <c r="R179" s="778">
        <f t="shared" si="163"/>
        <v>2006</v>
      </c>
      <c r="S179" s="778">
        <f>+R179+1</f>
        <v>2007</v>
      </c>
      <c r="T179" s="778">
        <f t="shared" si="163"/>
        <v>2008</v>
      </c>
      <c r="U179" s="778">
        <f t="shared" si="163"/>
        <v>2009</v>
      </c>
      <c r="V179" s="778">
        <f t="shared" si="163"/>
        <v>2010</v>
      </c>
      <c r="W179" s="778">
        <f t="shared" ref="W179:AE179" si="164">+V179+1</f>
        <v>2011</v>
      </c>
      <c r="X179" s="778">
        <f t="shared" si="164"/>
        <v>2012</v>
      </c>
      <c r="Y179" s="778">
        <f t="shared" si="164"/>
        <v>2013</v>
      </c>
      <c r="Z179" s="778">
        <f t="shared" si="164"/>
        <v>2014</v>
      </c>
      <c r="AA179" s="778">
        <f t="shared" si="164"/>
        <v>2015</v>
      </c>
      <c r="AB179" s="778">
        <f t="shared" si="164"/>
        <v>2016</v>
      </c>
      <c r="AC179" s="778">
        <f t="shared" si="164"/>
        <v>2017</v>
      </c>
      <c r="AD179" s="778">
        <f t="shared" si="164"/>
        <v>2018</v>
      </c>
      <c r="AE179" s="778">
        <f t="shared" si="164"/>
        <v>2019</v>
      </c>
    </row>
    <row r="180" spans="1:31" ht="12.75" customHeight="1">
      <c r="A180" s="664"/>
      <c r="B180" s="664"/>
      <c r="C180" s="779" t="s">
        <v>1767</v>
      </c>
      <c r="D180" s="668" t="s">
        <v>685</v>
      </c>
      <c r="E180" s="700" t="s">
        <v>1850</v>
      </c>
      <c r="F180" s="701" t="s">
        <v>2070</v>
      </c>
      <c r="G180" s="780">
        <f>+G107+G143+Labour1!G217</f>
        <v>5.3706200000000006</v>
      </c>
      <c r="H180" s="780">
        <f>+H107+H143+Labour1!H217</f>
        <v>6.69069</v>
      </c>
      <c r="I180" s="780">
        <f>+I107+I143+Labour1!I217</f>
        <v>8.0481999999999996</v>
      </c>
      <c r="J180" s="780">
        <f>+J107+J143+Labour1!J217</f>
        <v>9.3135399999999997</v>
      </c>
      <c r="K180" s="780">
        <f>+K107+K143+Labour1!K217</f>
        <v>9.2510600000000007</v>
      </c>
      <c r="L180" s="780">
        <f>+L107+L143+Labour1!L217</f>
        <v>10.0006</v>
      </c>
      <c r="M180" s="780">
        <f>+M107+M143+Labour1!M217</f>
        <v>10.260169999999999</v>
      </c>
      <c r="N180" s="780">
        <f>+N107+N143+Labour1!N217</f>
        <v>11.05734</v>
      </c>
      <c r="O180" s="780">
        <f>+O107+O143+Labour1!O217</f>
        <v>11.780200000000001</v>
      </c>
      <c r="P180" s="780">
        <f>+P107+P143+Labour1!P217</f>
        <v>13.746009999999998</v>
      </c>
      <c r="Q180" s="780">
        <f>+Q107+Q143+Labour1!Q217</f>
        <v>14.98326</v>
      </c>
      <c r="R180" s="780">
        <f>+R107+R143+Labour1!R217</f>
        <v>17.508610000000001</v>
      </c>
      <c r="S180" s="780">
        <f>+S107+S143+Labour1!S217</f>
        <v>18.852180000000001</v>
      </c>
      <c r="T180" s="780">
        <f>+T107+T143+Labour1!T217</f>
        <v>21.641190000000002</v>
      </c>
      <c r="U180" s="846">
        <f>+U107+U143+Labour1!U217</f>
        <v>18.60228</v>
      </c>
      <c r="V180" s="846">
        <f>+V107+V143+Labour1!V217</f>
        <v>18.722679999999997</v>
      </c>
      <c r="W180" s="846">
        <f>+W107+W143+Labour1!W217</f>
        <v>20.241990000000001</v>
      </c>
      <c r="X180" s="846">
        <f>+X107+X143+Labour1!X217</f>
        <v>21.375990000000002</v>
      </c>
      <c r="Y180" s="846">
        <f>+Y107+Y143+Labour1!Y217</f>
        <v>22.276679999999999</v>
      </c>
      <c r="Z180" s="846">
        <f>+Z107+Z143+Labour1!Z217</f>
        <v>22.86983</v>
      </c>
      <c r="AA180" s="846">
        <f>+AA107+AA143+Labour1!AA217</f>
        <v>24.079979999999999</v>
      </c>
      <c r="AB180" s="846">
        <f>+AB107+AB143+Labour1!AB217</f>
        <v>25.580709999999996</v>
      </c>
      <c r="AC180" s="846">
        <f>+AC107+AC143+Labour1!AC217</f>
        <v>27.414501750000003</v>
      </c>
      <c r="AD180" s="846">
        <f>+AD107+AD143+Labour1!AD217</f>
        <v>28.718456249238734</v>
      </c>
      <c r="AE180" s="846">
        <f>+AE107+AE143+Labour1!AE217</f>
        <v>30.212072336758247</v>
      </c>
    </row>
    <row r="181" spans="1:31" ht="12.75" customHeight="1">
      <c r="A181" s="664"/>
      <c r="B181" s="664"/>
      <c r="C181" s="782" t="s">
        <v>1767</v>
      </c>
      <c r="D181" s="674" t="s">
        <v>686</v>
      </c>
      <c r="E181" s="783" t="s">
        <v>1850</v>
      </c>
      <c r="F181" s="704" t="s">
        <v>2071</v>
      </c>
      <c r="G181" s="706">
        <f t="shared" ref="G181:R181" si="165">+G108+G136</f>
        <v>1.17733</v>
      </c>
      <c r="H181" s="706">
        <f t="shared" si="165"/>
        <v>1.5767099999999994</v>
      </c>
      <c r="I181" s="706">
        <f t="shared" si="165"/>
        <v>1.57467</v>
      </c>
      <c r="J181" s="706">
        <f t="shared" si="165"/>
        <v>1.3142299999999998</v>
      </c>
      <c r="K181" s="706">
        <f t="shared" si="165"/>
        <v>1.1393500000000005</v>
      </c>
      <c r="L181" s="706">
        <f t="shared" si="165"/>
        <v>1.1689500000000002</v>
      </c>
      <c r="M181" s="706">
        <f t="shared" si="165"/>
        <v>1.6861199999999998</v>
      </c>
      <c r="N181" s="706">
        <f t="shared" si="165"/>
        <v>1.8079599999999996</v>
      </c>
      <c r="O181" s="706">
        <f t="shared" si="165"/>
        <v>2.2431100000000006</v>
      </c>
      <c r="P181" s="706">
        <f t="shared" si="165"/>
        <v>1.747679999999999</v>
      </c>
      <c r="Q181" s="706">
        <f t="shared" si="165"/>
        <v>2.9794000000000009</v>
      </c>
      <c r="R181" s="706">
        <f t="shared" si="165"/>
        <v>2.9605699999999988</v>
      </c>
      <c r="S181" s="706">
        <f t="shared" ref="S181:X181" si="166">+S108+S136</f>
        <v>5.2844300000000013</v>
      </c>
      <c r="T181" s="792">
        <f t="shared" si="166"/>
        <v>5.5674399999999995</v>
      </c>
      <c r="U181" s="792">
        <f t="shared" si="166"/>
        <v>5.2392099999999999</v>
      </c>
      <c r="V181" s="792">
        <f t="shared" si="166"/>
        <v>5.1036299999999981</v>
      </c>
      <c r="W181" s="792">
        <f t="shared" si="166"/>
        <v>5.8938000000000015</v>
      </c>
      <c r="X181" s="792">
        <f t="shared" si="166"/>
        <v>6.8257399999999997</v>
      </c>
      <c r="Y181" s="792">
        <f t="shared" ref="Y181:AD181" si="167">+Y108+Y136</f>
        <v>7.503709999999999</v>
      </c>
      <c r="Z181" s="792">
        <f t="shared" si="167"/>
        <v>8.6331300000000013</v>
      </c>
      <c r="AA181" s="792">
        <f t="shared" si="167"/>
        <v>6.9432599999999995</v>
      </c>
      <c r="AB181" s="792">
        <f t="shared" si="167"/>
        <v>6.3777800000000004</v>
      </c>
      <c r="AC181" s="792">
        <f t="shared" si="167"/>
        <v>7.2511712700000013</v>
      </c>
      <c r="AD181" s="792">
        <f t="shared" ca="1" si="167"/>
        <v>7.8057300080993262</v>
      </c>
      <c r="AE181" s="792">
        <f t="shared" ref="AE181" ca="1" si="168">+AE108+AE136</f>
        <v>8.4488074738879675</v>
      </c>
    </row>
    <row r="182" spans="1:31" ht="12.75" customHeight="1">
      <c r="A182" s="664"/>
      <c r="B182" s="664"/>
      <c r="C182" s="782" t="s">
        <v>1767</v>
      </c>
      <c r="D182" s="674" t="s">
        <v>687</v>
      </c>
      <c r="E182" s="783" t="s">
        <v>1850</v>
      </c>
      <c r="F182" s="704" t="s">
        <v>2072</v>
      </c>
      <c r="G182" s="706">
        <f t="shared" ref="G182:R182" si="169">+G109+G13-G50+G137-G138-G139</f>
        <v>1.2033700000000001</v>
      </c>
      <c r="H182" s="706">
        <f t="shared" si="169"/>
        <v>1.34588</v>
      </c>
      <c r="I182" s="706">
        <f t="shared" si="169"/>
        <v>1.8794199999999999</v>
      </c>
      <c r="J182" s="706">
        <f t="shared" si="169"/>
        <v>2.1029099999999992</v>
      </c>
      <c r="K182" s="706">
        <f t="shared" si="169"/>
        <v>2.0188800000000002</v>
      </c>
      <c r="L182" s="706">
        <f t="shared" si="169"/>
        <v>1.9587700000000003</v>
      </c>
      <c r="M182" s="706">
        <f t="shared" si="169"/>
        <v>2.0566900000000001</v>
      </c>
      <c r="N182" s="706">
        <f t="shared" si="169"/>
        <v>2.1761800000000004</v>
      </c>
      <c r="O182" s="706">
        <f t="shared" si="169"/>
        <v>2.2322799999999998</v>
      </c>
      <c r="P182" s="706">
        <f t="shared" si="169"/>
        <v>2.38897</v>
      </c>
      <c r="Q182" s="706">
        <f t="shared" si="169"/>
        <v>2.7588799999999991</v>
      </c>
      <c r="R182" s="706">
        <f t="shared" si="169"/>
        <v>3.1505099999999997</v>
      </c>
      <c r="S182" s="706">
        <f t="shared" ref="S182:X182" si="170">+S109+S13-S50+S137-S138-S139</f>
        <v>3.81067</v>
      </c>
      <c r="T182" s="792">
        <f t="shared" si="170"/>
        <v>4.3728699999999998</v>
      </c>
      <c r="U182" s="792">
        <f t="shared" si="170"/>
        <v>3.5961099999999995</v>
      </c>
      <c r="V182" s="792">
        <f t="shared" si="170"/>
        <v>3.6792800000000003</v>
      </c>
      <c r="W182" s="792">
        <f t="shared" si="170"/>
        <v>3.9915100000000003</v>
      </c>
      <c r="X182" s="792">
        <f t="shared" si="170"/>
        <v>4.1405800000000008</v>
      </c>
      <c r="Y182" s="792">
        <f t="shared" ref="Y182:AD182" si="171">+Y109+Y13-Y50+Y137-Y138-Y139</f>
        <v>4.269569999999999</v>
      </c>
      <c r="Z182" s="792">
        <f t="shared" si="171"/>
        <v>4.5905199999999997</v>
      </c>
      <c r="AA182" s="792">
        <f t="shared" si="171"/>
        <v>4.8794100000000009</v>
      </c>
      <c r="AB182" s="792">
        <f>+AB109+AB13-AB50+AB137-AB138-AB139</f>
        <v>5.1847900000000013</v>
      </c>
      <c r="AC182" s="792">
        <f t="shared" si="171"/>
        <v>5.6747869800000004</v>
      </c>
      <c r="AD182" s="792">
        <f t="shared" si="171"/>
        <v>6.1405345276192165</v>
      </c>
      <c r="AE182" s="792">
        <f t="shared" ref="AE182" si="172">+AE109+AE13-AE50+AE137-AE138-AE139</f>
        <v>6.4376261313292931</v>
      </c>
    </row>
    <row r="183" spans="1:31" ht="12.75" customHeight="1">
      <c r="A183" s="664"/>
      <c r="B183" s="664"/>
      <c r="C183" s="784" t="s">
        <v>1769</v>
      </c>
      <c r="D183" s="752"/>
      <c r="E183" s="753" t="s">
        <v>1850</v>
      </c>
      <c r="F183" s="754" t="s">
        <v>1108</v>
      </c>
      <c r="G183" s="785">
        <f t="shared" ref="G183:S183" si="173">+G180+G181+G182</f>
        <v>7.7513199999999998</v>
      </c>
      <c r="H183" s="785">
        <f t="shared" si="173"/>
        <v>9.6132799999999978</v>
      </c>
      <c r="I183" s="785">
        <f t="shared" si="173"/>
        <v>11.502289999999999</v>
      </c>
      <c r="J183" s="785">
        <f t="shared" si="173"/>
        <v>12.73068</v>
      </c>
      <c r="K183" s="785">
        <f t="shared" si="173"/>
        <v>12.409290000000002</v>
      </c>
      <c r="L183" s="785">
        <f t="shared" si="173"/>
        <v>13.128320000000002</v>
      </c>
      <c r="M183" s="785">
        <f t="shared" si="173"/>
        <v>14.002979999999997</v>
      </c>
      <c r="N183" s="785">
        <f t="shared" si="173"/>
        <v>15.04148</v>
      </c>
      <c r="O183" s="785">
        <f t="shared" si="173"/>
        <v>16.255590000000002</v>
      </c>
      <c r="P183" s="785">
        <f t="shared" si="173"/>
        <v>17.882659999999998</v>
      </c>
      <c r="Q183" s="785">
        <f t="shared" si="173"/>
        <v>20.721539999999997</v>
      </c>
      <c r="R183" s="785">
        <f t="shared" si="173"/>
        <v>23.619690000000002</v>
      </c>
      <c r="S183" s="785">
        <f t="shared" si="173"/>
        <v>27.947279999999999</v>
      </c>
      <c r="T183" s="844">
        <f t="shared" ref="T183:Y183" si="174">+T180+T181+T182</f>
        <v>31.581499999999998</v>
      </c>
      <c r="U183" s="844">
        <f t="shared" si="174"/>
        <v>27.4376</v>
      </c>
      <c r="V183" s="844">
        <f t="shared" si="174"/>
        <v>27.505589999999998</v>
      </c>
      <c r="W183" s="844">
        <f t="shared" si="174"/>
        <v>30.127300000000005</v>
      </c>
      <c r="X183" s="844">
        <f t="shared" si="174"/>
        <v>32.342310000000005</v>
      </c>
      <c r="Y183" s="844">
        <f t="shared" si="174"/>
        <v>34.049959999999999</v>
      </c>
      <c r="Z183" s="844">
        <f t="shared" ref="Z183:AE183" si="175">+Z180+Z181+Z182</f>
        <v>36.09348</v>
      </c>
      <c r="AA183" s="844">
        <f t="shared" si="175"/>
        <v>35.902650000000001</v>
      </c>
      <c r="AB183" s="844">
        <f t="shared" si="175"/>
        <v>37.143279999999997</v>
      </c>
      <c r="AC183" s="844">
        <f t="shared" si="175"/>
        <v>40.340460000000007</v>
      </c>
      <c r="AD183" s="844">
        <f t="shared" ca="1" si="175"/>
        <v>42.664720784957275</v>
      </c>
      <c r="AE183" s="844">
        <f t="shared" ca="1" si="175"/>
        <v>45.09850594197551</v>
      </c>
    </row>
    <row r="184" spans="1:31" ht="12.75" customHeight="1">
      <c r="A184" s="664"/>
      <c r="B184" s="664"/>
      <c r="C184" s="774"/>
      <c r="E184" s="786"/>
      <c r="F184" s="787"/>
      <c r="G184" s="703"/>
      <c r="H184" s="788"/>
      <c r="I184" s="703"/>
      <c r="J184" s="703"/>
      <c r="K184" s="703"/>
      <c r="L184" s="703"/>
      <c r="M184" s="703"/>
      <c r="N184" s="703"/>
      <c r="O184" s="703"/>
      <c r="P184" s="703"/>
      <c r="Q184" s="703"/>
      <c r="R184" s="703"/>
      <c r="S184" s="703"/>
      <c r="T184" s="845"/>
      <c r="U184" s="845"/>
      <c r="V184" s="845"/>
      <c r="W184" s="845"/>
      <c r="X184" s="845"/>
      <c r="Y184" s="845"/>
      <c r="Z184" s="845"/>
      <c r="AA184" s="845"/>
      <c r="AB184" s="845"/>
      <c r="AC184" s="845"/>
      <c r="AD184" s="845"/>
      <c r="AE184" s="845"/>
    </row>
    <row r="185" spans="1:31" ht="12.75" customHeight="1">
      <c r="A185" s="664"/>
      <c r="B185" s="664"/>
      <c r="C185" s="774"/>
      <c r="D185" s="742"/>
      <c r="E185" s="743" t="s">
        <v>1311</v>
      </c>
      <c r="F185" s="744"/>
      <c r="G185" s="745">
        <f>+G179</f>
        <v>1995</v>
      </c>
      <c r="H185" s="745">
        <f>+G185+1</f>
        <v>1996</v>
      </c>
      <c r="I185" s="745">
        <f t="shared" ref="I185:O185" si="176">+H185+1</f>
        <v>1997</v>
      </c>
      <c r="J185" s="745">
        <f t="shared" si="176"/>
        <v>1998</v>
      </c>
      <c r="K185" s="745">
        <f>+J185+1</f>
        <v>1999</v>
      </c>
      <c r="L185" s="745">
        <f t="shared" si="176"/>
        <v>2000</v>
      </c>
      <c r="M185" s="745">
        <f t="shared" si="176"/>
        <v>2001</v>
      </c>
      <c r="N185" s="745">
        <f t="shared" si="176"/>
        <v>2002</v>
      </c>
      <c r="O185" s="745">
        <f t="shared" si="176"/>
        <v>2003</v>
      </c>
      <c r="P185" s="745">
        <f t="shared" ref="P185:V185" si="177">+O185+1</f>
        <v>2004</v>
      </c>
      <c r="Q185" s="745">
        <f t="shared" si="177"/>
        <v>2005</v>
      </c>
      <c r="R185" s="745">
        <f t="shared" si="177"/>
        <v>2006</v>
      </c>
      <c r="S185" s="745">
        <f>+R185+1</f>
        <v>2007</v>
      </c>
      <c r="T185" s="745">
        <f t="shared" si="177"/>
        <v>2008</v>
      </c>
      <c r="U185" s="745">
        <f t="shared" si="177"/>
        <v>2009</v>
      </c>
      <c r="V185" s="745">
        <f t="shared" si="177"/>
        <v>2010</v>
      </c>
      <c r="W185" s="745">
        <f t="shared" ref="W185:AE185" si="178">+V185+1</f>
        <v>2011</v>
      </c>
      <c r="X185" s="745">
        <f t="shared" si="178"/>
        <v>2012</v>
      </c>
      <c r="Y185" s="745">
        <f t="shared" si="178"/>
        <v>2013</v>
      </c>
      <c r="Z185" s="745">
        <f t="shared" si="178"/>
        <v>2014</v>
      </c>
      <c r="AA185" s="745">
        <f t="shared" si="178"/>
        <v>2015</v>
      </c>
      <c r="AB185" s="745">
        <f t="shared" si="178"/>
        <v>2016</v>
      </c>
      <c r="AC185" s="745">
        <f t="shared" si="178"/>
        <v>2017</v>
      </c>
      <c r="AD185" s="745">
        <f t="shared" si="178"/>
        <v>2018</v>
      </c>
      <c r="AE185" s="745">
        <f t="shared" si="178"/>
        <v>2019</v>
      </c>
    </row>
    <row r="186" spans="1:31" ht="12.75" customHeight="1">
      <c r="A186" s="664"/>
      <c r="B186" s="664"/>
      <c r="C186" s="794" t="s">
        <v>1767</v>
      </c>
      <c r="D186" s="689" t="s">
        <v>685</v>
      </c>
      <c r="E186" s="738" t="s">
        <v>1850</v>
      </c>
      <c r="F186" s="733" t="s">
        <v>2070</v>
      </c>
      <c r="G186" s="739"/>
      <c r="H186" s="739">
        <f t="shared" ref="H186:S186" si="179">(H180/G180-1)*100</f>
        <v>24.579471271473309</v>
      </c>
      <c r="I186" s="739">
        <f t="shared" si="179"/>
        <v>20.289536654664907</v>
      </c>
      <c r="J186" s="739">
        <f t="shared" si="179"/>
        <v>15.72202480057654</v>
      </c>
      <c r="K186" s="739">
        <f>(K180/J180-1)*100</f>
        <v>-0.67085125526920031</v>
      </c>
      <c r="L186" s="739">
        <f t="shared" si="179"/>
        <v>8.1022066660469072</v>
      </c>
      <c r="M186" s="739">
        <f t="shared" si="179"/>
        <v>2.5955442673439411</v>
      </c>
      <c r="N186" s="739">
        <f t="shared" si="179"/>
        <v>7.7695593737725721</v>
      </c>
      <c r="O186" s="739">
        <f t="shared" si="179"/>
        <v>6.5373769821674976</v>
      </c>
      <c r="P186" s="739">
        <f t="shared" si="179"/>
        <v>16.687407684080036</v>
      </c>
      <c r="Q186" s="739">
        <f t="shared" si="179"/>
        <v>9.0007936848583761</v>
      </c>
      <c r="R186" s="739">
        <f t="shared" si="179"/>
        <v>16.854476262175268</v>
      </c>
      <c r="S186" s="739">
        <f t="shared" si="179"/>
        <v>7.6737673635999704</v>
      </c>
      <c r="T186" s="2907">
        <f t="shared" ref="T186:AE189" si="180">(T180/S180-1)*100</f>
        <v>14.794098083086427</v>
      </c>
      <c r="U186" s="2907">
        <f t="shared" si="180"/>
        <v>-14.042249987177236</v>
      </c>
      <c r="V186" s="2907">
        <f t="shared" si="180"/>
        <v>0.64723248978080239</v>
      </c>
      <c r="W186" s="2907">
        <f t="shared" si="180"/>
        <v>8.1148104865329316</v>
      </c>
      <c r="X186" s="2907">
        <f t="shared" si="180"/>
        <v>5.602215987657333</v>
      </c>
      <c r="Y186" s="2907">
        <f t="shared" si="180"/>
        <v>4.213559231642594</v>
      </c>
      <c r="Z186" s="2907">
        <f t="shared" si="180"/>
        <v>2.6626499101302326</v>
      </c>
      <c r="AA186" s="2907">
        <f t="shared" si="180"/>
        <v>5.2914691539027503</v>
      </c>
      <c r="AB186" s="2907">
        <f t="shared" si="180"/>
        <v>6.2322726181666122</v>
      </c>
      <c r="AC186" s="2907">
        <f t="shared" si="180"/>
        <v>7.168650713760516</v>
      </c>
      <c r="AD186" s="2907">
        <f t="shared" si="180"/>
        <v>4.7564406281384697</v>
      </c>
      <c r="AE186" s="2907">
        <f t="shared" si="180"/>
        <v>5.2008926752777906</v>
      </c>
    </row>
    <row r="187" spans="1:31" ht="12.75" customHeight="1">
      <c r="A187" s="664"/>
      <c r="B187" s="664"/>
      <c r="C187" s="795" t="s">
        <v>1767</v>
      </c>
      <c r="D187" s="674" t="s">
        <v>686</v>
      </c>
      <c r="E187" s="783" t="s">
        <v>1850</v>
      </c>
      <c r="F187" s="704" t="s">
        <v>2071</v>
      </c>
      <c r="G187" s="706"/>
      <c r="H187" s="706">
        <f t="shared" ref="H187:S187" si="181">(H181/G181-1)*100</f>
        <v>33.922519599432555</v>
      </c>
      <c r="I187" s="706">
        <f t="shared" si="181"/>
        <v>-0.12938333618733866</v>
      </c>
      <c r="J187" s="706">
        <f t="shared" si="181"/>
        <v>-16.539338401061819</v>
      </c>
      <c r="K187" s="706">
        <f>(K181/J181-1)*100</f>
        <v>-13.306651042815886</v>
      </c>
      <c r="L187" s="706">
        <f t="shared" si="181"/>
        <v>2.5979725281958688</v>
      </c>
      <c r="M187" s="706">
        <f t="shared" si="181"/>
        <v>44.242268702681862</v>
      </c>
      <c r="N187" s="706">
        <f t="shared" si="181"/>
        <v>7.2260574573577152</v>
      </c>
      <c r="O187" s="706">
        <f t="shared" si="181"/>
        <v>24.068563463793513</v>
      </c>
      <c r="P187" s="706">
        <f t="shared" si="181"/>
        <v>-22.086745634409432</v>
      </c>
      <c r="Q187" s="706">
        <f t="shared" si="181"/>
        <v>70.477432939668745</v>
      </c>
      <c r="R187" s="706">
        <f t="shared" si="181"/>
        <v>-0.63200644425058794</v>
      </c>
      <c r="S187" s="706">
        <f t="shared" si="181"/>
        <v>78.493668448981225</v>
      </c>
      <c r="T187" s="792">
        <f t="shared" si="180"/>
        <v>5.3555444958112375</v>
      </c>
      <c r="U187" s="792">
        <f t="shared" si="180"/>
        <v>-5.8955282858908165</v>
      </c>
      <c r="V187" s="792">
        <f t="shared" si="180"/>
        <v>-2.5877947247772481</v>
      </c>
      <c r="W187" s="792">
        <f t="shared" si="180"/>
        <v>15.482509507938547</v>
      </c>
      <c r="X187" s="792">
        <f t="shared" si="180"/>
        <v>15.812209440428893</v>
      </c>
      <c r="Y187" s="792">
        <f t="shared" si="180"/>
        <v>9.9325494378631483</v>
      </c>
      <c r="Z187" s="792">
        <f t="shared" si="180"/>
        <v>15.051487864003299</v>
      </c>
      <c r="AA187" s="792">
        <f t="shared" si="180"/>
        <v>-19.574244798815744</v>
      </c>
      <c r="AB187" s="792">
        <f t="shared" si="180"/>
        <v>-8.1443010919942331</v>
      </c>
      <c r="AC187" s="792">
        <f t="shared" si="180"/>
        <v>13.694283434047595</v>
      </c>
      <c r="AD187" s="792">
        <f t="shared" ca="1" si="180"/>
        <v>7.6478504982178563</v>
      </c>
      <c r="AE187" s="792">
        <f t="shared" ca="1" si="180"/>
        <v>8.2385307347471191</v>
      </c>
    </row>
    <row r="188" spans="1:31" ht="12.75" customHeight="1">
      <c r="A188" s="664"/>
      <c r="B188" s="664"/>
      <c r="C188" s="796" t="s">
        <v>1767</v>
      </c>
      <c r="D188" s="691" t="s">
        <v>687</v>
      </c>
      <c r="E188" s="797" t="s">
        <v>1850</v>
      </c>
      <c r="F188" s="736" t="s">
        <v>2072</v>
      </c>
      <c r="G188" s="741"/>
      <c r="H188" s="741">
        <f t="shared" ref="H188:S188" si="182">(H182/G182-1)*100</f>
        <v>11.842575433989545</v>
      </c>
      <c r="I188" s="741">
        <f t="shared" si="182"/>
        <v>39.6424644099028</v>
      </c>
      <c r="J188" s="741">
        <f t="shared" si="182"/>
        <v>11.891434591522888</v>
      </c>
      <c r="K188" s="741">
        <f>(K182/J182-1)*100</f>
        <v>-3.9958914076208218</v>
      </c>
      <c r="L188" s="741">
        <f t="shared" si="182"/>
        <v>-2.9773934062450436</v>
      </c>
      <c r="M188" s="741">
        <f t="shared" si="182"/>
        <v>4.9990555297456885</v>
      </c>
      <c r="N188" s="741">
        <f t="shared" si="182"/>
        <v>5.8098206341257175</v>
      </c>
      <c r="O188" s="741">
        <f t="shared" si="182"/>
        <v>2.5779117536232965</v>
      </c>
      <c r="P188" s="741">
        <f t="shared" si="182"/>
        <v>7.0192807353916198</v>
      </c>
      <c r="Q188" s="741">
        <f t="shared" si="182"/>
        <v>15.48407891266943</v>
      </c>
      <c r="R188" s="741">
        <f t="shared" si="182"/>
        <v>14.195253146204291</v>
      </c>
      <c r="S188" s="741">
        <f t="shared" si="182"/>
        <v>20.954067754109662</v>
      </c>
      <c r="T188" s="2908">
        <f t="shared" si="180"/>
        <v>14.753311097523536</v>
      </c>
      <c r="U188" s="2908">
        <f t="shared" si="180"/>
        <v>-17.763162408212462</v>
      </c>
      <c r="V188" s="2908">
        <f t="shared" si="180"/>
        <v>2.3127768616644229</v>
      </c>
      <c r="W188" s="2908">
        <f t="shared" si="180"/>
        <v>8.4861712074101536</v>
      </c>
      <c r="X188" s="2908">
        <f t="shared" si="180"/>
        <v>3.7346768516175688</v>
      </c>
      <c r="Y188" s="2908">
        <f t="shared" si="180"/>
        <v>3.1152640451337366</v>
      </c>
      <c r="Z188" s="2908">
        <f t="shared" si="180"/>
        <v>7.5171504390372013</v>
      </c>
      <c r="AA188" s="2908">
        <f t="shared" si="180"/>
        <v>6.2931868285074799</v>
      </c>
      <c r="AB188" s="2908">
        <f t="shared" si="180"/>
        <v>6.2585435534214362</v>
      </c>
      <c r="AC188" s="2908">
        <f t="shared" si="180"/>
        <v>9.4506620325991886</v>
      </c>
      <c r="AD188" s="2908">
        <f t="shared" si="180"/>
        <v>8.2073133187321226</v>
      </c>
      <c r="AE188" s="2908">
        <f t="shared" si="180"/>
        <v>4.8382042699019578</v>
      </c>
    </row>
    <row r="189" spans="1:31" ht="12.75" customHeight="1">
      <c r="A189" s="664"/>
      <c r="B189" s="664"/>
      <c r="C189" s="774" t="s">
        <v>1769</v>
      </c>
      <c r="D189" s="717"/>
      <c r="E189" s="722" t="s">
        <v>1850</v>
      </c>
      <c r="F189" s="723" t="s">
        <v>1108</v>
      </c>
      <c r="G189" s="721"/>
      <c r="H189" s="721">
        <f t="shared" ref="H189:S189" si="183">(H183/G183-1)*100</f>
        <v>24.021198969981871</v>
      </c>
      <c r="I189" s="721">
        <f t="shared" si="183"/>
        <v>19.650004993092907</v>
      </c>
      <c r="J189" s="721">
        <f t="shared" si="183"/>
        <v>10.679525555345947</v>
      </c>
      <c r="K189" s="721">
        <f>(K183/J183-1)*100</f>
        <v>-2.5245312897661187</v>
      </c>
      <c r="L189" s="721">
        <f t="shared" si="183"/>
        <v>5.7942879890791499</v>
      </c>
      <c r="M189" s="721">
        <f t="shared" si="183"/>
        <v>6.6623909228293865</v>
      </c>
      <c r="N189" s="721">
        <f t="shared" si="183"/>
        <v>7.4162785349975779</v>
      </c>
      <c r="O189" s="721">
        <f t="shared" si="183"/>
        <v>8.0717455995021901</v>
      </c>
      <c r="P189" s="721">
        <f t="shared" si="183"/>
        <v>10.009295263967633</v>
      </c>
      <c r="Q189" s="721">
        <f t="shared" si="183"/>
        <v>15.875043198271399</v>
      </c>
      <c r="R189" s="721">
        <f t="shared" si="183"/>
        <v>13.986170912007534</v>
      </c>
      <c r="S189" s="721">
        <f t="shared" si="183"/>
        <v>18.321959348323347</v>
      </c>
      <c r="T189" s="801">
        <f t="shared" si="180"/>
        <v>13.003841518745297</v>
      </c>
      <c r="U189" s="801">
        <f t="shared" si="180"/>
        <v>-13.1212893624432</v>
      </c>
      <c r="V189" s="801">
        <f t="shared" si="180"/>
        <v>0.24779864128057216</v>
      </c>
      <c r="W189" s="801">
        <f t="shared" si="180"/>
        <v>9.5315534042353036</v>
      </c>
      <c r="X189" s="801">
        <f t="shared" si="180"/>
        <v>7.352168963033523</v>
      </c>
      <c r="Y189" s="801">
        <f t="shared" si="180"/>
        <v>5.2799258927392456</v>
      </c>
      <c r="Z189" s="801">
        <f t="shared" si="180"/>
        <v>6.0015342161929164</v>
      </c>
      <c r="AA189" s="801">
        <f t="shared" si="180"/>
        <v>-0.5287104485352967</v>
      </c>
      <c r="AB189" s="801">
        <f t="shared" si="180"/>
        <v>3.4555387972754037</v>
      </c>
      <c r="AC189" s="801">
        <f t="shared" si="180"/>
        <v>8.6076943124032468</v>
      </c>
      <c r="AD189" s="801">
        <f t="shared" ca="1" si="180"/>
        <v>5.7616120018395112</v>
      </c>
      <c r="AE189" s="801">
        <f t="shared" ca="1" si="180"/>
        <v>5.7044441220774011</v>
      </c>
    </row>
    <row r="190" spans="1:31" ht="12.75" customHeight="1">
      <c r="A190" s="664"/>
      <c r="B190" s="664"/>
      <c r="C190" s="774"/>
      <c r="E190" s="786"/>
      <c r="F190" s="787"/>
      <c r="G190" s="703"/>
      <c r="H190" s="788"/>
      <c r="I190" s="788"/>
      <c r="J190" s="788"/>
      <c r="K190" s="788"/>
      <c r="L190" s="788"/>
      <c r="M190" s="788"/>
      <c r="N190" s="788"/>
      <c r="O190" s="788"/>
      <c r="P190" s="788"/>
      <c r="Q190" s="788"/>
      <c r="R190" s="788"/>
      <c r="S190" s="788"/>
      <c r="T190" s="848"/>
      <c r="U190" s="848"/>
      <c r="V190" s="848"/>
      <c r="W190" s="848"/>
      <c r="X190" s="848"/>
      <c r="Y190" s="848"/>
      <c r="Z190" s="848"/>
      <c r="AA190" s="848"/>
      <c r="AB190" s="848"/>
      <c r="AC190" s="848"/>
      <c r="AD190" s="848"/>
      <c r="AE190" s="848"/>
    </row>
    <row r="191" spans="1:31" ht="12.75" customHeight="1">
      <c r="A191" s="664"/>
      <c r="B191" s="664"/>
      <c r="C191" s="774"/>
      <c r="D191" s="818"/>
      <c r="E191" s="819" t="s">
        <v>512</v>
      </c>
      <c r="F191" s="820"/>
      <c r="G191" s="821">
        <f>+InputY!$G$3</f>
        <v>1995</v>
      </c>
      <c r="H191" s="821">
        <f>+G191+1</f>
        <v>1996</v>
      </c>
      <c r="I191" s="821">
        <f t="shared" ref="I191:O191" si="184">+H191+1</f>
        <v>1997</v>
      </c>
      <c r="J191" s="821">
        <f t="shared" si="184"/>
        <v>1998</v>
      </c>
      <c r="K191" s="821">
        <f>+J191+1</f>
        <v>1999</v>
      </c>
      <c r="L191" s="821">
        <f t="shared" si="184"/>
        <v>2000</v>
      </c>
      <c r="M191" s="821">
        <f t="shared" si="184"/>
        <v>2001</v>
      </c>
      <c r="N191" s="821">
        <f t="shared" si="184"/>
        <v>2002</v>
      </c>
      <c r="O191" s="821">
        <f t="shared" si="184"/>
        <v>2003</v>
      </c>
      <c r="P191" s="821">
        <f t="shared" ref="P191:V191" si="185">+O191+1</f>
        <v>2004</v>
      </c>
      <c r="Q191" s="821">
        <f t="shared" si="185"/>
        <v>2005</v>
      </c>
      <c r="R191" s="821">
        <f t="shared" si="185"/>
        <v>2006</v>
      </c>
      <c r="S191" s="821">
        <f>+R191+1</f>
        <v>2007</v>
      </c>
      <c r="T191" s="821">
        <f t="shared" si="185"/>
        <v>2008</v>
      </c>
      <c r="U191" s="821">
        <f t="shared" si="185"/>
        <v>2009</v>
      </c>
      <c r="V191" s="821">
        <f t="shared" si="185"/>
        <v>2010</v>
      </c>
      <c r="W191" s="821">
        <f t="shared" ref="W191:AE191" si="186">+V191+1</f>
        <v>2011</v>
      </c>
      <c r="X191" s="821">
        <f t="shared" si="186"/>
        <v>2012</v>
      </c>
      <c r="Y191" s="821">
        <f t="shared" si="186"/>
        <v>2013</v>
      </c>
      <c r="Z191" s="821">
        <f t="shared" si="186"/>
        <v>2014</v>
      </c>
      <c r="AA191" s="821">
        <f t="shared" si="186"/>
        <v>2015</v>
      </c>
      <c r="AB191" s="821">
        <f t="shared" si="186"/>
        <v>2016</v>
      </c>
      <c r="AC191" s="821">
        <f t="shared" si="186"/>
        <v>2017</v>
      </c>
      <c r="AD191" s="821">
        <f t="shared" si="186"/>
        <v>2018</v>
      </c>
      <c r="AE191" s="821">
        <f t="shared" si="186"/>
        <v>2019</v>
      </c>
    </row>
    <row r="192" spans="1:31" ht="12.75" customHeight="1">
      <c r="A192" s="664"/>
      <c r="B192" s="664"/>
      <c r="C192" s="822" t="s">
        <v>1767</v>
      </c>
      <c r="D192" s="823" t="s">
        <v>685</v>
      </c>
      <c r="E192" s="824" t="s">
        <v>1850</v>
      </c>
      <c r="F192" s="825" t="s">
        <v>2070</v>
      </c>
      <c r="G192" s="838">
        <f>+G180/'VVP2'!G$341</f>
        <v>0.69168642532130098</v>
      </c>
      <c r="H192" s="838">
        <f>+H180/'VVP2'!H$341</f>
        <v>0.68875712234215036</v>
      </c>
      <c r="I192" s="838">
        <f>+I180/'VVP2'!I$341</f>
        <v>0.68645228644000422</v>
      </c>
      <c r="J192" s="838">
        <f>+J180/'VVP2'!J$341</f>
        <v>0.71521798561814043</v>
      </c>
      <c r="K192" s="838">
        <f>+K180/'VVP2'!K$341</f>
        <v>0.72773771090175643</v>
      </c>
      <c r="L192" s="838">
        <f>+L180/'VVP2'!L$341</f>
        <v>0.7480898671322499</v>
      </c>
      <c r="M192" s="838">
        <f>+M180/'VVP2'!M$341</f>
        <v>0.72282613290199305</v>
      </c>
      <c r="N192" s="838">
        <f>+N180/'VVP2'!N$341</f>
        <v>0.72735273977333492</v>
      </c>
      <c r="O192" s="838">
        <f>+O180/'VVP2'!O$341</f>
        <v>0.7067351072203345</v>
      </c>
      <c r="P192" s="838">
        <f>+P180/'VVP2'!P$341</f>
        <v>0.75371318344617633</v>
      </c>
      <c r="Q192" s="838">
        <f>+Q180/'VVP2'!Q$341</f>
        <v>0.7134087375936502</v>
      </c>
      <c r="R192" s="838">
        <f>+R180/'VVP2'!R$341</f>
        <v>0.727126505138464</v>
      </c>
      <c r="S192" s="838">
        <f>+S180/'VVP2'!S$341</f>
        <v>0.64916499831615404</v>
      </c>
      <c r="T192" s="2909">
        <f>+T180/'VVP2'!T$341</f>
        <v>0.6618853887965237</v>
      </c>
      <c r="U192" s="2909">
        <f>+U180/'VVP2'!U$341</f>
        <v>0.69064059087827578</v>
      </c>
      <c r="V192" s="2909">
        <f>+V180/'VVP2'!V$341</f>
        <v>0.66800724712658843</v>
      </c>
      <c r="W192" s="2909">
        <f>+W180/'VVP2'!W$341</f>
        <v>0.64721927705296067</v>
      </c>
      <c r="X192" s="2909">
        <f>+X180/'VVP2'!X$341</f>
        <v>0.64098843485520185</v>
      </c>
      <c r="Y192" s="2909">
        <f>+Y180/'VVP2'!Y$341</f>
        <v>0.6372111848945855</v>
      </c>
      <c r="Z192" s="2909">
        <f>+Z180/'VVP2'!Z$341</f>
        <v>0.62540075715893662</v>
      </c>
      <c r="AA192" s="2909">
        <f>+AA180/'VVP2'!AA$341</f>
        <v>0.64339196096039686</v>
      </c>
      <c r="AB192" s="2909">
        <f>+AB180/'VVP2'!AB$341</f>
        <v>0.66154179959201731</v>
      </c>
      <c r="AC192" s="2909">
        <f ca="1">+AC180/'VVP2'!AC$341</f>
        <v>0.65616964024196711</v>
      </c>
      <c r="AD192" s="2909">
        <f ca="1">+AD180/'VVP2'!AD$341</f>
        <v>0.64956896526793306</v>
      </c>
      <c r="AE192" s="2909">
        <f ca="1">+AE180/'VVP2'!AE$341</f>
        <v>0.64726863030564075</v>
      </c>
    </row>
    <row r="193" spans="1:113" ht="12.75" customHeight="1">
      <c r="A193" s="664"/>
      <c r="B193" s="664"/>
      <c r="C193" s="826" t="s">
        <v>1767</v>
      </c>
      <c r="D193" s="674" t="s">
        <v>686</v>
      </c>
      <c r="E193" s="783" t="s">
        <v>1850</v>
      </c>
      <c r="F193" s="704" t="s">
        <v>2071</v>
      </c>
      <c r="G193" s="839">
        <f>+G181/'VVP2'!G$341</f>
        <v>0.15162926796599407</v>
      </c>
      <c r="H193" s="839">
        <f>+H181/'VVP2'!H$341</f>
        <v>0.16231064992819746</v>
      </c>
      <c r="I193" s="839">
        <f>+I181/'VVP2'!I$341</f>
        <v>0.13430777340131728</v>
      </c>
      <c r="J193" s="839">
        <f>+J181/'VVP2'!J$341</f>
        <v>0.10092413123677232</v>
      </c>
      <c r="K193" s="839">
        <f>+K181/'VVP2'!K$341</f>
        <v>8.9627346586868592E-2</v>
      </c>
      <c r="L193" s="839">
        <f>+L181/'VVP2'!L$341</f>
        <v>8.7442718455317037E-2</v>
      </c>
      <c r="M193" s="839">
        <f>+M181/'VVP2'!M$341</f>
        <v>0.11878668669317453</v>
      </c>
      <c r="N193" s="839">
        <f>+N181/'VVP2'!N$341</f>
        <v>0.11892775833976331</v>
      </c>
      <c r="O193" s="839">
        <f>+O181/'VVP2'!O$341</f>
        <v>0.13457195857090753</v>
      </c>
      <c r="P193" s="839">
        <f>+P181/'VVP2'!P$341</f>
        <v>9.5827767944677247E-2</v>
      </c>
      <c r="Q193" s="839">
        <f>+Q181/'VVP2'!Q$341</f>
        <v>0.14186031563134607</v>
      </c>
      <c r="R193" s="839">
        <f>+R181/'VVP2'!R$341</f>
        <v>0.12295144602100232</v>
      </c>
      <c r="S193" s="839">
        <f>+S181/'VVP2'!S$341</f>
        <v>0.18196659442312954</v>
      </c>
      <c r="T193" s="2910">
        <f>+T181/'VVP2'!T$341</f>
        <v>0.17027747499103871</v>
      </c>
      <c r="U193" s="2910">
        <f>+U181/'VVP2'!U$341</f>
        <v>0.19451438695339343</v>
      </c>
      <c r="V193" s="2910">
        <f>+V181/'VVP2'!V$341</f>
        <v>0.18209261850614708</v>
      </c>
      <c r="W193" s="2910">
        <f>+W181/'VVP2'!W$341</f>
        <v>0.18844891115422643</v>
      </c>
      <c r="X193" s="2910">
        <f>+X181/'VVP2'!X$341</f>
        <v>0.20467919377434893</v>
      </c>
      <c r="Y193" s="2910">
        <f>+Y181/'VVP2'!Y$341</f>
        <v>0.21463916257742849</v>
      </c>
      <c r="Z193" s="2910">
        <f>+Z181/'VVP2'!Z$341</f>
        <v>0.23608247366296695</v>
      </c>
      <c r="AA193" s="2910">
        <f>+AA181/'VVP2'!AA$341</f>
        <v>0.18551666848800891</v>
      </c>
      <c r="AB193" s="2910">
        <f>+AB181/'VVP2'!AB$341</f>
        <v>0.16493553379096895</v>
      </c>
      <c r="AC193" s="2910">
        <f ca="1">+AC181/'VVP2'!AC$341</f>
        <v>0.17355772090837973</v>
      </c>
      <c r="AD193" s="2910">
        <f ca="1">+AD181/'VVP2'!AD$341</f>
        <v>0.17655405710243702</v>
      </c>
      <c r="AE193" s="2910">
        <f ca="1">+AE181/'VVP2'!AE$341</f>
        <v>0.18100870342104811</v>
      </c>
    </row>
    <row r="194" spans="1:113" ht="12.75" customHeight="1">
      <c r="A194" s="664"/>
      <c r="B194" s="664"/>
      <c r="C194" s="827" t="s">
        <v>1767</v>
      </c>
      <c r="D194" s="828" t="s">
        <v>687</v>
      </c>
      <c r="E194" s="829" t="s">
        <v>1850</v>
      </c>
      <c r="F194" s="830" t="s">
        <v>2072</v>
      </c>
      <c r="G194" s="840">
        <f>+G182/'VVP2'!G$341</f>
        <v>0.15498298029629612</v>
      </c>
      <c r="H194" s="840">
        <f>+H182/'VVP2'!H$341</f>
        <v>0.13854840619096884</v>
      </c>
      <c r="I194" s="840">
        <f>+I182/'VVP2'!I$341</f>
        <v>0.16030070775838981</v>
      </c>
      <c r="J194" s="840">
        <f>+J182/'VVP2'!J$341</f>
        <v>0.16148951463527758</v>
      </c>
      <c r="K194" s="840">
        <f>+K182/'VVP2'!K$341</f>
        <v>0.15881586648290447</v>
      </c>
      <c r="L194" s="840">
        <f>+L182/'VVP2'!L$341</f>
        <v>0.14652480741581878</v>
      </c>
      <c r="M194" s="840">
        <f>+M182/'VVP2'!M$341</f>
        <v>0.14489324048999191</v>
      </c>
      <c r="N194" s="840">
        <f>+N182/'VVP2'!N$341</f>
        <v>0.14314930039593035</v>
      </c>
      <c r="O194" s="840">
        <f>+O182/'VVP2'!O$341</f>
        <v>0.13392222926145636</v>
      </c>
      <c r="P194" s="840">
        <f>+P182/'VVP2'!P$341</f>
        <v>0.1309906062819256</v>
      </c>
      <c r="Q194" s="840">
        <f>+Q182/'VVP2'!Q$341</f>
        <v>0.13136053822548424</v>
      </c>
      <c r="R194" s="840">
        <f>+R182/'VVP2'!R$341</f>
        <v>0.13083958839129903</v>
      </c>
      <c r="S194" s="840">
        <f>+S182/'VVP2'!S$341</f>
        <v>0.13121843649558929</v>
      </c>
      <c r="T194" s="2911">
        <f>+T182/'VVP2'!T$341</f>
        <v>0.13374212601555893</v>
      </c>
      <c r="U194" s="2911">
        <f>+U182/'VVP2'!U$341</f>
        <v>0.13351156606949666</v>
      </c>
      <c r="V194" s="2911">
        <f>+V182/'VVP2'!V$341</f>
        <v>0.13127317799630794</v>
      </c>
      <c r="W194" s="2911">
        <f>+W182/'VVP2'!W$341</f>
        <v>0.12762491319033667</v>
      </c>
      <c r="X194" s="2911">
        <f>+X182/'VVP2'!X$341</f>
        <v>0.12416098125011996</v>
      </c>
      <c r="Y194" s="2911">
        <f>+Y182/'VVP2'!Y$341</f>
        <v>0.12212851101198091</v>
      </c>
      <c r="Z194" s="2911">
        <f>+Z182/'VVP2'!Z$341</f>
        <v>0.12553283884284411</v>
      </c>
      <c r="AA194" s="2911">
        <f>+AA182/'VVP2'!AA$341</f>
        <v>0.13037274815966501</v>
      </c>
      <c r="AB194" s="2911">
        <f>+AB182/'VVP2'!AB$341</f>
        <v>0.13408366331922361</v>
      </c>
      <c r="AC194" s="2911">
        <f ca="1">+AC182/'VVP2'!AC$341</f>
        <v>0.13582675932151125</v>
      </c>
      <c r="AD194" s="2911">
        <f ca="1">+AD182/'VVP2'!AD$341</f>
        <v>0.13888980050601998</v>
      </c>
      <c r="AE194" s="2911">
        <f ca="1">+AE182/'VVP2'!AE$341</f>
        <v>0.1379208086753978</v>
      </c>
    </row>
    <row r="195" spans="1:113" ht="12.75" customHeight="1">
      <c r="A195" s="664"/>
      <c r="B195" s="664"/>
      <c r="C195" s="774" t="s">
        <v>1769</v>
      </c>
      <c r="D195" s="806"/>
      <c r="E195" s="807" t="s">
        <v>1850</v>
      </c>
      <c r="F195" s="808" t="s">
        <v>1108</v>
      </c>
      <c r="G195" s="841">
        <f>+G183/'VVP2'!G$341</f>
        <v>0.99829867358359103</v>
      </c>
      <c r="H195" s="841">
        <f>+H183/'VVP2'!H$341</f>
        <v>0.98961617846131655</v>
      </c>
      <c r="I195" s="841">
        <f>+I183/'VVP2'!I$341</f>
        <v>0.98106076759971128</v>
      </c>
      <c r="J195" s="841">
        <f>+J183/'VVP2'!J$341</f>
        <v>0.97763163149019039</v>
      </c>
      <c r="K195" s="841">
        <f>+K183/'VVP2'!K$341</f>
        <v>0.97618092397152956</v>
      </c>
      <c r="L195" s="841">
        <f>+L183/'VVP2'!L$341</f>
        <v>0.98205739300338579</v>
      </c>
      <c r="M195" s="841">
        <f>+M183/'VVP2'!M$341</f>
        <v>0.9865060600851594</v>
      </c>
      <c r="N195" s="841">
        <f>+N183/'VVP2'!N$341</f>
        <v>0.98942979850902857</v>
      </c>
      <c r="O195" s="841">
        <f>+O183/'VVP2'!O$341</f>
        <v>0.9752292950526984</v>
      </c>
      <c r="P195" s="841">
        <f>+P183/'VVP2'!P$341</f>
        <v>0.98053155767277922</v>
      </c>
      <c r="Q195" s="841">
        <f>+Q183/'VVP2'!Q$341</f>
        <v>0.98662959145048046</v>
      </c>
      <c r="R195" s="841">
        <f>+R183/'VVP2'!R$341</f>
        <v>0.98091753955076544</v>
      </c>
      <c r="S195" s="841">
        <f>+S183/'VVP2'!S$341</f>
        <v>0.96235002923487278</v>
      </c>
      <c r="T195" s="2912">
        <f>+T183/'VVP2'!T$341</f>
        <v>0.96590498980312123</v>
      </c>
      <c r="U195" s="2912">
        <f>+U183/'VVP2'!U$341</f>
        <v>1.018666543901166</v>
      </c>
      <c r="V195" s="2912">
        <f>+V183/'VVP2'!V$341</f>
        <v>0.98137304362904354</v>
      </c>
      <c r="W195" s="2912">
        <f>+W183/'VVP2'!W$341</f>
        <v>0.96329310139752378</v>
      </c>
      <c r="X195" s="2912">
        <f>+X183/'VVP2'!X$341</f>
        <v>0.96982860987967079</v>
      </c>
      <c r="Y195" s="2912">
        <f>+Y183/'VVP2'!Y$341</f>
        <v>0.97397885848399501</v>
      </c>
      <c r="Z195" s="2912">
        <f>+Z183/'VVP2'!Z$341</f>
        <v>0.98701606966474764</v>
      </c>
      <c r="AA195" s="2912">
        <f>+AA183/'VVP2'!AA$341</f>
        <v>0.95928137760807075</v>
      </c>
      <c r="AB195" s="2912">
        <f>+AB183/'VVP2'!AB$341</f>
        <v>0.96056099670220985</v>
      </c>
      <c r="AC195" s="2912">
        <f ca="1">+AC183/'VVP2'!AC$341</f>
        <v>0.96555412047185818</v>
      </c>
      <c r="AD195" s="2912">
        <f ca="1">+AD183/'VVP2'!AD$341</f>
        <v>0.96501282287639001</v>
      </c>
      <c r="AE195" s="2912">
        <f ca="1">+AE183/'VVP2'!AE$341</f>
        <v>0.96619814240208679</v>
      </c>
    </row>
    <row r="196" spans="1:113" ht="30" customHeight="1">
      <c r="AB196"/>
      <c r="AC196"/>
      <c r="AD196"/>
      <c r="AE196" s="3649"/>
    </row>
    <row r="197" spans="1:113" ht="30" customHeight="1">
      <c r="U197" s="2290"/>
      <c r="V197" s="2290"/>
      <c r="Y197" s="2274"/>
      <c r="Z197" s="3320"/>
      <c r="AB197"/>
      <c r="AC197"/>
      <c r="AD197">
        <v>1.7161676185957699</v>
      </c>
      <c r="AE197" s="3649"/>
    </row>
    <row r="198" spans="1:113" ht="22.5" customHeight="1">
      <c r="A198" s="574"/>
      <c r="B198" s="574"/>
      <c r="C198" s="3751" t="s">
        <v>974</v>
      </c>
      <c r="D198" s="3751"/>
      <c r="E198" s="3751"/>
      <c r="F198" s="3751"/>
      <c r="R198" s="2274"/>
      <c r="S198" s="3120"/>
      <c r="T198" s="3120"/>
      <c r="U198" s="2203"/>
      <c r="V198" s="3120"/>
      <c r="AB198" s="2221"/>
      <c r="AC198" s="2254"/>
      <c r="AD198" s="2254">
        <f>+AD201-0.08</f>
        <v>1.6534637770239999</v>
      </c>
      <c r="AE198" s="2221"/>
    </row>
    <row r="199" spans="1:113" ht="12.75" customHeight="1">
      <c r="A199" s="664"/>
      <c r="B199" s="664"/>
      <c r="C199" s="774"/>
      <c r="Q199" s="845"/>
      <c r="R199" s="2270"/>
      <c r="S199" s="3123"/>
      <c r="T199" s="3120"/>
      <c r="U199" s="2203"/>
      <c r="V199" s="3120"/>
      <c r="AB199" s="2221"/>
      <c r="AC199" s="2221"/>
      <c r="AD199" s="2221"/>
      <c r="AE199" s="2221"/>
    </row>
    <row r="200" spans="1:113" ht="12.75" customHeight="1">
      <c r="A200" s="664"/>
      <c r="B200" s="664"/>
      <c r="C200" s="774"/>
      <c r="D200" s="775"/>
      <c r="E200" s="776" t="s">
        <v>1384</v>
      </c>
      <c r="F200" s="777"/>
      <c r="G200" s="778">
        <f>+InputY!$G$3</f>
        <v>1995</v>
      </c>
      <c r="H200" s="778">
        <f>+G200+1</f>
        <v>1996</v>
      </c>
      <c r="I200" s="778">
        <f t="shared" ref="I200:R200" si="187">+H200+1</f>
        <v>1997</v>
      </c>
      <c r="J200" s="778">
        <f t="shared" si="187"/>
        <v>1998</v>
      </c>
      <c r="K200" s="778">
        <f>+J200+1</f>
        <v>1999</v>
      </c>
      <c r="L200" s="778">
        <f t="shared" si="187"/>
        <v>2000</v>
      </c>
      <c r="M200" s="778">
        <f t="shared" si="187"/>
        <v>2001</v>
      </c>
      <c r="N200" s="778">
        <f t="shared" si="187"/>
        <v>2002</v>
      </c>
      <c r="O200" s="778">
        <f t="shared" si="187"/>
        <v>2003</v>
      </c>
      <c r="P200" s="778">
        <f>+O200+1</f>
        <v>2004</v>
      </c>
      <c r="Q200" s="778">
        <f>+P200+1</f>
        <v>2005</v>
      </c>
      <c r="R200" s="2222">
        <f t="shared" si="187"/>
        <v>2006</v>
      </c>
      <c r="S200" s="2222">
        <f t="shared" ref="S200:X200" si="188">+R200+1</f>
        <v>2007</v>
      </c>
      <c r="T200" s="2222">
        <f t="shared" si="188"/>
        <v>2008</v>
      </c>
      <c r="U200" s="2222">
        <f t="shared" si="188"/>
        <v>2009</v>
      </c>
      <c r="V200" s="2222">
        <f t="shared" si="188"/>
        <v>2010</v>
      </c>
      <c r="W200" s="2222">
        <f t="shared" si="188"/>
        <v>2011</v>
      </c>
      <c r="X200" s="2222">
        <f t="shared" si="188"/>
        <v>2012</v>
      </c>
      <c r="Y200" s="2222">
        <f t="shared" ref="Y200:AE200" si="189">+X200+1</f>
        <v>2013</v>
      </c>
      <c r="Z200" s="2222">
        <f t="shared" si="189"/>
        <v>2014</v>
      </c>
      <c r="AA200" s="2222">
        <f t="shared" si="189"/>
        <v>2015</v>
      </c>
      <c r="AB200" s="2222">
        <f t="shared" si="189"/>
        <v>2016</v>
      </c>
      <c r="AC200" s="2222">
        <f t="shared" si="189"/>
        <v>2017</v>
      </c>
      <c r="AD200" s="2222">
        <f t="shared" si="189"/>
        <v>2018</v>
      </c>
      <c r="AE200" s="2222">
        <f t="shared" si="189"/>
        <v>2019</v>
      </c>
    </row>
    <row r="201" spans="1:113" ht="12.75" customHeight="1">
      <c r="A201" s="664">
        <f>+ROW(InputY!A191)</f>
        <v>191</v>
      </c>
      <c r="B201" s="664">
        <v>92</v>
      </c>
      <c r="C201" s="779" t="s">
        <v>1767</v>
      </c>
      <c r="D201" s="668" t="s">
        <v>685</v>
      </c>
      <c r="E201" s="700" t="s">
        <v>978</v>
      </c>
      <c r="F201" s="701" t="str">
        <f>+InputY!B191</f>
        <v>$HTaxDir</v>
      </c>
      <c r="G201" s="780">
        <f>+InputY!G191/1000</f>
        <v>0.49329000000000001</v>
      </c>
      <c r="H201" s="780">
        <f>+InputY!H191/1000</f>
        <v>0.66565999999999992</v>
      </c>
      <c r="I201" s="780">
        <f>+InputY!I191/1000</f>
        <v>0.84538000000000002</v>
      </c>
      <c r="J201" s="780">
        <f>+InputY!J191/1000</f>
        <v>1.00234</v>
      </c>
      <c r="K201" s="780">
        <f>+InputY!K191/1000</f>
        <v>1.0550999999999999</v>
      </c>
      <c r="L201" s="780">
        <f>+InputY!L191/1000</f>
        <v>1.02823</v>
      </c>
      <c r="M201" s="780">
        <f>+InputY!M191/1000</f>
        <v>1.0264000000000002</v>
      </c>
      <c r="N201" s="780">
        <f>+InputY!N191/1000</f>
        <v>1.0390299999999999</v>
      </c>
      <c r="O201" s="780">
        <f>+InputY!O191/1000</f>
        <v>1.0864400000000001</v>
      </c>
      <c r="P201">
        <f>+InputY!P191/1000</f>
        <v>1.2406900000000001</v>
      </c>
      <c r="Q201" s="780">
        <f>+InputY!Q191/1000</f>
        <v>1.44129</v>
      </c>
      <c r="R201" s="2872">
        <f>+InputY!R191/1000</f>
        <v>1.63571</v>
      </c>
      <c r="S201" s="2872">
        <f>+InputY!S191/1000</f>
        <v>1.8986800000000001</v>
      </c>
      <c r="T201" s="2872">
        <f>+InputY!T191/1000</f>
        <v>2.1377100000000002</v>
      </c>
      <c r="U201" s="2872">
        <f>+InputY!U191/1000</f>
        <v>1.10605</v>
      </c>
      <c r="V201" s="2872">
        <f>+InputY!V191/1000</f>
        <v>1.0397700000000001</v>
      </c>
      <c r="W201" s="2872">
        <f>+InputY!W191/1000</f>
        <v>1.12323</v>
      </c>
      <c r="X201" s="2872">
        <f>+InputY!X191/1000</f>
        <v>1.1782999999999999</v>
      </c>
      <c r="Y201" s="2872">
        <f>+InputY!Y191/1000</f>
        <v>1.2658900000000002</v>
      </c>
      <c r="Z201" s="2872">
        <f>+InputY!Z191/1000</f>
        <v>1.3338399999999999</v>
      </c>
      <c r="AA201" s="2872">
        <f>+InputY!AA191/1000</f>
        <v>1.4569700000000001</v>
      </c>
      <c r="AB201" s="2872">
        <f>+InputY!AB191/1000</f>
        <v>1.5573599999999999</v>
      </c>
      <c r="AC201" s="2232">
        <f t="shared" ref="AC201:AE204" si="190">+AB201*(1+AC209/100)</f>
        <v>1.6732275839999999</v>
      </c>
      <c r="AD201" s="2232">
        <f t="shared" si="190"/>
        <v>1.733463777024</v>
      </c>
      <c r="AE201" s="2232">
        <f t="shared" si="190"/>
        <v>1.8262040890947842</v>
      </c>
      <c r="AF201" s="3660" t="s">
        <v>2596</v>
      </c>
    </row>
    <row r="202" spans="1:113" ht="12.75" customHeight="1">
      <c r="A202" s="664">
        <f>+ROW(InputY!A121)</f>
        <v>121</v>
      </c>
      <c r="B202" s="664">
        <v>107</v>
      </c>
      <c r="C202" s="782" t="s">
        <v>1767</v>
      </c>
      <c r="D202" s="674" t="s">
        <v>686</v>
      </c>
      <c r="E202" s="783" t="s">
        <v>978</v>
      </c>
      <c r="F202" s="704" t="str">
        <f>+InputY!B121</f>
        <v>$ETaxDir</v>
      </c>
      <c r="G202" s="706">
        <f>+InputY!G121/1000</f>
        <v>0.15953999999999999</v>
      </c>
      <c r="H202" s="706">
        <f>+InputY!H121/1000</f>
        <v>0.11173000000000001</v>
      </c>
      <c r="I202" s="706">
        <f>+InputY!I121/1000</f>
        <v>0.17983000000000002</v>
      </c>
      <c r="J202" s="706">
        <f>+InputY!J121/1000</f>
        <v>0.16805</v>
      </c>
      <c r="K202" s="706">
        <f>+InputY!K121/1000</f>
        <v>0.1045</v>
      </c>
      <c r="L202" s="706">
        <f>+InputY!L121/1000</f>
        <v>9.0269999999999989E-2</v>
      </c>
      <c r="M202" s="706">
        <f>+InputY!M121/1000</f>
        <v>7.5079999999999994E-2</v>
      </c>
      <c r="N202" s="706">
        <f>+InputY!N121/1000</f>
        <v>8.9090000000000003E-2</v>
      </c>
      <c r="O202" s="706">
        <f>+InputY!O121/1000</f>
        <v>0.22716</v>
      </c>
      <c r="P202" s="706">
        <f>+InputY!P121/1000</f>
        <v>0.33768999999999999</v>
      </c>
      <c r="Q202" s="706">
        <f>+InputY!Q121/1000</f>
        <v>0.43642000000000003</v>
      </c>
      <c r="R202" s="1564">
        <f>+InputY!R121/1000</f>
        <v>0.66228999999999993</v>
      </c>
      <c r="S202" s="1564">
        <f>+InputY!S121/1000</f>
        <v>0.73341999999999996</v>
      </c>
      <c r="T202" s="1564">
        <f>+InputY!T121/1000</f>
        <v>0.88609000000000004</v>
      </c>
      <c r="U202" s="1564">
        <f>+InputY!U121/1000</f>
        <v>0.48854999999999998</v>
      </c>
      <c r="V202" s="1564">
        <f>+InputY!V121/1000</f>
        <v>0.27594999999999997</v>
      </c>
      <c r="W202" s="1564">
        <f>+InputY!W121/1000</f>
        <v>0.25196000000000002</v>
      </c>
      <c r="X202" s="1564">
        <f>+InputY!X121/1000</f>
        <v>0.43019999999999997</v>
      </c>
      <c r="Y202" s="1564">
        <f>+InputY!Y121/1000</f>
        <v>0.47525000000000001</v>
      </c>
      <c r="Z202" s="1564">
        <f>+InputY!Z121/1000</f>
        <v>0.49851999999999996</v>
      </c>
      <c r="AA202" s="1564">
        <f>+InputY!AA121/1000</f>
        <v>0.57265999999999995</v>
      </c>
      <c r="AB202" s="1455">
        <f>+InputY!AB121/1000</f>
        <v>0.62555999999999989</v>
      </c>
      <c r="AC202" s="3122">
        <f t="shared" si="190"/>
        <v>0.63099999999999989</v>
      </c>
      <c r="AD202" s="2232">
        <f t="shared" si="190"/>
        <v>0.6499299999999999</v>
      </c>
      <c r="AE202" s="2232">
        <f t="shared" si="190"/>
        <v>0.6882758699999999</v>
      </c>
      <c r="AF202" s="3653" t="s">
        <v>2595</v>
      </c>
    </row>
    <row r="203" spans="1:113" ht="12.75" customHeight="1">
      <c r="A203" s="664">
        <f>+ROW(InputY!A157)</f>
        <v>157</v>
      </c>
      <c r="B203" s="664" t="s">
        <v>1695</v>
      </c>
      <c r="C203" s="782" t="s">
        <v>1767</v>
      </c>
      <c r="D203" s="674" t="s">
        <v>687</v>
      </c>
      <c r="E203" s="783" t="s">
        <v>978</v>
      </c>
      <c r="F203" s="704" t="str">
        <f>+InputY!B157</f>
        <v>$ATaxDir</v>
      </c>
      <c r="G203" s="706">
        <f>+InputY!G157/1000</f>
        <v>0</v>
      </c>
      <c r="H203" s="706">
        <f>+InputY!H157/1000</f>
        <v>0</v>
      </c>
      <c r="I203" s="706">
        <f>+InputY!I157/1000</f>
        <v>0</v>
      </c>
      <c r="J203" s="706">
        <f>+InputY!J157/1000</f>
        <v>0</v>
      </c>
      <c r="K203" s="706">
        <f>+InputY!K157/1000</f>
        <v>0</v>
      </c>
      <c r="L203" s="706">
        <f>+InputY!L157/1000</f>
        <v>0</v>
      </c>
      <c r="M203" s="706">
        <f>+InputY!M157/1000</f>
        <v>0</v>
      </c>
      <c r="N203" s="706">
        <f>+InputY!N157/1000</f>
        <v>3.0000000000000001E-5</v>
      </c>
      <c r="O203" s="706">
        <f>+InputY!O157/1000</f>
        <v>1.5000000000000001E-4</v>
      </c>
      <c r="P203" s="706">
        <f>+InputY!P157/1000</f>
        <v>3.2000000000000003E-4</v>
      </c>
      <c r="Q203" s="706">
        <f>+InputY!Q157/1000</f>
        <v>2.4000000000000001E-4</v>
      </c>
      <c r="R203" s="1564">
        <f>+InputY!R157/1000</f>
        <v>9.4000000000000008E-4</v>
      </c>
      <c r="S203" s="1564">
        <f>+InputY!S157/1000</f>
        <v>9.3000000000000005E-4</v>
      </c>
      <c r="T203" s="1564">
        <f>+InputY!T157/1000</f>
        <v>1.6899999999999999E-3</v>
      </c>
      <c r="U203" s="1564">
        <f>+InputY!U157/1000</f>
        <v>7.2000000000000005E-4</v>
      </c>
      <c r="V203" s="1564">
        <f>+InputY!V157/1000</f>
        <v>3.0000000000000003E-4</v>
      </c>
      <c r="W203" s="1564">
        <f>+InputY!W157/1000</f>
        <v>9.1E-4</v>
      </c>
      <c r="X203" s="1564">
        <f>+InputY!X157/1000</f>
        <v>2.7100000000000002E-3</v>
      </c>
      <c r="Y203" s="1564">
        <f>+InputY!Y157/1000</f>
        <v>1.4199999999999998E-3</v>
      </c>
      <c r="Z203" s="1564">
        <f>+InputY!Z157/1000</f>
        <v>1.25E-3</v>
      </c>
      <c r="AA203" s="1564">
        <f>+InputY!AA157/1000</f>
        <v>1.2199999999999999E-3</v>
      </c>
      <c r="AB203" s="1564">
        <f>+InputY!AB157/1000</f>
        <v>2.0899999999999998E-3</v>
      </c>
      <c r="AC203" s="2217">
        <f t="shared" si="190"/>
        <v>2.1317999999999997E-3</v>
      </c>
      <c r="AD203" s="2217">
        <f t="shared" si="190"/>
        <v>2.1744359999999996E-3</v>
      </c>
      <c r="AE203" s="2217">
        <f t="shared" si="190"/>
        <v>2.2179247199999997E-3</v>
      </c>
    </row>
    <row r="204" spans="1:113" ht="12.75" customHeight="1">
      <c r="A204" s="1953">
        <f>ROW(InputY!A242)</f>
        <v>242</v>
      </c>
      <c r="B204" s="664" t="s">
        <v>988</v>
      </c>
      <c r="C204" s="782" t="s">
        <v>1767</v>
      </c>
      <c r="D204" s="674" t="s">
        <v>688</v>
      </c>
      <c r="E204" s="783" t="s">
        <v>979</v>
      </c>
      <c r="F204" s="704" t="s">
        <v>980</v>
      </c>
      <c r="G204" s="706">
        <f>+InputY!G242/1000</f>
        <v>0</v>
      </c>
      <c r="H204" s="706">
        <f>+InputY!H242/1000</f>
        <v>0</v>
      </c>
      <c r="I204" s="706">
        <f>+InputY!I242/1000</f>
        <v>0</v>
      </c>
      <c r="J204" s="706">
        <f>+InputY!J242/1000</f>
        <v>0</v>
      </c>
      <c r="K204" s="706">
        <f>+InputY!K242/1000</f>
        <v>0</v>
      </c>
      <c r="L204" s="706">
        <f>+InputY!L242/1000</f>
        <v>0</v>
      </c>
      <c r="M204" s="706">
        <f>+InputY!M242/1000</f>
        <v>0</v>
      </c>
      <c r="N204" s="706">
        <f>+InputY!N242/1000</f>
        <v>0</v>
      </c>
      <c r="O204" s="706">
        <f>+InputY!O242/1000</f>
        <v>0</v>
      </c>
      <c r="P204" s="706">
        <f>+InputY!P242/1000</f>
        <v>5.7924003707136244E-4</v>
      </c>
      <c r="Q204" s="706" t="e">
        <f>+InputY!Q242/1000</f>
        <v>#VALUE!</v>
      </c>
      <c r="R204" s="1564" t="e">
        <f>+InputY!R242/1000</f>
        <v>#VALUE!</v>
      </c>
      <c r="S204" s="1564" t="e">
        <f>+InputY!S242/1000</f>
        <v>#VALUE!</v>
      </c>
      <c r="T204" s="1564">
        <f>+InputY!T242/1000</f>
        <v>-8.9999999999999993E-3</v>
      </c>
      <c r="U204" s="1564">
        <f>+InputY!U242/1000</f>
        <v>3.0000000000000001E-3</v>
      </c>
      <c r="V204" s="1564">
        <f>+InputY!V242/1000</f>
        <v>-2.1999999999999999E-2</v>
      </c>
      <c r="W204" s="1564">
        <f>+InputY!W242/1000</f>
        <v>-1.7000000000000001E-2</v>
      </c>
      <c r="X204" s="1564">
        <f>+InputY!X242/1000</f>
        <v>-4.0000000000000001E-3</v>
      </c>
      <c r="Y204" s="1564">
        <f>+InputY!Y242/1000</f>
        <v>-6.0000000000000001E-3</v>
      </c>
      <c r="Z204" s="1564">
        <f>+InputY!Z242/1000</f>
        <v>3.0000000000000001E-3</v>
      </c>
      <c r="AA204" s="1564">
        <f>+InputY!AA242/1000</f>
        <v>1E-3</v>
      </c>
      <c r="AB204" s="1564">
        <f>+InputY!AB242/1000</f>
        <v>8.9999999999999993E-3</v>
      </c>
      <c r="AC204" s="2217">
        <f t="shared" si="190"/>
        <v>8.9999999999999993E-3</v>
      </c>
      <c r="AD204" s="2217">
        <f t="shared" si="190"/>
        <v>8.9999999999999993E-3</v>
      </c>
      <c r="AE204" s="2217">
        <f t="shared" si="190"/>
        <v>8.9999999999999993E-3</v>
      </c>
    </row>
    <row r="205" spans="1:113" ht="12.75" customHeight="1">
      <c r="A205" s="664">
        <f>+ROW(InputY!A156)</f>
        <v>156</v>
      </c>
      <c r="B205" s="664">
        <v>114</v>
      </c>
      <c r="C205" s="784" t="s">
        <v>1769</v>
      </c>
      <c r="D205" s="752" t="s">
        <v>687</v>
      </c>
      <c r="E205" s="753" t="s">
        <v>614</v>
      </c>
      <c r="F205" s="754" t="str">
        <f>+InputY!B156</f>
        <v>YATaxDir</v>
      </c>
      <c r="G205" s="785">
        <f>+InputY!G156/1000</f>
        <v>0.65282000000000007</v>
      </c>
      <c r="H205" s="785">
        <f>+InputY!H156/1000</f>
        <v>0.77739000000000003</v>
      </c>
      <c r="I205" s="785">
        <f>+InputY!I156/1000</f>
        <v>1.02521</v>
      </c>
      <c r="J205" s="785">
        <f>+InputY!J156/1000</f>
        <v>1.17039</v>
      </c>
      <c r="K205" s="785">
        <f>+InputY!K156/1000</f>
        <v>1.1596099999999998</v>
      </c>
      <c r="L205" s="785">
        <f>+InputY!L156/1000</f>
        <v>1.1185</v>
      </c>
      <c r="M205" s="785">
        <f>+InputY!M156/1000</f>
        <v>1.1014699999999999</v>
      </c>
      <c r="N205" s="785">
        <f>+InputY!N156/1000</f>
        <v>1.12815</v>
      </c>
      <c r="O205" s="785">
        <f>+InputY!O156/1000</f>
        <v>1.31376</v>
      </c>
      <c r="P205" s="785">
        <f>+InputY!P156/1000</f>
        <v>1.57897</v>
      </c>
      <c r="Q205" s="2099">
        <f>+InputY!Q156/1000</f>
        <v>1.8784799999999999</v>
      </c>
      <c r="R205" s="2874">
        <f>+InputY!R156/1000</f>
        <v>2.2994699999999999</v>
      </c>
      <c r="S205" s="2874">
        <f>+InputY!S156/1000</f>
        <v>2.6336900000000001</v>
      </c>
      <c r="T205" s="2874">
        <f>+InputY!T156/1000</f>
        <v>3.0165999999999999</v>
      </c>
      <c r="U205" s="2874">
        <f>+InputY!U156/1000</f>
        <v>1.5983099999999999</v>
      </c>
      <c r="V205" s="2874">
        <f>+InputY!V156/1000</f>
        <v>1.2940499999999999</v>
      </c>
      <c r="W205" s="2874">
        <f>+InputY!W156/1000</f>
        <v>1.3590799999999998</v>
      </c>
      <c r="X205" s="2874">
        <f>+InputY!X156/1000</f>
        <v>1.60755</v>
      </c>
      <c r="Y205" s="2874">
        <f>+InputY!Y156/1000</f>
        <v>1.7361900000000001</v>
      </c>
      <c r="Z205" s="2874">
        <f>+InputY!Z156/1000</f>
        <v>1.83673</v>
      </c>
      <c r="AA205" s="2874">
        <f>+InputY!AA156/1000</f>
        <v>2.0321899999999999</v>
      </c>
      <c r="AB205" s="2874">
        <f>+InputY!AB156/1000</f>
        <v>2.1945000000000001</v>
      </c>
      <c r="AC205" s="3279">
        <f>+AC201+AC202+AC203+AC204</f>
        <v>2.3153593839999997</v>
      </c>
      <c r="AD205" s="3279">
        <f>+AD201+AD202+AD203+AD204</f>
        <v>2.3945682130239994</v>
      </c>
      <c r="AE205" s="3279">
        <f>+AE201+AE202+AE203+AE204</f>
        <v>2.5256978838147841</v>
      </c>
    </row>
    <row r="206" spans="1:113" s="1972" customFormat="1" ht="12.75" customHeight="1">
      <c r="A206" s="998"/>
      <c r="B206" s="998"/>
      <c r="C206" s="1595"/>
      <c r="D206" s="1011"/>
      <c r="E206" s="1973" t="s">
        <v>737</v>
      </c>
      <c r="F206" s="1974"/>
      <c r="G206" s="1002">
        <f>ABS(+G201+G202+G203+G204-G205)</f>
        <v>9.9999999999544897E-6</v>
      </c>
      <c r="H206" s="1002">
        <f t="shared" ref="H206:Y206" si="191">ABS(+H201+H202+H203+H204-H205)</f>
        <v>1.1102230246251565E-16</v>
      </c>
      <c r="I206" s="1002">
        <f t="shared" si="191"/>
        <v>0</v>
      </c>
      <c r="J206" s="1002">
        <f t="shared" si="191"/>
        <v>0</v>
      </c>
      <c r="K206" s="1002">
        <f t="shared" si="191"/>
        <v>9.9999999998434674E-6</v>
      </c>
      <c r="L206" s="1002">
        <f t="shared" si="191"/>
        <v>0</v>
      </c>
      <c r="M206" s="1002">
        <f t="shared" si="191"/>
        <v>1.0000000000287557E-5</v>
      </c>
      <c r="N206" s="1002">
        <f t="shared" si="191"/>
        <v>0</v>
      </c>
      <c r="O206" s="1002">
        <f t="shared" si="191"/>
        <v>9.9999999998434674E-6</v>
      </c>
      <c r="P206" s="1002">
        <f t="shared" si="191"/>
        <v>3.0924003707166747E-4</v>
      </c>
      <c r="Q206" s="1002" t="e">
        <f t="shared" si="191"/>
        <v>#VALUE!</v>
      </c>
      <c r="R206" s="1002" t="e">
        <f t="shared" si="191"/>
        <v>#VALUE!</v>
      </c>
      <c r="S206" s="1002" t="e">
        <f t="shared" si="191"/>
        <v>#VALUE!</v>
      </c>
      <c r="T206" s="3125">
        <f t="shared" si="191"/>
        <v>1.0999999999938836E-4</v>
      </c>
      <c r="U206" s="2906">
        <f t="shared" si="191"/>
        <v>1.0000000000065512E-5</v>
      </c>
      <c r="V206" s="2906">
        <f t="shared" si="191"/>
        <v>2.9999999999974492E-5</v>
      </c>
      <c r="W206" s="3125">
        <f t="shared" si="191"/>
        <v>2.0000000000131024E-5</v>
      </c>
      <c r="X206" s="2906">
        <f t="shared" si="191"/>
        <v>3.4000000000022901E-4</v>
      </c>
      <c r="Y206" s="2906">
        <f t="shared" si="191"/>
        <v>3.6999999999998145E-4</v>
      </c>
      <c r="Z206" s="2906">
        <f t="shared" ref="Z206:AE206" si="192">ABS(+Z201+Z202+Z203+Z204-Z205)</f>
        <v>1.2000000000012001E-4</v>
      </c>
      <c r="AA206" s="2906">
        <f t="shared" si="192"/>
        <v>3.4000000000000696E-4</v>
      </c>
      <c r="AB206" s="2906">
        <f t="shared" si="192"/>
        <v>4.9000000000054555E-4</v>
      </c>
      <c r="AC206" s="2906">
        <f t="shared" si="192"/>
        <v>0</v>
      </c>
      <c r="AD206" s="2906">
        <f t="shared" si="192"/>
        <v>0</v>
      </c>
      <c r="AE206" s="2906">
        <f t="shared" si="192"/>
        <v>0</v>
      </c>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row>
    <row r="207" spans="1:113">
      <c r="A207" s="664"/>
      <c r="B207" s="664"/>
      <c r="G207" s="699">
        <v>6.773233087709376</v>
      </c>
      <c r="H207" s="699">
        <v>8.9159226578951944</v>
      </c>
      <c r="I207" s="699">
        <v>10.786047119278839</v>
      </c>
      <c r="J207" s="699">
        <v>12.45618174464069</v>
      </c>
      <c r="K207" s="699">
        <v>12.830616291946743</v>
      </c>
      <c r="L207" s="699">
        <v>12.57919276765376</v>
      </c>
      <c r="M207" s="699">
        <v>13.540179150980137</v>
      </c>
      <c r="N207" s="699">
        <v>14.375460607912569</v>
      </c>
      <c r="O207" s="699">
        <v>15.755697967974863</v>
      </c>
      <c r="P207" s="699">
        <v>17.383424384434147</v>
      </c>
      <c r="Q207" s="845">
        <v>19.267009653737208</v>
      </c>
      <c r="R207" s="845">
        <v>22.43057829458602</v>
      </c>
      <c r="S207" s="845">
        <v>25.296811268972416</v>
      </c>
      <c r="T207" s="2270">
        <v>28.393986752995456</v>
      </c>
      <c r="U207" s="2270">
        <f>CORREL(H207:T207,H201:T201)</f>
        <v>0.99194662828188163</v>
      </c>
      <c r="V207" s="2270"/>
      <c r="W207" s="2270"/>
      <c r="X207" s="2270"/>
      <c r="Y207" s="2270"/>
      <c r="Z207" s="2270"/>
      <c r="AA207" s="2270"/>
      <c r="AB207" s="2270"/>
      <c r="AC207" s="2270"/>
      <c r="AD207" s="2270"/>
      <c r="AE207" s="2270"/>
    </row>
    <row r="208" spans="1:113" ht="12.75" customHeight="1">
      <c r="A208" s="664"/>
      <c r="B208" s="664"/>
      <c r="C208" s="774"/>
      <c r="D208" s="742"/>
      <c r="E208" s="743" t="s">
        <v>1311</v>
      </c>
      <c r="F208" s="744"/>
      <c r="G208" s="745">
        <f>+InputY!$G$3</f>
        <v>1995</v>
      </c>
      <c r="H208" s="745">
        <f>+G208+1</f>
        <v>1996</v>
      </c>
      <c r="I208" s="745">
        <f t="shared" ref="I208:R208" si="193">+H208+1</f>
        <v>1997</v>
      </c>
      <c r="J208" s="745">
        <f t="shared" si="193"/>
        <v>1998</v>
      </c>
      <c r="K208" s="745">
        <f>+J208+1</f>
        <v>1999</v>
      </c>
      <c r="L208" s="745">
        <f t="shared" si="193"/>
        <v>2000</v>
      </c>
      <c r="M208" s="745">
        <f t="shared" si="193"/>
        <v>2001</v>
      </c>
      <c r="N208" s="745">
        <f t="shared" si="193"/>
        <v>2002</v>
      </c>
      <c r="O208" s="745">
        <f t="shared" si="193"/>
        <v>2003</v>
      </c>
      <c r="P208" s="745">
        <f>+O208+1</f>
        <v>2004</v>
      </c>
      <c r="Q208" s="745">
        <f t="shared" si="193"/>
        <v>2005</v>
      </c>
      <c r="R208" s="2211">
        <f t="shared" si="193"/>
        <v>2006</v>
      </c>
      <c r="S208" s="2211">
        <f t="shared" ref="S208:X208" si="194">+R208+1</f>
        <v>2007</v>
      </c>
      <c r="T208" s="2211">
        <f t="shared" si="194"/>
        <v>2008</v>
      </c>
      <c r="U208" s="2211">
        <f t="shared" si="194"/>
        <v>2009</v>
      </c>
      <c r="V208" s="2211">
        <f t="shared" si="194"/>
        <v>2010</v>
      </c>
      <c r="W208" s="2211">
        <f t="shared" si="194"/>
        <v>2011</v>
      </c>
      <c r="X208" s="2211">
        <f t="shared" si="194"/>
        <v>2012</v>
      </c>
      <c r="Y208" s="2211">
        <f t="shared" ref="Y208:AE208" si="195">+X208+1</f>
        <v>2013</v>
      </c>
      <c r="Z208" s="2211">
        <f t="shared" si="195"/>
        <v>2014</v>
      </c>
      <c r="AA208" s="2211">
        <f t="shared" si="195"/>
        <v>2015</v>
      </c>
      <c r="AB208" s="2211">
        <f t="shared" si="195"/>
        <v>2016</v>
      </c>
      <c r="AC208" s="2211">
        <f t="shared" si="195"/>
        <v>2017</v>
      </c>
      <c r="AD208" s="2211">
        <f t="shared" si="195"/>
        <v>2018</v>
      </c>
      <c r="AE208" s="2211">
        <f t="shared" si="195"/>
        <v>2019</v>
      </c>
    </row>
    <row r="209" spans="1:31" ht="12.75" customHeight="1">
      <c r="A209" s="664"/>
      <c r="B209" s="664"/>
      <c r="C209" s="794" t="s">
        <v>1767</v>
      </c>
      <c r="D209" s="689" t="s">
        <v>685</v>
      </c>
      <c r="E209" s="738" t="s">
        <v>978</v>
      </c>
      <c r="F209" s="733" t="s">
        <v>1438</v>
      </c>
      <c r="G209" s="739"/>
      <c r="H209" s="739">
        <f t="shared" ref="H209:AB209" si="196">(H201/G201-1)*100</f>
        <v>34.942934176650638</v>
      </c>
      <c r="I209" s="739">
        <f t="shared" si="196"/>
        <v>26.998768139891261</v>
      </c>
      <c r="J209" s="739">
        <f t="shared" si="196"/>
        <v>18.566798362866411</v>
      </c>
      <c r="K209" s="739">
        <f>(K201/J201-1)*100</f>
        <v>5.2636829818225372</v>
      </c>
      <c r="L209" s="739">
        <f t="shared" si="196"/>
        <v>-2.5466780399962086</v>
      </c>
      <c r="M209" s="739">
        <f t="shared" si="196"/>
        <v>-0.17797574472635525</v>
      </c>
      <c r="N209" s="739">
        <f t="shared" si="196"/>
        <v>1.2305144193296647</v>
      </c>
      <c r="O209" s="739">
        <f t="shared" si="196"/>
        <v>4.5629096368728694</v>
      </c>
      <c r="P209" s="739">
        <f t="shared" si="196"/>
        <v>14.197746769264752</v>
      </c>
      <c r="Q209" s="739">
        <f t="shared" si="196"/>
        <v>16.168422410110495</v>
      </c>
      <c r="R209" s="2212">
        <f t="shared" si="196"/>
        <v>13.489304720077167</v>
      </c>
      <c r="S209" s="2212">
        <f t="shared" si="196"/>
        <v>16.076810681600051</v>
      </c>
      <c r="T209" s="2212">
        <f t="shared" si="196"/>
        <v>12.589272547243358</v>
      </c>
      <c r="U209" s="2212">
        <f t="shared" si="196"/>
        <v>-48.260053983000503</v>
      </c>
      <c r="V209" s="2212">
        <f t="shared" si="196"/>
        <v>-5.9924958184530475</v>
      </c>
      <c r="W209" s="2212">
        <f t="shared" si="196"/>
        <v>8.0267751521970965</v>
      </c>
      <c r="X209" s="2212">
        <f t="shared" si="196"/>
        <v>4.9028248889363635</v>
      </c>
      <c r="Y209" s="2212">
        <f t="shared" si="196"/>
        <v>7.4335907663583445</v>
      </c>
      <c r="Z209" s="2212">
        <f t="shared" si="196"/>
        <v>5.3677649716799891</v>
      </c>
      <c r="AA209" s="2212">
        <f t="shared" si="196"/>
        <v>9.2312421279913792</v>
      </c>
      <c r="AB209" s="2212">
        <f t="shared" si="196"/>
        <v>6.8903271858720361</v>
      </c>
      <c r="AC209" s="3269">
        <v>7.44</v>
      </c>
      <c r="AD209" s="3269">
        <v>3.6</v>
      </c>
      <c r="AE209" s="3269">
        <v>5.35</v>
      </c>
    </row>
    <row r="210" spans="1:31" ht="12.75" customHeight="1">
      <c r="A210" s="664"/>
      <c r="B210" s="664"/>
      <c r="C210" s="795" t="s">
        <v>1767</v>
      </c>
      <c r="D210" s="674" t="s">
        <v>686</v>
      </c>
      <c r="E210" s="783" t="s">
        <v>978</v>
      </c>
      <c r="F210" s="704" t="s">
        <v>1966</v>
      </c>
      <c r="G210" s="706"/>
      <c r="H210" s="706">
        <f t="shared" ref="H210:AB210" si="197">(H202/G202-1)*100</f>
        <v>-29.967406293092623</v>
      </c>
      <c r="I210" s="706">
        <f t="shared" si="197"/>
        <v>60.950505683343771</v>
      </c>
      <c r="J210" s="706">
        <f t="shared" si="197"/>
        <v>-6.550631151643227</v>
      </c>
      <c r="K210" s="706">
        <f>(K202/J202-1)*100</f>
        <v>-37.816126152930686</v>
      </c>
      <c r="L210" s="706">
        <f t="shared" si="197"/>
        <v>-13.617224880382784</v>
      </c>
      <c r="M210" s="706">
        <f t="shared" si="197"/>
        <v>-16.82729589010745</v>
      </c>
      <c r="N210" s="706">
        <f t="shared" si="197"/>
        <v>18.660095897709116</v>
      </c>
      <c r="O210" s="706">
        <f t="shared" si="197"/>
        <v>154.97811202155125</v>
      </c>
      <c r="P210" s="706">
        <f t="shared" si="197"/>
        <v>48.657334037682688</v>
      </c>
      <c r="Q210" s="706">
        <f t="shared" si="197"/>
        <v>29.236874056086947</v>
      </c>
      <c r="R210" s="2219">
        <f t="shared" si="197"/>
        <v>51.755189954630843</v>
      </c>
      <c r="S210" s="2219">
        <f t="shared" si="197"/>
        <v>10.740008153527913</v>
      </c>
      <c r="T210" s="2219">
        <f t="shared" si="197"/>
        <v>20.816176270077193</v>
      </c>
      <c r="U210" s="2219">
        <f t="shared" si="197"/>
        <v>-44.864517148370943</v>
      </c>
      <c r="V210" s="2219">
        <f t="shared" si="197"/>
        <v>-43.516528502712113</v>
      </c>
      <c r="W210" s="2219">
        <f t="shared" si="197"/>
        <v>-8.6936039137524794</v>
      </c>
      <c r="X210" s="2219">
        <f t="shared" si="197"/>
        <v>70.741387521828841</v>
      </c>
      <c r="Y210" s="2219">
        <f t="shared" si="197"/>
        <v>10.471873547187371</v>
      </c>
      <c r="Z210" s="2219">
        <f t="shared" si="197"/>
        <v>4.8963703314045093</v>
      </c>
      <c r="AA210" s="2219">
        <f t="shared" si="197"/>
        <v>14.87202118270079</v>
      </c>
      <c r="AB210" s="2219">
        <f t="shared" si="197"/>
        <v>9.2375929871127518</v>
      </c>
      <c r="AC210" s="3224">
        <v>0.8696208197455102</v>
      </c>
      <c r="AD210" s="3224">
        <v>3</v>
      </c>
      <c r="AE210" s="3224">
        <v>5.9</v>
      </c>
    </row>
    <row r="211" spans="1:31" ht="12.75" customHeight="1">
      <c r="A211" s="664"/>
      <c r="B211" s="664"/>
      <c r="C211" s="795" t="s">
        <v>1767</v>
      </c>
      <c r="D211" s="674" t="s">
        <v>687</v>
      </c>
      <c r="E211" s="783" t="s">
        <v>978</v>
      </c>
      <c r="F211" s="704" t="s">
        <v>384</v>
      </c>
      <c r="G211" s="706"/>
      <c r="H211" s="706" t="e">
        <f>(H203/G203-1)*100</f>
        <v>#DIV/0!</v>
      </c>
      <c r="I211" s="706" t="e">
        <f t="shared" ref="I211:AB212" si="198">(I203/H203-1)*100</f>
        <v>#DIV/0!</v>
      </c>
      <c r="J211" s="706" t="e">
        <f t="shared" si="198"/>
        <v>#DIV/0!</v>
      </c>
      <c r="K211" s="706" t="e">
        <f>(K203/J203-1)*100</f>
        <v>#DIV/0!</v>
      </c>
      <c r="L211" s="706" t="e">
        <f t="shared" si="198"/>
        <v>#DIV/0!</v>
      </c>
      <c r="M211" s="706" t="e">
        <f t="shared" si="198"/>
        <v>#DIV/0!</v>
      </c>
      <c r="N211" s="706" t="e">
        <f t="shared" si="198"/>
        <v>#DIV/0!</v>
      </c>
      <c r="O211" s="706">
        <f t="shared" si="198"/>
        <v>400</v>
      </c>
      <c r="P211" s="706">
        <f t="shared" si="198"/>
        <v>113.33333333333333</v>
      </c>
      <c r="Q211" s="706">
        <f t="shared" si="198"/>
        <v>-25</v>
      </c>
      <c r="R211" s="2219">
        <f t="shared" si="198"/>
        <v>291.66666666666669</v>
      </c>
      <c r="S211" s="2219">
        <f t="shared" si="198"/>
        <v>-1.0638297872340496</v>
      </c>
      <c r="T211" s="2219">
        <f t="shared" si="198"/>
        <v>81.720430107526852</v>
      </c>
      <c r="U211" s="2219">
        <f t="shared" si="198"/>
        <v>-57.396449704142007</v>
      </c>
      <c r="V211" s="2219">
        <f t="shared" si="198"/>
        <v>-58.333333333333329</v>
      </c>
      <c r="W211" s="2219">
        <f t="shared" si="198"/>
        <v>203.33333333333331</v>
      </c>
      <c r="X211" s="2219">
        <f t="shared" si="198"/>
        <v>197.80219780219781</v>
      </c>
      <c r="Y211" s="2219">
        <f t="shared" si="198"/>
        <v>-47.601476014760159</v>
      </c>
      <c r="Z211" s="2219">
        <f t="shared" si="198"/>
        <v>-11.971830985915478</v>
      </c>
      <c r="AA211" s="2219">
        <f t="shared" si="198"/>
        <v>-2.4000000000000021</v>
      </c>
      <c r="AB211" s="2219">
        <f t="shared" si="198"/>
        <v>71.311475409836063</v>
      </c>
      <c r="AC211" s="2259">
        <v>2</v>
      </c>
      <c r="AD211" s="2259">
        <v>2</v>
      </c>
      <c r="AE211" s="2259">
        <v>2</v>
      </c>
    </row>
    <row r="212" spans="1:31" ht="12.75" customHeight="1">
      <c r="A212" s="664"/>
      <c r="B212" s="664"/>
      <c r="C212" s="796" t="s">
        <v>1767</v>
      </c>
      <c r="D212" s="691" t="s">
        <v>688</v>
      </c>
      <c r="E212" s="797" t="s">
        <v>979</v>
      </c>
      <c r="F212" s="736" t="s">
        <v>980</v>
      </c>
      <c r="G212" s="741"/>
      <c r="H212" s="741" t="e">
        <f>(H204/G204-1)*100</f>
        <v>#DIV/0!</v>
      </c>
      <c r="I212" s="741" t="e">
        <f>(I204/H204-1)*100</f>
        <v>#DIV/0!</v>
      </c>
      <c r="J212" s="741" t="e">
        <f>(J204/I204-1)*100</f>
        <v>#DIV/0!</v>
      </c>
      <c r="K212" s="741" t="e">
        <f>(K204/J204-1)*100</f>
        <v>#DIV/0!</v>
      </c>
      <c r="L212" s="741" t="e">
        <f>(L204/K204-1)*100</f>
        <v>#DIV/0!</v>
      </c>
      <c r="M212" s="3076">
        <v>0</v>
      </c>
      <c r="N212" s="3076">
        <v>0</v>
      </c>
      <c r="O212" s="3076">
        <v>0</v>
      </c>
      <c r="P212" s="3076">
        <v>0</v>
      </c>
      <c r="Q212" s="3076">
        <v>0</v>
      </c>
      <c r="R212" s="3076">
        <v>0</v>
      </c>
      <c r="S212" s="2219" t="e">
        <f t="shared" si="198"/>
        <v>#VALUE!</v>
      </c>
      <c r="T212" s="741" t="e">
        <f t="shared" ref="T212:AB212" si="199">(T204/S204-1)*100</f>
        <v>#VALUE!</v>
      </c>
      <c r="U212" s="741">
        <f t="shared" si="199"/>
        <v>-133.33333333333334</v>
      </c>
      <c r="V212" s="741">
        <f t="shared" si="199"/>
        <v>-833.33333333333326</v>
      </c>
      <c r="W212" s="741">
        <f t="shared" si="199"/>
        <v>-22.72727272727272</v>
      </c>
      <c r="X212" s="741">
        <f t="shared" si="199"/>
        <v>-76.470588235294116</v>
      </c>
      <c r="Y212" s="741">
        <f t="shared" si="199"/>
        <v>50</v>
      </c>
      <c r="Z212" s="741">
        <f t="shared" si="199"/>
        <v>-150</v>
      </c>
      <c r="AA212" s="741">
        <f t="shared" si="199"/>
        <v>-66.666666666666671</v>
      </c>
      <c r="AB212" s="741">
        <f t="shared" si="199"/>
        <v>800</v>
      </c>
      <c r="AC212" s="2214">
        <v>0</v>
      </c>
      <c r="AD212" s="2214">
        <v>0</v>
      </c>
      <c r="AE212" s="2214">
        <v>0</v>
      </c>
    </row>
    <row r="213" spans="1:31" ht="12.75" customHeight="1">
      <c r="A213" s="664"/>
      <c r="B213" s="664"/>
      <c r="C213" s="774" t="s">
        <v>1769</v>
      </c>
      <c r="D213" s="717" t="s">
        <v>687</v>
      </c>
      <c r="E213" s="722" t="s">
        <v>614</v>
      </c>
      <c r="F213" s="723" t="s">
        <v>1803</v>
      </c>
      <c r="G213" s="721"/>
      <c r="H213" s="721">
        <f>(H205/G205-1)*100</f>
        <v>19.081829600808796</v>
      </c>
      <c r="I213" s="721">
        <f t="shared" ref="I213:AA213" si="200">(I205/H205-1)*100</f>
        <v>31.87846512046719</v>
      </c>
      <c r="J213" s="721">
        <f t="shared" si="200"/>
        <v>14.161001160737818</v>
      </c>
      <c r="K213" s="721">
        <f>(K205/J205-1)*100</f>
        <v>-0.92106050120047689</v>
      </c>
      <c r="L213" s="721">
        <f t="shared" si="200"/>
        <v>-3.5451574236165406</v>
      </c>
      <c r="M213" s="721">
        <f t="shared" si="200"/>
        <v>-1.5225748770675063</v>
      </c>
      <c r="N213" s="721">
        <f t="shared" si="200"/>
        <v>2.4222175819586633</v>
      </c>
      <c r="O213" s="721">
        <f t="shared" si="200"/>
        <v>16.45259938837922</v>
      </c>
      <c r="P213" s="721">
        <f t="shared" si="200"/>
        <v>20.187096577761544</v>
      </c>
      <c r="Q213" s="721">
        <f t="shared" si="200"/>
        <v>18.96869478204146</v>
      </c>
      <c r="R213" s="2272">
        <f t="shared" si="200"/>
        <v>22.41120480388399</v>
      </c>
      <c r="S213" s="2272">
        <f t="shared" si="200"/>
        <v>14.534653637577355</v>
      </c>
      <c r="T213" s="2272">
        <f t="shared" si="200"/>
        <v>14.538916880878162</v>
      </c>
      <c r="U213" s="2272">
        <f t="shared" si="200"/>
        <v>-47.016177153086261</v>
      </c>
      <c r="V213" s="2272">
        <f t="shared" si="200"/>
        <v>-19.036357152242054</v>
      </c>
      <c r="W213" s="2272">
        <f t="shared" si="200"/>
        <v>5.0253081411073763</v>
      </c>
      <c r="X213" s="2272">
        <f t="shared" si="200"/>
        <v>18.282220325514341</v>
      </c>
      <c r="Y213" s="2272">
        <f t="shared" si="200"/>
        <v>8.0022394326770616</v>
      </c>
      <c r="Z213" s="2272">
        <f t="shared" si="200"/>
        <v>5.7908408641911269</v>
      </c>
      <c r="AA213" s="2272">
        <f t="shared" si="200"/>
        <v>10.64173830666455</v>
      </c>
      <c r="AB213" s="2272">
        <f>(AB205/AA205-1)*100</f>
        <v>7.9869500391203774</v>
      </c>
      <c r="AC213" s="2220">
        <f>(AC205/AB205-1)*100</f>
        <v>5.5073768056504768</v>
      </c>
      <c r="AD213" s="2220">
        <f>(AD205/AC205-1)*100</f>
        <v>3.4210166063792125</v>
      </c>
      <c r="AE213" s="2220">
        <f>(AE205/AD205-1)*100</f>
        <v>5.4761301046916788</v>
      </c>
    </row>
    <row r="214" spans="1:31" ht="12.75" customHeight="1">
      <c r="A214" s="664"/>
      <c r="B214" s="664"/>
      <c r="C214" s="774"/>
      <c r="D214" s="699"/>
      <c r="Q214" s="699"/>
      <c r="R214" s="2276"/>
      <c r="S214" s="2276"/>
      <c r="AB214" s="2221"/>
      <c r="AC214" s="2221"/>
      <c r="AD214" s="2221"/>
      <c r="AE214" s="2221"/>
    </row>
    <row r="215" spans="1:31" ht="12.75" customHeight="1">
      <c r="A215" s="664"/>
      <c r="B215" s="664"/>
      <c r="C215" s="774"/>
      <c r="D215" s="814"/>
      <c r="E215" s="815" t="s">
        <v>660</v>
      </c>
      <c r="F215" s="816"/>
      <c r="G215" s="817">
        <f>+InputY!$G$3</f>
        <v>1995</v>
      </c>
      <c r="H215" s="817">
        <f>+G215+1</f>
        <v>1996</v>
      </c>
      <c r="I215" s="817">
        <f t="shared" ref="I215:O215" si="201">+H215+1</f>
        <v>1997</v>
      </c>
      <c r="J215" s="817">
        <f t="shared" si="201"/>
        <v>1998</v>
      </c>
      <c r="K215" s="817">
        <f>+J215+1</f>
        <v>1999</v>
      </c>
      <c r="L215" s="817">
        <f t="shared" si="201"/>
        <v>2000</v>
      </c>
      <c r="M215" s="817">
        <f t="shared" si="201"/>
        <v>2001</v>
      </c>
      <c r="N215" s="817">
        <f t="shared" si="201"/>
        <v>2002</v>
      </c>
      <c r="O215" s="817">
        <f t="shared" si="201"/>
        <v>2003</v>
      </c>
      <c r="P215" s="817">
        <f t="shared" ref="P215:V215" si="202">+O215+1</f>
        <v>2004</v>
      </c>
      <c r="Q215" s="817">
        <f t="shared" si="202"/>
        <v>2005</v>
      </c>
      <c r="R215" s="2230">
        <f t="shared" si="202"/>
        <v>2006</v>
      </c>
      <c r="S215" s="2230">
        <f>+R215+1</f>
        <v>2007</v>
      </c>
      <c r="T215" s="2230">
        <f t="shared" si="202"/>
        <v>2008</v>
      </c>
      <c r="U215" s="817">
        <f t="shared" si="202"/>
        <v>2009</v>
      </c>
      <c r="V215" s="2230">
        <f t="shared" si="202"/>
        <v>2010</v>
      </c>
      <c r="W215" s="2230">
        <f t="shared" ref="W215:AE215" si="203">+V215+1</f>
        <v>2011</v>
      </c>
      <c r="X215" s="2230">
        <f t="shared" si="203"/>
        <v>2012</v>
      </c>
      <c r="Y215" s="2230">
        <f t="shared" si="203"/>
        <v>2013</v>
      </c>
      <c r="Z215" s="2230">
        <f t="shared" si="203"/>
        <v>2014</v>
      </c>
      <c r="AA215" s="2230">
        <f t="shared" si="203"/>
        <v>2015</v>
      </c>
      <c r="AB215" s="2230">
        <f t="shared" si="203"/>
        <v>2016</v>
      </c>
      <c r="AC215" s="2230">
        <f t="shared" si="203"/>
        <v>2017</v>
      </c>
      <c r="AD215" s="2230">
        <f t="shared" si="203"/>
        <v>2018</v>
      </c>
      <c r="AE215" s="2230">
        <f t="shared" si="203"/>
        <v>2019</v>
      </c>
    </row>
    <row r="216" spans="1:31" ht="12.75" customHeight="1">
      <c r="A216" s="664"/>
      <c r="B216" s="664"/>
      <c r="C216" s="822" t="s">
        <v>1767</v>
      </c>
      <c r="D216" s="1045" t="s">
        <v>685</v>
      </c>
      <c r="E216" s="1046" t="s">
        <v>978</v>
      </c>
      <c r="F216" s="1047" t="s">
        <v>661</v>
      </c>
      <c r="G216" s="1048"/>
      <c r="H216" s="1048">
        <f>+$F$230*'VVP2'!H348</f>
        <v>27.369149195121921</v>
      </c>
      <c r="I216" s="1048">
        <f>+$F$230*'VVP2'!I348</f>
        <v>22.555829382910503</v>
      </c>
      <c r="J216" s="1048">
        <f>+$F$230*'VVP2'!J348</f>
        <v>12.063841546730997</v>
      </c>
      <c r="K216" s="1048">
        <f>+$F$230*'VVP2'!K348</f>
        <v>-2.593843015951514</v>
      </c>
      <c r="L216" s="1048">
        <f>+$F$230*'VVP2'!L348</f>
        <v>5.6257433873921432</v>
      </c>
      <c r="M216" s="1048">
        <f>+$F$230*'VVP2'!M348</f>
        <v>6.7377204675580469</v>
      </c>
      <c r="N216" s="1048">
        <f>+$F$230*'VVP2'!N348</f>
        <v>7.7377642921352843</v>
      </c>
      <c r="O216" s="1048">
        <f>+$F$230*'VVP2'!O348</f>
        <v>10.513485245856325</v>
      </c>
      <c r="P216" s="1048">
        <f>+$F$230*'VVP2'!P348</f>
        <v>10.261713125611932</v>
      </c>
      <c r="Q216" s="1048">
        <f>+$F$230*'VVP2'!Q348</f>
        <v>16.523154758379892</v>
      </c>
      <c r="R216" s="2277">
        <f>+$F$230*'VVP2'!R348</f>
        <v>15.968425914242934</v>
      </c>
      <c r="S216" s="2277">
        <f>+$F$230*'VVP2'!S348</f>
        <v>22.459291387829648</v>
      </c>
      <c r="T216" s="2277">
        <f>+$F$230*'VVP2'!T348</f>
        <v>13.720851385609009</v>
      </c>
      <c r="U216" s="3002">
        <f>+$F$230*'VVP2'!U348</f>
        <v>-19.207051689060666</v>
      </c>
      <c r="V216" s="3003">
        <f>+$F$230*'VVP2'!V348</f>
        <v>4.422511826698682</v>
      </c>
      <c r="W216" s="3003">
        <f>+$F$230*'VVP2'!W348</f>
        <v>12.630199595685122</v>
      </c>
      <c r="X216" s="3003">
        <f>+$F$230*'VVP2'!X348</f>
        <v>7.2253278303787223</v>
      </c>
      <c r="Y216" s="3003">
        <f>+$F$230*'VVP2'!Y348</f>
        <v>5.2661329691788135</v>
      </c>
      <c r="Z216" s="3003">
        <f>+$F$230*'VVP2'!Z348</f>
        <v>5.01551560155779</v>
      </c>
      <c r="AA216" s="3003">
        <f>+$F$230*'VVP2'!AA348</f>
        <v>2.558446008398545</v>
      </c>
      <c r="AB216" s="3003">
        <f>+$F$230*'VVP2'!AB348</f>
        <v>3.6163144351037753</v>
      </c>
      <c r="AC216" s="3003">
        <f ca="1">+$F$230*'VVP2'!AC348</f>
        <v>8.7702016346041152</v>
      </c>
      <c r="AD216" s="3003">
        <f ca="1">+$F$230*'VVP2'!AD348</f>
        <v>6.344820338652462</v>
      </c>
      <c r="AE216" s="3003">
        <f ca="1">+$F$230*'VVP2'!AE348</f>
        <v>6.0764963152962848</v>
      </c>
    </row>
    <row r="217" spans="1:31" ht="12.75" customHeight="1">
      <c r="A217" s="664"/>
      <c r="B217" s="664"/>
      <c r="C217" s="826" t="s">
        <v>1767</v>
      </c>
      <c r="D217" s="1041" t="s">
        <v>686</v>
      </c>
      <c r="E217" s="1042" t="s">
        <v>978</v>
      </c>
      <c r="F217" s="1043" t="s">
        <v>661</v>
      </c>
      <c r="G217" s="1044"/>
      <c r="H217" s="1044">
        <f>+$F$238*'VVP2'!H348</f>
        <v>39.421618565450835</v>
      </c>
      <c r="I217" s="1044">
        <f>+$F$238*'VVP2'!I348</f>
        <v>32.488671679972008</v>
      </c>
      <c r="J217" s="1044">
        <f>+$F$238*'VVP2'!J348</f>
        <v>17.376358925107951</v>
      </c>
      <c r="K217" s="1044">
        <f>+$F$238*'VVP2'!K348</f>
        <v>-3.7360858119668596</v>
      </c>
      <c r="L217" s="1044">
        <f>+$F$238*'VVP2'!L348</f>
        <v>8.1031349708308849</v>
      </c>
      <c r="M217" s="1044">
        <f>+$F$238*'VVP2'!M348</f>
        <v>9.7047900312533333</v>
      </c>
      <c r="N217" s="1044">
        <f>+$F$238*'VVP2'!N348</f>
        <v>11.145220127204034</v>
      </c>
      <c r="O217" s="1044">
        <f>+$F$238*'VVP2'!O348</f>
        <v>15.143276913756358</v>
      </c>
      <c r="P217" s="1044">
        <f>+$F$238*'VVP2'!P348</f>
        <v>14.780632667165809</v>
      </c>
      <c r="Q217" s="1044">
        <f>+$F$238*'VVP2'!Q348</f>
        <v>23.799406395097641</v>
      </c>
      <c r="R217" s="2269">
        <f>+$F$238*'VVP2'!R348</f>
        <v>23.000393289322389</v>
      </c>
      <c r="S217" s="2269">
        <f>+$F$238*'VVP2'!S348</f>
        <v>32.349621540268394</v>
      </c>
      <c r="T217" s="2269">
        <f>+$F$238*'VVP2'!T348</f>
        <v>19.76306117009738</v>
      </c>
      <c r="U217" s="1312">
        <f>+$F$238*'VVP2'!U348</f>
        <v>-27.665202891582794</v>
      </c>
      <c r="V217" s="3004">
        <f>+$F$238*'VVP2'!V348</f>
        <v>6.3700399705659914</v>
      </c>
      <c r="W217" s="3004">
        <f>+$F$238*'VVP2'!W348</f>
        <v>18.192122353418018</v>
      </c>
      <c r="X217" s="3004">
        <f>+$F$238*'VVP2'!X348</f>
        <v>10.407123572196875</v>
      </c>
      <c r="Y217" s="3004">
        <f>+$F$238*'VVP2'!Y348</f>
        <v>7.5851640014777404</v>
      </c>
      <c r="Z217" s="3004">
        <f>+$F$238*'VVP2'!Z348</f>
        <v>7.2241830224272752</v>
      </c>
      <c r="AA217" s="3004">
        <f>+$F$238*'VVP2'!AA348</f>
        <v>3.6851011313630417</v>
      </c>
      <c r="AB217" s="3004">
        <f>+$F$238*'VVP2'!AB348</f>
        <v>5.2088198744155294</v>
      </c>
      <c r="AC217" s="3004">
        <f ca="1">+$F$238*'VVP2'!AC348</f>
        <v>12.632308776448129</v>
      </c>
      <c r="AD217" s="3004">
        <f ca="1">+$F$238*'VVP2'!AD348</f>
        <v>9.1388696620957468</v>
      </c>
      <c r="AE217" s="3004">
        <f ca="1">+$F$238*'VVP2'!AE348</f>
        <v>8.7523846009313448</v>
      </c>
    </row>
    <row r="218" spans="1:31" ht="12.75" customHeight="1">
      <c r="A218" s="664"/>
      <c r="B218" s="664"/>
      <c r="C218" s="827" t="s">
        <v>1767</v>
      </c>
      <c r="D218" s="1506" t="s">
        <v>687</v>
      </c>
      <c r="E218" s="1507" t="s">
        <v>614</v>
      </c>
      <c r="F218" s="1508" t="s">
        <v>661</v>
      </c>
      <c r="G218" s="1509"/>
      <c r="H218" s="1509">
        <f>+$F$244*'VVP2'!H348</f>
        <v>29.653405194985357</v>
      </c>
      <c r="I218" s="1509">
        <f>+$F$244*'VVP2'!I348</f>
        <v>24.438360996607596</v>
      </c>
      <c r="J218" s="1509">
        <f>+$F$244*'VVP2'!J348</f>
        <v>13.070701578734976</v>
      </c>
      <c r="K218" s="1509">
        <f>+$F$244*'VVP2'!K348</f>
        <v>-2.8103276947279796</v>
      </c>
      <c r="L218" s="1509">
        <f>+$F$244*'VVP2'!L348</f>
        <v>6.0952734409106855</v>
      </c>
      <c r="M218" s="1509">
        <f>+$F$244*'VVP2'!M348</f>
        <v>7.3000572173670353</v>
      </c>
      <c r="N218" s="1509">
        <f>+$F$244*'VVP2'!N348</f>
        <v>8.3835656790848425</v>
      </c>
      <c r="O218" s="1509">
        <f>+$F$244*'VVP2'!O348</f>
        <v>11.390951022417747</v>
      </c>
      <c r="P218" s="1509">
        <f>+$F$244*'VVP2'!P348</f>
        <v>11.118165754407359</v>
      </c>
      <c r="Q218" s="1509">
        <f>+$F$244*'VVP2'!Q348</f>
        <v>17.90219343891836</v>
      </c>
      <c r="R218" s="2278">
        <f>+$F$244*'VVP2'!R348</f>
        <v>17.301166382093701</v>
      </c>
      <c r="S218" s="2278">
        <f>+$F$244*'VVP2'!S348</f>
        <v>24.33376584589848</v>
      </c>
      <c r="T218" s="2278">
        <f>+$F$244*'VVP2'!T348</f>
        <v>14.866007081804277</v>
      </c>
      <c r="U218" s="3005">
        <f>+$F$244*'VVP2'!U348</f>
        <v>-20.81009103630657</v>
      </c>
      <c r="V218" s="3006">
        <f>+$F$244*'VVP2'!V348</f>
        <v>4.7916189955983279</v>
      </c>
      <c r="W218" s="3006">
        <f>+$F$244*'VVP2'!W348</f>
        <v>13.684328425201629</v>
      </c>
      <c r="X218" s="3006">
        <f>+$F$244*'VVP2'!X348</f>
        <v>7.8283607682993699</v>
      </c>
      <c r="Y218" s="3006">
        <f>+$F$244*'VVP2'!Y348</f>
        <v>5.7056495849554327</v>
      </c>
      <c r="Z218" s="3006">
        <f>+$F$244*'VVP2'!Z348</f>
        <v>5.4341154463534416</v>
      </c>
      <c r="AA218" s="3006">
        <f>+$F$244*'VVP2'!AA348</f>
        <v>2.7719764182533262</v>
      </c>
      <c r="AB218" s="3006">
        <f>+$F$244*'VVP2'!AB348</f>
        <v>3.9181355800318345</v>
      </c>
      <c r="AC218" s="3006">
        <f ca="1">+$F$244*'VVP2'!AC348</f>
        <v>9.502171253426873</v>
      </c>
      <c r="AD218" s="3006">
        <f ca="1">+$F$244*'VVP2'!AD348</f>
        <v>6.8743652588579325</v>
      </c>
      <c r="AE218" s="3006">
        <f ca="1">+$F$244*'VVP2'!AE348</f>
        <v>6.5836466496894905</v>
      </c>
    </row>
    <row r="219" spans="1:31" ht="12.75" customHeight="1">
      <c r="A219" s="664"/>
      <c r="B219" s="664"/>
      <c r="C219" s="774"/>
      <c r="E219" s="786"/>
      <c r="F219" s="787"/>
      <c r="G219" s="703"/>
      <c r="H219" s="788"/>
      <c r="I219" s="703"/>
      <c r="J219" s="703"/>
      <c r="K219" s="703"/>
      <c r="L219" s="703"/>
      <c r="M219" s="703"/>
      <c r="N219" s="703"/>
      <c r="O219" s="703"/>
      <c r="P219" s="703"/>
      <c r="Q219" s="845"/>
      <c r="R219" s="2254"/>
      <c r="S219" s="2254"/>
      <c r="T219" s="2290"/>
      <c r="U219" s="845"/>
      <c r="V219" s="2254"/>
      <c r="W219" s="2254"/>
      <c r="X219" s="2254"/>
      <c r="Y219" s="2254"/>
      <c r="Z219" s="2254"/>
      <c r="AA219" s="2254"/>
      <c r="AB219" s="2254"/>
      <c r="AC219" s="2254"/>
      <c r="AD219" s="2254"/>
      <c r="AE219" s="2254"/>
    </row>
    <row r="220" spans="1:31" ht="12.75" customHeight="1">
      <c r="A220" s="664"/>
      <c r="B220" s="664"/>
      <c r="C220" s="774"/>
      <c r="D220" s="818"/>
      <c r="E220" s="819" t="s">
        <v>512</v>
      </c>
      <c r="F220" s="820"/>
      <c r="G220" s="821">
        <f>+InputY!$G$3</f>
        <v>1995</v>
      </c>
      <c r="H220" s="821">
        <f>+G220+1</f>
        <v>1996</v>
      </c>
      <c r="I220" s="821">
        <f t="shared" ref="I220:O220" si="204">+H220+1</f>
        <v>1997</v>
      </c>
      <c r="J220" s="821">
        <f t="shared" si="204"/>
        <v>1998</v>
      </c>
      <c r="K220" s="821">
        <f>+J220+1</f>
        <v>1999</v>
      </c>
      <c r="L220" s="821">
        <f t="shared" si="204"/>
        <v>2000</v>
      </c>
      <c r="M220" s="821">
        <f t="shared" si="204"/>
        <v>2001</v>
      </c>
      <c r="N220" s="821">
        <f t="shared" si="204"/>
        <v>2002</v>
      </c>
      <c r="O220" s="821">
        <f t="shared" si="204"/>
        <v>2003</v>
      </c>
      <c r="P220" s="821">
        <f t="shared" ref="P220:V220" si="205">+O220+1</f>
        <v>2004</v>
      </c>
      <c r="Q220" s="821">
        <f t="shared" si="205"/>
        <v>2005</v>
      </c>
      <c r="R220" s="2255">
        <f t="shared" si="205"/>
        <v>2006</v>
      </c>
      <c r="S220" s="2255">
        <f>+R220+1</f>
        <v>2007</v>
      </c>
      <c r="T220" s="2255">
        <f t="shared" si="205"/>
        <v>2008</v>
      </c>
      <c r="U220" s="821">
        <f t="shared" si="205"/>
        <v>2009</v>
      </c>
      <c r="V220" s="2255">
        <f t="shared" si="205"/>
        <v>2010</v>
      </c>
      <c r="W220" s="2255">
        <f t="shared" ref="W220:AE220" si="206">+V220+1</f>
        <v>2011</v>
      </c>
      <c r="X220" s="2255">
        <f t="shared" si="206"/>
        <v>2012</v>
      </c>
      <c r="Y220" s="2255">
        <f t="shared" si="206"/>
        <v>2013</v>
      </c>
      <c r="Z220" s="2255">
        <f t="shared" si="206"/>
        <v>2014</v>
      </c>
      <c r="AA220" s="2255">
        <f t="shared" si="206"/>
        <v>2015</v>
      </c>
      <c r="AB220" s="2255">
        <f t="shared" si="206"/>
        <v>2016</v>
      </c>
      <c r="AC220" s="2255">
        <f t="shared" si="206"/>
        <v>2017</v>
      </c>
      <c r="AD220" s="2255">
        <f t="shared" si="206"/>
        <v>2018</v>
      </c>
      <c r="AE220" s="2255">
        <f t="shared" si="206"/>
        <v>2019</v>
      </c>
    </row>
    <row r="221" spans="1:31" ht="12.75" customHeight="1">
      <c r="A221" s="664"/>
      <c r="B221" s="664"/>
      <c r="C221" s="822" t="s">
        <v>1767</v>
      </c>
      <c r="D221" s="823" t="s">
        <v>685</v>
      </c>
      <c r="E221" s="824" t="s">
        <v>978</v>
      </c>
      <c r="F221" s="825" t="s">
        <v>1438</v>
      </c>
      <c r="G221" s="838">
        <f>+G201/'VVP2'!G$341</f>
        <v>6.3531211805479534E-2</v>
      </c>
      <c r="H221" s="838">
        <f>+H201/'VVP2'!H$341</f>
        <v>6.8524780860909074E-2</v>
      </c>
      <c r="I221" s="838">
        <f>+I201/'VVP2'!I$341</f>
        <v>7.2104698430785874E-2</v>
      </c>
      <c r="J221" s="838">
        <f>+J201/'VVP2'!J$341</f>
        <v>7.6973051675784596E-2</v>
      </c>
      <c r="K221" s="838">
        <f>+K201/'VVP2'!K$341</f>
        <v>8.2999792323522184E-2</v>
      </c>
      <c r="L221" s="838">
        <f>+L201/'VVP2'!L$341</f>
        <v>7.6916229434373262E-2</v>
      </c>
      <c r="M221" s="838">
        <f>+M201/'VVP2'!M$341</f>
        <v>7.2309595534051183E-2</v>
      </c>
      <c r="N221" s="838">
        <f>+N201/'VVP2'!N$341</f>
        <v>6.8347479340120518E-2</v>
      </c>
      <c r="O221" s="838">
        <f>+O201/'VVP2'!O$341</f>
        <v>6.5179308491236168E-2</v>
      </c>
      <c r="P221" s="838">
        <f>+P201/'VVP2'!P$341</f>
        <v>6.8028788686305089E-2</v>
      </c>
      <c r="Q221" s="838">
        <f>+Q201/'VVP2'!Q$341</f>
        <v>6.862517765869057E-2</v>
      </c>
      <c r="R221" s="2279">
        <f>+R201/'VVP2'!R$341</f>
        <v>6.793046939306073E-2</v>
      </c>
      <c r="S221" s="2279">
        <f>+S201/'VVP2'!S$341</f>
        <v>6.5380056789342944E-2</v>
      </c>
      <c r="T221" s="2279">
        <f>+T201/'VVP2'!T$341</f>
        <v>6.5380832314868853E-2</v>
      </c>
      <c r="U221" s="2909">
        <f>+U201/'VVP2'!U$341</f>
        <v>4.1063946222770376E-2</v>
      </c>
      <c r="V221" s="2235">
        <f>+V201/'VVP2'!V$341</f>
        <v>3.7097995337463066E-2</v>
      </c>
      <c r="W221" s="2235">
        <f>+W201/'VVP2'!W$341</f>
        <v>3.5914260829305662E-2</v>
      </c>
      <c r="X221" s="2235">
        <f>+X201/'VVP2'!X$341</f>
        <v>3.5332944709923805E-2</v>
      </c>
      <c r="Y221" s="2235">
        <f>+Y201/'VVP2'!Y$341</f>
        <v>3.6210030706829162E-2</v>
      </c>
      <c r="Z221" s="2235">
        <f>+Z201/'VVP2'!Z$341</f>
        <v>3.6475327797752581E-2</v>
      </c>
      <c r="AA221" s="2235">
        <f>+AA201/'VVP2'!AA$341</f>
        <v>3.8928719432510715E-2</v>
      </c>
      <c r="AB221" s="2235">
        <f>+AB201/'VVP2'!AB$341</f>
        <v>4.0274829627974525E-2</v>
      </c>
      <c r="AC221" s="2235">
        <f ca="1">+AC201/'VVP2'!AC$341</f>
        <v>4.0048918337033633E-2</v>
      </c>
      <c r="AD221" s="2235">
        <f ca="1">+AD201/'VVP2'!AD$341</f>
        <v>3.9208384399170855E-2</v>
      </c>
      <c r="AE221" s="2235">
        <f ca="1">+AE201/'VVP2'!AE$341</f>
        <v>3.9124910275313299E-2</v>
      </c>
    </row>
    <row r="222" spans="1:31" ht="12.75" customHeight="1">
      <c r="A222" s="664"/>
      <c r="B222" s="664"/>
      <c r="C222" s="826" t="s">
        <v>1767</v>
      </c>
      <c r="D222" s="674" t="s">
        <v>686</v>
      </c>
      <c r="E222" s="783" t="s">
        <v>978</v>
      </c>
      <c r="F222" s="704" t="s">
        <v>1966</v>
      </c>
      <c r="G222" s="839">
        <f>+G202/'VVP2'!G$341</f>
        <v>2.0547283608924171E-2</v>
      </c>
      <c r="H222" s="839">
        <f>+H202/'VVP2'!H$341</f>
        <v>1.1501778333667898E-2</v>
      </c>
      <c r="I222" s="839">
        <f>+I202/'VVP2'!I$341</f>
        <v>1.5338176818481895E-2</v>
      </c>
      <c r="J222" s="839">
        <f>+J202/'VVP2'!J$341</f>
        <v>1.2905123345487162E-2</v>
      </c>
      <c r="K222" s="839">
        <f>+K202/'VVP2'!K$341</f>
        <v>8.2205272465245647E-3</v>
      </c>
      <c r="L222" s="839">
        <f>+L202/'VVP2'!L$341</f>
        <v>6.7526020744783496E-3</v>
      </c>
      <c r="M222" s="839">
        <f>+M202/'VVP2'!M$341</f>
        <v>5.2893651916373352E-3</v>
      </c>
      <c r="N222" s="839">
        <f>+N202/'VVP2'!N$341</f>
        <v>5.8603475688010333E-3</v>
      </c>
      <c r="O222" s="839">
        <f>+O202/'VVP2'!O$341</f>
        <v>1.3628117260842022E-2</v>
      </c>
      <c r="P222" s="839">
        <f>+P202/'VVP2'!P$341</f>
        <v>1.8516020642931244E-2</v>
      </c>
      <c r="Q222" s="839">
        <f>+Q202/'VVP2'!Q$341</f>
        <v>2.0779579428016389E-2</v>
      </c>
      <c r="R222" s="2280">
        <f>+R202/'VVP2'!R$341</f>
        <v>2.7504674162492242E-2</v>
      </c>
      <c r="S222" s="2280">
        <f>+S202/'VVP2'!S$341</f>
        <v>2.5254935666062687E-2</v>
      </c>
      <c r="T222" s="2280">
        <f>+T202/'VVP2'!T$341</f>
        <v>2.7100636525011407E-2</v>
      </c>
      <c r="U222" s="2910">
        <f>+U202/'VVP2'!U$341</f>
        <v>1.8138231478806988E-2</v>
      </c>
      <c r="V222" s="2218">
        <f>+V202/'VVP2'!V$341</f>
        <v>9.8456310658827737E-3</v>
      </c>
      <c r="W222" s="2218">
        <f>+W202/'VVP2'!W$341</f>
        <v>8.0561925505478436E-3</v>
      </c>
      <c r="X222" s="2218">
        <f>+X202/'VVP2'!X$341</f>
        <v>1.2900138177212273E-2</v>
      </c>
      <c r="Y222" s="2218">
        <f>+Y202/'VVP2'!Y$341</f>
        <v>1.3594243649464453E-2</v>
      </c>
      <c r="Z222" s="2218">
        <f>+Z202/'VVP2'!Z$341</f>
        <v>1.3632579929928342E-2</v>
      </c>
      <c r="AA222" s="2218">
        <f>+AA202/'VVP2'!AA$341</f>
        <v>1.530087817197443E-2</v>
      </c>
      <c r="AB222" s="2218">
        <f>+AB202/'VVP2'!AB$341</f>
        <v>1.6177584130885436E-2</v>
      </c>
      <c r="AC222" s="2218">
        <f ca="1">+AC202/'VVP2'!AC$341</f>
        <v>1.5103066499929409E-2</v>
      </c>
      <c r="AD222" s="2218">
        <f ca="1">+AD202/'VVP2'!AD$341</f>
        <v>1.4700454437127993E-2</v>
      </c>
      <c r="AE222" s="2218">
        <f ca="1">+AE202/'VVP2'!AE$341</f>
        <v>1.4745740533174073E-2</v>
      </c>
    </row>
    <row r="223" spans="1:31" ht="12.75" customHeight="1">
      <c r="A223" s="664"/>
      <c r="B223" s="664"/>
      <c r="C223" s="826" t="s">
        <v>1767</v>
      </c>
      <c r="D223" s="674" t="s">
        <v>687</v>
      </c>
      <c r="E223" s="783" t="s">
        <v>978</v>
      </c>
      <c r="F223" s="704" t="s">
        <v>384</v>
      </c>
      <c r="G223" s="839">
        <f>+G203/'VVP2'!G$341</f>
        <v>0</v>
      </c>
      <c r="H223" s="839">
        <f>+H203/'VVP2'!H$341</f>
        <v>0</v>
      </c>
      <c r="I223" s="839">
        <f>+I203/'VVP2'!I$341</f>
        <v>0</v>
      </c>
      <c r="J223" s="839">
        <f>+J203/'VVP2'!J$341</f>
        <v>0</v>
      </c>
      <c r="K223" s="839">
        <f>+K203/'VVP2'!K$341</f>
        <v>0</v>
      </c>
      <c r="L223" s="839">
        <f>+L203/'VVP2'!L$341</f>
        <v>0</v>
      </c>
      <c r="M223" s="839">
        <f>+M203/'VVP2'!M$341</f>
        <v>0</v>
      </c>
      <c r="N223" s="839">
        <f>+N203/'VVP2'!N$341</f>
        <v>1.9734024813562799E-6</v>
      </c>
      <c r="O223" s="839">
        <f>+O203/'VVP2'!O$341</f>
        <v>8.9990209065253713E-6</v>
      </c>
      <c r="P223" s="839">
        <f>+P203/'VVP2'!P$341</f>
        <v>1.7546052905736027E-5</v>
      </c>
      <c r="Q223" s="839">
        <f>+Q203/'VVP2'!Q$341</f>
        <v>1.1427292660107083E-5</v>
      </c>
      <c r="R223" s="2280">
        <f>+R203/'VVP2'!R$341</f>
        <v>3.903787421332454E-5</v>
      </c>
      <c r="S223" s="2280">
        <f>+S203/'VVP2'!S$341</f>
        <v>3.2024065568757736E-5</v>
      </c>
      <c r="T223" s="2280">
        <f>+T203/'VVP2'!T$341</f>
        <v>5.1687837270784315E-5</v>
      </c>
      <c r="U223" s="2910">
        <f>+U203/'VVP2'!U$341</f>
        <v>2.6731197758143552E-5</v>
      </c>
      <c r="V223" s="2218">
        <f>+V203/'VVP2'!V$341</f>
        <v>1.0703711975955183E-5</v>
      </c>
      <c r="W223" s="2218">
        <f>+W203/'VVP2'!W$341</f>
        <v>2.909642491267875E-5</v>
      </c>
      <c r="X223" s="2218">
        <f>+X203/'VVP2'!X$341</f>
        <v>8.1263074059147525E-5</v>
      </c>
      <c r="Y223" s="2218">
        <f>+Y203/'VVP2'!Y$341</f>
        <v>4.0618255617547646E-5</v>
      </c>
      <c r="Z223" s="2218">
        <f>+Z203/'VVP2'!Z$341</f>
        <v>3.4182630410836935E-5</v>
      </c>
      <c r="AA223" s="2218">
        <f>+AA203/'VVP2'!AA$341</f>
        <v>3.2597128086139778E-5</v>
      </c>
      <c r="AB223" s="2218">
        <f>+AB203/'VVP2'!AB$341</f>
        <v>5.4049413059579518E-5</v>
      </c>
      <c r="AC223" s="2218">
        <f ca="1">+AC203/'VVP2'!AC$341</f>
        <v>5.102490834318465E-5</v>
      </c>
      <c r="AD223" s="2218">
        <f ca="1">+AD203/'VVP2'!AD$341</f>
        <v>4.9182523263198875E-5</v>
      </c>
      <c r="AE223" s="2218">
        <f ca="1">+AE203/'VVP2'!AE$341</f>
        <v>4.7517200397033765E-5</v>
      </c>
    </row>
    <row r="224" spans="1:31" ht="12.75" customHeight="1">
      <c r="A224" s="664"/>
      <c r="B224" s="664"/>
      <c r="C224" s="827" t="s">
        <v>1767</v>
      </c>
      <c r="D224" s="828" t="s">
        <v>688</v>
      </c>
      <c r="E224" s="829" t="s">
        <v>979</v>
      </c>
      <c r="F224" s="830" t="s">
        <v>980</v>
      </c>
      <c r="G224" s="840">
        <f>+G204/'VVP2'!G$341</f>
        <v>0</v>
      </c>
      <c r="H224" s="840">
        <f>+H204/'VVP2'!H$341</f>
        <v>0</v>
      </c>
      <c r="I224" s="840">
        <f>+I204/'VVP2'!I$341</f>
        <v>0</v>
      </c>
      <c r="J224" s="840">
        <f>+J204/'VVP2'!J$341</f>
        <v>0</v>
      </c>
      <c r="K224" s="840">
        <f>+K204/'VVP2'!K$341</f>
        <v>0</v>
      </c>
      <c r="L224" s="840">
        <f>+L204/'VVP2'!L$341</f>
        <v>0</v>
      </c>
      <c r="M224" s="840">
        <f>+M204/'VVP2'!M$341</f>
        <v>0</v>
      </c>
      <c r="N224" s="840">
        <f>+N204/'VVP2'!N$341</f>
        <v>0</v>
      </c>
      <c r="O224" s="840">
        <f>+O204/'VVP2'!O$341</f>
        <v>0</v>
      </c>
      <c r="P224" s="840">
        <f>+P204/'VVP2'!P$341</f>
        <v>3.1760551048670691E-5</v>
      </c>
      <c r="Q224" s="840" t="e">
        <f>+Q204/'VVP2'!Q$341</f>
        <v>#VALUE!</v>
      </c>
      <c r="R224" s="2281" t="e">
        <f>+R204/'VVP2'!R$341</f>
        <v>#VALUE!</v>
      </c>
      <c r="S224" s="2281" t="e">
        <f>+S204/'VVP2'!S$341</f>
        <v>#VALUE!</v>
      </c>
      <c r="T224" s="2281">
        <f>+T204/'VVP2'!T$341</f>
        <v>-2.7526067185624782E-4</v>
      </c>
      <c r="U224" s="2911">
        <f>+U204/'VVP2'!U$341</f>
        <v>1.1137999065893145E-4</v>
      </c>
      <c r="V224" s="2237">
        <f>+V204/'VVP2'!V$341</f>
        <v>-7.8493887823671328E-4</v>
      </c>
      <c r="W224" s="2237">
        <f>+W204/'VVP2'!W$341</f>
        <v>-5.4355958628081187E-4</v>
      </c>
      <c r="X224" s="2237">
        <f>+X204/'VVP2'!X$341</f>
        <v>-1.199454967662694E-4</v>
      </c>
      <c r="Y224" s="2237">
        <f>+Y204/'VVP2'!Y$341</f>
        <v>-1.7162643218682108E-4</v>
      </c>
      <c r="Z224" s="2237">
        <f>+Z204/'VVP2'!Z$341</f>
        <v>8.2038312986008641E-5</v>
      </c>
      <c r="AA224" s="2237">
        <f>+AA204/'VVP2'!AA$341</f>
        <v>2.6718957447655556E-5</v>
      </c>
      <c r="AB224" s="2237">
        <f>+AB204/'VVP2'!AB$341</f>
        <v>2.3274866867761514E-4</v>
      </c>
      <c r="AC224" s="2237">
        <f ca="1">+AC204/'VVP2'!AC$341</f>
        <v>2.1541616243956368E-4</v>
      </c>
      <c r="AD224" s="2237">
        <f ca="1">+AD204/'VVP2'!AD$341</f>
        <v>2.0356667630999024E-4</v>
      </c>
      <c r="AE224" s="2237">
        <f ca="1">+AE204/'VVP2'!AE$341</f>
        <v>1.9281754683418825E-4</v>
      </c>
    </row>
    <row r="225" spans="1:113" ht="12.75" customHeight="1">
      <c r="A225" s="664"/>
      <c r="B225" s="664"/>
      <c r="C225" s="774" t="s">
        <v>1769</v>
      </c>
      <c r="D225" s="806" t="s">
        <v>687</v>
      </c>
      <c r="E225" s="807" t="s">
        <v>614</v>
      </c>
      <c r="F225" s="808" t="s">
        <v>1803</v>
      </c>
      <c r="G225" s="841">
        <f>+G205/'VVP2'!G$341</f>
        <v>8.4077207506442778E-2</v>
      </c>
      <c r="H225" s="841">
        <f>+H205/'VVP2'!H$341</f>
        <v>8.0026559194576991E-2</v>
      </c>
      <c r="I225" s="841">
        <f>+I205/'VVP2'!I$341</f>
        <v>8.7442875249267762E-2</v>
      </c>
      <c r="J225" s="841">
        <f>+J205/'VVP2'!J$341</f>
        <v>8.9878175021271767E-2</v>
      </c>
      <c r="K225" s="841">
        <f>+K205/'VVP2'!K$341</f>
        <v>9.1221106223371762E-2</v>
      </c>
      <c r="L225" s="841">
        <f>+L205/'VVP2'!L$341</f>
        <v>8.3668831508851613E-2</v>
      </c>
      <c r="M225" s="841">
        <f>+M205/'VVP2'!M$341</f>
        <v>7.7598256228459991E-2</v>
      </c>
      <c r="N225" s="841">
        <f>+N205/'VVP2'!N$341</f>
        <v>7.420980031140291E-2</v>
      </c>
      <c r="O225" s="841">
        <f>+O205/'VVP2'!O$341</f>
        <v>7.8817024707711805E-2</v>
      </c>
      <c r="P225" s="841">
        <f>+P205/'VVP2'!P$341</f>
        <v>8.6577159864281286E-2</v>
      </c>
      <c r="Q225" s="841">
        <f>+Q205/'VVP2'!Q$341</f>
        <v>8.9441419650658133E-2</v>
      </c>
      <c r="R225" s="2282">
        <f>+R205/'VVP2'!R$341</f>
        <v>9.549619214607806E-2</v>
      </c>
      <c r="S225" s="2282">
        <f>+S205/'VVP2'!S$341</f>
        <v>9.0689743277184473E-2</v>
      </c>
      <c r="T225" s="2282">
        <f>+T205/'VVP2'!T$341</f>
        <v>9.2261260302395245E-2</v>
      </c>
      <c r="U225" s="2912">
        <f>+U205/'VVP2'!U$341</f>
        <v>5.9339917623358905E-2</v>
      </c>
      <c r="V225" s="2236">
        <f>+V205/'VVP2'!V$341</f>
        <v>4.617046160828267E-2</v>
      </c>
      <c r="W225" s="2236">
        <f>+W205/'VVP2'!W$341</f>
        <v>4.3455350736619158E-2</v>
      </c>
      <c r="X225" s="2236">
        <f>+X205/'VVP2'!X$341</f>
        <v>4.8204595831654096E-2</v>
      </c>
      <c r="Y225" s="2236">
        <f>+Y205/'VVP2'!Y$341</f>
        <v>4.9662682549739483E-2</v>
      </c>
      <c r="Z225" s="2236">
        <f>+Z205/'VVP2'!Z$341</f>
        <v>5.0227410203597216E-2</v>
      </c>
      <c r="AA225" s="2236">
        <f>+AA205/'VVP2'!AA$341</f>
        <v>5.429799813555114E-2</v>
      </c>
      <c r="AB225" s="2236">
        <f>+AB205/'VVP2'!AB$341</f>
        <v>5.6751883712558501E-2</v>
      </c>
      <c r="AC225" s="2236">
        <f ca="1">+AC205/'VVP2'!AC$341</f>
        <v>5.5418425907745789E-2</v>
      </c>
      <c r="AD225" s="2236">
        <f ca="1">+AD205/'VVP2'!AD$341</f>
        <v>5.4161588035872024E-2</v>
      </c>
      <c r="AE225" s="2236">
        <f ca="1">+AE205/'VVP2'!AE$341</f>
        <v>5.4110985555718596E-2</v>
      </c>
    </row>
    <row r="226" spans="1:113" ht="12.75" customHeight="1">
      <c r="A226" s="664"/>
      <c r="B226" s="664"/>
      <c r="C226" s="774"/>
      <c r="Q226" s="699"/>
      <c r="T226" s="2286"/>
      <c r="AB226" s="2221"/>
      <c r="AC226" s="2221"/>
      <c r="AD226" s="2221"/>
      <c r="AE226" s="2221"/>
    </row>
    <row r="227" spans="1:113" ht="12.75" customHeight="1">
      <c r="A227" s="664"/>
      <c r="B227" s="664"/>
      <c r="C227" s="774"/>
      <c r="D227" s="814" t="s">
        <v>685</v>
      </c>
      <c r="E227" s="3283" t="s">
        <v>1532</v>
      </c>
      <c r="F227" s="816"/>
      <c r="G227" s="817">
        <f>+InputY!$G$3</f>
        <v>1995</v>
      </c>
      <c r="H227" s="821">
        <f>+G227+1</f>
        <v>1996</v>
      </c>
      <c r="I227" s="821">
        <f t="shared" ref="I227:O227" si="207">+H227+1</f>
        <v>1997</v>
      </c>
      <c r="J227" s="821">
        <f t="shared" si="207"/>
        <v>1998</v>
      </c>
      <c r="K227" s="821">
        <f>+J227+1</f>
        <v>1999</v>
      </c>
      <c r="L227" s="821">
        <f t="shared" si="207"/>
        <v>2000</v>
      </c>
      <c r="M227" s="821">
        <f t="shared" si="207"/>
        <v>2001</v>
      </c>
      <c r="N227" s="821">
        <f t="shared" si="207"/>
        <v>2002</v>
      </c>
      <c r="O227" s="821">
        <f t="shared" si="207"/>
        <v>2003</v>
      </c>
      <c r="P227" s="821">
        <f t="shared" ref="P227:U227" si="208">+O227+1</f>
        <v>2004</v>
      </c>
      <c r="Q227" s="821">
        <f t="shared" si="208"/>
        <v>2005</v>
      </c>
      <c r="R227" s="2255">
        <f t="shared" si="208"/>
        <v>2006</v>
      </c>
      <c r="S227" s="2255">
        <f>+R227+1</f>
        <v>2007</v>
      </c>
      <c r="T227" s="2255">
        <f t="shared" si="208"/>
        <v>2008</v>
      </c>
      <c r="U227" s="2255">
        <f t="shared" si="208"/>
        <v>2009</v>
      </c>
      <c r="V227" s="2255">
        <f t="shared" ref="V227:AE227" si="209">+U227+1</f>
        <v>2010</v>
      </c>
      <c r="W227" s="2255">
        <f t="shared" si="209"/>
        <v>2011</v>
      </c>
      <c r="X227" s="2255">
        <f t="shared" si="209"/>
        <v>2012</v>
      </c>
      <c r="Y227" s="2255">
        <f t="shared" si="209"/>
        <v>2013</v>
      </c>
      <c r="Z227" s="2255">
        <f t="shared" si="209"/>
        <v>2014</v>
      </c>
      <c r="AA227" s="2255">
        <f t="shared" si="209"/>
        <v>2015</v>
      </c>
      <c r="AB227" s="2255">
        <f t="shared" si="209"/>
        <v>2016</v>
      </c>
      <c r="AC227" s="2255">
        <f t="shared" si="209"/>
        <v>2017</v>
      </c>
      <c r="AD227" s="2255">
        <f t="shared" si="209"/>
        <v>2018</v>
      </c>
      <c r="AE227" s="2255">
        <f t="shared" si="209"/>
        <v>2019</v>
      </c>
    </row>
    <row r="228" spans="1:113" s="884" customFormat="1" ht="12.75" customHeight="1">
      <c r="A228" s="664"/>
      <c r="B228" s="664"/>
      <c r="C228" s="822"/>
      <c r="D228" s="1041"/>
      <c r="E228" s="1042" t="s">
        <v>1080</v>
      </c>
      <c r="F228" s="2097"/>
      <c r="G228" s="1044"/>
      <c r="H228" s="1048" t="e">
        <f>+H209/Labour1!H197</f>
        <v>#VALUE!</v>
      </c>
      <c r="I228" s="1048" t="e">
        <f>+I209/Labour1!I197</f>
        <v>#VALUE!</v>
      </c>
      <c r="J228" s="1048" t="e">
        <f>+J209/Labour1!J197</f>
        <v>#VALUE!</v>
      </c>
      <c r="K228" s="1048" t="e">
        <f>+K209/Labour1!K197</f>
        <v>#VALUE!</v>
      </c>
      <c r="L228" s="1048" t="e">
        <f>+L209/Labour1!L197</f>
        <v>#VALUE!</v>
      </c>
      <c r="M228" s="1048">
        <f>+M209/Labour1!M197</f>
        <v>-2.5231087711476138E-2</v>
      </c>
      <c r="N228" s="1048">
        <f>+N209/Labour1!N197</f>
        <v>0.24794692749107164</v>
      </c>
      <c r="O228" s="1048">
        <f>+O209/Labour1!O197</f>
        <v>0.51202323367860603</v>
      </c>
      <c r="P228" s="1048">
        <f>+P209/Labour1!P197</f>
        <v>1.1764545806731499</v>
      </c>
      <c r="Q228" s="1048">
        <f>+Q209/Labour1!Q197</f>
        <v>1.1711294222315622</v>
      </c>
      <c r="R228" s="2277">
        <f>+R209/Labour1!R197</f>
        <v>0.65054815428973722</v>
      </c>
      <c r="S228" s="2277">
        <f>+S209/Labour1!S197</f>
        <v>1.1414419286030162</v>
      </c>
      <c r="T228" s="2277">
        <f>+T209/Labour1!T197</f>
        <v>0.89529941993256101</v>
      </c>
      <c r="U228" s="3002">
        <f>+U209/Labour1!U197</f>
        <v>5.1940957678010244</v>
      </c>
      <c r="V228" s="3003">
        <f>+V209/Labour1!V197</f>
        <v>43.83069385504735</v>
      </c>
      <c r="W228" s="3003">
        <f>+W209/Labour1!W197</f>
        <v>1.2633792639025441</v>
      </c>
      <c r="X228" s="3003">
        <f>+X209/Labour1!X197</f>
        <v>1.1561793043331019</v>
      </c>
      <c r="Y228" s="3003">
        <f>+Y209/Labour1!Y197</f>
        <v>1.3869785221739301</v>
      </c>
      <c r="Z228" s="3003">
        <f>+Z209/Labour1!Z197</f>
        <v>1.1384354817946822</v>
      </c>
      <c r="AA228" s="3003">
        <f>+AA209/Labour1!AA197</f>
        <v>1.6029961078352553</v>
      </c>
      <c r="AB228" s="3003">
        <f>+AB209/Labour1!AB197</f>
        <v>1.1046164576027058</v>
      </c>
      <c r="AC228" s="3003">
        <f>+AC209/Labour1!AC197</f>
        <v>0.82336401138143789</v>
      </c>
      <c r="AD228" s="3003">
        <f>+AD209/Labour1!AD197</f>
        <v>0.54240675051930043</v>
      </c>
      <c r="AE228" s="3003">
        <f>+AE209/Labour1!AE197</f>
        <v>0.88665205224616339</v>
      </c>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row>
    <row r="229" spans="1:113" s="885" customFormat="1" ht="12.75" customHeight="1" thickBot="1">
      <c r="A229" s="664"/>
      <c r="B229" s="664"/>
      <c r="C229" s="826"/>
      <c r="D229" s="806"/>
      <c r="E229" s="807" t="s">
        <v>654</v>
      </c>
      <c r="F229" s="808"/>
      <c r="G229" s="809"/>
      <c r="H229" s="809"/>
      <c r="I229" s="809"/>
      <c r="J229" s="809"/>
      <c r="K229" s="809" t="e">
        <f>AVERAGE(H228:K228)</f>
        <v>#VALUE!</v>
      </c>
      <c r="L229" s="809" t="e">
        <f>AVERAGE(I228:L228)</f>
        <v>#VALUE!</v>
      </c>
      <c r="M229" s="809" t="e">
        <f>AVERAGE(J228:M228)</f>
        <v>#VALUE!</v>
      </c>
      <c r="N229" s="809" t="e">
        <f t="shared" ref="N229:T229" si="210">AVERAGE(K228:N228)</f>
        <v>#VALUE!</v>
      </c>
      <c r="O229" s="809" t="e">
        <f t="shared" si="210"/>
        <v>#VALUE!</v>
      </c>
      <c r="P229" s="809">
        <f t="shared" si="210"/>
        <v>0.47779841353283786</v>
      </c>
      <c r="Q229" s="809">
        <f t="shared" si="210"/>
        <v>0.7768885410185975</v>
      </c>
      <c r="R229" s="2283">
        <f t="shared" si="210"/>
        <v>0.87753884771826385</v>
      </c>
      <c r="S229" s="2283">
        <f t="shared" si="210"/>
        <v>1.0348935214493664</v>
      </c>
      <c r="T229" s="2283">
        <f t="shared" si="210"/>
        <v>0.9646047312642192</v>
      </c>
      <c r="U229" s="3007">
        <f t="shared" ref="U229:AE229" si="211">AVERAGE(R228:U228)</f>
        <v>1.9703463176565847</v>
      </c>
      <c r="V229" s="3008">
        <f t="shared" si="211"/>
        <v>12.765382742845988</v>
      </c>
      <c r="W229" s="3008">
        <f t="shared" si="211"/>
        <v>12.79586707667087</v>
      </c>
      <c r="X229" s="3008">
        <f t="shared" si="211"/>
        <v>12.861087047771004</v>
      </c>
      <c r="Y229" s="3008">
        <f t="shared" si="211"/>
        <v>11.909307736364232</v>
      </c>
      <c r="Z229" s="3008">
        <f t="shared" si="211"/>
        <v>1.2362431430510648</v>
      </c>
      <c r="AA229" s="3008">
        <f t="shared" si="211"/>
        <v>1.3211473540342424</v>
      </c>
      <c r="AB229" s="3008">
        <f t="shared" si="211"/>
        <v>1.3082566423516435</v>
      </c>
      <c r="AC229" s="3008">
        <f t="shared" si="211"/>
        <v>1.1673530146535203</v>
      </c>
      <c r="AD229" s="3008">
        <f t="shared" si="211"/>
        <v>1.0183458318346748</v>
      </c>
      <c r="AE229" s="3008">
        <f t="shared" si="211"/>
        <v>0.83925981793740201</v>
      </c>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row>
    <row r="230" spans="1:113" s="885" customFormat="1" ht="12.75" customHeight="1" thickBot="1">
      <c r="A230" s="664"/>
      <c r="B230" s="664"/>
      <c r="C230" s="826"/>
      <c r="D230" s="1041"/>
      <c r="E230" s="1042" t="s">
        <v>656</v>
      </c>
      <c r="F230" s="2097">
        <v>1.0900000000000001</v>
      </c>
      <c r="G230" s="1044"/>
      <c r="H230" s="1044">
        <f>+H209/'VVP2'!H348</f>
        <v>1.3916325268648722</v>
      </c>
      <c r="I230" s="1044">
        <f>+I209/'VVP2'!I348</f>
        <v>1.3047029560694494</v>
      </c>
      <c r="J230" s="1044">
        <f>+J209/'VVP2'!J348</f>
        <v>1.6775593526432164</v>
      </c>
      <c r="K230" s="1044">
        <f>+K209/'VVP2'!K348</f>
        <v>-2.2119358862131744</v>
      </c>
      <c r="L230" s="1044">
        <f>+L209/'VVP2'!L348</f>
        <v>-0.49342440144299721</v>
      </c>
      <c r="M230" s="1044">
        <f>+M209/'VVP2'!M348</f>
        <v>-2.8792165345208565E-2</v>
      </c>
      <c r="N230" s="1044">
        <f>+N209/'VVP2'!N348</f>
        <v>0.17333956766201847</v>
      </c>
      <c r="O230" s="1044">
        <f>+O209/'VVP2'!O348</f>
        <v>0.47306591371797085</v>
      </c>
      <c r="P230" s="1044">
        <f>+P209/'VVP2'!P348</f>
        <v>1.5080858126771826</v>
      </c>
      <c r="Q230" s="1044">
        <f>+Q209/'VVP2'!Q348</f>
        <v>1.0665990051374696</v>
      </c>
      <c r="R230" s="2269">
        <f>+R209/'VVP2'!R348</f>
        <v>0.92077592518180273</v>
      </c>
      <c r="S230" s="2269">
        <f>+S209/'VVP2'!S348</f>
        <v>0.78024383496087946</v>
      </c>
      <c r="T230" s="2269">
        <f>+T209/'VVP2'!T348</f>
        <v>1.0001060933352706</v>
      </c>
      <c r="U230" s="2269">
        <f>+U209/'VVP2'!U348</f>
        <v>2.7387576028355638</v>
      </c>
      <c r="V230" s="2269">
        <f>+V209/'VVP2'!V348</f>
        <v>-1.4769481005525535</v>
      </c>
      <c r="W230" s="2269">
        <f>+W209/'VVP2'!W348</f>
        <v>0.69271944988769896</v>
      </c>
      <c r="X230" s="2269">
        <f>+X209/'VVP2'!X348</f>
        <v>0.7396313709769099</v>
      </c>
      <c r="Y230" s="2269">
        <f>+Y209/'VVP2'!Y348</f>
        <v>1.5386269170856306</v>
      </c>
      <c r="Z230" s="2269">
        <f>+Z209/'VVP2'!Z348</f>
        <v>1.1665528101066907</v>
      </c>
      <c r="AA230" s="2269">
        <f>+AA209/'VVP2'!AA348</f>
        <v>3.9328771787562289</v>
      </c>
      <c r="AB230" s="2269">
        <f>+AB209/'VVP2'!AB348</f>
        <v>2.076826218344312</v>
      </c>
      <c r="AC230" s="2257">
        <f ca="1">+AC209/'VVP2'!AC348</f>
        <v>0.92467657391164026</v>
      </c>
      <c r="AD230" s="2257">
        <f ca="1">+AD209/'VVP2'!AD348</f>
        <v>0.61845722818896953</v>
      </c>
      <c r="AE230" s="2257">
        <f ca="1">+AE209/'VVP2'!AE348</f>
        <v>0.95968131920370647</v>
      </c>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row>
    <row r="231" spans="1:113" s="884" customFormat="1" ht="12.75" customHeight="1">
      <c r="A231" s="664"/>
      <c r="B231" s="664"/>
      <c r="C231" s="826"/>
      <c r="D231" s="806"/>
      <c r="E231" s="807" t="s">
        <v>654</v>
      </c>
      <c r="F231" s="808"/>
      <c r="G231" s="809"/>
      <c r="H231" s="809"/>
      <c r="I231" s="809"/>
      <c r="J231" s="809"/>
      <c r="K231" s="809">
        <f>AVERAGE(H230:K230)</f>
        <v>0.54048973734109085</v>
      </c>
      <c r="L231" s="809">
        <f>AVERAGE(I230:L230)</f>
        <v>6.9225505264123507E-2</v>
      </c>
      <c r="M231" s="809">
        <f>AVERAGE(J230:M230)</f>
        <v>-0.26414827508954092</v>
      </c>
      <c r="N231" s="809">
        <f t="shared" ref="N231:T231" si="212">AVERAGE(K230:N230)</f>
        <v>-0.64020322133484042</v>
      </c>
      <c r="O231" s="809">
        <f t="shared" si="212"/>
        <v>3.1047228647945901E-2</v>
      </c>
      <c r="P231" s="809">
        <f t="shared" si="212"/>
        <v>0.53142478217799083</v>
      </c>
      <c r="Q231" s="809">
        <f t="shared" si="212"/>
        <v>0.80527257479866032</v>
      </c>
      <c r="R231" s="2283">
        <f t="shared" si="212"/>
        <v>0.99213166417860643</v>
      </c>
      <c r="S231" s="2283">
        <f t="shared" si="212"/>
        <v>1.0689261444893334</v>
      </c>
      <c r="T231" s="2283">
        <f t="shared" si="212"/>
        <v>0.94193121465385565</v>
      </c>
      <c r="U231" s="3007">
        <f t="shared" ref="U231:Z231" si="213">AVERAGE(R230:U230)</f>
        <v>1.3599708640783792</v>
      </c>
      <c r="V231" s="3008">
        <f t="shared" si="213"/>
        <v>0.76053985764479004</v>
      </c>
      <c r="W231" s="3008">
        <f t="shared" si="213"/>
        <v>0.73865876137649489</v>
      </c>
      <c r="X231" s="3008">
        <f>AVERAGE(U230:X230)</f>
        <v>0.67354008078690475</v>
      </c>
      <c r="Y231" s="3008">
        <f>AVERAGE(V230:Y230)</f>
        <v>0.3735074093494215</v>
      </c>
      <c r="Z231" s="3008">
        <f t="shared" si="213"/>
        <v>1.0343826370142324</v>
      </c>
      <c r="AA231" s="3008">
        <f>AVERAGE(X230:AA230)</f>
        <v>1.8444220692313651</v>
      </c>
      <c r="AB231" s="3008">
        <f>AVERAGE(Y230:AB230)</f>
        <v>2.1787207810732157</v>
      </c>
      <c r="AC231" s="3008">
        <f ca="1">AVERAGE(Z230:AC230)</f>
        <v>2.0252331952797178</v>
      </c>
      <c r="AD231" s="3008">
        <f ca="1">AVERAGE(AA230:AD230)</f>
        <v>1.8882092998002875</v>
      </c>
      <c r="AE231" s="3008">
        <f ca="1">AVERAGE(AB230:AE230)</f>
        <v>1.1449103349121572</v>
      </c>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row>
    <row r="232" spans="1:113" s="884" customFormat="1" ht="12.75" customHeight="1">
      <c r="A232" s="664"/>
      <c r="B232" s="664"/>
      <c r="C232" s="826"/>
      <c r="D232" s="1041"/>
      <c r="E232" s="1042" t="s">
        <v>662</v>
      </c>
      <c r="F232" s="1043"/>
      <c r="G232" s="1502">
        <f>+G201/'VVP2'!G341</f>
        <v>6.3531211805479534E-2</v>
      </c>
      <c r="H232" s="1502">
        <f>+H201/'VVP2'!H341</f>
        <v>6.8524780860909074E-2</v>
      </c>
      <c r="I232" s="1502">
        <f>+I201/'VVP2'!I341</f>
        <v>7.2104698430785874E-2</v>
      </c>
      <c r="J232" s="1502">
        <f>+J201/'VVP2'!J341</f>
        <v>7.6973051675784596E-2</v>
      </c>
      <c r="K232" s="1502">
        <f>+K201/'VVP2'!K341</f>
        <v>8.2999792323522184E-2</v>
      </c>
      <c r="L232" s="1502">
        <f>+L201/'VVP2'!L341</f>
        <v>7.6916229434373262E-2</v>
      </c>
      <c r="M232" s="1502">
        <f>+M201/'VVP2'!M341</f>
        <v>7.2309595534051183E-2</v>
      </c>
      <c r="N232" s="1502">
        <f>+N201/'VVP2'!N341</f>
        <v>6.8347479340120518E-2</v>
      </c>
      <c r="O232" s="1502">
        <f>+O201/'VVP2'!O341</f>
        <v>6.5179308491236168E-2</v>
      </c>
      <c r="P232" s="1502">
        <f>+P201/'VVP2'!P341</f>
        <v>6.8028788686305089E-2</v>
      </c>
      <c r="Q232" s="1502">
        <f>+Q201/'VVP2'!Q341</f>
        <v>6.862517765869057E-2</v>
      </c>
      <c r="R232" s="2284">
        <f>+R201/'VVP2'!R341</f>
        <v>6.793046939306073E-2</v>
      </c>
      <c r="S232" s="2284">
        <f>+S201/'VVP2'!S341</f>
        <v>6.5380056789342944E-2</v>
      </c>
      <c r="T232" s="2284">
        <f>+T201/'VVP2'!T341</f>
        <v>6.5380832314868853E-2</v>
      </c>
      <c r="U232" s="3009">
        <f>+U201/'VVP2'!U341</f>
        <v>4.1063946222770376E-2</v>
      </c>
      <c r="V232" s="2229">
        <f>+V201/'VVP2'!V341</f>
        <v>3.7097995337463066E-2</v>
      </c>
      <c r="W232" s="2229">
        <f>+W201/'VVP2'!W341</f>
        <v>3.5914260829305662E-2</v>
      </c>
      <c r="X232" s="2229">
        <f>+X201/'VVP2'!X341</f>
        <v>3.5332944709923805E-2</v>
      </c>
      <c r="Y232" s="2229">
        <f>+Y201/'VVP2'!Y341</f>
        <v>3.6210030706829162E-2</v>
      </c>
      <c r="Z232" s="2229">
        <f>+Z201/'VVP2'!Z341</f>
        <v>3.6475327797752581E-2</v>
      </c>
      <c r="AA232" s="2229">
        <f>+AA201/'VVP2'!AA341</f>
        <v>3.8928719432510715E-2</v>
      </c>
      <c r="AB232" s="2229">
        <f>+AB201/'VVP2'!AB341</f>
        <v>4.0274829627974525E-2</v>
      </c>
      <c r="AC232" s="2229">
        <f ca="1">+AC201/'VVP2'!AC341</f>
        <v>4.0048918337033633E-2</v>
      </c>
      <c r="AD232" s="2229">
        <f ca="1">+AD201/'VVP2'!AD341</f>
        <v>3.9208384399170855E-2</v>
      </c>
      <c r="AE232" s="2229">
        <f ca="1">+AE201/'VVP2'!AE341</f>
        <v>3.9124910275313299E-2</v>
      </c>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row>
    <row r="233" spans="1:113" s="884" customFormat="1" ht="12.75" customHeight="1">
      <c r="A233" s="664"/>
      <c r="B233" s="664"/>
      <c r="C233" s="827"/>
      <c r="D233" s="1049"/>
      <c r="E233" s="1050" t="s">
        <v>654</v>
      </c>
      <c r="F233" s="1051"/>
      <c r="G233" s="1500"/>
      <c r="H233" s="1501"/>
      <c r="I233" s="1501"/>
      <c r="J233" s="1501">
        <f t="shared" ref="J233:T233" si="214">AVERAGE(G232:J232)</f>
        <v>7.0283435693239776E-2</v>
      </c>
      <c r="K233" s="1501">
        <f>AVERAGE(H232:K232)</f>
        <v>7.5150580822750432E-2</v>
      </c>
      <c r="L233" s="1501">
        <f>AVERAGE(I232:L232)</f>
        <v>7.7248442966116479E-2</v>
      </c>
      <c r="M233" s="1501">
        <f>AVERAGE(J232:M232)</f>
        <v>7.729966724193281E-2</v>
      </c>
      <c r="N233" s="1501">
        <f t="shared" si="214"/>
        <v>7.514327415801679E-2</v>
      </c>
      <c r="O233" s="1501">
        <f t="shared" si="214"/>
        <v>7.0688153199945286E-2</v>
      </c>
      <c r="P233" s="1501">
        <f t="shared" si="214"/>
        <v>6.8466293012928239E-2</v>
      </c>
      <c r="Q233" s="1501">
        <f t="shared" si="214"/>
        <v>6.7545188544088086E-2</v>
      </c>
      <c r="R233" s="2285">
        <f t="shared" si="214"/>
        <v>6.7440936057323139E-2</v>
      </c>
      <c r="S233" s="2285">
        <f t="shared" si="214"/>
        <v>6.7491123131849837E-2</v>
      </c>
      <c r="T233" s="2285">
        <f t="shared" si="214"/>
        <v>6.6829134038990767E-2</v>
      </c>
      <c r="U233" s="3010">
        <f t="shared" ref="U233:AE233" si="215">AVERAGE(R232:U232)</f>
        <v>5.9938826180010729E-2</v>
      </c>
      <c r="V233" s="2258">
        <f t="shared" si="215"/>
        <v>5.2230707666111306E-2</v>
      </c>
      <c r="W233" s="2258">
        <f t="shared" si="215"/>
        <v>4.4864258676101984E-2</v>
      </c>
      <c r="X233" s="2258">
        <f t="shared" si="215"/>
        <v>3.7352286774865726E-2</v>
      </c>
      <c r="Y233" s="2258">
        <f t="shared" si="215"/>
        <v>3.6138807895880427E-2</v>
      </c>
      <c r="Z233" s="2258">
        <f t="shared" si="215"/>
        <v>3.5983141010952804E-2</v>
      </c>
      <c r="AA233" s="2258">
        <f t="shared" si="215"/>
        <v>3.6736755661754071E-2</v>
      </c>
      <c r="AB233" s="2258">
        <f t="shared" si="215"/>
        <v>3.7972226891266746E-2</v>
      </c>
      <c r="AC233" s="2258">
        <f t="shared" ca="1" si="215"/>
        <v>3.8931948798817867E-2</v>
      </c>
      <c r="AD233" s="2258">
        <f t="shared" ca="1" si="215"/>
        <v>3.9615212949172432E-2</v>
      </c>
      <c r="AE233" s="2258">
        <f t="shared" ca="1" si="215"/>
        <v>3.966426065987308E-2</v>
      </c>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row>
    <row r="234" spans="1:113" ht="12.75" customHeight="1">
      <c r="A234" s="664"/>
      <c r="B234" s="664"/>
      <c r="C234" s="774"/>
      <c r="Q234" s="699"/>
      <c r="R234" s="2286"/>
      <c r="S234" s="2286"/>
      <c r="AB234" s="2221"/>
      <c r="AC234" s="2221"/>
      <c r="AD234" s="2221"/>
      <c r="AE234" s="2221"/>
    </row>
    <row r="235" spans="1:113" ht="12.75" customHeight="1">
      <c r="A235" s="664"/>
      <c r="B235" s="664"/>
      <c r="C235" s="774"/>
      <c r="D235" s="814" t="s">
        <v>686</v>
      </c>
      <c r="E235" s="2098" t="s">
        <v>978</v>
      </c>
      <c r="F235" s="816"/>
      <c r="G235" s="821">
        <f>+InputY!$G$3</f>
        <v>1995</v>
      </c>
      <c r="H235" s="821">
        <f>+G235+1</f>
        <v>1996</v>
      </c>
      <c r="I235" s="821">
        <f t="shared" ref="I235:O235" si="216">+H235+1</f>
        <v>1997</v>
      </c>
      <c r="J235" s="821">
        <f t="shared" si="216"/>
        <v>1998</v>
      </c>
      <c r="K235" s="821">
        <f>+J235+1</f>
        <v>1999</v>
      </c>
      <c r="L235" s="821">
        <f t="shared" si="216"/>
        <v>2000</v>
      </c>
      <c r="M235" s="821">
        <f t="shared" si="216"/>
        <v>2001</v>
      </c>
      <c r="N235" s="821">
        <f t="shared" si="216"/>
        <v>2002</v>
      </c>
      <c r="O235" s="821">
        <f t="shared" si="216"/>
        <v>2003</v>
      </c>
      <c r="P235" s="821">
        <f t="shared" ref="P235:W235" si="217">+O235+1</f>
        <v>2004</v>
      </c>
      <c r="Q235" s="821">
        <f t="shared" si="217"/>
        <v>2005</v>
      </c>
      <c r="R235" s="2255">
        <f t="shared" si="217"/>
        <v>2006</v>
      </c>
      <c r="S235" s="2255">
        <f t="shared" si="217"/>
        <v>2007</v>
      </c>
      <c r="T235" s="2255">
        <f t="shared" si="217"/>
        <v>2008</v>
      </c>
      <c r="U235" s="2255">
        <f t="shared" si="217"/>
        <v>2009</v>
      </c>
      <c r="V235" s="2255">
        <f t="shared" si="217"/>
        <v>2010</v>
      </c>
      <c r="W235" s="2255">
        <f t="shared" si="217"/>
        <v>2011</v>
      </c>
      <c r="X235" s="2255">
        <f t="shared" ref="X235:AE235" si="218">+W235+1</f>
        <v>2012</v>
      </c>
      <c r="Y235" s="2255">
        <f t="shared" si="218"/>
        <v>2013</v>
      </c>
      <c r="Z235" s="2255">
        <f t="shared" si="218"/>
        <v>2014</v>
      </c>
      <c r="AA235" s="2255">
        <f t="shared" si="218"/>
        <v>2015</v>
      </c>
      <c r="AB235" s="2255">
        <f t="shared" si="218"/>
        <v>2016</v>
      </c>
      <c r="AC235" s="2255">
        <f t="shared" si="218"/>
        <v>2017</v>
      </c>
      <c r="AD235" s="2255">
        <f t="shared" si="218"/>
        <v>2018</v>
      </c>
      <c r="AE235" s="2255">
        <f t="shared" si="218"/>
        <v>2019</v>
      </c>
    </row>
    <row r="236" spans="1:113" s="884" customFormat="1" ht="12.75" customHeight="1">
      <c r="A236" s="664"/>
      <c r="B236" s="664"/>
      <c r="C236" s="822"/>
      <c r="D236" s="1045"/>
      <c r="E236" s="1046" t="s">
        <v>783</v>
      </c>
      <c r="F236" s="1505">
        <v>1</v>
      </c>
      <c r="G236" s="1048"/>
      <c r="H236" s="1048">
        <f t="shared" ref="H236:R236" si="219">+H210/H119</f>
        <v>-1.0854599777088634</v>
      </c>
      <c r="I236" s="1048">
        <f t="shared" si="219"/>
        <v>4.0641897867190577</v>
      </c>
      <c r="J236" s="1048">
        <f t="shared" si="219"/>
        <v>-3.4543717615148872</v>
      </c>
      <c r="K236" s="1048">
        <f t="shared" si="219"/>
        <v>4.58706263121561</v>
      </c>
      <c r="L236" s="1048">
        <f t="shared" si="219"/>
        <v>-0.3984366034300828</v>
      </c>
      <c r="M236" s="1048">
        <f t="shared" si="219"/>
        <v>-0.7856872499320221</v>
      </c>
      <c r="N236" s="1048">
        <f t="shared" si="219"/>
        <v>1.8009747003632037</v>
      </c>
      <c r="O236" s="1048">
        <f t="shared" si="219"/>
        <v>11.233904670615594</v>
      </c>
      <c r="P236" s="1048">
        <f t="shared" si="219"/>
        <v>4.7321494208650146</v>
      </c>
      <c r="Q236" s="1048">
        <f t="shared" si="219"/>
        <v>1.7750595904828412</v>
      </c>
      <c r="R236" s="2277">
        <f t="shared" si="219"/>
        <v>4.7429760416812119</v>
      </c>
      <c r="S236" s="2277">
        <f t="shared" ref="S236:X236" si="220">+S210/S119</f>
        <v>0.42930203059041289</v>
      </c>
      <c r="T236" s="2277">
        <f t="shared" si="220"/>
        <v>2.4074074311119884</v>
      </c>
      <c r="U236" s="3002">
        <f t="shared" si="220"/>
        <v>2.3122391761238057</v>
      </c>
      <c r="V236" s="3003">
        <f t="shared" si="220"/>
        <v>-2.3440842930521044</v>
      </c>
      <c r="W236" s="3003">
        <f t="shared" si="220"/>
        <v>-0.48400924276643409</v>
      </c>
      <c r="X236" s="3003">
        <f t="shared" si="220"/>
        <v>10.657960810430289</v>
      </c>
      <c r="Y236" s="3003">
        <f t="shared" ref="Y236:AD236" si="221">+Y210/Y119</f>
        <v>2.3098581551185844</v>
      </c>
      <c r="Z236" s="3003">
        <f t="shared" si="221"/>
        <v>2.2694766337048971</v>
      </c>
      <c r="AA236" s="3003">
        <f t="shared" si="221"/>
        <v>-3.2401109214101549</v>
      </c>
      <c r="AB236" s="3003">
        <f t="shared" si="221"/>
        <v>-5.0741700836936232</v>
      </c>
      <c r="AC236" s="3003">
        <f t="shared" si="221"/>
        <v>9.0778475133256153E-2</v>
      </c>
      <c r="AD236" s="3003">
        <f t="shared" ca="1" si="221"/>
        <v>0.45389361342475965</v>
      </c>
      <c r="AE236" s="3003">
        <f t="shared" ref="AE236" ca="1" si="222">+AE210/AE119</f>
        <v>0.85157065686703515</v>
      </c>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row>
    <row r="237" spans="1:113" s="885" customFormat="1" ht="12.75" customHeight="1" thickBot="1">
      <c r="A237" s="664"/>
      <c r="B237" s="664"/>
      <c r="C237" s="826"/>
      <c r="D237" s="806"/>
      <c r="E237" s="807" t="s">
        <v>654</v>
      </c>
      <c r="F237" s="808"/>
      <c r="G237" s="809"/>
      <c r="H237" s="809"/>
      <c r="I237" s="809"/>
      <c r="J237" s="809"/>
      <c r="K237" s="809">
        <f>AVERAGE(H236:K236)</f>
        <v>1.0278551696777294</v>
      </c>
      <c r="L237" s="809">
        <f>AVERAGE(I236:L236)</f>
        <v>1.1996110132474245</v>
      </c>
      <c r="M237" s="809">
        <f>AVERAGE(J236:M236)</f>
        <v>-1.285824591534554E-2</v>
      </c>
      <c r="N237" s="809">
        <f t="shared" ref="N237:T237" si="223">AVERAGE(K236:N236)</f>
        <v>1.3009783695541772</v>
      </c>
      <c r="O237" s="809">
        <f t="shared" si="223"/>
        <v>2.962688879404173</v>
      </c>
      <c r="P237" s="809">
        <f t="shared" si="223"/>
        <v>4.2453353854779472</v>
      </c>
      <c r="Q237" s="809">
        <f t="shared" si="223"/>
        <v>4.8855220955816634</v>
      </c>
      <c r="R237" s="2283">
        <f t="shared" si="223"/>
        <v>5.6210224309111645</v>
      </c>
      <c r="S237" s="2283">
        <f t="shared" si="223"/>
        <v>2.9198717709048703</v>
      </c>
      <c r="T237" s="2283">
        <f t="shared" si="223"/>
        <v>2.3386862734666134</v>
      </c>
      <c r="U237" s="3007">
        <f t="shared" ref="U237:AE237" si="224">AVERAGE(R236:U236)</f>
        <v>2.4729811698768547</v>
      </c>
      <c r="V237" s="3008">
        <f t="shared" si="224"/>
        <v>0.7012160861935256</v>
      </c>
      <c r="W237" s="3008">
        <f t="shared" si="224"/>
        <v>0.47288826785431393</v>
      </c>
      <c r="X237" s="3008">
        <f t="shared" si="224"/>
        <v>2.5355266126838889</v>
      </c>
      <c r="Y237" s="3008">
        <f t="shared" si="224"/>
        <v>2.5349313574325838</v>
      </c>
      <c r="Z237" s="3008">
        <f t="shared" si="224"/>
        <v>3.6883215891218342</v>
      </c>
      <c r="AA237" s="3008">
        <f t="shared" si="224"/>
        <v>2.9992961694609042</v>
      </c>
      <c r="AB237" s="3008">
        <f t="shared" si="224"/>
        <v>-0.93373655407007417</v>
      </c>
      <c r="AC237" s="3008">
        <f t="shared" si="224"/>
        <v>-1.488506474066406</v>
      </c>
      <c r="AD237" s="3008">
        <f t="shared" ca="1" si="224"/>
        <v>-1.9424022291364407</v>
      </c>
      <c r="AE237" s="3008">
        <f t="shared" ca="1" si="224"/>
        <v>-0.91948183456714294</v>
      </c>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row>
    <row r="238" spans="1:113" s="885" customFormat="1" ht="12.75" customHeight="1" thickBot="1">
      <c r="A238" s="664"/>
      <c r="B238" s="664"/>
      <c r="C238" s="826"/>
      <c r="D238" s="1041"/>
      <c r="E238" s="1042" t="s">
        <v>656</v>
      </c>
      <c r="F238" s="2097">
        <v>1.57</v>
      </c>
      <c r="G238" s="1044"/>
      <c r="H238" s="1044">
        <f>+H210/'VVP2'!H348</f>
        <v>-1.1934778325258588</v>
      </c>
      <c r="I238" s="1044">
        <f>+I210/'VVP2'!I348</f>
        <v>2.9454049357715131</v>
      </c>
      <c r="J238" s="1044">
        <f>+J210/'VVP2'!J348</f>
        <v>-0.59186685498417646</v>
      </c>
      <c r="K238" s="1044">
        <f>+K210/'VVP2'!K348</f>
        <v>15.891315416239111</v>
      </c>
      <c r="L238" s="1044">
        <f>+L210/'VVP2'!L348</f>
        <v>-2.6383668961654716</v>
      </c>
      <c r="M238" s="1044">
        <f>+M210/'VVP2'!M348</f>
        <v>-2.7222489577197799</v>
      </c>
      <c r="N238" s="1044">
        <f>+N210/'VVP2'!N348</f>
        <v>2.6286022371056386</v>
      </c>
      <c r="O238" s="1044">
        <f>+O210/'VVP2'!O348</f>
        <v>16.067568285223938</v>
      </c>
      <c r="P238" s="1044">
        <f>+P210/'VVP2'!P348</f>
        <v>5.168385965565709</v>
      </c>
      <c r="Q238" s="1044">
        <f>+Q210/'VVP2'!Q348</f>
        <v>1.9286990400530193</v>
      </c>
      <c r="R238" s="2269">
        <f>+R210/'VVP2'!R348</f>
        <v>3.532793861681149</v>
      </c>
      <c r="S238" s="2269">
        <f>+S210/'VVP2'!S348</f>
        <v>0.52123678726965805</v>
      </c>
      <c r="T238" s="2269">
        <f>+T210/'VVP2'!T348</f>
        <v>1.6536606582724127</v>
      </c>
      <c r="U238" s="2269">
        <f>+U210/'VVP2'!U348</f>
        <v>2.546060919884781</v>
      </c>
      <c r="V238" s="2269">
        <f>+V210/'VVP2'!V348</f>
        <v>-10.725356522870854</v>
      </c>
      <c r="W238" s="2269">
        <f>+W210/'VVP2'!W348</f>
        <v>-0.7502674992743199</v>
      </c>
      <c r="X238" s="2269">
        <f>+X210/'VVP2'!X348</f>
        <v>10.671918867763228</v>
      </c>
      <c r="Y238" s="2269">
        <f>+Y210/'VVP2'!Y348</f>
        <v>2.1674998017025304</v>
      </c>
      <c r="Z238" s="2269">
        <f>+Z210/'VVP2'!Z348</f>
        <v>1.0641066811901176</v>
      </c>
      <c r="AA238" s="2269">
        <f>+AA210/'VVP2'!AA348</f>
        <v>6.3360739432960713</v>
      </c>
      <c r="AB238" s="2269">
        <f>+AB210/'VVP2'!AB348</f>
        <v>2.7843199303171091</v>
      </c>
      <c r="AC238" s="2257">
        <f ca="1">+AC210/'VVP2'!AC348</f>
        <v>0.10808037637157399</v>
      </c>
      <c r="AD238" s="2257">
        <f ca="1">+AD210/'VVP2'!AD348</f>
        <v>0.51538102349080794</v>
      </c>
      <c r="AE238" s="2257">
        <f ca="1">+AE210/'VVP2'!AE348</f>
        <v>1.0583401464115643</v>
      </c>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row>
    <row r="239" spans="1:113" s="884" customFormat="1" ht="12.75" customHeight="1">
      <c r="A239" s="664"/>
      <c r="B239" s="664"/>
      <c r="C239" s="826"/>
      <c r="D239" s="806"/>
      <c r="E239" s="807" t="s">
        <v>654</v>
      </c>
      <c r="F239" s="808"/>
      <c r="G239" s="809"/>
      <c r="H239" s="809"/>
      <c r="I239" s="809"/>
      <c r="J239" s="809"/>
      <c r="K239" s="809">
        <f>AVERAGE(H238:K238)</f>
        <v>4.2628439161251475</v>
      </c>
      <c r="L239" s="809">
        <f>AVERAGE(I238:L238)</f>
        <v>3.9016216502152439</v>
      </c>
      <c r="M239" s="809">
        <f>AVERAGE(J238:M238)</f>
        <v>2.4847081768424206</v>
      </c>
      <c r="N239" s="809">
        <f t="shared" ref="N239:T239" si="225">AVERAGE(K238:N238)</f>
        <v>3.2898254498648747</v>
      </c>
      <c r="O239" s="809">
        <f t="shared" si="225"/>
        <v>3.3338886671110814</v>
      </c>
      <c r="P239" s="809">
        <f t="shared" si="225"/>
        <v>5.285576882543876</v>
      </c>
      <c r="Q239" s="809">
        <f t="shared" si="225"/>
        <v>6.448313881987076</v>
      </c>
      <c r="R239" s="2283">
        <f t="shared" si="225"/>
        <v>6.6743617881309536</v>
      </c>
      <c r="S239" s="2283">
        <f t="shared" si="225"/>
        <v>2.7877789136423838</v>
      </c>
      <c r="T239" s="2283">
        <f t="shared" si="225"/>
        <v>1.9090975868190598</v>
      </c>
      <c r="U239" s="3007">
        <f t="shared" ref="U239:AE239" si="226">AVERAGE(R238:U238)</f>
        <v>2.0634380567770001</v>
      </c>
      <c r="V239" s="3008">
        <f t="shared" si="226"/>
        <v>-1.5010995393610005</v>
      </c>
      <c r="W239" s="3008">
        <f t="shared" si="226"/>
        <v>-1.818975610996995</v>
      </c>
      <c r="X239" s="3008">
        <f t="shared" si="226"/>
        <v>0.43558894137570858</v>
      </c>
      <c r="Y239" s="3008">
        <f t="shared" si="226"/>
        <v>0.34094866183014605</v>
      </c>
      <c r="Z239" s="3008">
        <f t="shared" si="226"/>
        <v>3.2883144628453893</v>
      </c>
      <c r="AA239" s="3008">
        <f t="shared" si="226"/>
        <v>5.0598998234879868</v>
      </c>
      <c r="AB239" s="3008">
        <f t="shared" si="226"/>
        <v>3.088000089126457</v>
      </c>
      <c r="AC239" s="3008">
        <f t="shared" ca="1" si="226"/>
        <v>2.5731452327937179</v>
      </c>
      <c r="AD239" s="3008">
        <f t="shared" ca="1" si="226"/>
        <v>2.4359638183688901</v>
      </c>
      <c r="AE239" s="3008">
        <f t="shared" ca="1" si="226"/>
        <v>1.1165303691477639</v>
      </c>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row>
    <row r="240" spans="1:113" s="884" customFormat="1" ht="12.75" customHeight="1">
      <c r="A240" s="664"/>
      <c r="B240" s="664"/>
      <c r="C240" s="826"/>
      <c r="D240" s="1041"/>
      <c r="E240" s="1042" t="s">
        <v>662</v>
      </c>
      <c r="F240" s="1043"/>
      <c r="G240" s="1502">
        <f>+G202/'VVP2'!G341</f>
        <v>2.0547283608924171E-2</v>
      </c>
      <c r="H240" s="1502">
        <f>+H202/'VVP2'!H341</f>
        <v>1.1501778333667898E-2</v>
      </c>
      <c r="I240" s="1502">
        <f>+I202/'VVP2'!I341</f>
        <v>1.5338176818481895E-2</v>
      </c>
      <c r="J240" s="1502">
        <f>+J202/'VVP2'!J341</f>
        <v>1.2905123345487162E-2</v>
      </c>
      <c r="K240" s="1502">
        <f>+K202/'VVP2'!K341</f>
        <v>8.2205272465245647E-3</v>
      </c>
      <c r="L240" s="1502">
        <f>+L202/'VVP2'!L341</f>
        <v>6.7526020744783496E-3</v>
      </c>
      <c r="M240" s="1502">
        <f>+M202/'VVP2'!M341</f>
        <v>5.2893651916373352E-3</v>
      </c>
      <c r="N240" s="1502">
        <f>+N202/'VVP2'!N341</f>
        <v>5.8603475688010333E-3</v>
      </c>
      <c r="O240" s="1502">
        <f>+O202/'VVP2'!O341</f>
        <v>1.3628117260842022E-2</v>
      </c>
      <c r="P240" s="1502">
        <f>+P202/'VVP2'!P341</f>
        <v>1.8516020642931244E-2</v>
      </c>
      <c r="Q240" s="1502">
        <f>+Q202/'VVP2'!Q341</f>
        <v>2.0779579428016389E-2</v>
      </c>
      <c r="R240" s="2284">
        <f>+R202/'VVP2'!R341</f>
        <v>2.7504674162492242E-2</v>
      </c>
      <c r="S240" s="2284">
        <f>+S202/'VVP2'!S341</f>
        <v>2.5254935666062687E-2</v>
      </c>
      <c r="T240" s="2284">
        <f>+T202/'VVP2'!T341</f>
        <v>2.7100636525011407E-2</v>
      </c>
      <c r="U240" s="3009">
        <f>+U202/'VVP2'!U341</f>
        <v>1.8138231478806988E-2</v>
      </c>
      <c r="V240" s="2229">
        <f>+V202/'VVP2'!V341</f>
        <v>9.8456310658827737E-3</v>
      </c>
      <c r="W240" s="2229">
        <f>+W202/'VVP2'!W341</f>
        <v>8.0561925505478436E-3</v>
      </c>
      <c r="X240" s="2229">
        <f>+X202/'VVP2'!X341</f>
        <v>1.2900138177212273E-2</v>
      </c>
      <c r="Y240" s="2229">
        <f>+Y202/'VVP2'!Y341</f>
        <v>1.3594243649464453E-2</v>
      </c>
      <c r="Z240" s="2229">
        <f>+Z202/'VVP2'!Z341</f>
        <v>1.3632579929928342E-2</v>
      </c>
      <c r="AA240" s="2229">
        <f>+AA202/'VVP2'!AA341</f>
        <v>1.530087817197443E-2</v>
      </c>
      <c r="AB240" s="2229">
        <f>+AB202/'VVP2'!AB341</f>
        <v>1.6177584130885436E-2</v>
      </c>
      <c r="AC240" s="2229">
        <f ca="1">+AC202/'VVP2'!AC341</f>
        <v>1.5103066499929409E-2</v>
      </c>
      <c r="AD240" s="2229">
        <f ca="1">+AD202/'VVP2'!AD341</f>
        <v>1.4700454437127993E-2</v>
      </c>
      <c r="AE240" s="2229">
        <f ca="1">+AE202/'VVP2'!AE341</f>
        <v>1.4745740533174073E-2</v>
      </c>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row>
    <row r="241" spans="1:113" s="884" customFormat="1" ht="12.75" customHeight="1">
      <c r="A241" s="664"/>
      <c r="B241" s="664"/>
      <c r="C241" s="827"/>
      <c r="D241" s="1049"/>
      <c r="E241" s="1050" t="s">
        <v>654</v>
      </c>
      <c r="F241" s="1051"/>
      <c r="G241" s="1500"/>
      <c r="H241" s="1501"/>
      <c r="I241" s="1501"/>
      <c r="J241" s="1501">
        <f t="shared" ref="J241:T241" si="227">AVERAGE(G240:J240)</f>
        <v>1.5073090526640283E-2</v>
      </c>
      <c r="K241" s="1501">
        <f>AVERAGE(H240:K240)</f>
        <v>1.199140143604038E-2</v>
      </c>
      <c r="L241" s="1501">
        <f>AVERAGE(I240:L240)</f>
        <v>1.0804107371242993E-2</v>
      </c>
      <c r="M241" s="1501">
        <f>AVERAGE(J240:M240)</f>
        <v>8.2919044645318532E-3</v>
      </c>
      <c r="N241" s="1501">
        <f t="shared" si="227"/>
        <v>6.5307105203603203E-3</v>
      </c>
      <c r="O241" s="1501">
        <f t="shared" si="227"/>
        <v>7.8826080239396846E-3</v>
      </c>
      <c r="P241" s="1501">
        <f t="shared" si="227"/>
        <v>1.0823462666052908E-2</v>
      </c>
      <c r="Q241" s="1501">
        <f t="shared" si="227"/>
        <v>1.4696016225147674E-2</v>
      </c>
      <c r="R241" s="2285">
        <f t="shared" si="227"/>
        <v>2.0107097873570477E-2</v>
      </c>
      <c r="S241" s="2285">
        <f t="shared" si="227"/>
        <v>2.3013802474875639E-2</v>
      </c>
      <c r="T241" s="2285">
        <f t="shared" si="227"/>
        <v>2.5159956445395679E-2</v>
      </c>
      <c r="U241" s="3010">
        <f t="shared" ref="U241:AE241" si="228">AVERAGE(R240:U240)</f>
        <v>2.4499619458093331E-2</v>
      </c>
      <c r="V241" s="2258">
        <f t="shared" si="228"/>
        <v>2.0084858683940963E-2</v>
      </c>
      <c r="W241" s="2258">
        <f t="shared" si="228"/>
        <v>1.5785172905062251E-2</v>
      </c>
      <c r="X241" s="2258">
        <f t="shared" si="228"/>
        <v>1.223504831811247E-2</v>
      </c>
      <c r="Y241" s="2258">
        <f t="shared" si="228"/>
        <v>1.1099051360776836E-2</v>
      </c>
      <c r="Z241" s="2258">
        <f t="shared" si="228"/>
        <v>1.2045788576788228E-2</v>
      </c>
      <c r="AA241" s="2258">
        <f t="shared" si="228"/>
        <v>1.3856959982144874E-2</v>
      </c>
      <c r="AB241" s="2258">
        <f t="shared" si="228"/>
        <v>1.4676321470563166E-2</v>
      </c>
      <c r="AC241" s="2258">
        <f t="shared" ca="1" si="228"/>
        <v>1.5053527183179405E-2</v>
      </c>
      <c r="AD241" s="2258">
        <f t="shared" ca="1" si="228"/>
        <v>1.5320495809979318E-2</v>
      </c>
      <c r="AE241" s="2258">
        <f t="shared" ca="1" si="228"/>
        <v>1.5181711400279229E-2</v>
      </c>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row>
    <row r="242" spans="1:113" ht="12.75" customHeight="1">
      <c r="A242" s="664"/>
      <c r="B242" s="664"/>
      <c r="C242" s="774"/>
      <c r="Q242" s="699"/>
      <c r="AB242" s="2221"/>
      <c r="AC242" s="2221"/>
      <c r="AD242" s="2221"/>
      <c r="AE242" s="2221"/>
    </row>
    <row r="243" spans="1:113" ht="12.75" customHeight="1" thickBot="1">
      <c r="A243" s="664"/>
      <c r="B243" s="664"/>
      <c r="C243" s="774"/>
      <c r="D243" s="818" t="s">
        <v>687</v>
      </c>
      <c r="E243" s="1052" t="s">
        <v>614</v>
      </c>
      <c r="F243" s="820"/>
      <c r="G243" s="821">
        <f>+InputY!$G$3</f>
        <v>1995</v>
      </c>
      <c r="H243" s="821">
        <f t="shared" ref="H243:O243" si="229">+G243+1</f>
        <v>1996</v>
      </c>
      <c r="I243" s="821">
        <f t="shared" si="229"/>
        <v>1997</v>
      </c>
      <c r="J243" s="821">
        <f t="shared" si="229"/>
        <v>1998</v>
      </c>
      <c r="K243" s="821">
        <f>+J243+1</f>
        <v>1999</v>
      </c>
      <c r="L243" s="821">
        <f t="shared" si="229"/>
        <v>2000</v>
      </c>
      <c r="M243" s="821">
        <f t="shared" si="229"/>
        <v>2001</v>
      </c>
      <c r="N243" s="821">
        <f t="shared" si="229"/>
        <v>2002</v>
      </c>
      <c r="O243" s="821">
        <f t="shared" si="229"/>
        <v>2003</v>
      </c>
      <c r="P243" s="821">
        <f t="shared" ref="P243:W243" si="230">+O243+1</f>
        <v>2004</v>
      </c>
      <c r="Q243" s="821">
        <f t="shared" si="230"/>
        <v>2005</v>
      </c>
      <c r="R243" s="821">
        <f t="shared" si="230"/>
        <v>2006</v>
      </c>
      <c r="S243" s="821">
        <f t="shared" si="230"/>
        <v>2007</v>
      </c>
      <c r="T243" s="2255">
        <f t="shared" si="230"/>
        <v>2008</v>
      </c>
      <c r="U243" s="2255">
        <f t="shared" si="230"/>
        <v>2009</v>
      </c>
      <c r="V243" s="2255">
        <f t="shared" si="230"/>
        <v>2010</v>
      </c>
      <c r="W243" s="2255">
        <f t="shared" si="230"/>
        <v>2011</v>
      </c>
      <c r="X243" s="2255">
        <f t="shared" ref="X243:AE243" si="231">+W243+1</f>
        <v>2012</v>
      </c>
      <c r="Y243" s="2255">
        <f t="shared" si="231"/>
        <v>2013</v>
      </c>
      <c r="Z243" s="2255">
        <f t="shared" si="231"/>
        <v>2014</v>
      </c>
      <c r="AA243" s="2255">
        <f t="shared" si="231"/>
        <v>2015</v>
      </c>
      <c r="AB243" s="2255">
        <f t="shared" si="231"/>
        <v>2016</v>
      </c>
      <c r="AC243" s="2255">
        <f t="shared" si="231"/>
        <v>2017</v>
      </c>
      <c r="AD243" s="2255">
        <f t="shared" si="231"/>
        <v>2018</v>
      </c>
      <c r="AE243" s="2255">
        <f t="shared" si="231"/>
        <v>2019</v>
      </c>
    </row>
    <row r="244" spans="1:113" s="884" customFormat="1" ht="12.75" customHeight="1" thickBot="1">
      <c r="A244" s="664"/>
      <c r="B244" s="664"/>
      <c r="C244" s="822"/>
      <c r="D244" s="1045"/>
      <c r="E244" s="1046" t="s">
        <v>656</v>
      </c>
      <c r="F244" s="1505">
        <v>1.1809724676532847</v>
      </c>
      <c r="G244" s="1048"/>
      <c r="H244" s="1048">
        <f>+H213/'VVP2'!H348</f>
        <v>0.75995034104270542</v>
      </c>
      <c r="I244" s="1048">
        <f>+I213/'VVP2'!I348</f>
        <v>1.5405120508508465</v>
      </c>
      <c r="J244" s="1048">
        <f>+J213/'VVP2'!J348</f>
        <v>1.279483919397703</v>
      </c>
      <c r="K244" s="1048">
        <f>+K213/'VVP2'!K348</f>
        <v>0.38705347244780464</v>
      </c>
      <c r="L244" s="1048">
        <f>+L213/'VVP2'!L348</f>
        <v>-0.68688195064178348</v>
      </c>
      <c r="M244" s="1048">
        <f>+M213/'VVP2'!M348</f>
        <v>-0.24631574194782133</v>
      </c>
      <c r="N244" s="1048">
        <f>+N213/'VVP2'!N348</f>
        <v>0.34121188817013692</v>
      </c>
      <c r="O244" s="1048">
        <f>+O213/'VVP2'!O348</f>
        <v>1.7057458030296289</v>
      </c>
      <c r="P244" s="1048">
        <f>+P213/'VVP2'!P348</f>
        <v>2.1442750348225053</v>
      </c>
      <c r="Q244" s="1048">
        <f>+Q213/'VVP2'!Q348</f>
        <v>1.2513274622655945</v>
      </c>
      <c r="R244" s="1048">
        <f>+R213/'VVP2'!R348</f>
        <v>1.5297821693523945</v>
      </c>
      <c r="S244" s="1048">
        <f>+S213/'VVP2'!S348</f>
        <v>0.7053994799472737</v>
      </c>
      <c r="T244" s="1048">
        <f>+T213/'VVP2'!T348</f>
        <v>1.1549880510169084</v>
      </c>
      <c r="U244" s="1048">
        <f>+U213/'VVP2'!U348</f>
        <v>2.6681676046122167</v>
      </c>
      <c r="V244" s="1048">
        <f>+V213/'VVP2'!V348</f>
        <v>-4.6918199677112069</v>
      </c>
      <c r="W244" s="1048">
        <f>+W213/'VVP2'!W348</f>
        <v>0.43368957333646241</v>
      </c>
      <c r="X244" s="1048">
        <f>+X213/'VVP2'!X348</f>
        <v>2.7580229745459324</v>
      </c>
      <c r="Y244" s="1048">
        <f>+Y213/'VVP2'!Y348</f>
        <v>1.656327523947454</v>
      </c>
      <c r="Z244" s="1048">
        <f>+Z213/'VVP2'!Z348</f>
        <v>1.2584980375712227</v>
      </c>
      <c r="AA244" s="1048">
        <f>+AA213/'VVP2'!AA348</f>
        <v>4.5338047846962555</v>
      </c>
      <c r="AB244" s="1048">
        <f>+AB213/'VVP2'!AB348</f>
        <v>2.4073613339962203</v>
      </c>
      <c r="AC244" s="2257">
        <f ca="1">+AC213/'VVP2'!AC348</f>
        <v>0.68448149407114467</v>
      </c>
      <c r="AD244" s="2257">
        <f ca="1">+AD213/'VVP2'!AD348</f>
        <v>0.58770901332492298</v>
      </c>
      <c r="AE244" s="2257">
        <f ca="1">+AE213/'VVP2'!AE348</f>
        <v>0.98230649775731627</v>
      </c>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row>
    <row r="245" spans="1:113" s="884" customFormat="1" ht="12.75" customHeight="1">
      <c r="A245" s="664"/>
      <c r="B245" s="664"/>
      <c r="C245" s="826"/>
      <c r="D245" s="806"/>
      <c r="E245" s="807" t="s">
        <v>654</v>
      </c>
      <c r="F245" s="808"/>
      <c r="G245" s="809"/>
      <c r="H245" s="809"/>
      <c r="I245" s="809"/>
      <c r="J245" s="809"/>
      <c r="K245" s="809">
        <f>AVERAGE(H244:K244)</f>
        <v>0.99174994593476484</v>
      </c>
      <c r="L245" s="809">
        <f>AVERAGE(I244:L244)</f>
        <v>0.63004187301364267</v>
      </c>
      <c r="M245" s="809">
        <f>AVERAGE(J244:M244)</f>
        <v>0.18333492481397567</v>
      </c>
      <c r="N245" s="809">
        <f t="shared" ref="N245:T245" si="232">AVERAGE(K244:N244)</f>
        <v>-5.1233082992915818E-2</v>
      </c>
      <c r="O245" s="809">
        <f t="shared" si="232"/>
        <v>0.27843999965254024</v>
      </c>
      <c r="P245" s="809">
        <f t="shared" si="232"/>
        <v>0.98622924601861239</v>
      </c>
      <c r="Q245" s="809">
        <f t="shared" si="232"/>
        <v>1.3606400470719664</v>
      </c>
      <c r="R245" s="809">
        <f t="shared" si="232"/>
        <v>1.6577826173675307</v>
      </c>
      <c r="S245" s="809">
        <f t="shared" si="232"/>
        <v>1.407696036596942</v>
      </c>
      <c r="T245" s="809">
        <f t="shared" si="232"/>
        <v>1.1603742906455428</v>
      </c>
      <c r="U245" s="3007">
        <f t="shared" ref="U245:AE245" si="233">AVERAGE(R244:U244)</f>
        <v>1.5145843262321983</v>
      </c>
      <c r="V245" s="3007">
        <f t="shared" si="233"/>
        <v>-4.0816208033702006E-2</v>
      </c>
      <c r="W245" s="3007">
        <f t="shared" si="233"/>
        <v>-0.10874368468640486</v>
      </c>
      <c r="X245" s="3007">
        <f t="shared" si="233"/>
        <v>0.29201504619585117</v>
      </c>
      <c r="Y245" s="3007">
        <f t="shared" si="233"/>
        <v>3.9055026029660378E-2</v>
      </c>
      <c r="Z245" s="3007">
        <f t="shared" si="233"/>
        <v>1.5266345273502679</v>
      </c>
      <c r="AA245" s="3007">
        <f t="shared" si="233"/>
        <v>2.5516633301902161</v>
      </c>
      <c r="AB245" s="3007">
        <f t="shared" si="233"/>
        <v>2.4639979200527882</v>
      </c>
      <c r="AC245" s="3007">
        <f t="shared" ca="1" si="233"/>
        <v>2.221036412583711</v>
      </c>
      <c r="AD245" s="3007">
        <f t="shared" ca="1" si="233"/>
        <v>2.0533391565221359</v>
      </c>
      <c r="AE245" s="3007">
        <f t="shared" ca="1" si="233"/>
        <v>1.1654645847874012</v>
      </c>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row>
    <row r="246" spans="1:113" s="884" customFormat="1" ht="12.75" customHeight="1">
      <c r="A246" s="664"/>
      <c r="B246" s="664"/>
      <c r="C246" s="826"/>
      <c r="D246" s="1041"/>
      <c r="E246" s="1042" t="s">
        <v>662</v>
      </c>
      <c r="F246" s="1044"/>
      <c r="G246" s="1502">
        <f>+G205/'VVP2'!G341</f>
        <v>8.4077207506442778E-2</v>
      </c>
      <c r="H246" s="1502">
        <f>+H205/'VVP2'!H341</f>
        <v>8.0026559194576991E-2</v>
      </c>
      <c r="I246" s="1502">
        <f>+I205/'VVP2'!I341</f>
        <v>8.7442875249267762E-2</v>
      </c>
      <c r="J246" s="1502">
        <f>+J205/'VVP2'!J341</f>
        <v>8.9878175021271767E-2</v>
      </c>
      <c r="K246" s="1502">
        <f>+K205/'VVP2'!K341</f>
        <v>9.1221106223371762E-2</v>
      </c>
      <c r="L246" s="1502">
        <f>+L205/'VVP2'!L341</f>
        <v>8.3668831508851613E-2</v>
      </c>
      <c r="M246" s="1502">
        <f>+M205/'VVP2'!M341</f>
        <v>7.7598256228459991E-2</v>
      </c>
      <c r="N246" s="1502">
        <f>+N205/'VVP2'!N341</f>
        <v>7.420980031140291E-2</v>
      </c>
      <c r="O246" s="1502">
        <f>+O205/'VVP2'!O341</f>
        <v>7.8817024707711805E-2</v>
      </c>
      <c r="P246" s="1502">
        <f>+P205/'VVP2'!P341</f>
        <v>8.6577159864281286E-2</v>
      </c>
      <c r="Q246" s="1502">
        <f>+Q205/'VVP2'!Q341</f>
        <v>8.9441419650658133E-2</v>
      </c>
      <c r="R246" s="1502">
        <f>+R205/'VVP2'!R341</f>
        <v>9.549619214607806E-2</v>
      </c>
      <c r="S246" s="1502">
        <f>+S205/'VVP2'!S341</f>
        <v>9.0689743277184473E-2</v>
      </c>
      <c r="T246" s="1502">
        <f>+T205/'VVP2'!T341</f>
        <v>9.2261260302395245E-2</v>
      </c>
      <c r="U246" s="3009">
        <f>+U205/'VVP2'!U341</f>
        <v>5.9339917623358905E-2</v>
      </c>
      <c r="V246" s="3009">
        <f>+V205/'VVP2'!V341</f>
        <v>4.617046160828267E-2</v>
      </c>
      <c r="W246" s="3009">
        <f>+W205/'VVP2'!W341</f>
        <v>4.3455350736619158E-2</v>
      </c>
      <c r="X246" s="3009">
        <f>+X205/'VVP2'!X341</f>
        <v>4.8204595831654096E-2</v>
      </c>
      <c r="Y246" s="3009">
        <f>+Y205/'VVP2'!Y341</f>
        <v>4.9662682549739483E-2</v>
      </c>
      <c r="Z246" s="3009">
        <f>+Z205/'VVP2'!Z341</f>
        <v>5.0227410203597216E-2</v>
      </c>
      <c r="AA246" s="3009">
        <f>+AA205/'VVP2'!AA341</f>
        <v>5.429799813555114E-2</v>
      </c>
      <c r="AB246" s="3009">
        <f>+AB205/'VVP2'!AB341</f>
        <v>5.6751883712558501E-2</v>
      </c>
      <c r="AC246" s="3009">
        <f ca="1">+AC205/'VVP2'!AC341</f>
        <v>5.5418425907745789E-2</v>
      </c>
      <c r="AD246" s="3009">
        <f ca="1">+AD205/'VVP2'!AD341</f>
        <v>5.4161588035872024E-2</v>
      </c>
      <c r="AE246" s="3009">
        <f ca="1">+AE205/'VVP2'!AE341</f>
        <v>5.4110985555718596E-2</v>
      </c>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row>
    <row r="247" spans="1:113" s="884" customFormat="1" ht="12.75" customHeight="1">
      <c r="A247" s="664"/>
      <c r="B247" s="664">
        <v>159</v>
      </c>
      <c r="C247" s="827"/>
      <c r="D247" s="1049"/>
      <c r="E247" s="1050" t="s">
        <v>654</v>
      </c>
      <c r="F247" s="1051"/>
      <c r="G247" s="1500"/>
      <c r="H247" s="1501"/>
      <c r="I247" s="1501"/>
      <c r="J247" s="1501">
        <f t="shared" ref="J247:T247" si="234">AVERAGE(G246:J246)</f>
        <v>8.5356204242889824E-2</v>
      </c>
      <c r="K247" s="1501">
        <f>AVERAGE(H246:K246)</f>
        <v>8.7142178922122074E-2</v>
      </c>
      <c r="L247" s="1501">
        <f>AVERAGE(I246:L246)</f>
        <v>8.8052747000690726E-2</v>
      </c>
      <c r="M247" s="1501">
        <f>AVERAGE(J246:M246)</f>
        <v>8.559159224548879E-2</v>
      </c>
      <c r="N247" s="1501">
        <f t="shared" si="234"/>
        <v>8.1674498568021572E-2</v>
      </c>
      <c r="O247" s="1501">
        <f t="shared" si="234"/>
        <v>7.857347818910658E-2</v>
      </c>
      <c r="P247" s="1501">
        <f t="shared" si="234"/>
        <v>7.9300560277963991E-2</v>
      </c>
      <c r="Q247" s="1501">
        <f t="shared" si="234"/>
        <v>8.2261351133513544E-2</v>
      </c>
      <c r="R247" s="1501">
        <f t="shared" si="234"/>
        <v>8.7582949092182324E-2</v>
      </c>
      <c r="S247" s="1501">
        <f t="shared" si="234"/>
        <v>9.0551128734550498E-2</v>
      </c>
      <c r="T247" s="1501">
        <f t="shared" si="234"/>
        <v>9.1972153844078974E-2</v>
      </c>
      <c r="U247" s="3010">
        <f t="shared" ref="U247:AE247" si="235">AVERAGE(R246:U246)</f>
        <v>8.4446778337254169E-2</v>
      </c>
      <c r="V247" s="3010">
        <f t="shared" si="235"/>
        <v>7.2115345702805325E-2</v>
      </c>
      <c r="W247" s="3010">
        <f t="shared" si="235"/>
        <v>6.0306747567663993E-2</v>
      </c>
      <c r="X247" s="3010">
        <f t="shared" si="235"/>
        <v>4.9292581449978709E-2</v>
      </c>
      <c r="Y247" s="3010">
        <f t="shared" si="235"/>
        <v>4.6873272681573853E-2</v>
      </c>
      <c r="Z247" s="3010">
        <f t="shared" si="235"/>
        <v>4.7887509830402492E-2</v>
      </c>
      <c r="AA247" s="3010">
        <f t="shared" si="235"/>
        <v>5.0598171680135487E-2</v>
      </c>
      <c r="AB247" s="3010">
        <f t="shared" si="235"/>
        <v>5.2734993650361592E-2</v>
      </c>
      <c r="AC247" s="3010">
        <f t="shared" ca="1" si="235"/>
        <v>5.4173929489863167E-2</v>
      </c>
      <c r="AD247" s="3010">
        <f t="shared" ca="1" si="235"/>
        <v>5.5157473947931857E-2</v>
      </c>
      <c r="AE247" s="3010">
        <f t="shared" ca="1" si="235"/>
        <v>5.5110720802973731E-2</v>
      </c>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row>
    <row r="248" spans="1:113" ht="30" customHeight="1">
      <c r="A248" s="664"/>
      <c r="B248" s="664"/>
      <c r="C248" s="774"/>
      <c r="AB248" s="2221"/>
      <c r="AC248" s="2221"/>
      <c r="AD248" s="2221"/>
      <c r="AE248" s="2221"/>
    </row>
    <row r="249" spans="1:113" ht="30" customHeight="1">
      <c r="AB249" s="2221"/>
      <c r="AC249"/>
      <c r="AD249"/>
      <c r="AE249" s="3649"/>
    </row>
    <row r="250" spans="1:113" ht="22.5" customHeight="1">
      <c r="A250" s="574"/>
      <c r="B250" s="574"/>
      <c r="C250" s="3751" t="s">
        <v>981</v>
      </c>
      <c r="D250" s="3751"/>
      <c r="E250" s="3751"/>
      <c r="F250" s="3751"/>
      <c r="T250" s="2254"/>
      <c r="V250" s="2254"/>
      <c r="W250" s="2254"/>
      <c r="X250" s="2254"/>
      <c r="Y250" s="2254"/>
      <c r="Z250" s="2254"/>
      <c r="AA250" s="2254"/>
      <c r="AB250" s="2254"/>
      <c r="AC250" s="2254">
        <v>4.9313383679397358</v>
      </c>
      <c r="AD250" s="2254">
        <f>+AC250-0.04</f>
        <v>4.8913383679397358</v>
      </c>
      <c r="AE250" s="2254">
        <f>+AD250-0.04</f>
        <v>4.8513383679397357</v>
      </c>
    </row>
    <row r="251" spans="1:113" ht="12.75" customHeight="1">
      <c r="A251" s="664"/>
      <c r="B251" s="664"/>
      <c r="C251" s="774"/>
      <c r="AB251" s="2221"/>
      <c r="AC251" s="2221"/>
      <c r="AD251" s="2221"/>
      <c r="AE251" s="2221"/>
    </row>
    <row r="252" spans="1:113" ht="12.75" customHeight="1">
      <c r="A252" s="664"/>
      <c r="B252" s="664"/>
      <c r="C252" s="774"/>
      <c r="D252" s="775"/>
      <c r="E252" s="776" t="s">
        <v>1384</v>
      </c>
      <c r="F252" s="777"/>
      <c r="G252" s="778">
        <f>+InputY!$G$3</f>
        <v>1995</v>
      </c>
      <c r="H252" s="778">
        <f>+G252+1</f>
        <v>1996</v>
      </c>
      <c r="I252" s="778">
        <f t="shared" ref="I252:O252" si="236">+H252+1</f>
        <v>1997</v>
      </c>
      <c r="J252" s="778">
        <f t="shared" si="236"/>
        <v>1998</v>
      </c>
      <c r="K252" s="778">
        <f>+J252+1</f>
        <v>1999</v>
      </c>
      <c r="L252" s="778">
        <f t="shared" si="236"/>
        <v>2000</v>
      </c>
      <c r="M252" s="778">
        <f t="shared" si="236"/>
        <v>2001</v>
      </c>
      <c r="N252" s="778">
        <f t="shared" si="236"/>
        <v>2002</v>
      </c>
      <c r="O252" s="778">
        <f t="shared" si="236"/>
        <v>2003</v>
      </c>
      <c r="P252" s="778">
        <f t="shared" ref="P252:W252" si="237">+O252+1</f>
        <v>2004</v>
      </c>
      <c r="Q252" s="778">
        <f t="shared" si="237"/>
        <v>2005</v>
      </c>
      <c r="R252" s="778">
        <f t="shared" si="237"/>
        <v>2006</v>
      </c>
      <c r="S252" s="778">
        <f t="shared" si="237"/>
        <v>2007</v>
      </c>
      <c r="T252" s="2222">
        <f t="shared" si="237"/>
        <v>2008</v>
      </c>
      <c r="U252" s="2222">
        <f t="shared" si="237"/>
        <v>2009</v>
      </c>
      <c r="V252" s="2222">
        <f t="shared" si="237"/>
        <v>2010</v>
      </c>
      <c r="W252" s="2222">
        <f t="shared" si="237"/>
        <v>2011</v>
      </c>
      <c r="X252" s="2222">
        <f t="shared" ref="X252:AE252" si="238">+W252+1</f>
        <v>2012</v>
      </c>
      <c r="Y252" s="2222">
        <f t="shared" si="238"/>
        <v>2013</v>
      </c>
      <c r="Z252" s="2222">
        <f t="shared" si="238"/>
        <v>2014</v>
      </c>
      <c r="AA252" s="2222">
        <f t="shared" si="238"/>
        <v>2015</v>
      </c>
      <c r="AB252" s="2222">
        <f t="shared" si="238"/>
        <v>2016</v>
      </c>
      <c r="AC252" s="2222">
        <f t="shared" si="238"/>
        <v>2017</v>
      </c>
      <c r="AD252" s="2222">
        <f t="shared" si="238"/>
        <v>2018</v>
      </c>
      <c r="AE252" s="2222">
        <f t="shared" si="238"/>
        <v>2019</v>
      </c>
    </row>
    <row r="253" spans="1:113" ht="12.75" customHeight="1">
      <c r="A253" s="664">
        <f>+ROW(InputY!A159)</f>
        <v>159</v>
      </c>
      <c r="B253" s="664">
        <v>116</v>
      </c>
      <c r="C253" s="779" t="s">
        <v>1767</v>
      </c>
      <c r="D253" s="668" t="s">
        <v>687</v>
      </c>
      <c r="E253" s="700" t="s">
        <v>982</v>
      </c>
      <c r="F253" s="701" t="str">
        <f>+InputY!B159</f>
        <v>YATaxActSoc</v>
      </c>
      <c r="G253" s="780">
        <f>+InputY!G159/1000</f>
        <v>0.55920000000000003</v>
      </c>
      <c r="H253" s="780">
        <f>+InputY!H159/1000</f>
        <v>0.74658000000000002</v>
      </c>
      <c r="I253" s="780">
        <f>+InputY!I159/1000</f>
        <v>1.05233</v>
      </c>
      <c r="J253" s="780">
        <f>+InputY!J159/1000</f>
        <v>1.30036</v>
      </c>
      <c r="K253" s="780">
        <f>+InputY!K159/1000</f>
        <v>1.28443</v>
      </c>
      <c r="L253" s="780">
        <f>+InputY!L159/1000</f>
        <v>1.3622799999999999</v>
      </c>
      <c r="M253" s="780">
        <f>+InputY!M159/1000</f>
        <v>1.37643</v>
      </c>
      <c r="N253" s="780">
        <f>+InputY!N159/1000</f>
        <v>1.4224300000000001</v>
      </c>
      <c r="O253" s="780">
        <f>+InputY!O159/1000</f>
        <v>1.53271</v>
      </c>
      <c r="P253" s="780">
        <f>+InputY!P159/1000</f>
        <v>1.66425</v>
      </c>
      <c r="Q253" s="780">
        <f>+InputY!Q159/1000</f>
        <v>1.8654900000000001</v>
      </c>
      <c r="R253" s="780">
        <f>+InputY!R159/1000</f>
        <v>2.1977500000000001</v>
      </c>
      <c r="S253" s="780">
        <f>+InputY!S159/1000</f>
        <v>2.64581</v>
      </c>
      <c r="T253" s="780">
        <f>+InputY!T159/1000</f>
        <v>3.1147900000000002</v>
      </c>
      <c r="U253" s="780">
        <f>+InputY!U159/1000</f>
        <v>3.4030100000000001</v>
      </c>
      <c r="V253" s="780">
        <f>+InputY!V159/1000</f>
        <v>3.29555</v>
      </c>
      <c r="W253" s="780">
        <f>+InputY!W159/1000</f>
        <v>3.4756199999999997</v>
      </c>
      <c r="X253" s="780">
        <f>+InputY!X159/1000</f>
        <v>3.6120100000000002</v>
      </c>
      <c r="Y253" s="780">
        <f>+InputY!Y159/1000</f>
        <v>3.7942399999999998</v>
      </c>
      <c r="Z253" s="780">
        <f>+InputY!Z159/1000</f>
        <v>4.0646199999999997</v>
      </c>
      <c r="AA253" s="3744">
        <f>+InputY!AA159/1000</f>
        <v>4.3401000000000005</v>
      </c>
      <c r="AB253" s="3744">
        <f>+InputY!AB159/1000</f>
        <v>4.7157900000000001</v>
      </c>
      <c r="AC253" s="2873">
        <f t="shared" ref="AC253:AE254" si="239">+AB253*(1+AC265/100)</f>
        <v>5.3</v>
      </c>
      <c r="AD253" s="2873">
        <f t="shared" si="239"/>
        <v>5.6550999999999991</v>
      </c>
      <c r="AE253" s="2873">
        <f t="shared" si="239"/>
        <v>5.9793080106769914</v>
      </c>
    </row>
    <row r="254" spans="1:113" ht="12.75" customHeight="1">
      <c r="A254" s="664">
        <f>+ROW(InputY!A158)</f>
        <v>158</v>
      </c>
      <c r="B254" s="664"/>
      <c r="C254" s="782" t="s">
        <v>1767</v>
      </c>
      <c r="D254" s="674" t="s">
        <v>687</v>
      </c>
      <c r="E254" s="783" t="s">
        <v>2079</v>
      </c>
      <c r="F254" s="704" t="str">
        <f>+InputY!B158</f>
        <v>YATaxSocImp</v>
      </c>
      <c r="G254" s="706">
        <f>+InputY!G158/1000</f>
        <v>1.24E-3</v>
      </c>
      <c r="H254" s="706">
        <f>+InputY!H158/1000</f>
        <v>1.6899999999999999E-3</v>
      </c>
      <c r="I254" s="706">
        <f>+InputY!I158/1000</f>
        <v>2.1299999999999999E-3</v>
      </c>
      <c r="J254" s="706">
        <f>+InputY!J158/1000</f>
        <v>2.7000000000000001E-3</v>
      </c>
      <c r="K254" s="706">
        <f>+InputY!K158/1000</f>
        <v>2.8E-3</v>
      </c>
      <c r="L254" s="706">
        <f>+InputY!L158/1000</f>
        <v>2.6100000000000003E-3</v>
      </c>
      <c r="M254" s="706">
        <f>+InputY!M158/1000</f>
        <v>2.6800000000000001E-3</v>
      </c>
      <c r="N254" s="706">
        <f>+InputY!N158/1000</f>
        <v>2.7800000000000004E-3</v>
      </c>
      <c r="O254" s="706">
        <f>+InputY!O158/1000</f>
        <v>2.8900000000000002E-3</v>
      </c>
      <c r="P254" s="706">
        <f>+InputY!P158/1000</f>
        <v>5.2049999999999999E-2</v>
      </c>
      <c r="Q254" s="706">
        <f>+InputY!Q158/1000</f>
        <v>6.0579999999999995E-2</v>
      </c>
      <c r="R254" s="706">
        <f>+InputY!R158/1000</f>
        <v>7.2120000000000004E-2</v>
      </c>
      <c r="S254" s="706">
        <f>+InputY!S158/1000</f>
        <v>9.0969999999999995E-2</v>
      </c>
      <c r="T254" s="706">
        <f>+InputY!T158/1000</f>
        <v>0.11168</v>
      </c>
      <c r="U254" s="706">
        <f>+InputY!U158/1000</f>
        <v>0.11831999999999999</v>
      </c>
      <c r="V254" s="706">
        <f>+InputY!V158/1000</f>
        <v>0.10293000000000001</v>
      </c>
      <c r="W254" s="706">
        <f>+InputY!W158/1000</f>
        <v>0.10776999999999999</v>
      </c>
      <c r="X254" s="706">
        <f>+InputY!X158/1000</f>
        <v>0.11347</v>
      </c>
      <c r="Y254" s="706">
        <f>+InputY!Y158/1000</f>
        <v>9.851E-2</v>
      </c>
      <c r="Z254" s="706">
        <f>+InputY!Z158/1000</f>
        <v>0.10911</v>
      </c>
      <c r="AA254" s="706">
        <f>+InputY!AA158/1000</f>
        <v>0.11624</v>
      </c>
      <c r="AB254" s="706">
        <f>+InputY!AB158/1000</f>
        <v>0.12831000000000001</v>
      </c>
      <c r="AC254" s="2217">
        <f t="shared" si="239"/>
        <v>0.14420553078063272</v>
      </c>
      <c r="AD254" s="2217">
        <f t="shared" si="239"/>
        <v>0.15386730134293511</v>
      </c>
      <c r="AE254" s="2217">
        <f t="shared" si="239"/>
        <v>0.16268854441142733</v>
      </c>
    </row>
    <row r="255" spans="1:113" ht="12.75" customHeight="1">
      <c r="A255" s="664"/>
      <c r="B255" s="664">
        <v>115</v>
      </c>
      <c r="C255" s="782" t="s">
        <v>1769</v>
      </c>
      <c r="D255" s="746" t="s">
        <v>687</v>
      </c>
      <c r="E255" s="747" t="s">
        <v>567</v>
      </c>
      <c r="F255" s="748" t="s">
        <v>1805</v>
      </c>
      <c r="G255" s="799">
        <f>+G253+G254</f>
        <v>0.56044000000000005</v>
      </c>
      <c r="H255" s="799">
        <f t="shared" ref="H255:AB255" si="240">+H253+H254</f>
        <v>0.74826999999999999</v>
      </c>
      <c r="I255" s="799">
        <f t="shared" si="240"/>
        <v>1.05446</v>
      </c>
      <c r="J255" s="799">
        <f t="shared" si="240"/>
        <v>1.3030599999999999</v>
      </c>
      <c r="K255" s="799">
        <f t="shared" si="240"/>
        <v>1.2872299999999999</v>
      </c>
      <c r="L255" s="799">
        <f t="shared" si="240"/>
        <v>1.3648899999999999</v>
      </c>
      <c r="M255" s="799">
        <f t="shared" si="240"/>
        <v>1.3791100000000001</v>
      </c>
      <c r="N255" s="799">
        <f t="shared" si="240"/>
        <v>1.4252100000000001</v>
      </c>
      <c r="O255" s="799">
        <f t="shared" si="240"/>
        <v>1.5356000000000001</v>
      </c>
      <c r="P255" s="799">
        <f t="shared" si="240"/>
        <v>1.7162999999999999</v>
      </c>
      <c r="Q255" s="799">
        <f t="shared" si="240"/>
        <v>1.9260700000000002</v>
      </c>
      <c r="R255" s="799">
        <f t="shared" si="240"/>
        <v>2.2698700000000001</v>
      </c>
      <c r="S255" s="799">
        <f t="shared" si="240"/>
        <v>2.73678</v>
      </c>
      <c r="T255" s="2878">
        <f t="shared" si="240"/>
        <v>3.2264699999999999</v>
      </c>
      <c r="U255" s="2878">
        <f t="shared" si="240"/>
        <v>3.5213300000000003</v>
      </c>
      <c r="V255" s="2878">
        <f t="shared" si="240"/>
        <v>3.3984800000000002</v>
      </c>
      <c r="W255" s="2878">
        <f t="shared" si="240"/>
        <v>3.5833899999999996</v>
      </c>
      <c r="X255" s="2878">
        <f t="shared" si="240"/>
        <v>3.7254800000000001</v>
      </c>
      <c r="Y255" s="2878">
        <f t="shared" si="240"/>
        <v>3.8927499999999999</v>
      </c>
      <c r="Z255" s="2878">
        <f t="shared" si="240"/>
        <v>4.1737299999999999</v>
      </c>
      <c r="AA255" s="2878">
        <f t="shared" si="240"/>
        <v>4.4563400000000009</v>
      </c>
      <c r="AB255" s="2878">
        <f t="shared" si="240"/>
        <v>4.8441000000000001</v>
      </c>
      <c r="AC255" s="2876">
        <f>+AC253+AC254</f>
        <v>5.444205530780633</v>
      </c>
      <c r="AD255" s="2876">
        <f>+AD253+AD254</f>
        <v>5.8089673013429346</v>
      </c>
      <c r="AE255" s="2876">
        <f>+AE253+AE254</f>
        <v>6.1419965550884186</v>
      </c>
    </row>
    <row r="256" spans="1:113" ht="12.75" customHeight="1">
      <c r="A256" s="664">
        <f>+ROW(InputY!A192)</f>
        <v>192</v>
      </c>
      <c r="B256" s="664" t="s">
        <v>997</v>
      </c>
      <c r="C256" s="782" t="s">
        <v>1767</v>
      </c>
      <c r="D256" s="674" t="s">
        <v>685</v>
      </c>
      <c r="E256" s="783" t="s">
        <v>567</v>
      </c>
      <c r="F256" s="704" t="str">
        <f>+InputY!B192</f>
        <v>YHTSoc(1)</v>
      </c>
      <c r="G256" s="706">
        <f>+InputY!G192/1000</f>
        <v>2.8000000000000003E-4</v>
      </c>
      <c r="H256" s="706">
        <f>+InputY!H192/1000</f>
        <v>2.2000000000000003E-4</v>
      </c>
      <c r="I256" s="706">
        <f>+InputY!I192/1000</f>
        <v>3.3E-4</v>
      </c>
      <c r="J256" s="706">
        <f>+InputY!J192/1000</f>
        <v>4.9000000000000009E-4</v>
      </c>
      <c r="K256" s="706">
        <f>+InputY!K192/1000</f>
        <v>3.5000000000000005E-4</v>
      </c>
      <c r="L256" s="706">
        <f>+InputY!L192/1000</f>
        <v>4.6000000000000001E-4</v>
      </c>
      <c r="M256" s="706">
        <f>+InputY!M192/1000</f>
        <v>4.0000000000000002E-4</v>
      </c>
      <c r="N256" s="706">
        <f>+InputY!N192/1000</f>
        <v>3.7000000000000005E-4</v>
      </c>
      <c r="O256" s="706">
        <f>+InputY!O192/1000</f>
        <v>4.2000000000000002E-4</v>
      </c>
      <c r="P256" s="706">
        <f>+InputY!P192/1000</f>
        <v>4.4000000000000007E-4</v>
      </c>
      <c r="Q256" s="706">
        <f>+InputY!Q192/1000</f>
        <v>5.6000000000000006E-4</v>
      </c>
      <c r="R256" s="706">
        <f>+InputY!R192/1000</f>
        <v>6.8000000000000005E-4</v>
      </c>
      <c r="S256" s="706">
        <f>+InputY!S192/1000</f>
        <v>8.5000000000000006E-4</v>
      </c>
      <c r="T256" s="706">
        <f>+InputY!T192/1000</f>
        <v>8.7000000000000011E-4</v>
      </c>
      <c r="U256" s="706">
        <f>+InputY!U192/1000</f>
        <v>8.1000000000000006E-4</v>
      </c>
      <c r="V256" s="706">
        <f>+InputY!V192/1000</f>
        <v>7.7999999999999999E-4</v>
      </c>
      <c r="W256" s="706">
        <f>+InputY!W192/1000</f>
        <v>8.7000000000000011E-4</v>
      </c>
      <c r="X256" s="706">
        <f>+InputY!X192/1000</f>
        <v>8.5000000000000006E-4</v>
      </c>
      <c r="Y256" s="706">
        <f>+InputY!Y192/1000</f>
        <v>8.8000000000000014E-4</v>
      </c>
      <c r="Z256" s="706">
        <f>+InputY!Z192/1000</f>
        <v>1E-3</v>
      </c>
      <c r="AA256" s="706">
        <f>+InputY!AA192/1000</f>
        <v>8.9999999999999998E-4</v>
      </c>
      <c r="AB256" s="706">
        <f>+InputY!AB192/1000</f>
        <v>9.4000000000000008E-4</v>
      </c>
      <c r="AC256" s="2217">
        <f t="shared" ref="AC256:AE258" si="241">+AB256*(1+AC268/100)</f>
        <v>9.7760000000000013E-4</v>
      </c>
      <c r="AD256" s="2217">
        <f t="shared" si="241"/>
        <v>1.0167040000000002E-3</v>
      </c>
      <c r="AE256" s="2217">
        <f t="shared" si="241"/>
        <v>1.0573721600000002E-3</v>
      </c>
    </row>
    <row r="257" spans="1:113" ht="12.75" customHeight="1">
      <c r="A257" s="664">
        <f>+ROW(InputY!A122)</f>
        <v>122</v>
      </c>
      <c r="B257" s="664" t="s">
        <v>992</v>
      </c>
      <c r="C257" s="782" t="s">
        <v>1767</v>
      </c>
      <c r="D257" s="674" t="s">
        <v>686</v>
      </c>
      <c r="E257" s="783" t="s">
        <v>567</v>
      </c>
      <c r="F257" s="704" t="str">
        <f>+InputY!B122</f>
        <v>YESoc</v>
      </c>
      <c r="G257" s="706">
        <f>+InputY!G122/1000</f>
        <v>4.4400000000000004E-3</v>
      </c>
      <c r="H257" s="706">
        <f>+InputY!H122/1000</f>
        <v>4.1399999999999996E-3</v>
      </c>
      <c r="I257" s="706">
        <f>+InputY!I122/1000</f>
        <v>5.7199999999999994E-3</v>
      </c>
      <c r="J257" s="706">
        <f>+InputY!J122/1000</f>
        <v>7.0899999999999999E-3</v>
      </c>
      <c r="K257" s="706">
        <f>+InputY!K122/1000</f>
        <v>7.7400000000000004E-3</v>
      </c>
      <c r="L257" s="706">
        <f>+InputY!L122/1000</f>
        <v>6.1700000000000001E-3</v>
      </c>
      <c r="M257" s="706">
        <f>+InputY!M122/1000</f>
        <v>4.5999999999999999E-3</v>
      </c>
      <c r="N257" s="706">
        <f>+InputY!N122/1000</f>
        <v>4.3699999999999998E-3</v>
      </c>
      <c r="O257" s="706">
        <f>+InputY!O122/1000</f>
        <v>5.2900000000000004E-3</v>
      </c>
      <c r="P257" s="706">
        <f>+InputY!P122/1000</f>
        <v>5.6229999999999995E-2</v>
      </c>
      <c r="Q257" s="706">
        <f>+InputY!Q122/1000</f>
        <v>0.17993000000000001</v>
      </c>
      <c r="R257" s="706">
        <f>+InputY!R122/1000</f>
        <v>0.26597999999999999</v>
      </c>
      <c r="S257" s="706">
        <f>+InputY!S122/1000</f>
        <v>0.39018000000000003</v>
      </c>
      <c r="T257" s="706">
        <f>+InputY!T122/1000</f>
        <v>0.47537999999999997</v>
      </c>
      <c r="U257" s="706">
        <f>+InputY!U122/1000</f>
        <v>0.24734999999999999</v>
      </c>
      <c r="V257" s="706">
        <f>+InputY!V122/1000</f>
        <v>0.21381999999999998</v>
      </c>
      <c r="W257" s="706">
        <f>+InputY!W122/1000</f>
        <v>0.25058000000000002</v>
      </c>
      <c r="X257" s="706">
        <f>+InputY!X122/1000</f>
        <v>0.21143000000000001</v>
      </c>
      <c r="Y257" s="706">
        <f>+InputY!Y122/1000</f>
        <v>0.29031000000000001</v>
      </c>
      <c r="Z257" s="706">
        <f>+InputY!Z122/1000</f>
        <v>0.27892</v>
      </c>
      <c r="AA257" s="706">
        <f>+InputY!AA122/1000</f>
        <v>0.30210000000000004</v>
      </c>
      <c r="AB257" s="706">
        <f>+InputY!AB122/1000</f>
        <v>0.31881999999999999</v>
      </c>
      <c r="AC257" s="2217">
        <f t="shared" si="241"/>
        <v>0.33794920000000001</v>
      </c>
      <c r="AD257" s="2217">
        <f t="shared" si="241"/>
        <v>0.35822615200000002</v>
      </c>
      <c r="AE257" s="2217">
        <f t="shared" si="241"/>
        <v>0.37971972112000002</v>
      </c>
    </row>
    <row r="258" spans="1:113" ht="12.75" customHeight="1">
      <c r="A258" s="1953">
        <f>ROW(InputY!A246)</f>
        <v>246</v>
      </c>
      <c r="B258" s="664" t="s">
        <v>988</v>
      </c>
      <c r="C258" s="782" t="s">
        <v>1767</v>
      </c>
      <c r="D258" s="674" t="s">
        <v>688</v>
      </c>
      <c r="E258" s="783" t="s">
        <v>840</v>
      </c>
      <c r="F258" s="704" t="s">
        <v>841</v>
      </c>
      <c r="G258" s="706" t="e">
        <f>+InputY!G246/1000</f>
        <v>#VALUE!</v>
      </c>
      <c r="H258" s="706" t="e">
        <f>+InputY!H246/1000</f>
        <v>#VALUE!</v>
      </c>
      <c r="I258" s="706" t="e">
        <f>+InputY!I246/1000</f>
        <v>#VALUE!</v>
      </c>
      <c r="J258" s="706" t="e">
        <f>+InputY!J246/1000</f>
        <v>#VALUE!</v>
      </c>
      <c r="K258" s="706" t="e">
        <f>+InputY!K246/1000</f>
        <v>#VALUE!</v>
      </c>
      <c r="L258" s="706" t="e">
        <f>+InputY!L246/1000</f>
        <v>#VALUE!</v>
      </c>
      <c r="M258" s="706" t="e">
        <f>+InputY!M246/1000</f>
        <v>#VALUE!</v>
      </c>
      <c r="N258" s="706" t="e">
        <f>+InputY!N246/1000</f>
        <v>#VALUE!</v>
      </c>
      <c r="O258" s="706" t="e">
        <f>+InputY!O246/1000</f>
        <v>#VALUE!</v>
      </c>
      <c r="P258" s="706" t="e">
        <f>+InputY!P246/1000</f>
        <v>#VALUE!</v>
      </c>
      <c r="Q258" s="706" t="e">
        <f>+InputY!Q246/1000</f>
        <v>#VALUE!</v>
      </c>
      <c r="R258" s="706" t="e">
        <f>+InputY!R246/1000</f>
        <v>#VALUE!</v>
      </c>
      <c r="S258" s="706" t="e">
        <f>+InputY!S246/1000</f>
        <v>#VALUE!</v>
      </c>
      <c r="T258" s="706">
        <f>+InputY!T246/1000</f>
        <v>1.9E-2</v>
      </c>
      <c r="U258" s="706">
        <f>+InputY!U246/1000</f>
        <v>1.0999999999999999E-2</v>
      </c>
      <c r="V258" s="706">
        <f>+InputY!V246/1000</f>
        <v>3.2000000000000001E-2</v>
      </c>
      <c r="W258" s="706">
        <f>+InputY!W246/1000</f>
        <v>2.5999999999999999E-2</v>
      </c>
      <c r="X258" s="706">
        <f>+InputY!X246/1000</f>
        <v>1E-3</v>
      </c>
      <c r="Y258" s="706">
        <f>+InputY!Y246/1000</f>
        <v>3.0000000000000001E-3</v>
      </c>
      <c r="Z258" s="706">
        <f>+InputY!Z246/1000</f>
        <v>-3.0000000000000001E-3</v>
      </c>
      <c r="AA258" s="706">
        <f>+InputY!AA246/1000</f>
        <v>1E-3</v>
      </c>
      <c r="AB258" s="706">
        <f>+InputY!AB246/1000</f>
        <v>-5.0000000000000001E-3</v>
      </c>
      <c r="AC258" s="2217">
        <f t="shared" si="241"/>
        <v>-5.0000000000000001E-3</v>
      </c>
      <c r="AD258" s="2217">
        <f t="shared" si="241"/>
        <v>-5.0000000000000001E-3</v>
      </c>
      <c r="AE258" s="2217">
        <f t="shared" si="241"/>
        <v>-5.0000000000000001E-3</v>
      </c>
    </row>
    <row r="259" spans="1:113" ht="12.75" customHeight="1">
      <c r="A259" s="664">
        <f>+ROW(InputY!A194)</f>
        <v>194</v>
      </c>
      <c r="B259" s="664" t="s">
        <v>991</v>
      </c>
      <c r="C259" s="784" t="s">
        <v>1769</v>
      </c>
      <c r="D259" s="752" t="s">
        <v>685</v>
      </c>
      <c r="E259" s="753" t="s">
        <v>1339</v>
      </c>
      <c r="F259" s="754" t="str">
        <f>+InputY!B194</f>
        <v>$HTaxSoc(1)</v>
      </c>
      <c r="G259" s="785">
        <f>+InputY!G194/1000</f>
        <v>0.56516999999999995</v>
      </c>
      <c r="H259" s="785">
        <f>+InputY!H194/1000</f>
        <v>0.75261999999999996</v>
      </c>
      <c r="I259" s="785">
        <f>+InputY!I194/1000</f>
        <v>1.0605100000000001</v>
      </c>
      <c r="J259" s="785">
        <f>+InputY!J194/1000</f>
        <v>1.3106500000000001</v>
      </c>
      <c r="K259" s="785">
        <f>+InputY!K194/1000</f>
        <v>1.29495</v>
      </c>
      <c r="L259" s="785">
        <f>+InputY!L194/1000</f>
        <v>1.37117</v>
      </c>
      <c r="M259" s="785">
        <f>+InputY!M194/1000</f>
        <v>1.3836900000000001</v>
      </c>
      <c r="N259" s="785">
        <f>+InputY!N194/1000</f>
        <v>1.4291700000000001</v>
      </c>
      <c r="O259" s="785">
        <f>+InputY!O194/1000</f>
        <v>1.5403800000000001</v>
      </c>
      <c r="P259" s="785">
        <f>+InputY!P194/1000</f>
        <v>1.7726900000000001</v>
      </c>
      <c r="Q259" s="785">
        <f>+InputY!Q194/1000</f>
        <v>2.1060300000000001</v>
      </c>
      <c r="R259" s="785">
        <f>+InputY!R194/1000</f>
        <v>2.5360200000000002</v>
      </c>
      <c r="S259" s="785">
        <f>+InputY!S194/1000</f>
        <v>3.1271399999999998</v>
      </c>
      <c r="T259" s="785">
        <f>+InputY!T194/1000</f>
        <v>3.7217500000000001</v>
      </c>
      <c r="U259" s="785">
        <f>+InputY!U194/1000</f>
        <v>3.7771500000000002</v>
      </c>
      <c r="V259" s="785">
        <f>+InputY!V194/1000</f>
        <v>3.6449099999999999</v>
      </c>
      <c r="W259" s="785">
        <f>+InputY!W194/1000</f>
        <v>3.8609299999999998</v>
      </c>
      <c r="X259" s="785">
        <f>+InputY!X194/1000</f>
        <v>3.9392600000000004</v>
      </c>
      <c r="Y259" s="785">
        <f>+InputY!Y194/1000</f>
        <v>4.1875400000000003</v>
      </c>
      <c r="Z259" s="785">
        <f>+InputY!Z194/1000</f>
        <v>4.4502299999999995</v>
      </c>
      <c r="AA259" s="785">
        <f>+InputY!AA194/1000</f>
        <v>4.7600800000000003</v>
      </c>
      <c r="AB259" s="785">
        <f>+InputY!AB194/1000</f>
        <v>5.1583000000000006</v>
      </c>
      <c r="AC259" s="2232">
        <f>+AC255+AC256+AC257+AC258</f>
        <v>5.7781323307806325</v>
      </c>
      <c r="AD259" s="2232">
        <f>+AD255+AD256+AD257+AD258</f>
        <v>6.1632101573429354</v>
      </c>
      <c r="AE259" s="2232">
        <f>+AE255+AE256+AE257+AE258</f>
        <v>6.5177736483684185</v>
      </c>
    </row>
    <row r="260" spans="1:113" s="1006" customFormat="1">
      <c r="A260" s="664"/>
      <c r="B260" s="998"/>
      <c r="C260" s="1007"/>
      <c r="D260" s="1008"/>
      <c r="E260" s="1011" t="s">
        <v>236</v>
      </c>
      <c r="F260" s="1008" t="s">
        <v>1915</v>
      </c>
      <c r="G260" s="1012">
        <f>+Labour1!G168</f>
        <v>0.54321000000000019</v>
      </c>
      <c r="H260" s="1012">
        <f>+Labour1!H168</f>
        <v>0.72317000000000009</v>
      </c>
      <c r="I260" s="1012">
        <f>+Labour1!I168</f>
        <v>0.94988999999999946</v>
      </c>
      <c r="J260" s="1012">
        <f>+Labour1!J168</f>
        <v>1.1341300000000007</v>
      </c>
      <c r="K260" s="1012">
        <f>+Labour1!K168</f>
        <v>1.12479</v>
      </c>
      <c r="L260" s="1012">
        <f>+Labour1!L168</f>
        <v>1.1280799999999997</v>
      </c>
      <c r="M260" s="1012">
        <f>+Labour1!M168</f>
        <v>1.1358599999999992</v>
      </c>
      <c r="N260" s="1012">
        <f>+Labour1!N168</f>
        <v>1.1770699999999996</v>
      </c>
      <c r="O260" s="1012">
        <f>+Labour1!O168</f>
        <v>1.2726199999999999</v>
      </c>
      <c r="P260" s="1012">
        <f>+Labour1!P168</f>
        <v>1.4763899999999994</v>
      </c>
      <c r="Q260" s="1012">
        <f>+Labour1!Q168</f>
        <v>1.7623499999999996</v>
      </c>
      <c r="R260" s="1012">
        <f>+Labour1!R168</f>
        <v>2.1425400000000021</v>
      </c>
      <c r="S260" s="1012">
        <f>+Labour1!S168</f>
        <v>2.6613500000000005</v>
      </c>
      <c r="T260" s="2287">
        <f>+Labour1!T168</f>
        <v>3.1857199999999999</v>
      </c>
      <c r="U260" s="2287">
        <f>+Labour1!U168</f>
        <v>2.6654500000000017</v>
      </c>
      <c r="V260" s="2287">
        <f>+Labour1!V168</f>
        <v>2.4507899999999978</v>
      </c>
      <c r="W260" s="2287">
        <f>+Labour1!W168</f>
        <v>2.6307100000000023</v>
      </c>
      <c r="X260" s="2287">
        <f>+Labour1!X168</f>
        <v>2.72058</v>
      </c>
      <c r="Y260" s="2287">
        <f>+Labour1!Y168</f>
        <v>2.9126300000000001</v>
      </c>
      <c r="Z260" s="2287">
        <f>+Labour1!Z168</f>
        <v>3.1038099999999993</v>
      </c>
      <c r="AA260" s="2287">
        <f>+Labour1!AA168</f>
        <v>3.3287100000000009</v>
      </c>
      <c r="AB260" s="2287">
        <f>+Labour1!AB168</f>
        <v>3.634389999999998</v>
      </c>
      <c r="AC260" s="2287">
        <f>+Labour1!AC168</f>
        <v>4.0717968551750845</v>
      </c>
      <c r="AD260" s="2287">
        <f>+Labour1!AD168</f>
        <v>4.371979940608524</v>
      </c>
      <c r="AE260" s="2287">
        <f>+Labour1!AE168</f>
        <v>4.6386321981000798</v>
      </c>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row>
    <row r="261" spans="1:113" s="1006" customFormat="1">
      <c r="A261" s="664"/>
      <c r="B261" s="998"/>
      <c r="C261" s="1007"/>
      <c r="D261" s="1008"/>
      <c r="E261" s="1011" t="s">
        <v>1079</v>
      </c>
      <c r="F261" s="1008" t="s">
        <v>14</v>
      </c>
      <c r="G261" s="1012">
        <f>+G259-G260</f>
        <v>2.1959999999999757E-2</v>
      </c>
      <c r="H261" s="1012">
        <f t="shared" ref="H261:Y261" si="242">+H259-H260</f>
        <v>2.9449999999999865E-2</v>
      </c>
      <c r="I261" s="1012">
        <f t="shared" si="242"/>
        <v>0.11062000000000061</v>
      </c>
      <c r="J261" s="1012">
        <f t="shared" si="242"/>
        <v>0.17651999999999934</v>
      </c>
      <c r="K261" s="1012">
        <f t="shared" si="242"/>
        <v>0.17016000000000009</v>
      </c>
      <c r="L261" s="1012">
        <f t="shared" si="242"/>
        <v>0.24309000000000025</v>
      </c>
      <c r="M261" s="1012">
        <f t="shared" si="242"/>
        <v>0.24783000000000088</v>
      </c>
      <c r="N261" s="1012">
        <f t="shared" si="242"/>
        <v>0.25210000000000043</v>
      </c>
      <c r="O261" s="1012">
        <f t="shared" si="242"/>
        <v>0.26776000000000022</v>
      </c>
      <c r="P261" s="1012">
        <f t="shared" si="242"/>
        <v>0.29630000000000067</v>
      </c>
      <c r="Q261" s="1012">
        <f t="shared" si="242"/>
        <v>0.34368000000000043</v>
      </c>
      <c r="R261" s="1012">
        <f t="shared" si="242"/>
        <v>0.39347999999999805</v>
      </c>
      <c r="S261" s="1012">
        <f t="shared" si="242"/>
        <v>0.46578999999999926</v>
      </c>
      <c r="T261" s="2287">
        <f t="shared" si="242"/>
        <v>0.53603000000000023</v>
      </c>
      <c r="U261" s="2287">
        <f t="shared" si="242"/>
        <v>1.1116999999999986</v>
      </c>
      <c r="V261" s="2287">
        <f t="shared" si="242"/>
        <v>1.1941200000000021</v>
      </c>
      <c r="W261" s="2287">
        <f t="shared" si="242"/>
        <v>1.2302199999999974</v>
      </c>
      <c r="X261" s="2287">
        <f t="shared" si="242"/>
        <v>1.2186800000000004</v>
      </c>
      <c r="Y261" s="2287">
        <f t="shared" si="242"/>
        <v>1.2749100000000002</v>
      </c>
      <c r="Z261" s="2287">
        <f t="shared" ref="Z261:AE261" si="243">+Z259-Z260</f>
        <v>1.3464200000000002</v>
      </c>
      <c r="AA261" s="2287">
        <f t="shared" si="243"/>
        <v>1.4313699999999994</v>
      </c>
      <c r="AB261" s="2287">
        <f t="shared" si="243"/>
        <v>1.5239100000000025</v>
      </c>
      <c r="AC261" s="2287">
        <f t="shared" si="243"/>
        <v>1.706335475605548</v>
      </c>
      <c r="AD261" s="2287">
        <f t="shared" si="243"/>
        <v>1.7912302167344114</v>
      </c>
      <c r="AE261" s="2287">
        <f t="shared" si="243"/>
        <v>1.8791414502683388</v>
      </c>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row>
    <row r="262" spans="1:113" s="1972" customFormat="1" ht="12.75" customHeight="1">
      <c r="A262" s="998"/>
      <c r="B262" s="998"/>
      <c r="C262" s="1595"/>
      <c r="D262" s="1011"/>
      <c r="E262" s="1973" t="s">
        <v>737</v>
      </c>
      <c r="F262" s="1974"/>
      <c r="G262" s="1002" t="e">
        <f>ABS(+G255+G256+G257+G258-G259)</f>
        <v>#VALUE!</v>
      </c>
      <c r="H262" s="1002" t="e">
        <f t="shared" ref="H262:T262" si="244">ABS(+H255+H256+H257+H258-H259)</f>
        <v>#VALUE!</v>
      </c>
      <c r="I262" s="1002" t="e">
        <f t="shared" si="244"/>
        <v>#VALUE!</v>
      </c>
      <c r="J262" s="1002" t="e">
        <f t="shared" si="244"/>
        <v>#VALUE!</v>
      </c>
      <c r="K262" s="1002" t="e">
        <f t="shared" si="244"/>
        <v>#VALUE!</v>
      </c>
      <c r="L262" s="1002" t="e">
        <f t="shared" si="244"/>
        <v>#VALUE!</v>
      </c>
      <c r="M262" s="1002" t="e">
        <f t="shared" si="244"/>
        <v>#VALUE!</v>
      </c>
      <c r="N262" s="1002" t="e">
        <f t="shared" si="244"/>
        <v>#VALUE!</v>
      </c>
      <c r="O262" s="1002" t="e">
        <f t="shared" si="244"/>
        <v>#VALUE!</v>
      </c>
      <c r="P262" s="1002" t="e">
        <f t="shared" si="244"/>
        <v>#VALUE!</v>
      </c>
      <c r="Q262" s="1002" t="e">
        <f t="shared" si="244"/>
        <v>#VALUE!</v>
      </c>
      <c r="R262" s="1002" t="e">
        <f>ABS(+R255+R256+R257+R258-R259)</f>
        <v>#VALUE!</v>
      </c>
      <c r="S262" s="1002" t="e">
        <f>ABS(+S255+S256+S257+S258-S259)</f>
        <v>#VALUE!</v>
      </c>
      <c r="T262" s="2906">
        <f t="shared" si="244"/>
        <v>3.0000000000196536E-5</v>
      </c>
      <c r="U262" s="2906">
        <f t="shared" ref="U262:Z262" si="245">ABS(+U255+U256+U257+U258-U259)</f>
        <v>3.3400000000001207E-3</v>
      </c>
      <c r="V262" s="2906">
        <f t="shared" si="245"/>
        <v>1.7000000000022553E-4</v>
      </c>
      <c r="W262" s="2906">
        <f t="shared" si="245"/>
        <v>9.0000000000145519E-5</v>
      </c>
      <c r="X262" s="2906">
        <f t="shared" si="245"/>
        <v>5.0000000000061107E-4</v>
      </c>
      <c r="Y262" s="2906">
        <f t="shared" si="245"/>
        <v>6.0000000000037801E-4</v>
      </c>
      <c r="Z262" s="2906">
        <f t="shared" si="245"/>
        <v>4.2000000000097515E-4</v>
      </c>
      <c r="AA262" s="2906">
        <f>ABS(+AA255+AA256+AA257+AA258-AA259)</f>
        <v>2.6000000000081513E-4</v>
      </c>
      <c r="AB262" s="2906">
        <f>ABS(+AB255+AB256+AB257+AB258-AB259)</f>
        <v>5.5999999999922778E-4</v>
      </c>
      <c r="AC262" s="2906">
        <f>ABS(+AC255+AC256+AC257+AC258-AC259)</f>
        <v>0</v>
      </c>
      <c r="AD262" s="2906">
        <f>ABS(+AD255+AD256+AD257+AD258-AD259)</f>
        <v>0</v>
      </c>
      <c r="AE262" s="2906">
        <f>ABS(+AE255+AE256+AE257+AE258-AE259)</f>
        <v>0</v>
      </c>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row>
    <row r="263" spans="1:113">
      <c r="A263" s="3148"/>
      <c r="B263" s="3148"/>
      <c r="E263" s="699" t="s">
        <v>67</v>
      </c>
      <c r="G263" s="699">
        <v>6.7722017997638027</v>
      </c>
      <c r="H263" s="699">
        <v>8.8065055082754657</v>
      </c>
      <c r="I263" s="699">
        <v>10.590898401776771</v>
      </c>
      <c r="J263" s="699">
        <v>12.252603815558851</v>
      </c>
      <c r="K263" s="699">
        <v>12.680693983019566</v>
      </c>
      <c r="L263" s="699">
        <v>12.617507830296127</v>
      </c>
      <c r="M263" s="699">
        <v>13.717846479108324</v>
      </c>
      <c r="N263" s="699">
        <v>14.550428702388869</v>
      </c>
      <c r="O263" s="699">
        <v>15.878881768267926</v>
      </c>
      <c r="Q263" s="703"/>
      <c r="R263" s="703"/>
      <c r="S263" s="703"/>
      <c r="T263" s="2286"/>
      <c r="U263" s="2286"/>
      <c r="V263" s="2286"/>
      <c r="W263" s="2286"/>
      <c r="X263" s="2286"/>
      <c r="Y263" s="2286"/>
      <c r="Z263" s="2286"/>
      <c r="AA263" s="2286"/>
      <c r="AB263" s="2286"/>
      <c r="AC263" s="2286"/>
      <c r="AD263" s="2286"/>
      <c r="AE263" s="2286"/>
      <c r="AF263" s="217"/>
      <c r="AG263" s="217"/>
      <c r="AH263" s="217"/>
      <c r="AI263" s="217"/>
      <c r="AJ263" s="217"/>
      <c r="AK263" s="217"/>
      <c r="AL263" s="217"/>
      <c r="AM263" s="217"/>
      <c r="AN263" s="217"/>
      <c r="AO263" s="217"/>
      <c r="AP263" s="217"/>
      <c r="AQ263" s="217"/>
      <c r="AR263" s="217"/>
      <c r="AS263" s="217"/>
      <c r="AT263" s="217"/>
      <c r="AU263" s="217"/>
      <c r="AV263" s="217"/>
      <c r="AW263" s="217"/>
      <c r="AX263" s="217"/>
      <c r="AY263" s="217"/>
      <c r="AZ263" s="217"/>
      <c r="BA263" s="217"/>
      <c r="BB263" s="217"/>
      <c r="BC263" s="217"/>
      <c r="BD263" s="217"/>
      <c r="BE263" s="217"/>
      <c r="BF263" s="217"/>
      <c r="BG263" s="217"/>
      <c r="BH263" s="217"/>
      <c r="BI263" s="217"/>
      <c r="BJ263" s="217"/>
      <c r="BK263" s="217"/>
      <c r="BL263" s="217"/>
      <c r="BM263" s="217"/>
      <c r="BN263" s="217"/>
      <c r="BO263" s="217"/>
      <c r="BP263" s="217"/>
      <c r="BQ263" s="217"/>
      <c r="BR263" s="217"/>
      <c r="BS263" s="217"/>
      <c r="BT263" s="217"/>
      <c r="BU263" s="217"/>
      <c r="BV263" s="217"/>
      <c r="BW263" s="217"/>
      <c r="BX263" s="217"/>
      <c r="BY263" s="217"/>
      <c r="BZ263" s="217"/>
      <c r="CA263" s="217"/>
      <c r="CB263" s="217"/>
      <c r="CC263" s="217"/>
      <c r="CD263" s="217"/>
      <c r="CE263" s="217"/>
      <c r="CF263" s="217"/>
      <c r="CG263" s="217"/>
      <c r="CH263" s="217"/>
      <c r="CI263" s="217"/>
      <c r="CJ263" s="217"/>
      <c r="CK263" s="217"/>
      <c r="CL263" s="217"/>
      <c r="CM263" s="217"/>
      <c r="CN263" s="217"/>
      <c r="CO263" s="217"/>
      <c r="CP263" s="217"/>
      <c r="CQ263" s="217"/>
      <c r="CR263" s="217"/>
      <c r="CS263" s="217"/>
      <c r="CT263" s="217"/>
      <c r="CU263" s="217"/>
      <c r="CV263" s="217"/>
      <c r="CW263" s="217"/>
      <c r="CX263" s="217"/>
      <c r="CY263" s="217"/>
      <c r="CZ263" s="217"/>
      <c r="DA263" s="217"/>
      <c r="DB263" s="217"/>
      <c r="DC263" s="217"/>
      <c r="DD263" s="217"/>
      <c r="DE263" s="217"/>
      <c r="DF263" s="217"/>
      <c r="DG263" s="217"/>
      <c r="DH263" s="217"/>
      <c r="DI263" s="217"/>
    </row>
    <row r="264" spans="1:113" ht="12.75" customHeight="1">
      <c r="A264" s="664"/>
      <c r="B264" s="664"/>
      <c r="C264" s="774"/>
      <c r="D264" s="742"/>
      <c r="E264" s="743" t="s">
        <v>1311</v>
      </c>
      <c r="F264" s="744"/>
      <c r="G264" s="745">
        <f>+InputY!$G$3</f>
        <v>1995</v>
      </c>
      <c r="H264" s="745">
        <f>+G264+1</f>
        <v>1996</v>
      </c>
      <c r="I264" s="745">
        <f t="shared" ref="I264:O264" si="246">+H264+1</f>
        <v>1997</v>
      </c>
      <c r="J264" s="745">
        <f t="shared" si="246"/>
        <v>1998</v>
      </c>
      <c r="K264" s="745">
        <f>+J264+1</f>
        <v>1999</v>
      </c>
      <c r="L264" s="745">
        <f t="shared" si="246"/>
        <v>2000</v>
      </c>
      <c r="M264" s="745">
        <f t="shared" si="246"/>
        <v>2001</v>
      </c>
      <c r="N264" s="745">
        <f t="shared" si="246"/>
        <v>2002</v>
      </c>
      <c r="O264" s="745">
        <f t="shared" si="246"/>
        <v>2003</v>
      </c>
      <c r="P264" s="745">
        <f t="shared" ref="P264:W264" si="247">+O264+1</f>
        <v>2004</v>
      </c>
      <c r="Q264" s="745">
        <f t="shared" si="247"/>
        <v>2005</v>
      </c>
      <c r="R264" s="745">
        <f t="shared" si="247"/>
        <v>2006</v>
      </c>
      <c r="S264" s="745">
        <f t="shared" si="247"/>
        <v>2007</v>
      </c>
      <c r="T264" s="2211">
        <f t="shared" si="247"/>
        <v>2008</v>
      </c>
      <c r="U264" s="2211">
        <f t="shared" si="247"/>
        <v>2009</v>
      </c>
      <c r="V264" s="2211">
        <f t="shared" si="247"/>
        <v>2010</v>
      </c>
      <c r="W264" s="2211">
        <f t="shared" si="247"/>
        <v>2011</v>
      </c>
      <c r="X264" s="2211">
        <f t="shared" ref="X264:AE264" si="248">+W264+1</f>
        <v>2012</v>
      </c>
      <c r="Y264" s="2211">
        <f t="shared" si="248"/>
        <v>2013</v>
      </c>
      <c r="Z264" s="2211">
        <f t="shared" si="248"/>
        <v>2014</v>
      </c>
      <c r="AA264" s="2211">
        <f t="shared" si="248"/>
        <v>2015</v>
      </c>
      <c r="AB264" s="2211">
        <f t="shared" si="248"/>
        <v>2016</v>
      </c>
      <c r="AC264" s="2211">
        <f t="shared" si="248"/>
        <v>2017</v>
      </c>
      <c r="AD264" s="2211">
        <f t="shared" si="248"/>
        <v>2018</v>
      </c>
      <c r="AE264" s="2211">
        <f t="shared" si="248"/>
        <v>2019</v>
      </c>
    </row>
    <row r="265" spans="1:113" ht="12.75" customHeight="1">
      <c r="A265" s="664"/>
      <c r="B265" s="664"/>
      <c r="C265" s="794" t="s">
        <v>1767</v>
      </c>
      <c r="D265" s="689" t="s">
        <v>687</v>
      </c>
      <c r="E265" s="738" t="s">
        <v>982</v>
      </c>
      <c r="F265" s="733" t="s">
        <v>2006</v>
      </c>
      <c r="G265" s="739"/>
      <c r="H265" s="739">
        <f t="shared" ref="H265:H273" si="249">(H253/G253-1)*100</f>
        <v>33.508583690987123</v>
      </c>
      <c r="I265" s="739">
        <f t="shared" ref="I265:AB265" si="250">(I253/H253-1)*100</f>
        <v>40.953414235580922</v>
      </c>
      <c r="J265" s="739">
        <f t="shared" si="250"/>
        <v>23.56960269117101</v>
      </c>
      <c r="K265" s="739">
        <f t="shared" ref="K265:K273" si="251">(K253/J253-1)*100</f>
        <v>-1.2250453720508148</v>
      </c>
      <c r="L265" s="739">
        <f t="shared" si="250"/>
        <v>6.0610543198150069</v>
      </c>
      <c r="M265" s="739">
        <f t="shared" si="250"/>
        <v>1.0386998267610359</v>
      </c>
      <c r="N265" s="739">
        <f t="shared" si="250"/>
        <v>3.3419788874116341</v>
      </c>
      <c r="O265" s="739">
        <f t="shared" si="250"/>
        <v>7.7529298454053874</v>
      </c>
      <c r="P265" s="739">
        <f t="shared" si="250"/>
        <v>8.5821844967410641</v>
      </c>
      <c r="Q265" s="739">
        <f t="shared" si="250"/>
        <v>12.091933303289771</v>
      </c>
      <c r="R265" s="739">
        <f t="shared" si="250"/>
        <v>17.810870066309658</v>
      </c>
      <c r="S265" s="739">
        <f t="shared" si="250"/>
        <v>20.387214196337155</v>
      </c>
      <c r="T265" s="739">
        <f t="shared" si="250"/>
        <v>17.725384664809638</v>
      </c>
      <c r="U265" s="739">
        <f t="shared" si="250"/>
        <v>9.2532722912298979</v>
      </c>
      <c r="V265" s="739">
        <f t="shared" si="250"/>
        <v>-3.1577926600274475</v>
      </c>
      <c r="W265" s="739">
        <f t="shared" si="250"/>
        <v>5.4640348348530487</v>
      </c>
      <c r="X265" s="739">
        <f t="shared" si="250"/>
        <v>3.9241919427325245</v>
      </c>
      <c r="Y265" s="739">
        <f t="shared" si="250"/>
        <v>5.0451133856218355</v>
      </c>
      <c r="Z265" s="739">
        <f t="shared" si="250"/>
        <v>7.1260647718647263</v>
      </c>
      <c r="AA265" s="739">
        <f t="shared" si="250"/>
        <v>6.7775093366661876</v>
      </c>
      <c r="AB265" s="739">
        <f t="shared" si="250"/>
        <v>8.6562521600884743</v>
      </c>
      <c r="AC265" s="2215">
        <v>12.38838031379683</v>
      </c>
      <c r="AD265" s="3354">
        <v>6.7</v>
      </c>
      <c r="AE265" s="3354">
        <v>5.7330199408850859</v>
      </c>
      <c r="AF265" s="3653" t="s">
        <v>2597</v>
      </c>
    </row>
    <row r="266" spans="1:113" ht="12.75" customHeight="1">
      <c r="A266" s="664"/>
      <c r="B266" s="664"/>
      <c r="C266" s="795" t="s">
        <v>1767</v>
      </c>
      <c r="D266" s="674" t="s">
        <v>687</v>
      </c>
      <c r="E266" s="783" t="s">
        <v>2079</v>
      </c>
      <c r="F266" s="704" t="s">
        <v>385</v>
      </c>
      <c r="G266" s="706"/>
      <c r="H266" s="706">
        <f t="shared" si="249"/>
        <v>36.290322580645153</v>
      </c>
      <c r="I266" s="706">
        <f t="shared" ref="I266:AB273" si="252">(I254/H254-1)*100</f>
        <v>26.035502958579883</v>
      </c>
      <c r="J266" s="706">
        <f t="shared" si="252"/>
        <v>26.760563380281699</v>
      </c>
      <c r="K266" s="706">
        <f t="shared" si="251"/>
        <v>3.7037037037036979</v>
      </c>
      <c r="L266" s="706">
        <f t="shared" si="252"/>
        <v>-6.7857142857142723</v>
      </c>
      <c r="M266" s="706">
        <f t="shared" si="252"/>
        <v>2.6819923371647514</v>
      </c>
      <c r="N266" s="706">
        <f t="shared" si="252"/>
        <v>3.7313432835820892</v>
      </c>
      <c r="O266" s="706">
        <f t="shared" si="252"/>
        <v>3.9568345323740983</v>
      </c>
      <c r="P266" s="706">
        <f t="shared" si="252"/>
        <v>1701.0380622837367</v>
      </c>
      <c r="Q266" s="706">
        <f t="shared" si="252"/>
        <v>16.388088376560983</v>
      </c>
      <c r="R266" s="706">
        <f t="shared" si="252"/>
        <v>19.049191152195455</v>
      </c>
      <c r="S266" s="706">
        <f t="shared" si="252"/>
        <v>26.136993899057103</v>
      </c>
      <c r="T266" s="706">
        <f t="shared" si="252"/>
        <v>22.765746949543807</v>
      </c>
      <c r="U266" s="706">
        <f t="shared" si="252"/>
        <v>5.9455587392550191</v>
      </c>
      <c r="V266" s="706">
        <f t="shared" si="252"/>
        <v>-13.007099391480725</v>
      </c>
      <c r="W266" s="706">
        <f t="shared" si="252"/>
        <v>4.7022248129796829</v>
      </c>
      <c r="X266" s="706">
        <f t="shared" si="252"/>
        <v>5.2890414772200245</v>
      </c>
      <c r="Y266" s="706">
        <f t="shared" si="252"/>
        <v>-13.184101524632064</v>
      </c>
      <c r="Z266" s="706">
        <f t="shared" si="252"/>
        <v>10.760328900619221</v>
      </c>
      <c r="AA266" s="706">
        <f t="shared" si="252"/>
        <v>6.534689762624879</v>
      </c>
      <c r="AB266" s="706">
        <f t="shared" si="252"/>
        <v>10.383688919476963</v>
      </c>
      <c r="AC266" s="2259">
        <f>+AC265</f>
        <v>12.38838031379683</v>
      </c>
      <c r="AD266" s="2259">
        <f>+AD265</f>
        <v>6.7</v>
      </c>
      <c r="AE266" s="2259">
        <f>+AE265</f>
        <v>5.7330199408850859</v>
      </c>
    </row>
    <row r="267" spans="1:113" ht="12.75" customHeight="1">
      <c r="A267" s="664"/>
      <c r="B267" s="664"/>
      <c r="C267" s="795" t="s">
        <v>1769</v>
      </c>
      <c r="D267" s="717" t="s">
        <v>687</v>
      </c>
      <c r="E267" s="722" t="s">
        <v>567</v>
      </c>
      <c r="F267" s="723" t="s">
        <v>1805</v>
      </c>
      <c r="G267" s="721"/>
      <c r="H267" s="721">
        <f t="shared" si="249"/>
        <v>33.514738419812986</v>
      </c>
      <c r="I267" s="721">
        <f t="shared" si="252"/>
        <v>40.91972149090568</v>
      </c>
      <c r="J267" s="721">
        <f t="shared" si="252"/>
        <v>23.576048403922378</v>
      </c>
      <c r="K267" s="721">
        <f t="shared" si="251"/>
        <v>-1.2148327782297019</v>
      </c>
      <c r="L267" s="721">
        <f t="shared" si="252"/>
        <v>6.0331098560474805</v>
      </c>
      <c r="M267" s="721">
        <f t="shared" si="252"/>
        <v>1.0418421997377081</v>
      </c>
      <c r="N267" s="721">
        <f t="shared" si="252"/>
        <v>3.342735532336083</v>
      </c>
      <c r="O267" s="721">
        <f t="shared" si="252"/>
        <v>7.7455252208446401</v>
      </c>
      <c r="P267" s="721">
        <f t="shared" si="252"/>
        <v>11.76738734045324</v>
      </c>
      <c r="Q267" s="721">
        <f t="shared" si="252"/>
        <v>12.222222222222246</v>
      </c>
      <c r="R267" s="721">
        <f t="shared" si="252"/>
        <v>17.849818542420557</v>
      </c>
      <c r="S267" s="721">
        <f t="shared" si="252"/>
        <v>20.569900478882055</v>
      </c>
      <c r="T267" s="721">
        <f t="shared" si="252"/>
        <v>17.89292526253481</v>
      </c>
      <c r="U267" s="721">
        <f t="shared" si="252"/>
        <v>9.1387801529225534</v>
      </c>
      <c r="V267" s="721">
        <f t="shared" si="252"/>
        <v>-3.4887386300062828</v>
      </c>
      <c r="W267" s="721">
        <f t="shared" si="252"/>
        <v>5.4409618417645467</v>
      </c>
      <c r="X267" s="721">
        <f t="shared" si="252"/>
        <v>3.9652396194664874</v>
      </c>
      <c r="Y267" s="721">
        <f t="shared" si="252"/>
        <v>4.4898912354917941</v>
      </c>
      <c r="Z267" s="721">
        <f t="shared" si="252"/>
        <v>7.2180335238584581</v>
      </c>
      <c r="AA267" s="2948">
        <f>(AA255/Z255-1)*100</f>
        <v>6.7711615269794967</v>
      </c>
      <c r="AB267" s="2948">
        <f>(AB255/AA255-1)*100</f>
        <v>8.7013109412656942</v>
      </c>
      <c r="AC267" s="2220">
        <f>(AC255/AB255-1)*100</f>
        <v>12.388380313796855</v>
      </c>
      <c r="AD267" s="2220">
        <f>(AD255/AC255-1)*100</f>
        <v>6.6999999999999948</v>
      </c>
      <c r="AE267" s="2220">
        <f>(AE255/AD255-1)*100</f>
        <v>5.7330199408850646</v>
      </c>
    </row>
    <row r="268" spans="1:113" ht="12.75" customHeight="1">
      <c r="A268" s="664"/>
      <c r="B268" s="664"/>
      <c r="C268" s="795" t="s">
        <v>1767</v>
      </c>
      <c r="D268" s="674" t="s">
        <v>685</v>
      </c>
      <c r="E268" s="783" t="s">
        <v>567</v>
      </c>
      <c r="F268" s="704" t="s">
        <v>11</v>
      </c>
      <c r="G268" s="706"/>
      <c r="H268" s="706">
        <f t="shared" si="249"/>
        <v>-21.42857142857142</v>
      </c>
      <c r="I268" s="706">
        <f t="shared" si="252"/>
        <v>49.999999999999979</v>
      </c>
      <c r="J268" s="706">
        <f t="shared" si="252"/>
        <v>48.484848484848506</v>
      </c>
      <c r="K268" s="706">
        <f t="shared" si="251"/>
        <v>-28.571428571428569</v>
      </c>
      <c r="L268" s="706">
        <f t="shared" si="252"/>
        <v>31.428571428571406</v>
      </c>
      <c r="M268" s="706">
        <f t="shared" si="252"/>
        <v>-13.043478260869568</v>
      </c>
      <c r="N268" s="706">
        <f t="shared" si="252"/>
        <v>-7.4999999999999956</v>
      </c>
      <c r="O268" s="706">
        <f t="shared" si="252"/>
        <v>13.513513513513509</v>
      </c>
      <c r="P268" s="706">
        <f t="shared" si="252"/>
        <v>4.7619047619047672</v>
      </c>
      <c r="Q268" s="706">
        <f t="shared" si="252"/>
        <v>27.27272727272727</v>
      </c>
      <c r="R268" s="706">
        <f t="shared" si="252"/>
        <v>21.42857142857142</v>
      </c>
      <c r="S268" s="706">
        <f t="shared" si="252"/>
        <v>25</v>
      </c>
      <c r="T268" s="706">
        <f t="shared" si="252"/>
        <v>2.3529411764706021</v>
      </c>
      <c r="U268" s="706">
        <f t="shared" si="252"/>
        <v>-6.8965517241379342</v>
      </c>
      <c r="V268" s="706">
        <f t="shared" si="252"/>
        <v>-3.703703703703709</v>
      </c>
      <c r="W268" s="706">
        <f t="shared" si="252"/>
        <v>11.538461538461565</v>
      </c>
      <c r="X268" s="706">
        <f t="shared" si="252"/>
        <v>-2.298850574712652</v>
      </c>
      <c r="Y268" s="706">
        <f t="shared" si="252"/>
        <v>3.529411764705892</v>
      </c>
      <c r="Z268" s="706">
        <f t="shared" si="252"/>
        <v>13.636363636363624</v>
      </c>
      <c r="AA268" s="706">
        <f t="shared" si="252"/>
        <v>-10.000000000000009</v>
      </c>
      <c r="AB268" s="706">
        <f t="shared" si="252"/>
        <v>4.4444444444444509</v>
      </c>
      <c r="AC268" s="2259">
        <v>4</v>
      </c>
      <c r="AD268" s="2259">
        <v>4</v>
      </c>
      <c r="AE268" s="2259">
        <v>4</v>
      </c>
    </row>
    <row r="269" spans="1:113" ht="12.75" customHeight="1">
      <c r="A269" s="664"/>
      <c r="B269" s="664"/>
      <c r="C269" s="795" t="s">
        <v>1767</v>
      </c>
      <c r="D269" s="674" t="s">
        <v>686</v>
      </c>
      <c r="E269" s="783" t="s">
        <v>567</v>
      </c>
      <c r="F269" s="704" t="s">
        <v>1555</v>
      </c>
      <c r="G269" s="706"/>
      <c r="H269" s="706">
        <f t="shared" si="249"/>
        <v>-6.7567567567567766</v>
      </c>
      <c r="I269" s="706">
        <f t="shared" si="252"/>
        <v>38.164251207729464</v>
      </c>
      <c r="J269" s="706">
        <f t="shared" si="252"/>
        <v>23.951048951048961</v>
      </c>
      <c r="K269" s="706">
        <f t="shared" si="251"/>
        <v>9.1678420310296271</v>
      </c>
      <c r="L269" s="706">
        <f t="shared" si="252"/>
        <v>-20.284237726098198</v>
      </c>
      <c r="M269" s="706">
        <f t="shared" si="252"/>
        <v>-25.445705024311181</v>
      </c>
      <c r="N269" s="706">
        <f t="shared" si="252"/>
        <v>-5.0000000000000044</v>
      </c>
      <c r="O269" s="706">
        <f t="shared" si="252"/>
        <v>21.052631578947391</v>
      </c>
      <c r="P269" s="706">
        <f t="shared" si="252"/>
        <v>962.94896030245741</v>
      </c>
      <c r="Q269" s="706">
        <f t="shared" si="252"/>
        <v>219.9893295393918</v>
      </c>
      <c r="R269" s="706">
        <f t="shared" si="252"/>
        <v>47.824153837603504</v>
      </c>
      <c r="S269" s="706">
        <f t="shared" si="252"/>
        <v>46.695240243627346</v>
      </c>
      <c r="T269" s="706">
        <f t="shared" si="252"/>
        <v>21.836075657388875</v>
      </c>
      <c r="U269" s="706">
        <f t="shared" si="252"/>
        <v>-47.967941436324622</v>
      </c>
      <c r="V269" s="706">
        <f t="shared" si="252"/>
        <v>-13.555690317364066</v>
      </c>
      <c r="W269" s="706">
        <f t="shared" si="252"/>
        <v>17.19203068001125</v>
      </c>
      <c r="X269" s="706">
        <f t="shared" si="252"/>
        <v>-15.623752893287579</v>
      </c>
      <c r="Y269" s="706">
        <f t="shared" si="252"/>
        <v>37.307856027999819</v>
      </c>
      <c r="Z269" s="706">
        <f t="shared" si="252"/>
        <v>-3.9233922358857809</v>
      </c>
      <c r="AA269" s="706">
        <f t="shared" si="252"/>
        <v>8.3106267029972933</v>
      </c>
      <c r="AB269" s="706">
        <f t="shared" si="252"/>
        <v>5.53459119496853</v>
      </c>
      <c r="AC269" s="2215">
        <v>6</v>
      </c>
      <c r="AD269" s="2215">
        <v>6</v>
      </c>
      <c r="AE269" s="2215">
        <v>6</v>
      </c>
      <c r="AF269" s="3660" t="s">
        <v>2598</v>
      </c>
    </row>
    <row r="270" spans="1:113" ht="12.75" customHeight="1">
      <c r="A270" s="664"/>
      <c r="B270" s="664"/>
      <c r="C270" s="796" t="s">
        <v>1767</v>
      </c>
      <c r="D270" s="691" t="s">
        <v>688</v>
      </c>
      <c r="E270" s="797" t="s">
        <v>840</v>
      </c>
      <c r="F270" s="736" t="s">
        <v>841</v>
      </c>
      <c r="G270" s="741"/>
      <c r="H270" s="741" t="e">
        <f t="shared" si="249"/>
        <v>#VALUE!</v>
      </c>
      <c r="I270" s="741" t="e">
        <f t="shared" si="252"/>
        <v>#VALUE!</v>
      </c>
      <c r="J270" s="741" t="e">
        <f t="shared" si="252"/>
        <v>#VALUE!</v>
      </c>
      <c r="K270" s="741" t="e">
        <f t="shared" si="251"/>
        <v>#VALUE!</v>
      </c>
      <c r="L270" s="741" t="e">
        <f t="shared" si="252"/>
        <v>#VALUE!</v>
      </c>
      <c r="M270" s="741" t="e">
        <f t="shared" si="252"/>
        <v>#VALUE!</v>
      </c>
      <c r="N270" s="741" t="e">
        <f t="shared" si="252"/>
        <v>#VALUE!</v>
      </c>
      <c r="O270" s="741" t="e">
        <f t="shared" si="252"/>
        <v>#VALUE!</v>
      </c>
      <c r="P270" s="741" t="e">
        <f t="shared" si="252"/>
        <v>#VALUE!</v>
      </c>
      <c r="Q270" s="741" t="e">
        <f t="shared" si="252"/>
        <v>#VALUE!</v>
      </c>
      <c r="R270" s="741" t="e">
        <f t="shared" si="252"/>
        <v>#VALUE!</v>
      </c>
      <c r="S270" s="741" t="e">
        <f t="shared" ref="S270:AB270" si="253">(S258/R258-1)*100</f>
        <v>#VALUE!</v>
      </c>
      <c r="T270" s="741" t="e">
        <f t="shared" si="253"/>
        <v>#VALUE!</v>
      </c>
      <c r="U270" s="741">
        <f t="shared" si="253"/>
        <v>-42.105263157894733</v>
      </c>
      <c r="V270" s="741">
        <f t="shared" si="253"/>
        <v>190.90909090909091</v>
      </c>
      <c r="W270" s="741">
        <f t="shared" si="253"/>
        <v>-18.75</v>
      </c>
      <c r="X270" s="741">
        <f t="shared" si="253"/>
        <v>-96.15384615384616</v>
      </c>
      <c r="Y270" s="741">
        <f t="shared" si="253"/>
        <v>200</v>
      </c>
      <c r="Z270" s="741">
        <f t="shared" si="253"/>
        <v>-200</v>
      </c>
      <c r="AA270" s="741">
        <f t="shared" si="253"/>
        <v>-133.33333333333331</v>
      </c>
      <c r="AB270" s="741">
        <f t="shared" si="253"/>
        <v>-600</v>
      </c>
      <c r="AC270" s="2214">
        <v>0</v>
      </c>
      <c r="AD270" s="2214">
        <v>0</v>
      </c>
      <c r="AE270" s="2214">
        <v>0</v>
      </c>
      <c r="AF270" s="3654"/>
    </row>
    <row r="271" spans="1:113" ht="12.75" customHeight="1">
      <c r="A271" s="664"/>
      <c r="B271" s="664"/>
      <c r="C271" s="774" t="s">
        <v>1769</v>
      </c>
      <c r="D271" s="717" t="s">
        <v>685</v>
      </c>
      <c r="E271" s="722" t="s">
        <v>1339</v>
      </c>
      <c r="F271" s="723" t="s">
        <v>679</v>
      </c>
      <c r="G271" s="721"/>
      <c r="H271" s="721">
        <f t="shared" si="249"/>
        <v>33.167011695596017</v>
      </c>
      <c r="I271" s="721">
        <f t="shared" si="252"/>
        <v>40.909090909090921</v>
      </c>
      <c r="J271" s="721">
        <f t="shared" si="252"/>
        <v>23.586764858417176</v>
      </c>
      <c r="K271" s="721">
        <f t="shared" si="251"/>
        <v>-1.1978789150421609</v>
      </c>
      <c r="L271" s="721">
        <f t="shared" si="252"/>
        <v>5.8859415421444794</v>
      </c>
      <c r="M271" s="721">
        <f t="shared" si="252"/>
        <v>0.91308882195497709</v>
      </c>
      <c r="N271" s="721">
        <f t="shared" si="252"/>
        <v>3.2868633870303254</v>
      </c>
      <c r="O271" s="721">
        <f t="shared" si="252"/>
        <v>7.7814395768173172</v>
      </c>
      <c r="P271" s="721">
        <f t="shared" si="252"/>
        <v>15.081343564574979</v>
      </c>
      <c r="Q271" s="721">
        <f t="shared" si="252"/>
        <v>18.804190241948682</v>
      </c>
      <c r="R271" s="721">
        <f t="shared" si="252"/>
        <v>20.417088075668445</v>
      </c>
      <c r="S271" s="721">
        <f t="shared" si="252"/>
        <v>23.308964440343516</v>
      </c>
      <c r="T271" s="721">
        <f t="shared" si="252"/>
        <v>19.014498871173036</v>
      </c>
      <c r="U271" s="2220">
        <f t="shared" ref="U271:AE273" si="254">(U259/T259-1)*100</f>
        <v>1.488547054477074</v>
      </c>
      <c r="V271" s="2220">
        <f t="shared" si="254"/>
        <v>-3.501052380763281</v>
      </c>
      <c r="W271" s="2220">
        <f t="shared" si="254"/>
        <v>5.9266209590908892</v>
      </c>
      <c r="X271" s="2220">
        <f t="shared" si="254"/>
        <v>2.0287858106725842</v>
      </c>
      <c r="Y271" s="2220">
        <f t="shared" si="254"/>
        <v>6.3027065997167009</v>
      </c>
      <c r="Z271" s="2220">
        <f t="shared" si="254"/>
        <v>6.2731341073756663</v>
      </c>
      <c r="AA271" s="2220">
        <f t="shared" si="254"/>
        <v>6.9625614855861606</v>
      </c>
      <c r="AB271" s="2220">
        <f t="shared" si="254"/>
        <v>8.3658257844406059</v>
      </c>
      <c r="AC271" s="2220">
        <f t="shared" si="254"/>
        <v>12.016213302456858</v>
      </c>
      <c r="AD271" s="2220">
        <f t="shared" si="254"/>
        <v>6.6643995761564545</v>
      </c>
      <c r="AE271" s="2220">
        <f t="shared" si="254"/>
        <v>5.7529028213170852</v>
      </c>
    </row>
    <row r="272" spans="1:113" s="1006" customFormat="1">
      <c r="A272" s="998"/>
      <c r="B272" s="998"/>
      <c r="C272" s="1007"/>
      <c r="D272" s="1013"/>
      <c r="E272" s="1014" t="s">
        <v>236</v>
      </c>
      <c r="F272" s="1013" t="s">
        <v>1915</v>
      </c>
      <c r="G272" s="1015"/>
      <c r="H272" s="1015">
        <f t="shared" si="249"/>
        <v>33.128992470683507</v>
      </c>
      <c r="I272" s="1015">
        <f t="shared" si="252"/>
        <v>31.350858027849515</v>
      </c>
      <c r="J272" s="1015">
        <f t="shared" si="252"/>
        <v>19.395930055059154</v>
      </c>
      <c r="K272" s="1015">
        <f t="shared" si="251"/>
        <v>-0.82353874776267544</v>
      </c>
      <c r="L272" s="1015">
        <f t="shared" si="252"/>
        <v>0.2924990442660258</v>
      </c>
      <c r="M272" s="1015">
        <f t="shared" si="252"/>
        <v>0.68966739947515787</v>
      </c>
      <c r="N272" s="1015">
        <f t="shared" si="252"/>
        <v>3.6280879685877121</v>
      </c>
      <c r="O272" s="1015">
        <f t="shared" si="252"/>
        <v>8.1176140756284987</v>
      </c>
      <c r="P272" s="1015">
        <f t="shared" si="252"/>
        <v>16.011849570178029</v>
      </c>
      <c r="Q272" s="1015">
        <f t="shared" si="252"/>
        <v>19.36886595005387</v>
      </c>
      <c r="R272" s="1015">
        <f t="shared" si="252"/>
        <v>21.572899821261537</v>
      </c>
      <c r="S272" s="1015">
        <f t="shared" si="252"/>
        <v>24.214717111465745</v>
      </c>
      <c r="T272" s="1015">
        <f t="shared" si="252"/>
        <v>19.703158171604617</v>
      </c>
      <c r="U272" s="2288">
        <f t="shared" si="254"/>
        <v>-16.331315997639408</v>
      </c>
      <c r="V272" s="2288">
        <f t="shared" si="254"/>
        <v>-8.0534243748711773</v>
      </c>
      <c r="W272" s="2288">
        <f t="shared" si="254"/>
        <v>7.341306272671444</v>
      </c>
      <c r="X272" s="2288">
        <f t="shared" si="254"/>
        <v>3.416188025285849</v>
      </c>
      <c r="Y272" s="2288">
        <f t="shared" si="254"/>
        <v>7.0591565033926607</v>
      </c>
      <c r="Z272" s="2288">
        <f t="shared" si="254"/>
        <v>6.5638271939792991</v>
      </c>
      <c r="AA272" s="2288">
        <f t="shared" si="254"/>
        <v>7.2459332240053964</v>
      </c>
      <c r="AB272" s="2288">
        <f t="shared" si="254"/>
        <v>9.1831370110342156</v>
      </c>
      <c r="AC272" s="2288">
        <f t="shared" si="254"/>
        <v>12.035220633313614</v>
      </c>
      <c r="AD272" s="2288">
        <f t="shared" si="254"/>
        <v>7.3722510260284535</v>
      </c>
      <c r="AE272" s="2288">
        <f t="shared" si="254"/>
        <v>6.0991189601487861</v>
      </c>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row>
    <row r="273" spans="1:113" s="1006" customFormat="1">
      <c r="A273" s="998"/>
      <c r="B273" s="998"/>
      <c r="C273" s="1007"/>
      <c r="D273" s="1013"/>
      <c r="E273" s="1014" t="str">
        <f>+E261</f>
        <v>Implicit employees' social contributions</v>
      </c>
      <c r="F273" s="1013" t="s">
        <v>14</v>
      </c>
      <c r="G273" s="1015"/>
      <c r="H273" s="1015">
        <f t="shared" si="249"/>
        <v>34.107468123862425</v>
      </c>
      <c r="I273" s="1015">
        <f t="shared" si="252"/>
        <v>275.61969439728733</v>
      </c>
      <c r="J273" s="1015">
        <f t="shared" si="252"/>
        <v>59.573314048091099</v>
      </c>
      <c r="K273" s="1015">
        <f t="shared" si="251"/>
        <v>-3.6029911624741007</v>
      </c>
      <c r="L273" s="1015">
        <f t="shared" si="252"/>
        <v>42.859661495063548</v>
      </c>
      <c r="M273" s="1015">
        <f t="shared" si="252"/>
        <v>1.9498951005803011</v>
      </c>
      <c r="N273" s="1015">
        <f t="shared" si="252"/>
        <v>1.7229552515835689</v>
      </c>
      <c r="O273" s="1015">
        <f t="shared" si="252"/>
        <v>6.2118207060689157</v>
      </c>
      <c r="P273" s="1015">
        <f t="shared" si="252"/>
        <v>10.658798924410085</v>
      </c>
      <c r="Q273" s="1015">
        <f t="shared" si="252"/>
        <v>15.990550118123403</v>
      </c>
      <c r="R273" s="1015">
        <f t="shared" si="252"/>
        <v>14.490223463686448</v>
      </c>
      <c r="S273" s="1015">
        <f t="shared" si="252"/>
        <v>18.377045847311567</v>
      </c>
      <c r="T273" s="1015">
        <f t="shared" si="252"/>
        <v>15.07975697202626</v>
      </c>
      <c r="U273" s="2288">
        <f t="shared" si="254"/>
        <v>107.39510848273382</v>
      </c>
      <c r="V273" s="2288">
        <f t="shared" si="254"/>
        <v>7.4138706485565864</v>
      </c>
      <c r="W273" s="2288">
        <f t="shared" si="254"/>
        <v>3.0231467524197919</v>
      </c>
      <c r="X273" s="2288">
        <f t="shared" si="254"/>
        <v>-0.9380436019571281</v>
      </c>
      <c r="Y273" s="2288">
        <f t="shared" si="254"/>
        <v>4.6140085994682556</v>
      </c>
      <c r="Z273" s="2288">
        <f t="shared" si="254"/>
        <v>5.6090233820426549</v>
      </c>
      <c r="AA273" s="2288">
        <f t="shared" si="254"/>
        <v>6.3093239850863236</v>
      </c>
      <c r="AB273" s="2288">
        <f t="shared" si="254"/>
        <v>6.4651348009252096</v>
      </c>
      <c r="AC273" s="2288">
        <f t="shared" si="254"/>
        <v>11.97088250654863</v>
      </c>
      <c r="AD273" s="2288">
        <f t="shared" si="254"/>
        <v>4.9752667246595106</v>
      </c>
      <c r="AE273" s="2288">
        <f t="shared" si="254"/>
        <v>4.907869056284575</v>
      </c>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row>
    <row r="274" spans="1:113" ht="12.75" customHeight="1">
      <c r="A274" s="664"/>
      <c r="B274" s="664"/>
      <c r="C274" s="774"/>
      <c r="D274" s="699"/>
      <c r="R274" s="843"/>
      <c r="S274" s="843"/>
      <c r="AB274" s="2221"/>
      <c r="AC274" s="2221"/>
      <c r="AD274" s="2221"/>
      <c r="AE274" s="2221"/>
    </row>
    <row r="275" spans="1:113" ht="12.75" customHeight="1">
      <c r="A275" s="664"/>
      <c r="B275" s="664"/>
      <c r="C275" s="774"/>
      <c r="D275" s="818"/>
      <c r="E275" s="815" t="s">
        <v>660</v>
      </c>
      <c r="F275" s="816"/>
      <c r="G275" s="817">
        <f>+InputY!$G$3</f>
        <v>1995</v>
      </c>
      <c r="H275" s="817">
        <f>+G275+1</f>
        <v>1996</v>
      </c>
      <c r="I275" s="817">
        <f t="shared" ref="I275:O275" si="255">+H275+1</f>
        <v>1997</v>
      </c>
      <c r="J275" s="817">
        <f t="shared" si="255"/>
        <v>1998</v>
      </c>
      <c r="K275" s="817">
        <f>+J275+1</f>
        <v>1999</v>
      </c>
      <c r="L275" s="817">
        <f t="shared" si="255"/>
        <v>2000</v>
      </c>
      <c r="M275" s="817">
        <f t="shared" si="255"/>
        <v>2001</v>
      </c>
      <c r="N275" s="817">
        <f t="shared" si="255"/>
        <v>2002</v>
      </c>
      <c r="O275" s="817">
        <f t="shared" si="255"/>
        <v>2003</v>
      </c>
      <c r="P275" s="817">
        <f t="shared" ref="P275:V275" si="256">+O275+1</f>
        <v>2004</v>
      </c>
      <c r="Q275" s="817">
        <f t="shared" si="256"/>
        <v>2005</v>
      </c>
      <c r="R275" s="817">
        <f t="shared" si="256"/>
        <v>2006</v>
      </c>
      <c r="S275" s="817">
        <f>+R275+1</f>
        <v>2007</v>
      </c>
      <c r="T275" s="817">
        <f t="shared" si="256"/>
        <v>2008</v>
      </c>
      <c r="U275" s="817">
        <f t="shared" si="256"/>
        <v>2009</v>
      </c>
      <c r="V275" s="817">
        <f t="shared" si="256"/>
        <v>2010</v>
      </c>
      <c r="W275" s="817">
        <f t="shared" ref="W275:AE275" si="257">+V275+1</f>
        <v>2011</v>
      </c>
      <c r="X275" s="817">
        <f t="shared" si="257"/>
        <v>2012</v>
      </c>
      <c r="Y275" s="817">
        <f t="shared" si="257"/>
        <v>2013</v>
      </c>
      <c r="Z275" s="817">
        <f t="shared" si="257"/>
        <v>2014</v>
      </c>
      <c r="AA275" s="817">
        <f t="shared" si="257"/>
        <v>2015</v>
      </c>
      <c r="AB275" s="817">
        <f t="shared" si="257"/>
        <v>2016</v>
      </c>
      <c r="AC275" s="817">
        <f t="shared" si="257"/>
        <v>2017</v>
      </c>
      <c r="AD275" s="817">
        <f t="shared" si="257"/>
        <v>2018</v>
      </c>
      <c r="AE275" s="817">
        <f t="shared" si="257"/>
        <v>2019</v>
      </c>
    </row>
    <row r="276" spans="1:113" ht="12.75" customHeight="1">
      <c r="A276" s="664"/>
      <c r="B276" s="664"/>
      <c r="C276" s="810" t="s">
        <v>1767</v>
      </c>
      <c r="D276" s="811" t="s">
        <v>687</v>
      </c>
      <c r="E276" s="1507" t="s">
        <v>567</v>
      </c>
      <c r="F276" s="1508" t="s">
        <v>661</v>
      </c>
      <c r="G276" s="1509"/>
      <c r="H276" s="1509">
        <f>+$F$289*Labour1!H224</f>
        <v>27.178276676028212</v>
      </c>
      <c r="I276" s="1509">
        <f>+$F$289*Labour1!I224</f>
        <v>22.916017503691744</v>
      </c>
      <c r="J276" s="1509">
        <f>+$F$289*Labour1!J224</f>
        <v>19.376377744466989</v>
      </c>
      <c r="K276" s="1509">
        <f>+$F$289*Labour1!K224</f>
        <v>0.70872088621503071</v>
      </c>
      <c r="L276" s="1509">
        <f>+$F$289*Labour1!L224</f>
        <v>-4.2341352862331982</v>
      </c>
      <c r="M276" s="1509">
        <f>+$F$289*Labour1!M224</f>
        <v>2.727246618225676</v>
      </c>
      <c r="N276" s="1509">
        <f>+$F$289*Labour1!N224</f>
        <v>8.2944258371868251</v>
      </c>
      <c r="O276" s="1509">
        <f>+$F$289*Labour1!O224</f>
        <v>10.889780407585814</v>
      </c>
      <c r="P276" s="1509">
        <f>+$F$289*Labour1!P224</f>
        <v>13.457156870048914</v>
      </c>
      <c r="Q276" s="1509">
        <f>+$F$289*Labour1!Q224</f>
        <v>16.551506205805964</v>
      </c>
      <c r="R276" s="1509">
        <f>+$F$289*Labour1!R224</f>
        <v>20.625303696470176</v>
      </c>
      <c r="S276" s="1509">
        <f>+$F$289*Labour1!S224</f>
        <v>19.933250951125302</v>
      </c>
      <c r="T276" s="1509">
        <f>+$F$289*Labour1!T224</f>
        <v>16.462651814471975</v>
      </c>
      <c r="U276" s="3005">
        <f>+$F$289*Labour1!U224</f>
        <v>-16.55735569384197</v>
      </c>
      <c r="V276" s="3005">
        <f>+$F$289*Labour1!V224</f>
        <v>-4.2433577525932353</v>
      </c>
      <c r="W276" s="3005">
        <f>+$F$289*Labour1!W224</f>
        <v>7.2024599889973562</v>
      </c>
      <c r="X276" s="3005">
        <f>+$F$289*Labour1!X224</f>
        <v>5.5380206228158535</v>
      </c>
      <c r="Y276" s="3005">
        <f>+$F$289*Labour1!Y224</f>
        <v>5.8994147360147409</v>
      </c>
      <c r="Z276" s="3005">
        <f>+$F$289*Labour1!Z224</f>
        <v>6.4129692882434197</v>
      </c>
      <c r="AA276" s="3005">
        <f>+$F$289*Labour1!AA224</f>
        <v>6.9293958600731953</v>
      </c>
      <c r="AB276" s="3005">
        <f>+$F$289*Labour1!AB224</f>
        <v>8.2608995937912368</v>
      </c>
      <c r="AC276" s="3005">
        <f>+$F$289*Labour1!AC224</f>
        <v>8.9820108145402209</v>
      </c>
      <c r="AD276" s="3005">
        <f>+$F$289*Labour1!AD224</f>
        <v>5.961773666944703</v>
      </c>
      <c r="AE276" s="3005">
        <f>+$F$289*Labour1!AE224</f>
        <v>5.8131671142300778</v>
      </c>
    </row>
    <row r="277" spans="1:113" ht="12.75" customHeight="1">
      <c r="A277" s="664"/>
      <c r="B277" s="664"/>
      <c r="C277" s="774"/>
      <c r="E277" s="786"/>
      <c r="F277" s="787"/>
      <c r="G277" s="703"/>
      <c r="H277" s="788"/>
      <c r="I277" s="703"/>
      <c r="J277" s="703"/>
      <c r="K277" s="703"/>
      <c r="L277" s="703"/>
      <c r="M277" s="703"/>
      <c r="N277" s="703"/>
      <c r="O277" s="703"/>
      <c r="P277" s="703"/>
      <c r="Q277" s="703"/>
      <c r="R277" s="703"/>
      <c r="S277" s="703"/>
      <c r="T277" s="845"/>
      <c r="U277" s="845"/>
      <c r="V277" s="845"/>
      <c r="W277" s="845"/>
      <c r="X277" s="845"/>
      <c r="Y277" s="845"/>
      <c r="Z277" s="845"/>
      <c r="AA277" s="845"/>
      <c r="AB277" s="845"/>
      <c r="AC277" s="845"/>
      <c r="AD277" s="845"/>
      <c r="AE277" s="845"/>
    </row>
    <row r="278" spans="1:113" ht="12.75" customHeight="1">
      <c r="A278" s="664"/>
      <c r="B278" s="664"/>
      <c r="C278" s="774"/>
      <c r="D278" s="818"/>
      <c r="E278" s="819" t="s">
        <v>512</v>
      </c>
      <c r="F278" s="820"/>
      <c r="G278" s="821">
        <f>+InputY!$G$3</f>
        <v>1995</v>
      </c>
      <c r="H278" s="821">
        <f>+G278+1</f>
        <v>1996</v>
      </c>
      <c r="I278" s="821">
        <f t="shared" ref="I278:O278" si="258">+H278+1</f>
        <v>1997</v>
      </c>
      <c r="J278" s="821">
        <f t="shared" si="258"/>
        <v>1998</v>
      </c>
      <c r="K278" s="821">
        <f>+J278+1</f>
        <v>1999</v>
      </c>
      <c r="L278" s="821">
        <f t="shared" si="258"/>
        <v>2000</v>
      </c>
      <c r="M278" s="821">
        <f t="shared" si="258"/>
        <v>2001</v>
      </c>
      <c r="N278" s="821">
        <f t="shared" si="258"/>
        <v>2002</v>
      </c>
      <c r="O278" s="821">
        <f t="shared" si="258"/>
        <v>2003</v>
      </c>
      <c r="P278" s="821">
        <f t="shared" ref="P278:V278" si="259">+O278+1</f>
        <v>2004</v>
      </c>
      <c r="Q278" s="821">
        <f t="shared" si="259"/>
        <v>2005</v>
      </c>
      <c r="R278" s="821">
        <f t="shared" si="259"/>
        <v>2006</v>
      </c>
      <c r="S278" s="821">
        <f>+R278+1</f>
        <v>2007</v>
      </c>
      <c r="T278" s="821">
        <f t="shared" si="259"/>
        <v>2008</v>
      </c>
      <c r="U278" s="821">
        <f t="shared" si="259"/>
        <v>2009</v>
      </c>
      <c r="V278" s="821">
        <f t="shared" si="259"/>
        <v>2010</v>
      </c>
      <c r="W278" s="821">
        <f t="shared" ref="W278:AE278" si="260">+V278+1</f>
        <v>2011</v>
      </c>
      <c r="X278" s="821">
        <f t="shared" si="260"/>
        <v>2012</v>
      </c>
      <c r="Y278" s="821">
        <f t="shared" si="260"/>
        <v>2013</v>
      </c>
      <c r="Z278" s="821">
        <f t="shared" si="260"/>
        <v>2014</v>
      </c>
      <c r="AA278" s="821">
        <f t="shared" si="260"/>
        <v>2015</v>
      </c>
      <c r="AB278" s="821">
        <f t="shared" si="260"/>
        <v>2016</v>
      </c>
      <c r="AC278" s="821">
        <f t="shared" si="260"/>
        <v>2017</v>
      </c>
      <c r="AD278" s="821">
        <f t="shared" si="260"/>
        <v>2018</v>
      </c>
      <c r="AE278" s="821">
        <f t="shared" si="260"/>
        <v>2019</v>
      </c>
    </row>
    <row r="279" spans="1:113" ht="12.75" customHeight="1">
      <c r="A279" s="664"/>
      <c r="B279" s="664"/>
      <c r="C279" s="822" t="s">
        <v>1767</v>
      </c>
      <c r="D279" s="823" t="s">
        <v>687</v>
      </c>
      <c r="E279" s="824" t="s">
        <v>982</v>
      </c>
      <c r="F279" s="825" t="s">
        <v>2006</v>
      </c>
      <c r="G279" s="838">
        <f>+G253/'VVP2'!G$341</f>
        <v>7.2019813176071187E-2</v>
      </c>
      <c r="H279" s="838">
        <f>+H253/'VVP2'!H$341</f>
        <v>7.6854897237534942E-2</v>
      </c>
      <c r="I279" s="838">
        <f>+I253/'VVP2'!I$341</f>
        <v>8.975601185226631E-2</v>
      </c>
      <c r="J279" s="838">
        <f>+J253/'VVP2'!J$341</f>
        <v>9.98590073998077E-2</v>
      </c>
      <c r="K279" s="838">
        <f>+K253/'VVP2'!K$341</f>
        <v>0.10104011302634973</v>
      </c>
      <c r="L279" s="838">
        <f>+L253/'VVP2'!L$341</f>
        <v>0.10190467213936376</v>
      </c>
      <c r="M279" s="838">
        <f>+M253/'VVP2'!M$341</f>
        <v>9.6969112023513299E-2</v>
      </c>
      <c r="N279" s="838">
        <f>+N253/'VVP2'!N$341</f>
        <v>9.3567563051853778E-2</v>
      </c>
      <c r="O279" s="838">
        <f>+O253/'VVP2'!O$341</f>
        <v>9.1952595557603337E-2</v>
      </c>
      <c r="P279" s="838">
        <f>+P253/'VVP2'!P$341</f>
        <v>9.1253182963659932E-2</v>
      </c>
      <c r="Q279" s="838">
        <f>+Q253/'VVP2'!Q$341</f>
        <v>8.8822917435429846E-2</v>
      </c>
      <c r="R279" s="838">
        <f>+R253/'VVP2'!R$341</f>
        <v>9.1271795800355326E-2</v>
      </c>
      <c r="S279" s="838">
        <f>+S253/'VVP2'!S$341</f>
        <v>9.1107089163951507E-2</v>
      </c>
      <c r="T279" s="838">
        <f>+T253/'VVP2'!T$341</f>
        <v>9.5264354232346929E-2</v>
      </c>
      <c r="U279" s="2909">
        <f>+U253/'VVP2'!U$341</f>
        <v>0.12634240733741678</v>
      </c>
      <c r="V279" s="2909">
        <f>+V253/'VVP2'!V$341</f>
        <v>0.11758206000786366</v>
      </c>
      <c r="W279" s="2909">
        <f>+W253/'VVP2'!W$341</f>
        <v>0.11112979819231265</v>
      </c>
      <c r="X279" s="2909">
        <f>+X253/'VVP2'!X$341</f>
        <v>0.10831108344368319</v>
      </c>
      <c r="Y279" s="2909">
        <f>+Y253/'VVP2'!Y$341</f>
        <v>0.10853197901008733</v>
      </c>
      <c r="Z279" s="2909">
        <f>+Z253/'VVP2'!Z$341</f>
        <v>0.11115152257639679</v>
      </c>
      <c r="AA279" s="2909">
        <f>+AA253/'VVP2'!AA$341</f>
        <v>0.1159629472185699</v>
      </c>
      <c r="AB279" s="2909">
        <f>+AB253/'VVP2'!AB$341</f>
        <v>0.1219548715848012</v>
      </c>
      <c r="AC279" s="2909">
        <f ca="1">+AC253/'VVP2'!AC$341</f>
        <v>0.12685618454774306</v>
      </c>
      <c r="AD279" s="2909">
        <f ca="1">+AD253/'VVP2'!AD$341</f>
        <v>0.12790999013340285</v>
      </c>
      <c r="AE279" s="2909">
        <f ca="1">+AE253/'VVP2'!AE$341</f>
        <v>0.1281017224871942</v>
      </c>
    </row>
    <row r="280" spans="1:113" ht="12.75" customHeight="1">
      <c r="A280" s="664"/>
      <c r="B280" s="664"/>
      <c r="C280" s="826" t="s">
        <v>1767</v>
      </c>
      <c r="D280" s="674" t="s">
        <v>687</v>
      </c>
      <c r="E280" s="783" t="s">
        <v>2079</v>
      </c>
      <c r="F280" s="704" t="s">
        <v>385</v>
      </c>
      <c r="G280" s="839">
        <f>+G254/'VVP2'!G$341</f>
        <v>1.5970058715723939E-4</v>
      </c>
      <c r="H280" s="839">
        <f>+H254/'VVP2'!H$341</f>
        <v>1.7397301874070298E-4</v>
      </c>
      <c r="I280" s="839">
        <f>+I254/'VVP2'!I$341</f>
        <v>1.8167333939479748E-4</v>
      </c>
      <c r="J280" s="839">
        <f>+J254/'VVP2'!J$341</f>
        <v>2.0734205910630967E-4</v>
      </c>
      <c r="K280" s="839">
        <f>+K254/'VVP2'!K$341</f>
        <v>2.2026293100735678E-4</v>
      </c>
      <c r="L280" s="839">
        <f>+L254/'VVP2'!L$341</f>
        <v>1.9523974093706102E-4</v>
      </c>
      <c r="M280" s="839">
        <f>+M254/'VVP2'!M$341</f>
        <v>1.8880525724011802E-4</v>
      </c>
      <c r="N280" s="839">
        <f>+N254/'VVP2'!N$341</f>
        <v>1.828686299390153E-4</v>
      </c>
      <c r="O280" s="839">
        <f>+O254/'VVP2'!O$341</f>
        <v>1.7338113613238882E-4</v>
      </c>
      <c r="P280" s="839">
        <f>+P254/'VVP2'!P$341</f>
        <v>2.853975167948625E-3</v>
      </c>
      <c r="Q280" s="839">
        <f>+Q254/'VVP2'!Q$341</f>
        <v>2.884439122288696E-3</v>
      </c>
      <c r="R280" s="839">
        <f>+R254/'VVP2'!R$341</f>
        <v>2.9951186045371978E-3</v>
      </c>
      <c r="S280" s="839">
        <f>+S254/'VVP2'!S$341</f>
        <v>3.1325045642902056E-3</v>
      </c>
      <c r="T280" s="839">
        <f>+T254/'VVP2'!T$341</f>
        <v>3.4156790925450845E-3</v>
      </c>
      <c r="U280" s="2910">
        <f>+U254/'VVP2'!U$341</f>
        <v>4.3928268315882564E-3</v>
      </c>
      <c r="V280" s="2910">
        <f>+V254/'VVP2'!V$341</f>
        <v>3.6724435789502229E-3</v>
      </c>
      <c r="W280" s="2910">
        <f>+W254/'VVP2'!W$341</f>
        <v>3.4458480360872405E-3</v>
      </c>
      <c r="X280" s="2910">
        <f>+X254/'VVP2'!X$341</f>
        <v>3.402553879517147E-3</v>
      </c>
      <c r="Y280" s="2910">
        <f>+Y254/'VVP2'!Y$341</f>
        <v>2.8178199724539573E-3</v>
      </c>
      <c r="Z280" s="2910">
        <f>+Z254/'VVP2'!Z$341</f>
        <v>2.9837334433011342E-3</v>
      </c>
      <c r="AA280" s="2910">
        <f>+AA254/'VVP2'!AA$341</f>
        <v>3.1058116137154816E-3</v>
      </c>
      <c r="AB280" s="2910">
        <f>+AB254/'VVP2'!AB$341</f>
        <v>3.3182201864472003E-3</v>
      </c>
      <c r="AC280" s="2910">
        <f ca="1">+AC254/'VVP2'!AC$341</f>
        <v>3.4515780048138089E-3</v>
      </c>
      <c r="AD280" s="2910">
        <f ca="1">+AD254/'VVP2'!AD$341</f>
        <v>3.4802505696854445E-3</v>
      </c>
      <c r="AE280" s="2910">
        <f ca="1">+AE254/'VVP2'!AE$341</f>
        <v>3.4854673368262565E-3</v>
      </c>
    </row>
    <row r="281" spans="1:113" ht="12.75" customHeight="1">
      <c r="A281" s="664"/>
      <c r="B281" s="664"/>
      <c r="C281" s="826" t="s">
        <v>1769</v>
      </c>
      <c r="D281" s="806" t="s">
        <v>687</v>
      </c>
      <c r="E281" s="807" t="s">
        <v>567</v>
      </c>
      <c r="F281" s="808" t="s">
        <v>1805</v>
      </c>
      <c r="G281" s="841">
        <f>+G255/'VVP2'!G$341</f>
        <v>7.2179513763228439E-2</v>
      </c>
      <c r="H281" s="841">
        <f>+H255/'VVP2'!H$341</f>
        <v>7.7028870256275639E-2</v>
      </c>
      <c r="I281" s="841">
        <f>+I255/'VVP2'!I$341</f>
        <v>8.9937685191661107E-2</v>
      </c>
      <c r="J281" s="841">
        <f>+J255/'VVP2'!J$341</f>
        <v>0.10006634945891402</v>
      </c>
      <c r="K281" s="841">
        <f>+K255/'VVP2'!K$341</f>
        <v>0.10126037595735708</v>
      </c>
      <c r="L281" s="841">
        <f>+L255/'VVP2'!L$341</f>
        <v>0.10209991188030082</v>
      </c>
      <c r="M281" s="841">
        <f>+M255/'VVP2'!M$341</f>
        <v>9.7157917280753417E-2</v>
      </c>
      <c r="N281" s="841">
        <f>+N255/'VVP2'!N$341</f>
        <v>9.3750431681792798E-2</v>
      </c>
      <c r="O281" s="841">
        <f>+O255/'VVP2'!O$341</f>
        <v>9.2125976693735734E-2</v>
      </c>
      <c r="P281" s="841">
        <f>+P255/'VVP2'!P$341</f>
        <v>9.4107158131608554E-2</v>
      </c>
      <c r="Q281" s="841">
        <f>+Q255/'VVP2'!Q$341</f>
        <v>9.1707356557718556E-2</v>
      </c>
      <c r="R281" s="841">
        <f>+R255/'VVP2'!R$341</f>
        <v>9.4266914404892529E-2</v>
      </c>
      <c r="S281" s="841">
        <f>+S255/'VVP2'!S$341</f>
        <v>9.4239593728241713E-2</v>
      </c>
      <c r="T281" s="841">
        <f>+T255/'VVP2'!T$341</f>
        <v>9.8680033324892003E-2</v>
      </c>
      <c r="U281" s="2912">
        <f>+U255/'VVP2'!U$341</f>
        <v>0.13073523416900504</v>
      </c>
      <c r="V281" s="2912">
        <f>+V255/'VVP2'!V$341</f>
        <v>0.12125450358681389</v>
      </c>
      <c r="W281" s="2912">
        <f>+W255/'VVP2'!W$341</f>
        <v>0.11457564622839989</v>
      </c>
      <c r="X281" s="2912">
        <f>+X255/'VVP2'!X$341</f>
        <v>0.11171363732320033</v>
      </c>
      <c r="Y281" s="2912">
        <f>+Y255/'VVP2'!Y$341</f>
        <v>0.11134979898254128</v>
      </c>
      <c r="Z281" s="2912">
        <f>+Z255/'VVP2'!Z$341</f>
        <v>0.11413525601969794</v>
      </c>
      <c r="AA281" s="2912">
        <f>+AA255/'VVP2'!AA$341</f>
        <v>0.11906875883228538</v>
      </c>
      <c r="AB281" s="2912">
        <f>+AB255/'VVP2'!AB$341</f>
        <v>0.1252730917712484</v>
      </c>
      <c r="AC281" s="2912">
        <f ca="1">+AC255/'VVP2'!AC$341</f>
        <v>0.13030776255255688</v>
      </c>
      <c r="AD281" s="2912">
        <f ca="1">+AD255/'VVP2'!AD$341</f>
        <v>0.1313902407030883</v>
      </c>
      <c r="AE281" s="2912">
        <f ca="1">+AE255/'VVP2'!AE$341</f>
        <v>0.13158718982402046</v>
      </c>
    </row>
    <row r="282" spans="1:113" ht="12.75" customHeight="1">
      <c r="A282" s="664"/>
      <c r="B282" s="664"/>
      <c r="C282" s="826" t="s">
        <v>1767</v>
      </c>
      <c r="D282" s="674" t="s">
        <v>685</v>
      </c>
      <c r="E282" s="783" t="s">
        <v>567</v>
      </c>
      <c r="F282" s="704" t="s">
        <v>11</v>
      </c>
      <c r="G282" s="839">
        <f>+G256/'VVP2'!G$341</f>
        <v>3.6061422906473417E-5</v>
      </c>
      <c r="H282" s="839">
        <f>+H256/'VVP2'!H$341</f>
        <v>2.2647375220683234E-5</v>
      </c>
      <c r="I282" s="839">
        <f>+I256/'VVP2'!I$341</f>
        <v>2.8146573709053132E-5</v>
      </c>
      <c r="J282" s="839">
        <f>+J256/'VVP2'!J$341</f>
        <v>3.7628744060033983E-5</v>
      </c>
      <c r="K282" s="839">
        <f>+K256/'VVP2'!K$341</f>
        <v>2.7532866375919601E-5</v>
      </c>
      <c r="L282" s="839">
        <f>+L256/'VVP2'!L$341</f>
        <v>3.441006928392646E-5</v>
      </c>
      <c r="M282" s="839">
        <f>+M256/'VVP2'!M$341</f>
        <v>2.8179889140316121E-5</v>
      </c>
      <c r="N282" s="839">
        <f>+N256/'VVP2'!N$341</f>
        <v>2.4338630603394121E-5</v>
      </c>
      <c r="O282" s="839">
        <f>+O256/'VVP2'!O$341</f>
        <v>2.5197258538271039E-5</v>
      </c>
      <c r="P282" s="839">
        <f>+P256/'VVP2'!P$341</f>
        <v>2.4125822745387037E-5</v>
      </c>
      <c r="Q282" s="839">
        <f>+Q256/'VVP2'!Q$341</f>
        <v>2.6663682873583196E-5</v>
      </c>
      <c r="R282" s="839">
        <f>+R256/'VVP2'!R$341</f>
        <v>2.8240164324532647E-5</v>
      </c>
      <c r="S282" s="839">
        <f>+S256/'VVP2'!S$341</f>
        <v>2.9269307240262448E-5</v>
      </c>
      <c r="T282" s="839">
        <f>+T256/'VVP2'!T$341</f>
        <v>2.660853161277063E-5</v>
      </c>
      <c r="U282" s="2910">
        <f>+U256/'VVP2'!U$341</f>
        <v>3.0072597477911495E-5</v>
      </c>
      <c r="V282" s="2910">
        <f>+V256/'VVP2'!V$341</f>
        <v>2.7829651137483471E-5</v>
      </c>
      <c r="W282" s="2910">
        <f>+W256/'VVP2'!W$341</f>
        <v>2.7817461180253313E-5</v>
      </c>
      <c r="X282" s="2910">
        <f>+X256/'VVP2'!X$341</f>
        <v>2.5488418062832251E-5</v>
      </c>
      <c r="Y282" s="2910">
        <f>+Y256/'VVP2'!Y$341</f>
        <v>2.5171876720733762E-5</v>
      </c>
      <c r="Z282" s="2910">
        <f>+Z256/'VVP2'!Z$341</f>
        <v>2.7346104328669546E-5</v>
      </c>
      <c r="AA282" s="2910">
        <f>+AA256/'VVP2'!AA$341</f>
        <v>2.4047061702889999E-5</v>
      </c>
      <c r="AB282" s="2910">
        <f>+AB256/'VVP2'!AB$341</f>
        <v>2.4309305395217586E-5</v>
      </c>
      <c r="AC282" s="2910">
        <f ca="1">+AC256/'VVP2'!AC$341</f>
        <v>2.339898226676861E-5</v>
      </c>
      <c r="AD282" s="2910">
        <f ca="1">+AD256/'VVP2'!AD$341</f>
        <v>2.2996339341230264E-5</v>
      </c>
      <c r="AE282" s="2910">
        <f ca="1">+AE256/'VVP2'!AE$341</f>
        <v>2.2653322886885206E-5</v>
      </c>
    </row>
    <row r="283" spans="1:113" ht="12.75" customHeight="1">
      <c r="A283" s="664"/>
      <c r="B283" s="664"/>
      <c r="C283" s="826" t="s">
        <v>1767</v>
      </c>
      <c r="D283" s="674" t="s">
        <v>686</v>
      </c>
      <c r="E283" s="783" t="s">
        <v>567</v>
      </c>
      <c r="F283" s="704" t="s">
        <v>1555</v>
      </c>
      <c r="G283" s="839">
        <f>+G257/'VVP2'!G$341</f>
        <v>5.7183113465979272E-4</v>
      </c>
      <c r="H283" s="839">
        <f>+H257/'VVP2'!H$341</f>
        <v>4.2618242460740256E-4</v>
      </c>
      <c r="I283" s="839">
        <f>+I257/'VVP2'!I$341</f>
        <v>4.8787394429025428E-4</v>
      </c>
      <c r="J283" s="839">
        <f>+J257/'VVP2'!J$341</f>
        <v>5.4446488854212425E-4</v>
      </c>
      <c r="K283" s="839">
        <f>+K257/'VVP2'!K$341</f>
        <v>6.0886967357033628E-4</v>
      </c>
      <c r="L283" s="839">
        <f>+L257/'VVP2'!L$341</f>
        <v>4.6154375539527446E-4</v>
      </c>
      <c r="M283" s="839">
        <f>+M257/'VVP2'!M$341</f>
        <v>3.2406872511363537E-4</v>
      </c>
      <c r="N283" s="839">
        <f>+N257/'VVP2'!N$341</f>
        <v>2.874589614508981E-4</v>
      </c>
      <c r="O283" s="839">
        <f>+O257/'VVP2'!O$341</f>
        <v>3.1736547063679479E-4</v>
      </c>
      <c r="P283" s="839">
        <f>+P257/'VVP2'!P$341</f>
        <v>3.083170484029802E-3</v>
      </c>
      <c r="Q283" s="839">
        <f>+Q257/'VVP2'!Q$341</f>
        <v>8.5671365347211141E-3</v>
      </c>
      <c r="R283" s="839">
        <f>+R257/'VVP2'!R$341</f>
        <v>1.1046057216234107E-2</v>
      </c>
      <c r="S283" s="839">
        <f>+S257/'VVP2'!S$341</f>
        <v>1.343564505765365E-2</v>
      </c>
      <c r="T283" s="839">
        <f>+T257/'VVP2'!T$341</f>
        <v>1.453926868744701E-2</v>
      </c>
      <c r="U283" s="2910">
        <f>+U257/'VVP2'!U$341</f>
        <v>9.1832802298288975E-3</v>
      </c>
      <c r="V283" s="2910">
        <f>+V257/'VVP2'!V$341</f>
        <v>7.6288923156624553E-3</v>
      </c>
      <c r="W283" s="2910">
        <f>+W257/'VVP2'!W$341</f>
        <v>8.0120683017791666E-3</v>
      </c>
      <c r="X283" s="2910">
        <f>+X257/'VVP2'!X$341</f>
        <v>6.3400190953230851E-3</v>
      </c>
      <c r="Y283" s="2910">
        <f>+Y257/'VVP2'!Y$341</f>
        <v>8.3041449213593389E-3</v>
      </c>
      <c r="Z283" s="2910">
        <f>+Z257/'VVP2'!Z$341</f>
        <v>7.6273754193525098E-3</v>
      </c>
      <c r="AA283" s="2910">
        <f>+AA257/'VVP2'!AA$341</f>
        <v>8.0717970449367439E-3</v>
      </c>
      <c r="AB283" s="2910">
        <f>+AB257/'VVP2'!AB$341</f>
        <v>8.2449922830885852E-3</v>
      </c>
      <c r="AC283" s="2910">
        <f ca="1">+AC257/'VVP2'!AC$341</f>
        <v>8.0888577515022889E-3</v>
      </c>
      <c r="AD283" s="2910">
        <f ca="1">+AD257/'VVP2'!AD$341</f>
        <v>8.1025452366619306E-3</v>
      </c>
      <c r="AE283" s="2910">
        <f ca="1">+AE257/'VVP2'!AE$341</f>
        <v>8.1351805678800578E-3</v>
      </c>
    </row>
    <row r="284" spans="1:113" ht="12.75" customHeight="1">
      <c r="A284" s="664"/>
      <c r="B284" s="664"/>
      <c r="C284" s="827" t="s">
        <v>1767</v>
      </c>
      <c r="D284" s="828" t="s">
        <v>688</v>
      </c>
      <c r="E284" s="829" t="s">
        <v>840</v>
      </c>
      <c r="F284" s="830" t="s">
        <v>841</v>
      </c>
      <c r="G284" s="840" t="e">
        <f>+G258/'VVP2'!G$341</f>
        <v>#VALUE!</v>
      </c>
      <c r="H284" s="840" t="e">
        <f>+H258/'VVP2'!H$341</f>
        <v>#VALUE!</v>
      </c>
      <c r="I284" s="840" t="e">
        <f>+I258/'VVP2'!I$341</f>
        <v>#VALUE!</v>
      </c>
      <c r="J284" s="840" t="e">
        <f>+J258/'VVP2'!J$341</f>
        <v>#VALUE!</v>
      </c>
      <c r="K284" s="840" t="e">
        <f>+K258/'VVP2'!K$341</f>
        <v>#VALUE!</v>
      </c>
      <c r="L284" s="840" t="e">
        <f>+L258/'VVP2'!L$341</f>
        <v>#VALUE!</v>
      </c>
      <c r="M284" s="840" t="e">
        <f>+M258/'VVP2'!M$341</f>
        <v>#VALUE!</v>
      </c>
      <c r="N284" s="840" t="e">
        <f>+N258/'VVP2'!N$341</f>
        <v>#VALUE!</v>
      </c>
      <c r="O284" s="840" t="e">
        <f>+O258/'VVP2'!O$341</f>
        <v>#VALUE!</v>
      </c>
      <c r="P284" s="840" t="e">
        <f>+P258/'VVP2'!P$341</f>
        <v>#VALUE!</v>
      </c>
      <c r="Q284" s="840" t="e">
        <f>+Q258/'VVP2'!Q$341</f>
        <v>#VALUE!</v>
      </c>
      <c r="R284" s="840" t="e">
        <f>+R258/'VVP2'!R$341</f>
        <v>#VALUE!</v>
      </c>
      <c r="S284" s="840" t="e">
        <f>+S258/'VVP2'!S$341</f>
        <v>#VALUE!</v>
      </c>
      <c r="T284" s="840">
        <f>+T258/'VVP2'!T$341</f>
        <v>5.8110586280763431E-4</v>
      </c>
      <c r="U284" s="2911">
        <f>+U258/'VVP2'!U$341</f>
        <v>4.0839329908274864E-4</v>
      </c>
      <c r="V284" s="2911">
        <f>+V258/'VVP2'!V$341</f>
        <v>1.1417292774352193E-3</v>
      </c>
      <c r="W284" s="2911">
        <f>+W258/'VVP2'!W$341</f>
        <v>8.3132642607653567E-4</v>
      </c>
      <c r="X284" s="2911">
        <f>+X258/'VVP2'!X$341</f>
        <v>2.998637419156735E-5</v>
      </c>
      <c r="Y284" s="2911">
        <f>+Y258/'VVP2'!Y$341</f>
        <v>8.581321609341054E-5</v>
      </c>
      <c r="Z284" s="2911">
        <f>+Z258/'VVP2'!Z$341</f>
        <v>-8.2038312986008641E-5</v>
      </c>
      <c r="AA284" s="2911">
        <f>+AA258/'VVP2'!AA$341</f>
        <v>2.6718957447655556E-5</v>
      </c>
      <c r="AB284" s="2911">
        <f>+AB258/'VVP2'!AB$341</f>
        <v>-1.2930481593200843E-4</v>
      </c>
      <c r="AC284" s="2911">
        <f ca="1">+AC258/'VVP2'!AC$341</f>
        <v>-1.1967564579975762E-4</v>
      </c>
      <c r="AD284" s="2911">
        <f ca="1">+AD258/'VVP2'!AD$341</f>
        <v>-1.1309259794999458E-4</v>
      </c>
      <c r="AE284" s="2911">
        <f ca="1">+AE258/'VVP2'!AE$341</f>
        <v>-1.0712085935232682E-4</v>
      </c>
    </row>
    <row r="285" spans="1:113" ht="12.75" customHeight="1">
      <c r="A285" s="664"/>
      <c r="B285" s="664"/>
      <c r="C285" s="774" t="s">
        <v>1769</v>
      </c>
      <c r="D285" s="806" t="s">
        <v>685</v>
      </c>
      <c r="E285" s="807" t="s">
        <v>1339</v>
      </c>
      <c r="F285" s="808" t="s">
        <v>679</v>
      </c>
      <c r="G285" s="841">
        <f>+G259/'VVP2'!G$341</f>
        <v>7.2788694228755627E-2</v>
      </c>
      <c r="H285" s="841">
        <f>+H259/'VVP2'!H$341</f>
        <v>7.747667062995732E-2</v>
      </c>
      <c r="I285" s="841">
        <f>+I259/'VVP2'!I$341</f>
        <v>9.0453705709660423E-2</v>
      </c>
      <c r="J285" s="841">
        <f>+J259/'VVP2'!J$341</f>
        <v>0.10064921102506844</v>
      </c>
      <c r="K285" s="841">
        <f>+K259/'VVP2'!K$341</f>
        <v>0.10186767232427738</v>
      </c>
      <c r="L285" s="841">
        <f>+L259/'VVP2'!L$341</f>
        <v>0.10256968413052486</v>
      </c>
      <c r="M285" s="841">
        <f>+M259/'VVP2'!M$341</f>
        <v>9.7480577011410038E-2</v>
      </c>
      <c r="N285" s="841">
        <f>+N259/'VVP2'!N$341</f>
        <v>9.4010920809331822E-2</v>
      </c>
      <c r="O285" s="841">
        <f>+O259/'VVP2'!O$341</f>
        <v>9.2412745493290344E-2</v>
      </c>
      <c r="P285" s="841">
        <f>+P259/'VVP2'!P$341</f>
        <v>9.7199101642091237E-2</v>
      </c>
      <c r="Q285" s="841">
        <f>+Q259/'VVP2'!Q$341</f>
        <v>0.10027592150402218</v>
      </c>
      <c r="R285" s="841">
        <f>+R259/'VVP2'!R$341</f>
        <v>0.10532003166220777</v>
      </c>
      <c r="S285" s="841">
        <f>+S259/'VVP2'!S$341</f>
        <v>0.10768143699213448</v>
      </c>
      <c r="T285" s="841">
        <f>+T259/'VVP2'!T$341</f>
        <v>0.11382793394233227</v>
      </c>
      <c r="U285" s="2912">
        <f>+U259/'VVP2'!U$341</f>
        <v>0.14023297723912767</v>
      </c>
      <c r="V285" s="2912">
        <f>+V259/'VVP2'!V$341</f>
        <v>0.13004688939426265</v>
      </c>
      <c r="W285" s="2912">
        <f>+W259/'VVP2'!W$341</f>
        <v>0.1234497360858338</v>
      </c>
      <c r="X285" s="2912">
        <f>+X259/'VVP2'!X$341</f>
        <v>0.11812412439787361</v>
      </c>
      <c r="Y285" s="2912">
        <f>+Y259/'VVP2'!Y$341</f>
        <v>0.11978209163993346</v>
      </c>
      <c r="Z285" s="2912">
        <f>+Z259/'VVP2'!Z$341</f>
        <v>0.12169645386657506</v>
      </c>
      <c r="AA285" s="2912">
        <f>+AA259/'VVP2'!AA$341</f>
        <v>0.12718437496743626</v>
      </c>
      <c r="AB285" s="2912">
        <f>+AB259/'VVP2'!AB$341</f>
        <v>0.13339860640441581</v>
      </c>
      <c r="AC285" s="2912">
        <f ca="1">+AC259/'VVP2'!AC$341</f>
        <v>0.13830034364052618</v>
      </c>
      <c r="AD285" s="2912">
        <f ca="1">+AD259/'VVP2'!AD$341</f>
        <v>0.13940268968114147</v>
      </c>
      <c r="AE285" s="2912">
        <f ca="1">+AE259/'VVP2'!AE$341</f>
        <v>0.13963790285543506</v>
      </c>
    </row>
    <row r="286" spans="1:113" ht="12.75" customHeight="1">
      <c r="A286" s="664"/>
      <c r="B286" s="664"/>
      <c r="C286" s="774"/>
      <c r="R286" s="843"/>
      <c r="S286" s="843"/>
      <c r="T286" s="843"/>
      <c r="U286" s="843"/>
      <c r="V286" s="843"/>
      <c r="W286" s="843"/>
      <c r="X286" s="843"/>
      <c r="Y286" s="843"/>
      <c r="Z286" s="843"/>
      <c r="AA286" s="843"/>
      <c r="AB286" s="843"/>
      <c r="AC286" s="843"/>
      <c r="AD286" s="843"/>
      <c r="AE286" s="843"/>
    </row>
    <row r="287" spans="1:113" ht="12.75" customHeight="1">
      <c r="A287" s="664"/>
      <c r="B287" s="664"/>
      <c r="C287" s="774"/>
      <c r="R287" s="843"/>
      <c r="S287" s="843"/>
      <c r="AB287" s="2221"/>
      <c r="AC287" s="2221"/>
      <c r="AD287" s="2221"/>
      <c r="AE287" s="2221"/>
    </row>
    <row r="288" spans="1:113" ht="12.75" customHeight="1" thickBot="1">
      <c r="A288" s="664"/>
      <c r="B288" s="664"/>
      <c r="C288" s="774"/>
      <c r="D288" s="818" t="s">
        <v>687</v>
      </c>
      <c r="E288" s="1052" t="s">
        <v>567</v>
      </c>
      <c r="F288" s="820"/>
      <c r="G288" s="821">
        <f>+InputY!$G$3</f>
        <v>1995</v>
      </c>
      <c r="H288" s="821">
        <f t="shared" ref="H288:O288" si="261">+G288+1</f>
        <v>1996</v>
      </c>
      <c r="I288" s="821">
        <f t="shared" si="261"/>
        <v>1997</v>
      </c>
      <c r="J288" s="821">
        <f t="shared" si="261"/>
        <v>1998</v>
      </c>
      <c r="K288" s="821">
        <f>+J288+1</f>
        <v>1999</v>
      </c>
      <c r="L288" s="821">
        <f t="shared" si="261"/>
        <v>2000</v>
      </c>
      <c r="M288" s="821">
        <f t="shared" si="261"/>
        <v>2001</v>
      </c>
      <c r="N288" s="821">
        <f t="shared" si="261"/>
        <v>2002</v>
      </c>
      <c r="O288" s="821">
        <f t="shared" si="261"/>
        <v>2003</v>
      </c>
      <c r="P288" s="821">
        <f t="shared" ref="P288:W288" si="262">+O288+1</f>
        <v>2004</v>
      </c>
      <c r="Q288" s="821">
        <f t="shared" si="262"/>
        <v>2005</v>
      </c>
      <c r="R288" s="821">
        <f t="shared" si="262"/>
        <v>2006</v>
      </c>
      <c r="S288" s="821">
        <f t="shared" si="262"/>
        <v>2007</v>
      </c>
      <c r="T288" s="2255">
        <f t="shared" si="262"/>
        <v>2008</v>
      </c>
      <c r="U288" s="2255">
        <f t="shared" si="262"/>
        <v>2009</v>
      </c>
      <c r="V288" s="2255">
        <f t="shared" si="262"/>
        <v>2010</v>
      </c>
      <c r="W288" s="2255">
        <f t="shared" si="262"/>
        <v>2011</v>
      </c>
      <c r="X288" s="2255">
        <f t="shared" ref="X288:AE288" si="263">+W288+1</f>
        <v>2012</v>
      </c>
      <c r="Y288" s="2255">
        <f t="shared" si="263"/>
        <v>2013</v>
      </c>
      <c r="Z288" s="2255">
        <f t="shared" si="263"/>
        <v>2014</v>
      </c>
      <c r="AA288" s="2255">
        <f t="shared" si="263"/>
        <v>2015</v>
      </c>
      <c r="AB288" s="2255">
        <f t="shared" si="263"/>
        <v>2016</v>
      </c>
      <c r="AC288" s="2255">
        <f t="shared" si="263"/>
        <v>2017</v>
      </c>
      <c r="AD288" s="2255">
        <f t="shared" si="263"/>
        <v>2018</v>
      </c>
      <c r="AE288" s="2255">
        <f t="shared" si="263"/>
        <v>2019</v>
      </c>
    </row>
    <row r="289" spans="1:113" s="884" customFormat="1" ht="12.75" customHeight="1" thickBot="1">
      <c r="A289" s="664"/>
      <c r="B289" s="664"/>
      <c r="C289" s="822"/>
      <c r="D289" s="1045"/>
      <c r="E289" s="1046" t="s">
        <v>1080</v>
      </c>
      <c r="F289" s="1505">
        <v>1</v>
      </c>
      <c r="G289" s="1048"/>
      <c r="H289" s="1048">
        <f>+H267/Labour1!H224</f>
        <v>1.2331443534598225</v>
      </c>
      <c r="I289" s="1048">
        <f>+I267/Labour1!I224</f>
        <v>1.7856384288549945</v>
      </c>
      <c r="J289" s="1048">
        <f>+J267/Labour1!J224</f>
        <v>1.2167417829503568</v>
      </c>
      <c r="K289" s="1048">
        <f>+K267/Labour1!K224</f>
        <v>-1.7141201873104011</v>
      </c>
      <c r="L289" s="1048">
        <f>+L267/Labour1!L224</f>
        <v>-1.4248741356147594</v>
      </c>
      <c r="M289" s="1048">
        <f>+M267/Labour1!M224</f>
        <v>0.3820124636970022</v>
      </c>
      <c r="N289" s="1048">
        <f>+N267/Labour1!N224</f>
        <v>0.4030098765063912</v>
      </c>
      <c r="O289" s="1048">
        <f>+O267/Labour1!O224</f>
        <v>0.71126551050093834</v>
      </c>
      <c r="P289" s="1048">
        <f>+P267/Labour1!P224</f>
        <v>0.87443339288430755</v>
      </c>
      <c r="Q289" s="1048">
        <f>+Q267/Labour1!Q224</f>
        <v>0.73843564871062406</v>
      </c>
      <c r="R289" s="1048">
        <f>+R267/Labour1!R224</f>
        <v>0.86543300428955061</v>
      </c>
      <c r="S289" s="1048">
        <f>+S267/Labour1!S224</f>
        <v>1.0319390715201331</v>
      </c>
      <c r="T289" s="1048">
        <f>+T267/Labour1!T224</f>
        <v>1.0868798942103308</v>
      </c>
      <c r="U289" s="1048">
        <f>+U267/Labour1!U224</f>
        <v>-0.55194683993661253</v>
      </c>
      <c r="V289" s="1048">
        <f>+V267/Labour1!V224</f>
        <v>0.82216462372851229</v>
      </c>
      <c r="W289" s="1048">
        <f>+W267/Labour1!W224</f>
        <v>0.75543104023851371</v>
      </c>
      <c r="X289" s="1048">
        <f>+X267/Labour1!X224</f>
        <v>0.71600304324080466</v>
      </c>
      <c r="Y289" s="1048">
        <f>+Y267/Labour1!Y224</f>
        <v>0.76107401096619143</v>
      </c>
      <c r="Z289" s="1048">
        <f>+Z267/Labour1!Z224</f>
        <v>1.1255368924175144</v>
      </c>
      <c r="AA289" s="1048">
        <f>+AA267/Labour1!AA224</f>
        <v>0.97716477218375752</v>
      </c>
      <c r="AB289" s="1048">
        <f>+AB267/Labour1!AB224</f>
        <v>1.0533127587951152</v>
      </c>
      <c r="AC289" s="2257">
        <f>+AC267/Labour1!AC224</f>
        <v>1.379243531275018</v>
      </c>
      <c r="AD289" s="2257">
        <f>+AD267/Labour1!AD224</f>
        <v>1.1238266284995719</v>
      </c>
      <c r="AE289" s="2257">
        <f>+AE267/Labour1!AE224</f>
        <v>0.9862128213811675</v>
      </c>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row>
    <row r="290" spans="1:113" s="884" customFormat="1" ht="12.75" customHeight="1">
      <c r="A290" s="664"/>
      <c r="B290" s="664"/>
      <c r="C290" s="826"/>
      <c r="D290" s="806"/>
      <c r="E290" s="807" t="s">
        <v>654</v>
      </c>
      <c r="F290" s="808"/>
      <c r="G290" s="809"/>
      <c r="H290" s="809"/>
      <c r="I290" s="809"/>
      <c r="J290" s="809"/>
      <c r="K290" s="809">
        <f>AVERAGE(H289:K289)</f>
        <v>0.6303510944886932</v>
      </c>
      <c r="L290" s="809">
        <f>AVERAGE(I289:L289)</f>
        <v>-3.4153527779952231E-2</v>
      </c>
      <c r="M290" s="809">
        <f>AVERAGE(J289:M289)</f>
        <v>-0.38506001906945037</v>
      </c>
      <c r="N290" s="809">
        <f t="shared" ref="N290:T290" si="264">AVERAGE(K289:N289)</f>
        <v>-0.58849299568044189</v>
      </c>
      <c r="O290" s="809">
        <f t="shared" si="264"/>
        <v>1.7853428772393071E-2</v>
      </c>
      <c r="P290" s="809">
        <f t="shared" si="264"/>
        <v>0.59268031089715978</v>
      </c>
      <c r="Q290" s="809">
        <f t="shared" si="264"/>
        <v>0.68178610715056531</v>
      </c>
      <c r="R290" s="809">
        <f t="shared" si="264"/>
        <v>0.79739188909635517</v>
      </c>
      <c r="S290" s="809">
        <f t="shared" si="264"/>
        <v>0.87756027935115388</v>
      </c>
      <c r="T290" s="809">
        <f t="shared" si="264"/>
        <v>0.93067190468265959</v>
      </c>
      <c r="U290" s="3007">
        <f t="shared" ref="U290:AE290" si="265">AVERAGE(R289:U289)</f>
        <v>0.60807628252085055</v>
      </c>
      <c r="V290" s="3007">
        <f t="shared" si="265"/>
        <v>0.59725918738059081</v>
      </c>
      <c r="W290" s="3007">
        <f t="shared" si="265"/>
        <v>0.5281321795601861</v>
      </c>
      <c r="X290" s="3007">
        <f t="shared" si="265"/>
        <v>0.43541296681780456</v>
      </c>
      <c r="Y290" s="3007">
        <f t="shared" si="265"/>
        <v>0.76366817954350541</v>
      </c>
      <c r="Z290" s="3007">
        <f t="shared" si="265"/>
        <v>0.83951124671575605</v>
      </c>
      <c r="AA290" s="3007">
        <f t="shared" si="265"/>
        <v>0.89494467970206704</v>
      </c>
      <c r="AB290" s="3007">
        <f t="shared" si="265"/>
        <v>0.97927210859064462</v>
      </c>
      <c r="AC290" s="3007">
        <f t="shared" si="265"/>
        <v>1.1338144886678512</v>
      </c>
      <c r="AD290" s="3007">
        <f t="shared" si="265"/>
        <v>1.1333869226883657</v>
      </c>
      <c r="AE290" s="3007">
        <f t="shared" si="265"/>
        <v>1.1356489349877181</v>
      </c>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row>
    <row r="291" spans="1:113" s="884" customFormat="1" ht="12.75" customHeight="1">
      <c r="A291" s="664"/>
      <c r="B291" s="664"/>
      <c r="C291" s="826"/>
      <c r="D291" s="1041"/>
      <c r="E291" s="1042" t="s">
        <v>1081</v>
      </c>
      <c r="F291" s="1044"/>
      <c r="G291" s="1502">
        <f>+G255/Labour1!G214</f>
        <v>0.19312531229001192</v>
      </c>
      <c r="H291" s="1502">
        <f>+H255/Labour1!H214</f>
        <v>0.20274748350561553</v>
      </c>
      <c r="I291" s="1502">
        <f>+I255/Labour1!I214</f>
        <v>0.23244422890397673</v>
      </c>
      <c r="J291" s="1502">
        <f>+J255/Labour1!J214</f>
        <v>0.24062163574553261</v>
      </c>
      <c r="K291" s="1502">
        <f>+K255/Labour1!K214</f>
        <v>0.23602572165676217</v>
      </c>
      <c r="L291" s="1502">
        <f>+L255/Labour1!L214</f>
        <v>0.26133049963142724</v>
      </c>
      <c r="M291" s="1502">
        <f>+M255/Labour1!M214</f>
        <v>0.25704295573957792</v>
      </c>
      <c r="N291" s="1502">
        <f>+N255/Labour1!N214</f>
        <v>0.24528983823582562</v>
      </c>
      <c r="O291" s="1502">
        <f>+O255/Labour1!O214</f>
        <v>0.23833469914822819</v>
      </c>
      <c r="P291" s="1502">
        <f>+P255/Labour1!P214</f>
        <v>0.23478507104563692</v>
      </c>
      <c r="Q291" s="1502">
        <f>+Q255/Labour1!Q214</f>
        <v>0.22606402332388892</v>
      </c>
      <c r="R291" s="1502">
        <f>+R255/Labour1!R214</f>
        <v>0.22086248333706326</v>
      </c>
      <c r="S291" s="1502">
        <f>+S255/Labour1!S214</f>
        <v>0.22203490211668114</v>
      </c>
      <c r="T291" s="1502">
        <f>+T255/Labour1!T214</f>
        <v>0.22476170440130211</v>
      </c>
      <c r="U291" s="3009">
        <f>+U255/Labour1!U214</f>
        <v>0.29397699997912891</v>
      </c>
      <c r="V291" s="3009">
        <f>+V255/Labour1!V214</f>
        <v>0.29629371306115015</v>
      </c>
      <c r="W291" s="3009">
        <f>+W255/Labour1!W214</f>
        <v>0.29142516035585292</v>
      </c>
      <c r="X291" s="3009">
        <f>+X255/Labour1!X214</f>
        <v>0.2870821951059756</v>
      </c>
      <c r="Y291" s="3009">
        <f>+Y255/Labour1!Y214</f>
        <v>0.28326112488011745</v>
      </c>
      <c r="Z291" s="3009">
        <f>+Z255/Labour1!Z214</f>
        <v>0.2854041287123229</v>
      </c>
      <c r="AA291" s="3009">
        <f>+AA255/Labour1!AA214</f>
        <v>0.28498178711387151</v>
      </c>
      <c r="AB291" s="3009">
        <f>+AB255/Labour1!AB214</f>
        <v>0.28614110883888416</v>
      </c>
      <c r="AC291" s="3009">
        <f>+AC255/Labour1!AC214</f>
        <v>0.29508480824713734</v>
      </c>
      <c r="AD291" s="3009">
        <f>+AD255/Labour1!AD214</f>
        <v>0.29714063808457764</v>
      </c>
      <c r="AE291" s="3009">
        <f>+AE255/Labour1!AE214</f>
        <v>0.29691557174474587</v>
      </c>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row>
    <row r="292" spans="1:113" s="884" customFormat="1" ht="12.75" customHeight="1">
      <c r="A292" s="664"/>
      <c r="B292" s="664">
        <v>160</v>
      </c>
      <c r="C292" s="827"/>
      <c r="D292" s="1049"/>
      <c r="E292" s="1050" t="s">
        <v>654</v>
      </c>
      <c r="F292" s="1051"/>
      <c r="G292" s="1500"/>
      <c r="H292" s="1501"/>
      <c r="I292" s="1501"/>
      <c r="J292" s="1501">
        <f t="shared" ref="J292:T292" si="266">AVERAGE(G291:J291)</f>
        <v>0.2172346651112842</v>
      </c>
      <c r="K292" s="1501">
        <f>AVERAGE(H291:K291)</f>
        <v>0.22795976745297175</v>
      </c>
      <c r="L292" s="1501">
        <f>AVERAGE(I291:L291)</f>
        <v>0.24260552148442466</v>
      </c>
      <c r="M292" s="1501">
        <f>AVERAGE(J291:M291)</f>
        <v>0.248755203193325</v>
      </c>
      <c r="N292" s="1501">
        <f t="shared" si="266"/>
        <v>0.24992225381589825</v>
      </c>
      <c r="O292" s="1501">
        <f t="shared" si="266"/>
        <v>0.25049949818876471</v>
      </c>
      <c r="P292" s="1501">
        <f t="shared" si="266"/>
        <v>0.24386314104231716</v>
      </c>
      <c r="Q292" s="1501">
        <f t="shared" si="266"/>
        <v>0.23611840793839489</v>
      </c>
      <c r="R292" s="1501">
        <f t="shared" si="266"/>
        <v>0.23001156921370433</v>
      </c>
      <c r="S292" s="1501">
        <f t="shared" si="266"/>
        <v>0.22593661995581754</v>
      </c>
      <c r="T292" s="1501">
        <f t="shared" si="266"/>
        <v>0.22343077829473384</v>
      </c>
      <c r="U292" s="3010">
        <f t="shared" ref="U292:AE292" si="267">AVERAGE(R291:U291)</f>
        <v>0.24040902245854384</v>
      </c>
      <c r="V292" s="3010">
        <f t="shared" si="267"/>
        <v>0.25926682988956562</v>
      </c>
      <c r="W292" s="3010">
        <f t="shared" si="267"/>
        <v>0.27661439444935854</v>
      </c>
      <c r="X292" s="3010">
        <f t="shared" si="267"/>
        <v>0.29219451712552691</v>
      </c>
      <c r="Y292" s="3010">
        <f t="shared" si="267"/>
        <v>0.28951554835077409</v>
      </c>
      <c r="Z292" s="3010">
        <f t="shared" si="267"/>
        <v>0.28679315226356722</v>
      </c>
      <c r="AA292" s="3010">
        <f t="shared" si="267"/>
        <v>0.28518230895307184</v>
      </c>
      <c r="AB292" s="3010">
        <f t="shared" si="267"/>
        <v>0.28494703738629901</v>
      </c>
      <c r="AC292" s="3010">
        <f t="shared" si="267"/>
        <v>0.28790295822805395</v>
      </c>
      <c r="AD292" s="3010">
        <f t="shared" si="267"/>
        <v>0.29083708557111765</v>
      </c>
      <c r="AE292" s="3010">
        <f t="shared" si="267"/>
        <v>0.29382053172883621</v>
      </c>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row>
    <row r="293" spans="1:113" ht="30" customHeight="1">
      <c r="A293" s="664"/>
      <c r="B293" s="664"/>
      <c r="C293" s="774"/>
      <c r="AB293" s="2221"/>
      <c r="AC293" s="2221"/>
      <c r="AD293" s="2221"/>
      <c r="AE293" s="2221"/>
    </row>
    <row r="294" spans="1:113" ht="30" customHeight="1">
      <c r="AB294" s="2221">
        <v>4.1640929138554217</v>
      </c>
      <c r="AC294" s="2221">
        <v>5.1640929138554199</v>
      </c>
      <c r="AD294" s="2221">
        <v>5.1640929138554199</v>
      </c>
      <c r="AE294" s="2221">
        <v>5.1640929138554199</v>
      </c>
    </row>
    <row r="295" spans="1:113" ht="22.5" customHeight="1">
      <c r="A295" s="574"/>
      <c r="B295" s="574"/>
      <c r="C295" s="3751" t="s">
        <v>1182</v>
      </c>
      <c r="D295" s="3751"/>
      <c r="E295" s="3751"/>
      <c r="F295" s="3751"/>
      <c r="AB295" s="2221"/>
      <c r="AC295" s="2221"/>
      <c r="AD295" s="2221"/>
      <c r="AE295" s="2221"/>
    </row>
    <row r="296" spans="1:113" ht="12.75" customHeight="1">
      <c r="A296" s="664"/>
      <c r="B296" s="664"/>
      <c r="C296" s="774"/>
      <c r="V296" s="3120"/>
      <c r="AB296" s="2221"/>
      <c r="AC296" s="2221"/>
      <c r="AD296" s="2221"/>
      <c r="AE296" s="2221"/>
    </row>
    <row r="297" spans="1:113" ht="12.75" customHeight="1">
      <c r="A297" s="664"/>
      <c r="B297" s="664"/>
      <c r="C297" s="774"/>
      <c r="D297" s="775"/>
      <c r="E297" s="776" t="s">
        <v>1384</v>
      </c>
      <c r="F297" s="777"/>
      <c r="G297" s="778">
        <f>+InputY!$G$3</f>
        <v>1995</v>
      </c>
      <c r="H297" s="778">
        <f>+G297+1</f>
        <v>1996</v>
      </c>
      <c r="I297" s="778">
        <f t="shared" ref="I297:O297" si="268">+H297+1</f>
        <v>1997</v>
      </c>
      <c r="J297" s="778">
        <f t="shared" si="268"/>
        <v>1998</v>
      </c>
      <c r="K297" s="778">
        <f>+J297+1</f>
        <v>1999</v>
      </c>
      <c r="L297" s="778">
        <f t="shared" si="268"/>
        <v>2000</v>
      </c>
      <c r="M297" s="778">
        <f t="shared" si="268"/>
        <v>2001</v>
      </c>
      <c r="N297" s="778">
        <f t="shared" si="268"/>
        <v>2002</v>
      </c>
      <c r="O297" s="778">
        <f t="shared" si="268"/>
        <v>2003</v>
      </c>
      <c r="P297" s="778">
        <f t="shared" ref="P297:W297" si="269">+O297+1</f>
        <v>2004</v>
      </c>
      <c r="Q297" s="778">
        <f t="shared" si="269"/>
        <v>2005</v>
      </c>
      <c r="R297" s="778">
        <f t="shared" si="269"/>
        <v>2006</v>
      </c>
      <c r="S297" s="778">
        <f t="shared" si="269"/>
        <v>2007</v>
      </c>
      <c r="T297" s="2222">
        <f t="shared" si="269"/>
        <v>2008</v>
      </c>
      <c r="U297" s="2222">
        <f t="shared" si="269"/>
        <v>2009</v>
      </c>
      <c r="V297" s="2222">
        <f t="shared" si="269"/>
        <v>2010</v>
      </c>
      <c r="W297" s="2222">
        <f t="shared" si="269"/>
        <v>2011</v>
      </c>
      <c r="X297" s="2222">
        <f t="shared" ref="X297:AE297" si="270">+W297+1</f>
        <v>2012</v>
      </c>
      <c r="Y297" s="2222">
        <f t="shared" si="270"/>
        <v>2013</v>
      </c>
      <c r="Z297" s="2222">
        <f t="shared" si="270"/>
        <v>2014</v>
      </c>
      <c r="AA297" s="2222">
        <f t="shared" si="270"/>
        <v>2015</v>
      </c>
      <c r="AB297" s="2222">
        <f t="shared" si="270"/>
        <v>2016</v>
      </c>
      <c r="AC297" s="2222">
        <f t="shared" si="270"/>
        <v>2017</v>
      </c>
      <c r="AD297" s="2222">
        <f t="shared" si="270"/>
        <v>2018</v>
      </c>
      <c r="AE297" s="2222">
        <f t="shared" si="270"/>
        <v>2019</v>
      </c>
    </row>
    <row r="298" spans="1:113" ht="12.75" customHeight="1">
      <c r="A298" s="664">
        <f>+ROW(InputY!A195)</f>
        <v>195</v>
      </c>
      <c r="B298" s="664" t="s">
        <v>991</v>
      </c>
      <c r="C298" s="779" t="s">
        <v>1767</v>
      </c>
      <c r="D298" s="668" t="s">
        <v>685</v>
      </c>
      <c r="E298" s="700" t="s">
        <v>1340</v>
      </c>
      <c r="F298" s="701" t="str">
        <f>+InputY!B195</f>
        <v>$HTaxSoc(2)</v>
      </c>
      <c r="G298" s="780">
        <f>+InputY!G195/1000</f>
        <v>2.8000000000000003E-4</v>
      </c>
      <c r="H298" s="780">
        <f>+InputY!H195/1000</f>
        <v>2.2000000000000003E-4</v>
      </c>
      <c r="I298" s="780">
        <f>+InputY!I195/1000</f>
        <v>3.3E-4</v>
      </c>
      <c r="J298" s="780">
        <f>+InputY!J195/1000</f>
        <v>4.9000000000000009E-4</v>
      </c>
      <c r="K298" s="780">
        <f>+InputY!K195/1000</f>
        <v>3.5000000000000005E-4</v>
      </c>
      <c r="L298" s="780">
        <f>+InputY!L195/1000</f>
        <v>4.6000000000000001E-4</v>
      </c>
      <c r="M298" s="780">
        <f>+InputY!M195/1000</f>
        <v>4.0000000000000002E-4</v>
      </c>
      <c r="N298" s="780">
        <f>+InputY!N195/1000</f>
        <v>3.7000000000000005E-4</v>
      </c>
      <c r="O298" s="780">
        <f>+InputY!O195/1000</f>
        <v>4.2000000000000002E-4</v>
      </c>
      <c r="P298" s="780">
        <f>+InputY!P195/1000</f>
        <v>4.4000000000000007E-4</v>
      </c>
      <c r="Q298" s="780">
        <f>+InputY!Q195/1000</f>
        <v>5.6000000000000006E-4</v>
      </c>
      <c r="R298" s="2872">
        <f>+InputY!R195/1000</f>
        <v>6.8000000000000005E-4</v>
      </c>
      <c r="S298" s="2872">
        <f>+InputY!S195/1000</f>
        <v>8.5000000000000006E-4</v>
      </c>
      <c r="T298" s="2872">
        <f>+InputY!T195/1000</f>
        <v>8.7000000000000011E-4</v>
      </c>
      <c r="U298" s="2872">
        <f>+InputY!U195/1000</f>
        <v>8.1000000000000006E-4</v>
      </c>
      <c r="V298" s="2872">
        <f>+InputY!V195/1000</f>
        <v>7.7999999999999999E-4</v>
      </c>
      <c r="W298" s="2872">
        <f>+InputY!W195/1000</f>
        <v>8.7000000000000011E-4</v>
      </c>
      <c r="X298" s="2872">
        <f>+InputY!X195/1000</f>
        <v>8.5000000000000006E-4</v>
      </c>
      <c r="Y298" s="2872">
        <f>+InputY!Y195/1000</f>
        <v>8.8000000000000014E-4</v>
      </c>
      <c r="Z298" s="2872">
        <f>+InputY!Z195/1000</f>
        <v>1E-3</v>
      </c>
      <c r="AA298" s="2872">
        <f>+InputY!AA195/1000</f>
        <v>8.9999999999999998E-4</v>
      </c>
      <c r="AB298" s="2872">
        <f>+InputY!AB195/1000</f>
        <v>9.4000000000000008E-4</v>
      </c>
      <c r="AC298" s="2873">
        <f t="shared" ref="AC298:AE301" si="271">+AB298*(1+AC306/100)</f>
        <v>9.8042000000000008E-4</v>
      </c>
      <c r="AD298" s="2873">
        <f t="shared" si="271"/>
        <v>1.0245389000000001E-3</v>
      </c>
      <c r="AE298" s="2873">
        <f t="shared" si="271"/>
        <v>1.0685940727000001E-3</v>
      </c>
    </row>
    <row r="299" spans="1:113" ht="12.75" customHeight="1">
      <c r="A299" s="664">
        <f>+ROW(InputY!A123)</f>
        <v>123</v>
      </c>
      <c r="B299" s="664" t="s">
        <v>992</v>
      </c>
      <c r="C299" s="782" t="s">
        <v>1767</v>
      </c>
      <c r="D299" s="674" t="s">
        <v>686</v>
      </c>
      <c r="E299" s="783" t="s">
        <v>1340</v>
      </c>
      <c r="F299" s="704" t="str">
        <f>+InputY!B123</f>
        <v>$ETSoc</v>
      </c>
      <c r="G299" s="706">
        <f>+InputY!G123/1000</f>
        <v>4.4400000000000004E-3</v>
      </c>
      <c r="H299" s="706">
        <f>+InputY!H123/1000</f>
        <v>4.1399999999999996E-3</v>
      </c>
      <c r="I299" s="706">
        <f>+InputY!I123/1000</f>
        <v>5.7199999999999994E-3</v>
      </c>
      <c r="J299" s="706">
        <f>+InputY!J123/1000</f>
        <v>7.0899999999999999E-3</v>
      </c>
      <c r="K299" s="706">
        <f>+InputY!K123/1000</f>
        <v>7.7400000000000004E-3</v>
      </c>
      <c r="L299" s="706">
        <f>+InputY!L123/1000</f>
        <v>6.1700000000000001E-3</v>
      </c>
      <c r="M299" s="706">
        <f>+InputY!M123/1000</f>
        <v>4.5999999999999999E-3</v>
      </c>
      <c r="N299" s="706">
        <f>+InputY!N123/1000</f>
        <v>4.3699999999999998E-3</v>
      </c>
      <c r="O299" s="706">
        <f>+InputY!O123/1000</f>
        <v>5.2900000000000004E-3</v>
      </c>
      <c r="P299" s="706">
        <f>+InputY!P123/1000</f>
        <v>6.0899999999999999E-3</v>
      </c>
      <c r="Q299" s="706">
        <f>+InputY!Q123/1000</f>
        <v>9.0659999999999991E-2</v>
      </c>
      <c r="R299" s="1564">
        <f>+InputY!R123/1000</f>
        <v>0.11231999999999999</v>
      </c>
      <c r="S299" s="1564">
        <f>+InputY!S123/1000</f>
        <v>0.14411000000000002</v>
      </c>
      <c r="T299" s="1564">
        <f>+InputY!T123/1000</f>
        <v>0.16861999999999999</v>
      </c>
      <c r="U299" s="1564">
        <f>+InputY!U123/1000</f>
        <v>0.12520999999999999</v>
      </c>
      <c r="V299" s="1564">
        <f>+InputY!V123/1000</f>
        <v>0.11831</v>
      </c>
      <c r="W299" s="1564">
        <f>+InputY!W123/1000</f>
        <v>0.15762999999999999</v>
      </c>
      <c r="X299" s="1564">
        <f>+InputY!X123/1000</f>
        <v>0.13691999999999999</v>
      </c>
      <c r="Y299" s="1564">
        <f>+InputY!Y123/1000</f>
        <v>0.15028</v>
      </c>
      <c r="Z299" s="1564">
        <f>+InputY!Z123/1000</f>
        <v>0.15912000000000001</v>
      </c>
      <c r="AA299" s="1564">
        <f>+InputY!AA123/1000</f>
        <v>0.17338000000000001</v>
      </c>
      <c r="AB299" s="1564">
        <f>+InputY!AB123/1000</f>
        <v>0.18775999999999998</v>
      </c>
      <c r="AC299" s="2275">
        <f t="shared" si="271"/>
        <v>0.19620919999999997</v>
      </c>
      <c r="AD299" s="2275">
        <f t="shared" si="271"/>
        <v>0.20503861399999995</v>
      </c>
      <c r="AE299" s="2275">
        <f t="shared" si="271"/>
        <v>0.21426535162999993</v>
      </c>
    </row>
    <row r="300" spans="1:113" ht="12.75" customHeight="1">
      <c r="A300" s="664">
        <f>+ROW(InputY!A160)</f>
        <v>160</v>
      </c>
      <c r="B300" s="664">
        <v>121</v>
      </c>
      <c r="C300" s="782" t="s">
        <v>1767</v>
      </c>
      <c r="D300" s="674" t="s">
        <v>687</v>
      </c>
      <c r="E300" s="783" t="s">
        <v>1340</v>
      </c>
      <c r="F300" s="704" t="str">
        <f>+InputY!B160</f>
        <v>$ATToH</v>
      </c>
      <c r="G300" s="706">
        <f>+InputY!G160/1000</f>
        <v>0.6345599999999999</v>
      </c>
      <c r="H300" s="706">
        <f>+InputY!H160/1000</f>
        <v>0.83355999999999997</v>
      </c>
      <c r="I300" s="706">
        <f>+InputY!I160/1000</f>
        <v>1.1307799999999999</v>
      </c>
      <c r="J300" s="706">
        <f>+InputY!J160/1000</f>
        <v>1.4114899999999999</v>
      </c>
      <c r="K300" s="706">
        <f>+InputY!K160/1000</f>
        <v>1.5512699999999999</v>
      </c>
      <c r="L300" s="706">
        <f>+InputY!L160/1000</f>
        <v>1.53494</v>
      </c>
      <c r="M300" s="706">
        <f>+InputY!M160/1000</f>
        <v>1.6019600000000001</v>
      </c>
      <c r="N300" s="706">
        <f>+InputY!N160/1000</f>
        <v>1.5185899999999999</v>
      </c>
      <c r="O300" s="706">
        <f>+InputY!O160/1000</f>
        <v>1.6291600000000002</v>
      </c>
      <c r="P300" s="706">
        <f>+InputY!P160/1000</f>
        <v>1.77817</v>
      </c>
      <c r="Q300" s="706">
        <f>+InputY!Q160/1000</f>
        <v>1.9577899999999999</v>
      </c>
      <c r="R300" s="1564">
        <f>+InputY!R160/1000</f>
        <v>2.2084899999999998</v>
      </c>
      <c r="S300" s="1564">
        <f>+InputY!S160/1000</f>
        <v>2.8051200000000001</v>
      </c>
      <c r="T300" s="1564">
        <f>+InputY!T160/1000</f>
        <v>3.7564499999999996</v>
      </c>
      <c r="U300" s="1564">
        <f>+InputY!U160/1000</f>
        <v>4.3547600000000006</v>
      </c>
      <c r="V300" s="1564">
        <f>+InputY!V160/1000</f>
        <v>4.0089800000000002</v>
      </c>
      <c r="W300" s="1564">
        <f>+InputY!W160/1000</f>
        <v>3.9032199999999997</v>
      </c>
      <c r="X300" s="1564">
        <f>+InputY!X160/1000</f>
        <v>3.9884200000000001</v>
      </c>
      <c r="Y300" s="1564">
        <f>+InputY!Y160/1000</f>
        <v>3.9543499999999998</v>
      </c>
      <c r="Z300" s="1564">
        <f>+InputY!Z160/1000</f>
        <v>3.9676999999999998</v>
      </c>
      <c r="AA300" s="1564">
        <f>+InputY!AA160/1000</f>
        <v>4.0540500000000002</v>
      </c>
      <c r="AB300" s="1564">
        <f>+InputY!AB160/1000</f>
        <v>4.2601700000000005</v>
      </c>
      <c r="AC300" s="2275">
        <f t="shared" si="271"/>
        <v>4.7713904000000014</v>
      </c>
      <c r="AD300" s="2275">
        <f t="shared" si="271"/>
        <v>5.3439572480000024</v>
      </c>
      <c r="AE300" s="2275">
        <f t="shared" si="271"/>
        <v>5.6645946828800025</v>
      </c>
    </row>
    <row r="301" spans="1:113" ht="12.75" customHeight="1">
      <c r="A301" s="1953">
        <f>ROW(InputY!A250)</f>
        <v>250</v>
      </c>
      <c r="B301" s="664" t="s">
        <v>988</v>
      </c>
      <c r="C301" s="782" t="s">
        <v>401</v>
      </c>
      <c r="D301" s="674" t="s">
        <v>688</v>
      </c>
      <c r="E301" s="783" t="s">
        <v>1182</v>
      </c>
      <c r="F301" s="704" t="s">
        <v>842</v>
      </c>
      <c r="G301" s="706">
        <f>+InputY!G250/1000</f>
        <v>0</v>
      </c>
      <c r="H301" s="706">
        <f>+InputY!H250/1000</f>
        <v>0</v>
      </c>
      <c r="I301" s="706">
        <f>+InputY!I250/1000</f>
        <v>0</v>
      </c>
      <c r="J301" s="706">
        <f>+InputY!J250/1000</f>
        <v>0</v>
      </c>
      <c r="K301" s="706">
        <f>+InputY!K250/1000</f>
        <v>0</v>
      </c>
      <c r="L301" s="706">
        <f>+InputY!L250/1000</f>
        <v>-2.635542168674699E-2</v>
      </c>
      <c r="M301" s="706">
        <f>+InputY!M250/1000</f>
        <v>-2.3459221501390175E-2</v>
      </c>
      <c r="N301" s="706">
        <f>+InputY!N250/1000</f>
        <v>-2.7224281742354032E-2</v>
      </c>
      <c r="O301" s="706">
        <f>+InputY!O250/1000</f>
        <v>-2.5486561631139947E-2</v>
      </c>
      <c r="P301" s="706">
        <f>+InputY!P250/1000</f>
        <v>-2.5486561631139947E-2</v>
      </c>
      <c r="Q301" s="706">
        <f>+InputY!Q250/1000</f>
        <v>-2.9000000000000001E-2</v>
      </c>
      <c r="R301" s="1564">
        <f>+InputY!R250/1000</f>
        <v>-2.8000000000000001E-2</v>
      </c>
      <c r="S301" s="1564">
        <f>+InputY!S250/1000</f>
        <v>-2.5000000000000001E-2</v>
      </c>
      <c r="T301" s="1564">
        <f>+InputY!T250/1000</f>
        <v>-3.3000000000000002E-2</v>
      </c>
      <c r="U301" s="1564">
        <f>+InputY!U250/1000</f>
        <v>-2.7E-2</v>
      </c>
      <c r="V301" s="1564">
        <f>+InputY!V250/1000</f>
        <v>-3.1E-2</v>
      </c>
      <c r="W301" s="1564">
        <f>+InputY!W250/1000</f>
        <v>-0.02</v>
      </c>
      <c r="X301" s="1564">
        <f>+InputY!X250/1000</f>
        <v>-1.7000000000000001E-2</v>
      </c>
      <c r="Y301" s="1564">
        <f>+InputY!Y250/1000</f>
        <v>-5.0000000000000001E-3</v>
      </c>
      <c r="Z301" s="1564">
        <f>+InputY!Z250/1000</f>
        <v>-4.0000000000000001E-3</v>
      </c>
      <c r="AA301" s="1564">
        <f>+InputY!AA250/1000</f>
        <v>-8.9999999999999993E-3</v>
      </c>
      <c r="AB301" s="1564">
        <f>+InputY!AB250/1000</f>
        <v>-7.0000000000000001E-3</v>
      </c>
      <c r="AC301" s="2275">
        <f t="shared" si="271"/>
        <v>-7.0000000000000001E-3</v>
      </c>
      <c r="AD301" s="2275">
        <f t="shared" si="271"/>
        <v>-7.0000000000000001E-3</v>
      </c>
      <c r="AE301" s="2275">
        <f t="shared" si="271"/>
        <v>-7.0000000000000001E-3</v>
      </c>
    </row>
    <row r="302" spans="1:113" ht="12.75" customHeight="1">
      <c r="A302" s="664">
        <f>+ROW(InputY!A193)</f>
        <v>193</v>
      </c>
      <c r="B302" s="664" t="s">
        <v>997</v>
      </c>
      <c r="C302" s="784" t="s">
        <v>1769</v>
      </c>
      <c r="D302" s="752" t="s">
        <v>685</v>
      </c>
      <c r="E302" s="753" t="s">
        <v>1335</v>
      </c>
      <c r="F302" s="754" t="str">
        <f>+InputY!B193</f>
        <v>YHTSoc(2)</v>
      </c>
      <c r="G302" s="785">
        <f>+InputY!G193/1000</f>
        <v>0.63928999999999991</v>
      </c>
      <c r="H302" s="785">
        <f>+InputY!H193/1000</f>
        <v>0.83790999999999993</v>
      </c>
      <c r="I302" s="785">
        <f>+InputY!I193/1000</f>
        <v>1.13683</v>
      </c>
      <c r="J302" s="785">
        <f>+InputY!J193/1000</f>
        <v>1.4190799999999999</v>
      </c>
      <c r="K302" s="785">
        <f>+InputY!K193/1000</f>
        <v>1.5840999999999998</v>
      </c>
      <c r="L302" s="785">
        <f>+InputY!L193/1000</f>
        <v>1.5676600000000001</v>
      </c>
      <c r="M302" s="785">
        <f>+InputY!M193/1000</f>
        <v>1.63063</v>
      </c>
      <c r="N302" s="785">
        <f>+InputY!N193/1000</f>
        <v>1.54847</v>
      </c>
      <c r="O302" s="785">
        <f>+InputY!O193/1000</f>
        <v>1.6601600000000001</v>
      </c>
      <c r="P302" s="785">
        <f>+InputY!P193/1000</f>
        <v>1.81019</v>
      </c>
      <c r="Q302" s="785">
        <f>+InputY!Q193/1000</f>
        <v>2.0784899999999999</v>
      </c>
      <c r="R302" s="2874">
        <f>+InputY!R193/1000</f>
        <v>2.3494000000000002</v>
      </c>
      <c r="S302" s="2874">
        <f>+InputY!S193/1000</f>
        <v>2.9751099999999999</v>
      </c>
      <c r="T302" s="2874">
        <f>+InputY!T193/1000</f>
        <v>3.9594299999999998</v>
      </c>
      <c r="U302" s="2874">
        <f>+InputY!U193/1000</f>
        <v>4.5076000000000001</v>
      </c>
      <c r="V302" s="2874">
        <f>+InputY!V193/1000</f>
        <v>4.1591899999999997</v>
      </c>
      <c r="W302" s="2874">
        <f>+InputY!W193/1000</f>
        <v>4.0821500000000004</v>
      </c>
      <c r="X302" s="2874">
        <f>+InputY!X193/1000</f>
        <v>4.1427500000000004</v>
      </c>
      <c r="Y302" s="2874">
        <f>+InputY!Y193/1000</f>
        <v>4.1100900000000005</v>
      </c>
      <c r="Z302" s="2874">
        <f>+InputY!Z193/1000</f>
        <v>4.13232</v>
      </c>
      <c r="AA302" s="2874">
        <f>+InputY!AA193/1000</f>
        <v>4.2368500000000004</v>
      </c>
      <c r="AB302" s="2874">
        <f>+InputY!AB193/1000</f>
        <v>4.4561299999999999</v>
      </c>
      <c r="AC302" s="2873">
        <f>+AC298+AC299+AC300-AC301</f>
        <v>4.9755800200000007</v>
      </c>
      <c r="AD302" s="2873">
        <f>+AD298+AD299+AD300-AD301</f>
        <v>5.5570204009000017</v>
      </c>
      <c r="AE302" s="2873">
        <f>+AE298+AE299+AE300-AE301</f>
        <v>5.8869286285827016</v>
      </c>
    </row>
    <row r="303" spans="1:113" s="1972" customFormat="1" ht="12.75" customHeight="1">
      <c r="A303" s="998"/>
      <c r="B303" s="998"/>
      <c r="C303" s="1595"/>
      <c r="D303" s="1011"/>
      <c r="E303" s="1973" t="s">
        <v>737</v>
      </c>
      <c r="F303" s="1974"/>
      <c r="G303" s="1002">
        <f>ABS(+G298+G299+G300-G301-G302)</f>
        <v>1.0000000000065512E-5</v>
      </c>
      <c r="H303" s="1002">
        <f t="shared" ref="H303:Y303" si="272">ABS(+H298+H299+H300-H301-H302)</f>
        <v>1.0000000000065512E-5</v>
      </c>
      <c r="I303" s="1002">
        <f t="shared" si="272"/>
        <v>2.2204460492503131E-16</v>
      </c>
      <c r="J303" s="1002">
        <f t="shared" si="272"/>
        <v>1.0000000000065512E-5</v>
      </c>
      <c r="K303" s="1002">
        <f t="shared" si="272"/>
        <v>2.4739999999999984E-2</v>
      </c>
      <c r="L303" s="1002">
        <f t="shared" si="272"/>
        <v>2.6542168674681399E-4</v>
      </c>
      <c r="M303" s="1002">
        <f t="shared" si="272"/>
        <v>2.1077849860984266E-4</v>
      </c>
      <c r="N303" s="1002">
        <f t="shared" si="272"/>
        <v>2.0842817423538662E-3</v>
      </c>
      <c r="O303" s="1002">
        <f t="shared" si="272"/>
        <v>1.9656163114012415E-4</v>
      </c>
      <c r="P303" s="1002">
        <f t="shared" si="272"/>
        <v>3.4383688600758688E-6</v>
      </c>
      <c r="Q303" s="1002">
        <f t="shared" si="272"/>
        <v>4.8000000000003595E-4</v>
      </c>
      <c r="R303" s="1002">
        <f t="shared" si="272"/>
        <v>8.999999999970143E-5</v>
      </c>
      <c r="S303" s="1002">
        <f t="shared" si="272"/>
        <v>2.9999999999752447E-5</v>
      </c>
      <c r="T303" s="2906">
        <f t="shared" si="272"/>
        <v>4.9000000000010147E-4</v>
      </c>
      <c r="U303" s="2906">
        <f t="shared" si="272"/>
        <v>1.8000000000029104E-4</v>
      </c>
      <c r="V303" s="3125">
        <f t="shared" si="272"/>
        <v>1.1999999999989797E-4</v>
      </c>
      <c r="W303" s="2906">
        <f t="shared" si="272"/>
        <v>4.3000000000148475E-4</v>
      </c>
      <c r="X303" s="2906">
        <f t="shared" si="272"/>
        <v>4.4000000000021799E-4</v>
      </c>
      <c r="Y303" s="2906">
        <f t="shared" si="272"/>
        <v>4.1999999999919879E-4</v>
      </c>
      <c r="Z303" s="2906">
        <f t="shared" ref="Z303:AE303" si="273">ABS(+Z298+Z299+Z300-Z301-Z302)</f>
        <v>5.0000000000061107E-4</v>
      </c>
      <c r="AA303" s="2906">
        <f t="shared" si="273"/>
        <v>4.8000000000048004E-4</v>
      </c>
      <c r="AB303" s="2906">
        <f t="shared" si="273"/>
        <v>2.5999999999992696E-4</v>
      </c>
      <c r="AC303" s="2906">
        <f t="shared" si="273"/>
        <v>0</v>
      </c>
      <c r="AD303" s="2906">
        <f t="shared" si="273"/>
        <v>0</v>
      </c>
      <c r="AE303" s="2906">
        <f t="shared" si="273"/>
        <v>0</v>
      </c>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row>
    <row r="304" spans="1:113">
      <c r="A304" s="664"/>
      <c r="B304" s="664"/>
      <c r="G304" s="699">
        <v>6.859746504046621E-2</v>
      </c>
      <c r="H304" s="699">
        <v>7.695017707811834E-2</v>
      </c>
      <c r="I304" s="699">
        <v>6.5034072875501767E-2</v>
      </c>
      <c r="J304" s="699">
        <v>0.13202492574689884</v>
      </c>
      <c r="K304" s="699">
        <v>0.14595202926074419</v>
      </c>
      <c r="L304" s="699">
        <v>0.16360908368153315</v>
      </c>
      <c r="M304" s="699">
        <v>0.17423419775581445</v>
      </c>
      <c r="N304" s="699">
        <v>0.13859722805543889</v>
      </c>
      <c r="O304" s="699">
        <v>0.12512196169635678</v>
      </c>
      <c r="Q304" s="845"/>
      <c r="R304" s="845"/>
      <c r="S304" s="845"/>
      <c r="AB304" s="2221"/>
      <c r="AC304" s="2221"/>
      <c r="AD304" s="2221"/>
      <c r="AE304" s="2221"/>
    </row>
    <row r="305" spans="1:32" ht="12.75" customHeight="1">
      <c r="A305" s="664"/>
      <c r="B305" s="664"/>
      <c r="C305" s="774"/>
      <c r="D305" s="742"/>
      <c r="E305" s="743" t="s">
        <v>1311</v>
      </c>
      <c r="F305" s="744"/>
      <c r="G305" s="745">
        <f>+InputY!$G$3</f>
        <v>1995</v>
      </c>
      <c r="H305" s="745">
        <f>+G305+1</f>
        <v>1996</v>
      </c>
      <c r="I305" s="745">
        <f t="shared" ref="I305:O305" si="274">+H305+1</f>
        <v>1997</v>
      </c>
      <c r="J305" s="745">
        <f t="shared" si="274"/>
        <v>1998</v>
      </c>
      <c r="K305" s="745">
        <f>+J305+1</f>
        <v>1999</v>
      </c>
      <c r="L305" s="745">
        <f t="shared" si="274"/>
        <v>2000</v>
      </c>
      <c r="M305" s="745">
        <f t="shared" si="274"/>
        <v>2001</v>
      </c>
      <c r="N305" s="745">
        <f t="shared" si="274"/>
        <v>2002</v>
      </c>
      <c r="O305" s="745">
        <f t="shared" si="274"/>
        <v>2003</v>
      </c>
      <c r="P305" s="745">
        <f t="shared" ref="P305:W305" si="275">+O305+1</f>
        <v>2004</v>
      </c>
      <c r="Q305" s="745">
        <f t="shared" si="275"/>
        <v>2005</v>
      </c>
      <c r="R305" s="745">
        <f t="shared" si="275"/>
        <v>2006</v>
      </c>
      <c r="S305" s="745">
        <f t="shared" si="275"/>
        <v>2007</v>
      </c>
      <c r="T305" s="2211">
        <f t="shared" si="275"/>
        <v>2008</v>
      </c>
      <c r="U305" s="2211">
        <f t="shared" si="275"/>
        <v>2009</v>
      </c>
      <c r="V305" s="2211">
        <f t="shared" si="275"/>
        <v>2010</v>
      </c>
      <c r="W305" s="2211">
        <f t="shared" si="275"/>
        <v>2011</v>
      </c>
      <c r="X305" s="2211">
        <f t="shared" ref="X305:AE305" si="276">+W305+1</f>
        <v>2012</v>
      </c>
      <c r="Y305" s="2211">
        <f t="shared" si="276"/>
        <v>2013</v>
      </c>
      <c r="Z305" s="2211">
        <f t="shared" si="276"/>
        <v>2014</v>
      </c>
      <c r="AA305" s="2211">
        <f t="shared" si="276"/>
        <v>2015</v>
      </c>
      <c r="AB305" s="2211">
        <f t="shared" si="276"/>
        <v>2016</v>
      </c>
      <c r="AC305" s="2211">
        <f t="shared" si="276"/>
        <v>2017</v>
      </c>
      <c r="AD305" s="2211">
        <f t="shared" si="276"/>
        <v>2018</v>
      </c>
      <c r="AE305" s="2211">
        <f t="shared" si="276"/>
        <v>2019</v>
      </c>
    </row>
    <row r="306" spans="1:32" ht="12.75" customHeight="1">
      <c r="A306" s="664"/>
      <c r="B306" s="664"/>
      <c r="C306" s="794" t="s">
        <v>1767</v>
      </c>
      <c r="D306" s="689" t="s">
        <v>685</v>
      </c>
      <c r="E306" s="738" t="s">
        <v>1340</v>
      </c>
      <c r="F306" s="733" t="s">
        <v>680</v>
      </c>
      <c r="G306" s="739"/>
      <c r="H306" s="739">
        <f t="shared" ref="H306:AB306" si="277">(H298/G298-1)*100</f>
        <v>-21.42857142857142</v>
      </c>
      <c r="I306" s="739">
        <f t="shared" si="277"/>
        <v>49.999999999999979</v>
      </c>
      <c r="J306" s="739">
        <f t="shared" si="277"/>
        <v>48.484848484848506</v>
      </c>
      <c r="K306" s="739">
        <f>(K298/J298-1)*100</f>
        <v>-28.571428571428569</v>
      </c>
      <c r="L306" s="739">
        <f t="shared" si="277"/>
        <v>31.428571428571406</v>
      </c>
      <c r="M306" s="739">
        <f t="shared" si="277"/>
        <v>-13.043478260869568</v>
      </c>
      <c r="N306" s="739">
        <f t="shared" si="277"/>
        <v>-7.4999999999999956</v>
      </c>
      <c r="O306" s="739">
        <f t="shared" si="277"/>
        <v>13.513513513513509</v>
      </c>
      <c r="P306" s="739">
        <f t="shared" si="277"/>
        <v>4.7619047619047672</v>
      </c>
      <c r="Q306" s="739">
        <f t="shared" si="277"/>
        <v>27.27272727272727</v>
      </c>
      <c r="R306" s="739">
        <f t="shared" si="277"/>
        <v>21.42857142857142</v>
      </c>
      <c r="S306" s="739">
        <f t="shared" si="277"/>
        <v>25</v>
      </c>
      <c r="T306" s="739">
        <f t="shared" si="277"/>
        <v>2.3529411764706021</v>
      </c>
      <c r="U306" s="739">
        <f t="shared" si="277"/>
        <v>-6.8965517241379342</v>
      </c>
      <c r="V306" s="739">
        <f t="shared" si="277"/>
        <v>-3.703703703703709</v>
      </c>
      <c r="W306" s="739">
        <f t="shared" si="277"/>
        <v>11.538461538461565</v>
      </c>
      <c r="X306" s="739">
        <f t="shared" si="277"/>
        <v>-2.298850574712652</v>
      </c>
      <c r="Y306" s="739">
        <f t="shared" si="277"/>
        <v>3.529411764705892</v>
      </c>
      <c r="Z306" s="739">
        <f t="shared" si="277"/>
        <v>13.636363636363624</v>
      </c>
      <c r="AA306" s="739">
        <f t="shared" si="277"/>
        <v>-10.000000000000009</v>
      </c>
      <c r="AB306" s="739">
        <f t="shared" si="277"/>
        <v>4.4444444444444509</v>
      </c>
      <c r="AC306" s="2289">
        <v>4.3</v>
      </c>
      <c r="AD306" s="2289">
        <v>4.5</v>
      </c>
      <c r="AE306" s="2289">
        <v>4.3</v>
      </c>
    </row>
    <row r="307" spans="1:32" ht="12.75" customHeight="1">
      <c r="A307" s="664"/>
      <c r="B307" s="664"/>
      <c r="C307" s="795" t="s">
        <v>1767</v>
      </c>
      <c r="D307" s="674" t="s">
        <v>686</v>
      </c>
      <c r="E307" s="783" t="s">
        <v>1340</v>
      </c>
      <c r="F307" s="704" t="s">
        <v>1556</v>
      </c>
      <c r="G307" s="706"/>
      <c r="H307" s="706">
        <f t="shared" ref="H307:AB307" si="278">(H299/G299-1)*100</f>
        <v>-6.7567567567567766</v>
      </c>
      <c r="I307" s="706">
        <f t="shared" si="278"/>
        <v>38.164251207729464</v>
      </c>
      <c r="J307" s="706">
        <f t="shared" si="278"/>
        <v>23.951048951048961</v>
      </c>
      <c r="K307" s="706">
        <f>(K299/J299-1)*100</f>
        <v>9.1678420310296271</v>
      </c>
      <c r="L307" s="706">
        <f t="shared" si="278"/>
        <v>-20.284237726098198</v>
      </c>
      <c r="M307" s="706">
        <f t="shared" si="278"/>
        <v>-25.445705024311181</v>
      </c>
      <c r="N307" s="706">
        <f t="shared" si="278"/>
        <v>-5.0000000000000044</v>
      </c>
      <c r="O307" s="706">
        <f t="shared" si="278"/>
        <v>21.052631578947391</v>
      </c>
      <c r="P307" s="706">
        <f t="shared" si="278"/>
        <v>15.122873345935716</v>
      </c>
      <c r="Q307" s="706">
        <f t="shared" si="278"/>
        <v>1388.6699507389162</v>
      </c>
      <c r="R307" s="706">
        <f t="shared" si="278"/>
        <v>23.891462607544668</v>
      </c>
      <c r="S307" s="706">
        <f t="shared" si="278"/>
        <v>28.303062678062709</v>
      </c>
      <c r="T307" s="706">
        <f t="shared" si="278"/>
        <v>17.007841232391897</v>
      </c>
      <c r="U307" s="706">
        <f t="shared" si="278"/>
        <v>-25.744277072707867</v>
      </c>
      <c r="V307" s="706">
        <f t="shared" si="278"/>
        <v>-5.5107419535180835</v>
      </c>
      <c r="W307" s="706">
        <f t="shared" si="278"/>
        <v>33.234722339616262</v>
      </c>
      <c r="X307" s="706">
        <f t="shared" si="278"/>
        <v>-13.138361986931423</v>
      </c>
      <c r="Y307" s="706">
        <f t="shared" si="278"/>
        <v>9.7575226409582392</v>
      </c>
      <c r="Z307" s="706">
        <f t="shared" si="278"/>
        <v>5.8823529411764719</v>
      </c>
      <c r="AA307" s="706">
        <f t="shared" si="278"/>
        <v>8.9617898441427748</v>
      </c>
      <c r="AB307" s="706">
        <f t="shared" si="278"/>
        <v>8.2939208674587483</v>
      </c>
      <c r="AC307" s="2215">
        <v>4.5</v>
      </c>
      <c r="AD307" s="2215">
        <v>4.5</v>
      </c>
      <c r="AE307" s="2215">
        <v>4.5</v>
      </c>
    </row>
    <row r="308" spans="1:32" ht="12.75" customHeight="1">
      <c r="A308" s="664"/>
      <c r="B308" s="664"/>
      <c r="C308" s="795" t="s">
        <v>1767</v>
      </c>
      <c r="D308" s="674" t="s">
        <v>687</v>
      </c>
      <c r="E308" s="783" t="s">
        <v>1340</v>
      </c>
      <c r="F308" s="704" t="s">
        <v>844</v>
      </c>
      <c r="G308" s="706"/>
      <c r="H308" s="706">
        <f>(H300/G300-1)*100</f>
        <v>31.360312657589517</v>
      </c>
      <c r="I308" s="706">
        <f t="shared" ref="I308:AB309" si="279">(I300/H300-1)*100</f>
        <v>35.656701377225389</v>
      </c>
      <c r="J308" s="706">
        <f t="shared" si="279"/>
        <v>24.824457454146696</v>
      </c>
      <c r="K308" s="706">
        <f>(K300/J300-1)*100</f>
        <v>9.9030102940863998</v>
      </c>
      <c r="L308" s="706">
        <f t="shared" si="279"/>
        <v>-1.0526858638405967</v>
      </c>
      <c r="M308" s="706">
        <f t="shared" si="279"/>
        <v>4.3662944479914589</v>
      </c>
      <c r="N308" s="706">
        <f t="shared" si="279"/>
        <v>-5.204249794002358</v>
      </c>
      <c r="O308" s="706">
        <f t="shared" si="279"/>
        <v>7.2810962801019619</v>
      </c>
      <c r="P308" s="706">
        <f t="shared" si="279"/>
        <v>9.1464312897443953</v>
      </c>
      <c r="Q308" s="706">
        <f t="shared" si="279"/>
        <v>10.101396379423777</v>
      </c>
      <c r="R308" s="706">
        <f t="shared" si="279"/>
        <v>12.805254904765073</v>
      </c>
      <c r="S308" s="706">
        <f t="shared" si="279"/>
        <v>27.015290990676899</v>
      </c>
      <c r="T308" s="706">
        <f t="shared" si="279"/>
        <v>33.914057152635159</v>
      </c>
      <c r="U308" s="706">
        <f t="shared" si="279"/>
        <v>15.92753796802835</v>
      </c>
      <c r="V308" s="706">
        <f t="shared" si="279"/>
        <v>-7.9402768464852391</v>
      </c>
      <c r="W308" s="706">
        <f t="shared" si="279"/>
        <v>-2.6380775159766445</v>
      </c>
      <c r="X308" s="706">
        <f t="shared" si="279"/>
        <v>2.1828131645154514</v>
      </c>
      <c r="Y308" s="706">
        <f t="shared" si="279"/>
        <v>-0.85422297551411841</v>
      </c>
      <c r="Z308" s="706">
        <f t="shared" si="279"/>
        <v>0.33760289301654201</v>
      </c>
      <c r="AA308" s="706">
        <f t="shared" si="279"/>
        <v>2.1763238148045483</v>
      </c>
      <c r="AB308" s="706">
        <f t="shared" si="279"/>
        <v>5.0842984176317607</v>
      </c>
      <c r="AC308" s="3670">
        <v>12</v>
      </c>
      <c r="AD308" s="3670">
        <v>12</v>
      </c>
      <c r="AE308" s="3670">
        <v>6</v>
      </c>
      <c r="AF308" s="3671" t="s">
        <v>2606</v>
      </c>
    </row>
    <row r="309" spans="1:32" ht="12.75" customHeight="1">
      <c r="A309" s="664"/>
      <c r="B309" s="664"/>
      <c r="C309" s="796" t="s">
        <v>1767</v>
      </c>
      <c r="D309" s="691" t="s">
        <v>688</v>
      </c>
      <c r="E309" s="797" t="s">
        <v>1340</v>
      </c>
      <c r="F309" s="736" t="s">
        <v>842</v>
      </c>
      <c r="G309" s="741"/>
      <c r="H309" s="741" t="e">
        <f>(H301/G301-1)*100</f>
        <v>#DIV/0!</v>
      </c>
      <c r="I309" s="741" t="e">
        <f t="shared" ref="I309:V310" si="280">(I301/H301-1)*100</f>
        <v>#DIV/0!</v>
      </c>
      <c r="J309" s="741" t="e">
        <f t="shared" si="280"/>
        <v>#DIV/0!</v>
      </c>
      <c r="K309" s="741" t="e">
        <f>(K301/J301-1)*100</f>
        <v>#DIV/0!</v>
      </c>
      <c r="L309" s="741" t="e">
        <f t="shared" si="280"/>
        <v>#DIV/0!</v>
      </c>
      <c r="M309" s="741">
        <f t="shared" si="280"/>
        <v>-10.989010989010994</v>
      </c>
      <c r="N309" s="741">
        <f t="shared" si="280"/>
        <v>16.049382716049386</v>
      </c>
      <c r="O309" s="741">
        <f t="shared" si="280"/>
        <v>-6.3829787234042428</v>
      </c>
      <c r="P309" s="741">
        <f t="shared" si="280"/>
        <v>0</v>
      </c>
      <c r="Q309" s="741">
        <f t="shared" si="280"/>
        <v>13.785454545454545</v>
      </c>
      <c r="R309" s="741">
        <f t="shared" si="280"/>
        <v>-3.4482758620689724</v>
      </c>
      <c r="S309" s="741">
        <f t="shared" si="280"/>
        <v>-10.71428571428571</v>
      </c>
      <c r="T309" s="741">
        <f t="shared" si="280"/>
        <v>32.000000000000007</v>
      </c>
      <c r="U309" s="741">
        <f t="shared" si="280"/>
        <v>-18.181818181818187</v>
      </c>
      <c r="V309" s="741">
        <f t="shared" si="280"/>
        <v>14.814814814814813</v>
      </c>
      <c r="W309" s="741">
        <f t="shared" si="279"/>
        <v>-35.483870967741936</v>
      </c>
      <c r="X309" s="741">
        <f t="shared" si="279"/>
        <v>-14.999999999999991</v>
      </c>
      <c r="Y309" s="741">
        <f t="shared" si="279"/>
        <v>-70.588235294117638</v>
      </c>
      <c r="Z309" s="741">
        <f t="shared" si="279"/>
        <v>-19.999999999999996</v>
      </c>
      <c r="AA309" s="741">
        <f t="shared" si="279"/>
        <v>125</v>
      </c>
      <c r="AB309" s="741">
        <f t="shared" si="279"/>
        <v>-22.222222222222211</v>
      </c>
      <c r="AC309" s="2214">
        <v>0</v>
      </c>
      <c r="AD309" s="2214">
        <v>0</v>
      </c>
      <c r="AE309" s="2214">
        <v>0</v>
      </c>
    </row>
    <row r="310" spans="1:32" ht="12.75" customHeight="1">
      <c r="A310" s="664"/>
      <c r="B310" s="664"/>
      <c r="C310" s="774" t="s">
        <v>1769</v>
      </c>
      <c r="D310" s="717" t="s">
        <v>685</v>
      </c>
      <c r="E310" s="722" t="s">
        <v>1335</v>
      </c>
      <c r="F310" s="723" t="s">
        <v>12</v>
      </c>
      <c r="G310" s="721"/>
      <c r="H310" s="721">
        <f>(H302/G302-1)*100</f>
        <v>31.068841996589967</v>
      </c>
      <c r="I310" s="721">
        <f t="shared" si="280"/>
        <v>35.674475779021634</v>
      </c>
      <c r="J310" s="721">
        <f t="shared" si="280"/>
        <v>24.827810666502458</v>
      </c>
      <c r="K310" s="721">
        <f>(K302/J302-1)*100</f>
        <v>11.62866082250471</v>
      </c>
      <c r="L310" s="721">
        <f t="shared" si="280"/>
        <v>-1.0378132693642961</v>
      </c>
      <c r="M310" s="721">
        <f t="shared" si="280"/>
        <v>4.0168148705714168</v>
      </c>
      <c r="N310" s="721">
        <f t="shared" si="280"/>
        <v>-5.0385433850720247</v>
      </c>
      <c r="O310" s="721">
        <f t="shared" si="280"/>
        <v>7.212926307903933</v>
      </c>
      <c r="P310" s="721">
        <f t="shared" si="280"/>
        <v>9.0370807632999206</v>
      </c>
      <c r="Q310" s="721">
        <f t="shared" si="280"/>
        <v>14.821648556228894</v>
      </c>
      <c r="R310" s="721">
        <f t="shared" si="280"/>
        <v>13.033981399958638</v>
      </c>
      <c r="S310" s="721">
        <f t="shared" si="280"/>
        <v>26.632757299736088</v>
      </c>
      <c r="T310" s="721">
        <f t="shared" si="280"/>
        <v>33.085163237661796</v>
      </c>
      <c r="U310" s="721">
        <f t="shared" ref="U310:AE310" si="281">(U302/T302-1)*100</f>
        <v>13.844669561022682</v>
      </c>
      <c r="V310" s="2220">
        <f t="shared" si="281"/>
        <v>-7.7293903629425902</v>
      </c>
      <c r="W310" s="2220">
        <f t="shared" si="281"/>
        <v>-1.852283737939342</v>
      </c>
      <c r="X310" s="2220">
        <f t="shared" si="281"/>
        <v>1.4845118381245248</v>
      </c>
      <c r="Y310" s="2220">
        <f t="shared" si="281"/>
        <v>-0.78836521634180201</v>
      </c>
      <c r="Z310" s="2220">
        <f t="shared" si="281"/>
        <v>0.54086406867002168</v>
      </c>
      <c r="AA310" s="2220">
        <f t="shared" si="281"/>
        <v>2.5295717659813421</v>
      </c>
      <c r="AB310" s="2220">
        <f t="shared" si="281"/>
        <v>5.1755431511618211</v>
      </c>
      <c r="AC310" s="2220">
        <f t="shared" si="281"/>
        <v>11.656976344945068</v>
      </c>
      <c r="AD310" s="2220">
        <f t="shared" si="281"/>
        <v>11.68588141609268</v>
      </c>
      <c r="AE310" s="2220">
        <f t="shared" si="281"/>
        <v>5.9367827339498191</v>
      </c>
    </row>
    <row r="311" spans="1:32" ht="12.75" customHeight="1">
      <c r="A311" s="664"/>
      <c r="B311" s="664"/>
      <c r="C311" s="774"/>
      <c r="E311" s="786"/>
      <c r="F311" s="787"/>
      <c r="G311" s="703"/>
      <c r="H311" s="788"/>
      <c r="I311" s="703"/>
      <c r="J311" s="703"/>
      <c r="K311" s="703"/>
      <c r="L311" s="703"/>
      <c r="M311" s="703"/>
      <c r="N311" s="703"/>
      <c r="O311" s="703"/>
      <c r="P311" s="703"/>
      <c r="Q311" s="845"/>
      <c r="R311" s="845"/>
      <c r="S311" s="845"/>
      <c r="T311" s="2254"/>
      <c r="U311" s="2254"/>
      <c r="V311" s="2254"/>
      <c r="W311" s="2254"/>
      <c r="X311" s="2254"/>
      <c r="Y311" s="2254"/>
      <c r="Z311" s="2254"/>
      <c r="AA311" s="2254"/>
      <c r="AB311" s="2254"/>
      <c r="AC311" s="2254"/>
      <c r="AD311" s="2254">
        <v>9.9</v>
      </c>
      <c r="AE311" s="2254">
        <v>6</v>
      </c>
    </row>
    <row r="312" spans="1:32" ht="12.75" customHeight="1">
      <c r="A312" s="664"/>
      <c r="B312" s="664"/>
      <c r="C312" s="774"/>
      <c r="D312" s="818"/>
      <c r="E312" s="819" t="s">
        <v>512</v>
      </c>
      <c r="F312" s="820"/>
      <c r="G312" s="821">
        <f>+InputY!$G$3</f>
        <v>1995</v>
      </c>
      <c r="H312" s="821">
        <f>+G312+1</f>
        <v>1996</v>
      </c>
      <c r="I312" s="821">
        <f t="shared" ref="I312:O312" si="282">+H312+1</f>
        <v>1997</v>
      </c>
      <c r="J312" s="821">
        <f t="shared" si="282"/>
        <v>1998</v>
      </c>
      <c r="K312" s="821">
        <f>+J312+1</f>
        <v>1999</v>
      </c>
      <c r="L312" s="821">
        <f t="shared" si="282"/>
        <v>2000</v>
      </c>
      <c r="M312" s="821">
        <f t="shared" si="282"/>
        <v>2001</v>
      </c>
      <c r="N312" s="821">
        <f t="shared" si="282"/>
        <v>2002</v>
      </c>
      <c r="O312" s="821">
        <f t="shared" si="282"/>
        <v>2003</v>
      </c>
      <c r="P312" s="821">
        <f t="shared" ref="P312:V312" si="283">+O312+1</f>
        <v>2004</v>
      </c>
      <c r="Q312" s="821">
        <f t="shared" si="283"/>
        <v>2005</v>
      </c>
      <c r="R312" s="821">
        <f t="shared" si="283"/>
        <v>2006</v>
      </c>
      <c r="S312" s="821">
        <f>+R312+1</f>
        <v>2007</v>
      </c>
      <c r="T312" s="821">
        <f t="shared" si="283"/>
        <v>2008</v>
      </c>
      <c r="U312" s="821">
        <f t="shared" si="283"/>
        <v>2009</v>
      </c>
      <c r="V312" s="821">
        <f t="shared" si="283"/>
        <v>2010</v>
      </c>
      <c r="W312" s="821">
        <f t="shared" ref="W312:AE312" si="284">+V312+1</f>
        <v>2011</v>
      </c>
      <c r="X312" s="821">
        <f t="shared" si="284"/>
        <v>2012</v>
      </c>
      <c r="Y312" s="821">
        <f t="shared" si="284"/>
        <v>2013</v>
      </c>
      <c r="Z312" s="821">
        <f t="shared" si="284"/>
        <v>2014</v>
      </c>
      <c r="AA312" s="821">
        <f t="shared" si="284"/>
        <v>2015</v>
      </c>
      <c r="AB312" s="821">
        <f t="shared" si="284"/>
        <v>2016</v>
      </c>
      <c r="AC312" s="821">
        <f t="shared" si="284"/>
        <v>2017</v>
      </c>
      <c r="AD312" s="821">
        <f t="shared" si="284"/>
        <v>2018</v>
      </c>
      <c r="AE312" s="821">
        <f t="shared" si="284"/>
        <v>2019</v>
      </c>
    </row>
    <row r="313" spans="1:32" ht="12.75" customHeight="1">
      <c r="A313" s="664"/>
      <c r="B313" s="664"/>
      <c r="C313" s="822" t="s">
        <v>1767</v>
      </c>
      <c r="D313" s="823" t="s">
        <v>685</v>
      </c>
      <c r="E313" s="824" t="s">
        <v>1340</v>
      </c>
      <c r="F313" s="825" t="s">
        <v>680</v>
      </c>
      <c r="G313" s="838">
        <f>+G298/'VVP2'!G$341</f>
        <v>3.6061422906473417E-5</v>
      </c>
      <c r="H313" s="838">
        <f>+H298/'VVP2'!H$341</f>
        <v>2.2647375220683234E-5</v>
      </c>
      <c r="I313" s="838">
        <f>+I298/'VVP2'!I$341</f>
        <v>2.8146573709053132E-5</v>
      </c>
      <c r="J313" s="838">
        <f>+J298/'VVP2'!J$341</f>
        <v>3.7628744060033983E-5</v>
      </c>
      <c r="K313" s="838">
        <f>+K298/'VVP2'!K$341</f>
        <v>2.7532866375919601E-5</v>
      </c>
      <c r="L313" s="838">
        <f>+L298/'VVP2'!L$341</f>
        <v>3.441006928392646E-5</v>
      </c>
      <c r="M313" s="838">
        <f>+M298/'VVP2'!M$341</f>
        <v>2.8179889140316121E-5</v>
      </c>
      <c r="N313" s="838">
        <f>+N298/'VVP2'!N$341</f>
        <v>2.4338630603394121E-5</v>
      </c>
      <c r="O313" s="838">
        <f>+O298/'VVP2'!O$341</f>
        <v>2.5197258538271039E-5</v>
      </c>
      <c r="P313" s="838">
        <f>+P298/'VVP2'!P$341</f>
        <v>2.4125822745387037E-5</v>
      </c>
      <c r="Q313" s="838">
        <f>+Q298/'VVP2'!Q$341</f>
        <v>2.6663682873583196E-5</v>
      </c>
      <c r="R313" s="838">
        <f>+R298/'VVP2'!R$341</f>
        <v>2.8240164324532647E-5</v>
      </c>
      <c r="S313" s="838">
        <f>+S298/'VVP2'!S$341</f>
        <v>2.9269307240262448E-5</v>
      </c>
      <c r="T313" s="838">
        <f>+T298/'VVP2'!T$341</f>
        <v>2.660853161277063E-5</v>
      </c>
      <c r="U313" s="2909">
        <f>+U298/'VVP2'!U$341</f>
        <v>3.0072597477911495E-5</v>
      </c>
      <c r="V313" s="2909">
        <f>+V298/'VVP2'!V$341</f>
        <v>2.7829651137483471E-5</v>
      </c>
      <c r="W313" s="2909">
        <f>+W298/'VVP2'!W$341</f>
        <v>2.7817461180253313E-5</v>
      </c>
      <c r="X313" s="2909">
        <f>+X298/'VVP2'!X$341</f>
        <v>2.5488418062832251E-5</v>
      </c>
      <c r="Y313" s="2909">
        <f>+Y298/'VVP2'!Y$341</f>
        <v>2.5171876720733762E-5</v>
      </c>
      <c r="Z313" s="2909">
        <f>+Z298/'VVP2'!Z$341</f>
        <v>2.7346104328669546E-5</v>
      </c>
      <c r="AA313" s="2909">
        <f>+AA298/'VVP2'!AA$341</f>
        <v>2.4047061702889999E-5</v>
      </c>
      <c r="AB313" s="2909">
        <f>+AB298/'VVP2'!AB$341</f>
        <v>2.4309305395217586E-5</v>
      </c>
      <c r="AC313" s="2909">
        <f ca="1">+AC298/'VVP2'!AC$341</f>
        <v>2.3466479330999675E-5</v>
      </c>
      <c r="AD313" s="2909">
        <f ca="1">+AD298/'VVP2'!AD$341</f>
        <v>2.3173553180365941E-5</v>
      </c>
      <c r="AE313" s="2909">
        <f ca="1">+AE298/'VVP2'!AE$341</f>
        <v>2.289374307328536E-5</v>
      </c>
    </row>
    <row r="314" spans="1:32" ht="12.75" customHeight="1">
      <c r="A314" s="664"/>
      <c r="B314" s="664"/>
      <c r="C314" s="826" t="s">
        <v>1767</v>
      </c>
      <c r="D314" s="674" t="s">
        <v>686</v>
      </c>
      <c r="E314" s="783" t="s">
        <v>1340</v>
      </c>
      <c r="F314" s="704" t="s">
        <v>1556</v>
      </c>
      <c r="G314" s="839">
        <f>+G299/'VVP2'!G$341</f>
        <v>5.7183113465979272E-4</v>
      </c>
      <c r="H314" s="839">
        <f>+H299/'VVP2'!H$341</f>
        <v>4.2618242460740256E-4</v>
      </c>
      <c r="I314" s="839">
        <f>+I299/'VVP2'!I$341</f>
        <v>4.8787394429025428E-4</v>
      </c>
      <c r="J314" s="839">
        <f>+J299/'VVP2'!J$341</f>
        <v>5.4446488854212425E-4</v>
      </c>
      <c r="K314" s="839">
        <f>+K299/'VVP2'!K$341</f>
        <v>6.0886967357033628E-4</v>
      </c>
      <c r="L314" s="839">
        <f>+L299/'VVP2'!L$341</f>
        <v>4.6154375539527446E-4</v>
      </c>
      <c r="M314" s="839">
        <f>+M299/'VVP2'!M$341</f>
        <v>3.2406872511363537E-4</v>
      </c>
      <c r="N314" s="839">
        <f>+N299/'VVP2'!N$341</f>
        <v>2.874589614508981E-4</v>
      </c>
      <c r="O314" s="839">
        <f>+O299/'VVP2'!O$341</f>
        <v>3.1736547063679479E-4</v>
      </c>
      <c r="P314" s="839">
        <f>+P299/'VVP2'!P$341</f>
        <v>3.339233193622887E-4</v>
      </c>
      <c r="Q314" s="839">
        <f>+Q299/'VVP2'!Q$341</f>
        <v>4.3166598023554499E-3</v>
      </c>
      <c r="R314" s="839">
        <f>+R299/'VVP2'!R$341</f>
        <v>4.6646106719580973E-3</v>
      </c>
      <c r="S314" s="839">
        <f>+S299/'VVP2'!S$341</f>
        <v>4.9623527839932017E-3</v>
      </c>
      <c r="T314" s="839">
        <f>+T299/'VVP2'!T$341</f>
        <v>5.157161609822279E-3</v>
      </c>
      <c r="U314" s="2910">
        <f>+U299/'VVP2'!U$341</f>
        <v>4.6486295434682691E-3</v>
      </c>
      <c r="V314" s="2910">
        <f>+V299/'VVP2'!V$341</f>
        <v>4.2211872129175251E-3</v>
      </c>
      <c r="W314" s="2910">
        <f>+W299/'VVP2'!W$341</f>
        <v>5.0400763285555509E-3</v>
      </c>
      <c r="X314" s="2910">
        <f>+X299/'VVP2'!X$341</f>
        <v>4.105734354309401E-3</v>
      </c>
      <c r="Y314" s="2910">
        <f>+Y299/'VVP2'!Y$341</f>
        <v>4.298670038172578E-3</v>
      </c>
      <c r="Z314" s="2910">
        <f>+Z299/'VVP2'!Z$341</f>
        <v>4.3513121207778985E-3</v>
      </c>
      <c r="AA314" s="2910">
        <f>+AA299/'VVP2'!AA$341</f>
        <v>4.6325328422745201E-3</v>
      </c>
      <c r="AB314" s="2910">
        <f>+AB299/'VVP2'!AB$341</f>
        <v>4.8556544478787801E-3</v>
      </c>
      <c r="AC314" s="2910">
        <f ca="1">+AC299/'VVP2'!AC$341</f>
        <v>4.6962925443707598E-3</v>
      </c>
      <c r="AD314" s="2910">
        <f ca="1">+AD299/'VVP2'!AD$341</f>
        <v>4.637669907465225E-3</v>
      </c>
      <c r="AE314" s="2910">
        <f ca="1">+AE299/'VVP2'!AE$341</f>
        <v>4.5904577192068148E-3</v>
      </c>
    </row>
    <row r="315" spans="1:32" ht="12.75" customHeight="1">
      <c r="A315" s="664"/>
      <c r="B315" s="664"/>
      <c r="C315" s="826" t="s">
        <v>1767</v>
      </c>
      <c r="D315" s="674" t="s">
        <v>687</v>
      </c>
      <c r="E315" s="783" t="s">
        <v>1340</v>
      </c>
      <c r="F315" s="704" t="s">
        <v>844</v>
      </c>
      <c r="G315" s="839">
        <f>+G300/'VVP2'!G$341</f>
        <v>8.1725487569756311E-2</v>
      </c>
      <c r="H315" s="839">
        <f>+H300/'VVP2'!H$341</f>
        <v>8.5808845858875965E-2</v>
      </c>
      <c r="I315" s="839">
        <f>+I300/'VVP2'!I$341</f>
        <v>9.6447220056736657E-2</v>
      </c>
      <c r="J315" s="839">
        <f>+J300/'VVP2'!J$341</f>
        <v>0.10839305296591296</v>
      </c>
      <c r="K315" s="839">
        <f>+K300/'VVP2'!K$341</f>
        <v>0.12203117035135083</v>
      </c>
      <c r="L315" s="839">
        <f>+L300/'VVP2'!L$341</f>
        <v>0.11482041684058712</v>
      </c>
      <c r="M315" s="839">
        <f>+M300/'VVP2'!M$341</f>
        <v>0.11285763801805203</v>
      </c>
      <c r="N315" s="839">
        <f>+N300/'VVP2'!N$341</f>
        <v>9.9892975805427761E-2</v>
      </c>
      <c r="O315" s="839">
        <f>+O300/'VVP2'!O$341</f>
        <v>9.7738966000499167E-2</v>
      </c>
      <c r="P315" s="839">
        <f>+P300/'VVP2'!P$341</f>
        <v>9.7499577798101963E-2</v>
      </c>
      <c r="Q315" s="839">
        <f>+Q300/'VVP2'!Q$341</f>
        <v>9.3217663737629353E-2</v>
      </c>
      <c r="R315" s="839">
        <f>+R300/'VVP2'!R$341</f>
        <v>9.1717824278069265E-2</v>
      </c>
      <c r="S315" s="839">
        <f>+S300/'VVP2'!S$341</f>
        <v>9.6592846030358823E-2</v>
      </c>
      <c r="T315" s="839">
        <f>+T300/'VVP2'!T$341</f>
        <v>0.11488921675493358</v>
      </c>
      <c r="U315" s="2910">
        <f>+U300/'VVP2'!U$341</f>
        <v>0.16167770937396281</v>
      </c>
      <c r="V315" s="2910">
        <f>+V300/'VVP2'!V$341</f>
        <v>0.14303655745788268</v>
      </c>
      <c r="W315" s="2910">
        <f>+W300/'VVP2'!W$341</f>
        <v>0.1248019204919406</v>
      </c>
      <c r="X315" s="2910">
        <f>+X300/'VVP2'!X$341</f>
        <v>0.11959825455313106</v>
      </c>
      <c r="Y315" s="2910">
        <f>+Y300/'VVP2'!Y$341</f>
        <v>0.11311183035299265</v>
      </c>
      <c r="Z315" s="2910">
        <f>+Z300/'VVP2'!Z$341</f>
        <v>0.10850113814486215</v>
      </c>
      <c r="AA315" s="2910">
        <f>+AA300/'VVP2'!AA$341</f>
        <v>0.10831998944066801</v>
      </c>
      <c r="AB315" s="2910">
        <f>+AB300/'VVP2'!AB$341</f>
        <v>0.11017209953781287</v>
      </c>
      <c r="AC315" s="2910">
        <f ca="1">+AC300/'VVP2'!AC$341</f>
        <v>0.1142038454965528</v>
      </c>
      <c r="AD315" s="2910">
        <f ca="1">+AD300/'VVP2'!AD$341</f>
        <v>0.12087240170200475</v>
      </c>
      <c r="AE315" s="2910">
        <f ca="1">+AE300/'VVP2'!AE$341</f>
        <v>0.12135925006254542</v>
      </c>
    </row>
    <row r="316" spans="1:32" ht="12.75" customHeight="1">
      <c r="A316" s="664"/>
      <c r="B316" s="664"/>
      <c r="C316" s="827" t="s">
        <v>1767</v>
      </c>
      <c r="D316" s="828" t="s">
        <v>688</v>
      </c>
      <c r="E316" s="829" t="s">
        <v>1340</v>
      </c>
      <c r="F316" s="830" t="s">
        <v>842</v>
      </c>
      <c r="G316" s="840">
        <f>+G301/'VVP2'!G$341</f>
        <v>0</v>
      </c>
      <c r="H316" s="840">
        <f>+H301/'VVP2'!H$341</f>
        <v>0</v>
      </c>
      <c r="I316" s="840">
        <f>+I301/'VVP2'!I$341</f>
        <v>0</v>
      </c>
      <c r="J316" s="840">
        <f>+J301/'VVP2'!J$341</f>
        <v>0</v>
      </c>
      <c r="K316" s="840">
        <f>+K301/'VVP2'!K$341</f>
        <v>0</v>
      </c>
      <c r="L316" s="840">
        <f>+L301/'VVP2'!L$341</f>
        <v>-1.9715041005392646E-3</v>
      </c>
      <c r="M316" s="840">
        <f>+M301/'VVP2'!M$341</f>
        <v>-1.6526956530682386E-3</v>
      </c>
      <c r="N316" s="840">
        <f>+N301/'VVP2'!N$341</f>
        <v>-1.7908155047834638E-3</v>
      </c>
      <c r="O316" s="840">
        <f>+O301/'VVP2'!O$341</f>
        <v>-1.5290273396938382E-3</v>
      </c>
      <c r="P316" s="840">
        <f>+P301/'VVP2'!P$341</f>
        <v>-1.3974642461415103E-3</v>
      </c>
      <c r="Q316" s="840">
        <f>+Q301/'VVP2'!Q$341</f>
        <v>-1.3807978630962726E-3</v>
      </c>
      <c r="R316" s="840">
        <f>+R301/'VVP2'!R$341</f>
        <v>-1.1628302957160501E-3</v>
      </c>
      <c r="S316" s="840">
        <f>+S301/'VVP2'!S$341</f>
        <v>-8.6086197765477786E-4</v>
      </c>
      <c r="T316" s="840">
        <f>+T301/'VVP2'!T$341</f>
        <v>-1.0092891301395756E-3</v>
      </c>
      <c r="U316" s="2911">
        <f>+U301/'VVP2'!U$341</f>
        <v>-1.002419915930383E-3</v>
      </c>
      <c r="V316" s="2911">
        <f>+V301/'VVP2'!V$341</f>
        <v>-1.1060502375153686E-3</v>
      </c>
      <c r="W316" s="2911">
        <f>+W301/'VVP2'!W$341</f>
        <v>-6.3948186621271984E-4</v>
      </c>
      <c r="X316" s="2911">
        <f>+X301/'VVP2'!X$341</f>
        <v>-5.09768361256645E-4</v>
      </c>
      <c r="Y316" s="2911">
        <f>+Y301/'VVP2'!Y$341</f>
        <v>-1.430220268223509E-4</v>
      </c>
      <c r="Z316" s="2911">
        <f>+Z301/'VVP2'!Z$341</f>
        <v>-1.0938441731467818E-4</v>
      </c>
      <c r="AA316" s="2911">
        <f>+AA301/'VVP2'!AA$341</f>
        <v>-2.4047061702889999E-4</v>
      </c>
      <c r="AB316" s="2911">
        <f>+AB301/'VVP2'!AB$341</f>
        <v>-1.8102674230481179E-4</v>
      </c>
      <c r="AC316" s="2911">
        <f ca="1">+AC301/'VVP2'!AC$341</f>
        <v>-1.6754590411966066E-4</v>
      </c>
      <c r="AD316" s="2911">
        <f ca="1">+AD301/'VVP2'!AD$341</f>
        <v>-1.5832963712999242E-4</v>
      </c>
      <c r="AE316" s="2911">
        <f ca="1">+AE301/'VVP2'!AE$341</f>
        <v>-1.4996920309325756E-4</v>
      </c>
    </row>
    <row r="317" spans="1:32" ht="12.75" customHeight="1">
      <c r="A317" s="664"/>
      <c r="B317" s="664"/>
      <c r="C317" s="774" t="s">
        <v>1769</v>
      </c>
      <c r="D317" s="806" t="s">
        <v>685</v>
      </c>
      <c r="E317" s="807" t="s">
        <v>1335</v>
      </c>
      <c r="F317" s="808" t="s">
        <v>12</v>
      </c>
      <c r="G317" s="841">
        <f>+G302/'VVP2'!G$341</f>
        <v>8.2334668035283512E-2</v>
      </c>
      <c r="H317" s="841">
        <f>+H302/'VVP2'!H$341</f>
        <v>8.625664623255766E-2</v>
      </c>
      <c r="I317" s="841">
        <f>+I302/'VVP2'!I$341</f>
        <v>9.6963240574735973E-2</v>
      </c>
      <c r="J317" s="841">
        <f>+J302/'VVP2'!J$341</f>
        <v>0.10897591453206736</v>
      </c>
      <c r="K317" s="841">
        <f>+K302/'VVP2'!K$341</f>
        <v>0.12461375321741208</v>
      </c>
      <c r="L317" s="841">
        <f>+L302/'VVP2'!L$341</f>
        <v>0.1172680200296525</v>
      </c>
      <c r="M317" s="841">
        <f>+M302/'VVP2'!M$341</f>
        <v>0.11487743157218419</v>
      </c>
      <c r="N317" s="841">
        <f>+N302/'VVP2'!N$341</f>
        <v>0.10185848467685862</v>
      </c>
      <c r="O317" s="841">
        <f>+O302/'VVP2'!O$341</f>
        <v>9.9598763654514394E-2</v>
      </c>
      <c r="P317" s="841">
        <f>+P302/'VVP2'!P$341</f>
        <v>9.925527971698217E-2</v>
      </c>
      <c r="Q317" s="841">
        <f>+Q302/'VVP2'!Q$341</f>
        <v>9.8964639671274876E-2</v>
      </c>
      <c r="R317" s="841">
        <f>+R302/'VVP2'!R$341</f>
        <v>9.7569767741260291E-2</v>
      </c>
      <c r="S317" s="841">
        <f>+S302/'VVP2'!S$341</f>
        <v>0.10244636313362024</v>
      </c>
      <c r="T317" s="841">
        <f>+T302/'VVP2'!T$341</f>
        <v>0.12109726244086481</v>
      </c>
      <c r="U317" s="2912">
        <f>+U302/'VVP2'!U$341</f>
        <v>0.1673521486313998</v>
      </c>
      <c r="V317" s="2912">
        <f>+V302/'VVP2'!V$341</f>
        <v>0.14839590604424341</v>
      </c>
      <c r="W317" s="2912">
        <f>+W302/'VVP2'!W$341</f>
        <v>0.13052304500801271</v>
      </c>
      <c r="X317" s="2912">
        <f>+X302/'VVP2'!X$341</f>
        <v>0.12422605168211565</v>
      </c>
      <c r="Y317" s="2912">
        <f>+Y302/'VVP2'!Y$341</f>
        <v>0.11756668044445526</v>
      </c>
      <c r="Z317" s="2912">
        <f>+Z302/'VVP2'!Z$341</f>
        <v>0.11300285383944773</v>
      </c>
      <c r="AA317" s="2912">
        <f>+AA302/'VVP2'!AA$341</f>
        <v>0.11320421486209946</v>
      </c>
      <c r="AB317" s="2912">
        <f>+AB302/'VVP2'!AB$341</f>
        <v>0.11523981388382014</v>
      </c>
      <c r="AC317" s="2912">
        <f ca="1">+AC302/'VVP2'!AC$341</f>
        <v>0.1190911504243742</v>
      </c>
      <c r="AD317" s="2912">
        <f ca="1">+AD302/'VVP2'!AD$341</f>
        <v>0.12569157479978033</v>
      </c>
      <c r="AE317" s="2912">
        <f ca="1">+AE302/'VVP2'!AE$341</f>
        <v>0.12612257072791874</v>
      </c>
    </row>
    <row r="318" spans="1:32" ht="30" customHeight="1">
      <c r="A318" s="664"/>
      <c r="B318" s="664"/>
      <c r="C318" s="774"/>
      <c r="AB318" s="2221"/>
      <c r="AC318" s="2221"/>
      <c r="AD318" s="2221"/>
      <c r="AE318" s="2221"/>
    </row>
    <row r="319" spans="1:32" ht="30" customHeight="1">
      <c r="AB319" s="2221"/>
      <c r="AC319" s="2221"/>
      <c r="AD319" s="2221"/>
      <c r="AE319" s="2221"/>
    </row>
    <row r="320" spans="1:32" ht="22.5" customHeight="1">
      <c r="A320" s="574"/>
      <c r="B320" s="574"/>
      <c r="C320" s="3751" t="s">
        <v>1188</v>
      </c>
      <c r="D320" s="3751"/>
      <c r="E320" s="3751"/>
      <c r="F320" s="3751"/>
      <c r="AA320" s="2254"/>
      <c r="AB320" s="2221"/>
      <c r="AC320" s="2221"/>
      <c r="AD320" s="2221"/>
      <c r="AE320" s="2221"/>
    </row>
    <row r="321" spans="1:113" ht="12.75" customHeight="1">
      <c r="A321" s="664"/>
      <c r="B321" s="664"/>
      <c r="C321" s="774"/>
      <c r="O321" s="848"/>
      <c r="P321" s="848"/>
      <c r="Q321" s="848"/>
      <c r="R321" s="2274"/>
      <c r="S321" s="2274"/>
      <c r="T321" s="2274"/>
      <c r="U321" s="2274"/>
      <c r="V321" s="2274"/>
      <c r="W321" s="2274"/>
      <c r="X321" s="2274"/>
      <c r="Y321" s="2274"/>
      <c r="Z321" s="2274"/>
      <c r="AA321" s="2254"/>
      <c r="AB321" s="2274"/>
      <c r="AC321" s="2274"/>
      <c r="AD321" s="2274"/>
      <c r="AE321" s="2274"/>
    </row>
    <row r="322" spans="1:113" ht="12.75" customHeight="1">
      <c r="A322" s="664"/>
      <c r="B322" s="664"/>
      <c r="C322" s="774"/>
      <c r="D322" s="775"/>
      <c r="E322" s="776" t="s">
        <v>1384</v>
      </c>
      <c r="F322" s="777"/>
      <c r="G322" s="778">
        <f>+InputY!$G$3</f>
        <v>1995</v>
      </c>
      <c r="H322" s="778">
        <f>+G322+1</f>
        <v>1996</v>
      </c>
      <c r="I322" s="778">
        <f t="shared" ref="I322:O322" si="285">+H322+1</f>
        <v>1997</v>
      </c>
      <c r="J322" s="778">
        <f t="shared" si="285"/>
        <v>1998</v>
      </c>
      <c r="K322" s="778">
        <f>+J322+1</f>
        <v>1999</v>
      </c>
      <c r="L322" s="778">
        <f t="shared" si="285"/>
        <v>2000</v>
      </c>
      <c r="M322" s="778">
        <f t="shared" si="285"/>
        <v>2001</v>
      </c>
      <c r="N322" s="778">
        <f t="shared" si="285"/>
        <v>2002</v>
      </c>
      <c r="O322" s="778">
        <f t="shared" si="285"/>
        <v>2003</v>
      </c>
      <c r="P322" s="778">
        <f t="shared" ref="P322:W322" si="286">+O322+1</f>
        <v>2004</v>
      </c>
      <c r="Q322" s="778">
        <f t="shared" si="286"/>
        <v>2005</v>
      </c>
      <c r="R322" s="778">
        <f t="shared" si="286"/>
        <v>2006</v>
      </c>
      <c r="S322" s="778">
        <f t="shared" si="286"/>
        <v>2007</v>
      </c>
      <c r="T322" s="2222">
        <f t="shared" si="286"/>
        <v>2008</v>
      </c>
      <c r="U322" s="2222">
        <f t="shared" si="286"/>
        <v>2009</v>
      </c>
      <c r="V322" s="2222">
        <f t="shared" si="286"/>
        <v>2010</v>
      </c>
      <c r="W322" s="2222">
        <f t="shared" si="286"/>
        <v>2011</v>
      </c>
      <c r="X322" s="2222">
        <f t="shared" ref="X322:AE322" si="287">+W322+1</f>
        <v>2012</v>
      </c>
      <c r="Y322" s="2222">
        <f t="shared" si="287"/>
        <v>2013</v>
      </c>
      <c r="Z322" s="2222">
        <f t="shared" si="287"/>
        <v>2014</v>
      </c>
      <c r="AA322" s="2222">
        <f t="shared" si="287"/>
        <v>2015</v>
      </c>
      <c r="AB322" s="2222">
        <f t="shared" si="287"/>
        <v>2016</v>
      </c>
      <c r="AC322" s="2222">
        <f t="shared" si="287"/>
        <v>2017</v>
      </c>
      <c r="AD322" s="2222">
        <f t="shared" si="287"/>
        <v>2018</v>
      </c>
      <c r="AE322" s="2222">
        <f t="shared" si="287"/>
        <v>2019</v>
      </c>
    </row>
    <row r="323" spans="1:113" ht="12.75" customHeight="1">
      <c r="A323" s="664">
        <f>+ROW(InputY!A198)</f>
        <v>198</v>
      </c>
      <c r="B323" s="664" t="s">
        <v>991</v>
      </c>
      <c r="C323" s="779" t="s">
        <v>1767</v>
      </c>
      <c r="D323" s="668" t="s">
        <v>685</v>
      </c>
      <c r="E323" s="700" t="s">
        <v>1341</v>
      </c>
      <c r="F323" s="701" t="str">
        <f>+InputY!B198</f>
        <v>$HTO</v>
      </c>
      <c r="G323" s="780">
        <f>+InputY!G198/1000</f>
        <v>3.585E-2</v>
      </c>
      <c r="H323" s="780">
        <f>+InputY!H198/1000</f>
        <v>4.6530000000000002E-2</v>
      </c>
      <c r="I323" s="780">
        <f>+InputY!I198/1000</f>
        <v>1.9690000000000003E-2</v>
      </c>
      <c r="J323" s="780">
        <f>+InputY!J198/1000</f>
        <v>2.5559999999999999E-2</v>
      </c>
      <c r="K323" s="780">
        <f>+InputY!K198/1000</f>
        <v>3.9259999999999996E-2</v>
      </c>
      <c r="L323" s="780">
        <f>+InputY!L198/1000</f>
        <v>3.6819999999999999E-2</v>
      </c>
      <c r="M323" s="780">
        <f>+InputY!M198/1000</f>
        <v>4.1790000000000001E-2</v>
      </c>
      <c r="N323" s="780">
        <f>+InputY!N198/1000</f>
        <v>9.0469999999999995E-2</v>
      </c>
      <c r="O323" s="780">
        <f>+InputY!O198/1000</f>
        <v>7.5569999999999998E-2</v>
      </c>
      <c r="P323" s="780">
        <f>+InputY!P198/1000</f>
        <v>5.6060000000000006E-2</v>
      </c>
      <c r="Q323" s="780">
        <f>+InputY!Q198/1000</f>
        <v>8.0260000000000012E-2</v>
      </c>
      <c r="R323" s="780">
        <f>+InputY!R198/1000</f>
        <v>0.11993999999999999</v>
      </c>
      <c r="S323" s="780">
        <f>+InputY!S198/1000</f>
        <v>0.13761999999999999</v>
      </c>
      <c r="T323" s="780">
        <f>+InputY!T198/1000</f>
        <v>0.11809</v>
      </c>
      <c r="U323" s="780">
        <f>+InputY!U198/1000</f>
        <v>0.10909000000000001</v>
      </c>
      <c r="V323" s="780">
        <f>+InputY!V198/1000</f>
        <v>0.11334999999999999</v>
      </c>
      <c r="W323" s="780">
        <f>+InputY!W198/1000</f>
        <v>0.13771</v>
      </c>
      <c r="X323" s="780">
        <f>+InputY!X198/1000</f>
        <v>0.13758999999999999</v>
      </c>
      <c r="Y323" s="780">
        <f>+InputY!Y198/1000</f>
        <v>0.13761000000000001</v>
      </c>
      <c r="Z323" s="780">
        <f>+InputY!Z198/1000</f>
        <v>0.14047999999999999</v>
      </c>
      <c r="AA323" s="780">
        <f>+InputY!AA198/1000</f>
        <v>0.15171999999999999</v>
      </c>
      <c r="AB323" s="780">
        <f>+InputY!AB198/1000</f>
        <v>0.17138</v>
      </c>
      <c r="AC323" s="2232">
        <f t="shared" ref="AC323:AE328" si="288">+AB323*(1+AC333/100)</f>
        <v>0.17652140000000002</v>
      </c>
      <c r="AD323" s="2232">
        <f t="shared" si="288"/>
        <v>0.18181704200000004</v>
      </c>
      <c r="AE323" s="2232">
        <f t="shared" si="288"/>
        <v>0.18727155326000006</v>
      </c>
    </row>
    <row r="324" spans="1:113" ht="12.75" customHeight="1">
      <c r="A324" s="664">
        <f>+ROW(InputY!A197)</f>
        <v>197</v>
      </c>
      <c r="B324" s="664" t="s">
        <v>997</v>
      </c>
      <c r="C324" s="782" t="s">
        <v>401</v>
      </c>
      <c r="D324" s="674" t="s">
        <v>685</v>
      </c>
      <c r="E324" s="783" t="s">
        <v>1336</v>
      </c>
      <c r="F324" s="704" t="str">
        <f>+InputY!B197</f>
        <v>YHTO</v>
      </c>
      <c r="G324" s="706">
        <f>+InputY!G197/1000</f>
        <v>0.11465</v>
      </c>
      <c r="H324" s="706">
        <f>+InputY!H197/1000</f>
        <v>9.0450000000000003E-2</v>
      </c>
      <c r="I324" s="706">
        <f>+InputY!I197/1000</f>
        <v>0.14949000000000001</v>
      </c>
      <c r="J324" s="706">
        <f>+InputY!J197/1000</f>
        <v>0.18397999999999998</v>
      </c>
      <c r="K324" s="706">
        <f>+InputY!K197/1000</f>
        <v>0.17671000000000001</v>
      </c>
      <c r="L324" s="706">
        <f>+InputY!L197/1000</f>
        <v>0.12758</v>
      </c>
      <c r="M324" s="706">
        <f>+InputY!M197/1000</f>
        <v>0.25309999999999999</v>
      </c>
      <c r="N324" s="706">
        <f>+InputY!N197/1000</f>
        <v>0.19936000000000001</v>
      </c>
      <c r="O324" s="706">
        <f>+InputY!O197/1000</f>
        <v>0.21155000000000002</v>
      </c>
      <c r="P324" s="706">
        <f>+InputY!P197/1000</f>
        <v>0.35542000000000001</v>
      </c>
      <c r="Q324" s="706">
        <f>+InputY!Q197/1000</f>
        <v>0.63315999999999995</v>
      </c>
      <c r="R324" s="706">
        <f>+InputY!R197/1000</f>
        <v>0.63112000000000001</v>
      </c>
      <c r="S324" s="706">
        <f>+InputY!S197/1000</f>
        <v>0.83086000000000004</v>
      </c>
      <c r="T324" s="706">
        <f>+InputY!T197/1000</f>
        <v>1.2227000000000001</v>
      </c>
      <c r="U324" s="706">
        <f>+InputY!U197/1000</f>
        <v>1.0826</v>
      </c>
      <c r="V324" s="706">
        <f>+InputY!V197/1000</f>
        <v>1.2823599999999999</v>
      </c>
      <c r="W324" s="706">
        <f>+InputY!W197/1000</f>
        <v>1.1806800000000002</v>
      </c>
      <c r="X324" s="706">
        <f>+InputY!X197/1000</f>
        <v>0.80870000000000009</v>
      </c>
      <c r="Y324" s="706">
        <f>+InputY!Y197/1000</f>
        <v>1.4815</v>
      </c>
      <c r="Z324" s="706">
        <f>+InputY!Z197/1000</f>
        <v>1.6157300000000001</v>
      </c>
      <c r="AA324" s="706">
        <f>+InputY!AA197/1000</f>
        <v>1.3968</v>
      </c>
      <c r="AB324" s="706">
        <f>+InputY!AB197/1000</f>
        <v>1.4626199999999998</v>
      </c>
      <c r="AC324" s="2217">
        <f t="shared" si="288"/>
        <v>1.5357509999999999</v>
      </c>
      <c r="AD324" s="2217">
        <f t="shared" si="288"/>
        <v>1.61253855</v>
      </c>
      <c r="AE324" s="2217">
        <f t="shared" si="288"/>
        <v>1.6931654775</v>
      </c>
    </row>
    <row r="325" spans="1:113" ht="12.75" customHeight="1">
      <c r="A325" s="664">
        <f>+ROW(InputY!A125)</f>
        <v>125</v>
      </c>
      <c r="B325" s="664" t="s">
        <v>992</v>
      </c>
      <c r="C325" s="782" t="s">
        <v>1767</v>
      </c>
      <c r="D325" s="674" t="s">
        <v>686</v>
      </c>
      <c r="E325" s="783" t="s">
        <v>1341</v>
      </c>
      <c r="F325" s="704" t="str">
        <f>+InputY!B125</f>
        <v>$ETO</v>
      </c>
      <c r="G325" s="706">
        <f>+InputY!G125/1000</f>
        <v>0.29097000000000001</v>
      </c>
      <c r="H325" s="706">
        <f>+InputY!H125/1000</f>
        <v>0.36098000000000002</v>
      </c>
      <c r="I325" s="706">
        <f>+InputY!I125/1000</f>
        <v>0.36907999999999996</v>
      </c>
      <c r="J325" s="706">
        <f>+InputY!J125/1000</f>
        <v>0.30886000000000002</v>
      </c>
      <c r="K325" s="706">
        <f>+InputY!K125/1000</f>
        <v>0.27594000000000002</v>
      </c>
      <c r="L325" s="706">
        <f>+InputY!L125/1000</f>
        <v>0.25236999999999998</v>
      </c>
      <c r="M325" s="706">
        <f>+InputY!M125/1000</f>
        <v>0.24536000000000002</v>
      </c>
      <c r="N325" s="706">
        <f>+InputY!N125/1000</f>
        <v>0.27867000000000003</v>
      </c>
      <c r="O325" s="706">
        <f>+InputY!O125/1000</f>
        <v>0.18616999999999997</v>
      </c>
      <c r="P325" s="706">
        <f>+InputY!P125/1000</f>
        <v>0.23157</v>
      </c>
      <c r="Q325" s="706">
        <f>+InputY!Q125/1000</f>
        <v>0.32592000000000004</v>
      </c>
      <c r="R325" s="706">
        <f>+InputY!R125/1000</f>
        <v>0.32991000000000004</v>
      </c>
      <c r="S325" s="706">
        <f>+InputY!S125/1000</f>
        <v>0.40314</v>
      </c>
      <c r="T325" s="706">
        <f>+InputY!T125/1000</f>
        <v>0.79137000000000002</v>
      </c>
      <c r="U325" s="706">
        <f>+InputY!U125/1000</f>
        <v>0.71341999999999994</v>
      </c>
      <c r="V325" s="706">
        <f>+InputY!V125/1000</f>
        <v>0.64309000000000005</v>
      </c>
      <c r="W325" s="706">
        <f>+InputY!W125/1000</f>
        <v>0.71772999999999998</v>
      </c>
      <c r="X325" s="706">
        <f>+InputY!X125/1000</f>
        <v>0.68996000000000002</v>
      </c>
      <c r="Y325" s="706">
        <f>+InputY!Y125/1000</f>
        <v>0.71371000000000007</v>
      </c>
      <c r="Z325" s="706">
        <f>+InputY!Z125/1000</f>
        <v>0.72487999999999997</v>
      </c>
      <c r="AA325" s="706">
        <f>+InputY!AA125/1000</f>
        <v>0.77882000000000007</v>
      </c>
      <c r="AB325" s="706">
        <f>+InputY!AB125/1000</f>
        <v>0.83196000000000003</v>
      </c>
      <c r="AC325" s="2217">
        <f t="shared" si="288"/>
        <v>0.89851680000000012</v>
      </c>
      <c r="AD325" s="2217">
        <f t="shared" si="288"/>
        <v>0.97039814400000024</v>
      </c>
      <c r="AE325" s="2217">
        <f t="shared" si="288"/>
        <v>1.0480299955200003</v>
      </c>
    </row>
    <row r="326" spans="1:113" ht="12.75" customHeight="1">
      <c r="A326" s="664">
        <f>+ROW(InputY!A124)</f>
        <v>124</v>
      </c>
      <c r="B326" s="664" t="s">
        <v>992</v>
      </c>
      <c r="C326" s="782" t="s">
        <v>401</v>
      </c>
      <c r="D326" s="674" t="s">
        <v>686</v>
      </c>
      <c r="E326" s="783" t="s">
        <v>1336</v>
      </c>
      <c r="F326" s="704" t="str">
        <f>+InputY!B124</f>
        <v>YETO</v>
      </c>
      <c r="G326" s="706">
        <f>+InputY!G124/1000</f>
        <v>2.1780000000000001E-2</v>
      </c>
      <c r="H326" s="706">
        <f>+InputY!H124/1000</f>
        <v>1.8239999999999999E-2</v>
      </c>
      <c r="I326" s="706">
        <f>+InputY!I124/1000</f>
        <v>0.11393</v>
      </c>
      <c r="J326" s="706">
        <f>+InputY!J124/1000</f>
        <v>0.13008</v>
      </c>
      <c r="K326" s="706">
        <f>+InputY!K124/1000</f>
        <v>0.15775999999999998</v>
      </c>
      <c r="L326" s="706">
        <f>+InputY!L124/1000</f>
        <v>0.11975</v>
      </c>
      <c r="M326" s="706">
        <f>+InputY!M124/1000</f>
        <v>0.12631999999999999</v>
      </c>
      <c r="N326" s="706">
        <f>+InputY!N124/1000</f>
        <v>0.19588</v>
      </c>
      <c r="O326" s="706">
        <f>+InputY!O124/1000</f>
        <v>0.14812999999999998</v>
      </c>
      <c r="P326" s="706">
        <f>+InputY!P124/1000</f>
        <v>0.18512999999999999</v>
      </c>
      <c r="Q326" s="706">
        <f>+InputY!Q124/1000</f>
        <v>0.19778000000000001</v>
      </c>
      <c r="R326" s="706">
        <f>+InputY!R124/1000</f>
        <v>0.35533999999999999</v>
      </c>
      <c r="S326" s="706">
        <f>+InputY!S124/1000</f>
        <v>0.38927999999999996</v>
      </c>
      <c r="T326" s="706">
        <f>+InputY!T124/1000</f>
        <v>0.46614999999999995</v>
      </c>
      <c r="U326" s="706">
        <f>+InputY!U124/1000</f>
        <v>0.41881000000000002</v>
      </c>
      <c r="V326" s="706">
        <f>+InputY!V124/1000</f>
        <v>0.40181</v>
      </c>
      <c r="W326" s="706">
        <f>+InputY!W124/1000</f>
        <v>0.44327</v>
      </c>
      <c r="X326" s="706">
        <f>+InputY!X124/1000</f>
        <v>0.39974999999999999</v>
      </c>
      <c r="Y326" s="706">
        <f>+InputY!Y124/1000</f>
        <v>0.43422000000000005</v>
      </c>
      <c r="Z326" s="706">
        <f>+InputY!Z124/1000</f>
        <v>0.46385000000000004</v>
      </c>
      <c r="AA326" s="706">
        <f>+InputY!AA124/1000</f>
        <v>0.49933</v>
      </c>
      <c r="AB326" s="706">
        <f>+InputY!AB124/1000</f>
        <v>0.49392000000000003</v>
      </c>
      <c r="AC326" s="2217">
        <f t="shared" si="288"/>
        <v>0.51861600000000008</v>
      </c>
      <c r="AD326" s="2217">
        <f t="shared" si="288"/>
        <v>0.54454680000000011</v>
      </c>
      <c r="AE326" s="2217">
        <f t="shared" si="288"/>
        <v>0.57177414000000015</v>
      </c>
    </row>
    <row r="327" spans="1:113" ht="13.5" customHeight="1">
      <c r="A327" s="664">
        <f>+ROW(InputY!A163)</f>
        <v>163</v>
      </c>
      <c r="B327" s="664" t="s">
        <v>1695</v>
      </c>
      <c r="C327" s="782" t="s">
        <v>1767</v>
      </c>
      <c r="D327" s="674" t="s">
        <v>687</v>
      </c>
      <c r="E327" s="783" t="s">
        <v>1341</v>
      </c>
      <c r="F327" s="704" t="str">
        <f>+InputY!B163</f>
        <v>$ATO</v>
      </c>
      <c r="G327" s="706">
        <f>+InputY!G163/1000</f>
        <v>5.6799999999999993E-3</v>
      </c>
      <c r="H327" s="706">
        <f>+InputY!H163/1000</f>
        <v>5.4999999999999997E-3</v>
      </c>
      <c r="I327" s="706">
        <f>+InputY!I163/1000</f>
        <v>0.22914999999999999</v>
      </c>
      <c r="J327" s="706">
        <f>+InputY!J163/1000</f>
        <v>8.2860000000000003E-2</v>
      </c>
      <c r="K327" s="706">
        <f>+InputY!K163/1000</f>
        <v>6.4030000000000004E-2</v>
      </c>
      <c r="L327" s="706">
        <f>+InputY!L163/1000</f>
        <v>1.325E-2</v>
      </c>
      <c r="M327" s="706">
        <f>+InputY!M163/1000</f>
        <v>5.237E-2</v>
      </c>
      <c r="N327" s="706">
        <f>+InputY!N163/1000</f>
        <v>1.8089999999999998E-2</v>
      </c>
      <c r="O327" s="706">
        <f>+InputY!O163/1000</f>
        <v>2.7050000000000001E-2</v>
      </c>
      <c r="P327" s="706">
        <f>+InputY!P163/1000</f>
        <v>0.13155</v>
      </c>
      <c r="Q327" s="706">
        <f>+InputY!Q163/1000</f>
        <v>0.37627999999999995</v>
      </c>
      <c r="R327" s="706">
        <f>+InputY!R163/1000</f>
        <v>0.30130000000000001</v>
      </c>
      <c r="S327" s="706">
        <f>+InputY!S163/1000</f>
        <v>0.38061</v>
      </c>
      <c r="T327" s="706">
        <f>+InputY!T163/1000</f>
        <v>0.47885</v>
      </c>
      <c r="U327" s="706">
        <f>+InputY!U163/1000</f>
        <v>0.44794</v>
      </c>
      <c r="V327" s="706">
        <f>+InputY!V163/1000</f>
        <v>0.34664</v>
      </c>
      <c r="W327" s="706">
        <f>+InputY!W163/1000</f>
        <v>0.49845</v>
      </c>
      <c r="X327" s="706">
        <f>+InputY!X163/1000</f>
        <v>0.46572000000000002</v>
      </c>
      <c r="Y327" s="706">
        <f>+InputY!Y163/1000</f>
        <v>0.5542999999999999</v>
      </c>
      <c r="Z327" s="706">
        <f>+InputY!Z163/1000</f>
        <v>0.51539999999999997</v>
      </c>
      <c r="AA327" s="706">
        <f>+InputY!AA163/1000</f>
        <v>0.55409000000000008</v>
      </c>
      <c r="AB327" s="706">
        <f>+InputY!AB163/1000</f>
        <v>0.64263999999999999</v>
      </c>
      <c r="AC327" s="2217">
        <f t="shared" si="288"/>
        <v>0.67477200000000004</v>
      </c>
      <c r="AD327" s="2217">
        <f t="shared" si="288"/>
        <v>0.70513674000000004</v>
      </c>
      <c r="AE327" s="2217">
        <f t="shared" si="288"/>
        <v>0.74039357700000008</v>
      </c>
    </row>
    <row r="328" spans="1:113" ht="12.75" customHeight="1">
      <c r="A328" s="664">
        <f>+ROW(InputY!A161)</f>
        <v>161</v>
      </c>
      <c r="B328" s="664" t="s">
        <v>1913</v>
      </c>
      <c r="C328" s="782" t="s">
        <v>401</v>
      </c>
      <c r="D328" s="674" t="s">
        <v>687</v>
      </c>
      <c r="E328" s="783" t="s">
        <v>1336</v>
      </c>
      <c r="F328" s="704" t="str">
        <f>+InputY!B161</f>
        <v>YATO</v>
      </c>
      <c r="G328" s="706">
        <f>+InputY!G161/1000</f>
        <v>0.32274000000000003</v>
      </c>
      <c r="H328" s="706">
        <f>+InputY!H161/1000</f>
        <v>0.47088999999999998</v>
      </c>
      <c r="I328" s="706">
        <f>+InputY!I161/1000</f>
        <v>0.621</v>
      </c>
      <c r="J328" s="706">
        <f>+InputY!J161/1000</f>
        <v>0.37545999999999996</v>
      </c>
      <c r="K328" s="706">
        <f>+InputY!K161/1000</f>
        <v>0.2334</v>
      </c>
      <c r="L328" s="706">
        <f>+InputY!L161/1000</f>
        <v>0.31313000000000002</v>
      </c>
      <c r="M328" s="706">
        <f>+InputY!M161/1000</f>
        <v>0.22991</v>
      </c>
      <c r="N328" s="706">
        <f>+InputY!N161/1000</f>
        <v>0.19896</v>
      </c>
      <c r="O328" s="706">
        <f>+InputY!O161/1000</f>
        <v>0.15042</v>
      </c>
      <c r="P328" s="706">
        <f>+InputY!P161/1000</f>
        <v>0.14199000000000001</v>
      </c>
      <c r="Q328" s="706">
        <f>+InputY!Q161/1000</f>
        <v>0.24165999999999999</v>
      </c>
      <c r="R328" s="706">
        <f>+InputY!R161/1000</f>
        <v>0.20996000000000001</v>
      </c>
      <c r="S328" s="706">
        <f>+InputY!S161/1000</f>
        <v>0.24681</v>
      </c>
      <c r="T328" s="706">
        <f>+InputY!T161/1000</f>
        <v>0.28988999999999998</v>
      </c>
      <c r="U328" s="706">
        <f>+InputY!U161/1000</f>
        <v>0.27145999999999998</v>
      </c>
      <c r="V328" s="706">
        <f>+InputY!V161/1000</f>
        <v>0.40132000000000001</v>
      </c>
      <c r="W328" s="1455">
        <f>+InputY!W161/1000</f>
        <v>0.50073999999999996</v>
      </c>
      <c r="X328" s="1455">
        <f>+InputY!X161/1000</f>
        <v>0.47694999999999999</v>
      </c>
      <c r="Y328" s="1455">
        <f>+InputY!Y161/1000</f>
        <v>0.46564</v>
      </c>
      <c r="Z328" s="1455">
        <f>+InputY!Z161/1000</f>
        <v>0.46029999999999999</v>
      </c>
      <c r="AA328" s="1455">
        <f>+InputY!AA161/1000</f>
        <v>0.52540999999999993</v>
      </c>
      <c r="AB328" s="1455">
        <f>+InputY!AB161/1000</f>
        <v>0.45651999999999998</v>
      </c>
      <c r="AC328" s="2217">
        <f t="shared" si="288"/>
        <v>0.49094160799999992</v>
      </c>
      <c r="AD328" s="2217">
        <f t="shared" si="288"/>
        <v>0.53267164467999994</v>
      </c>
      <c r="AE328" s="2217">
        <f t="shared" si="288"/>
        <v>0.57794873447779993</v>
      </c>
    </row>
    <row r="329" spans="1:113" ht="12.75" customHeight="1">
      <c r="A329" s="1953">
        <f>ROW(InputY!A254)</f>
        <v>254</v>
      </c>
      <c r="B329" s="664" t="s">
        <v>988</v>
      </c>
      <c r="C329" s="784" t="s">
        <v>1769</v>
      </c>
      <c r="D329" s="752" t="s">
        <v>688</v>
      </c>
      <c r="E329" s="753" t="s">
        <v>0</v>
      </c>
      <c r="F329" s="754" t="s">
        <v>1</v>
      </c>
      <c r="G329" s="785">
        <f>+InputY!G254/1000</f>
        <v>-0.12656394810009269</v>
      </c>
      <c r="H329" s="785">
        <f>+InputY!H254/1000</f>
        <v>-0.16653151065801669</v>
      </c>
      <c r="I329" s="785">
        <f>+InputY!I254/1000</f>
        <v>-0.26645041705282663</v>
      </c>
      <c r="J329" s="785">
        <f>+InputY!J254/1000</f>
        <v>-0.27224281742354034</v>
      </c>
      <c r="K329" s="785">
        <f>+InputY!K254/1000</f>
        <v>-0.18883225208526414</v>
      </c>
      <c r="L329" s="785">
        <f>+InputY!L254/1000</f>
        <v>-0.25457599629286376</v>
      </c>
      <c r="M329" s="785">
        <f>+InputY!M254/1000</f>
        <v>-0.27427015755329004</v>
      </c>
      <c r="N329" s="785">
        <f>+InputY!N254/1000</f>
        <v>-0.20939527340129752</v>
      </c>
      <c r="O329" s="785">
        <f>+InputY!O254/1000</f>
        <v>-0.22474513438368859</v>
      </c>
      <c r="P329" s="785">
        <f>+InputY!P254/1000</f>
        <v>-0.26152687673772013</v>
      </c>
      <c r="Q329" s="785">
        <f>+InputY!Q254/1000</f>
        <v>-0.28999999999999998</v>
      </c>
      <c r="R329" s="785">
        <f>+InputY!R254/1000</f>
        <v>-0.44600000000000001</v>
      </c>
      <c r="S329" s="785">
        <f>+InputY!S254/1000</f>
        <v>-0.54500000000000004</v>
      </c>
      <c r="T329" s="785">
        <f>+InputY!T254/1000</f>
        <v>-0.59</v>
      </c>
      <c r="U329" s="785">
        <f>+InputY!U254/1000</f>
        <v>-0.502</v>
      </c>
      <c r="V329" s="785">
        <f>+InputY!V254/1000</f>
        <v>-0.98199999999999998</v>
      </c>
      <c r="W329" s="785">
        <f>+InputY!W254/1000</f>
        <v>-0.77100000000000002</v>
      </c>
      <c r="X329" s="785">
        <f>+InputY!X254/1000</f>
        <v>-0.39200000000000002</v>
      </c>
      <c r="Y329" s="785">
        <f>+InputY!Y254/1000</f>
        <v>-0.97599999999999998</v>
      </c>
      <c r="Z329" s="785">
        <f>+InputY!Z254/1000</f>
        <v>-1.159</v>
      </c>
      <c r="AA329" s="785">
        <f>+InputY!AA254/1000</f>
        <v>-0.93700000000000006</v>
      </c>
      <c r="AB329" s="2873">
        <f>+AB323-AB324+AB325-AB326+AB327-AB328</f>
        <v>-0.76707999999999976</v>
      </c>
      <c r="AC329" s="2873">
        <f>+AC323-AC324+AC325-AC326+AC327-AC328</f>
        <v>-0.79549840799999982</v>
      </c>
      <c r="AD329" s="2873">
        <f>+AD323-AD324+AD325-AD326+AD327-AD328</f>
        <v>-0.83240506867999964</v>
      </c>
      <c r="AE329" s="2873">
        <f>+AE323-AE324+AE325-AE326+AE327-AE328</f>
        <v>-0.86719322619779959</v>
      </c>
    </row>
    <row r="330" spans="1:113" s="1972" customFormat="1" ht="12.75" customHeight="1">
      <c r="A330" s="998"/>
      <c r="B330" s="998"/>
      <c r="C330" s="1595"/>
      <c r="D330" s="1011"/>
      <c r="E330" s="1973" t="s">
        <v>737</v>
      </c>
      <c r="F330" s="1974"/>
      <c r="G330" s="1002">
        <f>ABS(+G323-G324+G325-G326+G327-G328-G329)</f>
        <v>1.0605189990733899E-4</v>
      </c>
      <c r="H330" s="1002">
        <f t="shared" ref="H330:Y330" si="289">ABS(+H323-H324+H325-H326+H327-H328-H329)</f>
        <v>3.8489341983249936E-5</v>
      </c>
      <c r="I330" s="1002">
        <f t="shared" si="289"/>
        <v>4.9582947173443248E-5</v>
      </c>
      <c r="J330" s="1002">
        <f t="shared" si="289"/>
        <v>2.8174235404132553E-6</v>
      </c>
      <c r="K330" s="1002">
        <f t="shared" si="289"/>
        <v>1.9225208526416071E-4</v>
      </c>
      <c r="L330" s="1002">
        <f t="shared" si="289"/>
        <v>3.4440037071362672E-3</v>
      </c>
      <c r="M330" s="1002">
        <f t="shared" si="289"/>
        <v>4.460157553290045E-3</v>
      </c>
      <c r="N330" s="1002">
        <f t="shared" si="289"/>
        <v>2.4252734012975286E-3</v>
      </c>
      <c r="O330" s="1002">
        <f t="shared" si="289"/>
        <v>3.4351343836885873E-3</v>
      </c>
      <c r="P330" s="1002">
        <f t="shared" si="289"/>
        <v>1.8331232622799121E-3</v>
      </c>
      <c r="Q330" s="1002">
        <f t="shared" si="289"/>
        <v>1.3999999999997348E-4</v>
      </c>
      <c r="R330" s="1002">
        <f t="shared" si="289"/>
        <v>7.3000000000006393E-4</v>
      </c>
      <c r="S330" s="1002">
        <f t="shared" si="289"/>
        <v>5.8000000000002494E-4</v>
      </c>
      <c r="T330" s="2906">
        <f t="shared" si="289"/>
        <v>4.3000000000004146E-4</v>
      </c>
      <c r="U330" s="2906">
        <f t="shared" si="289"/>
        <v>4.2000000000008697E-4</v>
      </c>
      <c r="V330" s="2906">
        <f t="shared" si="289"/>
        <v>4.0999999999991044E-4</v>
      </c>
      <c r="W330" s="2906">
        <f t="shared" si="289"/>
        <v>1.9999999999986695E-4</v>
      </c>
      <c r="X330" s="2906">
        <f t="shared" si="289"/>
        <v>1.3000000000001899E-4</v>
      </c>
      <c r="Y330" s="2906">
        <f t="shared" si="289"/>
        <v>2.5999999999992696E-4</v>
      </c>
      <c r="Z330" s="2906">
        <f t="shared" ref="Z330:AE330" si="290">ABS(+Z323-Z324+Z325-Z326+Z327-Z328-Z329)</f>
        <v>1.2000000000034206E-4</v>
      </c>
      <c r="AA330" s="2906">
        <f t="shared" si="290"/>
        <v>9.0000000000256541E-5</v>
      </c>
      <c r="AB330" s="2906">
        <f t="shared" si="290"/>
        <v>0</v>
      </c>
      <c r="AC330" s="2906">
        <f t="shared" si="290"/>
        <v>0</v>
      </c>
      <c r="AD330" s="2906">
        <f t="shared" si="290"/>
        <v>0</v>
      </c>
      <c r="AE330" s="2906">
        <f t="shared" si="290"/>
        <v>0</v>
      </c>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row>
    <row r="331" spans="1:113">
      <c r="A331" s="664"/>
      <c r="B331" s="664"/>
      <c r="P331" s="1868"/>
      <c r="Q331" s="1872"/>
      <c r="R331" s="2877"/>
      <c r="S331" s="2877"/>
      <c r="T331" s="2877"/>
      <c r="U331" s="3128"/>
      <c r="V331" s="2877"/>
      <c r="W331" s="2877"/>
      <c r="X331" s="2877"/>
      <c r="Y331" s="2877"/>
      <c r="Z331" s="2877"/>
      <c r="AA331" s="2877">
        <f>AB331-AB329</f>
        <v>3.393915599999997E-2</v>
      </c>
      <c r="AB331" s="2877">
        <v>-0.73314084399999979</v>
      </c>
      <c r="AC331" s="2877">
        <v>-0.74509314087999989</v>
      </c>
      <c r="AD331" s="2877">
        <v>-0.74509314087999989</v>
      </c>
      <c r="AE331" s="2877">
        <v>-0.74509314087999989</v>
      </c>
    </row>
    <row r="332" spans="1:113" ht="12.75" customHeight="1">
      <c r="A332" s="664"/>
      <c r="B332" s="664"/>
      <c r="C332" s="774"/>
      <c r="D332" s="742"/>
      <c r="E332" s="743" t="s">
        <v>1311</v>
      </c>
      <c r="F332" s="744"/>
      <c r="G332" s="745">
        <f>+InputY!$G$3</f>
        <v>1995</v>
      </c>
      <c r="H332" s="745">
        <f>+G332+1</f>
        <v>1996</v>
      </c>
      <c r="I332" s="745">
        <f t="shared" ref="I332:O332" si="291">+H332+1</f>
        <v>1997</v>
      </c>
      <c r="J332" s="745">
        <f t="shared" si="291"/>
        <v>1998</v>
      </c>
      <c r="K332" s="745">
        <f>+J332+1</f>
        <v>1999</v>
      </c>
      <c r="L332" s="745">
        <f t="shared" si="291"/>
        <v>2000</v>
      </c>
      <c r="M332" s="745">
        <f t="shared" si="291"/>
        <v>2001</v>
      </c>
      <c r="N332" s="745">
        <f t="shared" si="291"/>
        <v>2002</v>
      </c>
      <c r="O332" s="745">
        <f t="shared" si="291"/>
        <v>2003</v>
      </c>
      <c r="P332" s="745">
        <f t="shared" ref="P332:W332" si="292">+O332+1</f>
        <v>2004</v>
      </c>
      <c r="Q332" s="745">
        <f t="shared" si="292"/>
        <v>2005</v>
      </c>
      <c r="R332" s="745">
        <f t="shared" si="292"/>
        <v>2006</v>
      </c>
      <c r="S332" s="745">
        <f t="shared" si="292"/>
        <v>2007</v>
      </c>
      <c r="T332" s="2211">
        <f t="shared" si="292"/>
        <v>2008</v>
      </c>
      <c r="U332" s="2211">
        <f t="shared" si="292"/>
        <v>2009</v>
      </c>
      <c r="V332" s="2211">
        <f t="shared" si="292"/>
        <v>2010</v>
      </c>
      <c r="W332" s="2211">
        <f t="shared" si="292"/>
        <v>2011</v>
      </c>
      <c r="X332" s="2211">
        <f t="shared" ref="X332:AE332" si="293">+W332+1</f>
        <v>2012</v>
      </c>
      <c r="Y332" s="2211">
        <f t="shared" si="293"/>
        <v>2013</v>
      </c>
      <c r="Z332" s="2211">
        <f t="shared" si="293"/>
        <v>2014</v>
      </c>
      <c r="AA332" s="2211">
        <f t="shared" si="293"/>
        <v>2015</v>
      </c>
      <c r="AB332" s="2211">
        <f t="shared" si="293"/>
        <v>2016</v>
      </c>
      <c r="AC332" s="2211">
        <f t="shared" si="293"/>
        <v>2017</v>
      </c>
      <c r="AD332" s="2211">
        <f t="shared" si="293"/>
        <v>2018</v>
      </c>
      <c r="AE332" s="2211">
        <f t="shared" si="293"/>
        <v>2019</v>
      </c>
    </row>
    <row r="333" spans="1:113" ht="12.75" customHeight="1">
      <c r="A333" s="664"/>
      <c r="B333" s="664"/>
      <c r="C333" s="794" t="s">
        <v>1767</v>
      </c>
      <c r="D333" s="689" t="s">
        <v>685</v>
      </c>
      <c r="E333" s="738" t="s">
        <v>1341</v>
      </c>
      <c r="F333" s="733" t="s">
        <v>15</v>
      </c>
      <c r="G333" s="739"/>
      <c r="H333" s="739">
        <f t="shared" ref="H333:AB333" si="294">(H323/G323-1)*100</f>
        <v>29.790794979079504</v>
      </c>
      <c r="I333" s="739">
        <f t="shared" si="294"/>
        <v>-57.683215130023633</v>
      </c>
      <c r="J333" s="739">
        <f t="shared" si="294"/>
        <v>29.812087353986772</v>
      </c>
      <c r="K333" s="739">
        <f t="shared" ref="K333:K339" si="295">(K323/J323-1)*100</f>
        <v>53.59937402190922</v>
      </c>
      <c r="L333" s="739">
        <f t="shared" si="294"/>
        <v>-6.2149770759042262</v>
      </c>
      <c r="M333" s="739">
        <f t="shared" si="294"/>
        <v>13.498098859315588</v>
      </c>
      <c r="N333" s="739">
        <f t="shared" si="294"/>
        <v>116.48719789423305</v>
      </c>
      <c r="O333" s="739">
        <f t="shared" si="294"/>
        <v>-16.46954791643639</v>
      </c>
      <c r="P333" s="739">
        <f t="shared" si="294"/>
        <v>-25.817123197035851</v>
      </c>
      <c r="Q333" s="739">
        <f t="shared" si="294"/>
        <v>43.168034249018916</v>
      </c>
      <c r="R333" s="739">
        <f t="shared" si="294"/>
        <v>49.439322202840728</v>
      </c>
      <c r="S333" s="739">
        <f t="shared" si="294"/>
        <v>14.740703685175927</v>
      </c>
      <c r="T333" s="739">
        <f t="shared" si="294"/>
        <v>-14.191251271617489</v>
      </c>
      <c r="U333" s="739">
        <f t="shared" si="294"/>
        <v>-7.6213057837242744</v>
      </c>
      <c r="V333" s="739">
        <f t="shared" si="294"/>
        <v>3.9050325419378362</v>
      </c>
      <c r="W333" s="739">
        <f t="shared" si="294"/>
        <v>21.490957212174688</v>
      </c>
      <c r="X333" s="739">
        <f t="shared" si="294"/>
        <v>-8.713964127514684E-2</v>
      </c>
      <c r="Y333" s="739">
        <f t="shared" si="294"/>
        <v>1.4535940111937151E-2</v>
      </c>
      <c r="Z333" s="739">
        <f t="shared" si="294"/>
        <v>2.0856042438776035</v>
      </c>
      <c r="AA333" s="739">
        <f t="shared" si="294"/>
        <v>8.0011389521640108</v>
      </c>
      <c r="AB333" s="739">
        <f t="shared" si="294"/>
        <v>12.958080674927498</v>
      </c>
      <c r="AC333" s="2213">
        <v>3</v>
      </c>
      <c r="AD333" s="2213">
        <v>3</v>
      </c>
      <c r="AE333" s="2213">
        <v>3</v>
      </c>
    </row>
    <row r="334" spans="1:113" ht="12.75" customHeight="1">
      <c r="A334" s="664"/>
      <c r="B334" s="664"/>
      <c r="C334" s="795" t="s">
        <v>401</v>
      </c>
      <c r="D334" s="674" t="s">
        <v>685</v>
      </c>
      <c r="E334" s="783" t="s">
        <v>1336</v>
      </c>
      <c r="F334" s="704" t="s">
        <v>13</v>
      </c>
      <c r="G334" s="706"/>
      <c r="H334" s="706">
        <f t="shared" ref="H334:S334" si="296">(H324/G324-1)*100</f>
        <v>-21.107719145224589</v>
      </c>
      <c r="I334" s="706">
        <f t="shared" si="296"/>
        <v>65.273631840796014</v>
      </c>
      <c r="J334" s="706">
        <f t="shared" si="296"/>
        <v>23.071777376413106</v>
      </c>
      <c r="K334" s="706">
        <f t="shared" si="295"/>
        <v>-3.9515164691814153</v>
      </c>
      <c r="L334" s="706">
        <f t="shared" si="296"/>
        <v>-27.802614453058684</v>
      </c>
      <c r="M334" s="706">
        <f t="shared" si="296"/>
        <v>98.385326853738817</v>
      </c>
      <c r="N334" s="706">
        <f t="shared" si="296"/>
        <v>-21.232714342157244</v>
      </c>
      <c r="O334" s="706">
        <f t="shared" si="296"/>
        <v>6.1145666131621201</v>
      </c>
      <c r="P334" s="706">
        <f t="shared" si="296"/>
        <v>68.00756322382415</v>
      </c>
      <c r="Q334" s="706">
        <f t="shared" si="296"/>
        <v>78.144167463845562</v>
      </c>
      <c r="R334" s="706">
        <f t="shared" si="296"/>
        <v>-0.32219344241580794</v>
      </c>
      <c r="S334" s="706">
        <f t="shared" si="296"/>
        <v>31.648497908480167</v>
      </c>
      <c r="T334" s="706">
        <f t="shared" ref="T334:AB334" si="297">(T324/S324-1)*100</f>
        <v>47.160773174782754</v>
      </c>
      <c r="U334" s="706">
        <f t="shared" si="297"/>
        <v>-11.458248139363715</v>
      </c>
      <c r="V334" s="706">
        <f t="shared" si="297"/>
        <v>18.45187511546278</v>
      </c>
      <c r="W334" s="706">
        <f t="shared" si="297"/>
        <v>-7.9291306653357712</v>
      </c>
      <c r="X334" s="706">
        <f t="shared" si="297"/>
        <v>-31.505573059592784</v>
      </c>
      <c r="Y334" s="706">
        <f t="shared" si="297"/>
        <v>83.19525163843204</v>
      </c>
      <c r="Z334" s="706">
        <f t="shared" si="297"/>
        <v>9.0604117448531909</v>
      </c>
      <c r="AA334" s="706">
        <f t="shared" si="297"/>
        <v>-13.5499124234866</v>
      </c>
      <c r="AB334" s="706">
        <f t="shared" si="297"/>
        <v>4.7121993127147599</v>
      </c>
      <c r="AC334" s="2215">
        <v>5</v>
      </c>
      <c r="AD334" s="2215">
        <v>5</v>
      </c>
      <c r="AE334" s="2215">
        <v>5</v>
      </c>
    </row>
    <row r="335" spans="1:113" ht="12.75" customHeight="1">
      <c r="A335" s="664"/>
      <c r="B335" s="664"/>
      <c r="C335" s="795" t="s">
        <v>1767</v>
      </c>
      <c r="D335" s="674" t="s">
        <v>686</v>
      </c>
      <c r="E335" s="783" t="s">
        <v>1341</v>
      </c>
      <c r="F335" s="704" t="s">
        <v>1554</v>
      </c>
      <c r="G335" s="706"/>
      <c r="H335" s="706">
        <f t="shared" ref="H335:AB335" si="298">(H325/G325-1)*100</f>
        <v>24.060899749115027</v>
      </c>
      <c r="I335" s="706">
        <f t="shared" si="298"/>
        <v>2.2438916283450405</v>
      </c>
      <c r="J335" s="706">
        <f t="shared" si="298"/>
        <v>-16.316245800368467</v>
      </c>
      <c r="K335" s="706">
        <f t="shared" si="295"/>
        <v>-10.658550799715083</v>
      </c>
      <c r="L335" s="706">
        <f t="shared" si="298"/>
        <v>-8.5417119663695136</v>
      </c>
      <c r="M335" s="706">
        <f t="shared" si="298"/>
        <v>-2.7776677101081559</v>
      </c>
      <c r="N335" s="706">
        <f t="shared" si="298"/>
        <v>13.575970003260519</v>
      </c>
      <c r="O335" s="706">
        <f t="shared" si="298"/>
        <v>-33.193382854272087</v>
      </c>
      <c r="P335" s="706">
        <f t="shared" si="298"/>
        <v>24.386313584358387</v>
      </c>
      <c r="Q335" s="706">
        <f t="shared" si="298"/>
        <v>40.74361963984974</v>
      </c>
      <c r="R335" s="706">
        <f t="shared" si="298"/>
        <v>1.224226804123707</v>
      </c>
      <c r="S335" s="706">
        <f t="shared" si="298"/>
        <v>22.196962808038535</v>
      </c>
      <c r="T335" s="706">
        <f t="shared" si="298"/>
        <v>96.30153296621522</v>
      </c>
      <c r="U335" s="706">
        <f t="shared" si="298"/>
        <v>-9.850006949972844</v>
      </c>
      <c r="V335" s="706">
        <f t="shared" si="298"/>
        <v>-9.8581480754674544</v>
      </c>
      <c r="W335" s="706">
        <f t="shared" si="298"/>
        <v>11.606462548010366</v>
      </c>
      <c r="X335" s="706">
        <f t="shared" si="298"/>
        <v>-3.8691429924902043</v>
      </c>
      <c r="Y335" s="706">
        <f t="shared" si="298"/>
        <v>3.4422285349875459</v>
      </c>
      <c r="Z335" s="706">
        <f t="shared" si="298"/>
        <v>1.5650614395202433</v>
      </c>
      <c r="AA335" s="706">
        <f t="shared" si="298"/>
        <v>7.4412316521355493</v>
      </c>
      <c r="AB335" s="706">
        <f t="shared" si="298"/>
        <v>6.8231427030636116</v>
      </c>
      <c r="AC335" s="2215">
        <v>8</v>
      </c>
      <c r="AD335" s="2215">
        <v>8</v>
      </c>
      <c r="AE335" s="2215">
        <v>8</v>
      </c>
    </row>
    <row r="336" spans="1:113" ht="12.75" customHeight="1">
      <c r="A336" s="664"/>
      <c r="B336" s="664"/>
      <c r="C336" s="795" t="s">
        <v>401</v>
      </c>
      <c r="D336" s="674" t="s">
        <v>686</v>
      </c>
      <c r="E336" s="783" t="s">
        <v>1336</v>
      </c>
      <c r="F336" s="704" t="s">
        <v>1553</v>
      </c>
      <c r="G336" s="706"/>
      <c r="H336" s="706">
        <f t="shared" ref="H336:AB336" si="299">(H326/G326-1)*100</f>
        <v>-16.253443526170809</v>
      </c>
      <c r="I336" s="706">
        <f t="shared" si="299"/>
        <v>524.61622807017557</v>
      </c>
      <c r="J336" s="706">
        <f t="shared" si="299"/>
        <v>14.17537084174494</v>
      </c>
      <c r="K336" s="706">
        <f t="shared" si="295"/>
        <v>21.2792127921279</v>
      </c>
      <c r="L336" s="706">
        <f t="shared" si="299"/>
        <v>-24.093559837728186</v>
      </c>
      <c r="M336" s="706">
        <f t="shared" si="299"/>
        <v>5.4864300626304763</v>
      </c>
      <c r="N336" s="706">
        <f t="shared" si="299"/>
        <v>55.066497783407243</v>
      </c>
      <c r="O336" s="706">
        <f t="shared" si="299"/>
        <v>-24.377169695732093</v>
      </c>
      <c r="P336" s="706">
        <f t="shared" si="299"/>
        <v>24.978059812327015</v>
      </c>
      <c r="Q336" s="706">
        <f t="shared" si="299"/>
        <v>6.8330362448009607</v>
      </c>
      <c r="R336" s="706">
        <f t="shared" si="299"/>
        <v>79.664273435129914</v>
      </c>
      <c r="S336" s="706">
        <f t="shared" si="299"/>
        <v>9.5514155456745584</v>
      </c>
      <c r="T336" s="706">
        <f t="shared" si="299"/>
        <v>19.746711878339497</v>
      </c>
      <c r="U336" s="706">
        <f t="shared" si="299"/>
        <v>-10.155529336050616</v>
      </c>
      <c r="V336" s="706">
        <f t="shared" si="299"/>
        <v>-4.0591198872997332</v>
      </c>
      <c r="W336" s="706">
        <f t="shared" si="299"/>
        <v>10.318309648838998</v>
      </c>
      <c r="X336" s="706">
        <f t="shared" si="299"/>
        <v>-9.817943916800143</v>
      </c>
      <c r="Y336" s="706">
        <f t="shared" si="299"/>
        <v>8.6228893058161393</v>
      </c>
      <c r="Z336" s="706">
        <f t="shared" si="299"/>
        <v>6.8237299064989987</v>
      </c>
      <c r="AA336" s="706">
        <f t="shared" si="299"/>
        <v>7.6490244691171716</v>
      </c>
      <c r="AB336" s="706">
        <f t="shared" si="299"/>
        <v>-1.0834518254460912</v>
      </c>
      <c r="AC336" s="2215">
        <v>5</v>
      </c>
      <c r="AD336" s="2215">
        <v>5</v>
      </c>
      <c r="AE336" s="2215">
        <v>5</v>
      </c>
    </row>
    <row r="337" spans="1:31" ht="12.75" customHeight="1">
      <c r="A337" s="664"/>
      <c r="B337" s="664"/>
      <c r="C337" s="795" t="s">
        <v>1767</v>
      </c>
      <c r="D337" s="674" t="s">
        <v>687</v>
      </c>
      <c r="E337" s="783" t="s">
        <v>1341</v>
      </c>
      <c r="F337" s="704" t="s">
        <v>318</v>
      </c>
      <c r="G337" s="706"/>
      <c r="H337" s="706">
        <f t="shared" ref="H337:AB337" si="300">(H327/G327-1)*100</f>
        <v>-3.169014084507038</v>
      </c>
      <c r="I337" s="706">
        <f t="shared" si="300"/>
        <v>4066.3636363636365</v>
      </c>
      <c r="J337" s="706">
        <f t="shared" si="300"/>
        <v>-63.840279293039494</v>
      </c>
      <c r="K337" s="706">
        <f t="shared" si="295"/>
        <v>-22.725078445570844</v>
      </c>
      <c r="L337" s="706">
        <f t="shared" si="300"/>
        <v>-79.306575042948623</v>
      </c>
      <c r="M337" s="706">
        <f t="shared" si="300"/>
        <v>295.24528301886789</v>
      </c>
      <c r="N337" s="706">
        <f t="shared" si="300"/>
        <v>-65.457322894787097</v>
      </c>
      <c r="O337" s="706">
        <f t="shared" si="300"/>
        <v>49.530127142067457</v>
      </c>
      <c r="P337" s="706">
        <f t="shared" si="300"/>
        <v>386.32162661737522</v>
      </c>
      <c r="Q337" s="706">
        <f t="shared" si="300"/>
        <v>186.03572786012919</v>
      </c>
      <c r="R337" s="706">
        <f t="shared" si="300"/>
        <v>-19.926650366748156</v>
      </c>
      <c r="S337" s="706">
        <f t="shared" si="300"/>
        <v>26.322602057749744</v>
      </c>
      <c r="T337" s="706">
        <f t="shared" si="300"/>
        <v>25.81119781403536</v>
      </c>
      <c r="U337" s="706">
        <f t="shared" si="300"/>
        <v>-6.4550485538268809</v>
      </c>
      <c r="V337" s="706">
        <f t="shared" si="300"/>
        <v>-22.614635888735101</v>
      </c>
      <c r="W337" s="706">
        <f t="shared" si="300"/>
        <v>43.794714978075234</v>
      </c>
      <c r="X337" s="706">
        <f t="shared" si="300"/>
        <v>-6.5663557026782948</v>
      </c>
      <c r="Y337" s="706">
        <f t="shared" si="300"/>
        <v>19.020012024392319</v>
      </c>
      <c r="Z337" s="706">
        <f t="shared" si="300"/>
        <v>-7.0178603644235888</v>
      </c>
      <c r="AA337" s="706">
        <f t="shared" si="300"/>
        <v>7.506790842064448</v>
      </c>
      <c r="AB337" s="706">
        <f t="shared" si="300"/>
        <v>15.981158295583731</v>
      </c>
      <c r="AC337" s="2215">
        <v>5</v>
      </c>
      <c r="AD337" s="2215">
        <v>4.5</v>
      </c>
      <c r="AE337" s="2215">
        <v>5</v>
      </c>
    </row>
    <row r="338" spans="1:31" ht="12.75" customHeight="1">
      <c r="A338" s="664"/>
      <c r="B338" s="664"/>
      <c r="C338" s="796" t="s">
        <v>401</v>
      </c>
      <c r="D338" s="691" t="s">
        <v>687</v>
      </c>
      <c r="E338" s="797" t="s">
        <v>1336</v>
      </c>
      <c r="F338" s="736" t="s">
        <v>317</v>
      </c>
      <c r="G338" s="741"/>
      <c r="H338" s="741">
        <f t="shared" ref="H338:AB338" si="301">(H328/G328-1)*100</f>
        <v>45.90382351118545</v>
      </c>
      <c r="I338" s="741">
        <f t="shared" si="301"/>
        <v>31.87793327528723</v>
      </c>
      <c r="J338" s="741">
        <f t="shared" si="301"/>
        <v>-39.539452495974238</v>
      </c>
      <c r="K338" s="741">
        <f t="shared" si="295"/>
        <v>-37.836254194854305</v>
      </c>
      <c r="L338" s="741">
        <f t="shared" si="301"/>
        <v>34.160239931448167</v>
      </c>
      <c r="M338" s="741">
        <f t="shared" si="301"/>
        <v>-26.576821128604735</v>
      </c>
      <c r="N338" s="741">
        <f t="shared" si="301"/>
        <v>-13.461789395850554</v>
      </c>
      <c r="O338" s="741">
        <f t="shared" si="301"/>
        <v>-24.396863691194216</v>
      </c>
      <c r="P338" s="741">
        <f t="shared" si="301"/>
        <v>-5.6043079377742222</v>
      </c>
      <c r="Q338" s="741">
        <f t="shared" si="301"/>
        <v>70.195084160856382</v>
      </c>
      <c r="R338" s="741">
        <f t="shared" si="301"/>
        <v>-13.117603244227416</v>
      </c>
      <c r="S338" s="741">
        <f t="shared" si="301"/>
        <v>17.550962088016764</v>
      </c>
      <c r="T338" s="741">
        <f t="shared" si="301"/>
        <v>17.45472225598639</v>
      </c>
      <c r="U338" s="741">
        <f t="shared" si="301"/>
        <v>-6.3575839111387094</v>
      </c>
      <c r="V338" s="741">
        <f t="shared" si="301"/>
        <v>47.837618802033454</v>
      </c>
      <c r="W338" s="741">
        <f t="shared" si="301"/>
        <v>24.773248280673755</v>
      </c>
      <c r="X338" s="741">
        <f t="shared" si="301"/>
        <v>-4.7509685665215411</v>
      </c>
      <c r="Y338" s="741">
        <f t="shared" si="301"/>
        <v>-2.371317748191637</v>
      </c>
      <c r="Z338" s="741">
        <f t="shared" si="301"/>
        <v>-1.1468086934112165</v>
      </c>
      <c r="AA338" s="741">
        <f t="shared" si="301"/>
        <v>14.145122746035188</v>
      </c>
      <c r="AB338" s="741">
        <f t="shared" si="301"/>
        <v>-13.111665175767484</v>
      </c>
      <c r="AC338" s="3078">
        <v>7.54</v>
      </c>
      <c r="AD338" s="3078">
        <v>8.5</v>
      </c>
      <c r="AE338" s="3078">
        <v>8.5</v>
      </c>
    </row>
    <row r="339" spans="1:31" ht="12.75" customHeight="1">
      <c r="A339" s="664"/>
      <c r="B339" s="664"/>
      <c r="C339" s="774" t="s">
        <v>1769</v>
      </c>
      <c r="D339" s="717" t="s">
        <v>688</v>
      </c>
      <c r="E339" s="722" t="s">
        <v>0</v>
      </c>
      <c r="F339" s="723" t="s">
        <v>1</v>
      </c>
      <c r="G339" s="721"/>
      <c r="H339" s="721">
        <f t="shared" ref="H339:U339" si="302">(H329/G329-1)*100</f>
        <v>31.578947368421041</v>
      </c>
      <c r="I339" s="721">
        <f t="shared" si="302"/>
        <v>59.999999999999943</v>
      </c>
      <c r="J339" s="721">
        <f t="shared" si="302"/>
        <v>2.1739130434782927</v>
      </c>
      <c r="K339" s="721">
        <f t="shared" si="295"/>
        <v>-30.638297872340438</v>
      </c>
      <c r="L339" s="721">
        <f t="shared" si="302"/>
        <v>34.815950920245385</v>
      </c>
      <c r="M339" s="721">
        <f t="shared" si="302"/>
        <v>7.7360637087599438</v>
      </c>
      <c r="N339" s="721">
        <f t="shared" si="302"/>
        <v>-23.653643083421315</v>
      </c>
      <c r="O339" s="721">
        <f t="shared" si="302"/>
        <v>7.3305670816044222</v>
      </c>
      <c r="P339" s="721">
        <f t="shared" si="302"/>
        <v>16.365979381443307</v>
      </c>
      <c r="Q339" s="721">
        <f t="shared" si="302"/>
        <v>10.887264673311181</v>
      </c>
      <c r="R339" s="721">
        <f t="shared" si="302"/>
        <v>53.793103448275879</v>
      </c>
      <c r="S339" s="721">
        <f t="shared" si="302"/>
        <v>22.197309417040366</v>
      </c>
      <c r="T339" s="721">
        <f t="shared" si="302"/>
        <v>8.2568807339449499</v>
      </c>
      <c r="U339" s="721">
        <f t="shared" si="302"/>
        <v>-14.915254237288133</v>
      </c>
      <c r="V339" s="2220">
        <f t="shared" ref="V339:AE339" si="303">(V329/U329-1)*100</f>
        <v>95.617529880478088</v>
      </c>
      <c r="W339" s="2220">
        <f t="shared" si="303"/>
        <v>-21.486761710794291</v>
      </c>
      <c r="X339" s="2220">
        <f t="shared" si="303"/>
        <v>-49.156939040207526</v>
      </c>
      <c r="Y339" s="2220">
        <f t="shared" si="303"/>
        <v>148.97959183673467</v>
      </c>
      <c r="Z339" s="2220">
        <f t="shared" si="303"/>
        <v>18.75</v>
      </c>
      <c r="AA339" s="2220">
        <f t="shared" si="303"/>
        <v>-19.154443485763583</v>
      </c>
      <c r="AB339" s="2220">
        <f t="shared" si="303"/>
        <v>-18.134471718249767</v>
      </c>
      <c r="AC339" s="2220">
        <f t="shared" si="303"/>
        <v>3.7047515252646601</v>
      </c>
      <c r="AD339" s="2220">
        <f t="shared" si="303"/>
        <v>4.6394386599450943</v>
      </c>
      <c r="AE339" s="2220">
        <f t="shared" si="303"/>
        <v>4.1792342246264713</v>
      </c>
    </row>
    <row r="340" spans="1:31" ht="12.75" customHeight="1">
      <c r="A340" s="664"/>
      <c r="B340" s="664"/>
      <c r="C340" s="774"/>
      <c r="E340" s="786"/>
      <c r="F340" s="787"/>
      <c r="G340" s="703"/>
      <c r="H340" s="788"/>
      <c r="I340" s="703"/>
      <c r="J340" s="703"/>
      <c r="K340" s="703"/>
      <c r="L340" s="703"/>
      <c r="M340" s="703"/>
      <c r="N340" s="703"/>
      <c r="O340" s="703"/>
      <c r="P340" s="703"/>
      <c r="Q340" s="845"/>
      <c r="R340" s="845"/>
      <c r="S340" s="845"/>
      <c r="T340" s="2254"/>
      <c r="U340" s="2254"/>
      <c r="V340" s="2254"/>
      <c r="W340" s="2254"/>
      <c r="X340" s="2254"/>
      <c r="Y340" s="2254"/>
      <c r="Z340" s="2254"/>
      <c r="AA340" s="2254"/>
      <c r="AB340" s="2254"/>
      <c r="AC340" s="2254"/>
      <c r="AD340" s="2254"/>
      <c r="AE340" s="2254"/>
    </row>
    <row r="341" spans="1:31" ht="12.75" customHeight="1">
      <c r="A341" s="664"/>
      <c r="B341" s="664"/>
      <c r="C341" s="774"/>
      <c r="D341" s="818"/>
      <c r="E341" s="819" t="s">
        <v>512</v>
      </c>
      <c r="F341" s="820"/>
      <c r="G341" s="821">
        <f>+InputY!$G$3</f>
        <v>1995</v>
      </c>
      <c r="H341" s="821">
        <f>+G341+1</f>
        <v>1996</v>
      </c>
      <c r="I341" s="821">
        <f t="shared" ref="I341:O341" si="304">+H341+1</f>
        <v>1997</v>
      </c>
      <c r="J341" s="821">
        <f t="shared" si="304"/>
        <v>1998</v>
      </c>
      <c r="K341" s="821">
        <f>+J341+1</f>
        <v>1999</v>
      </c>
      <c r="L341" s="821">
        <f t="shared" si="304"/>
        <v>2000</v>
      </c>
      <c r="M341" s="821">
        <f t="shared" si="304"/>
        <v>2001</v>
      </c>
      <c r="N341" s="821">
        <f t="shared" si="304"/>
        <v>2002</v>
      </c>
      <c r="O341" s="821">
        <f t="shared" si="304"/>
        <v>2003</v>
      </c>
      <c r="P341" s="821">
        <f t="shared" ref="P341:V341" si="305">+O341+1</f>
        <v>2004</v>
      </c>
      <c r="Q341" s="821">
        <f t="shared" si="305"/>
        <v>2005</v>
      </c>
      <c r="R341" s="821">
        <f t="shared" si="305"/>
        <v>2006</v>
      </c>
      <c r="S341" s="821">
        <f>+R341+1</f>
        <v>2007</v>
      </c>
      <c r="T341" s="821">
        <f t="shared" si="305"/>
        <v>2008</v>
      </c>
      <c r="U341" s="821">
        <f t="shared" si="305"/>
        <v>2009</v>
      </c>
      <c r="V341" s="821">
        <f t="shared" si="305"/>
        <v>2010</v>
      </c>
      <c r="W341" s="821">
        <f t="shared" ref="W341:AE341" si="306">+V341+1</f>
        <v>2011</v>
      </c>
      <c r="X341" s="821">
        <f t="shared" si="306"/>
        <v>2012</v>
      </c>
      <c r="Y341" s="821">
        <f t="shared" si="306"/>
        <v>2013</v>
      </c>
      <c r="Z341" s="821">
        <f t="shared" si="306"/>
        <v>2014</v>
      </c>
      <c r="AA341" s="821">
        <f t="shared" si="306"/>
        <v>2015</v>
      </c>
      <c r="AB341" s="821">
        <f t="shared" si="306"/>
        <v>2016</v>
      </c>
      <c r="AC341" s="821">
        <f t="shared" si="306"/>
        <v>2017</v>
      </c>
      <c r="AD341" s="821">
        <f t="shared" si="306"/>
        <v>2018</v>
      </c>
      <c r="AE341" s="821">
        <f t="shared" si="306"/>
        <v>2019</v>
      </c>
    </row>
    <row r="342" spans="1:31" ht="12.75" customHeight="1">
      <c r="A342" s="664"/>
      <c r="B342" s="664"/>
      <c r="C342" s="822" t="s">
        <v>1767</v>
      </c>
      <c r="D342" s="823" t="s">
        <v>685</v>
      </c>
      <c r="E342" s="824" t="s">
        <v>1341</v>
      </c>
      <c r="F342" s="825" t="s">
        <v>15</v>
      </c>
      <c r="G342" s="838">
        <f>+G323/'VVP2'!G$341</f>
        <v>4.6171500399895425E-3</v>
      </c>
      <c r="H342" s="838">
        <f>+H323/'VVP2'!H$341</f>
        <v>4.7899198591745034E-3</v>
      </c>
      <c r="I342" s="838">
        <f>+I323/'VVP2'!I$341</f>
        <v>1.6794122313068371E-3</v>
      </c>
      <c r="J342" s="838">
        <f>+J323/'VVP2'!J$341</f>
        <v>1.9628381595397314E-3</v>
      </c>
      <c r="K342" s="838">
        <f>+K323/'VVP2'!K$341</f>
        <v>3.0884009540531523E-3</v>
      </c>
      <c r="L342" s="838">
        <f>+L323/'VVP2'!L$341</f>
        <v>2.7543016326829826E-3</v>
      </c>
      <c r="M342" s="838">
        <f>+M323/'VVP2'!M$341</f>
        <v>2.9440939179345266E-3</v>
      </c>
      <c r="N342" s="838">
        <f>+N323/'VVP2'!N$341</f>
        <v>5.9511240829434216E-3</v>
      </c>
      <c r="O342" s="838">
        <f>+O323/'VVP2'!O$341</f>
        <v>4.5337067327074817E-3</v>
      </c>
      <c r="P342" s="838">
        <f>+P323/'VVP2'!P$341</f>
        <v>3.0738491434236302E-3</v>
      </c>
      <c r="Q342" s="838">
        <f>+Q323/'VVP2'!Q$341</f>
        <v>3.8214771204174778E-3</v>
      </c>
      <c r="R342" s="838">
        <f>+R323/'VVP2'!R$341</f>
        <v>4.9810666310065371E-3</v>
      </c>
      <c r="S342" s="838">
        <f>+S323/'VVP2'!S$341</f>
        <v>4.7388730145940207E-3</v>
      </c>
      <c r="T342" s="2909">
        <f>+T323/'VVP2'!T$341</f>
        <v>3.6117258599449231E-3</v>
      </c>
      <c r="U342" s="2909">
        <f>+U323/'VVP2'!U$341</f>
        <v>4.0501477269942777E-3</v>
      </c>
      <c r="V342" s="2909">
        <f>+V323/'VVP2'!V$341</f>
        <v>4.0442191749150659E-3</v>
      </c>
      <c r="W342" s="2909">
        <f>+W323/'VVP2'!W$341</f>
        <v>4.4031523898076822E-3</v>
      </c>
      <c r="X342" s="2909">
        <f>+X323/'VVP2'!X$341</f>
        <v>4.1258252250177515E-3</v>
      </c>
      <c r="Y342" s="2909">
        <f>+Y323/'VVP2'!Y$341</f>
        <v>3.9362522222047419E-3</v>
      </c>
      <c r="Z342" s="2909">
        <f>+Z323/'VVP2'!Z$341</f>
        <v>3.8415807360914975E-3</v>
      </c>
      <c r="AA342" s="2909">
        <f>+AA323/'VVP2'!AA$341</f>
        <v>4.0538002239583005E-3</v>
      </c>
      <c r="AB342" s="2909">
        <f>+AB323/'VVP2'!AB$341</f>
        <v>4.432051870885521E-3</v>
      </c>
      <c r="AC342" s="2909">
        <f ca="1">+AC323/'VVP2'!AC$341</f>
        <v>4.225062508495467E-3</v>
      </c>
      <c r="AD342" s="2909">
        <f ca="1">+AD323/'VVP2'!AD$341</f>
        <v>4.1124323262726565E-3</v>
      </c>
      <c r="AE342" s="2909">
        <f ca="1">+AE323/'VVP2'!AE$341</f>
        <v>4.0121379434912494E-3</v>
      </c>
    </row>
    <row r="343" spans="1:31" ht="12.75" customHeight="1">
      <c r="A343" s="664"/>
      <c r="B343" s="664"/>
      <c r="C343" s="826" t="s">
        <v>401</v>
      </c>
      <c r="D343" s="674" t="s">
        <v>685</v>
      </c>
      <c r="E343" s="783" t="s">
        <v>1336</v>
      </c>
      <c r="F343" s="704" t="s">
        <v>13</v>
      </c>
      <c r="G343" s="839">
        <f>+G324/'VVP2'!G$341</f>
        <v>1.4765864772239918E-2</v>
      </c>
      <c r="H343" s="839">
        <f>+H324/'VVP2'!H$341</f>
        <v>9.3111594941399922E-3</v>
      </c>
      <c r="I343" s="839">
        <f>+I324/'VVP2'!I$341</f>
        <v>1.2750397890201071E-2</v>
      </c>
      <c r="J343" s="839">
        <f>+J324/'VVP2'!J$341</f>
        <v>1.4128441494214387E-2</v>
      </c>
      <c r="K343" s="839">
        <f>+K324/'VVP2'!K$341</f>
        <v>1.3900950906539292E-2</v>
      </c>
      <c r="L343" s="839">
        <f>+L324/'VVP2'!L$341</f>
        <v>9.5435579113985602E-3</v>
      </c>
      <c r="M343" s="839">
        <f>+M324/'VVP2'!M$341</f>
        <v>1.7830824853535026E-2</v>
      </c>
      <c r="N343" s="839">
        <f>+N324/'VVP2'!N$341</f>
        <v>1.31139172894396E-2</v>
      </c>
      <c r="O343" s="839">
        <f>+O324/'VVP2'!O$341</f>
        <v>1.2691619151836283E-2</v>
      </c>
      <c r="P343" s="839">
        <f>+P324/'VVP2'!P$341</f>
        <v>1.9488181636739682E-2</v>
      </c>
      <c r="Q343" s="839">
        <f>+Q324/'VVP2'!Q$341</f>
        <v>3.0147102586139167E-2</v>
      </c>
      <c r="R343" s="839">
        <f>+R324/'VVP2'!R$341</f>
        <v>2.6210194865439771E-2</v>
      </c>
      <c r="S343" s="839">
        <f>+S324/'VVP2'!S$341</f>
        <v>2.8610231310169952E-2</v>
      </c>
      <c r="T343" s="2910">
        <f>+T324/'VVP2'!T$341</f>
        <v>3.7395691497626032E-2</v>
      </c>
      <c r="U343" s="2910">
        <f>+U324/'VVP2'!U$341</f>
        <v>4.0193325962453064E-2</v>
      </c>
      <c r="V343" s="2910">
        <f>+V324/'VVP2'!V$341</f>
        <v>4.5753373631619618E-2</v>
      </c>
      <c r="W343" s="2910">
        <f>+W324/'VVP2'!W$341</f>
        <v>3.7751172490001705E-2</v>
      </c>
      <c r="X343" s="2910">
        <f>+X324/'VVP2'!X$341</f>
        <v>2.4249980808720518E-2</v>
      </c>
      <c r="Y343" s="2910">
        <f>+Y324/'VVP2'!Y$341</f>
        <v>4.2377426547462571E-2</v>
      </c>
      <c r="Z343" s="2910">
        <f>+Z324/'VVP2'!Z$341</f>
        <v>4.418392114696125E-2</v>
      </c>
      <c r="AA343" s="2910">
        <f>+AA324/'VVP2'!AA$341</f>
        <v>3.7321039762885283E-2</v>
      </c>
      <c r="AB343" s="2910">
        <f>+AB324/'VVP2'!AB$341</f>
        <v>3.7824761975694829E-2</v>
      </c>
      <c r="AC343" s="2910">
        <f ca="1">+AC324/'VVP2'!AC$341</f>
        <v>3.675839854252471E-2</v>
      </c>
      <c r="AD343" s="2910">
        <f ca="1">+AD324/'VVP2'!AD$341</f>
        <v>3.6473234782803447E-2</v>
      </c>
      <c r="AE343" s="2910">
        <f ca="1">+AE324/'VVP2'!AE$341</f>
        <v>3.6274668195098558E-2</v>
      </c>
    </row>
    <row r="344" spans="1:31" ht="12.75" customHeight="1">
      <c r="A344" s="664"/>
      <c r="B344" s="664"/>
      <c r="C344" s="826" t="s">
        <v>1767</v>
      </c>
      <c r="D344" s="674" t="s">
        <v>686</v>
      </c>
      <c r="E344" s="783" t="s">
        <v>1341</v>
      </c>
      <c r="F344" s="704" t="s">
        <v>1554</v>
      </c>
      <c r="G344" s="839">
        <f>+G325/'VVP2'!G$341</f>
        <v>3.7474257939630606E-2</v>
      </c>
      <c r="H344" s="839">
        <f>+H325/'VVP2'!H$341</f>
        <v>3.7160225032555602E-2</v>
      </c>
      <c r="I344" s="839">
        <f>+I325/'VVP2'!I$341</f>
        <v>3.1479810377385849E-2</v>
      </c>
      <c r="J344" s="839">
        <f>+J325/'VVP2'!J$341</f>
        <v>2.3718395694657335E-2</v>
      </c>
      <c r="K344" s="839">
        <f>+K325/'VVP2'!K$341</f>
        <v>2.1706911850775012E-2</v>
      </c>
      <c r="L344" s="839">
        <f>+L325/'VVP2'!L$341</f>
        <v>1.8878411272140259E-2</v>
      </c>
      <c r="M344" s="839">
        <f>+M325/'VVP2'!M$341</f>
        <v>1.7285543998669911E-2</v>
      </c>
      <c r="N344" s="839">
        <f>+N325/'VVP2'!N$341</f>
        <v>1.8330935649318487E-2</v>
      </c>
      <c r="O344" s="839">
        <f>+O325/'VVP2'!O$341</f>
        <v>1.1168984814452186E-2</v>
      </c>
      <c r="P344" s="839">
        <f>+P325/'VVP2'!P$341</f>
        <v>1.2697310848066535E-2</v>
      </c>
      <c r="Q344" s="839">
        <f>+Q325/'VVP2'!Q$341</f>
        <v>1.5518263432425421E-2</v>
      </c>
      <c r="R344" s="839">
        <f>+R325/'VVP2'!R$341</f>
        <v>1.3701047959274362E-2</v>
      </c>
      <c r="S344" s="839">
        <f>+S325/'VVP2'!S$341</f>
        <v>1.3881915906869886E-2</v>
      </c>
      <c r="T344" s="2910">
        <f>+T325/'VVP2'!T$341</f>
        <v>2.4203670876319874E-2</v>
      </c>
      <c r="U344" s="2910">
        <f>+U325/'VVP2'!U$341</f>
        <v>2.6486904311964959E-2</v>
      </c>
      <c r="V344" s="2910">
        <f>+V325/'VVP2'!V$341</f>
        <v>2.2944833782056726E-2</v>
      </c>
      <c r="W344" s="2910">
        <f>+W325/'VVP2'!W$341</f>
        <v>2.2948765991842767E-2</v>
      </c>
      <c r="X344" s="2910">
        <f>+X325/'VVP2'!X$341</f>
        <v>2.0689398737213809E-2</v>
      </c>
      <c r="Y344" s="2910">
        <f>+Y325/'VVP2'!Y$341</f>
        <v>2.0415250152676014E-2</v>
      </c>
      <c r="Z344" s="2910">
        <f>+Z325/'VVP2'!Z$341</f>
        <v>1.982264410576598E-2</v>
      </c>
      <c r="AA344" s="2910">
        <f>+AA325/'VVP2'!AA$341</f>
        <v>2.0809258439383103E-2</v>
      </c>
      <c r="AB344" s="2910">
        <f>+AB325/'VVP2'!AB$341</f>
        <v>2.1515286932558747E-2</v>
      </c>
      <c r="AC344" s="2910">
        <f ca="1">+AC325/'VVP2'!AC$341</f>
        <v>2.1506115660386332E-2</v>
      </c>
      <c r="AD344" s="2910">
        <f ca="1">+AD325/'VVP2'!AD$341</f>
        <v>2.1948969430162595E-2</v>
      </c>
      <c r="AE344" s="2910">
        <f ca="1">+AE325/'VVP2'!AE$341</f>
        <v>2.2453174749423533E-2</v>
      </c>
    </row>
    <row r="345" spans="1:31" ht="12.75" customHeight="1">
      <c r="A345" s="664"/>
      <c r="B345" s="664"/>
      <c r="C345" s="826" t="s">
        <v>401</v>
      </c>
      <c r="D345" s="674" t="s">
        <v>686</v>
      </c>
      <c r="E345" s="783" t="s">
        <v>1336</v>
      </c>
      <c r="F345" s="704" t="s">
        <v>1553</v>
      </c>
      <c r="G345" s="839">
        <f>+G326/'VVP2'!G$341</f>
        <v>2.8050635389392535E-3</v>
      </c>
      <c r="H345" s="839">
        <f>+H326/'VVP2'!H$341</f>
        <v>1.8776732910239186E-3</v>
      </c>
      <c r="I345" s="839">
        <f>+I326/'VVP2'!I$341</f>
        <v>9.7173913414315867E-3</v>
      </c>
      <c r="J345" s="839">
        <f>+J326/'VVP2'!J$341</f>
        <v>9.9892796476106511E-3</v>
      </c>
      <c r="K345" s="839">
        <f>+K326/'VVP2'!K$341</f>
        <v>1.2410242855614501E-2</v>
      </c>
      <c r="L345" s="839">
        <f>+L326/'VVP2'!L$341</f>
        <v>8.9578386885873756E-3</v>
      </c>
      <c r="M345" s="839">
        <f>+M326/'VVP2'!M$341</f>
        <v>8.8992089905118293E-3</v>
      </c>
      <c r="N345" s="839">
        <f>+N326/'VVP2'!N$341</f>
        <v>1.2885002601602271E-2</v>
      </c>
      <c r="O345" s="839">
        <f>+O326/'VVP2'!O$341</f>
        <v>8.8868331125573526E-3</v>
      </c>
      <c r="P345" s="839">
        <f>+P326/'VVP2'!P$341</f>
        <v>1.0150939920121595E-2</v>
      </c>
      <c r="Q345" s="839">
        <f>+Q326/'VVP2'!Q$341</f>
        <v>9.4170414263165803E-3</v>
      </c>
      <c r="R345" s="839">
        <f>+R326/'VVP2'!R$341</f>
        <v>1.4757147045705044E-2</v>
      </c>
      <c r="S345" s="839">
        <f>+S326/'VVP2'!S$341</f>
        <v>1.3404654026458076E-2</v>
      </c>
      <c r="T345" s="2910">
        <f>+T326/'VVP2'!T$341</f>
        <v>1.4256973576198881E-2</v>
      </c>
      <c r="U345" s="2910">
        <f>+U326/'VVP2'!U$341</f>
        <v>1.5549017962622362E-2</v>
      </c>
      <c r="V345" s="2910">
        <f>+V326/'VVP2'!V$341</f>
        <v>1.4336195030195171E-2</v>
      </c>
      <c r="W345" s="2910">
        <f>+W326/'VVP2'!W$341</f>
        <v>1.4173156341805614E-2</v>
      </c>
      <c r="X345" s="2910">
        <f>+X326/'VVP2'!X$341</f>
        <v>1.1987053083079048E-2</v>
      </c>
      <c r="Y345" s="2910">
        <f>+Y326/'VVP2'!Y$341</f>
        <v>1.2420604897360243E-2</v>
      </c>
      <c r="Z345" s="2910">
        <f>+Z326/'VVP2'!Z$341</f>
        <v>1.2684490492853369E-2</v>
      </c>
      <c r="AA345" s="2910">
        <f>+AA326/'VVP2'!AA$341</f>
        <v>1.3341577022337849E-2</v>
      </c>
      <c r="AB345" s="2910">
        <f>+AB326/'VVP2'!AB$341</f>
        <v>1.277324693702752E-2</v>
      </c>
      <c r="AC345" s="2910">
        <f ca="1">+AC326/'VVP2'!AC$341</f>
        <v>1.2413140944417421E-2</v>
      </c>
      <c r="AD345" s="2910">
        <f ca="1">+AD326/'VVP2'!AD$341</f>
        <v>1.2316842463471225E-2</v>
      </c>
      <c r="AE345" s="2910">
        <f ca="1">+AE326/'VVP2'!AE$341</f>
        <v>1.2249787446447528E-2</v>
      </c>
    </row>
    <row r="346" spans="1:31" ht="12.75" customHeight="1">
      <c r="A346" s="664"/>
      <c r="B346" s="664"/>
      <c r="C346" s="826" t="s">
        <v>1767</v>
      </c>
      <c r="D346" s="674" t="s">
        <v>687</v>
      </c>
      <c r="E346" s="783" t="s">
        <v>1341</v>
      </c>
      <c r="F346" s="704" t="s">
        <v>318</v>
      </c>
      <c r="G346" s="839">
        <f>+G327/'VVP2'!G$341</f>
        <v>7.3153172181703204E-4</v>
      </c>
      <c r="H346" s="839">
        <f>+H327/'VVP2'!H$341</f>
        <v>5.6618438051708069E-4</v>
      </c>
      <c r="I346" s="839">
        <f>+I327/'VVP2'!I$341</f>
        <v>1.9544810198271288E-2</v>
      </c>
      <c r="J346" s="839">
        <f>+J327/'VVP2'!J$341</f>
        <v>6.3630974139069693E-3</v>
      </c>
      <c r="K346" s="839">
        <f>+K327/'VVP2'!K$341</f>
        <v>5.0369412401432339E-3</v>
      </c>
      <c r="L346" s="839">
        <f>+L327/'VVP2'!L$341</f>
        <v>9.9115960437396854E-4</v>
      </c>
      <c r="M346" s="839">
        <f>+M327/'VVP2'!M$341</f>
        <v>3.689451985695888E-3</v>
      </c>
      <c r="N346" s="839">
        <f>+N327/'VVP2'!N$341</f>
        <v>1.1899616962578368E-3</v>
      </c>
      <c r="O346" s="839">
        <f>+O327/'VVP2'!O$341</f>
        <v>1.6228234368100753E-3</v>
      </c>
      <c r="P346" s="839">
        <f>+P327/'VVP2'!P$341</f>
        <v>7.2130726867174191E-3</v>
      </c>
      <c r="Q346" s="839">
        <f>+Q327/'VVP2'!Q$341</f>
        <v>1.7916090342271221E-2</v>
      </c>
      <c r="R346" s="839">
        <f>+R327/'VVP2'!R$341</f>
        <v>1.2512884574973068E-2</v>
      </c>
      <c r="S346" s="839">
        <f>+S327/'VVP2'!S$341</f>
        <v>1.31061070926074E-2</v>
      </c>
      <c r="T346" s="2910">
        <f>+T327/'VVP2'!T$341</f>
        <v>1.4645396968707142E-2</v>
      </c>
      <c r="U346" s="2910">
        <f>+U327/'VVP2'!U$341</f>
        <v>1.6630517671920586E-2</v>
      </c>
      <c r="V346" s="2910">
        <f>+V327/'VVP2'!V$341</f>
        <v>1.2367782397817013E-2</v>
      </c>
      <c r="W346" s="2910">
        <f>+W327/'VVP2'!W$341</f>
        <v>1.5937486810686508E-2</v>
      </c>
      <c r="X346" s="2910">
        <f>+X327/'VVP2'!X$341</f>
        <v>1.3965254188496748E-2</v>
      </c>
      <c r="Y346" s="2910">
        <f>+Y327/'VVP2'!Y$341</f>
        <v>1.5855421893525817E-2</v>
      </c>
      <c r="Z346" s="2910">
        <f>+Z327/'VVP2'!Z$341</f>
        <v>1.4094182170996283E-2</v>
      </c>
      <c r="AA346" s="2910">
        <f>+AA327/'VVP2'!AA$341</f>
        <v>1.4804707132171468E-2</v>
      </c>
      <c r="AB346" s="2910">
        <f>+AB327/'VVP2'!AB$341</f>
        <v>1.6619289382109177E-2</v>
      </c>
      <c r="AC346" s="2910">
        <f ca="1">+AC327/'VVP2'!AC$341</f>
        <v>1.6150754973518811E-2</v>
      </c>
      <c r="AD346" s="2910">
        <f ca="1">+AD327/'VVP2'!AD$341</f>
        <v>1.5949149167317975E-2</v>
      </c>
      <c r="AE346" s="2910">
        <f ca="1">+AE327/'VVP2'!AE$341</f>
        <v>1.5862319245436633E-2</v>
      </c>
    </row>
    <row r="347" spans="1:31" ht="12.75" customHeight="1">
      <c r="A347" s="664"/>
      <c r="B347" s="664"/>
      <c r="C347" s="827" t="s">
        <v>401</v>
      </c>
      <c r="D347" s="828" t="s">
        <v>687</v>
      </c>
      <c r="E347" s="829" t="s">
        <v>1336</v>
      </c>
      <c r="F347" s="830" t="s">
        <v>317</v>
      </c>
      <c r="G347" s="840">
        <f>+G328/'VVP2'!G$341</f>
        <v>4.1565941531554393E-2</v>
      </c>
      <c r="H347" s="840">
        <f>+H328/'VVP2'!H$341</f>
        <v>4.8474647807579659E-2</v>
      </c>
      <c r="I347" s="840">
        <f>+I328/'VVP2'!I$341</f>
        <v>5.2966734161581805E-2</v>
      </c>
      <c r="J347" s="840">
        <f>+J328/'VVP2'!J$341</f>
        <v>2.8832833152612966E-2</v>
      </c>
      <c r="K347" s="840">
        <f>+K328/'VVP2'!K$341</f>
        <v>1.8360488606113241E-2</v>
      </c>
      <c r="L347" s="840">
        <f>+L328/'VVP2'!L$341</f>
        <v>2.3423532597556286E-2</v>
      </c>
      <c r="M347" s="840">
        <f>+M328/'VVP2'!M$341</f>
        <v>1.6197095780625198E-2</v>
      </c>
      <c r="N347" s="840">
        <f>+N328/'VVP2'!N$341</f>
        <v>1.3087605256354849E-2</v>
      </c>
      <c r="O347" s="840">
        <f>+O328/'VVP2'!O$341</f>
        <v>9.0242181650636421E-3</v>
      </c>
      <c r="P347" s="840">
        <f>+P328/'VVP2'!P$341</f>
        <v>7.785512662767057E-3</v>
      </c>
      <c r="Q347" s="840">
        <f>+Q328/'VVP2'!Q$341</f>
        <v>1.150633143433949E-2</v>
      </c>
      <c r="R347" s="840">
        <f>+R328/'VVP2'!R$341</f>
        <v>8.7195660317336381E-3</v>
      </c>
      <c r="S347" s="840">
        <f>+S328/'VVP2'!S$341</f>
        <v>8.498773788199028E-3</v>
      </c>
      <c r="T347" s="2911">
        <f>+T328/'VVP2'!T$341</f>
        <v>8.8661462404897428E-3</v>
      </c>
      <c r="U347" s="2911">
        <f>+U328/'VVP2'!U$341</f>
        <v>1.0078404088091178E-2</v>
      </c>
      <c r="V347" s="2911">
        <f>+V328/'VVP2'!V$341</f>
        <v>1.4318712300634445E-2</v>
      </c>
      <c r="W347" s="2911">
        <f>+W328/'VVP2'!W$341</f>
        <v>1.6010707484367864E-2</v>
      </c>
      <c r="X347" s="2911">
        <f>+X328/'VVP2'!X$341</f>
        <v>1.4302001170668047E-2</v>
      </c>
      <c r="Y347" s="2911">
        <f>+Y328/'VVP2'!Y$341</f>
        <v>1.3319355313911894E-2</v>
      </c>
      <c r="Z347" s="2911">
        <f>+Z328/'VVP2'!Z$341</f>
        <v>1.2587411822486591E-2</v>
      </c>
      <c r="AA347" s="2911">
        <f>+AA328/'VVP2'!AA$341</f>
        <v>1.4038407432572704E-2</v>
      </c>
      <c r="AB347" s="2911">
        <f>+AB328/'VVP2'!AB$341</f>
        <v>1.1806046913856096E-2</v>
      </c>
      <c r="AC347" s="2911">
        <f ca="1">+AC328/'VVP2'!AC$341</f>
        <v>1.1750750797474287E-2</v>
      </c>
      <c r="AD347" s="2911">
        <f ca="1">+AD328/'VVP2'!AD$341</f>
        <v>1.204824403023152E-2</v>
      </c>
      <c r="AE347" s="2911">
        <f ca="1">+AE328/'VVP2'!AE$341</f>
        <v>1.2382073019770337E-2</v>
      </c>
    </row>
    <row r="348" spans="1:31" ht="12.75" customHeight="1">
      <c r="A348" s="664"/>
      <c r="B348" s="664"/>
      <c r="C348" s="774" t="s">
        <v>1769</v>
      </c>
      <c r="D348" s="806" t="s">
        <v>688</v>
      </c>
      <c r="E348" s="807" t="s">
        <v>0</v>
      </c>
      <c r="F348" s="808" t="s">
        <v>1</v>
      </c>
      <c r="G348" s="841">
        <f>+G329/'VVP2'!G$341</f>
        <v>-1.6300271632679983E-2</v>
      </c>
      <c r="H348" s="841">
        <f>+H329/'VVP2'!H$341</f>
        <v>-1.7143189126996874E-2</v>
      </c>
      <c r="I348" s="841">
        <f>+I329/'VVP2'!I$341</f>
        <v>-2.2726261525410098E-2</v>
      </c>
      <c r="J348" s="841">
        <f>+J329/'VVP2'!J$341</f>
        <v>-2.090643938574073E-2</v>
      </c>
      <c r="K348" s="841">
        <f>+K329/'VVP2'!K$341</f>
        <v>-1.4854551897507264E-2</v>
      </c>
      <c r="L348" s="841">
        <f>+L329/'VVP2'!L$341</f>
        <v>-1.9043429718395753E-2</v>
      </c>
      <c r="M348" s="841">
        <f>+M329/'VVP2'!M$341</f>
        <v>-1.9322256585871875E-2</v>
      </c>
      <c r="N348" s="841">
        <f>+N329/'VVP2'!N$341</f>
        <v>-1.3774038403813239E-2</v>
      </c>
      <c r="O348" s="841">
        <f>+O329/'VVP2'!O$341</f>
        <v>-1.3483241086391116E-2</v>
      </c>
      <c r="P348" s="841">
        <f>+P329/'VVP2'!P$341</f>
        <v>-1.4339888798474816E-2</v>
      </c>
      <c r="Q348" s="841">
        <f>+Q329/'VVP2'!Q$341</f>
        <v>-1.3807978630962725E-2</v>
      </c>
      <c r="R348" s="841">
        <f>+R329/'VVP2'!R$341</f>
        <v>-1.852222542461994E-2</v>
      </c>
      <c r="S348" s="841">
        <f>+S329/'VVP2'!S$341</f>
        <v>-1.8766791112874159E-2</v>
      </c>
      <c r="T348" s="2912">
        <f>+T329/'VVP2'!T$341</f>
        <v>-1.8044866266131804E-2</v>
      </c>
      <c r="U348" s="2912">
        <f>+U329/'VVP2'!U$341</f>
        <v>-1.863758510359453E-2</v>
      </c>
      <c r="V348" s="2912">
        <f>+V329/'VVP2'!V$341</f>
        <v>-3.5036817201293292E-2</v>
      </c>
      <c r="W348" s="2912">
        <f>+W329/'VVP2'!W$341</f>
        <v>-2.465202594250035E-2</v>
      </c>
      <c r="X348" s="2912">
        <f>+X329/'VVP2'!X$341</f>
        <v>-1.1754658683094402E-2</v>
      </c>
      <c r="Y348" s="2912">
        <f>+Y329/'VVP2'!Y$341</f>
        <v>-2.7917899635722894E-2</v>
      </c>
      <c r="Z348" s="2912">
        <f>+Z329/'VVP2'!Z$341</f>
        <v>-3.1694134916928005E-2</v>
      </c>
      <c r="AA348" s="2912">
        <f>+AA329/'VVP2'!AA$341</f>
        <v>-2.5035663128453258E-2</v>
      </c>
      <c r="AB348" s="2912">
        <f>+AB329/'VVP2'!AB$341</f>
        <v>-1.9837427641024998E-2</v>
      </c>
      <c r="AC348" s="2912">
        <f ca="1">+AC329/'VVP2'!AC$341</f>
        <v>-1.904035714201581E-2</v>
      </c>
      <c r="AD348" s="2912">
        <f ca="1">+AD329/'VVP2'!AD$341</f>
        <v>-1.8827770352752966E-2</v>
      </c>
      <c r="AE348" s="2912">
        <f ca="1">+AE329/'VVP2'!AE$341</f>
        <v>-1.8578896722965005E-2</v>
      </c>
    </row>
    <row r="349" spans="1:31" ht="30" customHeight="1">
      <c r="A349" s="664"/>
      <c r="B349" s="664"/>
      <c r="C349" s="774"/>
      <c r="AB349"/>
      <c r="AC349"/>
      <c r="AD349"/>
      <c r="AE349" s="3649"/>
    </row>
    <row r="350" spans="1:31" ht="30" customHeight="1">
      <c r="AB350" s="2221"/>
      <c r="AC350" s="2221"/>
      <c r="AD350" s="2221"/>
      <c r="AE350" s="2221"/>
    </row>
    <row r="351" spans="1:31" ht="22.5" customHeight="1">
      <c r="A351" s="574"/>
      <c r="B351" s="574"/>
      <c r="C351" s="3751" t="s">
        <v>1337</v>
      </c>
      <c r="D351" s="3751"/>
      <c r="E351" s="3751"/>
      <c r="F351" s="3751"/>
      <c r="AB351" s="2221"/>
      <c r="AC351" s="2221"/>
      <c r="AD351" s="2221"/>
      <c r="AE351" s="2221"/>
    </row>
    <row r="352" spans="1:31" ht="12.75" customHeight="1">
      <c r="A352" s="664"/>
      <c r="B352" s="664"/>
      <c r="C352" s="774"/>
      <c r="AB352" s="2221"/>
      <c r="AC352" s="2221"/>
      <c r="AD352" s="2221"/>
      <c r="AE352" s="2221"/>
    </row>
    <row r="353" spans="1:31" ht="12.75" customHeight="1">
      <c r="A353" s="664"/>
      <c r="B353" s="664"/>
      <c r="C353" s="774"/>
      <c r="D353" s="775"/>
      <c r="E353" s="776" t="s">
        <v>1384</v>
      </c>
      <c r="F353" s="777"/>
      <c r="G353" s="778">
        <f>+InputY!$G$3</f>
        <v>1995</v>
      </c>
      <c r="H353" s="778">
        <f>+G353+1</f>
        <v>1996</v>
      </c>
      <c r="I353" s="778">
        <f t="shared" ref="I353:O353" si="307">+H353+1</f>
        <v>1997</v>
      </c>
      <c r="J353" s="778">
        <f t="shared" si="307"/>
        <v>1998</v>
      </c>
      <c r="K353" s="778">
        <f>+J353+1</f>
        <v>1999</v>
      </c>
      <c r="L353" s="778">
        <f t="shared" si="307"/>
        <v>2000</v>
      </c>
      <c r="M353" s="778">
        <f t="shared" si="307"/>
        <v>2001</v>
      </c>
      <c r="N353" s="778">
        <f t="shared" si="307"/>
        <v>2002</v>
      </c>
      <c r="O353" s="778">
        <f t="shared" si="307"/>
        <v>2003</v>
      </c>
      <c r="P353" s="778">
        <f t="shared" ref="P353:W353" si="308">+O353+1</f>
        <v>2004</v>
      </c>
      <c r="Q353" s="778">
        <f t="shared" si="308"/>
        <v>2005</v>
      </c>
      <c r="R353" s="778">
        <f t="shared" si="308"/>
        <v>2006</v>
      </c>
      <c r="S353" s="778">
        <f t="shared" si="308"/>
        <v>2007</v>
      </c>
      <c r="T353" s="2222">
        <f t="shared" si="308"/>
        <v>2008</v>
      </c>
      <c r="U353" s="2222">
        <f t="shared" si="308"/>
        <v>2009</v>
      </c>
      <c r="V353" s="2222">
        <f t="shared" si="308"/>
        <v>2010</v>
      </c>
      <c r="W353" s="2222">
        <f t="shared" si="308"/>
        <v>2011</v>
      </c>
      <c r="X353" s="2222">
        <f t="shared" ref="X353:AE353" si="309">+W353+1</f>
        <v>2012</v>
      </c>
      <c r="Y353" s="2222">
        <f t="shared" si="309"/>
        <v>2013</v>
      </c>
      <c r="Z353" s="2222">
        <f t="shared" si="309"/>
        <v>2014</v>
      </c>
      <c r="AA353" s="2222">
        <f t="shared" si="309"/>
        <v>2015</v>
      </c>
      <c r="AB353" s="2222">
        <f t="shared" si="309"/>
        <v>2016</v>
      </c>
      <c r="AC353" s="2222">
        <f t="shared" si="309"/>
        <v>2017</v>
      </c>
      <c r="AD353" s="2222">
        <f t="shared" si="309"/>
        <v>2018</v>
      </c>
      <c r="AE353" s="2222">
        <f t="shared" si="309"/>
        <v>2019</v>
      </c>
    </row>
    <row r="354" spans="1:31" ht="12.75" customHeight="1">
      <c r="A354" s="664"/>
      <c r="B354" s="664"/>
      <c r="C354" s="779" t="s">
        <v>1767</v>
      </c>
      <c r="D354" s="668" t="s">
        <v>685</v>
      </c>
      <c r="E354" s="700" t="s">
        <v>1337</v>
      </c>
      <c r="F354" s="701"/>
      <c r="G354" s="780">
        <f t="shared" ref="G354:T354" si="310">+G180+G256+G302+G324</f>
        <v>6.1248400000000007</v>
      </c>
      <c r="H354" s="780">
        <f t="shared" si="310"/>
        <v>7.6192699999999993</v>
      </c>
      <c r="I354" s="780">
        <f t="shared" si="310"/>
        <v>9.3348499999999994</v>
      </c>
      <c r="J354" s="780">
        <f t="shared" si="310"/>
        <v>10.917089999999998</v>
      </c>
      <c r="K354" s="780">
        <f t="shared" si="310"/>
        <v>11.012219999999999</v>
      </c>
      <c r="L354" s="780">
        <f t="shared" si="310"/>
        <v>11.696300000000001</v>
      </c>
      <c r="M354" s="780">
        <f t="shared" si="310"/>
        <v>12.144299999999999</v>
      </c>
      <c r="N354" s="780">
        <f t="shared" si="310"/>
        <v>12.805540000000001</v>
      </c>
      <c r="O354" s="780">
        <f t="shared" si="310"/>
        <v>13.652330000000001</v>
      </c>
      <c r="P354" s="780">
        <f t="shared" si="310"/>
        <v>15.912059999999999</v>
      </c>
      <c r="Q354" s="780">
        <f t="shared" si="310"/>
        <v>17.69547</v>
      </c>
      <c r="R354" s="780">
        <f>+R180+R256+R302+R324</f>
        <v>20.489809999999999</v>
      </c>
      <c r="S354" s="780">
        <f>+S180+S256+S302+S324</f>
        <v>22.659000000000002</v>
      </c>
      <c r="T354" s="2267">
        <f t="shared" si="310"/>
        <v>26.824190000000002</v>
      </c>
      <c r="U354" s="2267">
        <f t="shared" ref="U354:Z354" si="311">+U180+U256+U302+U324</f>
        <v>24.193290000000001</v>
      </c>
      <c r="V354" s="2267">
        <f t="shared" si="311"/>
        <v>24.165009999999995</v>
      </c>
      <c r="W354" s="2267">
        <f t="shared" si="311"/>
        <v>25.505689999999998</v>
      </c>
      <c r="X354" s="2267">
        <f t="shared" si="311"/>
        <v>26.328290000000003</v>
      </c>
      <c r="Y354" s="2267">
        <f t="shared" si="311"/>
        <v>27.869149999999998</v>
      </c>
      <c r="Z354" s="2267">
        <f t="shared" si="311"/>
        <v>28.618880000000001</v>
      </c>
      <c r="AA354" s="2267">
        <f>+AA180+AA256+AA302+AA324</f>
        <v>29.71453</v>
      </c>
      <c r="AB354" s="2267">
        <f>+AB180+AB256+AB302+AB324</f>
        <v>31.500399999999999</v>
      </c>
      <c r="AC354" s="2267">
        <f>+AC180+AC256+AC302+AC324</f>
        <v>33.926810369999998</v>
      </c>
      <c r="AD354" s="2267">
        <f>+AD180+AD256+AD302+AD324</f>
        <v>35.889031904138733</v>
      </c>
      <c r="AE354" s="2267">
        <f>+AE180+AE256+AE302+AE324</f>
        <v>37.79322381500095</v>
      </c>
    </row>
    <row r="355" spans="1:31" ht="12.75" customHeight="1">
      <c r="A355" s="664"/>
      <c r="B355" s="664"/>
      <c r="C355" s="782" t="s">
        <v>1767</v>
      </c>
      <c r="D355" s="674" t="s">
        <v>686</v>
      </c>
      <c r="E355" s="783" t="s">
        <v>1337</v>
      </c>
      <c r="F355" s="704"/>
      <c r="G355" s="706">
        <f t="shared" ref="G355:T355" si="312">+G181+G257+G326</f>
        <v>1.2035499999999999</v>
      </c>
      <c r="H355" s="706">
        <f t="shared" si="312"/>
        <v>1.5990899999999995</v>
      </c>
      <c r="I355" s="706">
        <f t="shared" si="312"/>
        <v>1.69432</v>
      </c>
      <c r="J355" s="706">
        <f t="shared" si="312"/>
        <v>1.4513999999999998</v>
      </c>
      <c r="K355" s="706">
        <f t="shared" si="312"/>
        <v>1.3048500000000005</v>
      </c>
      <c r="L355" s="706">
        <f t="shared" si="312"/>
        <v>1.2948700000000002</v>
      </c>
      <c r="M355" s="706">
        <f t="shared" si="312"/>
        <v>1.8170399999999998</v>
      </c>
      <c r="N355" s="706">
        <f t="shared" si="312"/>
        <v>2.0082099999999996</v>
      </c>
      <c r="O355" s="706">
        <f t="shared" si="312"/>
        <v>2.3965300000000007</v>
      </c>
      <c r="P355" s="706">
        <f t="shared" si="312"/>
        <v>1.989039999999999</v>
      </c>
      <c r="Q355" s="706">
        <f t="shared" si="312"/>
        <v>3.3571100000000009</v>
      </c>
      <c r="R355" s="706">
        <f>+R181+R257+R326</f>
        <v>3.5818899999999987</v>
      </c>
      <c r="S355" s="706">
        <f>+S181+S257+S326</f>
        <v>6.0638900000000016</v>
      </c>
      <c r="T355" s="2265">
        <f t="shared" si="312"/>
        <v>6.5089699999999997</v>
      </c>
      <c r="U355" s="2265">
        <f t="shared" ref="U355:Z355" si="313">+U181+U257+U326</f>
        <v>5.9053699999999996</v>
      </c>
      <c r="V355" s="2265">
        <f t="shared" si="313"/>
        <v>5.7192599999999985</v>
      </c>
      <c r="W355" s="2265">
        <f t="shared" si="313"/>
        <v>6.5876500000000018</v>
      </c>
      <c r="X355" s="2265">
        <f t="shared" si="313"/>
        <v>7.4369199999999998</v>
      </c>
      <c r="Y355" s="2265">
        <f t="shared" si="313"/>
        <v>8.2282399999999996</v>
      </c>
      <c r="Z355" s="2265">
        <f t="shared" si="313"/>
        <v>9.3759000000000015</v>
      </c>
      <c r="AA355" s="2265">
        <f>+AA181+AA257+AA326</f>
        <v>7.7446899999999994</v>
      </c>
      <c r="AB355" s="2265">
        <f>+AB181+AB257+AB326</f>
        <v>7.1905200000000002</v>
      </c>
      <c r="AC355" s="2265">
        <f>+AC181+AC257+AC326</f>
        <v>8.1077364700000008</v>
      </c>
      <c r="AD355" s="2265">
        <f ca="1">+AD181+AD257+AD326</f>
        <v>8.7085029600993273</v>
      </c>
      <c r="AE355" s="2265">
        <f ca="1">+AE181+AE257+AE326</f>
        <v>9.4003013350079687</v>
      </c>
    </row>
    <row r="356" spans="1:31" ht="12.75" customHeight="1">
      <c r="A356" s="664"/>
      <c r="B356" s="664"/>
      <c r="C356" s="782" t="s">
        <v>1767</v>
      </c>
      <c r="D356" s="674" t="s">
        <v>687</v>
      </c>
      <c r="E356" s="783" t="s">
        <v>1337</v>
      </c>
      <c r="F356" s="704"/>
      <c r="G356" s="706">
        <f t="shared" ref="G356:T356" si="314">+G182+G205+G255+G328</f>
        <v>2.7393700000000005</v>
      </c>
      <c r="H356" s="706">
        <f t="shared" si="314"/>
        <v>3.3424299999999993</v>
      </c>
      <c r="I356" s="706">
        <f t="shared" si="314"/>
        <v>4.5800900000000002</v>
      </c>
      <c r="J356" s="706">
        <f t="shared" si="314"/>
        <v>4.9518199999999997</v>
      </c>
      <c r="K356" s="706">
        <f t="shared" si="314"/>
        <v>4.6991199999999997</v>
      </c>
      <c r="L356" s="706">
        <f t="shared" si="314"/>
        <v>4.7552900000000005</v>
      </c>
      <c r="M356" s="706">
        <f t="shared" si="314"/>
        <v>4.7671800000000006</v>
      </c>
      <c r="N356" s="706">
        <f t="shared" si="314"/>
        <v>4.9284999999999997</v>
      </c>
      <c r="O356" s="706">
        <f t="shared" si="314"/>
        <v>5.2320600000000006</v>
      </c>
      <c r="P356" s="706">
        <f t="shared" si="314"/>
        <v>5.8262299999999998</v>
      </c>
      <c r="Q356" s="706">
        <f t="shared" si="314"/>
        <v>6.8050899999999999</v>
      </c>
      <c r="R356" s="706">
        <f>+R182+R205+R255+R328</f>
        <v>7.9298099999999998</v>
      </c>
      <c r="S356" s="706">
        <f>+S182+S205+S255+S328</f>
        <v>9.4279499999999992</v>
      </c>
      <c r="T356" s="2265">
        <f t="shared" si="314"/>
        <v>10.905829999999998</v>
      </c>
      <c r="U356" s="2265">
        <f t="shared" ref="U356:Z356" si="315">+U182+U205+U255+U328</f>
        <v>8.9872099999999993</v>
      </c>
      <c r="V356" s="2265">
        <f t="shared" si="315"/>
        <v>8.7731300000000001</v>
      </c>
      <c r="W356" s="2265">
        <f t="shared" si="315"/>
        <v>9.4347200000000004</v>
      </c>
      <c r="X356" s="2265">
        <f t="shared" si="315"/>
        <v>9.9505600000000012</v>
      </c>
      <c r="Y356" s="2265">
        <f t="shared" si="315"/>
        <v>10.364149999999999</v>
      </c>
      <c r="Z356" s="2265">
        <f t="shared" si="315"/>
        <v>11.06128</v>
      </c>
      <c r="AA356" s="2265">
        <f>+AA182+AA205+AA255+AA328</f>
        <v>11.893350000000002</v>
      </c>
      <c r="AB356" s="2265">
        <f>+AB182+AB205+AB255+AB328</f>
        <v>12.679910000000001</v>
      </c>
      <c r="AC356" s="2265">
        <f>+AC182+AC205+AC255+AC328</f>
        <v>13.925293502780633</v>
      </c>
      <c r="AD356" s="2265">
        <f>+AD182+AD205+AD255+AD328</f>
        <v>14.876741686666151</v>
      </c>
      <c r="AE356" s="2265">
        <f>+AE182+AE205+AE255+AE328</f>
        <v>15.683269304710297</v>
      </c>
    </row>
    <row r="357" spans="1:31" ht="12.75" customHeight="1">
      <c r="A357" s="664"/>
      <c r="B357" s="664"/>
      <c r="C357" s="784" t="s">
        <v>1769</v>
      </c>
      <c r="D357" s="752"/>
      <c r="E357" s="753" t="s">
        <v>1337</v>
      </c>
      <c r="F357" s="754"/>
      <c r="G357" s="785">
        <f t="shared" ref="G357:Y357" si="316">+G354+G355+G356</f>
        <v>10.067760000000002</v>
      </c>
      <c r="H357" s="785">
        <f t="shared" si="316"/>
        <v>12.560789999999997</v>
      </c>
      <c r="I357" s="785">
        <f t="shared" si="316"/>
        <v>15.609259999999999</v>
      </c>
      <c r="J357" s="785">
        <f t="shared" si="316"/>
        <v>17.320309999999999</v>
      </c>
      <c r="K357" s="785">
        <f t="shared" si="316"/>
        <v>17.016189999999998</v>
      </c>
      <c r="L357" s="785">
        <f t="shared" si="316"/>
        <v>17.746459999999999</v>
      </c>
      <c r="M357" s="785">
        <f t="shared" si="316"/>
        <v>18.72852</v>
      </c>
      <c r="N357" s="785">
        <f t="shared" si="316"/>
        <v>19.742249999999999</v>
      </c>
      <c r="O357" s="785">
        <f t="shared" si="316"/>
        <v>21.280920000000002</v>
      </c>
      <c r="P357" s="785">
        <f t="shared" si="316"/>
        <v>23.727329999999995</v>
      </c>
      <c r="Q357" s="785">
        <f t="shared" si="316"/>
        <v>27.857670000000002</v>
      </c>
      <c r="R357" s="785">
        <f t="shared" si="316"/>
        <v>32.001509999999996</v>
      </c>
      <c r="S357" s="785">
        <f t="shared" si="316"/>
        <v>38.150840000000002</v>
      </c>
      <c r="T357" s="2273">
        <f t="shared" si="316"/>
        <v>44.238990000000001</v>
      </c>
      <c r="U357" s="2273">
        <f t="shared" si="316"/>
        <v>39.08587</v>
      </c>
      <c r="V357" s="2273">
        <f t="shared" si="316"/>
        <v>38.657399999999996</v>
      </c>
      <c r="W357" s="2273">
        <f t="shared" si="316"/>
        <v>41.528059999999996</v>
      </c>
      <c r="X357" s="2273">
        <f t="shared" si="316"/>
        <v>43.715770000000006</v>
      </c>
      <c r="Y357" s="2273">
        <f t="shared" si="316"/>
        <v>46.461539999999999</v>
      </c>
      <c r="Z357" s="2273">
        <f t="shared" ref="Z357:AE357" si="317">+Z354+Z355+Z356</f>
        <v>49.056060000000002</v>
      </c>
      <c r="AA357" s="2273">
        <f t="shared" si="317"/>
        <v>49.35257</v>
      </c>
      <c r="AB357" s="2273">
        <f t="shared" si="317"/>
        <v>51.370829999999998</v>
      </c>
      <c r="AC357" s="2273">
        <f t="shared" si="317"/>
        <v>55.95984034278063</v>
      </c>
      <c r="AD357" s="2273">
        <f t="shared" ca="1" si="317"/>
        <v>59.474276550904207</v>
      </c>
      <c r="AE357" s="2273">
        <f t="shared" ca="1" si="317"/>
        <v>62.876794454719217</v>
      </c>
    </row>
    <row r="358" spans="1:31">
      <c r="A358" s="664"/>
      <c r="B358" s="664"/>
      <c r="Q358" s="699"/>
      <c r="R358" s="699"/>
      <c r="S358" s="699"/>
      <c r="AB358" s="2221"/>
      <c r="AC358" s="2221"/>
      <c r="AD358" s="2221"/>
      <c r="AE358" s="2221"/>
    </row>
    <row r="359" spans="1:31" ht="12.75" customHeight="1">
      <c r="A359" s="664"/>
      <c r="B359" s="664"/>
      <c r="C359" s="774"/>
      <c r="D359" s="742"/>
      <c r="E359" s="743" t="s">
        <v>1311</v>
      </c>
      <c r="F359" s="744"/>
      <c r="G359" s="745">
        <f>+InputY!$G$3</f>
        <v>1995</v>
      </c>
      <c r="H359" s="745">
        <f>+G359+1</f>
        <v>1996</v>
      </c>
      <c r="I359" s="745">
        <f t="shared" ref="I359:O359" si="318">+H359+1</f>
        <v>1997</v>
      </c>
      <c r="J359" s="745">
        <f t="shared" si="318"/>
        <v>1998</v>
      </c>
      <c r="K359" s="745">
        <f>+J359+1</f>
        <v>1999</v>
      </c>
      <c r="L359" s="745">
        <f t="shared" si="318"/>
        <v>2000</v>
      </c>
      <c r="M359" s="745">
        <f t="shared" si="318"/>
        <v>2001</v>
      </c>
      <c r="N359" s="745">
        <f t="shared" si="318"/>
        <v>2002</v>
      </c>
      <c r="O359" s="745">
        <f t="shared" si="318"/>
        <v>2003</v>
      </c>
      <c r="P359" s="745">
        <f t="shared" ref="P359:W359" si="319">+O359+1</f>
        <v>2004</v>
      </c>
      <c r="Q359" s="745">
        <f t="shared" si="319"/>
        <v>2005</v>
      </c>
      <c r="R359" s="745">
        <f t="shared" si="319"/>
        <v>2006</v>
      </c>
      <c r="S359" s="745">
        <f t="shared" si="319"/>
        <v>2007</v>
      </c>
      <c r="T359" s="2211">
        <f t="shared" si="319"/>
        <v>2008</v>
      </c>
      <c r="U359" s="2211">
        <f t="shared" si="319"/>
        <v>2009</v>
      </c>
      <c r="V359" s="2211">
        <f t="shared" si="319"/>
        <v>2010</v>
      </c>
      <c r="W359" s="2211">
        <f t="shared" si="319"/>
        <v>2011</v>
      </c>
      <c r="X359" s="2211">
        <f t="shared" ref="X359:AE359" si="320">+W359+1</f>
        <v>2012</v>
      </c>
      <c r="Y359" s="2211">
        <f t="shared" si="320"/>
        <v>2013</v>
      </c>
      <c r="Z359" s="2211">
        <f t="shared" si="320"/>
        <v>2014</v>
      </c>
      <c r="AA359" s="2211">
        <f t="shared" si="320"/>
        <v>2015</v>
      </c>
      <c r="AB359" s="2211">
        <f t="shared" si="320"/>
        <v>2016</v>
      </c>
      <c r="AC359" s="2211">
        <f t="shared" si="320"/>
        <v>2017</v>
      </c>
      <c r="AD359" s="2211">
        <f t="shared" si="320"/>
        <v>2018</v>
      </c>
      <c r="AE359" s="2211">
        <f t="shared" si="320"/>
        <v>2019</v>
      </c>
    </row>
    <row r="360" spans="1:31" ht="12.75" customHeight="1">
      <c r="A360" s="664"/>
      <c r="B360" s="664"/>
      <c r="C360" s="794" t="s">
        <v>1767</v>
      </c>
      <c r="D360" s="689" t="s">
        <v>685</v>
      </c>
      <c r="E360" s="738" t="s">
        <v>1337</v>
      </c>
      <c r="F360" s="733"/>
      <c r="G360" s="739"/>
      <c r="H360" s="739">
        <f t="shared" ref="H360:AE360" si="321">(H354/G354-1)*100</f>
        <v>24.399494517407771</v>
      </c>
      <c r="I360" s="739">
        <f t="shared" si="321"/>
        <v>22.516330304609244</v>
      </c>
      <c r="J360" s="739">
        <f t="shared" si="321"/>
        <v>16.949817083295372</v>
      </c>
      <c r="K360" s="739">
        <f>(K354/J354-1)*100</f>
        <v>0.87138605617431697</v>
      </c>
      <c r="L360" s="739">
        <f t="shared" si="321"/>
        <v>6.2120081146217698</v>
      </c>
      <c r="M360" s="739">
        <f t="shared" si="321"/>
        <v>3.8302711113770815</v>
      </c>
      <c r="N360" s="739">
        <f t="shared" si="321"/>
        <v>5.4448589050007046</v>
      </c>
      <c r="O360" s="739">
        <f t="shared" si="321"/>
        <v>6.6126848223503343</v>
      </c>
      <c r="P360" s="739">
        <f t="shared" si="321"/>
        <v>16.551973179669677</v>
      </c>
      <c r="Q360" s="739">
        <f t="shared" si="321"/>
        <v>11.207913997307717</v>
      </c>
      <c r="R360" s="739">
        <f t="shared" si="321"/>
        <v>15.791273133745509</v>
      </c>
      <c r="S360" s="739">
        <f t="shared" si="321"/>
        <v>10.586676987243916</v>
      </c>
      <c r="T360" s="2268">
        <f t="shared" si="321"/>
        <v>18.382055695308708</v>
      </c>
      <c r="U360" s="2268">
        <f t="shared" si="321"/>
        <v>-9.8079382825725592</v>
      </c>
      <c r="V360" s="2268">
        <f t="shared" si="321"/>
        <v>-0.11689191507234797</v>
      </c>
      <c r="W360" s="2268">
        <f t="shared" si="321"/>
        <v>5.5480217057638503</v>
      </c>
      <c r="X360" s="2268">
        <f t="shared" si="321"/>
        <v>3.2251626989899362</v>
      </c>
      <c r="Y360" s="2268">
        <f t="shared" si="321"/>
        <v>5.8524879511734129</v>
      </c>
      <c r="Z360" s="2268">
        <f t="shared" si="321"/>
        <v>2.6901789254426545</v>
      </c>
      <c r="AA360" s="2268">
        <f t="shared" si="321"/>
        <v>3.8284167654359713</v>
      </c>
      <c r="AB360" s="2268">
        <f t="shared" si="321"/>
        <v>6.0100900132022961</v>
      </c>
      <c r="AC360" s="2268">
        <f t="shared" si="321"/>
        <v>7.70279225025714</v>
      </c>
      <c r="AD360" s="2268">
        <f t="shared" si="321"/>
        <v>5.7836899865890246</v>
      </c>
      <c r="AE360" s="2268">
        <f t="shared" si="321"/>
        <v>5.3057767508145615</v>
      </c>
    </row>
    <row r="361" spans="1:31" ht="12.75" customHeight="1">
      <c r="A361" s="664"/>
      <c r="B361" s="664"/>
      <c r="C361" s="795" t="s">
        <v>1767</v>
      </c>
      <c r="D361" s="674" t="s">
        <v>686</v>
      </c>
      <c r="E361" s="783" t="s">
        <v>1337</v>
      </c>
      <c r="F361" s="704"/>
      <c r="G361" s="706"/>
      <c r="H361" s="706">
        <f t="shared" ref="H361:AE361" si="322">(H355/G355-1)*100</f>
        <v>32.864442690374275</v>
      </c>
      <c r="I361" s="706">
        <f t="shared" si="322"/>
        <v>5.9552620552939972</v>
      </c>
      <c r="J361" s="706">
        <f t="shared" si="322"/>
        <v>-14.33731526512112</v>
      </c>
      <c r="K361" s="706">
        <f>(K355/J355-1)*100</f>
        <v>-10.09714758164526</v>
      </c>
      <c r="L361" s="706">
        <f t="shared" si="322"/>
        <v>-0.76483887036826737</v>
      </c>
      <c r="M361" s="706">
        <f t="shared" si="322"/>
        <v>40.326055897503174</v>
      </c>
      <c r="N361" s="706">
        <f t="shared" si="322"/>
        <v>10.520957161097154</v>
      </c>
      <c r="O361" s="706">
        <f t="shared" si="322"/>
        <v>19.336623161920375</v>
      </c>
      <c r="P361" s="706">
        <f t="shared" si="322"/>
        <v>-17.003333987056347</v>
      </c>
      <c r="Q361" s="706">
        <f t="shared" si="322"/>
        <v>68.780416683425301</v>
      </c>
      <c r="R361" s="706">
        <f t="shared" si="322"/>
        <v>6.695639999880787</v>
      </c>
      <c r="S361" s="706">
        <f t="shared" si="322"/>
        <v>69.293026865705087</v>
      </c>
      <c r="T361" s="2265">
        <f t="shared" si="322"/>
        <v>7.3398429061212855</v>
      </c>
      <c r="U361" s="2265">
        <f t="shared" si="322"/>
        <v>-9.2733566140264951</v>
      </c>
      <c r="V361" s="2265">
        <f t="shared" si="322"/>
        <v>-3.1515383456074963</v>
      </c>
      <c r="W361" s="2265">
        <f t="shared" si="322"/>
        <v>15.183607669523735</v>
      </c>
      <c r="X361" s="2265">
        <f t="shared" si="322"/>
        <v>12.891850659946979</v>
      </c>
      <c r="Y361" s="2265">
        <f t="shared" si="322"/>
        <v>10.640426413084981</v>
      </c>
      <c r="Z361" s="2265">
        <f t="shared" si="322"/>
        <v>13.947818731587812</v>
      </c>
      <c r="AA361" s="2265">
        <f t="shared" si="322"/>
        <v>-17.397903134632429</v>
      </c>
      <c r="AB361" s="2265">
        <f t="shared" si="322"/>
        <v>-7.1554833053356415</v>
      </c>
      <c r="AC361" s="2265">
        <f t="shared" si="322"/>
        <v>12.755912924239144</v>
      </c>
      <c r="AD361" s="2265">
        <f t="shared" ca="1" si="322"/>
        <v>7.409793008471155</v>
      </c>
      <c r="AE361" s="2265">
        <f t="shared" ca="1" si="322"/>
        <v>7.9439414337725722</v>
      </c>
    </row>
    <row r="362" spans="1:31" ht="12.75" customHeight="1">
      <c r="A362" s="664"/>
      <c r="B362" s="664"/>
      <c r="C362" s="796" t="s">
        <v>1767</v>
      </c>
      <c r="D362" s="691" t="s">
        <v>687</v>
      </c>
      <c r="E362" s="797" t="s">
        <v>1337</v>
      </c>
      <c r="F362" s="736"/>
      <c r="G362" s="741"/>
      <c r="H362" s="741">
        <f t="shared" ref="H362:AE362" si="323">(H356/G356-1)*100</f>
        <v>22.014550790875219</v>
      </c>
      <c r="I362" s="741">
        <f t="shared" si="323"/>
        <v>37.028748545220139</v>
      </c>
      <c r="J362" s="741">
        <f t="shared" si="323"/>
        <v>8.1162160568897015</v>
      </c>
      <c r="K362" s="741">
        <f>(K356/J356-1)*100</f>
        <v>-5.103174186460735</v>
      </c>
      <c r="L362" s="741">
        <f t="shared" si="323"/>
        <v>1.1953301894823021</v>
      </c>
      <c r="M362" s="741">
        <f t="shared" si="323"/>
        <v>0.25003732685073832</v>
      </c>
      <c r="N362" s="741">
        <f t="shared" si="323"/>
        <v>3.3839712366640073</v>
      </c>
      <c r="O362" s="741">
        <f t="shared" si="323"/>
        <v>6.1592776706908881</v>
      </c>
      <c r="P362" s="741">
        <f t="shared" si="323"/>
        <v>11.356330011505978</v>
      </c>
      <c r="Q362" s="741">
        <f t="shared" si="323"/>
        <v>16.800915858110656</v>
      </c>
      <c r="R362" s="741">
        <f t="shared" si="323"/>
        <v>16.527628583898224</v>
      </c>
      <c r="S362" s="741">
        <f t="shared" si="323"/>
        <v>18.892508143322463</v>
      </c>
      <c r="T362" s="2234">
        <f t="shared" si="323"/>
        <v>15.675518007626255</v>
      </c>
      <c r="U362" s="2234">
        <f t="shared" si="323"/>
        <v>-17.592608723957724</v>
      </c>
      <c r="V362" s="2234">
        <f t="shared" si="323"/>
        <v>-2.382051826985232</v>
      </c>
      <c r="W362" s="2234">
        <f t="shared" si="323"/>
        <v>7.5410942274877879</v>
      </c>
      <c r="X362" s="2234">
        <f t="shared" si="323"/>
        <v>5.467464853223003</v>
      </c>
      <c r="Y362" s="2234">
        <f t="shared" si="323"/>
        <v>4.1564494862600387</v>
      </c>
      <c r="Z362" s="2234">
        <f t="shared" si="323"/>
        <v>6.7263596146331484</v>
      </c>
      <c r="AA362" s="2234">
        <f t="shared" si="323"/>
        <v>7.5223663084200254</v>
      </c>
      <c r="AB362" s="2234">
        <f t="shared" si="323"/>
        <v>6.6134436470800972</v>
      </c>
      <c r="AC362" s="2234">
        <f t="shared" si="323"/>
        <v>9.8217061696860064</v>
      </c>
      <c r="AD362" s="2234">
        <f t="shared" si="323"/>
        <v>6.8325179910608824</v>
      </c>
      <c r="AE362" s="2234">
        <f t="shared" si="323"/>
        <v>5.4213996252084451</v>
      </c>
    </row>
    <row r="363" spans="1:31" ht="12.75" customHeight="1">
      <c r="A363" s="664"/>
      <c r="B363" s="664"/>
      <c r="C363" s="774" t="s">
        <v>1769</v>
      </c>
      <c r="D363" s="717" t="s">
        <v>688</v>
      </c>
      <c r="E363" s="722" t="s">
        <v>1337</v>
      </c>
      <c r="F363" s="723"/>
      <c r="G363" s="721"/>
      <c r="H363" s="721">
        <f t="shared" ref="H363:AE363" si="324">(H357/G357-1)*100</f>
        <v>24.762509237407283</v>
      </c>
      <c r="I363" s="721">
        <f t="shared" si="324"/>
        <v>24.269731442051047</v>
      </c>
      <c r="J363" s="721">
        <f t="shared" si="324"/>
        <v>10.96176244101259</v>
      </c>
      <c r="K363" s="721">
        <f>(K357/J357-1)*100</f>
        <v>-1.7558577184819457</v>
      </c>
      <c r="L363" s="721">
        <f t="shared" si="324"/>
        <v>4.2916187466171873</v>
      </c>
      <c r="M363" s="721">
        <f t="shared" si="324"/>
        <v>5.5338360439208811</v>
      </c>
      <c r="N363" s="721">
        <f t="shared" si="324"/>
        <v>5.4127608588398823</v>
      </c>
      <c r="O363" s="721">
        <f t="shared" si="324"/>
        <v>7.7937925008547904</v>
      </c>
      <c r="P363" s="721">
        <f t="shared" si="324"/>
        <v>11.495790595519328</v>
      </c>
      <c r="Q363" s="721">
        <f t="shared" si="324"/>
        <v>17.407521200236211</v>
      </c>
      <c r="R363" s="721">
        <f t="shared" si="324"/>
        <v>14.875041595366699</v>
      </c>
      <c r="S363" s="721">
        <f t="shared" si="324"/>
        <v>19.215749506820167</v>
      </c>
      <c r="T363" s="2220">
        <f t="shared" si="324"/>
        <v>15.958102102076911</v>
      </c>
      <c r="U363" s="2220">
        <f t="shared" si="324"/>
        <v>-11.64836719825656</v>
      </c>
      <c r="V363" s="2220">
        <f t="shared" si="324"/>
        <v>-1.0962273578661641</v>
      </c>
      <c r="W363" s="2220">
        <f t="shared" si="324"/>
        <v>7.4259003450827032</v>
      </c>
      <c r="X363" s="2220">
        <f t="shared" si="324"/>
        <v>5.2680284125962373</v>
      </c>
      <c r="Y363" s="2220">
        <f t="shared" si="324"/>
        <v>6.2809599373406799</v>
      </c>
      <c r="Z363" s="2220">
        <f t="shared" si="324"/>
        <v>5.5842316031711414</v>
      </c>
      <c r="AA363" s="2220">
        <f t="shared" si="324"/>
        <v>0.60443093065360998</v>
      </c>
      <c r="AB363" s="2220">
        <f t="shared" si="324"/>
        <v>4.0894729494330262</v>
      </c>
      <c r="AC363" s="2220">
        <f t="shared" si="324"/>
        <v>8.9331053105052618</v>
      </c>
      <c r="AD363" s="2220">
        <f t="shared" ca="1" si="324"/>
        <v>6.2802827645611181</v>
      </c>
      <c r="AE363" s="2220">
        <f t="shared" ca="1" si="324"/>
        <v>5.720990823491201</v>
      </c>
    </row>
    <row r="364" spans="1:31" ht="12.75" customHeight="1">
      <c r="A364" s="664"/>
      <c r="B364" s="664"/>
      <c r="C364" s="774"/>
      <c r="E364" s="786"/>
      <c r="F364" s="787"/>
      <c r="G364" s="703"/>
      <c r="H364" s="788"/>
      <c r="I364" s="703"/>
      <c r="J364" s="703"/>
      <c r="K364" s="703"/>
      <c r="L364" s="703"/>
      <c r="M364" s="703"/>
      <c r="N364" s="703"/>
      <c r="O364" s="703"/>
      <c r="P364" s="703"/>
      <c r="Q364" s="703"/>
      <c r="R364" s="703"/>
      <c r="S364" s="703"/>
      <c r="T364" s="2254"/>
      <c r="U364" s="2254"/>
      <c r="V364" s="2254"/>
      <c r="W364" s="2254"/>
      <c r="X364" s="2254"/>
      <c r="Y364" s="2254"/>
      <c r="Z364" s="2254"/>
      <c r="AA364" s="2254"/>
      <c r="AB364" s="2254"/>
      <c r="AC364" s="2254"/>
      <c r="AD364" s="2254"/>
      <c r="AE364" s="2254"/>
    </row>
    <row r="365" spans="1:31" ht="12.75" customHeight="1">
      <c r="A365" s="664"/>
      <c r="B365" s="664"/>
      <c r="C365" s="774"/>
      <c r="D365" s="818"/>
      <c r="E365" s="819" t="s">
        <v>512</v>
      </c>
      <c r="F365" s="820"/>
      <c r="G365" s="821">
        <f>+InputY!$G$3</f>
        <v>1995</v>
      </c>
      <c r="H365" s="821">
        <f>+G365+1</f>
        <v>1996</v>
      </c>
      <c r="I365" s="821">
        <f t="shared" ref="I365:O365" si="325">+H365+1</f>
        <v>1997</v>
      </c>
      <c r="J365" s="821">
        <f t="shared" si="325"/>
        <v>1998</v>
      </c>
      <c r="K365" s="821">
        <f>+J365+1</f>
        <v>1999</v>
      </c>
      <c r="L365" s="821">
        <f t="shared" si="325"/>
        <v>2000</v>
      </c>
      <c r="M365" s="821">
        <f t="shared" si="325"/>
        <v>2001</v>
      </c>
      <c r="N365" s="821">
        <f t="shared" si="325"/>
        <v>2002</v>
      </c>
      <c r="O365" s="821">
        <f t="shared" si="325"/>
        <v>2003</v>
      </c>
      <c r="P365" s="821">
        <f t="shared" ref="P365:V365" si="326">+O365+1</f>
        <v>2004</v>
      </c>
      <c r="Q365" s="821">
        <f t="shared" si="326"/>
        <v>2005</v>
      </c>
      <c r="R365" s="821">
        <f t="shared" si="326"/>
        <v>2006</v>
      </c>
      <c r="S365" s="821">
        <f>+R365+1</f>
        <v>2007</v>
      </c>
      <c r="T365" s="821">
        <f t="shared" si="326"/>
        <v>2008</v>
      </c>
      <c r="U365" s="821">
        <f t="shared" si="326"/>
        <v>2009</v>
      </c>
      <c r="V365" s="821">
        <f t="shared" si="326"/>
        <v>2010</v>
      </c>
      <c r="W365" s="821">
        <f t="shared" ref="W365:AE365" si="327">+V365+1</f>
        <v>2011</v>
      </c>
      <c r="X365" s="821">
        <f t="shared" si="327"/>
        <v>2012</v>
      </c>
      <c r="Y365" s="821">
        <f t="shared" si="327"/>
        <v>2013</v>
      </c>
      <c r="Z365" s="821">
        <f t="shared" si="327"/>
        <v>2014</v>
      </c>
      <c r="AA365" s="821">
        <f t="shared" si="327"/>
        <v>2015</v>
      </c>
      <c r="AB365" s="821">
        <f t="shared" si="327"/>
        <v>2016</v>
      </c>
      <c r="AC365" s="821">
        <f t="shared" si="327"/>
        <v>2017</v>
      </c>
      <c r="AD365" s="821">
        <f t="shared" si="327"/>
        <v>2018</v>
      </c>
      <c r="AE365" s="821">
        <f t="shared" si="327"/>
        <v>2019</v>
      </c>
    </row>
    <row r="366" spans="1:31" ht="12.75" customHeight="1">
      <c r="A366" s="664"/>
      <c r="B366" s="664"/>
      <c r="C366" s="822" t="s">
        <v>1767</v>
      </c>
      <c r="D366" s="823" t="s">
        <v>685</v>
      </c>
      <c r="E366" s="824" t="s">
        <v>1337</v>
      </c>
      <c r="F366" s="825"/>
      <c r="G366" s="838">
        <f>+G354/'VVP2'!G$341</f>
        <v>0.78882301955173084</v>
      </c>
      <c r="H366" s="838">
        <f>+H354/'VVP2'!H$341</f>
        <v>0.78434757544406863</v>
      </c>
      <c r="I366" s="838">
        <f>+I354/'VVP2'!I$341</f>
        <v>0.7961940714786504</v>
      </c>
      <c r="J366" s="838">
        <f>+J354/'VVP2'!J$341</f>
        <v>0.83835997038848209</v>
      </c>
      <c r="K366" s="838">
        <f>+K354/'VVP2'!K$341</f>
        <v>0.86627994789208362</v>
      </c>
      <c r="L366" s="838">
        <f>+L354/'VVP2'!L$341</f>
        <v>0.87493585514258487</v>
      </c>
      <c r="M366" s="838">
        <f>+M354/'VVP2'!M$341</f>
        <v>0.85556256921685259</v>
      </c>
      <c r="N366" s="838">
        <f>+N354/'VVP2'!N$341</f>
        <v>0.8423494803702366</v>
      </c>
      <c r="O366" s="838">
        <f>+O354/'VVP2'!O$341</f>
        <v>0.81905068728522346</v>
      </c>
      <c r="P366" s="838">
        <f>+P354/'VVP2'!P$341</f>
        <v>0.87248077062264351</v>
      </c>
      <c r="Q366" s="838">
        <f>+Q354/'VVP2'!Q$341</f>
        <v>0.84254714353393789</v>
      </c>
      <c r="R366" s="838">
        <f>+R354/'VVP2'!R$341</f>
        <v>0.85093470790948855</v>
      </c>
      <c r="S366" s="838">
        <f>+S354/'VVP2'!S$341</f>
        <v>0.78025086206718453</v>
      </c>
      <c r="T366" s="2909">
        <f>+T354/'VVP2'!T$341</f>
        <v>0.82040495126662727</v>
      </c>
      <c r="U366" s="2909">
        <f>+U354/'VVP2'!U$341</f>
        <v>0.89821613806960665</v>
      </c>
      <c r="V366" s="2909">
        <f>+V354/'VVP2'!V$341</f>
        <v>0.86218435645358882</v>
      </c>
      <c r="W366" s="2909">
        <f>+W354/'VVP2'!W$341</f>
        <v>0.81552131201215516</v>
      </c>
      <c r="X366" s="2909">
        <f>+X354/'VVP2'!X$341</f>
        <v>0.78948995576410086</v>
      </c>
      <c r="Y366" s="2909">
        <f>+Y354/'VVP2'!Y$341</f>
        <v>0.79718046376322405</v>
      </c>
      <c r="Z366" s="2909">
        <f>+Z354/'VVP2'!Z$341</f>
        <v>0.78261487824967435</v>
      </c>
      <c r="AA366" s="2909">
        <f>+AA354/'VVP2'!AA$341</f>
        <v>0.79394126264708442</v>
      </c>
      <c r="AB366" s="2909">
        <f>+AB354/'VVP2'!AB$341</f>
        <v>0.81463068475692757</v>
      </c>
      <c r="AC366" s="2909">
        <f ca="1">+AC354/'VVP2'!AC$341</f>
        <v>0.81204258819113262</v>
      </c>
      <c r="AD366" s="2909">
        <f ca="1">+AD354/'VVP2'!AD$341</f>
        <v>0.81175677118985801</v>
      </c>
      <c r="AE366" s="2909">
        <f ca="1">+AE354/'VVP2'!AE$341</f>
        <v>0.809688522551545</v>
      </c>
    </row>
    <row r="367" spans="1:31" ht="12.75" customHeight="1">
      <c r="A367" s="664"/>
      <c r="B367" s="664"/>
      <c r="C367" s="826" t="s">
        <v>1767</v>
      </c>
      <c r="D367" s="674" t="s">
        <v>685</v>
      </c>
      <c r="E367" s="783" t="s">
        <v>1337</v>
      </c>
      <c r="F367" s="704"/>
      <c r="G367" s="839">
        <f>+G355/'VVP2'!G$341</f>
        <v>0.1550061626395931</v>
      </c>
      <c r="H367" s="839">
        <f>+H355/'VVP2'!H$341</f>
        <v>0.16461450564382879</v>
      </c>
      <c r="I367" s="839">
        <f>+I355/'VVP2'!I$341</f>
        <v>0.1445130386870391</v>
      </c>
      <c r="J367" s="839">
        <f>+J355/'VVP2'!J$341</f>
        <v>0.11145787577292511</v>
      </c>
      <c r="K367" s="839">
        <f>+K355/'VVP2'!K$341</f>
        <v>0.10264645911605343</v>
      </c>
      <c r="L367" s="839">
        <f>+L355/'VVP2'!L$341</f>
        <v>9.6862100899299683E-2</v>
      </c>
      <c r="M367" s="839">
        <f>+M355/'VVP2'!M$341</f>
        <v>0.1280099644088</v>
      </c>
      <c r="N367" s="839">
        <f>+N355/'VVP2'!N$341</f>
        <v>0.13210021990281648</v>
      </c>
      <c r="O367" s="839">
        <f>+O355/'VVP2'!O$341</f>
        <v>0.14377615715410169</v>
      </c>
      <c r="P367" s="839">
        <f>+P355/'VVP2'!P$341</f>
        <v>0.10906187834882865</v>
      </c>
      <c r="Q367" s="839">
        <f>+Q355/'VVP2'!Q$341</f>
        <v>0.15984449359238376</v>
      </c>
      <c r="R367" s="839">
        <f>+R355/'VVP2'!R$341</f>
        <v>0.14875465028294146</v>
      </c>
      <c r="S367" s="839">
        <f>+S355/'VVP2'!S$341</f>
        <v>0.2088068935072413</v>
      </c>
      <c r="T367" s="2910">
        <f>+T355/'VVP2'!T$341</f>
        <v>0.19907371725468462</v>
      </c>
      <c r="U367" s="2910">
        <f>+U355/'VVP2'!U$341</f>
        <v>0.21924668514584467</v>
      </c>
      <c r="V367" s="2910">
        <f>+V355/'VVP2'!V$341</f>
        <v>0.20405770585200469</v>
      </c>
      <c r="W367" s="2910">
        <f>+W355/'VVP2'!W$341</f>
        <v>0.21063413579781123</v>
      </c>
      <c r="X367" s="2910">
        <f>+X355/'VVP2'!X$341</f>
        <v>0.22300626595275105</v>
      </c>
      <c r="Y367" s="2910">
        <f>+Y355/'VVP2'!Y$341</f>
        <v>0.2353639123961481</v>
      </c>
      <c r="Z367" s="2910">
        <f>+Z355/'VVP2'!Z$341</f>
        <v>0.25639433957517282</v>
      </c>
      <c r="AA367" s="2910">
        <f>+AA355/'VVP2'!AA$341</f>
        <v>0.20693004255528349</v>
      </c>
      <c r="AB367" s="2910">
        <f>+AB355/'VVP2'!AB$341</f>
        <v>0.18595377301108504</v>
      </c>
      <c r="AC367" s="2910">
        <f ca="1">+AC355/'VVP2'!AC$341</f>
        <v>0.19405971960429944</v>
      </c>
      <c r="AD367" s="2910">
        <f ca="1">+AD355/'VVP2'!AD$341</f>
        <v>0.19697344480257017</v>
      </c>
      <c r="AE367" s="2910">
        <f ca="1">+AE355/'VVP2'!AE$341</f>
        <v>0.20139367143537573</v>
      </c>
    </row>
    <row r="368" spans="1:31" ht="12.75" customHeight="1">
      <c r="A368" s="664"/>
      <c r="B368" s="664"/>
      <c r="C368" s="827" t="s">
        <v>1767</v>
      </c>
      <c r="D368" s="828" t="s">
        <v>687</v>
      </c>
      <c r="E368" s="829" t="s">
        <v>1337</v>
      </c>
      <c r="F368" s="830"/>
      <c r="G368" s="840">
        <f>+G356/'VVP2'!G$341</f>
        <v>0.35280564309752177</v>
      </c>
      <c r="H368" s="840">
        <f>+H356/'VVP2'!H$341</f>
        <v>0.34407848344940106</v>
      </c>
      <c r="I368" s="840">
        <f>+I356/'VVP2'!I$341</f>
        <v>0.39064800236090053</v>
      </c>
      <c r="J368" s="840">
        <f>+J356/'VVP2'!J$341</f>
        <v>0.38026687226807637</v>
      </c>
      <c r="K368" s="840">
        <f>+K356/'VVP2'!K$341</f>
        <v>0.36965783726974655</v>
      </c>
      <c r="L368" s="840">
        <f>+L356/'VVP2'!L$341</f>
        <v>0.3557170834025275</v>
      </c>
      <c r="M368" s="840">
        <f>+M356/'VVP2'!M$341</f>
        <v>0.33584650977983055</v>
      </c>
      <c r="N368" s="840">
        <f>+N356/'VVP2'!N$341</f>
        <v>0.32419713764548086</v>
      </c>
      <c r="O368" s="840">
        <f>+O356/'VVP2'!O$341</f>
        <v>0.3138894488279676</v>
      </c>
      <c r="P368" s="840">
        <f>+P356/'VVP2'!P$341</f>
        <v>0.31946043694058246</v>
      </c>
      <c r="Q368" s="840">
        <f>+Q356/'VVP2'!Q$341</f>
        <v>0.32401564586820047</v>
      </c>
      <c r="R368" s="840">
        <f>+R356/'VVP2'!R$341</f>
        <v>0.32932226097400324</v>
      </c>
      <c r="S368" s="840">
        <f>+S356/'VVP2'!S$341</f>
        <v>0.32464654728921449</v>
      </c>
      <c r="T368" s="2911">
        <f>+T356/'VVP2'!T$341</f>
        <v>0.3335495658833359</v>
      </c>
      <c r="U368" s="2911">
        <f>+U356/'VVP2'!U$341</f>
        <v>0.33366512194995174</v>
      </c>
      <c r="V368" s="2911">
        <f>+V356/'VVP2'!V$341</f>
        <v>0.31301685549203895</v>
      </c>
      <c r="W368" s="2911">
        <f>+W356/'VVP2'!W$341</f>
        <v>0.30166661763972358</v>
      </c>
      <c r="X368" s="2911">
        <f>+X356/'VVP2'!X$341</f>
        <v>0.29838121557564246</v>
      </c>
      <c r="Y368" s="2911">
        <f>+Y356/'VVP2'!Y$341</f>
        <v>0.29646034785817355</v>
      </c>
      <c r="Z368" s="2911">
        <f>+Z356/'VVP2'!Z$341</f>
        <v>0.30248291688862589</v>
      </c>
      <c r="AA368" s="2911">
        <f>+AA356/'VVP2'!AA$341</f>
        <v>0.31777791256007426</v>
      </c>
      <c r="AB368" s="2911">
        <f>+AB356/'VVP2'!AB$341</f>
        <v>0.32791468571688659</v>
      </c>
      <c r="AC368" s="2911">
        <f ca="1">+AC356/'VVP2'!AC$341</f>
        <v>0.33330369857928821</v>
      </c>
      <c r="AD368" s="2911">
        <f ca="1">+AD356/'VVP2'!AD$341</f>
        <v>0.33648987327521185</v>
      </c>
      <c r="AE368" s="2911">
        <f ca="1">+AE356/'VVP2'!AE$341</f>
        <v>0.33600105707490724</v>
      </c>
    </row>
    <row r="369" spans="1:31" ht="12.75" customHeight="1">
      <c r="A369" s="664"/>
      <c r="B369" s="664"/>
      <c r="C369" s="774" t="s">
        <v>1769</v>
      </c>
      <c r="D369" s="806" t="s">
        <v>688</v>
      </c>
      <c r="E369" s="807" t="s">
        <v>1337</v>
      </c>
      <c r="F369" s="808"/>
      <c r="G369" s="841">
        <f>+G357/'VVP2'!G$341</f>
        <v>1.2966348252888458</v>
      </c>
      <c r="H369" s="841">
        <f>+H357/'VVP2'!H$341</f>
        <v>1.2930405645372984</v>
      </c>
      <c r="I369" s="841">
        <f>+I357/'VVP2'!I$341</f>
        <v>1.3313551125265899</v>
      </c>
      <c r="J369" s="841">
        <f>+J357/'VVP2'!J$341</f>
        <v>1.3300847184294837</v>
      </c>
      <c r="K369" s="841">
        <f>+K357/'VVP2'!K$341</f>
        <v>1.3385842442778835</v>
      </c>
      <c r="L369" s="841">
        <f>+L357/'VVP2'!L$341</f>
        <v>1.327515039444412</v>
      </c>
      <c r="M369" s="841">
        <f>+M357/'VVP2'!M$341</f>
        <v>1.3194190434054831</v>
      </c>
      <c r="N369" s="841">
        <f>+N357/'VVP2'!N$341</f>
        <v>1.2986468379185339</v>
      </c>
      <c r="O369" s="841">
        <f>+O357/'VVP2'!O$341</f>
        <v>1.2767162932672926</v>
      </c>
      <c r="P369" s="841">
        <f>+P357/'VVP2'!P$341</f>
        <v>1.3010030859120545</v>
      </c>
      <c r="Q369" s="841">
        <f>+Q357/'VVP2'!Q$341</f>
        <v>1.3264072829945222</v>
      </c>
      <c r="R369" s="841">
        <f>+R357/'VVP2'!R$341</f>
        <v>1.3290116191664332</v>
      </c>
      <c r="S369" s="841">
        <f>+S357/'VVP2'!S$341</f>
        <v>1.3137043028636404</v>
      </c>
      <c r="T369" s="2912">
        <f>+T357/'VVP2'!T$341</f>
        <v>1.3530282344046478</v>
      </c>
      <c r="U369" s="2912">
        <f>+U357/'VVP2'!U$341</f>
        <v>1.4511279451654031</v>
      </c>
      <c r="V369" s="2912">
        <f>+V357/'VVP2'!V$341</f>
        <v>1.3792589177976327</v>
      </c>
      <c r="W369" s="2912">
        <f>+W357/'VVP2'!W$341</f>
        <v>1.3278220654496899</v>
      </c>
      <c r="X369" s="2912">
        <f>+X357/'VVP2'!X$341</f>
        <v>1.3108774372924943</v>
      </c>
      <c r="Y369" s="2912">
        <f>+Y357/'VVP2'!Y$341</f>
        <v>1.3290047240175458</v>
      </c>
      <c r="Z369" s="2912">
        <f>+Z357/'VVP2'!Z$341</f>
        <v>1.341492134713473</v>
      </c>
      <c r="AA369" s="2912">
        <f>+AA357/'VVP2'!AA$341</f>
        <v>1.3186492177624423</v>
      </c>
      <c r="AB369" s="2912">
        <f>+AB357/'VVP2'!AB$341</f>
        <v>1.3284991434848992</v>
      </c>
      <c r="AC369" s="2912">
        <f ca="1">+AC357/'VVP2'!AC$341</f>
        <v>1.3394060063747202</v>
      </c>
      <c r="AD369" s="2912">
        <f ca="1">+AD357/'VVP2'!AD$341</f>
        <v>1.34522008926764</v>
      </c>
      <c r="AE369" s="2912">
        <f ca="1">+AE357/'VVP2'!AE$341</f>
        <v>1.347083251061828</v>
      </c>
    </row>
    <row r="370" spans="1:31" ht="30" customHeight="1">
      <c r="A370" s="664"/>
      <c r="B370" s="664"/>
      <c r="C370" s="774"/>
      <c r="AB370" s="2221"/>
      <c r="AC370" s="2221"/>
      <c r="AD370" s="2221"/>
      <c r="AE370" s="2221"/>
    </row>
    <row r="371" spans="1:31" ht="30" customHeight="1">
      <c r="AB371" s="2221"/>
      <c r="AC371" s="2221"/>
      <c r="AD371" s="2221"/>
      <c r="AE371" s="2221"/>
    </row>
    <row r="372" spans="1:31" ht="22.5" customHeight="1">
      <c r="A372" s="574"/>
      <c r="B372" s="574"/>
      <c r="C372" s="3751" t="s">
        <v>500</v>
      </c>
      <c r="D372" s="3751"/>
      <c r="E372" s="3751"/>
      <c r="F372" s="3751"/>
      <c r="AB372" s="2221"/>
      <c r="AC372" s="2221"/>
      <c r="AD372" s="2221"/>
      <c r="AE372" s="2221"/>
    </row>
    <row r="373" spans="1:31" ht="12.75" customHeight="1">
      <c r="A373" s="664"/>
      <c r="B373" s="664"/>
      <c r="C373" s="774"/>
      <c r="AB373" s="2221"/>
      <c r="AC373" s="2221"/>
      <c r="AD373" s="2221"/>
      <c r="AE373" s="2221"/>
    </row>
    <row r="374" spans="1:31" ht="12.75" customHeight="1">
      <c r="A374" s="664"/>
      <c r="B374" s="664"/>
      <c r="C374" s="774"/>
      <c r="D374" s="775"/>
      <c r="E374" s="776" t="s">
        <v>1384</v>
      </c>
      <c r="F374" s="777"/>
      <c r="G374" s="778">
        <f>+InputY!$G$3</f>
        <v>1995</v>
      </c>
      <c r="H374" s="778">
        <f>+G374+1</f>
        <v>1996</v>
      </c>
      <c r="I374" s="778">
        <f t="shared" ref="I374:O374" si="328">+H374+1</f>
        <v>1997</v>
      </c>
      <c r="J374" s="778">
        <f t="shared" si="328"/>
        <v>1998</v>
      </c>
      <c r="K374" s="778">
        <f>+J374+1</f>
        <v>1999</v>
      </c>
      <c r="L374" s="778">
        <f t="shared" si="328"/>
        <v>2000</v>
      </c>
      <c r="M374" s="778">
        <f t="shared" si="328"/>
        <v>2001</v>
      </c>
      <c r="N374" s="778">
        <f t="shared" si="328"/>
        <v>2002</v>
      </c>
      <c r="O374" s="778">
        <f t="shared" si="328"/>
        <v>2003</v>
      </c>
      <c r="P374" s="778">
        <f t="shared" ref="P374:V374" si="329">+O374+1</f>
        <v>2004</v>
      </c>
      <c r="Q374" s="778">
        <f t="shared" si="329"/>
        <v>2005</v>
      </c>
      <c r="R374" s="778">
        <f t="shared" si="329"/>
        <v>2006</v>
      </c>
      <c r="S374" s="778">
        <f>+R374+1</f>
        <v>2007</v>
      </c>
      <c r="T374" s="778">
        <f t="shared" si="329"/>
        <v>2008</v>
      </c>
      <c r="U374" s="778">
        <f t="shared" si="329"/>
        <v>2009</v>
      </c>
      <c r="V374" s="778">
        <f t="shared" si="329"/>
        <v>2010</v>
      </c>
      <c r="W374" s="778">
        <f t="shared" ref="W374:AE374" si="330">+V374+1</f>
        <v>2011</v>
      </c>
      <c r="X374" s="778">
        <f t="shared" si="330"/>
        <v>2012</v>
      </c>
      <c r="Y374" s="778">
        <f t="shared" si="330"/>
        <v>2013</v>
      </c>
      <c r="Z374" s="778">
        <f t="shared" si="330"/>
        <v>2014</v>
      </c>
      <c r="AA374" s="778">
        <f t="shared" si="330"/>
        <v>2015</v>
      </c>
      <c r="AB374" s="778">
        <f t="shared" si="330"/>
        <v>2016</v>
      </c>
      <c r="AC374" s="778">
        <f t="shared" si="330"/>
        <v>2017</v>
      </c>
      <c r="AD374" s="778">
        <f t="shared" si="330"/>
        <v>2018</v>
      </c>
      <c r="AE374" s="778">
        <f t="shared" si="330"/>
        <v>2019</v>
      </c>
    </row>
    <row r="375" spans="1:31" ht="12.75" customHeight="1">
      <c r="A375" s="664"/>
      <c r="B375" s="664"/>
      <c r="C375" s="779" t="s">
        <v>1767</v>
      </c>
      <c r="D375" s="668" t="s">
        <v>685</v>
      </c>
      <c r="E375" s="700" t="s">
        <v>500</v>
      </c>
      <c r="F375" s="701" t="s">
        <v>1699</v>
      </c>
      <c r="G375" s="780">
        <f t="shared" ref="G375:Q375" si="331">+G180-G201+G256-G259-G298+G302-G323+G324</f>
        <v>5.0302500000000006</v>
      </c>
      <c r="H375" s="780">
        <f t="shared" si="331"/>
        <v>6.1542399999999997</v>
      </c>
      <c r="I375" s="780">
        <f t="shared" si="331"/>
        <v>7.4089399999999994</v>
      </c>
      <c r="J375" s="780">
        <f t="shared" si="331"/>
        <v>8.5780499999999975</v>
      </c>
      <c r="K375" s="780">
        <f t="shared" si="331"/>
        <v>8.62256</v>
      </c>
      <c r="L375" s="780">
        <f t="shared" si="331"/>
        <v>9.2596199999999982</v>
      </c>
      <c r="M375" s="780">
        <f t="shared" si="331"/>
        <v>9.6920199999999976</v>
      </c>
      <c r="N375" s="780">
        <f t="shared" si="331"/>
        <v>10.246500000000001</v>
      </c>
      <c r="O375" s="780">
        <f t="shared" si="331"/>
        <v>10.94952</v>
      </c>
      <c r="P375" s="780">
        <f t="shared" si="331"/>
        <v>12.842179999999997</v>
      </c>
      <c r="Q375" s="780">
        <f t="shared" si="331"/>
        <v>14.067329999999998</v>
      </c>
      <c r="R375" s="780">
        <f t="shared" ref="R375:W375" si="332">+R180-R201+R256-R259-R298+R302-R323+R324</f>
        <v>16.19746</v>
      </c>
      <c r="S375" s="780">
        <f t="shared" si="332"/>
        <v>17.494710000000005</v>
      </c>
      <c r="T375" s="780">
        <f>+T180-T201+T256-T259-T298+T302-T323+T324</f>
        <v>20.845770000000002</v>
      </c>
      <c r="U375" s="780">
        <f>+U180-U201+U256-U259-U298+U302-U323+U324</f>
        <v>19.200190000000003</v>
      </c>
      <c r="V375" s="846">
        <f>+V180-V201+V256-V259-V298+V302-V323+V324</f>
        <v>19.366199999999996</v>
      </c>
      <c r="W375" s="846">
        <f t="shared" si="332"/>
        <v>20.382950000000001</v>
      </c>
      <c r="X375" s="846">
        <f t="shared" ref="X375:AC375" si="333">+X180-X201+X256-X259-X298+X302-X323+X324</f>
        <v>21.072290000000002</v>
      </c>
      <c r="Y375" s="846">
        <f t="shared" si="333"/>
        <v>22.277229999999999</v>
      </c>
      <c r="Z375" s="846">
        <f t="shared" si="333"/>
        <v>22.693330000000003</v>
      </c>
      <c r="AA375" s="846">
        <f t="shared" si="333"/>
        <v>23.344859999999997</v>
      </c>
      <c r="AB375" s="846">
        <f t="shared" si="333"/>
        <v>24.61242</v>
      </c>
      <c r="AC375" s="846">
        <f t="shared" si="333"/>
        <v>26.297948635219374</v>
      </c>
      <c r="AD375" s="846">
        <f>+AD180-AD201+AD256-AD259-AD298+AD302-AD323+AD324</f>
        <v>27.809516388871803</v>
      </c>
      <c r="AE375" s="846">
        <f>+AE180-AE201+AE256-AE259-AE298+AE302-AE323+AE324</f>
        <v>29.260905930205045</v>
      </c>
    </row>
    <row r="376" spans="1:31" ht="12.75" customHeight="1">
      <c r="A376" s="664"/>
      <c r="B376" s="664"/>
      <c r="C376" s="782" t="s">
        <v>1767</v>
      </c>
      <c r="D376" s="674" t="s">
        <v>686</v>
      </c>
      <c r="E376" s="783" t="s">
        <v>500</v>
      </c>
      <c r="F376" s="704" t="s">
        <v>2024</v>
      </c>
      <c r="G376" s="706">
        <f t="shared" ref="G376:Q376" si="334">+G181-G202+G257-G299-G325+G326</f>
        <v>0.74860000000000004</v>
      </c>
      <c r="H376" s="706">
        <f t="shared" si="334"/>
        <v>1.1222399999999992</v>
      </c>
      <c r="I376" s="706">
        <f t="shared" si="334"/>
        <v>1.1396900000000001</v>
      </c>
      <c r="J376" s="706">
        <f t="shared" si="334"/>
        <v>0.9673999999999997</v>
      </c>
      <c r="K376" s="706">
        <f t="shared" si="334"/>
        <v>0.91667000000000043</v>
      </c>
      <c r="L376" s="706">
        <f t="shared" si="334"/>
        <v>0.94606000000000012</v>
      </c>
      <c r="M376" s="706">
        <f t="shared" si="334"/>
        <v>1.4919999999999998</v>
      </c>
      <c r="N376" s="706">
        <f t="shared" si="334"/>
        <v>1.6360799999999995</v>
      </c>
      <c r="O376" s="706">
        <f t="shared" si="334"/>
        <v>1.9779100000000005</v>
      </c>
      <c r="P376" s="706">
        <f t="shared" si="334"/>
        <v>1.413689999999999</v>
      </c>
      <c r="Q376" s="706">
        <f t="shared" si="334"/>
        <v>2.5041100000000007</v>
      </c>
      <c r="R376" s="706">
        <f t="shared" ref="R376:W376" si="335">+R181-R202+R257-R299-R325+R326</f>
        <v>2.4773699999999987</v>
      </c>
      <c r="S376" s="706">
        <f t="shared" si="335"/>
        <v>4.7832200000000018</v>
      </c>
      <c r="T376" s="706">
        <f>+T181-T202+T257-T299-T325+T326</f>
        <v>4.66289</v>
      </c>
      <c r="U376" s="706">
        <f>+U181-U202+U257-U299-U325+U326</f>
        <v>4.5781899999999993</v>
      </c>
      <c r="V376" s="792">
        <f>+V181-V202+V257-V299-V325+V326</f>
        <v>4.6819099999999985</v>
      </c>
      <c r="W376" s="792">
        <f t="shared" si="335"/>
        <v>5.4603300000000008</v>
      </c>
      <c r="X376" s="792">
        <f t="shared" ref="X376:AC376" si="336">+X181-X202+X257-X299-X325+X326</f>
        <v>6.1798399999999996</v>
      </c>
      <c r="Y376" s="792">
        <f t="shared" si="336"/>
        <v>6.8889999999999985</v>
      </c>
      <c r="Z376" s="792">
        <f t="shared" si="336"/>
        <v>7.9933800000000019</v>
      </c>
      <c r="AA376" s="792">
        <f t="shared" si="336"/>
        <v>6.2198299999999991</v>
      </c>
      <c r="AB376" s="792">
        <f t="shared" si="336"/>
        <v>5.5452400000000006</v>
      </c>
      <c r="AC376" s="792">
        <f t="shared" si="336"/>
        <v>6.38201047</v>
      </c>
      <c r="AD376" s="792">
        <f ca="1">+AD181-AD202+AD257-AD299-AD325+AD326</f>
        <v>6.883136202099327</v>
      </c>
      <c r="AE376" s="792">
        <f ca="1">+AE181-AE202+AE257-AE299-AE325+AE326</f>
        <v>7.4497301178579685</v>
      </c>
    </row>
    <row r="377" spans="1:31" ht="12.75" customHeight="1">
      <c r="A377" s="664"/>
      <c r="B377" s="664"/>
      <c r="C377" s="782" t="s">
        <v>1767</v>
      </c>
      <c r="D377" s="674" t="s">
        <v>687</v>
      </c>
      <c r="E377" s="783" t="s">
        <v>500</v>
      </c>
      <c r="F377" s="704" t="s">
        <v>1463</v>
      </c>
      <c r="G377" s="706">
        <f t="shared" ref="G377:Q377" si="337">+G182-G203+G205+G255-G300-G327+G328</f>
        <v>2.0991300000000006</v>
      </c>
      <c r="H377" s="706">
        <f t="shared" si="337"/>
        <v>2.5033699999999994</v>
      </c>
      <c r="I377" s="706">
        <f t="shared" si="337"/>
        <v>3.2201599999999999</v>
      </c>
      <c r="J377" s="706">
        <f t="shared" si="337"/>
        <v>3.4574699999999994</v>
      </c>
      <c r="K377" s="706">
        <f t="shared" si="337"/>
        <v>3.0838200000000007</v>
      </c>
      <c r="L377" s="706">
        <f t="shared" si="337"/>
        <v>3.2071000000000005</v>
      </c>
      <c r="M377" s="706">
        <f t="shared" si="337"/>
        <v>3.1128500000000003</v>
      </c>
      <c r="N377" s="706">
        <f t="shared" si="337"/>
        <v>3.3917900000000007</v>
      </c>
      <c r="O377" s="706">
        <f t="shared" si="337"/>
        <v>3.5757000000000003</v>
      </c>
      <c r="P377" s="706">
        <f t="shared" si="337"/>
        <v>3.9161900000000003</v>
      </c>
      <c r="Q377" s="706">
        <f t="shared" si="337"/>
        <v>4.4707799999999995</v>
      </c>
      <c r="R377" s="706">
        <f t="shared" ref="R377:W377" si="338">+R182-R203+R205+R255-R300-R327+R328</f>
        <v>5.4190799999999992</v>
      </c>
      <c r="S377" s="706">
        <f t="shared" si="338"/>
        <v>6.2412900000000002</v>
      </c>
      <c r="T377" s="706">
        <f>+T182-T203+T205+T255-T300-T327+T328</f>
        <v>6.6688399999999994</v>
      </c>
      <c r="U377" s="706">
        <f>+U182-U203+U205+U255-U300-U327+U328</f>
        <v>4.1837900000000001</v>
      </c>
      <c r="V377" s="792">
        <f>+V182-V203+V205+V255-V300-V327+V328</f>
        <v>4.4172100000000007</v>
      </c>
      <c r="W377" s="792">
        <f t="shared" si="338"/>
        <v>5.0321400000000018</v>
      </c>
      <c r="X377" s="792">
        <f t="shared" ref="X377:AC377" si="339">+X182-X203+X205+X255-X300-X327+X328</f>
        <v>5.4937100000000001</v>
      </c>
      <c r="Y377" s="792">
        <f t="shared" si="339"/>
        <v>5.8540799999999988</v>
      </c>
      <c r="Z377" s="792">
        <f t="shared" si="339"/>
        <v>6.5769300000000017</v>
      </c>
      <c r="AA377" s="792">
        <f t="shared" si="339"/>
        <v>7.2839900000000002</v>
      </c>
      <c r="AB377" s="792">
        <f>+AB182-AB203+AB205+AB255-AB300-AB327+AB328</f>
        <v>7.7750100000000026</v>
      </c>
      <c r="AC377" s="3319">
        <f t="shared" si="339"/>
        <v>8.4769993027806301</v>
      </c>
      <c r="AD377" s="3319">
        <f>+AD182-AD203+AD205+AD255-AD300-AD327+AD328</f>
        <v>8.8254732626661472</v>
      </c>
      <c r="AE377" s="3319">
        <f>+AE182-AE203+AE205+AE255-AE300-AE327+AE328</f>
        <v>9.2760631201102939</v>
      </c>
    </row>
    <row r="378" spans="1:31" ht="12.75" customHeight="1">
      <c r="A378" s="664"/>
      <c r="B378" s="664"/>
      <c r="C378" s="784" t="s">
        <v>1769</v>
      </c>
      <c r="D378" s="752"/>
      <c r="E378" s="753" t="s">
        <v>500</v>
      </c>
      <c r="F378" s="754" t="s">
        <v>2025</v>
      </c>
      <c r="G378" s="785">
        <f>+G375+G376+G377</f>
        <v>7.8779800000000009</v>
      </c>
      <c r="H378" s="785">
        <f t="shared" ref="H378:S378" si="340">+H375+H376+H377</f>
        <v>9.7798499999999997</v>
      </c>
      <c r="I378" s="785">
        <f t="shared" si="340"/>
        <v>11.768789999999999</v>
      </c>
      <c r="J378" s="785">
        <f t="shared" si="340"/>
        <v>13.002919999999996</v>
      </c>
      <c r="K378" s="785">
        <f t="shared" si="340"/>
        <v>12.623050000000001</v>
      </c>
      <c r="L378" s="785">
        <f t="shared" si="340"/>
        <v>13.412779999999998</v>
      </c>
      <c r="M378" s="785">
        <f t="shared" si="340"/>
        <v>14.296869999999997</v>
      </c>
      <c r="N378" s="785">
        <f t="shared" si="340"/>
        <v>15.274370000000001</v>
      </c>
      <c r="O378" s="785">
        <f t="shared" si="340"/>
        <v>16.503130000000002</v>
      </c>
      <c r="P378" s="785">
        <f t="shared" si="340"/>
        <v>18.172059999999995</v>
      </c>
      <c r="Q378" s="785">
        <f t="shared" si="340"/>
        <v>21.04222</v>
      </c>
      <c r="R378" s="785">
        <f t="shared" si="340"/>
        <v>24.093910000000001</v>
      </c>
      <c r="S378" s="785">
        <f t="shared" si="340"/>
        <v>28.519220000000004</v>
      </c>
      <c r="T378" s="785">
        <f t="shared" ref="T378:Y378" si="341">+T375+T376+T377</f>
        <v>32.177500000000002</v>
      </c>
      <c r="U378" s="785">
        <f t="shared" si="341"/>
        <v>27.96217</v>
      </c>
      <c r="V378" s="844">
        <f t="shared" si="341"/>
        <v>28.465319999999995</v>
      </c>
      <c r="W378" s="844">
        <f t="shared" si="341"/>
        <v>30.875420000000002</v>
      </c>
      <c r="X378" s="844">
        <f t="shared" si="341"/>
        <v>32.745840000000001</v>
      </c>
      <c r="Y378" s="844">
        <f t="shared" si="341"/>
        <v>35.020309999999995</v>
      </c>
      <c r="Z378" s="844">
        <f t="shared" ref="Z378:AE378" si="342">+Z375+Z376+Z377</f>
        <v>37.263640000000009</v>
      </c>
      <c r="AA378" s="844">
        <f t="shared" si="342"/>
        <v>36.848679999999995</v>
      </c>
      <c r="AB378" s="844">
        <f t="shared" si="342"/>
        <v>37.932670000000002</v>
      </c>
      <c r="AC378" s="844">
        <f t="shared" si="342"/>
        <v>41.156958408000008</v>
      </c>
      <c r="AD378" s="844">
        <f t="shared" ca="1" si="342"/>
        <v>43.518125853637272</v>
      </c>
      <c r="AE378" s="844">
        <f t="shared" ca="1" si="342"/>
        <v>45.98669916817331</v>
      </c>
    </row>
    <row r="379" spans="1:31">
      <c r="A379" s="664"/>
      <c r="B379" s="664"/>
      <c r="Q379" s="699"/>
      <c r="R379" s="699"/>
      <c r="S379" s="699"/>
      <c r="T379" s="843"/>
      <c r="U379" s="843"/>
      <c r="V379" s="843"/>
      <c r="W379" s="843"/>
      <c r="X379" s="843"/>
      <c r="Y379" s="843"/>
      <c r="Z379" s="843"/>
      <c r="AA379" s="843"/>
      <c r="AB379" s="843"/>
      <c r="AC379" s="843"/>
      <c r="AD379" s="843"/>
      <c r="AE379" s="843"/>
    </row>
    <row r="380" spans="1:31" ht="12.75" customHeight="1">
      <c r="A380" s="664"/>
      <c r="B380" s="664"/>
      <c r="C380" s="774"/>
      <c r="D380" s="742"/>
      <c r="E380" s="743" t="s">
        <v>1311</v>
      </c>
      <c r="F380" s="744"/>
      <c r="G380" s="745">
        <f>+InputY!$G$3</f>
        <v>1995</v>
      </c>
      <c r="H380" s="745">
        <f>+G380+1</f>
        <v>1996</v>
      </c>
      <c r="I380" s="745">
        <f t="shared" ref="I380:O380" si="343">+H380+1</f>
        <v>1997</v>
      </c>
      <c r="J380" s="745">
        <f t="shared" si="343"/>
        <v>1998</v>
      </c>
      <c r="K380" s="745">
        <f>+J380+1</f>
        <v>1999</v>
      </c>
      <c r="L380" s="745">
        <f t="shared" si="343"/>
        <v>2000</v>
      </c>
      <c r="M380" s="745">
        <f t="shared" si="343"/>
        <v>2001</v>
      </c>
      <c r="N380" s="745">
        <f t="shared" si="343"/>
        <v>2002</v>
      </c>
      <c r="O380" s="745">
        <f t="shared" si="343"/>
        <v>2003</v>
      </c>
      <c r="P380" s="745">
        <f t="shared" ref="P380:V380" si="344">+O380+1</f>
        <v>2004</v>
      </c>
      <c r="Q380" s="745">
        <f t="shared" si="344"/>
        <v>2005</v>
      </c>
      <c r="R380" s="745">
        <f t="shared" si="344"/>
        <v>2006</v>
      </c>
      <c r="S380" s="745">
        <f>+R380+1</f>
        <v>2007</v>
      </c>
      <c r="T380" s="745">
        <f t="shared" si="344"/>
        <v>2008</v>
      </c>
      <c r="U380" s="745">
        <f t="shared" si="344"/>
        <v>2009</v>
      </c>
      <c r="V380" s="745">
        <f t="shared" si="344"/>
        <v>2010</v>
      </c>
      <c r="W380" s="745">
        <f t="shared" ref="W380:AE380" si="345">+V380+1</f>
        <v>2011</v>
      </c>
      <c r="X380" s="745">
        <f t="shared" si="345"/>
        <v>2012</v>
      </c>
      <c r="Y380" s="745">
        <f t="shared" si="345"/>
        <v>2013</v>
      </c>
      <c r="Z380" s="745">
        <f t="shared" si="345"/>
        <v>2014</v>
      </c>
      <c r="AA380" s="745">
        <f t="shared" si="345"/>
        <v>2015</v>
      </c>
      <c r="AB380" s="745">
        <f t="shared" si="345"/>
        <v>2016</v>
      </c>
      <c r="AC380" s="745">
        <f t="shared" si="345"/>
        <v>2017</v>
      </c>
      <c r="AD380" s="745">
        <f t="shared" si="345"/>
        <v>2018</v>
      </c>
      <c r="AE380" s="745">
        <f t="shared" si="345"/>
        <v>2019</v>
      </c>
    </row>
    <row r="381" spans="1:31" ht="12.75" customHeight="1">
      <c r="A381" s="664"/>
      <c r="B381" s="664"/>
      <c r="C381" s="794" t="s">
        <v>1767</v>
      </c>
      <c r="D381" s="689" t="s">
        <v>685</v>
      </c>
      <c r="E381" s="738" t="s">
        <v>500</v>
      </c>
      <c r="F381" s="733" t="s">
        <v>1699</v>
      </c>
      <c r="G381" s="739"/>
      <c r="H381" s="739">
        <f t="shared" ref="H381:S381" si="346">(H375/G375-1)*100</f>
        <v>22.344615078773412</v>
      </c>
      <c r="I381" s="739">
        <f t="shared" si="346"/>
        <v>20.387570195507475</v>
      </c>
      <c r="J381" s="739">
        <f t="shared" si="346"/>
        <v>15.779720175895573</v>
      </c>
      <c r="K381" s="739">
        <f>(K375/J375-1)*100</f>
        <v>0.5188824966047445</v>
      </c>
      <c r="L381" s="739">
        <f t="shared" si="346"/>
        <v>7.3882930359429055</v>
      </c>
      <c r="M381" s="739">
        <f t="shared" si="346"/>
        <v>4.6697380670049027</v>
      </c>
      <c r="N381" s="739">
        <f t="shared" si="346"/>
        <v>5.7209952104927853</v>
      </c>
      <c r="O381" s="739">
        <f t="shared" si="346"/>
        <v>6.8610745132484219</v>
      </c>
      <c r="P381" s="739">
        <f t="shared" si="346"/>
        <v>17.28532392287514</v>
      </c>
      <c r="Q381" s="739">
        <f t="shared" si="346"/>
        <v>9.5400469390711109</v>
      </c>
      <c r="R381" s="739">
        <f t="shared" si="346"/>
        <v>15.14239020482211</v>
      </c>
      <c r="S381" s="739">
        <f t="shared" si="346"/>
        <v>8.0089717770564395</v>
      </c>
      <c r="T381" s="2907">
        <f t="shared" ref="T381:AE384" si="347">(T375/S375-1)*100</f>
        <v>19.154704479239705</v>
      </c>
      <c r="U381" s="2907">
        <f t="shared" si="347"/>
        <v>-7.8940715550444907</v>
      </c>
      <c r="V381" s="2907">
        <f t="shared" si="347"/>
        <v>0.86462686046331338</v>
      </c>
      <c r="W381" s="2907">
        <f t="shared" si="347"/>
        <v>5.250126509072528</v>
      </c>
      <c r="X381" s="2907">
        <f t="shared" si="347"/>
        <v>3.3819442229902963</v>
      </c>
      <c r="Y381" s="2907">
        <f t="shared" si="347"/>
        <v>5.7181255573077072</v>
      </c>
      <c r="Z381" s="2907">
        <f t="shared" si="347"/>
        <v>1.8678264757333141</v>
      </c>
      <c r="AA381" s="2907">
        <f t="shared" si="347"/>
        <v>2.8710198106667972</v>
      </c>
      <c r="AB381" s="2907">
        <f t="shared" si="347"/>
        <v>5.4297177194466029</v>
      </c>
      <c r="AC381" s="2907">
        <f t="shared" si="347"/>
        <v>6.8482848708878441</v>
      </c>
      <c r="AD381" s="2907">
        <f t="shared" si="347"/>
        <v>5.7478542323566195</v>
      </c>
      <c r="AE381" s="2907">
        <f t="shared" si="347"/>
        <v>5.2190391268868819</v>
      </c>
    </row>
    <row r="382" spans="1:31" ht="12.75" customHeight="1">
      <c r="A382" s="664"/>
      <c r="B382" s="664"/>
      <c r="C382" s="795" t="s">
        <v>1767</v>
      </c>
      <c r="D382" s="674" t="s">
        <v>686</v>
      </c>
      <c r="E382" s="783" t="s">
        <v>500</v>
      </c>
      <c r="F382" s="704" t="s">
        <v>2024</v>
      </c>
      <c r="G382" s="706"/>
      <c r="H382" s="706">
        <f t="shared" ref="H382:S382" si="348">(H376/G376-1)*100</f>
        <v>49.911835426128668</v>
      </c>
      <c r="I382" s="706">
        <f t="shared" si="348"/>
        <v>1.5549258625606743</v>
      </c>
      <c r="J382" s="706">
        <f t="shared" si="348"/>
        <v>-15.117268730970734</v>
      </c>
      <c r="K382" s="706">
        <f>(K376/J376-1)*100</f>
        <v>-5.2439528633449806</v>
      </c>
      <c r="L382" s="706">
        <f t="shared" si="348"/>
        <v>3.2061701593812053</v>
      </c>
      <c r="M382" s="706">
        <f t="shared" si="348"/>
        <v>57.70669936367667</v>
      </c>
      <c r="N382" s="706">
        <f t="shared" si="348"/>
        <v>9.6568364611259838</v>
      </c>
      <c r="O382" s="706">
        <f t="shared" si="348"/>
        <v>20.89323260476268</v>
      </c>
      <c r="P382" s="706">
        <f t="shared" si="348"/>
        <v>-28.526070448099329</v>
      </c>
      <c r="Q382" s="706">
        <f t="shared" si="348"/>
        <v>77.132893350027416</v>
      </c>
      <c r="R382" s="706">
        <f t="shared" si="348"/>
        <v>-1.0678444637017503</v>
      </c>
      <c r="S382" s="706">
        <f t="shared" si="348"/>
        <v>93.076528738137782</v>
      </c>
      <c r="T382" s="792">
        <f t="shared" si="347"/>
        <v>-2.5156693608071934</v>
      </c>
      <c r="U382" s="792">
        <f t="shared" si="347"/>
        <v>-1.8164700432564462</v>
      </c>
      <c r="V382" s="792">
        <f t="shared" si="347"/>
        <v>2.2655241481895461</v>
      </c>
      <c r="W382" s="792">
        <f t="shared" si="347"/>
        <v>16.626120536276922</v>
      </c>
      <c r="X382" s="792">
        <f t="shared" si="347"/>
        <v>13.177042413187468</v>
      </c>
      <c r="Y382" s="792">
        <f t="shared" si="347"/>
        <v>11.475378003313974</v>
      </c>
      <c r="Z382" s="792">
        <f t="shared" si="347"/>
        <v>16.031064015096575</v>
      </c>
      <c r="AA382" s="792">
        <f t="shared" si="347"/>
        <v>-22.187735351002992</v>
      </c>
      <c r="AB382" s="792">
        <f t="shared" si="347"/>
        <v>-10.845794820758748</v>
      </c>
      <c r="AC382" s="792">
        <f t="shared" si="347"/>
        <v>15.089887362855347</v>
      </c>
      <c r="AD382" s="792">
        <f t="shared" ca="1" si="347"/>
        <v>7.8521609209977861</v>
      </c>
      <c r="AE382" s="792">
        <f t="shared" ca="1" si="347"/>
        <v>8.2316243514959364</v>
      </c>
    </row>
    <row r="383" spans="1:31" ht="12.75" customHeight="1">
      <c r="A383" s="664"/>
      <c r="B383" s="664"/>
      <c r="C383" s="796" t="s">
        <v>1767</v>
      </c>
      <c r="D383" s="691" t="s">
        <v>687</v>
      </c>
      <c r="E383" s="797" t="s">
        <v>500</v>
      </c>
      <c r="F383" s="736" t="s">
        <v>1463</v>
      </c>
      <c r="G383" s="741"/>
      <c r="H383" s="741">
        <f t="shared" ref="H383:S383" si="349">(H377/G377-1)*100</f>
        <v>19.257501917460985</v>
      </c>
      <c r="I383" s="741">
        <f t="shared" si="349"/>
        <v>28.633002712343792</v>
      </c>
      <c r="J383" s="741">
        <f t="shared" si="349"/>
        <v>7.3695095895855989</v>
      </c>
      <c r="K383" s="741">
        <f>(K377/J377-1)*100</f>
        <v>-10.80703520204076</v>
      </c>
      <c r="L383" s="741">
        <f t="shared" si="349"/>
        <v>3.9976392915280323</v>
      </c>
      <c r="M383" s="741">
        <f t="shared" si="349"/>
        <v>-2.9387920551276925</v>
      </c>
      <c r="N383" s="741">
        <f t="shared" si="349"/>
        <v>8.9609200571823422</v>
      </c>
      <c r="O383" s="741">
        <f t="shared" si="349"/>
        <v>5.4222106911099965</v>
      </c>
      <c r="P383" s="741">
        <f t="shared" si="349"/>
        <v>9.5223312917750427</v>
      </c>
      <c r="Q383" s="741">
        <f t="shared" si="349"/>
        <v>14.161468161657108</v>
      </c>
      <c r="R383" s="741">
        <f t="shared" si="349"/>
        <v>21.211063841208922</v>
      </c>
      <c r="S383" s="741">
        <f t="shared" si="349"/>
        <v>15.172501605438594</v>
      </c>
      <c r="T383" s="2908">
        <f t="shared" si="347"/>
        <v>6.850346643081795</v>
      </c>
      <c r="U383" s="2908">
        <f t="shared" si="347"/>
        <v>-37.263602065726566</v>
      </c>
      <c r="V383" s="2908">
        <f t="shared" si="347"/>
        <v>5.5791519172807558</v>
      </c>
      <c r="W383" s="2908">
        <f t="shared" si="347"/>
        <v>13.921230822170582</v>
      </c>
      <c r="X383" s="2908">
        <f t="shared" si="347"/>
        <v>9.1724395585178087</v>
      </c>
      <c r="Y383" s="2908">
        <f t="shared" si="347"/>
        <v>6.5596837110076578</v>
      </c>
      <c r="Z383" s="2908">
        <f t="shared" si="347"/>
        <v>12.34779845851104</v>
      </c>
      <c r="AA383" s="2908">
        <f t="shared" si="347"/>
        <v>10.750608566610831</v>
      </c>
      <c r="AB383" s="2908">
        <f t="shared" si="347"/>
        <v>6.7410855863339059</v>
      </c>
      <c r="AC383" s="2908">
        <f t="shared" si="347"/>
        <v>9.0287897093460643</v>
      </c>
      <c r="AD383" s="2908">
        <f t="shared" si="347"/>
        <v>4.1108173710856732</v>
      </c>
      <c r="AE383" s="2908">
        <f t="shared" si="347"/>
        <v>5.1055602802656308</v>
      </c>
    </row>
    <row r="384" spans="1:31" ht="12.75" customHeight="1">
      <c r="A384" s="664"/>
      <c r="B384" s="664"/>
      <c r="C384" s="774" t="s">
        <v>1769</v>
      </c>
      <c r="D384" s="717" t="s">
        <v>688</v>
      </c>
      <c r="E384" s="722" t="s">
        <v>500</v>
      </c>
      <c r="F384" s="723" t="s">
        <v>2025</v>
      </c>
      <c r="G384" s="721"/>
      <c r="H384" s="721">
        <f t="shared" ref="H384:S384" si="350">(H378/G378-1)*100</f>
        <v>24.141594672746038</v>
      </c>
      <c r="I384" s="721">
        <f t="shared" si="350"/>
        <v>20.337121734995932</v>
      </c>
      <c r="J384" s="721">
        <f t="shared" si="350"/>
        <v>10.486464623805825</v>
      </c>
      <c r="K384" s="721">
        <f>(K378/J378-1)*100</f>
        <v>-2.921420727036661</v>
      </c>
      <c r="L384" s="721">
        <f t="shared" si="350"/>
        <v>6.2562534411255255</v>
      </c>
      <c r="M384" s="721">
        <f t="shared" si="350"/>
        <v>6.5914001422523905</v>
      </c>
      <c r="N384" s="721">
        <f t="shared" si="350"/>
        <v>6.8371608610836132</v>
      </c>
      <c r="O384" s="721">
        <f t="shared" si="350"/>
        <v>8.0445871089936958</v>
      </c>
      <c r="P384" s="721">
        <f t="shared" si="350"/>
        <v>10.112808903523106</v>
      </c>
      <c r="Q384" s="721">
        <f t="shared" si="350"/>
        <v>15.794356831311408</v>
      </c>
      <c r="R384" s="721">
        <f t="shared" si="350"/>
        <v>14.502699810191121</v>
      </c>
      <c r="S384" s="721">
        <f t="shared" si="350"/>
        <v>18.366923425878177</v>
      </c>
      <c r="T384" s="801">
        <f t="shared" si="347"/>
        <v>12.827419543732255</v>
      </c>
      <c r="U384" s="801">
        <f t="shared" si="347"/>
        <v>-13.10024085152669</v>
      </c>
      <c r="V384" s="801">
        <f t="shared" si="347"/>
        <v>1.7993953974244192</v>
      </c>
      <c r="W384" s="801">
        <f t="shared" si="347"/>
        <v>8.4667939794810252</v>
      </c>
      <c r="X384" s="801">
        <f t="shared" si="347"/>
        <v>6.0579580779791753</v>
      </c>
      <c r="Y384" s="801">
        <f t="shared" si="347"/>
        <v>6.9458288442134641</v>
      </c>
      <c r="Z384" s="801">
        <f t="shared" si="347"/>
        <v>6.4057970931725494</v>
      </c>
      <c r="AA384" s="801">
        <f t="shared" si="347"/>
        <v>-1.1135788130199109</v>
      </c>
      <c r="AB384" s="801">
        <f t="shared" si="347"/>
        <v>2.9417335980556292</v>
      </c>
      <c r="AC384" s="801">
        <f t="shared" si="347"/>
        <v>8.5000302061521325</v>
      </c>
      <c r="AD384" s="801">
        <f t="shared" ca="1" si="347"/>
        <v>5.736982364513854</v>
      </c>
      <c r="AE384" s="801">
        <f t="shared" ca="1" si="347"/>
        <v>5.67251752255713</v>
      </c>
    </row>
    <row r="385" spans="1:31" ht="12.75" customHeight="1">
      <c r="A385" s="664"/>
      <c r="B385" s="664"/>
      <c r="C385" s="774"/>
      <c r="E385" s="786"/>
      <c r="F385" s="787"/>
      <c r="G385" s="703"/>
      <c r="H385" s="788"/>
      <c r="I385" s="703"/>
      <c r="J385" s="703"/>
      <c r="K385" s="703"/>
      <c r="L385" s="703"/>
      <c r="M385" s="703"/>
      <c r="N385" s="703"/>
      <c r="O385" s="703"/>
      <c r="P385" s="703"/>
      <c r="Q385" s="703"/>
      <c r="R385" s="703"/>
      <c r="S385" s="703"/>
      <c r="T385" s="845"/>
      <c r="U385" s="845"/>
      <c r="V385" s="845"/>
      <c r="W385" s="845"/>
      <c r="X385" s="845"/>
      <c r="Y385" s="845"/>
      <c r="Z385" s="845"/>
      <c r="AA385" s="845"/>
      <c r="AB385" s="845"/>
      <c r="AC385" s="845"/>
      <c r="AD385" s="845"/>
      <c r="AE385" s="845"/>
    </row>
    <row r="386" spans="1:31" ht="12.75" customHeight="1">
      <c r="A386" s="664"/>
      <c r="B386" s="664"/>
      <c r="C386" s="774"/>
      <c r="D386" s="818"/>
      <c r="E386" s="819" t="s">
        <v>512</v>
      </c>
      <c r="F386" s="820"/>
      <c r="G386" s="821">
        <f>+InputY!$G$3</f>
        <v>1995</v>
      </c>
      <c r="H386" s="821">
        <f>+G386+1</f>
        <v>1996</v>
      </c>
      <c r="I386" s="821">
        <f t="shared" ref="I386:O386" si="351">+H386+1</f>
        <v>1997</v>
      </c>
      <c r="J386" s="821">
        <f t="shared" si="351"/>
        <v>1998</v>
      </c>
      <c r="K386" s="821">
        <f>+J386+1</f>
        <v>1999</v>
      </c>
      <c r="L386" s="821">
        <f t="shared" si="351"/>
        <v>2000</v>
      </c>
      <c r="M386" s="821">
        <f t="shared" si="351"/>
        <v>2001</v>
      </c>
      <c r="N386" s="821">
        <f t="shared" si="351"/>
        <v>2002</v>
      </c>
      <c r="O386" s="821">
        <f t="shared" si="351"/>
        <v>2003</v>
      </c>
      <c r="P386" s="821">
        <f t="shared" ref="P386:V386" si="352">+O386+1</f>
        <v>2004</v>
      </c>
      <c r="Q386" s="821">
        <f t="shared" si="352"/>
        <v>2005</v>
      </c>
      <c r="R386" s="821">
        <f t="shared" si="352"/>
        <v>2006</v>
      </c>
      <c r="S386" s="821">
        <f>+R386+1</f>
        <v>2007</v>
      </c>
      <c r="T386" s="821">
        <f t="shared" si="352"/>
        <v>2008</v>
      </c>
      <c r="U386" s="821">
        <f t="shared" si="352"/>
        <v>2009</v>
      </c>
      <c r="V386" s="821">
        <f t="shared" si="352"/>
        <v>2010</v>
      </c>
      <c r="W386" s="821">
        <f t="shared" ref="W386:AE386" si="353">+V386+1</f>
        <v>2011</v>
      </c>
      <c r="X386" s="821">
        <f t="shared" si="353"/>
        <v>2012</v>
      </c>
      <c r="Y386" s="821">
        <f t="shared" si="353"/>
        <v>2013</v>
      </c>
      <c r="Z386" s="821">
        <f t="shared" si="353"/>
        <v>2014</v>
      </c>
      <c r="AA386" s="821">
        <f t="shared" si="353"/>
        <v>2015</v>
      </c>
      <c r="AB386" s="821">
        <f t="shared" si="353"/>
        <v>2016</v>
      </c>
      <c r="AC386" s="821">
        <f t="shared" si="353"/>
        <v>2017</v>
      </c>
      <c r="AD386" s="821">
        <f t="shared" si="353"/>
        <v>2018</v>
      </c>
      <c r="AE386" s="821">
        <f t="shared" si="353"/>
        <v>2019</v>
      </c>
    </row>
    <row r="387" spans="1:31" ht="12.75" customHeight="1">
      <c r="A387" s="664"/>
      <c r="B387" s="664"/>
      <c r="C387" s="822" t="s">
        <v>1767</v>
      </c>
      <c r="D387" s="823" t="s">
        <v>685</v>
      </c>
      <c r="E387" s="824" t="s">
        <v>500</v>
      </c>
      <c r="F387" s="825" t="s">
        <v>1699</v>
      </c>
      <c r="G387" s="838">
        <f>+G375/'VVP2'!G$341</f>
        <v>0.64784990205459969</v>
      </c>
      <c r="H387" s="838">
        <f>+H375/'VVP2'!H$341</f>
        <v>0.63353355671880707</v>
      </c>
      <c r="I387" s="838">
        <f>+I375/'VVP2'!I$341</f>
        <v>0.63192810853318815</v>
      </c>
      <c r="J387" s="838">
        <f>+J375/'VVP2'!J$341</f>
        <v>0.65873724078402929</v>
      </c>
      <c r="K387" s="838">
        <f>+K375/'VVP2'!K$341</f>
        <v>0.67829654942385509</v>
      </c>
      <c r="L387" s="838">
        <f>+L375/'VVP2'!L$341</f>
        <v>0.69266122987571965</v>
      </c>
      <c r="M387" s="838">
        <f>+M375/'VVP2'!M$341</f>
        <v>0.68280012286431646</v>
      </c>
      <c r="N387" s="838">
        <f>+N375/'VVP2'!N$341</f>
        <v>0.67401561750723749</v>
      </c>
      <c r="O387" s="838">
        <f>+O375/'VVP2'!O$341</f>
        <v>0.65689972930945117</v>
      </c>
      <c r="P387" s="838">
        <f>+P375/'VVP2'!P$341</f>
        <v>0.70415490532807812</v>
      </c>
      <c r="Q387" s="838">
        <f>+Q375/'VVP2'!Q$341</f>
        <v>0.66979790356793401</v>
      </c>
      <c r="R387" s="838">
        <f>+R375/'VVP2'!R$341</f>
        <v>0.67267490005888897</v>
      </c>
      <c r="S387" s="838">
        <f>+S375/'VVP2'!S$341</f>
        <v>0.60242122596387293</v>
      </c>
      <c r="T387" s="2909">
        <f>+T375/'VVP2'!T$341</f>
        <v>0.63755785061786852</v>
      </c>
      <c r="U387" s="2909">
        <f>+U375/'VVP2'!U$341</f>
        <v>0.71283899428323649</v>
      </c>
      <c r="V387" s="2909">
        <f>+V375/'VVP2'!V$341</f>
        <v>0.69096742289581059</v>
      </c>
      <c r="W387" s="2909">
        <f>+W375/'VVP2'!W$341</f>
        <v>0.6517263452460279</v>
      </c>
      <c r="X387" s="2909">
        <f>+X375/'VVP2'!X$341</f>
        <v>0.63188157301322279</v>
      </c>
      <c r="Y387" s="2909">
        <f>+Y375/'VVP2'!Y$341</f>
        <v>0.637226917317536</v>
      </c>
      <c r="Z387" s="2909">
        <f>+Z375/'VVP2'!Z$341</f>
        <v>0.62057416974492652</v>
      </c>
      <c r="AA387" s="2909">
        <f>+AA375/'VVP2'!AA$341</f>
        <v>0.6237503209614762</v>
      </c>
      <c r="AB387" s="2909">
        <f>+AB375/'VVP2'!AB$341</f>
        <v>0.63650088754825651</v>
      </c>
      <c r="AC387" s="2909">
        <f ca="1">+AC375/'VVP2'!AC$341</f>
        <v>0.62944479722574653</v>
      </c>
      <c r="AD387" s="2909">
        <f ca="1">+AD375/'VVP2'!AD$341</f>
        <v>0.62901009123009277</v>
      </c>
      <c r="AE387" s="2909">
        <f ca="1">+AE375/'VVP2'!AE$341</f>
        <v>0.62689067773423202</v>
      </c>
    </row>
    <row r="388" spans="1:31" ht="12.75" customHeight="1">
      <c r="A388" s="664"/>
      <c r="B388" s="664"/>
      <c r="C388" s="826" t="s">
        <v>1767</v>
      </c>
      <c r="D388" s="674" t="s">
        <v>685</v>
      </c>
      <c r="E388" s="783" t="s">
        <v>500</v>
      </c>
      <c r="F388" s="704" t="s">
        <v>2024</v>
      </c>
      <c r="G388" s="839">
        <f>+G376/'VVP2'!G$341</f>
        <v>9.6412789956378572E-2</v>
      </c>
      <c r="H388" s="839">
        <f>+H376/'VVP2'!H$341</f>
        <v>0.11552631985299787</v>
      </c>
      <c r="I388" s="839">
        <f>+I376/'VVP2'!I$341</f>
        <v>9.7207177546881116E-2</v>
      </c>
      <c r="J388" s="839">
        <f>+J376/'VVP2'!J$341</f>
        <v>7.4289891844238481E-2</v>
      </c>
      <c r="K388" s="839">
        <f>+K376/'VVP2'!K$341</f>
        <v>7.2110150345183505E-2</v>
      </c>
      <c r="L388" s="839">
        <f>+L376/'VVP2'!L$341</f>
        <v>7.0769543797285797E-2</v>
      </c>
      <c r="M388" s="839">
        <f>+M376/'VVP2'!M$341</f>
        <v>0.10511098649337912</v>
      </c>
      <c r="N388" s="839">
        <f>+N376/'VVP2'!N$341</f>
        <v>0.10762147772324605</v>
      </c>
      <c r="O388" s="839">
        <f>+O376/'VVP2'!O$341</f>
        <v>0.11866168960817067</v>
      </c>
      <c r="P388" s="839">
        <f>+P376/'VVP2'!P$341</f>
        <v>7.7514623538468566E-2</v>
      </c>
      <c r="Q388" s="839">
        <f>+Q376/'VVP2'!Q$341</f>
        <v>0.11922999092958649</v>
      </c>
      <c r="R388" s="839">
        <f>+R376/'VVP2'!R$341</f>
        <v>0.10288431748921677</v>
      </c>
      <c r="S388" s="839">
        <f>+S376/'VVP2'!S$341</f>
        <v>0.16470768915031553</v>
      </c>
      <c r="T388" s="2910">
        <f>+T376/'VVP2'!T$341</f>
        <v>0.14261224824353105</v>
      </c>
      <c r="U388" s="2910">
        <f>+U376/'VVP2'!U$341</f>
        <v>0.16997291981160445</v>
      </c>
      <c r="V388" s="2910">
        <f>+V376/'VVP2'!V$341</f>
        <v>0.16704605379114768</v>
      </c>
      <c r="W388" s="2910">
        <f>+W376/'VVP2'!W$341</f>
        <v>0.17458910092686503</v>
      </c>
      <c r="X388" s="2910">
        <f>+X376/'VVP2'!X$341</f>
        <v>0.18531099468401555</v>
      </c>
      <c r="Y388" s="2910">
        <f>+Y376/'VVP2'!Y$341</f>
        <v>0.19705574855583502</v>
      </c>
      <c r="Z388" s="2910">
        <f>+Z376/'VVP2'!Z$341</f>
        <v>0.21858780341870063</v>
      </c>
      <c r="AA388" s="2910">
        <f>+AA376/'VVP2'!AA$341</f>
        <v>0.16618737310165144</v>
      </c>
      <c r="AB388" s="2910">
        <f>+AB376/'VVP2'!AB$341</f>
        <v>0.14340524749976208</v>
      </c>
      <c r="AC388" s="2910">
        <f ca="1">+AC376/'VVP2'!AC$341</f>
        <v>0.15275424489961292</v>
      </c>
      <c r="AD388" s="2910">
        <f ca="1">+AD376/'VVP2'!AD$341</f>
        <v>0.15568635102781436</v>
      </c>
      <c r="AE388" s="2910">
        <f ca="1">+AE376/'VVP2'!AE$341</f>
        <v>0.1596042984335713</v>
      </c>
    </row>
    <row r="389" spans="1:31" ht="12.75" customHeight="1">
      <c r="A389" s="664"/>
      <c r="B389" s="664"/>
      <c r="C389" s="827" t="s">
        <v>1767</v>
      </c>
      <c r="D389" s="828" t="s">
        <v>687</v>
      </c>
      <c r="E389" s="829" t="s">
        <v>500</v>
      </c>
      <c r="F389" s="830" t="s">
        <v>1463</v>
      </c>
      <c r="G389" s="840">
        <f>+G377/'VVP2'!G$341</f>
        <v>0.27034862380594843</v>
      </c>
      <c r="H389" s="840">
        <f>+H377/'VVP2'!H$341</f>
        <v>0.25770345321000804</v>
      </c>
      <c r="I389" s="840">
        <f>+I377/'VVP2'!I$341</f>
        <v>0.27465597210589254</v>
      </c>
      <c r="J389" s="840">
        <f>+J377/'VVP2'!J$341</f>
        <v>0.26551072188825642</v>
      </c>
      <c r="K389" s="840">
        <f>+K377/'VVP2'!K$341</f>
        <v>0.24258972567825254</v>
      </c>
      <c r="L389" s="840">
        <f>+L377/'VVP2'!L$341</f>
        <v>0.23990550695756643</v>
      </c>
      <c r="M389" s="840">
        <f>+M377/'VVP2'!M$341</f>
        <v>0.21929941977608261</v>
      </c>
      <c r="N389" s="840">
        <f>+N377/'VVP2'!N$341</f>
        <v>0.22311222674131395</v>
      </c>
      <c r="O389" s="840">
        <f>+O377/'VVP2'!O$341</f>
        <v>0.21451866036975181</v>
      </c>
      <c r="P389" s="840">
        <f>+P377/'VVP2'!P$341</f>
        <v>0.2147302404028574</v>
      </c>
      <c r="Q389" s="840">
        <f>+Q377/'VVP2'!Q$341</f>
        <v>0.21287046449563976</v>
      </c>
      <c r="R389" s="840">
        <f>+R377/'VVP2'!R$341</f>
        <v>0.22505251424674758</v>
      </c>
      <c r="S389" s="840">
        <f>+S377/'VVP2'!S$341</f>
        <v>0.21491557010067955</v>
      </c>
      <c r="T389" s="2911">
        <f>+T377/'VVP2'!T$341</f>
        <v>0.20396326432242443</v>
      </c>
      <c r="U389" s="2911">
        <f>+U377/'VVP2'!U$341</f>
        <v>0.15533016370631028</v>
      </c>
      <c r="V389" s="2911">
        <f>+V377/'VVP2'!V$341</f>
        <v>0.15760181192436332</v>
      </c>
      <c r="W389" s="2911">
        <f>+W377/'VVP2'!W$341</f>
        <v>0.16089811391218384</v>
      </c>
      <c r="X389" s="2911">
        <f>+X377/'VVP2'!X$341</f>
        <v>0.16473644375995547</v>
      </c>
      <c r="Y389" s="2911">
        <f>+Y377/'VVP2'!Y$341</f>
        <v>0.16745247735603755</v>
      </c>
      <c r="Z389" s="2911">
        <f>+Z377/'VVP2'!Z$341</f>
        <v>0.17985341394235663</v>
      </c>
      <c r="AA389" s="2911">
        <f>+AA377/'VVP2'!AA$341</f>
        <v>0.19462061885914861</v>
      </c>
      <c r="AB389" s="2911">
        <f>+AB377/'VVP2'!AB$341</f>
        <v>0.20106924738390503</v>
      </c>
      <c r="AC389" s="2911">
        <f ca="1">+AC377/'VVP2'!AC$341</f>
        <v>0.20289807320087339</v>
      </c>
      <c r="AD389" s="2911">
        <f ca="1">+AD377/'VVP2'!AD$341</f>
        <v>0.19961913988262589</v>
      </c>
      <c r="AE389" s="2911">
        <f ca="1">+AE377/'VVP2'!AE$341</f>
        <v>0.19873197056652814</v>
      </c>
    </row>
    <row r="390" spans="1:31" ht="12.75" customHeight="1">
      <c r="A390" s="664"/>
      <c r="B390" s="664"/>
      <c r="C390" s="774" t="s">
        <v>1769</v>
      </c>
      <c r="D390" s="806" t="s">
        <v>688</v>
      </c>
      <c r="E390" s="807" t="s">
        <v>500</v>
      </c>
      <c r="F390" s="808" t="s">
        <v>2025</v>
      </c>
      <c r="G390" s="841">
        <f>+G378/'VVP2'!G$341</f>
        <v>1.0146113158169265</v>
      </c>
      <c r="H390" s="841">
        <f>+H378/'VVP2'!H$341</f>
        <v>1.006763329781813</v>
      </c>
      <c r="I390" s="841">
        <f>+I378/'VVP2'!I$341</f>
        <v>1.0037912581859618</v>
      </c>
      <c r="J390" s="841">
        <f>+J378/'VVP2'!J$341</f>
        <v>0.9985378545165241</v>
      </c>
      <c r="K390" s="841">
        <f>+K378/'VVP2'!K$341</f>
        <v>0.99299642544729116</v>
      </c>
      <c r="L390" s="841">
        <f>+L378/'VVP2'!L$341</f>
        <v>1.0033362806305719</v>
      </c>
      <c r="M390" s="841">
        <f>+M378/'VVP2'!M$341</f>
        <v>1.0072105291337781</v>
      </c>
      <c r="N390" s="841">
        <f>+N378/'VVP2'!N$341</f>
        <v>1.0047493219717976</v>
      </c>
      <c r="O390" s="841">
        <f>+O378/'VVP2'!O$341</f>
        <v>0.99008007928737374</v>
      </c>
      <c r="P390" s="841">
        <f>+P378/'VVP2'!P$341</f>
        <v>0.99639976926940399</v>
      </c>
      <c r="Q390" s="841">
        <f>+Q378/'VVP2'!Q$341</f>
        <v>1.0018983589931603</v>
      </c>
      <c r="R390" s="841">
        <f>+R378/'VVP2'!R$341</f>
        <v>1.0006117317948535</v>
      </c>
      <c r="S390" s="841">
        <f>+S378/'VVP2'!S$341</f>
        <v>0.98204448521486787</v>
      </c>
      <c r="T390" s="2912">
        <f>+T378/'VVP2'!T$341</f>
        <v>0.98413336318382394</v>
      </c>
      <c r="U390" s="2912">
        <f>+U378/'VVP2'!U$341</f>
        <v>1.0381420778011512</v>
      </c>
      <c r="V390" s="2912">
        <f>+V378/'VVP2'!V$341</f>
        <v>1.0156152886113217</v>
      </c>
      <c r="W390" s="2912">
        <f>+W378/'VVP2'!W$341</f>
        <v>0.98721356008507666</v>
      </c>
      <c r="X390" s="2912">
        <f>+X378/'VVP2'!X$341</f>
        <v>0.9819290114571938</v>
      </c>
      <c r="Y390" s="2912">
        <f>+Y378/'VVP2'!Y$341</f>
        <v>1.0017351432294086</v>
      </c>
      <c r="Z390" s="2912">
        <f>+Z378/'VVP2'!Z$341</f>
        <v>1.0190153871059839</v>
      </c>
      <c r="AA390" s="2912">
        <f>+AA378/'VVP2'!AA$341</f>
        <v>0.98455831292227614</v>
      </c>
      <c r="AB390" s="2912">
        <f>+AB378/'VVP2'!AB$341</f>
        <v>0.98097538243192361</v>
      </c>
      <c r="AC390" s="2912">
        <f ca="1">+AC378/'VVP2'!AC$341</f>
        <v>0.98509711532623301</v>
      </c>
      <c r="AD390" s="2912">
        <f ca="1">+AD378/'VVP2'!AD$341</f>
        <v>0.98431558214053294</v>
      </c>
      <c r="AE390" s="2912">
        <f ca="1">+AE378/'VVP2'!AE$341</f>
        <v>0.98522694673433153</v>
      </c>
    </row>
    <row r="391" spans="1:31" ht="30" customHeight="1">
      <c r="A391" s="664"/>
      <c r="B391" s="664"/>
      <c r="C391" s="774"/>
      <c r="AB391" s="2221"/>
      <c r="AC391" s="2221"/>
      <c r="AD391" s="2221"/>
      <c r="AE391" s="2221"/>
    </row>
    <row r="392" spans="1:31" ht="30" customHeight="1">
      <c r="AB392" s="2221"/>
      <c r="AC392" s="2221"/>
      <c r="AD392" s="2221"/>
      <c r="AE392" s="2221"/>
    </row>
    <row r="393" spans="1:31" ht="22.5" customHeight="1">
      <c r="A393" s="574"/>
      <c r="B393" s="574"/>
      <c r="C393" s="3751" t="s">
        <v>1295</v>
      </c>
      <c r="D393" s="3751"/>
      <c r="E393" s="3751"/>
      <c r="F393" s="3751"/>
      <c r="AB393" s="2221"/>
      <c r="AC393" s="2221"/>
      <c r="AD393" s="2221"/>
      <c r="AE393" s="2221"/>
    </row>
    <row r="394" spans="1:31" ht="12.75" customHeight="1">
      <c r="A394" s="664"/>
      <c r="B394" s="664"/>
      <c r="C394" s="774"/>
      <c r="AB394" s="2221"/>
      <c r="AC394" s="2221"/>
      <c r="AD394" s="2221"/>
      <c r="AE394" s="2221"/>
    </row>
    <row r="395" spans="1:31" ht="12.75" customHeight="1">
      <c r="A395" s="664"/>
      <c r="B395" s="664"/>
      <c r="C395" s="774"/>
      <c r="D395" s="775"/>
      <c r="E395" s="776" t="s">
        <v>1384</v>
      </c>
      <c r="F395" s="777"/>
      <c r="G395" s="778">
        <f>+InputY!$G$3</f>
        <v>1995</v>
      </c>
      <c r="H395" s="778">
        <f>+G395+1</f>
        <v>1996</v>
      </c>
      <c r="I395" s="778">
        <f t="shared" ref="I395:O395" si="354">+H395+1</f>
        <v>1997</v>
      </c>
      <c r="J395" s="778">
        <f t="shared" si="354"/>
        <v>1998</v>
      </c>
      <c r="K395" s="778">
        <f>+J395+1</f>
        <v>1999</v>
      </c>
      <c r="L395" s="778">
        <f t="shared" si="354"/>
        <v>2000</v>
      </c>
      <c r="M395" s="778">
        <f t="shared" si="354"/>
        <v>2001</v>
      </c>
      <c r="N395" s="778">
        <f t="shared" si="354"/>
        <v>2002</v>
      </c>
      <c r="O395" s="778">
        <f t="shared" si="354"/>
        <v>2003</v>
      </c>
      <c r="P395" s="778">
        <f t="shared" ref="P395:W395" si="355">+O395+1</f>
        <v>2004</v>
      </c>
      <c r="Q395" s="778">
        <f t="shared" si="355"/>
        <v>2005</v>
      </c>
      <c r="R395" s="778">
        <f t="shared" si="355"/>
        <v>2006</v>
      </c>
      <c r="S395" s="778">
        <f t="shared" si="355"/>
        <v>2007</v>
      </c>
      <c r="T395" s="2222">
        <f t="shared" si="355"/>
        <v>2008</v>
      </c>
      <c r="U395" s="2222">
        <f t="shared" si="355"/>
        <v>2009</v>
      </c>
      <c r="V395" s="2222">
        <f t="shared" si="355"/>
        <v>2010</v>
      </c>
      <c r="W395" s="2222">
        <f t="shared" si="355"/>
        <v>2011</v>
      </c>
      <c r="X395" s="2222">
        <f t="shared" ref="X395:AE395" si="356">+W395+1</f>
        <v>2012</v>
      </c>
      <c r="Y395" s="2222">
        <f t="shared" si="356"/>
        <v>2013</v>
      </c>
      <c r="Z395" s="2222">
        <f t="shared" si="356"/>
        <v>2014</v>
      </c>
      <c r="AA395" s="2222">
        <f t="shared" si="356"/>
        <v>2015</v>
      </c>
      <c r="AB395" s="2222">
        <f t="shared" si="356"/>
        <v>2016</v>
      </c>
      <c r="AC395" s="2222">
        <f t="shared" si="356"/>
        <v>2017</v>
      </c>
      <c r="AD395" s="2222">
        <f t="shared" si="356"/>
        <v>2018</v>
      </c>
      <c r="AE395" s="2222">
        <f t="shared" si="356"/>
        <v>2019</v>
      </c>
    </row>
    <row r="396" spans="1:31" customFormat="1" ht="12.75" customHeight="1">
      <c r="A396" s="3373">
        <f>+ROW(InputY!A200)</f>
        <v>200</v>
      </c>
      <c r="B396" s="3373">
        <v>94</v>
      </c>
      <c r="C396" s="3374" t="s">
        <v>1767</v>
      </c>
      <c r="D396" s="3375" t="s">
        <v>685</v>
      </c>
      <c r="E396" s="3376" t="s">
        <v>486</v>
      </c>
      <c r="F396" s="3377" t="str">
        <f>InputY!B200</f>
        <v>HChEqPenR</v>
      </c>
      <c r="G396" s="3378">
        <f>InputY!G200/1000</f>
        <v>0</v>
      </c>
      <c r="H396" s="3378">
        <f>InputY!H200/1000</f>
        <v>0</v>
      </c>
      <c r="I396" s="3378">
        <f>InputY!I200/1000</f>
        <v>0</v>
      </c>
      <c r="J396" s="3378">
        <f>InputY!J200/1000</f>
        <v>0</v>
      </c>
      <c r="K396" s="3378">
        <f>InputY!K200/1000</f>
        <v>0</v>
      </c>
      <c r="L396" s="3378">
        <f>InputY!L200/1000</f>
        <v>0</v>
      </c>
      <c r="M396" s="3378">
        <f>InputY!M200/1000</f>
        <v>0</v>
      </c>
      <c r="N396" s="3378">
        <f>InputY!N200/1000</f>
        <v>0</v>
      </c>
      <c r="O396" s="3378">
        <f>InputY!O200/1000</f>
        <v>0</v>
      </c>
      <c r="P396" s="3378">
        <f>InputY!P200/1000</f>
        <v>5.0140000000000004E-2</v>
      </c>
      <c r="Q396" s="3378">
        <f>InputY!Q200/1000</f>
        <v>8.9270000000000002E-2</v>
      </c>
      <c r="R396" s="3378">
        <f>InputY!R200/1000</f>
        <v>0.15365999999999999</v>
      </c>
      <c r="S396" s="3378">
        <f>InputY!S200/1000</f>
        <v>0.24606999999999998</v>
      </c>
      <c r="T396" s="3378">
        <f>InputY!T200/1000</f>
        <v>0.30675999999999998</v>
      </c>
      <c r="U396" s="3378">
        <f>InputY!U200/1000</f>
        <v>0.12214</v>
      </c>
      <c r="V396" s="3694">
        <f>InputY!V200/1000</f>
        <v>9.5510000000000012E-2</v>
      </c>
      <c r="W396" s="3694">
        <f>InputY!W200/1000</f>
        <v>9.2939999999999995E-2</v>
      </c>
      <c r="X396" s="3694">
        <f>InputY!X200/1000</f>
        <v>7.4510000000000007E-2</v>
      </c>
      <c r="Y396" s="3694">
        <f>InputY!Y200/1000</f>
        <v>0.14002999999999999</v>
      </c>
      <c r="Z396" s="3690">
        <f>InputY!Z200/1000</f>
        <v>0.1198</v>
      </c>
      <c r="AA396" s="3690">
        <f>InputY!AA200/1000</f>
        <v>0.12872</v>
      </c>
      <c r="AB396" s="3690">
        <f>InputY!AB200/1000</f>
        <v>0.13106000000000001</v>
      </c>
      <c r="AC396" s="3695">
        <f>+AC397+AC398</f>
        <v>0.13106000000000001</v>
      </c>
      <c r="AD396" s="3695">
        <f>+AD397+AD398</f>
        <v>0.13106000000000001</v>
      </c>
      <c r="AE396" s="3695">
        <f>+AE397+AE398</f>
        <v>0.13106000000000001</v>
      </c>
    </row>
    <row r="397" spans="1:31" ht="12.75" customHeight="1">
      <c r="A397" s="664">
        <f>+ROW(InputY!A127)</f>
        <v>127</v>
      </c>
      <c r="B397" s="664">
        <v>108</v>
      </c>
      <c r="C397" s="782" t="s">
        <v>401</v>
      </c>
      <c r="D397" s="674" t="s">
        <v>686</v>
      </c>
      <c r="E397" s="783" t="s">
        <v>487</v>
      </c>
      <c r="F397" s="704" t="str">
        <f>InputY!B127</f>
        <v>EChEqPenR</v>
      </c>
      <c r="G397" s="706">
        <f>InputY!G127/1000</f>
        <v>0</v>
      </c>
      <c r="H397" s="706">
        <f>InputY!H127/1000</f>
        <v>0</v>
      </c>
      <c r="I397" s="706">
        <f>InputY!I127/1000</f>
        <v>0</v>
      </c>
      <c r="J397" s="706">
        <f>InputY!J127/1000</f>
        <v>0</v>
      </c>
      <c r="K397" s="706">
        <f>InputY!K127/1000</f>
        <v>0</v>
      </c>
      <c r="L397" s="706">
        <f>InputY!L127/1000</f>
        <v>0</v>
      </c>
      <c r="M397" s="706">
        <f>InputY!M127/1000</f>
        <v>0</v>
      </c>
      <c r="N397" s="706">
        <f>InputY!N127/1000</f>
        <v>0</v>
      </c>
      <c r="O397" s="706">
        <f>InputY!O127/1000</f>
        <v>0</v>
      </c>
      <c r="P397" s="706">
        <f>InputY!P127/1000</f>
        <v>5.0140000000000004E-2</v>
      </c>
      <c r="Q397" s="706">
        <f>InputY!Q127/1000</f>
        <v>8.9270000000000002E-2</v>
      </c>
      <c r="R397" s="706">
        <f>InputY!R127/1000</f>
        <v>0.15365999999999999</v>
      </c>
      <c r="S397" s="706">
        <f>InputY!S127/1000</f>
        <v>0.24606999999999998</v>
      </c>
      <c r="T397" s="706">
        <f>InputY!T127/1000</f>
        <v>0.30675999999999998</v>
      </c>
      <c r="U397" s="706">
        <f>InputY!U127/1000</f>
        <v>0.12214</v>
      </c>
      <c r="V397" s="706">
        <f>InputY!V127/1000</f>
        <v>9.5510000000000012E-2</v>
      </c>
      <c r="W397" s="706">
        <f>InputY!W127/1000</f>
        <v>9.2939999999999995E-2</v>
      </c>
      <c r="X397" s="706">
        <f>InputY!X127/1000</f>
        <v>7.4510000000000007E-2</v>
      </c>
      <c r="Y397" s="706">
        <f>InputY!Y127/1000</f>
        <v>0.14002999999999999</v>
      </c>
      <c r="Z397" s="706">
        <f>InputY!Z127/1000</f>
        <v>0.1198</v>
      </c>
      <c r="AA397" s="706">
        <f>InputY!AA127/1000</f>
        <v>0.12872</v>
      </c>
      <c r="AB397" s="706">
        <f>InputY!AB127/1000</f>
        <v>0.13106000000000001</v>
      </c>
      <c r="AC397" s="2217">
        <f t="shared" ref="AC397:AE398" si="357">+AB397*(1+AC403/100)</f>
        <v>0.13106000000000001</v>
      </c>
      <c r="AD397" s="2217">
        <f t="shared" si="357"/>
        <v>0.13106000000000001</v>
      </c>
      <c r="AE397" s="2217">
        <f t="shared" si="357"/>
        <v>0.13106000000000001</v>
      </c>
    </row>
    <row r="398" spans="1:31" ht="12.75" customHeight="1">
      <c r="A398" s="664">
        <f>+ROW(InputY!A165)</f>
        <v>165</v>
      </c>
      <c r="B398" s="664" t="s">
        <v>1695</v>
      </c>
      <c r="C398" s="782" t="s">
        <v>401</v>
      </c>
      <c r="D398" s="674" t="s">
        <v>687</v>
      </c>
      <c r="E398" s="783" t="s">
        <v>487</v>
      </c>
      <c r="F398" s="704" t="str">
        <f>InputY!B165</f>
        <v>AChEqPenR</v>
      </c>
      <c r="G398" s="706">
        <f>InputY!G165/1000</f>
        <v>0</v>
      </c>
      <c r="H398" s="706">
        <f>InputY!H165/1000</f>
        <v>0</v>
      </c>
      <c r="I398" s="706">
        <f>InputY!I165/1000</f>
        <v>0</v>
      </c>
      <c r="J398" s="706">
        <f>InputY!J165/1000</f>
        <v>0</v>
      </c>
      <c r="K398" s="706">
        <f>InputY!K165/1000</f>
        <v>0</v>
      </c>
      <c r="L398" s="706">
        <f>InputY!L165/1000</f>
        <v>0</v>
      </c>
      <c r="M398" s="706">
        <f>InputY!M165/1000</f>
        <v>0</v>
      </c>
      <c r="N398" s="706">
        <f>InputY!N165/1000</f>
        <v>0</v>
      </c>
      <c r="O398" s="706">
        <f>InputY!O165/1000</f>
        <v>0</v>
      </c>
      <c r="P398" s="706">
        <f>InputY!P165/1000</f>
        <v>0</v>
      </c>
      <c r="Q398" s="706">
        <f>InputY!Q165/1000</f>
        <v>0</v>
      </c>
      <c r="R398" s="706">
        <f>InputY!R165/1000</f>
        <v>0</v>
      </c>
      <c r="S398" s="706">
        <f>InputY!S165/1000</f>
        <v>0</v>
      </c>
      <c r="T398" s="706">
        <f>InputY!T165/1000</f>
        <v>0</v>
      </c>
      <c r="U398" s="706">
        <f>InputY!U165/1000</f>
        <v>0</v>
      </c>
      <c r="V398" s="706">
        <f>InputY!V165/1000</f>
        <v>0</v>
      </c>
      <c r="W398" s="706">
        <f>InputY!W165/1000</f>
        <v>0</v>
      </c>
      <c r="X398" s="706">
        <f>InputY!X165/1000</f>
        <v>0</v>
      </c>
      <c r="Y398" s="706">
        <f>InputY!Y165/1000</f>
        <v>0</v>
      </c>
      <c r="Z398" s="706">
        <f>InputY!Z165/1000</f>
        <v>0</v>
      </c>
      <c r="AA398" s="705">
        <f>InputY!AA165/1000</f>
        <v>0</v>
      </c>
      <c r="AB398" s="705">
        <f>InputY!AB165/1000</f>
        <v>0</v>
      </c>
      <c r="AC398" s="2217">
        <f t="shared" si="357"/>
        <v>0</v>
      </c>
      <c r="AD398" s="2217">
        <f t="shared" si="357"/>
        <v>0</v>
      </c>
      <c r="AE398" s="2217">
        <f t="shared" si="357"/>
        <v>0</v>
      </c>
    </row>
    <row r="399" spans="1:31" ht="12.75" customHeight="1">
      <c r="A399" s="664"/>
      <c r="B399" s="664" t="s">
        <v>2102</v>
      </c>
      <c r="C399" s="784" t="s">
        <v>1769</v>
      </c>
      <c r="D399" s="752" t="s">
        <v>688</v>
      </c>
      <c r="E399" s="753" t="str">
        <f>+E398</f>
        <v>Adj. for change in net eq. of pens. fund res. (D.8p)</v>
      </c>
      <c r="F399" s="754" t="s">
        <v>1366</v>
      </c>
      <c r="G399" s="785">
        <f>+G396-G397-G398</f>
        <v>0</v>
      </c>
      <c r="H399" s="785">
        <f>+H396-H397-H398</f>
        <v>0</v>
      </c>
      <c r="I399" s="785">
        <f t="shared" ref="I399:Z399" si="358">+I396-I397-I398</f>
        <v>0</v>
      </c>
      <c r="J399" s="785">
        <f t="shared" si="358"/>
        <v>0</v>
      </c>
      <c r="K399" s="785">
        <f t="shared" si="358"/>
        <v>0</v>
      </c>
      <c r="L399" s="785">
        <f t="shared" si="358"/>
        <v>0</v>
      </c>
      <c r="M399" s="785">
        <f t="shared" si="358"/>
        <v>0</v>
      </c>
      <c r="N399" s="785">
        <f t="shared" si="358"/>
        <v>0</v>
      </c>
      <c r="O399" s="785">
        <f t="shared" si="358"/>
        <v>0</v>
      </c>
      <c r="P399" s="785">
        <f t="shared" si="358"/>
        <v>0</v>
      </c>
      <c r="Q399" s="785">
        <f t="shared" si="358"/>
        <v>0</v>
      </c>
      <c r="R399" s="785">
        <f t="shared" si="358"/>
        <v>0</v>
      </c>
      <c r="S399" s="785">
        <f t="shared" si="358"/>
        <v>0</v>
      </c>
      <c r="T399" s="785">
        <f t="shared" si="358"/>
        <v>0</v>
      </c>
      <c r="U399" s="2273">
        <f t="shared" si="358"/>
        <v>0</v>
      </c>
      <c r="V399" s="2273">
        <f t="shared" si="358"/>
        <v>0</v>
      </c>
      <c r="W399" s="2273">
        <f t="shared" si="358"/>
        <v>0</v>
      </c>
      <c r="X399" s="2273">
        <f t="shared" si="358"/>
        <v>0</v>
      </c>
      <c r="Y399" s="2273">
        <f t="shared" si="358"/>
        <v>0</v>
      </c>
      <c r="Z399" s="2273">
        <f t="shared" si="358"/>
        <v>0</v>
      </c>
      <c r="AA399" s="2273">
        <f>+AA396-AA397-AA398</f>
        <v>0</v>
      </c>
      <c r="AB399" s="2273">
        <f>+AB396-AB397-AB398</f>
        <v>0</v>
      </c>
      <c r="AC399" s="2273">
        <f>+AC396-AC397-AC398</f>
        <v>0</v>
      </c>
      <c r="AD399" s="2273">
        <f>+AD396-AD397-AD398</f>
        <v>0</v>
      </c>
      <c r="AE399" s="2273">
        <f>+AE396-AE397-AE398</f>
        <v>0</v>
      </c>
    </row>
    <row r="400" spans="1:31">
      <c r="A400" s="664"/>
      <c r="B400" s="664"/>
      <c r="G400" s="849"/>
      <c r="Q400" s="845"/>
      <c r="R400" s="845"/>
      <c r="S400" s="845"/>
      <c r="AB400" s="2221"/>
      <c r="AC400" s="2221"/>
      <c r="AD400" s="2221"/>
      <c r="AE400" s="2221"/>
    </row>
    <row r="401" spans="1:31" ht="12.75" customHeight="1">
      <c r="A401" s="664"/>
      <c r="B401" s="664"/>
      <c r="C401" s="774"/>
      <c r="D401" s="742"/>
      <c r="E401" s="743" t="s">
        <v>1311</v>
      </c>
      <c r="F401" s="744"/>
      <c r="G401" s="745">
        <f>+InputY!$G$3</f>
        <v>1995</v>
      </c>
      <c r="H401" s="745">
        <f>+G401+1</f>
        <v>1996</v>
      </c>
      <c r="I401" s="745">
        <f t="shared" ref="I401:O401" si="359">+H401+1</f>
        <v>1997</v>
      </c>
      <c r="J401" s="745">
        <f t="shared" si="359"/>
        <v>1998</v>
      </c>
      <c r="K401" s="745">
        <f>+J401+1</f>
        <v>1999</v>
      </c>
      <c r="L401" s="745">
        <f t="shared" si="359"/>
        <v>2000</v>
      </c>
      <c r="M401" s="745">
        <f t="shared" si="359"/>
        <v>2001</v>
      </c>
      <c r="N401" s="745">
        <f t="shared" si="359"/>
        <v>2002</v>
      </c>
      <c r="O401" s="745">
        <f t="shared" si="359"/>
        <v>2003</v>
      </c>
      <c r="P401" s="745">
        <f t="shared" ref="P401:W401" si="360">+O401+1</f>
        <v>2004</v>
      </c>
      <c r="Q401" s="745">
        <f t="shared" si="360"/>
        <v>2005</v>
      </c>
      <c r="R401" s="745">
        <f t="shared" si="360"/>
        <v>2006</v>
      </c>
      <c r="S401" s="745">
        <f t="shared" si="360"/>
        <v>2007</v>
      </c>
      <c r="T401" s="2211">
        <f t="shared" si="360"/>
        <v>2008</v>
      </c>
      <c r="U401" s="2211">
        <f t="shared" si="360"/>
        <v>2009</v>
      </c>
      <c r="V401" s="2211">
        <f t="shared" si="360"/>
        <v>2010</v>
      </c>
      <c r="W401" s="2211">
        <f t="shared" si="360"/>
        <v>2011</v>
      </c>
      <c r="X401" s="2211">
        <f t="shared" ref="X401:AE401" si="361">+W401+1</f>
        <v>2012</v>
      </c>
      <c r="Y401" s="2211">
        <f t="shared" si="361"/>
        <v>2013</v>
      </c>
      <c r="Z401" s="2211">
        <f t="shared" si="361"/>
        <v>2014</v>
      </c>
      <c r="AA401" s="2211">
        <f t="shared" si="361"/>
        <v>2015</v>
      </c>
      <c r="AB401" s="2211">
        <f t="shared" si="361"/>
        <v>2016</v>
      </c>
      <c r="AC401" s="2211">
        <f t="shared" si="361"/>
        <v>2017</v>
      </c>
      <c r="AD401" s="2211">
        <f t="shared" si="361"/>
        <v>2018</v>
      </c>
      <c r="AE401" s="2211">
        <f t="shared" si="361"/>
        <v>2019</v>
      </c>
    </row>
    <row r="402" spans="1:31" ht="12.75" customHeight="1">
      <c r="A402" s="664"/>
      <c r="B402" s="664"/>
      <c r="C402" s="794" t="s">
        <v>1767</v>
      </c>
      <c r="D402" s="689" t="s">
        <v>685</v>
      </c>
      <c r="E402" s="738" t="s">
        <v>486</v>
      </c>
      <c r="F402" s="733" t="s">
        <v>16</v>
      </c>
      <c r="G402" s="739"/>
      <c r="H402" s="739" t="e">
        <f t="shared" ref="H402:AE402" si="362">(H396/G396-1)*100</f>
        <v>#DIV/0!</v>
      </c>
      <c r="I402" s="739" t="e">
        <f t="shared" si="362"/>
        <v>#DIV/0!</v>
      </c>
      <c r="J402" s="739" t="e">
        <f t="shared" si="362"/>
        <v>#DIV/0!</v>
      </c>
      <c r="K402" s="739" t="e">
        <f>(K396/J396-1)*100</f>
        <v>#DIV/0!</v>
      </c>
      <c r="L402" s="739" t="e">
        <f t="shared" si="362"/>
        <v>#DIV/0!</v>
      </c>
      <c r="M402" s="739" t="e">
        <f t="shared" si="362"/>
        <v>#DIV/0!</v>
      </c>
      <c r="N402" s="739" t="e">
        <f t="shared" si="362"/>
        <v>#DIV/0!</v>
      </c>
      <c r="O402" s="739" t="e">
        <f t="shared" si="362"/>
        <v>#DIV/0!</v>
      </c>
      <c r="P402" s="739" t="e">
        <f t="shared" si="362"/>
        <v>#DIV/0!</v>
      </c>
      <c r="Q402" s="739">
        <f t="shared" si="362"/>
        <v>78.04148384523333</v>
      </c>
      <c r="R402" s="739">
        <f t="shared" si="362"/>
        <v>72.129494791083218</v>
      </c>
      <c r="S402" s="739">
        <f t="shared" si="362"/>
        <v>60.13926851490303</v>
      </c>
      <c r="T402" s="739">
        <f>(T396/S396-1)*100</f>
        <v>24.663713577437306</v>
      </c>
      <c r="U402" s="739">
        <f>(U396/T396-1)*100</f>
        <v>-60.183857086973525</v>
      </c>
      <c r="V402" s="739">
        <f>(V396/U396-1)*100</f>
        <v>-21.802849189454708</v>
      </c>
      <c r="W402" s="739">
        <f>(W396/V396-1)*100</f>
        <v>-2.6908177154224888</v>
      </c>
      <c r="X402" s="739">
        <f>(X396/W396-1)*100</f>
        <v>-19.829997848074012</v>
      </c>
      <c r="Y402" s="2268">
        <f t="shared" si="362"/>
        <v>87.93450543551198</v>
      </c>
      <c r="Z402" s="2268">
        <f t="shared" si="362"/>
        <v>-14.446904234806812</v>
      </c>
      <c r="AA402" s="2268">
        <f t="shared" si="362"/>
        <v>7.4457429048413903</v>
      </c>
      <c r="AB402" s="2268">
        <f t="shared" si="362"/>
        <v>1.8178993163455726</v>
      </c>
      <c r="AC402" s="2268">
        <f t="shared" si="362"/>
        <v>0</v>
      </c>
      <c r="AD402" s="2268">
        <f t="shared" si="362"/>
        <v>0</v>
      </c>
      <c r="AE402" s="2268">
        <f t="shared" si="362"/>
        <v>0</v>
      </c>
    </row>
    <row r="403" spans="1:31" ht="12.75" customHeight="1">
      <c r="A403" s="664"/>
      <c r="B403" s="664"/>
      <c r="C403" s="795" t="s">
        <v>401</v>
      </c>
      <c r="D403" s="674" t="s">
        <v>686</v>
      </c>
      <c r="E403" s="783" t="s">
        <v>487</v>
      </c>
      <c r="F403" s="704" t="s">
        <v>1552</v>
      </c>
      <c r="G403" s="706"/>
      <c r="H403" s="706" t="e">
        <f t="shared" ref="H403:AB403" si="363">(H397/G397-1)*100</f>
        <v>#DIV/0!</v>
      </c>
      <c r="I403" s="706" t="e">
        <f t="shared" si="363"/>
        <v>#DIV/0!</v>
      </c>
      <c r="J403" s="706" t="e">
        <f t="shared" si="363"/>
        <v>#DIV/0!</v>
      </c>
      <c r="K403" s="706" t="e">
        <f>(K397/J397-1)*100</f>
        <v>#DIV/0!</v>
      </c>
      <c r="L403" s="706" t="e">
        <f t="shared" si="363"/>
        <v>#DIV/0!</v>
      </c>
      <c r="M403" s="706" t="e">
        <f t="shared" si="363"/>
        <v>#DIV/0!</v>
      </c>
      <c r="N403" s="706" t="e">
        <f t="shared" si="363"/>
        <v>#DIV/0!</v>
      </c>
      <c r="O403" s="706" t="e">
        <f t="shared" si="363"/>
        <v>#DIV/0!</v>
      </c>
      <c r="P403" s="706" t="e">
        <f t="shared" si="363"/>
        <v>#DIV/0!</v>
      </c>
      <c r="Q403" s="706">
        <f t="shared" si="363"/>
        <v>78.04148384523333</v>
      </c>
      <c r="R403" s="706">
        <f t="shared" si="363"/>
        <v>72.129494791083218</v>
      </c>
      <c r="S403" s="706">
        <f t="shared" si="363"/>
        <v>60.13926851490303</v>
      </c>
      <c r="T403" s="706">
        <f t="shared" si="363"/>
        <v>24.663713577437306</v>
      </c>
      <c r="U403" s="706">
        <f t="shared" si="363"/>
        <v>-60.183857086973525</v>
      </c>
      <c r="V403" s="706">
        <f t="shared" si="363"/>
        <v>-21.802849189454708</v>
      </c>
      <c r="W403" s="706">
        <f t="shared" si="363"/>
        <v>-2.6908177154224888</v>
      </c>
      <c r="X403" s="706">
        <f t="shared" si="363"/>
        <v>-19.829997848074012</v>
      </c>
      <c r="Y403" s="706">
        <f t="shared" si="363"/>
        <v>87.93450543551198</v>
      </c>
      <c r="Z403" s="706">
        <f t="shared" si="363"/>
        <v>-14.446904234806812</v>
      </c>
      <c r="AA403" s="706">
        <f t="shared" si="363"/>
        <v>7.4457429048413903</v>
      </c>
      <c r="AB403" s="706">
        <f t="shared" si="363"/>
        <v>1.8178993163455726</v>
      </c>
      <c r="AC403" s="2215">
        <v>0</v>
      </c>
      <c r="AD403" s="2215">
        <v>0</v>
      </c>
      <c r="AE403" s="2215">
        <v>0</v>
      </c>
    </row>
    <row r="404" spans="1:31" ht="12.75" customHeight="1">
      <c r="A404" s="664"/>
      <c r="B404" s="664"/>
      <c r="C404" s="796" t="s">
        <v>401</v>
      </c>
      <c r="D404" s="691" t="s">
        <v>687</v>
      </c>
      <c r="E404" s="797" t="s">
        <v>487</v>
      </c>
      <c r="F404" s="736" t="s">
        <v>386</v>
      </c>
      <c r="G404" s="741"/>
      <c r="H404" s="741" t="e">
        <f>(H398/G398-1)*100</f>
        <v>#DIV/0!</v>
      </c>
      <c r="I404" s="741" t="e">
        <f t="shared" ref="I404:S405" si="364">(I398/H398-1)*100</f>
        <v>#DIV/0!</v>
      </c>
      <c r="J404" s="741" t="e">
        <f t="shared" si="364"/>
        <v>#DIV/0!</v>
      </c>
      <c r="K404" s="741" t="e">
        <f>(K398/J398-1)*100</f>
        <v>#DIV/0!</v>
      </c>
      <c r="L404" s="741" t="e">
        <f t="shared" si="364"/>
        <v>#DIV/0!</v>
      </c>
      <c r="M404" s="741" t="e">
        <f t="shared" si="364"/>
        <v>#DIV/0!</v>
      </c>
      <c r="N404" s="741" t="e">
        <f t="shared" si="364"/>
        <v>#DIV/0!</v>
      </c>
      <c r="O404" s="741" t="e">
        <f t="shared" si="364"/>
        <v>#DIV/0!</v>
      </c>
      <c r="P404" s="741" t="e">
        <f t="shared" si="364"/>
        <v>#DIV/0!</v>
      </c>
      <c r="Q404" s="741" t="e">
        <f t="shared" si="364"/>
        <v>#DIV/0!</v>
      </c>
      <c r="R404" s="741" t="e">
        <f t="shared" si="364"/>
        <v>#DIV/0!</v>
      </c>
      <c r="S404" s="3076">
        <v>0</v>
      </c>
      <c r="T404" s="3076">
        <v>0</v>
      </c>
      <c r="U404" s="3076">
        <v>0</v>
      </c>
      <c r="V404" s="3076">
        <v>0</v>
      </c>
      <c r="W404" s="3076">
        <v>0</v>
      </c>
      <c r="X404" s="3076">
        <v>0</v>
      </c>
      <c r="Y404" s="3076">
        <v>0</v>
      </c>
      <c r="Z404" s="3076">
        <v>0</v>
      </c>
      <c r="AA404" s="3076">
        <v>0</v>
      </c>
      <c r="AB404" s="3076">
        <v>0</v>
      </c>
      <c r="AC404" s="2214">
        <v>0</v>
      </c>
      <c r="AD404" s="2214">
        <v>0</v>
      </c>
      <c r="AE404" s="2214">
        <v>0</v>
      </c>
    </row>
    <row r="405" spans="1:31" ht="12.75" customHeight="1">
      <c r="A405" s="664"/>
      <c r="B405" s="664"/>
      <c r="C405" s="774"/>
      <c r="D405" s="717" t="s">
        <v>688</v>
      </c>
      <c r="E405" s="722" t="s">
        <v>487</v>
      </c>
      <c r="F405" s="723" t="s">
        <v>1366</v>
      </c>
      <c r="G405" s="721"/>
      <c r="H405" s="721" t="e">
        <f>(H399/G399-1)*100</f>
        <v>#DIV/0!</v>
      </c>
      <c r="I405" s="721" t="e">
        <f>(I399/H399-1)*100</f>
        <v>#DIV/0!</v>
      </c>
      <c r="J405" s="721" t="e">
        <f t="shared" si="364"/>
        <v>#DIV/0!</v>
      </c>
      <c r="K405" s="721" t="e">
        <f>(K399/J399-1)*100</f>
        <v>#DIV/0!</v>
      </c>
      <c r="L405" s="721" t="e">
        <f t="shared" si="364"/>
        <v>#DIV/0!</v>
      </c>
      <c r="M405" s="721" t="e">
        <f t="shared" si="364"/>
        <v>#DIV/0!</v>
      </c>
      <c r="N405" s="721" t="e">
        <f t="shared" si="364"/>
        <v>#DIV/0!</v>
      </c>
      <c r="O405" s="721" t="e">
        <f t="shared" si="364"/>
        <v>#DIV/0!</v>
      </c>
      <c r="P405" s="721" t="e">
        <f t="shared" si="364"/>
        <v>#DIV/0!</v>
      </c>
      <c r="Q405" s="721" t="e">
        <f t="shared" si="364"/>
        <v>#DIV/0!</v>
      </c>
      <c r="R405" s="721" t="e">
        <f t="shared" si="364"/>
        <v>#DIV/0!</v>
      </c>
      <c r="S405" s="721" t="e">
        <f t="shared" si="364"/>
        <v>#DIV/0!</v>
      </c>
      <c r="T405" s="2260" t="e">
        <f t="shared" ref="T405:AE405" si="365">(T399/S399-1)*100</f>
        <v>#DIV/0!</v>
      </c>
      <c r="U405" s="2260" t="e">
        <f t="shared" si="365"/>
        <v>#DIV/0!</v>
      </c>
      <c r="V405" s="2260" t="e">
        <f t="shared" si="365"/>
        <v>#DIV/0!</v>
      </c>
      <c r="W405" s="2260" t="e">
        <f t="shared" si="365"/>
        <v>#DIV/0!</v>
      </c>
      <c r="X405" s="2260" t="e">
        <f t="shared" si="365"/>
        <v>#DIV/0!</v>
      </c>
      <c r="Y405" s="2260" t="e">
        <f t="shared" si="365"/>
        <v>#DIV/0!</v>
      </c>
      <c r="Z405" s="2260" t="e">
        <f t="shared" si="365"/>
        <v>#DIV/0!</v>
      </c>
      <c r="AA405" s="2260" t="e">
        <f t="shared" si="365"/>
        <v>#DIV/0!</v>
      </c>
      <c r="AB405" s="2260" t="e">
        <f t="shared" si="365"/>
        <v>#DIV/0!</v>
      </c>
      <c r="AC405" s="2260" t="e">
        <f t="shared" si="365"/>
        <v>#DIV/0!</v>
      </c>
      <c r="AD405" s="2260" t="e">
        <f t="shared" si="365"/>
        <v>#DIV/0!</v>
      </c>
      <c r="AE405" s="2260" t="e">
        <f t="shared" si="365"/>
        <v>#DIV/0!</v>
      </c>
    </row>
    <row r="406" spans="1:31" ht="12.75" customHeight="1">
      <c r="A406" s="664"/>
      <c r="B406" s="664"/>
      <c r="C406" s="774"/>
      <c r="E406" s="786"/>
      <c r="F406" s="787"/>
      <c r="G406" s="703"/>
      <c r="H406" s="788"/>
      <c r="I406" s="703"/>
      <c r="J406" s="703"/>
      <c r="K406" s="703"/>
      <c r="L406" s="703"/>
      <c r="M406" s="703"/>
      <c r="N406" s="703"/>
      <c r="O406" s="703"/>
      <c r="P406" s="703"/>
      <c r="Q406" s="845"/>
      <c r="R406" s="845"/>
      <c r="S406" s="845"/>
      <c r="T406" s="2254"/>
      <c r="U406" s="2254"/>
      <c r="V406" s="2254"/>
      <c r="W406" s="2254"/>
      <c r="X406" s="2254"/>
      <c r="Y406" s="2254"/>
      <c r="Z406" s="2254"/>
      <c r="AA406" s="2254"/>
      <c r="AB406" s="2254"/>
      <c r="AC406" s="2254"/>
      <c r="AD406" s="2254"/>
      <c r="AE406" s="2254"/>
    </row>
    <row r="407" spans="1:31" ht="12.75" customHeight="1">
      <c r="A407" s="664"/>
      <c r="B407" s="664"/>
      <c r="C407" s="774"/>
      <c r="D407" s="818"/>
      <c r="E407" s="819" t="s">
        <v>512</v>
      </c>
      <c r="F407" s="820"/>
      <c r="G407" s="821">
        <f>+InputY!$G$3</f>
        <v>1995</v>
      </c>
      <c r="H407" s="821">
        <f>+G407+1</f>
        <v>1996</v>
      </c>
      <c r="I407" s="821">
        <f t="shared" ref="I407:O407" si="366">+H407+1</f>
        <v>1997</v>
      </c>
      <c r="J407" s="821">
        <f t="shared" si="366"/>
        <v>1998</v>
      </c>
      <c r="K407" s="821">
        <f>+J407+1</f>
        <v>1999</v>
      </c>
      <c r="L407" s="821">
        <f t="shared" si="366"/>
        <v>2000</v>
      </c>
      <c r="M407" s="821">
        <f t="shared" si="366"/>
        <v>2001</v>
      </c>
      <c r="N407" s="821">
        <f t="shared" si="366"/>
        <v>2002</v>
      </c>
      <c r="O407" s="821">
        <f t="shared" si="366"/>
        <v>2003</v>
      </c>
      <c r="P407" s="821">
        <f t="shared" ref="P407:W407" si="367">+O407+1</f>
        <v>2004</v>
      </c>
      <c r="Q407" s="821">
        <f t="shared" si="367"/>
        <v>2005</v>
      </c>
      <c r="R407" s="821">
        <f t="shared" si="367"/>
        <v>2006</v>
      </c>
      <c r="S407" s="821">
        <f t="shared" si="367"/>
        <v>2007</v>
      </c>
      <c r="T407" s="2255">
        <f t="shared" si="367"/>
        <v>2008</v>
      </c>
      <c r="U407" s="2255">
        <f t="shared" si="367"/>
        <v>2009</v>
      </c>
      <c r="V407" s="2255">
        <f t="shared" si="367"/>
        <v>2010</v>
      </c>
      <c r="W407" s="2255">
        <f t="shared" si="367"/>
        <v>2011</v>
      </c>
      <c r="X407" s="2255">
        <f t="shared" ref="X407:AE407" si="368">+W407+1</f>
        <v>2012</v>
      </c>
      <c r="Y407" s="2255">
        <f t="shared" si="368"/>
        <v>2013</v>
      </c>
      <c r="Z407" s="2255">
        <f t="shared" si="368"/>
        <v>2014</v>
      </c>
      <c r="AA407" s="2255">
        <f t="shared" si="368"/>
        <v>2015</v>
      </c>
      <c r="AB407" s="2255">
        <f t="shared" si="368"/>
        <v>2016</v>
      </c>
      <c r="AC407" s="2255">
        <f t="shared" si="368"/>
        <v>2017</v>
      </c>
      <c r="AD407" s="2255">
        <f t="shared" si="368"/>
        <v>2018</v>
      </c>
      <c r="AE407" s="2255">
        <f t="shared" si="368"/>
        <v>2019</v>
      </c>
    </row>
    <row r="408" spans="1:31" ht="12.75" customHeight="1">
      <c r="A408" s="664"/>
      <c r="B408" s="664"/>
      <c r="C408" s="822" t="s">
        <v>1767</v>
      </c>
      <c r="D408" s="823" t="s">
        <v>685</v>
      </c>
      <c r="E408" s="824" t="s">
        <v>486</v>
      </c>
      <c r="F408" s="825" t="s">
        <v>16</v>
      </c>
      <c r="G408" s="838">
        <f>+G396/'VVP2'!G$341</f>
        <v>0</v>
      </c>
      <c r="H408" s="838">
        <f>+H396/'VVP2'!H$341</f>
        <v>0</v>
      </c>
      <c r="I408" s="838">
        <f>+I396/'VVP2'!I$341</f>
        <v>0</v>
      </c>
      <c r="J408" s="838">
        <f>+J396/'VVP2'!J$341</f>
        <v>0</v>
      </c>
      <c r="K408" s="838">
        <f>+K396/'VVP2'!K$341</f>
        <v>0</v>
      </c>
      <c r="L408" s="838">
        <f>+L396/'VVP2'!L$341</f>
        <v>0</v>
      </c>
      <c r="M408" s="838">
        <f>+M396/'VVP2'!M$341</f>
        <v>0</v>
      </c>
      <c r="N408" s="838">
        <f>+N396/'VVP2'!N$341</f>
        <v>0</v>
      </c>
      <c r="O408" s="838">
        <f>+O396/'VVP2'!O$341</f>
        <v>0</v>
      </c>
      <c r="P408" s="838">
        <f>+P396/'VVP2'!P$341</f>
        <v>2.7492471646675134E-3</v>
      </c>
      <c r="Q408" s="838">
        <f>+Q396/'VVP2'!Q$341</f>
        <v>4.2504767323656642E-3</v>
      </c>
      <c r="R408" s="838">
        <f>+R396/'VVP2'!R$341</f>
        <v>6.3814465442760086E-3</v>
      </c>
      <c r="S408" s="838">
        <f>+S396/'VVP2'!S$341</f>
        <v>8.4732922736604471E-3</v>
      </c>
      <c r="T408" s="2261">
        <f>+T396/'VVP2'!T$341</f>
        <v>9.3821070776247319E-3</v>
      </c>
      <c r="U408" s="2261">
        <f>+U396/'VVP2'!U$341</f>
        <v>4.5346506863606292E-3</v>
      </c>
      <c r="V408" s="2261">
        <f>+V396/'VVP2'!V$341</f>
        <v>3.4077051027449315E-3</v>
      </c>
      <c r="W408" s="2261">
        <f>+W396/'VVP2'!W$341</f>
        <v>2.9716722322905087E-3</v>
      </c>
      <c r="X408" s="2261">
        <f>+X396/'VVP2'!X$341</f>
        <v>2.2342847410136836E-3</v>
      </c>
      <c r="Y408" s="2261">
        <f>+Y396/'VVP2'!Y$341</f>
        <v>4.0054748831867592E-3</v>
      </c>
      <c r="Z408" s="2261">
        <f>+Z396/'VVP2'!Z$341</f>
        <v>3.2760632985746117E-3</v>
      </c>
      <c r="AA408" s="2261">
        <f>+AA396/'VVP2'!AA$341</f>
        <v>3.439264202662223E-3</v>
      </c>
      <c r="AB408" s="2261">
        <f>+AB396/'VVP2'!AB$341</f>
        <v>3.389337835209805E-3</v>
      </c>
      <c r="AC408" s="2261">
        <f ca="1">+AC396/'VVP2'!AC$341</f>
        <v>3.136938027703247E-3</v>
      </c>
      <c r="AD408" s="2261">
        <f ca="1">+AD396/'VVP2'!AD$341</f>
        <v>2.9643831774652583E-3</v>
      </c>
      <c r="AE408" s="2261">
        <f ca="1">+AE396/'VVP2'!AE$341</f>
        <v>2.8078519653431909E-3</v>
      </c>
    </row>
    <row r="409" spans="1:31" ht="12.75" customHeight="1">
      <c r="A409" s="664"/>
      <c r="B409" s="664"/>
      <c r="C409" s="826" t="s">
        <v>401</v>
      </c>
      <c r="D409" s="674" t="s">
        <v>686</v>
      </c>
      <c r="E409" s="783" t="s">
        <v>487</v>
      </c>
      <c r="F409" s="704" t="s">
        <v>1552</v>
      </c>
      <c r="G409" s="839">
        <f>+G397/'VVP2'!G$341</f>
        <v>0</v>
      </c>
      <c r="H409" s="839">
        <f>+H397/'VVP2'!H$341</f>
        <v>0</v>
      </c>
      <c r="I409" s="839">
        <f>+I397/'VVP2'!I$341</f>
        <v>0</v>
      </c>
      <c r="J409" s="839">
        <f>+J397/'VVP2'!J$341</f>
        <v>0</v>
      </c>
      <c r="K409" s="839">
        <f>+K397/'VVP2'!K$341</f>
        <v>0</v>
      </c>
      <c r="L409" s="839">
        <f>+L397/'VVP2'!L$341</f>
        <v>0</v>
      </c>
      <c r="M409" s="839">
        <f>+M397/'VVP2'!M$341</f>
        <v>0</v>
      </c>
      <c r="N409" s="839">
        <f>+N397/'VVP2'!N$341</f>
        <v>0</v>
      </c>
      <c r="O409" s="839">
        <f>+O397/'VVP2'!O$341</f>
        <v>0</v>
      </c>
      <c r="P409" s="839">
        <f>+P397/'VVP2'!P$341</f>
        <v>2.7492471646675134E-3</v>
      </c>
      <c r="Q409" s="839">
        <f>+Q397/'VVP2'!Q$341</f>
        <v>4.2504767323656642E-3</v>
      </c>
      <c r="R409" s="839">
        <f>+R397/'VVP2'!R$341</f>
        <v>6.3814465442760086E-3</v>
      </c>
      <c r="S409" s="839">
        <f>+S397/'VVP2'!S$341</f>
        <v>8.4732922736604471E-3</v>
      </c>
      <c r="T409" s="2262">
        <f>+T397/'VVP2'!T$341</f>
        <v>9.3821070776247319E-3</v>
      </c>
      <c r="U409" s="2262">
        <f>+U397/'VVP2'!U$341</f>
        <v>4.5346506863606292E-3</v>
      </c>
      <c r="V409" s="2262">
        <f>+V397/'VVP2'!V$341</f>
        <v>3.4077051027449315E-3</v>
      </c>
      <c r="W409" s="2262">
        <f>+W397/'VVP2'!W$341</f>
        <v>2.9716722322905087E-3</v>
      </c>
      <c r="X409" s="2262">
        <f>+X397/'VVP2'!X$341</f>
        <v>2.2342847410136836E-3</v>
      </c>
      <c r="Y409" s="2262">
        <f>+Y397/'VVP2'!Y$341</f>
        <v>4.0054748831867592E-3</v>
      </c>
      <c r="Z409" s="2262">
        <f>+Z397/'VVP2'!Z$341</f>
        <v>3.2760632985746117E-3</v>
      </c>
      <c r="AA409" s="2262">
        <f>+AA397/'VVP2'!AA$341</f>
        <v>3.439264202662223E-3</v>
      </c>
      <c r="AB409" s="2262">
        <f>+AB397/'VVP2'!AB$341</f>
        <v>3.389337835209805E-3</v>
      </c>
      <c r="AC409" s="2262">
        <f ca="1">+AC397/'VVP2'!AC$341</f>
        <v>3.136938027703247E-3</v>
      </c>
      <c r="AD409" s="2262">
        <f ca="1">+AD397/'VVP2'!AD$341</f>
        <v>2.9643831774652583E-3</v>
      </c>
      <c r="AE409" s="2262">
        <f ca="1">+AE397/'VVP2'!AE$341</f>
        <v>2.8078519653431909E-3</v>
      </c>
    </row>
    <row r="410" spans="1:31" ht="12.75" customHeight="1">
      <c r="A410" s="664"/>
      <c r="B410" s="664"/>
      <c r="C410" s="827" t="s">
        <v>401</v>
      </c>
      <c r="D410" s="828" t="s">
        <v>687</v>
      </c>
      <c r="E410" s="829" t="s">
        <v>487</v>
      </c>
      <c r="F410" s="830" t="s">
        <v>386</v>
      </c>
      <c r="G410" s="840">
        <f>+G398/'VVP2'!G$341</f>
        <v>0</v>
      </c>
      <c r="H410" s="840">
        <f>+H398/'VVP2'!H$341</f>
        <v>0</v>
      </c>
      <c r="I410" s="840">
        <f>+I398/'VVP2'!I$341</f>
        <v>0</v>
      </c>
      <c r="J410" s="840">
        <f>+J398/'VVP2'!J$341</f>
        <v>0</v>
      </c>
      <c r="K410" s="840">
        <f>+K398/'VVP2'!K$341</f>
        <v>0</v>
      </c>
      <c r="L410" s="840">
        <f>+L398/'VVP2'!L$341</f>
        <v>0</v>
      </c>
      <c r="M410" s="840">
        <f>+M398/'VVP2'!M$341</f>
        <v>0</v>
      </c>
      <c r="N410" s="840">
        <f>+N398/'VVP2'!N$341</f>
        <v>0</v>
      </c>
      <c r="O410" s="840">
        <f>+O398/'VVP2'!O$341</f>
        <v>0</v>
      </c>
      <c r="P410" s="840">
        <f>+P398/'VVP2'!P$341</f>
        <v>0</v>
      </c>
      <c r="Q410" s="840">
        <f>+Q398/'VVP2'!Q$341</f>
        <v>0</v>
      </c>
      <c r="R410" s="840">
        <f>+R398/'VVP2'!R$341</f>
        <v>0</v>
      </c>
      <c r="S410" s="840">
        <f>+S398/'VVP2'!S$341</f>
        <v>0</v>
      </c>
      <c r="T410" s="2263">
        <f>+T398/'VVP2'!T$341</f>
        <v>0</v>
      </c>
      <c r="U410" s="2263">
        <f>+U398/'VVP2'!U$341</f>
        <v>0</v>
      </c>
      <c r="V410" s="2263">
        <f>+V398/'VVP2'!V$341</f>
        <v>0</v>
      </c>
      <c r="W410" s="2263">
        <f>+W398/'VVP2'!W$341</f>
        <v>0</v>
      </c>
      <c r="X410" s="2263">
        <f>+X398/'VVP2'!X$341</f>
        <v>0</v>
      </c>
      <c r="Y410" s="2263">
        <f>+Y398/'VVP2'!Y$341</f>
        <v>0</v>
      </c>
      <c r="Z410" s="2263">
        <f>+Z398/'VVP2'!Z$341</f>
        <v>0</v>
      </c>
      <c r="AA410" s="2263">
        <f>+AA398/'VVP2'!AA$341</f>
        <v>0</v>
      </c>
      <c r="AB410" s="2263">
        <f>+AB398/'VVP2'!AB$341</f>
        <v>0</v>
      </c>
      <c r="AC410" s="2263">
        <f ca="1">+AC398/'VVP2'!AC$341</f>
        <v>0</v>
      </c>
      <c r="AD410" s="2263">
        <f ca="1">+AD398/'VVP2'!AD$341</f>
        <v>0</v>
      </c>
      <c r="AE410" s="2263">
        <f ca="1">+AE398/'VVP2'!AE$341</f>
        <v>0</v>
      </c>
    </row>
    <row r="411" spans="1:31" ht="12.75" customHeight="1">
      <c r="A411" s="664"/>
      <c r="B411" s="664"/>
      <c r="C411" s="774" t="s">
        <v>1769</v>
      </c>
      <c r="D411" s="806" t="s">
        <v>688</v>
      </c>
      <c r="E411" s="807" t="s">
        <v>487</v>
      </c>
      <c r="F411" s="808" t="s">
        <v>1366</v>
      </c>
      <c r="G411" s="841">
        <f>+G399/'VVP2'!G$341</f>
        <v>0</v>
      </c>
      <c r="H411" s="841">
        <f>+H399/'VVP2'!H$341</f>
        <v>0</v>
      </c>
      <c r="I411" s="841">
        <f>+I399/'VVP2'!I$341</f>
        <v>0</v>
      </c>
      <c r="J411" s="841">
        <f>+J399/'VVP2'!J$341</f>
        <v>0</v>
      </c>
      <c r="K411" s="841">
        <f>+K399/'VVP2'!K$341</f>
        <v>0</v>
      </c>
      <c r="L411" s="841">
        <f>+L399/'VVP2'!L$341</f>
        <v>0</v>
      </c>
      <c r="M411" s="841">
        <f>+M399/'VVP2'!M$341</f>
        <v>0</v>
      </c>
      <c r="N411" s="841">
        <f>+N399/'VVP2'!N$341</f>
        <v>0</v>
      </c>
      <c r="O411" s="841">
        <f>+O399/'VVP2'!O$341</f>
        <v>0</v>
      </c>
      <c r="P411" s="841">
        <f>+P399/'VVP2'!P$341</f>
        <v>0</v>
      </c>
      <c r="Q411" s="841">
        <f>+Q399/'VVP2'!Q$341</f>
        <v>0</v>
      </c>
      <c r="R411" s="841">
        <f>+R399/'VVP2'!R$341</f>
        <v>0</v>
      </c>
      <c r="S411" s="841">
        <f>+S399/'VVP2'!S$341</f>
        <v>0</v>
      </c>
      <c r="T411" s="2264">
        <f>+T399/'VVP2'!T$341</f>
        <v>0</v>
      </c>
      <c r="U411" s="2264">
        <f>+U399/'VVP2'!U$341</f>
        <v>0</v>
      </c>
      <c r="V411" s="2264">
        <f>+V399/'VVP2'!V$341</f>
        <v>0</v>
      </c>
      <c r="W411" s="2264">
        <f>+W399/'VVP2'!W$341</f>
        <v>0</v>
      </c>
      <c r="X411" s="2264">
        <f>+X399/'VVP2'!X$341</f>
        <v>0</v>
      </c>
      <c r="Y411" s="2264">
        <f>+Y399/'VVP2'!Y$341</f>
        <v>0</v>
      </c>
      <c r="Z411" s="2264">
        <f>+Z399/'VVP2'!Z$341</f>
        <v>0</v>
      </c>
      <c r="AA411" s="2264">
        <f>+AA399/'VVP2'!AA$341</f>
        <v>0</v>
      </c>
      <c r="AB411" s="2264">
        <f>+AB399/'VVP2'!AB$341</f>
        <v>0</v>
      </c>
      <c r="AC411" s="2264">
        <f ca="1">+AC399/'VVP2'!AC$341</f>
        <v>0</v>
      </c>
      <c r="AD411" s="2264">
        <f ca="1">+AD399/'VVP2'!AD$341</f>
        <v>0</v>
      </c>
      <c r="AE411" s="2264">
        <f ca="1">+AE399/'VVP2'!AE$341</f>
        <v>0</v>
      </c>
    </row>
    <row r="412" spans="1:31" ht="30" customHeight="1">
      <c r="A412" s="664"/>
      <c r="B412" s="664"/>
      <c r="C412" s="774"/>
      <c r="AB412" s="2221"/>
      <c r="AC412" s="2221"/>
      <c r="AD412" s="2221"/>
      <c r="AE412" s="2221"/>
    </row>
    <row r="413" spans="1:31" ht="30" customHeight="1">
      <c r="R413" s="843"/>
      <c r="S413" s="843"/>
      <c r="AB413" s="2221"/>
      <c r="AC413" s="2221"/>
      <c r="AD413" s="2221"/>
      <c r="AE413" s="2221"/>
    </row>
    <row r="414" spans="1:31" ht="22.5" customHeight="1">
      <c r="A414" s="574"/>
      <c r="B414" s="574"/>
      <c r="C414" s="3751" t="s">
        <v>821</v>
      </c>
      <c r="D414" s="3751"/>
      <c r="E414" s="3751"/>
      <c r="F414" s="3751"/>
      <c r="T414" s="3120"/>
      <c r="U414" s="3120"/>
      <c r="V414" s="3120"/>
      <c r="W414" s="3120" t="s">
        <v>1180</v>
      </c>
      <c r="X414" s="3120"/>
      <c r="Y414" s="3120"/>
      <c r="Z414" s="3120"/>
      <c r="AA414" s="3120"/>
      <c r="AB414" s="3120"/>
      <c r="AC414" s="3120"/>
      <c r="AD414" s="3120"/>
      <c r="AE414" s="3120"/>
    </row>
    <row r="415" spans="1:31" ht="12.75" customHeight="1">
      <c r="A415" s="664"/>
      <c r="B415" s="664"/>
      <c r="C415" s="774"/>
      <c r="T415" s="2203"/>
      <c r="U415" s="3120"/>
      <c r="V415" s="2203"/>
      <c r="W415" s="2203"/>
      <c r="X415" s="2203">
        <v>-0.6</v>
      </c>
      <c r="Y415" s="2203"/>
      <c r="Z415" s="2203"/>
      <c r="AA415" s="2203"/>
      <c r="AB415" s="2203"/>
      <c r="AC415" s="2203"/>
      <c r="AD415" s="2203"/>
      <c r="AE415" s="2203"/>
    </row>
    <row r="416" spans="1:31" ht="12.75" customHeight="1">
      <c r="A416" s="664"/>
      <c r="B416" s="664"/>
      <c r="C416" s="774"/>
      <c r="T416" s="2254"/>
      <c r="U416" s="2254">
        <f>U418+U419</f>
        <v>4.9334500000000006</v>
      </c>
      <c r="V416" s="2254">
        <f>V418+V419</f>
        <v>4.8171299999999997</v>
      </c>
      <c r="W416" s="2254">
        <f>W418+W419</f>
        <v>4.782</v>
      </c>
      <c r="X416" s="2254">
        <f>X418+X419</f>
        <v>4.8831500000000005</v>
      </c>
      <c r="Y416" s="2254"/>
      <c r="Z416" s="2254"/>
      <c r="AA416" s="2254"/>
      <c r="AB416" s="2254"/>
      <c r="AC416" s="2254"/>
      <c r="AD416" s="2254"/>
      <c r="AE416" s="2254"/>
    </row>
    <row r="417" spans="1:113" ht="12.75" customHeight="1">
      <c r="A417" s="664"/>
      <c r="B417" s="664"/>
      <c r="C417" s="774"/>
      <c r="D417" s="775"/>
      <c r="E417" s="776" t="s">
        <v>1384</v>
      </c>
      <c r="F417" s="777"/>
      <c r="G417" s="778">
        <f>+InputY!$G$3</f>
        <v>1995</v>
      </c>
      <c r="H417" s="778">
        <f>+G417+1</f>
        <v>1996</v>
      </c>
      <c r="I417" s="778">
        <f t="shared" ref="I417:O417" si="369">+H417+1</f>
        <v>1997</v>
      </c>
      <c r="J417" s="778">
        <f t="shared" si="369"/>
        <v>1998</v>
      </c>
      <c r="K417" s="778">
        <f>+J417+1</f>
        <v>1999</v>
      </c>
      <c r="L417" s="778">
        <f t="shared" si="369"/>
        <v>2000</v>
      </c>
      <c r="M417" s="778">
        <f t="shared" si="369"/>
        <v>2001</v>
      </c>
      <c r="N417" s="778">
        <f t="shared" si="369"/>
        <v>2002</v>
      </c>
      <c r="O417" s="778">
        <f t="shared" si="369"/>
        <v>2003</v>
      </c>
      <c r="P417" s="778">
        <f t="shared" ref="P417:U417" si="370">+O417+1</f>
        <v>2004</v>
      </c>
      <c r="Q417" s="778">
        <f t="shared" si="370"/>
        <v>2005</v>
      </c>
      <c r="R417" s="2222">
        <f t="shared" si="370"/>
        <v>2006</v>
      </c>
      <c r="S417" s="2222">
        <f>+R417+1</f>
        <v>2007</v>
      </c>
      <c r="T417" s="2222">
        <f t="shared" si="370"/>
        <v>2008</v>
      </c>
      <c r="U417" s="2222">
        <f t="shared" si="370"/>
        <v>2009</v>
      </c>
      <c r="V417" s="2222">
        <f t="shared" ref="V417:AE417" si="371">+U417+1</f>
        <v>2010</v>
      </c>
      <c r="W417" s="2222">
        <f t="shared" si="371"/>
        <v>2011</v>
      </c>
      <c r="X417" s="2222">
        <f t="shared" si="371"/>
        <v>2012</v>
      </c>
      <c r="Y417" s="2222">
        <f t="shared" si="371"/>
        <v>2013</v>
      </c>
      <c r="Z417" s="2222">
        <f t="shared" si="371"/>
        <v>2014</v>
      </c>
      <c r="AA417" s="2222">
        <f t="shared" si="371"/>
        <v>2015</v>
      </c>
      <c r="AB417" s="2222">
        <f t="shared" si="371"/>
        <v>2016</v>
      </c>
      <c r="AC417" s="2222">
        <f t="shared" si="371"/>
        <v>2017</v>
      </c>
      <c r="AD417" s="2222">
        <f t="shared" si="371"/>
        <v>2018</v>
      </c>
      <c r="AE417" s="2222">
        <f t="shared" si="371"/>
        <v>2019</v>
      </c>
    </row>
    <row r="418" spans="1:113" ht="12.75" customHeight="1">
      <c r="A418" s="664"/>
      <c r="B418" s="664"/>
      <c r="C418" s="779" t="s">
        <v>1767</v>
      </c>
      <c r="D418" s="668" t="s">
        <v>687</v>
      </c>
      <c r="E418" s="700" t="str">
        <f>+Labour1!E211</f>
        <v>Compensation of employees (D.1p)</v>
      </c>
      <c r="F418" s="701" t="s">
        <v>321</v>
      </c>
      <c r="G418" s="780">
        <f>+Labour1!G211</f>
        <v>0.74821000000000004</v>
      </c>
      <c r="H418" s="780">
        <f>+Labour1!H211</f>
        <v>1.01535</v>
      </c>
      <c r="I418" s="780">
        <f>+Labour1!I211</f>
        <v>1.2984</v>
      </c>
      <c r="J418" s="780">
        <f>+Labour1!J211</f>
        <v>1.647</v>
      </c>
      <c r="K418" s="780">
        <f>+Labour1!K211</f>
        <v>1.6960299999999999</v>
      </c>
      <c r="L418" s="780">
        <f>+Labour1!L211</f>
        <v>1.60758</v>
      </c>
      <c r="M418" s="780">
        <f>+Labour1!M211</f>
        <v>1.64941</v>
      </c>
      <c r="N418" s="780">
        <f>+Labour1!N211</f>
        <v>1.71401</v>
      </c>
      <c r="O418" s="780">
        <f>+Labour1!O211</f>
        <v>1.78653</v>
      </c>
      <c r="P418" s="780">
        <f>+Labour1!P211</f>
        <v>1.9686700000000001</v>
      </c>
      <c r="Q418" s="780">
        <f>+Labour1!Q211</f>
        <v>2.1530800000000001</v>
      </c>
      <c r="R418" s="780">
        <f>+Labour1!R211</f>
        <v>2.50461</v>
      </c>
      <c r="S418" s="780">
        <f>+Labour1!S211</f>
        <v>2.8344800000000001</v>
      </c>
      <c r="T418" s="3191">
        <f>+Labour1!T211</f>
        <v>3.4758</v>
      </c>
      <c r="U418" s="3191">
        <f>+Labour1!U211</f>
        <v>3.4102600000000001</v>
      </c>
      <c r="V418" s="3191">
        <f>+Labour1!V211</f>
        <v>3.05884</v>
      </c>
      <c r="W418" s="3191">
        <f>+Labour1!W211</f>
        <v>3.19733</v>
      </c>
      <c r="X418" s="3191">
        <f>+Labour1!X211</f>
        <v>3.2416100000000001</v>
      </c>
      <c r="Y418" s="3191">
        <f>+Labour1!Y211</f>
        <v>3.3384499999999999</v>
      </c>
      <c r="Z418" s="3191">
        <f>+Labour1!Z211</f>
        <v>3.4621500000000003</v>
      </c>
      <c r="AA418" s="3191">
        <f>+Labour1!AA211</f>
        <v>3.6053099999999998</v>
      </c>
      <c r="AB418" s="3191">
        <f>+Labour1!AB211</f>
        <v>3.8023500000000001</v>
      </c>
      <c r="AC418" s="2275">
        <f>+Labour1!AC211</f>
        <v>4.0019753007261274</v>
      </c>
      <c r="AD418" s="2275">
        <f>+Labour1!AD211</f>
        <v>4.2038161866725012</v>
      </c>
      <c r="AE418" s="2275">
        <f>+Labour1!AE211</f>
        <v>4.435208860003871</v>
      </c>
    </row>
    <row r="419" spans="1:113" ht="12.75" customHeight="1">
      <c r="A419" s="664">
        <f>+ROW(InputY!A142)</f>
        <v>142</v>
      </c>
      <c r="B419" s="664">
        <v>145</v>
      </c>
      <c r="C419" s="782" t="s">
        <v>1767</v>
      </c>
      <c r="D419" s="831" t="s">
        <v>687</v>
      </c>
      <c r="E419" s="832" t="s">
        <v>1623</v>
      </c>
      <c r="F419" s="704"/>
      <c r="G419" s="703">
        <f>+InputY!G142/1000</f>
        <v>0.70490999999999993</v>
      </c>
      <c r="H419" s="703">
        <f>+InputY!H142/1000</f>
        <v>0.83732000000000006</v>
      </c>
      <c r="I419" s="703">
        <f>+InputY!I142/1000</f>
        <v>1.13032</v>
      </c>
      <c r="J419" s="703">
        <f>+InputY!J142/1000</f>
        <v>1.2086300000000001</v>
      </c>
      <c r="K419" s="703">
        <f>+InputY!K142/1000</f>
        <v>0.88361999999999996</v>
      </c>
      <c r="L419" s="703">
        <f>+InputY!L142/1000</f>
        <v>0.97050000000000003</v>
      </c>
      <c r="M419" s="703">
        <f>+InputY!M142/1000</f>
        <v>0.85672999999999999</v>
      </c>
      <c r="N419" s="703">
        <f>+InputY!N142/1000</f>
        <v>0.95311999999999997</v>
      </c>
      <c r="O419" s="703">
        <f>+InputY!O142/1000</f>
        <v>0.98717999999999995</v>
      </c>
      <c r="P419" s="703">
        <f>+InputY!P142/1000</f>
        <v>1.0180800000000001</v>
      </c>
      <c r="Q419" s="703">
        <f>+InputY!Q142/1000</f>
        <v>1.16645</v>
      </c>
      <c r="R419" s="2290">
        <f>+InputY!R142/1000</f>
        <v>1.39947</v>
      </c>
      <c r="S419" s="2290">
        <f>+InputY!S142/1000</f>
        <v>1.4840100000000001</v>
      </c>
      <c r="T419" s="2290">
        <f>+InputY!T142/1000</f>
        <v>1.81999</v>
      </c>
      <c r="U419" s="2290">
        <f>+InputY!U142/1000</f>
        <v>1.52319</v>
      </c>
      <c r="V419" s="2290">
        <f>+InputY!V142/1000</f>
        <v>1.7582899999999999</v>
      </c>
      <c r="W419" s="2290">
        <f>+InputY!W142/1000</f>
        <v>1.58467</v>
      </c>
      <c r="X419" s="2290">
        <f>+InputY!X142/1000</f>
        <v>1.64154</v>
      </c>
      <c r="Y419" s="2290">
        <f>+InputY!Y142/1000</f>
        <v>1.6197699999999999</v>
      </c>
      <c r="Z419" s="2290">
        <f>+InputY!Z142/1000</f>
        <v>1.7096199999999999</v>
      </c>
      <c r="AA419" s="2290">
        <f>+InputY!AA142/1000</f>
        <v>1.8676900000000001</v>
      </c>
      <c r="AB419" s="2290">
        <f>+InputY!AB142/1000</f>
        <v>1.84643</v>
      </c>
      <c r="AC419" s="3425">
        <f>+AC427-AC418-AC420-AC422-AC423-AC424+AC425+AC426</f>
        <v>1.8754002492738726</v>
      </c>
      <c r="AD419" s="3425">
        <f ca="1">+AD427-AD418-AD420-AD422-AD423-AD424+AD425+AD426</f>
        <v>2.0133065466654987</v>
      </c>
      <c r="AE419" s="3425">
        <f ca="1">+AE427-AE418-AE420-AE422-AE423-AE424+AE425+AE426</f>
        <v>2.1138316020828603</v>
      </c>
    </row>
    <row r="420" spans="1:113" ht="12.75" customHeight="1">
      <c r="A420" s="664">
        <f>+ROW(InputY!A162)</f>
        <v>162</v>
      </c>
      <c r="B420" s="664">
        <v>146</v>
      </c>
      <c r="C420" s="782" t="s">
        <v>1767</v>
      </c>
      <c r="D420" s="674" t="s">
        <v>687</v>
      </c>
      <c r="E420" s="783" t="s">
        <v>1624</v>
      </c>
      <c r="F420" s="704"/>
      <c r="G420" s="706">
        <f>+InputY!G162/1000</f>
        <v>0.12528</v>
      </c>
      <c r="H420" s="706">
        <f>+InputY!H162/1000</f>
        <v>0.17881</v>
      </c>
      <c r="I420" s="706">
        <f>+InputY!I162/1000</f>
        <v>0.14405000000000001</v>
      </c>
      <c r="J420" s="706">
        <f>+InputY!J162/1000</f>
        <v>0.23977000000000001</v>
      </c>
      <c r="K420" s="706">
        <f>+InputY!K162/1000</f>
        <v>0.22491999999999998</v>
      </c>
      <c r="L420" s="706">
        <f>+InputY!L162/1000</f>
        <v>0.18768000000000001</v>
      </c>
      <c r="M420" s="706">
        <f>+InputY!M162/1000</f>
        <v>0.18218000000000001</v>
      </c>
      <c r="N420" s="706">
        <f>+InputY!N162/1000</f>
        <v>0.21962999999999999</v>
      </c>
      <c r="O420" s="706">
        <f>+InputY!O162/1000</f>
        <v>0.24327000000000001</v>
      </c>
      <c r="P420" s="706">
        <f>+InputY!P162/1000</f>
        <v>0.26491000000000003</v>
      </c>
      <c r="Q420" s="706">
        <f>+InputY!Q162/1000</f>
        <v>0.38077</v>
      </c>
      <c r="R420" s="2219">
        <f>+InputY!R162/1000</f>
        <v>0.40255000000000002</v>
      </c>
      <c r="S420" s="2219">
        <f>+InputY!S162/1000</f>
        <v>0.45735999999999999</v>
      </c>
      <c r="T420" s="2219">
        <f>+InputY!T162/1000</f>
        <v>0.5645</v>
      </c>
      <c r="U420" s="2219">
        <f>+InputY!U162/1000</f>
        <v>0.53662999999999994</v>
      </c>
      <c r="V420" s="2219">
        <f>+InputY!V162/1000</f>
        <v>0.53661999999999999</v>
      </c>
      <c r="W420" s="2219">
        <f>+InputY!W162/1000</f>
        <v>0.61984000000000006</v>
      </c>
      <c r="X420" s="2219">
        <f>+InputY!X162/1000</f>
        <v>0.58472999999999997</v>
      </c>
      <c r="Y420" s="2219">
        <f>+InputY!Y162/1000</f>
        <v>0.55325999999999997</v>
      </c>
      <c r="Z420">
        <f>+InputY!Z162/1000</f>
        <v>0.57772999999999997</v>
      </c>
      <c r="AA420">
        <f>+InputY!AA162/1000</f>
        <v>0.61829999999999996</v>
      </c>
      <c r="AB420" s="3609">
        <f>+InputY!AB162/1000</f>
        <v>0.64269000000000009</v>
      </c>
      <c r="AC420" s="3425">
        <f>+AB420*(1+AC434/100)</f>
        <v>0.66518415000000009</v>
      </c>
      <c r="AD420" s="3425">
        <f>+AC420*(1+AD434/100)</f>
        <v>0.68846559525000006</v>
      </c>
      <c r="AE420" s="3425">
        <f>+AD420*(1+AE434/100)</f>
        <v>0.70911956310750013</v>
      </c>
    </row>
    <row r="421" spans="1:113" s="1006" customFormat="1" ht="12.75" customHeight="1">
      <c r="A421" s="998"/>
      <c r="B421" s="998"/>
      <c r="C421" s="2204"/>
      <c r="D421" s="1011"/>
      <c r="E421" s="1973" t="s">
        <v>1625</v>
      </c>
      <c r="F421" s="1974"/>
      <c r="G421" s="2205">
        <f>G420/'VVP2'!G191</f>
        <v>0.15813389881853984</v>
      </c>
      <c r="H421" s="2205">
        <f>H420/'VVP2'!H191</f>
        <v>0.17461743537660762</v>
      </c>
      <c r="I421" s="2205">
        <f>I420/'VVP2'!I191</f>
        <v>0.10646947086779457</v>
      </c>
      <c r="J421" s="2205">
        <f>J420/'VVP2'!J191</f>
        <v>0.14424771839899894</v>
      </c>
      <c r="K421" s="2205">
        <f>K420/'VVP2'!K191</f>
        <v>0.12977900871271134</v>
      </c>
      <c r="L421" s="2205">
        <f>L420/'VVP2'!L191</f>
        <v>0.12824402443524252</v>
      </c>
      <c r="M421" s="2205">
        <f>M420/'VVP2'!M191</f>
        <v>0.11985368613570875</v>
      </c>
      <c r="N421" s="2205">
        <f>N420/'VVP2'!N191</f>
        <v>0.1333264534301376</v>
      </c>
      <c r="O421" s="2205">
        <f>O420/'VVP2'!O191</f>
        <v>0.14185087785792172</v>
      </c>
      <c r="P421" s="2205">
        <f>P420/'VVP2'!P191</f>
        <v>0.14374002973445182</v>
      </c>
      <c r="Q421" s="2205">
        <f>Q420/'VVP2'!Q191</f>
        <v>0.17932090044268625</v>
      </c>
      <c r="R421" s="2291">
        <f>R420/'VVP2'!R191</f>
        <v>0.1648315651116416</v>
      </c>
      <c r="S421" s="2291">
        <f>S420/'VVP2'!S191</f>
        <v>0.16742871576727786</v>
      </c>
      <c r="T421" s="2291">
        <f>T420/'VVP2'!T191</f>
        <v>0.1672037723777591</v>
      </c>
      <c r="U421" s="2916">
        <f>U420/'VVP2'!U191</f>
        <v>0.15833763628048331</v>
      </c>
      <c r="V421" s="2916">
        <f>V420/'VVP2'!V191</f>
        <v>0.16807454388849735</v>
      </c>
      <c r="W421" s="2916">
        <f>W420/'VVP2'!W191</f>
        <v>0.18594604972640877</v>
      </c>
      <c r="X421" s="2916">
        <f>X420/'VVP2'!X191</f>
        <v>0.17735213830755231</v>
      </c>
      <c r="Y421" s="2916">
        <f>Y420/'VVP2'!Y191</f>
        <v>0.16715056118672489</v>
      </c>
      <c r="Z421" s="2916">
        <f>Z420/'VVP2'!Z191</f>
        <v>0.17030126164367407</v>
      </c>
      <c r="AA421" s="2916">
        <f>AA420/'VVP2'!AA191</f>
        <v>0.16993406569244765</v>
      </c>
      <c r="AB421" s="2916">
        <f>AB420/'VVP2'!AB191</f>
        <v>0.17018048361984051</v>
      </c>
      <c r="AC421" s="2916">
        <f>AC420/'VVP2'!AC191</f>
        <v>0.16965347986655924</v>
      </c>
      <c r="AD421" s="2916">
        <f ca="1">AD420/'VVP2'!AD191</f>
        <v>0.16544036730892689</v>
      </c>
      <c r="AE421" s="2916">
        <f ca="1">AE420/'VVP2'!AE191</f>
        <v>0.16192532321578959</v>
      </c>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row>
    <row r="422" spans="1:113" ht="12.75" customHeight="1">
      <c r="A422" s="664">
        <f>+ROW(InputY!A144)</f>
        <v>144</v>
      </c>
      <c r="B422" s="664">
        <v>144</v>
      </c>
      <c r="C422" s="782" t="s">
        <v>1767</v>
      </c>
      <c r="D422" s="674" t="s">
        <v>687</v>
      </c>
      <c r="E422" s="783" t="str">
        <f>+E112</f>
        <v>Consumption of fixed capital (K.1)</v>
      </c>
      <c r="F422" s="704"/>
      <c r="G422" s="703">
        <f>+InputY!G144/1000</f>
        <v>0.34808</v>
      </c>
      <c r="H422" s="703">
        <f>+InputY!H144/1000</f>
        <v>0.38789000000000001</v>
      </c>
      <c r="I422" s="703">
        <f>+InputY!I144/1000</f>
        <v>0.42630000000000001</v>
      </c>
      <c r="J422" s="703">
        <f>+InputY!J144/1000</f>
        <v>0.43960000000000005</v>
      </c>
      <c r="K422" s="703">
        <f>+InputY!K144/1000</f>
        <v>0.44392999999999999</v>
      </c>
      <c r="L422" s="703">
        <f>+InputY!L144/1000</f>
        <v>0.44969999999999999</v>
      </c>
      <c r="M422" s="703">
        <f>+InputY!M144/1000</f>
        <v>0.44792000000000004</v>
      </c>
      <c r="N422" s="703">
        <f>+InputY!N144/1000</f>
        <v>0.44373000000000001</v>
      </c>
      <c r="O422" s="703">
        <f>+InputY!O144/1000</f>
        <v>0.47164999999999996</v>
      </c>
      <c r="P422" s="703">
        <f>+InputY!P144/1000</f>
        <v>0.49575999999999998</v>
      </c>
      <c r="Q422" s="703">
        <f>+InputY!Q144/1000</f>
        <v>0.54459000000000002</v>
      </c>
      <c r="R422" s="703">
        <f>+InputY!R144/1000</f>
        <v>0.60770000000000002</v>
      </c>
      <c r="S422" s="703">
        <f>+InputY!S144/1000</f>
        <v>0.70246000000000008</v>
      </c>
      <c r="T422" s="703">
        <f>+InputY!T144/1000</f>
        <v>0.81538999999999995</v>
      </c>
      <c r="U422" s="703">
        <f>+InputY!U144/1000</f>
        <v>0.81699999999999995</v>
      </c>
      <c r="V422" s="703">
        <f>+InputY!V144/1000</f>
        <v>0.81259000000000003</v>
      </c>
      <c r="W422" s="703">
        <f>+InputY!W144/1000</f>
        <v>0.88575000000000004</v>
      </c>
      <c r="X422" s="703">
        <f>+InputY!X144/1000</f>
        <v>0.96163999999999994</v>
      </c>
      <c r="Y422" s="703">
        <f>+InputY!Y144/1000</f>
        <v>1.02627</v>
      </c>
      <c r="Z422" s="703">
        <f>+InputY!Z144/1000</f>
        <v>1.0739400000000001</v>
      </c>
      <c r="AA422" s="703">
        <f>+InputY!AA144/1000</f>
        <v>1.1040000000000001</v>
      </c>
      <c r="AB422" s="703">
        <f>+InputY!AB144/1000</f>
        <v>1.14178</v>
      </c>
      <c r="AC422" s="3425">
        <f t="shared" ref="AC422:AE423" si="372">+AB422*(1+AC436/100)</f>
        <v>1.1817423</v>
      </c>
      <c r="AD422" s="3425">
        <f t="shared" si="372"/>
        <v>1.229011992</v>
      </c>
      <c r="AE422" s="3425">
        <f t="shared" si="372"/>
        <v>1.2720274117199999</v>
      </c>
    </row>
    <row r="423" spans="1:113" ht="12.75" customHeight="1">
      <c r="A423" s="664"/>
      <c r="B423" s="664"/>
      <c r="C423" s="782" t="s">
        <v>1767</v>
      </c>
      <c r="D423" s="674" t="s">
        <v>687</v>
      </c>
      <c r="E423" s="783" t="str">
        <f>+E113</f>
        <v>Net operating surplus (B.2n)</v>
      </c>
      <c r="F423" s="704"/>
      <c r="G423" s="706">
        <f t="shared" ref="G423:V423" si="373">+G109-G422</f>
        <v>0</v>
      </c>
      <c r="H423" s="706">
        <f t="shared" si="373"/>
        <v>0</v>
      </c>
      <c r="I423" s="706">
        <f t="shared" si="373"/>
        <v>-1.0000000000121023E-5</v>
      </c>
      <c r="J423" s="706">
        <f t="shared" si="373"/>
        <v>0</v>
      </c>
      <c r="K423" s="706">
        <f t="shared" si="373"/>
        <v>0</v>
      </c>
      <c r="L423" s="706">
        <f t="shared" si="373"/>
        <v>1.0000000000232045E-5</v>
      </c>
      <c r="M423" s="706">
        <f t="shared" si="373"/>
        <v>-5.0000000000272049E-5</v>
      </c>
      <c r="N423" s="706">
        <f t="shared" si="373"/>
        <v>-9.999999999965592E-5</v>
      </c>
      <c r="O423" s="706">
        <f t="shared" si="373"/>
        <v>1.1999999999989797E-4</v>
      </c>
      <c r="P423" s="706">
        <f t="shared" si="373"/>
        <v>1.1000000000022103E-4</v>
      </c>
      <c r="Q423" s="706">
        <f t="shared" si="373"/>
        <v>8.9999999999967883E-4</v>
      </c>
      <c r="R423" s="706">
        <f t="shared" si="373"/>
        <v>5.1899999999996949E-3</v>
      </c>
      <c r="S423" s="706">
        <f t="shared" si="373"/>
        <v>6.5799999999996972E-3</v>
      </c>
      <c r="T423" s="706">
        <f t="shared" si="373"/>
        <v>3.2100000000001572E-3</v>
      </c>
      <c r="U423" s="706">
        <f t="shared" si="373"/>
        <v>7.8000000000011394E-4</v>
      </c>
      <c r="V423" s="706">
        <f t="shared" si="373"/>
        <v>3.0000000000001137E-3</v>
      </c>
      <c r="W423" s="706">
        <f t="shared" ref="W423:AA423" si="374">+W109-W422</f>
        <v>2.9900000000000482E-3</v>
      </c>
      <c r="X423" s="706">
        <f t="shared" si="374"/>
        <v>1.515000000000033E-2</v>
      </c>
      <c r="Y423" s="706">
        <f t="shared" si="374"/>
        <v>4.329999999999945E-3</v>
      </c>
      <c r="Z423" s="706">
        <f t="shared" si="374"/>
        <v>5.1399999999990342E-3</v>
      </c>
      <c r="AA423" s="706">
        <f t="shared" si="374"/>
        <v>-5.399999999993188E-4</v>
      </c>
      <c r="AB423" s="706">
        <f t="shared" ref="AB423" si="375">+AB109-AB422</f>
        <v>1.2000000000000899E-3</v>
      </c>
      <c r="AC423" s="3425">
        <f t="shared" si="372"/>
        <v>1.2000000000000899E-3</v>
      </c>
      <c r="AD423" s="3425">
        <f t="shared" si="372"/>
        <v>1.2000000000000899E-3</v>
      </c>
      <c r="AE423" s="3425">
        <f t="shared" si="372"/>
        <v>1.2000000000000899E-3</v>
      </c>
    </row>
    <row r="424" spans="1:113" ht="12.75" customHeight="1">
      <c r="A424" s="664"/>
      <c r="B424" s="664"/>
      <c r="C424" s="782" t="s">
        <v>1767</v>
      </c>
      <c r="D424" s="674" t="s">
        <v>687</v>
      </c>
      <c r="E424" s="706" t="str">
        <f>+E11</f>
        <v>Other taxes on production (D.29p)</v>
      </c>
      <c r="F424" s="706" t="str">
        <f>+F11</f>
        <v>$ATaxProd</v>
      </c>
      <c r="G424" s="706">
        <f>+G11</f>
        <v>2.8500000000000001E-3</v>
      </c>
      <c r="H424" s="706">
        <f>+H11</f>
        <v>4.4299999999999999E-3</v>
      </c>
      <c r="I424" s="706">
        <f t="shared" ref="I424:P424" si="376">+I11</f>
        <v>5.8700000000000002E-3</v>
      </c>
      <c r="J424" s="706">
        <f t="shared" si="376"/>
        <v>6.1700000000000001E-3</v>
      </c>
      <c r="K424" s="706">
        <f t="shared" si="376"/>
        <v>6.43E-3</v>
      </c>
      <c r="L424" s="706">
        <f t="shared" si="376"/>
        <v>6.1900000000000002E-3</v>
      </c>
      <c r="M424" s="706">
        <f t="shared" si="376"/>
        <v>6.9500000000000004E-3</v>
      </c>
      <c r="N424" s="706">
        <f t="shared" si="376"/>
        <v>7.62E-3</v>
      </c>
      <c r="O424" s="706">
        <f t="shared" si="376"/>
        <v>7.6699999999999997E-3</v>
      </c>
      <c r="P424" s="706">
        <f t="shared" si="376"/>
        <v>9.5500000000000012E-3</v>
      </c>
      <c r="Q424" s="706">
        <f t="shared" ref="Q424:V424" si="377">+Q11</f>
        <v>4.15E-3</v>
      </c>
      <c r="R424" s="2219">
        <f t="shared" si="377"/>
        <v>3.5999999999999999E-3</v>
      </c>
      <c r="S424" s="2219">
        <f t="shared" si="377"/>
        <v>3.64E-3</v>
      </c>
      <c r="T424" s="2219">
        <f t="shared" si="377"/>
        <v>3.2699999999999999E-3</v>
      </c>
      <c r="U424" s="2219">
        <f t="shared" si="377"/>
        <v>2.4599999999999999E-3</v>
      </c>
      <c r="V424" s="2219">
        <f t="shared" si="377"/>
        <v>2.2200000000000002E-3</v>
      </c>
      <c r="W424" s="2219">
        <f t="shared" ref="W424:Y424" si="378">+W11</f>
        <v>2.8200000000000005E-3</v>
      </c>
      <c r="X424" s="2219">
        <f t="shared" si="378"/>
        <v>3.7200000000000002E-3</v>
      </c>
      <c r="Y424" s="2219">
        <f t="shared" si="378"/>
        <v>4.3600000000000002E-3</v>
      </c>
      <c r="Z424" s="2219">
        <f t="shared" ref="Z424:AE424" si="379">+Z11</f>
        <v>5.0499999999999998E-3</v>
      </c>
      <c r="AA424" s="2219">
        <f t="shared" si="379"/>
        <v>2.6199999999999999E-3</v>
      </c>
      <c r="AB424" s="2219">
        <f t="shared" si="379"/>
        <v>2.7000000000000001E-3</v>
      </c>
      <c r="AC424" s="3425">
        <f t="shared" si="379"/>
        <v>2.8350000000000003E-3</v>
      </c>
      <c r="AD424" s="3425">
        <f t="shared" si="379"/>
        <v>2.9767500000000002E-3</v>
      </c>
      <c r="AE424" s="3425">
        <f t="shared" si="379"/>
        <v>3.1255875000000006E-3</v>
      </c>
    </row>
    <row r="425" spans="1:113" ht="12.75" customHeight="1">
      <c r="A425" s="664"/>
      <c r="B425" s="664"/>
      <c r="C425" s="782" t="s">
        <v>401</v>
      </c>
      <c r="D425" s="674" t="s">
        <v>687</v>
      </c>
      <c r="E425" s="706" t="str">
        <f>+E48</f>
        <v>Other subsidies on production (D.39r)</v>
      </c>
      <c r="F425" s="706" t="str">
        <f>+F48</f>
        <v>YASubProd</v>
      </c>
      <c r="G425" s="706">
        <f>+G48</f>
        <v>0</v>
      </c>
      <c r="H425" s="706">
        <f>+H48</f>
        <v>0</v>
      </c>
      <c r="I425" s="706">
        <f t="shared" ref="I425:P425" si="380">+I48</f>
        <v>0</v>
      </c>
      <c r="J425" s="706">
        <f t="shared" si="380"/>
        <v>0</v>
      </c>
      <c r="K425" s="706">
        <f t="shared" si="380"/>
        <v>0</v>
      </c>
      <c r="L425" s="706">
        <f t="shared" si="380"/>
        <v>0</v>
      </c>
      <c r="M425" s="706">
        <f t="shared" si="380"/>
        <v>0</v>
      </c>
      <c r="N425" s="706">
        <f t="shared" si="380"/>
        <v>0</v>
      </c>
      <c r="O425" s="706">
        <f t="shared" si="380"/>
        <v>0</v>
      </c>
      <c r="P425" s="706">
        <f t="shared" si="380"/>
        <v>0</v>
      </c>
      <c r="Q425" s="706">
        <f t="shared" ref="Q425:V425" si="381">+Q48</f>
        <v>0</v>
      </c>
      <c r="R425" s="2219">
        <f t="shared" si="381"/>
        <v>0</v>
      </c>
      <c r="S425" s="2219">
        <f t="shared" si="381"/>
        <v>0</v>
      </c>
      <c r="T425" s="2219">
        <f t="shared" si="381"/>
        <v>0</v>
      </c>
      <c r="U425" s="2219">
        <f t="shared" si="381"/>
        <v>0</v>
      </c>
      <c r="V425" s="2219">
        <f t="shared" si="381"/>
        <v>0</v>
      </c>
      <c r="W425" s="2219">
        <f t="shared" ref="W425:Y425" si="382">+W48</f>
        <v>0</v>
      </c>
      <c r="X425" s="2219">
        <f t="shared" si="382"/>
        <v>0</v>
      </c>
      <c r="Y425" s="2219">
        <f t="shared" si="382"/>
        <v>0</v>
      </c>
      <c r="Z425" s="2219">
        <f t="shared" ref="Z425:AE425" si="383">+Z48</f>
        <v>0</v>
      </c>
      <c r="AA425" s="2219">
        <f t="shared" si="383"/>
        <v>0</v>
      </c>
      <c r="AB425" s="2219">
        <f t="shared" si="383"/>
        <v>0</v>
      </c>
      <c r="AC425" s="3425">
        <f t="shared" si="383"/>
        <v>0</v>
      </c>
      <c r="AD425" s="3425">
        <f t="shared" si="383"/>
        <v>0</v>
      </c>
      <c r="AE425" s="3425">
        <f t="shared" si="383"/>
        <v>0</v>
      </c>
    </row>
    <row r="426" spans="1:113" ht="12.75" customHeight="1">
      <c r="A426" s="664">
        <f>+ROW(InputY!A140)</f>
        <v>140</v>
      </c>
      <c r="B426" s="664">
        <v>143</v>
      </c>
      <c r="C426" s="782" t="s">
        <v>401</v>
      </c>
      <c r="D426" s="674" t="s">
        <v>687</v>
      </c>
      <c r="E426" s="783" t="s">
        <v>770</v>
      </c>
      <c r="F426" s="704"/>
      <c r="G426" s="706">
        <f>+InputY!G140/1000</f>
        <v>6.6879999999999995E-2</v>
      </c>
      <c r="H426" s="706">
        <f>+InputY!H140/1000</f>
        <v>8.5260000000000002E-2</v>
      </c>
      <c r="I426" s="706">
        <f>+InputY!I140/1000</f>
        <v>0.17276</v>
      </c>
      <c r="J426" s="706">
        <f>+InputY!J140/1000</f>
        <v>0.17068</v>
      </c>
      <c r="K426" s="706">
        <f>+InputY!K140/1000</f>
        <v>0.24678</v>
      </c>
      <c r="L426" s="706">
        <f>+InputY!L140/1000</f>
        <v>0.22652</v>
      </c>
      <c r="M426" s="706">
        <f>+InputY!M140/1000</f>
        <v>0.14169999999999999</v>
      </c>
      <c r="N426" s="706">
        <f>+InputY!N140/1000</f>
        <v>0.21209</v>
      </c>
      <c r="O426" s="706">
        <f>+InputY!O140/1000</f>
        <v>0.23732</v>
      </c>
      <c r="P426" s="706">
        <f>+InputY!P140/1000</f>
        <v>0.26157999999999998</v>
      </c>
      <c r="Q426" s="706">
        <f>+InputY!Q140/1000</f>
        <v>0.36352999999999996</v>
      </c>
      <c r="R426" s="706">
        <f>+InputY!R140/1000</f>
        <v>0.31760999999999995</v>
      </c>
      <c r="S426" s="706">
        <f>+InputY!S140/1000</f>
        <v>0.42169000000000001</v>
      </c>
      <c r="T426" s="706">
        <f>+InputY!T140/1000</f>
        <v>0.58135999999999999</v>
      </c>
      <c r="U426" s="706">
        <f>+InputY!U140/1000</f>
        <v>0.57049000000000005</v>
      </c>
      <c r="V426" s="706">
        <f>+InputY!V140/1000</f>
        <v>0.6081700000000001</v>
      </c>
      <c r="W426" s="706">
        <f>+InputY!W140/1000</f>
        <v>0.55608000000000002</v>
      </c>
      <c r="X426" s="706">
        <f>+InputY!X140/1000</f>
        <v>0.61770999999999998</v>
      </c>
      <c r="Y426" s="706">
        <f>+InputY!Y140/1000</f>
        <v>0.70948</v>
      </c>
      <c r="Z426" s="706">
        <f>+InputY!Z140/1000</f>
        <v>0.76029999999999998</v>
      </c>
      <c r="AA426" s="706">
        <f>+InputY!AA140/1000</f>
        <v>0.76861999999999997</v>
      </c>
      <c r="AB426" s="706">
        <f>+InputY!AB140/1000</f>
        <v>0.80027999999999999</v>
      </c>
      <c r="AC426" s="3425">
        <f>+AB426*(1+AC440/100)</f>
        <v>0.82028699999999988</v>
      </c>
      <c r="AD426" s="3425">
        <f>+AC426*(1+AD440/100)</f>
        <v>0.84079417499999975</v>
      </c>
      <c r="AE426" s="3425">
        <f>+AD426*(1+AE440/100)</f>
        <v>0.86181402937499962</v>
      </c>
    </row>
    <row r="427" spans="1:113" ht="12.75" customHeight="1">
      <c r="A427" s="664"/>
      <c r="B427" s="664"/>
      <c r="C427" s="784" t="s">
        <v>1769</v>
      </c>
      <c r="D427" s="752" t="s">
        <v>687</v>
      </c>
      <c r="E427" s="753" t="s">
        <v>1360</v>
      </c>
      <c r="F427" s="754"/>
      <c r="G427" s="785">
        <f>+InputY!G64/1000</f>
        <v>1.8624400000000001</v>
      </c>
      <c r="H427" s="785">
        <f>+InputY!H64/1000</f>
        <v>2.3385500000000001</v>
      </c>
      <c r="I427" s="785">
        <f>+InputY!I64/1000</f>
        <v>2.83216</v>
      </c>
      <c r="J427" s="785">
        <f>+InputY!J64/1000</f>
        <v>3.3704699999999996</v>
      </c>
      <c r="K427" s="785">
        <f>+InputY!K64/1000</f>
        <v>3.0081500000000001</v>
      </c>
      <c r="L427" s="785">
        <f>+InputY!L64/1000</f>
        <v>2.9951300000000001</v>
      </c>
      <c r="M427" s="785">
        <f>+InputY!M64/1000</f>
        <v>3.0014400000000001</v>
      </c>
      <c r="N427" s="785">
        <f>+InputY!N64/1000</f>
        <v>3.1259200000000003</v>
      </c>
      <c r="O427" s="785">
        <f>+InputY!O64/1000</f>
        <v>3.2591100000000002</v>
      </c>
      <c r="P427" s="785">
        <f>+InputY!P64/1000</f>
        <v>3.4954899999999998</v>
      </c>
      <c r="Q427" s="785">
        <f>+InputY!Q64/1000</f>
        <v>3.8864099999999997</v>
      </c>
      <c r="R427" s="785">
        <f>+InputY!R64/1000</f>
        <v>4.6055000000000001</v>
      </c>
      <c r="S427" s="785">
        <f>+InputY!S64/1000</f>
        <v>5.0668299999999995</v>
      </c>
      <c r="T427" s="785">
        <f>+InputY!T64/1000</f>
        <v>6.1008000000000004</v>
      </c>
      <c r="U427" s="785">
        <f>+InputY!U64/1000</f>
        <v>5.71983</v>
      </c>
      <c r="V427" s="785">
        <f>+InputY!V64/1000</f>
        <v>5.5633800000000004</v>
      </c>
      <c r="W427" s="785">
        <f>+InputY!W64/1000</f>
        <v>5.7373199999999995</v>
      </c>
      <c r="X427" s="785">
        <f>+InputY!X64/1000</f>
        <v>5.8306800000000001</v>
      </c>
      <c r="Y427" s="785">
        <f>+InputY!Y64/1000</f>
        <v>5.83697</v>
      </c>
      <c r="Z427" s="785">
        <f>+InputY!Z64/1000</f>
        <v>6.0733300000000003</v>
      </c>
      <c r="AA427" s="785">
        <f>+InputY!AA64/1000</f>
        <v>6.4287700000000001</v>
      </c>
      <c r="AB427" s="785">
        <f>+InputY!AB64/1000</f>
        <v>6.63687</v>
      </c>
      <c r="AC427" s="785">
        <f>+'VVP2'!AC191+'VVP2'!AC192</f>
        <v>6.9080500000000002</v>
      </c>
      <c r="AD427" s="785">
        <f ca="1">+'VVP2'!AD191+'VVP2'!AD192</f>
        <v>7.2979828955880004</v>
      </c>
      <c r="AE427" s="785">
        <f ca="1">+'VVP2'!AE191+'VVP2'!AE192</f>
        <v>7.6726989950392319</v>
      </c>
    </row>
    <row r="428" spans="1:113" s="1972" customFormat="1" ht="12.75" customHeight="1">
      <c r="A428" s="998"/>
      <c r="B428" s="998"/>
      <c r="C428" s="1595"/>
      <c r="D428" s="1011"/>
      <c r="E428" s="1973" t="s">
        <v>737</v>
      </c>
      <c r="F428" s="1974"/>
      <c r="G428" s="1002">
        <f>ABS(+G418+G419+G420+G422+G423+G424-G425-G426-G427)</f>
        <v>9.9999999998434674E-6</v>
      </c>
      <c r="H428" s="1002">
        <f>ABS(+H418+H419+H420+H422+H423+H424-H425-H426-H427)</f>
        <v>9.9999999996214228E-6</v>
      </c>
      <c r="I428" s="1002">
        <f t="shared" ref="I428:Q428" si="384">ABS(+I418+I419+I420+I422+I423+I424-I425-I426-I427)</f>
        <v>1.0000000000065512E-5</v>
      </c>
      <c r="J428" s="1002">
        <f t="shared" si="384"/>
        <v>2.0000000000575113E-5</v>
      </c>
      <c r="K428" s="1002">
        <f t="shared" si="384"/>
        <v>4.4408920985006262E-16</v>
      </c>
      <c r="L428" s="1002">
        <f t="shared" si="384"/>
        <v>1.0000000000065512E-5</v>
      </c>
      <c r="M428" s="1002">
        <f t="shared" si="384"/>
        <v>8.8817841970012523E-16</v>
      </c>
      <c r="N428" s="1002">
        <f t="shared" si="384"/>
        <v>4.4408920985006262E-16</v>
      </c>
      <c r="O428" s="1002">
        <f t="shared" si="384"/>
        <v>1.0000000000509601E-5</v>
      </c>
      <c r="P428" s="1002">
        <f t="shared" si="384"/>
        <v>1.0000000000509601E-5</v>
      </c>
      <c r="Q428" s="1002">
        <f t="shared" si="384"/>
        <v>8.8817841970012523E-16</v>
      </c>
      <c r="R428" s="2233">
        <f t="shared" ref="R428:Y428" si="385">ABS(+R418+R419+R420+R422+R423+R424-R425-R426-R427)</f>
        <v>9.9999999996214228E-6</v>
      </c>
      <c r="S428" s="2233">
        <f t="shared" si="385"/>
        <v>1.0000000000509601E-5</v>
      </c>
      <c r="T428" s="2906">
        <f t="shared" si="385"/>
        <v>8.8817841970012523E-16</v>
      </c>
      <c r="U428" s="2906">
        <f t="shared" si="385"/>
        <v>0</v>
      </c>
      <c r="V428" s="2906">
        <f t="shared" si="385"/>
        <v>9.9999999996214228E-6</v>
      </c>
      <c r="W428" s="2906">
        <f t="shared" si="385"/>
        <v>8.8817841970012523E-16</v>
      </c>
      <c r="X428" s="2906">
        <f>ABS(+X418+X419+X420+X422+X423+X424-X425-X426-X427)</f>
        <v>1.7763568394002505E-15</v>
      </c>
      <c r="Y428" s="2906">
        <f t="shared" si="385"/>
        <v>9.9999999996214228E-6</v>
      </c>
      <c r="Z428" s="2906">
        <f t="shared" ref="Z428:AE428" si="386">ABS(+Z418+Z419+Z420+Z422+Z423+Z424-Z425-Z426-Z427)</f>
        <v>8.8817841970012523E-16</v>
      </c>
      <c r="AA428" s="2906">
        <f t="shared" si="386"/>
        <v>9.9999999996214228E-6</v>
      </c>
      <c r="AB428" s="2906">
        <f t="shared" si="386"/>
        <v>0</v>
      </c>
      <c r="AC428" s="2906">
        <f t="shared" si="386"/>
        <v>0</v>
      </c>
      <c r="AD428" s="2906">
        <f t="shared" ca="1" si="386"/>
        <v>0</v>
      </c>
      <c r="AE428" s="2906">
        <f t="shared" ca="1" si="386"/>
        <v>1.7763568394002505E-15</v>
      </c>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row>
    <row r="429" spans="1:113">
      <c r="A429" s="664"/>
      <c r="B429" s="664"/>
      <c r="D429" s="1782"/>
      <c r="E429" s="2897" t="s">
        <v>726</v>
      </c>
      <c r="F429" s="1782"/>
      <c r="G429" s="1782"/>
      <c r="H429" s="1782"/>
      <c r="I429" s="1782"/>
      <c r="J429" s="1782"/>
      <c r="K429" s="1782"/>
      <c r="L429" s="1782"/>
      <c r="M429" s="1782"/>
      <c r="N429" s="1782"/>
      <c r="O429" s="1782"/>
      <c r="P429" s="1782"/>
      <c r="Q429" s="1782"/>
      <c r="R429" s="1782"/>
      <c r="S429" s="1782"/>
      <c r="T429" s="1782"/>
      <c r="U429" s="3131">
        <f>U418+U419+U420+U422-U426+U423+U424-U425</f>
        <v>5.71983</v>
      </c>
      <c r="V429" s="2917"/>
      <c r="W429" s="2917"/>
      <c r="X429" s="2917"/>
      <c r="Y429" s="2917"/>
      <c r="Z429" s="2917"/>
      <c r="AA429" s="2917"/>
      <c r="AB429" s="2917"/>
      <c r="AC429" s="2917"/>
      <c r="AD429" s="2917"/>
      <c r="AE429" s="2917"/>
    </row>
    <row r="430" spans="1:113">
      <c r="A430" s="664"/>
      <c r="B430" s="664"/>
      <c r="G430" s="849"/>
      <c r="Q430" s="845"/>
      <c r="R430" s="2254"/>
      <c r="W430" s="2221">
        <v>-9.6</v>
      </c>
      <c r="AB430" s="2221"/>
      <c r="AC430" s="2221"/>
      <c r="AD430" s="2221"/>
      <c r="AE430" s="2221"/>
    </row>
    <row r="431" spans="1:113" ht="12.75" customHeight="1">
      <c r="A431" s="664"/>
      <c r="B431" s="664"/>
      <c r="C431" s="774"/>
      <c r="D431" s="742"/>
      <c r="E431" s="743" t="s">
        <v>1311</v>
      </c>
      <c r="F431" s="744"/>
      <c r="G431" s="745">
        <f>+InputY!$G$3</f>
        <v>1995</v>
      </c>
      <c r="H431" s="745">
        <f>+G431+1</f>
        <v>1996</v>
      </c>
      <c r="I431" s="745">
        <f t="shared" ref="I431:O431" si="387">+H431+1</f>
        <v>1997</v>
      </c>
      <c r="J431" s="745">
        <f t="shared" si="387"/>
        <v>1998</v>
      </c>
      <c r="K431" s="745">
        <f>+J431+1</f>
        <v>1999</v>
      </c>
      <c r="L431" s="745">
        <f t="shared" si="387"/>
        <v>2000</v>
      </c>
      <c r="M431" s="745">
        <f t="shared" si="387"/>
        <v>2001</v>
      </c>
      <c r="N431" s="745">
        <f t="shared" si="387"/>
        <v>2002</v>
      </c>
      <c r="O431" s="745">
        <f t="shared" si="387"/>
        <v>2003</v>
      </c>
      <c r="P431" s="745">
        <f t="shared" ref="P431:U431" si="388">+O431+1</f>
        <v>2004</v>
      </c>
      <c r="Q431" s="745">
        <f t="shared" si="388"/>
        <v>2005</v>
      </c>
      <c r="R431" s="2211">
        <f t="shared" si="388"/>
        <v>2006</v>
      </c>
      <c r="S431" s="2211">
        <f>+R431+1</f>
        <v>2007</v>
      </c>
      <c r="T431" s="2211">
        <f t="shared" si="388"/>
        <v>2008</v>
      </c>
      <c r="U431" s="2211">
        <f t="shared" si="388"/>
        <v>2009</v>
      </c>
      <c r="V431" s="2211">
        <f t="shared" ref="V431:AE431" si="389">+U431+1</f>
        <v>2010</v>
      </c>
      <c r="W431" s="2211">
        <f t="shared" si="389"/>
        <v>2011</v>
      </c>
      <c r="X431" s="2211">
        <f t="shared" si="389"/>
        <v>2012</v>
      </c>
      <c r="Y431" s="2211">
        <f t="shared" si="389"/>
        <v>2013</v>
      </c>
      <c r="Z431" s="2211">
        <f t="shared" si="389"/>
        <v>2014</v>
      </c>
      <c r="AA431" s="2211">
        <f t="shared" si="389"/>
        <v>2015</v>
      </c>
      <c r="AB431" s="2211">
        <f t="shared" si="389"/>
        <v>2016</v>
      </c>
      <c r="AC431" s="2211">
        <f t="shared" si="389"/>
        <v>2017</v>
      </c>
      <c r="AD431" s="2211">
        <f t="shared" si="389"/>
        <v>2018</v>
      </c>
      <c r="AE431" s="2211">
        <f t="shared" si="389"/>
        <v>2019</v>
      </c>
    </row>
    <row r="432" spans="1:113" ht="12.75" customHeight="1">
      <c r="A432" s="664"/>
      <c r="B432" s="664"/>
      <c r="C432" s="794" t="s">
        <v>1767</v>
      </c>
      <c r="D432" s="689" t="s">
        <v>687</v>
      </c>
      <c r="E432" s="738" t="str">
        <f>+E418</f>
        <v>Compensation of employees (D.1p)</v>
      </c>
      <c r="F432" s="733" t="s">
        <v>16</v>
      </c>
      <c r="G432" s="739"/>
      <c r="H432" s="739">
        <f t="shared" ref="H432:P432" si="390">(H418/G418-1)*100</f>
        <v>35.703879926758518</v>
      </c>
      <c r="I432" s="739">
        <f t="shared" si="390"/>
        <v>27.877086718865417</v>
      </c>
      <c r="J432" s="739">
        <f t="shared" si="390"/>
        <v>26.848428835489834</v>
      </c>
      <c r="K432" s="739">
        <f>(K418/J418-1)*100</f>
        <v>2.9769277474195555</v>
      </c>
      <c r="L432" s="739">
        <f t="shared" si="390"/>
        <v>-5.2151200155657556</v>
      </c>
      <c r="M432" s="739">
        <f t="shared" si="390"/>
        <v>2.6020477985543522</v>
      </c>
      <c r="N432" s="739">
        <f t="shared" si="390"/>
        <v>3.9165519791925618</v>
      </c>
      <c r="O432" s="739">
        <f t="shared" si="390"/>
        <v>4.2310138213895954</v>
      </c>
      <c r="P432" s="739">
        <f t="shared" si="390"/>
        <v>10.195182840478489</v>
      </c>
      <c r="Q432" s="739">
        <f>(Q418/P418-1)*100</f>
        <v>9.3672377798208917</v>
      </c>
      <c r="R432" s="2212">
        <f t="shared" ref="R432:AE432" si="391">(R418/Q418-1)*100</f>
        <v>16.326843405725743</v>
      </c>
      <c r="S432" s="2212">
        <f t="shared" si="391"/>
        <v>13.170513572971455</v>
      </c>
      <c r="T432" s="2212">
        <f t="shared" si="391"/>
        <v>22.625666788970111</v>
      </c>
      <c r="U432" s="2212">
        <f t="shared" si="391"/>
        <v>-1.8856090684159055</v>
      </c>
      <c r="V432" s="2212">
        <f t="shared" si="391"/>
        <v>-10.304786145337896</v>
      </c>
      <c r="W432" s="2212">
        <f t="shared" si="391"/>
        <v>4.5275333132821505</v>
      </c>
      <c r="X432" s="2212">
        <f t="shared" si="391"/>
        <v>1.3849055305520608</v>
      </c>
      <c r="Y432" s="2212">
        <f t="shared" si="391"/>
        <v>2.9874044070693273</v>
      </c>
      <c r="Z432" s="2212">
        <f t="shared" ref="Z432:AB433" si="392">(Z418/Y418-1)*100</f>
        <v>3.7053123455495829</v>
      </c>
      <c r="AA432" s="2212">
        <f t="shared" si="392"/>
        <v>4.1350028161691199</v>
      </c>
      <c r="AB432" s="2212">
        <f t="shared" si="392"/>
        <v>5.4652720570491864</v>
      </c>
      <c r="AC432" s="2268">
        <f t="shared" si="391"/>
        <v>5.2500506456830021</v>
      </c>
      <c r="AD432" s="2268">
        <f t="shared" si="391"/>
        <v>5.0435315257880697</v>
      </c>
      <c r="AE432" s="2268">
        <f t="shared" si="391"/>
        <v>5.5043480270370093</v>
      </c>
    </row>
    <row r="433" spans="1:113" ht="12.75" customHeight="1">
      <c r="A433" s="664"/>
      <c r="B433" s="664"/>
      <c r="C433" s="795" t="s">
        <v>1767</v>
      </c>
      <c r="D433" s="831" t="s">
        <v>687</v>
      </c>
      <c r="E433" s="832" t="str">
        <f>+E419</f>
        <v>Intermediate consumption (P.2)</v>
      </c>
      <c r="F433" s="704" t="s">
        <v>1552</v>
      </c>
      <c r="G433" s="706"/>
      <c r="H433" s="706">
        <f t="shared" ref="H433:P433" si="393">(H419/G419-1)*100</f>
        <v>18.783958235803166</v>
      </c>
      <c r="I433" s="706">
        <f t="shared" si="393"/>
        <v>34.992595423494002</v>
      </c>
      <c r="J433" s="706">
        <f t="shared" si="393"/>
        <v>6.928126548234137</v>
      </c>
      <c r="K433" s="706">
        <f>(K419/J419-1)*100</f>
        <v>-26.890777160917743</v>
      </c>
      <c r="L433" s="706">
        <f t="shared" si="393"/>
        <v>9.8322808447070198</v>
      </c>
      <c r="M433" s="706">
        <f t="shared" si="393"/>
        <v>-11.72282328696549</v>
      </c>
      <c r="N433" s="706">
        <f t="shared" si="393"/>
        <v>11.250919192744501</v>
      </c>
      <c r="O433" s="706">
        <f t="shared" si="393"/>
        <v>3.5735269430921646</v>
      </c>
      <c r="P433" s="706">
        <f t="shared" si="393"/>
        <v>3.1301282440892475</v>
      </c>
      <c r="Q433" s="706">
        <f>(Q419/P419-1)*100</f>
        <v>14.573510922520816</v>
      </c>
      <c r="R433" s="2219">
        <f t="shared" ref="R433:Y433" si="394">(R419/Q419-1)*100</f>
        <v>19.976852844099625</v>
      </c>
      <c r="S433" s="2219">
        <f t="shared" si="394"/>
        <v>6.0408583249373038</v>
      </c>
      <c r="T433" s="2219">
        <f t="shared" si="394"/>
        <v>22.64000916435873</v>
      </c>
      <c r="U433" s="2219">
        <f t="shared" si="394"/>
        <v>-16.307781910889616</v>
      </c>
      <c r="V433" s="2219">
        <f t="shared" si="394"/>
        <v>15.434712675372065</v>
      </c>
      <c r="W433" s="2219">
        <f t="shared" si="394"/>
        <v>-9.8743665720671725</v>
      </c>
      <c r="X433" s="2219">
        <f t="shared" si="394"/>
        <v>3.5887598048805147</v>
      </c>
      <c r="Y433" s="2219">
        <f t="shared" si="394"/>
        <v>-1.326193696163358</v>
      </c>
      <c r="Z433" s="2219">
        <f t="shared" si="392"/>
        <v>5.5470838452372773</v>
      </c>
      <c r="AA433" s="2219">
        <f t="shared" si="392"/>
        <v>9.2459142967443064</v>
      </c>
      <c r="AB433" s="2219">
        <f t="shared" si="392"/>
        <v>-1.138304536620105</v>
      </c>
      <c r="AC433" s="837">
        <f>(AC419/AB419-1)*100</f>
        <v>1.568987141341549</v>
      </c>
      <c r="AD433" s="837">
        <f ca="1">(AD419/AC419-1)*100</f>
        <v>7.3534328176090069</v>
      </c>
      <c r="AE433" s="837">
        <f ca="1">(AE419/AD419-1)*100</f>
        <v>4.9930327591620083</v>
      </c>
      <c r="AF433" s="3660" t="s">
        <v>2599</v>
      </c>
      <c r="AG433" s="3653" t="s">
        <v>2600</v>
      </c>
    </row>
    <row r="434" spans="1:113" ht="12.75" customHeight="1">
      <c r="A434" s="664"/>
      <c r="B434" s="664"/>
      <c r="C434" s="795" t="s">
        <v>1767</v>
      </c>
      <c r="D434" s="674" t="s">
        <v>687</v>
      </c>
      <c r="E434" s="783" t="str">
        <f>+E420</f>
        <v>Social transfers in kind via market producers (D.6311+D.63121+D.63122)</v>
      </c>
      <c r="F434" s="704"/>
      <c r="G434" s="706"/>
      <c r="H434" s="706">
        <f t="shared" ref="H434:P434" si="395">(H420/G420-1)*100</f>
        <v>42.728288633461034</v>
      </c>
      <c r="I434" s="706">
        <f t="shared" si="395"/>
        <v>-19.439628656115428</v>
      </c>
      <c r="J434" s="706">
        <f t="shared" si="395"/>
        <v>66.449149600833039</v>
      </c>
      <c r="K434" s="706">
        <f>(K420/J420-1)*100</f>
        <v>-6.1934353755682681</v>
      </c>
      <c r="L434" s="706">
        <f t="shared" si="395"/>
        <v>-16.556998043748873</v>
      </c>
      <c r="M434" s="706">
        <f t="shared" si="395"/>
        <v>-2.9305200341006032</v>
      </c>
      <c r="N434" s="706">
        <f t="shared" si="395"/>
        <v>20.556592381161476</v>
      </c>
      <c r="O434" s="706">
        <f t="shared" si="395"/>
        <v>10.763556891135106</v>
      </c>
      <c r="P434" s="706">
        <f t="shared" si="395"/>
        <v>8.8954659431907057</v>
      </c>
      <c r="Q434" s="706">
        <f>(Q420/P420-1)*100</f>
        <v>43.735608319806715</v>
      </c>
      <c r="R434" s="2219">
        <f>(R420/Q420-1)*100</f>
        <v>5.719988444467794</v>
      </c>
      <c r="S434" s="2219">
        <f>(S420/R420-1)*100</f>
        <v>13.615699913054268</v>
      </c>
      <c r="T434" s="2219">
        <f t="shared" ref="T434:AB434" si="396">(T420/S420-1)*100</f>
        <v>23.425747769809348</v>
      </c>
      <c r="U434" s="2219">
        <f t="shared" si="396"/>
        <v>-4.937112488928264</v>
      </c>
      <c r="V434" s="2219">
        <f t="shared" si="396"/>
        <v>-1.8634813558571217E-3</v>
      </c>
      <c r="W434" s="2219">
        <f t="shared" si="396"/>
        <v>15.508180835600616</v>
      </c>
      <c r="X434" s="2219">
        <f t="shared" si="396"/>
        <v>-5.6643649974187031</v>
      </c>
      <c r="Y434" s="2219">
        <f t="shared" si="396"/>
        <v>-5.3819711661792669</v>
      </c>
      <c r="Z434" s="2219">
        <f t="shared" si="396"/>
        <v>4.4228753208256588</v>
      </c>
      <c r="AA434" s="2219">
        <f t="shared" si="396"/>
        <v>7.0223114603707559</v>
      </c>
      <c r="AB434" s="2219">
        <f t="shared" si="396"/>
        <v>3.9446870451237404</v>
      </c>
      <c r="AC434" s="2215">
        <v>3.5</v>
      </c>
      <c r="AD434" s="2215">
        <v>3.5</v>
      </c>
      <c r="AE434" s="2215">
        <v>3</v>
      </c>
    </row>
    <row r="435" spans="1:113" s="574" customFormat="1" ht="12.75" customHeight="1">
      <c r="A435" s="998"/>
      <c r="B435" s="998"/>
      <c r="C435" s="999"/>
      <c r="D435" s="1000"/>
      <c r="E435" s="1004" t="s">
        <v>791</v>
      </c>
      <c r="F435" s="1001"/>
      <c r="G435" s="1005"/>
      <c r="H435" s="1005">
        <f>+'VVP2'!H197</f>
        <v>29.255023730182785</v>
      </c>
      <c r="I435" s="1005">
        <f>+'VVP2'!I197</f>
        <v>32.124686282360514</v>
      </c>
      <c r="J435" s="1005">
        <f>+'VVP2'!J197</f>
        <v>22.856382624891893</v>
      </c>
      <c r="K435" s="1005">
        <f>+'VVP2'!K197</f>
        <v>4.2648040861263059</v>
      </c>
      <c r="L435" s="1005">
        <f>+'VVP2'!L197</f>
        <v>-15.558248225722693</v>
      </c>
      <c r="M435" s="1005">
        <f>+'VVP2'!M197</f>
        <v>3.8648135241140746</v>
      </c>
      <c r="N435" s="1005">
        <f>+'VVP2'!N197</f>
        <v>8.3742319180010849</v>
      </c>
      <c r="O435" s="1005">
        <f>+'VVP2'!O197</f>
        <v>4.1073022078418786</v>
      </c>
      <c r="P435" s="1005">
        <f>+'VVP2'!P197</f>
        <v>7.4642705120206099</v>
      </c>
      <c r="Q435" s="1005">
        <f>+'VVP2'!Q197</f>
        <v>15.21557477563511</v>
      </c>
      <c r="R435" s="2292">
        <f>+'VVP2'!R197</f>
        <v>15.013186399171129</v>
      </c>
      <c r="S435" s="2292">
        <f>+'VVP2'!S197</f>
        <v>11.853295607630866</v>
      </c>
      <c r="T435" s="2292">
        <f>+'VVP2'!T197</f>
        <v>23.591795495063451</v>
      </c>
      <c r="U435" s="2292">
        <f>+'VVP2'!U197</f>
        <v>0.38594599718020373</v>
      </c>
      <c r="V435" s="2292">
        <f>+'VVP2'!V197</f>
        <v>-5.7949633388902688</v>
      </c>
      <c r="W435" s="2292">
        <f>+'VVP2'!W197</f>
        <v>4.4065460809646684</v>
      </c>
      <c r="X435" s="2292">
        <f>+'VVP2'!X197</f>
        <v>-1.0931650187193998</v>
      </c>
      <c r="Y435" s="2292">
        <f>+'VVP2'!Y197</f>
        <v>0.39278131634818969</v>
      </c>
      <c r="Z435" s="2292">
        <f>+'VVP2'!Z197</f>
        <v>2.4909741839000743</v>
      </c>
      <c r="AA435" s="2292">
        <f>+'VVP2'!AA197</f>
        <v>7.2535667963683492</v>
      </c>
      <c r="AB435" s="2292">
        <f>+'VVP2'!AB197</f>
        <v>3.7941772228436754</v>
      </c>
      <c r="AC435" s="2918">
        <f>+'VVP2'!AC197</f>
        <v>3.8215076313643292</v>
      </c>
      <c r="AD435" s="2918">
        <f ca="1">+'VVP2'!AD197</f>
        <v>6.1357361072627299</v>
      </c>
      <c r="AE435" s="2918">
        <f ca="1">+'VVP2'!AE197</f>
        <v>5.2359043934756073</v>
      </c>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row>
    <row r="436" spans="1:113" ht="12.75" customHeight="1">
      <c r="A436" s="664"/>
      <c r="B436" s="664"/>
      <c r="C436" s="795" t="s">
        <v>1767</v>
      </c>
      <c r="D436" s="674" t="s">
        <v>687</v>
      </c>
      <c r="E436" s="783" t="str">
        <f t="shared" ref="E436:E441" si="397">+E422</f>
        <v>Consumption of fixed capital (K.1)</v>
      </c>
      <c r="F436" s="704"/>
      <c r="G436" s="706"/>
      <c r="H436" s="706">
        <f t="shared" ref="H436:AB439" si="398">(H422/G422-1)*100</f>
        <v>11.437025971041148</v>
      </c>
      <c r="I436" s="706">
        <f t="shared" si="398"/>
        <v>9.9022918868751475</v>
      </c>
      <c r="J436" s="706">
        <f t="shared" si="398"/>
        <v>3.1198686371100237</v>
      </c>
      <c r="K436" s="706">
        <f t="shared" ref="K436:K441" si="399">(K422/J422-1)*100</f>
        <v>0.98498635122836742</v>
      </c>
      <c r="L436" s="706">
        <f t="shared" si="398"/>
        <v>1.2997544657941562</v>
      </c>
      <c r="M436" s="706">
        <f t="shared" si="398"/>
        <v>-0.3958194351790012</v>
      </c>
      <c r="N436" s="706">
        <f t="shared" si="398"/>
        <v>-0.93543489908912703</v>
      </c>
      <c r="O436" s="706">
        <f t="shared" si="398"/>
        <v>6.292114574177976</v>
      </c>
      <c r="P436" s="706">
        <f t="shared" si="398"/>
        <v>5.1118414078235919</v>
      </c>
      <c r="Q436" s="706">
        <f t="shared" si="398"/>
        <v>9.8495239632080178</v>
      </c>
      <c r="R436" s="2219">
        <f t="shared" ref="R436:AB436" si="400">(R422/Q422-1)*100</f>
        <v>11.588534493839408</v>
      </c>
      <c r="S436" s="2219">
        <f t="shared" si="400"/>
        <v>15.593220338983071</v>
      </c>
      <c r="T436" s="2219">
        <f t="shared" si="400"/>
        <v>16.076360219798968</v>
      </c>
      <c r="U436" s="2219">
        <f t="shared" si="400"/>
        <v>0.19745152626351459</v>
      </c>
      <c r="V436" s="2219">
        <f t="shared" si="400"/>
        <v>-0.5397796817625311</v>
      </c>
      <c r="W436" s="2219">
        <f t="shared" si="400"/>
        <v>9.0033104025400323</v>
      </c>
      <c r="X436" s="2219">
        <f t="shared" si="400"/>
        <v>8.5678803274061401</v>
      </c>
      <c r="Y436" s="2219">
        <f t="shared" si="400"/>
        <v>6.7208102824341864</v>
      </c>
      <c r="Z436" s="2219">
        <f t="shared" si="400"/>
        <v>4.6449764681808947</v>
      </c>
      <c r="AA436" s="2219">
        <f t="shared" si="400"/>
        <v>2.7990390524610387</v>
      </c>
      <c r="AB436" s="2219">
        <f t="shared" si="400"/>
        <v>3.4221014492753499</v>
      </c>
      <c r="AC436" s="2259">
        <v>3.5</v>
      </c>
      <c r="AD436" s="2259">
        <v>4</v>
      </c>
      <c r="AE436" s="2259">
        <v>3.5</v>
      </c>
    </row>
    <row r="437" spans="1:113" ht="12.75" customHeight="1">
      <c r="A437" s="664"/>
      <c r="B437" s="664"/>
      <c r="C437" s="795" t="s">
        <v>1767</v>
      </c>
      <c r="D437" s="674" t="s">
        <v>687</v>
      </c>
      <c r="E437" s="783" t="str">
        <f t="shared" si="397"/>
        <v>Net operating surplus (B.2n)</v>
      </c>
      <c r="F437" s="704"/>
      <c r="G437" s="706"/>
      <c r="H437" s="706" t="e">
        <f t="shared" si="398"/>
        <v>#DIV/0!</v>
      </c>
      <c r="I437" s="706" t="e">
        <f t="shared" si="398"/>
        <v>#DIV/0!</v>
      </c>
      <c r="J437" s="706">
        <f t="shared" si="398"/>
        <v>-100</v>
      </c>
      <c r="K437" s="706" t="e">
        <f t="shared" si="399"/>
        <v>#DIV/0!</v>
      </c>
      <c r="L437" s="706" t="e">
        <f t="shared" si="398"/>
        <v>#DIV/0!</v>
      </c>
      <c r="M437" s="706">
        <f t="shared" si="398"/>
        <v>-599.99999999111822</v>
      </c>
      <c r="N437" s="706">
        <f t="shared" si="398"/>
        <v>99.999999998223643</v>
      </c>
      <c r="O437" s="706">
        <f t="shared" si="398"/>
        <v>-220.00000000031088</v>
      </c>
      <c r="P437" s="706">
        <f t="shared" si="398"/>
        <v>-8.3333333330712023</v>
      </c>
      <c r="Q437" s="706">
        <f t="shared" si="398"/>
        <v>718.18181817988216</v>
      </c>
      <c r="R437" s="2219">
        <f t="shared" si="398"/>
        <v>476.66666666683852</v>
      </c>
      <c r="S437" s="2219">
        <f t="shared" si="398"/>
        <v>26.782273603084473</v>
      </c>
      <c r="T437" s="2219">
        <f t="shared" si="398"/>
        <v>-51.215805471119992</v>
      </c>
      <c r="U437" s="2219">
        <f t="shared" si="398"/>
        <v>-75.70093457943689</v>
      </c>
      <c r="V437" s="2219">
        <f t="shared" si="398"/>
        <v>284.61538461534303</v>
      </c>
      <c r="W437" s="2219">
        <f t="shared" si="398"/>
        <v>-0.33333333333550597</v>
      </c>
      <c r="X437" s="2219">
        <f t="shared" si="398"/>
        <v>406.6889632107052</v>
      </c>
      <c r="Y437" s="2219">
        <f t="shared" si="398"/>
        <v>-71.419141914192409</v>
      </c>
      <c r="Z437" s="2219">
        <f t="shared" si="398"/>
        <v>18.706697459563504</v>
      </c>
      <c r="AA437" s="2219">
        <f t="shared" si="398"/>
        <v>-110.50583657586421</v>
      </c>
      <c r="AB437" s="2219">
        <f t="shared" si="398"/>
        <v>-322.22222222251918</v>
      </c>
      <c r="AC437" s="2259">
        <v>0</v>
      </c>
      <c r="AD437" s="2259">
        <v>0</v>
      </c>
      <c r="AE437" s="2259">
        <v>0</v>
      </c>
    </row>
    <row r="438" spans="1:113" ht="12.75" customHeight="1">
      <c r="A438" s="664"/>
      <c r="B438" s="664"/>
      <c r="C438" s="795" t="s">
        <v>1767</v>
      </c>
      <c r="D438" s="674" t="s">
        <v>687</v>
      </c>
      <c r="E438" s="783" t="str">
        <f t="shared" si="397"/>
        <v>Other taxes on production (D.29p)</v>
      </c>
      <c r="F438" s="704" t="s">
        <v>215</v>
      </c>
      <c r="G438" s="706"/>
      <c r="H438" s="706">
        <f t="shared" si="398"/>
        <v>55.438596491228068</v>
      </c>
      <c r="I438" s="706">
        <f t="shared" si="398"/>
        <v>32.505643340857794</v>
      </c>
      <c r="J438" s="706">
        <f t="shared" si="398"/>
        <v>5.110732538330498</v>
      </c>
      <c r="K438" s="706">
        <f t="shared" si="399"/>
        <v>4.2139384116693712</v>
      </c>
      <c r="L438" s="706">
        <f t="shared" si="398"/>
        <v>-3.7325038880248851</v>
      </c>
      <c r="M438" s="706">
        <f t="shared" si="398"/>
        <v>12.277867528271402</v>
      </c>
      <c r="N438" s="706">
        <f t="shared" si="398"/>
        <v>9.6402877697841625</v>
      </c>
      <c r="O438" s="706">
        <f t="shared" si="398"/>
        <v>0.65616797900263091</v>
      </c>
      <c r="P438" s="706">
        <f t="shared" si="398"/>
        <v>24.511082138200813</v>
      </c>
      <c r="Q438" s="706">
        <f t="shared" si="398"/>
        <v>-56.544502617801051</v>
      </c>
      <c r="R438" s="2219">
        <f t="shared" ref="R438:AE439" si="401">(R424/Q424-1)*100</f>
        <v>-13.253012048192769</v>
      </c>
      <c r="S438" s="2219">
        <f t="shared" si="401"/>
        <v>1.1111111111111072</v>
      </c>
      <c r="T438" s="2219">
        <f t="shared" si="401"/>
        <v>-10.164835164835173</v>
      </c>
      <c r="U438" s="2219">
        <f t="shared" si="401"/>
        <v>-24.770642201834857</v>
      </c>
      <c r="V438" s="2219">
        <f t="shared" si="401"/>
        <v>-9.7560975609755971</v>
      </c>
      <c r="W438" s="2219">
        <f t="shared" si="401"/>
        <v>27.027027027027039</v>
      </c>
      <c r="X438" s="2219">
        <f t="shared" si="401"/>
        <v>31.914893617021267</v>
      </c>
      <c r="Y438" s="2219">
        <f t="shared" si="401"/>
        <v>17.204301075268823</v>
      </c>
      <c r="Z438" s="2219">
        <f t="shared" si="401"/>
        <v>15.825688073394485</v>
      </c>
      <c r="AA438" s="2219">
        <f t="shared" si="401"/>
        <v>-48.118811881188115</v>
      </c>
      <c r="AB438" s="2219">
        <f t="shared" si="401"/>
        <v>3.0534351145038219</v>
      </c>
      <c r="AC438" s="2265">
        <f t="shared" si="401"/>
        <v>5.0000000000000044</v>
      </c>
      <c r="AD438" s="2265">
        <f t="shared" si="401"/>
        <v>5.0000000000000044</v>
      </c>
      <c r="AE438" s="2265">
        <f t="shared" si="401"/>
        <v>5.0000000000000044</v>
      </c>
    </row>
    <row r="439" spans="1:113" ht="12.75" customHeight="1">
      <c r="A439" s="664"/>
      <c r="B439" s="664"/>
      <c r="C439" s="795" t="s">
        <v>401</v>
      </c>
      <c r="D439" s="674" t="s">
        <v>687</v>
      </c>
      <c r="E439" s="783" t="str">
        <f t="shared" si="397"/>
        <v>Other subsidies on production (D.39r)</v>
      </c>
      <c r="F439" s="704" t="s">
        <v>218</v>
      </c>
      <c r="G439" s="706"/>
      <c r="H439" s="706" t="e">
        <f t="shared" si="398"/>
        <v>#DIV/0!</v>
      </c>
      <c r="I439" s="706" t="e">
        <f t="shared" si="398"/>
        <v>#DIV/0!</v>
      </c>
      <c r="J439" s="706" t="e">
        <f t="shared" si="398"/>
        <v>#DIV/0!</v>
      </c>
      <c r="K439" s="706" t="e">
        <f t="shared" si="399"/>
        <v>#DIV/0!</v>
      </c>
      <c r="L439" s="706" t="e">
        <f t="shared" si="398"/>
        <v>#DIV/0!</v>
      </c>
      <c r="M439" s="706" t="e">
        <f t="shared" si="398"/>
        <v>#DIV/0!</v>
      </c>
      <c r="N439" s="706" t="e">
        <f t="shared" si="398"/>
        <v>#DIV/0!</v>
      </c>
      <c r="O439" s="706" t="e">
        <f t="shared" si="398"/>
        <v>#DIV/0!</v>
      </c>
      <c r="P439" s="706" t="e">
        <f t="shared" si="398"/>
        <v>#DIV/0!</v>
      </c>
      <c r="Q439" s="706" t="e">
        <f t="shared" si="398"/>
        <v>#DIV/0!</v>
      </c>
      <c r="R439" s="2219" t="e">
        <f t="shared" si="401"/>
        <v>#DIV/0!</v>
      </c>
      <c r="S439" s="3129">
        <v>0</v>
      </c>
      <c r="T439" s="706">
        <v>0</v>
      </c>
      <c r="U439" s="706">
        <v>0</v>
      </c>
      <c r="V439" s="706">
        <v>1</v>
      </c>
      <c r="W439" s="706">
        <v>1</v>
      </c>
      <c r="X439" s="706">
        <v>2</v>
      </c>
      <c r="Y439" s="706">
        <v>3</v>
      </c>
      <c r="Z439" s="706">
        <v>3</v>
      </c>
      <c r="AA439" s="706">
        <v>4</v>
      </c>
      <c r="AB439" s="706">
        <v>5</v>
      </c>
      <c r="AC439" s="2295">
        <v>4.5</v>
      </c>
      <c r="AD439" s="2295">
        <v>4.5</v>
      </c>
      <c r="AE439" s="2295">
        <v>4.5</v>
      </c>
    </row>
    <row r="440" spans="1:113" ht="12.75" customHeight="1">
      <c r="A440" s="664"/>
      <c r="B440" s="664"/>
      <c r="C440" s="796" t="s">
        <v>401</v>
      </c>
      <c r="D440" s="691" t="s">
        <v>687</v>
      </c>
      <c r="E440" s="797" t="str">
        <f t="shared" si="397"/>
        <v>Sales (P.11 + P.12 + P.131)</v>
      </c>
      <c r="F440" s="736"/>
      <c r="G440" s="741"/>
      <c r="H440" s="741">
        <f>(H426/G426-1)*100</f>
        <v>27.482057416267946</v>
      </c>
      <c r="I440" s="741">
        <f t="shared" ref="I440:Q440" si="402">(I426/H426-1)*100</f>
        <v>102.62725779967158</v>
      </c>
      <c r="J440" s="741">
        <f t="shared" si="402"/>
        <v>-1.2039824033341029</v>
      </c>
      <c r="K440" s="741">
        <f t="shared" si="399"/>
        <v>44.586360440590589</v>
      </c>
      <c r="L440" s="741">
        <f t="shared" si="402"/>
        <v>-8.2097414701353451</v>
      </c>
      <c r="M440" s="741">
        <f t="shared" si="402"/>
        <v>-37.444817234681274</v>
      </c>
      <c r="N440" s="741">
        <f t="shared" si="402"/>
        <v>49.675370501058595</v>
      </c>
      <c r="O440" s="741">
        <f t="shared" si="402"/>
        <v>11.895893252864354</v>
      </c>
      <c r="P440" s="741">
        <f t="shared" si="402"/>
        <v>10.222484409236454</v>
      </c>
      <c r="Q440" s="741">
        <f t="shared" si="402"/>
        <v>38.974692254759532</v>
      </c>
      <c r="R440" s="2266">
        <f t="shared" ref="R440:AB441" si="403">(R426/Q426-1)*100</f>
        <v>-12.631694770720436</v>
      </c>
      <c r="S440" s="2266">
        <f t="shared" si="403"/>
        <v>32.769749063316667</v>
      </c>
      <c r="T440" s="2266">
        <f t="shared" si="403"/>
        <v>37.864307903910444</v>
      </c>
      <c r="U440" s="2266">
        <f t="shared" si="403"/>
        <v>-1.8697536810238002</v>
      </c>
      <c r="V440" s="2266">
        <f t="shared" si="403"/>
        <v>6.6048484636014759</v>
      </c>
      <c r="W440" s="2266">
        <f t="shared" si="403"/>
        <v>-8.5650393804364011</v>
      </c>
      <c r="X440" s="2266">
        <f t="shared" si="403"/>
        <v>11.082937706804774</v>
      </c>
      <c r="Y440" s="2266">
        <f t="shared" si="403"/>
        <v>14.856486053325991</v>
      </c>
      <c r="Z440" s="2266">
        <f t="shared" si="403"/>
        <v>7.1629926143090605</v>
      </c>
      <c r="AA440" s="2266">
        <f t="shared" si="403"/>
        <v>1.0943048796527632</v>
      </c>
      <c r="AB440" s="2266">
        <f t="shared" si="403"/>
        <v>4.1190705420103502</v>
      </c>
      <c r="AC440" s="2214">
        <v>2.5</v>
      </c>
      <c r="AD440" s="2214">
        <v>2.5</v>
      </c>
      <c r="AE440" s="2214">
        <v>2.5</v>
      </c>
    </row>
    <row r="441" spans="1:113" ht="12.75" customHeight="1">
      <c r="A441" s="664"/>
      <c r="B441" s="664"/>
      <c r="C441" s="774"/>
      <c r="D441" s="717" t="s">
        <v>687</v>
      </c>
      <c r="E441" s="722" t="str">
        <f t="shared" si="397"/>
        <v>Final consumption expenditure</v>
      </c>
      <c r="F441" s="723" t="s">
        <v>1366</v>
      </c>
      <c r="G441" s="721"/>
      <c r="H441" s="721">
        <f>(H427/G427-1)*100</f>
        <v>25.563776551190909</v>
      </c>
      <c r="I441" s="721">
        <f t="shared" ref="I441:Q441" si="404">(I427/H427-1)*100</f>
        <v>21.107523893010626</v>
      </c>
      <c r="J441" s="721">
        <f t="shared" si="404"/>
        <v>19.007047624427976</v>
      </c>
      <c r="K441" s="721">
        <f t="shared" si="399"/>
        <v>-10.74983607627421</v>
      </c>
      <c r="L441" s="721">
        <f t="shared" si="404"/>
        <v>-0.43282416102921051</v>
      </c>
      <c r="M441" s="721">
        <f t="shared" si="404"/>
        <v>0.21067532961842605</v>
      </c>
      <c r="N441" s="721">
        <f t="shared" si="404"/>
        <v>4.1473426088810772</v>
      </c>
      <c r="O441" s="721">
        <f t="shared" si="404"/>
        <v>4.260825612939545</v>
      </c>
      <c r="P441" s="721">
        <f t="shared" si="404"/>
        <v>7.2529003316856411</v>
      </c>
      <c r="Q441" s="721">
        <f t="shared" si="404"/>
        <v>11.183553664865297</v>
      </c>
      <c r="R441" s="2272">
        <f t="shared" si="403"/>
        <v>18.502679851070791</v>
      </c>
      <c r="S441" s="2272">
        <f t="shared" si="403"/>
        <v>10.016936271848852</v>
      </c>
      <c r="T441" s="2272">
        <f t="shared" si="403"/>
        <v>20.406644785793105</v>
      </c>
      <c r="U441" s="2272">
        <f t="shared" si="403"/>
        <v>-6.244590873328093</v>
      </c>
      <c r="V441" s="2272">
        <f t="shared" si="403"/>
        <v>-2.7352211516775804</v>
      </c>
      <c r="W441" s="721">
        <f t="shared" ref="W441:AE441" si="405">(W427/V427-1)*100</f>
        <v>3.1265166140008294</v>
      </c>
      <c r="X441" s="721">
        <f t="shared" si="405"/>
        <v>1.6272405931689438</v>
      </c>
      <c r="Y441" s="721">
        <f t="shared" si="405"/>
        <v>0.10787764034383418</v>
      </c>
      <c r="Z441" s="721">
        <f t="shared" si="405"/>
        <v>4.0493612268009072</v>
      </c>
      <c r="AA441" s="721">
        <f t="shared" si="405"/>
        <v>5.8524730255065993</v>
      </c>
      <c r="AB441" s="721">
        <f t="shared" si="405"/>
        <v>3.2370111234341969</v>
      </c>
      <c r="AC441" s="2260">
        <f t="shared" si="405"/>
        <v>4.0859622080890556</v>
      </c>
      <c r="AD441" s="2260">
        <f t="shared" ca="1" si="405"/>
        <v>5.6446159999999912</v>
      </c>
      <c r="AE441" s="2260">
        <f t="shared" ca="1" si="405"/>
        <v>5.1345160000000334</v>
      </c>
    </row>
    <row r="442" spans="1:113" ht="12.75" customHeight="1">
      <c r="A442" s="664"/>
      <c r="B442" s="664"/>
      <c r="C442" s="774"/>
      <c r="E442" s="786"/>
      <c r="F442" s="787"/>
      <c r="G442" s="703"/>
      <c r="H442" s="788"/>
      <c r="I442" s="703"/>
      <c r="J442" s="703"/>
      <c r="K442" s="703"/>
      <c r="L442" s="703"/>
      <c r="M442" s="703"/>
      <c r="N442" s="703"/>
      <c r="O442" s="703"/>
      <c r="P442" s="703"/>
      <c r="Q442" s="845"/>
      <c r="R442" s="2254"/>
      <c r="S442" s="2254"/>
      <c r="T442" s="2254"/>
      <c r="U442" s="2254"/>
      <c r="V442" s="2254"/>
      <c r="W442" s="3172"/>
      <c r="X442" s="2254"/>
      <c r="Y442" s="2254"/>
      <c r="Z442" s="2254"/>
      <c r="AA442" s="2254"/>
      <c r="AB442" s="2254"/>
      <c r="AC442" s="2254"/>
      <c r="AD442" s="2254"/>
      <c r="AE442" s="2254"/>
    </row>
    <row r="443" spans="1:113" ht="12.75" customHeight="1">
      <c r="A443" s="664"/>
      <c r="B443" s="664"/>
      <c r="C443" s="774"/>
      <c r="D443" s="818"/>
      <c r="E443" s="819" t="s">
        <v>512</v>
      </c>
      <c r="F443" s="820"/>
      <c r="G443" s="821">
        <f>+InputY!$G$3</f>
        <v>1995</v>
      </c>
      <c r="H443" s="821">
        <f>+G443+1</f>
        <v>1996</v>
      </c>
      <c r="I443" s="821">
        <f t="shared" ref="I443:O443" si="406">+H443+1</f>
        <v>1997</v>
      </c>
      <c r="J443" s="821">
        <f t="shared" si="406"/>
        <v>1998</v>
      </c>
      <c r="K443" s="821">
        <f>+J443+1</f>
        <v>1999</v>
      </c>
      <c r="L443" s="821">
        <f t="shared" si="406"/>
        <v>2000</v>
      </c>
      <c r="M443" s="821">
        <f t="shared" si="406"/>
        <v>2001</v>
      </c>
      <c r="N443" s="821">
        <f t="shared" si="406"/>
        <v>2002</v>
      </c>
      <c r="O443" s="821">
        <f t="shared" si="406"/>
        <v>2003</v>
      </c>
      <c r="P443" s="821">
        <f t="shared" ref="P443:U443" si="407">+O443+1</f>
        <v>2004</v>
      </c>
      <c r="Q443" s="821">
        <f t="shared" si="407"/>
        <v>2005</v>
      </c>
      <c r="R443" s="2255">
        <f t="shared" si="407"/>
        <v>2006</v>
      </c>
      <c r="S443" s="2255">
        <f>+R443+1</f>
        <v>2007</v>
      </c>
      <c r="T443" s="2255">
        <f t="shared" si="407"/>
        <v>2008</v>
      </c>
      <c r="U443" s="2255">
        <f t="shared" si="407"/>
        <v>2009</v>
      </c>
      <c r="V443" s="2255">
        <f t="shared" ref="V443:AE443" si="408">+U443+1</f>
        <v>2010</v>
      </c>
      <c r="W443" s="2255">
        <f t="shared" si="408"/>
        <v>2011</v>
      </c>
      <c r="X443" s="2255">
        <f t="shared" si="408"/>
        <v>2012</v>
      </c>
      <c r="Y443" s="2255">
        <f t="shared" si="408"/>
        <v>2013</v>
      </c>
      <c r="Z443" s="2255">
        <f t="shared" si="408"/>
        <v>2014</v>
      </c>
      <c r="AA443" s="2255">
        <f t="shared" si="408"/>
        <v>2015</v>
      </c>
      <c r="AB443" s="2255">
        <f t="shared" si="408"/>
        <v>2016</v>
      </c>
      <c r="AC443" s="2255">
        <f t="shared" si="408"/>
        <v>2017</v>
      </c>
      <c r="AD443" s="2255">
        <f t="shared" si="408"/>
        <v>2018</v>
      </c>
      <c r="AE443" s="2255">
        <f t="shared" si="408"/>
        <v>2019</v>
      </c>
    </row>
    <row r="444" spans="1:113" ht="12.75" customHeight="1">
      <c r="A444" s="664"/>
      <c r="B444" s="664"/>
      <c r="C444" s="822" t="s">
        <v>1767</v>
      </c>
      <c r="D444" s="823" t="s">
        <v>687</v>
      </c>
      <c r="E444" s="824" t="s">
        <v>1376</v>
      </c>
      <c r="F444" s="825" t="s">
        <v>16</v>
      </c>
      <c r="G444" s="838">
        <f>+G418/'VVP2'!G$341</f>
        <v>9.6362561545901698E-2</v>
      </c>
      <c r="H444" s="838">
        <f>+H418/'VVP2'!H$341</f>
        <v>0.10452278377418507</v>
      </c>
      <c r="I444" s="838">
        <f>+I418/'VVP2'!I$341</f>
        <v>0.11074397364798359</v>
      </c>
      <c r="J444" s="838">
        <f>+J418/'VVP2'!J$341</f>
        <v>0.1264786560548489</v>
      </c>
      <c r="K444" s="838">
        <f>+K418/'VVP2'!K$341</f>
        <v>0.13341876388443119</v>
      </c>
      <c r="L444" s="838">
        <f>+L418/'VVP2'!L$341</f>
        <v>0.12025421560750976</v>
      </c>
      <c r="M444" s="838">
        <f>+M418/'VVP2'!M$341</f>
        <v>0.11620047736732203</v>
      </c>
      <c r="N444" s="838">
        <f>+N418/'VVP2'!N$341</f>
        <v>0.11274771956898258</v>
      </c>
      <c r="O444" s="838">
        <f>+O418/'VVP2'!O$341</f>
        <v>0.10718013880089847</v>
      </c>
      <c r="P444" s="838">
        <f>+P418/'VVP2'!P$341</f>
        <v>0.10794496241854794</v>
      </c>
      <c r="Q444" s="838">
        <f>+Q418/'VVP2'!Q$341</f>
        <v>0.10251614700259734</v>
      </c>
      <c r="R444" s="2279">
        <f>+R418/'VVP2'!R$341</f>
        <v>0.10401558524833486</v>
      </c>
      <c r="S444" s="2279">
        <f>+S418/'VVP2'!S$341</f>
        <v>9.7603842336916588E-2</v>
      </c>
      <c r="T444" s="2261">
        <f>+T418/'VVP2'!T$341</f>
        <v>0.10630567147088292</v>
      </c>
      <c r="U444" s="2261">
        <f>+U418/'VVP2'!U$341</f>
        <v>0.12661157564817588</v>
      </c>
      <c r="V444" s="2261">
        <f>+V418/'VVP2'!V$341</f>
        <v>0.10913647446843582</v>
      </c>
      <c r="W444" s="2261">
        <f>+W418/'VVP2'!W$341</f>
        <v>0.10223172776489577</v>
      </c>
      <c r="X444" s="2261">
        <f>+X418/'VVP2'!X$341</f>
        <v>9.7204130443126646E-2</v>
      </c>
      <c r="Y444" s="2261">
        <f>+Y418/'VVP2'!Y$341</f>
        <v>9.5494377089015467E-2</v>
      </c>
      <c r="Z444" s="2261">
        <f>+Z418/'VVP2'!Z$341</f>
        <v>9.4676315101503275E-2</v>
      </c>
      <c r="AA444" s="2261">
        <f>+AA418/'VVP2'!AA$341</f>
        <v>9.6330124475607043E-2</v>
      </c>
      <c r="AB444" s="2261">
        <f>+AB418/'VVP2'!AB$341</f>
        <v>9.8332433371814451E-2</v>
      </c>
      <c r="AC444" s="2261">
        <f ca="1">+AC418/'VVP2'!AC$341</f>
        <v>9.5787795717815691E-2</v>
      </c>
      <c r="AD444" s="2261">
        <f ca="1">+AD418/'VVP2'!AD$341</f>
        <v>9.5084098771006514E-2</v>
      </c>
      <c r="AE444" s="2261">
        <f ca="1">+AE418/'VVP2'!AE$341</f>
        <v>9.5020676898133691E-2</v>
      </c>
    </row>
    <row r="445" spans="1:113" ht="12.75" customHeight="1">
      <c r="A445" s="664"/>
      <c r="B445" s="664"/>
      <c r="C445" s="826" t="s">
        <v>1767</v>
      </c>
      <c r="D445" s="674" t="s">
        <v>687</v>
      </c>
      <c r="E445" s="783" t="s">
        <v>1623</v>
      </c>
      <c r="F445" s="704" t="s">
        <v>1552</v>
      </c>
      <c r="G445" s="839">
        <f>+G419/'VVP2'!G$341</f>
        <v>9.0785920075007756E-2</v>
      </c>
      <c r="H445" s="839">
        <f>+H419/'VVP2'!H$341</f>
        <v>8.6195910089920377E-2</v>
      </c>
      <c r="I445" s="839">
        <f>+I419/'VVP2'!I$341</f>
        <v>9.6407985438839203E-2</v>
      </c>
      <c r="J445" s="839">
        <f>+J419/'VVP2'!J$341</f>
        <v>9.2814752925058905E-2</v>
      </c>
      <c r="K445" s="839">
        <f>+K419/'VVP2'!K$341</f>
        <v>6.9510261105971638E-2</v>
      </c>
      <c r="L445" s="839">
        <f>+L419/'VVP2'!L$341</f>
        <v>7.2597765739240497E-2</v>
      </c>
      <c r="M445" s="839">
        <f>+M419/'VVP2'!M$341</f>
        <v>6.0356391057957572E-2</v>
      </c>
      <c r="N445" s="839">
        <f>+N419/'VVP2'!N$341</f>
        <v>6.2696312434343246E-2</v>
      </c>
      <c r="O445" s="839">
        <f>+O419/'VVP2'!O$341</f>
        <v>5.9224356390024768E-2</v>
      </c>
      <c r="P445" s="839">
        <f>+P419/'VVP2'!P$341</f>
        <v>5.5822767319599169E-2</v>
      </c>
      <c r="Q445" s="839">
        <f>+Q419/'VVP2'!Q$341</f>
        <v>5.5539023014091277E-2</v>
      </c>
      <c r="R445" s="2280">
        <f>+R419/'VVP2'!R$341</f>
        <v>5.8119504069490735E-2</v>
      </c>
      <c r="S445" s="2280">
        <f>+S419/'VVP2'!S$341</f>
        <v>5.1101111338378677E-2</v>
      </c>
      <c r="T445" s="2262">
        <f>+T419/'VVP2'!T$341</f>
        <v>5.5663518907961396E-2</v>
      </c>
      <c r="U445" s="2262">
        <f>+U419/'VVP2'!U$341</f>
        <v>5.6550962657259271E-2</v>
      </c>
      <c r="V445" s="2262">
        <f>+V419/'VVP2'!V$341</f>
        <v>6.2734099100674109E-2</v>
      </c>
      <c r="W445" s="2262">
        <f>+W419/'VVP2'!W$341</f>
        <v>5.0668386446565537E-2</v>
      </c>
      <c r="X445" s="2262">
        <f>+X419/'VVP2'!X$341</f>
        <v>4.9223832690425469E-2</v>
      </c>
      <c r="Y445" s="2262">
        <f>+Y419/'VVP2'!Y$341</f>
        <v>4.6332557677207863E-2</v>
      </c>
      <c r="Z445" s="2262">
        <f>+Z419/'VVP2'!Z$341</f>
        <v>4.6751446882380025E-2</v>
      </c>
      <c r="AA445" s="2262">
        <f>+AA419/'VVP2'!AA$341</f>
        <v>4.9902729635411806E-2</v>
      </c>
      <c r="AB445" s="2262">
        <f>+AB419/'VVP2'!AB$341</f>
        <v>4.7750458256267662E-2</v>
      </c>
      <c r="AC445" s="2262">
        <f ca="1">+AC419/'VVP2'!AC$341</f>
        <v>4.4887947192975425E-2</v>
      </c>
      <c r="AD445" s="2262">
        <f ca="1">+AD419/'VVP2'!AD$341</f>
        <v>4.5538013566426651E-2</v>
      </c>
      <c r="AE445" s="2262">
        <f ca="1">+AE419/'VVP2'!AE$341</f>
        <v>4.5287091548244347E-2</v>
      </c>
    </row>
    <row r="446" spans="1:113" ht="12.75" customHeight="1">
      <c r="A446" s="664"/>
      <c r="B446" s="664"/>
      <c r="C446" s="826" t="s">
        <v>1767</v>
      </c>
      <c r="D446" s="674" t="s">
        <v>687</v>
      </c>
      <c r="E446" s="783" t="s">
        <v>1624</v>
      </c>
      <c r="F446" s="704"/>
      <c r="G446" s="839">
        <f>+G420/'VVP2'!G$341</f>
        <v>1.6134910934724963E-2</v>
      </c>
      <c r="H446" s="839">
        <f>+H420/'VVP2'!H$341</f>
        <v>1.8407168923683492E-2</v>
      </c>
      <c r="I446" s="839">
        <f>+I420/'VVP2'!I$341</f>
        <v>1.2286405887239709E-2</v>
      </c>
      <c r="J446" s="839">
        <f>+J420/'VVP2'!J$341</f>
        <v>1.8412742782192543E-2</v>
      </c>
      <c r="K446" s="839">
        <f>+K420/'VVP2'!K$341</f>
        <v>1.7693406586490958E-2</v>
      </c>
      <c r="L446" s="839">
        <f>+L420/'VVP2'!L$341</f>
        <v>1.4039308267841995E-2</v>
      </c>
      <c r="M446" s="839">
        <f>+M420/'VVP2'!M$341</f>
        <v>1.2834530508956978E-2</v>
      </c>
      <c r="N446" s="839">
        <f>+N420/'VVP2'!N$341</f>
        <v>1.4447279566009325E-2</v>
      </c>
      <c r="O446" s="839">
        <f>+O420/'VVP2'!O$341</f>
        <v>1.4594612106202847E-2</v>
      </c>
      <c r="P446" s="839">
        <f>+P420/'VVP2'!P$341</f>
        <v>1.4525390235182909E-2</v>
      </c>
      <c r="Q446" s="839">
        <f>+Q420/'VVP2'!Q$341</f>
        <v>1.8129875942454059E-2</v>
      </c>
      <c r="R446" s="2280">
        <f>+R420/'VVP2'!R$341</f>
        <v>1.6717761983589142E-2</v>
      </c>
      <c r="S446" s="2280">
        <f>+S420/'VVP2'!S$341</f>
        <v>1.5748953364007567E-2</v>
      </c>
      <c r="T446" s="2262">
        <f>+T420/'VVP2'!T$341</f>
        <v>1.7264961029205769E-2</v>
      </c>
      <c r="U446" s="2262">
        <f>+U420/'VVP2'!U$341</f>
        <v>1.9923281462434127E-2</v>
      </c>
      <c r="V446" s="2262">
        <f>+V420/'VVP2'!V$341</f>
        <v>1.9146086401790229E-2</v>
      </c>
      <c r="W446" s="2262">
        <f>+W420/'VVP2'!W$341</f>
        <v>1.9818821997664614E-2</v>
      </c>
      <c r="X446" s="2262">
        <f>+X420/'VVP2'!X$341</f>
        <v>1.7533932581035177E-2</v>
      </c>
      <c r="Y446" s="2262">
        <f>+Y420/'VVP2'!Y$341</f>
        <v>1.5825673311946769E-2</v>
      </c>
      <c r="Z446" s="2262">
        <f>+Z420/'VVP2'!Z$341</f>
        <v>1.5798664853802255E-2</v>
      </c>
      <c r="AA446" s="2262">
        <f>+AA420/'VVP2'!AA$341</f>
        <v>1.6520331389885429E-2</v>
      </c>
      <c r="AB446" s="2262">
        <f>+AB420/'VVP2'!AB$341</f>
        <v>1.66205824302685E-2</v>
      </c>
      <c r="AC446" s="2262">
        <f ca="1">+AC420/'VVP2'!AC$341</f>
        <v>1.5921268545402569E-2</v>
      </c>
      <c r="AD446" s="2262">
        <f ca="1">+AD420/'VVP2'!AD$341</f>
        <v>1.5572072553202391E-2</v>
      </c>
      <c r="AE446" s="2262">
        <f ca="1">+AE420/'VVP2'!AE$341</f>
        <v>1.5192299396724392E-2</v>
      </c>
    </row>
    <row r="447" spans="1:113" ht="12.75" customHeight="1">
      <c r="A447" s="664"/>
      <c r="B447" s="664"/>
      <c r="C447" s="826" t="s">
        <v>1767</v>
      </c>
      <c r="D447" s="674" t="s">
        <v>687</v>
      </c>
      <c r="E447" s="783" t="s">
        <v>1901</v>
      </c>
      <c r="F447" s="704"/>
      <c r="G447" s="839">
        <f>+G422/'VVP2'!G$341</f>
        <v>4.4829500304590236E-2</v>
      </c>
      <c r="H447" s="839">
        <f>+H422/'VVP2'!H$341</f>
        <v>3.9930410792503722E-2</v>
      </c>
      <c r="I447" s="839">
        <f>+I422/'VVP2'!I$341</f>
        <v>3.6360255673240457E-2</v>
      </c>
      <c r="J447" s="839">
        <f>+J422/'VVP2'!J$341</f>
        <v>3.3758358956716195E-2</v>
      </c>
      <c r="K447" s="839">
        <f>+K422/'VVP2'!K$341</f>
        <v>3.4921901057891391E-2</v>
      </c>
      <c r="L447" s="839">
        <f>+L422/'VVP2'!L$341</f>
        <v>3.3639582949960278E-2</v>
      </c>
      <c r="M447" s="839">
        <f>+M422/'VVP2'!M$341</f>
        <v>3.1555839859325995E-2</v>
      </c>
      <c r="N447" s="839">
        <f>+N422/'VVP2'!N$341</f>
        <v>2.9188596101740738E-2</v>
      </c>
      <c r="O447" s="839">
        <f>+O422/'VVP2'!O$341</f>
        <v>2.829592140375127E-2</v>
      </c>
      <c r="P447" s="839">
        <f>+P422/'VVP2'!P$341</f>
        <v>2.7183222464211534E-2</v>
      </c>
      <c r="Q447" s="839">
        <f>+Q422/'VVP2'!Q$341</f>
        <v>2.5929955457365487E-2</v>
      </c>
      <c r="R447" s="2280">
        <f>+R422/'VVP2'!R$341</f>
        <v>2.5237570382380132E-2</v>
      </c>
      <c r="S447" s="2280">
        <f>+S422/'VVP2'!S$341</f>
        <v>2.4188844192935013E-2</v>
      </c>
      <c r="T447" s="2262">
        <f>+T422/'VVP2'!T$341</f>
        <v>2.4938311024985102E-2</v>
      </c>
      <c r="U447" s="2262">
        <f>+U422/'VVP2'!U$341</f>
        <v>3.0332484122782333E-2</v>
      </c>
      <c r="V447" s="2262">
        <f>+V422/'VVP2'!V$341</f>
        <v>2.8992431048471403E-2</v>
      </c>
      <c r="W447" s="2262">
        <f>+W422/'VVP2'!W$341</f>
        <v>2.8321053149895831E-2</v>
      </c>
      <c r="X447" s="2262">
        <f>+X422/'VVP2'!X$341</f>
        <v>2.8836096877578824E-2</v>
      </c>
      <c r="Y447" s="2262">
        <f>+Y422/'VVP2'!Y$341</f>
        <v>2.9355843093394812E-2</v>
      </c>
      <c r="Z447" s="2262">
        <f>+Z422/'VVP2'!Z$341</f>
        <v>2.9368075282731373E-2</v>
      </c>
      <c r="AA447" s="2262">
        <f>+AA422/'VVP2'!AA$341</f>
        <v>2.9497729022211736E-2</v>
      </c>
      <c r="AB447" s="2262">
        <f>+AB422/'VVP2'!AB$341</f>
        <v>2.9527530546969716E-2</v>
      </c>
      <c r="AC447" s="2262">
        <f ca="1">+AC422/'VVP2'!AC$341</f>
        <v>2.8285154584278181E-2</v>
      </c>
      <c r="AD447" s="2262">
        <f ca="1">+AD422/'VVP2'!AD$341</f>
        <v>2.7798431817395591E-2</v>
      </c>
      <c r="AE447" s="2262">
        <f ca="1">+AE422/'VVP2'!AE$341</f>
        <v>2.7252133892632487E-2</v>
      </c>
    </row>
    <row r="448" spans="1:113" ht="12.75" customHeight="1">
      <c r="A448" s="664"/>
      <c r="B448" s="664"/>
      <c r="C448" s="826" t="s">
        <v>1767</v>
      </c>
      <c r="D448" s="674" t="s">
        <v>687</v>
      </c>
      <c r="E448" s="783" t="s">
        <v>1672</v>
      </c>
      <c r="F448" s="704"/>
      <c r="G448" s="839">
        <f>+G423/'VVP2'!G$341</f>
        <v>0</v>
      </c>
      <c r="H448" s="839">
        <f>+H423/'VVP2'!H$341</f>
        <v>0</v>
      </c>
      <c r="I448" s="839">
        <f>+I423/'VVP2'!I$341</f>
        <v>-8.5292647604223553E-7</v>
      </c>
      <c r="J448" s="839">
        <f>+J423/'VVP2'!J$341</f>
        <v>0</v>
      </c>
      <c r="K448" s="839">
        <f>+K423/'VVP2'!K$341</f>
        <v>0</v>
      </c>
      <c r="L448" s="839">
        <f>+L423/'VVP2'!L$341</f>
        <v>7.480449844505419E-7</v>
      </c>
      <c r="M448" s="839">
        <f>+M423/'VVP2'!M$341</f>
        <v>-3.522486142558681E-6</v>
      </c>
      <c r="N448" s="839">
        <f>+N423/'VVP2'!N$341</f>
        <v>-6.578008271164966E-6</v>
      </c>
      <c r="O448" s="839">
        <f>+O423/'VVP2'!O$341</f>
        <v>7.1992167252141749E-6</v>
      </c>
      <c r="P448" s="839">
        <f>+P423/'VVP2'!P$341</f>
        <v>6.0314556863588779E-6</v>
      </c>
      <c r="Q448" s="839">
        <f>+Q423/'VVP2'!Q$341</f>
        <v>4.2852347475386269E-5</v>
      </c>
      <c r="R448" s="2280">
        <f>+R423/'VVP2'!R$341</f>
        <v>2.155389012416409E-4</v>
      </c>
      <c r="S448" s="2280">
        <f>+S423/'VVP2'!S$341</f>
        <v>2.2657887251872709E-4</v>
      </c>
      <c r="T448" s="2262">
        <f>+T423/'VVP2'!T$341</f>
        <v>9.8176306295399881E-5</v>
      </c>
      <c r="U448" s="2262">
        <f>+U423/'VVP2'!U$341</f>
        <v>2.8958797571326409E-5</v>
      </c>
      <c r="V448" s="2262">
        <f>+V423/'VVP2'!V$341</f>
        <v>1.0703711975955587E-4</v>
      </c>
      <c r="W448" s="2262">
        <f>+W423/'VVP2'!W$341</f>
        <v>9.5602538998803147E-5</v>
      </c>
      <c r="X448" s="2262">
        <f>+X423/'VVP2'!X$341</f>
        <v>4.5429356900225523E-4</v>
      </c>
      <c r="Y448" s="2262">
        <f>+Y423/'VVP2'!Y$341</f>
        <v>1.238570752281543E-4</v>
      </c>
      <c r="Z448" s="2262">
        <f>+Z423/'VVP2'!Z$341</f>
        <v>1.4055897624933505E-4</v>
      </c>
      <c r="AA448" s="2262">
        <f>+AA423/'VVP2'!AA$341</f>
        <v>-1.4428237021715798E-5</v>
      </c>
      <c r="AB448" s="2262">
        <f>+AB423/'VVP2'!AB$341</f>
        <v>3.1033155823684345E-5</v>
      </c>
      <c r="AC448" s="2262">
        <f ca="1">+AC423/'VVP2'!AC$341</f>
        <v>2.8722154991943979E-5</v>
      </c>
      <c r="AD448" s="2262">
        <f ca="1">+AD423/'VVP2'!AD$341</f>
        <v>2.7142223508000731E-5</v>
      </c>
      <c r="AE448" s="2262">
        <f ca="1">+AE423/'VVP2'!AE$341</f>
        <v>2.5709006244560361E-5</v>
      </c>
    </row>
    <row r="449" spans="1:31" ht="12.75" customHeight="1">
      <c r="A449" s="664"/>
      <c r="B449" s="664"/>
      <c r="C449" s="826" t="s">
        <v>1767</v>
      </c>
      <c r="D449" s="674" t="s">
        <v>687</v>
      </c>
      <c r="E449" s="783" t="s">
        <v>502</v>
      </c>
      <c r="F449" s="704" t="s">
        <v>215</v>
      </c>
      <c r="G449" s="839">
        <f>+G424/'VVP2'!G$341</f>
        <v>3.6705376886946153E-4</v>
      </c>
      <c r="H449" s="839">
        <f>+H424/'VVP2'!H$341</f>
        <v>4.5603578285284866E-4</v>
      </c>
      <c r="I449" s="839">
        <f>+I424/'VVP2'!I$341</f>
        <v>5.0066784143073303E-4</v>
      </c>
      <c r="J449" s="839">
        <f>+J424/'VVP2'!J$341</f>
        <v>4.7381500173552984E-4</v>
      </c>
      <c r="K449" s="839">
        <f>+K424/'VVP2'!K$341</f>
        <v>5.0581808799189426E-4</v>
      </c>
      <c r="L449" s="839">
        <f>+L424/'VVP2'!L$341</f>
        <v>4.6303984536414083E-4</v>
      </c>
      <c r="M449" s="839">
        <f>+M424/'VVP2'!M$341</f>
        <v>4.8962557381299261E-4</v>
      </c>
      <c r="N449" s="839">
        <f>+N424/'VVP2'!N$341</f>
        <v>5.0124423026449516E-4</v>
      </c>
      <c r="O449" s="839">
        <f>+O424/'VVP2'!O$341</f>
        <v>4.6014993568699726E-4</v>
      </c>
      <c r="P449" s="839">
        <f>+P424/'VVP2'!P$341</f>
        <v>5.2364001640555955E-4</v>
      </c>
      <c r="Q449" s="839">
        <f>+Q424/'VVP2'!Q$341</f>
        <v>1.9759693558101831E-4</v>
      </c>
      <c r="R449" s="2280">
        <f>+R424/'VVP2'!R$341</f>
        <v>1.4950675230634928E-4</v>
      </c>
      <c r="S449" s="2280">
        <f>+S424/'VVP2'!S$341</f>
        <v>1.2534150394653566E-4</v>
      </c>
      <c r="T449" s="2262">
        <f>+T424/'VVP2'!T$341</f>
        <v>1.0001137744110338E-4</v>
      </c>
      <c r="U449" s="2262">
        <f>+U424/'VVP2'!U$341</f>
        <v>9.1331592340323787E-5</v>
      </c>
      <c r="V449" s="2262">
        <f>+V424/'VVP2'!V$341</f>
        <v>7.9207468622068345E-5</v>
      </c>
      <c r="W449" s="2262">
        <f>+W424/'VVP2'!W$341</f>
        <v>9.0166943135993501E-5</v>
      </c>
      <c r="X449" s="2262">
        <f>+X424/'VVP2'!X$341</f>
        <v>1.1154931199263055E-4</v>
      </c>
      <c r="Y449" s="2262">
        <f>+Y424/'VVP2'!Y$341</f>
        <v>1.2471520738908999E-4</v>
      </c>
      <c r="Z449" s="2262">
        <f>+Z424/'VVP2'!Z$341</f>
        <v>1.380978268597812E-4</v>
      </c>
      <c r="AA449" s="2262">
        <f>+AA424/'VVP2'!AA$341</f>
        <v>7.0003668512857553E-5</v>
      </c>
      <c r="AB449" s="2262">
        <f>+AB424/'VVP2'!AB$341</f>
        <v>6.9824600603284555E-5</v>
      </c>
      <c r="AC449" s="2262">
        <f ca="1">+AC424/'VVP2'!AC$341</f>
        <v>6.7856091168462572E-5</v>
      </c>
      <c r="AD449" s="2262">
        <f ca="1">+AD424/'VVP2'!AD$341</f>
        <v>6.732967818952928E-5</v>
      </c>
      <c r="AE449" s="2262">
        <f ca="1">+AE424/'VVP2'!AE$341</f>
        <v>6.6963123796178172E-5</v>
      </c>
    </row>
    <row r="450" spans="1:31" ht="12.75" customHeight="1">
      <c r="A450" s="664"/>
      <c r="B450" s="664"/>
      <c r="C450" s="826" t="s">
        <v>401</v>
      </c>
      <c r="D450" s="674" t="s">
        <v>687</v>
      </c>
      <c r="E450" s="783" t="s">
        <v>501</v>
      </c>
      <c r="F450" s="704" t="s">
        <v>218</v>
      </c>
      <c r="G450" s="839">
        <f>+G425/'VVP2'!G$341</f>
        <v>0</v>
      </c>
      <c r="H450" s="839">
        <f>+H425/'VVP2'!H$341</f>
        <v>0</v>
      </c>
      <c r="I450" s="839">
        <f>+I425/'VVP2'!I$341</f>
        <v>0</v>
      </c>
      <c r="J450" s="839">
        <f>+J425/'VVP2'!J$341</f>
        <v>0</v>
      </c>
      <c r="K450" s="839">
        <f>+K425/'VVP2'!K$341</f>
        <v>0</v>
      </c>
      <c r="L450" s="839">
        <f>+L425/'VVP2'!L$341</f>
        <v>0</v>
      </c>
      <c r="M450" s="839">
        <f>+M425/'VVP2'!M$341</f>
        <v>0</v>
      </c>
      <c r="N450" s="839">
        <f>+N425/'VVP2'!N$341</f>
        <v>0</v>
      </c>
      <c r="O450" s="839">
        <f>+O425/'VVP2'!O$341</f>
        <v>0</v>
      </c>
      <c r="P450" s="839">
        <f>+P425/'VVP2'!P$341</f>
        <v>0</v>
      </c>
      <c r="Q450" s="839">
        <f>+Q425/'VVP2'!Q$341</f>
        <v>0</v>
      </c>
      <c r="R450" s="2280">
        <f>+R425/'VVP2'!R$341</f>
        <v>0</v>
      </c>
      <c r="S450" s="2280">
        <f>+S425/'VVP2'!S$341</f>
        <v>0</v>
      </c>
      <c r="T450" s="2262">
        <f>+T425/'VVP2'!T$341</f>
        <v>0</v>
      </c>
      <c r="U450" s="2262">
        <f>+U425/'VVP2'!U$341</f>
        <v>0</v>
      </c>
      <c r="V450" s="2262">
        <f>+V425/'VVP2'!V$341</f>
        <v>0</v>
      </c>
      <c r="W450" s="2262">
        <f>+W425/'VVP2'!W$341</f>
        <v>0</v>
      </c>
      <c r="X450" s="2262">
        <f>+X425/'VVP2'!X$341</f>
        <v>0</v>
      </c>
      <c r="Y450" s="2262">
        <f>+Y425/'VVP2'!Y$341</f>
        <v>0</v>
      </c>
      <c r="Z450" s="2262">
        <f>+Z425/'VVP2'!Z$341</f>
        <v>0</v>
      </c>
      <c r="AA450" s="2262">
        <f>+AA425/'VVP2'!AA$341</f>
        <v>0</v>
      </c>
      <c r="AB450" s="2262">
        <f>+AB425/'VVP2'!AB$341</f>
        <v>0</v>
      </c>
      <c r="AC450" s="2262">
        <f ca="1">+AC425/'VVP2'!AC$341</f>
        <v>0</v>
      </c>
      <c r="AD450" s="2262">
        <f ca="1">+AD425/'VVP2'!AD$341</f>
        <v>0</v>
      </c>
      <c r="AE450" s="2262">
        <f ca="1">+AE425/'VVP2'!AE$341</f>
        <v>0</v>
      </c>
    </row>
    <row r="451" spans="1:31" ht="12.75" customHeight="1">
      <c r="A451" s="664"/>
      <c r="B451" s="664"/>
      <c r="C451" s="827" t="s">
        <v>401</v>
      </c>
      <c r="D451" s="828" t="s">
        <v>687</v>
      </c>
      <c r="E451" s="829" t="s">
        <v>770</v>
      </c>
      <c r="F451" s="830"/>
      <c r="G451" s="840">
        <f>+G426/'VVP2'!G$341</f>
        <v>8.6135284428033639E-3</v>
      </c>
      <c r="H451" s="840">
        <f>+H426/'VVP2'!H$341</f>
        <v>8.7768873241611464E-3</v>
      </c>
      <c r="I451" s="840">
        <f>+I426/'VVP2'!I$341</f>
        <v>1.4735157799927331E-2</v>
      </c>
      <c r="J451" s="840">
        <f>+J426/'VVP2'!J$341</f>
        <v>1.3107089869727752E-2</v>
      </c>
      <c r="K451" s="840">
        <f>+K426/'VVP2'!K$341</f>
        <v>1.9413030754998395E-2</v>
      </c>
      <c r="L451" s="840">
        <f>+L426/'VVP2'!L$341</f>
        <v>1.6944714987380479E-2</v>
      </c>
      <c r="M451" s="840">
        <f>+M426/'VVP2'!M$341</f>
        <v>9.9827257279569859E-3</v>
      </c>
      <c r="N451" s="840">
        <f>+N426/'VVP2'!N$341</f>
        <v>1.3951297742361781E-2</v>
      </c>
      <c r="O451" s="840">
        <f>+O426/'VVP2'!O$341</f>
        <v>1.4237650943577341E-2</v>
      </c>
      <c r="P451" s="840">
        <f>+P426/'VVP2'!P$341</f>
        <v>1.4342801622132591E-2</v>
      </c>
      <c r="Q451" s="840">
        <f>+Q426/'VVP2'!Q$341</f>
        <v>1.7309015419703033E-2</v>
      </c>
      <c r="R451" s="2281">
        <f>+R426/'VVP2'!R$341</f>
        <v>1.3190233222227664E-2</v>
      </c>
      <c r="S451" s="2281">
        <f>+S426/'VVP2'!S$341</f>
        <v>1.4520675494289731E-2</v>
      </c>
      <c r="T451" s="2263">
        <f>+T426/'VVP2'!T$341</f>
        <v>1.7780616021149807E-2</v>
      </c>
      <c r="U451" s="2263">
        <f>+U426/'VVP2'!U$341</f>
        <v>2.1180390290337938E-2</v>
      </c>
      <c r="V451" s="2263">
        <f>+V426/'VVP2'!V$341</f>
        <v>2.1698921708055544E-2</v>
      </c>
      <c r="W451" s="2263">
        <f>+W426/'VVP2'!W$341</f>
        <v>1.7780153808178462E-2</v>
      </c>
      <c r="X451" s="2263">
        <f>+X426/'VVP2'!X$341</f>
        <v>1.8522883201873067E-2</v>
      </c>
      <c r="Y451" s="2263">
        <f>+Y426/'VVP2'!Y$341</f>
        <v>2.0294253517984303E-2</v>
      </c>
      <c r="Z451" s="2263">
        <f>+Z426/'VVP2'!Z$341</f>
        <v>2.0791243121087453E-2</v>
      </c>
      <c r="AA451" s="2263">
        <f>+AA426/'VVP2'!AA$341</f>
        <v>2.0536725073417011E-2</v>
      </c>
      <c r="AB451" s="2263">
        <f>+AB426/'VVP2'!AB$341</f>
        <v>2.0696011618813539E-2</v>
      </c>
      <c r="AC451" s="2263">
        <f ca="1">+AC426/'VVP2'!AC$341</f>
        <v>1.9633675293229153E-2</v>
      </c>
      <c r="AD451" s="2263">
        <f ca="1">+AD426/'VVP2'!AD$341</f>
        <v>1.901751951839447E-2</v>
      </c>
      <c r="AE451" s="2263">
        <f ca="1">+AE426/'VVP2'!AE$341</f>
        <v>1.8463651885708279E-2</v>
      </c>
    </row>
    <row r="452" spans="1:31" ht="12.75" customHeight="1">
      <c r="A452" s="664"/>
      <c r="B452" s="664"/>
      <c r="C452" s="774"/>
      <c r="D452" s="806" t="s">
        <v>687</v>
      </c>
      <c r="E452" s="807" t="s">
        <v>1360</v>
      </c>
      <c r="F452" s="808" t="s">
        <v>1366</v>
      </c>
      <c r="G452" s="841">
        <f>+G427/'VVP2'!G$341</f>
        <v>0.23986513027832981</v>
      </c>
      <c r="H452" s="841">
        <f>+H427/'VVP2'!H$341</f>
        <v>0.24073645146513079</v>
      </c>
      <c r="I452" s="841">
        <f>+I427/'VVP2'!I$341</f>
        <v>0.2415624248358543</v>
      </c>
      <c r="J452" s="841">
        <f>+J427/'VVP2'!J$341</f>
        <v>0.2588296999837198</v>
      </c>
      <c r="K452" s="841">
        <f>+K427/'VVP2'!K$341</f>
        <v>0.23663711996777867</v>
      </c>
      <c r="L452" s="841">
        <f>+L427/'VVP2'!L$341</f>
        <v>0.22404919742253621</v>
      </c>
      <c r="M452" s="841">
        <f>+M427/'VVP2'!M$341</f>
        <v>0.21145061615327604</v>
      </c>
      <c r="N452" s="841">
        <f>+N427/'VVP2'!N$341</f>
        <v>0.20562327615070744</v>
      </c>
      <c r="O452" s="841">
        <f>+O427/'VVP2'!O$341</f>
        <v>0.19552532684443935</v>
      </c>
      <c r="P452" s="841">
        <f>+P427/'VVP2'!P$341</f>
        <v>0.19166266397334752</v>
      </c>
      <c r="Q452" s="841">
        <f>+Q427/'VVP2'!Q$341</f>
        <v>0.18504643527986153</v>
      </c>
      <c r="R452" s="2293">
        <f>+R427/'VVP2'!R$341</f>
        <v>0.19126481881858104</v>
      </c>
      <c r="S452" s="2293">
        <f>+S427/'VVP2'!S$341</f>
        <v>0.17447365176962232</v>
      </c>
      <c r="T452" s="2264">
        <f>+T427/'VVP2'!T$341</f>
        <v>0.18659003409562189</v>
      </c>
      <c r="U452" s="2264">
        <f>+U427/'VVP2'!U$341</f>
        <v>0.21235820399022531</v>
      </c>
      <c r="V452" s="2264">
        <f>+V427/'VVP2'!V$341</f>
        <v>0.19849605710929846</v>
      </c>
      <c r="W452" s="2264">
        <f>+W427/'VVP2'!W$341</f>
        <v>0.18344560503297805</v>
      </c>
      <c r="X452" s="2264">
        <f>+X427/'VVP2'!X$341</f>
        <v>0.17484095227128793</v>
      </c>
      <c r="Y452" s="2264">
        <f>+Y427/'VVP2'!Y$341</f>
        <v>0.16696305598025149</v>
      </c>
      <c r="Z452" s="2264">
        <f>+Z427/'VVP2'!Z$341</f>
        <v>0.16608191580243861</v>
      </c>
      <c r="AA452" s="2264">
        <f>+AA427/'VVP2'!AA$341</f>
        <v>0.17177003207076461</v>
      </c>
      <c r="AB452" s="2264">
        <f>+AB427/'VVP2'!AB$341</f>
        <v>0.17163585074293375</v>
      </c>
      <c r="AC452" s="2264">
        <f ca="1">+AC427/'VVP2'!AC$341</f>
        <v>0.16534506899340312</v>
      </c>
      <c r="AD452" s="2264">
        <f ca="1">+AD427/'VVP2'!AD$341</f>
        <v>0.16506956909133419</v>
      </c>
      <c r="AE452" s="2264">
        <f ca="1">+AE427/'VVP2'!AE$341</f>
        <v>0.16438122198006738</v>
      </c>
    </row>
    <row r="453" spans="1:31" ht="30" customHeight="1">
      <c r="A453" s="664"/>
      <c r="B453" s="664"/>
      <c r="C453" s="774"/>
      <c r="V453" s="3169"/>
      <c r="W453" s="3169"/>
      <c r="X453" s="3169"/>
      <c r="Y453" s="3169"/>
      <c r="Z453" s="3169"/>
      <c r="AA453" s="3169"/>
      <c r="AB453" s="3169"/>
      <c r="AC453" s="3169"/>
      <c r="AD453" s="3169"/>
      <c r="AE453" s="3169"/>
    </row>
    <row r="454" spans="1:31" ht="30" customHeight="1">
      <c r="V454" s="3169"/>
      <c r="W454" s="3169"/>
      <c r="X454" s="3169"/>
      <c r="Y454" s="3169"/>
      <c r="Z454" s="3169"/>
      <c r="AA454" s="3169"/>
      <c r="AB454" s="3169"/>
      <c r="AC454" s="3169"/>
      <c r="AD454" s="3169"/>
      <c r="AE454" s="3169"/>
    </row>
    <row r="455" spans="1:31" ht="22.5" customHeight="1">
      <c r="A455" s="574"/>
      <c r="B455" s="574"/>
      <c r="C455" s="3751" t="s">
        <v>1323</v>
      </c>
      <c r="D455" s="3751"/>
      <c r="E455" s="3751"/>
      <c r="F455" s="3751"/>
      <c r="V455" s="3169"/>
      <c r="W455" s="3169"/>
      <c r="X455" s="3169"/>
      <c r="Y455" s="3169"/>
      <c r="Z455" s="3169"/>
      <c r="AA455" s="3169"/>
      <c r="AB455" s="3169"/>
      <c r="AC455" s="3169"/>
      <c r="AD455" s="3169"/>
      <c r="AE455" s="3169"/>
    </row>
    <row r="456" spans="1:31" ht="12.75" customHeight="1">
      <c r="A456" s="664"/>
      <c r="B456" s="664"/>
      <c r="C456" s="774"/>
      <c r="E456" s="3226" t="s">
        <v>2137</v>
      </c>
      <c r="L456" s="3225">
        <f t="shared" ref="L456:Z456" si="409">L458/L375</f>
        <v>6.1312451266898563E-2</v>
      </c>
      <c r="M456" s="3225">
        <f t="shared" si="409"/>
        <v>4.3643120835491156E-2</v>
      </c>
      <c r="N456" s="3225">
        <f t="shared" si="409"/>
        <v>4.3339676962865496E-2</v>
      </c>
      <c r="O456" s="3225">
        <f t="shared" si="409"/>
        <v>1.9136911937692291E-2</v>
      </c>
      <c r="P456" s="3225">
        <f t="shared" si="409"/>
        <v>7.8120692904164124E-2</v>
      </c>
      <c r="Q456" s="3225">
        <f t="shared" si="409"/>
        <v>4.0769641431600633E-2</v>
      </c>
      <c r="R456" s="3225">
        <f t="shared" si="409"/>
        <v>5.1939007720963506E-2</v>
      </c>
      <c r="S456" s="3225">
        <f t="shared" si="409"/>
        <v>-4.114558057835737E-2</v>
      </c>
      <c r="T456" s="3225">
        <f t="shared" si="409"/>
        <v>-5.1952986145390569E-3</v>
      </c>
      <c r="U456" s="3225">
        <f t="shared" si="409"/>
        <v>5.1402616328276127E-2</v>
      </c>
      <c r="V456" s="3225">
        <f t="shared" si="409"/>
        <v>7.8289494066982462E-2</v>
      </c>
      <c r="W456" s="3225">
        <f t="shared" si="409"/>
        <v>4.5726452746045129E-2</v>
      </c>
      <c r="X456" s="3225">
        <f t="shared" si="409"/>
        <v>1.78775064314321E-2</v>
      </c>
      <c r="Y456" s="3225">
        <f t="shared" si="409"/>
        <v>2.4040241986997515E-2</v>
      </c>
      <c r="Z456" s="3225">
        <f t="shared" si="409"/>
        <v>1.6000296122254351E-3</v>
      </c>
      <c r="AA456" s="3225">
        <f>AA458/AA375</f>
        <v>-2.5701589129804703E-6</v>
      </c>
      <c r="AB456" s="3225">
        <f>AB458/AB375</f>
        <v>-4.8698990184630033E-3</v>
      </c>
      <c r="AC456" s="3225">
        <f>AC458/AC375</f>
        <v>-1.4122065942560038E-2</v>
      </c>
      <c r="AD456" s="3225">
        <f ca="1">AD458/AD375</f>
        <v>-1.866360237159264E-2</v>
      </c>
      <c r="AE456" s="3225">
        <f ca="1">AE458/AE375</f>
        <v>-2.2336150677651441E-2</v>
      </c>
    </row>
    <row r="457" spans="1:31" ht="12.75" customHeight="1">
      <c r="A457" s="664"/>
      <c r="B457" s="664"/>
      <c r="C457" s="774"/>
      <c r="D457" s="775"/>
      <c r="E457" s="776" t="s">
        <v>1384</v>
      </c>
      <c r="F457" s="777"/>
      <c r="G457" s="778">
        <f>+InputY!$G$3</f>
        <v>1995</v>
      </c>
      <c r="H457" s="778">
        <f>+G457+1</f>
        <v>1996</v>
      </c>
      <c r="I457" s="778">
        <f t="shared" ref="I457:O457" si="410">+H457+1</f>
        <v>1997</v>
      </c>
      <c r="J457" s="778">
        <f t="shared" si="410"/>
        <v>1998</v>
      </c>
      <c r="K457" s="778">
        <f>+J457+1</f>
        <v>1999</v>
      </c>
      <c r="L457" s="778">
        <f t="shared" si="410"/>
        <v>2000</v>
      </c>
      <c r="M457" s="778">
        <f t="shared" si="410"/>
        <v>2001</v>
      </c>
      <c r="N457" s="778">
        <f t="shared" si="410"/>
        <v>2002</v>
      </c>
      <c r="O457" s="778">
        <f t="shared" si="410"/>
        <v>2003</v>
      </c>
      <c r="P457" s="778">
        <f t="shared" ref="P457:V457" si="411">+O457+1</f>
        <v>2004</v>
      </c>
      <c r="Q457" s="778">
        <f t="shared" si="411"/>
        <v>2005</v>
      </c>
      <c r="R457" s="778">
        <f t="shared" si="411"/>
        <v>2006</v>
      </c>
      <c r="S457" s="778">
        <f>+R457+1</f>
        <v>2007</v>
      </c>
      <c r="T457" s="778">
        <f t="shared" si="411"/>
        <v>2008</v>
      </c>
      <c r="U457" s="778">
        <f t="shared" si="411"/>
        <v>2009</v>
      </c>
      <c r="V457" s="778">
        <f t="shared" si="411"/>
        <v>2010</v>
      </c>
      <c r="W457" s="778">
        <f t="shared" ref="W457:AE457" si="412">+V457+1</f>
        <v>2011</v>
      </c>
      <c r="X457" s="778">
        <f t="shared" si="412"/>
        <v>2012</v>
      </c>
      <c r="Y457" s="778">
        <f t="shared" si="412"/>
        <v>2013</v>
      </c>
      <c r="Z457" s="778">
        <f t="shared" si="412"/>
        <v>2014</v>
      </c>
      <c r="AA457" s="778">
        <f t="shared" si="412"/>
        <v>2015</v>
      </c>
      <c r="AB457" s="778">
        <f t="shared" si="412"/>
        <v>2016</v>
      </c>
      <c r="AC457" s="778">
        <f t="shared" si="412"/>
        <v>2017</v>
      </c>
      <c r="AD457" s="778">
        <f t="shared" si="412"/>
        <v>2018</v>
      </c>
      <c r="AE457" s="778">
        <f t="shared" si="412"/>
        <v>2019</v>
      </c>
    </row>
    <row r="458" spans="1:31" ht="12.75" customHeight="1">
      <c r="A458" s="664"/>
      <c r="B458" s="664"/>
      <c r="C458" s="779" t="s">
        <v>1767</v>
      </c>
      <c r="D458" s="668" t="s">
        <v>685</v>
      </c>
      <c r="E458" s="700" t="s">
        <v>1323</v>
      </c>
      <c r="F458" s="701" t="s">
        <v>1604</v>
      </c>
      <c r="G458" s="780">
        <f>+G375+G396-'VVP2'!G185</f>
        <v>6.8660000000000387E-2</v>
      </c>
      <c r="H458" s="780">
        <f>+H375+H396-'VVP2'!H185</f>
        <v>-7.8619999999999912E-2</v>
      </c>
      <c r="I458" s="780">
        <f>+I375+I396-'VVP2'!I185</f>
        <v>0.21661999999999981</v>
      </c>
      <c r="J458" s="780">
        <f>+J375+J396-'VVP2'!J185</f>
        <v>0.61073999999999717</v>
      </c>
      <c r="K458" s="780">
        <f>+K375+K396-'VVP2'!K185</f>
        <v>0.3626100000000001</v>
      </c>
      <c r="L458" s="780">
        <f>+L375+L396-'VVP2'!L185</f>
        <v>0.56772999999999918</v>
      </c>
      <c r="M458" s="780">
        <f>+M375+M396-'VVP2'!M185</f>
        <v>0.42298999999999687</v>
      </c>
      <c r="N458" s="780">
        <f>+N375+N396-'VVP2'!N185</f>
        <v>0.44408000000000136</v>
      </c>
      <c r="O458" s="780">
        <f>+O375+O396-'VVP2'!O185</f>
        <v>0.2095400000000005</v>
      </c>
      <c r="P458" s="780">
        <f>+P375+P396-'VVP2'!P185</f>
        <v>1.0032399999999981</v>
      </c>
      <c r="Q458" s="780">
        <f>+Q375+Q396-'VVP2'!Q185</f>
        <v>0.57351999999999848</v>
      </c>
      <c r="R458" s="780">
        <f>+R375+R396-'VVP2'!R185</f>
        <v>0.84127999999999759</v>
      </c>
      <c r="S458" s="780">
        <f>+S375+S396-'VVP2'!S185</f>
        <v>-0.71982999999999464</v>
      </c>
      <c r="T458" s="780">
        <f>+T375+T396-'VVP2'!T185</f>
        <v>-0.10829999999999984</v>
      </c>
      <c r="U458" s="780">
        <f>+U375+U396-'VVP2'!U185</f>
        <v>0.98694000000000415</v>
      </c>
      <c r="V458" s="846">
        <f>+V375+V396-'VVP2'!V185</f>
        <v>1.5161699999999954</v>
      </c>
      <c r="W458" s="846">
        <f>+W375+W396-'VVP2'!W185</f>
        <v>0.93204000000000065</v>
      </c>
      <c r="X458" s="846">
        <f>+X375+X396-'VVP2'!X185</f>
        <v>0.37672000000000239</v>
      </c>
      <c r="Y458" s="846">
        <f>+Y375+Y396-'VVP2'!Y185</f>
        <v>0.53555000000000064</v>
      </c>
      <c r="Z458" s="846">
        <f>+Z375+Z396-'VVP2'!Z185</f>
        <v>3.6310000000003839E-2</v>
      </c>
      <c r="AA458" s="846">
        <f>+AA375+AA396-'VVP2'!AA185</f>
        <v>-6.0000000001281251E-5</v>
      </c>
      <c r="AB458" s="846">
        <f>+AB375+AB396-'VVP2'!AB185</f>
        <v>-0.11985999999999919</v>
      </c>
      <c r="AC458" s="846">
        <f>+AC375+AC396-'VVP2'!AC185</f>
        <v>-0.37138136478062478</v>
      </c>
      <c r="AD458" s="846">
        <f ca="1">+AD375+AD396-'VVP2'!AD185</f>
        <v>-0.51902575602819212</v>
      </c>
      <c r="AE458" s="846">
        <f ca="1">+AE375+AE396-'VVP2'!AE185</f>
        <v>-0.65357600382164449</v>
      </c>
    </row>
    <row r="459" spans="1:31" ht="12.75" customHeight="1">
      <c r="A459" s="664"/>
      <c r="B459" s="664"/>
      <c r="C459" s="782" t="s">
        <v>1767</v>
      </c>
      <c r="D459" s="674" t="s">
        <v>686</v>
      </c>
      <c r="E459" s="783" t="s">
        <v>1323</v>
      </c>
      <c r="F459" s="704" t="s">
        <v>1605</v>
      </c>
      <c r="G459" s="706">
        <f>+G376-G397</f>
        <v>0.74860000000000004</v>
      </c>
      <c r="H459" s="706">
        <f t="shared" ref="H459:O459" si="413">+H376-H397</f>
        <v>1.1222399999999992</v>
      </c>
      <c r="I459" s="706">
        <f t="shared" si="413"/>
        <v>1.1396900000000001</v>
      </c>
      <c r="J459" s="706">
        <f t="shared" si="413"/>
        <v>0.9673999999999997</v>
      </c>
      <c r="K459" s="706">
        <f t="shared" si="413"/>
        <v>0.91667000000000043</v>
      </c>
      <c r="L459" s="706">
        <f t="shared" si="413"/>
        <v>0.94606000000000012</v>
      </c>
      <c r="M459" s="706">
        <f t="shared" si="413"/>
        <v>1.4919999999999998</v>
      </c>
      <c r="N459" s="706">
        <f t="shared" si="413"/>
        <v>1.6360799999999995</v>
      </c>
      <c r="O459" s="706">
        <f t="shared" si="413"/>
        <v>1.9779100000000005</v>
      </c>
      <c r="P459" s="706">
        <f>+P376-P397</f>
        <v>1.3635499999999989</v>
      </c>
      <c r="Q459" s="706">
        <f>+Q376-Q397</f>
        <v>2.4148400000000008</v>
      </c>
      <c r="R459" s="706">
        <f>+R376-R397</f>
        <v>2.3237099999999988</v>
      </c>
      <c r="S459" s="706">
        <f t="shared" ref="S459:X459" si="414">+S376-S397</f>
        <v>4.5371500000000022</v>
      </c>
      <c r="T459" s="706">
        <f t="shared" si="414"/>
        <v>4.3561300000000003</v>
      </c>
      <c r="U459" s="706">
        <f t="shared" si="414"/>
        <v>4.4560499999999994</v>
      </c>
      <c r="V459" s="792">
        <f t="shared" si="414"/>
        <v>4.5863999999999985</v>
      </c>
      <c r="W459" s="792">
        <f t="shared" si="414"/>
        <v>5.3673900000000012</v>
      </c>
      <c r="X459" s="792">
        <f t="shared" si="414"/>
        <v>6.1053299999999995</v>
      </c>
      <c r="Y459" s="792">
        <f t="shared" ref="Y459:AD459" si="415">+Y376-Y397</f>
        <v>6.7489699999999981</v>
      </c>
      <c r="Z459" s="792">
        <f t="shared" si="415"/>
        <v>7.8735800000000022</v>
      </c>
      <c r="AA459" s="792">
        <f t="shared" si="415"/>
        <v>6.0911099999999987</v>
      </c>
      <c r="AB459" s="792">
        <f t="shared" si="415"/>
        <v>5.4141800000000009</v>
      </c>
      <c r="AC459" s="792">
        <f t="shared" si="415"/>
        <v>6.2509504700000003</v>
      </c>
      <c r="AD459" s="792">
        <f t="shared" ca="1" si="415"/>
        <v>6.7520762020993272</v>
      </c>
      <c r="AE459" s="792">
        <f t="shared" ref="AE459" ca="1" si="416">+AE376-AE397</f>
        <v>7.3186701178579687</v>
      </c>
    </row>
    <row r="460" spans="1:31" ht="12.75" customHeight="1">
      <c r="A460" s="664"/>
      <c r="B460" s="664"/>
      <c r="C460" s="782" t="s">
        <v>1767</v>
      </c>
      <c r="D460" s="674" t="s">
        <v>687</v>
      </c>
      <c r="E460" s="783" t="s">
        <v>1323</v>
      </c>
      <c r="F460" s="704" t="s">
        <v>1606</v>
      </c>
      <c r="G460" s="706">
        <f>+G377-G398-G427</f>
        <v>0.23669000000000051</v>
      </c>
      <c r="H460" s="706">
        <f t="shared" ref="H460:Q460" si="417">+H377-H398-H427</f>
        <v>0.1648199999999993</v>
      </c>
      <c r="I460" s="706">
        <f t="shared" si="417"/>
        <v>0.3879999999999999</v>
      </c>
      <c r="J460" s="706">
        <f t="shared" si="417"/>
        <v>8.6999999999999744E-2</v>
      </c>
      <c r="K460" s="706">
        <f t="shared" si="417"/>
        <v>7.567000000000057E-2</v>
      </c>
      <c r="L460" s="706">
        <f t="shared" si="417"/>
        <v>0.21197000000000044</v>
      </c>
      <c r="M460" s="706">
        <f t="shared" si="417"/>
        <v>0.11141000000000023</v>
      </c>
      <c r="N460" s="706">
        <f t="shared" si="417"/>
        <v>0.26587000000000049</v>
      </c>
      <c r="O460" s="706">
        <f t="shared" si="417"/>
        <v>0.31659000000000015</v>
      </c>
      <c r="P460" s="706">
        <f t="shared" si="417"/>
        <v>0.42070000000000052</v>
      </c>
      <c r="Q460" s="706">
        <f t="shared" si="417"/>
        <v>0.58436999999999983</v>
      </c>
      <c r="R460" s="706">
        <f t="shared" ref="R460:W460" si="418">+R377-R398-R427</f>
        <v>0.81357999999999908</v>
      </c>
      <c r="S460" s="706">
        <f t="shared" si="418"/>
        <v>1.1744600000000007</v>
      </c>
      <c r="T460" s="706">
        <f>+T377-T398-T427</f>
        <v>0.56803999999999899</v>
      </c>
      <c r="U460" s="706">
        <f>+U377-U398-U427</f>
        <v>-1.5360399999999998</v>
      </c>
      <c r="V460" s="792">
        <f>+V377-V398-V427</f>
        <v>-1.1461699999999997</v>
      </c>
      <c r="W460" s="792">
        <f t="shared" si="418"/>
        <v>-0.7051799999999977</v>
      </c>
      <c r="X460" s="792">
        <f t="shared" ref="X460:AC460" si="419">+X377-X398-X427</f>
        <v>-0.33696999999999999</v>
      </c>
      <c r="Y460" s="792">
        <f t="shared" si="419"/>
        <v>1.7109999999998848E-2</v>
      </c>
      <c r="Z460" s="792">
        <f t="shared" si="419"/>
        <v>0.50360000000000138</v>
      </c>
      <c r="AA460" s="792">
        <f>+AA377-AA398-AA427</f>
        <v>0.85522000000000009</v>
      </c>
      <c r="AB460" s="792">
        <f>+AB377-AB398-AB427</f>
        <v>1.1381400000000026</v>
      </c>
      <c r="AC460" s="792">
        <f t="shared" si="419"/>
        <v>1.5689493027806298</v>
      </c>
      <c r="AD460" s="792">
        <f ca="1">+AD377-AD398-AD427</f>
        <v>1.5274903670781468</v>
      </c>
      <c r="AE460" s="792">
        <f ca="1">+AE377-AE398-AE427</f>
        <v>1.603364125071062</v>
      </c>
    </row>
    <row r="461" spans="1:31" ht="12.75" customHeight="1">
      <c r="A461" s="664"/>
      <c r="B461" s="664"/>
      <c r="C461" s="784" t="s">
        <v>1769</v>
      </c>
      <c r="D461" s="752"/>
      <c r="E461" s="753" t="s">
        <v>1323</v>
      </c>
      <c r="F461" s="754" t="s">
        <v>1607</v>
      </c>
      <c r="G461" s="785">
        <f t="shared" ref="G461:S461" si="420">+G458+G459+G460</f>
        <v>1.0539500000000008</v>
      </c>
      <c r="H461" s="785">
        <f t="shared" si="420"/>
        <v>1.2084399999999986</v>
      </c>
      <c r="I461" s="785">
        <f t="shared" si="420"/>
        <v>1.7443099999999998</v>
      </c>
      <c r="J461" s="785">
        <f t="shared" si="420"/>
        <v>1.6651399999999965</v>
      </c>
      <c r="K461" s="785">
        <f t="shared" si="420"/>
        <v>1.354950000000001</v>
      </c>
      <c r="L461" s="785">
        <f t="shared" si="420"/>
        <v>1.7257599999999997</v>
      </c>
      <c r="M461" s="785">
        <f t="shared" si="420"/>
        <v>2.0263999999999971</v>
      </c>
      <c r="N461" s="785">
        <f t="shared" si="420"/>
        <v>2.3460300000000016</v>
      </c>
      <c r="O461" s="785">
        <f t="shared" si="420"/>
        <v>2.5040400000000012</v>
      </c>
      <c r="P461" s="785">
        <f t="shared" si="420"/>
        <v>2.7874899999999978</v>
      </c>
      <c r="Q461" s="785">
        <f t="shared" si="420"/>
        <v>3.5727299999999991</v>
      </c>
      <c r="R461" s="785">
        <f t="shared" si="420"/>
        <v>3.9785699999999955</v>
      </c>
      <c r="S461" s="785">
        <f t="shared" si="420"/>
        <v>4.9917800000000083</v>
      </c>
      <c r="T461" s="785">
        <f t="shared" ref="T461:Y461" si="421">+T458+T459+T460</f>
        <v>4.8158699999999994</v>
      </c>
      <c r="U461" s="785">
        <f t="shared" si="421"/>
        <v>3.9069500000000037</v>
      </c>
      <c r="V461" s="785">
        <f t="shared" si="421"/>
        <v>4.9563999999999941</v>
      </c>
      <c r="W461" s="844">
        <f t="shared" si="421"/>
        <v>5.5942500000000042</v>
      </c>
      <c r="X461" s="844">
        <f t="shared" si="421"/>
        <v>6.1450800000000019</v>
      </c>
      <c r="Y461" s="844">
        <f t="shared" si="421"/>
        <v>7.3016299999999976</v>
      </c>
      <c r="Z461" s="844">
        <f t="shared" ref="Z461:AE461" si="422">+Z458+Z459+Z460</f>
        <v>8.4134900000000066</v>
      </c>
      <c r="AA461" s="844">
        <f t="shared" si="422"/>
        <v>6.9462699999999975</v>
      </c>
      <c r="AB461" s="844">
        <f t="shared" si="422"/>
        <v>6.4324600000000043</v>
      </c>
      <c r="AC461" s="844">
        <f t="shared" si="422"/>
        <v>7.4485184080000053</v>
      </c>
      <c r="AD461" s="844">
        <f t="shared" ca="1" si="422"/>
        <v>7.7605408131492819</v>
      </c>
      <c r="AE461" s="844">
        <f t="shared" ca="1" si="422"/>
        <v>8.2684582391073853</v>
      </c>
    </row>
    <row r="462" spans="1:31">
      <c r="A462" s="664"/>
      <c r="B462" s="664"/>
      <c r="Q462" s="699"/>
      <c r="R462" s="699"/>
      <c r="S462" s="699"/>
      <c r="T462" s="843"/>
      <c r="U462" s="843"/>
      <c r="V462" s="843"/>
      <c r="W462" s="843"/>
      <c r="X462" s="843"/>
      <c r="Y462" s="843"/>
      <c r="Z462" s="843"/>
      <c r="AA462" s="843"/>
      <c r="AB462" s="843"/>
      <c r="AC462" s="843"/>
      <c r="AD462" s="843"/>
      <c r="AE462" s="843"/>
    </row>
    <row r="463" spans="1:31" ht="12.75" customHeight="1">
      <c r="A463" s="664"/>
      <c r="B463" s="664"/>
      <c r="C463" s="774"/>
      <c r="D463" s="742"/>
      <c r="E463" s="743" t="s">
        <v>1311</v>
      </c>
      <c r="F463" s="744"/>
      <c r="G463" s="745">
        <f>+InputY!$G$3</f>
        <v>1995</v>
      </c>
      <c r="H463" s="745">
        <f>+G463+1</f>
        <v>1996</v>
      </c>
      <c r="I463" s="745">
        <f t="shared" ref="I463:O463" si="423">+H463+1</f>
        <v>1997</v>
      </c>
      <c r="J463" s="745">
        <f t="shared" si="423"/>
        <v>1998</v>
      </c>
      <c r="K463" s="745">
        <f>+J463+1</f>
        <v>1999</v>
      </c>
      <c r="L463" s="745">
        <f t="shared" si="423"/>
        <v>2000</v>
      </c>
      <c r="M463" s="745">
        <f t="shared" si="423"/>
        <v>2001</v>
      </c>
      <c r="N463" s="745">
        <f t="shared" si="423"/>
        <v>2002</v>
      </c>
      <c r="O463" s="745">
        <f t="shared" si="423"/>
        <v>2003</v>
      </c>
      <c r="P463" s="745">
        <f t="shared" ref="P463:V463" si="424">+O463+1</f>
        <v>2004</v>
      </c>
      <c r="Q463" s="745">
        <f t="shared" si="424"/>
        <v>2005</v>
      </c>
      <c r="R463" s="745">
        <f t="shared" si="424"/>
        <v>2006</v>
      </c>
      <c r="S463" s="745">
        <f>+R463+1</f>
        <v>2007</v>
      </c>
      <c r="T463" s="745">
        <f t="shared" si="424"/>
        <v>2008</v>
      </c>
      <c r="U463" s="745">
        <f t="shared" si="424"/>
        <v>2009</v>
      </c>
      <c r="V463" s="745">
        <f t="shared" si="424"/>
        <v>2010</v>
      </c>
      <c r="W463" s="745">
        <f t="shared" ref="W463:AE463" si="425">+V463+1</f>
        <v>2011</v>
      </c>
      <c r="X463" s="745">
        <f t="shared" si="425"/>
        <v>2012</v>
      </c>
      <c r="Y463" s="745">
        <f t="shared" si="425"/>
        <v>2013</v>
      </c>
      <c r="Z463" s="745">
        <f t="shared" si="425"/>
        <v>2014</v>
      </c>
      <c r="AA463" s="745">
        <f t="shared" si="425"/>
        <v>2015</v>
      </c>
      <c r="AB463" s="745">
        <f t="shared" si="425"/>
        <v>2016</v>
      </c>
      <c r="AC463" s="745">
        <f t="shared" si="425"/>
        <v>2017</v>
      </c>
      <c r="AD463" s="745">
        <f t="shared" si="425"/>
        <v>2018</v>
      </c>
      <c r="AE463" s="745">
        <f t="shared" si="425"/>
        <v>2019</v>
      </c>
    </row>
    <row r="464" spans="1:31" ht="12.75" customHeight="1">
      <c r="A464" s="664"/>
      <c r="B464" s="664"/>
      <c r="C464" s="794" t="s">
        <v>1767</v>
      </c>
      <c r="D464" s="689" t="s">
        <v>685</v>
      </c>
      <c r="E464" s="738" t="s">
        <v>1323</v>
      </c>
      <c r="F464" s="733" t="s">
        <v>1604</v>
      </c>
      <c r="G464" s="739"/>
      <c r="H464" s="739">
        <f t="shared" ref="H464:Q464" si="426">(H458/G458-1)*100</f>
        <v>-214.50626274395495</v>
      </c>
      <c r="I464" s="739">
        <f t="shared" si="426"/>
        <v>-375.52785550750451</v>
      </c>
      <c r="J464" s="739">
        <f t="shared" si="426"/>
        <v>181.94072569476396</v>
      </c>
      <c r="K464" s="739">
        <f>(K458/J458-1)*100</f>
        <v>-40.627763041555852</v>
      </c>
      <c r="L464" s="739">
        <f t="shared" si="426"/>
        <v>56.567662226634411</v>
      </c>
      <c r="M464" s="739">
        <f t="shared" si="426"/>
        <v>-25.494513236926451</v>
      </c>
      <c r="N464" s="739">
        <f t="shared" si="426"/>
        <v>4.9859334736056748</v>
      </c>
      <c r="O464" s="739">
        <f t="shared" si="426"/>
        <v>-52.81480814267703</v>
      </c>
      <c r="P464" s="739">
        <f t="shared" si="426"/>
        <v>378.78209411090762</v>
      </c>
      <c r="Q464" s="739">
        <f t="shared" si="426"/>
        <v>-42.83322036601416</v>
      </c>
      <c r="R464" s="739">
        <f t="shared" ref="R464:AE467" si="427">(R458/Q458-1)*100</f>
        <v>46.68712512205326</v>
      </c>
      <c r="S464" s="739">
        <f t="shared" si="427"/>
        <v>-185.56366489159336</v>
      </c>
      <c r="T464" s="739">
        <f t="shared" ref="T464:U466" si="428">(T458/S458-1)*100</f>
        <v>-84.954780989955864</v>
      </c>
      <c r="U464" s="739">
        <f t="shared" si="428"/>
        <v>-1011.3019390581769</v>
      </c>
      <c r="V464" s="2907">
        <f t="shared" si="427"/>
        <v>53.623320566598686</v>
      </c>
      <c r="W464" s="2907">
        <f t="shared" si="427"/>
        <v>-38.526682364114606</v>
      </c>
      <c r="X464" s="2907">
        <f t="shared" si="427"/>
        <v>-59.581133856915791</v>
      </c>
      <c r="Y464" s="2907">
        <f t="shared" si="427"/>
        <v>42.161286897429726</v>
      </c>
      <c r="Z464" s="2907">
        <f t="shared" si="427"/>
        <v>-93.220054149938605</v>
      </c>
      <c r="AA464" s="2907">
        <f t="shared" si="427"/>
        <v>-100.16524373451192</v>
      </c>
      <c r="AB464" s="2907">
        <f t="shared" si="427"/>
        <v>199666.66666239945</v>
      </c>
      <c r="AC464" s="2907">
        <f t="shared" si="427"/>
        <v>209.84595760105731</v>
      </c>
      <c r="AD464" s="2907">
        <f t="shared" ca="1" si="427"/>
        <v>39.755465742009164</v>
      </c>
      <c r="AE464" s="2907">
        <f t="shared" ca="1" si="427"/>
        <v>25.923616743625331</v>
      </c>
    </row>
    <row r="465" spans="1:32" ht="12.75" customHeight="1">
      <c r="A465" s="664"/>
      <c r="B465" s="664"/>
      <c r="C465" s="795" t="s">
        <v>1767</v>
      </c>
      <c r="D465" s="674" t="s">
        <v>686</v>
      </c>
      <c r="E465" s="783" t="s">
        <v>1323</v>
      </c>
      <c r="F465" s="704" t="s">
        <v>1605</v>
      </c>
      <c r="G465" s="706"/>
      <c r="H465" s="706">
        <f t="shared" ref="H465:Q465" si="429">(H459/G459-1)*100</f>
        <v>49.911835426128668</v>
      </c>
      <c r="I465" s="706">
        <f t="shared" si="429"/>
        <v>1.5549258625606743</v>
      </c>
      <c r="J465" s="706">
        <f t="shared" si="429"/>
        <v>-15.117268730970734</v>
      </c>
      <c r="K465" s="706">
        <f>(K459/J459-1)*100</f>
        <v>-5.2439528633449806</v>
      </c>
      <c r="L465" s="706">
        <f t="shared" si="429"/>
        <v>3.2061701593812053</v>
      </c>
      <c r="M465" s="706">
        <f t="shared" si="429"/>
        <v>57.70669936367667</v>
      </c>
      <c r="N465" s="706">
        <f t="shared" si="429"/>
        <v>9.6568364611259838</v>
      </c>
      <c r="O465" s="706">
        <f t="shared" si="429"/>
        <v>20.89323260476268</v>
      </c>
      <c r="P465" s="706">
        <f t="shared" si="429"/>
        <v>-31.061069512768601</v>
      </c>
      <c r="Q465" s="706">
        <f t="shared" si="429"/>
        <v>77.099482967254801</v>
      </c>
      <c r="R465" s="706">
        <f t="shared" si="427"/>
        <v>-3.7737489854401063</v>
      </c>
      <c r="S465" s="706">
        <f t="shared" si="427"/>
        <v>95.254571353568409</v>
      </c>
      <c r="T465" s="706">
        <f t="shared" si="428"/>
        <v>-3.9897292353129554</v>
      </c>
      <c r="U465" s="706">
        <f t="shared" si="428"/>
        <v>2.2937791112753514</v>
      </c>
      <c r="V465" s="792">
        <f t="shared" si="427"/>
        <v>2.9252364762513583</v>
      </c>
      <c r="W465" s="792">
        <f t="shared" si="427"/>
        <v>17.028388278388352</v>
      </c>
      <c r="X465" s="792">
        <f t="shared" si="427"/>
        <v>13.748581712899522</v>
      </c>
      <c r="Y465" s="792">
        <f t="shared" si="427"/>
        <v>10.542263890731519</v>
      </c>
      <c r="Z465" s="792">
        <f t="shared" si="427"/>
        <v>16.663431605119072</v>
      </c>
      <c r="AA465" s="792">
        <f t="shared" si="427"/>
        <v>-22.638621821331629</v>
      </c>
      <c r="AB465" s="792">
        <f t="shared" si="427"/>
        <v>-11.113409542759822</v>
      </c>
      <c r="AC465" s="792">
        <f t="shared" si="427"/>
        <v>15.455165325127695</v>
      </c>
      <c r="AD465" s="792">
        <f t="shared" ca="1" si="427"/>
        <v>8.0167925582575794</v>
      </c>
      <c r="AE465" s="792">
        <f t="shared" ca="1" si="427"/>
        <v>8.3914028633515603</v>
      </c>
    </row>
    <row r="466" spans="1:32" ht="12.75" customHeight="1">
      <c r="A466" s="664"/>
      <c r="B466" s="664"/>
      <c r="C466" s="796" t="s">
        <v>1767</v>
      </c>
      <c r="D466" s="691" t="s">
        <v>687</v>
      </c>
      <c r="E466" s="797" t="s">
        <v>1323</v>
      </c>
      <c r="F466" s="736" t="s">
        <v>1606</v>
      </c>
      <c r="G466" s="741"/>
      <c r="H466" s="741">
        <f t="shared" ref="H466:Q466" si="430">(H460/G460-1)*100</f>
        <v>-30.364611939668361</v>
      </c>
      <c r="I466" s="741">
        <f t="shared" si="430"/>
        <v>135.40832423249699</v>
      </c>
      <c r="J466" s="741">
        <f t="shared" si="430"/>
        <v>-77.577319587628921</v>
      </c>
      <c r="K466" s="741">
        <f>(K460/J460-1)*100</f>
        <v>-13.022988505746213</v>
      </c>
      <c r="L466" s="741">
        <f t="shared" si="430"/>
        <v>180.12422360248291</v>
      </c>
      <c r="M466" s="741">
        <f t="shared" si="430"/>
        <v>-47.440675567297262</v>
      </c>
      <c r="N466" s="741">
        <f t="shared" si="430"/>
        <v>138.6410555605421</v>
      </c>
      <c r="O466" s="741">
        <f t="shared" si="430"/>
        <v>19.076992515138812</v>
      </c>
      <c r="P466" s="741">
        <f t="shared" si="430"/>
        <v>32.884803689314346</v>
      </c>
      <c r="Q466" s="741">
        <f t="shared" si="430"/>
        <v>38.904207273591432</v>
      </c>
      <c r="R466" s="741">
        <f t="shared" si="427"/>
        <v>39.223437205879733</v>
      </c>
      <c r="S466" s="741">
        <f t="shared" si="427"/>
        <v>44.357039258585765</v>
      </c>
      <c r="T466" s="741">
        <f t="shared" si="428"/>
        <v>-51.633942407574665</v>
      </c>
      <c r="U466" s="741">
        <f t="shared" si="428"/>
        <v>-370.41053446940401</v>
      </c>
      <c r="V466" s="2908">
        <f t="shared" si="427"/>
        <v>-25.381500481758302</v>
      </c>
      <c r="W466" s="2908">
        <f t="shared" si="427"/>
        <v>-38.475095317448726</v>
      </c>
      <c r="X466" s="2908">
        <f t="shared" si="427"/>
        <v>-52.215037295442144</v>
      </c>
      <c r="Y466" s="2908">
        <f t="shared" si="427"/>
        <v>-105.07760334747867</v>
      </c>
      <c r="Z466" s="2908">
        <f t="shared" si="427"/>
        <v>2843.3080070136489</v>
      </c>
      <c r="AA466" s="2908">
        <f t="shared" si="427"/>
        <v>69.821286735503918</v>
      </c>
      <c r="AB466" s="2908">
        <f t="shared" si="427"/>
        <v>33.081546268796622</v>
      </c>
      <c r="AC466" s="2908">
        <f t="shared" si="427"/>
        <v>37.852048322756971</v>
      </c>
      <c r="AD466" s="2908">
        <f t="shared" ca="1" si="427"/>
        <v>-2.6424649686899282</v>
      </c>
      <c r="AE466" s="2908">
        <f t="shared" ca="1" si="427"/>
        <v>4.9672167909019294</v>
      </c>
    </row>
    <row r="467" spans="1:32" ht="12.75" customHeight="1">
      <c r="A467" s="664"/>
      <c r="B467" s="664"/>
      <c r="C467" s="774" t="s">
        <v>1769</v>
      </c>
      <c r="D467" s="717"/>
      <c r="E467" s="722" t="s">
        <v>1323</v>
      </c>
      <c r="F467" s="723" t="s">
        <v>1607</v>
      </c>
      <c r="G467" s="721"/>
      <c r="H467" s="721">
        <f t="shared" ref="H467:Q467" si="431">(H461/G461-1)*100</f>
        <v>14.658190616252931</v>
      </c>
      <c r="I467" s="721">
        <f t="shared" si="431"/>
        <v>44.343947568766495</v>
      </c>
      <c r="J467" s="721">
        <f t="shared" si="431"/>
        <v>-4.53875744563772</v>
      </c>
      <c r="K467" s="721">
        <f>(K461/J461-1)*100</f>
        <v>-18.628463672723981</v>
      </c>
      <c r="L467" s="721">
        <f t="shared" si="431"/>
        <v>27.367061515184954</v>
      </c>
      <c r="M467" s="721">
        <f t="shared" si="431"/>
        <v>17.420730576673304</v>
      </c>
      <c r="N467" s="721">
        <f t="shared" si="431"/>
        <v>15.773292538492157</v>
      </c>
      <c r="O467" s="721">
        <f t="shared" si="431"/>
        <v>6.7352079896676242</v>
      </c>
      <c r="P467" s="721">
        <f t="shared" si="431"/>
        <v>11.31970735291754</v>
      </c>
      <c r="Q467" s="721">
        <f t="shared" si="431"/>
        <v>28.170145901868771</v>
      </c>
      <c r="R467" s="721">
        <f t="shared" si="427"/>
        <v>11.359380641694061</v>
      </c>
      <c r="S467" s="721">
        <f t="shared" si="427"/>
        <v>25.466687779780518</v>
      </c>
      <c r="T467" s="801">
        <f t="shared" si="427"/>
        <v>-3.5239934452241162</v>
      </c>
      <c r="U467" s="801">
        <f t="shared" si="427"/>
        <v>-18.873433045327136</v>
      </c>
      <c r="V467" s="801">
        <f t="shared" si="427"/>
        <v>26.861106489716779</v>
      </c>
      <c r="W467" s="801">
        <f t="shared" si="427"/>
        <v>12.869219594867465</v>
      </c>
      <c r="X467" s="801">
        <f t="shared" si="427"/>
        <v>9.8463601018902835</v>
      </c>
      <c r="Y467" s="801">
        <f t="shared" si="427"/>
        <v>18.82074765503452</v>
      </c>
      <c r="Z467" s="801">
        <f t="shared" si="427"/>
        <v>15.227558777971616</v>
      </c>
      <c r="AA467" s="801">
        <f t="shared" si="427"/>
        <v>-17.43889872098271</v>
      </c>
      <c r="AB467" s="801">
        <f t="shared" si="427"/>
        <v>-7.3969194978023234</v>
      </c>
      <c r="AC467" s="801">
        <f t="shared" si="427"/>
        <v>15.795798310444219</v>
      </c>
      <c r="AD467" s="801">
        <f t="shared" ca="1" si="427"/>
        <v>4.189053286277078</v>
      </c>
      <c r="AE467" s="801">
        <f t="shared" ca="1" si="427"/>
        <v>6.5448715261892554</v>
      </c>
    </row>
    <row r="468" spans="1:32" ht="12.75" customHeight="1">
      <c r="A468" s="664"/>
      <c r="B468" s="664"/>
      <c r="C468" s="774"/>
      <c r="E468" s="786"/>
      <c r="F468" s="787"/>
      <c r="G468" s="703"/>
      <c r="H468" s="788"/>
      <c r="I468" s="703"/>
      <c r="J468" s="703"/>
      <c r="K468" s="703"/>
      <c r="L468" s="703"/>
      <c r="M468" s="703"/>
      <c r="N468" s="703"/>
      <c r="O468" s="703"/>
      <c r="P468" s="703"/>
      <c r="Q468" s="703"/>
      <c r="R468" s="703"/>
      <c r="S468" s="703"/>
      <c r="T468" s="845"/>
      <c r="U468" s="845"/>
      <c r="V468" s="845"/>
      <c r="W468" s="845"/>
      <c r="X468" s="845"/>
      <c r="Y468" s="845"/>
      <c r="Z468" s="845"/>
      <c r="AA468" s="845"/>
      <c r="AB468" s="845"/>
      <c r="AC468" s="845"/>
      <c r="AD468" s="845"/>
      <c r="AE468" s="845"/>
    </row>
    <row r="469" spans="1:32" ht="12.75" customHeight="1">
      <c r="A469" s="664"/>
      <c r="B469" s="664"/>
      <c r="C469" s="774"/>
      <c r="D469" s="818"/>
      <c r="E469" s="819" t="s">
        <v>1195</v>
      </c>
      <c r="F469" s="820"/>
      <c r="G469" s="821">
        <f>+InputY!$G$3</f>
        <v>1995</v>
      </c>
      <c r="H469" s="821">
        <f>+G469+1</f>
        <v>1996</v>
      </c>
      <c r="I469" s="821">
        <f t="shared" ref="I469:O469" si="432">+H469+1</f>
        <v>1997</v>
      </c>
      <c r="J469" s="821">
        <f t="shared" si="432"/>
        <v>1998</v>
      </c>
      <c r="K469" s="821">
        <f>+J469+1</f>
        <v>1999</v>
      </c>
      <c r="L469" s="821">
        <f t="shared" si="432"/>
        <v>2000</v>
      </c>
      <c r="M469" s="821">
        <f t="shared" si="432"/>
        <v>2001</v>
      </c>
      <c r="N469" s="821">
        <f t="shared" si="432"/>
        <v>2002</v>
      </c>
      <c r="O469" s="821">
        <f t="shared" si="432"/>
        <v>2003</v>
      </c>
      <c r="P469" s="821">
        <f t="shared" ref="P469:V469" si="433">+O469+1</f>
        <v>2004</v>
      </c>
      <c r="Q469" s="821">
        <f t="shared" si="433"/>
        <v>2005</v>
      </c>
      <c r="R469" s="821">
        <f t="shared" si="433"/>
        <v>2006</v>
      </c>
      <c r="S469" s="821">
        <f>+R469+1</f>
        <v>2007</v>
      </c>
      <c r="T469" s="821">
        <f t="shared" si="433"/>
        <v>2008</v>
      </c>
      <c r="U469" s="821">
        <f t="shared" si="433"/>
        <v>2009</v>
      </c>
      <c r="V469" s="821">
        <f t="shared" si="433"/>
        <v>2010</v>
      </c>
      <c r="W469" s="821">
        <f t="shared" ref="W469:AE469" si="434">+V469+1</f>
        <v>2011</v>
      </c>
      <c r="X469" s="821">
        <f t="shared" si="434"/>
        <v>2012</v>
      </c>
      <c r="Y469" s="821">
        <f t="shared" si="434"/>
        <v>2013</v>
      </c>
      <c r="Z469" s="821">
        <f t="shared" si="434"/>
        <v>2014</v>
      </c>
      <c r="AA469" s="821">
        <f t="shared" si="434"/>
        <v>2015</v>
      </c>
      <c r="AB469" s="821">
        <f t="shared" si="434"/>
        <v>2016</v>
      </c>
      <c r="AC469" s="821">
        <f t="shared" si="434"/>
        <v>2017</v>
      </c>
      <c r="AD469" s="821">
        <f t="shared" si="434"/>
        <v>2018</v>
      </c>
      <c r="AE469" s="821">
        <f t="shared" si="434"/>
        <v>2019</v>
      </c>
    </row>
    <row r="470" spans="1:32" ht="12.75" customHeight="1">
      <c r="A470" s="664"/>
      <c r="B470" s="664"/>
      <c r="C470" s="822" t="s">
        <v>1767</v>
      </c>
      <c r="D470" s="823" t="s">
        <v>685</v>
      </c>
      <c r="E470" s="824" t="s">
        <v>1323</v>
      </c>
      <c r="F470" s="825" t="s">
        <v>1196</v>
      </c>
      <c r="G470" s="838">
        <f>+G458/'VVP2'!G$341</f>
        <v>8.8427760598517088E-3</v>
      </c>
      <c r="H470" s="838">
        <f>+H458/'VVP2'!H$341</f>
        <v>-8.093348362955062E-3</v>
      </c>
      <c r="I470" s="838">
        <f>+I458/'VVP2'!I$341</f>
        <v>1.8476093323803285E-2</v>
      </c>
      <c r="J470" s="838">
        <f>+J458/'VVP2'!J$341</f>
        <v>4.6900773769847026E-2</v>
      </c>
      <c r="K470" s="838">
        <f>+K458/'VVP2'!K$341</f>
        <v>2.8524836218777737E-2</v>
      </c>
      <c r="L470" s="838">
        <f>+L458/'VVP2'!L$341</f>
        <v>4.2468757901225083E-2</v>
      </c>
      <c r="M470" s="838">
        <f>+M458/'VVP2'!M$341</f>
        <v>2.9799528268655569E-2</v>
      </c>
      <c r="N470" s="838">
        <f>+N458/'VVP2'!N$341</f>
        <v>2.9211619130689984E-2</v>
      </c>
      <c r="O470" s="838">
        <f>+O458/'VVP2'!O$341</f>
        <v>1.2571032271688872E-2</v>
      </c>
      <c r="P470" s="838">
        <f>+P458/'VVP2'!P$341</f>
        <v>5.5009069116095551E-2</v>
      </c>
      <c r="Q470" s="838">
        <f>+Q458/'VVP2'!Q$341</f>
        <v>2.7307420360102488E-2</v>
      </c>
      <c r="R470" s="838">
        <f>+R458/'VVP2'!R$341</f>
        <v>3.4938066827856995E-2</v>
      </c>
      <c r="S470" s="838">
        <f>+S458/'VVP2'!S$341</f>
        <v>-2.4786971095009366E-2</v>
      </c>
      <c r="T470" s="2909">
        <f>+T458/'VVP2'!T$341</f>
        <v>-3.3123034180035111E-3</v>
      </c>
      <c r="U470" s="2909">
        <f>+U458/'VVP2'!U$341</f>
        <v>3.6641789326975427E-2</v>
      </c>
      <c r="V470" s="2909">
        <f>+V458/'VVP2'!V$341</f>
        <v>5.4095489955279727E-2</v>
      </c>
      <c r="W470" s="2909">
        <f>+W458/'VVP2'!W$341</f>
        <v>2.9801133929245188E-2</v>
      </c>
      <c r="X470" s="2909">
        <f>+X458/'VVP2'!X$341</f>
        <v>1.1296466885447323E-2</v>
      </c>
      <c r="Y470" s="2909">
        <f>+Y458/'VVP2'!Y$341</f>
        <v>1.5319089292942022E-2</v>
      </c>
      <c r="Z470" s="2909">
        <f>+Z458/'VVP2'!Z$341</f>
        <v>9.9293704817409617E-4</v>
      </c>
      <c r="AA470" s="2909">
        <f>+AA458/'VVP2'!AA$341</f>
        <v>-1.6031374468935671E-6</v>
      </c>
      <c r="AB470" s="2909">
        <f>+AB458/'VVP2'!AB$341</f>
        <v>-3.0996950475220848E-3</v>
      </c>
      <c r="AC470" s="2909">
        <f ca="1">+AC458/'VVP2'!AC$341</f>
        <v>-8.8890609336233252E-3</v>
      </c>
      <c r="AD470" s="2909">
        <f ca="1">+AD458/'VVP2'!AD$341</f>
        <v>-1.1739594230437661E-2</v>
      </c>
      <c r="AE470" s="2909">
        <f ca="1">+AE458/'VVP2'!AE$341</f>
        <v>-1.4002324636286839E-2</v>
      </c>
    </row>
    <row r="471" spans="1:32" ht="12.75" customHeight="1">
      <c r="A471" s="664"/>
      <c r="B471" s="664"/>
      <c r="C471" s="826" t="s">
        <v>1767</v>
      </c>
      <c r="D471" s="674" t="s">
        <v>686</v>
      </c>
      <c r="E471" s="783" t="s">
        <v>1323</v>
      </c>
      <c r="F471" s="704" t="s">
        <v>1605</v>
      </c>
      <c r="G471" s="839">
        <f>+G459/'VVP2'!G$341</f>
        <v>9.6412789956378572E-2</v>
      </c>
      <c r="H471" s="839">
        <f>+H459/'VVP2'!H$341</f>
        <v>0.11552631985299787</v>
      </c>
      <c r="I471" s="839">
        <f>+I459/'VVP2'!I$341</f>
        <v>9.7207177546881116E-2</v>
      </c>
      <c r="J471" s="839">
        <f>+J459/'VVP2'!J$341</f>
        <v>7.4289891844238481E-2</v>
      </c>
      <c r="K471" s="839">
        <f>+K459/'VVP2'!K$341</f>
        <v>7.2110150345183505E-2</v>
      </c>
      <c r="L471" s="839">
        <f>+L459/'VVP2'!L$341</f>
        <v>7.0769543797285797E-2</v>
      </c>
      <c r="M471" s="839">
        <f>+M459/'VVP2'!M$341</f>
        <v>0.10511098649337912</v>
      </c>
      <c r="N471" s="839">
        <f>+N459/'VVP2'!N$341</f>
        <v>0.10762147772324605</v>
      </c>
      <c r="O471" s="839">
        <f>+O459/'VVP2'!O$341</f>
        <v>0.11866168960817067</v>
      </c>
      <c r="P471" s="839">
        <f>+P459/'VVP2'!P$341</f>
        <v>7.4765376373801054E-2</v>
      </c>
      <c r="Q471" s="839">
        <f>+Q459/'VVP2'!Q$341</f>
        <v>0.11497951419722083</v>
      </c>
      <c r="R471" s="839">
        <f>+R459/'VVP2'!R$341</f>
        <v>9.6502870944940769E-2</v>
      </c>
      <c r="S471" s="839">
        <f>+S459/'VVP2'!S$341</f>
        <v>0.15623439687665508</v>
      </c>
      <c r="T471" s="2910">
        <f>+T459/'VVP2'!T$341</f>
        <v>0.13323014116590634</v>
      </c>
      <c r="U471" s="2910">
        <f>+U459/'VVP2'!U$341</f>
        <v>0.16543826912524381</v>
      </c>
      <c r="V471" s="2910">
        <f>+V459/'VVP2'!V$341</f>
        <v>0.16363834868840274</v>
      </c>
      <c r="W471" s="2910">
        <f>+W459/'VVP2'!W$341</f>
        <v>0.17161742869457455</v>
      </c>
      <c r="X471" s="2910">
        <f>+X459/'VVP2'!X$341</f>
        <v>0.18307670994300188</v>
      </c>
      <c r="Y471" s="2910">
        <f>+Y459/'VVP2'!Y$341</f>
        <v>0.19305027367264826</v>
      </c>
      <c r="Z471" s="2910">
        <f>+Z459/'VVP2'!Z$341</f>
        <v>0.21531174012012602</v>
      </c>
      <c r="AA471" s="2910">
        <f>+AA459/'VVP2'!AA$341</f>
        <v>0.16274810889898919</v>
      </c>
      <c r="AB471" s="2910">
        <f>+AB459/'VVP2'!AB$341</f>
        <v>0.1400159096645523</v>
      </c>
      <c r="AC471" s="2910">
        <f ca="1">+AC459/'VVP2'!AC$341</f>
        <v>0.14961730687190969</v>
      </c>
      <c r="AD471" s="2910">
        <f ca="1">+AD459/'VVP2'!AD$341</f>
        <v>0.15272196785034911</v>
      </c>
      <c r="AE471" s="2910">
        <f ca="1">+AE459/'VVP2'!AE$341</f>
        <v>0.15679644646822813</v>
      </c>
    </row>
    <row r="472" spans="1:32" ht="12.75" customHeight="1">
      <c r="A472" s="664"/>
      <c r="B472" s="664"/>
      <c r="C472" s="827" t="s">
        <v>1767</v>
      </c>
      <c r="D472" s="828" t="s">
        <v>687</v>
      </c>
      <c r="E472" s="829" t="s">
        <v>1323</v>
      </c>
      <c r="F472" s="830" t="s">
        <v>1606</v>
      </c>
      <c r="G472" s="840">
        <f>+G460/'VVP2'!G$341</f>
        <v>3.0483493527618609E-2</v>
      </c>
      <c r="H472" s="840">
        <f>+H460/'VVP2'!H$341</f>
        <v>1.6967001744877246E-2</v>
      </c>
      <c r="I472" s="840">
        <f>+I460/'VVP2'!I$341</f>
        <v>3.3093547270038222E-2</v>
      </c>
      <c r="J472" s="840">
        <f>+J460/'VVP2'!J$341</f>
        <v>6.681021904536625E-3</v>
      </c>
      <c r="K472" s="840">
        <f>+K460/'VVP2'!K$341</f>
        <v>5.9526057104738617E-3</v>
      </c>
      <c r="L472" s="840">
        <f>+L460/'VVP2'!L$341</f>
        <v>1.5856309535030231E-2</v>
      </c>
      <c r="M472" s="840">
        <f>+M460/'VVP2'!M$341</f>
        <v>7.8488036228065629E-3</v>
      </c>
      <c r="N472" s="840">
        <f>+N460/'VVP2'!N$341</f>
        <v>1.7488950590606504E-2</v>
      </c>
      <c r="O472" s="840">
        <f>+O460/'VVP2'!O$341</f>
        <v>1.8993333525312458E-2</v>
      </c>
      <c r="P472" s="840">
        <f>+P460/'VVP2'!P$341</f>
        <v>2.3067576429509858E-2</v>
      </c>
      <c r="Q472" s="840">
        <f>+Q460/'VVP2'!Q$341</f>
        <v>2.7824029215778225E-2</v>
      </c>
      <c r="R472" s="840">
        <f>+R460/'VVP2'!R$341</f>
        <v>3.3787695428166536E-2</v>
      </c>
      <c r="S472" s="840">
        <f>+S460/'VVP2'!S$341</f>
        <v>4.0441918331057237E-2</v>
      </c>
      <c r="T472" s="2911">
        <f>+T460/'VVP2'!T$341</f>
        <v>1.7373230226802528E-2</v>
      </c>
      <c r="U472" s="2911">
        <f>+U460/'VVP2'!U$341</f>
        <v>-5.7028040283915019E-2</v>
      </c>
      <c r="V472" s="2911">
        <f>+V460/'VVP2'!V$341</f>
        <v>-4.0894245184935153E-2</v>
      </c>
      <c r="W472" s="2911">
        <f>+W460/'VVP2'!W$341</f>
        <v>-2.2547491120794214E-2</v>
      </c>
      <c r="X472" s="2911">
        <f>+X460/'VVP2'!X$341</f>
        <v>-1.010450851133245E-2</v>
      </c>
      <c r="Y472" s="2911">
        <f>+Y460/'VVP2'!Y$341</f>
        <v>4.8942137578605177E-4</v>
      </c>
      <c r="Z472" s="2911">
        <f>+Z460/'VVP2'!Z$341</f>
        <v>1.377149813991802E-2</v>
      </c>
      <c r="AA472" s="2911">
        <f>+AA460/'VVP2'!AA$341</f>
        <v>2.2850586788383986E-2</v>
      </c>
      <c r="AB472" s="2911">
        <f>+AB460/'VVP2'!AB$341</f>
        <v>2.943339664097128E-2</v>
      </c>
      <c r="AC472" s="2911">
        <f ca="1">+AC460/'VVP2'!AC$341</f>
        <v>3.7553004207470264E-2</v>
      </c>
      <c r="AD472" s="2911">
        <f ca="1">+AD460/'VVP2'!AD$341</f>
        <v>3.4549570791291701E-2</v>
      </c>
      <c r="AE472" s="2911">
        <f ca="1">+AE460/'VVP2'!AE$341</f>
        <v>3.4350748586460755E-2</v>
      </c>
    </row>
    <row r="473" spans="1:32" ht="12.75" customHeight="1">
      <c r="A473" s="664"/>
      <c r="B473" s="664"/>
      <c r="C473" s="774" t="s">
        <v>1769</v>
      </c>
      <c r="D473" s="806"/>
      <c r="E473" s="807" t="s">
        <v>1323</v>
      </c>
      <c r="F473" s="808" t="s">
        <v>1607</v>
      </c>
      <c r="G473" s="841">
        <f>+G461/'VVP2'!G$341</f>
        <v>0.13573905954384888</v>
      </c>
      <c r="H473" s="841">
        <f>+H461/'VVP2'!H$341</f>
        <v>0.12439997323492005</v>
      </c>
      <c r="I473" s="841">
        <f>+I461/'VVP2'!I$341</f>
        <v>0.14877681814072263</v>
      </c>
      <c r="J473" s="841">
        <f>+J461/'VVP2'!J$341</f>
        <v>0.12787168751862213</v>
      </c>
      <c r="K473" s="841">
        <f>+K461/'VVP2'!K$341</f>
        <v>0.10658759227443509</v>
      </c>
      <c r="L473" s="841">
        <f>+L461/'VVP2'!L$341</f>
        <v>0.1290946112335411</v>
      </c>
      <c r="M473" s="841">
        <f>+M461/'VVP2'!M$341</f>
        <v>0.14275931838484127</v>
      </c>
      <c r="N473" s="841">
        <f>+N461/'VVP2'!N$341</f>
        <v>0.15432204744454256</v>
      </c>
      <c r="O473" s="841">
        <f>+O461/'VVP2'!O$341</f>
        <v>0.150226055405172</v>
      </c>
      <c r="P473" s="841">
        <f>+P461/'VVP2'!P$341</f>
        <v>0.15284202191940649</v>
      </c>
      <c r="Q473" s="841">
        <f>+Q461/'VVP2'!Q$341</f>
        <v>0.17011096377310153</v>
      </c>
      <c r="R473" s="841">
        <f>+R461/'VVP2'!R$341</f>
        <v>0.16522863320096429</v>
      </c>
      <c r="S473" s="841">
        <f>+S461/'VVP2'!S$341</f>
        <v>0.17188934411270296</v>
      </c>
      <c r="T473" s="2912">
        <f>+T461/'VVP2'!T$341</f>
        <v>0.14729106797470534</v>
      </c>
      <c r="U473" s="2912">
        <f>+U461/'VVP2'!U$341</f>
        <v>0.14505201816830421</v>
      </c>
      <c r="V473" s="2912">
        <f>+V461/'VVP2'!V$341</f>
        <v>0.17683959345874734</v>
      </c>
      <c r="W473" s="2912">
        <f>+W461/'VVP2'!W$341</f>
        <v>0.17887107150302553</v>
      </c>
      <c r="X473" s="2912">
        <f>+X461/'VVP2'!X$341</f>
        <v>0.18426866831711675</v>
      </c>
      <c r="Y473" s="2912">
        <f>+Y461/'VVP2'!Y$341</f>
        <v>0.20885878434137634</v>
      </c>
      <c r="Z473" s="2912">
        <f>+Z461/'VVP2'!Z$341</f>
        <v>0.23007617530821811</v>
      </c>
      <c r="AA473" s="2912">
        <f>+AA461/'VVP2'!AA$341</f>
        <v>0.18559709254992629</v>
      </c>
      <c r="AB473" s="2912">
        <f>+AB461/'VVP2'!AB$341</f>
        <v>0.16634961125800149</v>
      </c>
      <c r="AC473" s="2912">
        <f ca="1">+AC461/'VVP2'!AC$341</f>
        <v>0.17828125014575663</v>
      </c>
      <c r="AD473" s="2912">
        <f ca="1">+AD461/'VVP2'!AD$341</f>
        <v>0.17553194441120315</v>
      </c>
      <c r="AE473" s="2912">
        <f ca="1">+AE461/'VVP2'!AE$341</f>
        <v>0.17714487041840202</v>
      </c>
    </row>
    <row r="474" spans="1:32" ht="12.75" customHeight="1">
      <c r="A474" s="664"/>
      <c r="B474" s="664"/>
      <c r="C474" s="774"/>
      <c r="E474" s="786"/>
      <c r="F474" s="787"/>
      <c r="G474" s="703"/>
      <c r="H474" s="788"/>
      <c r="I474" s="703"/>
      <c r="J474" s="703"/>
      <c r="K474" s="703"/>
      <c r="L474" s="703"/>
      <c r="M474" s="703"/>
      <c r="N474" s="703"/>
      <c r="O474" s="703"/>
      <c r="P474" s="703"/>
      <c r="Q474" s="703"/>
      <c r="R474" s="703"/>
      <c r="S474" s="703"/>
      <c r="T474" s="845"/>
      <c r="U474" s="845"/>
      <c r="V474" s="845"/>
      <c r="W474" s="845"/>
      <c r="X474" s="845"/>
      <c r="Y474" s="845"/>
      <c r="Z474" s="845"/>
      <c r="AA474" s="845"/>
      <c r="AB474" s="845"/>
      <c r="AC474" s="845"/>
      <c r="AD474" s="845"/>
      <c r="AE474" s="845"/>
    </row>
    <row r="475" spans="1:32" ht="12.75" customHeight="1">
      <c r="A475" s="664"/>
      <c r="B475" s="664"/>
      <c r="C475" s="774"/>
      <c r="D475" s="818"/>
      <c r="E475" s="815" t="s">
        <v>1197</v>
      </c>
      <c r="F475" s="816"/>
      <c r="G475" s="817">
        <f>+InputY!$G$3</f>
        <v>1995</v>
      </c>
      <c r="H475" s="817">
        <f>+G475+1</f>
        <v>1996</v>
      </c>
      <c r="I475" s="817">
        <f t="shared" ref="I475:O475" si="435">+H475+1</f>
        <v>1997</v>
      </c>
      <c r="J475" s="817">
        <f t="shared" si="435"/>
        <v>1998</v>
      </c>
      <c r="K475" s="817">
        <f>+J475+1</f>
        <v>1999</v>
      </c>
      <c r="L475" s="817">
        <f t="shared" si="435"/>
        <v>2000</v>
      </c>
      <c r="M475" s="817">
        <f t="shared" si="435"/>
        <v>2001</v>
      </c>
      <c r="N475" s="817">
        <f t="shared" si="435"/>
        <v>2002</v>
      </c>
      <c r="O475" s="817">
        <f t="shared" si="435"/>
        <v>2003</v>
      </c>
      <c r="P475" s="817">
        <f t="shared" ref="P475:V475" si="436">+O475+1</f>
        <v>2004</v>
      </c>
      <c r="Q475" s="817">
        <f t="shared" si="436"/>
        <v>2005</v>
      </c>
      <c r="R475" s="817">
        <f t="shared" si="436"/>
        <v>2006</v>
      </c>
      <c r="S475" s="817">
        <f>+R475+1</f>
        <v>2007</v>
      </c>
      <c r="T475" s="817">
        <f t="shared" si="436"/>
        <v>2008</v>
      </c>
      <c r="U475" s="817">
        <f t="shared" si="436"/>
        <v>2009</v>
      </c>
      <c r="V475" s="817">
        <f t="shared" si="436"/>
        <v>2010</v>
      </c>
      <c r="W475" s="817">
        <f t="shared" ref="W475:AE475" si="437">+V475+1</f>
        <v>2011</v>
      </c>
      <c r="X475" s="817">
        <f t="shared" si="437"/>
        <v>2012</v>
      </c>
      <c r="Y475" s="817">
        <f t="shared" si="437"/>
        <v>2013</v>
      </c>
      <c r="Z475" s="817">
        <f t="shared" si="437"/>
        <v>2014</v>
      </c>
      <c r="AA475" s="817">
        <f t="shared" si="437"/>
        <v>2015</v>
      </c>
      <c r="AB475" s="817">
        <f t="shared" si="437"/>
        <v>2016</v>
      </c>
      <c r="AC475" s="817">
        <f t="shared" si="437"/>
        <v>2017</v>
      </c>
      <c r="AD475" s="817">
        <f t="shared" si="437"/>
        <v>2018</v>
      </c>
      <c r="AE475" s="817">
        <f t="shared" si="437"/>
        <v>2019</v>
      </c>
    </row>
    <row r="476" spans="1:32" ht="12.75" customHeight="1">
      <c r="A476" s="664"/>
      <c r="B476" s="664"/>
      <c r="C476" s="810" t="s">
        <v>1767</v>
      </c>
      <c r="D476" s="811" t="s">
        <v>685</v>
      </c>
      <c r="E476" s="1507" t="s">
        <v>1198</v>
      </c>
      <c r="F476" s="1508" t="s">
        <v>91</v>
      </c>
      <c r="G476" s="1545">
        <f t="shared" ref="G476:Q476" si="438">+G458/(G375+G396)</f>
        <v>1.3649421002932335E-2</v>
      </c>
      <c r="H476" s="1545">
        <f t="shared" si="438"/>
        <v>-1.277493240432611E-2</v>
      </c>
      <c r="I476" s="1545">
        <f t="shared" si="438"/>
        <v>2.9237650730063926E-2</v>
      </c>
      <c r="J476" s="1545">
        <f t="shared" si="438"/>
        <v>7.1197999545350901E-2</v>
      </c>
      <c r="K476" s="1545">
        <f t="shared" si="438"/>
        <v>4.2053636043124093E-2</v>
      </c>
      <c r="L476" s="1545">
        <f t="shared" si="438"/>
        <v>6.1312451266898563E-2</v>
      </c>
      <c r="M476" s="1545">
        <f t="shared" si="438"/>
        <v>4.3643120835491156E-2</v>
      </c>
      <c r="N476" s="1545">
        <f t="shared" si="438"/>
        <v>4.3339676962865496E-2</v>
      </c>
      <c r="O476" s="1545">
        <f t="shared" si="438"/>
        <v>1.9136911937692291E-2</v>
      </c>
      <c r="P476" s="1545">
        <f t="shared" si="438"/>
        <v>7.7816870819216274E-2</v>
      </c>
      <c r="Q476" s="1545">
        <f t="shared" si="438"/>
        <v>4.0512552449034268E-2</v>
      </c>
      <c r="R476" s="1545">
        <f t="shared" ref="R476:W476" si="439">+R458/(R375+R396)</f>
        <v>5.1450909784773013E-2</v>
      </c>
      <c r="S476" s="1545">
        <f t="shared" si="439"/>
        <v>-4.0574878894839711E-2</v>
      </c>
      <c r="T476" s="2919">
        <f t="shared" si="439"/>
        <v>-5.11995491792234E-3</v>
      </c>
      <c r="U476" s="2919">
        <f t="shared" si="439"/>
        <v>5.1077690940999551E-2</v>
      </c>
      <c r="V476" s="2919">
        <f t="shared" si="439"/>
        <v>7.7905281704433768E-2</v>
      </c>
      <c r="W476" s="2919">
        <f t="shared" si="439"/>
        <v>4.5518900521540243E-2</v>
      </c>
      <c r="X476" s="2919">
        <f t="shared" ref="X476:AC476" si="440">+X458/(X375+X396)</f>
        <v>1.781451567140193E-2</v>
      </c>
      <c r="Y476" s="2919">
        <f t="shared" si="440"/>
        <v>2.3890073987632772E-2</v>
      </c>
      <c r="Z476" s="2919">
        <f t="shared" si="440"/>
        <v>1.5916272778002769E-3</v>
      </c>
      <c r="AA476" s="2919">
        <f t="shared" si="440"/>
        <v>-2.5560651592676217E-6</v>
      </c>
      <c r="AB476" s="2919">
        <f t="shared" si="440"/>
        <v>-4.8441043862867787E-3</v>
      </c>
      <c r="AC476" s="2919">
        <f t="shared" si="440"/>
        <v>-1.4052035394385579E-2</v>
      </c>
      <c r="AD476" s="2919">
        <f ca="1">+AD458/(AD375+AD396)</f>
        <v>-1.8576057587520282E-2</v>
      </c>
      <c r="AE476" s="2919">
        <f ca="1">+AE458/(AE375+AE396)</f>
        <v>-2.2236552851675306E-2</v>
      </c>
    </row>
    <row r="477" spans="1:32" ht="30" customHeight="1">
      <c r="A477" s="664"/>
      <c r="B477" s="664"/>
      <c r="C477" s="774"/>
      <c r="AB477" s="2221"/>
      <c r="AC477" s="2221"/>
      <c r="AD477" s="2221"/>
      <c r="AE477" s="2221"/>
    </row>
    <row r="478" spans="1:32" ht="30" customHeight="1">
      <c r="T478" s="2274">
        <f>T487+T327</f>
        <v>0.69205000000000005</v>
      </c>
      <c r="U478" s="2274">
        <f>U487+U327</f>
        <v>0.73157000000000005</v>
      </c>
      <c r="V478" s="2274">
        <f t="shared" ref="V478:AA478" si="441">V487+V328</f>
        <v>0.98746999999999996</v>
      </c>
      <c r="W478" s="2274">
        <f t="shared" si="441"/>
        <v>-0.20561000000000018</v>
      </c>
      <c r="X478" s="2274">
        <f t="shared" si="441"/>
        <v>1.0214799999999999</v>
      </c>
      <c r="Y478" s="2274">
        <f t="shared" si="441"/>
        <v>0.73714999999999986</v>
      </c>
      <c r="Z478" s="2274">
        <f t="shared" si="441"/>
        <v>0.94808000000000003</v>
      </c>
      <c r="AA478" s="2274">
        <f t="shared" si="441"/>
        <v>0.94954999999999989</v>
      </c>
      <c r="AB478" s="2274">
        <f>AB487+AB328</f>
        <v>0.58617999999999992</v>
      </c>
      <c r="AC478" s="2274">
        <f>AC487+AC328</f>
        <v>0.53316420799999986</v>
      </c>
      <c r="AD478" s="2274">
        <f>AD487+AD328</f>
        <v>0.70020096467999993</v>
      </c>
      <c r="AE478" s="2274">
        <f>AE487+AE328</f>
        <v>0.7528965839177999</v>
      </c>
    </row>
    <row r="479" spans="1:32" ht="22.5" customHeight="1">
      <c r="A479" s="574"/>
      <c r="B479" s="574"/>
      <c r="C479" s="3751" t="s">
        <v>1324</v>
      </c>
      <c r="D479" s="3751"/>
      <c r="E479" s="3751"/>
      <c r="F479" s="3751"/>
      <c r="R479" s="2254"/>
      <c r="S479" s="2254"/>
      <c r="T479" s="2254"/>
      <c r="U479" s="2254"/>
      <c r="V479" s="2254"/>
      <c r="W479" s="2254"/>
      <c r="X479" s="2254"/>
      <c r="Y479" s="2254"/>
      <c r="Z479" s="2254"/>
      <c r="AA479" s="2254"/>
      <c r="AB479" s="2254">
        <f>0.1+0.025</f>
        <v>0.125</v>
      </c>
      <c r="AC479" s="2254"/>
      <c r="AD479" s="2254"/>
      <c r="AE479" s="2254"/>
      <c r="AF479" s="3265">
        <f>+AA484-0.105</f>
        <v>0.60249999999999992</v>
      </c>
    </row>
    <row r="480" spans="1:32" ht="12.75" customHeight="1">
      <c r="A480" s="664"/>
      <c r="B480" s="664"/>
      <c r="C480" s="774"/>
      <c r="R480" s="2270"/>
      <c r="S480" s="2254"/>
      <c r="X480" s="3201"/>
      <c r="Y480" s="3202"/>
      <c r="AB480" s="2221"/>
      <c r="AC480" s="3745"/>
      <c r="AD480" s="2221"/>
      <c r="AE480" s="2221"/>
    </row>
    <row r="481" spans="1:113" ht="12.75" customHeight="1">
      <c r="A481" s="664"/>
      <c r="B481" s="664"/>
      <c r="C481" s="774"/>
      <c r="D481" s="775"/>
      <c r="E481" s="776" t="s">
        <v>1384</v>
      </c>
      <c r="F481" s="777"/>
      <c r="G481" s="778">
        <f>+InputY!$G$3</f>
        <v>1995</v>
      </c>
      <c r="H481" s="778">
        <f>+G481+1</f>
        <v>1996</v>
      </c>
      <c r="I481" s="778">
        <f t="shared" ref="I481:O481" si="442">+H481+1</f>
        <v>1997</v>
      </c>
      <c r="J481" s="778">
        <f t="shared" si="442"/>
        <v>1998</v>
      </c>
      <c r="K481" s="778">
        <f>+J481+1</f>
        <v>1999</v>
      </c>
      <c r="L481" s="778">
        <f t="shared" si="442"/>
        <v>2000</v>
      </c>
      <c r="M481" s="778">
        <f t="shared" si="442"/>
        <v>2001</v>
      </c>
      <c r="N481" s="778">
        <f t="shared" si="442"/>
        <v>2002</v>
      </c>
      <c r="O481" s="778">
        <f t="shared" si="442"/>
        <v>2003</v>
      </c>
      <c r="P481" s="778">
        <f t="shared" ref="P481:W481" si="443">+O481+1</f>
        <v>2004</v>
      </c>
      <c r="Q481" s="778">
        <f t="shared" si="443"/>
        <v>2005</v>
      </c>
      <c r="R481" s="778">
        <f t="shared" si="443"/>
        <v>2006</v>
      </c>
      <c r="S481" s="778">
        <f t="shared" si="443"/>
        <v>2007</v>
      </c>
      <c r="T481" s="2222">
        <f t="shared" si="443"/>
        <v>2008</v>
      </c>
      <c r="U481" s="2222">
        <f t="shared" si="443"/>
        <v>2009</v>
      </c>
      <c r="V481" s="2222">
        <f t="shared" si="443"/>
        <v>2010</v>
      </c>
      <c r="W481" s="2222">
        <f t="shared" si="443"/>
        <v>2011</v>
      </c>
      <c r="X481" s="2222">
        <f t="shared" ref="X481:AE481" si="444">+W481+1</f>
        <v>2012</v>
      </c>
      <c r="Y481" s="2222">
        <f t="shared" si="444"/>
        <v>2013</v>
      </c>
      <c r="Z481" s="2222">
        <f t="shared" si="444"/>
        <v>2014</v>
      </c>
      <c r="AA481" s="2222">
        <f t="shared" si="444"/>
        <v>2015</v>
      </c>
      <c r="AB481" s="2222">
        <f t="shared" si="444"/>
        <v>2016</v>
      </c>
      <c r="AC481" s="2222">
        <f t="shared" si="444"/>
        <v>2017</v>
      </c>
      <c r="AD481" s="2222">
        <f t="shared" si="444"/>
        <v>2018</v>
      </c>
      <c r="AE481" s="2222">
        <f t="shared" si="444"/>
        <v>2019</v>
      </c>
    </row>
    <row r="482" spans="1:113" ht="12.75" customHeight="1">
      <c r="A482" s="664">
        <f>+ROW(InputY!A167)</f>
        <v>167</v>
      </c>
      <c r="B482" s="664">
        <v>130</v>
      </c>
      <c r="C482" s="779" t="s">
        <v>1767</v>
      </c>
      <c r="D482" s="668" t="s">
        <v>687</v>
      </c>
      <c r="E482" s="700" t="s">
        <v>1476</v>
      </c>
      <c r="F482" s="701" t="str">
        <f>+InputY!B167</f>
        <v>YACapTax</v>
      </c>
      <c r="G482" s="780">
        <f>+InputY!G167/1000</f>
        <v>0</v>
      </c>
      <c r="H482" s="780">
        <f>+InputY!H167/1000</f>
        <v>0</v>
      </c>
      <c r="I482" s="780">
        <f>+InputY!I167/1000</f>
        <v>3.0000000000000001E-5</v>
      </c>
      <c r="J482" s="780">
        <f>+InputY!J167/1000</f>
        <v>2.0000000000000001E-4</v>
      </c>
      <c r="K482" s="780">
        <f>+InputY!K167/1000</f>
        <v>6.2E-4</v>
      </c>
      <c r="L482" s="780">
        <f>+InputY!L167/1000</f>
        <v>5.2999999999999998E-4</v>
      </c>
      <c r="M482" s="780">
        <f>+InputY!M167/1000</f>
        <v>6.4999999999999997E-4</v>
      </c>
      <c r="N482" s="780">
        <f>+InputY!N167/1000</f>
        <v>6.6E-4</v>
      </c>
      <c r="O482" s="780">
        <f>+InputY!O167/1000</f>
        <v>3.2000000000000003E-4</v>
      </c>
      <c r="P482" s="780">
        <f>+InputY!P167/1000</f>
        <v>5.0000000000000001E-4</v>
      </c>
      <c r="Q482" s="780">
        <f>+InputY!Q167/1000</f>
        <v>6.7000000000000002E-4</v>
      </c>
      <c r="R482" s="780">
        <f>+InputY!R167/1000</f>
        <v>1.2099999999999999E-3</v>
      </c>
      <c r="S482" s="780">
        <f>+InputY!S167/1000</f>
        <v>1.82E-3</v>
      </c>
      <c r="T482" s="780">
        <f>+InputY!T167/1000</f>
        <v>1.7600000000000001E-3</v>
      </c>
      <c r="U482" s="780">
        <f>+InputY!U167/1000</f>
        <v>1.7800000000000001E-3</v>
      </c>
      <c r="V482" s="780">
        <f>+InputY!V167/1000</f>
        <v>1.1000000000000001E-3</v>
      </c>
      <c r="W482" s="780">
        <f>+InputY!W167/1000</f>
        <v>1E-3</v>
      </c>
      <c r="X482" s="780">
        <f>+InputY!X167/1000</f>
        <v>1.1999999999999999E-3</v>
      </c>
      <c r="Y482" s="780">
        <f>+InputY!Y167/1000</f>
        <v>1.2800000000000001E-3</v>
      </c>
      <c r="Z482" s="780">
        <f>+InputY!Z167/1000</f>
        <v>1.33E-3</v>
      </c>
      <c r="AA482" s="780">
        <f>+InputY!AA167/1000</f>
        <v>1.4300000000000001E-3</v>
      </c>
      <c r="AB482" s="780">
        <f>+InputY!AB167/1000</f>
        <v>1.47E-3</v>
      </c>
      <c r="AC482" s="2873">
        <f t="shared" ref="AC482:AE484" si="445">+AB482*(1+AC494/100)</f>
        <v>1.47E-3</v>
      </c>
      <c r="AD482" s="2873">
        <f t="shared" si="445"/>
        <v>1.47E-3</v>
      </c>
      <c r="AE482" s="2873">
        <f t="shared" si="445"/>
        <v>1.47E-3</v>
      </c>
    </row>
    <row r="483" spans="1:113" ht="12.75" customHeight="1">
      <c r="A483" s="664">
        <f>+ROW(InputY!A169)</f>
        <v>169</v>
      </c>
      <c r="B483" s="664">
        <v>148</v>
      </c>
      <c r="C483" s="782" t="s">
        <v>401</v>
      </c>
      <c r="D483" s="1041" t="s">
        <v>687</v>
      </c>
      <c r="E483" s="1042" t="s">
        <v>1116</v>
      </c>
      <c r="F483" s="704"/>
      <c r="G483" s="706">
        <f>+InputY!G169/1000</f>
        <v>0</v>
      </c>
      <c r="H483" s="706">
        <f>+InputY!H169/1000</f>
        <v>0</v>
      </c>
      <c r="I483" s="706">
        <f>+InputY!I169/1000</f>
        <v>0</v>
      </c>
      <c r="J483" s="706">
        <f>+InputY!J169/1000</f>
        <v>0</v>
      </c>
      <c r="K483" s="706">
        <f>+InputY!K169/1000</f>
        <v>0</v>
      </c>
      <c r="L483" s="706">
        <f>+InputY!L169/1000</f>
        <v>3.8509999999999996E-2</v>
      </c>
      <c r="M483" s="706">
        <f>+InputY!M169/1000</f>
        <v>4.5679999999999998E-2</v>
      </c>
      <c r="N483" s="706">
        <f>+InputY!N169/1000</f>
        <v>2.674E-2</v>
      </c>
      <c r="O483" s="706">
        <f>+InputY!O169/1000</f>
        <v>1.4320000000000001E-2</v>
      </c>
      <c r="P483" s="706">
        <f>+InputY!P169/1000</f>
        <v>1.1990000000000001E-2</v>
      </c>
      <c r="Q483" s="706">
        <f>+InputY!Q169/1000</f>
        <v>9.8000000000000014E-3</v>
      </c>
      <c r="R483" s="706">
        <f>+InputY!R169/1000</f>
        <v>1.498E-2</v>
      </c>
      <c r="S483" s="706">
        <f>+InputY!S169/1000</f>
        <v>8.8999999999999999E-3</v>
      </c>
      <c r="T483" s="706">
        <f>+InputY!T169/1000</f>
        <v>1.8670000000000003E-2</v>
      </c>
      <c r="U483" s="706">
        <f>+InputY!U169/1000</f>
        <v>4.725E-2</v>
      </c>
      <c r="V483" s="706">
        <f>+InputY!V169/1000</f>
        <v>3.1949999999999999E-2</v>
      </c>
      <c r="W483" s="706">
        <f>+InputY!W169/1000</f>
        <v>1.5939999999999999E-2</v>
      </c>
      <c r="X483" s="706">
        <f>+InputY!X169/1000</f>
        <v>1.4119999999999999E-2</v>
      </c>
      <c r="Y483" s="706">
        <f>+InputY!Y169/1000</f>
        <v>1.7410000000000002E-2</v>
      </c>
      <c r="Z483" s="706">
        <f>+InputY!Z169/1000</f>
        <v>1.5140000000000001E-2</v>
      </c>
      <c r="AA483" s="706">
        <f>+InputY!AA169/1000</f>
        <v>1.763E-2</v>
      </c>
      <c r="AB483" s="706">
        <f>+InputY!AB169/1000</f>
        <v>1.421E-2</v>
      </c>
      <c r="AC483" s="2217">
        <f t="shared" si="445"/>
        <v>1.421E-2</v>
      </c>
      <c r="AD483" s="2217">
        <f t="shared" si="445"/>
        <v>1.421E-2</v>
      </c>
      <c r="AE483" s="2217">
        <f t="shared" si="445"/>
        <v>1.421E-2</v>
      </c>
      <c r="AF483" s="3382"/>
      <c r="AG483" s="3382"/>
      <c r="AH483" s="3382"/>
    </row>
    <row r="484" spans="1:113" ht="12.75" customHeight="1">
      <c r="B484" s="664"/>
      <c r="C484" s="782" t="s">
        <v>1767</v>
      </c>
      <c r="D484" s="674" t="s">
        <v>687</v>
      </c>
      <c r="E484" s="783" t="s">
        <v>1115</v>
      </c>
      <c r="F484" s="704" t="str">
        <f>+InputY!B166</f>
        <v>YACap</v>
      </c>
      <c r="G484" s="706">
        <f>+G485-G482+G483</f>
        <v>0</v>
      </c>
      <c r="H484" s="706">
        <f t="shared" ref="H484:T484" si="446">+H485-H482+H483</f>
        <v>0</v>
      </c>
      <c r="I484" s="706">
        <f t="shared" si="446"/>
        <v>2.2699999999999999E-3</v>
      </c>
      <c r="J484" s="706">
        <f t="shared" si="446"/>
        <v>2.7000000000000006E-4</v>
      </c>
      <c r="K484" s="706">
        <f t="shared" si="446"/>
        <v>1.1270000000000001E-2</v>
      </c>
      <c r="L484" s="706">
        <f t="shared" si="446"/>
        <v>1.0129999999999997E-2</v>
      </c>
      <c r="M484" s="706">
        <f t="shared" si="446"/>
        <v>1.5579999999999997E-2</v>
      </c>
      <c r="N484" s="706">
        <f t="shared" si="446"/>
        <v>7.1979999999999988E-2</v>
      </c>
      <c r="O484" s="706">
        <f t="shared" si="446"/>
        <v>6.7400000000000002E-2</v>
      </c>
      <c r="P484" s="706">
        <f t="shared" si="446"/>
        <v>8.3680000000000004E-2</v>
      </c>
      <c r="Q484" s="706">
        <f t="shared" si="446"/>
        <v>0.16884000000000002</v>
      </c>
      <c r="R484" s="706">
        <f t="shared" si="446"/>
        <v>0.2455</v>
      </c>
      <c r="S484" s="706">
        <f t="shared" si="446"/>
        <v>0.42033000000000004</v>
      </c>
      <c r="T484" s="706">
        <f t="shared" si="446"/>
        <v>0.35964000000000007</v>
      </c>
      <c r="U484" s="706">
        <f t="shared" ref="U484:AA484" si="447">+U485-U482+U483</f>
        <v>0.43989</v>
      </c>
      <c r="V484" s="706">
        <f t="shared" si="447"/>
        <v>0.73855000000000004</v>
      </c>
      <c r="W484" s="706">
        <f t="shared" si="447"/>
        <v>0.70224999999999993</v>
      </c>
      <c r="X484" s="706">
        <f t="shared" si="447"/>
        <v>0.64863000000000004</v>
      </c>
      <c r="Y484" s="706">
        <f t="shared" si="447"/>
        <v>0.73843999999999999</v>
      </c>
      <c r="Z484" s="706">
        <f t="shared" si="447"/>
        <v>1.00678</v>
      </c>
      <c r="AA484" s="706">
        <f t="shared" si="447"/>
        <v>0.70749999999999991</v>
      </c>
      <c r="AB484" s="3612">
        <f t="shared" ref="AB484" si="448">+AB485-AB482+AB483</f>
        <v>0.32628999999999997</v>
      </c>
      <c r="AC484" s="3613">
        <f>+AB484*(1+AC496/100)</f>
        <v>0.31976419999999994</v>
      </c>
      <c r="AD484" s="3613">
        <f t="shared" si="445"/>
        <v>0.3709264719999999</v>
      </c>
      <c r="AE484" s="3613">
        <f t="shared" si="445"/>
        <v>0.37834500143999988</v>
      </c>
      <c r="AF484" s="3421">
        <v>0.3827399999999998</v>
      </c>
      <c r="AG484" s="3382"/>
      <c r="AH484" s="3382"/>
    </row>
    <row r="485" spans="1:113" ht="12.75" customHeight="1">
      <c r="A485" s="664">
        <f>+ROW(InputY!A166)</f>
        <v>166</v>
      </c>
      <c r="B485" s="664">
        <v>125</v>
      </c>
      <c r="C485" s="782" t="s">
        <v>1769</v>
      </c>
      <c r="D485" s="746" t="s">
        <v>687</v>
      </c>
      <c r="E485" s="747" t="s">
        <v>1479</v>
      </c>
      <c r="F485" s="748" t="s">
        <v>1939</v>
      </c>
      <c r="G485" s="799">
        <f>+InputY!G166/1000</f>
        <v>0</v>
      </c>
      <c r="H485" s="799">
        <f>+InputY!H166/1000</f>
        <v>0</v>
      </c>
      <c r="I485" s="799">
        <f>+InputY!I166/1000</f>
        <v>2.3E-3</v>
      </c>
      <c r="J485" s="799">
        <f>+InputY!J166/1000</f>
        <v>4.7000000000000004E-4</v>
      </c>
      <c r="K485" s="799">
        <f>+InputY!K166/1000</f>
        <v>1.1890000000000001E-2</v>
      </c>
      <c r="L485" s="799">
        <f>+InputY!L166/1000</f>
        <v>-2.785E-2</v>
      </c>
      <c r="M485" s="799">
        <f>+InputY!M166/1000</f>
        <v>-2.945E-2</v>
      </c>
      <c r="N485" s="799">
        <f>+InputY!N166/1000</f>
        <v>4.5899999999999996E-2</v>
      </c>
      <c r="O485" s="799">
        <f>+InputY!O166/1000</f>
        <v>5.3399999999999996E-2</v>
      </c>
      <c r="P485" s="799">
        <f>+InputY!P166/1000</f>
        <v>7.2190000000000004E-2</v>
      </c>
      <c r="Q485" s="799">
        <f>+InputY!Q166/1000</f>
        <v>0.15971000000000002</v>
      </c>
      <c r="R485" s="799">
        <f>+InputY!R166/1000</f>
        <v>0.23172999999999999</v>
      </c>
      <c r="S485" s="799">
        <f>+InputY!S166/1000</f>
        <v>0.41325000000000001</v>
      </c>
      <c r="T485" s="799">
        <f>+InputY!T166/1000</f>
        <v>0.34273000000000003</v>
      </c>
      <c r="U485" s="799">
        <f>+InputY!U166/1000</f>
        <v>0.39441999999999999</v>
      </c>
      <c r="V485" s="799">
        <f>+InputY!V166/1000</f>
        <v>0.7077</v>
      </c>
      <c r="W485" s="799">
        <f>+InputY!W166/1000</f>
        <v>0.68730999999999998</v>
      </c>
      <c r="X485" s="799">
        <f>+InputY!X166/1000</f>
        <v>0.63571</v>
      </c>
      <c r="Y485" s="799">
        <f>+InputY!Y166/1000</f>
        <v>0.7223099999999999</v>
      </c>
      <c r="Z485" s="799">
        <f>+InputY!Z166/1000</f>
        <v>0.99297000000000002</v>
      </c>
      <c r="AA485" s="799">
        <f>+InputY!AA166/1000</f>
        <v>0.69129999999999991</v>
      </c>
      <c r="AB485" s="799">
        <f>+InputY!AB166/1000</f>
        <v>0.31355</v>
      </c>
      <c r="AC485" s="2876">
        <f>+AC482+AC484-AC483</f>
        <v>0.30702419999999997</v>
      </c>
      <c r="AD485" s="2876">
        <f>+AD482+AD484-AD483</f>
        <v>0.35818647199999992</v>
      </c>
      <c r="AE485" s="2876">
        <f>+AE482+AE484-AE483</f>
        <v>0.36560500143999991</v>
      </c>
      <c r="AF485" s="3382"/>
      <c r="AG485" s="3382"/>
      <c r="AH485" s="3382"/>
    </row>
    <row r="486" spans="1:113" ht="12.75" customHeight="1">
      <c r="A486" s="664">
        <f>+ROW(InputY!A168)</f>
        <v>168</v>
      </c>
      <c r="B486" s="664" t="s">
        <v>672</v>
      </c>
      <c r="C486" s="782" t="s">
        <v>401</v>
      </c>
      <c r="D486" s="674" t="s">
        <v>687</v>
      </c>
      <c r="E486" s="783" t="s">
        <v>185</v>
      </c>
      <c r="F486" s="704" t="str">
        <f>+InputY!B168</f>
        <v>$ACapT</v>
      </c>
      <c r="G486" s="706">
        <f>+InputY!G168/1000</f>
        <v>9.6120000000000011E-2</v>
      </c>
      <c r="H486" s="706">
        <f>+InputY!H168/1000</f>
        <v>0.24603</v>
      </c>
      <c r="I486" s="706">
        <f>+InputY!I168/1000</f>
        <v>1.50024</v>
      </c>
      <c r="J486" s="706">
        <f>+InputY!J168/1000</f>
        <v>0.15225</v>
      </c>
      <c r="K486" s="706">
        <f>+InputY!K168/1000</f>
        <v>0.12124</v>
      </c>
      <c r="L486" s="706">
        <f>+InputY!L168/1000</f>
        <v>0.29037000000000002</v>
      </c>
      <c r="M486" s="706">
        <f>+InputY!M168/1000</f>
        <v>0.25951000000000002</v>
      </c>
      <c r="N486" s="706">
        <f>+InputY!N168/1000</f>
        <v>0.13302</v>
      </c>
      <c r="O486" s="706">
        <f>+InputY!O168/1000</f>
        <v>7.1790000000000007E-2</v>
      </c>
      <c r="P486" s="706">
        <f>+InputY!P168/1000</f>
        <v>0.10396</v>
      </c>
      <c r="Q486" s="706">
        <f>+InputY!Q168/1000</f>
        <v>8.3019999999999997E-2</v>
      </c>
      <c r="R486" s="706">
        <f>+InputY!R168/1000</f>
        <v>9.5530000000000004E-2</v>
      </c>
      <c r="S486" s="706">
        <f>+InputY!S168/1000</f>
        <v>0.25720999999999999</v>
      </c>
      <c r="T486" s="1455">
        <f>+InputY!T168/1000</f>
        <v>0.12953000000000001</v>
      </c>
      <c r="U486" s="1564">
        <f>+InputY!U168/1000</f>
        <v>0.11079</v>
      </c>
      <c r="V486" s="1564">
        <f>+InputY!V168/1000</f>
        <v>0.12154999999999999</v>
      </c>
      <c r="W486" s="1564">
        <f>+InputY!W168/1000</f>
        <v>1.3936600000000001</v>
      </c>
      <c r="X486" s="1564">
        <f>+InputY!X168/1000</f>
        <v>9.1180000000000011E-2</v>
      </c>
      <c r="Y486" s="1564">
        <f>+InputY!Y168/1000</f>
        <v>0.45080000000000003</v>
      </c>
      <c r="Z486" s="1564">
        <f>+InputY!Z168/1000</f>
        <v>0.50519000000000003</v>
      </c>
      <c r="AA486" s="1564">
        <f>+InputY!AA168/1000</f>
        <v>0.26716000000000001</v>
      </c>
      <c r="AB486" s="1564">
        <f>+InputY!AB168/1000</f>
        <v>0.18389</v>
      </c>
      <c r="AC486" s="3345">
        <f>+AB486*(1+AC498/100)</f>
        <v>0.26480159999999997</v>
      </c>
      <c r="AD486" s="3345">
        <f>+AC486*(1+AD498/100)</f>
        <v>0.19065715199999997</v>
      </c>
      <c r="AE486" s="3345">
        <f>+AD486*(1+AE498/100)</f>
        <v>0.19065715199999997</v>
      </c>
      <c r="AF486" s="3662" t="s">
        <v>2601</v>
      </c>
      <c r="AG486" s="3382"/>
      <c r="AH486" s="3382"/>
    </row>
    <row r="487" spans="1:113" ht="12.75" customHeight="1">
      <c r="A487" s="664"/>
      <c r="B487" s="664"/>
      <c r="C487" s="782" t="s">
        <v>1769</v>
      </c>
      <c r="D487" s="746" t="s">
        <v>687</v>
      </c>
      <c r="E487" s="747" t="s">
        <v>1364</v>
      </c>
      <c r="F487" s="1020" t="s">
        <v>2120</v>
      </c>
      <c r="G487" s="799">
        <f t="shared" ref="G487:U487" si="449">+G485-G486</f>
        <v>-9.6120000000000011E-2</v>
      </c>
      <c r="H487" s="799">
        <f t="shared" si="449"/>
        <v>-0.24603</v>
      </c>
      <c r="I487" s="799">
        <f t="shared" si="449"/>
        <v>-1.49794</v>
      </c>
      <c r="J487" s="799">
        <f t="shared" si="449"/>
        <v>-0.15178</v>
      </c>
      <c r="K487" s="799">
        <f t="shared" si="449"/>
        <v>-0.10935</v>
      </c>
      <c r="L487" s="799">
        <f t="shared" si="449"/>
        <v>-0.31822</v>
      </c>
      <c r="M487" s="799">
        <f t="shared" si="449"/>
        <v>-0.28895999999999999</v>
      </c>
      <c r="N487" s="799">
        <f t="shared" si="449"/>
        <v>-8.7120000000000003E-2</v>
      </c>
      <c r="O487" s="799">
        <f t="shared" si="449"/>
        <v>-1.8390000000000011E-2</v>
      </c>
      <c r="P487" s="799">
        <f t="shared" si="449"/>
        <v>-3.1769999999999993E-2</v>
      </c>
      <c r="Q487" s="799">
        <f t="shared" si="449"/>
        <v>7.6690000000000022E-2</v>
      </c>
      <c r="R487" s="799">
        <f t="shared" si="449"/>
        <v>0.13619999999999999</v>
      </c>
      <c r="S487" s="799">
        <f t="shared" si="449"/>
        <v>0.15604000000000001</v>
      </c>
      <c r="T487" s="799">
        <f t="shared" si="449"/>
        <v>0.21320000000000003</v>
      </c>
      <c r="U487" s="799">
        <f t="shared" si="449"/>
        <v>0.28362999999999999</v>
      </c>
      <c r="V487" s="799">
        <f t="shared" ref="V487:AC487" si="450">+V485-V486</f>
        <v>0.58614999999999995</v>
      </c>
      <c r="W487" s="799">
        <f t="shared" si="450"/>
        <v>-0.70635000000000014</v>
      </c>
      <c r="X487" s="799">
        <f t="shared" si="450"/>
        <v>0.54452999999999996</v>
      </c>
      <c r="Y487" s="799">
        <f t="shared" si="450"/>
        <v>0.27150999999999986</v>
      </c>
      <c r="Z487" s="799">
        <f t="shared" si="450"/>
        <v>0.48777999999999999</v>
      </c>
      <c r="AA487" s="799">
        <f t="shared" si="450"/>
        <v>0.42413999999999991</v>
      </c>
      <c r="AB487" s="799">
        <f t="shared" ref="AB487" si="451">+AB485-AB486</f>
        <v>0.12966</v>
      </c>
      <c r="AC487" s="2876">
        <f t="shared" si="450"/>
        <v>4.2222599999999999E-2</v>
      </c>
      <c r="AD487" s="2876">
        <f>+AD485-AD486</f>
        <v>0.16752931999999995</v>
      </c>
      <c r="AE487" s="2876">
        <f>+AE485-AE486</f>
        <v>0.17494784943999994</v>
      </c>
      <c r="AF487" s="3382"/>
      <c r="AG487" s="3382"/>
      <c r="AH487" s="3382"/>
    </row>
    <row r="488" spans="1:113" ht="12.75" customHeight="1">
      <c r="A488" s="664">
        <f>+ROW(InputY!A203)</f>
        <v>203</v>
      </c>
      <c r="B488" s="664" t="s">
        <v>1468</v>
      </c>
      <c r="C488" s="782" t="s">
        <v>1767</v>
      </c>
      <c r="D488" s="674" t="s">
        <v>685</v>
      </c>
      <c r="E488" s="783" t="s">
        <v>1364</v>
      </c>
      <c r="F488" s="1021" t="s">
        <v>2121</v>
      </c>
      <c r="G488" s="706">
        <f>+InputY!G203/1000</f>
        <v>1.7899999999999999E-2</v>
      </c>
      <c r="H488" s="706">
        <f>+InputY!H203/1000</f>
        <v>3.032E-2</v>
      </c>
      <c r="I488" s="706">
        <f>+InputY!I203/1000</f>
        <v>1.4711000000000001</v>
      </c>
      <c r="J488" s="706">
        <f>+InputY!J203/1000</f>
        <v>4.9669999999999992E-2</v>
      </c>
      <c r="K488" s="706">
        <f>+InputY!K203/1000</f>
        <v>5.1540000000000002E-2</v>
      </c>
      <c r="L488" s="706">
        <f>+InputY!L203/1000</f>
        <v>0.19487000000000002</v>
      </c>
      <c r="M488" s="706">
        <f>+InputY!M203/1000</f>
        <v>2.8420000000000001E-2</v>
      </c>
      <c r="N488" s="706">
        <f>+InputY!N203/1000</f>
        <v>2.4410000000000001E-2</v>
      </c>
      <c r="O488" s="706">
        <f>+InputY!O203/1000</f>
        <v>3.4189999999999998E-2</v>
      </c>
      <c r="P488" s="706">
        <f>+InputY!P203/1000</f>
        <v>8.5610000000000006E-2</v>
      </c>
      <c r="Q488" s="706">
        <f>+InputY!Q203/1000</f>
        <v>7.2179999999999994E-2</v>
      </c>
      <c r="R488" s="706">
        <f>+InputY!R203/1000</f>
        <v>7.8410000000000007E-2</v>
      </c>
      <c r="S488" s="706">
        <f>+InputY!S203/1000</f>
        <v>0.18384</v>
      </c>
      <c r="T488" s="706">
        <f>+InputY!T203/1000</f>
        <v>4.446E-2</v>
      </c>
      <c r="U488" s="706">
        <f>+InputY!U203/1000</f>
        <v>3.0710000000000001E-2</v>
      </c>
      <c r="V488" s="706">
        <f>+InputY!V203/1000</f>
        <v>3.9329999999999997E-2</v>
      </c>
      <c r="W488" s="706">
        <f>+InputY!W203/1000</f>
        <v>1.23645</v>
      </c>
      <c r="X488" s="706">
        <f>+InputY!X203/1000</f>
        <v>3.8779999999999995E-2</v>
      </c>
      <c r="Y488" s="706">
        <f>+InputY!Y203/1000</f>
        <v>7.3069999999999996E-2</v>
      </c>
      <c r="Z488" s="706">
        <f>+InputY!Z203/1000</f>
        <v>0.39702000000000004</v>
      </c>
      <c r="AA488" s="3607">
        <f>+InputY!AA203/1000</f>
        <v>0.12033000000000001</v>
      </c>
      <c r="AB488" s="3607">
        <f>+InputY!AB203/1000</f>
        <v>5.5060000000000005E-2</v>
      </c>
      <c r="AC488" s="3614">
        <f t="shared" ref="AC488:AE489" si="452">+AB488*(1+AC500/100)</f>
        <v>5.1205800000000003E-2</v>
      </c>
      <c r="AD488" s="3614">
        <f t="shared" si="452"/>
        <v>4.7621393999999997E-2</v>
      </c>
      <c r="AE488" s="3614">
        <f t="shared" si="452"/>
        <v>4.4287896419999993E-2</v>
      </c>
      <c r="AF488" s="3662" t="s">
        <v>2602</v>
      </c>
      <c r="AG488" s="3382"/>
      <c r="AH488" s="3382"/>
    </row>
    <row r="489" spans="1:113" ht="12.75" customHeight="1">
      <c r="A489" s="664">
        <f>+ROW(InputY!A130)</f>
        <v>130</v>
      </c>
      <c r="B489" s="664" t="s">
        <v>669</v>
      </c>
      <c r="C489" s="782" t="s">
        <v>1767</v>
      </c>
      <c r="D489" s="674" t="s">
        <v>686</v>
      </c>
      <c r="E489" s="783" t="s">
        <v>1364</v>
      </c>
      <c r="F489" s="1021" t="s">
        <v>2122</v>
      </c>
      <c r="G489" s="706">
        <f>+InputY!G130/1000</f>
        <v>3.3049999999999996E-2</v>
      </c>
      <c r="H489" s="706">
        <f>+InputY!H130/1000</f>
        <v>0.22208</v>
      </c>
      <c r="I489" s="706">
        <f>+InputY!I130/1000</f>
        <v>3.1609999999999999E-2</v>
      </c>
      <c r="J489" s="706">
        <f>+InputY!J130/1000</f>
        <v>0.10012</v>
      </c>
      <c r="K489" s="706">
        <f>+InputY!K130/1000</f>
        <v>5.3999999999999999E-2</v>
      </c>
      <c r="L489" s="706">
        <f>+InputY!L130/1000</f>
        <v>0.12583</v>
      </c>
      <c r="M489" s="706">
        <f>+InputY!M130/1000</f>
        <v>0.26213999999999998</v>
      </c>
      <c r="N489" s="706">
        <f>+InputY!N130/1000</f>
        <v>0.12173</v>
      </c>
      <c r="O489" s="706">
        <f>+InputY!O130/1000</f>
        <v>4.3559999999999995E-2</v>
      </c>
      <c r="P489" s="706">
        <f>+InputY!P130/1000</f>
        <v>7.5829999999999995E-2</v>
      </c>
      <c r="Q489" s="706">
        <f>+InputY!Q130/1000</f>
        <v>5.5099999999999996E-2</v>
      </c>
      <c r="R489" s="706">
        <f>+InputY!R130/1000</f>
        <v>0.14396</v>
      </c>
      <c r="S489" s="706">
        <f>+InputY!S130/1000</f>
        <v>0.27153000000000005</v>
      </c>
      <c r="T489" s="706">
        <f>+InputY!T130/1000</f>
        <v>0.36141000000000001</v>
      </c>
      <c r="U489" s="706">
        <f>+InputY!U130/1000</f>
        <v>0.84387999999999996</v>
      </c>
      <c r="V489" s="706">
        <f>+InputY!V130/1000</f>
        <v>0.43232999999999999</v>
      </c>
      <c r="W489" s="706">
        <f>+InputY!W130/1000</f>
        <v>0.47370999999999996</v>
      </c>
      <c r="X489" s="706">
        <f>+InputY!X130/1000</f>
        <v>0.38078000000000001</v>
      </c>
      <c r="Y489" s="706">
        <f>+InputY!Y130/1000</f>
        <v>0.74426999999999999</v>
      </c>
      <c r="Z489" s="706">
        <f>+InputY!Z130/1000</f>
        <v>9.0939999999999938E-2</v>
      </c>
      <c r="AA489" s="706">
        <f>+InputY!AA130/1000</f>
        <v>0.57279000000000013</v>
      </c>
      <c r="AB489" s="706">
        <f>+InputY!AB130/1000</f>
        <v>0.38400000000000001</v>
      </c>
      <c r="AC489" s="2275">
        <f t="shared" si="452"/>
        <v>0.35711999999999999</v>
      </c>
      <c r="AD489" s="2275">
        <f t="shared" si="452"/>
        <v>0.33212159999999996</v>
      </c>
      <c r="AE489" s="2275">
        <f t="shared" si="452"/>
        <v>0.30887308799999996</v>
      </c>
      <c r="AF489" s="3382"/>
      <c r="AG489" s="3382"/>
      <c r="AH489" s="3382"/>
    </row>
    <row r="490" spans="1:113" ht="12.75" customHeight="1">
      <c r="A490" s="1953">
        <f>+ROW(InputY!A256)</f>
        <v>256</v>
      </c>
      <c r="B490" s="664" t="s">
        <v>2102</v>
      </c>
      <c r="C490" s="784" t="s">
        <v>1769</v>
      </c>
      <c r="D490" s="752" t="s">
        <v>688</v>
      </c>
      <c r="E490" s="753" t="s">
        <v>227</v>
      </c>
      <c r="F490" s="754" t="s">
        <v>1477</v>
      </c>
      <c r="G490" s="785">
        <f>+InputY!G256/1000</f>
        <v>-4.5170000000000002E-2</v>
      </c>
      <c r="H490" s="785">
        <f>+InputY!H256/1000</f>
        <v>6.3699999999999998E-3</v>
      </c>
      <c r="I490" s="785">
        <f>+InputY!I256/1000</f>
        <v>4.7699999999999999E-3</v>
      </c>
      <c r="J490" s="785">
        <f>+InputY!J256/1000</f>
        <v>-1.98E-3</v>
      </c>
      <c r="K490" s="785">
        <f>+InputY!K256/1000</f>
        <v>-3.81E-3</v>
      </c>
      <c r="L490" s="785">
        <f>+InputY!L256/1000</f>
        <v>2.49E-3</v>
      </c>
      <c r="M490" s="785">
        <f>+InputY!M256/1000</f>
        <v>1.6100000000000001E-3</v>
      </c>
      <c r="N490" s="785">
        <f>+InputY!N256/1000</f>
        <v>5.9020000000000003E-2</v>
      </c>
      <c r="O490" s="785">
        <f>+InputY!O256/1000</f>
        <v>5.9359999999999996E-2</v>
      </c>
      <c r="P490" s="785">
        <f>+InputY!P256/1000</f>
        <v>0.12966999999999998</v>
      </c>
      <c r="Q490" s="785">
        <f>+InputY!Q256/1000</f>
        <v>0.20397000000000001</v>
      </c>
      <c r="R490" s="2099">
        <f>+InputY!R256/1000</f>
        <v>0.35857</v>
      </c>
      <c r="S490" s="2874">
        <f>+InputY!S256/1000</f>
        <v>0.61141999999999996</v>
      </c>
      <c r="T490" s="2874">
        <f>+InputY!T256/1000</f>
        <v>0.61907000000000001</v>
      </c>
      <c r="U490" s="2874">
        <f>+InputY!U256/1000</f>
        <v>1.15822</v>
      </c>
      <c r="V490" s="2874">
        <f>+InputY!V256/1000</f>
        <v>1.0577999999999999</v>
      </c>
      <c r="W490" s="3396">
        <f t="shared" ref="W490:AB490" si="453">+W487+W488+W489</f>
        <v>1.0038099999999999</v>
      </c>
      <c r="X490" s="3396">
        <f t="shared" si="453"/>
        <v>0.96409</v>
      </c>
      <c r="Y490" s="3396">
        <f t="shared" si="453"/>
        <v>1.0888499999999999</v>
      </c>
      <c r="Z490" s="3396">
        <f t="shared" si="453"/>
        <v>0.97573999999999994</v>
      </c>
      <c r="AA490" s="3396">
        <f t="shared" si="453"/>
        <v>1.1172599999999999</v>
      </c>
      <c r="AB490" s="3396">
        <f t="shared" si="453"/>
        <v>0.56872</v>
      </c>
      <c r="AC490" s="2875">
        <f>+AC487+AC488+AC489</f>
        <v>0.45054839999999996</v>
      </c>
      <c r="AD490" s="2875">
        <f>+AD487+AD488+AD489</f>
        <v>0.54727231399999998</v>
      </c>
      <c r="AE490" s="2875">
        <f>+AE487+AE488+AE489</f>
        <v>0.52810883385999996</v>
      </c>
      <c r="AF490" s="3382"/>
      <c r="AG490" s="3382"/>
      <c r="AH490" s="3382"/>
    </row>
    <row r="491" spans="1:113" s="1972" customFormat="1" ht="12.75" customHeight="1">
      <c r="A491" s="998"/>
      <c r="B491" s="998"/>
      <c r="C491" s="1595"/>
      <c r="D491" s="1011"/>
      <c r="E491" s="1973" t="s">
        <v>737</v>
      </c>
      <c r="F491" s="1974"/>
      <c r="G491" s="1002">
        <f>ABS(+G487+G488+G489-G490)</f>
        <v>1.3877787807814457E-17</v>
      </c>
      <c r="H491" s="1002">
        <f t="shared" ref="H491:Y491" si="454">ABS(+H487+H488+H489-H490)</f>
        <v>1.3010426069826053E-17</v>
      </c>
      <c r="I491" s="1002">
        <f t="shared" si="454"/>
        <v>2.4286128663675299E-17</v>
      </c>
      <c r="J491" s="1002">
        <f t="shared" si="454"/>
        <v>1.0000000000005664E-5</v>
      </c>
      <c r="K491" s="1002">
        <f t="shared" si="454"/>
        <v>8.6736173798840355E-19</v>
      </c>
      <c r="L491" s="1002">
        <f t="shared" si="454"/>
        <v>9.9999999999900516E-6</v>
      </c>
      <c r="M491" s="1002">
        <f t="shared" si="454"/>
        <v>1.0000000000009784E-5</v>
      </c>
      <c r="N491" s="1002">
        <f t="shared" si="454"/>
        <v>0</v>
      </c>
      <c r="O491" s="1002">
        <f t="shared" si="454"/>
        <v>1.3877787807814457E-17</v>
      </c>
      <c r="P491" s="1002">
        <f t="shared" si="454"/>
        <v>2.7755575615628914E-17</v>
      </c>
      <c r="Q491" s="1002">
        <f t="shared" si="454"/>
        <v>2.7755575615628914E-17</v>
      </c>
      <c r="R491" s="2209">
        <f t="shared" si="454"/>
        <v>0</v>
      </c>
      <c r="S491" s="2209">
        <f t="shared" si="454"/>
        <v>9.9999999999544897E-6</v>
      </c>
      <c r="T491" s="2921">
        <f t="shared" si="454"/>
        <v>0</v>
      </c>
      <c r="U491" s="2921">
        <f t="shared" si="454"/>
        <v>0</v>
      </c>
      <c r="V491" s="2921">
        <f>ABS(+V487+V488+V489-V490)</f>
        <v>1.0000000000065512E-5</v>
      </c>
      <c r="W491" s="2921">
        <f t="shared" si="454"/>
        <v>0</v>
      </c>
      <c r="X491" s="2921">
        <f t="shared" si="454"/>
        <v>0</v>
      </c>
      <c r="Y491" s="2921">
        <f t="shared" si="454"/>
        <v>0</v>
      </c>
      <c r="Z491" s="2921">
        <f t="shared" ref="Z491:AE491" si="455">ABS(+Z487+Z488+Z489-Z490)</f>
        <v>0</v>
      </c>
      <c r="AA491" s="2921">
        <f t="shared" si="455"/>
        <v>0</v>
      </c>
      <c r="AB491" s="2921">
        <f t="shared" si="455"/>
        <v>0</v>
      </c>
      <c r="AC491" s="2906">
        <f t="shared" si="455"/>
        <v>0</v>
      </c>
      <c r="AD491" s="2906">
        <f t="shared" si="455"/>
        <v>0</v>
      </c>
      <c r="AE491" s="2906">
        <f t="shared" si="455"/>
        <v>0</v>
      </c>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row>
    <row r="492" spans="1:113">
      <c r="A492" s="664"/>
      <c r="B492" s="664"/>
      <c r="P492" s="703"/>
      <c r="Q492" s="703"/>
      <c r="R492" s="703"/>
      <c r="S492" s="703"/>
      <c r="AB492" s="2221"/>
      <c r="AC492" s="2221"/>
      <c r="AD492" s="2221"/>
      <c r="AE492" s="2221"/>
    </row>
    <row r="493" spans="1:113" ht="12.75" customHeight="1">
      <c r="A493" s="664"/>
      <c r="B493" s="664"/>
      <c r="C493" s="774"/>
      <c r="D493" s="742"/>
      <c r="E493" s="743" t="s">
        <v>1311</v>
      </c>
      <c r="F493" s="744"/>
      <c r="G493" s="745">
        <f>+InputY!$G$3</f>
        <v>1995</v>
      </c>
      <c r="H493" s="745">
        <f>+G493+1</f>
        <v>1996</v>
      </c>
      <c r="I493" s="745">
        <f t="shared" ref="I493:Q493" si="456">+H493+1</f>
        <v>1997</v>
      </c>
      <c r="J493" s="745">
        <f t="shared" si="456"/>
        <v>1998</v>
      </c>
      <c r="K493" s="745">
        <f>+J493+1</f>
        <v>1999</v>
      </c>
      <c r="L493" s="745">
        <f t="shared" si="456"/>
        <v>2000</v>
      </c>
      <c r="M493" s="745">
        <f t="shared" si="456"/>
        <v>2001</v>
      </c>
      <c r="N493" s="745">
        <f t="shared" si="456"/>
        <v>2002</v>
      </c>
      <c r="O493" s="745">
        <f t="shared" si="456"/>
        <v>2003</v>
      </c>
      <c r="P493" s="745">
        <f>+O493+1</f>
        <v>2004</v>
      </c>
      <c r="Q493" s="745">
        <f t="shared" si="456"/>
        <v>2005</v>
      </c>
      <c r="R493" s="745">
        <f t="shared" ref="R493:W493" si="457">+Q493+1</f>
        <v>2006</v>
      </c>
      <c r="S493" s="745">
        <f t="shared" si="457"/>
        <v>2007</v>
      </c>
      <c r="T493" s="2211">
        <f t="shared" si="457"/>
        <v>2008</v>
      </c>
      <c r="U493" s="2211">
        <f t="shared" si="457"/>
        <v>2009</v>
      </c>
      <c r="V493" s="2211">
        <f t="shared" si="457"/>
        <v>2010</v>
      </c>
      <c r="W493" s="2211">
        <f t="shared" si="457"/>
        <v>2011</v>
      </c>
      <c r="X493" s="2211">
        <f t="shared" ref="X493:AE493" si="458">+W493+1</f>
        <v>2012</v>
      </c>
      <c r="Y493" s="2211">
        <f t="shared" si="458"/>
        <v>2013</v>
      </c>
      <c r="Z493" s="2211">
        <f t="shared" si="458"/>
        <v>2014</v>
      </c>
      <c r="AA493" s="2211">
        <f t="shared" si="458"/>
        <v>2015</v>
      </c>
      <c r="AB493" s="2211">
        <f t="shared" si="458"/>
        <v>2016</v>
      </c>
      <c r="AC493" s="2211">
        <f t="shared" si="458"/>
        <v>2017</v>
      </c>
      <c r="AD493" s="2211">
        <f t="shared" si="458"/>
        <v>2018</v>
      </c>
      <c r="AE493" s="2211">
        <f t="shared" si="458"/>
        <v>2019</v>
      </c>
    </row>
    <row r="494" spans="1:113" ht="12.75" customHeight="1">
      <c r="A494" s="664"/>
      <c r="B494" s="664"/>
      <c r="C494" s="794" t="s">
        <v>1767</v>
      </c>
      <c r="D494" s="689" t="s">
        <v>687</v>
      </c>
      <c r="E494" s="738" t="s">
        <v>1476</v>
      </c>
      <c r="F494" s="733" t="s">
        <v>319</v>
      </c>
      <c r="G494" s="739"/>
      <c r="H494" s="739" t="e">
        <f>(H482/G482-1)*100</f>
        <v>#DIV/0!</v>
      </c>
      <c r="I494" s="739" t="e">
        <f t="shared" ref="I494:AB494" si="459">(I482/H482-1)*100</f>
        <v>#DIV/0!</v>
      </c>
      <c r="J494" s="739">
        <f t="shared" si="459"/>
        <v>566.66666666666674</v>
      </c>
      <c r="K494" s="739">
        <f t="shared" ref="K494:K502" si="460">(K482/J482-1)*100</f>
        <v>209.99999999999997</v>
      </c>
      <c r="L494" s="739">
        <f t="shared" si="459"/>
        <v>-14.516129032258062</v>
      </c>
      <c r="M494" s="739">
        <f t="shared" si="459"/>
        <v>22.641509433962259</v>
      </c>
      <c r="N494" s="739">
        <f t="shared" si="459"/>
        <v>1.538461538461533</v>
      </c>
      <c r="O494" s="739">
        <f t="shared" si="459"/>
        <v>-51.515151515151516</v>
      </c>
      <c r="P494" s="739">
        <f t="shared" si="459"/>
        <v>56.25</v>
      </c>
      <c r="Q494" s="739">
        <f t="shared" si="459"/>
        <v>34.000000000000007</v>
      </c>
      <c r="R494" s="739">
        <f t="shared" si="459"/>
        <v>80.597014925373117</v>
      </c>
      <c r="S494" s="739">
        <f t="shared" si="459"/>
        <v>50.41322314049588</v>
      </c>
      <c r="T494" s="739">
        <f t="shared" si="459"/>
        <v>-3.2967032967032961</v>
      </c>
      <c r="U494" s="739">
        <f t="shared" si="459"/>
        <v>1.1363636363636465</v>
      </c>
      <c r="V494" s="739">
        <f t="shared" si="459"/>
        <v>-38.202247191011239</v>
      </c>
      <c r="W494" s="739">
        <f t="shared" si="459"/>
        <v>-9.0909090909090935</v>
      </c>
      <c r="X494" s="739">
        <f t="shared" si="459"/>
        <v>19.999999999999996</v>
      </c>
      <c r="Y494" s="739">
        <f t="shared" si="459"/>
        <v>6.6666666666666874</v>
      </c>
      <c r="Z494" s="739">
        <f t="shared" si="459"/>
        <v>3.90625</v>
      </c>
      <c r="AA494" s="739">
        <f t="shared" si="459"/>
        <v>7.5187969924812137</v>
      </c>
      <c r="AB494" s="739">
        <f t="shared" si="459"/>
        <v>2.7972027972027913</v>
      </c>
      <c r="AC494" s="2213">
        <v>0</v>
      </c>
      <c r="AD494" s="2213">
        <v>0</v>
      </c>
      <c r="AE494" s="2213">
        <v>0</v>
      </c>
    </row>
    <row r="495" spans="1:113" ht="12.75" customHeight="1">
      <c r="A495" s="664"/>
      <c r="B495" s="664"/>
      <c r="C495" s="795" t="s">
        <v>401</v>
      </c>
      <c r="D495" s="674" t="s">
        <v>687</v>
      </c>
      <c r="E495" s="783" t="s">
        <v>1116</v>
      </c>
      <c r="F495" s="704" t="s">
        <v>1175</v>
      </c>
      <c r="G495" s="706"/>
      <c r="H495" s="706" t="e">
        <f>(H483/G483-1)*100</f>
        <v>#DIV/0!</v>
      </c>
      <c r="I495" s="706" t="e">
        <f t="shared" ref="I495:AB495" si="461">(I483/H483-1)*100</f>
        <v>#DIV/0!</v>
      </c>
      <c r="J495" s="706" t="e">
        <f t="shared" si="461"/>
        <v>#DIV/0!</v>
      </c>
      <c r="K495" s="706" t="e">
        <f t="shared" si="460"/>
        <v>#DIV/0!</v>
      </c>
      <c r="L495" s="706" t="e">
        <f t="shared" si="461"/>
        <v>#DIV/0!</v>
      </c>
      <c r="M495" s="706">
        <f t="shared" si="461"/>
        <v>18.618540638795132</v>
      </c>
      <c r="N495" s="706">
        <f t="shared" si="461"/>
        <v>-41.462346760070048</v>
      </c>
      <c r="O495" s="706">
        <f t="shared" si="461"/>
        <v>-46.447270007479425</v>
      </c>
      <c r="P495" s="706">
        <f t="shared" si="461"/>
        <v>-16.270949720670391</v>
      </c>
      <c r="Q495" s="706">
        <f t="shared" si="461"/>
        <v>-18.265221017514587</v>
      </c>
      <c r="R495" s="706">
        <f t="shared" si="461"/>
        <v>52.857142857142847</v>
      </c>
      <c r="S495" s="706">
        <f t="shared" si="461"/>
        <v>-40.587449933244322</v>
      </c>
      <c r="T495" s="706">
        <f t="shared" si="461"/>
        <v>109.77528089887643</v>
      </c>
      <c r="U495" s="706">
        <f t="shared" si="461"/>
        <v>153.07980717728972</v>
      </c>
      <c r="V495" s="706">
        <f t="shared" si="461"/>
        <v>-32.380952380952387</v>
      </c>
      <c r="W495" s="706">
        <f t="shared" si="461"/>
        <v>-50.10954616588419</v>
      </c>
      <c r="X495" s="706">
        <f t="shared" si="461"/>
        <v>-11.417816813048942</v>
      </c>
      <c r="Y495" s="706">
        <f t="shared" si="461"/>
        <v>23.300283286118994</v>
      </c>
      <c r="Z495" s="706">
        <f t="shared" si="461"/>
        <v>-13.038483630097652</v>
      </c>
      <c r="AA495" s="706">
        <f t="shared" si="461"/>
        <v>16.446499339498022</v>
      </c>
      <c r="AB495" s="706">
        <f t="shared" si="461"/>
        <v>-19.398752127056152</v>
      </c>
      <c r="AC495" s="3089">
        <v>0</v>
      </c>
      <c r="AD495" s="3089">
        <v>0</v>
      </c>
      <c r="AE495" s="3089">
        <v>0</v>
      </c>
    </row>
    <row r="496" spans="1:113" ht="12.75" customHeight="1">
      <c r="A496" s="664"/>
      <c r="B496" s="664"/>
      <c r="C496" s="795" t="s">
        <v>1767</v>
      </c>
      <c r="D496" s="674" t="s">
        <v>687</v>
      </c>
      <c r="E496" s="783" t="s">
        <v>43</v>
      </c>
      <c r="F496" s="704" t="s">
        <v>320</v>
      </c>
      <c r="G496" s="706"/>
      <c r="H496" s="706" t="e">
        <f>(H484/G484-1)*100</f>
        <v>#DIV/0!</v>
      </c>
      <c r="I496" s="706" t="e">
        <f t="shared" ref="I496:AB496" si="462">(I484/H484-1)*100</f>
        <v>#DIV/0!</v>
      </c>
      <c r="J496" s="706">
        <f t="shared" si="462"/>
        <v>-88.105726872246692</v>
      </c>
      <c r="K496" s="706">
        <f t="shared" si="460"/>
        <v>4074.0740740740735</v>
      </c>
      <c r="L496" s="706">
        <f t="shared" si="462"/>
        <v>-10.115350488021324</v>
      </c>
      <c r="M496" s="706">
        <f t="shared" si="462"/>
        <v>53.800592300098728</v>
      </c>
      <c r="N496" s="706">
        <f t="shared" si="462"/>
        <v>362.00256739409502</v>
      </c>
      <c r="O496" s="706">
        <f t="shared" si="462"/>
        <v>-6.3628785773825918</v>
      </c>
      <c r="P496" s="706">
        <f t="shared" si="462"/>
        <v>24.154302670623153</v>
      </c>
      <c r="Q496" s="706">
        <f t="shared" si="462"/>
        <v>101.76864244741877</v>
      </c>
      <c r="R496" s="706">
        <f t="shared" si="462"/>
        <v>45.403932717365535</v>
      </c>
      <c r="S496" s="706">
        <f t="shared" si="462"/>
        <v>71.213849287169054</v>
      </c>
      <c r="T496" s="706">
        <f t="shared" si="462"/>
        <v>-14.438655342231099</v>
      </c>
      <c r="U496" s="706">
        <f t="shared" si="462"/>
        <v>22.313980647313958</v>
      </c>
      <c r="V496" s="706">
        <f t="shared" si="462"/>
        <v>67.894246288844954</v>
      </c>
      <c r="W496" s="706">
        <f t="shared" si="462"/>
        <v>-4.9150362196195392</v>
      </c>
      <c r="X496" s="706">
        <f t="shared" si="462"/>
        <v>-7.6354574581701478</v>
      </c>
      <c r="Y496" s="706">
        <f t="shared" si="462"/>
        <v>13.846106408892588</v>
      </c>
      <c r="Z496" s="706">
        <f t="shared" si="462"/>
        <v>36.338768214072914</v>
      </c>
      <c r="AA496" s="706">
        <f t="shared" si="462"/>
        <v>-29.726454637557374</v>
      </c>
      <c r="AB496" s="706">
        <f t="shared" si="462"/>
        <v>-53.881272084805651</v>
      </c>
      <c r="AC496" s="2215">
        <v>-2</v>
      </c>
      <c r="AD496" s="2215">
        <v>16</v>
      </c>
      <c r="AE496" s="2215">
        <v>2</v>
      </c>
    </row>
    <row r="497" spans="1:31" ht="12.75" customHeight="1">
      <c r="A497" s="664"/>
      <c r="B497" s="664"/>
      <c r="C497" s="795" t="s">
        <v>1769</v>
      </c>
      <c r="D497" s="717" t="s">
        <v>687</v>
      </c>
      <c r="E497" s="722" t="s">
        <v>1479</v>
      </c>
      <c r="F497" s="723" t="s">
        <v>1939</v>
      </c>
      <c r="G497" s="721"/>
      <c r="H497" s="721" t="e">
        <f>(H485/G485-1)*100</f>
        <v>#DIV/0!</v>
      </c>
      <c r="I497" s="721" t="e">
        <f t="shared" ref="I497:AE497" si="463">(I485/H485-1)*100</f>
        <v>#DIV/0!</v>
      </c>
      <c r="J497" s="721">
        <f t="shared" si="463"/>
        <v>-79.565217391304344</v>
      </c>
      <c r="K497" s="721">
        <f t="shared" si="460"/>
        <v>2429.7872340425533</v>
      </c>
      <c r="L497" s="721">
        <f t="shared" si="463"/>
        <v>-334.23044575273337</v>
      </c>
      <c r="M497" s="721">
        <f t="shared" si="463"/>
        <v>5.7450628366247702</v>
      </c>
      <c r="N497" s="721">
        <f t="shared" si="463"/>
        <v>-255.85738539898131</v>
      </c>
      <c r="O497" s="721">
        <f t="shared" si="463"/>
        <v>16.339869281045761</v>
      </c>
      <c r="P497" s="721">
        <f t="shared" si="463"/>
        <v>35.187265917603014</v>
      </c>
      <c r="Q497" s="721">
        <f t="shared" si="463"/>
        <v>121.23562820335229</v>
      </c>
      <c r="R497" s="721">
        <f t="shared" si="463"/>
        <v>45.094233297852341</v>
      </c>
      <c r="S497" s="721">
        <f t="shared" si="463"/>
        <v>78.332542182712643</v>
      </c>
      <c r="T497" s="721">
        <f t="shared" si="463"/>
        <v>-17.064730792498484</v>
      </c>
      <c r="U497" s="721">
        <f t="shared" ref="U497:AB497" si="464">(U485/T485-1)*100</f>
        <v>15.081842850056892</v>
      </c>
      <c r="V497" s="721">
        <f t="shared" si="464"/>
        <v>79.428020891435523</v>
      </c>
      <c r="W497" s="721">
        <f t="shared" si="464"/>
        <v>-2.881164335170272</v>
      </c>
      <c r="X497" s="721">
        <f t="shared" si="464"/>
        <v>-7.5075293535667997</v>
      </c>
      <c r="Y497" s="721">
        <f t="shared" si="464"/>
        <v>13.622563747620763</v>
      </c>
      <c r="Z497" s="721">
        <f t="shared" si="464"/>
        <v>37.471445778128533</v>
      </c>
      <c r="AA497" s="721">
        <f t="shared" si="464"/>
        <v>-30.380575445381041</v>
      </c>
      <c r="AB497" s="721">
        <f t="shared" si="464"/>
        <v>-54.643425430348614</v>
      </c>
      <c r="AC497" s="2220">
        <f t="shared" si="463"/>
        <v>-2.0812629564662788</v>
      </c>
      <c r="AD497" s="2220">
        <f t="shared" si="463"/>
        <v>16.663921606179557</v>
      </c>
      <c r="AE497" s="2220">
        <f t="shared" si="463"/>
        <v>2.0711361315733923</v>
      </c>
    </row>
    <row r="498" spans="1:31" ht="12.75" customHeight="1">
      <c r="A498" s="664"/>
      <c r="B498" s="664"/>
      <c r="C498" s="795" t="s">
        <v>401</v>
      </c>
      <c r="D498" s="674" t="s">
        <v>687</v>
      </c>
      <c r="E498" s="783" t="s">
        <v>185</v>
      </c>
      <c r="F498" s="704" t="s">
        <v>1175</v>
      </c>
      <c r="G498" s="706"/>
      <c r="H498" s="706">
        <f t="shared" ref="H498:P499" si="465">(H486/G486-1)*100</f>
        <v>155.9612983770287</v>
      </c>
      <c r="I498" s="706">
        <f t="shared" si="465"/>
        <v>509.7792952079015</v>
      </c>
      <c r="J498" s="706">
        <f t="shared" si="465"/>
        <v>-89.851623740201575</v>
      </c>
      <c r="K498" s="706">
        <f t="shared" si="460"/>
        <v>-20.367816091954015</v>
      </c>
      <c r="L498" s="706">
        <f t="shared" si="465"/>
        <v>139.50016496205873</v>
      </c>
      <c r="M498" s="706">
        <f t="shared" si="465"/>
        <v>-10.627819678341421</v>
      </c>
      <c r="N498" s="706">
        <f t="shared" si="465"/>
        <v>-48.741859658587337</v>
      </c>
      <c r="O498" s="706">
        <f t="shared" si="465"/>
        <v>-46.030672079386562</v>
      </c>
      <c r="P498" s="706">
        <f t="shared" si="465"/>
        <v>44.811255049449763</v>
      </c>
      <c r="Q498" s="706">
        <f t="shared" ref="Q498:AB499" si="466">(Q486/P486-1)*100</f>
        <v>-20.142362447095042</v>
      </c>
      <c r="R498" s="706">
        <f t="shared" si="466"/>
        <v>15.068658154661541</v>
      </c>
      <c r="S498" s="706">
        <f t="shared" si="466"/>
        <v>169.24526326808328</v>
      </c>
      <c r="T498" s="706">
        <f t="shared" si="466"/>
        <v>-49.640371680727803</v>
      </c>
      <c r="U498" s="706">
        <f t="shared" si="466"/>
        <v>-14.467690882421069</v>
      </c>
      <c r="V498" s="706">
        <f t="shared" si="466"/>
        <v>9.7120678761621004</v>
      </c>
      <c r="W498" s="706">
        <f t="shared" si="466"/>
        <v>1046.5734265734268</v>
      </c>
      <c r="X498" s="706">
        <f t="shared" si="466"/>
        <v>-93.457514745346785</v>
      </c>
      <c r="Y498" s="706">
        <f t="shared" si="466"/>
        <v>394.40666812897564</v>
      </c>
      <c r="Z498" s="706">
        <f t="shared" si="466"/>
        <v>12.065217391304351</v>
      </c>
      <c r="AA498" s="706">
        <f t="shared" si="466"/>
        <v>-47.116926304954575</v>
      </c>
      <c r="AB498" s="706">
        <f t="shared" si="466"/>
        <v>-31.168588111992811</v>
      </c>
      <c r="AC498" s="3274">
        <v>44</v>
      </c>
      <c r="AD498" s="3274">
        <v>-28</v>
      </c>
      <c r="AE498" s="3274">
        <v>0</v>
      </c>
    </row>
    <row r="499" spans="1:31" ht="12.75" customHeight="1">
      <c r="A499" s="664"/>
      <c r="B499" s="664"/>
      <c r="C499" s="795" t="s">
        <v>1769</v>
      </c>
      <c r="D499" s="717" t="s">
        <v>687</v>
      </c>
      <c r="E499" s="722" t="s">
        <v>2123</v>
      </c>
      <c r="F499" s="723" t="s">
        <v>2120</v>
      </c>
      <c r="G499" s="721"/>
      <c r="H499" s="721">
        <f t="shared" si="465"/>
        <v>155.9612983770287</v>
      </c>
      <c r="I499" s="721">
        <f t="shared" si="465"/>
        <v>508.84444986383778</v>
      </c>
      <c r="J499" s="721">
        <f t="shared" si="465"/>
        <v>-89.867417920610976</v>
      </c>
      <c r="K499" s="721">
        <f t="shared" si="460"/>
        <v>-27.954934774015015</v>
      </c>
      <c r="L499" s="721">
        <f t="shared" si="465"/>
        <v>191.01051668952903</v>
      </c>
      <c r="M499" s="721">
        <f t="shared" si="465"/>
        <v>-9.1948966124065112</v>
      </c>
      <c r="N499" s="721">
        <f t="shared" si="465"/>
        <v>-69.850498338870423</v>
      </c>
      <c r="O499" s="721">
        <f t="shared" si="465"/>
        <v>-78.891184573002747</v>
      </c>
      <c r="P499" s="721">
        <f t="shared" si="465"/>
        <v>72.756933115823671</v>
      </c>
      <c r="Q499" s="721">
        <f t="shared" si="466"/>
        <v>-341.39124960654715</v>
      </c>
      <c r="R499" s="721">
        <f t="shared" si="466"/>
        <v>77.598122310601056</v>
      </c>
      <c r="S499" s="721">
        <f t="shared" si="466"/>
        <v>14.566813509544808</v>
      </c>
      <c r="T499" s="721">
        <f t="shared" si="466"/>
        <v>36.631632914637294</v>
      </c>
      <c r="U499" s="721">
        <f t="shared" si="466"/>
        <v>33.03470919324576</v>
      </c>
      <c r="V499" s="721">
        <f t="shared" si="466"/>
        <v>106.66008532242711</v>
      </c>
      <c r="W499" s="721">
        <f t="shared" si="466"/>
        <v>-220.50669623816432</v>
      </c>
      <c r="X499" s="721">
        <f t="shared" si="466"/>
        <v>-177.0906774262051</v>
      </c>
      <c r="Y499" s="721">
        <f t="shared" si="466"/>
        <v>-50.138651681266431</v>
      </c>
      <c r="Z499" s="721">
        <f t="shared" si="466"/>
        <v>79.654524695223088</v>
      </c>
      <c r="AA499" s="721">
        <f t="shared" si="466"/>
        <v>-13.04686539013491</v>
      </c>
      <c r="AB499" s="721">
        <f t="shared" si="466"/>
        <v>-69.429905219974529</v>
      </c>
      <c r="AC499" s="2220">
        <f>(AC487/AB487-1)*100</f>
        <v>-67.435909301249424</v>
      </c>
      <c r="AD499" s="2220">
        <f>(AD487/AC487-1)*100</f>
        <v>296.77641831625709</v>
      </c>
      <c r="AE499" s="2220">
        <f>(AE487/AD487-1)*100</f>
        <v>4.4281976671307399</v>
      </c>
    </row>
    <row r="500" spans="1:31" ht="12.75" customHeight="1">
      <c r="A500" s="664"/>
      <c r="B500" s="664"/>
      <c r="C500" s="795" t="s">
        <v>1767</v>
      </c>
      <c r="D500" s="674" t="s">
        <v>685</v>
      </c>
      <c r="E500" s="783" t="s">
        <v>2123</v>
      </c>
      <c r="F500" s="704" t="s">
        <v>2121</v>
      </c>
      <c r="G500" s="706"/>
      <c r="H500" s="706">
        <f t="shared" ref="H500:AB500" si="467">(H488/G488-1)*100</f>
        <v>69.385474860335194</v>
      </c>
      <c r="I500" s="706">
        <f t="shared" si="467"/>
        <v>4751.9129287598953</v>
      </c>
      <c r="J500" s="706">
        <f t="shared" si="467"/>
        <v>-96.623614981986279</v>
      </c>
      <c r="K500" s="706">
        <f t="shared" si="460"/>
        <v>3.764847996778764</v>
      </c>
      <c r="L500" s="706">
        <f t="shared" si="467"/>
        <v>278.09468374078386</v>
      </c>
      <c r="M500" s="706">
        <f t="shared" si="467"/>
        <v>-85.415918304510697</v>
      </c>
      <c r="N500" s="706">
        <f t="shared" si="467"/>
        <v>-14.109781843771984</v>
      </c>
      <c r="O500" s="706">
        <f t="shared" si="467"/>
        <v>40.06554690700532</v>
      </c>
      <c r="P500" s="706">
        <f t="shared" si="467"/>
        <v>150.39485229599302</v>
      </c>
      <c r="Q500" s="706">
        <f t="shared" si="467"/>
        <v>-15.687419693961003</v>
      </c>
      <c r="R500" s="706">
        <f t="shared" si="467"/>
        <v>8.6311997783319772</v>
      </c>
      <c r="S500" s="706">
        <f t="shared" si="467"/>
        <v>134.45989032011224</v>
      </c>
      <c r="T500" s="706">
        <f t="shared" si="467"/>
        <v>-75.815926892950387</v>
      </c>
      <c r="U500" s="706">
        <f t="shared" si="467"/>
        <v>-30.926675663517766</v>
      </c>
      <c r="V500" s="706">
        <f t="shared" si="467"/>
        <v>28.069032888309977</v>
      </c>
      <c r="W500" s="706">
        <f t="shared" si="467"/>
        <v>3043.7833714721592</v>
      </c>
      <c r="X500" s="706">
        <f t="shared" si="467"/>
        <v>-96.863601439605318</v>
      </c>
      <c r="Y500" s="706">
        <f t="shared" si="467"/>
        <v>88.421866941722556</v>
      </c>
      <c r="Z500" s="706">
        <f t="shared" si="467"/>
        <v>443.34200082113051</v>
      </c>
      <c r="AA500" s="706">
        <f t="shared" si="467"/>
        <v>-69.691703188756236</v>
      </c>
      <c r="AB500" s="706">
        <f t="shared" si="467"/>
        <v>-54.242499792238007</v>
      </c>
      <c r="AC500" s="2215">
        <v>-7</v>
      </c>
      <c r="AD500" s="2215">
        <v>-7</v>
      </c>
      <c r="AE500" s="2215">
        <v>-7</v>
      </c>
    </row>
    <row r="501" spans="1:31" ht="12.75" customHeight="1">
      <c r="A501" s="664"/>
      <c r="B501" s="664"/>
      <c r="C501" s="796" t="s">
        <v>1767</v>
      </c>
      <c r="D501" s="691" t="s">
        <v>686</v>
      </c>
      <c r="E501" s="797" t="s">
        <v>2123</v>
      </c>
      <c r="F501" s="736" t="s">
        <v>2122</v>
      </c>
      <c r="G501" s="741"/>
      <c r="H501" s="741">
        <f t="shared" ref="H501:X502" si="468">(H489/G489-1)*100</f>
        <v>571.95158850226937</v>
      </c>
      <c r="I501" s="741">
        <f t="shared" si="468"/>
        <v>-85.766390489913547</v>
      </c>
      <c r="J501" s="741">
        <f t="shared" si="468"/>
        <v>216.73521037646316</v>
      </c>
      <c r="K501" s="741">
        <f t="shared" si="460"/>
        <v>-46.064722333200159</v>
      </c>
      <c r="L501" s="741">
        <f t="shared" si="468"/>
        <v>133.0185185185185</v>
      </c>
      <c r="M501" s="741">
        <f t="shared" si="468"/>
        <v>108.32869744893902</v>
      </c>
      <c r="N501" s="741">
        <f t="shared" si="468"/>
        <v>-53.562981612878602</v>
      </c>
      <c r="O501" s="741">
        <f t="shared" si="468"/>
        <v>-64.215887620142936</v>
      </c>
      <c r="P501" s="741">
        <f t="shared" si="468"/>
        <v>74.08172635445365</v>
      </c>
      <c r="Q501" s="741">
        <f t="shared" si="468"/>
        <v>-27.337465383093761</v>
      </c>
      <c r="R501" s="741">
        <f t="shared" si="468"/>
        <v>161.27041742286755</v>
      </c>
      <c r="S501" s="741">
        <f t="shared" si="468"/>
        <v>88.61489302584053</v>
      </c>
      <c r="T501" s="741">
        <f t="shared" si="468"/>
        <v>33.101314771848386</v>
      </c>
      <c r="U501" s="741">
        <f t="shared" si="468"/>
        <v>133.49658282836666</v>
      </c>
      <c r="V501" s="741">
        <f t="shared" si="468"/>
        <v>-48.768782291321045</v>
      </c>
      <c r="W501" s="741">
        <f t="shared" si="468"/>
        <v>9.5713922235329374</v>
      </c>
      <c r="X501" s="741">
        <f t="shared" si="468"/>
        <v>-19.617487492347628</v>
      </c>
      <c r="Y501" s="741">
        <f t="shared" ref="Y501:AB502" si="469">(Y489/X489-1)*100</f>
        <v>95.459320342454944</v>
      </c>
      <c r="Z501" s="741">
        <f t="shared" si="469"/>
        <v>-87.781315920297757</v>
      </c>
      <c r="AA501" s="741">
        <f t="shared" si="469"/>
        <v>529.85484935122122</v>
      </c>
      <c r="AB501" s="741">
        <f t="shared" si="469"/>
        <v>-32.95972345885928</v>
      </c>
      <c r="AC501" s="2214">
        <v>-7</v>
      </c>
      <c r="AD501" s="2214">
        <v>-7</v>
      </c>
      <c r="AE501" s="2214">
        <v>-7</v>
      </c>
    </row>
    <row r="502" spans="1:31" ht="12.75" customHeight="1">
      <c r="A502" s="664"/>
      <c r="B502" s="664"/>
      <c r="C502" s="774" t="s">
        <v>1769</v>
      </c>
      <c r="D502" s="717" t="s">
        <v>688</v>
      </c>
      <c r="E502" s="722" t="s">
        <v>206</v>
      </c>
      <c r="F502" s="723" t="s">
        <v>1477</v>
      </c>
      <c r="G502" s="721"/>
      <c r="H502" s="721">
        <f t="shared" ref="H502:T502" si="470">(H490/G490-1)*100</f>
        <v>-114.10228027451848</v>
      </c>
      <c r="I502" s="721">
        <f t="shared" si="470"/>
        <v>-25.117739403453687</v>
      </c>
      <c r="J502" s="721">
        <f t="shared" si="470"/>
        <v>-141.50943396226415</v>
      </c>
      <c r="K502" s="721">
        <f t="shared" si="460"/>
        <v>92.424242424242436</v>
      </c>
      <c r="L502" s="721">
        <f t="shared" si="470"/>
        <v>-165.35433070866142</v>
      </c>
      <c r="M502" s="721">
        <f t="shared" si="470"/>
        <v>-35.341365461847388</v>
      </c>
      <c r="N502" s="721">
        <f t="shared" si="470"/>
        <v>3565.8385093167703</v>
      </c>
      <c r="O502" s="721">
        <f t="shared" si="470"/>
        <v>0.57607590647237306</v>
      </c>
      <c r="P502" s="721">
        <f t="shared" si="470"/>
        <v>118.44676549865225</v>
      </c>
      <c r="Q502" s="721">
        <f t="shared" si="470"/>
        <v>57.299298218554817</v>
      </c>
      <c r="R502" s="721">
        <f t="shared" si="470"/>
        <v>75.795460116683813</v>
      </c>
      <c r="S502" s="721">
        <f t="shared" si="470"/>
        <v>70.516217196084426</v>
      </c>
      <c r="T502" s="721">
        <f t="shared" si="470"/>
        <v>1.2511857642864221</v>
      </c>
      <c r="U502" s="2220">
        <f>(U490/T490-1)*100</f>
        <v>87.090312888687876</v>
      </c>
      <c r="V502" s="2220">
        <f t="shared" si="468"/>
        <v>-8.6702008254045175</v>
      </c>
      <c r="W502" s="2220">
        <f>(W490/V490-1)*100</f>
        <v>-5.1039894119871416</v>
      </c>
      <c r="X502" s="2220">
        <f>(X490/W490-1)*100</f>
        <v>-3.9569241191061977</v>
      </c>
      <c r="Y502" s="2220">
        <f t="shared" si="469"/>
        <v>12.940700557001916</v>
      </c>
      <c r="Z502" s="2220">
        <f t="shared" si="469"/>
        <v>-10.388024062083845</v>
      </c>
      <c r="AA502" s="2220">
        <f t="shared" si="469"/>
        <v>14.50386373419148</v>
      </c>
      <c r="AB502" s="2220">
        <f t="shared" si="469"/>
        <v>-49.096897767753248</v>
      </c>
      <c r="AC502" s="2220">
        <f>(AC490/AB490-1)*100</f>
        <v>-20.778520185680126</v>
      </c>
      <c r="AD502" s="2220">
        <f>(AD490/AC490-1)*100</f>
        <v>21.468040725480343</v>
      </c>
      <c r="AE502" s="2220">
        <f>(AE490/AD490-1)*100</f>
        <v>-3.5016352279790275</v>
      </c>
    </row>
    <row r="503" spans="1:31" ht="12.75" customHeight="1">
      <c r="A503" s="664"/>
      <c r="B503" s="664"/>
      <c r="C503" s="774"/>
      <c r="E503" s="786"/>
      <c r="F503" s="787"/>
      <c r="G503" s="703"/>
      <c r="H503" s="788"/>
      <c r="I503" s="703"/>
      <c r="J503" s="703"/>
      <c r="K503" s="703"/>
      <c r="L503" s="703"/>
      <c r="M503" s="703"/>
      <c r="N503" s="703"/>
      <c r="O503" s="703"/>
      <c r="P503" s="703"/>
      <c r="Q503" s="845"/>
      <c r="R503" s="845"/>
      <c r="S503" s="845"/>
      <c r="T503" s="2254"/>
      <c r="U503" s="2254"/>
      <c r="V503" s="2254"/>
      <c r="W503" s="2254"/>
      <c r="X503" s="2254"/>
      <c r="Y503" s="2254"/>
      <c r="Z503" s="2254"/>
      <c r="AA503" s="2254"/>
      <c r="AB503" s="2254"/>
      <c r="AC503" s="2254"/>
      <c r="AD503" s="2254"/>
      <c r="AE503" s="2254"/>
    </row>
    <row r="504" spans="1:31" ht="12.75" customHeight="1">
      <c r="A504" s="664"/>
      <c r="B504" s="664"/>
      <c r="C504" s="774"/>
      <c r="D504" s="818"/>
      <c r="E504" s="819" t="s">
        <v>512</v>
      </c>
      <c r="F504" s="820"/>
      <c r="G504" s="821">
        <f>+InputY!$G$3</f>
        <v>1995</v>
      </c>
      <c r="H504" s="821">
        <f>+G504+1</f>
        <v>1996</v>
      </c>
      <c r="I504" s="821">
        <f t="shared" ref="I504:O504" si="471">+H504+1</f>
        <v>1997</v>
      </c>
      <c r="J504" s="821">
        <f t="shared" si="471"/>
        <v>1998</v>
      </c>
      <c r="K504" s="821">
        <f>+J504+1</f>
        <v>1999</v>
      </c>
      <c r="L504" s="821">
        <f t="shared" si="471"/>
        <v>2000</v>
      </c>
      <c r="M504" s="821">
        <f t="shared" si="471"/>
        <v>2001</v>
      </c>
      <c r="N504" s="821">
        <f t="shared" si="471"/>
        <v>2002</v>
      </c>
      <c r="O504" s="821">
        <f t="shared" si="471"/>
        <v>2003</v>
      </c>
      <c r="P504" s="821">
        <f t="shared" ref="P504:V504" si="472">+O504+1</f>
        <v>2004</v>
      </c>
      <c r="Q504" s="821">
        <f t="shared" si="472"/>
        <v>2005</v>
      </c>
      <c r="R504" s="821">
        <f t="shared" si="472"/>
        <v>2006</v>
      </c>
      <c r="S504" s="821">
        <f>+R504+1</f>
        <v>2007</v>
      </c>
      <c r="T504" s="821">
        <f t="shared" si="472"/>
        <v>2008</v>
      </c>
      <c r="U504" s="821">
        <f t="shared" si="472"/>
        <v>2009</v>
      </c>
      <c r="V504" s="821">
        <f t="shared" si="472"/>
        <v>2010</v>
      </c>
      <c r="W504" s="821">
        <f t="shared" ref="W504:AE504" si="473">+V504+1</f>
        <v>2011</v>
      </c>
      <c r="X504" s="821">
        <f t="shared" si="473"/>
        <v>2012</v>
      </c>
      <c r="Y504" s="821">
        <f t="shared" si="473"/>
        <v>2013</v>
      </c>
      <c r="Z504" s="821">
        <f t="shared" si="473"/>
        <v>2014</v>
      </c>
      <c r="AA504" s="821">
        <f t="shared" si="473"/>
        <v>2015</v>
      </c>
      <c r="AB504" s="821">
        <f t="shared" si="473"/>
        <v>2016</v>
      </c>
      <c r="AC504" s="821">
        <f t="shared" si="473"/>
        <v>2017</v>
      </c>
      <c r="AD504" s="821">
        <f t="shared" si="473"/>
        <v>2018</v>
      </c>
      <c r="AE504" s="821">
        <f t="shared" si="473"/>
        <v>2019</v>
      </c>
    </row>
    <row r="505" spans="1:31" ht="12.75" customHeight="1">
      <c r="A505" s="664"/>
      <c r="B505" s="664"/>
      <c r="C505" s="822" t="s">
        <v>1767</v>
      </c>
      <c r="D505" s="823" t="s">
        <v>687</v>
      </c>
      <c r="E505" s="824" t="s">
        <v>1476</v>
      </c>
      <c r="F505" s="825" t="s">
        <v>319</v>
      </c>
      <c r="G505" s="838">
        <f>+G482/'VVP2'!G$341</f>
        <v>0</v>
      </c>
      <c r="H505" s="838">
        <f>+H482/'VVP2'!H$341</f>
        <v>0</v>
      </c>
      <c r="I505" s="838">
        <f>+I482/'VVP2'!I$341</f>
        <v>2.5587794280957396E-6</v>
      </c>
      <c r="J505" s="838">
        <f>+J482/'VVP2'!J$341</f>
        <v>1.5358671044911828E-5</v>
      </c>
      <c r="K505" s="838">
        <f>+K482/'VVP2'!K$341</f>
        <v>4.8772506151628998E-5</v>
      </c>
      <c r="L505" s="838">
        <f>+L482/'VVP2'!L$341</f>
        <v>3.9646384174958745E-5</v>
      </c>
      <c r="M505" s="838">
        <f>+M482/'VVP2'!M$341</f>
        <v>4.5792319853013695E-5</v>
      </c>
      <c r="N505" s="838">
        <f>+N482/'VVP2'!N$341</f>
        <v>4.341485458983816E-5</v>
      </c>
      <c r="O505" s="838">
        <f>+O482/'VVP2'!O$341</f>
        <v>1.9197911267254126E-5</v>
      </c>
      <c r="P505" s="838">
        <f>+P482/'VVP2'!P$341</f>
        <v>2.7415707665212539E-5</v>
      </c>
      <c r="Q505" s="838">
        <f>+Q482/'VVP2'!Q$341</f>
        <v>3.190119200946561E-5</v>
      </c>
      <c r="R505" s="838">
        <f>+R482/'VVP2'!R$341</f>
        <v>5.0250880636300734E-5</v>
      </c>
      <c r="S505" s="838">
        <f>+S482/'VVP2'!S$341</f>
        <v>6.2670751973267828E-5</v>
      </c>
      <c r="T505" s="2909">
        <f>+T482/'VVP2'!T$341</f>
        <v>5.3828753607444027E-5</v>
      </c>
      <c r="U505" s="2909">
        <f>+U482/'VVP2'!U$341</f>
        <v>6.6085461124299337E-5</v>
      </c>
      <c r="V505" s="2909">
        <f>+V482/'VVP2'!V$341</f>
        <v>3.9246943911835667E-5</v>
      </c>
      <c r="W505" s="2909">
        <f>+W482/'VVP2'!W$341</f>
        <v>3.1974093310635988E-5</v>
      </c>
      <c r="X505" s="2909">
        <f>+X482/'VVP2'!X$341</f>
        <v>3.5983649029880815E-5</v>
      </c>
      <c r="Y505" s="2909">
        <f>+Y482/'VVP2'!Y$341</f>
        <v>3.6613638866521836E-5</v>
      </c>
      <c r="Z505" s="2909">
        <f>+Z482/'VVP2'!Z$341</f>
        <v>3.6370318757130499E-5</v>
      </c>
      <c r="AA505" s="2909">
        <f>+AA482/'VVP2'!AA$341</f>
        <v>3.8208109150147448E-5</v>
      </c>
      <c r="AB505" s="2909">
        <f>+AB482/'VVP2'!AB$341</f>
        <v>3.8015615884010472E-5</v>
      </c>
      <c r="AC505" s="2909">
        <f ca="1">+AC482/'VVP2'!AC$341</f>
        <v>3.5184639865128737E-5</v>
      </c>
      <c r="AD505" s="2909">
        <f ca="1">+AD482/'VVP2'!AD$341</f>
        <v>3.3249223797298408E-5</v>
      </c>
      <c r="AE505" s="2909">
        <f ca="1">+AE482/'VVP2'!AE$341</f>
        <v>3.1493532649584085E-5</v>
      </c>
    </row>
    <row r="506" spans="1:31" ht="12.75" customHeight="1">
      <c r="A506" s="664"/>
      <c r="B506" s="664"/>
      <c r="C506" s="826" t="s">
        <v>401</v>
      </c>
      <c r="D506" s="674" t="s">
        <v>687</v>
      </c>
      <c r="E506" s="783" t="s">
        <v>1116</v>
      </c>
      <c r="F506" s="704" t="s">
        <v>1175</v>
      </c>
      <c r="G506" s="839">
        <f>+G483/'VVP2'!G$341</f>
        <v>0</v>
      </c>
      <c r="H506" s="839">
        <f>+H483/'VVP2'!H$341</f>
        <v>0</v>
      </c>
      <c r="I506" s="839">
        <f>+I483/'VVP2'!I$341</f>
        <v>0</v>
      </c>
      <c r="J506" s="839">
        <f>+J483/'VVP2'!J$341</f>
        <v>0</v>
      </c>
      <c r="K506" s="839">
        <f>+K483/'VVP2'!K$341</f>
        <v>0</v>
      </c>
      <c r="L506" s="839">
        <f>+L483/'VVP2'!L$341</f>
        <v>2.8807212350521905E-3</v>
      </c>
      <c r="M506" s="839">
        <f>+M483/'VVP2'!M$341</f>
        <v>3.2181433398241008E-3</v>
      </c>
      <c r="N506" s="839">
        <f>+N483/'VVP2'!N$341</f>
        <v>1.7589594117155642E-3</v>
      </c>
      <c r="O506" s="839">
        <f>+O483/'VVP2'!O$341</f>
        <v>8.5910652920962209E-4</v>
      </c>
      <c r="P506" s="839">
        <f>+P483/'VVP2'!P$341</f>
        <v>6.5742866981179668E-4</v>
      </c>
      <c r="Q506" s="839">
        <f>+Q483/'VVP2'!Q$341</f>
        <v>4.6661445028770595E-4</v>
      </c>
      <c r="R506" s="839">
        <f>+R483/'VVP2'!R$341</f>
        <v>6.2211420820808684E-4</v>
      </c>
      <c r="S506" s="839">
        <f>+S483/'VVP2'!S$341</f>
        <v>3.0646686404510091E-4</v>
      </c>
      <c r="T506" s="2910">
        <f>+T483/'VVP2'!T$341</f>
        <v>5.7101297150623871E-4</v>
      </c>
      <c r="U506" s="2910">
        <f>+U483/'VVP2'!U$341</f>
        <v>1.7542348528781703E-3</v>
      </c>
      <c r="V506" s="2910">
        <f>+V483/'VVP2'!V$341</f>
        <v>1.1399453254392268E-3</v>
      </c>
      <c r="W506" s="2910">
        <f>+W483/'VVP2'!W$341</f>
        <v>5.0966704737153768E-4</v>
      </c>
      <c r="X506" s="2910">
        <f>+X483/'VVP2'!X$341</f>
        <v>4.2340760358493094E-4</v>
      </c>
      <c r="Y506" s="2910">
        <f>+Y483/'VVP2'!Y$341</f>
        <v>4.9800269739542591E-4</v>
      </c>
      <c r="Z506" s="2910">
        <f>+Z483/'VVP2'!Z$341</f>
        <v>4.1402001953605693E-4</v>
      </c>
      <c r="AA506" s="2910">
        <f>+AA483/'VVP2'!AA$341</f>
        <v>4.7105521980216747E-4</v>
      </c>
      <c r="AB506" s="2910">
        <f>+AB483/'VVP2'!AB$341</f>
        <v>3.6748428687876793E-4</v>
      </c>
      <c r="AC506" s="2910">
        <f ca="1">+AC483/'VVP2'!AC$341</f>
        <v>3.4011818536291115E-4</v>
      </c>
      <c r="AD506" s="2910">
        <f ca="1">+AD483/'VVP2'!AD$341</f>
        <v>3.2140916337388461E-4</v>
      </c>
      <c r="AE506" s="2910">
        <f ca="1">+AE483/'VVP2'!AE$341</f>
        <v>3.044374822793128E-4</v>
      </c>
    </row>
    <row r="507" spans="1:31" ht="12.75" customHeight="1">
      <c r="A507" s="664"/>
      <c r="B507" s="664"/>
      <c r="C507" s="826" t="s">
        <v>1767</v>
      </c>
      <c r="D507" s="674" t="s">
        <v>687</v>
      </c>
      <c r="E507" s="783" t="s">
        <v>43</v>
      </c>
      <c r="F507" s="704" t="s">
        <v>320</v>
      </c>
      <c r="G507" s="839">
        <f>+G484/'VVP2'!G$341</f>
        <v>0</v>
      </c>
      <c r="H507" s="839">
        <f>+H484/'VVP2'!H$341</f>
        <v>0</v>
      </c>
      <c r="I507" s="839">
        <f>+I484/'VVP2'!I$341</f>
        <v>1.9361431005924428E-4</v>
      </c>
      <c r="J507" s="839">
        <f>+J484/'VVP2'!J$341</f>
        <v>2.0734205910630968E-5</v>
      </c>
      <c r="K507" s="839">
        <f>+K484/'VVP2'!K$341</f>
        <v>8.8655829730461102E-4</v>
      </c>
      <c r="L507" s="839">
        <f>+L484/'VVP2'!L$341</f>
        <v>7.5776956923081498E-4</v>
      </c>
      <c r="M507" s="839">
        <f>+M484/'VVP2'!M$341</f>
        <v>1.0976066820153126E-3</v>
      </c>
      <c r="N507" s="839">
        <f>+N484/'VVP2'!N$341</f>
        <v>4.734850353600834E-3</v>
      </c>
      <c r="O507" s="839">
        <f>+O484/'VVP2'!O$341</f>
        <v>4.0435600606653996E-3</v>
      </c>
      <c r="P507" s="839">
        <f>+P484/'VVP2'!P$341</f>
        <v>4.5882928348499703E-3</v>
      </c>
      <c r="Q507" s="839">
        <f>+Q484/'VVP2'!Q$341</f>
        <v>8.0391003863853339E-3</v>
      </c>
      <c r="R507" s="839">
        <f>+R484/'VVP2'!R$341</f>
        <v>1.0195529914224653E-2</v>
      </c>
      <c r="S507" s="839">
        <f>+S484/'VVP2'!S$341</f>
        <v>1.4473844602705312E-2</v>
      </c>
      <c r="T507" s="2910">
        <f>+T484/'VVP2'!T$341</f>
        <v>1.0999416447375666E-2</v>
      </c>
      <c r="U507" s="2910">
        <f>+U484/'VVP2'!U$341</f>
        <v>1.6331648030319119E-2</v>
      </c>
      <c r="V507" s="2910">
        <f>+V484/'VVP2'!V$341</f>
        <v>2.6350754932805663E-2</v>
      </c>
      <c r="W507" s="2910">
        <f>+W484/'VVP2'!W$341</f>
        <v>2.2453807027394121E-2</v>
      </c>
      <c r="X507" s="2910">
        <f>+X484/'VVP2'!X$341</f>
        <v>1.9450061891876331E-2</v>
      </c>
      <c r="Y507" s="2910">
        <f>+Y484/'VVP2'!Y$341</f>
        <v>2.1122637097339358E-2</v>
      </c>
      <c r="Z507" s="2910">
        <f>+Z484/'VVP2'!Z$341</f>
        <v>2.7531510916017923E-2</v>
      </c>
      <c r="AA507" s="2910">
        <f>+AA484/'VVP2'!AA$341</f>
        <v>1.8903662394216304E-2</v>
      </c>
      <c r="AB507" s="2910">
        <f>+AB484/'VVP2'!AB$341</f>
        <v>8.4381736780910054E-3</v>
      </c>
      <c r="AC507" s="2910">
        <f ca="1">+AC484/'VVP2'!AC$341</f>
        <v>7.6535974277285694E-3</v>
      </c>
      <c r="AD507" s="2910">
        <f ca="1">+AD484/'VVP2'!AD$341</f>
        <v>8.3898076733811815E-3</v>
      </c>
      <c r="AE507" s="2910">
        <f ca="1">+AE484/'VVP2'!AE$341</f>
        <v>8.1057283371820232E-3</v>
      </c>
    </row>
    <row r="508" spans="1:31" ht="12.75" customHeight="1">
      <c r="A508" s="664"/>
      <c r="B508" s="664"/>
      <c r="C508" s="826" t="s">
        <v>1769</v>
      </c>
      <c r="D508" s="806" t="s">
        <v>687</v>
      </c>
      <c r="E508" s="807" t="s">
        <v>1479</v>
      </c>
      <c r="F508" s="808" t="s">
        <v>1939</v>
      </c>
      <c r="G508" s="841">
        <f>+G485/'VVP2'!G$341</f>
        <v>0</v>
      </c>
      <c r="H508" s="841">
        <f>+H485/'VVP2'!H$341</f>
        <v>0</v>
      </c>
      <c r="I508" s="841">
        <f>+I485/'VVP2'!I$341</f>
        <v>1.9617308948734002E-4</v>
      </c>
      <c r="J508" s="841">
        <f>+J485/'VVP2'!J$341</f>
        <v>3.6092876955542796E-5</v>
      </c>
      <c r="K508" s="841">
        <f>+K485/'VVP2'!K$341</f>
        <v>9.3533080345624007E-4</v>
      </c>
      <c r="L508" s="841">
        <f>+L485/'VVP2'!L$341</f>
        <v>-2.0833052816464168E-3</v>
      </c>
      <c r="M508" s="841">
        <f>+M485/'VVP2'!M$341</f>
        <v>-2.0747443379557744E-3</v>
      </c>
      <c r="N508" s="841">
        <f>+N485/'VVP2'!N$341</f>
        <v>3.019305796475108E-3</v>
      </c>
      <c r="O508" s="841">
        <f>+O485/'VVP2'!O$341</f>
        <v>3.2036514427230319E-3</v>
      </c>
      <c r="P508" s="841">
        <f>+P485/'VVP2'!P$341</f>
        <v>3.9582798727033864E-3</v>
      </c>
      <c r="Q508" s="841">
        <f>+Q485/'VVP2'!Q$341</f>
        <v>7.6043871281070933E-3</v>
      </c>
      <c r="R508" s="841">
        <f>+R485/'VVP2'!R$341</f>
        <v>9.6236665866528664E-3</v>
      </c>
      <c r="S508" s="841">
        <f>+S485/'VVP2'!S$341</f>
        <v>1.4230048490633479E-2</v>
      </c>
      <c r="T508" s="2912">
        <f>+T485/'VVP2'!T$341</f>
        <v>1.0482232229476871E-2</v>
      </c>
      <c r="U508" s="2912">
        <f>+U485/'VVP2'!U$341</f>
        <v>1.4643498638565249E-2</v>
      </c>
      <c r="V508" s="2912">
        <f>+V485/'VVP2'!V$341</f>
        <v>2.5250056551278273E-2</v>
      </c>
      <c r="W508" s="2912">
        <f>+W485/'VVP2'!W$341</f>
        <v>2.1976114073333223E-2</v>
      </c>
      <c r="X508" s="2912">
        <f>+X485/'VVP2'!X$341</f>
        <v>1.906263793732128E-2</v>
      </c>
      <c r="Y508" s="2912">
        <f>+Y485/'VVP2'!Y$341</f>
        <v>2.0661248038810451E-2</v>
      </c>
      <c r="Z508" s="2912">
        <f>+Z485/'VVP2'!Z$341</f>
        <v>2.7153861215238998E-2</v>
      </c>
      <c r="AA508" s="2912">
        <f>+AA485/'VVP2'!AA$341</f>
        <v>1.8470815283564285E-2</v>
      </c>
      <c r="AB508" s="2912">
        <f>+AB485/'VVP2'!AB$341</f>
        <v>8.108705007096248E-3</v>
      </c>
      <c r="AC508" s="2912">
        <f ca="1">+AC485/'VVP2'!AC$341</f>
        <v>7.3486638822307876E-3</v>
      </c>
      <c r="AD508" s="2912">
        <f ca="1">+AD485/'VVP2'!AD$341</f>
        <v>8.101647733804597E-3</v>
      </c>
      <c r="AE508" s="2912">
        <f ca="1">+AE485/'VVP2'!AE$341</f>
        <v>7.8327843875522947E-3</v>
      </c>
    </row>
    <row r="509" spans="1:31" ht="12.75" customHeight="1">
      <c r="A509" s="664"/>
      <c r="B509" s="664"/>
      <c r="C509" s="826" t="s">
        <v>401</v>
      </c>
      <c r="D509" s="674" t="s">
        <v>687</v>
      </c>
      <c r="E509" s="783" t="s">
        <v>185</v>
      </c>
      <c r="F509" s="704" t="s">
        <v>1175</v>
      </c>
      <c r="G509" s="839">
        <f>+G486/'VVP2'!G$341</f>
        <v>1.2379371320607947E-2</v>
      </c>
      <c r="H509" s="839">
        <f>+H486/'VVP2'!H$341</f>
        <v>2.5326971479748613E-2</v>
      </c>
      <c r="I509" s="839">
        <f>+I486/'VVP2'!I$341</f>
        <v>0.12795944164021172</v>
      </c>
      <c r="J509" s="839">
        <f>+J486/'VVP2'!J$341</f>
        <v>1.1691788332939127E-2</v>
      </c>
      <c r="K509" s="839">
        <f>+K486/'VVP2'!K$341</f>
        <v>9.5373849126185479E-3</v>
      </c>
      <c r="L509" s="839">
        <f>+L486/'VVP2'!L$341</f>
        <v>2.1720982212986361E-2</v>
      </c>
      <c r="M509" s="839">
        <f>+M486/'VVP2'!M$341</f>
        <v>1.8282407577008591E-2</v>
      </c>
      <c r="N509" s="839">
        <f>+N486/'VVP2'!N$341</f>
        <v>8.7500666023337462E-3</v>
      </c>
      <c r="O509" s="839">
        <f>+O486/'VVP2'!O$341</f>
        <v>4.3069314058630428E-3</v>
      </c>
      <c r="P509" s="839">
        <f>+P486/'VVP2'!P$341</f>
        <v>5.7002739377509911E-3</v>
      </c>
      <c r="Q509" s="839">
        <f>+Q486/'VVP2'!Q$341</f>
        <v>3.9528909860087084E-3</v>
      </c>
      <c r="R509" s="839">
        <f>+R486/'VVP2'!R$341</f>
        <v>3.9673277910626525E-3</v>
      </c>
      <c r="S509" s="839">
        <f>+S486/'VVP2'!S$341</f>
        <v>8.8568923709034155E-3</v>
      </c>
      <c r="T509" s="2910">
        <f>+T486/'VVP2'!T$341</f>
        <v>3.9616127583933097E-3</v>
      </c>
      <c r="U509" s="2910">
        <f>+U486/'VVP2'!U$341</f>
        <v>4.1132630550343389E-3</v>
      </c>
      <c r="V509" s="2910">
        <f>+V486/'VVP2'!V$341</f>
        <v>4.3367873022578402E-3</v>
      </c>
      <c r="W509" s="2910">
        <f>+W486/'VVP2'!W$341</f>
        <v>4.4561014883300956E-2</v>
      </c>
      <c r="X509" s="2910">
        <f>+X486/'VVP2'!X$341</f>
        <v>2.7341575987871111E-3</v>
      </c>
      <c r="Y509" s="2910">
        <f>+Y486/'VVP2'!Y$341</f>
        <v>1.2894865938303158E-2</v>
      </c>
      <c r="Z509" s="2910">
        <f>+Z486/'VVP2'!Z$341</f>
        <v>1.3814978445800569E-2</v>
      </c>
      <c r="AA509" s="2910">
        <f>+AA486/'VVP2'!AA$341</f>
        <v>7.1382366717156589E-3</v>
      </c>
      <c r="AB509" s="2910">
        <f>+AB486/'VVP2'!AB$341</f>
        <v>4.7555725203474054E-3</v>
      </c>
      <c r="AC509" s="2910">
        <f ca="1">+AC486/'VVP2'!AC$341</f>
        <v>6.3380604977618183E-3</v>
      </c>
      <c r="AD509" s="2910">
        <f ca="1">+AD486/'VVP2'!AD$341</f>
        <v>4.3123825274854E-3</v>
      </c>
      <c r="AE509" s="2910">
        <f ca="1">+AE486/'VVP2'!AE$341</f>
        <v>4.0846715927814383E-3</v>
      </c>
    </row>
    <row r="510" spans="1:31" ht="12.75" customHeight="1">
      <c r="A510" s="664"/>
      <c r="B510" s="664"/>
      <c r="C510" s="826" t="s">
        <v>1769</v>
      </c>
      <c r="D510" s="806" t="s">
        <v>687</v>
      </c>
      <c r="E510" s="807" t="s">
        <v>2123</v>
      </c>
      <c r="F510" s="808" t="s">
        <v>2120</v>
      </c>
      <c r="G510" s="841">
        <f>+G487/'VVP2'!G$341</f>
        <v>-1.2379371320607947E-2</v>
      </c>
      <c r="H510" s="841">
        <f>+H487/'VVP2'!H$341</f>
        <v>-2.5326971479748613E-2</v>
      </c>
      <c r="I510" s="841">
        <f>+I487/'VVP2'!I$341</f>
        <v>-0.1277632685507244</v>
      </c>
      <c r="J510" s="841">
        <f>+J487/'VVP2'!J$341</f>
        <v>-1.1655695455983585E-2</v>
      </c>
      <c r="K510" s="841">
        <f>+K487/'VVP2'!K$341</f>
        <v>-8.602054109162309E-3</v>
      </c>
      <c r="L510" s="841">
        <f>+L487/'VVP2'!L$341</f>
        <v>-2.3804287494632776E-2</v>
      </c>
      <c r="M510" s="841">
        <f>+M487/'VVP2'!M$341</f>
        <v>-2.0357151914964365E-2</v>
      </c>
      <c r="N510" s="841">
        <f>+N487/'VVP2'!N$341</f>
        <v>-5.7307608058586373E-3</v>
      </c>
      <c r="O510" s="841">
        <f>+O487/'VVP2'!O$341</f>
        <v>-1.1032799631400111E-3</v>
      </c>
      <c r="P510" s="841">
        <f>+P487/'VVP2'!P$341</f>
        <v>-1.7419940650476042E-3</v>
      </c>
      <c r="Q510" s="841">
        <f>+Q487/'VVP2'!Q$341</f>
        <v>3.6514961420983853E-3</v>
      </c>
      <c r="R510" s="841">
        <f>+R487/'VVP2'!R$341</f>
        <v>5.6563387955902147E-3</v>
      </c>
      <c r="S510" s="841">
        <f>+S487/'VVP2'!S$341</f>
        <v>5.3731561197300614E-3</v>
      </c>
      <c r="T510" s="2912">
        <f>+T487/'VVP2'!T$341</f>
        <v>6.5206194710835611E-3</v>
      </c>
      <c r="U510" s="2912">
        <f>+U487/'VVP2'!U$341</f>
        <v>1.053023558353091E-2</v>
      </c>
      <c r="V510" s="2912">
        <f>+V487/'VVP2'!V$341</f>
        <v>2.0913269249020431E-2</v>
      </c>
      <c r="W510" s="2912">
        <f>+W487/'VVP2'!W$341</f>
        <v>-2.2584900809967737E-2</v>
      </c>
      <c r="X510" s="2912">
        <f>+X487/'VVP2'!X$341</f>
        <v>1.6328480338534169E-2</v>
      </c>
      <c r="Y510" s="2912">
        <f>+Y487/'VVP2'!Y$341</f>
        <v>7.7663821005072948E-3</v>
      </c>
      <c r="Z510" s="2912">
        <f>+Z487/'VVP2'!Z$341</f>
        <v>1.3338882769438431E-2</v>
      </c>
      <c r="AA510" s="2912">
        <f>+AA487/'VVP2'!AA$341</f>
        <v>1.1332578611848625E-2</v>
      </c>
      <c r="AB510" s="2912">
        <f>+AB487/'VVP2'!AB$341</f>
        <v>3.3531324867488422E-3</v>
      </c>
      <c r="AC510" s="2912">
        <f ca="1">+AC487/'VVP2'!AC$341</f>
        <v>1.0106033844689691E-3</v>
      </c>
      <c r="AD510" s="2912">
        <f ca="1">+AD487/'VVP2'!AD$341</f>
        <v>3.7892652063191961E-3</v>
      </c>
      <c r="AE510" s="2912">
        <f ca="1">+AE487/'VVP2'!AE$341</f>
        <v>3.7481127947708564E-3</v>
      </c>
    </row>
    <row r="511" spans="1:31" ht="12.75" customHeight="1">
      <c r="A511" s="664"/>
      <c r="B511" s="664"/>
      <c r="C511" s="826" t="s">
        <v>1767</v>
      </c>
      <c r="D511" s="674" t="s">
        <v>685</v>
      </c>
      <c r="E511" s="783" t="s">
        <v>2123</v>
      </c>
      <c r="F511" s="704" t="s">
        <v>2121</v>
      </c>
      <c r="G511" s="839">
        <f>+G488/'VVP2'!G$341</f>
        <v>2.3053552500924075E-3</v>
      </c>
      <c r="H511" s="839">
        <f>+H488/'VVP2'!H$341</f>
        <v>3.1212200758687068E-3</v>
      </c>
      <c r="I511" s="839">
        <f>+I488/'VVP2'!I$341</f>
        <v>0.12547401388905474</v>
      </c>
      <c r="J511" s="839">
        <f>+J488/'VVP2'!J$341</f>
        <v>3.8143259540038515E-3</v>
      </c>
      <c r="K511" s="839">
        <f>+K488/'VVP2'!K$341</f>
        <v>4.0544112371854171E-3</v>
      </c>
      <c r="L511" s="839">
        <f>+L488/'VVP2'!L$341</f>
        <v>1.4577152611649455E-2</v>
      </c>
      <c r="M511" s="839">
        <f>+M488/'VVP2'!M$341</f>
        <v>2.0021811234194604E-3</v>
      </c>
      <c r="N511" s="839">
        <f>+N488/'VVP2'!N$341</f>
        <v>1.6056918189968931E-3</v>
      </c>
      <c r="O511" s="839">
        <f>+O488/'VVP2'!O$341</f>
        <v>2.0511768319606827E-3</v>
      </c>
      <c r="P511" s="839">
        <f>+P488/'VVP2'!P$341</f>
        <v>4.6941174664376908E-3</v>
      </c>
      <c r="Q511" s="839">
        <f>+Q488/'VVP2'!Q$341</f>
        <v>3.4367582675272051E-3</v>
      </c>
      <c r="R511" s="839">
        <f>+R488/'VVP2'!R$341</f>
        <v>3.256340124539125E-3</v>
      </c>
      <c r="S511" s="839">
        <f>+S488/'VVP2'!S$341</f>
        <v>6.3304346388821748E-3</v>
      </c>
      <c r="T511" s="2910">
        <f>+T488/'VVP2'!T$341</f>
        <v>1.3597877189698644E-3</v>
      </c>
      <c r="U511" s="2910">
        <f>+U488/'VVP2'!U$341</f>
        <v>1.1401598377119284E-3</v>
      </c>
      <c r="V511" s="2910">
        <f>+V488/'VVP2'!V$341</f>
        <v>1.4032566400477241E-3</v>
      </c>
      <c r="W511" s="2910">
        <f>+W488/'VVP2'!W$341</f>
        <v>3.9534367673935873E-2</v>
      </c>
      <c r="X511" s="2910">
        <f>+X488/'VVP2'!X$341</f>
        <v>1.1628715911489818E-3</v>
      </c>
      <c r="Y511" s="2910">
        <f>+Y488/'VVP2'!Y$341</f>
        <v>2.0901238999818357E-3</v>
      </c>
      <c r="Z511" s="2910">
        <f>+Z488/'VVP2'!Z$341</f>
        <v>1.0856950340568383E-2</v>
      </c>
      <c r="AA511" s="2910">
        <f>+AA488/'VVP2'!AA$341</f>
        <v>3.2150921496763934E-3</v>
      </c>
      <c r="AB511" s="2910">
        <f>+AB488/'VVP2'!AB$341</f>
        <v>1.4239046330432768E-3</v>
      </c>
      <c r="AC511" s="2910">
        <f ca="1">+AC488/'VVP2'!AC$341</f>
        <v>1.2256174367386457E-3</v>
      </c>
      <c r="AD511" s="2910">
        <f ca="1">+AD488/'VVP2'!AD$341</f>
        <v>1.0771254330920567E-3</v>
      </c>
      <c r="AE511" s="2910">
        <f ca="1">+AE488/'VVP2'!AE$341</f>
        <v>9.4883150468344751E-4</v>
      </c>
    </row>
    <row r="512" spans="1:31" ht="12.75" customHeight="1">
      <c r="A512" s="664"/>
      <c r="B512" s="664"/>
      <c r="C512" s="827" t="s">
        <v>1767</v>
      </c>
      <c r="D512" s="828" t="s">
        <v>686</v>
      </c>
      <c r="E512" s="829" t="s">
        <v>2123</v>
      </c>
      <c r="F512" s="830" t="s">
        <v>2122</v>
      </c>
      <c r="G512" s="840">
        <f>+G489/'VVP2'!G$341</f>
        <v>4.2565358109248079E-3</v>
      </c>
      <c r="H512" s="840">
        <f>+H489/'VVP2'!H$341</f>
        <v>2.2861495859133326E-2</v>
      </c>
      <c r="I512" s="840">
        <f>+I489/'VVP2'!I$341</f>
        <v>2.6961005907368773E-3</v>
      </c>
      <c r="J512" s="840">
        <f>+J489/'VVP2'!J$341</f>
        <v>7.6885507250828598E-3</v>
      </c>
      <c r="K512" s="840">
        <f>+K489/'VVP2'!K$341</f>
        <v>4.2479279551418808E-3</v>
      </c>
      <c r="L512" s="840">
        <f>+L489/'VVP2'!L$341</f>
        <v>9.4126500391227517E-3</v>
      </c>
      <c r="M512" s="840">
        <f>+M489/'VVP2'!M$341</f>
        <v>1.8467690348106167E-2</v>
      </c>
      <c r="N512" s="840">
        <f>+N489/'VVP2'!N$341</f>
        <v>8.0074094685166665E-3</v>
      </c>
      <c r="O512" s="840">
        <f>+O489/'VVP2'!O$341</f>
        <v>2.6133156712549671E-3</v>
      </c>
      <c r="P512" s="840">
        <f>+P489/'VVP2'!P$341</f>
        <v>4.1578662245061329E-3</v>
      </c>
      <c r="Q512" s="840">
        <f>+Q489/'VVP2'!Q$341</f>
        <v>2.6235159398829179E-3</v>
      </c>
      <c r="R512" s="840">
        <f>+R489/'VVP2'!R$341</f>
        <v>5.9786089061172349E-3</v>
      </c>
      <c r="S512" s="840">
        <f>+S489/'VVP2'!S$341</f>
        <v>9.3499941117040752E-3</v>
      </c>
      <c r="T512" s="2911">
        <f>+T489/'VVP2'!T$341</f>
        <v>1.1053551046174059E-2</v>
      </c>
      <c r="U512" s="2911">
        <f>+U489/'VVP2'!U$341</f>
        <v>3.133044883908636E-2</v>
      </c>
      <c r="V512" s="2911">
        <f>+V489/'VVP2'!V$341</f>
        <v>1.5425119328549012E-2</v>
      </c>
      <c r="W512" s="2911">
        <f>+W489/'VVP2'!W$341</f>
        <v>1.5146447742181374E-2</v>
      </c>
      <c r="X512" s="2911">
        <f>+X489/'VVP2'!X$341</f>
        <v>1.1418211564665015E-2</v>
      </c>
      <c r="Y512" s="2911">
        <f>+Y489/'VVP2'!Y$341</f>
        <v>2.1289400780614219E-2</v>
      </c>
      <c r="Z512" s="2911">
        <f>+Z489/'VVP2'!Z$341</f>
        <v>2.4868547276492067E-3</v>
      </c>
      <c r="AA512" s="2911">
        <f>+AA489/'VVP2'!AA$341</f>
        <v>1.5304351636442629E-2</v>
      </c>
      <c r="AB512" s="2911">
        <f>+AB489/'VVP2'!AB$341</f>
        <v>9.9306098635782471E-3</v>
      </c>
      <c r="AC512" s="2911">
        <f ca="1">+AC489/'VVP2'!AC$341</f>
        <v>8.5477133256018877E-3</v>
      </c>
      <c r="AD512" s="2911">
        <f ca="1">+AD489/'VVP2'!AD$341</f>
        <v>7.5120989158617832E-3</v>
      </c>
      <c r="AE512" s="2911">
        <f ca="1">+AE489/'VVP2'!AE$341</f>
        <v>6.6173501234733723E-3</v>
      </c>
    </row>
    <row r="513" spans="1:113" ht="12.75" customHeight="1">
      <c r="A513" s="664"/>
      <c r="B513" s="664"/>
      <c r="C513" s="774" t="s">
        <v>1769</v>
      </c>
      <c r="D513" s="806" t="s">
        <v>688</v>
      </c>
      <c r="E513" s="807" t="s">
        <v>206</v>
      </c>
      <c r="F513" s="808" t="s">
        <v>1477</v>
      </c>
      <c r="G513" s="841">
        <f>+G490/'VVP2'!G$341</f>
        <v>-5.817480259590729E-3</v>
      </c>
      <c r="H513" s="841">
        <f>+H490/'VVP2'!H$341</f>
        <v>6.5574445525341894E-4</v>
      </c>
      <c r="I513" s="841">
        <f>+I490/'VVP2'!I$341</f>
        <v>4.0684592906722254E-4</v>
      </c>
      <c r="J513" s="841">
        <f>+J490/'VVP2'!J$341</f>
        <v>-1.5205084334462708E-4</v>
      </c>
      <c r="K513" s="841">
        <f>+K490/'VVP2'!K$341</f>
        <v>-2.997149168350105E-4</v>
      </c>
      <c r="L513" s="841">
        <f>+L490/'VVP2'!L$341</f>
        <v>1.8626320112386278E-4</v>
      </c>
      <c r="M513" s="841">
        <f>+M490/'VVP2'!M$341</f>
        <v>1.1342405378977239E-4</v>
      </c>
      <c r="N513" s="841">
        <f>+N490/'VVP2'!N$341</f>
        <v>3.8823404816549219E-3</v>
      </c>
      <c r="O513" s="841">
        <f>+O490/'VVP2'!O$341</f>
        <v>3.5612125400756398E-3</v>
      </c>
      <c r="P513" s="841">
        <f>+P490/'VVP2'!P$341</f>
        <v>7.1099896258962183E-3</v>
      </c>
      <c r="Q513" s="841">
        <f>+Q490/'VVP2'!Q$341</f>
        <v>9.7117703495085087E-3</v>
      </c>
      <c r="R513" s="841">
        <f>+R490/'VVP2'!R$341</f>
        <v>1.4891287826246574E-2</v>
      </c>
      <c r="S513" s="841">
        <f>+S490/'VVP2'!S$341</f>
        <v>2.1053929215107368E-2</v>
      </c>
      <c r="T513" s="2912">
        <f>+T490/'VVP2'!T$341</f>
        <v>1.8933958236227486E-2</v>
      </c>
      <c r="U513" s="2912">
        <f>+U490/'VVP2'!U$341</f>
        <v>4.3000844260329199E-2</v>
      </c>
      <c r="V513" s="2912">
        <f>+V490/'VVP2'!V$341</f>
        <v>3.774128842721796E-2</v>
      </c>
      <c r="W513" s="2912">
        <f>+W490/'VVP2'!W$341</f>
        <v>3.2095914606149509E-2</v>
      </c>
      <c r="X513" s="2912">
        <f>+X490/'VVP2'!X$341</f>
        <v>2.8909563494348166E-2</v>
      </c>
      <c r="Y513" s="2912">
        <f>+Y490/'VVP2'!Y$341</f>
        <v>3.114590678110335E-2</v>
      </c>
      <c r="Z513" s="2912">
        <f>+Z490/'VVP2'!Z$341</f>
        <v>2.6682687837656021E-2</v>
      </c>
      <c r="AA513" s="2912">
        <f>+AA490/'VVP2'!AA$341</f>
        <v>2.9852022397967644E-2</v>
      </c>
      <c r="AB513" s="2912">
        <f>+AB490/'VVP2'!AB$341</f>
        <v>1.4707646983370366E-2</v>
      </c>
      <c r="AC513" s="2912">
        <f ca="1">+AC490/'VVP2'!AC$341</f>
        <v>1.0783934146809502E-2</v>
      </c>
      <c r="AD513" s="2912">
        <f ca="1">+AD490/'VVP2'!AD$341</f>
        <v>1.2378489555273037E-2</v>
      </c>
      <c r="AE513" s="2912">
        <f ca="1">+AE490/'VVP2'!AE$341</f>
        <v>1.1314294422927678E-2</v>
      </c>
    </row>
    <row r="514" spans="1:113" ht="30" customHeight="1">
      <c r="AB514" s="2221"/>
      <c r="AC514" s="2221"/>
      <c r="AD514" s="2221"/>
      <c r="AE514" s="2221"/>
    </row>
    <row r="515" spans="1:113" ht="30" customHeight="1">
      <c r="AB515" s="2221"/>
      <c r="AC515" s="2221"/>
      <c r="AD515" s="2221"/>
      <c r="AE515" s="2221"/>
    </row>
    <row r="516" spans="1:113" ht="22.5" customHeight="1">
      <c r="A516" s="574"/>
      <c r="B516" s="574"/>
      <c r="C516" s="3751" t="s">
        <v>1478</v>
      </c>
      <c r="D516" s="3751"/>
      <c r="E516" s="3751"/>
      <c r="F516" s="3751"/>
      <c r="AB516" s="2221"/>
      <c r="AC516" s="2221"/>
      <c r="AD516" s="2221"/>
      <c r="AE516" s="2221"/>
    </row>
    <row r="517" spans="1:113" ht="12.75" customHeight="1">
      <c r="A517" s="664"/>
      <c r="B517" s="664"/>
      <c r="C517" s="774"/>
      <c r="AB517" s="2221"/>
      <c r="AC517" s="2221"/>
      <c r="AD517" s="2221"/>
      <c r="AE517" s="2221"/>
    </row>
    <row r="518" spans="1:113" ht="12.75" customHeight="1">
      <c r="A518" s="664"/>
      <c r="B518" s="664"/>
      <c r="C518" s="774"/>
      <c r="D518" s="775"/>
      <c r="E518" s="776" t="s">
        <v>1384</v>
      </c>
      <c r="F518" s="777"/>
      <c r="G518" s="778">
        <f>+InputY!$G$3</f>
        <v>1995</v>
      </c>
      <c r="H518" s="778">
        <f>+G518+1</f>
        <v>1996</v>
      </c>
      <c r="I518" s="778">
        <f t="shared" ref="I518:O518" si="474">+H518+1</f>
        <v>1997</v>
      </c>
      <c r="J518" s="778">
        <f t="shared" si="474"/>
        <v>1998</v>
      </c>
      <c r="K518" s="778">
        <f>+J518+1</f>
        <v>1999</v>
      </c>
      <c r="L518" s="778">
        <f t="shared" si="474"/>
        <v>2000</v>
      </c>
      <c r="M518" s="778">
        <f t="shared" si="474"/>
        <v>2001</v>
      </c>
      <c r="N518" s="778">
        <f t="shared" si="474"/>
        <v>2002</v>
      </c>
      <c r="O518" s="778">
        <f t="shared" si="474"/>
        <v>2003</v>
      </c>
      <c r="P518" s="778">
        <f t="shared" ref="P518:W518" si="475">+O518+1</f>
        <v>2004</v>
      </c>
      <c r="Q518" s="778">
        <f t="shared" si="475"/>
        <v>2005</v>
      </c>
      <c r="R518" s="778">
        <f t="shared" si="475"/>
        <v>2006</v>
      </c>
      <c r="S518" s="778">
        <f t="shared" si="475"/>
        <v>2007</v>
      </c>
      <c r="T518" s="2222">
        <f t="shared" si="475"/>
        <v>2008</v>
      </c>
      <c r="U518" s="2222">
        <f t="shared" si="475"/>
        <v>2009</v>
      </c>
      <c r="V518" s="2222">
        <f t="shared" si="475"/>
        <v>2010</v>
      </c>
      <c r="W518" s="2222">
        <f t="shared" si="475"/>
        <v>2011</v>
      </c>
      <c r="X518" s="2222">
        <f t="shared" ref="X518:AE518" si="476">+W518+1</f>
        <v>2012</v>
      </c>
      <c r="Y518" s="2222">
        <f t="shared" si="476"/>
        <v>2013</v>
      </c>
      <c r="Z518" s="2222">
        <f t="shared" si="476"/>
        <v>2014</v>
      </c>
      <c r="AA518" s="2222">
        <f t="shared" si="476"/>
        <v>2015</v>
      </c>
      <c r="AB518" s="2222">
        <f t="shared" si="476"/>
        <v>2016</v>
      </c>
      <c r="AC518" s="2222">
        <f t="shared" si="476"/>
        <v>2017</v>
      </c>
      <c r="AD518" s="2222">
        <f t="shared" si="476"/>
        <v>2018</v>
      </c>
      <c r="AE518" s="2222">
        <f t="shared" si="476"/>
        <v>2019</v>
      </c>
    </row>
    <row r="519" spans="1:113" ht="12.75" customHeight="1">
      <c r="A519" s="664">
        <f>+ROW(InputY!A205)</f>
        <v>205</v>
      </c>
      <c r="B519" s="664" t="s">
        <v>1468</v>
      </c>
      <c r="C519" s="779" t="s">
        <v>401</v>
      </c>
      <c r="D519" s="668" t="s">
        <v>685</v>
      </c>
      <c r="E519" s="700" t="s">
        <v>375</v>
      </c>
      <c r="F519" s="701" t="str">
        <f>+InputY!B205</f>
        <v>HNonFinN</v>
      </c>
      <c r="G519" s="780">
        <f>+InputY!G205/1000</f>
        <v>0</v>
      </c>
      <c r="H519" s="780">
        <f>+InputY!H205/1000</f>
        <v>0</v>
      </c>
      <c r="I519" s="780">
        <f>+InputY!I205/1000</f>
        <v>-6.4200000000000004E-3</v>
      </c>
      <c r="J519" s="780">
        <f>+InputY!J205/1000</f>
        <v>-1.0400000000000001E-3</v>
      </c>
      <c r="K519" s="780">
        <f>+InputY!K205/1000</f>
        <v>-3.0099999999999997E-3</v>
      </c>
      <c r="L519" s="780">
        <f>+InputY!L205/1000</f>
        <v>-1.6600000000000002E-3</v>
      </c>
      <c r="M519" s="780">
        <f>+InputY!M205/1000</f>
        <v>-1.439E-2</v>
      </c>
      <c r="N519" s="780">
        <f>+InputY!N205/1000</f>
        <v>-1.6190000000000003E-2</v>
      </c>
      <c r="O519" s="780">
        <f>+InputY!O205/1000</f>
        <v>-1.6879999999999999E-2</v>
      </c>
      <c r="P519" s="780">
        <f>+InputY!P205/1000</f>
        <v>-4.5679999999999998E-2</v>
      </c>
      <c r="Q519" s="780">
        <f>+InputY!Q205/1000</f>
        <v>-0.14876</v>
      </c>
      <c r="R519" s="780">
        <f>+InputY!R205/1000</f>
        <v>-0.22446000000000002</v>
      </c>
      <c r="S519" s="780">
        <f>+InputY!S205/1000</f>
        <v>-0.38224000000000002</v>
      </c>
      <c r="T519" s="780">
        <f>+InputY!T205/1000</f>
        <v>-0.16441999999999998</v>
      </c>
      <c r="U519" s="780">
        <f>+InputY!U205/1000</f>
        <v>2.172E-2</v>
      </c>
      <c r="V519" s="780">
        <f>+InputY!V205/1000</f>
        <v>3.7149999999999996E-2</v>
      </c>
      <c r="W519" s="780">
        <f>+InputY!W205/1000</f>
        <v>-2.291E-2</v>
      </c>
      <c r="X519" s="780">
        <f>+InputY!X205/1000</f>
        <v>-4.2200000000000001E-2</v>
      </c>
      <c r="Y519" s="780">
        <f>+InputY!Y205/1000</f>
        <v>2.3190000000000002E-2</v>
      </c>
      <c r="Z519" s="780">
        <f>+InputY!Z205/1000</f>
        <v>4.1369999999999997E-2</v>
      </c>
      <c r="AA519" s="3689">
        <f>+InputY!AA205/1000</f>
        <v>-3.4590000000000003E-2</v>
      </c>
      <c r="AB519" s="3689">
        <f>+InputY!AB205/1000</f>
        <v>-7.7609999999999998E-2</v>
      </c>
      <c r="AC519" s="2232">
        <f t="shared" ref="AC519:AE521" si="477">+AB519*(1+AC526/100)</f>
        <v>-7.7609999999999998E-2</v>
      </c>
      <c r="AD519" s="2232">
        <f t="shared" si="477"/>
        <v>-7.7609999999999998E-2</v>
      </c>
      <c r="AE519" s="2232">
        <f t="shared" si="477"/>
        <v>-7.7609999999999998E-2</v>
      </c>
    </row>
    <row r="520" spans="1:113" ht="12.75" customHeight="1">
      <c r="A520" s="664">
        <f>+ROW(InputY!A132)</f>
        <v>132</v>
      </c>
      <c r="B520" s="664" t="s">
        <v>669</v>
      </c>
      <c r="C520" s="782" t="s">
        <v>401</v>
      </c>
      <c r="D520" s="674" t="s">
        <v>686</v>
      </c>
      <c r="E520" s="783" t="s">
        <v>375</v>
      </c>
      <c r="F520" s="704" t="str">
        <f>+InputY!B132</f>
        <v>ENonFinN</v>
      </c>
      <c r="G520" s="706">
        <f>+InputY!G132/1000</f>
        <v>0</v>
      </c>
      <c r="H520" s="706">
        <f>+InputY!H132/1000</f>
        <v>0</v>
      </c>
      <c r="I520" s="706">
        <f>+InputY!I132/1000</f>
        <v>6.4200000000000004E-3</v>
      </c>
      <c r="J520" s="706">
        <f>+InputY!J132/1000</f>
        <v>1.3600000000000001E-3</v>
      </c>
      <c r="K520" s="706">
        <f>+InputY!K132/1000</f>
        <v>4.2699999999999995E-3</v>
      </c>
      <c r="L520" s="706">
        <f>+InputY!L132/1000</f>
        <v>6.5300000000000002E-3</v>
      </c>
      <c r="M520" s="706">
        <f>+InputY!M132/1000</f>
        <v>1.7149999999999999E-2</v>
      </c>
      <c r="N520" s="706">
        <f>+InputY!N132/1000</f>
        <v>1.9890000000000001E-2</v>
      </c>
      <c r="O520" s="706">
        <f>+InputY!O132/1000</f>
        <v>2.3649999999999997E-2</v>
      </c>
      <c r="P520" s="706">
        <f>+InputY!P132/1000</f>
        <v>6.8229999999999999E-2</v>
      </c>
      <c r="Q520" s="706">
        <f>+InputY!Q132/1000</f>
        <v>0.18268000000000001</v>
      </c>
      <c r="R520" s="706">
        <f>+InputY!R132/1000</f>
        <v>0.26053999999999999</v>
      </c>
      <c r="S520" s="706">
        <f>+InputY!S132/1000</f>
        <v>0.40805999999999998</v>
      </c>
      <c r="T520" s="706">
        <f>+InputY!T132/1000</f>
        <v>0.16866999999999999</v>
      </c>
      <c r="U520" s="706">
        <f>+InputY!U132/1000</f>
        <v>-2.4570000000000002E-2</v>
      </c>
      <c r="V520" s="706">
        <f>+InputY!V132/1000</f>
        <v>-1.6739999999999998E-2</v>
      </c>
      <c r="W520" s="706">
        <f>+InputY!W132/1000</f>
        <v>0.12236</v>
      </c>
      <c r="X520" s="706">
        <f>+InputY!X132/1000</f>
        <v>0.1183</v>
      </c>
      <c r="Y520" s="706">
        <f>+InputY!Y132/1000</f>
        <v>9.484999999999999E-2</v>
      </c>
      <c r="Z520" s="706">
        <f>+InputY!Z132/1000</f>
        <v>3.7079999999999995E-2</v>
      </c>
      <c r="AA520" s="706">
        <f>+InputY!AA132/1000</f>
        <v>8.6230000000000001E-2</v>
      </c>
      <c r="AB520" s="706">
        <f>+InputY!AB132/1000</f>
        <v>0.10553</v>
      </c>
      <c r="AC520" s="2217">
        <f t="shared" si="477"/>
        <v>0.10553</v>
      </c>
      <c r="AD520" s="2217">
        <f t="shared" si="477"/>
        <v>0.10553</v>
      </c>
      <c r="AE520" s="2217">
        <f t="shared" si="477"/>
        <v>0.10553</v>
      </c>
    </row>
    <row r="521" spans="1:113" ht="12.75" customHeight="1">
      <c r="A521" s="664">
        <f>+ROW(InputY!A173)</f>
        <v>173</v>
      </c>
      <c r="B521" s="664" t="s">
        <v>672</v>
      </c>
      <c r="C521" s="782" t="s">
        <v>401</v>
      </c>
      <c r="D521" s="674" t="s">
        <v>687</v>
      </c>
      <c r="E521" s="783" t="s">
        <v>375</v>
      </c>
      <c r="F521" s="704" t="str">
        <f>+InputY!B173</f>
        <v>ANonFinN</v>
      </c>
      <c r="G521" s="706">
        <f>+InputY!G173/1000</f>
        <v>0</v>
      </c>
      <c r="H521" s="706">
        <f>+InputY!H173/1000</f>
        <v>0</v>
      </c>
      <c r="I521" s="706">
        <f>+InputY!I173/1000</f>
        <v>0</v>
      </c>
      <c r="J521" s="706">
        <f>+InputY!J173/1000</f>
        <v>-3.2000000000000003E-4</v>
      </c>
      <c r="K521" s="706">
        <f>+InputY!K173/1000</f>
        <v>-1.2600000000000001E-3</v>
      </c>
      <c r="L521" s="706">
        <f>+InputY!L173/1000</f>
        <v>-4.8700000000000002E-3</v>
      </c>
      <c r="M521" s="706">
        <f>+InputY!M173/1000</f>
        <v>-2.7599999999999999E-3</v>
      </c>
      <c r="N521" s="706">
        <f>+InputY!N173/1000</f>
        <v>-3.7000000000000002E-3</v>
      </c>
      <c r="O521" s="706">
        <f>+InputY!O173/1000</f>
        <v>-6.77E-3</v>
      </c>
      <c r="P521" s="706">
        <f>+InputY!P173/1000</f>
        <v>-2.2550000000000001E-2</v>
      </c>
      <c r="Q521" s="706">
        <f>+InputY!Q173/1000</f>
        <v>-3.3919999999999999E-2</v>
      </c>
      <c r="R521" s="706">
        <f>+InputY!R173/1000</f>
        <v>-3.6069999999999998E-2</v>
      </c>
      <c r="S521" s="706">
        <f>+InputY!S173/1000</f>
        <v>-2.5829999999999999E-2</v>
      </c>
      <c r="T521" s="706">
        <f>+InputY!T173/1000</f>
        <v>-4.2500000000000003E-3</v>
      </c>
      <c r="U521" s="706">
        <f>+InputY!U173/1000</f>
        <v>2.8500000000000001E-3</v>
      </c>
      <c r="V521" s="706">
        <f>+InputY!V173/1000</f>
        <v>-2.0399999999999998E-2</v>
      </c>
      <c r="W521" s="706">
        <f>+InputY!W173/1000</f>
        <v>-9.9449999999999997E-2</v>
      </c>
      <c r="X521" s="706">
        <f>+InputY!X173/1000</f>
        <v>-7.6109999999999997E-2</v>
      </c>
      <c r="Y521" s="706">
        <f>+InputY!Y173/1000</f>
        <v>-0.11804000000000001</v>
      </c>
      <c r="Z521" s="706">
        <f>+InputY!Z173/1000</f>
        <v>-7.8439999999999996E-2</v>
      </c>
      <c r="AA521" s="706">
        <f>+InputY!AA173/1000</f>
        <v>-5.1639999999999998E-2</v>
      </c>
      <c r="AB521" s="706">
        <f>+InputY!AB173/1000</f>
        <v>-2.792E-2</v>
      </c>
      <c r="AC521" s="2217">
        <f t="shared" si="477"/>
        <v>0</v>
      </c>
      <c r="AD521" s="2217">
        <f t="shared" si="477"/>
        <v>0</v>
      </c>
      <c r="AE521" s="2217">
        <f t="shared" si="477"/>
        <v>0</v>
      </c>
    </row>
    <row r="522" spans="1:113" ht="12.75" customHeight="1">
      <c r="A522" s="1953">
        <f>+ROW(InputY!A257)</f>
        <v>257</v>
      </c>
      <c r="B522" s="664" t="s">
        <v>2102</v>
      </c>
      <c r="C522" s="784" t="s">
        <v>1769</v>
      </c>
      <c r="D522" s="752" t="s">
        <v>688</v>
      </c>
      <c r="E522" s="753" t="s">
        <v>375</v>
      </c>
      <c r="F522" s="754" t="s">
        <v>887</v>
      </c>
      <c r="G522" s="785" t="e">
        <f>+InputY!G257/1000</f>
        <v>#VALUE!</v>
      </c>
      <c r="H522" s="785" t="e">
        <f>+InputY!H257/1000</f>
        <v>#VALUE!</v>
      </c>
      <c r="I522" s="785" t="e">
        <f>+InputY!I257/1000</f>
        <v>#VALUE!</v>
      </c>
      <c r="J522" s="785" t="e">
        <f>+InputY!J257/1000</f>
        <v>#VALUE!</v>
      </c>
      <c r="K522" s="785" t="e">
        <f>+InputY!K257/1000</f>
        <v>#VALUE!</v>
      </c>
      <c r="L522" s="785" t="e">
        <f>+InputY!L257/1000</f>
        <v>#VALUE!</v>
      </c>
      <c r="M522" s="785" t="e">
        <f>+InputY!M257/1000</f>
        <v>#VALUE!</v>
      </c>
      <c r="N522" s="785" t="e">
        <f>+InputY!N257/1000</f>
        <v>#VALUE!</v>
      </c>
      <c r="O522" s="785" t="e">
        <f>+InputY!O257/1000</f>
        <v>#VALUE!</v>
      </c>
      <c r="P522" s="785" t="e">
        <f>+InputY!P257/1000</f>
        <v>#VALUE!</v>
      </c>
      <c r="Q522" s="785" t="e">
        <f>+InputY!Q257/1000</f>
        <v>#VALUE!</v>
      </c>
      <c r="R522" s="785" t="e">
        <f>+InputY!R257/1000</f>
        <v>#VALUE!</v>
      </c>
      <c r="S522" s="785" t="e">
        <f>+InputY!S257/1000</f>
        <v>#VALUE!</v>
      </c>
      <c r="T522" s="2273">
        <f t="shared" ref="T522:Y522" si="478">-T519-T520-T521</f>
        <v>0</v>
      </c>
      <c r="U522" s="2273">
        <f t="shared" si="478"/>
        <v>0</v>
      </c>
      <c r="V522" s="2273">
        <f t="shared" si="478"/>
        <v>-9.9999999999995925E-6</v>
      </c>
      <c r="W522" s="2273">
        <f t="shared" si="478"/>
        <v>0</v>
      </c>
      <c r="X522" s="2273">
        <f t="shared" si="478"/>
        <v>9.9999999999961231E-6</v>
      </c>
      <c r="Y522" s="2273">
        <f t="shared" si="478"/>
        <v>0</v>
      </c>
      <c r="Z522" s="2273">
        <f t="shared" ref="Z522:AE522" si="479">-Z519-Z520-Z521</f>
        <v>-9.9999999999961231E-6</v>
      </c>
      <c r="AA522" s="2273">
        <f t="shared" si="479"/>
        <v>0</v>
      </c>
      <c r="AB522" s="2273">
        <f t="shared" si="479"/>
        <v>0</v>
      </c>
      <c r="AC522" s="2273">
        <f t="shared" si="479"/>
        <v>-2.792E-2</v>
      </c>
      <c r="AD522" s="2273">
        <f t="shared" si="479"/>
        <v>-2.792E-2</v>
      </c>
      <c r="AE522" s="2273">
        <f t="shared" si="479"/>
        <v>-2.792E-2</v>
      </c>
    </row>
    <row r="523" spans="1:113" s="1972" customFormat="1" ht="12.75" customHeight="1">
      <c r="A523" s="998"/>
      <c r="B523" s="998"/>
      <c r="C523" s="1595"/>
      <c r="D523" s="1011"/>
      <c r="E523" s="1973" t="s">
        <v>737</v>
      </c>
      <c r="F523" s="1974"/>
      <c r="G523" s="1002" t="e">
        <f>ABS(-G519-G520-G521-G522)</f>
        <v>#VALUE!</v>
      </c>
      <c r="H523" s="1002" t="e">
        <f t="shared" ref="H523:Y523" si="480">ABS(-H519-H520-H521-H522)</f>
        <v>#VALUE!</v>
      </c>
      <c r="I523" s="1002" t="e">
        <f t="shared" si="480"/>
        <v>#VALUE!</v>
      </c>
      <c r="J523" s="1002" t="e">
        <f t="shared" si="480"/>
        <v>#VALUE!</v>
      </c>
      <c r="K523" s="1002" t="e">
        <f t="shared" si="480"/>
        <v>#VALUE!</v>
      </c>
      <c r="L523" s="1002" t="e">
        <f t="shared" si="480"/>
        <v>#VALUE!</v>
      </c>
      <c r="M523" s="1002" t="e">
        <f t="shared" si="480"/>
        <v>#VALUE!</v>
      </c>
      <c r="N523" s="1002" t="e">
        <f t="shared" si="480"/>
        <v>#VALUE!</v>
      </c>
      <c r="O523" s="1002" t="e">
        <f t="shared" si="480"/>
        <v>#VALUE!</v>
      </c>
      <c r="P523" s="1002" t="e">
        <f t="shared" si="480"/>
        <v>#VALUE!</v>
      </c>
      <c r="Q523" s="1002" t="e">
        <f t="shared" si="480"/>
        <v>#VALUE!</v>
      </c>
      <c r="R523" s="1002" t="e">
        <f t="shared" si="480"/>
        <v>#VALUE!</v>
      </c>
      <c r="S523" s="1002" t="e">
        <f t="shared" si="480"/>
        <v>#VALUE!</v>
      </c>
      <c r="T523" s="2906">
        <f t="shared" si="480"/>
        <v>3.4694469519536142E-18</v>
      </c>
      <c r="U523" s="2906">
        <f t="shared" si="480"/>
        <v>1.7347234759768071E-18</v>
      </c>
      <c r="V523" s="2906">
        <f t="shared" si="480"/>
        <v>0</v>
      </c>
      <c r="W523" s="2906">
        <f t="shared" si="480"/>
        <v>0</v>
      </c>
      <c r="X523" s="2906">
        <f t="shared" si="480"/>
        <v>0</v>
      </c>
      <c r="Y523" s="2906">
        <f t="shared" si="480"/>
        <v>1.3877787807814457E-17</v>
      </c>
      <c r="Z523" s="2906">
        <f t="shared" ref="Z523:AE523" si="481">ABS(-Z519-Z520-Z521-Z522)</f>
        <v>0</v>
      </c>
      <c r="AA523" s="2906">
        <f t="shared" si="481"/>
        <v>0</v>
      </c>
      <c r="AB523" s="2921">
        <f t="shared" si="481"/>
        <v>0</v>
      </c>
      <c r="AC523" s="2906">
        <f t="shared" si="481"/>
        <v>0</v>
      </c>
      <c r="AD523" s="2906">
        <f t="shared" si="481"/>
        <v>0</v>
      </c>
      <c r="AE523" s="2906">
        <f t="shared" si="481"/>
        <v>0</v>
      </c>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row>
    <row r="524" spans="1:113" ht="12.75" customHeight="1">
      <c r="A524" s="664"/>
      <c r="B524" s="664"/>
      <c r="C524" s="774"/>
      <c r="E524" s="786"/>
      <c r="F524" s="787"/>
      <c r="G524" s="703"/>
      <c r="H524" s="788"/>
      <c r="I524" s="703"/>
      <c r="J524" s="703"/>
      <c r="K524" s="703"/>
      <c r="L524" s="703"/>
      <c r="M524" s="703"/>
      <c r="N524" s="703"/>
      <c r="O524" s="703"/>
      <c r="P524" s="703"/>
      <c r="Q524" s="703"/>
      <c r="R524" s="703"/>
      <c r="S524" s="703"/>
      <c r="T524" s="2254"/>
      <c r="U524" s="2254"/>
      <c r="V524" s="2254"/>
      <c r="W524" s="2254"/>
      <c r="X524" s="2254"/>
      <c r="Y524" s="2254"/>
      <c r="Z524" s="2254"/>
      <c r="AA524" s="2254"/>
      <c r="AB524" s="2254"/>
      <c r="AC524" s="2254"/>
      <c r="AD524" s="2254"/>
      <c r="AE524" s="2254"/>
    </row>
    <row r="525" spans="1:113" ht="12.75" customHeight="1">
      <c r="A525" s="664"/>
      <c r="B525" s="664"/>
      <c r="C525" s="774"/>
      <c r="D525" s="742"/>
      <c r="E525" s="743" t="s">
        <v>1311</v>
      </c>
      <c r="F525" s="744"/>
      <c r="G525" s="745">
        <f>+G518</f>
        <v>1995</v>
      </c>
      <c r="H525" s="745">
        <f>+G525+1</f>
        <v>1996</v>
      </c>
      <c r="I525" s="745">
        <f t="shared" ref="I525:O525" si="482">+H525+1</f>
        <v>1997</v>
      </c>
      <c r="J525" s="745">
        <f t="shared" si="482"/>
        <v>1998</v>
      </c>
      <c r="K525" s="745">
        <f>+J525+1</f>
        <v>1999</v>
      </c>
      <c r="L525" s="745">
        <f t="shared" si="482"/>
        <v>2000</v>
      </c>
      <c r="M525" s="745">
        <f t="shared" si="482"/>
        <v>2001</v>
      </c>
      <c r="N525" s="745">
        <f t="shared" si="482"/>
        <v>2002</v>
      </c>
      <c r="O525" s="745">
        <f t="shared" si="482"/>
        <v>2003</v>
      </c>
      <c r="P525" s="745">
        <f t="shared" ref="P525:W525" si="483">+O525+1</f>
        <v>2004</v>
      </c>
      <c r="Q525" s="745">
        <f t="shared" si="483"/>
        <v>2005</v>
      </c>
      <c r="R525" s="745">
        <f t="shared" si="483"/>
        <v>2006</v>
      </c>
      <c r="S525" s="745">
        <f t="shared" si="483"/>
        <v>2007</v>
      </c>
      <c r="T525" s="2211">
        <f t="shared" si="483"/>
        <v>2008</v>
      </c>
      <c r="U525" s="2211">
        <f t="shared" si="483"/>
        <v>2009</v>
      </c>
      <c r="V525" s="2211">
        <f t="shared" si="483"/>
        <v>2010</v>
      </c>
      <c r="W525" s="2211">
        <f t="shared" si="483"/>
        <v>2011</v>
      </c>
      <c r="X525" s="2211">
        <f t="shared" ref="X525:AE525" si="484">+W525+1</f>
        <v>2012</v>
      </c>
      <c r="Y525" s="2211">
        <f t="shared" si="484"/>
        <v>2013</v>
      </c>
      <c r="Z525" s="2211">
        <f t="shared" si="484"/>
        <v>2014</v>
      </c>
      <c r="AA525" s="2211">
        <f t="shared" si="484"/>
        <v>2015</v>
      </c>
      <c r="AB525" s="2211">
        <f t="shared" si="484"/>
        <v>2016</v>
      </c>
      <c r="AC525" s="2211">
        <f t="shared" si="484"/>
        <v>2017</v>
      </c>
      <c r="AD525" s="2211">
        <f t="shared" si="484"/>
        <v>2018</v>
      </c>
      <c r="AE525" s="2211">
        <f t="shared" si="484"/>
        <v>2019</v>
      </c>
    </row>
    <row r="526" spans="1:113" ht="12.75" customHeight="1">
      <c r="A526" s="664"/>
      <c r="B526" s="664"/>
      <c r="C526" s="794" t="s">
        <v>401</v>
      </c>
      <c r="D526" s="689" t="s">
        <v>685</v>
      </c>
      <c r="E526" s="738" t="s">
        <v>375</v>
      </c>
      <c r="F526" s="733" t="s">
        <v>19</v>
      </c>
      <c r="G526" s="739"/>
      <c r="H526" s="739" t="e">
        <f t="shared" ref="H526:AB526" si="485">(H519/G519-1)*100</f>
        <v>#DIV/0!</v>
      </c>
      <c r="I526" s="739" t="e">
        <f t="shared" si="485"/>
        <v>#DIV/0!</v>
      </c>
      <c r="J526" s="739">
        <f t="shared" si="485"/>
        <v>-83.800623052959494</v>
      </c>
      <c r="K526" s="739">
        <f>(K519/J519-1)*100</f>
        <v>189.42307692307688</v>
      </c>
      <c r="L526" s="739">
        <f t="shared" si="485"/>
        <v>-44.850498338870416</v>
      </c>
      <c r="M526" s="739">
        <f t="shared" si="485"/>
        <v>766.8674698795179</v>
      </c>
      <c r="N526" s="739">
        <f t="shared" si="485"/>
        <v>12.50868658790829</v>
      </c>
      <c r="O526" s="739">
        <f t="shared" si="485"/>
        <v>4.2618900555898565</v>
      </c>
      <c r="P526" s="739">
        <f t="shared" si="485"/>
        <v>170.61611374407582</v>
      </c>
      <c r="Q526" s="739">
        <f t="shared" si="485"/>
        <v>225.65674255691772</v>
      </c>
      <c r="R526" s="739">
        <f t="shared" si="485"/>
        <v>50.887335305189588</v>
      </c>
      <c r="S526" s="739">
        <f t="shared" si="485"/>
        <v>70.293147999643594</v>
      </c>
      <c r="T526" s="739">
        <f t="shared" si="485"/>
        <v>-56.985140226036002</v>
      </c>
      <c r="U526" s="739">
        <f t="shared" si="485"/>
        <v>-113.21007176742488</v>
      </c>
      <c r="V526" s="739">
        <f t="shared" si="485"/>
        <v>71.040515653775287</v>
      </c>
      <c r="W526" s="739">
        <f t="shared" si="485"/>
        <v>-161.66890982503367</v>
      </c>
      <c r="X526" s="739">
        <f t="shared" si="485"/>
        <v>84.199039720646013</v>
      </c>
      <c r="Y526" s="739">
        <f t="shared" si="485"/>
        <v>-154.95260663507108</v>
      </c>
      <c r="Z526" s="739">
        <f t="shared" si="485"/>
        <v>78.395860284605419</v>
      </c>
      <c r="AA526" s="739">
        <f t="shared" si="485"/>
        <v>-183.6113125453227</v>
      </c>
      <c r="AB526" s="739">
        <f t="shared" si="485"/>
        <v>124.3712055507372</v>
      </c>
      <c r="AC526" s="2294">
        <v>0</v>
      </c>
      <c r="AD526" s="2294">
        <v>0</v>
      </c>
      <c r="AE526" s="2294">
        <v>0</v>
      </c>
    </row>
    <row r="527" spans="1:113" ht="12.75" customHeight="1">
      <c r="A527" s="664"/>
      <c r="B527" s="664"/>
      <c r="C527" s="795" t="s">
        <v>401</v>
      </c>
      <c r="D527" s="674" t="s">
        <v>686</v>
      </c>
      <c r="E527" s="783" t="s">
        <v>375</v>
      </c>
      <c r="F527" s="704" t="s">
        <v>1557</v>
      </c>
      <c r="G527" s="706"/>
      <c r="H527" s="706" t="e">
        <f t="shared" ref="H527:AB527" si="486">(H520/G520-1)*100</f>
        <v>#DIV/0!</v>
      </c>
      <c r="I527" s="706" t="e">
        <f t="shared" si="486"/>
        <v>#DIV/0!</v>
      </c>
      <c r="J527" s="706">
        <f t="shared" si="486"/>
        <v>-78.81619937694704</v>
      </c>
      <c r="K527" s="706">
        <f>(K520/J520-1)*100</f>
        <v>213.97058823529406</v>
      </c>
      <c r="L527" s="706">
        <f t="shared" si="486"/>
        <v>52.927400468384093</v>
      </c>
      <c r="M527" s="706">
        <f t="shared" si="486"/>
        <v>162.63399693721286</v>
      </c>
      <c r="N527" s="706">
        <f t="shared" si="486"/>
        <v>15.97667638483966</v>
      </c>
      <c r="O527" s="706">
        <f t="shared" si="486"/>
        <v>18.903971845148291</v>
      </c>
      <c r="P527" s="706">
        <f t="shared" si="486"/>
        <v>188.49894291754759</v>
      </c>
      <c r="Q527" s="706">
        <f t="shared" si="486"/>
        <v>167.74146269969225</v>
      </c>
      <c r="R527" s="706">
        <f t="shared" si="486"/>
        <v>42.620976571053191</v>
      </c>
      <c r="S527" s="706">
        <f t="shared" si="486"/>
        <v>56.620864358639736</v>
      </c>
      <c r="T527" s="706">
        <f t="shared" si="486"/>
        <v>-58.665392344263104</v>
      </c>
      <c r="U527" s="706">
        <f t="shared" si="486"/>
        <v>-114.56690579237565</v>
      </c>
      <c r="V527" s="706">
        <f t="shared" si="486"/>
        <v>-31.868131868131876</v>
      </c>
      <c r="W527" s="706">
        <f t="shared" si="486"/>
        <v>-830.94384707287929</v>
      </c>
      <c r="X527" s="706">
        <f t="shared" si="486"/>
        <v>-3.3180778032036562</v>
      </c>
      <c r="Y527" s="706">
        <f t="shared" si="486"/>
        <v>-19.822485207100605</v>
      </c>
      <c r="Z527" s="706">
        <f t="shared" si="486"/>
        <v>-60.906694781233526</v>
      </c>
      <c r="AA527" s="706">
        <f t="shared" si="486"/>
        <v>132.55124056094934</v>
      </c>
      <c r="AB527" s="706">
        <f t="shared" si="486"/>
        <v>22.382001623564875</v>
      </c>
      <c r="AC527" s="2295">
        <v>0</v>
      </c>
      <c r="AD527" s="2295">
        <v>0</v>
      </c>
      <c r="AE527" s="2295">
        <v>0</v>
      </c>
    </row>
    <row r="528" spans="1:113" ht="12.75" customHeight="1">
      <c r="A528" s="664"/>
      <c r="B528" s="664"/>
      <c r="C528" s="796" t="s">
        <v>401</v>
      </c>
      <c r="D528" s="691" t="s">
        <v>687</v>
      </c>
      <c r="E528" s="797" t="s">
        <v>375</v>
      </c>
      <c r="F528" s="736" t="s">
        <v>1026</v>
      </c>
      <c r="G528" s="741"/>
      <c r="H528" s="741" t="e">
        <f>(H521/G521-1)*100</f>
        <v>#DIV/0!</v>
      </c>
      <c r="I528" s="741" t="e">
        <f t="shared" ref="I528:AB528" si="487">(I521/H521-1)*100</f>
        <v>#DIV/0!</v>
      </c>
      <c r="J528" s="741" t="e">
        <f t="shared" si="487"/>
        <v>#DIV/0!</v>
      </c>
      <c r="K528" s="741">
        <f>(K521/J521-1)*100</f>
        <v>293.75</v>
      </c>
      <c r="L528" s="741">
        <f t="shared" si="487"/>
        <v>286.50793650793651</v>
      </c>
      <c r="M528" s="741">
        <f t="shared" si="487"/>
        <v>-43.32648870636551</v>
      </c>
      <c r="N528" s="741">
        <f t="shared" si="487"/>
        <v>34.057971014492772</v>
      </c>
      <c r="O528" s="741">
        <f t="shared" si="487"/>
        <v>82.972972972972968</v>
      </c>
      <c r="P528" s="741">
        <f t="shared" si="487"/>
        <v>233.08714918759233</v>
      </c>
      <c r="Q528" s="741">
        <f t="shared" si="487"/>
        <v>50.421286031042122</v>
      </c>
      <c r="R528" s="741">
        <f t="shared" si="487"/>
        <v>6.3384433962264231</v>
      </c>
      <c r="S528" s="741">
        <f t="shared" si="487"/>
        <v>-28.389243138342113</v>
      </c>
      <c r="T528" s="741">
        <f t="shared" si="487"/>
        <v>-83.546264034068912</v>
      </c>
      <c r="U528" s="741">
        <f t="shared" si="487"/>
        <v>-167.05882352941174</v>
      </c>
      <c r="V528" s="741">
        <f t="shared" si="487"/>
        <v>-815.78947368421041</v>
      </c>
      <c r="W528" s="741">
        <f t="shared" si="487"/>
        <v>387.5</v>
      </c>
      <c r="X528" s="741">
        <f t="shared" si="487"/>
        <v>-23.46907993966818</v>
      </c>
      <c r="Y528" s="741">
        <f t="shared" si="487"/>
        <v>55.091315201681802</v>
      </c>
      <c r="Z528" s="741">
        <f t="shared" si="487"/>
        <v>-33.547949847509329</v>
      </c>
      <c r="AA528" s="741">
        <f t="shared" si="487"/>
        <v>-34.16624171341153</v>
      </c>
      <c r="AB528" s="741">
        <f t="shared" si="487"/>
        <v>-45.933384972889236</v>
      </c>
      <c r="AC528" s="2871">
        <v>-100</v>
      </c>
      <c r="AD528" s="2871">
        <v>-100</v>
      </c>
      <c r="AE528" s="2871">
        <v>-100</v>
      </c>
    </row>
    <row r="529" spans="1:31" ht="12.75" customHeight="1">
      <c r="A529" s="664"/>
      <c r="B529" s="664"/>
      <c r="C529" s="774" t="s">
        <v>1769</v>
      </c>
      <c r="D529" s="717" t="s">
        <v>688</v>
      </c>
      <c r="E529" s="722" t="s">
        <v>375</v>
      </c>
      <c r="F529" s="723" t="s">
        <v>887</v>
      </c>
      <c r="G529" s="721"/>
      <c r="H529" s="721" t="e">
        <f>(H522/G522-1)*100</f>
        <v>#VALUE!</v>
      </c>
      <c r="I529" s="721" t="e">
        <f t="shared" ref="I529:AE529" si="488">(I522/H522-1)*100</f>
        <v>#VALUE!</v>
      </c>
      <c r="J529" s="721" t="e">
        <f t="shared" si="488"/>
        <v>#VALUE!</v>
      </c>
      <c r="K529" s="721" t="e">
        <f>(K522/J522-1)*100</f>
        <v>#VALUE!</v>
      </c>
      <c r="L529" s="721" t="e">
        <f t="shared" si="488"/>
        <v>#VALUE!</v>
      </c>
      <c r="M529" s="721" t="e">
        <f t="shared" si="488"/>
        <v>#VALUE!</v>
      </c>
      <c r="N529" s="721" t="e">
        <f t="shared" si="488"/>
        <v>#VALUE!</v>
      </c>
      <c r="O529" s="721" t="e">
        <f t="shared" si="488"/>
        <v>#VALUE!</v>
      </c>
      <c r="P529" s="721" t="e">
        <f t="shared" si="488"/>
        <v>#VALUE!</v>
      </c>
      <c r="Q529" s="721" t="e">
        <f t="shared" si="488"/>
        <v>#VALUE!</v>
      </c>
      <c r="R529" s="721" t="e">
        <f t="shared" si="488"/>
        <v>#VALUE!</v>
      </c>
      <c r="S529" s="721" t="e">
        <f t="shared" si="488"/>
        <v>#VALUE!</v>
      </c>
      <c r="T529" s="2260" t="e">
        <f t="shared" si="488"/>
        <v>#VALUE!</v>
      </c>
      <c r="U529" s="2260" t="e">
        <f t="shared" si="488"/>
        <v>#DIV/0!</v>
      </c>
      <c r="V529" s="2260" t="e">
        <f t="shared" si="488"/>
        <v>#DIV/0!</v>
      </c>
      <c r="W529" s="2260">
        <v>0</v>
      </c>
      <c r="X529" s="2260" t="e">
        <f t="shared" si="488"/>
        <v>#DIV/0!</v>
      </c>
      <c r="Y529" s="2260">
        <f t="shared" si="488"/>
        <v>-100</v>
      </c>
      <c r="Z529" s="2260" t="e">
        <f t="shared" si="488"/>
        <v>#DIV/0!</v>
      </c>
      <c r="AA529" s="2260">
        <f t="shared" si="488"/>
        <v>-100</v>
      </c>
      <c r="AB529" s="2260" t="e">
        <f t="shared" si="488"/>
        <v>#DIV/0!</v>
      </c>
      <c r="AC529" s="2260" t="e">
        <f t="shared" si="488"/>
        <v>#DIV/0!</v>
      </c>
      <c r="AD529" s="2260">
        <f t="shared" si="488"/>
        <v>0</v>
      </c>
      <c r="AE529" s="2260">
        <f t="shared" si="488"/>
        <v>0</v>
      </c>
    </row>
    <row r="530" spans="1:31" ht="12.75" customHeight="1">
      <c r="A530" s="664"/>
      <c r="B530" s="664"/>
      <c r="C530" s="774"/>
      <c r="E530" s="786"/>
      <c r="F530" s="787"/>
      <c r="G530" s="703"/>
      <c r="H530" s="788"/>
      <c r="I530" s="788"/>
      <c r="J530" s="788"/>
      <c r="K530" s="788"/>
      <c r="L530" s="788"/>
      <c r="M530" s="788"/>
      <c r="N530" s="788"/>
      <c r="O530" s="788"/>
      <c r="P530" s="788"/>
      <c r="Q530" s="788"/>
      <c r="R530" s="788"/>
      <c r="S530" s="788"/>
      <c r="T530" s="2274"/>
      <c r="U530" s="2274"/>
      <c r="V530" s="2274"/>
      <c r="W530" s="2274"/>
      <c r="X530" s="2274"/>
      <c r="Y530" s="2274"/>
      <c r="Z530" s="2274"/>
      <c r="AA530" s="2274"/>
      <c r="AB530" s="2274"/>
      <c r="AC530" s="2274"/>
      <c r="AD530" s="2274"/>
      <c r="AE530" s="2274"/>
    </row>
    <row r="531" spans="1:31" ht="12.75" customHeight="1">
      <c r="A531" s="664"/>
      <c r="B531" s="664"/>
      <c r="C531" s="774"/>
      <c r="D531" s="818"/>
      <c r="E531" s="819" t="s">
        <v>512</v>
      </c>
      <c r="F531" s="820"/>
      <c r="G531" s="821">
        <f>+InputY!$G$3</f>
        <v>1995</v>
      </c>
      <c r="H531" s="821">
        <f>+G531+1</f>
        <v>1996</v>
      </c>
      <c r="I531" s="821">
        <f t="shared" ref="I531:O531" si="489">+H531+1</f>
        <v>1997</v>
      </c>
      <c r="J531" s="821">
        <f t="shared" si="489"/>
        <v>1998</v>
      </c>
      <c r="K531" s="821">
        <f>+J531+1</f>
        <v>1999</v>
      </c>
      <c r="L531" s="821">
        <f t="shared" si="489"/>
        <v>2000</v>
      </c>
      <c r="M531" s="821">
        <f t="shared" si="489"/>
        <v>2001</v>
      </c>
      <c r="N531" s="821">
        <f t="shared" si="489"/>
        <v>2002</v>
      </c>
      <c r="O531" s="821">
        <f t="shared" si="489"/>
        <v>2003</v>
      </c>
      <c r="P531" s="821">
        <f t="shared" ref="P531:V531" si="490">+O531+1</f>
        <v>2004</v>
      </c>
      <c r="Q531" s="821">
        <f t="shared" si="490"/>
        <v>2005</v>
      </c>
      <c r="R531" s="821">
        <f t="shared" si="490"/>
        <v>2006</v>
      </c>
      <c r="S531" s="821">
        <f>+R531+1</f>
        <v>2007</v>
      </c>
      <c r="T531" s="821">
        <f t="shared" si="490"/>
        <v>2008</v>
      </c>
      <c r="U531" s="821">
        <f t="shared" si="490"/>
        <v>2009</v>
      </c>
      <c r="V531" s="821">
        <f t="shared" si="490"/>
        <v>2010</v>
      </c>
      <c r="W531" s="821">
        <f t="shared" ref="W531:AE531" si="491">+V531+1</f>
        <v>2011</v>
      </c>
      <c r="X531" s="821">
        <f t="shared" si="491"/>
        <v>2012</v>
      </c>
      <c r="Y531" s="821">
        <f t="shared" si="491"/>
        <v>2013</v>
      </c>
      <c r="Z531" s="821">
        <f t="shared" si="491"/>
        <v>2014</v>
      </c>
      <c r="AA531" s="821">
        <f t="shared" si="491"/>
        <v>2015</v>
      </c>
      <c r="AB531" s="821">
        <f t="shared" si="491"/>
        <v>2016</v>
      </c>
      <c r="AC531" s="821">
        <f t="shared" si="491"/>
        <v>2017</v>
      </c>
      <c r="AD531" s="821">
        <f t="shared" si="491"/>
        <v>2018</v>
      </c>
      <c r="AE531" s="821">
        <f t="shared" si="491"/>
        <v>2019</v>
      </c>
    </row>
    <row r="532" spans="1:31" ht="12.75" customHeight="1">
      <c r="A532" s="664"/>
      <c r="B532" s="664"/>
      <c r="C532" s="822" t="s">
        <v>401</v>
      </c>
      <c r="D532" s="823" t="s">
        <v>685</v>
      </c>
      <c r="E532" s="824" t="s">
        <v>375</v>
      </c>
      <c r="F532" s="825" t="s">
        <v>19</v>
      </c>
      <c r="G532" s="838">
        <f>+G519/'VVP2'!G$341</f>
        <v>0</v>
      </c>
      <c r="H532" s="838">
        <f>+H519/'VVP2'!H$341</f>
        <v>0</v>
      </c>
      <c r="I532" s="838">
        <f>+I519/'VVP2'!I$341</f>
        <v>-5.4757879761248827E-4</v>
      </c>
      <c r="J532" s="838">
        <f>+J519/'VVP2'!J$341</f>
        <v>-7.98650894335415E-5</v>
      </c>
      <c r="K532" s="838">
        <f>+K519/'VVP2'!K$341</f>
        <v>-2.3678265083290851E-4</v>
      </c>
      <c r="L532" s="838">
        <f>+L519/'VVP2'!L$341</f>
        <v>-1.2417546741590855E-4</v>
      </c>
      <c r="M532" s="838">
        <f>+M519/'VVP2'!M$341</f>
        <v>-1.0137715118228724E-3</v>
      </c>
      <c r="N532" s="838">
        <f>+N519/'VVP2'!N$341</f>
        <v>-1.0649795391052725E-3</v>
      </c>
      <c r="O532" s="838">
        <f>+O519/'VVP2'!O$341</f>
        <v>-1.012689819347655E-3</v>
      </c>
      <c r="P532" s="838">
        <f>+P519/'VVP2'!P$341</f>
        <v>-2.5046990522938173E-3</v>
      </c>
      <c r="Q532" s="838">
        <f>+Q519/'VVP2'!Q$341</f>
        <v>-7.0830169004897072E-3</v>
      </c>
      <c r="R532" s="838">
        <f>+R519/'VVP2'!R$341</f>
        <v>-9.3217460063008788E-3</v>
      </c>
      <c r="S532" s="838">
        <f>+S519/'VVP2'!S$341</f>
        <v>-1.3162235293550493E-2</v>
      </c>
      <c r="T532" s="2909">
        <f>+T519/'VVP2'!T$341</f>
        <v>-5.028706629622696E-3</v>
      </c>
      <c r="U532" s="2909">
        <f>+U519/'VVP2'!U$341</f>
        <v>8.0639113237066374E-4</v>
      </c>
      <c r="V532" s="2909">
        <f>+V519/'VVP2'!V$341</f>
        <v>1.3254763330224498E-3</v>
      </c>
      <c r="W532" s="2909">
        <f>+W519/'VVP2'!W$341</f>
        <v>-7.3252647774667051E-4</v>
      </c>
      <c r="X532" s="2909">
        <f>+X519/'VVP2'!X$341</f>
        <v>-1.2654249908841421E-3</v>
      </c>
      <c r="Y532" s="2909">
        <f>+Y519/'VVP2'!Y$341</f>
        <v>6.6333616040206353E-4</v>
      </c>
      <c r="Z532" s="2909">
        <f>+Z519/'VVP2'!Z$341</f>
        <v>1.1313083360770591E-3</v>
      </c>
      <c r="AA532" s="2909">
        <f>+AA519/'VVP2'!AA$341</f>
        <v>-9.2420873811440579E-4</v>
      </c>
      <c r="AB532" s="2909">
        <f>+AB519/'VVP2'!AB$341</f>
        <v>-2.0070693528966344E-3</v>
      </c>
      <c r="AC532" s="2909">
        <f ca="1">+AC519/'VVP2'!AC$341</f>
        <v>-1.8576053741038376E-3</v>
      </c>
      <c r="AD532" s="2909">
        <f ca="1">+AD519/'VVP2'!AD$341</f>
        <v>-1.7554233053798159E-3</v>
      </c>
      <c r="AE532" s="2909">
        <f ca="1">+AE519/'VVP2'!AE$341</f>
        <v>-1.6627299788668168E-3</v>
      </c>
    </row>
    <row r="533" spans="1:31" ht="12.75" customHeight="1">
      <c r="A533" s="664"/>
      <c r="B533" s="664"/>
      <c r="C533" s="826" t="s">
        <v>401</v>
      </c>
      <c r="D533" s="674" t="s">
        <v>686</v>
      </c>
      <c r="E533" s="783" t="s">
        <v>375</v>
      </c>
      <c r="F533" s="704" t="s">
        <v>1557</v>
      </c>
      <c r="G533" s="839">
        <f>+G520/'VVP2'!G$341</f>
        <v>0</v>
      </c>
      <c r="H533" s="839">
        <f>+H520/'VVP2'!H$341</f>
        <v>0</v>
      </c>
      <c r="I533" s="839">
        <f>+I520/'VVP2'!I$341</f>
        <v>5.4757879761248827E-4</v>
      </c>
      <c r="J533" s="839">
        <f>+J520/'VVP2'!J$341</f>
        <v>1.0443896310540042E-4</v>
      </c>
      <c r="K533" s="839">
        <f>+K520/'VVP2'!K$341</f>
        <v>3.3590096978621903E-4</v>
      </c>
      <c r="L533" s="839">
        <f>+L520/'VVP2'!L$341</f>
        <v>4.884733748348691E-4</v>
      </c>
      <c r="M533" s="839">
        <f>+M520/'VVP2'!M$341</f>
        <v>1.2082127468910535E-3</v>
      </c>
      <c r="N533" s="839">
        <f>+N520/'VVP2'!N$341</f>
        <v>1.3083658451392137E-3</v>
      </c>
      <c r="O533" s="839">
        <f>+O520/'VVP2'!O$341</f>
        <v>1.4188456295955E-3</v>
      </c>
      <c r="P533" s="839">
        <f>+P520/'VVP2'!P$341</f>
        <v>3.741147467994903E-3</v>
      </c>
      <c r="Q533" s="839">
        <f>+Q520/'VVP2'!Q$341</f>
        <v>8.6980742631181749E-3</v>
      </c>
      <c r="R533" s="839">
        <f>+R520/'VVP2'!R$341</f>
        <v>1.0820135901637846E-2</v>
      </c>
      <c r="S533" s="839">
        <f>+S520/'VVP2'!S$341</f>
        <v>1.4051333544072345E-2</v>
      </c>
      <c r="T533" s="2910">
        <f>+T520/'VVP2'!T$341</f>
        <v>5.1586908357770358E-3</v>
      </c>
      <c r="U533" s="2910">
        <f>+U520/'VVP2'!U$341</f>
        <v>-9.1220212349664865E-4</v>
      </c>
      <c r="V533" s="2910">
        <f>+V520/'VVP2'!V$341</f>
        <v>-5.9726712825829901E-4</v>
      </c>
      <c r="W533" s="2910">
        <f>+W520/'VVP2'!W$341</f>
        <v>3.9123500574894197E-3</v>
      </c>
      <c r="X533" s="2910">
        <f>+X520/'VVP2'!X$341</f>
        <v>3.5473880668624174E-3</v>
      </c>
      <c r="Y533" s="2910">
        <f>+Y520/'VVP2'!Y$341</f>
        <v>2.7131278488199961E-3</v>
      </c>
      <c r="Z533" s="2910">
        <f>+Z520/'VVP2'!Z$341</f>
        <v>1.0139935485070665E-3</v>
      </c>
      <c r="AA533" s="2910">
        <f>+AA520/'VVP2'!AA$341</f>
        <v>2.3039757007113386E-3</v>
      </c>
      <c r="AB533" s="2910">
        <f>+AB520/'VVP2'!AB$341</f>
        <v>2.7291074450609696E-3</v>
      </c>
      <c r="AC533" s="2910">
        <f ca="1">+AC520/'VVP2'!AC$341</f>
        <v>2.5258741802496841E-3</v>
      </c>
      <c r="AD533" s="2910">
        <f ca="1">+AD520/'VVP2'!AD$341</f>
        <v>2.3869323723325854E-3</v>
      </c>
      <c r="AE533" s="2910">
        <f ca="1">+AE520/'VVP2'!AE$341</f>
        <v>2.2608928574902099E-3</v>
      </c>
    </row>
    <row r="534" spans="1:31" ht="12.75" customHeight="1">
      <c r="A534" s="664"/>
      <c r="B534" s="664"/>
      <c r="C534" s="827" t="s">
        <v>401</v>
      </c>
      <c r="D534" s="828" t="s">
        <v>687</v>
      </c>
      <c r="E534" s="829" t="s">
        <v>375</v>
      </c>
      <c r="F534" s="830" t="s">
        <v>1026</v>
      </c>
      <c r="G534" s="840">
        <f>+G521/'VVP2'!G$341</f>
        <v>0</v>
      </c>
      <c r="H534" s="840">
        <f>+H521/'VVP2'!H$341</f>
        <v>0</v>
      </c>
      <c r="I534" s="840">
        <f>+I521/'VVP2'!I$341</f>
        <v>0</v>
      </c>
      <c r="J534" s="840">
        <f>+J521/'VVP2'!J$341</f>
        <v>-2.4573873671858922E-5</v>
      </c>
      <c r="K534" s="840">
        <f>+K521/'VVP2'!K$341</f>
        <v>-9.9118318953310549E-5</v>
      </c>
      <c r="L534" s="840">
        <f>+L521/'VVP2'!L$341</f>
        <v>-3.6429790741896053E-4</v>
      </c>
      <c r="M534" s="840">
        <f>+M521/'VVP2'!M$341</f>
        <v>-1.9444123506818123E-4</v>
      </c>
      <c r="N534" s="840">
        <f>+N521/'VVP2'!N$341</f>
        <v>-2.4338630603394122E-4</v>
      </c>
      <c r="O534" s="840">
        <f>+O521/'VVP2'!O$341</f>
        <v>-4.0615581024784506E-4</v>
      </c>
      <c r="P534" s="840">
        <f>+P521/'VVP2'!P$341</f>
        <v>-1.2364484157010856E-3</v>
      </c>
      <c r="Q534" s="840">
        <f>+Q521/'VVP2'!Q$341</f>
        <v>-1.6150573626284677E-3</v>
      </c>
      <c r="R534" s="840">
        <f>+R521/'VVP2'!R$341</f>
        <v>-1.497974598802783E-3</v>
      </c>
      <c r="S534" s="840">
        <f>+S521/'VVP2'!S$341</f>
        <v>-8.8944259531291642E-4</v>
      </c>
      <c r="T534" s="2911">
        <f>+T521/'VVP2'!T$341</f>
        <v>-1.2998420615433927E-4</v>
      </c>
      <c r="U534" s="2911">
        <f>+U521/'VVP2'!U$341</f>
        <v>1.0581099112598489E-4</v>
      </c>
      <c r="V534" s="2911">
        <f>+V521/'VVP2'!V$341</f>
        <v>-7.2785241436495226E-4</v>
      </c>
      <c r="W534" s="2911">
        <f>+W521/'VVP2'!W$341</f>
        <v>-3.1798235797427491E-3</v>
      </c>
      <c r="X534" s="2911">
        <f>+X521/'VVP2'!X$341</f>
        <v>-2.2822629397201907E-3</v>
      </c>
      <c r="Y534" s="2911">
        <f>+Y521/'VVP2'!Y$341</f>
        <v>-3.3764640092220602E-3</v>
      </c>
      <c r="Z534" s="2911">
        <f>+Z521/'VVP2'!Z$341</f>
        <v>-2.1450284235408389E-3</v>
      </c>
      <c r="AA534" s="2911">
        <f>+AA521/'VVP2'!AA$341</f>
        <v>-1.3797669625969329E-3</v>
      </c>
      <c r="AB534" s="2911">
        <f>+AB521/'VVP2'!AB$341</f>
        <v>-7.2203809216433502E-4</v>
      </c>
      <c r="AC534" s="2911">
        <f ca="1">+AC521/'VVP2'!AC$341</f>
        <v>0</v>
      </c>
      <c r="AD534" s="2911">
        <f ca="1">+AD521/'VVP2'!AD$341</f>
        <v>0</v>
      </c>
      <c r="AE534" s="2911">
        <f ca="1">+AE521/'VVP2'!AE$341</f>
        <v>0</v>
      </c>
    </row>
    <row r="535" spans="1:31" ht="12.75" customHeight="1">
      <c r="A535" s="664"/>
      <c r="B535" s="664"/>
      <c r="C535" s="774" t="s">
        <v>1769</v>
      </c>
      <c r="D535" s="806" t="s">
        <v>688</v>
      </c>
      <c r="E535" s="807" t="s">
        <v>375</v>
      </c>
      <c r="F535" s="808" t="s">
        <v>887</v>
      </c>
      <c r="G535" s="841" t="e">
        <f>+G522/'VVP2'!G$341</f>
        <v>#VALUE!</v>
      </c>
      <c r="H535" s="841" t="e">
        <f>+H522/'VVP2'!H$341</f>
        <v>#VALUE!</v>
      </c>
      <c r="I535" s="841" t="e">
        <f>+I522/'VVP2'!I$341</f>
        <v>#VALUE!</v>
      </c>
      <c r="J535" s="841" t="e">
        <f>+J522/'VVP2'!J$341</f>
        <v>#VALUE!</v>
      </c>
      <c r="K535" s="841" t="e">
        <f>+K522/'VVP2'!K$341</f>
        <v>#VALUE!</v>
      </c>
      <c r="L535" s="841" t="e">
        <f>+L522/'VVP2'!L$341</f>
        <v>#VALUE!</v>
      </c>
      <c r="M535" s="841" t="e">
        <f>+M522/'VVP2'!M$341</f>
        <v>#VALUE!</v>
      </c>
      <c r="N535" s="841" t="e">
        <f>+N522/'VVP2'!N$341</f>
        <v>#VALUE!</v>
      </c>
      <c r="O535" s="841" t="e">
        <f>+O522/'VVP2'!O$341</f>
        <v>#VALUE!</v>
      </c>
      <c r="P535" s="841" t="e">
        <f>+P522/'VVP2'!P$341</f>
        <v>#VALUE!</v>
      </c>
      <c r="Q535" s="841" t="e">
        <f>+Q522/'VVP2'!Q$341</f>
        <v>#VALUE!</v>
      </c>
      <c r="R535" s="841" t="e">
        <f>+R522/'VVP2'!R$341</f>
        <v>#VALUE!</v>
      </c>
      <c r="S535" s="841" t="e">
        <f>+S522/'VVP2'!S$341</f>
        <v>#VALUE!</v>
      </c>
      <c r="T535" s="2912">
        <f>+T522/'VVP2'!T$341</f>
        <v>0</v>
      </c>
      <c r="U535" s="2912">
        <f>+U522/'VVP2'!U$341</f>
        <v>0</v>
      </c>
      <c r="V535" s="2912">
        <f>+V522/'VVP2'!V$341</f>
        <v>-3.567903991984915E-7</v>
      </c>
      <c r="W535" s="2912">
        <f>+W522/'VVP2'!W$341</f>
        <v>0</v>
      </c>
      <c r="X535" s="2912">
        <f>+X522/'VVP2'!X$341</f>
        <v>2.9986374191555723E-7</v>
      </c>
      <c r="Y535" s="2912">
        <f>+Y522/'VVP2'!Y$341</f>
        <v>0</v>
      </c>
      <c r="Z535" s="2912">
        <f>+Z522/'VVP2'!Z$341</f>
        <v>-2.7346104328658946E-7</v>
      </c>
      <c r="AA535" s="2912">
        <f>+AA522/'VVP2'!AA$341</f>
        <v>0</v>
      </c>
      <c r="AB535" s="2912">
        <f>+AB522/'VVP2'!AB$341</f>
        <v>0</v>
      </c>
      <c r="AC535" s="2912">
        <f ca="1">+AC522/'VVP2'!AC$341</f>
        <v>-6.6826880614584655E-4</v>
      </c>
      <c r="AD535" s="2912">
        <f ca="1">+AD522/'VVP2'!AD$341</f>
        <v>-6.3150906695276976E-4</v>
      </c>
      <c r="AE535" s="2912">
        <f ca="1">+AE522/'VVP2'!AE$341</f>
        <v>-5.9816287862339296E-4</v>
      </c>
    </row>
    <row r="536" spans="1:31" ht="30" customHeight="1">
      <c r="S536" s="843"/>
      <c r="U536" s="843"/>
      <c r="AB536" s="2221"/>
      <c r="AC536" s="2221"/>
      <c r="AD536" s="2221"/>
      <c r="AE536" s="2221"/>
    </row>
    <row r="537" spans="1:31" ht="30" customHeight="1">
      <c r="AB537" s="2221"/>
      <c r="AC537" s="2221"/>
      <c r="AD537" s="2221"/>
      <c r="AE537" s="2221"/>
    </row>
    <row r="538" spans="1:31" ht="22.5" customHeight="1">
      <c r="A538" s="574"/>
      <c r="B538" s="574"/>
      <c r="C538" s="3751" t="s">
        <v>377</v>
      </c>
      <c r="D538" s="3751"/>
      <c r="E538" s="3751"/>
      <c r="F538" s="3751"/>
      <c r="AB538" s="2221"/>
      <c r="AC538" s="2221"/>
      <c r="AD538" s="2221"/>
      <c r="AE538" s="2221"/>
    </row>
    <row r="539" spans="1:31" ht="12.75" customHeight="1">
      <c r="A539" s="664"/>
      <c r="B539" s="664"/>
      <c r="C539" s="774"/>
      <c r="AB539" s="2221"/>
      <c r="AC539" s="2221"/>
      <c r="AD539" s="2221"/>
      <c r="AE539" s="2221"/>
    </row>
    <row r="540" spans="1:31" ht="12.75" customHeight="1">
      <c r="A540" s="664"/>
      <c r="B540" s="664"/>
      <c r="C540" s="774"/>
      <c r="D540" s="775"/>
      <c r="E540" s="776" t="s">
        <v>1384</v>
      </c>
      <c r="F540" s="777"/>
      <c r="G540" s="778">
        <f>+InputY!$G$3</f>
        <v>1995</v>
      </c>
      <c r="H540" s="778">
        <f>+G540+1</f>
        <v>1996</v>
      </c>
      <c r="I540" s="778">
        <f t="shared" ref="I540:O540" si="492">+H540+1</f>
        <v>1997</v>
      </c>
      <c r="J540" s="778">
        <f t="shared" si="492"/>
        <v>1998</v>
      </c>
      <c r="K540" s="778">
        <f>+J540+1</f>
        <v>1999</v>
      </c>
      <c r="L540" s="778">
        <f t="shared" si="492"/>
        <v>2000</v>
      </c>
      <c r="M540" s="778">
        <f t="shared" si="492"/>
        <v>2001</v>
      </c>
      <c r="N540" s="778">
        <f t="shared" si="492"/>
        <v>2002</v>
      </c>
      <c r="O540" s="778">
        <f t="shared" si="492"/>
        <v>2003</v>
      </c>
      <c r="P540" s="778">
        <f t="shared" ref="P540:W540" si="493">+O540+1</f>
        <v>2004</v>
      </c>
      <c r="Q540" s="778">
        <f t="shared" si="493"/>
        <v>2005</v>
      </c>
      <c r="R540" s="778">
        <f t="shared" si="493"/>
        <v>2006</v>
      </c>
      <c r="S540" s="778">
        <f t="shared" si="493"/>
        <v>2007</v>
      </c>
      <c r="T540" s="2222">
        <f t="shared" si="493"/>
        <v>2008</v>
      </c>
      <c r="U540" s="2222">
        <f t="shared" si="493"/>
        <v>2009</v>
      </c>
      <c r="V540" s="2222">
        <f t="shared" si="493"/>
        <v>2010</v>
      </c>
      <c r="W540" s="2222">
        <f t="shared" si="493"/>
        <v>2011</v>
      </c>
      <c r="X540" s="2222">
        <f t="shared" ref="X540:AE540" si="494">+W540+1</f>
        <v>2012</v>
      </c>
      <c r="Y540" s="2222">
        <f t="shared" si="494"/>
        <v>2013</v>
      </c>
      <c r="Z540" s="2222">
        <f t="shared" si="494"/>
        <v>2014</v>
      </c>
      <c r="AA540" s="2222">
        <f t="shared" si="494"/>
        <v>2015</v>
      </c>
      <c r="AB540" s="2222">
        <f t="shared" si="494"/>
        <v>2016</v>
      </c>
      <c r="AC540" s="2222">
        <f t="shared" si="494"/>
        <v>2017</v>
      </c>
      <c r="AD540" s="2222">
        <f t="shared" si="494"/>
        <v>2018</v>
      </c>
      <c r="AE540" s="2222">
        <f t="shared" si="494"/>
        <v>2019</v>
      </c>
    </row>
    <row r="541" spans="1:31" ht="12.75" customHeight="1">
      <c r="A541" s="664">
        <f>+ROW(InputY!A209)</f>
        <v>209</v>
      </c>
      <c r="B541" s="664" t="s">
        <v>675</v>
      </c>
      <c r="C541" s="779" t="s">
        <v>1767</v>
      </c>
      <c r="D541" s="668" t="s">
        <v>685</v>
      </c>
      <c r="E541" s="700" t="s">
        <v>377</v>
      </c>
      <c r="F541" s="701" t="s">
        <v>2076</v>
      </c>
      <c r="G541" s="780">
        <f>+InputY!G209/1000</f>
        <v>1.3009999999999999E-2</v>
      </c>
      <c r="H541" s="780">
        <f>+InputY!H209/1000</f>
        <v>2.0800000000000003E-3</v>
      </c>
      <c r="I541" s="780">
        <f>+InputY!I209/1000</f>
        <v>5.6900000000000006E-2</v>
      </c>
      <c r="J541" s="780">
        <f>+InputY!J209/1000</f>
        <v>2.6830000000000003E-2</v>
      </c>
      <c r="K541" s="780">
        <f>+InputY!K209/1000</f>
        <v>-3.6469999999999995E-2</v>
      </c>
      <c r="L541" s="780">
        <f>+InputY!L209/1000</f>
        <v>-1.7000000000000036E-4</v>
      </c>
      <c r="M541" s="780">
        <f>+InputY!M209/1000</f>
        <v>-0.1043</v>
      </c>
      <c r="N541" s="780">
        <f>+InputY!N209/1000</f>
        <v>-1.8500000000000001E-3</v>
      </c>
      <c r="O541" s="780">
        <f>+InputY!O209/1000</f>
        <v>8.6599999999999993E-3</v>
      </c>
      <c r="P541" s="780">
        <f>+InputY!P209/1000</f>
        <v>1.4449999999999999E-2</v>
      </c>
      <c r="Q541" s="780">
        <f>+InputY!Q209/1000</f>
        <v>-3.968E-2</v>
      </c>
      <c r="R541" s="780">
        <f>+InputY!R209/1000</f>
        <v>4.8399999999999988E-3</v>
      </c>
      <c r="S541" s="780">
        <f>+InputY!S209/1000</f>
        <v>4.6170000000000003E-2</v>
      </c>
      <c r="T541" s="780">
        <f>+InputY!T209/1000</f>
        <v>0.13553000000000001</v>
      </c>
      <c r="U541" s="780">
        <f>+InputY!U209/1000</f>
        <v>-5.6829999999999999E-2</v>
      </c>
      <c r="V541" s="780">
        <f>+InputY!V209/1000</f>
        <v>-2.7140000000000001E-2</v>
      </c>
      <c r="W541" s="780">
        <f>+InputY!W209/1000</f>
        <v>6.4819999999999989E-2</v>
      </c>
      <c r="X541" s="780">
        <f>+InputY!X209/1000</f>
        <v>8.8359999999999994E-2</v>
      </c>
      <c r="Y541" s="780">
        <f>+InputY!Y209/1000</f>
        <v>0.10335999999999999</v>
      </c>
      <c r="Z541" s="780">
        <f>+InputY!Z209/1000</f>
        <v>1.2970000000000001E-2</v>
      </c>
      <c r="AA541" s="780">
        <f>+InputY!AA209/1000</f>
        <v>2.895E-2</v>
      </c>
      <c r="AB541" s="780">
        <f>+InputY!AB209/1000</f>
        <v>-4.3100000000000005E-3</v>
      </c>
      <c r="AC541" s="2232">
        <f ca="1">+AB541*(1+AC548/100)</f>
        <v>-4.3100000000000005E-3</v>
      </c>
      <c r="AD541" s="2232">
        <f ca="1">+AC541*(1+AD548/100)</f>
        <v>-4.3100000000000005E-3</v>
      </c>
      <c r="AE541" s="2232">
        <f ca="1">+AD541*(1+AE548/100)</f>
        <v>-4.3100000000000005E-3</v>
      </c>
    </row>
    <row r="542" spans="1:31" ht="12.75" customHeight="1">
      <c r="A542" s="664">
        <f>+ROW(InputY!A136)</f>
        <v>136</v>
      </c>
      <c r="B542" s="664" t="s">
        <v>676</v>
      </c>
      <c r="C542" s="782" t="s">
        <v>1767</v>
      </c>
      <c r="D542" s="674" t="s">
        <v>686</v>
      </c>
      <c r="E542" s="783" t="s">
        <v>377</v>
      </c>
      <c r="F542" s="704" t="s">
        <v>382</v>
      </c>
      <c r="G542" s="706">
        <f>+InputY!G136/1000</f>
        <v>0.16175</v>
      </c>
      <c r="H542" s="706">
        <f>+InputY!H136/1000</f>
        <v>4.1340000000000002E-2</v>
      </c>
      <c r="I542" s="706">
        <f>+InputY!I136/1000</f>
        <v>0.19895000000000002</v>
      </c>
      <c r="J542" s="706">
        <f>+InputY!J136/1000</f>
        <v>3.1109999999999999E-2</v>
      </c>
      <c r="K542" s="706">
        <f>+InputY!K136/1000</f>
        <v>-4.0870000000000004E-2</v>
      </c>
      <c r="L542" s="706">
        <f>+InputY!L136/1000</f>
        <v>-4.922E-2</v>
      </c>
      <c r="M542" s="706">
        <f>+InputY!M136/1000</f>
        <v>-0.11035</v>
      </c>
      <c r="N542" s="706">
        <f>+InputY!N136/1000</f>
        <v>-2.018E-2</v>
      </c>
      <c r="O542" s="706">
        <f>+InputY!O136/1000</f>
        <v>3.2250000000000001E-2</v>
      </c>
      <c r="P542" s="706">
        <f>+InputY!P136/1000</f>
        <v>-6.1490000000000003E-2</v>
      </c>
      <c r="Q542" s="706">
        <f>+InputY!Q136/1000</f>
        <v>0.17057</v>
      </c>
      <c r="R542" s="706">
        <f>+InputY!R136/1000</f>
        <v>0.16547000000000001</v>
      </c>
      <c r="S542" s="706">
        <f>+InputY!S136/1000</f>
        <v>0.9591900000000001</v>
      </c>
      <c r="T542" s="706">
        <f>+InputY!T136/1000</f>
        <v>0.43486000000000002</v>
      </c>
      <c r="U542" s="706">
        <f>+InputY!U136/1000</f>
        <v>-1.4296800000000001</v>
      </c>
      <c r="V542" s="706">
        <f t="shared" ref="V542:AB542" si="495">+V544-V541-V543</f>
        <v>0.34223999999999999</v>
      </c>
      <c r="W542" s="706">
        <f t="shared" si="495"/>
        <v>0.94126000000000021</v>
      </c>
      <c r="X542" s="706">
        <f t="shared" si="495"/>
        <v>0.57815000000000005</v>
      </c>
      <c r="Y542" s="706">
        <f t="shared" si="495"/>
        <v>0.23589000000000004</v>
      </c>
      <c r="Z542" s="706">
        <f t="shared" si="495"/>
        <v>2.7549999999999998E-2</v>
      </c>
      <c r="AA542" s="706">
        <f t="shared" si="495"/>
        <v>0.30141000000000007</v>
      </c>
      <c r="AB542" s="706">
        <f t="shared" si="495"/>
        <v>-0.68081999999999998</v>
      </c>
      <c r="AC542" s="837">
        <f ca="1">+AC544-AC541-AC543</f>
        <v>-0.68081999999999998</v>
      </c>
      <c r="AD542" s="837">
        <f ca="1">+AD544-AD541-AD543</f>
        <v>-0.68081999999999998</v>
      </c>
      <c r="AE542" s="837">
        <f ca="1">+AE544-AE541-AE543</f>
        <v>-0.68081999999999998</v>
      </c>
    </row>
    <row r="543" spans="1:31" ht="12.75" customHeight="1">
      <c r="A543" s="664">
        <f>+ROW(InputY!A172)</f>
        <v>172</v>
      </c>
      <c r="B543" s="664" t="s">
        <v>747</v>
      </c>
      <c r="C543" s="782" t="s">
        <v>1767</v>
      </c>
      <c r="D543" s="674" t="s">
        <v>687</v>
      </c>
      <c r="E543" s="783" t="s">
        <v>377</v>
      </c>
      <c r="F543" s="704" t="s">
        <v>1177</v>
      </c>
      <c r="G543" s="706">
        <f>+InputY!G172/1000</f>
        <v>9.689999999999999E-3</v>
      </c>
      <c r="H543" s="706">
        <f>+InputY!H172/1000</f>
        <v>3.2599999999999999E-3</v>
      </c>
      <c r="I543" s="706">
        <f>+InputY!I172/1000</f>
        <v>2.6100000000000003E-3</v>
      </c>
      <c r="J543" s="706">
        <f>+InputY!J172/1000</f>
        <v>8.9999999999999998E-4</v>
      </c>
      <c r="K543" s="706">
        <f>+InputY!K172/1000</f>
        <v>1.7000000000000001E-4</v>
      </c>
      <c r="L543" s="706">
        <f>+InputY!L172/1000</f>
        <v>4.1000000000000005E-4</v>
      </c>
      <c r="M543" s="706">
        <f>+InputY!M172/1000</f>
        <v>2.3799999999999997E-3</v>
      </c>
      <c r="N543" s="706">
        <f>+InputY!N172/1000</f>
        <v>1.2800000000000001E-2</v>
      </c>
      <c r="O543" s="706">
        <f>+InputY!O172/1000</f>
        <v>2.7299999999999998E-3</v>
      </c>
      <c r="P543" s="706">
        <f>+InputY!P172/1000</f>
        <v>7.6299999999999996E-3</v>
      </c>
      <c r="Q543" s="706">
        <f>+InputY!Q172/1000</f>
        <v>9.5700000000000004E-3</v>
      </c>
      <c r="R543" s="706">
        <f>+InputY!R172/1000</f>
        <v>2.2030000000000001E-2</v>
      </c>
      <c r="S543" s="1455">
        <f>+InputY!S172/1000</f>
        <v>2.0730000000000002E-2</v>
      </c>
      <c r="T543" s="1455">
        <f>+InputY!T172/1000</f>
        <v>3.4360000000000002E-2</v>
      </c>
      <c r="U543" s="1455">
        <f>+InputY!U172/1000</f>
        <v>8.1400000000000014E-3</v>
      </c>
      <c r="V543" s="1455">
        <f>+InputY!V172/1000</f>
        <v>3.5499999999999998E-3</v>
      </c>
      <c r="W543" s="1455">
        <f>+InputY!W172/1000</f>
        <v>4.62E-3</v>
      </c>
      <c r="X543" s="1455">
        <f>+InputY!X172/1000</f>
        <v>6.3099999999999996E-3</v>
      </c>
      <c r="Y543" s="1455">
        <f>+InputY!Y172/1000</f>
        <v>9.5999999999999992E-3</v>
      </c>
      <c r="Z543" s="1455">
        <f>+InputY!Z172/1000</f>
        <v>1.26E-2</v>
      </c>
      <c r="AA543" s="1455">
        <f>+InputY!AA172/1000</f>
        <v>4.811E-2</v>
      </c>
      <c r="AB543" s="1455">
        <f>+InputY!AB172/1000</f>
        <v>3.9149999999999997E-2</v>
      </c>
      <c r="AC543" s="2217">
        <f ca="1">+AB543*(1+AC550/100)</f>
        <v>3.9149999999999997E-2</v>
      </c>
      <c r="AD543" s="2217">
        <f ca="1">+AC543*(1+AD550/100)</f>
        <v>3.9149999999999997E-2</v>
      </c>
      <c r="AE543" s="2217">
        <f ca="1">+AD543*(1+AE550/100)</f>
        <v>3.9149999999999997E-2</v>
      </c>
    </row>
    <row r="544" spans="1:31" ht="12.75" customHeight="1">
      <c r="A544" s="664">
        <f>+ROW(InputY!A79)</f>
        <v>79</v>
      </c>
      <c r="B544" s="664"/>
      <c r="C544" s="784" t="s">
        <v>1769</v>
      </c>
      <c r="D544" s="752"/>
      <c r="E544" s="753" t="s">
        <v>377</v>
      </c>
      <c r="F544" s="754" t="s">
        <v>1536</v>
      </c>
      <c r="G544" s="785">
        <f>+InputY!G79/1000</f>
        <v>0.18446000000000001</v>
      </c>
      <c r="H544" s="785">
        <f>+InputY!H79/1000</f>
        <v>4.6679999999999999E-2</v>
      </c>
      <c r="I544" s="785">
        <f>+InputY!I79/1000</f>
        <v>0.25845999999999997</v>
      </c>
      <c r="J544" s="785">
        <f>+InputY!J79/1000</f>
        <v>5.8840000000000003E-2</v>
      </c>
      <c r="K544" s="785">
        <f>+InputY!K79/1000</f>
        <v>-7.7159999999999992E-2</v>
      </c>
      <c r="L544" s="785">
        <f>+InputY!L79/1000</f>
        <v>-4.8979999999999996E-2</v>
      </c>
      <c r="M544" s="785">
        <f>+InputY!M79/1000</f>
        <v>-0.21227000000000001</v>
      </c>
      <c r="N544" s="785">
        <f>+InputY!N79/1000</f>
        <v>-9.2399999999999999E-3</v>
      </c>
      <c r="O544" s="785">
        <f>+InputY!O79/1000</f>
        <v>4.3630000000000002E-2</v>
      </c>
      <c r="P544" s="785">
        <f>+InputY!P79/1000</f>
        <v>-3.9409999999999994E-2</v>
      </c>
      <c r="Q544" s="785">
        <f>+InputY!Q79/1000</f>
        <v>0.14046</v>
      </c>
      <c r="R544" s="785">
        <f>+InputY!R79/1000</f>
        <v>0.19234000000000001</v>
      </c>
      <c r="S544" s="785">
        <f>+InputY!S79/1000</f>
        <v>1.0260799999999999</v>
      </c>
      <c r="T544" s="785">
        <f>+InputY!T79/1000</f>
        <v>0.60474000000000006</v>
      </c>
      <c r="U544" s="785">
        <f>+InputY!U79/1000</f>
        <v>-1.47837</v>
      </c>
      <c r="V544" s="785">
        <f>+InputY!V79/1000</f>
        <v>0.31864999999999999</v>
      </c>
      <c r="W544" s="2273">
        <f>+'VVP2'!W260</f>
        <v>1.0107000000000002</v>
      </c>
      <c r="X544" s="2273">
        <f>+'VVP2'!X260</f>
        <v>0.67282000000000008</v>
      </c>
      <c r="Y544" s="2273">
        <f>+'VVP2'!Y260</f>
        <v>0.34885000000000005</v>
      </c>
      <c r="Z544" s="2273">
        <f>+'VVP2'!Z260</f>
        <v>5.3120000000000001E-2</v>
      </c>
      <c r="AA544" s="2273">
        <f>+'VVP2'!AA260</f>
        <v>0.37847000000000003</v>
      </c>
      <c r="AB544" s="2273">
        <f>+'VVP2'!AB260</f>
        <v>-0.64598</v>
      </c>
      <c r="AC544" s="2273">
        <f ca="1">+'VVP2'!AC260</f>
        <v>-0.64598</v>
      </c>
      <c r="AD544" s="2273">
        <f ca="1">+'VVP2'!AD260</f>
        <v>-0.64598</v>
      </c>
      <c r="AE544" s="2273">
        <f ca="1">+'VVP2'!AE260</f>
        <v>-0.64598</v>
      </c>
    </row>
    <row r="545" spans="1:113" s="1972" customFormat="1" ht="12.75" customHeight="1">
      <c r="A545" s="998"/>
      <c r="B545" s="998"/>
      <c r="C545" s="1595"/>
      <c r="D545" s="1011"/>
      <c r="E545" s="1973" t="s">
        <v>737</v>
      </c>
      <c r="F545" s="1974"/>
      <c r="G545" s="1002">
        <f>ABS(+G541+G542+G543-G544)</f>
        <v>1.0000000000010001E-5</v>
      </c>
      <c r="H545" s="1002">
        <f t="shared" ref="H545:Y545" si="496">ABS(+H541+H542+H543-H544)</f>
        <v>0</v>
      </c>
      <c r="I545" s="1002">
        <f t="shared" si="496"/>
        <v>5.5511151231257827E-17</v>
      </c>
      <c r="J545" s="1002">
        <f t="shared" si="496"/>
        <v>0</v>
      </c>
      <c r="K545" s="1002">
        <f t="shared" si="496"/>
        <v>9.9999999999961231E-6</v>
      </c>
      <c r="L545" s="1002">
        <f t="shared" si="496"/>
        <v>6.9388939039072284E-18</v>
      </c>
      <c r="M545" s="1002">
        <f t="shared" si="496"/>
        <v>0</v>
      </c>
      <c r="N545" s="1002">
        <f t="shared" si="496"/>
        <v>9.9999999999995925E-6</v>
      </c>
      <c r="O545" s="1002">
        <f t="shared" si="496"/>
        <v>9.9999999999961231E-6</v>
      </c>
      <c r="P545" s="1002">
        <f t="shared" si="496"/>
        <v>1.3877787807814457E-17</v>
      </c>
      <c r="Q545" s="1002">
        <f t="shared" si="496"/>
        <v>0</v>
      </c>
      <c r="R545" s="1002">
        <f t="shared" si="496"/>
        <v>0</v>
      </c>
      <c r="S545" s="1002">
        <f t="shared" si="496"/>
        <v>1.0000000000065512E-5</v>
      </c>
      <c r="T545" s="2906">
        <f t="shared" si="496"/>
        <v>1.0000000000065512E-5</v>
      </c>
      <c r="U545" s="2906">
        <f t="shared" si="496"/>
        <v>0</v>
      </c>
      <c r="V545" s="2906">
        <f>ABS(+V541+V542+V543-V544)</f>
        <v>0</v>
      </c>
      <c r="W545" s="2906">
        <f t="shared" si="496"/>
        <v>2.2204460492503131E-16</v>
      </c>
      <c r="X545" s="2906">
        <f t="shared" si="496"/>
        <v>0</v>
      </c>
      <c r="Y545" s="2906">
        <f t="shared" si="496"/>
        <v>0</v>
      </c>
      <c r="Z545" s="2906">
        <f t="shared" ref="Z545:AE545" si="497">ABS(+Z541+Z542+Z543-Z544)</f>
        <v>0</v>
      </c>
      <c r="AA545" s="2906">
        <f t="shared" si="497"/>
        <v>0</v>
      </c>
      <c r="AB545" s="2906">
        <f t="shared" si="497"/>
        <v>0</v>
      </c>
      <c r="AC545" s="2906">
        <f t="shared" ca="1" si="497"/>
        <v>0</v>
      </c>
      <c r="AD545" s="2906">
        <f t="shared" ca="1" si="497"/>
        <v>0</v>
      </c>
      <c r="AE545" s="2906">
        <f t="shared" ca="1" si="497"/>
        <v>0</v>
      </c>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row>
    <row r="546" spans="1:113" ht="12.75" customHeight="1">
      <c r="A546" s="664"/>
      <c r="B546" s="664"/>
      <c r="C546" s="774"/>
      <c r="E546" s="786"/>
      <c r="F546" s="787"/>
      <c r="G546" s="703"/>
      <c r="Q546" s="699"/>
      <c r="R546" s="699"/>
      <c r="S546" s="699"/>
      <c r="AB546" s="2221"/>
      <c r="AC546" s="2221"/>
      <c r="AD546" s="2221"/>
      <c r="AE546" s="2221"/>
    </row>
    <row r="547" spans="1:113" ht="12.75" customHeight="1">
      <c r="A547" s="664"/>
      <c r="B547" s="664"/>
      <c r="C547" s="774"/>
      <c r="D547" s="742"/>
      <c r="E547" s="743" t="s">
        <v>1311</v>
      </c>
      <c r="F547" s="744"/>
      <c r="G547" s="745">
        <f>+InputY!$G$3</f>
        <v>1995</v>
      </c>
      <c r="H547" s="745">
        <f>+G547+1</f>
        <v>1996</v>
      </c>
      <c r="I547" s="745">
        <f t="shared" ref="I547:O547" si="498">+H547+1</f>
        <v>1997</v>
      </c>
      <c r="J547" s="745">
        <f t="shared" si="498"/>
        <v>1998</v>
      </c>
      <c r="K547" s="745">
        <f>+J547+1</f>
        <v>1999</v>
      </c>
      <c r="L547" s="745">
        <f t="shared" si="498"/>
        <v>2000</v>
      </c>
      <c r="M547" s="745">
        <f t="shared" si="498"/>
        <v>2001</v>
      </c>
      <c r="N547" s="745">
        <f t="shared" si="498"/>
        <v>2002</v>
      </c>
      <c r="O547" s="745">
        <f t="shared" si="498"/>
        <v>2003</v>
      </c>
      <c r="P547" s="745">
        <f t="shared" ref="P547:W547" si="499">+O547+1</f>
        <v>2004</v>
      </c>
      <c r="Q547" s="745">
        <f t="shared" si="499"/>
        <v>2005</v>
      </c>
      <c r="R547" s="745">
        <f t="shared" si="499"/>
        <v>2006</v>
      </c>
      <c r="S547" s="745">
        <f t="shared" si="499"/>
        <v>2007</v>
      </c>
      <c r="T547" s="2211">
        <f t="shared" si="499"/>
        <v>2008</v>
      </c>
      <c r="U547" s="2211">
        <f t="shared" si="499"/>
        <v>2009</v>
      </c>
      <c r="V547" s="2211">
        <f t="shared" si="499"/>
        <v>2010</v>
      </c>
      <c r="W547" s="2211">
        <f t="shared" si="499"/>
        <v>2011</v>
      </c>
      <c r="X547" s="2211">
        <f t="shared" ref="X547:AE547" si="500">+W547+1</f>
        <v>2012</v>
      </c>
      <c r="Y547" s="2211">
        <f t="shared" si="500"/>
        <v>2013</v>
      </c>
      <c r="Z547" s="2211">
        <f t="shared" si="500"/>
        <v>2014</v>
      </c>
      <c r="AA547" s="2211">
        <f t="shared" si="500"/>
        <v>2015</v>
      </c>
      <c r="AB547" s="2211">
        <f t="shared" si="500"/>
        <v>2016</v>
      </c>
      <c r="AC547" s="2211">
        <f t="shared" si="500"/>
        <v>2017</v>
      </c>
      <c r="AD547" s="2211">
        <f t="shared" si="500"/>
        <v>2018</v>
      </c>
      <c r="AE547" s="2211">
        <f t="shared" si="500"/>
        <v>2019</v>
      </c>
    </row>
    <row r="548" spans="1:113" ht="12.75" customHeight="1">
      <c r="A548" s="664"/>
      <c r="B548" s="664"/>
      <c r="C548" s="794" t="s">
        <v>1767</v>
      </c>
      <c r="D548" s="689" t="s">
        <v>685</v>
      </c>
      <c r="E548" s="738" t="s">
        <v>377</v>
      </c>
      <c r="F548" s="733" t="s">
        <v>2076</v>
      </c>
      <c r="G548" s="739"/>
      <c r="H548" s="739">
        <f t="shared" ref="H548:AB549" si="501">(H541/G541-1)*100</f>
        <v>-84.012298232129126</v>
      </c>
      <c r="I548" s="739">
        <f t="shared" si="501"/>
        <v>2635.5769230769229</v>
      </c>
      <c r="J548" s="739">
        <f t="shared" si="501"/>
        <v>-52.847100175746917</v>
      </c>
      <c r="K548" s="739">
        <f>(K541/J541-1)*100</f>
        <v>-235.92992918374952</v>
      </c>
      <c r="L548" s="739">
        <f t="shared" si="501"/>
        <v>-99.533863449410475</v>
      </c>
      <c r="M548" s="739">
        <f t="shared" si="501"/>
        <v>61252.941176470464</v>
      </c>
      <c r="N548" s="739">
        <f t="shared" si="501"/>
        <v>-98.22627037392138</v>
      </c>
      <c r="O548" s="739">
        <f t="shared" si="501"/>
        <v>-568.10810810810801</v>
      </c>
      <c r="P548" s="739">
        <f t="shared" si="501"/>
        <v>66.859122401847571</v>
      </c>
      <c r="Q548" s="739">
        <f t="shared" si="501"/>
        <v>-374.60207612456753</v>
      </c>
      <c r="R548" s="739">
        <f t="shared" si="501"/>
        <v>-112.1975806451613</v>
      </c>
      <c r="S548" s="739">
        <f t="shared" si="501"/>
        <v>853.92561983471114</v>
      </c>
      <c r="T548" s="739">
        <f t="shared" si="501"/>
        <v>193.54559237600176</v>
      </c>
      <c r="U548" s="739">
        <f t="shared" si="501"/>
        <v>-141.9316756437689</v>
      </c>
      <c r="V548" s="739">
        <f t="shared" si="501"/>
        <v>-52.243533345064222</v>
      </c>
      <c r="W548" s="739">
        <f t="shared" si="501"/>
        <v>-338.83566691230646</v>
      </c>
      <c r="X548" s="739">
        <f t="shared" si="501"/>
        <v>36.31595186670782</v>
      </c>
      <c r="Y548" s="739">
        <f t="shared" si="501"/>
        <v>16.976007243096426</v>
      </c>
      <c r="Z548" s="739">
        <f t="shared" si="501"/>
        <v>-87.451625386996895</v>
      </c>
      <c r="AA548" s="739">
        <f t="shared" si="501"/>
        <v>123.20740169622204</v>
      </c>
      <c r="AB548" s="739">
        <f t="shared" si="501"/>
        <v>-114.88773747841105</v>
      </c>
      <c r="AC548" s="2289">
        <f ca="1">+AC551</f>
        <v>0</v>
      </c>
      <c r="AD548" s="2289">
        <f ca="1">+AD551</f>
        <v>0</v>
      </c>
      <c r="AE548" s="2289">
        <f ca="1">+AE551</f>
        <v>0</v>
      </c>
    </row>
    <row r="549" spans="1:113" ht="12.75" customHeight="1">
      <c r="A549" s="664"/>
      <c r="B549" s="664"/>
      <c r="C549" s="795" t="s">
        <v>1767</v>
      </c>
      <c r="D549" s="831" t="s">
        <v>686</v>
      </c>
      <c r="E549" s="832" t="s">
        <v>377</v>
      </c>
      <c r="F549" s="704" t="s">
        <v>382</v>
      </c>
      <c r="G549" s="706"/>
      <c r="H549" s="706">
        <f t="shared" ref="H549:V549" si="502">(H542/G542-1)*100</f>
        <v>-74.442040185471399</v>
      </c>
      <c r="I549" s="706">
        <f t="shared" si="502"/>
        <v>381.25302370585388</v>
      </c>
      <c r="J549" s="706">
        <f t="shared" si="502"/>
        <v>-84.362905252576027</v>
      </c>
      <c r="K549" s="706">
        <f>(K542/J542-1)*100</f>
        <v>-231.37254901960787</v>
      </c>
      <c r="L549" s="706">
        <f t="shared" si="502"/>
        <v>20.430633716662584</v>
      </c>
      <c r="M549" s="706">
        <f t="shared" si="502"/>
        <v>124.19748069890288</v>
      </c>
      <c r="N549" s="706">
        <f t="shared" si="502"/>
        <v>-81.712732215677391</v>
      </c>
      <c r="O549" s="706">
        <f t="shared" si="502"/>
        <v>-259.81169474727454</v>
      </c>
      <c r="P549" s="706">
        <f t="shared" si="502"/>
        <v>-290.66666666666669</v>
      </c>
      <c r="Q549" s="706">
        <f t="shared" si="502"/>
        <v>-377.39469832493086</v>
      </c>
      <c r="R549" s="706">
        <f t="shared" si="502"/>
        <v>-2.9899747904086227</v>
      </c>
      <c r="S549" s="706">
        <f t="shared" si="502"/>
        <v>479.67607421284828</v>
      </c>
      <c r="T549" s="706">
        <f t="shared" si="502"/>
        <v>-54.663830940689536</v>
      </c>
      <c r="U549" s="706">
        <f t="shared" si="502"/>
        <v>-428.76787931748146</v>
      </c>
      <c r="V549" s="706">
        <f t="shared" si="502"/>
        <v>-123.93822393822393</v>
      </c>
      <c r="W549" s="706">
        <f t="shared" si="501"/>
        <v>175.02921926133715</v>
      </c>
      <c r="X549" s="706">
        <f t="shared" si="501"/>
        <v>-38.577013790026136</v>
      </c>
      <c r="Y549" s="706">
        <f t="shared" si="501"/>
        <v>-59.199169765631751</v>
      </c>
      <c r="Z549" s="706">
        <f t="shared" si="501"/>
        <v>-88.320827504345246</v>
      </c>
      <c r="AA549" s="706">
        <f t="shared" si="501"/>
        <v>994.04718693284974</v>
      </c>
      <c r="AB549" s="706">
        <f t="shared" si="501"/>
        <v>-325.87837165322975</v>
      </c>
      <c r="AC549" s="837">
        <v>1</v>
      </c>
      <c r="AD549" s="837">
        <v>1</v>
      </c>
      <c r="AE549" s="837">
        <v>1</v>
      </c>
    </row>
    <row r="550" spans="1:113" ht="12.75" customHeight="1">
      <c r="A550" s="664"/>
      <c r="B550" s="664"/>
      <c r="C550" s="796" t="s">
        <v>1767</v>
      </c>
      <c r="D550" s="691" t="s">
        <v>687</v>
      </c>
      <c r="E550" s="797" t="s">
        <v>377</v>
      </c>
      <c r="F550" s="736" t="s">
        <v>1177</v>
      </c>
      <c r="G550" s="741"/>
      <c r="H550" s="741">
        <f t="shared" ref="H550:AB550" si="503">(H543/G543-1)*100</f>
        <v>-66.35706914344685</v>
      </c>
      <c r="I550" s="741">
        <f t="shared" si="503"/>
        <v>-19.93865030674845</v>
      </c>
      <c r="J550" s="741">
        <f t="shared" si="503"/>
        <v>-65.517241379310349</v>
      </c>
      <c r="K550" s="741">
        <f>(K543/J543-1)*100</f>
        <v>-81.111111111111114</v>
      </c>
      <c r="L550" s="741">
        <f t="shared" si="503"/>
        <v>141.17647058823533</v>
      </c>
      <c r="M550" s="741">
        <f t="shared" si="503"/>
        <v>480.48780487804868</v>
      </c>
      <c r="N550" s="741">
        <f t="shared" si="503"/>
        <v>437.81512605042019</v>
      </c>
      <c r="O550" s="741">
        <f t="shared" si="503"/>
        <v>-78.671875</v>
      </c>
      <c r="P550" s="741">
        <f t="shared" si="503"/>
        <v>179.4871794871795</v>
      </c>
      <c r="Q550" s="741">
        <f t="shared" si="503"/>
        <v>25.425950196592417</v>
      </c>
      <c r="R550" s="741">
        <f t="shared" si="503"/>
        <v>130.19853709508885</v>
      </c>
      <c r="S550" s="741">
        <f t="shared" si="503"/>
        <v>-5.9010440308669976</v>
      </c>
      <c r="T550" s="741">
        <f t="shared" si="503"/>
        <v>65.750120598166887</v>
      </c>
      <c r="U550" s="741">
        <f t="shared" si="503"/>
        <v>-76.309662398137363</v>
      </c>
      <c r="V550" s="741">
        <f t="shared" si="503"/>
        <v>-56.388206388206399</v>
      </c>
      <c r="W550" s="741">
        <f t="shared" si="503"/>
        <v>30.140845070422539</v>
      </c>
      <c r="X550" s="741">
        <f t="shared" si="503"/>
        <v>36.580086580086579</v>
      </c>
      <c r="Y550" s="741">
        <f t="shared" si="503"/>
        <v>52.139461172741683</v>
      </c>
      <c r="Z550" s="741">
        <f t="shared" si="503"/>
        <v>31.250000000000021</v>
      </c>
      <c r="AA550" s="741">
        <f t="shared" si="503"/>
        <v>281.82539682539681</v>
      </c>
      <c r="AB550" s="741">
        <f t="shared" si="503"/>
        <v>-18.623986697152361</v>
      </c>
      <c r="AC550" s="2238">
        <f ca="1">+AC551</f>
        <v>0</v>
      </c>
      <c r="AD550" s="2238">
        <f ca="1">+AD551</f>
        <v>0</v>
      </c>
      <c r="AE550" s="2238">
        <f ca="1">+AE551</f>
        <v>0</v>
      </c>
    </row>
    <row r="551" spans="1:113" ht="12.75" customHeight="1">
      <c r="A551" s="664"/>
      <c r="B551" s="664"/>
      <c r="C551" s="774" t="s">
        <v>1769</v>
      </c>
      <c r="D551" s="717"/>
      <c r="E551" s="722" t="s">
        <v>377</v>
      </c>
      <c r="F551" s="723" t="s">
        <v>1536</v>
      </c>
      <c r="G551" s="721"/>
      <c r="H551" s="721">
        <f t="shared" ref="H551:V551" si="504">(H544/G544-1)*100</f>
        <v>-74.693700531280498</v>
      </c>
      <c r="I551" s="721">
        <f t="shared" si="504"/>
        <v>453.68466152527844</v>
      </c>
      <c r="J551" s="721">
        <f t="shared" si="504"/>
        <v>-77.234388299930359</v>
      </c>
      <c r="K551" s="721">
        <f>(K544/J544-1)*100</f>
        <v>-231.13528212100613</v>
      </c>
      <c r="L551" s="721">
        <f t="shared" si="504"/>
        <v>-36.521513737687918</v>
      </c>
      <c r="M551" s="721">
        <f t="shared" si="504"/>
        <v>333.38097182523489</v>
      </c>
      <c r="N551" s="721">
        <f t="shared" si="504"/>
        <v>-95.647053281198467</v>
      </c>
      <c r="O551" s="721">
        <f t="shared" si="504"/>
        <v>-572.1861471861472</v>
      </c>
      <c r="P551" s="721">
        <f t="shared" si="504"/>
        <v>-190.32775613110243</v>
      </c>
      <c r="Q551" s="721">
        <f t="shared" si="504"/>
        <v>-456.40700329865524</v>
      </c>
      <c r="R551" s="721">
        <f t="shared" si="504"/>
        <v>36.935782429161335</v>
      </c>
      <c r="S551" s="721">
        <f t="shared" si="504"/>
        <v>433.47197670791297</v>
      </c>
      <c r="T551" s="721">
        <f t="shared" si="504"/>
        <v>-41.063075003898319</v>
      </c>
      <c r="U551" s="721">
        <f t="shared" si="504"/>
        <v>-344.46373648179377</v>
      </c>
      <c r="V551" s="721">
        <f t="shared" si="504"/>
        <v>-121.5541440911274</v>
      </c>
      <c r="W551" s="2220">
        <f t="shared" ref="W551:AE551" si="505">(W544/V544-1)*100</f>
        <v>217.18186097599252</v>
      </c>
      <c r="X551" s="2220">
        <f t="shared" si="505"/>
        <v>-33.430295834570103</v>
      </c>
      <c r="Y551" s="2220">
        <f t="shared" si="505"/>
        <v>-48.151065663921997</v>
      </c>
      <c r="Z551" s="2220">
        <f t="shared" si="505"/>
        <v>-84.772824996416801</v>
      </c>
      <c r="AA551" s="2220">
        <f t="shared" si="505"/>
        <v>612.48117469879526</v>
      </c>
      <c r="AB551" s="2220">
        <f t="shared" si="505"/>
        <v>-270.68195629772504</v>
      </c>
      <c r="AC551" s="2220">
        <f t="shared" ca="1" si="505"/>
        <v>0</v>
      </c>
      <c r="AD551" s="2220">
        <f t="shared" ca="1" si="505"/>
        <v>0</v>
      </c>
      <c r="AE551" s="2220">
        <f t="shared" ca="1" si="505"/>
        <v>0</v>
      </c>
    </row>
    <row r="552" spans="1:113" ht="12.75" customHeight="1">
      <c r="A552" s="664"/>
      <c r="B552" s="664"/>
      <c r="C552" s="774"/>
      <c r="E552" s="786"/>
      <c r="F552" s="787"/>
      <c r="G552" s="703"/>
      <c r="H552" s="788"/>
      <c r="I552" s="788"/>
      <c r="J552" s="788"/>
      <c r="K552" s="788"/>
      <c r="L552" s="788"/>
      <c r="M552" s="788"/>
      <c r="N552" s="788"/>
      <c r="O552" s="788"/>
      <c r="P552" s="788"/>
      <c r="Q552" s="788"/>
      <c r="R552" s="788"/>
      <c r="S552" s="788"/>
      <c r="T552" s="2274"/>
      <c r="U552" s="2274"/>
      <c r="V552" s="2274"/>
      <c r="W552" s="2274"/>
      <c r="X552" s="2274"/>
      <c r="Y552" s="2274"/>
      <c r="Z552" s="2274"/>
      <c r="AA552" s="2274"/>
      <c r="AB552" s="2274"/>
      <c r="AC552" s="2274"/>
      <c r="AD552" s="2274"/>
      <c r="AE552" s="2274"/>
    </row>
    <row r="553" spans="1:113" ht="12.75" customHeight="1">
      <c r="A553" s="664"/>
      <c r="B553" s="664"/>
      <c r="C553" s="774"/>
      <c r="D553" s="818"/>
      <c r="E553" s="819" t="s">
        <v>512</v>
      </c>
      <c r="F553" s="820"/>
      <c r="G553" s="821">
        <f>+InputY!$G$3</f>
        <v>1995</v>
      </c>
      <c r="H553" s="821">
        <f>+G553+1</f>
        <v>1996</v>
      </c>
      <c r="I553" s="821">
        <f t="shared" ref="I553:O553" si="506">+H553+1</f>
        <v>1997</v>
      </c>
      <c r="J553" s="821">
        <f t="shared" si="506"/>
        <v>1998</v>
      </c>
      <c r="K553" s="821">
        <f>+J553+1</f>
        <v>1999</v>
      </c>
      <c r="L553" s="821">
        <f t="shared" si="506"/>
        <v>2000</v>
      </c>
      <c r="M553" s="821">
        <f t="shared" si="506"/>
        <v>2001</v>
      </c>
      <c r="N553" s="821">
        <f t="shared" si="506"/>
        <v>2002</v>
      </c>
      <c r="O553" s="821">
        <f t="shared" si="506"/>
        <v>2003</v>
      </c>
      <c r="P553" s="821">
        <f t="shared" ref="P553:V553" si="507">+O553+1</f>
        <v>2004</v>
      </c>
      <c r="Q553" s="821">
        <f t="shared" si="507"/>
        <v>2005</v>
      </c>
      <c r="R553" s="821">
        <f t="shared" si="507"/>
        <v>2006</v>
      </c>
      <c r="S553" s="821">
        <f>+R553+1</f>
        <v>2007</v>
      </c>
      <c r="T553" s="821">
        <f t="shared" si="507"/>
        <v>2008</v>
      </c>
      <c r="U553" s="821">
        <f t="shared" si="507"/>
        <v>2009</v>
      </c>
      <c r="V553" s="821">
        <f t="shared" si="507"/>
        <v>2010</v>
      </c>
      <c r="W553" s="821">
        <f t="shared" ref="W553:AE553" si="508">+V553+1</f>
        <v>2011</v>
      </c>
      <c r="X553" s="821">
        <f t="shared" si="508"/>
        <v>2012</v>
      </c>
      <c r="Y553" s="821">
        <f t="shared" si="508"/>
        <v>2013</v>
      </c>
      <c r="Z553" s="821">
        <f t="shared" si="508"/>
        <v>2014</v>
      </c>
      <c r="AA553" s="821">
        <f t="shared" si="508"/>
        <v>2015</v>
      </c>
      <c r="AB553" s="821">
        <f t="shared" si="508"/>
        <v>2016</v>
      </c>
      <c r="AC553" s="821">
        <f t="shared" si="508"/>
        <v>2017</v>
      </c>
      <c r="AD553" s="821">
        <f t="shared" si="508"/>
        <v>2018</v>
      </c>
      <c r="AE553" s="821">
        <f t="shared" si="508"/>
        <v>2019</v>
      </c>
    </row>
    <row r="554" spans="1:113" ht="12.75" customHeight="1">
      <c r="A554" s="664"/>
      <c r="B554" s="664"/>
      <c r="C554" s="822" t="s">
        <v>1767</v>
      </c>
      <c r="D554" s="823" t="s">
        <v>685</v>
      </c>
      <c r="E554" s="824" t="s">
        <v>377</v>
      </c>
      <c r="F554" s="825" t="s">
        <v>2076</v>
      </c>
      <c r="G554" s="838">
        <f>+G541/'VVP2'!G$341</f>
        <v>1.6755682571900682E-3</v>
      </c>
      <c r="H554" s="838">
        <f>+H541/'VVP2'!H$341</f>
        <v>2.1412063845009603E-4</v>
      </c>
      <c r="I554" s="838">
        <f>+I541/'VVP2'!I$341</f>
        <v>4.8531516486215861E-3</v>
      </c>
      <c r="J554" s="838">
        <f>+J541/'VVP2'!J$341</f>
        <v>2.0603657206749218E-3</v>
      </c>
      <c r="K554" s="838">
        <f>+K541/'VVP2'!K$341</f>
        <v>-2.8689246763708215E-3</v>
      </c>
      <c r="L554" s="838">
        <f>+L541/'VVP2'!L$341</f>
        <v>-1.2716764735364152E-5</v>
      </c>
      <c r="M554" s="838">
        <f>+M541/'VVP2'!M$341</f>
        <v>-7.3479060933374285E-3</v>
      </c>
      <c r="N554" s="838">
        <f>+N541/'VVP2'!N$341</f>
        <v>-1.2169315301697061E-4</v>
      </c>
      <c r="O554" s="838">
        <f>+O541/'VVP2'!O$341</f>
        <v>5.1954347367006467E-4</v>
      </c>
      <c r="P554" s="838">
        <f>+P541/'VVP2'!P$341</f>
        <v>7.9231395152464228E-4</v>
      </c>
      <c r="Q554" s="838">
        <f>+Q541/'VVP2'!Q$341</f>
        <v>-1.8893123864710379E-3</v>
      </c>
      <c r="R554" s="838">
        <f>+R541/'VVP2'!R$341</f>
        <v>2.0100352254520288E-4</v>
      </c>
      <c r="S554" s="838">
        <f>+S541/'VVP2'!S$341</f>
        <v>1.5898399003328439E-3</v>
      </c>
      <c r="T554" s="2909">
        <f>+T541/'VVP2'!T$341</f>
        <v>4.145119872964142E-3</v>
      </c>
      <c r="U554" s="2909">
        <f>+U541/'VVP2'!U$341</f>
        <v>-2.1099082897156913E-3</v>
      </c>
      <c r="V554" s="2909">
        <f>+V541/'VVP2'!V$341</f>
        <v>-9.6832914342474537E-4</v>
      </c>
      <c r="W554" s="2909">
        <f>+W541/'VVP2'!W$341</f>
        <v>2.0725607283954245E-3</v>
      </c>
      <c r="X554" s="2909">
        <f>+X541/'VVP2'!X$341</f>
        <v>2.6495960235668908E-3</v>
      </c>
      <c r="Y554" s="2909">
        <f>+Y541/'VVP2'!Y$341</f>
        <v>2.9565513384716374E-3</v>
      </c>
      <c r="Z554" s="2909">
        <f>+Z541/'VVP2'!Z$341</f>
        <v>3.5467897314284401E-4</v>
      </c>
      <c r="AA554" s="2909">
        <f>+AA541/'VVP2'!AA$341</f>
        <v>7.7351381810962831E-4</v>
      </c>
      <c r="AB554" s="2909">
        <f>+AB541/'VVP2'!AB$341</f>
        <v>-1.1146075133339127E-4</v>
      </c>
      <c r="AC554" s="2909">
        <f ca="1">+AC541/'VVP2'!AC$341</f>
        <v>-1.0316040667939107E-4</v>
      </c>
      <c r="AD554" s="2909">
        <f ca="1">+AD541/'VVP2'!AD$341</f>
        <v>-9.7485819432895337E-5</v>
      </c>
      <c r="AE554" s="2909">
        <f ca="1">+AE541/'VVP2'!AE$341</f>
        <v>-9.233818076170573E-5</v>
      </c>
    </row>
    <row r="555" spans="1:113" ht="12.75" customHeight="1">
      <c r="A555" s="664"/>
      <c r="B555" s="664"/>
      <c r="C555" s="826" t="s">
        <v>1767</v>
      </c>
      <c r="D555" s="674" t="s">
        <v>686</v>
      </c>
      <c r="E555" s="783" t="s">
        <v>377</v>
      </c>
      <c r="F555" s="704" t="s">
        <v>382</v>
      </c>
      <c r="G555" s="839">
        <f>+G542/'VVP2'!G$341</f>
        <v>2.0831911268293125E-2</v>
      </c>
      <c r="H555" s="839">
        <f>+H542/'VVP2'!H$341</f>
        <v>4.2556476891956584E-3</v>
      </c>
      <c r="I555" s="839">
        <f>+I542/'VVP2'!I$341</f>
        <v>1.6968972240654911E-2</v>
      </c>
      <c r="J555" s="839">
        <f>+J542/'VVP2'!J$341</f>
        <v>2.3890412810360345E-3</v>
      </c>
      <c r="K555" s="839">
        <f>+K542/'VVP2'!K$341</f>
        <v>-3.2150521393823832E-3</v>
      </c>
      <c r="L555" s="839">
        <f>+L542/'VVP2'!L$341</f>
        <v>-3.681877413380131E-3</v>
      </c>
      <c r="M555" s="839">
        <f>+M542/'VVP2'!M$341</f>
        <v>-7.7741269165847102E-3</v>
      </c>
      <c r="N555" s="839">
        <f>+N542/'VVP2'!N$341</f>
        <v>-1.3274420691256577E-3</v>
      </c>
      <c r="O555" s="839">
        <f>+O542/'VVP2'!O$341</f>
        <v>1.9347894949029547E-3</v>
      </c>
      <c r="P555" s="839">
        <f>+P542/'VVP2'!P$341</f>
        <v>-3.3715837286678379E-3</v>
      </c>
      <c r="Q555" s="839">
        <f>+Q542/'VVP2'!Q$341</f>
        <v>8.1214721209769379E-3</v>
      </c>
      <c r="R555" s="839">
        <f>+R542/'VVP2'!R$341</f>
        <v>6.8719117511476724E-3</v>
      </c>
      <c r="S555" s="839">
        <f>+S542/'VVP2'!S$341</f>
        <v>3.302920801386746E-2</v>
      </c>
      <c r="T555" s="2910">
        <f>+T542/'VVP2'!T$341</f>
        <v>1.3299983973711994E-2</v>
      </c>
      <c r="U555" s="2910">
        <f>+U542/'VVP2'!U$341</f>
        <v>-5.3079248348420378E-2</v>
      </c>
      <c r="V555" s="2910">
        <f>+V542/'VVP2'!V$341</f>
        <v>1.221079462216967E-2</v>
      </c>
      <c r="W555" s="2910">
        <f>+W542/'VVP2'!W$341</f>
        <v>3.0095935069569237E-2</v>
      </c>
      <c r="X555" s="2910">
        <f>+X542/'VVP2'!X$341</f>
        <v>1.7336622238854665E-2</v>
      </c>
      <c r="Y555" s="2910">
        <f>+Y542/'VVP2'!Y$341</f>
        <v>6.7474931814248719E-3</v>
      </c>
      <c r="Z555" s="2910">
        <f>+Z542/'VVP2'!Z$341</f>
        <v>7.5338517425484587E-4</v>
      </c>
      <c r="AA555" s="2910">
        <f>+AA542/'VVP2'!AA$341</f>
        <v>8.0533609642978628E-3</v>
      </c>
      <c r="AB555" s="2910">
        <f>+AB542/'VVP2'!AB$341</f>
        <v>-1.7606660956565993E-2</v>
      </c>
      <c r="AC555" s="2910">
        <f ca="1">+AC542/'VVP2'!AC$341</f>
        <v>-1.6295514634678196E-2</v>
      </c>
      <c r="AD555" s="2910">
        <f ca="1">+AD542/'VVP2'!AD$341</f>
        <v>-1.5399140507263062E-2</v>
      </c>
      <c r="AE555" s="2910">
        <f ca="1">+AE542/'VVP2'!AE$341</f>
        <v>-1.4586004692850228E-2</v>
      </c>
    </row>
    <row r="556" spans="1:113" ht="12.75" customHeight="1">
      <c r="A556" s="664"/>
      <c r="B556" s="664"/>
      <c r="C556" s="827" t="s">
        <v>1767</v>
      </c>
      <c r="D556" s="828" t="s">
        <v>687</v>
      </c>
      <c r="E556" s="829" t="s">
        <v>377</v>
      </c>
      <c r="F556" s="830" t="s">
        <v>1177</v>
      </c>
      <c r="G556" s="840">
        <f>+G543/'VVP2'!G$341</f>
        <v>1.247982814156169E-3</v>
      </c>
      <c r="H556" s="840">
        <f>+H543/'VVP2'!H$341</f>
        <v>3.3559292372466968E-4</v>
      </c>
      <c r="I556" s="840">
        <f>+I543/'VVP2'!I$341</f>
        <v>2.2261381024432934E-4</v>
      </c>
      <c r="J556" s="840">
        <f>+J543/'VVP2'!J$341</f>
        <v>6.9114019702103219E-5</v>
      </c>
      <c r="K556" s="840">
        <f>+K543/'VVP2'!K$341</f>
        <v>1.3373106525446662E-5</v>
      </c>
      <c r="L556" s="840">
        <f>+L543/'VVP2'!L$341</f>
        <v>3.0669844361760537E-5</v>
      </c>
      <c r="M556" s="840">
        <f>+M543/'VVP2'!M$341</f>
        <v>1.676703403848809E-4</v>
      </c>
      <c r="N556" s="840">
        <f>+N543/'VVP2'!N$341</f>
        <v>8.4198505871201285E-4</v>
      </c>
      <c r="O556" s="840">
        <f>+O543/'VVP2'!O$341</f>
        <v>1.6378218049876173E-4</v>
      </c>
      <c r="P556" s="840">
        <f>+P543/'VVP2'!P$341</f>
        <v>4.1836369897114333E-4</v>
      </c>
      <c r="Q556" s="840">
        <f>+Q543/'VVP2'!Q$341</f>
        <v>4.5566329482176995E-4</v>
      </c>
      <c r="R556" s="840">
        <f>+R543/'VVP2'!R$341</f>
        <v>9.1489826480802092E-4</v>
      </c>
      <c r="S556" s="840">
        <f>+S543/'VVP2'!S$341</f>
        <v>7.1382675187134186E-4</v>
      </c>
      <c r="T556" s="2911">
        <f>+T543/'VVP2'!T$341</f>
        <v>1.0508840761089642E-3</v>
      </c>
      <c r="U556" s="2911">
        <f>+U543/'VVP2'!U$341</f>
        <v>3.0221104132123407E-4</v>
      </c>
      <c r="V556" s="2911">
        <f>+V543/'VVP2'!V$341</f>
        <v>1.2666059171546963E-4</v>
      </c>
      <c r="W556" s="2911">
        <f>+W543/'VVP2'!W$341</f>
        <v>1.4772031109513826E-4</v>
      </c>
      <c r="X556" s="2911">
        <f>+X543/'VVP2'!X$341</f>
        <v>1.8921402114878996E-4</v>
      </c>
      <c r="Y556" s="2911">
        <f>+Y543/'VVP2'!Y$341</f>
        <v>2.746022914989137E-4</v>
      </c>
      <c r="Z556" s="2911">
        <f>+Z543/'VVP2'!Z$341</f>
        <v>3.4456091454123625E-4</v>
      </c>
      <c r="AA556" s="2911">
        <f>+AA543/'VVP2'!AA$341</f>
        <v>1.2854490428067088E-3</v>
      </c>
      <c r="AB556" s="2911">
        <f>+AB543/'VVP2'!AB$341</f>
        <v>1.0124567087476258E-3</v>
      </c>
      <c r="AC556" s="2911">
        <f ca="1">+AC543/'VVP2'!AC$341</f>
        <v>9.37060306612102E-4</v>
      </c>
      <c r="AD556" s="2911">
        <f ca="1">+AD543/'VVP2'!AD$341</f>
        <v>8.8551504194845753E-4</v>
      </c>
      <c r="AE556" s="2911">
        <f ca="1">+AE543/'VVP2'!AE$341</f>
        <v>8.3875632872871891E-4</v>
      </c>
    </row>
    <row r="557" spans="1:113" ht="12.75" customHeight="1">
      <c r="A557" s="664"/>
      <c r="B557" s="664"/>
      <c r="C557" s="774" t="s">
        <v>1769</v>
      </c>
      <c r="D557" s="806"/>
      <c r="E557" s="807" t="s">
        <v>377</v>
      </c>
      <c r="F557" s="808" t="s">
        <v>1536</v>
      </c>
      <c r="G557" s="841">
        <f>+G544/'VVP2'!G$341</f>
        <v>2.3756750247600308E-2</v>
      </c>
      <c r="H557" s="841">
        <f>+H544/'VVP2'!H$341</f>
        <v>4.8053612513704238E-3</v>
      </c>
      <c r="I557" s="841">
        <f>+I544/'VVP2'!I$341</f>
        <v>2.2044737699520825E-2</v>
      </c>
      <c r="J557" s="841">
        <f>+J544/'VVP2'!J$341</f>
        <v>4.5185210214130599E-3</v>
      </c>
      <c r="K557" s="841">
        <f>+K544/'VVP2'!K$341</f>
        <v>-6.0698170559027311E-3</v>
      </c>
      <c r="L557" s="841">
        <f>+L544/'VVP2'!L$341</f>
        <v>-3.6639243337537341E-3</v>
      </c>
      <c r="M557" s="841">
        <f>+M544/'VVP2'!M$341</f>
        <v>-1.4954362669537258E-2</v>
      </c>
      <c r="N557" s="841">
        <f>+N544/'VVP2'!N$341</f>
        <v>-6.0780796425773424E-4</v>
      </c>
      <c r="O557" s="841">
        <f>+O544/'VVP2'!O$341</f>
        <v>2.6175152143446795E-3</v>
      </c>
      <c r="P557" s="841">
        <f>+P544/'VVP2'!P$341</f>
        <v>-2.1609060781720519E-3</v>
      </c>
      <c r="Q557" s="841">
        <f>+Q544/'VVP2'!Q$341</f>
        <v>6.6878230293276704E-3</v>
      </c>
      <c r="R557" s="841">
        <f>+R544/'VVP2'!R$341</f>
        <v>7.9878135385008965E-3</v>
      </c>
      <c r="S557" s="841">
        <f>+S544/'VVP2'!S$341</f>
        <v>3.5332530321280572E-2</v>
      </c>
      <c r="T557" s="2912">
        <f>+T544/'VVP2'!T$341</f>
        <v>1.8495682077594149E-2</v>
      </c>
      <c r="U557" s="2912">
        <f>+U544/'VVP2'!U$341</f>
        <v>-5.4886945596814833E-2</v>
      </c>
      <c r="V557" s="2912">
        <f>+V544/'VVP2'!V$341</f>
        <v>1.1369126070460395E-2</v>
      </c>
      <c r="W557" s="2912">
        <f>+W544/'VVP2'!W$341</f>
        <v>3.2316216109059798E-2</v>
      </c>
      <c r="X557" s="2912">
        <f>+X544/'VVP2'!X$341</f>
        <v>2.0175432283570348E-2</v>
      </c>
      <c r="Y557" s="2912">
        <f>+Y544/'VVP2'!Y$341</f>
        <v>9.9786468113954238E-3</v>
      </c>
      <c r="Z557" s="2912">
        <f>+Z544/'VVP2'!Z$341</f>
        <v>1.4526250619389264E-3</v>
      </c>
      <c r="AA557" s="2912">
        <f>+AA544/'VVP2'!AA$341</f>
        <v>1.0112323825214199E-2</v>
      </c>
      <c r="AB557" s="2912">
        <f>+AB544/'VVP2'!AB$341</f>
        <v>-1.670566499915176E-2</v>
      </c>
      <c r="AC557" s="2912">
        <f ca="1">+AC544/'VVP2'!AC$341</f>
        <v>-1.5461614734745485E-2</v>
      </c>
      <c r="AD557" s="2912">
        <f ca="1">+AD544/'VVP2'!AD$341</f>
        <v>-1.4611111284747499E-2</v>
      </c>
      <c r="AE557" s="2912">
        <f ca="1">+AE544/'VVP2'!AE$341</f>
        <v>-1.3839586544883216E-2</v>
      </c>
    </row>
    <row r="558" spans="1:113" ht="30" customHeight="1">
      <c r="A558" s="664"/>
      <c r="B558" s="664"/>
      <c r="C558" s="774"/>
      <c r="S558" s="843"/>
      <c r="U558" s="843"/>
      <c r="AB558" s="2221"/>
      <c r="AC558" s="2221"/>
      <c r="AD558" s="2221"/>
      <c r="AE558" s="2221"/>
    </row>
    <row r="559" spans="1:113" ht="30" customHeight="1">
      <c r="AB559" s="2221"/>
      <c r="AC559" s="2221"/>
      <c r="AD559" s="2221"/>
      <c r="AE559" s="2221"/>
    </row>
    <row r="560" spans="1:113" ht="22.5" customHeight="1">
      <c r="A560" s="574"/>
      <c r="B560" s="574"/>
      <c r="C560" s="3751" t="s">
        <v>378</v>
      </c>
      <c r="D560" s="3751"/>
      <c r="E560" s="3751"/>
      <c r="F560" s="3751"/>
      <c r="R560" s="2270"/>
      <c r="AB560" s="2221"/>
      <c r="AC560" s="2221"/>
      <c r="AD560" s="2221"/>
      <c r="AE560" s="2221"/>
    </row>
    <row r="561" spans="1:113" ht="12.75" customHeight="1">
      <c r="A561" s="664"/>
      <c r="B561" s="664"/>
      <c r="C561" s="774"/>
      <c r="P561" s="703"/>
      <c r="R561" s="2867"/>
      <c r="AB561" s="2221"/>
      <c r="AC561" s="2221"/>
      <c r="AD561" s="2221"/>
      <c r="AE561" s="2221"/>
    </row>
    <row r="562" spans="1:113" ht="12.75" customHeight="1">
      <c r="A562" s="664"/>
      <c r="B562" s="664"/>
      <c r="C562" s="774"/>
      <c r="D562" s="775"/>
      <c r="E562" s="776" t="s">
        <v>1384</v>
      </c>
      <c r="F562" s="777"/>
      <c r="G562" s="778">
        <f>+InputY!$G$3</f>
        <v>1995</v>
      </c>
      <c r="H562" s="778">
        <f>+G562+1</f>
        <v>1996</v>
      </c>
      <c r="I562" s="778">
        <f t="shared" ref="I562:O562" si="509">+H562+1</f>
        <v>1997</v>
      </c>
      <c r="J562" s="778">
        <f t="shared" si="509"/>
        <v>1998</v>
      </c>
      <c r="K562" s="778">
        <f>+J562+1</f>
        <v>1999</v>
      </c>
      <c r="L562" s="778">
        <f t="shared" si="509"/>
        <v>2000</v>
      </c>
      <c r="M562" s="778">
        <f t="shared" si="509"/>
        <v>2001</v>
      </c>
      <c r="N562" s="778">
        <f t="shared" si="509"/>
        <v>2002</v>
      </c>
      <c r="O562" s="778">
        <f t="shared" si="509"/>
        <v>2003</v>
      </c>
      <c r="P562" s="778">
        <f t="shared" ref="P562:W562" si="510">+O562+1</f>
        <v>2004</v>
      </c>
      <c r="Q562" s="778">
        <f t="shared" si="510"/>
        <v>2005</v>
      </c>
      <c r="R562" s="778">
        <f t="shared" si="510"/>
        <v>2006</v>
      </c>
      <c r="S562" s="778">
        <f t="shared" si="510"/>
        <v>2007</v>
      </c>
      <c r="T562" s="2222">
        <f t="shared" si="510"/>
        <v>2008</v>
      </c>
      <c r="U562" s="2222">
        <f t="shared" si="510"/>
        <v>2009</v>
      </c>
      <c r="V562" s="2222">
        <f t="shared" si="510"/>
        <v>2010</v>
      </c>
      <c r="W562" s="2222">
        <f t="shared" si="510"/>
        <v>2011</v>
      </c>
      <c r="X562" s="2222">
        <f t="shared" ref="X562:AE562" si="511">+W562+1</f>
        <v>2012</v>
      </c>
      <c r="Y562" s="2222">
        <f t="shared" si="511"/>
        <v>2013</v>
      </c>
      <c r="Z562" s="2222">
        <f t="shared" si="511"/>
        <v>2014</v>
      </c>
      <c r="AA562" s="2222">
        <f t="shared" si="511"/>
        <v>2015</v>
      </c>
      <c r="AB562" s="2222">
        <f t="shared" si="511"/>
        <v>2016</v>
      </c>
      <c r="AC562" s="2222">
        <f t="shared" si="511"/>
        <v>2017</v>
      </c>
      <c r="AD562" s="2222">
        <f t="shared" si="511"/>
        <v>2018</v>
      </c>
      <c r="AE562" s="2222">
        <f t="shared" si="511"/>
        <v>2019</v>
      </c>
    </row>
    <row r="563" spans="1:113" ht="12.75" customHeight="1">
      <c r="A563" s="664"/>
      <c r="B563" s="664"/>
      <c r="C563" s="779" t="s">
        <v>401</v>
      </c>
      <c r="D563" s="668" t="s">
        <v>685</v>
      </c>
      <c r="E563" s="700" t="s">
        <v>378</v>
      </c>
      <c r="F563" s="3621" t="s">
        <v>505</v>
      </c>
      <c r="G563" s="780">
        <f>+G458+G488-G519-G541-'VVP2'!G228</f>
        <v>-0.22516999999999965</v>
      </c>
      <c r="H563" s="780">
        <f>+H458+H488-H519-H541-'VVP2'!H228</f>
        <v>-0.36486999999999992</v>
      </c>
      <c r="I563" s="780">
        <f>+I458+I488-I519-I541-'VVP2'!I228</f>
        <v>1.2108699999999999</v>
      </c>
      <c r="J563" s="780">
        <f>+J458+J488-J519-J541-'VVP2'!J228</f>
        <v>5.0399999999997114E-2</v>
      </c>
      <c r="K563" s="780">
        <f>+K458+K488-K519-K541-'VVP2'!K228</f>
        <v>1.9470000000000098E-2</v>
      </c>
      <c r="L563" s="780">
        <f>+L458+L488-L519-L541-'VVP2'!L228</f>
        <v>0.28123999999999916</v>
      </c>
      <c r="M563" s="780">
        <f>+M458+M488-M519-M541-'VVP2'!M228</f>
        <v>3.472999999999693E-2</v>
      </c>
      <c r="N563" s="780">
        <f>+N458+N488-N519-N541-'VVP2'!N228</f>
        <v>-5.0589999999998692E-2</v>
      </c>
      <c r="O563" s="780">
        <f>+O458+O488-O519-O541-'VVP2'!O228</f>
        <v>-0.43792999999999954</v>
      </c>
      <c r="P563" s="780">
        <f>+P458+P488-P519-P541-'VVP2'!P228</f>
        <v>0.32683999999999791</v>
      </c>
      <c r="Q563" s="780">
        <f>+Q458+Q488-Q519-Q541-'VVP2'!Q228</f>
        <v>-5.5100000000014582E-3</v>
      </c>
      <c r="R563" s="780">
        <f>+R458+R488-R519-R541-'VVP2'!R228</f>
        <v>0.26163999999999765</v>
      </c>
      <c r="S563" s="780">
        <f>+S458+S488-S519-S541-'VVP2'!S228</f>
        <v>-1.2824399999999945</v>
      </c>
      <c r="T563" s="780">
        <f>+T458+T488-T519-T541-'VVP2'!T228</f>
        <v>-1.3141399999999999</v>
      </c>
      <c r="U563" s="780">
        <f>+U458+U488-U519-U541-'VVP2'!U228</f>
        <v>9.5600000000004126E-2</v>
      </c>
      <c r="V563" s="2267">
        <f>+V458+V488-V519-V541-'VVP2'!V228</f>
        <v>0.62328999999999535</v>
      </c>
      <c r="W563" s="2267">
        <f>+W458+W488-W519-W541-'VVP2'!W228</f>
        <v>1.0828300000000006</v>
      </c>
      <c r="X563" s="2267">
        <f>+X458+X488-X519-X541-'VVP2'!X228</f>
        <v>-0.6336499999999976</v>
      </c>
      <c r="Y563" s="2267">
        <f>+Y458+Y488-Y519-Y541-'VVP2'!Y228</f>
        <v>-0.75928999999999924</v>
      </c>
      <c r="Z563" s="2267">
        <f>+Z458+Z488-Z519-Z541-'VVP2'!Z228</f>
        <v>-0.99271999999999605</v>
      </c>
      <c r="AA563" s="2267">
        <f>+AA458+AA488-AA519-AA541-'VVP2'!AA228</f>
        <v>-1.4376000000000013</v>
      </c>
      <c r="AB563" s="2267">
        <f>+AB458+AB488-AB519-AB541-'VVP2'!AB228</f>
        <v>-1.7251599999999991</v>
      </c>
      <c r="AC563" s="2267">
        <f ca="1">+AC458+AC488-AC519-AC541-'VVP2'!AC228</f>
        <v>-2.0415153647806248</v>
      </c>
      <c r="AD563" s="2267">
        <f ca="1">+AD458+AD488-AD519-AD541-'VVP2'!AD228</f>
        <v>-2.2558582550281918</v>
      </c>
      <c r="AE563" s="2267">
        <f ca="1">+AE458+AE488-AE519-AE541-'VVP2'!AE228</f>
        <v>-2.4590650866566444</v>
      </c>
    </row>
    <row r="564" spans="1:113" ht="12.75" customHeight="1">
      <c r="A564" s="664"/>
      <c r="B564" s="664"/>
      <c r="C564" s="782" t="s">
        <v>401</v>
      </c>
      <c r="D564" s="674" t="s">
        <v>686</v>
      </c>
      <c r="E564" s="783" t="s">
        <v>378</v>
      </c>
      <c r="F564" s="704" t="s">
        <v>1608</v>
      </c>
      <c r="G564" s="706">
        <f>+G459+G489-G520-G542-'VVP2'!G230</f>
        <v>-0.41160999999999981</v>
      </c>
      <c r="H564" s="706">
        <f>+H459+H489-H520-H542-'VVP2'!H230</f>
        <v>-0.15018000000000065</v>
      </c>
      <c r="I564" s="706">
        <f>+I459+I489-I520-I542-'VVP2'!I230</f>
        <v>-0.9649500000000002</v>
      </c>
      <c r="J564" s="706">
        <f>+J459+J489-J520-J542-'VVP2'!J230</f>
        <v>-1.1613400000000003</v>
      </c>
      <c r="K564" s="706">
        <f>+K459+K489-K520-K542-'VVP2'!K230</f>
        <v>-1.0227499999999994</v>
      </c>
      <c r="L564" s="706">
        <f>+L459+L489-L520-L542-'VVP2'!L230</f>
        <v>-0.63495999999999952</v>
      </c>
      <c r="M564" s="706">
        <f>+M459+M489-M520-M542-'VVP2'!M230</f>
        <v>-0.20589999999999997</v>
      </c>
      <c r="N564" s="706">
        <f>+N459+N489-N520-N542-'VVP2'!N230</f>
        <v>-0.39900000000000002</v>
      </c>
      <c r="O564" s="706">
        <f>+O459+O489-O520-O542-'VVP2'!O230</f>
        <v>-0.42183999999999955</v>
      </c>
      <c r="P564" s="706">
        <f>+P459+P489-P520-P542-'VVP2'!P230</f>
        <v>-1.2923500000000006</v>
      </c>
      <c r="Q564" s="706">
        <f>+Q459+Q489-Q520-Q542-'VVP2'!Q230</f>
        <v>-1.1975599999999993</v>
      </c>
      <c r="R564" s="706">
        <f>+R459+R489-R520-R542-'VVP2'!R230</f>
        <v>-2.2942400000000012</v>
      </c>
      <c r="S564" s="706">
        <f>+S459+S489-S520-S542-'VVP2'!S230</f>
        <v>-2.2023699999999979</v>
      </c>
      <c r="T564" s="706">
        <f>+T459+T489-T520-T542-'VVP2'!T230</f>
        <v>-1.3609699999999991</v>
      </c>
      <c r="U564" s="706">
        <f>+U459+U489-U520-U542-'VVP2'!U230</f>
        <v>4.0900099999999995</v>
      </c>
      <c r="V564" s="2265">
        <f>+V459+V489-V520-V542-'VVP2'!V230</f>
        <v>2.2800599999999989</v>
      </c>
      <c r="W564" s="2265">
        <f>+W459+W489-W520-W542-'VVP2'!W230</f>
        <v>1.5193500000000006</v>
      </c>
      <c r="X564" s="2265">
        <f>+X459+X489-X520-X542-'VVP2'!X230</f>
        <v>2.3309499999999996</v>
      </c>
      <c r="Y564" s="2265">
        <f>+Y459+Y489-Y520-Y542-'VVP2'!Y230</f>
        <v>3.2584699999999978</v>
      </c>
      <c r="Z564" s="2265">
        <f>+Z459+Z489-Z520-Z542-'VVP2'!Z230</f>
        <v>3.6490900000000028</v>
      </c>
      <c r="AA564" s="2265">
        <f>+AA459+AA489-AA520-AA542-'VVP2'!AA230</f>
        <v>1.8890599999999997</v>
      </c>
      <c r="AB564" s="2265">
        <f>+AB459+AB489-AB520-AB542-'VVP2'!AB230</f>
        <v>1.955140000000001</v>
      </c>
      <c r="AC564" s="2265">
        <f ca="1">+AC459+AC489-AC520-AC542-'VVP2'!AC230</f>
        <v>2.3431331208203297</v>
      </c>
      <c r="AD564" s="2265">
        <f ca="1">+AD459+AD489-AD520-AD542-'VVP2'!AD230</f>
        <v>2.2681252850970388</v>
      </c>
      <c r="AE564" s="2265">
        <f ca="1">+AE459+AE489-AE520-AE542-'VVP2'!AE230</f>
        <v>2.4083488961713249</v>
      </c>
    </row>
    <row r="565" spans="1:113" ht="12.75" customHeight="1">
      <c r="A565" s="664"/>
      <c r="B565" s="664"/>
      <c r="C565" s="782" t="s">
        <v>401</v>
      </c>
      <c r="D565" s="674" t="s">
        <v>687</v>
      </c>
      <c r="E565" s="783" t="s">
        <v>378</v>
      </c>
      <c r="F565" s="704" t="s">
        <v>1678</v>
      </c>
      <c r="G565" s="706">
        <f>+G460+G487-G521-G543-'VVP2'!G229</f>
        <v>-0.12010999999999949</v>
      </c>
      <c r="H565" s="706">
        <f>+H460+H487-H521-H543-'VVP2'!H229</f>
        <v>-0.31566000000000072</v>
      </c>
      <c r="I565" s="706">
        <f>+I460+I487-I521-I543-'VVP2'!I229</f>
        <v>-1.3780200000000002</v>
      </c>
      <c r="J565" s="706">
        <f>+J460+J487-J521-J543-'VVP2'!J229</f>
        <v>-0.39488000000000023</v>
      </c>
      <c r="K565" s="706">
        <f>+K460+K487-K521-K543-'VVP2'!K229</f>
        <v>-0.35872999999999944</v>
      </c>
      <c r="L565" s="706">
        <f>+L460+L487-L521-L543-'VVP2'!L229</f>
        <v>-0.42574999999999952</v>
      </c>
      <c r="M565" s="706">
        <f>+M460+M487-M521-M543-'VVP2'!M229</f>
        <v>-0.50059999999999971</v>
      </c>
      <c r="N565" s="1455">
        <f>+N460+N487-N521-N543-'VVP2'!N229</f>
        <v>-0.28202999999999956</v>
      </c>
      <c r="O565" s="706">
        <f>+O460+O487-O521-O543-'VVP2'!O229</f>
        <v>-0.21074999999999994</v>
      </c>
      <c r="P565" s="706">
        <f>+P460+P487-P521-P543-'VVP2'!P229</f>
        <v>-0.25391999999999942</v>
      </c>
      <c r="Q565" s="706">
        <f>+Q460+Q487-Q521-Q543-'VVP2'!Q229</f>
        <v>-7.2070000000000189E-2</v>
      </c>
      <c r="R565" s="706">
        <f>+R460+R487-R521-R543-'VVP2'!R229</f>
        <v>-6.5510000000000734E-2</v>
      </c>
      <c r="S565" s="706">
        <f>+S460+S487-S521-S543-'VVP2'!S229</f>
        <v>-0.23675999999999919</v>
      </c>
      <c r="T565" s="706">
        <f>+T460+T487-T521-T543-'VVP2'!T229</f>
        <v>-1.008020000000001</v>
      </c>
      <c r="U565" s="706">
        <f>+U460+U487-U521-U543-'VVP2'!U229</f>
        <v>-2.4525999999999999</v>
      </c>
      <c r="V565" s="706">
        <f>+V460+V487-V521-V543-'VVP2'!V229</f>
        <v>-1.9340999999999999</v>
      </c>
      <c r="W565" s="706">
        <f>+W460+W487-W521-W543-'VVP2'!W229</f>
        <v>-2.7959299999999976</v>
      </c>
      <c r="X565" s="706">
        <f>+X460+X487-X521-X543-'VVP2'!X229</f>
        <v>-1.04897</v>
      </c>
      <c r="Y565" s="706">
        <f>+Y460+Y487-Y521-Y543-'VVP2'!Y229</f>
        <v>-0.91242000000000134</v>
      </c>
      <c r="Z565" s="706">
        <f>+Z460+Z487-Z521-Z543-'VVP2'!Z229</f>
        <v>-0.22575999999999863</v>
      </c>
      <c r="AA565" s="706">
        <f>+AA460+AA487-AA521-AA543-'VVP2'!AA229</f>
        <v>-9.1620000000000035E-2</v>
      </c>
      <c r="AB565" s="3607">
        <f>+AB460+AB487-AB521-AB543-'VVP2'!AB229</f>
        <v>0.10298000000000251</v>
      </c>
      <c r="AC565" s="3308">
        <f ca="1">+AC460+AC487-AC521-AC543-'VVP2'!AC229</f>
        <v>0.33510809708063016</v>
      </c>
      <c r="AD565" s="3308">
        <f ca="1">+AD460+AD487-AD521-AD543-'VVP2'!AD229</f>
        <v>0.30107552186732556</v>
      </c>
      <c r="AE565" s="3308">
        <f ca="1">+AE460+AE487-AE521-AE543-'VVP2'!AE229</f>
        <v>0.28092927478639473</v>
      </c>
      <c r="AF565" s="3660" t="s">
        <v>2603</v>
      </c>
    </row>
    <row r="566" spans="1:113" ht="12.75" customHeight="1">
      <c r="A566" s="1953">
        <f>+ROW(InputY!A85)</f>
        <v>85</v>
      </c>
      <c r="B566" s="664"/>
      <c r="C566" s="784" t="s">
        <v>1769</v>
      </c>
      <c r="D566" s="752" t="s">
        <v>688</v>
      </c>
      <c r="E566" s="753" t="s">
        <v>378</v>
      </c>
      <c r="F566" s="754" t="s">
        <v>1609</v>
      </c>
      <c r="G566" s="785">
        <f>-InputY!G85/1000</f>
        <v>0.75688</v>
      </c>
      <c r="H566" s="785">
        <f>-InputY!H85/1000</f>
        <v>0.83072000000000001</v>
      </c>
      <c r="I566" s="785">
        <f>-InputY!I85/1000</f>
        <v>1.1321099999999999</v>
      </c>
      <c r="J566" s="785">
        <f>-InputY!J85/1000</f>
        <v>1.50583</v>
      </c>
      <c r="K566" s="785">
        <f>-InputY!K85/1000</f>
        <v>1.36202</v>
      </c>
      <c r="L566" s="785">
        <f>-InputY!L85/1000</f>
        <v>0.77947</v>
      </c>
      <c r="M566" s="785">
        <f>-InputY!M85/1000</f>
        <v>0.67176999999999998</v>
      </c>
      <c r="N566" s="785">
        <f>-InputY!N85/1000</f>
        <v>0.73158000000000001</v>
      </c>
      <c r="O566" s="785">
        <f>-InputY!O85/1000</f>
        <v>1.0705</v>
      </c>
      <c r="P566" s="785">
        <f>-InputY!P85/1000</f>
        <v>1.2194</v>
      </c>
      <c r="Q566" s="785">
        <f>-InputY!Q85/1000</f>
        <v>1.2750999999999999</v>
      </c>
      <c r="R566" s="785">
        <f>-InputY!R85/1000</f>
        <v>2.0981000000000001</v>
      </c>
      <c r="S566" s="785">
        <f>-InputY!S85/1000</f>
        <v>3.7216</v>
      </c>
      <c r="T566" s="785">
        <f>-InputY!T85/1000</f>
        <v>3.6831</v>
      </c>
      <c r="U566" s="785">
        <f>-InputY!U85/1000</f>
        <v>-1.7330000000000001</v>
      </c>
      <c r="V566" s="785">
        <f>-InputY!V85/1000</f>
        <v>-0.96920000000000006</v>
      </c>
      <c r="W566" s="785">
        <f>-InputY!W85/1000</f>
        <v>0.19369999999999998</v>
      </c>
      <c r="X566" s="2874">
        <f>-InputY!X85/1000</f>
        <v>-0.64829999999999999</v>
      </c>
      <c r="Y566" s="2874">
        <f>-InputY!Y85/1000</f>
        <v>-1.5868</v>
      </c>
      <c r="Z566" s="2874">
        <f>-InputY!Z85/1000</f>
        <v>-2.4306000000000001</v>
      </c>
      <c r="AA566" s="2874">
        <f>-InputY!AA85/1000</f>
        <v>-0.3599</v>
      </c>
      <c r="AB566" s="2874">
        <f>-InputY!AB85/1000</f>
        <v>-0.33297000000000004</v>
      </c>
      <c r="AC566" s="3687">
        <f ca="1">-AC563-AC564-AC565</f>
        <v>-0.63672585312033503</v>
      </c>
      <c r="AD566" s="3731">
        <f ca="1">-AD563-AD564-AD565</f>
        <v>-0.31334255193617255</v>
      </c>
      <c r="AE566" s="3731">
        <f ca="1">-AE563-AE564-AE565</f>
        <v>-0.23021308430107523</v>
      </c>
    </row>
    <row r="567" spans="1:113" s="1976" customFormat="1" ht="12.75" customHeight="1">
      <c r="A567" s="998"/>
      <c r="B567" s="998"/>
      <c r="C567" s="1595"/>
      <c r="D567" s="1975"/>
      <c r="E567" s="1973" t="s">
        <v>737</v>
      </c>
      <c r="F567" s="1974"/>
      <c r="G567" s="1002">
        <f>ABS(-G563-G564-G565-G566)</f>
        <v>9.999999998955289E-6</v>
      </c>
      <c r="H567" s="1002">
        <f t="shared" ref="H567:Y567" si="512">ABS(-H563-H564-H565-H566)</f>
        <v>9.9999999987332444E-6</v>
      </c>
      <c r="I567" s="1002">
        <f t="shared" si="512"/>
        <v>9.9999999993993782E-6</v>
      </c>
      <c r="J567" s="1002">
        <f t="shared" si="512"/>
        <v>9.9999999965127984E-6</v>
      </c>
      <c r="K567" s="1002">
        <f t="shared" si="512"/>
        <v>1.0000000001175735E-5</v>
      </c>
      <c r="L567" s="1002">
        <f t="shared" si="512"/>
        <v>1.1102230246251565E-16</v>
      </c>
      <c r="M567" s="1002">
        <f t="shared" si="512"/>
        <v>2.7755575615628914E-15</v>
      </c>
      <c r="N567" s="1002">
        <f t="shared" si="512"/>
        <v>3.9999999998263647E-5</v>
      </c>
      <c r="O567" s="1002">
        <f t="shared" si="512"/>
        <v>1.9999999999020801E-5</v>
      </c>
      <c r="P567" s="1002">
        <f t="shared" si="512"/>
        <v>3.0000000001972893E-5</v>
      </c>
      <c r="Q567" s="1002">
        <f>ABS(-Q563-Q564-Q565-Q566)</f>
        <v>4.0000000000928182E-5</v>
      </c>
      <c r="R567" s="1002">
        <f>ABS(-R563-R564-R565-R566)</f>
        <v>1.0000000004062315E-5</v>
      </c>
      <c r="S567" s="1002">
        <f>ABS(-S563-S564-S565-S566)</f>
        <v>3.0000000008190142E-5</v>
      </c>
      <c r="T567" s="3192">
        <f t="shared" si="512"/>
        <v>3.0000000000196536E-5</v>
      </c>
      <c r="U567" s="3192">
        <f t="shared" si="512"/>
        <v>1.0000000004062315E-5</v>
      </c>
      <c r="V567" s="3192">
        <f t="shared" si="512"/>
        <v>4.9999999994332356E-5</v>
      </c>
      <c r="W567" s="3192">
        <f t="shared" si="512"/>
        <v>4.9999999996108713E-5</v>
      </c>
      <c r="X567" s="3192">
        <f t="shared" si="512"/>
        <v>3.0000000002083915E-5</v>
      </c>
      <c r="Y567" s="3146">
        <f t="shared" si="512"/>
        <v>4.0000000002704539E-5</v>
      </c>
      <c r="Z567" s="3146">
        <f t="shared" ref="Z567:AE567" si="513">ABS(-Z563-Z564-Z565-Z566)</f>
        <v>1.0000000008503207E-5</v>
      </c>
      <c r="AA567" s="3125">
        <f>ABS(-AA563-AA564-AA565-AA566)</f>
        <v>6.0000000001614318E-5</v>
      </c>
      <c r="AB567" s="3192">
        <f>ABS(-AB563-AB564-AB565-AB566)</f>
        <v>9.9999999956801311E-6</v>
      </c>
      <c r="AC567" s="3125">
        <f t="shared" ca="1" si="513"/>
        <v>0</v>
      </c>
      <c r="AD567" s="2906">
        <f t="shared" ca="1" si="513"/>
        <v>0</v>
      </c>
      <c r="AE567" s="2906">
        <f t="shared" ca="1" si="513"/>
        <v>0</v>
      </c>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row>
    <row r="568" spans="1:113" ht="12.75" customHeight="1">
      <c r="A568" s="998"/>
      <c r="B568" s="664"/>
      <c r="C568" s="774" t="s">
        <v>1769</v>
      </c>
      <c r="D568" s="746" t="s">
        <v>688</v>
      </c>
      <c r="E568" s="747" t="s">
        <v>378</v>
      </c>
      <c r="F568" s="748" t="s">
        <v>1609</v>
      </c>
      <c r="G568" s="799" t="e">
        <f>-'VVP2'!G331-Labour1!G216+Sector1!G12-Sector1!G49+Sector1!G142+Sector1!G258+Sector1!G329-Sector1!G204+Sector1!G301-Sector1!G399-Sector1!G490-Sector1!G522</f>
        <v>#VALUE!</v>
      </c>
      <c r="H568" s="799" t="e">
        <f>-'VVP2'!H331-Labour1!H216+Sector1!H12-Sector1!H49+Sector1!H142+Sector1!H258+Sector1!H329-Sector1!H204+Sector1!H301-Sector1!H399-Sector1!H490-Sector1!H522</f>
        <v>#VALUE!</v>
      </c>
      <c r="I568" s="799" t="e">
        <f>-'VVP2'!I331-Labour1!I216+Sector1!I12-Sector1!I49+Sector1!I142+Sector1!I258+Sector1!I329-Sector1!I204+Sector1!I301-Sector1!I399-Sector1!I490-Sector1!I522</f>
        <v>#VALUE!</v>
      </c>
      <c r="J568" s="799" t="e">
        <f>-'VVP2'!J331-Labour1!J216+Sector1!J12-Sector1!J49+Sector1!J142+Sector1!J258+Sector1!J329-Sector1!J204+Sector1!J301-Sector1!J399-Sector1!J490-Sector1!J522</f>
        <v>#VALUE!</v>
      </c>
      <c r="K568" s="799" t="e">
        <f>-'VVP2'!K331-Labour1!K216+Sector1!K12-Sector1!K49+Sector1!K142+Sector1!K258+Sector1!K329-Sector1!K204+Sector1!K301-Sector1!K399-Sector1!K490-Sector1!K522</f>
        <v>#VALUE!</v>
      </c>
      <c r="L568" s="799" t="e">
        <f>-'VVP2'!L331-Labour1!L216+Sector1!L12-Sector1!L49+Sector1!L142+Sector1!L258+Sector1!L329-Sector1!L204+Sector1!L301-Sector1!L399-Sector1!L490-Sector1!L522</f>
        <v>#VALUE!</v>
      </c>
      <c r="M568" s="799" t="e">
        <f>-'VVP2'!M331-Labour1!M216+Sector1!M12-Sector1!M49+Sector1!M142+Sector1!M258+Sector1!M329-Sector1!M204+Sector1!M301-Sector1!M399-Sector1!M490-Sector1!M522</f>
        <v>#VALUE!</v>
      </c>
      <c r="N568" s="799" t="e">
        <f>-'VVP2'!N331-Labour1!N216+Sector1!N12-Sector1!N49+Sector1!N142+Sector1!N258+Sector1!N329-Sector1!N204+Sector1!N301-Sector1!N399-Sector1!N490-Sector1!N522</f>
        <v>#VALUE!</v>
      </c>
      <c r="O568" s="799" t="e">
        <f>-'VVP2'!O331-Labour1!O216+Sector1!O12-Sector1!O49+Sector1!O142+Sector1!O258+Sector1!O329-Sector1!O204+Sector1!O301-Sector1!O399-Sector1!O490-Sector1!O522</f>
        <v>#VALUE!</v>
      </c>
      <c r="P568" s="799" t="e">
        <f>-'VVP2'!P331-Labour1!P216+Sector1!P12-Sector1!P49+Sector1!P142+Sector1!P258+Sector1!P329-Sector1!P204+Sector1!P301-Sector1!P399-Sector1!P490-Sector1!P522</f>
        <v>#VALUE!</v>
      </c>
      <c r="Q568" s="799" t="e">
        <f>-'VVP2'!Q331-Labour1!Q216+Sector1!Q12-Sector1!Q49+Sector1!Q142+Sector1!Q258+Sector1!Q329-Sector1!Q204+Sector1!Q301-Sector1!Q399-Sector1!Q490-Sector1!Q522</f>
        <v>#VALUE!</v>
      </c>
      <c r="R568" s="799" t="e">
        <f>-'VVP2'!R331-Labour1!R216+Sector1!R12-Sector1!R49+Sector1!R142+Sector1!R258+Sector1!R329-Sector1!R204+Sector1!R301-Sector1!R399-Sector1!R490-Sector1!R522</f>
        <v>#VALUE!</v>
      </c>
      <c r="S568" s="799" t="e">
        <f>-'VVP2'!S331-Labour1!S216+Sector1!S12-Sector1!S49+Sector1!S142+Sector1!S258+Sector1!S329-Sector1!S204+Sector1!S301-Sector1!S399-Sector1!S490-Sector1!S522</f>
        <v>#VALUE!</v>
      </c>
      <c r="T568" s="799">
        <f>-'VVP2'!T331-Labour1!T216+Sector1!T12-Sector1!T49+Sector1!T142+Sector1!T258+Sector1!T329-Sector1!T204+Sector1!T301-Sector1!T399-Sector1!T490-Sector1!T522</f>
        <v>3.7383499999999996</v>
      </c>
      <c r="U568" s="799">
        <f>-'VVP2'!U331-Labour1!U216+Sector1!U12-Sector1!U49+Sector1!U142+Sector1!U258+Sector1!U329-Sector1!U204+Sector1!U301-Sector1!U399-Sector1!U490-Sector1!U522</f>
        <v>-1.6806699999999997</v>
      </c>
      <c r="V568" s="800">
        <f>-'VVP2'!V331-Labour1!V216+Sector1!V12-Sector1!V49+Sector1!V142+Sector1!V258+Sector1!V329-Sector1!V204+Sector1!V301-Sector1!V399-Sector1!V490-Sector1!V522</f>
        <v>-0.89258000000000104</v>
      </c>
      <c r="W568" s="800">
        <f>-'VVP2'!W331-Labour1!W216+Sector1!W12-Sector1!W49+Sector1!W142+Sector1!W258+Sector1!W329-Sector1!W204+Sector1!W301-Sector1!W399-Sector1!W490-Sector1!W522</f>
        <v>0.26085000000000025</v>
      </c>
      <c r="X568" s="800">
        <f>-'VVP2'!X331-Labour1!X216+Sector1!X12-Sector1!X49+Sector1!X142+Sector1!X258+Sector1!X329-Sector1!X204+Sector1!X301-Sector1!X399-Sector1!X490-Sector1!X522</f>
        <v>-0.60796000000000083</v>
      </c>
      <c r="Y568" s="800">
        <f>-'VVP2'!Y331-Labour1!Y216+Sector1!Y12-Sector1!Y49+Sector1!Y142+Sector1!Y258+Sector1!Y329-Sector1!Y204+Sector1!Y301-Sector1!Y399-Sector1!Y490-Sector1!Y522</f>
        <v>-1.5430999999999986</v>
      </c>
      <c r="Z568" s="800">
        <f>-'VVP2'!Z331-Labour1!Z216+Sector1!Z12-Sector1!Z49+Sector1!Z142+Sector1!Z258+Sector1!Z329-Sector1!Z204+Sector1!Z301-Sector1!Z399-Sector1!Z490-Sector1!Z522</f>
        <v>-2.3972500000000019</v>
      </c>
      <c r="AA568" s="800">
        <f>-'VVP2'!AA331-Labour1!AA216+Sector1!AA12-Sector1!AA49+Sector1!AA142+Sector1!AA258+Sector1!AA329-Sector1!AA204+Sector1!AA301-Sector1!AA399-Sector1!AA490-Sector1!AA522</f>
        <v>-0.32976999999999879</v>
      </c>
      <c r="AB568" s="800">
        <f>-'VVP2'!AB331-Labour1!AB216+Sector1!AB12-Sector1!AB49+Sector1!AB142+Sector1!AB258+Sector1!AB329-Sector1!AB204+Sector1!AB301-Sector1!AB399-Sector1!AB490-Sector1!AB522</f>
        <v>-0.31369999999999998</v>
      </c>
      <c r="AC568" s="3696">
        <f>-'VVP2'!AC331-Labour1!AC216+Sector1!AC12-Sector1!AC49+Sector1!AC142+Sector1!AC258+Sector1!AC329-Sector1!AC204+Sector1!AC301-Sector1!AC399-Sector1!AC490-Sector1!AC522</f>
        <v>-0.56568680799999482</v>
      </c>
      <c r="AD568" s="3696">
        <f ca="1">-'VVP2'!AD331-Labour1!AD216+Sector1!AD12-Sector1!AD49+Sector1!AD142+Sector1!AD258+Sector1!AD329-Sector1!AD204+Sector1!AD301-Sector1!AD399-Sector1!AD490-Sector1!AD522</f>
        <v>-0.32033206199999326</v>
      </c>
      <c r="AE568" s="3696">
        <f ca="1">-'VVP2'!AE331-Labour1!AE216+Sector1!AE12-Sector1!AE49+Sector1!AE142+Sector1!AE258+Sector1!AE329-Sector1!AE204+Sector1!AE301-Sector1!AE399-Sector1!AE490-Sector1!AE522</f>
        <v>-0.23766613259460795</v>
      </c>
    </row>
    <row r="569" spans="1:113" s="1972" customFormat="1" ht="12.75" customHeight="1">
      <c r="A569" s="998"/>
      <c r="B569" s="998"/>
      <c r="C569" s="1595"/>
      <c r="D569" s="1011"/>
      <c r="E569" s="1973" t="s">
        <v>737</v>
      </c>
      <c r="F569" s="1974"/>
      <c r="G569" s="1002" t="e">
        <f>ABS(+G566-G568)</f>
        <v>#VALUE!</v>
      </c>
      <c r="H569" s="1002" t="e">
        <f t="shared" ref="H569:W569" si="514">ABS(+H566-H568)</f>
        <v>#VALUE!</v>
      </c>
      <c r="I569" s="1002" t="e">
        <f t="shared" si="514"/>
        <v>#VALUE!</v>
      </c>
      <c r="J569" s="1002" t="e">
        <f t="shared" si="514"/>
        <v>#VALUE!</v>
      </c>
      <c r="K569" s="1002" t="e">
        <f t="shared" si="514"/>
        <v>#VALUE!</v>
      </c>
      <c r="L569" s="1002" t="e">
        <f t="shared" si="514"/>
        <v>#VALUE!</v>
      </c>
      <c r="M569" s="1002" t="e">
        <f t="shared" si="514"/>
        <v>#VALUE!</v>
      </c>
      <c r="N569" s="1002" t="e">
        <f t="shared" si="514"/>
        <v>#VALUE!</v>
      </c>
      <c r="O569" s="1002" t="e">
        <f t="shared" si="514"/>
        <v>#VALUE!</v>
      </c>
      <c r="P569" s="1002" t="e">
        <f t="shared" si="514"/>
        <v>#VALUE!</v>
      </c>
      <c r="Q569" s="1002" t="e">
        <f>ABS(+Q566-Q568)</f>
        <v>#VALUE!</v>
      </c>
      <c r="R569" s="1002" t="e">
        <f>ABS(+R566-R568)</f>
        <v>#VALUE!</v>
      </c>
      <c r="S569" s="1002" t="e">
        <f>ABS(+S566-S568)</f>
        <v>#VALUE!</v>
      </c>
      <c r="T569" s="2921">
        <f t="shared" si="514"/>
        <v>5.5249999999999577E-2</v>
      </c>
      <c r="U569" s="2921">
        <f t="shared" si="514"/>
        <v>5.2330000000000432E-2</v>
      </c>
      <c r="V569" s="2921">
        <f>ABS(+V566-V568)</f>
        <v>7.6619999999999022E-2</v>
      </c>
      <c r="W569" s="2921">
        <f t="shared" si="514"/>
        <v>6.7150000000000265E-2</v>
      </c>
      <c r="X569" s="2921">
        <f t="shared" ref="X569:AC569" si="515">ABS(+X566-X568)</f>
        <v>4.0339999999999154E-2</v>
      </c>
      <c r="Y569" s="2921">
        <f t="shared" si="515"/>
        <v>4.3700000000001404E-2</v>
      </c>
      <c r="Z569" s="3146">
        <f t="shared" si="515"/>
        <v>3.3349999999998214E-2</v>
      </c>
      <c r="AA569" s="3146">
        <f t="shared" si="515"/>
        <v>3.0130000000001211E-2</v>
      </c>
      <c r="AB569" s="3146">
        <f t="shared" si="515"/>
        <v>1.9270000000000065E-2</v>
      </c>
      <c r="AC569" s="3146">
        <f t="shared" ca="1" si="515"/>
        <v>7.1039045120340205E-2</v>
      </c>
      <c r="AD569" s="3146">
        <f ca="1">ABS(+AD566-AD568)</f>
        <v>6.9895100638207031E-3</v>
      </c>
      <c r="AE569" s="3146">
        <f ca="1">ABS(+AE566-AE568)</f>
        <v>7.4530482935327158E-3</v>
      </c>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row>
    <row r="570" spans="1:113">
      <c r="A570" s="664"/>
      <c r="B570" s="664"/>
      <c r="P570" s="703"/>
      <c r="Q570" s="703"/>
      <c r="R570" s="703"/>
      <c r="S570" s="703"/>
      <c r="T570" s="2254"/>
      <c r="U570" s="2254"/>
      <c r="V570" s="2254"/>
      <c r="W570" s="2254"/>
      <c r="X570" s="2254"/>
      <c r="Y570" s="2254"/>
      <c r="Z570" s="2254"/>
      <c r="AA570" s="2254"/>
      <c r="AB570" s="2254"/>
      <c r="AC570" s="2254"/>
      <c r="AD570" s="2254"/>
      <c r="AE570" s="2254"/>
    </row>
    <row r="571" spans="1:113" ht="12.75" customHeight="1">
      <c r="A571" s="664"/>
      <c r="B571" s="664"/>
      <c r="C571" s="774"/>
      <c r="D571" s="742"/>
      <c r="E571" s="743" t="s">
        <v>1311</v>
      </c>
      <c r="F571" s="744"/>
      <c r="G571" s="745">
        <f>+InputY!$G$3</f>
        <v>1995</v>
      </c>
      <c r="H571" s="745">
        <f>+G571+1</f>
        <v>1996</v>
      </c>
      <c r="I571" s="745">
        <f t="shared" ref="I571:O571" si="516">+H571+1</f>
        <v>1997</v>
      </c>
      <c r="J571" s="745">
        <f t="shared" si="516"/>
        <v>1998</v>
      </c>
      <c r="K571" s="745">
        <f>+J571+1</f>
        <v>1999</v>
      </c>
      <c r="L571" s="745">
        <f t="shared" si="516"/>
        <v>2000</v>
      </c>
      <c r="M571" s="745">
        <f t="shared" si="516"/>
        <v>2001</v>
      </c>
      <c r="N571" s="745">
        <f t="shared" si="516"/>
        <v>2002</v>
      </c>
      <c r="O571" s="745">
        <f t="shared" si="516"/>
        <v>2003</v>
      </c>
      <c r="P571" s="745">
        <f t="shared" ref="P571:U571" si="517">+O571+1</f>
        <v>2004</v>
      </c>
      <c r="Q571" s="745">
        <f t="shared" si="517"/>
        <v>2005</v>
      </c>
      <c r="R571" s="745">
        <f t="shared" si="517"/>
        <v>2006</v>
      </c>
      <c r="S571" s="745">
        <f>+R571+1</f>
        <v>2007</v>
      </c>
      <c r="T571" s="745">
        <f t="shared" si="517"/>
        <v>2008</v>
      </c>
      <c r="U571" s="745">
        <f t="shared" si="517"/>
        <v>2009</v>
      </c>
      <c r="V571" s="745">
        <f t="shared" ref="V571:AE571" si="518">+U571+1</f>
        <v>2010</v>
      </c>
      <c r="W571" s="745">
        <f t="shared" si="518"/>
        <v>2011</v>
      </c>
      <c r="X571" s="745">
        <f t="shared" si="518"/>
        <v>2012</v>
      </c>
      <c r="Y571" s="745">
        <f t="shared" si="518"/>
        <v>2013</v>
      </c>
      <c r="Z571" s="745">
        <f t="shared" si="518"/>
        <v>2014</v>
      </c>
      <c r="AA571" s="745">
        <f t="shared" si="518"/>
        <v>2015</v>
      </c>
      <c r="AB571" s="745">
        <f t="shared" si="518"/>
        <v>2016</v>
      </c>
      <c r="AC571" s="745">
        <f t="shared" si="518"/>
        <v>2017</v>
      </c>
      <c r="AD571" s="745">
        <f t="shared" si="518"/>
        <v>2018</v>
      </c>
      <c r="AE571" s="745">
        <f t="shared" si="518"/>
        <v>2019</v>
      </c>
    </row>
    <row r="572" spans="1:113" ht="12.75" customHeight="1">
      <c r="A572" s="664"/>
      <c r="B572" s="664"/>
      <c r="C572" s="794" t="s">
        <v>401</v>
      </c>
      <c r="D572" s="689" t="s">
        <v>685</v>
      </c>
      <c r="E572" s="738" t="s">
        <v>378</v>
      </c>
      <c r="F572" s="733" t="s">
        <v>505</v>
      </c>
      <c r="G572" s="739"/>
      <c r="H572" s="739">
        <f t="shared" ref="H572:P572" si="519">(H563/G563-1)*100</f>
        <v>62.042012701514636</v>
      </c>
      <c r="I572" s="739">
        <f t="shared" si="519"/>
        <v>-431.86340340395208</v>
      </c>
      <c r="J572" s="739">
        <f t="shared" si="519"/>
        <v>-95.837703469406534</v>
      </c>
      <c r="K572" s="739">
        <f>(K563/J563-1)*100</f>
        <v>-61.369047619045212</v>
      </c>
      <c r="L572" s="739">
        <f t="shared" si="519"/>
        <v>1344.4786851566396</v>
      </c>
      <c r="M572" s="739">
        <f t="shared" si="519"/>
        <v>-87.651116484142705</v>
      </c>
      <c r="N572" s="739">
        <f t="shared" si="519"/>
        <v>-245.66657068817497</v>
      </c>
      <c r="O572" s="739">
        <f t="shared" si="519"/>
        <v>765.64538446335405</v>
      </c>
      <c r="P572" s="739">
        <f t="shared" si="519"/>
        <v>-174.63293220377648</v>
      </c>
      <c r="Q572" s="739">
        <f>(Q563/P563-1)*100</f>
        <v>-101.68584016644276</v>
      </c>
      <c r="R572" s="739">
        <f t="shared" ref="R572:AE575" si="520">(R563/Q563-1)*100</f>
        <v>-4848.4573502709327</v>
      </c>
      <c r="S572" s="739">
        <f t="shared" si="520"/>
        <v>-590.15441064057711</v>
      </c>
      <c r="T572" s="739">
        <f t="shared" ref="T572:U574" si="521">(T563/S563-1)*100</f>
        <v>2.4718505349182518</v>
      </c>
      <c r="U572" s="739">
        <f t="shared" si="521"/>
        <v>-107.27471958847643</v>
      </c>
      <c r="V572" s="2907">
        <f t="shared" si="520"/>
        <v>551.97698744766569</v>
      </c>
      <c r="W572" s="2907">
        <f t="shared" si="520"/>
        <v>73.728120136695381</v>
      </c>
      <c r="X572" s="2907">
        <f t="shared" si="520"/>
        <v>-158.51795757413419</v>
      </c>
      <c r="Y572" s="2907">
        <f t="shared" si="520"/>
        <v>19.827980746469208</v>
      </c>
      <c r="Z572" s="2907">
        <f t="shared" si="520"/>
        <v>30.743194299937706</v>
      </c>
      <c r="AA572" s="2907">
        <f t="shared" si="520"/>
        <v>44.814247723427258</v>
      </c>
      <c r="AB572" s="2907">
        <f t="shared" si="520"/>
        <v>20.002782415136178</v>
      </c>
      <c r="AC572" s="2907">
        <f t="shared" ca="1" si="520"/>
        <v>18.337740544681402</v>
      </c>
      <c r="AD572" s="2907">
        <f t="shared" ca="1" si="520"/>
        <v>10.499205342527485</v>
      </c>
      <c r="AE572" s="2907">
        <f t="shared" ca="1" si="520"/>
        <v>9.0079609911444933</v>
      </c>
    </row>
    <row r="573" spans="1:113" ht="12.75" customHeight="1">
      <c r="A573" s="664"/>
      <c r="B573" s="664"/>
      <c r="C573" s="795" t="s">
        <v>401</v>
      </c>
      <c r="D573" s="674" t="s">
        <v>686</v>
      </c>
      <c r="E573" s="783" t="s">
        <v>378</v>
      </c>
      <c r="F573" s="704" t="s">
        <v>1608</v>
      </c>
      <c r="G573" s="706"/>
      <c r="H573" s="706">
        <f t="shared" ref="H573:P573" si="522">(H564/G564-1)*100</f>
        <v>-63.51400597653101</v>
      </c>
      <c r="I573" s="706">
        <f t="shared" si="522"/>
        <v>542.5289652417074</v>
      </c>
      <c r="J573" s="706">
        <f t="shared" si="522"/>
        <v>20.352349862687191</v>
      </c>
      <c r="K573" s="706">
        <f>(K564/J564-1)*100</f>
        <v>-11.933628394785412</v>
      </c>
      <c r="L573" s="706">
        <f t="shared" si="522"/>
        <v>-37.916401857736503</v>
      </c>
      <c r="M573" s="706">
        <f t="shared" si="522"/>
        <v>-67.572760488849667</v>
      </c>
      <c r="N573" s="706">
        <f t="shared" si="522"/>
        <v>93.78338999514331</v>
      </c>
      <c r="O573" s="706">
        <f t="shared" si="522"/>
        <v>5.724310776942243</v>
      </c>
      <c r="P573" s="706">
        <f t="shared" si="522"/>
        <v>206.36023136734352</v>
      </c>
      <c r="Q573" s="706">
        <f>(Q564/P564-1)*100</f>
        <v>-7.3347003520718985</v>
      </c>
      <c r="R573" s="706">
        <f t="shared" si="520"/>
        <v>91.57620495006536</v>
      </c>
      <c r="S573" s="706">
        <f t="shared" si="520"/>
        <v>-4.0043761768604469</v>
      </c>
      <c r="T573" s="706">
        <f t="shared" si="521"/>
        <v>-38.204298097049985</v>
      </c>
      <c r="U573" s="706">
        <f t="shared" si="521"/>
        <v>-400.52168673813549</v>
      </c>
      <c r="V573" s="792">
        <f t="shared" si="520"/>
        <v>-44.252948036801889</v>
      </c>
      <c r="W573" s="792">
        <f t="shared" si="520"/>
        <v>-33.363595694850076</v>
      </c>
      <c r="X573" s="792">
        <f t="shared" si="520"/>
        <v>53.417579886135428</v>
      </c>
      <c r="Y573" s="792">
        <f t="shared" si="520"/>
        <v>39.791501319204549</v>
      </c>
      <c r="Z573" s="792">
        <f t="shared" si="520"/>
        <v>11.987834781354611</v>
      </c>
      <c r="AA573" s="792">
        <f t="shared" si="520"/>
        <v>-48.232024970609153</v>
      </c>
      <c r="AB573" s="792">
        <f t="shared" si="520"/>
        <v>3.4980360602628435</v>
      </c>
      <c r="AC573" s="792">
        <f t="shared" ca="1" si="520"/>
        <v>19.844774329220847</v>
      </c>
      <c r="AD573" s="792">
        <f t="shared" ca="1" si="520"/>
        <v>-3.2011768796572082</v>
      </c>
      <c r="AE573" s="792">
        <f t="shared" ca="1" si="520"/>
        <v>6.1823573854425273</v>
      </c>
    </row>
    <row r="574" spans="1:113" ht="12.75" customHeight="1">
      <c r="A574" s="664"/>
      <c r="B574" s="664"/>
      <c r="C574" s="796" t="s">
        <v>401</v>
      </c>
      <c r="D574" s="691" t="s">
        <v>687</v>
      </c>
      <c r="E574" s="797" t="s">
        <v>378</v>
      </c>
      <c r="F574" s="736" t="s">
        <v>1678</v>
      </c>
      <c r="G574" s="741"/>
      <c r="H574" s="741">
        <f t="shared" ref="H574:P574" si="523">(H565/G565-1)*100</f>
        <v>162.80909166597456</v>
      </c>
      <c r="I574" s="741">
        <f t="shared" si="523"/>
        <v>336.55198631438799</v>
      </c>
      <c r="J574" s="741">
        <f t="shared" si="523"/>
        <v>-71.344392679351515</v>
      </c>
      <c r="K574" s="741">
        <f>(K565/J565-1)*100</f>
        <v>-9.1546799027554577</v>
      </c>
      <c r="L574" s="741">
        <f t="shared" si="523"/>
        <v>18.682574638307404</v>
      </c>
      <c r="M574" s="741">
        <f t="shared" si="523"/>
        <v>17.580739870816274</v>
      </c>
      <c r="N574" s="741">
        <f t="shared" si="523"/>
        <v>-43.6616060727128</v>
      </c>
      <c r="O574" s="741">
        <f t="shared" si="523"/>
        <v>-25.273907031166797</v>
      </c>
      <c r="P574" s="741">
        <f t="shared" si="523"/>
        <v>20.483985765124313</v>
      </c>
      <c r="Q574" s="741">
        <f>(Q565/P565-1)*100</f>
        <v>-71.617044738500169</v>
      </c>
      <c r="R574" s="741">
        <f t="shared" si="520"/>
        <v>-9.1022616900228055</v>
      </c>
      <c r="S574" s="741">
        <f t="shared" si="520"/>
        <v>261.4104716837071</v>
      </c>
      <c r="T574" s="741">
        <f t="shared" si="521"/>
        <v>325.75603987160184</v>
      </c>
      <c r="U574" s="741">
        <f t="shared" si="521"/>
        <v>143.30866451062451</v>
      </c>
      <c r="V574" s="2908">
        <f t="shared" si="520"/>
        <v>-21.140830139443857</v>
      </c>
      <c r="W574" s="2908">
        <f t="shared" si="520"/>
        <v>44.559743549971451</v>
      </c>
      <c r="X574" s="2908">
        <f t="shared" si="520"/>
        <v>-62.482250986254996</v>
      </c>
      <c r="Y574" s="2908">
        <f t="shared" si="520"/>
        <v>-13.017531483264399</v>
      </c>
      <c r="Z574" s="2908">
        <f t="shared" si="520"/>
        <v>-75.257008833651355</v>
      </c>
      <c r="AA574" s="2908">
        <f t="shared" si="520"/>
        <v>-59.417080085045804</v>
      </c>
      <c r="AB574" s="2908">
        <f t="shared" si="520"/>
        <v>-212.3990395110265</v>
      </c>
      <c r="AC574" s="2908">
        <f t="shared" ca="1" si="520"/>
        <v>225.41085364208774</v>
      </c>
      <c r="AD574" s="2908">
        <f t="shared" ca="1" si="520"/>
        <v>-10.15570065593373</v>
      </c>
      <c r="AE574" s="2908">
        <f t="shared" ca="1" si="520"/>
        <v>-6.6914264421033316</v>
      </c>
    </row>
    <row r="575" spans="1:113" ht="12.75" customHeight="1">
      <c r="A575" s="664"/>
      <c r="B575" s="664"/>
      <c r="C575" s="774" t="s">
        <v>1769</v>
      </c>
      <c r="D575" s="717" t="s">
        <v>688</v>
      </c>
      <c r="E575" s="722" t="s">
        <v>378</v>
      </c>
      <c r="F575" s="723" t="s">
        <v>1609</v>
      </c>
      <c r="G575" s="721"/>
      <c r="H575" s="721">
        <f t="shared" ref="H575:P575" si="524">(H566/G566-1)*100</f>
        <v>9.7558397632385496</v>
      </c>
      <c r="I575" s="721">
        <f t="shared" si="524"/>
        <v>36.280575885978415</v>
      </c>
      <c r="J575" s="721">
        <f t="shared" si="524"/>
        <v>33.010926500075087</v>
      </c>
      <c r="K575" s="721">
        <f>(K566/J566-1)*100</f>
        <v>-9.5502148316875086</v>
      </c>
      <c r="L575" s="721">
        <f t="shared" si="524"/>
        <v>-42.771031262389691</v>
      </c>
      <c r="M575" s="721">
        <f t="shared" si="524"/>
        <v>-13.817080836978979</v>
      </c>
      <c r="N575" s="721">
        <f t="shared" si="524"/>
        <v>8.9033448948300897</v>
      </c>
      <c r="O575" s="721">
        <f t="shared" si="524"/>
        <v>46.327127586866787</v>
      </c>
      <c r="P575" s="721">
        <f t="shared" si="524"/>
        <v>13.909388136384869</v>
      </c>
      <c r="Q575" s="721">
        <f>(Q566/P566-1)*100</f>
        <v>4.5678202394620282</v>
      </c>
      <c r="R575" s="721">
        <f t="shared" si="520"/>
        <v>64.543957336679497</v>
      </c>
      <c r="S575" s="721">
        <f t="shared" si="520"/>
        <v>77.379533863972156</v>
      </c>
      <c r="T575" s="801">
        <f t="shared" si="520"/>
        <v>-1.0345012897678418</v>
      </c>
      <c r="U575" s="801">
        <f t="shared" si="520"/>
        <v>-147.05275447313403</v>
      </c>
      <c r="V575" s="801">
        <f t="shared" si="520"/>
        <v>-44.073860357761106</v>
      </c>
      <c r="W575" s="801">
        <f t="shared" si="520"/>
        <v>-119.98555509698721</v>
      </c>
      <c r="X575" s="801">
        <f t="shared" si="520"/>
        <v>-434.69282395456901</v>
      </c>
      <c r="Y575" s="801">
        <f t="shared" si="520"/>
        <v>144.76322690112605</v>
      </c>
      <c r="Z575" s="801">
        <f t="shared" si="520"/>
        <v>53.176203680363002</v>
      </c>
      <c r="AA575" s="801">
        <f t="shared" si="520"/>
        <v>-85.19295647165309</v>
      </c>
      <c r="AB575" s="801">
        <f t="shared" si="520"/>
        <v>-7.4826340650180452</v>
      </c>
      <c r="AC575" s="801">
        <f t="shared" ca="1" si="520"/>
        <v>91.226192485910133</v>
      </c>
      <c r="AD575" s="801">
        <f t="shared" ca="1" si="520"/>
        <v>-50.788467218567</v>
      </c>
      <c r="AE575" s="801">
        <f t="shared" ca="1" si="520"/>
        <v>-26.529900621997449</v>
      </c>
    </row>
    <row r="576" spans="1:113" ht="12.75" customHeight="1">
      <c r="A576" s="664"/>
      <c r="B576" s="664"/>
      <c r="C576" s="774"/>
      <c r="E576" s="786"/>
      <c r="F576" s="787"/>
      <c r="G576" s="703"/>
      <c r="H576" s="788"/>
      <c r="I576" s="703"/>
      <c r="J576" s="703"/>
      <c r="K576" s="703"/>
      <c r="L576" s="703"/>
      <c r="M576" s="703"/>
      <c r="N576" s="703"/>
      <c r="O576" s="703"/>
      <c r="P576" s="703"/>
      <c r="Q576" s="703"/>
      <c r="R576" s="703"/>
      <c r="S576" s="703"/>
      <c r="T576" s="2254"/>
      <c r="U576" s="2254"/>
      <c r="V576" s="2254"/>
      <c r="W576" s="2254"/>
      <c r="X576" s="2254"/>
      <c r="Y576" s="2254"/>
      <c r="Z576" s="2254"/>
      <c r="AA576" s="2254"/>
      <c r="AB576" s="2254"/>
      <c r="AC576" s="2254"/>
      <c r="AD576" s="2254"/>
      <c r="AE576" s="2254"/>
    </row>
    <row r="577" spans="1:31" ht="12.75" customHeight="1">
      <c r="A577" s="664"/>
      <c r="B577" s="664"/>
      <c r="C577" s="774"/>
      <c r="D577" s="818"/>
      <c r="E577" s="819" t="s">
        <v>512</v>
      </c>
      <c r="F577" s="820"/>
      <c r="G577" s="821">
        <f>+InputY!$G$3</f>
        <v>1995</v>
      </c>
      <c r="H577" s="821">
        <f>+G577+1</f>
        <v>1996</v>
      </c>
      <c r="I577" s="821">
        <f t="shared" ref="I577:O577" si="525">+H577+1</f>
        <v>1997</v>
      </c>
      <c r="J577" s="821">
        <f t="shared" si="525"/>
        <v>1998</v>
      </c>
      <c r="K577" s="821">
        <f>+J577+1</f>
        <v>1999</v>
      </c>
      <c r="L577" s="821">
        <f t="shared" si="525"/>
        <v>2000</v>
      </c>
      <c r="M577" s="821">
        <f t="shared" si="525"/>
        <v>2001</v>
      </c>
      <c r="N577" s="821">
        <f t="shared" si="525"/>
        <v>2002</v>
      </c>
      <c r="O577" s="821">
        <f t="shared" si="525"/>
        <v>2003</v>
      </c>
      <c r="P577" s="821">
        <f t="shared" ref="P577:U577" si="526">+O577+1</f>
        <v>2004</v>
      </c>
      <c r="Q577" s="821">
        <f t="shared" si="526"/>
        <v>2005</v>
      </c>
      <c r="R577" s="821">
        <f t="shared" si="526"/>
        <v>2006</v>
      </c>
      <c r="S577" s="821">
        <f>+R577+1</f>
        <v>2007</v>
      </c>
      <c r="T577" s="821">
        <f t="shared" si="526"/>
        <v>2008</v>
      </c>
      <c r="U577" s="821">
        <f t="shared" si="526"/>
        <v>2009</v>
      </c>
      <c r="V577" s="821">
        <f t="shared" ref="V577:AE577" si="527">+U577+1</f>
        <v>2010</v>
      </c>
      <c r="W577" s="821">
        <f t="shared" si="527"/>
        <v>2011</v>
      </c>
      <c r="X577" s="821">
        <f t="shared" si="527"/>
        <v>2012</v>
      </c>
      <c r="Y577" s="821">
        <f t="shared" si="527"/>
        <v>2013</v>
      </c>
      <c r="Z577" s="821">
        <f t="shared" si="527"/>
        <v>2014</v>
      </c>
      <c r="AA577" s="821">
        <f t="shared" si="527"/>
        <v>2015</v>
      </c>
      <c r="AB577" s="821">
        <f t="shared" si="527"/>
        <v>2016</v>
      </c>
      <c r="AC577" s="821">
        <f t="shared" si="527"/>
        <v>2017</v>
      </c>
      <c r="AD577" s="821">
        <f t="shared" si="527"/>
        <v>2018</v>
      </c>
      <c r="AE577" s="821">
        <f t="shared" si="527"/>
        <v>2019</v>
      </c>
    </row>
    <row r="578" spans="1:31" ht="12.75" customHeight="1">
      <c r="A578" s="664"/>
      <c r="B578" s="664"/>
      <c r="C578" s="822" t="s">
        <v>401</v>
      </c>
      <c r="D578" s="823" t="s">
        <v>685</v>
      </c>
      <c r="E578" s="824" t="s">
        <v>378</v>
      </c>
      <c r="F578" s="825" t="s">
        <v>505</v>
      </c>
      <c r="G578" s="838">
        <f>+G563/'VVP2'!G$341</f>
        <v>-2.8999823556609305E-2</v>
      </c>
      <c r="H578" s="838">
        <f>+H563/'VVP2'!H$341</f>
        <v>-3.7560671803503129E-2</v>
      </c>
      <c r="I578" s="838">
        <f>+I563/'VVP2'!I$341</f>
        <v>0.10327830820327626</v>
      </c>
      <c r="J578" s="838">
        <f>+J563/'VVP2'!J$341</f>
        <v>3.8703851033175586E-3</v>
      </c>
      <c r="K578" s="838">
        <f>+K563/'VVP2'!K$341</f>
        <v>1.5316140238261636E-3</v>
      </c>
      <c r="L578" s="838">
        <f>+L563/'VVP2'!L$341</f>
        <v>2.10380171421988E-2</v>
      </c>
      <c r="M578" s="838">
        <f>+M563/'VVP2'!M$341</f>
        <v>2.4467188746077309E-3</v>
      </c>
      <c r="N578" s="838">
        <f>+N563/'VVP2'!N$341</f>
        <v>-3.3278143843937205E-3</v>
      </c>
      <c r="O578" s="838">
        <f>+O563/'VVP2'!O$341</f>
        <v>-2.6272941503964344E-2</v>
      </c>
      <c r="P578" s="838">
        <f>+P563/'VVP2'!P$341</f>
        <v>1.7921099786596017E-2</v>
      </c>
      <c r="Q578" s="838">
        <f>+Q563/'VVP2'!Q$341</f>
        <v>-2.6235159398836123E-4</v>
      </c>
      <c r="R578" s="838">
        <f>+R563/'VVP2'!R$341</f>
        <v>1.0865818520398023E-2</v>
      </c>
      <c r="S578" s="838">
        <f>+S563/'VVP2'!S$341</f>
        <v>-4.4160153384943543E-2</v>
      </c>
      <c r="T578" s="2909">
        <f>+T563/'VVP2'!T$341</f>
        <v>-4.0192339923685504E-2</v>
      </c>
      <c r="U578" s="2909">
        <f>+U563/'VVP2'!U$341</f>
        <v>3.5493090356647689E-3</v>
      </c>
      <c r="V578" s="2909">
        <f>+V563/'VVP2'!V$341</f>
        <v>2.2238388791643516E-2</v>
      </c>
      <c r="W578" s="2909">
        <f>+W563/'VVP2'!W$341</f>
        <v>3.4622507459555987E-2</v>
      </c>
      <c r="X578" s="2909">
        <f>+X563/'VVP2'!X$341</f>
        <v>-1.900086600648658E-2</v>
      </c>
      <c r="Y578" s="2909">
        <f>+Y563/'VVP2'!Y$341</f>
        <v>-2.171903894918854E-2</v>
      </c>
      <c r="Z578" s="2909">
        <f>+Z563/'VVP2'!Z$341</f>
        <v>-2.7147024689156724E-2</v>
      </c>
      <c r="AA578" s="2909">
        <f>+AA563/'VVP2'!AA$341</f>
        <v>-3.8411173226749661E-2</v>
      </c>
      <c r="AB578" s="2909">
        <f>+AB563/'VVP2'!AB$341</f>
        <v>-4.461429925065271E-2</v>
      </c>
      <c r="AC578" s="2909">
        <f ca="1">+AC563/'VVP2'!AC$341</f>
        <v>-4.8863933938049803E-2</v>
      </c>
      <c r="AD578" s="2909">
        <f ca="1">+AD563/'VVP2'!AD$341</f>
        <v>-5.1024174133615929E-2</v>
      </c>
      <c r="AE578" s="2909">
        <f ca="1">+AE563/'VVP2'!AE$341</f>
        <v>-5.2683433057192752E-2</v>
      </c>
    </row>
    <row r="579" spans="1:31" ht="12.75" customHeight="1">
      <c r="A579" s="664"/>
      <c r="B579" s="664"/>
      <c r="C579" s="826" t="s">
        <v>401</v>
      </c>
      <c r="D579" s="674" t="s">
        <v>686</v>
      </c>
      <c r="E579" s="783" t="s">
        <v>378</v>
      </c>
      <c r="F579" s="704" t="s">
        <v>1608</v>
      </c>
      <c r="G579" s="839">
        <f>+G564/'VVP2'!G$341</f>
        <v>-5.3011579580476836E-2</v>
      </c>
      <c r="H579" s="839">
        <f>+H564/'VVP2'!H$341</f>
        <v>-1.5459921866555554E-2</v>
      </c>
      <c r="I579" s="839">
        <f>+I564/'VVP2'!I$341</f>
        <v>-8.2303140304699471E-2</v>
      </c>
      <c r="J579" s="839">
        <f>+J564/'VVP2'!J$341</f>
        <v>-8.9183195156489523E-2</v>
      </c>
      <c r="K579" s="839">
        <f>+K564/'VVP2'!K$341</f>
        <v>-8.0454968817062142E-2</v>
      </c>
      <c r="L579" s="839">
        <f>+L564/'VVP2'!L$341</f>
        <v>-4.7497864331569405E-2</v>
      </c>
      <c r="M579" s="839">
        <f>+M564/'VVP2'!M$341</f>
        <v>-1.4505597934977721E-2</v>
      </c>
      <c r="N579" s="839">
        <f>+N564/'VVP2'!N$341</f>
        <v>-2.6246253002038526E-2</v>
      </c>
      <c r="O579" s="839">
        <f>+O564/'VVP2'!O$341</f>
        <v>-2.5307646528057722E-2</v>
      </c>
      <c r="P579" s="839">
        <f>+P564/'VVP2'!P$341</f>
        <v>-7.0861379602274885E-2</v>
      </c>
      <c r="Q579" s="839">
        <f>+Q564/'VVP2'!Q$341</f>
        <v>-5.7020285825157627E-2</v>
      </c>
      <c r="R579" s="839">
        <f>+R564/'VVP2'!R$341</f>
        <v>-9.5278992058699719E-2</v>
      </c>
      <c r="S579" s="839">
        <f>+S564/'VVP2'!S$341</f>
        <v>-7.5837463749102052E-2</v>
      </c>
      <c r="T579" s="2910">
        <f>+T564/'VVP2'!T$341</f>
        <v>-4.1624612952910825E-2</v>
      </c>
      <c r="U579" s="2910">
        <f>+U564/'VVP2'!U$341</f>
        <v>0.15184842519831207</v>
      </c>
      <c r="V579" s="2910">
        <f>+V564/'VVP2'!V$341</f>
        <v>8.1350351759654521E-2</v>
      </c>
      <c r="W579" s="2910">
        <f>+W564/'VVP2'!W$341</f>
        <v>4.8579838671514809E-2</v>
      </c>
      <c r="X579" s="2910">
        <f>+X564/'VVP2'!X$341</f>
        <v>6.9896738921833901E-2</v>
      </c>
      <c r="Y579" s="2910">
        <f>+Y564/'VVP2'!Y$341</f>
        <v>9.3206596747965081E-2</v>
      </c>
      <c r="Z579" s="2910">
        <f>+Z564/'VVP2'!Z$341</f>
        <v>9.9788395844704822E-2</v>
      </c>
      <c r="AA579" s="2910">
        <f>+AA564/'VVP2'!AA$341</f>
        <v>5.0473713756068198E-2</v>
      </c>
      <c r="AB579" s="2910">
        <f>+AB564/'VVP2'!AB$341</f>
        <v>5.0561803564261411E-2</v>
      </c>
      <c r="AC579" s="2910">
        <f ca="1">+AC564/'VVP2'!AC$341</f>
        <v>5.6083193885794885E-2</v>
      </c>
      <c r="AD579" s="2910">
        <f ca="1">+AD564/'VVP2'!AD$341</f>
        <v>5.1301636193539252E-2</v>
      </c>
      <c r="AE579" s="2910">
        <f ca="1">+AE564/'VVP2'!AE$341</f>
        <v>5.1596880675620009E-2</v>
      </c>
    </row>
    <row r="580" spans="1:31" ht="12.75" customHeight="1">
      <c r="A580" s="664"/>
      <c r="B580" s="664"/>
      <c r="C580" s="827" t="s">
        <v>401</v>
      </c>
      <c r="D580" s="828" t="s">
        <v>687</v>
      </c>
      <c r="E580" s="829" t="s">
        <v>378</v>
      </c>
      <c r="F580" s="830" t="s">
        <v>1678</v>
      </c>
      <c r="G580" s="840">
        <f>+G565/'VVP2'!G$341</f>
        <v>-1.5469062518916084E-2</v>
      </c>
      <c r="H580" s="840">
        <f>+H565/'VVP2'!H$341</f>
        <v>-3.2494865737094931E-2</v>
      </c>
      <c r="I580" s="840">
        <f>+I565/'VVP2'!I$341</f>
        <v>-0.11753497425014971</v>
      </c>
      <c r="J580" s="840">
        <f>+J565/'VVP2'!J$341</f>
        <v>-3.0324160111073927E-2</v>
      </c>
      <c r="K580" s="840">
        <f>+K565/'VVP2'!K$341</f>
        <v>-2.8219614728667491E-2</v>
      </c>
      <c r="L580" s="840">
        <f>+L565/'VVP2'!L$341</f>
        <v>-3.1848015212242765E-2</v>
      </c>
      <c r="M580" s="840">
        <f>+M565/'VVP2'!M$341</f>
        <v>-3.5267131259105605E-2</v>
      </c>
      <c r="N580" s="840">
        <f>+N565/'VVP2'!N$341</f>
        <v>-1.8551956727230361E-2</v>
      </c>
      <c r="O580" s="840">
        <f>+O565/'VVP2'!O$341</f>
        <v>-1.2643624373668142E-2</v>
      </c>
      <c r="P580" s="840">
        <f>+P565/'VVP2'!P$341</f>
        <v>-1.3922792980701504E-2</v>
      </c>
      <c r="Q580" s="840">
        <f>+Q565/'VVP2'!Q$341</f>
        <v>-3.4315207583913319E-3</v>
      </c>
      <c r="R580" s="840">
        <f>+R565/'VVP2'!R$341</f>
        <v>-2.7206075954414035E-3</v>
      </c>
      <c r="S580" s="840">
        <f>+S565/'VVP2'!S$341</f>
        <v>-8.1527072731817796E-3</v>
      </c>
      <c r="T580" s="2911">
        <f>+T565/'VVP2'!T$341</f>
        <v>-3.0829806938281693E-2</v>
      </c>
      <c r="U580" s="2911">
        <f>+U565/'VVP2'!U$341</f>
        <v>-9.1056855030031761E-2</v>
      </c>
      <c r="V580" s="2911">
        <f>+V565/'VVP2'!V$341</f>
        <v>-6.9006831108983049E-2</v>
      </c>
      <c r="W580" s="2911">
        <f>+W565/'VVP2'!W$341</f>
        <v>-8.93973267100064E-2</v>
      </c>
      <c r="X580" s="2911">
        <f>+X565/'VVP2'!X$341</f>
        <v>-3.1454806935728399E-2</v>
      </c>
      <c r="Y580" s="2911">
        <f>+Y565/'VVP2'!Y$341</f>
        <v>-2.6099231542649919E-2</v>
      </c>
      <c r="Z580" s="2911">
        <f>+Z565/'VVP2'!Z$341</f>
        <v>-6.1736565132403994E-3</v>
      </c>
      <c r="AA580" s="2911">
        <f>+AA565/'VVP2'!AA$341</f>
        <v>-2.4479908813542029E-3</v>
      </c>
      <c r="AB580" s="2911">
        <f>+AB565/'VVP2'!AB$341</f>
        <v>2.6631619889357105E-3</v>
      </c>
      <c r="AC580" s="2911">
        <f ca="1">+AC565/'VVP2'!AC$341</f>
        <v>8.0208555861704563E-3</v>
      </c>
      <c r="AD580" s="2911">
        <f ca="1">+AD565/'VVP2'!AD$341</f>
        <v>6.8098825894252505E-3</v>
      </c>
      <c r="AE580" s="2911">
        <f ca="1">+AE565/'VVP2'!AE$341</f>
        <v>6.0186770664689129E-3</v>
      </c>
    </row>
    <row r="581" spans="1:31" ht="12.75" customHeight="1">
      <c r="A581" s="664"/>
      <c r="B581" s="664"/>
      <c r="C581" s="774" t="s">
        <v>1769</v>
      </c>
      <c r="D581" s="806" t="s">
        <v>688</v>
      </c>
      <c r="E581" s="807" t="s">
        <v>378</v>
      </c>
      <c r="F581" s="808" t="s">
        <v>1609</v>
      </c>
      <c r="G581" s="841">
        <f>+G566/'VVP2'!G$341</f>
        <v>9.7479177748041421E-2</v>
      </c>
      <c r="H581" s="841">
        <f>+H566/'VVP2'!H$341</f>
        <v>8.5516488833299875E-2</v>
      </c>
      <c r="I581" s="841">
        <f>+I566/'VVP2'!I$341</f>
        <v>9.656065927804891E-2</v>
      </c>
      <c r="J581" s="841">
        <f>+J566/'VVP2'!J$341</f>
        <v>0.11563773809779787</v>
      </c>
      <c r="K581" s="841">
        <f>+K566/'VVP2'!K$341</f>
        <v>0.1071437561752286</v>
      </c>
      <c r="L581" s="841">
        <f>+L566/'VVP2'!L$341</f>
        <v>5.8307862401613383E-2</v>
      </c>
      <c r="M581" s="841">
        <f>+M566/'VVP2'!M$341</f>
        <v>4.7326010319475399E-2</v>
      </c>
      <c r="N581" s="841">
        <f>+N566/'VVP2'!N$341</f>
        <v>4.8123392910354244E-2</v>
      </c>
      <c r="O581" s="841">
        <f>+O566/'VVP2'!O$341</f>
        <v>6.4223012536236065E-2</v>
      </c>
      <c r="P581" s="841">
        <f>+P566/'VVP2'!P$341</f>
        <v>6.6861427853920338E-2</v>
      </c>
      <c r="Q581" s="841">
        <f>+Q566/'VVP2'!Q$341</f>
        <v>6.0712253628760586E-2</v>
      </c>
      <c r="R581" s="841">
        <f>+R566/'VVP2'!R$341</f>
        <v>8.7133365837208737E-2</v>
      </c>
      <c r="S581" s="841">
        <f>+S566/'VVP2'!S$341</f>
        <v>0.12815135744160086</v>
      </c>
      <c r="T581" s="2912">
        <f>+T566/'VVP2'!T$341</f>
        <v>0.11264584227930516</v>
      </c>
      <c r="U581" s="2912">
        <f>+U566/'VVP2'!U$341</f>
        <v>-6.4340507937309402E-2</v>
      </c>
      <c r="V581" s="2912">
        <f>+V566/'VVP2'!V$341</f>
        <v>-3.4580125490319205E-2</v>
      </c>
      <c r="W581" s="2912">
        <f>+W566/'VVP2'!W$341</f>
        <v>6.1933818742701905E-3</v>
      </c>
      <c r="X581" s="2912">
        <f>+X566/'VVP2'!X$341</f>
        <v>-1.9440166388393111E-2</v>
      </c>
      <c r="Y581" s="2912">
        <f>+Y566/'VVP2'!Y$341</f>
        <v>-4.5389470432341282E-2</v>
      </c>
      <c r="Z581" s="2912">
        <f>+Z566/'VVP2'!Z$341</f>
        <v>-6.64674411812642E-2</v>
      </c>
      <c r="AA581" s="2912">
        <f>+AA566/'VVP2'!AA$341</f>
        <v>-9.6161527854112337E-3</v>
      </c>
      <c r="AB581" s="2912">
        <f>+AB566/'VVP2'!AB$341</f>
        <v>-8.6109249121761704E-3</v>
      </c>
      <c r="AC581" s="2912">
        <f ca="1">+AC566/'VVP2'!AC$341</f>
        <v>-1.5240115533915541E-2</v>
      </c>
      <c r="AD581" s="2912">
        <f ca="1">+AD566/'VVP2'!AD$341</f>
        <v>-7.0873446493485721E-3</v>
      </c>
      <c r="AE581" s="2912">
        <f ca="1">+AE566/'VVP2'!AE$341</f>
        <v>-4.9321246848961671E-3</v>
      </c>
    </row>
    <row r="582" spans="1:31" ht="30" customHeight="1">
      <c r="AB582" s="2221"/>
      <c r="AC582" s="2221"/>
      <c r="AD582" s="2221"/>
      <c r="AE582" s="2221"/>
    </row>
    <row r="583" spans="1:31" ht="30" customHeight="1">
      <c r="AB583" s="2221"/>
      <c r="AC583" s="2221"/>
      <c r="AD583" s="2221"/>
      <c r="AE583" s="2221"/>
    </row>
    <row r="584" spans="1:31" ht="22.5" customHeight="1">
      <c r="A584" s="574"/>
      <c r="B584" s="574"/>
      <c r="C584" s="3751" t="s">
        <v>910</v>
      </c>
      <c r="D584" s="3751"/>
      <c r="E584" s="3751"/>
      <c r="F584" s="3751"/>
      <c r="AB584" s="2221"/>
      <c r="AC584" s="2221"/>
      <c r="AD584" s="2221"/>
      <c r="AE584" s="2221"/>
    </row>
    <row r="585" spans="1:31">
      <c r="AB585" s="2221"/>
      <c r="AC585" s="2221"/>
      <c r="AD585" s="2221"/>
      <c r="AE585" s="2221"/>
    </row>
    <row r="586" spans="1:31" ht="12.75" customHeight="1">
      <c r="A586" s="664"/>
      <c r="B586" s="664"/>
      <c r="C586" s="774"/>
      <c r="D586" s="695"/>
      <c r="E586" s="696" t="s">
        <v>964</v>
      </c>
      <c r="F586" s="697"/>
      <c r="G586" s="698">
        <f>+InputY!$G$3</f>
        <v>1995</v>
      </c>
      <c r="H586" s="698">
        <f>+G586+1</f>
        <v>1996</v>
      </c>
      <c r="I586" s="698">
        <f t="shared" ref="I586:O586" si="528">+H586+1</f>
        <v>1997</v>
      </c>
      <c r="J586" s="698">
        <f t="shared" si="528"/>
        <v>1998</v>
      </c>
      <c r="K586" s="698">
        <f>+J586+1</f>
        <v>1999</v>
      </c>
      <c r="L586" s="698">
        <f t="shared" si="528"/>
        <v>2000</v>
      </c>
      <c r="M586" s="698">
        <f t="shared" si="528"/>
        <v>2001</v>
      </c>
      <c r="N586" s="698">
        <f t="shared" si="528"/>
        <v>2002</v>
      </c>
      <c r="O586" s="698">
        <f t="shared" si="528"/>
        <v>2003</v>
      </c>
      <c r="P586" s="698">
        <f t="shared" ref="P586:W586" si="529">+O586+1</f>
        <v>2004</v>
      </c>
      <c r="Q586" s="698">
        <f t="shared" si="529"/>
        <v>2005</v>
      </c>
      <c r="R586" s="698">
        <f t="shared" si="529"/>
        <v>2006</v>
      </c>
      <c r="S586" s="698">
        <f t="shared" si="529"/>
        <v>2007</v>
      </c>
      <c r="T586" s="2210">
        <f t="shared" si="529"/>
        <v>2008</v>
      </c>
      <c r="U586" s="2210">
        <f t="shared" si="529"/>
        <v>2009</v>
      </c>
      <c r="V586" s="2210">
        <f t="shared" si="529"/>
        <v>2010</v>
      </c>
      <c r="W586" s="2210">
        <f t="shared" si="529"/>
        <v>2011</v>
      </c>
      <c r="X586" s="2210">
        <f t="shared" ref="X586:AE586" si="530">+W586+1</f>
        <v>2012</v>
      </c>
      <c r="Y586" s="2210">
        <f t="shared" si="530"/>
        <v>2013</v>
      </c>
      <c r="Z586" s="2210">
        <f t="shared" si="530"/>
        <v>2014</v>
      </c>
      <c r="AA586" s="2210">
        <f t="shared" si="530"/>
        <v>2015</v>
      </c>
      <c r="AB586" s="2210">
        <f t="shared" si="530"/>
        <v>2016</v>
      </c>
      <c r="AC586" s="2210">
        <f t="shared" si="530"/>
        <v>2017</v>
      </c>
      <c r="AD586" s="2210">
        <f t="shared" si="530"/>
        <v>2018</v>
      </c>
      <c r="AE586" s="2210">
        <f t="shared" si="530"/>
        <v>2019</v>
      </c>
    </row>
    <row r="587" spans="1:31">
      <c r="C587" s="1316" t="s">
        <v>1767</v>
      </c>
      <c r="D587" s="1317" t="s">
        <v>687</v>
      </c>
      <c r="E587" s="1318" t="s">
        <v>709</v>
      </c>
      <c r="F587" s="1319" t="s">
        <v>507</v>
      </c>
      <c r="G587" s="1320">
        <f t="shared" ref="G587:L587" si="531">+G565</f>
        <v>-0.12010999999999949</v>
      </c>
      <c r="H587" s="1320">
        <f t="shared" si="531"/>
        <v>-0.31566000000000072</v>
      </c>
      <c r="I587" s="1320">
        <f t="shared" si="531"/>
        <v>-1.3780200000000002</v>
      </c>
      <c r="J587" s="1320">
        <f t="shared" si="531"/>
        <v>-0.39488000000000023</v>
      </c>
      <c r="K587" s="1320">
        <f t="shared" si="531"/>
        <v>-0.35872999999999944</v>
      </c>
      <c r="L587" s="1320">
        <f t="shared" si="531"/>
        <v>-0.42574999999999952</v>
      </c>
      <c r="M587" s="1320">
        <f>+M565</f>
        <v>-0.50059999999999971</v>
      </c>
      <c r="N587" s="1320">
        <f>+N565</f>
        <v>-0.28202999999999956</v>
      </c>
      <c r="O587" s="1320">
        <f>+O565</f>
        <v>-0.21074999999999994</v>
      </c>
      <c r="P587" s="1320">
        <f t="shared" ref="P587:W587" si="532">+P565</f>
        <v>-0.25391999999999942</v>
      </c>
      <c r="Q587" s="1320">
        <f t="shared" si="532"/>
        <v>-7.2070000000000189E-2</v>
      </c>
      <c r="R587" s="1320">
        <f t="shared" si="532"/>
        <v>-6.5510000000000734E-2</v>
      </c>
      <c r="S587" s="1320">
        <f t="shared" si="532"/>
        <v>-0.23675999999999919</v>
      </c>
      <c r="T587" s="1320">
        <f t="shared" si="532"/>
        <v>-1.008020000000001</v>
      </c>
      <c r="U587" s="1320">
        <f t="shared" si="532"/>
        <v>-2.4525999999999999</v>
      </c>
      <c r="V587" s="2868">
        <f>+V565</f>
        <v>-1.9340999999999999</v>
      </c>
      <c r="W587" s="2868">
        <f t="shared" si="532"/>
        <v>-2.7959299999999976</v>
      </c>
      <c r="X587" s="2868">
        <f t="shared" ref="X587:AC587" si="533">+X565</f>
        <v>-1.04897</v>
      </c>
      <c r="Y587" s="2868">
        <f t="shared" si="533"/>
        <v>-0.91242000000000134</v>
      </c>
      <c r="Z587" s="2868">
        <f>+Z565</f>
        <v>-0.22575999999999863</v>
      </c>
      <c r="AA587" s="2868">
        <f t="shared" si="533"/>
        <v>-9.1620000000000035E-2</v>
      </c>
      <c r="AB587" s="2868">
        <f t="shared" si="533"/>
        <v>0.10298000000000251</v>
      </c>
      <c r="AC587" s="2868">
        <f t="shared" ca="1" si="533"/>
        <v>0.33510809708063016</v>
      </c>
      <c r="AD587" s="2868">
        <f ca="1">+AD565</f>
        <v>0.30107552186732556</v>
      </c>
      <c r="AE587" s="2868">
        <f ca="1">+AE565</f>
        <v>0.28092927478639473</v>
      </c>
    </row>
    <row r="588" spans="1:31">
      <c r="C588" s="1321" t="s">
        <v>1767</v>
      </c>
      <c r="D588" s="1322" t="s">
        <v>687</v>
      </c>
      <c r="E588" s="1323" t="s">
        <v>210</v>
      </c>
      <c r="F588" s="1324" t="s">
        <v>211</v>
      </c>
      <c r="G588" s="1323">
        <f t="shared" ref="G588:O588" si="534">+G164</f>
        <v>0</v>
      </c>
      <c r="H588" s="1323">
        <f t="shared" si="534"/>
        <v>0</v>
      </c>
      <c r="I588" s="1323">
        <f t="shared" si="534"/>
        <v>0</v>
      </c>
      <c r="J588" s="1323">
        <f t="shared" si="534"/>
        <v>0</v>
      </c>
      <c r="K588" s="1323">
        <f t="shared" si="534"/>
        <v>0</v>
      </c>
      <c r="L588" s="1323">
        <f t="shared" si="534"/>
        <v>0</v>
      </c>
      <c r="M588" s="1323">
        <f t="shared" si="534"/>
        <v>0</v>
      </c>
      <c r="N588" s="1323">
        <f t="shared" si="534"/>
        <v>0</v>
      </c>
      <c r="O588" s="1323">
        <f t="shared" si="534"/>
        <v>0</v>
      </c>
      <c r="P588" s="1323">
        <f t="shared" ref="P588:W588" si="535">+P164</f>
        <v>0</v>
      </c>
      <c r="Q588" s="1323">
        <f t="shared" si="535"/>
        <v>0</v>
      </c>
      <c r="R588" s="1323">
        <f t="shared" si="535"/>
        <v>0</v>
      </c>
      <c r="S588" s="1323">
        <f t="shared" si="535"/>
        <v>0</v>
      </c>
      <c r="T588" s="1323">
        <f t="shared" si="535"/>
        <v>0</v>
      </c>
      <c r="U588" s="3135">
        <f t="shared" si="535"/>
        <v>0</v>
      </c>
      <c r="V588" s="2869">
        <f t="shared" si="535"/>
        <v>0</v>
      </c>
      <c r="W588" s="2869">
        <f t="shared" si="535"/>
        <v>0</v>
      </c>
      <c r="X588" s="3305">
        <f t="shared" ref="X588:AC588" si="536">+X164</f>
        <v>0</v>
      </c>
      <c r="Y588" s="2869">
        <f t="shared" si="536"/>
        <v>0</v>
      </c>
      <c r="Z588" s="2869">
        <f t="shared" si="536"/>
        <v>0</v>
      </c>
      <c r="AA588" s="2869">
        <f t="shared" si="536"/>
        <v>0</v>
      </c>
      <c r="AB588" s="2869">
        <f t="shared" si="536"/>
        <v>0</v>
      </c>
      <c r="AC588" s="2869">
        <f t="shared" si="536"/>
        <v>0</v>
      </c>
      <c r="AD588" s="2869">
        <f>+AD164</f>
        <v>0</v>
      </c>
      <c r="AE588" s="2869">
        <f>+AE164</f>
        <v>0</v>
      </c>
    </row>
    <row r="589" spans="1:31">
      <c r="B589" s="663">
        <v>137</v>
      </c>
      <c r="C589" s="694" t="s">
        <v>1769</v>
      </c>
      <c r="D589" s="769" t="s">
        <v>687</v>
      </c>
      <c r="E589" s="1313" t="s">
        <v>585</v>
      </c>
      <c r="F589" s="771" t="s">
        <v>1681</v>
      </c>
      <c r="G589" s="1314">
        <f t="shared" ref="G589:N589" si="537">+G587+G588</f>
        <v>-0.12010999999999949</v>
      </c>
      <c r="H589" s="1314">
        <f t="shared" si="537"/>
        <v>-0.31566000000000072</v>
      </c>
      <c r="I589" s="1314">
        <f t="shared" si="537"/>
        <v>-1.3780200000000002</v>
      </c>
      <c r="J589" s="1314">
        <f t="shared" si="537"/>
        <v>-0.39488000000000023</v>
      </c>
      <c r="K589" s="1314">
        <f t="shared" si="537"/>
        <v>-0.35872999999999944</v>
      </c>
      <c r="L589" s="1314">
        <f t="shared" si="537"/>
        <v>-0.42574999999999952</v>
      </c>
      <c r="M589" s="1314">
        <f t="shared" si="537"/>
        <v>-0.50059999999999971</v>
      </c>
      <c r="N589" s="1314">
        <f t="shared" si="537"/>
        <v>-0.28202999999999956</v>
      </c>
      <c r="O589" s="1314">
        <f t="shared" ref="O589:Y589" si="538">+O587+O588</f>
        <v>-0.21074999999999994</v>
      </c>
      <c r="P589" s="1314">
        <f t="shared" si="538"/>
        <v>-0.25391999999999942</v>
      </c>
      <c r="Q589" s="1314">
        <f t="shared" si="538"/>
        <v>-7.2070000000000189E-2</v>
      </c>
      <c r="R589" s="1314">
        <f t="shared" si="538"/>
        <v>-6.5510000000000734E-2</v>
      </c>
      <c r="S589" s="1314">
        <f t="shared" si="538"/>
        <v>-0.23675999999999919</v>
      </c>
      <c r="T589" s="1314">
        <f>+T587+T588</f>
        <v>-1.008020000000001</v>
      </c>
      <c r="U589" s="1314">
        <f>+U587+U588</f>
        <v>-2.4525999999999999</v>
      </c>
      <c r="V589" s="3137">
        <f t="shared" si="538"/>
        <v>-1.9340999999999999</v>
      </c>
      <c r="W589" s="2870">
        <f t="shared" si="538"/>
        <v>-2.7959299999999976</v>
      </c>
      <c r="X589" s="3303">
        <f>+X587+X588</f>
        <v>-1.04897</v>
      </c>
      <c r="Y589" s="3304">
        <f t="shared" si="538"/>
        <v>-0.91242000000000134</v>
      </c>
      <c r="Z589" s="3304">
        <f t="shared" ref="Z589:AE589" si="539">+Z587+Z588</f>
        <v>-0.22575999999999863</v>
      </c>
      <c r="AA589" s="3304">
        <f t="shared" si="539"/>
        <v>-9.1620000000000035E-2</v>
      </c>
      <c r="AB589" s="3304">
        <f t="shared" si="539"/>
        <v>0.10298000000000251</v>
      </c>
      <c r="AC589" s="3304">
        <f t="shared" ca="1" si="539"/>
        <v>0.33510809708063016</v>
      </c>
      <c r="AD589" s="3304">
        <f t="shared" ca="1" si="539"/>
        <v>0.30107552186732556</v>
      </c>
      <c r="AE589" s="3304">
        <f t="shared" ca="1" si="539"/>
        <v>0.28092927478639473</v>
      </c>
    </row>
    <row r="590" spans="1:31">
      <c r="Q590" s="699"/>
      <c r="R590" s="699"/>
      <c r="S590" s="3120" t="s">
        <v>1020</v>
      </c>
      <c r="T590" s="3120">
        <v>-3.6469</v>
      </c>
      <c r="U590" s="3120"/>
      <c r="V590" s="3120"/>
      <c r="AB590" s="2221"/>
      <c r="AC590" s="2221"/>
      <c r="AD590" s="2221"/>
      <c r="AE590" s="2221"/>
    </row>
    <row r="591" spans="1:31" ht="12.75" customHeight="1">
      <c r="A591" s="664"/>
      <c r="B591" s="664"/>
      <c r="C591" s="774"/>
      <c r="D591" s="742"/>
      <c r="E591" s="743" t="s">
        <v>576</v>
      </c>
      <c r="F591" s="744"/>
      <c r="G591" s="745">
        <f>+InputY!$G$3</f>
        <v>1995</v>
      </c>
      <c r="H591" s="745">
        <f>+G591+1</f>
        <v>1996</v>
      </c>
      <c r="I591" s="745">
        <f t="shared" ref="I591:O591" si="540">+H591+1</f>
        <v>1997</v>
      </c>
      <c r="J591" s="745">
        <f t="shared" si="540"/>
        <v>1998</v>
      </c>
      <c r="K591" s="745">
        <f>+J591+1</f>
        <v>1999</v>
      </c>
      <c r="L591" s="745">
        <f t="shared" si="540"/>
        <v>2000</v>
      </c>
      <c r="M591" s="745">
        <f t="shared" si="540"/>
        <v>2001</v>
      </c>
      <c r="N591" s="745">
        <f t="shared" si="540"/>
        <v>2002</v>
      </c>
      <c r="O591" s="745">
        <f t="shared" si="540"/>
        <v>2003</v>
      </c>
      <c r="P591" s="745">
        <f t="shared" ref="P591:W591" si="541">+O591+1</f>
        <v>2004</v>
      </c>
      <c r="Q591" s="745">
        <f t="shared" si="541"/>
        <v>2005</v>
      </c>
      <c r="R591" s="745">
        <f t="shared" si="541"/>
        <v>2006</v>
      </c>
      <c r="S591" s="745">
        <f t="shared" si="541"/>
        <v>2007</v>
      </c>
      <c r="T591" s="2211">
        <f t="shared" si="541"/>
        <v>2008</v>
      </c>
      <c r="U591" s="2211">
        <f t="shared" si="541"/>
        <v>2009</v>
      </c>
      <c r="V591" s="2211">
        <f t="shared" si="541"/>
        <v>2010</v>
      </c>
      <c r="W591" s="2211">
        <f t="shared" si="541"/>
        <v>2011</v>
      </c>
      <c r="X591" s="2211">
        <f t="shared" ref="X591:AE591" si="542">+W591+1</f>
        <v>2012</v>
      </c>
      <c r="Y591" s="2211">
        <f t="shared" si="542"/>
        <v>2013</v>
      </c>
      <c r="Z591" s="2211">
        <f t="shared" si="542"/>
        <v>2014</v>
      </c>
      <c r="AA591" s="2211">
        <f t="shared" si="542"/>
        <v>2015</v>
      </c>
      <c r="AB591" s="2211">
        <f t="shared" si="542"/>
        <v>2016</v>
      </c>
      <c r="AC591" s="2211">
        <f t="shared" si="542"/>
        <v>2017</v>
      </c>
      <c r="AD591" s="2211">
        <f t="shared" si="542"/>
        <v>2018</v>
      </c>
      <c r="AE591" s="2211">
        <f t="shared" si="542"/>
        <v>2019</v>
      </c>
    </row>
    <row r="592" spans="1:31" ht="12.75" customHeight="1">
      <c r="A592" s="664"/>
      <c r="B592" s="664"/>
      <c r="C592" s="794" t="s">
        <v>1767</v>
      </c>
      <c r="D592" s="689" t="s">
        <v>687</v>
      </c>
      <c r="E592" s="738" t="s">
        <v>709</v>
      </c>
      <c r="F592" s="733" t="s">
        <v>507</v>
      </c>
      <c r="G592" s="739"/>
      <c r="H592" s="739">
        <f>(H587/G587-1)*100</f>
        <v>162.80909166597456</v>
      </c>
      <c r="I592" s="739">
        <f t="shared" ref="I592:S592" si="543">(I587/H587-1)*100</f>
        <v>336.55198631438799</v>
      </c>
      <c r="J592" s="739">
        <f t="shared" si="543"/>
        <v>-71.344392679351515</v>
      </c>
      <c r="K592" s="739">
        <f>(K587/J587-1)*100</f>
        <v>-9.1546799027554577</v>
      </c>
      <c r="L592" s="739">
        <f t="shared" si="543"/>
        <v>18.682574638307404</v>
      </c>
      <c r="M592" s="739">
        <f t="shared" si="543"/>
        <v>17.580739870816274</v>
      </c>
      <c r="N592" s="739">
        <f t="shared" si="543"/>
        <v>-43.6616060727128</v>
      </c>
      <c r="O592" s="739">
        <f t="shared" si="543"/>
        <v>-25.273907031166797</v>
      </c>
      <c r="P592" s="739">
        <f t="shared" si="543"/>
        <v>20.483985765124313</v>
      </c>
      <c r="Q592" s="739">
        <f t="shared" si="543"/>
        <v>-71.617044738500169</v>
      </c>
      <c r="R592" s="739">
        <f t="shared" si="543"/>
        <v>-9.1022616900228055</v>
      </c>
      <c r="S592" s="739">
        <f t="shared" si="543"/>
        <v>261.4104716837071</v>
      </c>
      <c r="T592" s="2268">
        <f t="shared" ref="T592:AE593" si="544">(T587/S587-1)*100</f>
        <v>325.75603987160184</v>
      </c>
      <c r="U592" s="2268">
        <f>(U587/T587-1)*100</f>
        <v>143.30866451062451</v>
      </c>
      <c r="V592" s="2268">
        <f t="shared" si="544"/>
        <v>-21.140830139443857</v>
      </c>
      <c r="W592" s="2268">
        <f t="shared" si="544"/>
        <v>44.559743549971451</v>
      </c>
      <c r="X592" s="2268">
        <f t="shared" si="544"/>
        <v>-62.482250986254996</v>
      </c>
      <c r="Y592" s="2268">
        <f t="shared" si="544"/>
        <v>-13.017531483264399</v>
      </c>
      <c r="Z592" s="2268">
        <f t="shared" si="544"/>
        <v>-75.257008833651355</v>
      </c>
      <c r="AA592" s="2268">
        <f t="shared" si="544"/>
        <v>-59.417080085045804</v>
      </c>
      <c r="AB592" s="2268">
        <f t="shared" si="544"/>
        <v>-212.3990395110265</v>
      </c>
      <c r="AC592" s="2268">
        <f ca="1">(AC587/AB587-1)*100</f>
        <v>225.41085364208774</v>
      </c>
      <c r="AD592" s="2268">
        <f ca="1">(AD587/AC587-1)*100</f>
        <v>-10.15570065593373</v>
      </c>
      <c r="AE592" s="2268">
        <f ca="1">(AE587/AD587-1)*100</f>
        <v>-6.6914264421033316</v>
      </c>
    </row>
    <row r="593" spans="1:31" ht="12.75" customHeight="1">
      <c r="A593" s="664"/>
      <c r="B593" s="664"/>
      <c r="C593" s="796" t="s">
        <v>1767</v>
      </c>
      <c r="D593" s="691" t="s">
        <v>687</v>
      </c>
      <c r="E593" s="797" t="s">
        <v>210</v>
      </c>
      <c r="F593" s="736" t="s">
        <v>211</v>
      </c>
      <c r="G593" s="741"/>
      <c r="H593" s="741" t="e">
        <f t="shared" ref="H593:AE594" si="545">(H588/G588-1)*100</f>
        <v>#DIV/0!</v>
      </c>
      <c r="I593" s="741" t="e">
        <f t="shared" si="545"/>
        <v>#DIV/0!</v>
      </c>
      <c r="J593" s="741" t="e">
        <f t="shared" si="545"/>
        <v>#DIV/0!</v>
      </c>
      <c r="K593" s="741" t="e">
        <f>(K588/J588-1)*100</f>
        <v>#DIV/0!</v>
      </c>
      <c r="L593" s="741" t="e">
        <f t="shared" si="545"/>
        <v>#DIV/0!</v>
      </c>
      <c r="M593" s="741" t="e">
        <f t="shared" si="545"/>
        <v>#DIV/0!</v>
      </c>
      <c r="N593" s="741" t="e">
        <f t="shared" si="545"/>
        <v>#DIV/0!</v>
      </c>
      <c r="O593" s="741" t="e">
        <f t="shared" si="545"/>
        <v>#DIV/0!</v>
      </c>
      <c r="P593" s="741" t="e">
        <f t="shared" si="545"/>
        <v>#DIV/0!</v>
      </c>
      <c r="Q593" s="741" t="e">
        <f t="shared" si="545"/>
        <v>#DIV/0!</v>
      </c>
      <c r="R593" s="741" t="e">
        <f t="shared" si="545"/>
        <v>#DIV/0!</v>
      </c>
      <c r="S593" s="741" t="e">
        <f t="shared" si="545"/>
        <v>#DIV/0!</v>
      </c>
      <c r="T593" s="2234" t="e">
        <f t="shared" si="544"/>
        <v>#DIV/0!</v>
      </c>
      <c r="U593" s="2234" t="e">
        <f t="shared" si="544"/>
        <v>#DIV/0!</v>
      </c>
      <c r="V593" s="2234" t="e">
        <f t="shared" si="544"/>
        <v>#DIV/0!</v>
      </c>
      <c r="W593" s="2234" t="e">
        <f t="shared" si="544"/>
        <v>#DIV/0!</v>
      </c>
      <c r="X593" s="2234" t="e">
        <f t="shared" si="544"/>
        <v>#DIV/0!</v>
      </c>
      <c r="Y593" s="2234" t="e">
        <f t="shared" si="544"/>
        <v>#DIV/0!</v>
      </c>
      <c r="Z593" s="2234" t="e">
        <f t="shared" si="544"/>
        <v>#DIV/0!</v>
      </c>
      <c r="AA593" s="2234" t="e">
        <f t="shared" si="544"/>
        <v>#DIV/0!</v>
      </c>
      <c r="AB593" s="2234" t="e">
        <f t="shared" si="544"/>
        <v>#DIV/0!</v>
      </c>
      <c r="AC593" s="2234" t="e">
        <f t="shared" si="544"/>
        <v>#DIV/0!</v>
      </c>
      <c r="AD593" s="2234" t="e">
        <f t="shared" si="544"/>
        <v>#DIV/0!</v>
      </c>
      <c r="AE593" s="2234" t="e">
        <f t="shared" si="544"/>
        <v>#DIV/0!</v>
      </c>
    </row>
    <row r="594" spans="1:31" ht="12.75" customHeight="1">
      <c r="A594" s="664"/>
      <c r="B594" s="664"/>
      <c r="C594" s="774" t="s">
        <v>1769</v>
      </c>
      <c r="D594" s="717" t="s">
        <v>687</v>
      </c>
      <c r="E594" s="722" t="s">
        <v>585</v>
      </c>
      <c r="F594" s="723" t="s">
        <v>1681</v>
      </c>
      <c r="G594" s="721"/>
      <c r="H594" s="721">
        <f t="shared" si="545"/>
        <v>162.80909166597456</v>
      </c>
      <c r="I594" s="721">
        <f t="shared" si="545"/>
        <v>336.55198631438799</v>
      </c>
      <c r="J594" s="721">
        <f t="shared" si="545"/>
        <v>-71.344392679351515</v>
      </c>
      <c r="K594" s="721">
        <f>(K589/J589-1)*100</f>
        <v>-9.1546799027554577</v>
      </c>
      <c r="L594" s="721">
        <f t="shared" si="545"/>
        <v>18.682574638307404</v>
      </c>
      <c r="M594" s="721">
        <f t="shared" si="545"/>
        <v>17.580739870816274</v>
      </c>
      <c r="N594" s="721">
        <f t="shared" si="545"/>
        <v>-43.6616060727128</v>
      </c>
      <c r="O594" s="721">
        <f t="shared" si="545"/>
        <v>-25.273907031166797</v>
      </c>
      <c r="P594" s="721">
        <f t="shared" si="545"/>
        <v>20.483985765124313</v>
      </c>
      <c r="Q594" s="721">
        <f>(Q589/P589-1)*100</f>
        <v>-71.617044738500169</v>
      </c>
      <c r="R594" s="721">
        <f>(R589/Q589-1)*100</f>
        <v>-9.1022616900228055</v>
      </c>
      <c r="S594" s="721">
        <f>(S589/R589-1)*100</f>
        <v>261.4104716837071</v>
      </c>
      <c r="T594" s="721">
        <f>(T589/S589-1)*100</f>
        <v>325.75603987160184</v>
      </c>
      <c r="U594" s="2260">
        <f t="shared" si="545"/>
        <v>143.30866451062451</v>
      </c>
      <c r="V594" s="2260">
        <f t="shared" si="545"/>
        <v>-21.140830139443857</v>
      </c>
      <c r="W594" s="2260">
        <f t="shared" si="545"/>
        <v>44.559743549971451</v>
      </c>
      <c r="X594" s="2260">
        <f t="shared" si="545"/>
        <v>-62.482250986254996</v>
      </c>
      <c r="Y594" s="2260">
        <f t="shared" si="545"/>
        <v>-13.017531483264399</v>
      </c>
      <c r="Z594" s="2260">
        <f t="shared" si="545"/>
        <v>-75.257008833651355</v>
      </c>
      <c r="AA594" s="2260">
        <f t="shared" si="545"/>
        <v>-59.417080085045804</v>
      </c>
      <c r="AB594" s="2260">
        <f t="shared" si="545"/>
        <v>-212.3990395110265</v>
      </c>
      <c r="AC594" s="2260">
        <f t="shared" ca="1" si="545"/>
        <v>225.41085364208774</v>
      </c>
      <c r="AD594" s="2260">
        <f t="shared" ca="1" si="545"/>
        <v>-10.15570065593373</v>
      </c>
      <c r="AE594" s="2260">
        <f t="shared" ca="1" si="545"/>
        <v>-6.6914264421033316</v>
      </c>
    </row>
    <row r="595" spans="1:31">
      <c r="Q595" s="699"/>
      <c r="R595" s="699"/>
      <c r="S595" s="699"/>
      <c r="AB595" s="2221"/>
      <c r="AC595" s="2221"/>
      <c r="AD595" s="2221"/>
      <c r="AE595" s="2221"/>
    </row>
    <row r="596" spans="1:31" ht="12.75" customHeight="1">
      <c r="A596" s="664"/>
      <c r="B596" s="664"/>
      <c r="C596" s="774"/>
      <c r="D596" s="818"/>
      <c r="E596" s="819" t="s">
        <v>577</v>
      </c>
      <c r="F596" s="820"/>
      <c r="G596" s="821">
        <f>+InputY!$G$3</f>
        <v>1995</v>
      </c>
      <c r="H596" s="821">
        <f>+G596+1</f>
        <v>1996</v>
      </c>
      <c r="I596" s="821">
        <f t="shared" ref="I596:O596" si="546">+H596+1</f>
        <v>1997</v>
      </c>
      <c r="J596" s="821">
        <f t="shared" si="546"/>
        <v>1998</v>
      </c>
      <c r="K596" s="821">
        <f>+J596+1</f>
        <v>1999</v>
      </c>
      <c r="L596" s="821">
        <f t="shared" si="546"/>
        <v>2000</v>
      </c>
      <c r="M596" s="821">
        <f t="shared" si="546"/>
        <v>2001</v>
      </c>
      <c r="N596" s="821">
        <f t="shared" si="546"/>
        <v>2002</v>
      </c>
      <c r="O596" s="821">
        <f t="shared" si="546"/>
        <v>2003</v>
      </c>
      <c r="P596" s="821">
        <f t="shared" ref="P596:W596" si="547">+O596+1</f>
        <v>2004</v>
      </c>
      <c r="Q596" s="821">
        <f t="shared" si="547"/>
        <v>2005</v>
      </c>
      <c r="R596" s="821">
        <f t="shared" si="547"/>
        <v>2006</v>
      </c>
      <c r="S596" s="821">
        <f t="shared" si="547"/>
        <v>2007</v>
      </c>
      <c r="T596" s="2255">
        <f t="shared" si="547"/>
        <v>2008</v>
      </c>
      <c r="U596" s="2255">
        <f t="shared" si="547"/>
        <v>2009</v>
      </c>
      <c r="V596" s="2255">
        <f t="shared" si="547"/>
        <v>2010</v>
      </c>
      <c r="W596" s="2255">
        <f t="shared" si="547"/>
        <v>2011</v>
      </c>
      <c r="X596" s="2255">
        <f t="shared" ref="X596:AE596" si="548">+W596+1</f>
        <v>2012</v>
      </c>
      <c r="Y596" s="2255">
        <f t="shared" si="548"/>
        <v>2013</v>
      </c>
      <c r="Z596" s="2255">
        <f t="shared" si="548"/>
        <v>2014</v>
      </c>
      <c r="AA596" s="2255">
        <f t="shared" si="548"/>
        <v>2015</v>
      </c>
      <c r="AB596" s="2255">
        <f t="shared" si="548"/>
        <v>2016</v>
      </c>
      <c r="AC596" s="2255">
        <f t="shared" si="548"/>
        <v>2017</v>
      </c>
      <c r="AD596" s="2255">
        <f t="shared" si="548"/>
        <v>2018</v>
      </c>
      <c r="AE596" s="2255">
        <f t="shared" si="548"/>
        <v>2019</v>
      </c>
    </row>
    <row r="597" spans="1:31" ht="12.75" customHeight="1">
      <c r="A597" s="664"/>
      <c r="B597" s="664"/>
      <c r="C597" s="822" t="s">
        <v>1767</v>
      </c>
      <c r="D597" s="823" t="s">
        <v>687</v>
      </c>
      <c r="E597" s="824" t="s">
        <v>709</v>
      </c>
      <c r="F597" s="825" t="s">
        <v>507</v>
      </c>
      <c r="G597" s="838">
        <f>+G587/'VVP2'!G$341</f>
        <v>-1.5469062518916084E-2</v>
      </c>
      <c r="H597" s="838">
        <f>+H587/'VVP2'!H$341</f>
        <v>-3.2494865737094931E-2</v>
      </c>
      <c r="I597" s="838">
        <f>+I587/'VVP2'!I$341</f>
        <v>-0.11753497425014971</v>
      </c>
      <c r="J597" s="838">
        <f>+J587/'VVP2'!J$341</f>
        <v>-3.0324160111073927E-2</v>
      </c>
      <c r="K597" s="838">
        <f>+K587/'VVP2'!K$341</f>
        <v>-2.8219614728667491E-2</v>
      </c>
      <c r="L597" s="838">
        <f>+L587/'VVP2'!L$341</f>
        <v>-3.1848015212242765E-2</v>
      </c>
      <c r="M597" s="838">
        <f>+M587/'VVP2'!M$341</f>
        <v>-3.5267131259105605E-2</v>
      </c>
      <c r="N597" s="838">
        <f>+N587/'VVP2'!N$341</f>
        <v>-1.8551956727230361E-2</v>
      </c>
      <c r="O597" s="838">
        <f>+O587/'VVP2'!O$341</f>
        <v>-1.2643624373668142E-2</v>
      </c>
      <c r="P597" s="838">
        <f>+P587/'VVP2'!P$341</f>
        <v>-1.3922792980701504E-2</v>
      </c>
      <c r="Q597" s="838">
        <f>+Q587/'VVP2'!Q$341</f>
        <v>-3.4315207583913319E-3</v>
      </c>
      <c r="R597" s="838">
        <f>+R587/'VVP2'!R$341</f>
        <v>-2.7206075954414035E-3</v>
      </c>
      <c r="S597" s="838">
        <f>+S587/'VVP2'!S$341</f>
        <v>-8.1527072731817796E-3</v>
      </c>
      <c r="T597" s="838">
        <f>+T587/'VVP2'!T$341</f>
        <v>-3.0829806938281693E-2</v>
      </c>
      <c r="U597" s="2235">
        <f>+U587/'VVP2'!U$341</f>
        <v>-9.1056855030031761E-2</v>
      </c>
      <c r="V597" s="2235">
        <f>+V587/'VVP2'!V$341</f>
        <v>-6.9006831108983049E-2</v>
      </c>
      <c r="W597" s="2235">
        <f>+W587/'VVP2'!W$341</f>
        <v>-8.93973267100064E-2</v>
      </c>
      <c r="X597" s="2235">
        <f>+X587/'VVP2'!X$341</f>
        <v>-3.1454806935728399E-2</v>
      </c>
      <c r="Y597" s="2235">
        <f>+Y587/'VVP2'!Y$341</f>
        <v>-2.6099231542649919E-2</v>
      </c>
      <c r="Z597" s="2235">
        <f>+Z587/'VVP2'!Z$341</f>
        <v>-6.1736565132403994E-3</v>
      </c>
      <c r="AA597" s="2235">
        <f>+AA587/'VVP2'!AA$341</f>
        <v>-2.4479908813542029E-3</v>
      </c>
      <c r="AB597" s="2235">
        <f>+AB587/'VVP2'!AB$341</f>
        <v>2.6631619889357105E-3</v>
      </c>
      <c r="AC597" s="2235">
        <f ca="1">+AC587/'VVP2'!AC$341</f>
        <v>8.0208555861704563E-3</v>
      </c>
      <c r="AD597" s="2235">
        <f ca="1">+AD587/'VVP2'!AD$341</f>
        <v>6.8098825894252505E-3</v>
      </c>
      <c r="AE597" s="2235">
        <f ca="1">+AE587/'VVP2'!AE$341</f>
        <v>6.0186770664689129E-3</v>
      </c>
    </row>
    <row r="598" spans="1:31" ht="12.75" customHeight="1" thickBot="1">
      <c r="A598" s="664"/>
      <c r="B598" s="664"/>
      <c r="C598" s="827" t="s">
        <v>1767</v>
      </c>
      <c r="D598" s="828" t="s">
        <v>687</v>
      </c>
      <c r="E598" s="829" t="s">
        <v>210</v>
      </c>
      <c r="F598" s="830" t="s">
        <v>211</v>
      </c>
      <c r="G598" s="840">
        <f>+G588/'VVP2'!G$341</f>
        <v>0</v>
      </c>
      <c r="H598" s="840">
        <f>+H588/'VVP2'!H$341</f>
        <v>0</v>
      </c>
      <c r="I598" s="840">
        <f>+I588/'VVP2'!I$341</f>
        <v>0</v>
      </c>
      <c r="J598" s="840">
        <f>+J588/'VVP2'!J$341</f>
        <v>0</v>
      </c>
      <c r="K598" s="840">
        <f>+K588/'VVP2'!K$341</f>
        <v>0</v>
      </c>
      <c r="L598" s="840">
        <f>+L588/'VVP2'!L$341</f>
        <v>0</v>
      </c>
      <c r="M598" s="840">
        <f>+M588/'VVP2'!M$341</f>
        <v>0</v>
      </c>
      <c r="N598" s="840">
        <f>+N588/'VVP2'!N$341</f>
        <v>0</v>
      </c>
      <c r="O598" s="840">
        <f>+O588/'VVP2'!O$341</f>
        <v>0</v>
      </c>
      <c r="P598" s="840">
        <f>+P588/'VVP2'!P$341</f>
        <v>0</v>
      </c>
      <c r="Q598" s="840">
        <f>+Q588/'VVP2'!Q$341</f>
        <v>0</v>
      </c>
      <c r="R598" s="840">
        <f>+R588/'VVP2'!R$341</f>
        <v>0</v>
      </c>
      <c r="S598" s="840">
        <f>+S588/'VVP2'!S$341</f>
        <v>0</v>
      </c>
      <c r="T598" s="840">
        <f>+T588/'VVP2'!T$341</f>
        <v>0</v>
      </c>
      <c r="U598" s="2218">
        <f>+U588/'VVP2'!U$341</f>
        <v>0</v>
      </c>
      <c r="V598" s="2218">
        <f>+V588/'VVP2'!V$341</f>
        <v>0</v>
      </c>
      <c r="W598" s="2218">
        <f>+W588/'VVP2'!W$341</f>
        <v>0</v>
      </c>
      <c r="X598" s="2218">
        <f>+X588/'VVP2'!X$341</f>
        <v>0</v>
      </c>
      <c r="Y598" s="2218">
        <f>+Y588/'VVP2'!Y$341</f>
        <v>0</v>
      </c>
      <c r="Z598" s="2218">
        <f>+Z588/'VVP2'!Z$341</f>
        <v>0</v>
      </c>
      <c r="AA598" s="2218">
        <f>+AA588/'VVP2'!AA$341</f>
        <v>0</v>
      </c>
      <c r="AB598" s="2218">
        <f>+AB588/'VVP2'!AB$341</f>
        <v>0</v>
      </c>
      <c r="AC598" s="2218">
        <f ca="1">+AC588/'VVP2'!AC$341</f>
        <v>0</v>
      </c>
      <c r="AD598" s="2218">
        <f ca="1">+AD588/'VVP2'!AD$341</f>
        <v>0</v>
      </c>
      <c r="AE598" s="2218">
        <f ca="1">+AE588/'VVP2'!AE$341</f>
        <v>0</v>
      </c>
    </row>
    <row r="599" spans="1:31" ht="12.75" customHeight="1" thickBot="1">
      <c r="A599" s="664"/>
      <c r="B599" s="664"/>
      <c r="C599" s="774" t="s">
        <v>1769</v>
      </c>
      <c r="D599" s="806" t="s">
        <v>687</v>
      </c>
      <c r="E599" s="807" t="s">
        <v>585</v>
      </c>
      <c r="F599" s="808" t="s">
        <v>1681</v>
      </c>
      <c r="G599" s="841">
        <f>+G589/'VVP2'!G$341</f>
        <v>-1.5469062518916084E-2</v>
      </c>
      <c r="H599" s="841">
        <f>+H589/'VVP2'!H$341</f>
        <v>-3.2494865737094931E-2</v>
      </c>
      <c r="I599" s="841">
        <f>+I589/'VVP2'!I$341</f>
        <v>-0.11753497425014971</v>
      </c>
      <c r="J599" s="841">
        <f>+J589/'VVP2'!J$341</f>
        <v>-3.0324160111073927E-2</v>
      </c>
      <c r="K599" s="841">
        <f>+K589/'VVP2'!K$341</f>
        <v>-2.8219614728667491E-2</v>
      </c>
      <c r="L599" s="841">
        <f>+L589/'VVP2'!L$341</f>
        <v>-3.1848015212242765E-2</v>
      </c>
      <c r="M599" s="841">
        <f>+M589/'VVP2'!M$341</f>
        <v>-3.5267131259105605E-2</v>
      </c>
      <c r="N599" s="841">
        <f>+N589/'VVP2'!N$341</f>
        <v>-1.8551956727230361E-2</v>
      </c>
      <c r="O599" s="841">
        <f>+O589/'VVP2'!O$341</f>
        <v>-1.2643624373668142E-2</v>
      </c>
      <c r="P599" s="841">
        <f>+P589/'VVP2'!P$341</f>
        <v>-1.3922792980701504E-2</v>
      </c>
      <c r="Q599" s="841">
        <f>+Q589/'VVP2'!Q$341</f>
        <v>-3.4315207583913319E-3</v>
      </c>
      <c r="R599" s="841">
        <f>+R589/'VVP2'!R$341</f>
        <v>-2.7206075954414035E-3</v>
      </c>
      <c r="S599" s="841">
        <f>+S589/'VVP2'!S$341</f>
        <v>-8.1527072731817796E-3</v>
      </c>
      <c r="T599" s="841">
        <f>+T589/'VVP2'!T$341</f>
        <v>-3.0829806938281693E-2</v>
      </c>
      <c r="U599" s="841">
        <f>+U589/'VVP2'!U$341</f>
        <v>-9.1056855030031761E-2</v>
      </c>
      <c r="V599" s="841">
        <f>+V589/'VVP2'!V$341</f>
        <v>-6.9006831108983049E-2</v>
      </c>
      <c r="W599" s="3423">
        <f>+W589/'VVP2'!W$341</f>
        <v>-8.93973267100064E-2</v>
      </c>
      <c r="X599" s="3423">
        <f>+X589/'VVP2'!X$341</f>
        <v>-3.1454806935728399E-2</v>
      </c>
      <c r="Y599" s="3423">
        <f>+Y589/'VVP2'!Y$341</f>
        <v>-2.6099231542649919E-2</v>
      </c>
      <c r="Z599" s="3423">
        <f>+Z589/'VVP2'!Z$341</f>
        <v>-6.1736565132403994E-3</v>
      </c>
      <c r="AA599" s="3423">
        <f>+AA589/'VVP2'!AA$341</f>
        <v>-2.4479908813542029E-3</v>
      </c>
      <c r="AB599" s="3423">
        <f>+AB589/'VVP2'!AB$341</f>
        <v>2.6631619889357105E-3</v>
      </c>
      <c r="AC599" s="3424">
        <f ca="1">+AC589/'VVP2'!AC$341</f>
        <v>8.0208555861704563E-3</v>
      </c>
      <c r="AD599" s="3424">
        <f ca="1">+AD589/'VVP2'!AD$341</f>
        <v>6.8098825894252505E-3</v>
      </c>
      <c r="AE599" s="3424">
        <f ca="1">+AE589/'VVP2'!AE$341</f>
        <v>6.0186770664689129E-3</v>
      </c>
    </row>
    <row r="600" spans="1:31" ht="30" customHeight="1">
      <c r="AB600">
        <v>-5.5228929272020423E-3</v>
      </c>
      <c r="AC600">
        <v>-7.4812802886114636E-3</v>
      </c>
      <c r="AD600">
        <v>-6.4220837462135557E-3</v>
      </c>
      <c r="AE600" s="3649">
        <v>-6.4220837462135557E-3</v>
      </c>
    </row>
    <row r="601" spans="1:31" ht="12.75" customHeight="1">
      <c r="A601" s="664"/>
      <c r="B601" s="664"/>
      <c r="C601" s="774"/>
      <c r="D601" s="695"/>
      <c r="E601" s="696" t="s">
        <v>166</v>
      </c>
      <c r="F601" s="697"/>
      <c r="G601" s="698">
        <f>+InputY!$G$3</f>
        <v>1995</v>
      </c>
      <c r="H601" s="698">
        <f>+G601+1</f>
        <v>1996</v>
      </c>
      <c r="I601" s="698">
        <f t="shared" ref="I601:R601" si="549">+H601+1</f>
        <v>1997</v>
      </c>
      <c r="J601" s="698">
        <f t="shared" si="549"/>
        <v>1998</v>
      </c>
      <c r="K601" s="698">
        <f>+J601+1</f>
        <v>1999</v>
      </c>
      <c r="L601" s="698">
        <f t="shared" si="549"/>
        <v>2000</v>
      </c>
      <c r="M601" s="698">
        <f t="shared" si="549"/>
        <v>2001</v>
      </c>
      <c r="N601" s="698">
        <f t="shared" si="549"/>
        <v>2002</v>
      </c>
      <c r="O601" s="698">
        <f t="shared" si="549"/>
        <v>2003</v>
      </c>
      <c r="P601" s="698">
        <f>+O601+1</f>
        <v>2004</v>
      </c>
      <c r="Q601" s="698">
        <f t="shared" si="549"/>
        <v>2005</v>
      </c>
      <c r="R601" s="2210">
        <f t="shared" si="549"/>
        <v>2006</v>
      </c>
      <c r="S601" s="2210">
        <f t="shared" ref="S601:X601" si="550">+R601+1</f>
        <v>2007</v>
      </c>
      <c r="T601" s="2210">
        <f t="shared" si="550"/>
        <v>2008</v>
      </c>
      <c r="U601" s="2210">
        <f t="shared" si="550"/>
        <v>2009</v>
      </c>
      <c r="V601" s="2210">
        <f t="shared" si="550"/>
        <v>2010</v>
      </c>
      <c r="W601" s="2210">
        <f t="shared" si="550"/>
        <v>2011</v>
      </c>
      <c r="X601" s="2210">
        <f t="shared" si="550"/>
        <v>2012</v>
      </c>
      <c r="Y601" s="2210">
        <f t="shared" ref="Y601:AE601" si="551">+X601+1</f>
        <v>2013</v>
      </c>
      <c r="Z601" s="2210">
        <f t="shared" si="551"/>
        <v>2014</v>
      </c>
      <c r="AA601" s="2210">
        <f t="shared" si="551"/>
        <v>2015</v>
      </c>
      <c r="AB601" s="2210">
        <f t="shared" si="551"/>
        <v>2016</v>
      </c>
      <c r="AC601" s="2210">
        <f t="shared" si="551"/>
        <v>2017</v>
      </c>
      <c r="AD601" s="2210">
        <f t="shared" si="551"/>
        <v>2018</v>
      </c>
      <c r="AE601" s="2210">
        <f t="shared" si="551"/>
        <v>2019</v>
      </c>
    </row>
    <row r="602" spans="1:31">
      <c r="C602" s="1079"/>
      <c r="D602" s="668" t="s">
        <v>687</v>
      </c>
      <c r="E602" s="1325" t="s">
        <v>586</v>
      </c>
      <c r="F602" s="1326" t="s">
        <v>483</v>
      </c>
      <c r="G602" s="1054"/>
      <c r="H602" s="780">
        <f>+G605</f>
        <v>0.89449999999999996</v>
      </c>
      <c r="I602" s="780">
        <f t="shared" ref="I602:P602" si="552">+H605</f>
        <v>1.3514999999999999</v>
      </c>
      <c r="J602" s="780">
        <f t="shared" si="552"/>
        <v>1.8022</v>
      </c>
      <c r="K602" s="780">
        <f>+J605</f>
        <v>2.1536999999999997</v>
      </c>
      <c r="L602" s="780">
        <f t="shared" si="552"/>
        <v>2.8855999999999997</v>
      </c>
      <c r="M602" s="780">
        <f t="shared" si="552"/>
        <v>3.14</v>
      </c>
      <c r="N602" s="780">
        <f t="shared" si="552"/>
        <v>3.2498</v>
      </c>
      <c r="O602" s="780">
        <f t="shared" si="552"/>
        <v>3.3654000000000002</v>
      </c>
      <c r="P602" s="780">
        <f t="shared" si="552"/>
        <v>3.3946999999999998</v>
      </c>
      <c r="Q602" s="780">
        <f t="shared" ref="Q602:AE602" si="553">+P605</f>
        <v>3.4045000000000001</v>
      </c>
      <c r="R602" s="780">
        <f t="shared" si="553"/>
        <v>3.7019000000000002</v>
      </c>
      <c r="S602" s="780">
        <f t="shared" si="553"/>
        <v>4.1518999999999995</v>
      </c>
      <c r="T602" s="780">
        <f t="shared" si="553"/>
        <v>4.6097000000000001</v>
      </c>
      <c r="U602" s="780">
        <f t="shared" si="553"/>
        <v>4.7621000000000002</v>
      </c>
      <c r="V602" s="780">
        <f t="shared" si="553"/>
        <v>7.5285000000000002</v>
      </c>
      <c r="W602" s="2267">
        <f t="shared" si="553"/>
        <v>10.150799999999998</v>
      </c>
      <c r="X602" s="2267">
        <f t="shared" si="553"/>
        <v>11.629200000000001</v>
      </c>
      <c r="Y602" s="2267">
        <f t="shared" si="553"/>
        <v>13.264100000000001</v>
      </c>
      <c r="Z602" s="2267">
        <f t="shared" si="553"/>
        <v>13.55</v>
      </c>
      <c r="AA602" s="2267">
        <f t="shared" si="553"/>
        <v>14.824999999999999</v>
      </c>
      <c r="AB602" s="2267">
        <f t="shared" si="553"/>
        <v>15.939500000000001</v>
      </c>
      <c r="AC602" s="2267">
        <f t="shared" si="553"/>
        <v>15.5137</v>
      </c>
      <c r="AD602" s="2267">
        <f t="shared" ca="1" si="553"/>
        <v>16.968591902919371</v>
      </c>
      <c r="AE602" s="2267">
        <f t="shared" ca="1" si="553"/>
        <v>16.367516381052045</v>
      </c>
    </row>
    <row r="603" spans="1:31">
      <c r="C603" s="1080" t="s">
        <v>401</v>
      </c>
      <c r="D603" s="674" t="s">
        <v>687</v>
      </c>
      <c r="E603" s="1327" t="str">
        <f>+E587</f>
        <v>Net-lending</v>
      </c>
      <c r="F603" s="1328" t="s">
        <v>1678</v>
      </c>
      <c r="G603" s="706">
        <f t="shared" ref="G603:O603" si="554">+G565</f>
        <v>-0.12010999999999949</v>
      </c>
      <c r="H603" s="706">
        <f t="shared" si="554"/>
        <v>-0.31566000000000072</v>
      </c>
      <c r="I603" s="706">
        <f t="shared" si="554"/>
        <v>-1.3780200000000002</v>
      </c>
      <c r="J603" s="706">
        <f t="shared" si="554"/>
        <v>-0.39488000000000023</v>
      </c>
      <c r="K603" s="706">
        <f t="shared" si="554"/>
        <v>-0.35872999999999944</v>
      </c>
      <c r="L603" s="706">
        <f t="shared" si="554"/>
        <v>-0.42574999999999952</v>
      </c>
      <c r="M603" s="706">
        <f t="shared" si="554"/>
        <v>-0.50059999999999971</v>
      </c>
      <c r="N603" s="706">
        <f t="shared" si="554"/>
        <v>-0.28202999999999956</v>
      </c>
      <c r="O603" s="706">
        <f t="shared" si="554"/>
        <v>-0.21074999999999994</v>
      </c>
      <c r="P603" s="706">
        <f t="shared" ref="P603:W603" si="555">+P565</f>
        <v>-0.25391999999999942</v>
      </c>
      <c r="Q603" s="706">
        <f t="shared" si="555"/>
        <v>-7.2070000000000189E-2</v>
      </c>
      <c r="R603" s="706">
        <f t="shared" si="555"/>
        <v>-6.5510000000000734E-2</v>
      </c>
      <c r="S603" s="706">
        <f t="shared" si="555"/>
        <v>-0.23675999999999919</v>
      </c>
      <c r="T603" s="706">
        <f t="shared" si="555"/>
        <v>-1.008020000000001</v>
      </c>
      <c r="U603" s="706">
        <f t="shared" si="555"/>
        <v>-2.4525999999999999</v>
      </c>
      <c r="V603" s="706">
        <f t="shared" si="555"/>
        <v>-1.9340999999999999</v>
      </c>
      <c r="W603" s="2265">
        <f t="shared" si="555"/>
        <v>-2.7959299999999976</v>
      </c>
      <c r="X603" s="2265">
        <f t="shared" ref="X603:AC603" si="556">+X565</f>
        <v>-1.04897</v>
      </c>
      <c r="Y603" s="2265">
        <f t="shared" si="556"/>
        <v>-0.91242000000000134</v>
      </c>
      <c r="Z603" s="2265">
        <f t="shared" si="556"/>
        <v>-0.22575999999999863</v>
      </c>
      <c r="AA603" s="2265">
        <f>+AA565</f>
        <v>-9.1620000000000035E-2</v>
      </c>
      <c r="AB603" s="2265">
        <f t="shared" si="556"/>
        <v>0.10298000000000251</v>
      </c>
      <c r="AC603" s="2265">
        <f t="shared" ca="1" si="556"/>
        <v>0.33510809708063016</v>
      </c>
      <c r="AD603" s="2265">
        <f ca="1">+AD565</f>
        <v>0.30107552186732556</v>
      </c>
      <c r="AE603" s="2265">
        <f ca="1">+AE565</f>
        <v>0.28092927478639473</v>
      </c>
    </row>
    <row r="604" spans="1:31">
      <c r="C604" s="1081" t="s">
        <v>1767</v>
      </c>
      <c r="D604" s="676" t="s">
        <v>687</v>
      </c>
      <c r="E604" s="1329" t="s">
        <v>587</v>
      </c>
      <c r="F604" s="1330" t="s">
        <v>1679</v>
      </c>
      <c r="G604" s="1225"/>
      <c r="H604" s="1133">
        <f t="shared" ref="H604:T604" si="557">H605-H602+H603</f>
        <v>0.14133999999999924</v>
      </c>
      <c r="I604" s="1133">
        <f t="shared" si="557"/>
        <v>-0.92732000000000014</v>
      </c>
      <c r="J604" s="1133">
        <f t="shared" si="557"/>
        <v>-4.3380000000000529E-2</v>
      </c>
      <c r="K604" s="1133">
        <f t="shared" si="557"/>
        <v>0.37317000000000056</v>
      </c>
      <c r="L604" s="1133">
        <f t="shared" si="557"/>
        <v>-0.17134999999999911</v>
      </c>
      <c r="M604" s="1133">
        <f t="shared" si="557"/>
        <v>-0.39079999999999981</v>
      </c>
      <c r="N604" s="1133">
        <f t="shared" si="557"/>
        <v>-0.16642999999999941</v>
      </c>
      <c r="O604" s="1133">
        <f t="shared" si="557"/>
        <v>-0.18145000000000028</v>
      </c>
      <c r="P604" s="1133">
        <f t="shared" si="557"/>
        <v>-0.24411999999999917</v>
      </c>
      <c r="Q604" s="1133">
        <f t="shared" si="557"/>
        <v>0.22532999999999992</v>
      </c>
      <c r="R604" s="1133">
        <f t="shared" si="557"/>
        <v>0.38448999999999856</v>
      </c>
      <c r="S604" s="1133">
        <f t="shared" si="557"/>
        <v>0.22104000000000146</v>
      </c>
      <c r="T604" s="1133">
        <f t="shared" si="557"/>
        <v>-0.85562000000000094</v>
      </c>
      <c r="U604" s="1438">
        <f t="shared" ref="U604:AB604" si="558">U605-U602+U603</f>
        <v>0.31380000000000008</v>
      </c>
      <c r="V604" s="1438">
        <f t="shared" si="558"/>
        <v>0.68819999999999837</v>
      </c>
      <c r="W604" s="1438">
        <f t="shared" si="558"/>
        <v>-1.3175299999999952</v>
      </c>
      <c r="X604" s="1438">
        <f t="shared" si="558"/>
        <v>0.58593000000000006</v>
      </c>
      <c r="Y604" s="1438">
        <f t="shared" si="558"/>
        <v>-0.62652000000000152</v>
      </c>
      <c r="Z604" s="1438">
        <f t="shared" si="558"/>
        <v>1.04924</v>
      </c>
      <c r="AA604" s="1438">
        <f t="shared" si="558"/>
        <v>1.0228800000000013</v>
      </c>
      <c r="AB604" s="1438">
        <f t="shared" si="558"/>
        <v>-0.32281999999999811</v>
      </c>
      <c r="AC604" s="3266">
        <v>1.79</v>
      </c>
      <c r="AD604" s="3266">
        <v>-0.3</v>
      </c>
      <c r="AE604" s="3266">
        <v>1.5</v>
      </c>
    </row>
    <row r="605" spans="1:31">
      <c r="A605" s="664">
        <f>+ROW(InputY!A175)</f>
        <v>175</v>
      </c>
      <c r="B605" s="663">
        <v>128</v>
      </c>
      <c r="C605" s="694" t="s">
        <v>1769</v>
      </c>
      <c r="D605" s="769" t="s">
        <v>687</v>
      </c>
      <c r="E605" s="1313" t="s">
        <v>588</v>
      </c>
      <c r="F605" s="1315" t="s">
        <v>1680</v>
      </c>
      <c r="G605" s="1314">
        <f>+InputY!G175/1000</f>
        <v>0.89449999999999996</v>
      </c>
      <c r="H605" s="1314">
        <f>+InputY!H175/1000</f>
        <v>1.3514999999999999</v>
      </c>
      <c r="I605" s="1314">
        <f>+InputY!I175/1000</f>
        <v>1.8022</v>
      </c>
      <c r="J605" s="1314">
        <f>+InputY!J175/1000</f>
        <v>2.1536999999999997</v>
      </c>
      <c r="K605" s="1314">
        <f>+InputY!K175/1000</f>
        <v>2.8855999999999997</v>
      </c>
      <c r="L605" s="1314">
        <f>+InputY!L175/1000</f>
        <v>3.14</v>
      </c>
      <c r="M605" s="1314">
        <f>+InputY!M175/1000</f>
        <v>3.2498</v>
      </c>
      <c r="N605" s="1314">
        <f>+InputY!N175/1000</f>
        <v>3.3654000000000002</v>
      </c>
      <c r="O605" s="1314">
        <f>+InputY!O175/1000</f>
        <v>3.3946999999999998</v>
      </c>
      <c r="P605" s="1314">
        <f>+InputY!P175/1000</f>
        <v>3.4045000000000001</v>
      </c>
      <c r="Q605" s="1314">
        <f>+InputY!Q175/1000</f>
        <v>3.7019000000000002</v>
      </c>
      <c r="R605" s="1314">
        <f>+InputY!R175/1000</f>
        <v>4.1518999999999995</v>
      </c>
      <c r="S605" s="1314">
        <f>+InputY!S175/1000</f>
        <v>4.6097000000000001</v>
      </c>
      <c r="T605" s="1314">
        <f>+InputY!T175/1000</f>
        <v>4.7621000000000002</v>
      </c>
      <c r="U605" s="1314">
        <f>+InputY!U175/1000</f>
        <v>7.5285000000000002</v>
      </c>
      <c r="V605" s="1314">
        <f>+InputY!V175/1000</f>
        <v>10.150799999999998</v>
      </c>
      <c r="W605" s="1314">
        <f>+InputY!W175/1000</f>
        <v>11.629200000000001</v>
      </c>
      <c r="X605" s="1314">
        <f>+InputY!X175/1000</f>
        <v>13.264100000000001</v>
      </c>
      <c r="Y605" s="1314">
        <f>+InputY!Y175/1000</f>
        <v>13.55</v>
      </c>
      <c r="Z605" s="1314">
        <f>+InputY!Z175/1000</f>
        <v>14.824999999999999</v>
      </c>
      <c r="AA605" s="1314">
        <f>+InputY!AA175/1000</f>
        <v>15.939500000000001</v>
      </c>
      <c r="AB605" s="1314">
        <f>+InputY!AB175/1000</f>
        <v>15.5137</v>
      </c>
      <c r="AC605" s="2296">
        <f ca="1">+AC602-AC603+AC604</f>
        <v>16.968591902919371</v>
      </c>
      <c r="AD605" s="2296">
        <f ca="1">+AD602-AD603+AD604</f>
        <v>16.367516381052045</v>
      </c>
      <c r="AE605" s="2296">
        <f ca="1">+AE602-AE603+AE604</f>
        <v>17.58658710626565</v>
      </c>
    </row>
    <row r="606" spans="1:31" ht="13.5" thickBot="1">
      <c r="D606" s="1333"/>
      <c r="E606" s="1334" t="s">
        <v>579</v>
      </c>
      <c r="F606" s="1335"/>
      <c r="G606" s="1334"/>
      <c r="H606" s="1345">
        <f>(H605/G605-1)*100</f>
        <v>51.08999441028508</v>
      </c>
      <c r="I606" s="1345">
        <f t="shared" ref="I606:AE606" si="559">(I605/H605-1)*100</f>
        <v>33.348131705512408</v>
      </c>
      <c r="J606" s="1345">
        <f t="shared" si="559"/>
        <v>19.503939629341893</v>
      </c>
      <c r="K606" s="1345">
        <f>(K605/J605-1)*100</f>
        <v>33.983377443469379</v>
      </c>
      <c r="L606" s="1345">
        <f t="shared" si="559"/>
        <v>8.8161907402273485</v>
      </c>
      <c r="M606" s="1345">
        <f t="shared" si="559"/>
        <v>3.4968152866241997</v>
      </c>
      <c r="N606" s="1345">
        <f t="shared" si="559"/>
        <v>3.5571419779678815</v>
      </c>
      <c r="O606" s="1345">
        <f t="shared" si="559"/>
        <v>0.87062459143043558</v>
      </c>
      <c r="P606" s="1345">
        <f t="shared" si="559"/>
        <v>0.28868530356143118</v>
      </c>
      <c r="Q606" s="1345">
        <f t="shared" si="559"/>
        <v>8.7354971361433442</v>
      </c>
      <c r="R606" s="1345">
        <f t="shared" si="559"/>
        <v>12.155919933007354</v>
      </c>
      <c r="S606" s="1345">
        <f t="shared" si="559"/>
        <v>11.026277126135042</v>
      </c>
      <c r="T606" s="1345">
        <f>(T605/S605-1)*100</f>
        <v>3.3060719786537129</v>
      </c>
      <c r="U606" s="1345">
        <f>(U605/T605-1)*100</f>
        <v>58.092018227252673</v>
      </c>
      <c r="V606" s="1345">
        <f t="shared" si="559"/>
        <v>34.83163976887824</v>
      </c>
      <c r="W606" s="2297">
        <f t="shared" si="559"/>
        <v>14.564369310793257</v>
      </c>
      <c r="X606" s="2297">
        <f t="shared" si="559"/>
        <v>14.058576686272485</v>
      </c>
      <c r="Y606" s="2297">
        <f t="shared" si="559"/>
        <v>2.1554421332770302</v>
      </c>
      <c r="Z606" s="2297">
        <f t="shared" si="559"/>
        <v>9.4095940959409532</v>
      </c>
      <c r="AA606" s="2297">
        <f t="shared" si="559"/>
        <v>7.5177065767285001</v>
      </c>
      <c r="AB606" s="2297">
        <f t="shared" si="559"/>
        <v>-2.6713510461432333</v>
      </c>
      <c r="AC606" s="2297">
        <f t="shared" ca="1" si="559"/>
        <v>9.3781103342166716</v>
      </c>
      <c r="AD606" s="2297">
        <f t="shared" ca="1" si="559"/>
        <v>-3.5422828559151909</v>
      </c>
      <c r="AE606" s="2297">
        <f t="shared" ca="1" si="559"/>
        <v>7.4481106163722499</v>
      </c>
    </row>
    <row r="607" spans="1:31" ht="13.5" thickBot="1">
      <c r="D607" s="1336" t="s">
        <v>687</v>
      </c>
      <c r="E607" s="1337" t="s">
        <v>578</v>
      </c>
      <c r="F607" s="1338"/>
      <c r="G607" s="1434">
        <f>+G605/'VVP2'!G$341</f>
        <v>0.1152033671065731</v>
      </c>
      <c r="H607" s="1434">
        <f>+H605/'VVP2'!H$341</f>
        <v>0.13912694368524264</v>
      </c>
      <c r="I607" s="1434">
        <f>+I605/'VVP2'!I$341</f>
        <v>0.15371440951047138</v>
      </c>
      <c r="J607" s="1434">
        <f>+J605/'VVP2'!J$341</f>
        <v>0.16538984914713298</v>
      </c>
      <c r="K607" s="1434">
        <f>+K605/'VVP2'!K$341</f>
        <v>0.22699668346958166</v>
      </c>
      <c r="L607" s="1434">
        <f>+L605/'VVP2'!L$341</f>
        <v>0.23488612511201973</v>
      </c>
      <c r="M607" s="1434">
        <f>+M605/'VVP2'!M$341</f>
        <v>0.22894750932049832</v>
      </c>
      <c r="N607" s="1434">
        <f>+N605/'VVP2'!N$341</f>
        <v>0.2213762903585475</v>
      </c>
      <c r="O607" s="1434">
        <f>+O605/'VVP2'!O$341</f>
        <v>0.20365984180921115</v>
      </c>
      <c r="P607" s="1434">
        <f>+P605/'VVP2'!P$341</f>
        <v>0.18667355349243217</v>
      </c>
      <c r="Q607" s="1434">
        <f>+Q605/'VVP2'!Q$341</f>
        <v>0.17626122791021007</v>
      </c>
      <c r="R607" s="1434">
        <f>+R605/'VVP2'!R$341</f>
        <v>0.17242696802798099</v>
      </c>
      <c r="S607" s="1434">
        <f>+S605/'VVP2'!S$341</f>
        <v>0.15873261833580918</v>
      </c>
      <c r="T607" s="1434">
        <f>+T605/'VVP2'!T$341</f>
        <v>0.14564653838295977</v>
      </c>
      <c r="U607" s="1434">
        <f>+U605/'VVP2'!U$341</f>
        <v>0.2795080865585885</v>
      </c>
      <c r="V607" s="1434">
        <f>+V605/'VVP2'!V$341</f>
        <v>0.36217079841841943</v>
      </c>
      <c r="W607" s="1434">
        <f>+W605/'VVP2'!W$341</f>
        <v>0.37183312592804807</v>
      </c>
      <c r="X607" s="1434">
        <f>+X605/'VVP2'!X$341</f>
        <v>0.39774226591436851</v>
      </c>
      <c r="Y607" s="1434">
        <f>+Y605/'VVP2'!Y$341</f>
        <v>0.38758969268857096</v>
      </c>
      <c r="Z607" s="1434">
        <f>+Z605/'VVP2'!Z$341</f>
        <v>0.40540599667252597</v>
      </c>
      <c r="AA607" s="1434">
        <f>+AA605/'VVP2'!AA$341</f>
        <v>0.42588682223690577</v>
      </c>
      <c r="AB607" s="1434">
        <f>+AB605/'VVP2'!AB$341</f>
        <v>0.40119922458487983</v>
      </c>
      <c r="AC607" s="2298">
        <f ca="1">+AC605/'VVP2'!AC$341</f>
        <v>0.40614543885888271</v>
      </c>
      <c r="AD607" s="2298">
        <f ca="1">+AD605/'VVP2'!AD$341</f>
        <v>0.37020898990445383</v>
      </c>
      <c r="AE607" s="2298">
        <f ca="1">+AE605/'VVP2'!AE$341</f>
        <v>0.3767780647795454</v>
      </c>
    </row>
    <row r="608" spans="1:31" ht="30" customHeight="1">
      <c r="T608" s="3120"/>
      <c r="U608" s="3176"/>
      <c r="V608" s="3177"/>
      <c r="W608" s="3178"/>
      <c r="X608" s="3178"/>
      <c r="Z608" s="3379"/>
      <c r="AA608" s="3379"/>
      <c r="AB608" s="3379"/>
      <c r="AC608" s="3379"/>
      <c r="AD608" s="3379"/>
      <c r="AE608" s="3379"/>
    </row>
    <row r="609" spans="1:113" ht="12.75" customHeight="1">
      <c r="A609" s="664"/>
      <c r="B609" s="664"/>
      <c r="C609" s="774"/>
      <c r="D609" s="814"/>
      <c r="E609" s="815" t="s">
        <v>166</v>
      </c>
      <c r="F609" s="816"/>
      <c r="G609" s="817">
        <f>+InputY!$G$3</f>
        <v>1995</v>
      </c>
      <c r="H609" s="817">
        <f>+G609+1</f>
        <v>1996</v>
      </c>
      <c r="I609" s="817">
        <f t="shared" ref="I609:R609" si="560">+H609+1</f>
        <v>1997</v>
      </c>
      <c r="J609" s="817">
        <f t="shared" si="560"/>
        <v>1998</v>
      </c>
      <c r="K609" s="817">
        <f>+J609+1</f>
        <v>1999</v>
      </c>
      <c r="L609" s="817">
        <f t="shared" si="560"/>
        <v>2000</v>
      </c>
      <c r="M609" s="817">
        <f t="shared" si="560"/>
        <v>2001</v>
      </c>
      <c r="N609" s="817">
        <f t="shared" si="560"/>
        <v>2002</v>
      </c>
      <c r="O609" s="817">
        <f t="shared" si="560"/>
        <v>2003</v>
      </c>
      <c r="P609" s="817">
        <f>+O609+1</f>
        <v>2004</v>
      </c>
      <c r="Q609" s="817">
        <f t="shared" si="560"/>
        <v>2005</v>
      </c>
      <c r="R609" s="2230">
        <f t="shared" si="560"/>
        <v>2006</v>
      </c>
      <c r="S609" s="2230">
        <f t="shared" ref="S609:X609" si="561">+R609+1</f>
        <v>2007</v>
      </c>
      <c r="T609" s="2230">
        <f t="shared" si="561"/>
        <v>2008</v>
      </c>
      <c r="U609" s="2230">
        <f t="shared" si="561"/>
        <v>2009</v>
      </c>
      <c r="V609" s="2230">
        <f t="shared" si="561"/>
        <v>2010</v>
      </c>
      <c r="W609" s="2230">
        <f t="shared" si="561"/>
        <v>2011</v>
      </c>
      <c r="X609" s="2230">
        <f t="shared" si="561"/>
        <v>2012</v>
      </c>
      <c r="Y609" s="2230">
        <f t="shared" ref="Y609:AE609" si="562">+X609+1</f>
        <v>2013</v>
      </c>
      <c r="Z609" s="2230">
        <f t="shared" si="562"/>
        <v>2014</v>
      </c>
      <c r="AA609" s="2230">
        <f t="shared" si="562"/>
        <v>2015</v>
      </c>
      <c r="AB609" s="2230">
        <f t="shared" si="562"/>
        <v>2016</v>
      </c>
      <c r="AC609" s="2230">
        <f t="shared" si="562"/>
        <v>2017</v>
      </c>
      <c r="AD609" s="2230">
        <f t="shared" si="562"/>
        <v>2018</v>
      </c>
      <c r="AE609" s="2230">
        <f t="shared" si="562"/>
        <v>2019</v>
      </c>
    </row>
    <row r="610" spans="1:113">
      <c r="C610" s="1534"/>
      <c r="D610" s="823" t="s">
        <v>687</v>
      </c>
      <c r="E610" s="1535" t="s">
        <v>697</v>
      </c>
      <c r="F610" s="1536"/>
      <c r="G610" s="1044"/>
      <c r="H610" s="838">
        <f t="shared" ref="H610:R610" si="563">+H613-H612-H611</f>
        <v>-2.3121198311567889E-2</v>
      </c>
      <c r="I610" s="838">
        <f t="shared" si="563"/>
        <v>-2.385393044952959E-2</v>
      </c>
      <c r="J610" s="838">
        <f t="shared" si="563"/>
        <v>-1.5317424724770917E-2</v>
      </c>
      <c r="K610" s="838">
        <f t="shared" si="563"/>
        <v>4.031677463775668E-3</v>
      </c>
      <c r="L610" s="838">
        <f t="shared" si="563"/>
        <v>-1.1140822761542154E-2</v>
      </c>
      <c r="M610" s="838">
        <f t="shared" si="563"/>
        <v>-1.367399536053818E-2</v>
      </c>
      <c r="N610" s="838">
        <f t="shared" si="563"/>
        <v>-1.5175396523443692E-2</v>
      </c>
      <c r="O610" s="838">
        <f t="shared" si="563"/>
        <v>-1.9474257299744287E-2</v>
      </c>
      <c r="P610" s="838">
        <f>+P613-P612-P611</f>
        <v>-1.7523636187017161E-2</v>
      </c>
      <c r="Q610" s="838">
        <f t="shared" si="563"/>
        <v>-2.4572645736871471E-2</v>
      </c>
      <c r="R610" s="2279">
        <f t="shared" si="563"/>
        <v>-2.2522603920522709E-2</v>
      </c>
      <c r="S610" s="2279">
        <f t="shared" ref="S610:X610" si="564">+S613-S612-S611</f>
        <v>-2.9458454226986126E-2</v>
      </c>
      <c r="T610" s="2235">
        <f t="shared" si="564"/>
        <v>-1.7747160662948545E-2</v>
      </c>
      <c r="U610" s="2235">
        <f t="shared" si="564"/>
        <v>3.1154346122672733E-2</v>
      </c>
      <c r="V610" s="2235">
        <f t="shared" si="564"/>
        <v>-1.0898434521993253E-2</v>
      </c>
      <c r="W610" s="2235">
        <f t="shared" si="564"/>
        <v>-3.7608172040815672E-2</v>
      </c>
      <c r="X610" s="2235">
        <f t="shared" si="564"/>
        <v>-2.3115583179473018E-2</v>
      </c>
      <c r="Y610" s="2235">
        <f t="shared" ref="Y610:AD610" si="565">+Y613-Y612-Y611</f>
        <v>-1.8330572719499564E-2</v>
      </c>
      <c r="Z610" s="2235">
        <f t="shared" si="565"/>
        <v>-1.7049979035098625E-2</v>
      </c>
      <c r="AA610" s="2235">
        <f t="shared" si="565"/>
        <v>-9.297452511032353E-3</v>
      </c>
      <c r="AB610" s="2235">
        <f t="shared" si="565"/>
        <v>-1.3675999527256085E-2</v>
      </c>
      <c r="AC610" s="2235">
        <f t="shared" ca="1" si="565"/>
        <v>-2.9876811336139886E-2</v>
      </c>
      <c r="AD610" s="2235">
        <f t="shared" ca="1" si="565"/>
        <v>-2.2341010488003955E-2</v>
      </c>
      <c r="AE610" s="2235">
        <f t="shared" ref="AE610" ca="1" si="566">+AE613-AE612-AE611</f>
        <v>-1.9548505864137568E-2</v>
      </c>
    </row>
    <row r="611" spans="1:113">
      <c r="C611" s="1537" t="s">
        <v>1767</v>
      </c>
      <c r="D611" s="674" t="s">
        <v>687</v>
      </c>
      <c r="E611" s="1327" t="s">
        <v>698</v>
      </c>
      <c r="F611" s="1533" t="s">
        <v>699</v>
      </c>
      <c r="G611" s="1044"/>
      <c r="H611" s="839">
        <f>-H603/'VVP2'!H$341</f>
        <v>3.2494865737094931E-2</v>
      </c>
      <c r="I611" s="839">
        <f>-I603/'VVP2'!I$341</f>
        <v>0.11753497425014971</v>
      </c>
      <c r="J611" s="839">
        <f>-J603/'VVP2'!J$341</f>
        <v>3.0324160111073927E-2</v>
      </c>
      <c r="K611" s="839">
        <f>-K603/'VVP2'!K$341</f>
        <v>2.8219614728667491E-2</v>
      </c>
      <c r="L611" s="839">
        <f>-L603/'VVP2'!L$341</f>
        <v>3.1848015212242765E-2</v>
      </c>
      <c r="M611" s="839">
        <f>-M603/'VVP2'!M$341</f>
        <v>3.5267131259105605E-2</v>
      </c>
      <c r="N611" s="839">
        <f>-N603/'VVP2'!N$341</f>
        <v>1.8551956727230361E-2</v>
      </c>
      <c r="O611" s="839">
        <f>-O603/'VVP2'!O$341</f>
        <v>1.2643624373668142E-2</v>
      </c>
      <c r="P611" s="839">
        <f>-P603/'VVP2'!P$341</f>
        <v>1.3922792980701504E-2</v>
      </c>
      <c r="Q611" s="839">
        <f>-Q603/'VVP2'!Q$341</f>
        <v>3.4315207583913319E-3</v>
      </c>
      <c r="R611" s="2280">
        <f>-R603/'VVP2'!R$341</f>
        <v>2.7206075954414035E-3</v>
      </c>
      <c r="S611" s="2280">
        <f>-S603/'VVP2'!S$341</f>
        <v>8.1527072731817796E-3</v>
      </c>
      <c r="T611" s="2218">
        <f>-T603/'VVP2'!T$341</f>
        <v>3.0829806938281693E-2</v>
      </c>
      <c r="U611" s="2218">
        <f>-U603/'VVP2'!U$341</f>
        <v>9.1056855030031761E-2</v>
      </c>
      <c r="V611" s="2218">
        <f>-V603/'VVP2'!V$341</f>
        <v>6.9006831108983049E-2</v>
      </c>
      <c r="W611" s="2218">
        <f>-W603/'VVP2'!W$341</f>
        <v>8.93973267100064E-2</v>
      </c>
      <c r="X611" s="2218">
        <f>-X603/'VVP2'!X$341</f>
        <v>3.1454806935728399E-2</v>
      </c>
      <c r="Y611" s="2218">
        <f>-Y603/'VVP2'!Y$341</f>
        <v>2.6099231542649919E-2</v>
      </c>
      <c r="Z611" s="2218">
        <f>-Z603/'VVP2'!Z$341</f>
        <v>6.1736565132403994E-3</v>
      </c>
      <c r="AA611" s="2218">
        <f>-AA603/'VVP2'!AA$341</f>
        <v>2.4479908813542029E-3</v>
      </c>
      <c r="AB611" s="2218">
        <f>-AB603/'VVP2'!AB$341</f>
        <v>-2.6631619889357105E-3</v>
      </c>
      <c r="AC611" s="2218">
        <f ca="1">-AC603/'VVP2'!AC$341</f>
        <v>-8.0208555861704563E-3</v>
      </c>
      <c r="AD611" s="2218">
        <f ca="1">-AD603/'VVP2'!AD$341</f>
        <v>-6.8098825894252505E-3</v>
      </c>
      <c r="AE611" s="2218">
        <f ca="1">-AE603/'VVP2'!AE$341</f>
        <v>-6.0186770664689129E-3</v>
      </c>
    </row>
    <row r="612" spans="1:113">
      <c r="C612" s="1538" t="s">
        <v>1767</v>
      </c>
      <c r="D612" s="828" t="s">
        <v>687</v>
      </c>
      <c r="E612" s="1539" t="s">
        <v>696</v>
      </c>
      <c r="F612" s="1540" t="s">
        <v>1679</v>
      </c>
      <c r="G612" s="1509"/>
      <c r="H612" s="840">
        <f>(H604)/'VVP2'!H$341</f>
        <v>1.4549909153142502E-2</v>
      </c>
      <c r="I612" s="840">
        <f>(I604)/'VVP2'!I$341</f>
        <v>-7.9093577975391377E-2</v>
      </c>
      <c r="J612" s="840">
        <f>(J604)/'VVP2'!J$341</f>
        <v>-3.3312957496414155E-3</v>
      </c>
      <c r="K612" s="840">
        <f>(K604)/'VVP2'!K$341</f>
        <v>2.9355542130005519E-2</v>
      </c>
      <c r="L612" s="840">
        <f>(L604)/'VVP2'!L$341</f>
        <v>-1.281775080826254E-2</v>
      </c>
      <c r="M612" s="840">
        <f>(M604)/'VVP2'!M$341</f>
        <v>-2.7531751690088837E-2</v>
      </c>
      <c r="N612" s="840">
        <f>(N604)/'VVP2'!N$341</f>
        <v>-1.0947779165737484E-2</v>
      </c>
      <c r="O612" s="840">
        <f>(O604)/'VVP2'!O$341</f>
        <v>-1.0885815623260207E-2</v>
      </c>
      <c r="P612" s="840">
        <f>(P604)/'VVP2'!P$341</f>
        <v>-1.3385445110463324E-2</v>
      </c>
      <c r="Q612" s="840">
        <f>(Q604)/'VVP2'!Q$341</f>
        <v>1.0728799396258034E-2</v>
      </c>
      <c r="R612" s="2299">
        <f>(R604)/'VVP2'!R$341</f>
        <v>1.596773644285223E-2</v>
      </c>
      <c r="S612" s="2299">
        <f>(S604)/'VVP2'!S$341</f>
        <v>7.611397261632534E-3</v>
      </c>
      <c r="T612" s="2263">
        <f>(T604)/'VVP2'!T$341</f>
        <v>-2.6168726228182559E-2</v>
      </c>
      <c r="U612" s="2263">
        <f>(U604)/'VVP2'!U$341</f>
        <v>1.1650347022924234E-2</v>
      </c>
      <c r="V612" s="2263">
        <f>(V604)/'VVP2'!V$341</f>
        <v>2.4554315272841128E-2</v>
      </c>
      <c r="W612" s="2263">
        <f>(W604)/'VVP2'!W$341</f>
        <v>-4.2126827159562084E-2</v>
      </c>
      <c r="X612" s="2263">
        <f>(X604)/'VVP2'!X$341</f>
        <v>1.7569916230065059E-2</v>
      </c>
      <c r="Y612" s="2263">
        <f>(Y604)/'VVP2'!Y$341</f>
        <v>-1.79212320489479E-2</v>
      </c>
      <c r="Z612" s="2263">
        <f>(Z604)/'VVP2'!Z$341</f>
        <v>2.8692626505813234E-2</v>
      </c>
      <c r="AA612" s="2263">
        <f>(AA604)/'VVP2'!AA$341</f>
        <v>2.7330287194057952E-2</v>
      </c>
      <c r="AB612" s="2263">
        <f>(AB604)/'VVP2'!AB$341</f>
        <v>-8.3484361358341433E-3</v>
      </c>
      <c r="AC612" s="2263">
        <f ca="1">(AC604)/'VVP2'!AC$341</f>
        <v>4.2843881196313223E-2</v>
      </c>
      <c r="AD612" s="2263">
        <f ca="1">(AD604)/'VVP2'!AD$341</f>
        <v>-6.7855558769996747E-3</v>
      </c>
      <c r="AE612" s="2263">
        <f ca="1">(AE604)/'VVP2'!AE$341</f>
        <v>3.2136257805698044E-2</v>
      </c>
    </row>
    <row r="613" spans="1:113" s="898" customFormat="1" ht="25.5">
      <c r="A613" s="664"/>
      <c r="B613" s="1530"/>
      <c r="C613" s="1531" t="s">
        <v>1769</v>
      </c>
      <c r="D613" s="1541" t="s">
        <v>687</v>
      </c>
      <c r="E613" s="1542" t="s">
        <v>695</v>
      </c>
      <c r="F613" s="1543" t="s">
        <v>700</v>
      </c>
      <c r="G613" s="1544"/>
      <c r="H613" s="1532">
        <f>+H607-G607</f>
        <v>2.3923576578669545E-2</v>
      </c>
      <c r="I613" s="1532">
        <f t="shared" ref="I613:AE613" si="567">+I607-H607</f>
        <v>1.458746582522874E-2</v>
      </c>
      <c r="J613" s="1532">
        <f t="shared" si="567"/>
        <v>1.1675439636661594E-2</v>
      </c>
      <c r="K613" s="1532">
        <f>+K607-J607</f>
        <v>6.1606834322448678E-2</v>
      </c>
      <c r="L613" s="1532">
        <f t="shared" si="567"/>
        <v>7.889441642438072E-3</v>
      </c>
      <c r="M613" s="1532">
        <f t="shared" si="567"/>
        <v>-5.9386157915214122E-3</v>
      </c>
      <c r="N613" s="1532">
        <f t="shared" si="567"/>
        <v>-7.5712189619508152E-3</v>
      </c>
      <c r="O613" s="1532">
        <f t="shared" si="567"/>
        <v>-1.771644854933635E-2</v>
      </c>
      <c r="P613" s="1532">
        <f t="shared" si="567"/>
        <v>-1.698628831677898E-2</v>
      </c>
      <c r="Q613" s="1532">
        <f t="shared" si="567"/>
        <v>-1.0412325582222104E-2</v>
      </c>
      <c r="R613" s="2300">
        <f t="shared" si="567"/>
        <v>-3.8342598822290741E-3</v>
      </c>
      <c r="S613" s="2300">
        <f t="shared" si="567"/>
        <v>-1.3694349692171814E-2</v>
      </c>
      <c r="T613" s="2920">
        <f t="shared" si="567"/>
        <v>-1.3086079952849411E-2</v>
      </c>
      <c r="U613" s="2920">
        <f t="shared" si="567"/>
        <v>0.13386154817562873</v>
      </c>
      <c r="V613" s="2920">
        <f t="shared" si="567"/>
        <v>8.2662711859830929E-2</v>
      </c>
      <c r="W613" s="2920">
        <f t="shared" si="567"/>
        <v>9.6623275096286432E-3</v>
      </c>
      <c r="X613" s="2920">
        <f t="shared" si="567"/>
        <v>2.590913998632044E-2</v>
      </c>
      <c r="Y613" s="2920">
        <f t="shared" si="567"/>
        <v>-1.0152573225797545E-2</v>
      </c>
      <c r="Z613" s="2920">
        <f t="shared" si="567"/>
        <v>1.7816303983955006E-2</v>
      </c>
      <c r="AA613" s="2920">
        <f t="shared" si="567"/>
        <v>2.0480825564379801E-2</v>
      </c>
      <c r="AB613" s="2920">
        <f t="shared" si="567"/>
        <v>-2.4687597652025939E-2</v>
      </c>
      <c r="AC613" s="2920">
        <f t="shared" ca="1" si="567"/>
        <v>4.9462142740028803E-3</v>
      </c>
      <c r="AD613" s="2920">
        <f t="shared" ca="1" si="567"/>
        <v>-3.5936448954428879E-2</v>
      </c>
      <c r="AE613" s="2920">
        <f t="shared" ca="1" si="567"/>
        <v>6.5690748750915628E-3</v>
      </c>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row>
    <row r="614" spans="1:113" ht="30" customHeight="1">
      <c r="F614" s="1023"/>
      <c r="Q614" s="1906"/>
      <c r="AB614" s="2221"/>
      <c r="AC614" s="2221"/>
      <c r="AD614" s="2221"/>
      <c r="AE614" s="2221"/>
      <c r="AF614">
        <f>0.271/3.4528</f>
        <v>7.8487025023169607E-2</v>
      </c>
    </row>
    <row r="615" spans="1:113" customFormat="1">
      <c r="A615" s="1130"/>
      <c r="B615" s="1130"/>
      <c r="C615" s="694"/>
      <c r="D615" s="1074"/>
      <c r="E615" s="1075" t="s">
        <v>1962</v>
      </c>
      <c r="F615" s="1076"/>
      <c r="G615" s="698">
        <f>+InputY!$G$3</f>
        <v>1995</v>
      </c>
      <c r="H615" s="698">
        <f>+G615+1</f>
        <v>1996</v>
      </c>
      <c r="I615" s="698">
        <f t="shared" ref="I615:R615" si="568">+H615+1</f>
        <v>1997</v>
      </c>
      <c r="J615" s="698">
        <f t="shared" si="568"/>
        <v>1998</v>
      </c>
      <c r="K615" s="698">
        <f>+J615+1</f>
        <v>1999</v>
      </c>
      <c r="L615" s="698">
        <f t="shared" si="568"/>
        <v>2000</v>
      </c>
      <c r="M615" s="698">
        <f t="shared" si="568"/>
        <v>2001</v>
      </c>
      <c r="N615" s="698">
        <f t="shared" si="568"/>
        <v>2002</v>
      </c>
      <c r="O615" s="698">
        <f t="shared" si="568"/>
        <v>2003</v>
      </c>
      <c r="P615" s="698">
        <f>+O615+1</f>
        <v>2004</v>
      </c>
      <c r="Q615" s="698">
        <f t="shared" si="568"/>
        <v>2005</v>
      </c>
      <c r="R615" s="2210">
        <f t="shared" si="568"/>
        <v>2006</v>
      </c>
      <c r="S615" s="2210">
        <f t="shared" ref="S615:X615" si="569">+R615+1</f>
        <v>2007</v>
      </c>
      <c r="T615" s="2210">
        <f t="shared" si="569"/>
        <v>2008</v>
      </c>
      <c r="U615" s="2210">
        <f t="shared" si="569"/>
        <v>2009</v>
      </c>
      <c r="V615" s="2210">
        <f t="shared" si="569"/>
        <v>2010</v>
      </c>
      <c r="W615" s="2210">
        <f t="shared" si="569"/>
        <v>2011</v>
      </c>
      <c r="X615" s="2210">
        <f t="shared" si="569"/>
        <v>2012</v>
      </c>
      <c r="Y615" s="2210">
        <f t="shared" ref="Y615:AE615" si="570">+X615+1</f>
        <v>2013</v>
      </c>
      <c r="Z615" s="2210">
        <f t="shared" si="570"/>
        <v>2014</v>
      </c>
      <c r="AA615" s="2210">
        <f t="shared" si="570"/>
        <v>2015</v>
      </c>
      <c r="AB615" s="2210">
        <f t="shared" si="570"/>
        <v>2016</v>
      </c>
      <c r="AC615" s="2210">
        <f t="shared" si="570"/>
        <v>2017</v>
      </c>
      <c r="AD615" s="2210">
        <f t="shared" si="570"/>
        <v>2018</v>
      </c>
      <c r="AE615" s="2210">
        <f t="shared" si="570"/>
        <v>2019</v>
      </c>
      <c r="AF615" t="s">
        <v>2422</v>
      </c>
    </row>
    <row r="616" spans="1:113" customFormat="1">
      <c r="A616" s="664">
        <f>+ROW(InputY!A276)</f>
        <v>276</v>
      </c>
      <c r="B616" s="1130">
        <v>138</v>
      </c>
      <c r="C616" s="1079"/>
      <c r="D616" s="1069" t="s">
        <v>687</v>
      </c>
      <c r="E616" s="1059" t="s">
        <v>803</v>
      </c>
      <c r="F616" s="2998" t="s">
        <v>805</v>
      </c>
      <c r="G616" s="2999"/>
      <c r="H616" s="2999"/>
      <c r="I616" s="2999"/>
      <c r="J616" s="2999"/>
      <c r="K616" s="2999"/>
      <c r="L616" s="2999"/>
      <c r="M616" s="2999"/>
      <c r="N616" s="2999"/>
      <c r="O616" s="1454">
        <f>+SUM(InputY!O276)</f>
        <v>0</v>
      </c>
      <c r="P616" s="1454">
        <f>+SUM(InputY!P276)</f>
        <v>0</v>
      </c>
      <c r="Q616" s="1454">
        <f>+SUM(InputY!Q276)</f>
        <v>0</v>
      </c>
      <c r="R616" s="1454">
        <f>+SUM(InputY!R276)</f>
        <v>0</v>
      </c>
      <c r="S616" s="1454">
        <f>+SUM(InputY!S276)</f>
        <v>0</v>
      </c>
      <c r="T616" s="1454"/>
      <c r="U616" s="3000"/>
      <c r="V616" s="3000"/>
      <c r="W616" s="3359"/>
      <c r="X616" s="3363"/>
      <c r="Y616" s="3363"/>
      <c r="Z616" s="3362"/>
      <c r="AA616" s="3362"/>
      <c r="AB616" s="3362"/>
      <c r="AC616" s="3362"/>
      <c r="AD616" s="3362"/>
      <c r="AE616" s="3362"/>
    </row>
    <row r="617" spans="1:113" customFormat="1">
      <c r="A617" s="664"/>
      <c r="B617" s="1130"/>
      <c r="C617" s="1080"/>
      <c r="D617" s="837" t="s">
        <v>1281</v>
      </c>
      <c r="E617" s="1"/>
      <c r="F617" s="3057"/>
      <c r="G617" s="3058"/>
      <c r="H617" s="3058"/>
      <c r="I617" s="3058"/>
      <c r="J617" s="3058"/>
      <c r="K617" s="3058"/>
      <c r="L617" s="3058"/>
      <c r="M617" s="3058"/>
      <c r="N617" s="3058"/>
      <c r="O617" s="1690"/>
      <c r="P617" s="1690"/>
      <c r="Q617" s="1690"/>
      <c r="R617" s="1690"/>
      <c r="S617" s="1690"/>
      <c r="T617" s="1690"/>
      <c r="U617" s="1690"/>
      <c r="V617" s="1690"/>
      <c r="W617" s="3360"/>
      <c r="X617" s="3360"/>
      <c r="Y617" s="3360"/>
      <c r="Z617" s="3360"/>
      <c r="AA617" s="3360"/>
      <c r="AB617" s="3360"/>
      <c r="AC617" s="3360"/>
      <c r="AD617" s="3360"/>
      <c r="AE617" s="3360"/>
    </row>
    <row r="618" spans="1:113">
      <c r="A618" s="664">
        <f>+ROW(InputY!A277)</f>
        <v>277</v>
      </c>
      <c r="B618" s="1130">
        <v>139</v>
      </c>
      <c r="C618" s="1080"/>
      <c r="D618" s="674" t="s">
        <v>687</v>
      </c>
      <c r="E618" s="1" t="s">
        <v>804</v>
      </c>
      <c r="F618" s="3057" t="s">
        <v>806</v>
      </c>
      <c r="G618" s="3058"/>
      <c r="H618" s="3058"/>
      <c r="I618" s="3058"/>
      <c r="J618" s="3058"/>
      <c r="K618" s="3058"/>
      <c r="L618" s="3058"/>
      <c r="M618" s="3058"/>
      <c r="N618" s="3058"/>
      <c r="O618" s="1690">
        <f>+SUM(InputY!O277)</f>
        <v>0</v>
      </c>
      <c r="P618" s="1690">
        <f>+SUM(InputY!P277)</f>
        <v>0</v>
      </c>
      <c r="Q618" s="1690">
        <f>+SUM(InputY!Q277)</f>
        <v>0</v>
      </c>
      <c r="R618" s="1690">
        <f>+SUM(InputY!R277)</f>
        <v>0</v>
      </c>
      <c r="S618" s="1690">
        <f>+SUM(InputY!S277)</f>
        <v>-0.55600000000000005</v>
      </c>
      <c r="T618" s="1690"/>
      <c r="U618" s="3090"/>
      <c r="V618" s="3276"/>
      <c r="W618" s="3361"/>
      <c r="X618" s="3365"/>
      <c r="Y618" s="3361"/>
      <c r="Z618" s="3364"/>
      <c r="AA618" s="3361"/>
      <c r="AB618" s="3364"/>
      <c r="AC618" s="3364"/>
      <c r="AD618" s="3364"/>
      <c r="AE618" s="3364"/>
    </row>
    <row r="619" spans="1:113">
      <c r="A619" s="664"/>
      <c r="B619" s="1130"/>
      <c r="C619" s="1081"/>
      <c r="D619" s="3059" t="s">
        <v>1280</v>
      </c>
      <c r="E619" s="1329"/>
      <c r="F619" s="1330"/>
      <c r="G619" s="1225"/>
      <c r="H619" s="1225"/>
      <c r="I619" s="1225"/>
      <c r="J619" s="1225"/>
      <c r="K619" s="1225"/>
      <c r="L619" s="1225"/>
      <c r="M619" s="1225"/>
      <c r="N619" s="1225"/>
      <c r="O619" s="1133"/>
      <c r="P619" s="1133"/>
      <c r="Q619" s="1133"/>
      <c r="R619" s="1133"/>
      <c r="S619" s="1133"/>
      <c r="T619" s="1133"/>
      <c r="U619" s="1133"/>
      <c r="V619" s="1133"/>
      <c r="W619" s="1133"/>
      <c r="X619" s="1133"/>
      <c r="Y619" s="1133"/>
      <c r="Z619" s="1133"/>
      <c r="AA619" s="1133"/>
      <c r="AB619" s="1133"/>
      <c r="AC619" s="1133"/>
      <c r="AD619" s="1133"/>
      <c r="AE619" s="1133"/>
    </row>
    <row r="620" spans="1:113" s="1" customFormat="1">
      <c r="A620" s="664"/>
      <c r="B620" s="2206"/>
      <c r="C620" s="710"/>
      <c r="D620" s="2207" t="s">
        <v>687</v>
      </c>
      <c r="E620" s="1060" t="s">
        <v>1963</v>
      </c>
      <c r="F620" s="2208" t="s">
        <v>1964</v>
      </c>
      <c r="G620" s="1061"/>
      <c r="H620" s="1061"/>
      <c r="I620" s="1061"/>
      <c r="J620" s="1061"/>
      <c r="K620" s="1061"/>
      <c r="L620" s="1061"/>
      <c r="M620" s="1061"/>
      <c r="N620" s="1061"/>
      <c r="O620" s="1061">
        <f>+O616+O618</f>
        <v>0</v>
      </c>
      <c r="P620" s="1061">
        <f t="shared" ref="P620:W620" si="571">+P616+P618</f>
        <v>0</v>
      </c>
      <c r="Q620" s="1061">
        <f t="shared" si="571"/>
        <v>0</v>
      </c>
      <c r="R620" s="1061">
        <f t="shared" si="571"/>
        <v>0</v>
      </c>
      <c r="S620" s="1061">
        <f t="shared" si="571"/>
        <v>-0.55600000000000005</v>
      </c>
      <c r="T620" s="1061">
        <f t="shared" si="571"/>
        <v>0</v>
      </c>
      <c r="U620" s="1061">
        <f t="shared" si="571"/>
        <v>0</v>
      </c>
      <c r="V620" s="1061">
        <f t="shared" si="571"/>
        <v>0</v>
      </c>
      <c r="W620" s="1061">
        <f t="shared" si="571"/>
        <v>0</v>
      </c>
      <c r="X620" s="1061">
        <f t="shared" ref="X620:AC620" si="572">+X616+X618</f>
        <v>0</v>
      </c>
      <c r="Y620" s="1061">
        <f t="shared" si="572"/>
        <v>0</v>
      </c>
      <c r="Z620" s="1061">
        <f t="shared" si="572"/>
        <v>0</v>
      </c>
      <c r="AA620" s="1061">
        <f t="shared" si="572"/>
        <v>0</v>
      </c>
      <c r="AB620" s="1061">
        <f t="shared" si="572"/>
        <v>0</v>
      </c>
      <c r="AC620" s="1061">
        <f t="shared" si="572"/>
        <v>0</v>
      </c>
      <c r="AD620" s="1061">
        <f>+AD616+AD618</f>
        <v>0</v>
      </c>
      <c r="AE620" s="1061">
        <f>+AE616+AE618</f>
        <v>0</v>
      </c>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row>
    <row r="621" spans="1:113" customFormat="1">
      <c r="A621" s="664"/>
      <c r="B621" s="1130"/>
      <c r="C621" s="710"/>
      <c r="D621" s="1445"/>
      <c r="E621" s="50" t="s">
        <v>379</v>
      </c>
      <c r="F621" s="1446"/>
      <c r="G621" s="1447"/>
      <c r="H621" s="1447"/>
      <c r="I621" s="1447"/>
      <c r="J621" s="1447"/>
      <c r="K621" s="1447"/>
      <c r="L621" s="1447"/>
      <c r="M621" s="1447"/>
      <c r="N621" s="1447"/>
      <c r="O621" s="1434">
        <f>+O620/'VVP2'!O$341</f>
        <v>0</v>
      </c>
      <c r="P621" s="1434">
        <f>+P620/'VVP2'!P$341</f>
        <v>0</v>
      </c>
      <c r="Q621" s="1434">
        <f>+Q620/'VVP2'!Q$341</f>
        <v>0</v>
      </c>
      <c r="R621" s="1434">
        <f>+R620/'VVP2'!R$341</f>
        <v>0</v>
      </c>
      <c r="S621" s="1434">
        <f>+S620/'VVP2'!S$341</f>
        <v>-1.9145570383042262E-2</v>
      </c>
      <c r="T621" s="2301">
        <f>+T620/'VVP2'!T$341</f>
        <v>0</v>
      </c>
      <c r="U621" s="2301">
        <f>+U620/'VVP2'!U$341</f>
        <v>0</v>
      </c>
      <c r="V621" s="2301">
        <f>+V620/'VVP2'!V$341</f>
        <v>0</v>
      </c>
      <c r="W621" s="2301">
        <f>+W620/'VVP2'!W$341</f>
        <v>0</v>
      </c>
      <c r="X621" s="2301">
        <f>+X620/'VVP2'!X$341</f>
        <v>0</v>
      </c>
      <c r="Y621" s="2301">
        <f>+Y620/'VVP2'!Y$341</f>
        <v>0</v>
      </c>
      <c r="Z621" s="2301">
        <f>+Z620/'VVP2'!Z$341</f>
        <v>0</v>
      </c>
      <c r="AA621" s="2301">
        <f>+AA620/'VVP2'!AA$341</f>
        <v>0</v>
      </c>
      <c r="AB621" s="2301">
        <f>+AB620/'VVP2'!AB$341</f>
        <v>0</v>
      </c>
      <c r="AC621" s="2301">
        <f ca="1">+AC620/'VVP2'!AC$341</f>
        <v>0</v>
      </c>
      <c r="AD621" s="2301">
        <f ca="1">+AD620/'VVP2'!AD$341</f>
        <v>0</v>
      </c>
      <c r="AE621" s="2301">
        <f ca="1">+AE620/'VVP2'!AE$341</f>
        <v>0</v>
      </c>
    </row>
    <row r="622" spans="1:113" ht="30" customHeight="1">
      <c r="F622" s="1023"/>
      <c r="AB622" s="2221"/>
      <c r="AC622" s="2221"/>
      <c r="AD622" s="2221"/>
      <c r="AE622" s="2221"/>
    </row>
    <row r="623" spans="1:113" ht="12.75" customHeight="1">
      <c r="B623" s="664"/>
      <c r="C623" s="774"/>
      <c r="D623" s="775"/>
      <c r="E623" s="776" t="s">
        <v>1127</v>
      </c>
      <c r="F623" s="777"/>
      <c r="G623" s="778">
        <f>+InputY!$G$3</f>
        <v>1995</v>
      </c>
      <c r="H623" s="778">
        <f>+G623+1</f>
        <v>1996</v>
      </c>
      <c r="I623" s="778">
        <f t="shared" ref="I623:O623" si="573">+H623+1</f>
        <v>1997</v>
      </c>
      <c r="J623" s="778">
        <f t="shared" si="573"/>
        <v>1998</v>
      </c>
      <c r="K623" s="778">
        <f>+J623+1</f>
        <v>1999</v>
      </c>
      <c r="L623" s="778">
        <f t="shared" si="573"/>
        <v>2000</v>
      </c>
      <c r="M623" s="778">
        <f t="shared" si="573"/>
        <v>2001</v>
      </c>
      <c r="N623" s="778">
        <f t="shared" si="573"/>
        <v>2002</v>
      </c>
      <c r="O623" s="778">
        <f t="shared" si="573"/>
        <v>2003</v>
      </c>
      <c r="P623" s="778">
        <f t="shared" ref="P623:W623" si="574">+O623+1</f>
        <v>2004</v>
      </c>
      <c r="Q623" s="778">
        <f t="shared" si="574"/>
        <v>2005</v>
      </c>
      <c r="R623" s="778">
        <f t="shared" si="574"/>
        <v>2006</v>
      </c>
      <c r="S623" s="778">
        <f t="shared" si="574"/>
        <v>2007</v>
      </c>
      <c r="T623" s="2222">
        <f t="shared" si="574"/>
        <v>2008</v>
      </c>
      <c r="U623" s="2222">
        <f t="shared" si="574"/>
        <v>2009</v>
      </c>
      <c r="V623" s="2222">
        <f t="shared" si="574"/>
        <v>2010</v>
      </c>
      <c r="W623" s="2222">
        <f t="shared" si="574"/>
        <v>2011</v>
      </c>
      <c r="X623" s="2222">
        <f t="shared" ref="X623:AE623" si="575">+W623+1</f>
        <v>2012</v>
      </c>
      <c r="Y623" s="2222">
        <f t="shared" si="575"/>
        <v>2013</v>
      </c>
      <c r="Z623" s="2222">
        <f t="shared" si="575"/>
        <v>2014</v>
      </c>
      <c r="AA623" s="2222">
        <f t="shared" si="575"/>
        <v>2015</v>
      </c>
      <c r="AB623" s="2222">
        <f t="shared" si="575"/>
        <v>2016</v>
      </c>
      <c r="AC623" s="2222">
        <f t="shared" si="575"/>
        <v>2017</v>
      </c>
      <c r="AD623" s="2222">
        <f t="shared" si="575"/>
        <v>2018</v>
      </c>
      <c r="AE623" s="2222">
        <f t="shared" si="575"/>
        <v>2019</v>
      </c>
    </row>
    <row r="624" spans="1:113" ht="12.75" customHeight="1">
      <c r="B624" s="664"/>
      <c r="C624" s="779" t="s">
        <v>1767</v>
      </c>
      <c r="D624" s="668" t="s">
        <v>687</v>
      </c>
      <c r="E624" s="780" t="s">
        <v>1381</v>
      </c>
      <c r="F624" s="701" t="s">
        <v>1801</v>
      </c>
      <c r="G624" s="780">
        <f t="shared" ref="G624:AC624" si="576">+G13</f>
        <v>0.93413999999999997</v>
      </c>
      <c r="H624" s="780">
        <f t="shared" si="576"/>
        <v>1.1237200000000001</v>
      </c>
      <c r="I624" s="780">
        <f t="shared" si="576"/>
        <v>1.58561</v>
      </c>
      <c r="J624" s="780">
        <f t="shared" si="576"/>
        <v>1.7950299999999999</v>
      </c>
      <c r="K624" s="780">
        <f t="shared" si="576"/>
        <v>1.74356</v>
      </c>
      <c r="L624" s="780">
        <f t="shared" si="576"/>
        <v>1.6726099999999999</v>
      </c>
      <c r="M624" s="780">
        <f t="shared" si="576"/>
        <v>1.72933</v>
      </c>
      <c r="N624" s="780">
        <f t="shared" si="576"/>
        <v>1.8834200000000001</v>
      </c>
      <c r="O624" s="780">
        <f t="shared" si="576"/>
        <v>1.94069</v>
      </c>
      <c r="P624" s="780">
        <f t="shared" si="576"/>
        <v>2.0387400000000002</v>
      </c>
      <c r="Q624" s="780">
        <f t="shared" si="576"/>
        <v>2.3545599999999998</v>
      </c>
      <c r="R624" s="780">
        <f t="shared" si="576"/>
        <v>2.7234699999999998</v>
      </c>
      <c r="S624" s="780">
        <f t="shared" si="576"/>
        <v>3.3773499999999999</v>
      </c>
      <c r="T624" s="2267">
        <f t="shared" si="576"/>
        <v>3.79074</v>
      </c>
      <c r="U624" s="2267">
        <f t="shared" si="576"/>
        <v>3.1144400000000001</v>
      </c>
      <c r="V624" s="2267">
        <f t="shared" si="576"/>
        <v>3.3192600000000003</v>
      </c>
      <c r="W624" s="2267">
        <f t="shared" si="576"/>
        <v>3.6286</v>
      </c>
      <c r="X624" s="2267">
        <f t="shared" si="576"/>
        <v>3.7240700000000002</v>
      </c>
      <c r="Y624" s="2267">
        <f t="shared" si="576"/>
        <v>3.8413400000000002</v>
      </c>
      <c r="Z624" s="2267">
        <f t="shared" si="576"/>
        <v>4.0795399999999997</v>
      </c>
      <c r="AA624" s="2267">
        <f t="shared" si="576"/>
        <v>4.3436300000000001</v>
      </c>
      <c r="AB624" s="2267">
        <f t="shared" si="576"/>
        <v>4.5327600000000006</v>
      </c>
      <c r="AC624" s="2267">
        <f t="shared" si="576"/>
        <v>4.9279856999999998</v>
      </c>
      <c r="AD624" s="2267">
        <f>+AD13</f>
        <v>5.2460899270192165</v>
      </c>
      <c r="AE624" s="2267">
        <f>+AE13</f>
        <v>5.5409120675982919</v>
      </c>
    </row>
    <row r="625" spans="1:113" ht="12.75" customHeight="1">
      <c r="B625" s="664"/>
      <c r="C625" s="782" t="s">
        <v>1767</v>
      </c>
      <c r="D625" s="674" t="s">
        <v>687</v>
      </c>
      <c r="E625" s="706" t="s">
        <v>614</v>
      </c>
      <c r="F625" s="704" t="s">
        <v>1803</v>
      </c>
      <c r="G625" s="706">
        <f t="shared" ref="G625:AC625" si="577">+G205</f>
        <v>0.65282000000000007</v>
      </c>
      <c r="H625" s="706">
        <f t="shared" si="577"/>
        <v>0.77739000000000003</v>
      </c>
      <c r="I625" s="706">
        <f t="shared" si="577"/>
        <v>1.02521</v>
      </c>
      <c r="J625" s="706">
        <f t="shared" si="577"/>
        <v>1.17039</v>
      </c>
      <c r="K625" s="706">
        <f t="shared" si="577"/>
        <v>1.1596099999999998</v>
      </c>
      <c r="L625" s="706">
        <f t="shared" si="577"/>
        <v>1.1185</v>
      </c>
      <c r="M625" s="706">
        <f t="shared" si="577"/>
        <v>1.1014699999999999</v>
      </c>
      <c r="N625" s="706">
        <f t="shared" si="577"/>
        <v>1.12815</v>
      </c>
      <c r="O625" s="706">
        <f t="shared" si="577"/>
        <v>1.31376</v>
      </c>
      <c r="P625" s="706">
        <f t="shared" si="577"/>
        <v>1.57897</v>
      </c>
      <c r="Q625" s="706">
        <f t="shared" si="577"/>
        <v>1.8784799999999999</v>
      </c>
      <c r="R625" s="706">
        <f t="shared" si="577"/>
        <v>2.2994699999999999</v>
      </c>
      <c r="S625" s="706">
        <f t="shared" si="577"/>
        <v>2.6336900000000001</v>
      </c>
      <c r="T625" s="2265">
        <f t="shared" si="577"/>
        <v>3.0165999999999999</v>
      </c>
      <c r="U625" s="2265">
        <f t="shared" si="577"/>
        <v>1.5983099999999999</v>
      </c>
      <c r="V625" s="2265">
        <f t="shared" si="577"/>
        <v>1.2940499999999999</v>
      </c>
      <c r="W625" s="2265">
        <f t="shared" si="577"/>
        <v>1.3590799999999998</v>
      </c>
      <c r="X625" s="2265">
        <f t="shared" si="577"/>
        <v>1.60755</v>
      </c>
      <c r="Y625" s="2265">
        <f t="shared" si="577"/>
        <v>1.7361900000000001</v>
      </c>
      <c r="Z625" s="2265">
        <f t="shared" si="577"/>
        <v>1.83673</v>
      </c>
      <c r="AA625" s="2265">
        <f t="shared" si="577"/>
        <v>2.0321899999999999</v>
      </c>
      <c r="AB625" s="2265">
        <f t="shared" si="577"/>
        <v>2.1945000000000001</v>
      </c>
      <c r="AC625" s="2265">
        <f t="shared" si="577"/>
        <v>2.3153593839999997</v>
      </c>
      <c r="AD625" s="2265">
        <f>+AD205</f>
        <v>2.3945682130239994</v>
      </c>
      <c r="AE625" s="2265">
        <f>+AE205</f>
        <v>2.5256978838147841</v>
      </c>
    </row>
    <row r="626" spans="1:113" ht="12.75" customHeight="1">
      <c r="B626" s="664"/>
      <c r="C626" s="782" t="s">
        <v>1767</v>
      </c>
      <c r="D626" s="674" t="s">
        <v>687</v>
      </c>
      <c r="E626" s="706" t="s">
        <v>567</v>
      </c>
      <c r="F626" s="704" t="s">
        <v>1805</v>
      </c>
      <c r="G626" s="706">
        <f t="shared" ref="G626:AC626" si="578">+G255</f>
        <v>0.56044000000000005</v>
      </c>
      <c r="H626" s="706">
        <f t="shared" si="578"/>
        <v>0.74826999999999999</v>
      </c>
      <c r="I626" s="706">
        <f t="shared" si="578"/>
        <v>1.05446</v>
      </c>
      <c r="J626" s="706">
        <f t="shared" si="578"/>
        <v>1.3030599999999999</v>
      </c>
      <c r="K626" s="706">
        <f t="shared" si="578"/>
        <v>1.2872299999999999</v>
      </c>
      <c r="L626" s="706">
        <f t="shared" si="578"/>
        <v>1.3648899999999999</v>
      </c>
      <c r="M626" s="706">
        <f t="shared" si="578"/>
        <v>1.3791100000000001</v>
      </c>
      <c r="N626" s="706">
        <f t="shared" si="578"/>
        <v>1.4252100000000001</v>
      </c>
      <c r="O626" s="706">
        <f t="shared" si="578"/>
        <v>1.5356000000000001</v>
      </c>
      <c r="P626" s="706">
        <f t="shared" si="578"/>
        <v>1.7162999999999999</v>
      </c>
      <c r="Q626" s="706">
        <f t="shared" si="578"/>
        <v>1.9260700000000002</v>
      </c>
      <c r="R626" s="706">
        <f t="shared" si="578"/>
        <v>2.2698700000000001</v>
      </c>
      <c r="S626" s="706">
        <f t="shared" si="578"/>
        <v>2.73678</v>
      </c>
      <c r="T626" s="2265">
        <f t="shared" si="578"/>
        <v>3.2264699999999999</v>
      </c>
      <c r="U626" s="2265">
        <f t="shared" si="578"/>
        <v>3.5213300000000003</v>
      </c>
      <c r="V626" s="2265">
        <f t="shared" si="578"/>
        <v>3.3984800000000002</v>
      </c>
      <c r="W626" s="2265">
        <f t="shared" si="578"/>
        <v>3.5833899999999996</v>
      </c>
      <c r="X626" s="2265">
        <f t="shared" si="578"/>
        <v>3.7254800000000001</v>
      </c>
      <c r="Y626" s="2265">
        <f t="shared" si="578"/>
        <v>3.8927499999999999</v>
      </c>
      <c r="Z626" s="2265">
        <f t="shared" si="578"/>
        <v>4.1737299999999999</v>
      </c>
      <c r="AA626" s="2265">
        <f t="shared" si="578"/>
        <v>4.4563400000000009</v>
      </c>
      <c r="AB626" s="2265">
        <f t="shared" si="578"/>
        <v>4.8441000000000001</v>
      </c>
      <c r="AC626" s="2265">
        <f t="shared" si="578"/>
        <v>5.444205530780633</v>
      </c>
      <c r="AD626" s="2265">
        <f>+AD255</f>
        <v>5.8089673013429346</v>
      </c>
      <c r="AE626" s="2265">
        <f>+AE255</f>
        <v>6.1419965550884186</v>
      </c>
    </row>
    <row r="627" spans="1:113" ht="12.75" customHeight="1">
      <c r="B627" s="664"/>
      <c r="C627" s="782" t="s">
        <v>1767</v>
      </c>
      <c r="D627" s="674" t="s">
        <v>687</v>
      </c>
      <c r="E627" s="706" t="s">
        <v>770</v>
      </c>
      <c r="F627" s="704"/>
      <c r="G627" s="706">
        <f t="shared" ref="G627:AC627" si="579">+G426</f>
        <v>6.6879999999999995E-2</v>
      </c>
      <c r="H627" s="706">
        <f t="shared" si="579"/>
        <v>8.5260000000000002E-2</v>
      </c>
      <c r="I627" s="706">
        <f t="shared" si="579"/>
        <v>0.17276</v>
      </c>
      <c r="J627" s="706">
        <f t="shared" si="579"/>
        <v>0.17068</v>
      </c>
      <c r="K627" s="706">
        <f t="shared" si="579"/>
        <v>0.24678</v>
      </c>
      <c r="L627" s="706">
        <f t="shared" si="579"/>
        <v>0.22652</v>
      </c>
      <c r="M627" s="706">
        <f t="shared" si="579"/>
        <v>0.14169999999999999</v>
      </c>
      <c r="N627" s="706">
        <f t="shared" si="579"/>
        <v>0.21209</v>
      </c>
      <c r="O627" s="706">
        <f t="shared" si="579"/>
        <v>0.23732</v>
      </c>
      <c r="P627" s="706">
        <f t="shared" si="579"/>
        <v>0.26157999999999998</v>
      </c>
      <c r="Q627" s="706">
        <f t="shared" si="579"/>
        <v>0.36352999999999996</v>
      </c>
      <c r="R627" s="706">
        <f t="shared" si="579"/>
        <v>0.31760999999999995</v>
      </c>
      <c r="S627" s="706">
        <f t="shared" si="579"/>
        <v>0.42169000000000001</v>
      </c>
      <c r="T627" s="2265">
        <f t="shared" si="579"/>
        <v>0.58135999999999999</v>
      </c>
      <c r="U627" s="2265">
        <f t="shared" si="579"/>
        <v>0.57049000000000005</v>
      </c>
      <c r="V627" s="2265">
        <f t="shared" si="579"/>
        <v>0.6081700000000001</v>
      </c>
      <c r="W627" s="2265">
        <f t="shared" si="579"/>
        <v>0.55608000000000002</v>
      </c>
      <c r="X627" s="2265">
        <f t="shared" si="579"/>
        <v>0.61770999999999998</v>
      </c>
      <c r="Y627" s="2265">
        <f t="shared" si="579"/>
        <v>0.70948</v>
      </c>
      <c r="Z627" s="2265">
        <f t="shared" si="579"/>
        <v>0.76029999999999998</v>
      </c>
      <c r="AA627" s="2265">
        <f t="shared" si="579"/>
        <v>0.76861999999999997</v>
      </c>
      <c r="AB627" s="2265">
        <f t="shared" si="579"/>
        <v>0.80027999999999999</v>
      </c>
      <c r="AC627" s="2265">
        <f t="shared" si="579"/>
        <v>0.82028699999999988</v>
      </c>
      <c r="AD627" s="2265">
        <f>+AD426</f>
        <v>0.84079417499999975</v>
      </c>
      <c r="AE627" s="2265">
        <f>+AE426</f>
        <v>0.86181402937499962</v>
      </c>
    </row>
    <row r="628" spans="1:113" ht="12.75" customHeight="1">
      <c r="B628" s="664"/>
      <c r="C628" s="782" t="s">
        <v>1767</v>
      </c>
      <c r="D628" s="674" t="s">
        <v>687</v>
      </c>
      <c r="E628" s="706" t="s">
        <v>1945</v>
      </c>
      <c r="F628" s="704" t="s">
        <v>2008</v>
      </c>
      <c r="G628" s="706">
        <f>+G748</f>
        <v>0.35048000000000001</v>
      </c>
      <c r="H628" s="706">
        <f t="shared" ref="H628:T628" si="580">+H748</f>
        <v>0.50093999999999994</v>
      </c>
      <c r="I628" s="706">
        <f t="shared" si="580"/>
        <v>0.67547000000000001</v>
      </c>
      <c r="J628" s="706">
        <f t="shared" si="580"/>
        <v>0.5278799999999999</v>
      </c>
      <c r="K628" s="706">
        <f t="shared" si="580"/>
        <v>0.38412000000000002</v>
      </c>
      <c r="L628" s="706">
        <f>+L748</f>
        <v>0.48592000000000002</v>
      </c>
      <c r="M628" s="706">
        <f>+M748</f>
        <v>0.44218000000000002</v>
      </c>
      <c r="N628" s="706">
        <f t="shared" si="580"/>
        <v>0.36631999999999998</v>
      </c>
      <c r="O628" s="706">
        <f t="shared" si="580"/>
        <v>0.30554999999999999</v>
      </c>
      <c r="P628" s="706">
        <f t="shared" si="580"/>
        <v>0.28567999999999999</v>
      </c>
      <c r="Q628" s="706">
        <f t="shared" si="580"/>
        <v>0.40298</v>
      </c>
      <c r="R628" s="706">
        <f>+R748</f>
        <v>0.35403000000000001</v>
      </c>
      <c r="S628" s="706">
        <f>+S748</f>
        <v>0.41898000000000002</v>
      </c>
      <c r="T628" s="2265">
        <f t="shared" si="580"/>
        <v>0.48837999999999998</v>
      </c>
      <c r="U628" s="2265">
        <f t="shared" ref="U628:Z628" si="581">+U748</f>
        <v>0.43901000000000001</v>
      </c>
      <c r="V628" s="2265">
        <f t="shared" si="581"/>
        <v>0.59362000000000004</v>
      </c>
      <c r="W628" s="2265">
        <f t="shared" si="581"/>
        <v>0.67314999999999992</v>
      </c>
      <c r="X628" s="2265">
        <f t="shared" si="581"/>
        <v>0.68006999999999995</v>
      </c>
      <c r="Y628" s="2265">
        <f t="shared" si="581"/>
        <v>0.59372000000000003</v>
      </c>
      <c r="Z628" s="2265">
        <f t="shared" si="581"/>
        <v>0.59770999999999996</v>
      </c>
      <c r="AA628" s="2265">
        <f>+AA748</f>
        <v>0.67398999999999998</v>
      </c>
      <c r="AB628" s="2265">
        <f>+AB748</f>
        <v>0.64477999999999991</v>
      </c>
      <c r="AC628" s="2265">
        <f>+AC748</f>
        <v>0.70744060799999986</v>
      </c>
      <c r="AD628" s="2265">
        <f>+AD748</f>
        <v>0.77082054467999994</v>
      </c>
      <c r="AE628" s="2265">
        <f>+AE748</f>
        <v>0.83038656847780001</v>
      </c>
    </row>
    <row r="629" spans="1:113" ht="12.75" customHeight="1">
      <c r="B629" s="664"/>
      <c r="C629" s="782" t="s">
        <v>1769</v>
      </c>
      <c r="D629" s="746" t="s">
        <v>687</v>
      </c>
      <c r="E629" s="799" t="s">
        <v>1815</v>
      </c>
      <c r="F629" s="748" t="s">
        <v>160</v>
      </c>
      <c r="G629" s="799">
        <f t="shared" ref="G629:Y629" si="582">+G624+G625+G626+G627+G628</f>
        <v>2.5647600000000002</v>
      </c>
      <c r="H629" s="799">
        <f t="shared" si="582"/>
        <v>3.2355799999999997</v>
      </c>
      <c r="I629" s="799">
        <f t="shared" si="582"/>
        <v>4.5135100000000001</v>
      </c>
      <c r="J629" s="799">
        <f t="shared" si="582"/>
        <v>4.9670399999999999</v>
      </c>
      <c r="K629" s="799">
        <f t="shared" si="582"/>
        <v>4.8212999999999999</v>
      </c>
      <c r="L629" s="799">
        <f t="shared" si="582"/>
        <v>4.8684399999999997</v>
      </c>
      <c r="M629" s="799">
        <f t="shared" si="582"/>
        <v>4.7937899999999996</v>
      </c>
      <c r="N629" s="799">
        <f t="shared" si="582"/>
        <v>5.0151899999999996</v>
      </c>
      <c r="O629" s="799">
        <f t="shared" si="582"/>
        <v>5.3329200000000014</v>
      </c>
      <c r="P629" s="799">
        <f t="shared" si="582"/>
        <v>5.8812700000000007</v>
      </c>
      <c r="Q629" s="799">
        <f t="shared" si="582"/>
        <v>6.9256200000000003</v>
      </c>
      <c r="R629" s="799">
        <f t="shared" si="582"/>
        <v>7.9644500000000003</v>
      </c>
      <c r="S629" s="799">
        <f t="shared" si="582"/>
        <v>9.5884899999999984</v>
      </c>
      <c r="T629" s="799">
        <f>+T624+T625+T626+T627+T628</f>
        <v>11.103549999999998</v>
      </c>
      <c r="U629" s="799">
        <f>+U624+U625+U626+U627+U628</f>
        <v>9.2435799999999997</v>
      </c>
      <c r="V629" s="2302">
        <f t="shared" si="582"/>
        <v>9.2135800000000003</v>
      </c>
      <c r="W629" s="2302">
        <f t="shared" si="582"/>
        <v>9.8002999999999982</v>
      </c>
      <c r="X629" s="2302">
        <f t="shared" si="582"/>
        <v>10.354880000000001</v>
      </c>
      <c r="Y629" s="2302">
        <f t="shared" si="582"/>
        <v>10.773479999999999</v>
      </c>
      <c r="Z629" s="2302">
        <f t="shared" ref="Z629:AE629" si="583">+Z624+Z625+Z626+Z627+Z628</f>
        <v>11.44801</v>
      </c>
      <c r="AA629" s="2302">
        <f t="shared" si="583"/>
        <v>12.274770000000002</v>
      </c>
      <c r="AB629" s="2302">
        <f t="shared" si="583"/>
        <v>13.016420000000004</v>
      </c>
      <c r="AC629" s="2302">
        <f t="shared" si="583"/>
        <v>14.215278222780634</v>
      </c>
      <c r="AD629" s="2302">
        <f t="shared" si="583"/>
        <v>15.061240161066149</v>
      </c>
      <c r="AE629" s="2302">
        <f t="shared" si="583"/>
        <v>15.900807104354294</v>
      </c>
    </row>
    <row r="630" spans="1:113" s="884" customFormat="1" ht="12.75" customHeight="1">
      <c r="A630" s="663"/>
      <c r="B630" s="664"/>
      <c r="C630" s="842" t="s">
        <v>1767</v>
      </c>
      <c r="D630" s="890" t="s">
        <v>687</v>
      </c>
      <c r="E630" s="1438" t="s">
        <v>1479</v>
      </c>
      <c r="F630" s="1439" t="s">
        <v>1816</v>
      </c>
      <c r="G630" s="1438">
        <f t="shared" ref="G630:AC630" si="584">+G485</f>
        <v>0</v>
      </c>
      <c r="H630" s="1438">
        <f t="shared" si="584"/>
        <v>0</v>
      </c>
      <c r="I630" s="1438">
        <f t="shared" si="584"/>
        <v>2.3E-3</v>
      </c>
      <c r="J630" s="1438">
        <f t="shared" si="584"/>
        <v>4.7000000000000004E-4</v>
      </c>
      <c r="K630" s="1438">
        <f t="shared" si="584"/>
        <v>1.1890000000000001E-2</v>
      </c>
      <c r="L630" s="1438">
        <f t="shared" si="584"/>
        <v>-2.785E-2</v>
      </c>
      <c r="M630" s="1438">
        <f t="shared" si="584"/>
        <v>-2.945E-2</v>
      </c>
      <c r="N630" s="1438">
        <f t="shared" si="584"/>
        <v>4.5899999999999996E-2</v>
      </c>
      <c r="O630" s="1438">
        <f t="shared" si="584"/>
        <v>5.3399999999999996E-2</v>
      </c>
      <c r="P630" s="1438">
        <f t="shared" si="584"/>
        <v>7.2190000000000004E-2</v>
      </c>
      <c r="Q630" s="1438">
        <f t="shared" si="584"/>
        <v>0.15971000000000002</v>
      </c>
      <c r="R630" s="1438">
        <f t="shared" si="584"/>
        <v>0.23172999999999999</v>
      </c>
      <c r="S630" s="1438">
        <f t="shared" si="584"/>
        <v>0.41325000000000001</v>
      </c>
      <c r="T630" s="2303">
        <f t="shared" si="584"/>
        <v>0.34273000000000003</v>
      </c>
      <c r="U630" s="2303">
        <f t="shared" si="584"/>
        <v>0.39441999999999999</v>
      </c>
      <c r="V630" s="2303">
        <f t="shared" si="584"/>
        <v>0.7077</v>
      </c>
      <c r="W630" s="2303">
        <f t="shared" si="584"/>
        <v>0.68730999999999998</v>
      </c>
      <c r="X630" s="2303">
        <f t="shared" si="584"/>
        <v>0.63571</v>
      </c>
      <c r="Y630" s="2303">
        <f t="shared" si="584"/>
        <v>0.7223099999999999</v>
      </c>
      <c r="Z630" s="2303">
        <f t="shared" si="584"/>
        <v>0.99297000000000002</v>
      </c>
      <c r="AA630" s="2303">
        <f t="shared" si="584"/>
        <v>0.69129999999999991</v>
      </c>
      <c r="AB630" s="2303">
        <f t="shared" si="584"/>
        <v>0.31355</v>
      </c>
      <c r="AC630" s="2303">
        <f t="shared" si="584"/>
        <v>0.30702419999999997</v>
      </c>
      <c r="AD630" s="2303">
        <f>+AD485</f>
        <v>0.35818647199999992</v>
      </c>
      <c r="AE630" s="2303">
        <f>+AE485</f>
        <v>0.36560500143999991</v>
      </c>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row>
    <row r="631" spans="1:113" s="1" customFormat="1">
      <c r="A631" s="664">
        <f>+ROW(InputY!A177)</f>
        <v>177</v>
      </c>
      <c r="B631" s="2206"/>
      <c r="C631" s="710"/>
      <c r="D631" s="2207" t="s">
        <v>687</v>
      </c>
      <c r="E631" s="1060" t="s">
        <v>793</v>
      </c>
      <c r="F631" s="2208" t="s">
        <v>1142</v>
      </c>
      <c r="G631" s="1061">
        <f>+InputY!G177/1000</f>
        <v>2.5647699999999998</v>
      </c>
      <c r="H631" s="1061">
        <f>+InputY!H177/1000</f>
        <v>3.2355800000000001</v>
      </c>
      <c r="I631" s="1061">
        <f>+InputY!I177/1000</f>
        <v>4.5158100000000001</v>
      </c>
      <c r="J631" s="1061">
        <f>+InputY!J177/1000</f>
        <v>4.9675200000000004</v>
      </c>
      <c r="K631" s="1061">
        <f>+InputY!K177/1000</f>
        <v>4.8331899999999992</v>
      </c>
      <c r="L631" s="1061">
        <f>+InputY!L177/1000</f>
        <v>4.8406099999999999</v>
      </c>
      <c r="M631" s="1061">
        <f>+InputY!M177/1000</f>
        <v>4.7643399999999998</v>
      </c>
      <c r="N631" s="1061">
        <f>+InputY!N177/1000</f>
        <v>5.0611000000000006</v>
      </c>
      <c r="O631" s="1061">
        <f>+InputY!O177/1000</f>
        <v>5.3863300000000001</v>
      </c>
      <c r="P631" s="1061">
        <f>+InputY!P177/1000</f>
        <v>5.9534700000000003</v>
      </c>
      <c r="Q631" s="1061">
        <f>+InputY!Q177/1000</f>
        <v>7.0853299999999999</v>
      </c>
      <c r="R631" s="1061">
        <f>+InputY!R177/1000</f>
        <v>8.1961700000000004</v>
      </c>
      <c r="S631" s="1061">
        <f>+InputY!S177/1000</f>
        <v>10.00174</v>
      </c>
      <c r="T631" s="1061">
        <f>+InputY!T177/1000</f>
        <v>11.44628</v>
      </c>
      <c r="U631" s="1061">
        <f>+InputY!U177/1000</f>
        <v>9.6379999999999999</v>
      </c>
      <c r="V631" s="1061">
        <f>+InputY!V177/1000</f>
        <v>9.9212800000000012</v>
      </c>
      <c r="W631" s="1061">
        <f>+InputY!W177/1000</f>
        <v>10.487590000000001</v>
      </c>
      <c r="X631" s="1061">
        <f>+InputY!X177/1000</f>
        <v>10.990590000000001</v>
      </c>
      <c r="Y631" s="1061">
        <f>+InputY!Y177/1000</f>
        <v>11.495790000000001</v>
      </c>
      <c r="Z631" s="1061">
        <f>+InputY!Z177/1000</f>
        <v>12.44098</v>
      </c>
      <c r="AA631" s="1061">
        <f>+InputY!AA177/1000</f>
        <v>12.966089999999999</v>
      </c>
      <c r="AB631" s="1061">
        <f>+InputY!AB177/1000</f>
        <v>13.329979999999999</v>
      </c>
      <c r="AC631" s="2223">
        <f t="shared" ref="AC631" si="585">+AC629+AC630</f>
        <v>14.522302422780635</v>
      </c>
      <c r="AD631" s="2223">
        <f>+AD629+AD630</f>
        <v>15.419426633066148</v>
      </c>
      <c r="AE631" s="2223">
        <f>+AE629+AE630</f>
        <v>16.266412105794295</v>
      </c>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row>
    <row r="632" spans="1:113" s="1976" customFormat="1" ht="12.75" customHeight="1">
      <c r="A632" s="998"/>
      <c r="B632" s="998"/>
      <c r="C632" s="1595"/>
      <c r="D632" s="1975"/>
      <c r="E632" s="1973" t="s">
        <v>737</v>
      </c>
      <c r="F632" s="1974"/>
      <c r="G632" s="2209">
        <f>ABS(G631-G630-G629)</f>
        <v>9.9999999996214228E-6</v>
      </c>
      <c r="H632" s="2209">
        <f t="shared" ref="H632:Y632" si="586">ABS(H631-H630-H629)</f>
        <v>4.4408920985006262E-16</v>
      </c>
      <c r="I632" s="2209">
        <f t="shared" si="586"/>
        <v>0</v>
      </c>
      <c r="J632" s="2209">
        <f t="shared" si="586"/>
        <v>1.0000000000509601E-5</v>
      </c>
      <c r="K632" s="2209">
        <f t="shared" si="586"/>
        <v>8.8817841970012523E-16</v>
      </c>
      <c r="L632" s="2209">
        <f>ABS(L631-L630-L629)</f>
        <v>2.0000000000131024E-5</v>
      </c>
      <c r="M632" s="2209">
        <f>ABS(M631-M630-M629)</f>
        <v>0</v>
      </c>
      <c r="N632" s="2209">
        <f t="shared" si="586"/>
        <v>1.000000000139778E-5</v>
      </c>
      <c r="O632" s="2209">
        <f t="shared" si="586"/>
        <v>9.9999999987332444E-6</v>
      </c>
      <c r="P632" s="2209">
        <f t="shared" si="586"/>
        <v>9.9999999996214228E-6</v>
      </c>
      <c r="Q632" s="2209">
        <f>ABS(Q631-Q630-Q629)</f>
        <v>0</v>
      </c>
      <c r="R632" s="2209">
        <f>ABS(R631-R630-R629)</f>
        <v>9.9999999996214228E-6</v>
      </c>
      <c r="S632" s="2209">
        <f>ABS(S631-S630-S629)</f>
        <v>1.7763568394002505E-15</v>
      </c>
      <c r="T632" s="2921">
        <f t="shared" si="586"/>
        <v>1.7763568394002505E-15</v>
      </c>
      <c r="U632" s="2921">
        <f t="shared" si="586"/>
        <v>0</v>
      </c>
      <c r="V632" s="2921">
        <f t="shared" si="586"/>
        <v>0</v>
      </c>
      <c r="W632" s="2921">
        <f t="shared" si="586"/>
        <v>1.9999999997466489E-5</v>
      </c>
      <c r="X632" s="2921">
        <f t="shared" si="586"/>
        <v>0</v>
      </c>
      <c r="Y632" s="2921">
        <f t="shared" si="586"/>
        <v>1.7763568394002505E-15</v>
      </c>
      <c r="Z632" s="2921">
        <f t="shared" ref="Z632:AE632" si="587">ABS(Z631-Z630-Z629)</f>
        <v>0</v>
      </c>
      <c r="AA632" s="2921">
        <f t="shared" si="587"/>
        <v>1.9999999997466489E-5</v>
      </c>
      <c r="AB632" s="2921">
        <f t="shared" si="587"/>
        <v>9.9999999960687092E-6</v>
      </c>
      <c r="AC632" s="2921">
        <f t="shared" si="587"/>
        <v>0</v>
      </c>
      <c r="AD632" s="2921">
        <f t="shared" si="587"/>
        <v>0</v>
      </c>
      <c r="AE632" s="2921">
        <f t="shared" si="587"/>
        <v>0</v>
      </c>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row>
    <row r="633" spans="1:113">
      <c r="F633" s="1023"/>
      <c r="Q633" s="699"/>
      <c r="R633" s="699"/>
      <c r="S633" s="699"/>
      <c r="AB633" s="2221"/>
      <c r="AC633" s="2221"/>
      <c r="AD633" s="2221"/>
      <c r="AE633" s="2221"/>
    </row>
    <row r="634" spans="1:113" ht="12.75" customHeight="1">
      <c r="B634" s="664"/>
      <c r="C634" s="774"/>
      <c r="D634" s="858"/>
      <c r="E634" s="859" t="s">
        <v>1337</v>
      </c>
      <c r="F634" s="860"/>
      <c r="G634" s="861">
        <f>+InputY!$G$3</f>
        <v>1995</v>
      </c>
      <c r="H634" s="861">
        <f>+G634+1</f>
        <v>1996</v>
      </c>
      <c r="I634" s="861">
        <f t="shared" ref="I634:O634" si="588">+H634+1</f>
        <v>1997</v>
      </c>
      <c r="J634" s="861">
        <f t="shared" si="588"/>
        <v>1998</v>
      </c>
      <c r="K634" s="861">
        <f>+J634+1</f>
        <v>1999</v>
      </c>
      <c r="L634" s="861">
        <f t="shared" si="588"/>
        <v>2000</v>
      </c>
      <c r="M634" s="861">
        <f t="shared" si="588"/>
        <v>2001</v>
      </c>
      <c r="N634" s="861">
        <f t="shared" si="588"/>
        <v>2002</v>
      </c>
      <c r="O634" s="861">
        <f t="shared" si="588"/>
        <v>2003</v>
      </c>
      <c r="P634" s="861">
        <f t="shared" ref="P634:U634" si="589">+O634+1</f>
        <v>2004</v>
      </c>
      <c r="Q634" s="861">
        <f t="shared" si="589"/>
        <v>2005</v>
      </c>
      <c r="R634" s="861">
        <f>+Q634+1</f>
        <v>2006</v>
      </c>
      <c r="S634" s="861">
        <f>+R634+1</f>
        <v>2007</v>
      </c>
      <c r="T634" s="2216">
        <f t="shared" si="589"/>
        <v>2008</v>
      </c>
      <c r="U634" s="2216">
        <f t="shared" si="589"/>
        <v>2009</v>
      </c>
      <c r="V634" s="2216">
        <f t="shared" ref="V634:AE634" si="590">+U634+1</f>
        <v>2010</v>
      </c>
      <c r="W634" s="2216">
        <f t="shared" si="590"/>
        <v>2011</v>
      </c>
      <c r="X634" s="2216">
        <f t="shared" si="590"/>
        <v>2012</v>
      </c>
      <c r="Y634" s="2216">
        <f t="shared" si="590"/>
        <v>2013</v>
      </c>
      <c r="Z634" s="2216">
        <f t="shared" si="590"/>
        <v>2014</v>
      </c>
      <c r="AA634" s="2216">
        <f t="shared" si="590"/>
        <v>2015</v>
      </c>
      <c r="AB634" s="2216">
        <f t="shared" si="590"/>
        <v>2016</v>
      </c>
      <c r="AC634" s="2216">
        <f t="shared" si="590"/>
        <v>2017</v>
      </c>
      <c r="AD634" s="2216">
        <f t="shared" si="590"/>
        <v>2018</v>
      </c>
      <c r="AE634" s="2216">
        <f t="shared" si="590"/>
        <v>2019</v>
      </c>
    </row>
    <row r="635" spans="1:113" ht="12.75" customHeight="1">
      <c r="B635" s="664"/>
      <c r="C635" s="1873" t="s">
        <v>1767</v>
      </c>
      <c r="D635" s="863" t="s">
        <v>687</v>
      </c>
      <c r="E635" s="1888" t="s">
        <v>1381</v>
      </c>
      <c r="F635" s="865" t="s">
        <v>1801</v>
      </c>
      <c r="G635" s="1892">
        <f>+G624/'VVP2'!G$341</f>
        <v>0.12030863426376097</v>
      </c>
      <c r="H635" s="1892">
        <f>+H624/'VVP2'!H$341</f>
        <v>0.11567867492266437</v>
      </c>
      <c r="I635" s="1892">
        <f>+I624/'VVP2'!I$341</f>
        <v>0.13524087496609616</v>
      </c>
      <c r="J635" s="1892">
        <f>+J624/'VVP2'!J$341</f>
        <v>0.13784637642874037</v>
      </c>
      <c r="K635" s="1892">
        <f>+K624/'VVP2'!K$341</f>
        <v>0.13715772713828106</v>
      </c>
      <c r="L635" s="1892">
        <f>+L624/'VVP2'!L$341</f>
        <v>0.12511875214127877</v>
      </c>
      <c r="M635" s="1892">
        <f>+M624/'VVP2'!M$341</f>
        <v>0.1218308192175572</v>
      </c>
      <c r="N635" s="1892">
        <f>+N624/'VVP2'!N$341</f>
        <v>0.1238915233812015</v>
      </c>
      <c r="O635" s="1892">
        <f>+O624/'VVP2'!O$341</f>
        <v>0.11642873255389814</v>
      </c>
      <c r="P635" s="1892">
        <f>+P624/'VVP2'!P$341</f>
        <v>0.11178699969075083</v>
      </c>
      <c r="Q635" s="1892">
        <f>+Q624/'VVP2'!Q$341</f>
        <v>0.11210935919075722</v>
      </c>
      <c r="R635" s="1892">
        <f>+R624/'VVP2'!R$341</f>
        <v>0.11310476519549252</v>
      </c>
      <c r="S635" s="1892">
        <f>+S624/'VVP2'!S$341</f>
        <v>0.11629728800929455</v>
      </c>
      <c r="T635" s="2862">
        <f>+T624/'VVP2'!T$341</f>
        <v>0.11593795991470589</v>
      </c>
      <c r="U635" s="2862">
        <f>+U624/'VVP2'!U$341</f>
        <v>0.11562876603593417</v>
      </c>
      <c r="V635" s="2862">
        <f>+V624/'VVP2'!V$341</f>
        <v>0.11842801004436333</v>
      </c>
      <c r="W635" s="2862">
        <f>+W624/'VVP2'!W$341</f>
        <v>0.11602119498697375</v>
      </c>
      <c r="X635" s="2862">
        <f>+X624/'VVP2'!X$341</f>
        <v>0.11167135653559022</v>
      </c>
      <c r="Y635" s="2862">
        <f>+Y624/'VVP2'!Y$341</f>
        <v>0.10987924650275388</v>
      </c>
      <c r="Z635" s="2862">
        <f>+Z624/'VVP2'!Z$341</f>
        <v>0.11155952645298055</v>
      </c>
      <c r="AA635" s="2862">
        <f>+AA624/'VVP2'!AA$341</f>
        <v>0.11605726513836011</v>
      </c>
      <c r="AB635" s="2862">
        <f>+AB624/'VVP2'!AB$341</f>
        <v>0.11722153949279411</v>
      </c>
      <c r="AC635" s="2862">
        <f ca="1">+AC624/'VVP2'!AC$341</f>
        <v>0.11795197422789411</v>
      </c>
      <c r="AD635" s="2862">
        <f ca="1">+AD624/'VVP2'!AD$341</f>
        <v>0.11865878778518013</v>
      </c>
      <c r="AE635" s="2862">
        <f ca="1">+AE624/'VVP2'!AE$341</f>
        <v>0.11870945245536141</v>
      </c>
    </row>
    <row r="636" spans="1:113" ht="12.75" customHeight="1">
      <c r="B636" s="664"/>
      <c r="C636" s="1874" t="s">
        <v>1767</v>
      </c>
      <c r="D636" s="674" t="s">
        <v>687</v>
      </c>
      <c r="E636" s="706" t="s">
        <v>614</v>
      </c>
      <c r="F636" s="704" t="s">
        <v>1803</v>
      </c>
      <c r="G636" s="839">
        <f>+G625/'VVP2'!G$341</f>
        <v>8.4077207506442778E-2</v>
      </c>
      <c r="H636" s="839">
        <f>+H625/'VVP2'!H$341</f>
        <v>8.0026559194576991E-2</v>
      </c>
      <c r="I636" s="839">
        <f>+I625/'VVP2'!I$341</f>
        <v>8.7442875249267762E-2</v>
      </c>
      <c r="J636" s="839">
        <f>+J625/'VVP2'!J$341</f>
        <v>8.9878175021271767E-2</v>
      </c>
      <c r="K636" s="839">
        <f>+K625/'VVP2'!K$341</f>
        <v>9.1221106223371762E-2</v>
      </c>
      <c r="L636" s="839">
        <f>+L625/'VVP2'!L$341</f>
        <v>8.3668831508851613E-2</v>
      </c>
      <c r="M636" s="839">
        <f>+M625/'VVP2'!M$341</f>
        <v>7.7598256228459991E-2</v>
      </c>
      <c r="N636" s="839">
        <f>+N625/'VVP2'!N$341</f>
        <v>7.420980031140291E-2</v>
      </c>
      <c r="O636" s="839">
        <f>+O625/'VVP2'!O$341</f>
        <v>7.8817024707711805E-2</v>
      </c>
      <c r="P636" s="839">
        <f>+P625/'VVP2'!P$341</f>
        <v>8.6577159864281286E-2</v>
      </c>
      <c r="Q636" s="839">
        <f>+Q625/'VVP2'!Q$341</f>
        <v>8.9441419650658133E-2</v>
      </c>
      <c r="R636" s="839">
        <f>+R625/'VVP2'!R$341</f>
        <v>9.549619214607806E-2</v>
      </c>
      <c r="S636" s="839">
        <f>+S625/'VVP2'!S$341</f>
        <v>9.0689743277184473E-2</v>
      </c>
      <c r="T636" s="2262">
        <f>+T625/'VVP2'!T$341</f>
        <v>9.2261260302395245E-2</v>
      </c>
      <c r="U636" s="2262">
        <f>+U625/'VVP2'!U$341</f>
        <v>5.9339917623358905E-2</v>
      </c>
      <c r="V636" s="2262">
        <f>+V625/'VVP2'!V$341</f>
        <v>4.617046160828267E-2</v>
      </c>
      <c r="W636" s="2262">
        <f>+W625/'VVP2'!W$341</f>
        <v>4.3455350736619158E-2</v>
      </c>
      <c r="X636" s="2262">
        <f>+X625/'VVP2'!X$341</f>
        <v>4.8204595831654096E-2</v>
      </c>
      <c r="Y636" s="2262">
        <f>+Y625/'VVP2'!Y$341</f>
        <v>4.9662682549739483E-2</v>
      </c>
      <c r="Z636" s="2262">
        <f>+Z625/'VVP2'!Z$341</f>
        <v>5.0227410203597216E-2</v>
      </c>
      <c r="AA636" s="2262">
        <f>+AA625/'VVP2'!AA$341</f>
        <v>5.429799813555114E-2</v>
      </c>
      <c r="AB636" s="2262">
        <f>+AB625/'VVP2'!AB$341</f>
        <v>5.6751883712558501E-2</v>
      </c>
      <c r="AC636" s="2262">
        <f ca="1">+AC625/'VVP2'!AC$341</f>
        <v>5.5418425907745789E-2</v>
      </c>
      <c r="AD636" s="2262">
        <f ca="1">+AD625/'VVP2'!AD$341</f>
        <v>5.4161588035872024E-2</v>
      </c>
      <c r="AE636" s="2262">
        <f ca="1">+AE625/'VVP2'!AE$341</f>
        <v>5.4110985555718596E-2</v>
      </c>
    </row>
    <row r="637" spans="1:113" ht="12.75" customHeight="1">
      <c r="B637" s="664"/>
      <c r="C637" s="1874" t="s">
        <v>1767</v>
      </c>
      <c r="D637" s="674" t="s">
        <v>687</v>
      </c>
      <c r="E637" s="706" t="s">
        <v>567</v>
      </c>
      <c r="F637" s="704" t="s">
        <v>1805</v>
      </c>
      <c r="G637" s="839">
        <f>+G626/'VVP2'!G$341</f>
        <v>7.2179513763228439E-2</v>
      </c>
      <c r="H637" s="839">
        <f>+H626/'VVP2'!H$341</f>
        <v>7.7028870256275639E-2</v>
      </c>
      <c r="I637" s="839">
        <f>+I626/'VVP2'!I$341</f>
        <v>8.9937685191661107E-2</v>
      </c>
      <c r="J637" s="839">
        <f>+J626/'VVP2'!J$341</f>
        <v>0.10006634945891402</v>
      </c>
      <c r="K637" s="839">
        <f>+K626/'VVP2'!K$341</f>
        <v>0.10126037595735708</v>
      </c>
      <c r="L637" s="839">
        <f>+L626/'VVP2'!L$341</f>
        <v>0.10209991188030082</v>
      </c>
      <c r="M637" s="839">
        <f>+M626/'VVP2'!M$341</f>
        <v>9.7157917280753417E-2</v>
      </c>
      <c r="N637" s="839">
        <f>+N626/'VVP2'!N$341</f>
        <v>9.3750431681792798E-2</v>
      </c>
      <c r="O637" s="839">
        <f>+O626/'VVP2'!O$341</f>
        <v>9.2125976693735734E-2</v>
      </c>
      <c r="P637" s="839">
        <f>+P626/'VVP2'!P$341</f>
        <v>9.4107158131608554E-2</v>
      </c>
      <c r="Q637" s="839">
        <f>+Q626/'VVP2'!Q$341</f>
        <v>9.1707356557718556E-2</v>
      </c>
      <c r="R637" s="839">
        <f>+R626/'VVP2'!R$341</f>
        <v>9.4266914404892529E-2</v>
      </c>
      <c r="S637" s="839">
        <f>+S626/'VVP2'!S$341</f>
        <v>9.4239593728241713E-2</v>
      </c>
      <c r="T637" s="2262">
        <f>+T626/'VVP2'!T$341</f>
        <v>9.8680033324892003E-2</v>
      </c>
      <c r="U637" s="2262">
        <f>+U626/'VVP2'!U$341</f>
        <v>0.13073523416900504</v>
      </c>
      <c r="V637" s="2262">
        <f>+V626/'VVP2'!V$341</f>
        <v>0.12125450358681389</v>
      </c>
      <c r="W637" s="2262">
        <f>+W626/'VVP2'!W$341</f>
        <v>0.11457564622839989</v>
      </c>
      <c r="X637" s="2262">
        <f>+X626/'VVP2'!X$341</f>
        <v>0.11171363732320033</v>
      </c>
      <c r="Y637" s="2262">
        <f>+Y626/'VVP2'!Y$341</f>
        <v>0.11134979898254128</v>
      </c>
      <c r="Z637" s="2262">
        <f>+Z626/'VVP2'!Z$341</f>
        <v>0.11413525601969794</v>
      </c>
      <c r="AA637" s="2262">
        <f>+AA626/'VVP2'!AA$341</f>
        <v>0.11906875883228538</v>
      </c>
      <c r="AB637" s="2262">
        <f>+AB626/'VVP2'!AB$341</f>
        <v>0.1252730917712484</v>
      </c>
      <c r="AC637" s="2262">
        <f ca="1">+AC626/'VVP2'!AC$341</f>
        <v>0.13030776255255688</v>
      </c>
      <c r="AD637" s="2262">
        <f ca="1">+AD626/'VVP2'!AD$341</f>
        <v>0.1313902407030883</v>
      </c>
      <c r="AE637" s="2262">
        <f ca="1">+AE626/'VVP2'!AE$341</f>
        <v>0.13158718982402046</v>
      </c>
    </row>
    <row r="638" spans="1:113" ht="12.75" customHeight="1">
      <c r="B638" s="664"/>
      <c r="C638" s="1874" t="s">
        <v>1767</v>
      </c>
      <c r="D638" s="674" t="s">
        <v>687</v>
      </c>
      <c r="E638" s="706" t="s">
        <v>770</v>
      </c>
      <c r="F638" s="704"/>
      <c r="G638" s="839">
        <f>+G627/'VVP2'!G$341</f>
        <v>8.6135284428033639E-3</v>
      </c>
      <c r="H638" s="839">
        <f>+H627/'VVP2'!H$341</f>
        <v>8.7768873241611464E-3</v>
      </c>
      <c r="I638" s="839">
        <f>+I627/'VVP2'!I$341</f>
        <v>1.4735157799927331E-2</v>
      </c>
      <c r="J638" s="839">
        <f>+J627/'VVP2'!J$341</f>
        <v>1.3107089869727752E-2</v>
      </c>
      <c r="K638" s="839">
        <f>+K627/'VVP2'!K$341</f>
        <v>1.9413030754998395E-2</v>
      </c>
      <c r="L638" s="839">
        <f>+L627/'VVP2'!L$341</f>
        <v>1.6944714987380479E-2</v>
      </c>
      <c r="M638" s="839">
        <f>+M627/'VVP2'!M$341</f>
        <v>9.9827257279569859E-3</v>
      </c>
      <c r="N638" s="839">
        <f>+N627/'VVP2'!N$341</f>
        <v>1.3951297742361781E-2</v>
      </c>
      <c r="O638" s="839">
        <f>+O627/'VVP2'!O$341</f>
        <v>1.4237650943577341E-2</v>
      </c>
      <c r="P638" s="839">
        <f>+P627/'VVP2'!P$341</f>
        <v>1.4342801622132591E-2</v>
      </c>
      <c r="Q638" s="839">
        <f>+Q627/'VVP2'!Q$341</f>
        <v>1.7309015419703033E-2</v>
      </c>
      <c r="R638" s="839">
        <f>+R627/'VVP2'!R$341</f>
        <v>1.3190233222227664E-2</v>
      </c>
      <c r="S638" s="839">
        <f>+S627/'VVP2'!S$341</f>
        <v>1.4520675494289731E-2</v>
      </c>
      <c r="T638" s="2262">
        <f>+T627/'VVP2'!T$341</f>
        <v>1.7780616021149807E-2</v>
      </c>
      <c r="U638" s="2262">
        <f>+U627/'VVP2'!U$341</f>
        <v>2.1180390290337938E-2</v>
      </c>
      <c r="V638" s="2262">
        <f>+V627/'VVP2'!V$341</f>
        <v>2.1698921708055544E-2</v>
      </c>
      <c r="W638" s="2262">
        <f>+W627/'VVP2'!W$341</f>
        <v>1.7780153808178462E-2</v>
      </c>
      <c r="X638" s="2262">
        <f>+X627/'VVP2'!X$341</f>
        <v>1.8522883201873067E-2</v>
      </c>
      <c r="Y638" s="2262">
        <f>+Y627/'VVP2'!Y$341</f>
        <v>2.0294253517984303E-2</v>
      </c>
      <c r="Z638" s="2262">
        <f>+Z627/'VVP2'!Z$341</f>
        <v>2.0791243121087453E-2</v>
      </c>
      <c r="AA638" s="2262">
        <f>+AA627/'VVP2'!AA$341</f>
        <v>2.0536725073417011E-2</v>
      </c>
      <c r="AB638" s="2262">
        <f>+AB627/'VVP2'!AB$341</f>
        <v>2.0696011618813539E-2</v>
      </c>
      <c r="AC638" s="2262">
        <f ca="1">+AC627/'VVP2'!AC$341</f>
        <v>1.9633675293229153E-2</v>
      </c>
      <c r="AD638" s="2262">
        <f ca="1">+AD627/'VVP2'!AD$341</f>
        <v>1.901751951839447E-2</v>
      </c>
      <c r="AE638" s="2262">
        <f ca="1">+AE627/'VVP2'!AE$341</f>
        <v>1.8463651885708279E-2</v>
      </c>
    </row>
    <row r="639" spans="1:113" ht="12.75" customHeight="1">
      <c r="B639" s="664"/>
      <c r="C639" s="1874" t="s">
        <v>1767</v>
      </c>
      <c r="D639" s="674" t="s">
        <v>687</v>
      </c>
      <c r="E639" s="706" t="s">
        <v>790</v>
      </c>
      <c r="F639" s="704" t="s">
        <v>2008</v>
      </c>
      <c r="G639" s="839">
        <f>+G628/'VVP2'!G$341</f>
        <v>4.5138598215217152E-2</v>
      </c>
      <c r="H639" s="839">
        <f>+H628/'VVP2'!H$341</f>
        <v>5.1568073377495707E-2</v>
      </c>
      <c r="I639" s="839">
        <f>+I628/'VVP2'!I$341</f>
        <v>5.7612624676527634E-2</v>
      </c>
      <c r="J639" s="839">
        <f>+J628/'VVP2'!J$341</f>
        <v>4.0537676355940265E-2</v>
      </c>
      <c r="K639" s="839">
        <f>+K628/'VVP2'!K$341</f>
        <v>3.0216927520909247E-2</v>
      </c>
      <c r="L639" s="839">
        <f>+L628/'VVP2'!L$341</f>
        <v>3.6349001883577273E-2</v>
      </c>
      <c r="M639" s="839">
        <f>+M628/'VVP2'!M$341</f>
        <v>3.1151458450162456E-2</v>
      </c>
      <c r="N639" s="839">
        <f>+N628/'VVP2'!N$341</f>
        <v>2.4096559899014415E-2</v>
      </c>
      <c r="O639" s="839">
        <f>+O628/'VVP2'!O$341</f>
        <v>1.8331005586592179E-2</v>
      </c>
      <c r="P639" s="839">
        <f>+P628/'VVP2'!P$341</f>
        <v>1.5664238731595836E-2</v>
      </c>
      <c r="Q639" s="839">
        <f>+Q628/'VVP2'!Q$341</f>
        <v>1.9187376650708136E-2</v>
      </c>
      <c r="R639" s="839">
        <f>+R628/'VVP2'!R$341</f>
        <v>1.4702743199726901E-2</v>
      </c>
      <c r="S639" s="839">
        <f>+S628/'VVP2'!S$341</f>
        <v>1.4427358055911953E-2</v>
      </c>
      <c r="T639" s="2262">
        <f>+T628/'VVP2'!T$341</f>
        <v>1.4936867435683813E-2</v>
      </c>
      <c r="U639" s="2262">
        <f>+U628/'VVP2'!U$341</f>
        <v>1.6298976566392499E-2</v>
      </c>
      <c r="V639" s="2262">
        <f>+V628/'VVP2'!V$341</f>
        <v>2.1179791677221716E-2</v>
      </c>
      <c r="W639" s="2262">
        <f>+W628/'VVP2'!W$341</f>
        <v>2.1523360912054614E-2</v>
      </c>
      <c r="X639" s="2262">
        <f>+X628/'VVP2'!X$341</f>
        <v>2.0392833496459206E-2</v>
      </c>
      <c r="Y639" s="2262">
        <f>+Y628/'VVP2'!Y$341</f>
        <v>1.6983007552993236E-2</v>
      </c>
      <c r="Z639" s="2262">
        <f>+Z628/'VVP2'!Z$341</f>
        <v>1.6345040018289073E-2</v>
      </c>
      <c r="AA639" s="2262">
        <f>+AA628/'VVP2'!AA$341</f>
        <v>1.8008310130145366E-2</v>
      </c>
      <c r="AB639" s="2262">
        <f>+AB628/'VVP2'!AB$341</f>
        <v>1.6674631843328076E-2</v>
      </c>
      <c r="AC639" s="2262">
        <f ca="1">+AC628/'VVP2'!AC$341</f>
        <v>1.6932682325474631E-2</v>
      </c>
      <c r="AD639" s="2262">
        <f ca="1">+AD628/'VVP2'!AD$341</f>
        <v>1.7434819590218212E-2</v>
      </c>
      <c r="AE639" s="2262">
        <f ca="1">+AE628/'VVP2'!AE$341</f>
        <v>1.7790344561994343E-2</v>
      </c>
    </row>
    <row r="640" spans="1:113" ht="12.75" customHeight="1">
      <c r="B640" s="664"/>
      <c r="C640" s="1874" t="s">
        <v>1769</v>
      </c>
      <c r="D640" s="806" t="s">
        <v>687</v>
      </c>
      <c r="E640" s="809" t="s">
        <v>158</v>
      </c>
      <c r="F640" s="808" t="s">
        <v>160</v>
      </c>
      <c r="G640" s="841">
        <f>+G629/'VVP2'!G$341</f>
        <v>0.33031748219145268</v>
      </c>
      <c r="H640" s="841">
        <f>+H629/'VVP2'!H$341</f>
        <v>0.33307906507517382</v>
      </c>
      <c r="I640" s="841">
        <f>+I629/'VVP2'!I$341</f>
        <v>0.38496921788348004</v>
      </c>
      <c r="J640" s="841">
        <f>+J629/'VVP2'!J$341</f>
        <v>0.38143566713459415</v>
      </c>
      <c r="K640" s="841">
        <f>+K629/'VVP2'!K$341</f>
        <v>0.37926916759491758</v>
      </c>
      <c r="L640" s="841">
        <f>+L629/'VVP2'!L$341</f>
        <v>0.36418121240138895</v>
      </c>
      <c r="M640" s="841">
        <f>+M629/'VVP2'!M$341</f>
        <v>0.33772117690489001</v>
      </c>
      <c r="N640" s="841">
        <f>+N629/'VVP2'!N$341</f>
        <v>0.32989961301577336</v>
      </c>
      <c r="O640" s="841">
        <f>+O629/'VVP2'!O$341</f>
        <v>0.31994039048551526</v>
      </c>
      <c r="P640" s="841">
        <f>+P629/'VVP2'!P$341</f>
        <v>0.32247835804036912</v>
      </c>
      <c r="Q640" s="841">
        <f>+Q629/'VVP2'!Q$341</f>
        <v>0.32975452746954509</v>
      </c>
      <c r="R640" s="841">
        <f>+R629/'VVP2'!R$341</f>
        <v>0.33076084816841772</v>
      </c>
      <c r="S640" s="841">
        <f>+S629/'VVP2'!S$341</f>
        <v>0.3301746585649224</v>
      </c>
      <c r="T640" s="2264">
        <f>+T629/'VVP2'!T$341</f>
        <v>0.3395967369988267</v>
      </c>
      <c r="U640" s="2264">
        <f>+U629/'VVP2'!U$341</f>
        <v>0.34318328468502851</v>
      </c>
      <c r="V640" s="2264">
        <f>+V629/'VVP2'!V$341</f>
        <v>0.32873168862473712</v>
      </c>
      <c r="W640" s="2264">
        <f>+W629/'VVP2'!W$341</f>
        <v>0.31335570667222584</v>
      </c>
      <c r="X640" s="2264">
        <f>+X629/'VVP2'!X$341</f>
        <v>0.31050530638877694</v>
      </c>
      <c r="Y640" s="2264">
        <f>+Y629/'VVP2'!Y$341</f>
        <v>0.30816898910601215</v>
      </c>
      <c r="Z640" s="2264">
        <f>+Z629/'VVP2'!Z$341</f>
        <v>0.31305847581565222</v>
      </c>
      <c r="AA640" s="2264">
        <f>+AA629/'VVP2'!AA$341</f>
        <v>0.32796905730975906</v>
      </c>
      <c r="AB640" s="2264">
        <f>+AB629/'VVP2'!AB$341</f>
        <v>0.33661715843874268</v>
      </c>
      <c r="AC640" s="2264">
        <f ca="1">+AC629/'VVP2'!AC$341</f>
        <v>0.34024452030690061</v>
      </c>
      <c r="AD640" s="2264">
        <f ca="1">+AD629/'VVP2'!AD$341</f>
        <v>0.34066295563275312</v>
      </c>
      <c r="AE640" s="2264">
        <f ca="1">+AE629/'VVP2'!AE$341</f>
        <v>0.34066162428280311</v>
      </c>
    </row>
    <row r="641" spans="1:113" s="884" customFormat="1" ht="12.75" customHeight="1">
      <c r="A641" s="663"/>
      <c r="B641" s="664"/>
      <c r="C641" s="1875" t="s">
        <v>1767</v>
      </c>
      <c r="D641" s="1889" t="s">
        <v>687</v>
      </c>
      <c r="E641" s="1890" t="s">
        <v>1479</v>
      </c>
      <c r="F641" s="1891" t="s">
        <v>162</v>
      </c>
      <c r="G641" s="1878">
        <f>+G630/'VVP2'!G$341</f>
        <v>0</v>
      </c>
      <c r="H641" s="1878">
        <f>+H630/'VVP2'!H$341</f>
        <v>0</v>
      </c>
      <c r="I641" s="1878">
        <f>+I630/'VVP2'!I$341</f>
        <v>1.9617308948734002E-4</v>
      </c>
      <c r="J641" s="1878">
        <f>+J630/'VVP2'!J$341</f>
        <v>3.6092876955542796E-5</v>
      </c>
      <c r="K641" s="1878">
        <f>+K630/'VVP2'!K$341</f>
        <v>9.3533080345624007E-4</v>
      </c>
      <c r="L641" s="1878">
        <f>+L630/'VVP2'!L$341</f>
        <v>-2.0833052816464168E-3</v>
      </c>
      <c r="M641" s="1878">
        <f>+M630/'VVP2'!M$341</f>
        <v>-2.0747443379557744E-3</v>
      </c>
      <c r="N641" s="1878">
        <f>+N630/'VVP2'!N$341</f>
        <v>3.019305796475108E-3</v>
      </c>
      <c r="O641" s="1878">
        <f>+O630/'VVP2'!O$341</f>
        <v>3.2036514427230319E-3</v>
      </c>
      <c r="P641" s="1878">
        <f>+P630/'VVP2'!P$341</f>
        <v>3.9582798727033864E-3</v>
      </c>
      <c r="Q641" s="1878">
        <f>+Q630/'VVP2'!Q$341</f>
        <v>7.6043871281070933E-3</v>
      </c>
      <c r="R641" s="1878">
        <f>+R630/'VVP2'!R$341</f>
        <v>9.6236665866528664E-3</v>
      </c>
      <c r="S641" s="1878">
        <f>+S630/'VVP2'!S$341</f>
        <v>1.4230048490633479E-2</v>
      </c>
      <c r="T641" s="2863">
        <f>+T630/'VVP2'!T$341</f>
        <v>1.0482232229476871E-2</v>
      </c>
      <c r="U641" s="2863">
        <f>+U630/'VVP2'!U$341</f>
        <v>1.4643498638565249E-2</v>
      </c>
      <c r="V641" s="2863">
        <f>+V630/'VVP2'!V$341</f>
        <v>2.5250056551278273E-2</v>
      </c>
      <c r="W641" s="2863">
        <f>+W630/'VVP2'!W$341</f>
        <v>2.1976114073333223E-2</v>
      </c>
      <c r="X641" s="2863">
        <f>+X630/'VVP2'!X$341</f>
        <v>1.906263793732128E-2</v>
      </c>
      <c r="Y641" s="2863">
        <f>+Y630/'VVP2'!Y$341</f>
        <v>2.0661248038810451E-2</v>
      </c>
      <c r="Z641" s="2863">
        <f>+Z630/'VVP2'!Z$341</f>
        <v>2.7153861215238998E-2</v>
      </c>
      <c r="AA641" s="2863">
        <f>+AA630/'VVP2'!AA$341</f>
        <v>1.8470815283564285E-2</v>
      </c>
      <c r="AB641" s="2863">
        <f>+AB630/'VVP2'!AB$341</f>
        <v>8.108705007096248E-3</v>
      </c>
      <c r="AC641" s="2863">
        <f ca="1">+AC630/'VVP2'!AC$341</f>
        <v>7.3486638822307876E-3</v>
      </c>
      <c r="AD641" s="2863">
        <f ca="1">+AD630/'VVP2'!AD$341</f>
        <v>8.101647733804597E-3</v>
      </c>
      <c r="AE641" s="2863">
        <f ca="1">+AE630/'VVP2'!AE$341</f>
        <v>7.8327843875522947E-3</v>
      </c>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row>
    <row r="642" spans="1:113" ht="12.75" customHeight="1">
      <c r="B642" s="664"/>
      <c r="C642" s="774" t="s">
        <v>1769</v>
      </c>
      <c r="D642" s="806" t="s">
        <v>687</v>
      </c>
      <c r="E642" s="809" t="s">
        <v>1337</v>
      </c>
      <c r="F642" s="808"/>
      <c r="G642" s="841">
        <f>+G631/'VVP2'!G$341</f>
        <v>0.33031877009941357</v>
      </c>
      <c r="H642" s="841">
        <f>+H631/'VVP2'!H$341</f>
        <v>0.33307906507517387</v>
      </c>
      <c r="I642" s="841">
        <f>+I631/'VVP2'!I$341</f>
        <v>0.38516539097296737</v>
      </c>
      <c r="J642" s="841">
        <f>+J631/'VVP2'!J$341</f>
        <v>0.381472527945102</v>
      </c>
      <c r="K642" s="841">
        <f>+K631/'VVP2'!K$341</f>
        <v>0.38020449839837378</v>
      </c>
      <c r="L642" s="841">
        <f>+L631/'VVP2'!L$341</f>
        <v>0.3620994032097114</v>
      </c>
      <c r="M642" s="841">
        <f>+M631/'VVP2'!M$341</f>
        <v>0.33564643256693427</v>
      </c>
      <c r="N642" s="841">
        <f>+N631/'VVP2'!N$341</f>
        <v>0.33291957661307564</v>
      </c>
      <c r="O642" s="841">
        <f>+O631/'VVP2'!O$341</f>
        <v>0.32314464186296532</v>
      </c>
      <c r="P642" s="841">
        <f>+P631/'VVP2'!P$341</f>
        <v>0.32643718622722578</v>
      </c>
      <c r="Q642" s="841">
        <f>+Q631/'VVP2'!Q$341</f>
        <v>0.33735891459765216</v>
      </c>
      <c r="R642" s="841">
        <f>+R631/'VVP2'!R$341</f>
        <v>0.34038409945853637</v>
      </c>
      <c r="S642" s="841">
        <f>+S631/'VVP2'!S$341</f>
        <v>0.34440470705555593</v>
      </c>
      <c r="T642" s="2264">
        <f>+T631/'VVP2'!T$341</f>
        <v>0.35007896922830362</v>
      </c>
      <c r="U642" s="2264">
        <f>+U631/'VVP2'!U$341</f>
        <v>0.3578267833235938</v>
      </c>
      <c r="V642" s="2264">
        <f>+V631/'VVP2'!V$341</f>
        <v>0.35398174517601544</v>
      </c>
      <c r="W642" s="2264">
        <f>+W631/'VVP2'!W$341</f>
        <v>0.33533118126369293</v>
      </c>
      <c r="X642" s="2264">
        <f>+X631/'VVP2'!X$341</f>
        <v>0.32956794432609821</v>
      </c>
      <c r="Y642" s="2264">
        <f>+Y631/'VVP2'!Y$341</f>
        <v>0.32883023714482268</v>
      </c>
      <c r="Z642" s="2264">
        <f>+Z631/'VVP2'!Z$341</f>
        <v>0.34021233703089121</v>
      </c>
      <c r="AA642" s="2264">
        <f>+AA631/'VVP2'!AA$341</f>
        <v>0.34644040697247219</v>
      </c>
      <c r="AB642" s="2264">
        <f>+AB631/'VVP2'!AB$341</f>
        <v>0.34472612205547071</v>
      </c>
      <c r="AC642" s="2264">
        <f ca="1">+AC631/'VVP2'!AC$341</f>
        <v>0.34759318418913143</v>
      </c>
      <c r="AD642" s="2264">
        <f ca="1">+AD631/'VVP2'!AD$341</f>
        <v>0.34876460336655768</v>
      </c>
      <c r="AE642" s="2264">
        <f ca="1">+AE631/'VVP2'!AE$341</f>
        <v>0.34849440867035542</v>
      </c>
    </row>
    <row r="643" spans="1:113">
      <c r="F643" s="1023"/>
      <c r="Q643" s="699"/>
      <c r="R643" s="699"/>
      <c r="S643" s="699"/>
      <c r="AB643" s="2221"/>
      <c r="AC643" s="2221"/>
      <c r="AD643" s="2221"/>
      <c r="AE643" s="2221"/>
    </row>
    <row r="644" spans="1:113" ht="12.75" customHeight="1">
      <c r="A644" s="1131"/>
      <c r="B644" s="3171"/>
      <c r="C644" s="774"/>
      <c r="D644" s="775"/>
      <c r="E644" s="3270" t="s">
        <v>1224</v>
      </c>
      <c r="F644" s="777"/>
      <c r="G644" s="778">
        <f>+InputY!$G$3</f>
        <v>1995</v>
      </c>
      <c r="H644" s="778">
        <f>+G644+1</f>
        <v>1996</v>
      </c>
      <c r="I644" s="778">
        <f t="shared" ref="I644:W644" si="591">+H644+1</f>
        <v>1997</v>
      </c>
      <c r="J644" s="778">
        <f t="shared" si="591"/>
        <v>1998</v>
      </c>
      <c r="K644" s="778">
        <f>+J644+1</f>
        <v>1999</v>
      </c>
      <c r="L644" s="778">
        <f t="shared" si="591"/>
        <v>2000</v>
      </c>
      <c r="M644" s="778">
        <f t="shared" si="591"/>
        <v>2001</v>
      </c>
      <c r="N644" s="778">
        <f t="shared" si="591"/>
        <v>2002</v>
      </c>
      <c r="O644" s="778">
        <f t="shared" si="591"/>
        <v>2003</v>
      </c>
      <c r="P644" s="778">
        <f t="shared" si="591"/>
        <v>2004</v>
      </c>
      <c r="Q644" s="778">
        <f t="shared" si="591"/>
        <v>2005</v>
      </c>
      <c r="R644" s="778">
        <f t="shared" si="591"/>
        <v>2006</v>
      </c>
      <c r="S644" s="778">
        <f t="shared" si="591"/>
        <v>2007</v>
      </c>
      <c r="T644" s="2222">
        <f t="shared" si="591"/>
        <v>2008</v>
      </c>
      <c r="U644" s="2222">
        <f t="shared" si="591"/>
        <v>2009</v>
      </c>
      <c r="V644" s="2222">
        <f t="shared" si="591"/>
        <v>2010</v>
      </c>
      <c r="W644" s="2222">
        <f t="shared" si="591"/>
        <v>2011</v>
      </c>
      <c r="X644" s="2222">
        <f t="shared" ref="X644:AE644" si="592">+W644+1</f>
        <v>2012</v>
      </c>
      <c r="Y644" s="2222">
        <f t="shared" si="592"/>
        <v>2013</v>
      </c>
      <c r="Z644" s="2222">
        <f t="shared" si="592"/>
        <v>2014</v>
      </c>
      <c r="AA644" s="2222">
        <f t="shared" si="592"/>
        <v>2015</v>
      </c>
      <c r="AB644" s="2222">
        <f t="shared" si="592"/>
        <v>2016</v>
      </c>
      <c r="AC644" s="2222">
        <f t="shared" si="592"/>
        <v>2017</v>
      </c>
      <c r="AD644" s="2222">
        <f t="shared" si="592"/>
        <v>2018</v>
      </c>
      <c r="AE644" s="2222">
        <f t="shared" si="592"/>
        <v>2019</v>
      </c>
    </row>
    <row r="645" spans="1:113" ht="12.75" customHeight="1">
      <c r="A645" s="1131"/>
      <c r="B645" s="664"/>
      <c r="C645" s="779" t="s">
        <v>1767</v>
      </c>
      <c r="D645" s="668" t="s">
        <v>687</v>
      </c>
      <c r="E645" s="996" t="s">
        <v>1225</v>
      </c>
      <c r="F645" s="701"/>
      <c r="G645" s="780"/>
      <c r="H645" s="780"/>
      <c r="I645" s="780"/>
      <c r="J645" s="780"/>
      <c r="K645" s="780"/>
      <c r="L645" s="780"/>
      <c r="M645" s="780"/>
      <c r="N645" s="780"/>
      <c r="O645" s="780"/>
      <c r="P645" s="780"/>
      <c r="Q645" s="780"/>
      <c r="R645" s="780"/>
      <c r="S645" s="780"/>
      <c r="T645" s="780"/>
      <c r="U645"/>
      <c r="V645"/>
      <c r="W645"/>
      <c r="X645"/>
      <c r="Y645"/>
      <c r="Z645"/>
      <c r="AA645"/>
      <c r="AB645"/>
      <c r="AC645"/>
      <c r="AD645"/>
      <c r="AE645" s="3649"/>
    </row>
    <row r="646" spans="1:113" s="884" customFormat="1" ht="12.75" customHeight="1">
      <c r="A646" s="1131"/>
      <c r="B646" s="3368" t="s">
        <v>2423</v>
      </c>
      <c r="C646" s="842" t="s">
        <v>1767</v>
      </c>
      <c r="D646" s="890" t="s">
        <v>687</v>
      </c>
      <c r="E646" s="1438" t="s">
        <v>1226</v>
      </c>
      <c r="F646" s="1439"/>
      <c r="G646" s="1438"/>
      <c r="H646" s="1438"/>
      <c r="I646" s="1438"/>
      <c r="J646" s="1438"/>
      <c r="K646" s="1438"/>
      <c r="L646" s="1438"/>
      <c r="M646" s="1438"/>
      <c r="N646" s="1438"/>
      <c r="O646" s="1438"/>
      <c r="P646" s="1438"/>
      <c r="Q646" s="1438"/>
      <c r="R646" s="1438"/>
      <c r="S646" s="1438"/>
      <c r="T646" s="1438"/>
      <c r="U646"/>
      <c r="V646"/>
      <c r="W646"/>
      <c r="X646"/>
      <c r="Y646"/>
      <c r="Z646"/>
      <c r="AA646"/>
      <c r="AB646"/>
      <c r="AC646"/>
      <c r="AD646"/>
      <c r="AE646" s="3649"/>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row>
    <row r="647" spans="1:113">
      <c r="D647" s="837" t="s">
        <v>1793</v>
      </c>
      <c r="F647" s="1023"/>
      <c r="Q647" s="699"/>
      <c r="R647" s="699"/>
      <c r="S647" s="699"/>
      <c r="AB647" s="2221"/>
      <c r="AC647" s="2221"/>
      <c r="AD647" s="2221"/>
      <c r="AE647" s="2221"/>
    </row>
    <row r="648" spans="1:113">
      <c r="F648" s="1023"/>
      <c r="Q648" s="699"/>
      <c r="R648" s="699"/>
      <c r="S648" s="699"/>
      <c r="AB648" s="2221"/>
      <c r="AC648" s="2221"/>
      <c r="AD648" s="2221"/>
      <c r="AE648" s="2221"/>
    </row>
    <row r="649" spans="1:113" ht="12.75" customHeight="1">
      <c r="B649" s="664"/>
      <c r="C649" s="774"/>
      <c r="D649" s="858"/>
      <c r="E649" s="859" t="s">
        <v>1792</v>
      </c>
      <c r="F649" s="860"/>
      <c r="G649" s="861">
        <f>+InputY!$G$3</f>
        <v>1995</v>
      </c>
      <c r="H649" s="861">
        <f>+G649+1</f>
        <v>1996</v>
      </c>
      <c r="I649" s="861">
        <f t="shared" ref="I649:Q649" si="593">+H649+1</f>
        <v>1997</v>
      </c>
      <c r="J649" s="861">
        <f t="shared" si="593"/>
        <v>1998</v>
      </c>
      <c r="K649" s="861">
        <f>+J649+1</f>
        <v>1999</v>
      </c>
      <c r="L649" s="861">
        <f t="shared" si="593"/>
        <v>2000</v>
      </c>
      <c r="M649" s="861">
        <f t="shared" si="593"/>
        <v>2001</v>
      </c>
      <c r="N649" s="861">
        <f t="shared" si="593"/>
        <v>2002</v>
      </c>
      <c r="O649" s="861">
        <f t="shared" si="593"/>
        <v>2003</v>
      </c>
      <c r="P649" s="861">
        <f t="shared" si="593"/>
        <v>2004</v>
      </c>
      <c r="Q649" s="861">
        <f t="shared" si="593"/>
        <v>2005</v>
      </c>
      <c r="R649" s="861">
        <f t="shared" ref="R649:W649" si="594">+Q649+1</f>
        <v>2006</v>
      </c>
      <c r="S649" s="861">
        <f t="shared" si="594"/>
        <v>2007</v>
      </c>
      <c r="T649" s="2216">
        <f t="shared" si="594"/>
        <v>2008</v>
      </c>
      <c r="U649" s="2216">
        <f t="shared" si="594"/>
        <v>2009</v>
      </c>
      <c r="V649" s="2216">
        <f t="shared" si="594"/>
        <v>2010</v>
      </c>
      <c r="W649" s="2216">
        <f t="shared" si="594"/>
        <v>2011</v>
      </c>
      <c r="X649" s="2216">
        <f t="shared" ref="X649:AE649" si="595">+W649+1</f>
        <v>2012</v>
      </c>
      <c r="Y649" s="2216">
        <f t="shared" si="595"/>
        <v>2013</v>
      </c>
      <c r="Z649" s="2216">
        <f t="shared" si="595"/>
        <v>2014</v>
      </c>
      <c r="AA649" s="2216">
        <f t="shared" si="595"/>
        <v>2015</v>
      </c>
      <c r="AB649" s="2216">
        <f t="shared" si="595"/>
        <v>2016</v>
      </c>
      <c r="AC649" s="2216">
        <f t="shared" si="595"/>
        <v>2017</v>
      </c>
      <c r="AD649" s="2216">
        <f t="shared" si="595"/>
        <v>2018</v>
      </c>
      <c r="AE649" s="2216">
        <f t="shared" si="595"/>
        <v>2019</v>
      </c>
    </row>
    <row r="650" spans="1:113" ht="12.75" customHeight="1">
      <c r="B650" s="664"/>
      <c r="C650" s="1873" t="s">
        <v>1767</v>
      </c>
      <c r="D650" s="863" t="s">
        <v>687</v>
      </c>
      <c r="E650" s="1888" t="s">
        <v>1225</v>
      </c>
      <c r="F650" s="865"/>
      <c r="G650" s="1048"/>
      <c r="H650" s="1048"/>
      <c r="I650" s="1048"/>
      <c r="J650" s="1048"/>
      <c r="K650" s="1048"/>
      <c r="L650" s="1048"/>
      <c r="M650" s="1048"/>
      <c r="N650" s="1048"/>
      <c r="O650" s="1048"/>
      <c r="P650" s="1048"/>
      <c r="Q650" s="1048"/>
      <c r="R650" s="1048"/>
      <c r="S650" s="1048"/>
      <c r="T650" s="1048"/>
      <c r="U650" s="1048">
        <f>+U629-IF(Last_forecast_year-Sector1!U649=2,Sector1!U645,IF(Last_forecast_year-Sector1!U649=1,Sector1!U645+Sector1!T645,Sector1!U645+Sector1!T645+Sector1!S645))</f>
        <v>9.2435799999999997</v>
      </c>
      <c r="V650" s="1048">
        <f>+V629-IF(Last_forecast_year-Sector1!V649=2,Sector1!V645,IF(Last_forecast_year-Sector1!V649=1,Sector1!V645+Sector1!U645,Sector1!V645+Sector1!U645+Sector1!T645))</f>
        <v>9.2135800000000003</v>
      </c>
      <c r="W650" s="1048">
        <f>+W629-IF(Last_forecast_year-Sector1!W649=2,Sector1!W645,IF(Last_forecast_year-Sector1!W649=1,Sector1!W645+Sector1!V645,Sector1!W645+Sector1!V645+Sector1!U645))</f>
        <v>9.8002999999999982</v>
      </c>
      <c r="X650" s="1048">
        <f>+X629-IF(Last_forecast_year-Sector1!X649=2,Sector1!X645,IF(Last_forecast_year-Sector1!X649=1,Sector1!X645+Sector1!W645,Sector1!X645+Sector1!W645+Sector1!V645))</f>
        <v>10.354880000000001</v>
      </c>
      <c r="Y650" s="1048">
        <f>+Y629-IF(Last_forecast_year-Sector1!Y649=2,Sector1!Y645,IF(Last_forecast_year-Sector1!Y649=1,Sector1!Y645+Sector1!X645,Sector1!Y645+Sector1!X645+Sector1!W645))</f>
        <v>10.773479999999999</v>
      </c>
      <c r="Z650" s="1048">
        <f>+Z629-IF(Last_forecast_year-Sector1!Z649=2,Sector1!Z645,IF(Last_forecast_year-Sector1!Z649=1,Sector1!Z645+Sector1!Y645,Sector1!Z645+Sector1!Y645+Sector1!X645))</f>
        <v>11.44801</v>
      </c>
      <c r="AA650" s="1048">
        <f>+AA629-IF(Last_forecast_year-Sector1!AA649=2,Sector1!AA645,IF(Last_forecast_year-Sector1!AA649=1,Sector1!AA645+Sector1!Z645,Sector1!AA645+Sector1!Z645+Sector1!Y645))</f>
        <v>12.274770000000002</v>
      </c>
      <c r="AB650" s="1048">
        <f>+AB629-IF(Last_forecast_year-Sector1!AB649=2,Sector1!AB645,IF(Last_forecast_year-Sector1!AB649=1,Sector1!AB645+Sector1!AA645,Sector1!AB645+Sector1!AA645+Sector1!Z645))</f>
        <v>13.016420000000004</v>
      </c>
      <c r="AC650" s="1048">
        <f>+AC629-IF(Last_forecast_year-Sector1!AC649=2,Sector1!AC645,IF(Last_forecast_year-Sector1!AC649=1,Sector1!AC645+Sector1!AB645,Sector1!AC645+Sector1!AB645+Sector1!AA645))</f>
        <v>14.215278222780634</v>
      </c>
      <c r="AD650" s="1048">
        <f>+AD629-IF(Last_forecast_year-Sector1!AD649=2,Sector1!AD645,IF(Last_forecast_year-Sector1!AD649=1,Sector1!AD645+Sector1!AC645,Sector1!AD645+Sector1!AC645+Sector1!AB645))</f>
        <v>15.061240161066149</v>
      </c>
      <c r="AE650" s="1048">
        <f>+AE629-IF(Last_forecast_year-Sector1!AE649=2,Sector1!AE645,IF(Last_forecast_year-Sector1!AE649=1,Sector1!AE645+Sector1!AD645,Sector1!AE645+Sector1!AD645+Sector1!AC645))</f>
        <v>15.900807104354294</v>
      </c>
    </row>
    <row r="651" spans="1:113" s="884" customFormat="1" ht="12.75" customHeight="1">
      <c r="A651" s="663"/>
      <c r="B651" s="664"/>
      <c r="C651" s="1875" t="s">
        <v>1767</v>
      </c>
      <c r="D651" s="1889" t="s">
        <v>687</v>
      </c>
      <c r="E651" s="1890" t="s">
        <v>1226</v>
      </c>
      <c r="F651" s="1891"/>
      <c r="G651" s="1660"/>
      <c r="H651" s="1660"/>
      <c r="I651" s="1660"/>
      <c r="J651" s="1660"/>
      <c r="K651" s="1660"/>
      <c r="L651" s="1660"/>
      <c r="M651" s="1660"/>
      <c r="N651" s="1660"/>
      <c r="O651" s="1660"/>
      <c r="P651" s="1660"/>
      <c r="Q651" s="1660"/>
      <c r="R651" s="1660"/>
      <c r="S651" s="1660"/>
      <c r="T651" s="1660"/>
      <c r="U651" s="1660">
        <f>+U630-IF(Last_forecast_year-Sector1!U649=2,Sector1!U646,IF(Last_forecast_year-Sector1!U649=1,Sector1!U646+Sector1!T646,Sector1!U646+Sector1!T646+Sector1!S646))</f>
        <v>0.39441999999999999</v>
      </c>
      <c r="V651" s="1660">
        <f>+V630-IF(Last_forecast_year-Sector1!V649=2,Sector1!V646,IF(Last_forecast_year-Sector1!V649=1,Sector1!V646+Sector1!U646,Sector1!V646+Sector1!U646+Sector1!T646))</f>
        <v>0.7077</v>
      </c>
      <c r="W651" s="1660">
        <f>+W630-IF(Last_forecast_year-Sector1!W649=2,Sector1!W646,IF(Last_forecast_year-Sector1!W649=1,Sector1!W646+Sector1!V646,Sector1!W646+Sector1!V646+Sector1!U646))</f>
        <v>0.68730999999999998</v>
      </c>
      <c r="X651" s="1660">
        <f>+X630-IF(Last_forecast_year-Sector1!X649=2,Sector1!X646,IF(Last_forecast_year-Sector1!X649=1,Sector1!X646+Sector1!W646,Sector1!X646+Sector1!W646+Sector1!V646))</f>
        <v>0.63571</v>
      </c>
      <c r="Y651" s="1660">
        <f>+Y630-IF(Last_forecast_year-Sector1!Y649=2,Sector1!Y646,IF(Last_forecast_year-Sector1!Y649=1,Sector1!Y646+Sector1!X646,Sector1!Y646+Sector1!X646+Sector1!W646))</f>
        <v>0.7223099999999999</v>
      </c>
      <c r="Z651" s="1660">
        <f>+Z630-IF(Last_forecast_year-Sector1!Z649=2,Sector1!Z646,IF(Last_forecast_year-Sector1!Z649=1,Sector1!Z646+Sector1!Y646,Sector1!Z646+Sector1!Y646+Sector1!X646))</f>
        <v>0.99297000000000002</v>
      </c>
      <c r="AA651" s="1660">
        <f>+AA630-IF(Last_forecast_year-Sector1!AA649=2,Sector1!AA646,IF(Last_forecast_year-Sector1!AA649=1,Sector1!AA646+Sector1!Z646,Sector1!AA646+Sector1!Z646+Sector1!Y646))</f>
        <v>0.69129999999999991</v>
      </c>
      <c r="AB651" s="1660">
        <f>+AB630-IF(Last_forecast_year-Sector1!AB649=2,Sector1!AB646,IF(Last_forecast_year-Sector1!AB649=1,Sector1!AB646+Sector1!AA646,Sector1!AB646+Sector1!AA646+Sector1!Z646))</f>
        <v>0.31355</v>
      </c>
      <c r="AC651" s="1660">
        <f>+AC630-IF(Last_forecast_year-Sector1!AC649=2,Sector1!AC646,IF(Last_forecast_year-Sector1!AC649=1,Sector1!AC646+Sector1!AB646,Sector1!AC646+Sector1!AB646+Sector1!AA646))</f>
        <v>0.30702419999999997</v>
      </c>
      <c r="AD651" s="1660">
        <f>+AD630-IF(Last_forecast_year-Sector1!AD649=2,Sector1!AD646,IF(Last_forecast_year-Sector1!AD649=1,Sector1!AD646+Sector1!AC646,Sector1!AD646+Sector1!AC646+Sector1!AB646))</f>
        <v>0.35818647199999992</v>
      </c>
      <c r="AE651" s="1660">
        <f>+AE630-IF(Last_forecast_year-Sector1!AE649=2,Sector1!AE646,IF(Last_forecast_year-Sector1!AE649=1,Sector1!AE646+Sector1!AD646,Sector1!AE646+Sector1!AD646+Sector1!AC646))</f>
        <v>0.36560500143999991</v>
      </c>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row>
    <row r="652" spans="1:113" ht="30" customHeight="1">
      <c r="K652" s="849"/>
      <c r="L652" s="2307"/>
      <c r="M652" s="849"/>
      <c r="U652" s="2254"/>
      <c r="V652" s="2254"/>
      <c r="W652" s="2254"/>
      <c r="X652" s="2254"/>
      <c r="Y652" s="2254"/>
      <c r="Z652" s="2254"/>
      <c r="AA652" s="2254"/>
      <c r="AB652" s="2254"/>
      <c r="AC652" s="2254"/>
      <c r="AD652" s="2254"/>
      <c r="AE652" s="2254"/>
    </row>
    <row r="653" spans="1:113" ht="12.75" customHeight="1">
      <c r="B653" s="664"/>
      <c r="C653" s="774"/>
      <c r="D653" s="775"/>
      <c r="E653" s="776" t="s">
        <v>1128</v>
      </c>
      <c r="F653" s="777"/>
      <c r="G653" s="778">
        <f>+InputY!$G$3</f>
        <v>1995</v>
      </c>
      <c r="H653" s="778">
        <f>+G653+1</f>
        <v>1996</v>
      </c>
      <c r="I653" s="778">
        <f t="shared" ref="I653:O653" si="596">+H653+1</f>
        <v>1997</v>
      </c>
      <c r="J653" s="778">
        <f t="shared" si="596"/>
        <v>1998</v>
      </c>
      <c r="K653" s="778">
        <f>+J653+1</f>
        <v>1999</v>
      </c>
      <c r="L653" s="778">
        <f t="shared" si="596"/>
        <v>2000</v>
      </c>
      <c r="M653" s="778">
        <f t="shared" si="596"/>
        <v>2001</v>
      </c>
      <c r="N653" s="778">
        <f t="shared" si="596"/>
        <v>2002</v>
      </c>
      <c r="O653" s="778">
        <f t="shared" si="596"/>
        <v>2003</v>
      </c>
      <c r="P653" s="778">
        <f t="shared" ref="P653:W653" si="597">+O653+1</f>
        <v>2004</v>
      </c>
      <c r="Q653" s="778">
        <f t="shared" si="597"/>
        <v>2005</v>
      </c>
      <c r="R653" s="778">
        <f t="shared" si="597"/>
        <v>2006</v>
      </c>
      <c r="S653" s="778">
        <f t="shared" si="597"/>
        <v>2007</v>
      </c>
      <c r="T653" s="2222">
        <f t="shared" si="597"/>
        <v>2008</v>
      </c>
      <c r="U653" s="2222">
        <f>+T653+1</f>
        <v>2009</v>
      </c>
      <c r="V653" s="2222">
        <f t="shared" si="597"/>
        <v>2010</v>
      </c>
      <c r="W653" s="2222">
        <f t="shared" si="597"/>
        <v>2011</v>
      </c>
      <c r="X653" s="2222">
        <f t="shared" ref="X653:AE653" si="598">+W653+1</f>
        <v>2012</v>
      </c>
      <c r="Y653" s="2222">
        <f t="shared" si="598"/>
        <v>2013</v>
      </c>
      <c r="Z653" s="2222">
        <f t="shared" si="598"/>
        <v>2014</v>
      </c>
      <c r="AA653" s="2222">
        <f t="shared" si="598"/>
        <v>2015</v>
      </c>
      <c r="AB653" s="2222">
        <f t="shared" si="598"/>
        <v>2016</v>
      </c>
      <c r="AC653" s="2222">
        <f t="shared" si="598"/>
        <v>2017</v>
      </c>
      <c r="AD653" s="2222">
        <f t="shared" si="598"/>
        <v>2018</v>
      </c>
      <c r="AE653" s="2222">
        <f t="shared" si="598"/>
        <v>2019</v>
      </c>
    </row>
    <row r="654" spans="1:113" ht="12.75" customHeight="1">
      <c r="B654" s="664"/>
      <c r="C654" s="779" t="s">
        <v>1767</v>
      </c>
      <c r="D654" s="668" t="s">
        <v>687</v>
      </c>
      <c r="E654" s="780" t="s">
        <v>1376</v>
      </c>
      <c r="F654" s="701" t="str">
        <f t="shared" ref="F654:AC654" si="599">+F418</f>
        <v>$AComp</v>
      </c>
      <c r="G654" s="780">
        <f t="shared" si="599"/>
        <v>0.74821000000000004</v>
      </c>
      <c r="H654" s="780">
        <f t="shared" si="599"/>
        <v>1.01535</v>
      </c>
      <c r="I654" s="780">
        <f t="shared" si="599"/>
        <v>1.2984</v>
      </c>
      <c r="J654" s="780">
        <f t="shared" si="599"/>
        <v>1.647</v>
      </c>
      <c r="K654" s="780">
        <f t="shared" si="599"/>
        <v>1.6960299999999999</v>
      </c>
      <c r="L654" s="996">
        <f t="shared" si="599"/>
        <v>1.60758</v>
      </c>
      <c r="M654" s="780">
        <f t="shared" si="599"/>
        <v>1.64941</v>
      </c>
      <c r="N654" s="780">
        <f t="shared" si="599"/>
        <v>1.71401</v>
      </c>
      <c r="O654" s="780">
        <f t="shared" si="599"/>
        <v>1.78653</v>
      </c>
      <c r="P654" s="780">
        <f t="shared" si="599"/>
        <v>1.9686700000000001</v>
      </c>
      <c r="Q654" s="780">
        <f t="shared" si="599"/>
        <v>2.1530800000000001</v>
      </c>
      <c r="R654" s="780">
        <f t="shared" si="599"/>
        <v>2.50461</v>
      </c>
      <c r="S654" s="780">
        <f t="shared" si="599"/>
        <v>2.8344800000000001</v>
      </c>
      <c r="T654" s="780">
        <f t="shared" si="599"/>
        <v>3.4758</v>
      </c>
      <c r="U654" s="780">
        <f t="shared" si="599"/>
        <v>3.4102600000000001</v>
      </c>
      <c r="V654" s="2267">
        <f t="shared" si="599"/>
        <v>3.05884</v>
      </c>
      <c r="W654" s="2267">
        <f t="shared" si="599"/>
        <v>3.19733</v>
      </c>
      <c r="X654" s="2267">
        <f t="shared" si="599"/>
        <v>3.2416100000000001</v>
      </c>
      <c r="Y654" s="2267">
        <f t="shared" si="599"/>
        <v>3.3384499999999999</v>
      </c>
      <c r="Z654" s="2267">
        <f t="shared" si="599"/>
        <v>3.4621500000000003</v>
      </c>
      <c r="AA654" s="2267">
        <f t="shared" si="599"/>
        <v>3.6053099999999998</v>
      </c>
      <c r="AB654" s="2267">
        <f t="shared" si="599"/>
        <v>3.8023500000000001</v>
      </c>
      <c r="AC654" s="2267">
        <f t="shared" si="599"/>
        <v>4.0019753007261274</v>
      </c>
      <c r="AD654" s="2267">
        <f t="shared" ref="AD654:AE656" si="600">+AD418</f>
        <v>4.2038161866725012</v>
      </c>
      <c r="AE654" s="2267">
        <f t="shared" si="600"/>
        <v>4.435208860003871</v>
      </c>
    </row>
    <row r="655" spans="1:113" ht="12.75" customHeight="1">
      <c r="B655" s="664"/>
      <c r="C655" s="782" t="s">
        <v>1767</v>
      </c>
      <c r="D655" s="674" t="s">
        <v>687</v>
      </c>
      <c r="E655" s="706" t="s">
        <v>1623</v>
      </c>
      <c r="F655" s="706"/>
      <c r="G655" s="706">
        <f t="shared" ref="G655:AC655" si="601">+G419</f>
        <v>0.70490999999999993</v>
      </c>
      <c r="H655" s="706">
        <f t="shared" si="601"/>
        <v>0.83732000000000006</v>
      </c>
      <c r="I655" s="706">
        <f t="shared" si="601"/>
        <v>1.13032</v>
      </c>
      <c r="J655" s="706">
        <f t="shared" si="601"/>
        <v>1.2086300000000001</v>
      </c>
      <c r="K655" s="706">
        <f t="shared" si="601"/>
        <v>0.88361999999999996</v>
      </c>
      <c r="L655" s="1044">
        <f t="shared" si="601"/>
        <v>0.97050000000000003</v>
      </c>
      <c r="M655" s="706">
        <f t="shared" si="601"/>
        <v>0.85672999999999999</v>
      </c>
      <c r="N655" s="706">
        <f t="shared" si="601"/>
        <v>0.95311999999999997</v>
      </c>
      <c r="O655" s="706">
        <f t="shared" si="601"/>
        <v>0.98717999999999995</v>
      </c>
      <c r="P655" s="706">
        <f t="shared" si="601"/>
        <v>1.0180800000000001</v>
      </c>
      <c r="Q655" s="706">
        <f t="shared" si="601"/>
        <v>1.16645</v>
      </c>
      <c r="R655" s="706">
        <f t="shared" si="601"/>
        <v>1.39947</v>
      </c>
      <c r="S655" s="706">
        <f t="shared" si="601"/>
        <v>1.4840100000000001</v>
      </c>
      <c r="T655" s="706">
        <f t="shared" si="601"/>
        <v>1.81999</v>
      </c>
      <c r="U655" s="706">
        <f t="shared" si="601"/>
        <v>1.52319</v>
      </c>
      <c r="V655" s="2265">
        <f t="shared" si="601"/>
        <v>1.7582899999999999</v>
      </c>
      <c r="W655" s="2265">
        <f t="shared" si="601"/>
        <v>1.58467</v>
      </c>
      <c r="X655" s="2265">
        <f t="shared" si="601"/>
        <v>1.64154</v>
      </c>
      <c r="Y655" s="2265">
        <f t="shared" si="601"/>
        <v>1.6197699999999999</v>
      </c>
      <c r="Z655" s="2265">
        <f t="shared" si="601"/>
        <v>1.7096199999999999</v>
      </c>
      <c r="AA655" s="2265">
        <f t="shared" si="601"/>
        <v>1.8676900000000001</v>
      </c>
      <c r="AB655" s="2265">
        <f t="shared" si="601"/>
        <v>1.84643</v>
      </c>
      <c r="AC655" s="2265">
        <f t="shared" si="601"/>
        <v>1.8754002492738726</v>
      </c>
      <c r="AD655" s="2265">
        <f t="shared" ca="1" si="600"/>
        <v>2.0133065466654987</v>
      </c>
      <c r="AE655" s="2265">
        <f t="shared" ca="1" si="600"/>
        <v>2.1138316020828603</v>
      </c>
    </row>
    <row r="656" spans="1:113" ht="12.75" customHeight="1">
      <c r="B656" s="664"/>
      <c r="C656" s="782" t="s">
        <v>1767</v>
      </c>
      <c r="D656" s="674" t="s">
        <v>687</v>
      </c>
      <c r="E656" s="706" t="s">
        <v>1624</v>
      </c>
      <c r="F656" s="706"/>
      <c r="G656" s="706">
        <f t="shared" ref="G656:AC656" si="602">+G420</f>
        <v>0.12528</v>
      </c>
      <c r="H656" s="706">
        <f t="shared" si="602"/>
        <v>0.17881</v>
      </c>
      <c r="I656" s="706">
        <f t="shared" si="602"/>
        <v>0.14405000000000001</v>
      </c>
      <c r="J656" s="706">
        <f t="shared" si="602"/>
        <v>0.23977000000000001</v>
      </c>
      <c r="K656" s="706">
        <f t="shared" si="602"/>
        <v>0.22491999999999998</v>
      </c>
      <c r="L656" s="1044">
        <f t="shared" si="602"/>
        <v>0.18768000000000001</v>
      </c>
      <c r="M656" s="706">
        <f t="shared" si="602"/>
        <v>0.18218000000000001</v>
      </c>
      <c r="N656" s="706">
        <f t="shared" si="602"/>
        <v>0.21962999999999999</v>
      </c>
      <c r="O656" s="706">
        <f t="shared" si="602"/>
        <v>0.24327000000000001</v>
      </c>
      <c r="P656" s="706">
        <f t="shared" si="602"/>
        <v>0.26491000000000003</v>
      </c>
      <c r="Q656" s="706">
        <f t="shared" si="602"/>
        <v>0.38077</v>
      </c>
      <c r="R656" s="706">
        <f t="shared" si="602"/>
        <v>0.40255000000000002</v>
      </c>
      <c r="S656" s="706">
        <f t="shared" si="602"/>
        <v>0.45735999999999999</v>
      </c>
      <c r="T656" s="706">
        <f t="shared" si="602"/>
        <v>0.5645</v>
      </c>
      <c r="U656" s="706">
        <f t="shared" si="602"/>
        <v>0.53662999999999994</v>
      </c>
      <c r="V656" s="2265">
        <f t="shared" si="602"/>
        <v>0.53661999999999999</v>
      </c>
      <c r="W656" s="2265">
        <f t="shared" si="602"/>
        <v>0.61984000000000006</v>
      </c>
      <c r="X656" s="2265">
        <f t="shared" si="602"/>
        <v>0.58472999999999997</v>
      </c>
      <c r="Y656" s="2265">
        <f t="shared" si="602"/>
        <v>0.55325999999999997</v>
      </c>
      <c r="Z656" s="2265">
        <f t="shared" si="602"/>
        <v>0.57772999999999997</v>
      </c>
      <c r="AA656" s="2265">
        <f t="shared" si="602"/>
        <v>0.61829999999999996</v>
      </c>
      <c r="AB656" s="2265">
        <f t="shared" si="602"/>
        <v>0.64269000000000009</v>
      </c>
      <c r="AC656" s="2265">
        <f t="shared" si="602"/>
        <v>0.66518415000000009</v>
      </c>
      <c r="AD656" s="2265">
        <f t="shared" si="600"/>
        <v>0.68846559525000006</v>
      </c>
      <c r="AE656" s="2265">
        <f t="shared" si="600"/>
        <v>0.70911956310750013</v>
      </c>
    </row>
    <row r="657" spans="1:113" ht="12.75" customHeight="1">
      <c r="B657" s="664"/>
      <c r="C657" s="782" t="s">
        <v>1767</v>
      </c>
      <c r="D657" s="674" t="s">
        <v>687</v>
      </c>
      <c r="E657" s="706" t="s">
        <v>1340</v>
      </c>
      <c r="F657" s="704" t="s">
        <v>844</v>
      </c>
      <c r="G657" s="706">
        <f t="shared" ref="G657:AB657" si="603">+G300</f>
        <v>0.6345599999999999</v>
      </c>
      <c r="H657" s="706">
        <f t="shared" si="603"/>
        <v>0.83355999999999997</v>
      </c>
      <c r="I657" s="706">
        <f t="shared" si="603"/>
        <v>1.1307799999999999</v>
      </c>
      <c r="J657" s="706">
        <f t="shared" si="603"/>
        <v>1.4114899999999999</v>
      </c>
      <c r="K657" s="706">
        <f t="shared" si="603"/>
        <v>1.5512699999999999</v>
      </c>
      <c r="L657" s="1044">
        <f t="shared" si="603"/>
        <v>1.53494</v>
      </c>
      <c r="M657" s="706">
        <f t="shared" si="603"/>
        <v>1.6019600000000001</v>
      </c>
      <c r="N657" s="706">
        <f t="shared" si="603"/>
        <v>1.5185899999999999</v>
      </c>
      <c r="O657" s="706">
        <f t="shared" si="603"/>
        <v>1.6291600000000002</v>
      </c>
      <c r="P657" s="706">
        <f t="shared" si="603"/>
        <v>1.77817</v>
      </c>
      <c r="Q657" s="706">
        <f t="shared" si="603"/>
        <v>1.9577899999999999</v>
      </c>
      <c r="R657" s="706">
        <f t="shared" si="603"/>
        <v>2.2084899999999998</v>
      </c>
      <c r="S657" s="706">
        <f t="shared" si="603"/>
        <v>2.8051200000000001</v>
      </c>
      <c r="T657" s="706">
        <f t="shared" si="603"/>
        <v>3.7564499999999996</v>
      </c>
      <c r="U657" s="706">
        <f t="shared" si="603"/>
        <v>4.3547600000000006</v>
      </c>
      <c r="V657" s="2265">
        <f t="shared" si="603"/>
        <v>4.0089800000000002</v>
      </c>
      <c r="W657" s="2265">
        <f t="shared" si="603"/>
        <v>3.9032199999999997</v>
      </c>
      <c r="X657" s="2265">
        <f t="shared" si="603"/>
        <v>3.9884200000000001</v>
      </c>
      <c r="Y657" s="2265">
        <f t="shared" si="603"/>
        <v>3.9543499999999998</v>
      </c>
      <c r="Z657" s="2265">
        <f t="shared" si="603"/>
        <v>3.9676999999999998</v>
      </c>
      <c r="AA657" s="2265">
        <f t="shared" si="603"/>
        <v>4.0540500000000002</v>
      </c>
      <c r="AB657" s="2265">
        <f t="shared" si="603"/>
        <v>4.2601700000000005</v>
      </c>
      <c r="AC657" s="2265">
        <f>+AC300</f>
        <v>4.7713904000000014</v>
      </c>
      <c r="AD657" s="2265">
        <f>+AD300</f>
        <v>5.3439572480000024</v>
      </c>
      <c r="AE657" s="2265">
        <f>+AE300</f>
        <v>5.6645946828800025</v>
      </c>
    </row>
    <row r="658" spans="1:113" ht="12.75" customHeight="1">
      <c r="B658" s="664"/>
      <c r="C658" s="782" t="s">
        <v>1767</v>
      </c>
      <c r="D658" s="674" t="s">
        <v>687</v>
      </c>
      <c r="E658" s="706" t="s">
        <v>1205</v>
      </c>
      <c r="F658" s="704" t="s">
        <v>846</v>
      </c>
      <c r="G658" s="706">
        <f t="shared" ref="G658:AC658" si="604">+G139</f>
        <v>2.6940000000000002E-2</v>
      </c>
      <c r="H658" s="706">
        <f t="shared" si="604"/>
        <v>8.097E-2</v>
      </c>
      <c r="I658" s="706">
        <f t="shared" si="604"/>
        <v>8.584E-2</v>
      </c>
      <c r="J658" s="706">
        <f t="shared" si="604"/>
        <v>0.14752999999999999</v>
      </c>
      <c r="K658" s="706">
        <f t="shared" si="604"/>
        <v>0.18694</v>
      </c>
      <c r="L658" s="706">
        <f t="shared" si="604"/>
        <v>0.23169999999999999</v>
      </c>
      <c r="M658" s="706">
        <f t="shared" si="604"/>
        <v>0.21352000000000002</v>
      </c>
      <c r="N658" s="706">
        <f t="shared" si="604"/>
        <v>0.19841</v>
      </c>
      <c r="O658" s="706">
        <f t="shared" si="604"/>
        <v>0.20580999999999999</v>
      </c>
      <c r="P658" s="706">
        <f t="shared" si="604"/>
        <v>0.16370999999999999</v>
      </c>
      <c r="Q658" s="706">
        <f t="shared" si="604"/>
        <v>0.16072</v>
      </c>
      <c r="R658" s="706">
        <f t="shared" si="604"/>
        <v>0.16800999999999999</v>
      </c>
      <c r="S658" s="706">
        <f t="shared" si="604"/>
        <v>0.19231000000000001</v>
      </c>
      <c r="T658" s="706">
        <f t="shared" si="604"/>
        <v>0.21409999999999998</v>
      </c>
      <c r="U658" s="706">
        <f t="shared" si="604"/>
        <v>0.3332</v>
      </c>
      <c r="V658" s="2265">
        <f t="shared" si="604"/>
        <v>0.50985999999999998</v>
      </c>
      <c r="W658" s="2265">
        <f t="shared" si="604"/>
        <v>0.57565</v>
      </c>
      <c r="X658" s="2265">
        <f t="shared" si="604"/>
        <v>0.6585700000000001</v>
      </c>
      <c r="Y658" s="2265">
        <f t="shared" si="604"/>
        <v>0.61480999999999997</v>
      </c>
      <c r="Z658" s="2265">
        <f t="shared" si="604"/>
        <v>0.58675999999999995</v>
      </c>
      <c r="AA658" s="2265">
        <f t="shared" si="604"/>
        <v>0.56867999999999996</v>
      </c>
      <c r="AB658" s="2265">
        <f t="shared" si="604"/>
        <v>0.51676999999999995</v>
      </c>
      <c r="AC658" s="2265">
        <f t="shared" si="604"/>
        <v>0.49499999999999994</v>
      </c>
      <c r="AD658" s="2265">
        <f>+AD139</f>
        <v>0.38500000000000001</v>
      </c>
      <c r="AE658" s="2265">
        <f>+AE139</f>
        <v>0.40100000000000002</v>
      </c>
    </row>
    <row r="659" spans="1:113" ht="12.75" customHeight="1">
      <c r="B659" s="664"/>
      <c r="C659" s="782" t="s">
        <v>1767</v>
      </c>
      <c r="D659" s="674" t="s">
        <v>687</v>
      </c>
      <c r="E659" s="706" t="s">
        <v>1488</v>
      </c>
      <c r="F659" s="704" t="s">
        <v>2086</v>
      </c>
      <c r="G659" s="706">
        <f t="shared" ref="G659:AC659" si="605">+G50</f>
        <v>7.9650000000000012E-2</v>
      </c>
      <c r="H659" s="706">
        <f t="shared" si="605"/>
        <v>0.11481</v>
      </c>
      <c r="I659" s="706">
        <f t="shared" si="605"/>
        <v>0.10111000000000001</v>
      </c>
      <c r="J659" s="706">
        <f t="shared" si="605"/>
        <v>0.13661000000000001</v>
      </c>
      <c r="K659" s="706">
        <f t="shared" si="605"/>
        <v>0.13238999999999998</v>
      </c>
      <c r="L659" s="706">
        <f t="shared" si="605"/>
        <v>0.10464</v>
      </c>
      <c r="M659" s="706">
        <f t="shared" si="605"/>
        <v>0.11926</v>
      </c>
      <c r="N659" s="706">
        <f t="shared" si="605"/>
        <v>0.11982</v>
      </c>
      <c r="O659" s="706">
        <f t="shared" si="605"/>
        <v>0.1295</v>
      </c>
      <c r="P659" s="706">
        <f t="shared" si="605"/>
        <v>0.12561</v>
      </c>
      <c r="Q659" s="706">
        <f t="shared" si="605"/>
        <v>0.14176</v>
      </c>
      <c r="R659" s="706">
        <f t="shared" si="605"/>
        <v>0.16190000000000002</v>
      </c>
      <c r="S659" s="706">
        <f t="shared" si="605"/>
        <v>0.25557000000000002</v>
      </c>
      <c r="T659" s="706">
        <f t="shared" si="605"/>
        <v>0.22084000000000001</v>
      </c>
      <c r="U659" s="706">
        <f t="shared" si="605"/>
        <v>0.17044000000000001</v>
      </c>
      <c r="V659" s="2265">
        <f t="shared" si="605"/>
        <v>0.13799</v>
      </c>
      <c r="W659" s="2265">
        <f t="shared" si="605"/>
        <v>0.12257</v>
      </c>
      <c r="X659" s="2265">
        <f t="shared" si="605"/>
        <v>0.10482</v>
      </c>
      <c r="Y659" s="2265">
        <f t="shared" si="605"/>
        <v>0.11563</v>
      </c>
      <c r="Z659" s="2265">
        <f t="shared" si="605"/>
        <v>0.11874</v>
      </c>
      <c r="AA659" s="2265">
        <f t="shared" si="605"/>
        <v>0.14757000000000001</v>
      </c>
      <c r="AB659" s="2265">
        <f t="shared" si="605"/>
        <v>0.16243000000000002</v>
      </c>
      <c r="AC659" s="2265">
        <f t="shared" si="605"/>
        <v>0.15881500000000004</v>
      </c>
      <c r="AD659" s="2265">
        <f>+AD50</f>
        <v>0.16650412500000011</v>
      </c>
      <c r="AE659" s="2265">
        <f>+AE50</f>
        <v>0.17460169412500015</v>
      </c>
    </row>
    <row r="660" spans="1:113" ht="12.75" customHeight="1">
      <c r="B660" s="664"/>
      <c r="C660" s="782" t="s">
        <v>1767</v>
      </c>
      <c r="D660" s="674" t="s">
        <v>687</v>
      </c>
      <c r="E660" s="706" t="s">
        <v>1084</v>
      </c>
      <c r="F660" s="704" t="s">
        <v>161</v>
      </c>
      <c r="G660" s="706">
        <f>+G756</f>
        <v>8.5299999999999994E-3</v>
      </c>
      <c r="H660" s="706">
        <f t="shared" ref="H660:Q660" si="606">+H756</f>
        <v>9.9299999999999996E-3</v>
      </c>
      <c r="I660" s="706">
        <f t="shared" si="606"/>
        <v>0.23502000000000001</v>
      </c>
      <c r="J660" s="706">
        <f t="shared" si="606"/>
        <v>8.9029999999999998E-2</v>
      </c>
      <c r="K660" s="706">
        <f t="shared" si="606"/>
        <v>7.0460000000000009E-2</v>
      </c>
      <c r="L660" s="706">
        <f t="shared" si="606"/>
        <v>1.9439999999999999E-2</v>
      </c>
      <c r="M660" s="706">
        <f t="shared" si="606"/>
        <v>5.9319999999999998E-2</v>
      </c>
      <c r="N660" s="706">
        <f t="shared" si="606"/>
        <v>2.5739999999999999E-2</v>
      </c>
      <c r="O660" s="706">
        <f t="shared" si="606"/>
        <v>3.4869999999999998E-2</v>
      </c>
      <c r="P660" s="706">
        <f t="shared" si="606"/>
        <v>0.14143</v>
      </c>
      <c r="Q660" s="706">
        <f t="shared" si="606"/>
        <v>0.38067999999999996</v>
      </c>
      <c r="R660" s="706">
        <f t="shared" ref="R660:W660" si="607">+R756</f>
        <v>0.30585000000000001</v>
      </c>
      <c r="S660" s="706">
        <f t="shared" si="607"/>
        <v>0.38518999999999998</v>
      </c>
      <c r="T660" s="706">
        <f t="shared" si="607"/>
        <v>0.48382999999999998</v>
      </c>
      <c r="U660" s="706">
        <f>+U756</f>
        <v>0.45114000000000004</v>
      </c>
      <c r="V660" s="2265">
        <f t="shared" si="607"/>
        <v>0.34917999999999999</v>
      </c>
      <c r="W660" s="2265">
        <f t="shared" si="607"/>
        <v>0.50219999999999998</v>
      </c>
      <c r="X660" s="2265">
        <f t="shared" ref="X660:AC660" si="608">+X756</f>
        <v>0.47216000000000002</v>
      </c>
      <c r="Y660" s="2265">
        <f t="shared" si="608"/>
        <v>0.56008999999999998</v>
      </c>
      <c r="Z660" s="2265">
        <f t="shared" si="608"/>
        <v>0.52171000000000001</v>
      </c>
      <c r="AA660" s="2265">
        <f t="shared" si="608"/>
        <v>0.55794000000000021</v>
      </c>
      <c r="AB660" s="2265">
        <f t="shared" si="608"/>
        <v>0.64744000000000002</v>
      </c>
      <c r="AC660" s="2265">
        <f t="shared" si="608"/>
        <v>0.67974880000000004</v>
      </c>
      <c r="AD660" s="2265">
        <f>+AD756</f>
        <v>0.71029792600000008</v>
      </c>
      <c r="AE660" s="2265">
        <f>+AE756</f>
        <v>0.7457470892200001</v>
      </c>
    </row>
    <row r="661" spans="1:113" ht="12.75" customHeight="1">
      <c r="B661" s="664"/>
      <c r="C661" s="782" t="s">
        <v>1769</v>
      </c>
      <c r="D661" s="746" t="s">
        <v>687</v>
      </c>
      <c r="E661" s="799" t="s">
        <v>159</v>
      </c>
      <c r="F661" s="748" t="s">
        <v>1817</v>
      </c>
      <c r="G661" s="799">
        <f>+G654+G655+G656+G657+G658+G659+G660</f>
        <v>2.3280799999999999</v>
      </c>
      <c r="H661" s="799">
        <f t="shared" ref="H661:Y661" si="609">+H654+H655+H656+H657+H658+H659+H660</f>
        <v>3.0707500000000003</v>
      </c>
      <c r="I661" s="799">
        <f t="shared" si="609"/>
        <v>4.1255199999999999</v>
      </c>
      <c r="J661" s="799">
        <f t="shared" si="609"/>
        <v>4.8800600000000003</v>
      </c>
      <c r="K661" s="799">
        <f t="shared" si="609"/>
        <v>4.7456299999999993</v>
      </c>
      <c r="L661" s="799">
        <f t="shared" si="609"/>
        <v>4.6564800000000002</v>
      </c>
      <c r="M661" s="799">
        <f t="shared" si="609"/>
        <v>4.6823799999999993</v>
      </c>
      <c r="N661" s="799">
        <f t="shared" si="609"/>
        <v>4.74932</v>
      </c>
      <c r="O661" s="799">
        <f t="shared" si="609"/>
        <v>5.0163199999999994</v>
      </c>
      <c r="P661" s="799">
        <f t="shared" si="609"/>
        <v>5.4605800000000002</v>
      </c>
      <c r="Q661" s="799">
        <f t="shared" si="609"/>
        <v>6.3412500000000005</v>
      </c>
      <c r="R661" s="799">
        <f t="shared" si="609"/>
        <v>7.1508799999999999</v>
      </c>
      <c r="S661" s="799">
        <f t="shared" si="609"/>
        <v>8.41404</v>
      </c>
      <c r="T661" s="799">
        <f>+T654+T655+T656+T657+T658+T659+T660</f>
        <v>10.53551</v>
      </c>
      <c r="U661" s="799">
        <f>+U654+U655+U656+U657+U658+U659+U660</f>
        <v>10.779620000000001</v>
      </c>
      <c r="V661" s="2302">
        <f>+V654+V655+V656+V657+V658+V659+V660</f>
        <v>10.35976</v>
      </c>
      <c r="W661" s="2302">
        <f t="shared" si="609"/>
        <v>10.505479999999999</v>
      </c>
      <c r="X661" s="2302">
        <f t="shared" si="609"/>
        <v>10.691850000000001</v>
      </c>
      <c r="Y661" s="2302">
        <f t="shared" si="609"/>
        <v>10.756360000000001</v>
      </c>
      <c r="Z661" s="2302">
        <f t="shared" ref="Z661:AE661" si="610">+Z654+Z655+Z656+Z657+Z658+Z659+Z660</f>
        <v>10.944410000000001</v>
      </c>
      <c r="AA661" s="2302">
        <f t="shared" si="610"/>
        <v>11.419540000000001</v>
      </c>
      <c r="AB661" s="2302">
        <f t="shared" si="610"/>
        <v>11.87828</v>
      </c>
      <c r="AC661" s="2302">
        <f t="shared" si="610"/>
        <v>12.647513900000002</v>
      </c>
      <c r="AD661" s="2302">
        <f t="shared" ca="1" si="610"/>
        <v>13.511347627588002</v>
      </c>
      <c r="AE661" s="2302">
        <f t="shared" ca="1" si="610"/>
        <v>14.244103491419233</v>
      </c>
    </row>
    <row r="662" spans="1:113" ht="12.75" customHeight="1">
      <c r="B662" s="664"/>
      <c r="C662" s="782" t="s">
        <v>1767</v>
      </c>
      <c r="D662" s="674" t="s">
        <v>687</v>
      </c>
      <c r="E662" s="706" t="str">
        <f>+'VVP2'!E229</f>
        <v>Gross fixed capital formation (P.51)</v>
      </c>
      <c r="F662" s="704" t="str">
        <f>+'VVP2'!F229</f>
        <v>$AI</v>
      </c>
      <c r="G662" s="706">
        <f>+'VVP2'!G229</f>
        <v>0.25098999999999999</v>
      </c>
      <c r="H662" s="706">
        <f>+'VVP2'!H229</f>
        <v>0.23119000000000001</v>
      </c>
      <c r="I662" s="706">
        <f>+'VVP2'!I229</f>
        <v>0.26547000000000004</v>
      </c>
      <c r="J662" s="706">
        <f>+'VVP2'!J229</f>
        <v>0.32951999999999998</v>
      </c>
      <c r="K662" s="706">
        <f>+'VVP2'!K229</f>
        <v>0.32613999999999999</v>
      </c>
      <c r="L662" s="1044">
        <f>+'VVP2'!L229</f>
        <v>0.32395999999999997</v>
      </c>
      <c r="M662" s="706">
        <f>+'VVP2'!M229</f>
        <v>0.32343</v>
      </c>
      <c r="N662" s="706">
        <f>+'VVP2'!N229</f>
        <v>0.45168000000000003</v>
      </c>
      <c r="O662" s="706">
        <f>+'VVP2'!O229</f>
        <v>0.51299000000000006</v>
      </c>
      <c r="P662" s="706">
        <f>+'VVP2'!P229</f>
        <v>0.65776999999999997</v>
      </c>
      <c r="Q662" s="706">
        <f>+'VVP2'!Q229</f>
        <v>0.75748000000000004</v>
      </c>
      <c r="R662" s="706">
        <f>+'VVP2'!R229</f>
        <v>1.0293299999999999</v>
      </c>
      <c r="S662" s="706">
        <f>+'VVP2'!S229</f>
        <v>1.57236</v>
      </c>
      <c r="T662" s="706">
        <f>+'VVP2'!T229</f>
        <v>1.75915</v>
      </c>
      <c r="U662" s="706">
        <f>+'VVP2'!U229</f>
        <v>1.1892</v>
      </c>
      <c r="V662" s="2265">
        <f>+'VVP2'!V229</f>
        <v>1.39093</v>
      </c>
      <c r="W662" s="2265">
        <f>+'VVP2'!W229</f>
        <v>1.47923</v>
      </c>
      <c r="X662" s="2265">
        <f>+'VVP2'!X229</f>
        <v>1.32633</v>
      </c>
      <c r="Y662" s="2265">
        <f>+'VVP2'!Y229</f>
        <v>1.30948</v>
      </c>
      <c r="Z662" s="2265">
        <f>+'VVP2'!Z229</f>
        <v>1.28298</v>
      </c>
      <c r="AA662" s="2265">
        <f>+'VVP2'!AA229</f>
        <v>1.3745099999999999</v>
      </c>
      <c r="AB662" s="2265">
        <f>+'VVP2'!AB229</f>
        <v>1.1535899999999999</v>
      </c>
      <c r="AC662" s="2265">
        <f ca="1">+'VVP2'!AC229</f>
        <v>1.2369138056999998</v>
      </c>
      <c r="AD662" s="2265">
        <f ca="1">+'VVP2'!AD229</f>
        <v>1.3547941652108211</v>
      </c>
      <c r="AE662" s="2265">
        <f ca="1">+'VVP2'!AE229</f>
        <v>1.4582326997246671</v>
      </c>
    </row>
    <row r="663" spans="1:113" s="884" customFormat="1" ht="12.75" customHeight="1">
      <c r="A663" s="663"/>
      <c r="B663" s="664"/>
      <c r="C663" s="842" t="s">
        <v>1767</v>
      </c>
      <c r="D663" s="890" t="s">
        <v>687</v>
      </c>
      <c r="E663" s="1438" t="s">
        <v>1083</v>
      </c>
      <c r="F663" s="1439" t="s">
        <v>1818</v>
      </c>
      <c r="G663" s="1438">
        <f>+G762</f>
        <v>0.10581000000000002</v>
      </c>
      <c r="H663" s="1438">
        <f t="shared" ref="H663:O663" si="611">+H762</f>
        <v>0.24929000000000001</v>
      </c>
      <c r="I663" s="1438">
        <f t="shared" si="611"/>
        <v>1.50285</v>
      </c>
      <c r="J663" s="1438">
        <f t="shared" si="611"/>
        <v>0.15283000000000002</v>
      </c>
      <c r="K663" s="1438">
        <f t="shared" si="611"/>
        <v>0.12015000000000001</v>
      </c>
      <c r="L663" s="1438">
        <f t="shared" si="611"/>
        <v>0.28591000000000005</v>
      </c>
      <c r="M663" s="1438">
        <f t="shared" si="611"/>
        <v>0.25913000000000003</v>
      </c>
      <c r="N663" s="1438">
        <f t="shared" si="611"/>
        <v>0.14212</v>
      </c>
      <c r="O663" s="1438">
        <f t="shared" si="611"/>
        <v>6.7750000000000005E-2</v>
      </c>
      <c r="P663" s="1438">
        <f t="shared" ref="P663:W663" si="612">+P762</f>
        <v>8.9039999999999994E-2</v>
      </c>
      <c r="Q663" s="1438">
        <f t="shared" si="612"/>
        <v>5.8669999999999993E-2</v>
      </c>
      <c r="R663" s="1438">
        <f t="shared" si="612"/>
        <v>8.1490000000000007E-2</v>
      </c>
      <c r="S663" s="1438">
        <f t="shared" si="612"/>
        <v>0.25211</v>
      </c>
      <c r="T663" s="1438">
        <f t="shared" si="612"/>
        <v>0.15964</v>
      </c>
      <c r="U663" s="1438">
        <f>+U762</f>
        <v>0.12178000000000001</v>
      </c>
      <c r="V663" s="2303">
        <f t="shared" si="612"/>
        <v>0.10469999999999999</v>
      </c>
      <c r="W663" s="2303">
        <f t="shared" si="612"/>
        <v>1.2988300000000002</v>
      </c>
      <c r="X663" s="2303">
        <f t="shared" ref="X663:AC663" si="613">+X762</f>
        <v>2.138000000000001E-2</v>
      </c>
      <c r="Y663" s="2303">
        <f t="shared" si="613"/>
        <v>0.34236</v>
      </c>
      <c r="Z663" s="2303">
        <f t="shared" si="613"/>
        <v>0.43934999999999996</v>
      </c>
      <c r="AA663" s="2303">
        <f t="shared" si="613"/>
        <v>0.26362999999999998</v>
      </c>
      <c r="AB663" s="2303">
        <f t="shared" si="613"/>
        <v>0.19511999999999999</v>
      </c>
      <c r="AC663" s="2303">
        <f t="shared" ca="1" si="613"/>
        <v>0.30395159999999999</v>
      </c>
      <c r="AD663" s="2303">
        <f ca="1">+AD762</f>
        <v>0.22980715199999996</v>
      </c>
      <c r="AE663" s="2303">
        <f ca="1">+AE762</f>
        <v>0.22980715199999996</v>
      </c>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row>
    <row r="664" spans="1:113" s="1" customFormat="1">
      <c r="A664" s="664">
        <f>+ROW(InputY!A176)</f>
        <v>176</v>
      </c>
      <c r="B664" s="2206">
        <v>129</v>
      </c>
      <c r="C664" s="710"/>
      <c r="D664" s="2207" t="s">
        <v>687</v>
      </c>
      <c r="E664" s="1060" t="s">
        <v>794</v>
      </c>
      <c r="F664" s="2208" t="s">
        <v>1142</v>
      </c>
      <c r="G664" s="1061">
        <f>+InputY!G176/1000</f>
        <v>2.6848800000000002</v>
      </c>
      <c r="H664" s="1061">
        <f>+InputY!H176/1000</f>
        <v>3.5512299999999999</v>
      </c>
      <c r="I664" s="1061">
        <f>+InputY!I176/1000</f>
        <v>5.8938199999999998</v>
      </c>
      <c r="J664" s="1061">
        <f>+InputY!J176/1000</f>
        <v>5.3624000000000001</v>
      </c>
      <c r="K664" s="1061">
        <f>+InputY!K176/1000</f>
        <v>5.19191</v>
      </c>
      <c r="L664" s="1061">
        <f>+InputY!L176/1000</f>
        <v>5.2663500000000001</v>
      </c>
      <c r="M664" s="1061">
        <f>+InputY!M176/1000</f>
        <v>5.2649499999999998</v>
      </c>
      <c r="N664" s="1061">
        <f>+InputY!N176/1000</f>
        <v>5.3431099999999994</v>
      </c>
      <c r="O664" s="1061">
        <f>+InputY!O176/1000</f>
        <v>5.5970600000000008</v>
      </c>
      <c r="P664" s="1061">
        <f>+InputY!P176/1000</f>
        <v>6.2073799999999997</v>
      </c>
      <c r="Q664" s="1061">
        <f>+InputY!Q176/1000</f>
        <v>7.1573900000000004</v>
      </c>
      <c r="R664" s="1061">
        <f>+InputY!R176/1000</f>
        <v>8.2616899999999998</v>
      </c>
      <c r="S664" s="1061">
        <f>+InputY!S176/1000</f>
        <v>10.23851</v>
      </c>
      <c r="T664" s="1061">
        <f>+InputY!T176/1000</f>
        <v>12.454319999999999</v>
      </c>
      <c r="U664" s="1061">
        <f>+InputY!U176/1000</f>
        <v>12.090590000000001</v>
      </c>
      <c r="V664" s="1061">
        <f>+InputY!V176/1000</f>
        <v>11.85539</v>
      </c>
      <c r="W664" s="1061">
        <f>+InputY!W176/1000</f>
        <v>13.283530000000001</v>
      </c>
      <c r="X664" s="3306">
        <f>+InputY!X176/1000</f>
        <v>12.039569999999999</v>
      </c>
      <c r="Y664" s="3306">
        <f>+InputY!Y176/1000</f>
        <v>12.408200000000001</v>
      </c>
      <c r="Z664" s="3306">
        <f>+InputY!Z176/1000</f>
        <v>12.666739999999999</v>
      </c>
      <c r="AA664" s="3306">
        <f>+InputY!AA176/1000</f>
        <v>13.057700000000001</v>
      </c>
      <c r="AB664" s="3306">
        <f>+InputY!AB176/1000</f>
        <v>13.226979999999999</v>
      </c>
      <c r="AC664" s="3307">
        <f ca="1">+AC661+AC662+AC663</f>
        <v>14.188379305700002</v>
      </c>
      <c r="AD664" s="3307">
        <f ca="1">+AD661+AD662+AD663</f>
        <v>15.095948944798822</v>
      </c>
      <c r="AE664" s="3307">
        <f ca="1">+AE661+AE662+AE663</f>
        <v>15.932143343143899</v>
      </c>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row>
    <row r="665" spans="1:113" s="1976" customFormat="1" ht="12.75" customHeight="1">
      <c r="A665" s="998"/>
      <c r="B665" s="998"/>
      <c r="C665" s="1595"/>
      <c r="D665" s="1975"/>
      <c r="E665" s="1973" t="s">
        <v>737</v>
      </c>
      <c r="F665" s="1974"/>
      <c r="G665" s="2209">
        <f>ABS(G664-G661-G662-G663)</f>
        <v>2.2204460492503131E-16</v>
      </c>
      <c r="H665" s="2209">
        <f t="shared" ref="H665:P665" si="614">ABS(H664-H661-H662-H663)</f>
        <v>4.4408920985006262E-16</v>
      </c>
      <c r="I665" s="2209">
        <f t="shared" si="614"/>
        <v>2.0000000000131024E-5</v>
      </c>
      <c r="J665" s="2209">
        <f t="shared" si="614"/>
        <v>1.0000000000232045E-5</v>
      </c>
      <c r="K665" s="2209">
        <f t="shared" si="614"/>
        <v>9.9999999993161115E-6</v>
      </c>
      <c r="L665" s="2209">
        <f t="shared" si="614"/>
        <v>1.1102230246251565E-16</v>
      </c>
      <c r="M665" s="2209">
        <f t="shared" si="614"/>
        <v>1.000000000045409E-5</v>
      </c>
      <c r="N665" s="2209">
        <f t="shared" si="614"/>
        <v>1.0000000000648379E-5</v>
      </c>
      <c r="O665" s="2209">
        <f t="shared" si="614"/>
        <v>1.3045120539345589E-15</v>
      </c>
      <c r="P665" s="2209">
        <f t="shared" si="614"/>
        <v>1.0000000000495723E-5</v>
      </c>
      <c r="Q665" s="2209">
        <f t="shared" ref="Q665:Y665" si="615">ABS(Q664-Q661-Q662-Q663)</f>
        <v>1.0000000000169595E-5</v>
      </c>
      <c r="R665" s="2209">
        <f t="shared" si="615"/>
        <v>1.0000000000010001E-5</v>
      </c>
      <c r="S665" s="2209">
        <f t="shared" si="615"/>
        <v>1.6653345369377348E-16</v>
      </c>
      <c r="T665" s="2921">
        <f t="shared" si="615"/>
        <v>1.9999999998798756E-5</v>
      </c>
      <c r="U665" s="2921">
        <f t="shared" si="615"/>
        <v>1.0000000000745524E-5</v>
      </c>
      <c r="V665" s="2921">
        <f t="shared" si="615"/>
        <v>2.4980018054066022E-16</v>
      </c>
      <c r="W665" s="2921">
        <f t="shared" si="615"/>
        <v>9.9999999980671106E-6</v>
      </c>
      <c r="X665" s="2921">
        <f t="shared" si="615"/>
        <v>9.9999999988997779E-6</v>
      </c>
      <c r="Y665" s="2921">
        <f t="shared" si="615"/>
        <v>0</v>
      </c>
      <c r="Z665" s="2921">
        <f t="shared" ref="Z665:AE665" si="616">ABS(Z664-Z661-Z662-Z663)</f>
        <v>2.2759572004815709E-15</v>
      </c>
      <c r="AA665" s="2921">
        <f t="shared" si="616"/>
        <v>1.9999999999298357E-5</v>
      </c>
      <c r="AB665" s="2921">
        <f t="shared" si="616"/>
        <v>1.0000000000759401E-5</v>
      </c>
      <c r="AC665" s="2921">
        <f t="shared" ca="1" si="616"/>
        <v>2.2204460492503131E-16</v>
      </c>
      <c r="AD665" s="2921">
        <f t="shared" ca="1" si="616"/>
        <v>6.106226635438361E-16</v>
      </c>
      <c r="AE665" s="2921">
        <f t="shared" ca="1" si="616"/>
        <v>1.27675647831893E-15</v>
      </c>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row>
    <row r="666" spans="1:113">
      <c r="L666" s="849"/>
      <c r="Q666" s="699"/>
      <c r="R666" s="699"/>
      <c r="S666" s="699"/>
      <c r="AB666" s="2221"/>
      <c r="AC666" s="2221"/>
      <c r="AD666" s="2221"/>
      <c r="AE666" s="2221"/>
    </row>
    <row r="667" spans="1:113" ht="12.75" customHeight="1">
      <c r="B667" s="664"/>
      <c r="C667" s="774"/>
      <c r="D667" s="982"/>
      <c r="E667" s="3230" t="s">
        <v>163</v>
      </c>
      <c r="F667" s="1876"/>
      <c r="G667" s="984">
        <f>+InputY!$G$3</f>
        <v>1995</v>
      </c>
      <c r="H667" s="984">
        <f>+G667+1</f>
        <v>1996</v>
      </c>
      <c r="I667" s="984">
        <f t="shared" ref="I667:O667" si="617">+H667+1</f>
        <v>1997</v>
      </c>
      <c r="J667" s="984">
        <f t="shared" si="617"/>
        <v>1998</v>
      </c>
      <c r="K667" s="984">
        <f>+J667+1</f>
        <v>1999</v>
      </c>
      <c r="L667" s="984">
        <f t="shared" si="617"/>
        <v>2000</v>
      </c>
      <c r="M667" s="984">
        <f t="shared" si="617"/>
        <v>2001</v>
      </c>
      <c r="N667" s="984">
        <f t="shared" si="617"/>
        <v>2002</v>
      </c>
      <c r="O667" s="984">
        <f t="shared" si="617"/>
        <v>2003</v>
      </c>
      <c r="P667" s="984">
        <f t="shared" ref="P667:U667" si="618">+O667+1</f>
        <v>2004</v>
      </c>
      <c r="Q667" s="984">
        <f t="shared" si="618"/>
        <v>2005</v>
      </c>
      <c r="R667" s="984">
        <f>+Q667+1</f>
        <v>2006</v>
      </c>
      <c r="S667" s="984">
        <f>+R667+1</f>
        <v>2007</v>
      </c>
      <c r="T667" s="984">
        <f>+S667+1</f>
        <v>2008</v>
      </c>
      <c r="U667" s="2228">
        <f t="shared" si="618"/>
        <v>2009</v>
      </c>
      <c r="V667" s="2228">
        <f t="shared" ref="V667:AE667" si="619">+U667+1</f>
        <v>2010</v>
      </c>
      <c r="W667" s="2228">
        <f t="shared" si="619"/>
        <v>2011</v>
      </c>
      <c r="X667" s="2228">
        <f t="shared" si="619"/>
        <v>2012</v>
      </c>
      <c r="Y667" s="2228">
        <f t="shared" si="619"/>
        <v>2013</v>
      </c>
      <c r="Z667" s="2228">
        <f t="shared" si="619"/>
        <v>2014</v>
      </c>
      <c r="AA667" s="2228">
        <f t="shared" si="619"/>
        <v>2015</v>
      </c>
      <c r="AB667" s="2228">
        <f t="shared" si="619"/>
        <v>2016</v>
      </c>
      <c r="AC667" s="2228">
        <f t="shared" si="619"/>
        <v>2017</v>
      </c>
      <c r="AD667" s="2228">
        <f t="shared" si="619"/>
        <v>2018</v>
      </c>
      <c r="AE667" s="2228">
        <f t="shared" si="619"/>
        <v>2019</v>
      </c>
    </row>
    <row r="668" spans="1:113" ht="12.75" customHeight="1">
      <c r="B668" s="664"/>
      <c r="C668" s="1873" t="s">
        <v>1767</v>
      </c>
      <c r="D668" s="674" t="s">
        <v>687</v>
      </c>
      <c r="E668" s="706" t="s">
        <v>1376</v>
      </c>
      <c r="F668" s="704" t="s">
        <v>321</v>
      </c>
      <c r="G668" s="1893">
        <f>+G654/'VVP2'!G$341</f>
        <v>9.6362561545901698E-2</v>
      </c>
      <c r="H668" s="1893">
        <f>+H654/'VVP2'!H$341</f>
        <v>0.10452278377418507</v>
      </c>
      <c r="I668" s="1893">
        <f>+I654/'VVP2'!I$341</f>
        <v>0.11074397364798359</v>
      </c>
      <c r="J668" s="1893">
        <f>+J654/'VVP2'!J$341</f>
        <v>0.1264786560548489</v>
      </c>
      <c r="K668" s="1893">
        <f>+K654/'VVP2'!K$341</f>
        <v>0.13341876388443119</v>
      </c>
      <c r="L668" s="1893">
        <f>+L654/'VVP2'!L$341</f>
        <v>0.12025421560750976</v>
      </c>
      <c r="M668" s="1893">
        <f>+M654/'VVP2'!M$341</f>
        <v>0.11620047736732203</v>
      </c>
      <c r="N668" s="1893">
        <f>+N654/'VVP2'!N$341</f>
        <v>0.11274771956898258</v>
      </c>
      <c r="O668" s="1893">
        <f>+O654/'VVP2'!O$341</f>
        <v>0.10718013880089847</v>
      </c>
      <c r="P668" s="1893">
        <f>+P654/'VVP2'!P$341</f>
        <v>0.10794496241854794</v>
      </c>
      <c r="Q668" s="1893">
        <f>+Q654/'VVP2'!Q$341</f>
        <v>0.10251614700259734</v>
      </c>
      <c r="R668" s="1893">
        <f>+R654/'VVP2'!R$341</f>
        <v>0.10401558524833486</v>
      </c>
      <c r="S668" s="1893">
        <f>+S654/'VVP2'!S$341</f>
        <v>9.7603842336916588E-2</v>
      </c>
      <c r="T668" s="1893">
        <f>+T654/'VVP2'!T$341</f>
        <v>0.10630567147088292</v>
      </c>
      <c r="U668" s="2864">
        <f>+U654/'VVP2'!U$341</f>
        <v>0.12661157564817588</v>
      </c>
      <c r="V668" s="2864">
        <f>+V654/'VVP2'!V$341</f>
        <v>0.10913647446843582</v>
      </c>
      <c r="W668" s="2864">
        <f>+W654/'VVP2'!W$341</f>
        <v>0.10223172776489577</v>
      </c>
      <c r="X668" s="2864">
        <f>+X654/'VVP2'!X$341</f>
        <v>9.7204130443126646E-2</v>
      </c>
      <c r="Y668" s="2864">
        <f>+Y654/'VVP2'!Y$341</f>
        <v>9.5494377089015467E-2</v>
      </c>
      <c r="Z668" s="2864">
        <f>+Z654/'VVP2'!Z$341</f>
        <v>9.4676315101503275E-2</v>
      </c>
      <c r="AA668" s="2864">
        <f>+AA654/'VVP2'!AA$341</f>
        <v>9.6330124475607043E-2</v>
      </c>
      <c r="AB668" s="2864">
        <f>+AB654/'VVP2'!AB$341</f>
        <v>9.8332433371814451E-2</v>
      </c>
      <c r="AC668" s="2864">
        <f ca="1">+AC654/'VVP2'!AC$341</f>
        <v>9.5787795717815691E-2</v>
      </c>
      <c r="AD668" s="2864">
        <f ca="1">+AD654/'VVP2'!AD$341</f>
        <v>9.5084098771006514E-2</v>
      </c>
      <c r="AE668" s="2864">
        <f ca="1">+AE654/'VVP2'!AE$341</f>
        <v>9.5020676898133691E-2</v>
      </c>
    </row>
    <row r="669" spans="1:113" ht="12.75" customHeight="1">
      <c r="B669" s="664"/>
      <c r="C669" s="1874" t="s">
        <v>1767</v>
      </c>
      <c r="D669" s="674" t="s">
        <v>687</v>
      </c>
      <c r="E669" s="706" t="s">
        <v>1623</v>
      </c>
      <c r="F669" s="704"/>
      <c r="G669" s="1893">
        <f>+G655/'VVP2'!G$341</f>
        <v>9.0785920075007756E-2</v>
      </c>
      <c r="H669" s="1893">
        <f>+H655/'VVP2'!H$341</f>
        <v>8.6195910089920377E-2</v>
      </c>
      <c r="I669" s="1893">
        <f>+I655/'VVP2'!I$341</f>
        <v>9.6407985438839203E-2</v>
      </c>
      <c r="J669" s="1893">
        <f>+J655/'VVP2'!J$341</f>
        <v>9.2814752925058905E-2</v>
      </c>
      <c r="K669" s="1893">
        <f>+K655/'VVP2'!K$341</f>
        <v>6.9510261105971638E-2</v>
      </c>
      <c r="L669" s="1893">
        <f>+L655/'VVP2'!L$341</f>
        <v>7.2597765739240497E-2</v>
      </c>
      <c r="M669" s="1893">
        <f>+M655/'VVP2'!M$341</f>
        <v>6.0356391057957572E-2</v>
      </c>
      <c r="N669" s="1893">
        <f>+N655/'VVP2'!N$341</f>
        <v>6.2696312434343246E-2</v>
      </c>
      <c r="O669" s="1893">
        <f>+O655/'VVP2'!O$341</f>
        <v>5.9224356390024768E-2</v>
      </c>
      <c r="P669" s="1893">
        <f>+P655/'VVP2'!P$341</f>
        <v>5.5822767319599169E-2</v>
      </c>
      <c r="Q669" s="1893">
        <f>+Q655/'VVP2'!Q$341</f>
        <v>5.5539023014091277E-2</v>
      </c>
      <c r="R669" s="1893">
        <f>+R655/'VVP2'!R$341</f>
        <v>5.8119504069490735E-2</v>
      </c>
      <c r="S669" s="1893">
        <f>+S655/'VVP2'!S$341</f>
        <v>5.1101111338378677E-2</v>
      </c>
      <c r="T669" s="1893">
        <f>+T655/'VVP2'!T$341</f>
        <v>5.5663518907961396E-2</v>
      </c>
      <c r="U669" s="2864">
        <f>+U655/'VVP2'!U$341</f>
        <v>5.6550962657259271E-2</v>
      </c>
      <c r="V669" s="2864">
        <f>+V655/'VVP2'!V$341</f>
        <v>6.2734099100674109E-2</v>
      </c>
      <c r="W669" s="2864">
        <f>+W655/'VVP2'!W$341</f>
        <v>5.0668386446565537E-2</v>
      </c>
      <c r="X669" s="2864">
        <f>+X655/'VVP2'!X$341</f>
        <v>4.9223832690425469E-2</v>
      </c>
      <c r="Y669" s="2864">
        <f>+Y655/'VVP2'!Y$341</f>
        <v>4.6332557677207863E-2</v>
      </c>
      <c r="Z669" s="2864">
        <f>+Z655/'VVP2'!Z$341</f>
        <v>4.6751446882380025E-2</v>
      </c>
      <c r="AA669" s="2864">
        <f>+AA655/'VVP2'!AA$341</f>
        <v>4.9902729635411806E-2</v>
      </c>
      <c r="AB669" s="2864">
        <f>+AB655/'VVP2'!AB$341</f>
        <v>4.7750458256267662E-2</v>
      </c>
      <c r="AC669" s="2864">
        <f ca="1">+AC655/'VVP2'!AC$341</f>
        <v>4.4887947192975425E-2</v>
      </c>
      <c r="AD669" s="2864">
        <f ca="1">+AD655/'VVP2'!AD$341</f>
        <v>4.5538013566426651E-2</v>
      </c>
      <c r="AE669" s="2864">
        <f ca="1">+AE655/'VVP2'!AE$341</f>
        <v>4.5287091548244347E-2</v>
      </c>
    </row>
    <row r="670" spans="1:113" ht="12.75" customHeight="1">
      <c r="B670" s="664"/>
      <c r="C670" s="1874" t="s">
        <v>1767</v>
      </c>
      <c r="D670" s="674" t="s">
        <v>687</v>
      </c>
      <c r="E670" s="706" t="s">
        <v>1624</v>
      </c>
      <c r="F670" s="704"/>
      <c r="G670" s="1893">
        <f>+G656/'VVP2'!G$341</f>
        <v>1.6134910934724963E-2</v>
      </c>
      <c r="H670" s="1893">
        <f>+H656/'VVP2'!H$341</f>
        <v>1.8407168923683492E-2</v>
      </c>
      <c r="I670" s="1893">
        <f>+I656/'VVP2'!I$341</f>
        <v>1.2286405887239709E-2</v>
      </c>
      <c r="J670" s="1893">
        <f>+J656/'VVP2'!J$341</f>
        <v>1.8412742782192543E-2</v>
      </c>
      <c r="K670" s="1893">
        <f>+K656/'VVP2'!K$341</f>
        <v>1.7693406586490958E-2</v>
      </c>
      <c r="L670" s="1893">
        <f>+L656/'VVP2'!L$341</f>
        <v>1.4039308267841995E-2</v>
      </c>
      <c r="M670" s="1893">
        <f>+M656/'VVP2'!M$341</f>
        <v>1.2834530508956978E-2</v>
      </c>
      <c r="N670" s="1893">
        <f>+N656/'VVP2'!N$341</f>
        <v>1.4447279566009325E-2</v>
      </c>
      <c r="O670" s="1893">
        <f>+O656/'VVP2'!O$341</f>
        <v>1.4594612106202847E-2</v>
      </c>
      <c r="P670" s="1893">
        <f>+P656/'VVP2'!P$341</f>
        <v>1.4525390235182909E-2</v>
      </c>
      <c r="Q670" s="1893">
        <f>+Q656/'VVP2'!Q$341</f>
        <v>1.8129875942454059E-2</v>
      </c>
      <c r="R670" s="1893">
        <f>+R656/'VVP2'!R$341</f>
        <v>1.6717761983589142E-2</v>
      </c>
      <c r="S670" s="1893">
        <f>+S656/'VVP2'!S$341</f>
        <v>1.5748953364007567E-2</v>
      </c>
      <c r="T670" s="1893">
        <f>+T656/'VVP2'!T$341</f>
        <v>1.7264961029205769E-2</v>
      </c>
      <c r="U670" s="2864">
        <f>+U656/'VVP2'!U$341</f>
        <v>1.9923281462434127E-2</v>
      </c>
      <c r="V670" s="2864">
        <f>+V656/'VVP2'!V$341</f>
        <v>1.9146086401790229E-2</v>
      </c>
      <c r="W670" s="2864">
        <f>+W656/'VVP2'!W$341</f>
        <v>1.9818821997664614E-2</v>
      </c>
      <c r="X670" s="2864">
        <f>+X656/'VVP2'!X$341</f>
        <v>1.7533932581035177E-2</v>
      </c>
      <c r="Y670" s="2864">
        <f>+Y656/'VVP2'!Y$341</f>
        <v>1.5825673311946769E-2</v>
      </c>
      <c r="Z670" s="2864">
        <f>+Z656/'VVP2'!Z$341</f>
        <v>1.5798664853802255E-2</v>
      </c>
      <c r="AA670" s="2864">
        <f>+AA656/'VVP2'!AA$341</f>
        <v>1.6520331389885429E-2</v>
      </c>
      <c r="AB670" s="2864">
        <f>+AB656/'VVP2'!AB$341</f>
        <v>1.66205824302685E-2</v>
      </c>
      <c r="AC670" s="2864">
        <f ca="1">+AC656/'VVP2'!AC$341</f>
        <v>1.5921268545402569E-2</v>
      </c>
      <c r="AD670" s="2864">
        <f ca="1">+AD656/'VVP2'!AD$341</f>
        <v>1.5572072553202391E-2</v>
      </c>
      <c r="AE670" s="2864">
        <f ca="1">+AE656/'VVP2'!AE$341</f>
        <v>1.5192299396724392E-2</v>
      </c>
    </row>
    <row r="671" spans="1:113" ht="12.75" customHeight="1">
      <c r="B671" s="664"/>
      <c r="C671" s="1874" t="s">
        <v>1767</v>
      </c>
      <c r="D671" s="674" t="s">
        <v>687</v>
      </c>
      <c r="E671" s="706" t="s">
        <v>1340</v>
      </c>
      <c r="F671" s="704" t="s">
        <v>844</v>
      </c>
      <c r="G671" s="1893">
        <f>+G657/'VVP2'!G$341</f>
        <v>8.1725487569756311E-2</v>
      </c>
      <c r="H671" s="1893">
        <f>+H657/'VVP2'!H$341</f>
        <v>8.5808845858875965E-2</v>
      </c>
      <c r="I671" s="1893">
        <f>+I657/'VVP2'!I$341</f>
        <v>9.6447220056736657E-2</v>
      </c>
      <c r="J671" s="1893">
        <f>+J657/'VVP2'!J$341</f>
        <v>0.10839305296591296</v>
      </c>
      <c r="K671" s="1893">
        <f>+K657/'VVP2'!K$341</f>
        <v>0.12203117035135083</v>
      </c>
      <c r="L671" s="1893">
        <f>+L657/'VVP2'!L$341</f>
        <v>0.11482041684058712</v>
      </c>
      <c r="M671" s="1893">
        <f>+M657/'VVP2'!M$341</f>
        <v>0.11285763801805203</v>
      </c>
      <c r="N671" s="1893">
        <f>+N657/'VVP2'!N$341</f>
        <v>9.9892975805427761E-2</v>
      </c>
      <c r="O671" s="1893">
        <f>+O657/'VVP2'!O$341</f>
        <v>9.7738966000499167E-2</v>
      </c>
      <c r="P671" s="1893">
        <f>+P657/'VVP2'!P$341</f>
        <v>9.7499577798101963E-2</v>
      </c>
      <c r="Q671" s="1893">
        <f>+Q657/'VVP2'!Q$341</f>
        <v>9.3217663737629353E-2</v>
      </c>
      <c r="R671" s="1893">
        <f>+R657/'VVP2'!R$341</f>
        <v>9.1717824278069265E-2</v>
      </c>
      <c r="S671" s="1893">
        <f>+S657/'VVP2'!S$341</f>
        <v>9.6592846030358823E-2</v>
      </c>
      <c r="T671" s="1893">
        <f>+T657/'VVP2'!T$341</f>
        <v>0.11488921675493358</v>
      </c>
      <c r="U671" s="2864">
        <f>+U657/'VVP2'!U$341</f>
        <v>0.16167770937396281</v>
      </c>
      <c r="V671" s="2864">
        <f>+V657/'VVP2'!V$341</f>
        <v>0.14303655745788268</v>
      </c>
      <c r="W671" s="2864">
        <f>+W657/'VVP2'!W$341</f>
        <v>0.1248019204919406</v>
      </c>
      <c r="X671" s="2864">
        <f>+X657/'VVP2'!X$341</f>
        <v>0.11959825455313106</v>
      </c>
      <c r="Y671" s="2864">
        <f>+Y657/'VVP2'!Y$341</f>
        <v>0.11311183035299265</v>
      </c>
      <c r="Z671" s="2864">
        <f>+Z657/'VVP2'!Z$341</f>
        <v>0.10850113814486215</v>
      </c>
      <c r="AA671" s="2864">
        <f>+AA657/'VVP2'!AA$341</f>
        <v>0.10831998944066801</v>
      </c>
      <c r="AB671" s="2864">
        <f>+AB657/'VVP2'!AB$341</f>
        <v>0.11017209953781287</v>
      </c>
      <c r="AC671" s="2864">
        <f ca="1">+AC657/'VVP2'!AC$341</f>
        <v>0.1142038454965528</v>
      </c>
      <c r="AD671" s="2864">
        <f ca="1">+AD657/'VVP2'!AD$341</f>
        <v>0.12087240170200475</v>
      </c>
      <c r="AE671" s="2864">
        <f ca="1">+AE657/'VVP2'!AE$341</f>
        <v>0.12135925006254542</v>
      </c>
    </row>
    <row r="672" spans="1:113" ht="12.75" customHeight="1">
      <c r="B672" s="664"/>
      <c r="C672" s="1874" t="s">
        <v>1767</v>
      </c>
      <c r="D672" s="674" t="s">
        <v>687</v>
      </c>
      <c r="E672" s="706" t="s">
        <v>1205</v>
      </c>
      <c r="F672" s="704" t="s">
        <v>846</v>
      </c>
      <c r="G672" s="1893">
        <f>+G658/'VVP2'!G$341</f>
        <v>3.4696240467871208E-3</v>
      </c>
      <c r="H672" s="1893">
        <f>+H658/'VVP2'!H$341</f>
        <v>8.3352635073578232E-3</v>
      </c>
      <c r="I672" s="1893">
        <f>+I658/'VVP2'!I$341</f>
        <v>7.3215208702579419E-3</v>
      </c>
      <c r="J672" s="1893">
        <f>+J658/'VVP2'!J$341</f>
        <v>1.1329323696279208E-2</v>
      </c>
      <c r="K672" s="1893">
        <f>+K658/'VVP2'!K$341</f>
        <v>1.470569725804117E-2</v>
      </c>
      <c r="L672" s="1893">
        <f>+L658/'VVP2'!L$341</f>
        <v>1.733220228931687E-2</v>
      </c>
      <c r="M672" s="1893">
        <f>+M658/'VVP2'!M$341</f>
        <v>1.5042424823100746E-2</v>
      </c>
      <c r="N672" s="1893">
        <f>+N658/'VVP2'!N$341</f>
        <v>1.3051426210863318E-2</v>
      </c>
      <c r="O672" s="1893">
        <f>+O658/'VVP2'!O$341</f>
        <v>1.2347256618479911E-2</v>
      </c>
      <c r="P672" s="1893">
        <f>+P658/'VVP2'!P$341</f>
        <v>8.9764510037438888E-3</v>
      </c>
      <c r="Q672" s="1893">
        <f>+Q658/'VVP2'!Q$341</f>
        <v>7.6524769847183772E-3</v>
      </c>
      <c r="R672" s="1893">
        <f>+R658/'VVP2'!R$341</f>
        <v>6.9773970708304845E-3</v>
      </c>
      <c r="S672" s="1893">
        <f>+S658/'VVP2'!S$341</f>
        <v>6.6220946769116138E-3</v>
      </c>
      <c r="T672" s="1893">
        <f>+T658/'VVP2'!T$341</f>
        <v>6.5481455382691844E-3</v>
      </c>
      <c r="U672" s="2864">
        <f>+U658/'VVP2'!U$341</f>
        <v>1.2370604295851987E-2</v>
      </c>
      <c r="V672" s="2864">
        <f>+V658/'VVP2'!V$341</f>
        <v>1.8191315293535029E-2</v>
      </c>
      <c r="W672" s="2864">
        <f>+W658/'VVP2'!W$341</f>
        <v>1.8405886814267608E-2</v>
      </c>
      <c r="X672" s="2864">
        <f>+X658/'VVP2'!X$341</f>
        <v>1.9748126451340511E-2</v>
      </c>
      <c r="Y672" s="2864">
        <f>+Y658/'VVP2'!Y$341</f>
        <v>1.758627446212991E-2</v>
      </c>
      <c r="Z672" s="2864">
        <f>+Z658/'VVP2'!Z$341</f>
        <v>1.6045600175890139E-2</v>
      </c>
      <c r="AA672" s="2864">
        <f>+AA658/'VVP2'!AA$341</f>
        <v>1.5194536721332761E-2</v>
      </c>
      <c r="AB672" s="2864">
        <f>+AB658/'VVP2'!AB$341</f>
        <v>1.3364169945836796E-2</v>
      </c>
      <c r="AC672" s="2864">
        <f ca="1">+AC658/'VVP2'!AC$341</f>
        <v>1.1847888934176003E-2</v>
      </c>
      <c r="AD672" s="2864">
        <f ca="1">+AD658/'VVP2'!AD$341</f>
        <v>8.7081300421495821E-3</v>
      </c>
      <c r="AE672" s="2864">
        <f ca="1">+AE658/'VVP2'!AE$341</f>
        <v>8.5910929200566106E-3</v>
      </c>
    </row>
    <row r="673" spans="1:113" ht="12.75" customHeight="1">
      <c r="B673" s="664"/>
      <c r="C673" s="1874" t="s">
        <v>1767</v>
      </c>
      <c r="D673" s="674" t="s">
        <v>687</v>
      </c>
      <c r="E673" s="706" t="s">
        <v>1488</v>
      </c>
      <c r="F673" s="704" t="s">
        <v>2086</v>
      </c>
      <c r="G673" s="1893">
        <f>+G659/'VVP2'!G$341</f>
        <v>1.0258186908930742E-2</v>
      </c>
      <c r="H673" s="1893">
        <f>+H659/'VVP2'!H$341</f>
        <v>1.1818841586757462E-2</v>
      </c>
      <c r="I673" s="1893">
        <f>+I659/'VVP2'!I$341</f>
        <v>8.6239395991586747E-3</v>
      </c>
      <c r="J673" s="1893">
        <f>+J659/'VVP2'!J$341</f>
        <v>1.0490740257227023E-2</v>
      </c>
      <c r="K673" s="1893">
        <f>+K659/'VVP2'!K$341</f>
        <v>1.0414503370022843E-2</v>
      </c>
      <c r="L673" s="1893">
        <f>+L659/'VVP2'!L$341</f>
        <v>7.8275427171088357E-3</v>
      </c>
      <c r="M673" s="1893">
        <f>+M659/'VVP2'!M$341</f>
        <v>8.4018339471852513E-3</v>
      </c>
      <c r="N673" s="1893">
        <f>+N659/'VVP2'!N$341</f>
        <v>7.8817695105369828E-3</v>
      </c>
      <c r="O673" s="1893">
        <f>+O659/'VVP2'!O$341</f>
        <v>7.7691547159669033E-3</v>
      </c>
      <c r="P673" s="1893">
        <f>+P659/'VVP2'!P$341</f>
        <v>6.8873740796546942E-3</v>
      </c>
      <c r="Q673" s="1893">
        <f>+Q659/'VVP2'!Q$341</f>
        <v>6.7497208645699172E-3</v>
      </c>
      <c r="R673" s="1893">
        <f>+R659/'VVP2'!R$341</f>
        <v>6.723650888443876E-3</v>
      </c>
      <c r="S673" s="1893">
        <f>+S659/'VVP2'!S$341</f>
        <v>8.8004198251692631E-3</v>
      </c>
      <c r="T673" s="1893">
        <f>+T659/'VVP2'!T$341</f>
        <v>6.7542851969704196E-3</v>
      </c>
      <c r="U673" s="2864">
        <f>+U659/'VVP2'!U$341</f>
        <v>6.3278685359694263E-3</v>
      </c>
      <c r="V673" s="2864">
        <f>+V659/'VVP2'!V$341</f>
        <v>4.9233507185401848E-3</v>
      </c>
      <c r="W673" s="2864">
        <f>+W659/'VVP2'!W$341</f>
        <v>3.9190646170846532E-3</v>
      </c>
      <c r="X673" s="2864">
        <f>+X659/'VVP2'!X$341</f>
        <v>3.1431717427600897E-3</v>
      </c>
      <c r="Y673" s="2864">
        <f>+Y659/'VVP2'!Y$341</f>
        <v>3.3075273922936869E-3</v>
      </c>
      <c r="Z673" s="2864">
        <f>+Z659/'VVP2'!Z$341</f>
        <v>3.2470764279862218E-3</v>
      </c>
      <c r="AA673" s="2864">
        <f>+AA659/'VVP2'!AA$341</f>
        <v>3.9429165505505308E-3</v>
      </c>
      <c r="AB673" s="2864">
        <f>+AB659/'VVP2'!AB$341</f>
        <v>4.2005962503672261E-3</v>
      </c>
      <c r="AC673" s="2864">
        <f ca="1">+AC659/'VVP2'!AC$341</f>
        <v>3.801257537537702E-3</v>
      </c>
      <c r="AD673" s="2864">
        <f ca="1">+AD659/'VVP2'!AD$341</f>
        <v>3.7660768131281309E-3</v>
      </c>
      <c r="AE673" s="2864">
        <f ca="1">+AE659/'VVP2'!AE$341</f>
        <v>3.7406967038084256E-3</v>
      </c>
    </row>
    <row r="674" spans="1:113" ht="12.75" customHeight="1">
      <c r="B674" s="664"/>
      <c r="C674" s="1874" t="s">
        <v>1767</v>
      </c>
      <c r="D674" s="674" t="s">
        <v>687</v>
      </c>
      <c r="E674" s="706" t="s">
        <v>908</v>
      </c>
      <c r="F674" s="704" t="s">
        <v>161</v>
      </c>
      <c r="G674" s="1893">
        <f>+G660/'VVP2'!G$341</f>
        <v>1.0985854906864936E-3</v>
      </c>
      <c r="H674" s="1893">
        <f>+H660/'VVP2'!H$341</f>
        <v>1.0222201633699295E-3</v>
      </c>
      <c r="I674" s="1893">
        <f>+I660/'VVP2'!I$341</f>
        <v>2.0045478039702021E-2</v>
      </c>
      <c r="J674" s="1893">
        <f>+J660/'VVP2'!J$341</f>
        <v>6.8369124156424993E-3</v>
      </c>
      <c r="K674" s="1893">
        <f>+K660/'VVP2'!K$341</f>
        <v>5.5427593281351288E-3</v>
      </c>
      <c r="L674" s="1893">
        <f>+L660/'VVP2'!L$341</f>
        <v>1.4541994497381094E-3</v>
      </c>
      <c r="M674" s="1893">
        <f>+M660/'VVP2'!M$341</f>
        <v>4.1790775595088809E-3</v>
      </c>
      <c r="N674" s="1893">
        <f>+N660/'VVP2'!N$341</f>
        <v>1.6931793290036882E-3</v>
      </c>
      <c r="O674" s="1893">
        <f>+O660/'VVP2'!O$341</f>
        <v>2.0919723934035976E-3</v>
      </c>
      <c r="P674" s="1893">
        <f>+P660/'VVP2'!P$341</f>
        <v>7.7548070701820189E-3</v>
      </c>
      <c r="Q674" s="1893">
        <f>+Q660/'VVP2'!Q$341</f>
        <v>1.8125590707706515E-2</v>
      </c>
      <c r="R674" s="1893">
        <f>+R660/'VVP2'!R$341</f>
        <v>1.2701844498026926E-2</v>
      </c>
      <c r="S674" s="1893">
        <f>+S660/'VVP2'!S$341</f>
        <v>1.3263817006913755E-2</v>
      </c>
      <c r="T674" s="1893">
        <f>+T660/'VVP2'!T$341</f>
        <v>1.4797707873800933E-2</v>
      </c>
      <c r="U674" s="2864">
        <f>+U660/'VVP2'!U$341</f>
        <v>1.6749322995290115E-2</v>
      </c>
      <c r="V674" s="2864">
        <f>+V660/'VVP2'!V$341</f>
        <v>1.2458407159213434E-2</v>
      </c>
      <c r="W674" s="2864">
        <f>+W660/'VVP2'!W$341</f>
        <v>1.6057389660601395E-2</v>
      </c>
      <c r="X674" s="2864">
        <f>+X660/'VVP2'!X$341</f>
        <v>1.4158366438290441E-2</v>
      </c>
      <c r="Y674" s="2864">
        <f>+Y660/'VVP2'!Y$341</f>
        <v>1.6021041400586102E-2</v>
      </c>
      <c r="Z674" s="2864">
        <f>+Z660/'VVP2'!Z$341</f>
        <v>1.4266736089310188E-2</v>
      </c>
      <c r="AA674" s="2864">
        <f>+AA660/'VVP2'!AA$341</f>
        <v>1.4907575118344946E-2</v>
      </c>
      <c r="AB674" s="2864">
        <f>+AB660/'VVP2'!AB$341</f>
        <v>1.6743422005403907E-2</v>
      </c>
      <c r="AC674" s="2864">
        <f ca="1">+AC660/'VVP2'!AC$341</f>
        <v>1.6269875324322055E-2</v>
      </c>
      <c r="AD674" s="2864">
        <f ca="1">+AD660/'VVP2'!AD$341</f>
        <v>1.6065887553966603E-2</v>
      </c>
      <c r="AE674" s="2864">
        <f ca="1">+AE660/'VVP2'!AE$341</f>
        <v>1.5977013811348549E-2</v>
      </c>
    </row>
    <row r="675" spans="1:113" ht="12.75" customHeight="1">
      <c r="B675" s="664"/>
      <c r="C675" s="1874" t="s">
        <v>1769</v>
      </c>
      <c r="D675" s="806" t="s">
        <v>687</v>
      </c>
      <c r="E675" s="809" t="s">
        <v>159</v>
      </c>
      <c r="F675" s="808" t="s">
        <v>1817</v>
      </c>
      <c r="G675" s="1894">
        <f>+G661/'VVP2'!G$341</f>
        <v>0.2998352765717951</v>
      </c>
      <c r="H675" s="1894">
        <f>+H661/'VVP2'!H$341</f>
        <v>0.31611103390415018</v>
      </c>
      <c r="I675" s="1894">
        <f>+I661/'VVP2'!I$341</f>
        <v>0.35187652353991783</v>
      </c>
      <c r="J675" s="1894">
        <f>+J661/'VVP2'!J$341</f>
        <v>0.37475618109716202</v>
      </c>
      <c r="K675" s="1894">
        <f>+K661/'VVP2'!K$341</f>
        <v>0.37331656188444373</v>
      </c>
      <c r="L675" s="1894">
        <f>+L661/'VVP2'!L$341</f>
        <v>0.34832565091134321</v>
      </c>
      <c r="M675" s="1894">
        <f>+M661/'VVP2'!M$341</f>
        <v>0.32987237328208346</v>
      </c>
      <c r="N675" s="1894">
        <f>+N661/'VVP2'!N$341</f>
        <v>0.31241066242516691</v>
      </c>
      <c r="O675" s="1894">
        <f>+O661/'VVP2'!O$341</f>
        <v>0.30094645702547562</v>
      </c>
      <c r="P675" s="1894">
        <f>+P661/'VVP2'!P$341</f>
        <v>0.29941132992501257</v>
      </c>
      <c r="Q675" s="1894">
        <f>+Q661/'VVP2'!Q$341</f>
        <v>0.30193049825376689</v>
      </c>
      <c r="R675" s="1894">
        <f>+R661/'VVP2'!R$341</f>
        <v>0.29697356803678532</v>
      </c>
      <c r="S675" s="1894">
        <f>+S661/'VVP2'!S$341</f>
        <v>0.28973308457865626</v>
      </c>
      <c r="T675" s="1894">
        <f>+T661/'VVP2'!T$341</f>
        <v>0.32222350677202422</v>
      </c>
      <c r="U675" s="2264">
        <f>+U661/'VVP2'!U$341</f>
        <v>0.40021132496894363</v>
      </c>
      <c r="V675" s="2264">
        <f>+V661/'VVP2'!V$341</f>
        <v>0.36962629060007146</v>
      </c>
      <c r="W675" s="2264">
        <f>+W661/'VVP2'!W$341</f>
        <v>0.33590319779302014</v>
      </c>
      <c r="X675" s="2264">
        <f>+X661/'VVP2'!X$341</f>
        <v>0.32060981490010937</v>
      </c>
      <c r="Y675" s="2264">
        <f>+Y661/'VVP2'!Y$341</f>
        <v>0.30767928168617248</v>
      </c>
      <c r="Z675" s="2264">
        <f>+Z661/'VVP2'!Z$341</f>
        <v>0.29928697767573431</v>
      </c>
      <c r="AA675" s="2264">
        <f>+AA661/'VVP2'!AA$341</f>
        <v>0.30511820333180056</v>
      </c>
      <c r="AB675" s="2264">
        <f>+AB661/'VVP2'!AB$341</f>
        <v>0.3071837617977714</v>
      </c>
      <c r="AC675" s="2264">
        <f ca="1">+AC661/'VVP2'!AC$341</f>
        <v>0.30271987874878226</v>
      </c>
      <c r="AD675" s="2264">
        <f ca="1">+AD661/'VVP2'!AD$341</f>
        <v>0.30560668100188459</v>
      </c>
      <c r="AE675" s="2264">
        <f ca="1">+AE661/'VVP2'!AE$341</f>
        <v>0.30516812134086141</v>
      </c>
      <c r="AF675" s="3271"/>
      <c r="AG675" s="3271"/>
      <c r="AH675" s="3272"/>
      <c r="AI675" s="3272"/>
      <c r="AJ675" s="3272"/>
      <c r="AK675" s="3272"/>
      <c r="AL675" s="3272"/>
      <c r="AM675" s="3272"/>
    </row>
    <row r="676" spans="1:113" ht="12.75" customHeight="1">
      <c r="B676" s="664"/>
      <c r="C676" s="1874" t="s">
        <v>1767</v>
      </c>
      <c r="D676" s="674" t="s">
        <v>687</v>
      </c>
      <c r="E676" s="706" t="str">
        <f>+'VVP2'!E241</f>
        <v>Gross fixed capital formation (P.51)</v>
      </c>
      <c r="F676" s="704" t="s">
        <v>1176</v>
      </c>
      <c r="G676" s="1893">
        <f>+G662/'VVP2'!G$341</f>
        <v>3.232520191177058E-2</v>
      </c>
      <c r="H676" s="1893">
        <f>+H662/'VVP2'!H$341</f>
        <v>2.3799303078498892E-2</v>
      </c>
      <c r="I676" s="1893">
        <f>+I662/'VVP2'!I$341</f>
        <v>2.2642639159219199E-2</v>
      </c>
      <c r="J676" s="1893">
        <f>+J662/'VVP2'!J$341</f>
        <v>2.5304946413596721E-2</v>
      </c>
      <c r="K676" s="1893">
        <f>+K662/'VVP2'!K$341</f>
        <v>2.5655911542406904E-2</v>
      </c>
      <c r="L676" s="1893">
        <f>+L662/'VVP2'!L$341</f>
        <v>2.4233665315697421E-2</v>
      </c>
      <c r="M676" s="1893">
        <f>+M662/'VVP2'!M$341</f>
        <v>2.2785553861631107E-2</v>
      </c>
      <c r="N676" s="1893">
        <f>+N662/'VVP2'!N$341</f>
        <v>2.9711547759300152E-2</v>
      </c>
      <c r="O676" s="1893">
        <f>+O662/'VVP2'!O$341</f>
        <v>3.0776051565589671E-2</v>
      </c>
      <c r="P676" s="1893">
        <f>+P662/'VVP2'!P$341</f>
        <v>3.60664600618937E-2</v>
      </c>
      <c r="Q676" s="1893">
        <f>+Q662/'VVP2'!Q$341</f>
        <v>3.6066440184074643E-2</v>
      </c>
      <c r="R676" s="1893">
        <f>+R662/'VVP2'!R$341</f>
        <v>4.2747718153192914E-2</v>
      </c>
      <c r="S676" s="1893">
        <f>+S662/'VVP2'!S$341</f>
        <v>5.4143397567410656E-2</v>
      </c>
      <c r="T676" s="1893">
        <f>+T662/'VVP2'!T$341</f>
        <v>5.3802756766213156E-2</v>
      </c>
      <c r="U676" s="2262">
        <f>+U662/'VVP2'!U$341</f>
        <v>4.4151028297200433E-2</v>
      </c>
      <c r="V676" s="2262">
        <f>+V662/'VVP2'!V$341</f>
        <v>4.9627046995717801E-2</v>
      </c>
      <c r="W676" s="2262">
        <f>+W662/'VVP2'!W$341</f>
        <v>4.7297038047892079E-2</v>
      </c>
      <c r="X676" s="2262">
        <f>+X662/'VVP2'!X$341</f>
        <v>3.9771827681501525E-2</v>
      </c>
      <c r="Y676" s="2262">
        <f>+Y662/'VVP2'!Y$341</f>
        <v>3.7456896736666412E-2</v>
      </c>
      <c r="Z676" s="2262">
        <f>+Z662/'VVP2'!Z$341</f>
        <v>3.5084504931596455E-2</v>
      </c>
      <c r="AA676" s="2262">
        <f>+AA662/'VVP2'!AA$341</f>
        <v>3.6725474201377034E-2</v>
      </c>
      <c r="AB676" s="2262">
        <f>+AB662/'VVP2'!AB$341</f>
        <v>2.9832948522201117E-2</v>
      </c>
      <c r="AC676" s="2262">
        <f ca="1">+AC662/'VVP2'!AC$341</f>
        <v>2.9605691699156677E-2</v>
      </c>
      <c r="AD676" s="2262">
        <f ca="1">+AD662/'VVP2'!AD$341</f>
        <v>3.0643438366237185E-2</v>
      </c>
      <c r="AE676" s="2262">
        <f ca="1">+AE662/'VVP2'!AE$341</f>
        <v>3.1241427986033979E-2</v>
      </c>
      <c r="AF676" s="3271">
        <f>50/3.4528</f>
        <v>14.481000926784059</v>
      </c>
      <c r="AG676" s="3271"/>
      <c r="AH676" s="3273"/>
      <c r="AI676" s="3273"/>
      <c r="AJ676" s="3273"/>
      <c r="AK676" s="3273"/>
      <c r="AL676" s="3273"/>
      <c r="AM676" s="3273"/>
    </row>
    <row r="677" spans="1:113" s="884" customFormat="1" ht="12.75" customHeight="1">
      <c r="A677" s="663"/>
      <c r="B677" s="664"/>
      <c r="C677" s="1875" t="s">
        <v>1767</v>
      </c>
      <c r="D677" s="1889" t="s">
        <v>687</v>
      </c>
      <c r="E677" s="1890" t="s">
        <v>2118</v>
      </c>
      <c r="F677" s="1891" t="s">
        <v>1818</v>
      </c>
      <c r="G677" s="1895">
        <f>+G663/'VVP2'!G$341</f>
        <v>1.3627354134764116E-2</v>
      </c>
      <c r="H677" s="1895">
        <f>+H663/'VVP2'!H$341</f>
        <v>2.5662564403473285E-2</v>
      </c>
      <c r="I677" s="1895">
        <f>+I663/'VVP2'!I$341</f>
        <v>0.12818205545045605</v>
      </c>
      <c r="J677" s="1895">
        <f>+J663/'VVP2'!J$341</f>
        <v>1.1736328478969374E-2</v>
      </c>
      <c r="K677" s="1895">
        <f>+K663/'VVP2'!K$341</f>
        <v>9.4516397001906845E-3</v>
      </c>
      <c r="L677" s="1895">
        <f>+L663/'VVP2'!L$341</f>
        <v>2.1387354149929164E-2</v>
      </c>
      <c r="M677" s="1895">
        <f>+M663/'VVP2'!M$341</f>
        <v>1.8255636682325292E-2</v>
      </c>
      <c r="N677" s="1895">
        <f>+N663/'VVP2'!N$341</f>
        <v>9.3486653550118176E-3</v>
      </c>
      <c r="O677" s="1895">
        <f>+O663/'VVP2'!O$341</f>
        <v>4.0645577761139595E-3</v>
      </c>
      <c r="P677" s="1895">
        <f>+P663/'VVP2'!P$341</f>
        <v>4.8821892210210481E-3</v>
      </c>
      <c r="Q677" s="1895">
        <f>+Q663/'VVP2'!Q$341</f>
        <v>2.7934969182020104E-3</v>
      </c>
      <c r="R677" s="1895">
        <f>+R663/'VVP2'!R$341</f>
        <v>3.3842514570678905E-3</v>
      </c>
      <c r="S677" s="1895">
        <f>+S663/'VVP2'!S$341</f>
        <v>8.6812765274618415E-3</v>
      </c>
      <c r="T677" s="1895">
        <f>+T663/'VVP2'!T$341</f>
        <v>4.8825126283479339E-3</v>
      </c>
      <c r="U677" s="2863">
        <f>+U663/'VVP2'!U$341</f>
        <v>4.5212850874815583E-3</v>
      </c>
      <c r="V677" s="2863">
        <f>+V663/'VVP2'!V$341</f>
        <v>3.7355954796083578E-3</v>
      </c>
      <c r="W677" s="2863">
        <f>+W663/'VVP2'!W$341</f>
        <v>4.1528911614653344E-2</v>
      </c>
      <c r="X677" s="2863">
        <f>+X663/'VVP2'!X$341</f>
        <v>6.4110868021571019E-4</v>
      </c>
      <c r="Y677" s="2863">
        <f>+Y663/'VVP2'!Y$341</f>
        <v>9.7930042205800101E-3</v>
      </c>
      <c r="Z677" s="2863">
        <f>+Z663/'VVP2'!Z$341</f>
        <v>1.2014510936800964E-2</v>
      </c>
      <c r="AA677" s="2863">
        <f>+AA663/'VVP2'!AA$341</f>
        <v>7.043918751925434E-3</v>
      </c>
      <c r="AB677" s="2863">
        <f>+AB663/'VVP2'!AB$341</f>
        <v>5.0459911369306965E-3</v>
      </c>
      <c r="AC677" s="2863">
        <f ca="1">+AC663/'VVP2'!AC$341</f>
        <v>7.2751208043739211E-3</v>
      </c>
      <c r="AD677" s="2863">
        <f ca="1">+AD663/'VVP2'!AD$341</f>
        <v>5.1978975694338576E-3</v>
      </c>
      <c r="AE677" s="2863">
        <f ca="1">+AE663/'VVP2'!AE$341</f>
        <v>4.9234279215101574E-3</v>
      </c>
      <c r="AF677" s="3342"/>
      <c r="AG677" s="3342"/>
      <c r="AH677" s="3343"/>
      <c r="AI677" s="3343"/>
      <c r="AJ677" s="3343"/>
      <c r="AK677" s="3343"/>
      <c r="AL677" s="3343"/>
      <c r="AM677" s="3343"/>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row>
    <row r="678" spans="1:113" ht="12.75" customHeight="1">
      <c r="B678" s="664"/>
      <c r="C678" s="774" t="s">
        <v>1769</v>
      </c>
      <c r="D678" s="806" t="s">
        <v>687</v>
      </c>
      <c r="E678" s="809" t="s">
        <v>163</v>
      </c>
      <c r="F678" s="808" t="s">
        <v>1142</v>
      </c>
      <c r="G678" s="841">
        <f>G664/'VVP2'!G$341</f>
        <v>0.34578783261832979</v>
      </c>
      <c r="H678" s="841">
        <f>H664/'VVP2'!H$341</f>
        <v>0.36557290138612231</v>
      </c>
      <c r="I678" s="841">
        <f>I664/'VVP2'!I$341</f>
        <v>0.502699512296641</v>
      </c>
      <c r="J678" s="841">
        <f>J664/'VVP2'!J$341</f>
        <v>0.41179668805617586</v>
      </c>
      <c r="K678" s="841">
        <f>K664/'VVP2'!K$341</f>
        <v>0.40842332647371632</v>
      </c>
      <c r="L678" s="841">
        <f>L664/'VVP2'!L$341</f>
        <v>0.39394667037696979</v>
      </c>
      <c r="M678" s="841">
        <f>M664/'VVP2'!M$341</f>
        <v>0.3709142683232684</v>
      </c>
      <c r="N678" s="841">
        <f>N664/'VVP2'!N$341</f>
        <v>0.35147021773865172</v>
      </c>
      <c r="O678" s="841">
        <f>O664/'VVP2'!O$341</f>
        <v>0.33578706636717931</v>
      </c>
      <c r="P678" s="841">
        <f>P664/'VVP2'!P$341</f>
        <v>0.34035943089377402</v>
      </c>
      <c r="Q678" s="841">
        <f>Q664/'VVP2'!Q$341</f>
        <v>0.34078995921884936</v>
      </c>
      <c r="R678" s="841">
        <f>R664/'VVP2'!R$341</f>
        <v>0.34310512235051194</v>
      </c>
      <c r="S678" s="841">
        <f>S664/'VVP2'!S$341</f>
        <v>0.35255775867352879</v>
      </c>
      <c r="T678" s="841">
        <f>T664/'VVP2'!T$341</f>
        <v>0.38090938785696715</v>
      </c>
      <c r="U678" s="2264">
        <f>U664/'VVP2'!U$341</f>
        <v>0.44888326708699006</v>
      </c>
      <c r="V678" s="2264">
        <f>V664/'VVP2'!V$341</f>
        <v>0.42298893307539764</v>
      </c>
      <c r="W678" s="2264">
        <f>W664/'VVP2'!W$341</f>
        <v>0.4247288277146325</v>
      </c>
      <c r="X678" s="2264">
        <f>X664/'VVP2'!X$341</f>
        <v>0.36102305112556848</v>
      </c>
      <c r="Y678" s="2264">
        <f>Y664/'VVP2'!Y$341</f>
        <v>0.35492918264341888</v>
      </c>
      <c r="Z678" s="2264">
        <f>Z664/'VVP2'!Z$341</f>
        <v>0.34638599354413163</v>
      </c>
      <c r="AA678" s="2264">
        <f>AA664/'VVP2'!AA$341</f>
        <v>0.34888813066425195</v>
      </c>
      <c r="AB678" s="2264">
        <f>AB664/'VVP2'!AB$341</f>
        <v>0.34206244284727133</v>
      </c>
      <c r="AC678" s="2264">
        <f ca="1">AC664/'VVP2'!AC$341</f>
        <v>0.33960069125231285</v>
      </c>
      <c r="AD678" s="2264">
        <f ca="1">AD664/'VVP2'!AD$341</f>
        <v>0.34144801693755561</v>
      </c>
      <c r="AE678" s="2264">
        <f ca="1">AE664/'VVP2'!AE$341</f>
        <v>0.3413329772484055</v>
      </c>
      <c r="AF678" s="3342"/>
      <c r="AG678" s="3342"/>
      <c r="AH678" s="3343"/>
      <c r="AI678" s="3343"/>
      <c r="AJ678" s="3343"/>
      <c r="AK678" s="3343"/>
      <c r="AL678" s="3343"/>
      <c r="AM678" s="3343"/>
    </row>
    <row r="679" spans="1:113">
      <c r="F679" s="1023"/>
      <c r="Q679" s="699"/>
      <c r="R679" s="699"/>
      <c r="S679" s="699"/>
      <c r="AB679" s="2221"/>
      <c r="AC679" s="2221"/>
      <c r="AD679" s="2221"/>
      <c r="AE679" s="2221"/>
      <c r="AF679" s="3342"/>
      <c r="AG679" s="3342"/>
      <c r="AH679" s="3343"/>
      <c r="AI679" s="3343"/>
      <c r="AJ679" s="3343"/>
      <c r="AK679" s="3343"/>
      <c r="AL679" s="3343"/>
      <c r="AM679" s="3343"/>
    </row>
    <row r="680" spans="1:113" ht="12.75" customHeight="1">
      <c r="B680" s="664"/>
      <c r="C680" s="774"/>
      <c r="D680" s="775"/>
      <c r="E680" s="776" t="s">
        <v>1227</v>
      </c>
      <c r="F680" s="777"/>
      <c r="G680" s="778">
        <f>+InputY!$G$3</f>
        <v>1995</v>
      </c>
      <c r="H680" s="778">
        <f>+G680+1</f>
        <v>1996</v>
      </c>
      <c r="I680" s="778">
        <f t="shared" ref="I680:W680" si="620">+H680+1</f>
        <v>1997</v>
      </c>
      <c r="J680" s="778">
        <f t="shared" si="620"/>
        <v>1998</v>
      </c>
      <c r="K680" s="778">
        <f>+J680+1</f>
        <v>1999</v>
      </c>
      <c r="L680" s="778">
        <f t="shared" si="620"/>
        <v>2000</v>
      </c>
      <c r="M680" s="778">
        <f t="shared" si="620"/>
        <v>2001</v>
      </c>
      <c r="N680" s="778">
        <f t="shared" si="620"/>
        <v>2002</v>
      </c>
      <c r="O680" s="778">
        <f t="shared" si="620"/>
        <v>2003</v>
      </c>
      <c r="P680" s="778">
        <f t="shared" si="620"/>
        <v>2004</v>
      </c>
      <c r="Q680" s="778">
        <f t="shared" si="620"/>
        <v>2005</v>
      </c>
      <c r="R680" s="778">
        <f t="shared" si="620"/>
        <v>2006</v>
      </c>
      <c r="S680" s="778">
        <f t="shared" si="620"/>
        <v>2007</v>
      </c>
      <c r="T680" s="2222">
        <f t="shared" si="620"/>
        <v>2008</v>
      </c>
      <c r="U680" s="2222">
        <f t="shared" si="620"/>
        <v>2009</v>
      </c>
      <c r="V680" s="2222">
        <f t="shared" si="620"/>
        <v>2010</v>
      </c>
      <c r="W680" s="2222">
        <f t="shared" si="620"/>
        <v>2011</v>
      </c>
      <c r="X680" s="2222">
        <f t="shared" ref="X680:AE680" si="621">+W680+1</f>
        <v>2012</v>
      </c>
      <c r="Y680" s="2222">
        <f t="shared" si="621"/>
        <v>2013</v>
      </c>
      <c r="Z680" s="2222">
        <f t="shared" si="621"/>
        <v>2014</v>
      </c>
      <c r="AA680" s="2222">
        <f t="shared" si="621"/>
        <v>2015</v>
      </c>
      <c r="AB680" s="2222">
        <f t="shared" si="621"/>
        <v>2016</v>
      </c>
      <c r="AC680" s="2222">
        <f t="shared" si="621"/>
        <v>2017</v>
      </c>
      <c r="AD680" s="2222">
        <f t="shared" si="621"/>
        <v>2018</v>
      </c>
      <c r="AE680" s="2222">
        <f t="shared" si="621"/>
        <v>2019</v>
      </c>
      <c r="AF680" s="3342"/>
      <c r="AG680" s="3342"/>
      <c r="AH680" s="3343"/>
      <c r="AI680" s="3343"/>
      <c r="AJ680" s="3343"/>
      <c r="AK680" s="3343"/>
      <c r="AL680" s="3343"/>
      <c r="AM680" s="3343"/>
    </row>
    <row r="681" spans="1:113" ht="12.75" customHeight="1">
      <c r="A681" s="1131"/>
      <c r="B681" s="664" t="s">
        <v>2423</v>
      </c>
      <c r="C681" s="779" t="s">
        <v>1767</v>
      </c>
      <c r="D681" s="668" t="s">
        <v>687</v>
      </c>
      <c r="E681" s="780" t="s">
        <v>1228</v>
      </c>
      <c r="F681" s="701"/>
      <c r="G681" s="780"/>
      <c r="H681" s="780"/>
      <c r="I681" s="780"/>
      <c r="J681" s="780"/>
      <c r="K681" s="780"/>
      <c r="L681" s="780"/>
      <c r="M681" s="780"/>
      <c r="N681" s="780"/>
      <c r="O681" s="780"/>
      <c r="P681" s="780"/>
      <c r="Q681" s="780"/>
      <c r="R681" s="780"/>
      <c r="S681" s="780"/>
      <c r="T681" s="2267"/>
      <c r="U681" s="3369"/>
      <c r="V681" s="3370"/>
      <c r="W681" s="3282"/>
      <c r="X681" s="3282"/>
      <c r="Y681" s="3282"/>
      <c r="Z681" s="3358"/>
      <c r="AA681" s="3358"/>
      <c r="AB681" s="3358"/>
      <c r="AC681" s="3358"/>
      <c r="AD681" s="3358"/>
      <c r="AE681" s="3358"/>
      <c r="AF681" s="3342"/>
      <c r="AG681" s="3342"/>
      <c r="AH681" s="3343"/>
      <c r="AI681" s="3343"/>
      <c r="AJ681" s="3343"/>
      <c r="AK681" s="3343"/>
      <c r="AL681" s="3343"/>
      <c r="AM681" s="3343"/>
    </row>
    <row r="682" spans="1:113" s="884" customFormat="1" ht="12.75" customHeight="1">
      <c r="A682" s="1131"/>
      <c r="B682" s="664" t="s">
        <v>2423</v>
      </c>
      <c r="C682" s="842" t="s">
        <v>1767</v>
      </c>
      <c r="D682" s="890" t="s">
        <v>687</v>
      </c>
      <c r="E682" s="1438" t="s">
        <v>1229</v>
      </c>
      <c r="F682" s="1439"/>
      <c r="G682" s="1438"/>
      <c r="H682" s="1438"/>
      <c r="I682" s="1438"/>
      <c r="J682" s="1438"/>
      <c r="K682" s="1438"/>
      <c r="L682" s="1438"/>
      <c r="M682" s="1438"/>
      <c r="N682" s="1438"/>
      <c r="O682" s="1438"/>
      <c r="P682" s="1438"/>
      <c r="Q682" s="1438"/>
      <c r="R682" s="1438"/>
      <c r="S682" s="1438"/>
      <c r="T682" s="2303"/>
      <c r="U682" s="3371"/>
      <c r="V682" s="3372"/>
      <c r="W682" s="3366"/>
      <c r="X682" s="3366"/>
      <c r="Y682" s="3366"/>
      <c r="Z682" s="3367"/>
      <c r="AA682" s="3367"/>
      <c r="AB682" s="3367"/>
      <c r="AC682" s="3367"/>
      <c r="AD682" s="3367"/>
      <c r="AE682" s="3367"/>
      <c r="AF682" s="3344"/>
      <c r="AG682" s="3344"/>
      <c r="AH682" s="3344"/>
      <c r="AI682" s="3344"/>
      <c r="AJ682" s="3344"/>
      <c r="AK682" s="3344"/>
      <c r="AL682" s="3344"/>
      <c r="AM682" s="3344"/>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row>
    <row r="683" spans="1:113">
      <c r="D683" s="837" t="s">
        <v>1183</v>
      </c>
      <c r="F683" s="1023"/>
      <c r="Q683" s="699"/>
      <c r="R683" s="699"/>
      <c r="S683" s="699"/>
      <c r="AB683" s="2221"/>
      <c r="AC683" s="2221"/>
      <c r="AD683" s="2221"/>
      <c r="AE683" s="2221"/>
    </row>
    <row r="684" spans="1:113">
      <c r="F684" s="1023"/>
      <c r="Q684" s="699"/>
      <c r="R684" s="699"/>
      <c r="S684" s="699"/>
      <c r="AB684" s="2221"/>
      <c r="AC684" s="2221"/>
      <c r="AD684" s="2221"/>
      <c r="AE684" s="2221"/>
    </row>
    <row r="685" spans="1:113" ht="12.75" customHeight="1">
      <c r="B685" s="664"/>
      <c r="C685" s="774"/>
      <c r="D685" s="858"/>
      <c r="E685" s="859" t="s">
        <v>1792</v>
      </c>
      <c r="F685" s="860"/>
      <c r="G685" s="861">
        <f>+InputY!$G$3</f>
        <v>1995</v>
      </c>
      <c r="H685" s="861">
        <f>+G685+1</f>
        <v>1996</v>
      </c>
      <c r="I685" s="861">
        <f t="shared" ref="I685:Q685" si="622">+H685+1</f>
        <v>1997</v>
      </c>
      <c r="J685" s="861">
        <f t="shared" si="622"/>
        <v>1998</v>
      </c>
      <c r="K685" s="861">
        <f>+J685+1</f>
        <v>1999</v>
      </c>
      <c r="L685" s="861">
        <f t="shared" si="622"/>
        <v>2000</v>
      </c>
      <c r="M685" s="861">
        <f t="shared" si="622"/>
        <v>2001</v>
      </c>
      <c r="N685" s="861">
        <f t="shared" si="622"/>
        <v>2002</v>
      </c>
      <c r="O685" s="861">
        <f t="shared" si="622"/>
        <v>2003</v>
      </c>
      <c r="P685" s="861">
        <f t="shared" si="622"/>
        <v>2004</v>
      </c>
      <c r="Q685" s="861">
        <f t="shared" si="622"/>
        <v>2005</v>
      </c>
      <c r="R685" s="861">
        <f t="shared" ref="R685:W685" si="623">+Q685+1</f>
        <v>2006</v>
      </c>
      <c r="S685" s="861">
        <f t="shared" si="623"/>
        <v>2007</v>
      </c>
      <c r="T685" s="2216">
        <f t="shared" si="623"/>
        <v>2008</v>
      </c>
      <c r="U685" s="2216">
        <f t="shared" si="623"/>
        <v>2009</v>
      </c>
      <c r="V685" s="2216">
        <f t="shared" si="623"/>
        <v>2010</v>
      </c>
      <c r="W685" s="2216">
        <f t="shared" si="623"/>
        <v>2011</v>
      </c>
      <c r="X685" s="2216">
        <f t="shared" ref="X685:AE685" si="624">+W685+1</f>
        <v>2012</v>
      </c>
      <c r="Y685" s="2216">
        <f t="shared" si="624"/>
        <v>2013</v>
      </c>
      <c r="Z685" s="2216">
        <f t="shared" si="624"/>
        <v>2014</v>
      </c>
      <c r="AA685" s="2216">
        <f t="shared" si="624"/>
        <v>2015</v>
      </c>
      <c r="AB685" s="2216">
        <f t="shared" si="624"/>
        <v>2016</v>
      </c>
      <c r="AC685" s="2216">
        <f t="shared" si="624"/>
        <v>2017</v>
      </c>
      <c r="AD685" s="2216">
        <f t="shared" si="624"/>
        <v>2018</v>
      </c>
      <c r="AE685" s="2216">
        <f t="shared" si="624"/>
        <v>2019</v>
      </c>
    </row>
    <row r="686" spans="1:113" ht="12.75" customHeight="1">
      <c r="B686" s="664"/>
      <c r="C686" s="1873" t="s">
        <v>1767</v>
      </c>
      <c r="D686" s="863" t="s">
        <v>687</v>
      </c>
      <c r="E686" s="1888" t="s">
        <v>1228</v>
      </c>
      <c r="F686" s="865"/>
      <c r="G686" s="1048"/>
      <c r="H686" s="1048"/>
      <c r="I686" s="1048"/>
      <c r="J686" s="1048"/>
      <c r="K686" s="1048"/>
      <c r="L686" s="1048"/>
      <c r="M686" s="1048"/>
      <c r="N686" s="1048"/>
      <c r="O686" s="1048"/>
      <c r="P686" s="1048"/>
      <c r="Q686" s="1048"/>
      <c r="R686" s="1048"/>
      <c r="S686" s="1048"/>
      <c r="T686" s="1048"/>
      <c r="U686" s="1048">
        <f>+U661-IF(Last_forecast_year-Sector1!U685=2,Sector1!U681,IF(Last_forecast_year-Sector1!U685=1,Sector1!U681+Sector1!T681,Sector1!U681+Sector1!T681+Sector1!S681))</f>
        <v>10.779620000000001</v>
      </c>
      <c r="V686" s="1048">
        <f>+V661-IF(Last_forecast_year-Sector1!V685=2,Sector1!V681,IF(Last_forecast_year-Sector1!V685=1,Sector1!V681+Sector1!U681,Sector1!V681+Sector1!U681+Sector1!T681))</f>
        <v>10.35976</v>
      </c>
      <c r="W686" s="1048">
        <f>+W661-IF(Last_forecast_year-Sector1!W685=2,Sector1!W681,IF(Last_forecast_year-Sector1!W685=1,Sector1!W681+Sector1!V681,Sector1!W681+Sector1!V681+Sector1!U681))</f>
        <v>10.505479999999999</v>
      </c>
      <c r="X686" s="1048">
        <f>+X661-IF(Last_forecast_year-Sector1!X685=2,Sector1!X681,IF(Last_forecast_year-Sector1!X685=1,Sector1!X681+Sector1!W681,Sector1!X681+Sector1!W681+Sector1!V681))</f>
        <v>10.691850000000001</v>
      </c>
      <c r="Y686" s="1048">
        <f>+Y661-IF(Last_forecast_year-Sector1!Y685=2,Sector1!Y681,IF(Last_forecast_year-Sector1!Y685=1,Sector1!Y681+Sector1!X681,Sector1!Y681+Sector1!X681+Sector1!W681))</f>
        <v>10.756360000000001</v>
      </c>
      <c r="Z686" s="1048">
        <f>+Z661-IF(Last_forecast_year-Sector1!Z685=2,Sector1!Z681,IF(Last_forecast_year-Sector1!Z685=1,Sector1!Z681+Sector1!Y681,Sector1!Z681+Sector1!Y681+Sector1!X681))</f>
        <v>10.944410000000001</v>
      </c>
      <c r="AA686" s="1048">
        <f>+AA661-IF(Last_forecast_year-Sector1!AA685=2,Sector1!AA681,IF(Last_forecast_year-Sector1!AA685=1,Sector1!AA681+Sector1!Z681,Sector1!AA681+Sector1!Z681+Sector1!Y681))</f>
        <v>11.419540000000001</v>
      </c>
      <c r="AB686" s="1048">
        <f>+AB661-IF(Last_forecast_year-Sector1!AB685=2,Sector1!AB681,IF(Last_forecast_year-Sector1!AB685=1,Sector1!AB681+Sector1!AA681,Sector1!AB681+Sector1!AA681+Sector1!Z681))</f>
        <v>11.87828</v>
      </c>
      <c r="AC686" s="1048">
        <f>+AC661-IF(Last_forecast_year-Sector1!AC685=2,Sector1!AC681,IF(Last_forecast_year-Sector1!AC685=1,Sector1!AC681+Sector1!AB681,Sector1!AC681+Sector1!AB681+Sector1!AA681))</f>
        <v>12.647513900000002</v>
      </c>
      <c r="AD686" s="1048">
        <f ca="1">+AD661-IF(Last_forecast_year-Sector1!AD685=2,Sector1!AD681,IF(Last_forecast_year-Sector1!AD685=1,Sector1!AD681+Sector1!AC681,Sector1!AD681+Sector1!AC681+Sector1!AB681))</f>
        <v>13.511347627588002</v>
      </c>
      <c r="AE686" s="1048">
        <f ca="1">+AE661-IF(Last_forecast_year-Sector1!AE685=2,Sector1!AE681,IF(Last_forecast_year-Sector1!AE685=1,Sector1!AE681+Sector1!AD681,Sector1!AE681+Sector1!AD681+Sector1!AC681))</f>
        <v>14.244103491419233</v>
      </c>
    </row>
    <row r="687" spans="1:113" s="884" customFormat="1" ht="12.75" customHeight="1">
      <c r="A687" s="663"/>
      <c r="B687" s="664"/>
      <c r="C687" s="1875" t="s">
        <v>1767</v>
      </c>
      <c r="D687" s="1889" t="s">
        <v>687</v>
      </c>
      <c r="E687" s="1890" t="s">
        <v>1229</v>
      </c>
      <c r="F687" s="1891"/>
      <c r="G687" s="1660"/>
      <c r="H687" s="1660"/>
      <c r="I687" s="1660"/>
      <c r="J687" s="1660"/>
      <c r="K687" s="1660"/>
      <c r="L687" s="1660"/>
      <c r="M687" s="1660"/>
      <c r="N687" s="1660"/>
      <c r="O687" s="1660"/>
      <c r="P687" s="1660"/>
      <c r="Q687" s="1660"/>
      <c r="R687" s="1660"/>
      <c r="S687" s="1660"/>
      <c r="T687" s="1660"/>
      <c r="U687" s="1660">
        <f>+U664-IF(Last_forecast_year-Sector1!U685=2,Sector1!U682,IF(Last_forecast_year-Sector1!U685=1,Sector1!U682+Sector1!T682,Sector1!U682+Sector1!T682+Sector1!S682))</f>
        <v>12.090590000000001</v>
      </c>
      <c r="V687" s="1660">
        <f>+V664-IF(Last_forecast_year-Sector1!V685=2,Sector1!V682,IF(Last_forecast_year-Sector1!V685=1,Sector1!V682+Sector1!U682,Sector1!V682+Sector1!U682+Sector1!T682))</f>
        <v>11.85539</v>
      </c>
      <c r="W687" s="1660">
        <f>+W664-IF(Last_forecast_year-Sector1!W685=2,Sector1!W682,IF(Last_forecast_year-Sector1!W685=1,Sector1!W682+Sector1!V682,Sector1!W682+Sector1!V682+Sector1!U682))</f>
        <v>13.283530000000001</v>
      </c>
      <c r="X687" s="1660">
        <f>+X664-IF(Last_forecast_year-Sector1!X685=2,Sector1!X682,IF(Last_forecast_year-Sector1!X685=1,Sector1!X682+Sector1!W682,Sector1!X682+Sector1!W682+Sector1!V682))</f>
        <v>12.039569999999999</v>
      </c>
      <c r="Y687" s="1660">
        <f>+Y664-IF(Last_forecast_year-Sector1!Y685=2,Sector1!Y682,IF(Last_forecast_year-Sector1!Y685=1,Sector1!Y682+Sector1!X682,Sector1!Y682+Sector1!X682+Sector1!W682))</f>
        <v>12.408200000000001</v>
      </c>
      <c r="Z687" s="1660">
        <f>+Z664-IF(Last_forecast_year-Sector1!Z685=2,Sector1!Z682,IF(Last_forecast_year-Sector1!Z685=1,Sector1!Z682+Sector1!Y682,Sector1!Z682+Sector1!Y682+Sector1!X682))</f>
        <v>12.666739999999999</v>
      </c>
      <c r="AA687" s="1660">
        <f>+AA664-IF(Last_forecast_year-Sector1!AA685=2,Sector1!AA682,IF(Last_forecast_year-Sector1!AA685=1,Sector1!AA682+Sector1!Z682,Sector1!AA682+Sector1!Z682+Sector1!Y682))</f>
        <v>13.057700000000001</v>
      </c>
      <c r="AB687" s="1660">
        <f>+AB664-IF(Last_forecast_year-Sector1!AB685=2,Sector1!AB682,IF(Last_forecast_year-Sector1!AB685=1,Sector1!AB682+Sector1!AA682,Sector1!AB682+Sector1!AA682+Sector1!Z682))</f>
        <v>13.226979999999999</v>
      </c>
      <c r="AC687" s="1660">
        <f ca="1">+AC664-IF(Last_forecast_year-Sector1!AC685=2,Sector1!AC682,IF(Last_forecast_year-Sector1!AC685=1,Sector1!AC682+Sector1!AB682,Sector1!AC682+Sector1!AB682+Sector1!AA682))</f>
        <v>14.188379305700002</v>
      </c>
      <c r="AD687" s="1660">
        <f ca="1">+AD664-IF(Last_forecast_year-Sector1!AD685=2,Sector1!AD682,IF(Last_forecast_year-Sector1!AD685=1,Sector1!AD682+Sector1!AC682,Sector1!AD682+Sector1!AC682+Sector1!AB682))</f>
        <v>15.095948944798822</v>
      </c>
      <c r="AE687" s="1660">
        <f ca="1">+AE664-IF(Last_forecast_year-Sector1!AE685=2,Sector1!AE682,IF(Last_forecast_year-Sector1!AE685=1,Sector1!AE682+Sector1!AD682,Sector1!AE682+Sector1!AD682+Sector1!AC682))</f>
        <v>15.932143343143899</v>
      </c>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row>
    <row r="688" spans="1:113" ht="30" customHeight="1">
      <c r="Q688" s="1896"/>
      <c r="R688" s="2304"/>
      <c r="S688" s="2304"/>
      <c r="T688" s="2304"/>
      <c r="U688" s="2304"/>
      <c r="V688" s="2304"/>
      <c r="W688" s="2304"/>
      <c r="X688" s="2304"/>
      <c r="Y688" s="2304"/>
      <c r="Z688" s="2304"/>
      <c r="AA688" s="2304"/>
      <c r="AB688" s="2304"/>
      <c r="AC688" s="2304"/>
      <c r="AD688" s="2304"/>
      <c r="AE688" s="2304"/>
    </row>
    <row r="689" spans="1:31" ht="30" customHeight="1">
      <c r="F689" s="1023"/>
      <c r="AB689" s="2221"/>
      <c r="AC689" s="2221"/>
      <c r="AD689" s="2221"/>
      <c r="AE689" s="2221"/>
    </row>
    <row r="690" spans="1:31" ht="12.75" customHeight="1">
      <c r="A690" s="664"/>
      <c r="B690" s="664"/>
      <c r="C690" s="774"/>
      <c r="D690" s="775"/>
      <c r="E690" s="776" t="s">
        <v>1682</v>
      </c>
      <c r="F690" s="777"/>
      <c r="G690" s="778">
        <f>+InputY!$G$3</f>
        <v>1995</v>
      </c>
      <c r="H690" s="778">
        <f>+G690+1</f>
        <v>1996</v>
      </c>
      <c r="I690" s="778">
        <f t="shared" ref="I690:O690" si="625">+H690+1</f>
        <v>1997</v>
      </c>
      <c r="J690" s="778">
        <f t="shared" si="625"/>
        <v>1998</v>
      </c>
      <c r="K690" s="778">
        <f>+J690+1</f>
        <v>1999</v>
      </c>
      <c r="L690" s="778">
        <f t="shared" si="625"/>
        <v>2000</v>
      </c>
      <c r="M690" s="778">
        <f t="shared" si="625"/>
        <v>2001</v>
      </c>
      <c r="N690" s="778">
        <f t="shared" si="625"/>
        <v>2002</v>
      </c>
      <c r="O690" s="778">
        <f t="shared" si="625"/>
        <v>2003</v>
      </c>
      <c r="P690" s="778">
        <f t="shared" ref="P690:W690" si="626">+O690+1</f>
        <v>2004</v>
      </c>
      <c r="Q690" s="778">
        <f t="shared" si="626"/>
        <v>2005</v>
      </c>
      <c r="R690" s="778">
        <f t="shared" si="626"/>
        <v>2006</v>
      </c>
      <c r="S690" s="778">
        <f t="shared" si="626"/>
        <v>2007</v>
      </c>
      <c r="T690" s="2222">
        <f t="shared" si="626"/>
        <v>2008</v>
      </c>
      <c r="U690" s="2222">
        <f t="shared" si="626"/>
        <v>2009</v>
      </c>
      <c r="V690" s="2222">
        <f t="shared" si="626"/>
        <v>2010</v>
      </c>
      <c r="W690" s="2222">
        <f t="shared" si="626"/>
        <v>2011</v>
      </c>
      <c r="X690" s="2222">
        <f t="shared" ref="X690:AE690" si="627">+W690+1</f>
        <v>2012</v>
      </c>
      <c r="Y690" s="2222">
        <f t="shared" si="627"/>
        <v>2013</v>
      </c>
      <c r="Z690" s="2222">
        <f t="shared" si="627"/>
        <v>2014</v>
      </c>
      <c r="AA690" s="2222">
        <f t="shared" si="627"/>
        <v>2015</v>
      </c>
      <c r="AB690" s="2222">
        <f t="shared" si="627"/>
        <v>2016</v>
      </c>
      <c r="AC690" s="2222">
        <f t="shared" si="627"/>
        <v>2017</v>
      </c>
      <c r="AD690" s="2222">
        <f t="shared" si="627"/>
        <v>2018</v>
      </c>
      <c r="AE690" s="2222">
        <f t="shared" si="627"/>
        <v>2019</v>
      </c>
    </row>
    <row r="691" spans="1:31" ht="12.75" customHeight="1">
      <c r="A691" s="664"/>
      <c r="B691" s="664"/>
      <c r="C691" s="779" t="s">
        <v>1767</v>
      </c>
      <c r="D691" s="668"/>
      <c r="E691" s="780" t="str">
        <f t="shared" ref="E691:AC691" si="628">+E13</f>
        <v>Taxes on production and imports (D.2r = D.21r+D.29r)</v>
      </c>
      <c r="F691" s="701" t="str">
        <f t="shared" si="628"/>
        <v>YATaxIndir</v>
      </c>
      <c r="G691" s="780">
        <f t="shared" si="628"/>
        <v>0.93413999999999997</v>
      </c>
      <c r="H691" s="780">
        <f t="shared" si="628"/>
        <v>1.1237200000000001</v>
      </c>
      <c r="I691" s="780">
        <f t="shared" si="628"/>
        <v>1.58561</v>
      </c>
      <c r="J691" s="780">
        <f t="shared" si="628"/>
        <v>1.7950299999999999</v>
      </c>
      <c r="K691" s="780">
        <f t="shared" si="628"/>
        <v>1.74356</v>
      </c>
      <c r="L691" s="780">
        <f t="shared" si="628"/>
        <v>1.6726099999999999</v>
      </c>
      <c r="M691" s="780">
        <f t="shared" si="628"/>
        <v>1.72933</v>
      </c>
      <c r="N691" s="780">
        <f t="shared" si="628"/>
        <v>1.8834200000000001</v>
      </c>
      <c r="O691" s="780">
        <f t="shared" si="628"/>
        <v>1.94069</v>
      </c>
      <c r="P691" s="780">
        <f t="shared" si="628"/>
        <v>2.0387400000000002</v>
      </c>
      <c r="Q691" s="780">
        <f t="shared" si="628"/>
        <v>2.3545599999999998</v>
      </c>
      <c r="R691" s="780">
        <f t="shared" si="628"/>
        <v>2.7234699999999998</v>
      </c>
      <c r="S691" s="780">
        <f t="shared" si="628"/>
        <v>3.3773499999999999</v>
      </c>
      <c r="T691" s="780">
        <f t="shared" si="628"/>
        <v>3.79074</v>
      </c>
      <c r="U691" s="780">
        <f t="shared" si="628"/>
        <v>3.1144400000000001</v>
      </c>
      <c r="V691" s="2267">
        <f t="shared" si="628"/>
        <v>3.3192600000000003</v>
      </c>
      <c r="W691" s="2267">
        <f t="shared" si="628"/>
        <v>3.6286</v>
      </c>
      <c r="X691" s="2267">
        <f t="shared" si="628"/>
        <v>3.7240700000000002</v>
      </c>
      <c r="Y691" s="2267">
        <f t="shared" si="628"/>
        <v>3.8413400000000002</v>
      </c>
      <c r="Z691" s="2267">
        <f t="shared" si="628"/>
        <v>4.0795399999999997</v>
      </c>
      <c r="AA691" s="2267">
        <f t="shared" si="628"/>
        <v>4.3436300000000001</v>
      </c>
      <c r="AB691" s="2267">
        <f t="shared" si="628"/>
        <v>4.5327600000000006</v>
      </c>
      <c r="AC691" s="2267">
        <f t="shared" si="628"/>
        <v>4.9279856999999998</v>
      </c>
      <c r="AD691" s="2267">
        <f>+AD13</f>
        <v>5.2460899270192165</v>
      </c>
      <c r="AE691" s="2267">
        <f>+AE13</f>
        <v>5.5409120675982919</v>
      </c>
    </row>
    <row r="692" spans="1:31" ht="12.75" customHeight="1">
      <c r="A692" s="664"/>
      <c r="B692" s="664"/>
      <c r="C692" s="782" t="s">
        <v>1767</v>
      </c>
      <c r="D692" s="674"/>
      <c r="E692" s="706" t="str">
        <f t="shared" ref="E692:AC692" si="629">+E12</f>
        <v>Taxes on products (D.2r) (Taxes paid to RoW)</v>
      </c>
      <c r="F692" s="704" t="str">
        <f t="shared" si="629"/>
        <v>TaxToRow</v>
      </c>
      <c r="G692" s="706">
        <f t="shared" si="629"/>
        <v>0</v>
      </c>
      <c r="H692" s="706">
        <f t="shared" si="629"/>
        <v>0</v>
      </c>
      <c r="I692" s="706">
        <f t="shared" si="629"/>
        <v>0</v>
      </c>
      <c r="J692" s="706">
        <f t="shared" si="629"/>
        <v>0</v>
      </c>
      <c r="K692" s="706">
        <f t="shared" si="629"/>
        <v>0</v>
      </c>
      <c r="L692" s="706">
        <f t="shared" si="629"/>
        <v>0</v>
      </c>
      <c r="M692" s="706">
        <f t="shared" si="629"/>
        <v>0</v>
      </c>
      <c r="N692" s="706">
        <f t="shared" si="629"/>
        <v>0</v>
      </c>
      <c r="O692" s="706">
        <f t="shared" si="629"/>
        <v>0</v>
      </c>
      <c r="P692" s="706">
        <f t="shared" si="629"/>
        <v>3.4464782205746058E-2</v>
      </c>
      <c r="Q692" s="706" t="e">
        <f t="shared" si="629"/>
        <v>#VALUE!</v>
      </c>
      <c r="R692" s="706" t="e">
        <f t="shared" si="629"/>
        <v>#VALUE!</v>
      </c>
      <c r="S692" s="706" t="e">
        <f t="shared" si="629"/>
        <v>#VALUE!</v>
      </c>
      <c r="T692" s="706">
        <f t="shared" si="629"/>
        <v>0.11799999999999999</v>
      </c>
      <c r="U692" s="706">
        <f t="shared" si="629"/>
        <v>7.9000000000000001E-2</v>
      </c>
      <c r="V692" s="2265">
        <f t="shared" si="629"/>
        <v>8.7999999999999995E-2</v>
      </c>
      <c r="W692" s="2265">
        <f t="shared" si="629"/>
        <v>9.1999999999999998E-2</v>
      </c>
      <c r="X692" s="2265">
        <f t="shared" si="629"/>
        <v>8.6999999999999994E-2</v>
      </c>
      <c r="Y692" s="2265">
        <f t="shared" si="629"/>
        <v>0.1</v>
      </c>
      <c r="Z692" s="2265">
        <f t="shared" si="629"/>
        <v>0.10299999999999999</v>
      </c>
      <c r="AA692" s="2265">
        <f t="shared" si="629"/>
        <v>0.123</v>
      </c>
      <c r="AB692" s="2265">
        <f t="shared" si="629"/>
        <v>0.112</v>
      </c>
      <c r="AC692" s="2265">
        <f t="shared" si="629"/>
        <v>0.11648</v>
      </c>
      <c r="AD692" s="2265">
        <f>+AD12</f>
        <v>0.1211392</v>
      </c>
      <c r="AE692" s="2265">
        <f>+AE12</f>
        <v>0.125984768</v>
      </c>
    </row>
    <row r="693" spans="1:31" ht="12.75" customHeight="1">
      <c r="A693" s="664"/>
      <c r="B693" s="664"/>
      <c r="C693" s="782" t="s">
        <v>1767</v>
      </c>
      <c r="D693" s="674"/>
      <c r="E693" s="706" t="str">
        <f t="shared" ref="E693:AC693" si="630">+E205</f>
        <v xml:space="preserve">Current taxes on income and wealth (D.5r)  </v>
      </c>
      <c r="F693" s="704" t="str">
        <f t="shared" si="630"/>
        <v>YATaxDir</v>
      </c>
      <c r="G693" s="706">
        <f t="shared" si="630"/>
        <v>0.65282000000000007</v>
      </c>
      <c r="H693" s="706">
        <f t="shared" si="630"/>
        <v>0.77739000000000003</v>
      </c>
      <c r="I693" s="706">
        <f t="shared" si="630"/>
        <v>1.02521</v>
      </c>
      <c r="J693" s="706">
        <f t="shared" si="630"/>
        <v>1.17039</v>
      </c>
      <c r="K693" s="706">
        <f t="shared" si="630"/>
        <v>1.1596099999999998</v>
      </c>
      <c r="L693" s="706">
        <f t="shared" si="630"/>
        <v>1.1185</v>
      </c>
      <c r="M693" s="706">
        <f t="shared" si="630"/>
        <v>1.1014699999999999</v>
      </c>
      <c r="N693" s="706">
        <f t="shared" si="630"/>
        <v>1.12815</v>
      </c>
      <c r="O693" s="706">
        <f t="shared" si="630"/>
        <v>1.31376</v>
      </c>
      <c r="P693" s="706">
        <f t="shared" si="630"/>
        <v>1.57897</v>
      </c>
      <c r="Q693" s="706">
        <f t="shared" si="630"/>
        <v>1.8784799999999999</v>
      </c>
      <c r="R693" s="706">
        <f t="shared" si="630"/>
        <v>2.2994699999999999</v>
      </c>
      <c r="S693" s="706">
        <f t="shared" si="630"/>
        <v>2.6336900000000001</v>
      </c>
      <c r="T693" s="706">
        <f t="shared" si="630"/>
        <v>3.0165999999999999</v>
      </c>
      <c r="U693" s="706">
        <f t="shared" si="630"/>
        <v>1.5983099999999999</v>
      </c>
      <c r="V693" s="2265">
        <f t="shared" si="630"/>
        <v>1.2940499999999999</v>
      </c>
      <c r="W693" s="2265">
        <f t="shared" si="630"/>
        <v>1.3590799999999998</v>
      </c>
      <c r="X693" s="2265">
        <f t="shared" si="630"/>
        <v>1.60755</v>
      </c>
      <c r="Y693" s="2265">
        <f t="shared" si="630"/>
        <v>1.7361900000000001</v>
      </c>
      <c r="Z693" s="2265">
        <f t="shared" si="630"/>
        <v>1.83673</v>
      </c>
      <c r="AA693" s="2265">
        <f t="shared" si="630"/>
        <v>2.0321899999999999</v>
      </c>
      <c r="AB693" s="2265">
        <f t="shared" si="630"/>
        <v>2.1945000000000001</v>
      </c>
      <c r="AC693" s="2265">
        <f t="shared" si="630"/>
        <v>2.3153593839999997</v>
      </c>
      <c r="AD693" s="2265">
        <f>+AD205</f>
        <v>2.3945682130239994</v>
      </c>
      <c r="AE693" s="2265">
        <f>+AE205</f>
        <v>2.5256978838147841</v>
      </c>
    </row>
    <row r="694" spans="1:31" ht="12.75" customHeight="1">
      <c r="A694" s="664"/>
      <c r="B694" s="664"/>
      <c r="C694" s="782" t="s">
        <v>1767</v>
      </c>
      <c r="D694" s="674"/>
      <c r="E694" s="706" t="str">
        <f t="shared" ref="E694:AC694" si="631">+E253</f>
        <v>Actual social contributions (D.611r)</v>
      </c>
      <c r="F694" s="704" t="str">
        <f t="shared" si="631"/>
        <v>YATaxActSoc</v>
      </c>
      <c r="G694" s="706">
        <f t="shared" si="631"/>
        <v>0.55920000000000003</v>
      </c>
      <c r="H694" s="706">
        <f t="shared" si="631"/>
        <v>0.74658000000000002</v>
      </c>
      <c r="I694" s="706">
        <f t="shared" si="631"/>
        <v>1.05233</v>
      </c>
      <c r="J694" s="706">
        <f t="shared" si="631"/>
        <v>1.30036</v>
      </c>
      <c r="K694" s="706">
        <f t="shared" si="631"/>
        <v>1.28443</v>
      </c>
      <c r="L694" s="706">
        <f t="shared" si="631"/>
        <v>1.3622799999999999</v>
      </c>
      <c r="M694" s="706">
        <f t="shared" si="631"/>
        <v>1.37643</v>
      </c>
      <c r="N694" s="706">
        <f t="shared" si="631"/>
        <v>1.4224300000000001</v>
      </c>
      <c r="O694" s="706">
        <f t="shared" si="631"/>
        <v>1.53271</v>
      </c>
      <c r="P694" s="706">
        <f t="shared" si="631"/>
        <v>1.66425</v>
      </c>
      <c r="Q694" s="706">
        <f t="shared" si="631"/>
        <v>1.8654900000000001</v>
      </c>
      <c r="R694" s="706">
        <f t="shared" si="631"/>
        <v>2.1977500000000001</v>
      </c>
      <c r="S694" s="706">
        <f t="shared" si="631"/>
        <v>2.64581</v>
      </c>
      <c r="T694" s="706">
        <f t="shared" si="631"/>
        <v>3.1147900000000002</v>
      </c>
      <c r="U694" s="706">
        <f t="shared" si="631"/>
        <v>3.4030100000000001</v>
      </c>
      <c r="V694" s="2265">
        <f t="shared" si="631"/>
        <v>3.29555</v>
      </c>
      <c r="W694" s="2265">
        <f t="shared" si="631"/>
        <v>3.4756199999999997</v>
      </c>
      <c r="X694" s="2265">
        <f t="shared" si="631"/>
        <v>3.6120100000000002</v>
      </c>
      <c r="Y694" s="2265">
        <f t="shared" si="631"/>
        <v>3.7942399999999998</v>
      </c>
      <c r="Z694" s="2265">
        <f t="shared" si="631"/>
        <v>4.0646199999999997</v>
      </c>
      <c r="AA694" s="2265">
        <f t="shared" si="631"/>
        <v>4.3401000000000005</v>
      </c>
      <c r="AB694" s="2265">
        <f t="shared" si="631"/>
        <v>4.7157900000000001</v>
      </c>
      <c r="AC694" s="2265">
        <f t="shared" si="631"/>
        <v>5.3</v>
      </c>
      <c r="AD694" s="2265">
        <f>+AD253</f>
        <v>5.6550999999999991</v>
      </c>
      <c r="AE694" s="2265">
        <f>+AE253</f>
        <v>5.9793080106769914</v>
      </c>
    </row>
    <row r="695" spans="1:31" ht="12.75" customHeight="1">
      <c r="A695" s="664"/>
      <c r="B695" s="664"/>
      <c r="C695" s="782" t="s">
        <v>1767</v>
      </c>
      <c r="D695" s="674"/>
      <c r="E695" s="706" t="str">
        <f t="shared" ref="E695:AC695" si="632">+E482</f>
        <v>Capital taxes (D.91r)</v>
      </c>
      <c r="F695" s="704" t="str">
        <f t="shared" si="632"/>
        <v>YACapTax</v>
      </c>
      <c r="G695" s="706">
        <f t="shared" si="632"/>
        <v>0</v>
      </c>
      <c r="H695" s="706">
        <f t="shared" si="632"/>
        <v>0</v>
      </c>
      <c r="I695" s="706">
        <f t="shared" si="632"/>
        <v>3.0000000000000001E-5</v>
      </c>
      <c r="J695" s="706">
        <f t="shared" si="632"/>
        <v>2.0000000000000001E-4</v>
      </c>
      <c r="K695" s="706">
        <f t="shared" si="632"/>
        <v>6.2E-4</v>
      </c>
      <c r="L695" s="706">
        <f t="shared" si="632"/>
        <v>5.2999999999999998E-4</v>
      </c>
      <c r="M695" s="706">
        <f t="shared" si="632"/>
        <v>6.4999999999999997E-4</v>
      </c>
      <c r="N695" s="706">
        <f t="shared" si="632"/>
        <v>6.6E-4</v>
      </c>
      <c r="O695" s="706">
        <f t="shared" si="632"/>
        <v>3.2000000000000003E-4</v>
      </c>
      <c r="P695" s="706">
        <f t="shared" si="632"/>
        <v>5.0000000000000001E-4</v>
      </c>
      <c r="Q695" s="706">
        <f t="shared" si="632"/>
        <v>6.7000000000000002E-4</v>
      </c>
      <c r="R695" s="706">
        <f t="shared" si="632"/>
        <v>1.2099999999999999E-3</v>
      </c>
      <c r="S695" s="706">
        <f t="shared" si="632"/>
        <v>1.82E-3</v>
      </c>
      <c r="T695" s="706">
        <f t="shared" si="632"/>
        <v>1.7600000000000001E-3</v>
      </c>
      <c r="U695" s="706">
        <f t="shared" si="632"/>
        <v>1.7800000000000001E-3</v>
      </c>
      <c r="V695" s="2265">
        <f t="shared" si="632"/>
        <v>1.1000000000000001E-3</v>
      </c>
      <c r="W695" s="2265">
        <f t="shared" si="632"/>
        <v>1E-3</v>
      </c>
      <c r="X695" s="2265">
        <f t="shared" si="632"/>
        <v>1.1999999999999999E-3</v>
      </c>
      <c r="Y695" s="2265">
        <f t="shared" si="632"/>
        <v>1.2800000000000001E-3</v>
      </c>
      <c r="Z695" s="2265">
        <f t="shared" si="632"/>
        <v>1.33E-3</v>
      </c>
      <c r="AA695" s="2265">
        <f t="shared" si="632"/>
        <v>1.4300000000000001E-3</v>
      </c>
      <c r="AB695" s="2265">
        <f t="shared" si="632"/>
        <v>1.47E-3</v>
      </c>
      <c r="AC695" s="2265">
        <f t="shared" si="632"/>
        <v>1.47E-3</v>
      </c>
      <c r="AD695" s="2265">
        <f>+AD482</f>
        <v>1.47E-3</v>
      </c>
      <c r="AE695" s="2265">
        <f>+AE482</f>
        <v>1.47E-3</v>
      </c>
    </row>
    <row r="696" spans="1:31" ht="12.75" customHeight="1">
      <c r="A696" s="664"/>
      <c r="B696" s="664"/>
      <c r="C696" s="782" t="s">
        <v>401</v>
      </c>
      <c r="D696" s="674"/>
      <c r="E696" s="706" t="str">
        <f>+E483</f>
        <v>Unpaid taxes (D.995)</v>
      </c>
      <c r="F696" s="704"/>
      <c r="G696" s="706">
        <f t="shared" ref="G696:AC696" si="633">+G483</f>
        <v>0</v>
      </c>
      <c r="H696" s="706">
        <f t="shared" si="633"/>
        <v>0</v>
      </c>
      <c r="I696" s="706">
        <f t="shared" si="633"/>
        <v>0</v>
      </c>
      <c r="J696" s="706">
        <f t="shared" si="633"/>
        <v>0</v>
      </c>
      <c r="K696" s="706">
        <f t="shared" si="633"/>
        <v>0</v>
      </c>
      <c r="L696" s="706">
        <f t="shared" si="633"/>
        <v>3.8509999999999996E-2</v>
      </c>
      <c r="M696" s="706">
        <f t="shared" si="633"/>
        <v>4.5679999999999998E-2</v>
      </c>
      <c r="N696" s="706">
        <f t="shared" si="633"/>
        <v>2.674E-2</v>
      </c>
      <c r="O696" s="706">
        <f t="shared" si="633"/>
        <v>1.4320000000000001E-2</v>
      </c>
      <c r="P696" s="706">
        <f t="shared" si="633"/>
        <v>1.1990000000000001E-2</v>
      </c>
      <c r="Q696" s="706">
        <f t="shared" si="633"/>
        <v>9.8000000000000014E-3</v>
      </c>
      <c r="R696" s="706">
        <f t="shared" si="633"/>
        <v>1.498E-2</v>
      </c>
      <c r="S696" s="706">
        <f t="shared" si="633"/>
        <v>8.8999999999999999E-3</v>
      </c>
      <c r="T696" s="706">
        <f t="shared" si="633"/>
        <v>1.8670000000000003E-2</v>
      </c>
      <c r="U696" s="706">
        <f t="shared" si="633"/>
        <v>4.725E-2</v>
      </c>
      <c r="V696" s="2265">
        <f t="shared" si="633"/>
        <v>3.1949999999999999E-2</v>
      </c>
      <c r="W696" s="2265">
        <f t="shared" si="633"/>
        <v>1.5939999999999999E-2</v>
      </c>
      <c r="X696" s="2265">
        <f t="shared" si="633"/>
        <v>1.4119999999999999E-2</v>
      </c>
      <c r="Y696" s="2265">
        <f t="shared" si="633"/>
        <v>1.7410000000000002E-2</v>
      </c>
      <c r="Z696" s="2265">
        <f t="shared" si="633"/>
        <v>1.5140000000000001E-2</v>
      </c>
      <c r="AA696" s="2265">
        <f t="shared" si="633"/>
        <v>1.763E-2</v>
      </c>
      <c r="AB696" s="2265">
        <f t="shared" si="633"/>
        <v>1.421E-2</v>
      </c>
      <c r="AC696" s="2265">
        <f t="shared" si="633"/>
        <v>1.421E-2</v>
      </c>
      <c r="AD696" s="2265">
        <f>+AD483</f>
        <v>1.421E-2</v>
      </c>
      <c r="AE696" s="2265">
        <f>+AE483</f>
        <v>1.421E-2</v>
      </c>
    </row>
    <row r="697" spans="1:31" ht="12.75" customHeight="1">
      <c r="A697" s="664"/>
      <c r="B697" s="664"/>
      <c r="C697" s="782" t="s">
        <v>1769</v>
      </c>
      <c r="D697" s="746"/>
      <c r="E697" s="799" t="s">
        <v>1682</v>
      </c>
      <c r="F697" s="748"/>
      <c r="G697" s="799">
        <f>+G691+G692+G693+G694+G695-G696</f>
        <v>2.1461600000000001</v>
      </c>
      <c r="H697" s="799">
        <f t="shared" ref="H697:S697" si="634">+H691+H692+H693+H694+H695-H696</f>
        <v>2.6476899999999999</v>
      </c>
      <c r="I697" s="799">
        <f t="shared" si="634"/>
        <v>3.6631800000000001</v>
      </c>
      <c r="J697" s="799">
        <f t="shared" si="634"/>
        <v>4.2659799999999999</v>
      </c>
      <c r="K697" s="799">
        <f t="shared" si="634"/>
        <v>4.1882199999999994</v>
      </c>
      <c r="L697" s="799">
        <f t="shared" si="634"/>
        <v>4.1154100000000007</v>
      </c>
      <c r="M697" s="799">
        <f t="shared" si="634"/>
        <v>4.1622000000000003</v>
      </c>
      <c r="N697" s="799">
        <f t="shared" si="634"/>
        <v>4.4079199999999998</v>
      </c>
      <c r="O697" s="799">
        <f t="shared" si="634"/>
        <v>4.7731600000000007</v>
      </c>
      <c r="P697" s="799">
        <f t="shared" si="634"/>
        <v>5.3049347822057467</v>
      </c>
      <c r="Q697" s="799" t="e">
        <f t="shared" si="634"/>
        <v>#VALUE!</v>
      </c>
      <c r="R697" s="799" t="e">
        <f t="shared" si="634"/>
        <v>#VALUE!</v>
      </c>
      <c r="S697" s="799" t="e">
        <f t="shared" si="634"/>
        <v>#VALUE!</v>
      </c>
      <c r="T697" s="799">
        <f t="shared" ref="T697:Y697" si="635">+T691+T692+T693+T694+T695-T696</f>
        <v>10.023220000000002</v>
      </c>
      <c r="U697" s="799">
        <f t="shared" si="635"/>
        <v>8.1492900000000006</v>
      </c>
      <c r="V697" s="2302">
        <f t="shared" si="635"/>
        <v>7.9660099999999998</v>
      </c>
      <c r="W697" s="2302">
        <f t="shared" si="635"/>
        <v>8.540359999999998</v>
      </c>
      <c r="X697" s="2302">
        <f t="shared" si="635"/>
        <v>9.017710000000001</v>
      </c>
      <c r="Y697" s="2302">
        <f t="shared" si="635"/>
        <v>9.4556400000000007</v>
      </c>
      <c r="Z697" s="2302">
        <f t="shared" ref="Z697:AE697" si="636">+Z691+Z692+Z693+Z694+Z695-Z696</f>
        <v>10.070079999999999</v>
      </c>
      <c r="AA697" s="2302">
        <f t="shared" si="636"/>
        <v>10.82272</v>
      </c>
      <c r="AB697" s="2302">
        <f t="shared" si="636"/>
        <v>11.542310000000001</v>
      </c>
      <c r="AC697" s="2302">
        <f t="shared" si="636"/>
        <v>12.647085083999999</v>
      </c>
      <c r="AD697" s="2302">
        <f t="shared" si="636"/>
        <v>13.404157340043215</v>
      </c>
      <c r="AE697" s="2302">
        <f t="shared" si="636"/>
        <v>14.159162730090067</v>
      </c>
    </row>
    <row r="698" spans="1:31" ht="12.75" customHeight="1">
      <c r="A698" s="664"/>
      <c r="B698" s="664"/>
      <c r="C698" s="1024" t="s">
        <v>338</v>
      </c>
      <c r="D698" s="674"/>
      <c r="E698" s="706" t="str">
        <f>+'VVP2'!E341</f>
        <v>GDP</v>
      </c>
      <c r="F698" s="704" t="str">
        <f>+'VVP2'!F341</f>
        <v>$GDP</v>
      </c>
      <c r="G698" s="706">
        <f>+'VVP2'!G341</f>
        <v>7.7645299999999997</v>
      </c>
      <c r="H698" s="706">
        <f>+'VVP2'!H341</f>
        <v>9.7141500000000001</v>
      </c>
      <c r="I698" s="706">
        <f>+'VVP2'!I341</f>
        <v>11.72434</v>
      </c>
      <c r="J698" s="706">
        <f>+'VVP2'!J341</f>
        <v>13.02196</v>
      </c>
      <c r="K698" s="706">
        <f>+'VVP2'!K341</f>
        <v>12.71208</v>
      </c>
      <c r="L698" s="706">
        <f>+'VVP2'!L341</f>
        <v>13.368180000000001</v>
      </c>
      <c r="M698" s="706">
        <f>+'VVP2'!M341</f>
        <v>14.194520000000001</v>
      </c>
      <c r="N698" s="706">
        <f>+'VVP2'!N341</f>
        <v>15.202170000000001</v>
      </c>
      <c r="O698" s="706">
        <f>+'VVP2'!O341</f>
        <v>16.668479999999999</v>
      </c>
      <c r="P698" s="706">
        <f>+'VVP2'!P341</f>
        <v>18.237719999999999</v>
      </c>
      <c r="Q698" s="706">
        <f>+'VVP2'!Q341</f>
        <v>21.00235</v>
      </c>
      <c r="R698" s="706">
        <f>+'VVP2'!R341</f>
        <v>24.079180000000001</v>
      </c>
      <c r="S698" s="706">
        <f>+'VVP2'!S341</f>
        <v>29.040659999999999</v>
      </c>
      <c r="T698" s="706">
        <f>+'VVP2'!T341</f>
        <v>32.696280000000002</v>
      </c>
      <c r="U698" s="706">
        <f>+'VVP2'!U341</f>
        <v>26.934819999999998</v>
      </c>
      <c r="V698" s="2265">
        <f>+'VVP2'!V341</f>
        <v>28.027660000000001</v>
      </c>
      <c r="W698" s="2265">
        <f>+'VVP2'!W341</f>
        <v>31.275320000000001</v>
      </c>
      <c r="X698" s="2265">
        <f>+'VVP2'!X341</f>
        <v>33.348480000000002</v>
      </c>
      <c r="Y698" s="2265">
        <f>+'VVP2'!Y341</f>
        <v>34.959650000000003</v>
      </c>
      <c r="Z698" s="2265">
        <f>+'VVP2'!Z341</f>
        <v>36.568280000000001</v>
      </c>
      <c r="AA698" s="2265">
        <f>+'VVP2'!AA341</f>
        <v>37.426610000000004</v>
      </c>
      <c r="AB698" s="2265">
        <f>+'VVP2'!AB341</f>
        <v>38.668320000000001</v>
      </c>
      <c r="AC698" s="2265">
        <f ca="1">+'VVP2'!AC341</f>
        <v>41.779594892398123</v>
      </c>
      <c r="AD698" s="2265">
        <f ca="1">+'VVP2'!AD341</f>
        <v>44.211558409957277</v>
      </c>
      <c r="AE698" s="2265">
        <f ca="1">+'VVP2'!AE341</f>
        <v>46.676249894100508</v>
      </c>
    </row>
    <row r="699" spans="1:31" ht="12.75" customHeight="1">
      <c r="A699" s="664"/>
      <c r="B699" s="664"/>
      <c r="C699" s="784" t="s">
        <v>1769</v>
      </c>
      <c r="D699" s="1331"/>
      <c r="E699" s="1332" t="s">
        <v>1652</v>
      </c>
      <c r="F699" s="1528"/>
      <c r="G699" s="1332">
        <f t="shared" ref="G699:Y699" si="637">+G697/G698</f>
        <v>0.27640565494627495</v>
      </c>
      <c r="H699" s="1332">
        <f t="shared" si="637"/>
        <v>0.27256013135477625</v>
      </c>
      <c r="I699" s="1332">
        <f t="shared" si="637"/>
        <v>0.31244232084705836</v>
      </c>
      <c r="J699" s="1332">
        <f t="shared" si="637"/>
        <v>0.32759891752086473</v>
      </c>
      <c r="K699" s="1332">
        <f t="shared" si="637"/>
        <v>0.32946771889415416</v>
      </c>
      <c r="L699" s="1332">
        <f t="shared" si="637"/>
        <v>0.30785118093861696</v>
      </c>
      <c r="M699" s="1332">
        <f t="shared" si="637"/>
        <v>0.29322583644955941</v>
      </c>
      <c r="N699" s="1332">
        <f t="shared" si="637"/>
        <v>0.28995334218733243</v>
      </c>
      <c r="O699" s="1332">
        <f t="shared" si="637"/>
        <v>0.28635844420127099</v>
      </c>
      <c r="P699" s="1332">
        <f t="shared" si="637"/>
        <v>0.29087708234394138</v>
      </c>
      <c r="Q699" s="1332" t="e">
        <f t="shared" si="637"/>
        <v>#VALUE!</v>
      </c>
      <c r="R699" s="1332" t="e">
        <f t="shared" si="637"/>
        <v>#VALUE!</v>
      </c>
      <c r="S699" s="1332" t="e">
        <f t="shared" si="637"/>
        <v>#VALUE!</v>
      </c>
      <c r="T699" s="1332">
        <f>+T697/T698</f>
        <v>0.30655536348477569</v>
      </c>
      <c r="U699" s="1332">
        <f>+U697/U698</f>
        <v>0.30255594802564117</v>
      </c>
      <c r="V699" s="2305">
        <f t="shared" si="637"/>
        <v>0.2842195887919291</v>
      </c>
      <c r="W699" s="2305">
        <f t="shared" si="637"/>
        <v>0.27307026754642311</v>
      </c>
      <c r="X699" s="2305">
        <f t="shared" si="637"/>
        <v>0.27040842641103885</v>
      </c>
      <c r="Y699" s="2305">
        <f t="shared" si="637"/>
        <v>0.27047295954049883</v>
      </c>
      <c r="Z699" s="2305">
        <f t="shared" ref="Z699:AE699" si="638">+Z697/Z698</f>
        <v>0.2753774582780486</v>
      </c>
      <c r="AA699" s="2305">
        <f t="shared" si="638"/>
        <v>0.28917179514789076</v>
      </c>
      <c r="AB699" s="2305">
        <f t="shared" si="638"/>
        <v>0.29849525399603605</v>
      </c>
      <c r="AC699" s="2305">
        <f t="shared" ca="1" si="638"/>
        <v>0.30270961498243631</v>
      </c>
      <c r="AD699" s="2305">
        <f t="shared" ca="1" si="638"/>
        <v>0.30318219538319519</v>
      </c>
      <c r="AE699" s="2305">
        <f t="shared" ca="1" si="638"/>
        <v>0.30334833587133719</v>
      </c>
    </row>
    <row r="700" spans="1:31" ht="30" customHeight="1">
      <c r="AB700" s="2221"/>
      <c r="AC700" s="2221"/>
      <c r="AD700" s="2221"/>
      <c r="AE700" s="2221"/>
    </row>
    <row r="701" spans="1:31">
      <c r="A701" s="1435" t="s">
        <v>663</v>
      </c>
      <c r="AB701" s="2221"/>
      <c r="AC701" s="2221"/>
      <c r="AD701" s="2221"/>
      <c r="AE701" s="2221"/>
    </row>
    <row r="702" spans="1:31" ht="30" customHeight="1">
      <c r="AB702" s="2221"/>
      <c r="AC702" s="2221"/>
      <c r="AD702" s="2221"/>
      <c r="AE702" s="2221"/>
    </row>
    <row r="703" spans="1:31" ht="22.5" customHeight="1">
      <c r="A703" s="574"/>
      <c r="B703" s="574"/>
      <c r="C703" s="3751" t="s">
        <v>909</v>
      </c>
      <c r="D703" s="3751"/>
      <c r="E703" s="3751"/>
      <c r="F703" s="3751"/>
      <c r="AB703" s="2221"/>
      <c r="AC703" s="2221"/>
      <c r="AD703" s="2221"/>
      <c r="AE703" s="2221"/>
    </row>
    <row r="704" spans="1:31">
      <c r="AB704" s="2221"/>
      <c r="AC704" s="2221"/>
      <c r="AD704" s="2221"/>
      <c r="AE704" s="2221"/>
    </row>
    <row r="705" spans="1:31" ht="12.75" customHeight="1">
      <c r="A705" s="664"/>
      <c r="B705" s="664"/>
      <c r="C705" s="774"/>
      <c r="D705" s="775"/>
      <c r="E705" s="776" t="s">
        <v>1384</v>
      </c>
      <c r="F705" s="777"/>
      <c r="G705" s="778">
        <f>+InputY!$G$3</f>
        <v>1995</v>
      </c>
      <c r="H705" s="778">
        <f>+G705+1</f>
        <v>1996</v>
      </c>
      <c r="I705" s="778">
        <f t="shared" ref="I705:O705" si="639">+H705+1</f>
        <v>1997</v>
      </c>
      <c r="J705" s="778">
        <f t="shared" si="639"/>
        <v>1998</v>
      </c>
      <c r="K705" s="778">
        <f>+J705+1</f>
        <v>1999</v>
      </c>
      <c r="L705" s="778">
        <f t="shared" si="639"/>
        <v>2000</v>
      </c>
      <c r="M705" s="778">
        <f t="shared" si="639"/>
        <v>2001</v>
      </c>
      <c r="N705" s="778">
        <f t="shared" si="639"/>
        <v>2002</v>
      </c>
      <c r="O705" s="778">
        <f t="shared" si="639"/>
        <v>2003</v>
      </c>
      <c r="P705" s="778">
        <f>+O705+1</f>
        <v>2004</v>
      </c>
      <c r="Q705" s="778">
        <f>+P705+1</f>
        <v>2005</v>
      </c>
      <c r="R705" s="778">
        <f>+Q705+1</f>
        <v>2006</v>
      </c>
      <c r="S705" s="778">
        <f t="shared" ref="S705:X705" si="640">+R705+1</f>
        <v>2007</v>
      </c>
      <c r="T705" s="778">
        <f t="shared" si="640"/>
        <v>2008</v>
      </c>
      <c r="U705" s="778">
        <f t="shared" si="640"/>
        <v>2009</v>
      </c>
      <c r="V705" s="778">
        <f t="shared" si="640"/>
        <v>2010</v>
      </c>
      <c r="W705" s="778">
        <f t="shared" si="640"/>
        <v>2011</v>
      </c>
      <c r="X705" s="778">
        <f t="shared" si="640"/>
        <v>2012</v>
      </c>
      <c r="Y705" s="778">
        <f t="shared" ref="Y705:AE705" si="641">+X705+1</f>
        <v>2013</v>
      </c>
      <c r="Z705" s="778">
        <f t="shared" si="641"/>
        <v>2014</v>
      </c>
      <c r="AA705" s="778">
        <f t="shared" si="641"/>
        <v>2015</v>
      </c>
      <c r="AB705" s="778">
        <f t="shared" si="641"/>
        <v>2016</v>
      </c>
      <c r="AC705" s="778">
        <f t="shared" si="641"/>
        <v>2017</v>
      </c>
      <c r="AD705" s="778">
        <f t="shared" si="641"/>
        <v>2018</v>
      </c>
      <c r="AE705" s="778">
        <f t="shared" si="641"/>
        <v>2019</v>
      </c>
    </row>
    <row r="706" spans="1:31" ht="12.75" customHeight="1">
      <c r="A706" s="664"/>
      <c r="B706" s="664"/>
      <c r="C706" s="779" t="s">
        <v>1767</v>
      </c>
      <c r="D706" s="668" t="s">
        <v>685</v>
      </c>
      <c r="E706" s="700" t="str">
        <f t="shared" ref="E706:AC706" si="642">+E256</f>
        <v>Social contributions (D.61r)</v>
      </c>
      <c r="F706" s="1016" t="str">
        <f t="shared" si="642"/>
        <v>YHTSoc(1)</v>
      </c>
      <c r="G706" s="1018">
        <f t="shared" si="642"/>
        <v>2.8000000000000003E-4</v>
      </c>
      <c r="H706" s="1018">
        <f t="shared" si="642"/>
        <v>2.2000000000000003E-4</v>
      </c>
      <c r="I706" s="1018">
        <f t="shared" si="642"/>
        <v>3.3E-4</v>
      </c>
      <c r="J706" s="1018">
        <f t="shared" si="642"/>
        <v>4.9000000000000009E-4</v>
      </c>
      <c r="K706" s="1018">
        <f t="shared" si="642"/>
        <v>3.5000000000000005E-4</v>
      </c>
      <c r="L706" s="1018">
        <f t="shared" si="642"/>
        <v>4.6000000000000001E-4</v>
      </c>
      <c r="M706" s="1018">
        <f t="shared" si="642"/>
        <v>4.0000000000000002E-4</v>
      </c>
      <c r="N706" s="1018">
        <f t="shared" si="642"/>
        <v>3.7000000000000005E-4</v>
      </c>
      <c r="O706" s="1018">
        <f t="shared" si="642"/>
        <v>4.2000000000000002E-4</v>
      </c>
      <c r="P706" s="1018">
        <f t="shared" si="642"/>
        <v>4.4000000000000007E-4</v>
      </c>
      <c r="Q706" s="1018">
        <f t="shared" si="642"/>
        <v>5.6000000000000006E-4</v>
      </c>
      <c r="R706" s="1018">
        <f t="shared" si="642"/>
        <v>6.8000000000000005E-4</v>
      </c>
      <c r="S706" s="1018">
        <f t="shared" si="642"/>
        <v>8.5000000000000006E-4</v>
      </c>
      <c r="T706" s="1018">
        <f t="shared" si="642"/>
        <v>8.7000000000000011E-4</v>
      </c>
      <c r="U706" s="1018">
        <f t="shared" si="642"/>
        <v>8.1000000000000006E-4</v>
      </c>
      <c r="V706" s="3011">
        <f t="shared" si="642"/>
        <v>7.7999999999999999E-4</v>
      </c>
      <c r="W706" s="3011">
        <f t="shared" si="642"/>
        <v>8.7000000000000011E-4</v>
      </c>
      <c r="X706" s="3011">
        <f t="shared" si="642"/>
        <v>8.5000000000000006E-4</v>
      </c>
      <c r="Y706" s="3011">
        <f t="shared" si="642"/>
        <v>8.8000000000000014E-4</v>
      </c>
      <c r="Z706" s="3011">
        <f t="shared" si="642"/>
        <v>1E-3</v>
      </c>
      <c r="AA706" s="3011">
        <f t="shared" si="642"/>
        <v>8.9999999999999998E-4</v>
      </c>
      <c r="AB706" s="3011">
        <f t="shared" si="642"/>
        <v>9.4000000000000008E-4</v>
      </c>
      <c r="AC706" s="3011">
        <f t="shared" si="642"/>
        <v>9.7760000000000013E-4</v>
      </c>
      <c r="AD706" s="3011">
        <f>+AD256</f>
        <v>1.0167040000000002E-3</v>
      </c>
      <c r="AE706" s="3011">
        <f>+AE256</f>
        <v>1.0573721600000002E-3</v>
      </c>
    </row>
    <row r="707" spans="1:31" ht="12.75" customHeight="1">
      <c r="A707" s="664"/>
      <c r="B707" s="664"/>
      <c r="C707" s="782" t="s">
        <v>1767</v>
      </c>
      <c r="D707" s="674" t="s">
        <v>685</v>
      </c>
      <c r="E707" s="783" t="str">
        <f t="shared" ref="E707:AC707" si="643">+E302</f>
        <v>Social benefits (D.62r)</v>
      </c>
      <c r="F707" s="1017" t="str">
        <f t="shared" si="643"/>
        <v>YHTSoc(2)</v>
      </c>
      <c r="G707" s="1019">
        <f t="shared" si="643"/>
        <v>0.63928999999999991</v>
      </c>
      <c r="H707" s="1019">
        <f t="shared" si="643"/>
        <v>0.83790999999999993</v>
      </c>
      <c r="I707" s="1019">
        <f t="shared" si="643"/>
        <v>1.13683</v>
      </c>
      <c r="J707" s="1019">
        <f t="shared" si="643"/>
        <v>1.4190799999999999</v>
      </c>
      <c r="K707" s="1019">
        <f t="shared" si="643"/>
        <v>1.5840999999999998</v>
      </c>
      <c r="L707" s="1019">
        <f t="shared" si="643"/>
        <v>1.5676600000000001</v>
      </c>
      <c r="M707" s="1019">
        <f t="shared" si="643"/>
        <v>1.63063</v>
      </c>
      <c r="N707" s="1019">
        <f t="shared" si="643"/>
        <v>1.54847</v>
      </c>
      <c r="O707" s="1019">
        <f t="shared" si="643"/>
        <v>1.6601600000000001</v>
      </c>
      <c r="P707" s="1019">
        <f t="shared" si="643"/>
        <v>1.81019</v>
      </c>
      <c r="Q707" s="1019">
        <f t="shared" si="643"/>
        <v>2.0784899999999999</v>
      </c>
      <c r="R707" s="1019">
        <f t="shared" si="643"/>
        <v>2.3494000000000002</v>
      </c>
      <c r="S707" s="1019">
        <f t="shared" si="643"/>
        <v>2.9751099999999999</v>
      </c>
      <c r="T707" s="1019">
        <f t="shared" si="643"/>
        <v>3.9594299999999998</v>
      </c>
      <c r="U707" s="1019">
        <f t="shared" si="643"/>
        <v>4.5076000000000001</v>
      </c>
      <c r="V707" s="3012">
        <f t="shared" si="643"/>
        <v>4.1591899999999997</v>
      </c>
      <c r="W707" s="3012">
        <f t="shared" si="643"/>
        <v>4.0821500000000004</v>
      </c>
      <c r="X707" s="3012">
        <f t="shared" si="643"/>
        <v>4.1427500000000004</v>
      </c>
      <c r="Y707" s="3012">
        <f t="shared" si="643"/>
        <v>4.1100900000000005</v>
      </c>
      <c r="Z707" s="3012">
        <f t="shared" si="643"/>
        <v>4.13232</v>
      </c>
      <c r="AA707" s="3012">
        <f t="shared" si="643"/>
        <v>4.2368500000000004</v>
      </c>
      <c r="AB707" s="3012">
        <f t="shared" si="643"/>
        <v>4.4561299999999999</v>
      </c>
      <c r="AC707" s="3012">
        <f t="shared" si="643"/>
        <v>4.9755800200000007</v>
      </c>
      <c r="AD707" s="3012">
        <f>+AD302</f>
        <v>5.5570204009000017</v>
      </c>
      <c r="AE707" s="3012">
        <f>+AE302</f>
        <v>5.8869286285827016</v>
      </c>
    </row>
    <row r="708" spans="1:31" ht="12.75" customHeight="1">
      <c r="A708" s="664"/>
      <c r="B708" s="664"/>
      <c r="C708" s="782" t="s">
        <v>1767</v>
      </c>
      <c r="D708" s="674" t="s">
        <v>685</v>
      </c>
      <c r="E708" s="783" t="str">
        <f t="shared" ref="E708:AC708" si="644">+E324</f>
        <v>Other current transfers (D.7r)</v>
      </c>
      <c r="F708" s="1017" t="str">
        <f t="shared" si="644"/>
        <v>YHTO</v>
      </c>
      <c r="G708" s="1019">
        <f t="shared" si="644"/>
        <v>0.11465</v>
      </c>
      <c r="H708" s="1019">
        <f t="shared" si="644"/>
        <v>9.0450000000000003E-2</v>
      </c>
      <c r="I708" s="1019">
        <f t="shared" si="644"/>
        <v>0.14949000000000001</v>
      </c>
      <c r="J708" s="1019">
        <f t="shared" si="644"/>
        <v>0.18397999999999998</v>
      </c>
      <c r="K708" s="1019">
        <f t="shared" si="644"/>
        <v>0.17671000000000001</v>
      </c>
      <c r="L708" s="1019">
        <f t="shared" si="644"/>
        <v>0.12758</v>
      </c>
      <c r="M708" s="1019">
        <f t="shared" si="644"/>
        <v>0.25309999999999999</v>
      </c>
      <c r="N708" s="1019">
        <f t="shared" si="644"/>
        <v>0.19936000000000001</v>
      </c>
      <c r="O708" s="1019">
        <f t="shared" si="644"/>
        <v>0.21155000000000002</v>
      </c>
      <c r="P708" s="1019">
        <f t="shared" si="644"/>
        <v>0.35542000000000001</v>
      </c>
      <c r="Q708" s="1019">
        <f t="shared" si="644"/>
        <v>0.63315999999999995</v>
      </c>
      <c r="R708" s="1019">
        <f t="shared" si="644"/>
        <v>0.63112000000000001</v>
      </c>
      <c r="S708" s="1019">
        <f t="shared" si="644"/>
        <v>0.83086000000000004</v>
      </c>
      <c r="T708" s="1019">
        <f t="shared" si="644"/>
        <v>1.2227000000000001</v>
      </c>
      <c r="U708" s="1019">
        <f t="shared" si="644"/>
        <v>1.0826</v>
      </c>
      <c r="V708" s="3012">
        <f t="shared" si="644"/>
        <v>1.2823599999999999</v>
      </c>
      <c r="W708" s="3012">
        <f t="shared" si="644"/>
        <v>1.1806800000000002</v>
      </c>
      <c r="X708" s="3012">
        <f t="shared" si="644"/>
        <v>0.80870000000000009</v>
      </c>
      <c r="Y708" s="3012">
        <f t="shared" si="644"/>
        <v>1.4815</v>
      </c>
      <c r="Z708" s="3012">
        <f t="shared" si="644"/>
        <v>1.6157300000000001</v>
      </c>
      <c r="AA708" s="3012">
        <f t="shared" si="644"/>
        <v>1.3968</v>
      </c>
      <c r="AB708" s="3012">
        <f t="shared" si="644"/>
        <v>1.4626199999999998</v>
      </c>
      <c r="AC708" s="3012">
        <f t="shared" si="644"/>
        <v>1.5357509999999999</v>
      </c>
      <c r="AD708" s="3012">
        <f>+AD324</f>
        <v>1.61253855</v>
      </c>
      <c r="AE708" s="3012">
        <f>+AE324</f>
        <v>1.6931654775</v>
      </c>
    </row>
    <row r="709" spans="1:31" ht="12.75" customHeight="1">
      <c r="A709" s="664"/>
      <c r="B709" s="664">
        <v>91</v>
      </c>
      <c r="C709" s="784" t="s">
        <v>1769</v>
      </c>
      <c r="D709" s="752" t="s">
        <v>685</v>
      </c>
      <c r="E709" s="753" t="s">
        <v>2116</v>
      </c>
      <c r="F709" s="754" t="s">
        <v>1260</v>
      </c>
      <c r="G709" s="785">
        <f t="shared" ref="G709:Q709" si="645">+G706+G707+G708</f>
        <v>0.75421999999999989</v>
      </c>
      <c r="H709" s="785">
        <f t="shared" si="645"/>
        <v>0.92857999999999996</v>
      </c>
      <c r="I709" s="785">
        <f t="shared" si="645"/>
        <v>1.2866499999999998</v>
      </c>
      <c r="J709" s="785">
        <f t="shared" si="645"/>
        <v>1.60355</v>
      </c>
      <c r="K709" s="785">
        <f t="shared" si="645"/>
        <v>1.7611599999999998</v>
      </c>
      <c r="L709" s="785">
        <f t="shared" si="645"/>
        <v>1.6957</v>
      </c>
      <c r="M709" s="785">
        <f t="shared" si="645"/>
        <v>1.8841299999999999</v>
      </c>
      <c r="N709" s="785">
        <f t="shared" si="645"/>
        <v>1.7482</v>
      </c>
      <c r="O709" s="785">
        <f t="shared" si="645"/>
        <v>1.8721300000000003</v>
      </c>
      <c r="P709" s="785">
        <f t="shared" si="645"/>
        <v>2.1660499999999998</v>
      </c>
      <c r="Q709" s="785">
        <f t="shared" si="645"/>
        <v>2.7122099999999998</v>
      </c>
      <c r="R709" s="785">
        <f t="shared" ref="R709:Y709" si="646">+R706+R707+R708</f>
        <v>2.9812000000000003</v>
      </c>
      <c r="S709" s="785">
        <f t="shared" si="646"/>
        <v>3.8068199999999996</v>
      </c>
      <c r="T709" s="785">
        <f>+T706+T707+T708</f>
        <v>5.1829999999999998</v>
      </c>
      <c r="U709" s="785">
        <f>+U706+U707+U708</f>
        <v>5.5910100000000007</v>
      </c>
      <c r="V709" s="844">
        <f t="shared" si="646"/>
        <v>5.4423299999999992</v>
      </c>
      <c r="W709" s="844">
        <f t="shared" si="646"/>
        <v>5.2637</v>
      </c>
      <c r="X709" s="844">
        <f t="shared" si="646"/>
        <v>4.9523000000000001</v>
      </c>
      <c r="Y709" s="844">
        <f t="shared" si="646"/>
        <v>5.5924700000000005</v>
      </c>
      <c r="Z709" s="844">
        <f t="shared" ref="Z709:AE709" si="647">+Z706+Z707+Z708</f>
        <v>5.7490500000000004</v>
      </c>
      <c r="AA709" s="844">
        <f t="shared" si="647"/>
        <v>5.6345499999999999</v>
      </c>
      <c r="AB709" s="844">
        <f t="shared" si="647"/>
        <v>5.9196899999999992</v>
      </c>
      <c r="AC709" s="844">
        <f t="shared" si="647"/>
        <v>6.5123086200000007</v>
      </c>
      <c r="AD709" s="844">
        <f t="shared" si="647"/>
        <v>7.1705756549000021</v>
      </c>
      <c r="AE709" s="844">
        <f t="shared" si="647"/>
        <v>7.5811514782427016</v>
      </c>
    </row>
    <row r="710" spans="1:31">
      <c r="Q710" s="699"/>
      <c r="R710" s="699"/>
      <c r="S710" s="699"/>
      <c r="T710" s="699"/>
      <c r="U710" s="699"/>
      <c r="V710" s="843"/>
      <c r="W710" s="843"/>
      <c r="X710" s="843"/>
      <c r="Y710" s="843"/>
      <c r="Z710" s="843"/>
      <c r="AA710" s="843"/>
      <c r="AB710" s="843"/>
      <c r="AC710" s="843"/>
      <c r="AD710" s="843"/>
      <c r="AE710" s="843"/>
    </row>
    <row r="711" spans="1:31" ht="12.75" customHeight="1">
      <c r="A711" s="664"/>
      <c r="B711" s="664"/>
      <c r="C711" s="774"/>
      <c r="D711" s="775"/>
      <c r="E711" s="776" t="s">
        <v>1384</v>
      </c>
      <c r="F711" s="777"/>
      <c r="G711" s="778">
        <f>+InputY!$G$3</f>
        <v>1995</v>
      </c>
      <c r="H711" s="778">
        <f>+G711+1</f>
        <v>1996</v>
      </c>
      <c r="I711" s="778">
        <f t="shared" ref="I711:O711" si="648">+H711+1</f>
        <v>1997</v>
      </c>
      <c r="J711" s="778">
        <f t="shared" si="648"/>
        <v>1998</v>
      </c>
      <c r="K711" s="778">
        <f>+J711+1</f>
        <v>1999</v>
      </c>
      <c r="L711" s="778">
        <f t="shared" si="648"/>
        <v>2000</v>
      </c>
      <c r="M711" s="778">
        <f t="shared" si="648"/>
        <v>2001</v>
      </c>
      <c r="N711" s="778">
        <f t="shared" si="648"/>
        <v>2002</v>
      </c>
      <c r="O711" s="778">
        <f t="shared" si="648"/>
        <v>2003</v>
      </c>
      <c r="P711" s="778">
        <f>+O711+1</f>
        <v>2004</v>
      </c>
      <c r="Q711" s="778">
        <f>+P711+1</f>
        <v>2005</v>
      </c>
      <c r="R711" s="778">
        <f>+Q711+1</f>
        <v>2006</v>
      </c>
      <c r="S711" s="778">
        <f t="shared" ref="S711:X711" si="649">+R711+1</f>
        <v>2007</v>
      </c>
      <c r="T711" s="778">
        <f t="shared" si="649"/>
        <v>2008</v>
      </c>
      <c r="U711" s="778">
        <f t="shared" si="649"/>
        <v>2009</v>
      </c>
      <c r="V711" s="778">
        <f t="shared" si="649"/>
        <v>2010</v>
      </c>
      <c r="W711" s="778">
        <f t="shared" si="649"/>
        <v>2011</v>
      </c>
      <c r="X711" s="778">
        <f t="shared" si="649"/>
        <v>2012</v>
      </c>
      <c r="Y711" s="778">
        <f t="shared" ref="Y711:AE711" si="650">+X711+1</f>
        <v>2013</v>
      </c>
      <c r="Z711" s="778">
        <f t="shared" si="650"/>
        <v>2014</v>
      </c>
      <c r="AA711" s="778">
        <f t="shared" si="650"/>
        <v>2015</v>
      </c>
      <c r="AB711" s="778">
        <f t="shared" si="650"/>
        <v>2016</v>
      </c>
      <c r="AC711" s="778">
        <f t="shared" si="650"/>
        <v>2017</v>
      </c>
      <c r="AD711" s="778">
        <f t="shared" si="650"/>
        <v>2018</v>
      </c>
      <c r="AE711" s="778">
        <f t="shared" si="650"/>
        <v>2019</v>
      </c>
    </row>
    <row r="712" spans="1:31" ht="12.75" customHeight="1">
      <c r="A712" s="664"/>
      <c r="B712" s="664"/>
      <c r="C712" s="779" t="s">
        <v>1767</v>
      </c>
      <c r="D712" s="668" t="s">
        <v>685</v>
      </c>
      <c r="E712" s="700" t="str">
        <f t="shared" ref="E712:AC712" si="651">+E259</f>
        <v>Social contributions (D.61p)</v>
      </c>
      <c r="F712" s="1016" t="str">
        <f t="shared" si="651"/>
        <v>$HTaxSoc(1)</v>
      </c>
      <c r="G712" s="780">
        <f t="shared" si="651"/>
        <v>0.56516999999999995</v>
      </c>
      <c r="H712" s="780">
        <f t="shared" si="651"/>
        <v>0.75261999999999996</v>
      </c>
      <c r="I712" s="780">
        <f t="shared" si="651"/>
        <v>1.0605100000000001</v>
      </c>
      <c r="J712" s="780">
        <f t="shared" si="651"/>
        <v>1.3106500000000001</v>
      </c>
      <c r="K712" s="780">
        <f t="shared" si="651"/>
        <v>1.29495</v>
      </c>
      <c r="L712" s="780">
        <f t="shared" si="651"/>
        <v>1.37117</v>
      </c>
      <c r="M712" s="780">
        <f t="shared" si="651"/>
        <v>1.3836900000000001</v>
      </c>
      <c r="N712" s="780">
        <f t="shared" si="651"/>
        <v>1.4291700000000001</v>
      </c>
      <c r="O712" s="780">
        <f t="shared" si="651"/>
        <v>1.5403800000000001</v>
      </c>
      <c r="P712" s="780">
        <f t="shared" si="651"/>
        <v>1.7726900000000001</v>
      </c>
      <c r="Q712" s="780">
        <f t="shared" si="651"/>
        <v>2.1060300000000001</v>
      </c>
      <c r="R712" s="780">
        <f t="shared" si="651"/>
        <v>2.5360200000000002</v>
      </c>
      <c r="S712" s="780">
        <f t="shared" si="651"/>
        <v>3.1271399999999998</v>
      </c>
      <c r="T712" s="780">
        <f t="shared" si="651"/>
        <v>3.7217500000000001</v>
      </c>
      <c r="U712" s="780">
        <f t="shared" si="651"/>
        <v>3.7771500000000002</v>
      </c>
      <c r="V712" s="846">
        <f t="shared" si="651"/>
        <v>3.6449099999999999</v>
      </c>
      <c r="W712" s="846">
        <f t="shared" si="651"/>
        <v>3.8609299999999998</v>
      </c>
      <c r="X712" s="846">
        <f t="shared" si="651"/>
        <v>3.9392600000000004</v>
      </c>
      <c r="Y712" s="846">
        <f t="shared" si="651"/>
        <v>4.1875400000000003</v>
      </c>
      <c r="Z712" s="846">
        <f t="shared" si="651"/>
        <v>4.4502299999999995</v>
      </c>
      <c r="AA712" s="846">
        <f t="shared" si="651"/>
        <v>4.7600800000000003</v>
      </c>
      <c r="AB712" s="846">
        <f t="shared" si="651"/>
        <v>5.1583000000000006</v>
      </c>
      <c r="AC712" s="846">
        <f t="shared" si="651"/>
        <v>5.7781323307806325</v>
      </c>
      <c r="AD712" s="846">
        <f>+AD259</f>
        <v>6.1632101573429354</v>
      </c>
      <c r="AE712" s="846">
        <f>+AE259</f>
        <v>6.5177736483684185</v>
      </c>
    </row>
    <row r="713" spans="1:31" ht="12.75" customHeight="1">
      <c r="A713" s="664"/>
      <c r="B713" s="664"/>
      <c r="C713" s="782" t="s">
        <v>1767</v>
      </c>
      <c r="D713" s="674" t="s">
        <v>685</v>
      </c>
      <c r="E713" s="783" t="str">
        <f t="shared" ref="E713:AC713" si="652">+E298</f>
        <v>Social benefits (D.62p)</v>
      </c>
      <c r="F713" s="1017" t="str">
        <f t="shared" si="652"/>
        <v>$HTaxSoc(2)</v>
      </c>
      <c r="G713" s="706">
        <f t="shared" si="652"/>
        <v>2.8000000000000003E-4</v>
      </c>
      <c r="H713" s="706">
        <f t="shared" si="652"/>
        <v>2.2000000000000003E-4</v>
      </c>
      <c r="I713" s="706">
        <f t="shared" si="652"/>
        <v>3.3E-4</v>
      </c>
      <c r="J713" s="706">
        <f t="shared" si="652"/>
        <v>4.9000000000000009E-4</v>
      </c>
      <c r="K713" s="706">
        <f t="shared" si="652"/>
        <v>3.5000000000000005E-4</v>
      </c>
      <c r="L713" s="706">
        <f t="shared" si="652"/>
        <v>4.6000000000000001E-4</v>
      </c>
      <c r="M713" s="706">
        <f t="shared" si="652"/>
        <v>4.0000000000000002E-4</v>
      </c>
      <c r="N713" s="706">
        <f t="shared" si="652"/>
        <v>3.7000000000000005E-4</v>
      </c>
      <c r="O713" s="706">
        <f t="shared" si="652"/>
        <v>4.2000000000000002E-4</v>
      </c>
      <c r="P713" s="706">
        <f t="shared" si="652"/>
        <v>4.4000000000000007E-4</v>
      </c>
      <c r="Q713" s="706">
        <f t="shared" si="652"/>
        <v>5.6000000000000006E-4</v>
      </c>
      <c r="R713" s="706">
        <f t="shared" si="652"/>
        <v>6.8000000000000005E-4</v>
      </c>
      <c r="S713" s="706">
        <f t="shared" si="652"/>
        <v>8.5000000000000006E-4</v>
      </c>
      <c r="T713" s="706">
        <f t="shared" si="652"/>
        <v>8.7000000000000011E-4</v>
      </c>
      <c r="U713" s="706">
        <f t="shared" si="652"/>
        <v>8.1000000000000006E-4</v>
      </c>
      <c r="V713" s="792">
        <f t="shared" si="652"/>
        <v>7.7999999999999999E-4</v>
      </c>
      <c r="W713" s="792">
        <f t="shared" si="652"/>
        <v>8.7000000000000011E-4</v>
      </c>
      <c r="X713" s="792">
        <f t="shared" si="652"/>
        <v>8.5000000000000006E-4</v>
      </c>
      <c r="Y713" s="792">
        <f t="shared" si="652"/>
        <v>8.8000000000000014E-4</v>
      </c>
      <c r="Z713" s="792">
        <f t="shared" si="652"/>
        <v>1E-3</v>
      </c>
      <c r="AA713" s="792">
        <f t="shared" si="652"/>
        <v>8.9999999999999998E-4</v>
      </c>
      <c r="AB713" s="792">
        <f t="shared" si="652"/>
        <v>9.4000000000000008E-4</v>
      </c>
      <c r="AC713" s="792">
        <f t="shared" si="652"/>
        <v>9.8042000000000008E-4</v>
      </c>
      <c r="AD713" s="792">
        <f>+AD298</f>
        <v>1.0245389000000001E-3</v>
      </c>
      <c r="AE713" s="792">
        <f>+AE298</f>
        <v>1.0685940727000001E-3</v>
      </c>
    </row>
    <row r="714" spans="1:31" ht="12.75" customHeight="1">
      <c r="A714" s="664"/>
      <c r="B714" s="664"/>
      <c r="C714" s="782" t="s">
        <v>1767</v>
      </c>
      <c r="D714" s="674" t="s">
        <v>685</v>
      </c>
      <c r="E714" s="783" t="str">
        <f t="shared" ref="E714:AC714" si="653">+E323</f>
        <v>Other current transfers (D.7p)</v>
      </c>
      <c r="F714" s="1017" t="str">
        <f t="shared" si="653"/>
        <v>$HTO</v>
      </c>
      <c r="G714" s="706">
        <f t="shared" si="653"/>
        <v>3.585E-2</v>
      </c>
      <c r="H714" s="706">
        <f t="shared" si="653"/>
        <v>4.6530000000000002E-2</v>
      </c>
      <c r="I714" s="706">
        <f t="shared" si="653"/>
        <v>1.9690000000000003E-2</v>
      </c>
      <c r="J714" s="706">
        <f t="shared" si="653"/>
        <v>2.5559999999999999E-2</v>
      </c>
      <c r="K714" s="706">
        <f t="shared" si="653"/>
        <v>3.9259999999999996E-2</v>
      </c>
      <c r="L714" s="706">
        <f t="shared" si="653"/>
        <v>3.6819999999999999E-2</v>
      </c>
      <c r="M714" s="706">
        <f t="shared" si="653"/>
        <v>4.1790000000000001E-2</v>
      </c>
      <c r="N714" s="706">
        <f t="shared" si="653"/>
        <v>9.0469999999999995E-2</v>
      </c>
      <c r="O714" s="706">
        <f t="shared" si="653"/>
        <v>7.5569999999999998E-2</v>
      </c>
      <c r="P714" s="706">
        <f t="shared" si="653"/>
        <v>5.6060000000000006E-2</v>
      </c>
      <c r="Q714" s="706">
        <f t="shared" si="653"/>
        <v>8.0260000000000012E-2</v>
      </c>
      <c r="R714" s="706">
        <f t="shared" si="653"/>
        <v>0.11993999999999999</v>
      </c>
      <c r="S714" s="706">
        <f t="shared" si="653"/>
        <v>0.13761999999999999</v>
      </c>
      <c r="T714" s="706">
        <f t="shared" si="653"/>
        <v>0.11809</v>
      </c>
      <c r="U714" s="706">
        <f t="shared" si="653"/>
        <v>0.10909000000000001</v>
      </c>
      <c r="V714" s="792">
        <f t="shared" si="653"/>
        <v>0.11334999999999999</v>
      </c>
      <c r="W714" s="792">
        <f t="shared" si="653"/>
        <v>0.13771</v>
      </c>
      <c r="X714" s="792">
        <f t="shared" si="653"/>
        <v>0.13758999999999999</v>
      </c>
      <c r="Y714" s="792">
        <f t="shared" si="653"/>
        <v>0.13761000000000001</v>
      </c>
      <c r="Z714" s="792">
        <f t="shared" si="653"/>
        <v>0.14047999999999999</v>
      </c>
      <c r="AA714" s="792">
        <f t="shared" si="653"/>
        <v>0.15171999999999999</v>
      </c>
      <c r="AB714" s="792">
        <f t="shared" si="653"/>
        <v>0.17138</v>
      </c>
      <c r="AC714" s="792">
        <f t="shared" si="653"/>
        <v>0.17652140000000002</v>
      </c>
      <c r="AD714" s="792">
        <f>+AD323</f>
        <v>0.18181704200000004</v>
      </c>
      <c r="AE714" s="792">
        <f>+AE323</f>
        <v>0.18727155326000006</v>
      </c>
    </row>
    <row r="715" spans="1:31" ht="12.75" customHeight="1">
      <c r="A715" s="664"/>
      <c r="B715" s="664">
        <v>93</v>
      </c>
      <c r="C715" s="784" t="s">
        <v>1769</v>
      </c>
      <c r="D715" s="752" t="s">
        <v>685</v>
      </c>
      <c r="E715" s="753" t="s">
        <v>2117</v>
      </c>
      <c r="F715" s="754" t="s">
        <v>1440</v>
      </c>
      <c r="G715" s="785">
        <f t="shared" ref="G715:Q715" si="654">+G712+G713+G714</f>
        <v>0.60129999999999995</v>
      </c>
      <c r="H715" s="785">
        <f t="shared" si="654"/>
        <v>0.79936999999999991</v>
      </c>
      <c r="I715" s="785">
        <f t="shared" si="654"/>
        <v>1.08053</v>
      </c>
      <c r="J715" s="785">
        <f t="shared" si="654"/>
        <v>1.3367000000000002</v>
      </c>
      <c r="K715" s="785">
        <f t="shared" si="654"/>
        <v>1.3345600000000002</v>
      </c>
      <c r="L715" s="785">
        <f t="shared" si="654"/>
        <v>1.40845</v>
      </c>
      <c r="M715" s="785">
        <f t="shared" si="654"/>
        <v>1.42588</v>
      </c>
      <c r="N715" s="785">
        <f t="shared" si="654"/>
        <v>1.5200100000000001</v>
      </c>
      <c r="O715" s="785">
        <f t="shared" si="654"/>
        <v>1.6163700000000001</v>
      </c>
      <c r="P715" s="785">
        <f t="shared" si="654"/>
        <v>1.8291900000000001</v>
      </c>
      <c r="Q715" s="785">
        <f t="shared" si="654"/>
        <v>2.1868500000000002</v>
      </c>
      <c r="R715" s="785">
        <f t="shared" ref="R715:Y715" si="655">+R712+R713+R714</f>
        <v>2.6566400000000003</v>
      </c>
      <c r="S715" s="785">
        <f t="shared" si="655"/>
        <v>3.2656099999999997</v>
      </c>
      <c r="T715" s="785">
        <f>+T712+T713+T714</f>
        <v>3.8407100000000001</v>
      </c>
      <c r="U715" s="785">
        <f>+U712+U713+U714</f>
        <v>3.8870500000000003</v>
      </c>
      <c r="V715" s="844">
        <f t="shared" si="655"/>
        <v>3.7590399999999997</v>
      </c>
      <c r="W715" s="844">
        <f t="shared" si="655"/>
        <v>3.9995099999999999</v>
      </c>
      <c r="X715" s="844">
        <f t="shared" si="655"/>
        <v>4.0777000000000001</v>
      </c>
      <c r="Y715" s="844">
        <f t="shared" si="655"/>
        <v>4.3260300000000012</v>
      </c>
      <c r="Z715" s="844">
        <f t="shared" ref="Z715:AE715" si="656">+Z712+Z713+Z714</f>
        <v>4.59171</v>
      </c>
      <c r="AA715" s="844">
        <f t="shared" si="656"/>
        <v>4.9127000000000001</v>
      </c>
      <c r="AB715" s="844">
        <f t="shared" si="656"/>
        <v>5.3306200000000006</v>
      </c>
      <c r="AC715" s="844">
        <f t="shared" si="656"/>
        <v>5.9556341507806332</v>
      </c>
      <c r="AD715" s="844">
        <f t="shared" si="656"/>
        <v>6.3460517382429362</v>
      </c>
      <c r="AE715" s="844">
        <f t="shared" si="656"/>
        <v>6.7061137957011194</v>
      </c>
    </row>
    <row r="716" spans="1:31">
      <c r="Q716" s="699"/>
      <c r="R716" s="699"/>
      <c r="S716" s="699"/>
      <c r="T716" s="699"/>
      <c r="U716" s="699"/>
      <c r="V716" s="843"/>
      <c r="W716" s="843"/>
      <c r="X716" s="843"/>
      <c r="Y716" s="843"/>
      <c r="Z716" s="843"/>
      <c r="AA716" s="843"/>
      <c r="AB716" s="843"/>
      <c r="AC716" s="843"/>
      <c r="AD716" s="843"/>
      <c r="AE716" s="843"/>
    </row>
    <row r="717" spans="1:31" ht="12.75" customHeight="1">
      <c r="A717" s="664"/>
      <c r="B717" s="664"/>
      <c r="C717" s="774"/>
      <c r="D717" s="775"/>
      <c r="E717" s="776" t="s">
        <v>1384</v>
      </c>
      <c r="F717" s="777"/>
      <c r="G717" s="778">
        <f>+InputY!$G$3</f>
        <v>1995</v>
      </c>
      <c r="H717" s="778">
        <f>+G717+1</f>
        <v>1996</v>
      </c>
      <c r="I717" s="778">
        <f t="shared" ref="I717:O717" si="657">+H717+1</f>
        <v>1997</v>
      </c>
      <c r="J717" s="778">
        <f t="shared" si="657"/>
        <v>1998</v>
      </c>
      <c r="K717" s="778">
        <f>+J717+1</f>
        <v>1999</v>
      </c>
      <c r="L717" s="778">
        <f t="shared" si="657"/>
        <v>2000</v>
      </c>
      <c r="M717" s="778">
        <f t="shared" si="657"/>
        <v>2001</v>
      </c>
      <c r="N717" s="778">
        <f t="shared" si="657"/>
        <v>2002</v>
      </c>
      <c r="O717" s="778">
        <f t="shared" si="657"/>
        <v>2003</v>
      </c>
      <c r="P717" s="778">
        <f>+O717+1</f>
        <v>2004</v>
      </c>
      <c r="Q717" s="778">
        <f>+P717+1</f>
        <v>2005</v>
      </c>
      <c r="R717" s="778">
        <f>+Q717+1</f>
        <v>2006</v>
      </c>
      <c r="S717" s="778">
        <f t="shared" ref="S717:X717" si="658">+R717+1</f>
        <v>2007</v>
      </c>
      <c r="T717" s="778">
        <f t="shared" si="658"/>
        <v>2008</v>
      </c>
      <c r="U717" s="778">
        <f t="shared" si="658"/>
        <v>2009</v>
      </c>
      <c r="V717" s="778">
        <f t="shared" si="658"/>
        <v>2010</v>
      </c>
      <c r="W717" s="778">
        <f t="shared" si="658"/>
        <v>2011</v>
      </c>
      <c r="X717" s="778">
        <f t="shared" si="658"/>
        <v>2012</v>
      </c>
      <c r="Y717" s="778">
        <f t="shared" ref="Y717:AE717" si="659">+X717+1</f>
        <v>2013</v>
      </c>
      <c r="Z717" s="778">
        <f t="shared" si="659"/>
        <v>2014</v>
      </c>
      <c r="AA717" s="778">
        <f t="shared" si="659"/>
        <v>2015</v>
      </c>
      <c r="AB717" s="778">
        <f t="shared" si="659"/>
        <v>2016</v>
      </c>
      <c r="AC717" s="778">
        <f t="shared" si="659"/>
        <v>2017</v>
      </c>
      <c r="AD717" s="778">
        <f t="shared" si="659"/>
        <v>2018</v>
      </c>
      <c r="AE717" s="778">
        <f t="shared" si="659"/>
        <v>2019</v>
      </c>
    </row>
    <row r="718" spans="1:31" ht="12.75" customHeight="1">
      <c r="A718" s="664"/>
      <c r="B718" s="664"/>
      <c r="C718" s="779" t="s">
        <v>1767</v>
      </c>
      <c r="D718" s="668" t="s">
        <v>685</v>
      </c>
      <c r="E718" s="700" t="s">
        <v>376</v>
      </c>
      <c r="F718" s="1016" t="s">
        <v>428</v>
      </c>
      <c r="G718" s="780">
        <f>+'VVP2'!G228</f>
        <v>0.29872000000000004</v>
      </c>
      <c r="H718" s="780">
        <f>+'VVP2'!H228</f>
        <v>0.31448999999999999</v>
      </c>
      <c r="I718" s="780">
        <f>+'VVP2'!I228</f>
        <v>0.42637000000000003</v>
      </c>
      <c r="J718" s="780">
        <f>+'VVP2'!J228</f>
        <v>0.58422000000000007</v>
      </c>
      <c r="K718" s="780">
        <f>+'VVP2'!K228</f>
        <v>0.43416000000000005</v>
      </c>
      <c r="L718" s="780">
        <f>+'VVP2'!L228</f>
        <v>0.48319000000000001</v>
      </c>
      <c r="M718" s="780">
        <f>+'VVP2'!M228</f>
        <v>0.53537000000000001</v>
      </c>
      <c r="N718" s="780">
        <f>+'VVP2'!N228</f>
        <v>0.53712000000000004</v>
      </c>
      <c r="O718" s="780">
        <f>+'VVP2'!O228</f>
        <v>0.68988000000000005</v>
      </c>
      <c r="P718" s="780">
        <f>+'VVP2'!P228</f>
        <v>0.79324000000000006</v>
      </c>
      <c r="Q718" s="780">
        <f>+'VVP2'!Q228</f>
        <v>0.83965000000000001</v>
      </c>
      <c r="R718" s="780">
        <f>+'VVP2'!R228</f>
        <v>0.87766999999999995</v>
      </c>
      <c r="S718" s="780">
        <f>+'VVP2'!S228</f>
        <v>1.0825199999999999</v>
      </c>
      <c r="T718" s="780">
        <f>+'VVP2'!T228</f>
        <v>1.27919</v>
      </c>
      <c r="U718" s="780">
        <f>+'VVP2'!U228</f>
        <v>0.95716000000000001</v>
      </c>
      <c r="V718" s="846">
        <f>+'VVP2'!V228</f>
        <v>0.92220000000000002</v>
      </c>
      <c r="W718" s="846">
        <f>+'VVP2'!W228</f>
        <v>1.04375</v>
      </c>
      <c r="X718" s="846">
        <f>+'VVP2'!X228</f>
        <v>1.00299</v>
      </c>
      <c r="Y718" s="846">
        <f>+'VVP2'!Y228</f>
        <v>1.2413599999999998</v>
      </c>
      <c r="Z718" s="846">
        <f>+'VVP2'!Z228</f>
        <v>1.37171</v>
      </c>
      <c r="AA718" s="846">
        <f>+'VVP2'!AA228</f>
        <v>1.56351</v>
      </c>
      <c r="AB718" s="846">
        <f>+'VVP2'!AB228</f>
        <v>1.7422800000000001</v>
      </c>
      <c r="AC718" s="846">
        <f ca="1">+'VVP2'!AC228</f>
        <v>1.8032598</v>
      </c>
      <c r="AD718" s="846">
        <f ca="1">+'VVP2'!AD228</f>
        <v>1.8663738929999998</v>
      </c>
      <c r="AE718" s="846">
        <f ca="1">+'VVP2'!AE228</f>
        <v>1.9316969792549996</v>
      </c>
    </row>
    <row r="719" spans="1:31" ht="12.75" customHeight="1">
      <c r="A719" s="664"/>
      <c r="B719" s="664"/>
      <c r="C719" s="782" t="s">
        <v>1767</v>
      </c>
      <c r="D719" s="674" t="s">
        <v>685</v>
      </c>
      <c r="E719" s="783" t="s">
        <v>377</v>
      </c>
      <c r="F719" s="1017" t="s">
        <v>2076</v>
      </c>
      <c r="G719" s="706">
        <f t="shared" ref="G719:AC719" si="660">+G541</f>
        <v>1.3009999999999999E-2</v>
      </c>
      <c r="H719" s="706">
        <f t="shared" si="660"/>
        <v>2.0800000000000003E-3</v>
      </c>
      <c r="I719" s="706">
        <f t="shared" si="660"/>
        <v>5.6900000000000006E-2</v>
      </c>
      <c r="J719" s="706">
        <f t="shared" si="660"/>
        <v>2.6830000000000003E-2</v>
      </c>
      <c r="K719" s="706">
        <f t="shared" si="660"/>
        <v>-3.6469999999999995E-2</v>
      </c>
      <c r="L719" s="706">
        <f t="shared" si="660"/>
        <v>-1.7000000000000036E-4</v>
      </c>
      <c r="M719" s="706">
        <f t="shared" si="660"/>
        <v>-0.1043</v>
      </c>
      <c r="N719" s="706">
        <f t="shared" si="660"/>
        <v>-1.8500000000000001E-3</v>
      </c>
      <c r="O719" s="706">
        <f t="shared" si="660"/>
        <v>8.6599999999999993E-3</v>
      </c>
      <c r="P719" s="706">
        <f t="shared" si="660"/>
        <v>1.4449999999999999E-2</v>
      </c>
      <c r="Q719" s="706">
        <f t="shared" si="660"/>
        <v>-3.968E-2</v>
      </c>
      <c r="R719" s="706">
        <f t="shared" si="660"/>
        <v>4.8399999999999988E-3</v>
      </c>
      <c r="S719" s="706">
        <f t="shared" si="660"/>
        <v>4.6170000000000003E-2</v>
      </c>
      <c r="T719" s="706">
        <f t="shared" si="660"/>
        <v>0.13553000000000001</v>
      </c>
      <c r="U719" s="706">
        <f t="shared" si="660"/>
        <v>-5.6829999999999999E-2</v>
      </c>
      <c r="V719" s="792">
        <f t="shared" si="660"/>
        <v>-2.7140000000000001E-2</v>
      </c>
      <c r="W719" s="792">
        <f t="shared" si="660"/>
        <v>6.4819999999999989E-2</v>
      </c>
      <c r="X719" s="792">
        <f t="shared" si="660"/>
        <v>8.8359999999999994E-2</v>
      </c>
      <c r="Y719" s="792">
        <f t="shared" si="660"/>
        <v>0.10335999999999999</v>
      </c>
      <c r="Z719" s="792">
        <f t="shared" si="660"/>
        <v>1.2970000000000001E-2</v>
      </c>
      <c r="AA719" s="792">
        <f t="shared" si="660"/>
        <v>2.895E-2</v>
      </c>
      <c r="AB719" s="792">
        <f t="shared" si="660"/>
        <v>-4.3100000000000005E-3</v>
      </c>
      <c r="AC719" s="792">
        <f t="shared" ca="1" si="660"/>
        <v>-4.3100000000000005E-3</v>
      </c>
      <c r="AD719" s="792">
        <f ca="1">+AD541</f>
        <v>-4.3100000000000005E-3</v>
      </c>
      <c r="AE719" s="792">
        <f ca="1">+AE541</f>
        <v>-4.3100000000000005E-3</v>
      </c>
    </row>
    <row r="720" spans="1:31" ht="12.75" customHeight="1">
      <c r="A720" s="664"/>
      <c r="B720" s="664">
        <v>96</v>
      </c>
      <c r="C720" s="784" t="s">
        <v>1769</v>
      </c>
      <c r="D720" s="752" t="s">
        <v>685</v>
      </c>
      <c r="E720" s="753" t="s">
        <v>583</v>
      </c>
      <c r="F720" s="754"/>
      <c r="G720" s="785">
        <f t="shared" ref="G720:Q720" si="661">+G718+G719</f>
        <v>0.31173000000000006</v>
      </c>
      <c r="H720" s="785">
        <f t="shared" si="661"/>
        <v>0.31657000000000002</v>
      </c>
      <c r="I720" s="785">
        <f t="shared" si="661"/>
        <v>0.48327000000000003</v>
      </c>
      <c r="J720" s="785">
        <f t="shared" si="661"/>
        <v>0.61105000000000009</v>
      </c>
      <c r="K720" s="785">
        <f t="shared" si="661"/>
        <v>0.39769000000000004</v>
      </c>
      <c r="L720" s="785">
        <f t="shared" si="661"/>
        <v>0.48302</v>
      </c>
      <c r="M720" s="785">
        <f t="shared" si="661"/>
        <v>0.43107000000000001</v>
      </c>
      <c r="N720" s="785">
        <f t="shared" si="661"/>
        <v>0.53527000000000002</v>
      </c>
      <c r="O720" s="785">
        <f t="shared" si="661"/>
        <v>0.69854000000000005</v>
      </c>
      <c r="P720" s="785">
        <f t="shared" si="661"/>
        <v>0.80769000000000002</v>
      </c>
      <c r="Q720" s="785">
        <f t="shared" si="661"/>
        <v>0.79996999999999996</v>
      </c>
      <c r="R720" s="785">
        <f t="shared" ref="R720:Y720" si="662">+R718+R719</f>
        <v>0.88250999999999991</v>
      </c>
      <c r="S720" s="785">
        <f t="shared" si="662"/>
        <v>1.12869</v>
      </c>
      <c r="T720" s="785">
        <f>+T718+T719</f>
        <v>1.41472</v>
      </c>
      <c r="U720" s="785">
        <f>+U718+U719</f>
        <v>0.90032999999999996</v>
      </c>
      <c r="V720" s="844">
        <f t="shared" si="662"/>
        <v>0.89505999999999997</v>
      </c>
      <c r="W720" s="844">
        <f t="shared" si="662"/>
        <v>1.1085699999999998</v>
      </c>
      <c r="X720" s="844">
        <f t="shared" si="662"/>
        <v>1.09135</v>
      </c>
      <c r="Y720" s="844">
        <f t="shared" si="662"/>
        <v>1.3447199999999997</v>
      </c>
      <c r="Z720" s="844">
        <f t="shared" ref="Z720:AE720" si="663">+Z718+Z719</f>
        <v>1.3846799999999999</v>
      </c>
      <c r="AA720" s="844">
        <f t="shared" si="663"/>
        <v>1.59246</v>
      </c>
      <c r="AB720" s="844">
        <f t="shared" si="663"/>
        <v>1.73797</v>
      </c>
      <c r="AC720" s="844">
        <f t="shared" ca="1" si="663"/>
        <v>1.7989497999999999</v>
      </c>
      <c r="AD720" s="844">
        <f t="shared" ca="1" si="663"/>
        <v>1.8620638929999997</v>
      </c>
      <c r="AE720" s="844">
        <f t="shared" ca="1" si="663"/>
        <v>1.9273869792549996</v>
      </c>
    </row>
    <row r="721" spans="1:31">
      <c r="Q721" s="699"/>
      <c r="R721" s="699"/>
      <c r="S721" s="699"/>
      <c r="T721" s="699"/>
      <c r="U721" s="699"/>
      <c r="V721" s="843"/>
      <c r="W721" s="843"/>
      <c r="X721" s="843"/>
      <c r="Y721" s="843"/>
      <c r="Z721" s="843"/>
      <c r="AA721" s="843"/>
      <c r="AB721" s="843"/>
      <c r="AC721" s="843"/>
      <c r="AD721" s="843"/>
      <c r="AE721" s="843"/>
    </row>
    <row r="722" spans="1:31" ht="12.75" customHeight="1">
      <c r="A722" s="664"/>
      <c r="B722" s="664"/>
      <c r="C722" s="774"/>
      <c r="D722" s="775"/>
      <c r="E722" s="776" t="s">
        <v>1384</v>
      </c>
      <c r="F722" s="777"/>
      <c r="G722" s="778">
        <f>+InputY!$G$3</f>
        <v>1995</v>
      </c>
      <c r="H722" s="778">
        <f>+G722+1</f>
        <v>1996</v>
      </c>
      <c r="I722" s="778">
        <f t="shared" ref="I722:O722" si="664">+H722+1</f>
        <v>1997</v>
      </c>
      <c r="J722" s="778">
        <f t="shared" si="664"/>
        <v>1998</v>
      </c>
      <c r="K722" s="778">
        <f>+J722+1</f>
        <v>1999</v>
      </c>
      <c r="L722" s="778">
        <f t="shared" si="664"/>
        <v>2000</v>
      </c>
      <c r="M722" s="778">
        <f t="shared" si="664"/>
        <v>2001</v>
      </c>
      <c r="N722" s="778">
        <f t="shared" si="664"/>
        <v>2002</v>
      </c>
      <c r="O722" s="778">
        <f t="shared" si="664"/>
        <v>2003</v>
      </c>
      <c r="P722" s="778">
        <f>+O722+1</f>
        <v>2004</v>
      </c>
      <c r="Q722" s="778">
        <f>+P722+1</f>
        <v>2005</v>
      </c>
      <c r="R722" s="778">
        <f>+Q722+1</f>
        <v>2006</v>
      </c>
      <c r="S722" s="778">
        <f t="shared" ref="S722:X722" si="665">+R722+1</f>
        <v>2007</v>
      </c>
      <c r="T722" s="778">
        <f t="shared" si="665"/>
        <v>2008</v>
      </c>
      <c r="U722" s="778">
        <f t="shared" si="665"/>
        <v>2009</v>
      </c>
      <c r="V722" s="778">
        <f t="shared" si="665"/>
        <v>2010</v>
      </c>
      <c r="W722" s="778">
        <f t="shared" si="665"/>
        <v>2011</v>
      </c>
      <c r="X722" s="778">
        <f t="shared" si="665"/>
        <v>2012</v>
      </c>
      <c r="Y722" s="778">
        <f t="shared" ref="Y722:AE722" si="666">+X722+1</f>
        <v>2013</v>
      </c>
      <c r="Z722" s="778">
        <f t="shared" si="666"/>
        <v>2014</v>
      </c>
      <c r="AA722" s="778">
        <f t="shared" si="666"/>
        <v>2015</v>
      </c>
      <c r="AB722" s="778">
        <f t="shared" si="666"/>
        <v>2016</v>
      </c>
      <c r="AC722" s="778">
        <f t="shared" si="666"/>
        <v>2017</v>
      </c>
      <c r="AD722" s="778">
        <f t="shared" si="666"/>
        <v>2018</v>
      </c>
      <c r="AE722" s="778">
        <f t="shared" si="666"/>
        <v>2019</v>
      </c>
    </row>
    <row r="723" spans="1:31" ht="12.75" customHeight="1">
      <c r="A723" s="664"/>
      <c r="B723" s="664"/>
      <c r="C723" s="779" t="s">
        <v>1767</v>
      </c>
      <c r="D723" s="668" t="s">
        <v>685</v>
      </c>
      <c r="E723" s="700" t="s">
        <v>1324</v>
      </c>
      <c r="F723" s="1016" t="s">
        <v>1064</v>
      </c>
      <c r="G723" s="1018">
        <f t="shared" ref="G723:AC723" si="667">-G488</f>
        <v>-1.7899999999999999E-2</v>
      </c>
      <c r="H723" s="1018">
        <f t="shared" si="667"/>
        <v>-3.032E-2</v>
      </c>
      <c r="I723" s="1018">
        <f t="shared" si="667"/>
        <v>-1.4711000000000001</v>
      </c>
      <c r="J723" s="1018">
        <f t="shared" si="667"/>
        <v>-4.9669999999999992E-2</v>
      </c>
      <c r="K723" s="1018">
        <f t="shared" si="667"/>
        <v>-5.1540000000000002E-2</v>
      </c>
      <c r="L723" s="1018">
        <f t="shared" si="667"/>
        <v>-0.19487000000000002</v>
      </c>
      <c r="M723" s="1018">
        <f t="shared" si="667"/>
        <v>-2.8420000000000001E-2</v>
      </c>
      <c r="N723" s="1018">
        <f t="shared" si="667"/>
        <v>-2.4410000000000001E-2</v>
      </c>
      <c r="O723" s="1018">
        <f t="shared" si="667"/>
        <v>-3.4189999999999998E-2</v>
      </c>
      <c r="P723" s="1018">
        <f t="shared" si="667"/>
        <v>-8.5610000000000006E-2</v>
      </c>
      <c r="Q723" s="1018">
        <f t="shared" si="667"/>
        <v>-7.2179999999999994E-2</v>
      </c>
      <c r="R723" s="1018">
        <f t="shared" si="667"/>
        <v>-7.8410000000000007E-2</v>
      </c>
      <c r="S723" s="1018">
        <f t="shared" si="667"/>
        <v>-0.18384</v>
      </c>
      <c r="T723" s="1018">
        <f t="shared" si="667"/>
        <v>-4.446E-2</v>
      </c>
      <c r="U723" s="1018">
        <f t="shared" si="667"/>
        <v>-3.0710000000000001E-2</v>
      </c>
      <c r="V723" s="3011">
        <f t="shared" si="667"/>
        <v>-3.9329999999999997E-2</v>
      </c>
      <c r="W723" s="3011">
        <f t="shared" si="667"/>
        <v>-1.23645</v>
      </c>
      <c r="X723" s="3011">
        <f t="shared" si="667"/>
        <v>-3.8779999999999995E-2</v>
      </c>
      <c r="Y723" s="3011">
        <f t="shared" si="667"/>
        <v>-7.3069999999999996E-2</v>
      </c>
      <c r="Z723" s="3011">
        <f t="shared" si="667"/>
        <v>-0.39702000000000004</v>
      </c>
      <c r="AA723" s="3011">
        <f t="shared" si="667"/>
        <v>-0.12033000000000001</v>
      </c>
      <c r="AB723" s="3011">
        <f t="shared" si="667"/>
        <v>-5.5060000000000005E-2</v>
      </c>
      <c r="AC723" s="3011">
        <f t="shared" si="667"/>
        <v>-5.1205800000000003E-2</v>
      </c>
      <c r="AD723" s="3011">
        <f>-AD488</f>
        <v>-4.7621393999999997E-2</v>
      </c>
      <c r="AE723" s="3011">
        <f>-AE488</f>
        <v>-4.4287896419999993E-2</v>
      </c>
    </row>
    <row r="724" spans="1:31" ht="12.75" customHeight="1">
      <c r="A724" s="664"/>
      <c r="B724" s="664"/>
      <c r="C724" s="782" t="s">
        <v>1767</v>
      </c>
      <c r="D724" s="674" t="s">
        <v>685</v>
      </c>
      <c r="E724" s="783" t="s">
        <v>375</v>
      </c>
      <c r="F724" s="1017" t="s">
        <v>19</v>
      </c>
      <c r="G724" s="1019">
        <f t="shared" ref="G724:AC724" si="668">+G519</f>
        <v>0</v>
      </c>
      <c r="H724" s="1019">
        <f t="shared" si="668"/>
        <v>0</v>
      </c>
      <c r="I724" s="1019">
        <f t="shared" si="668"/>
        <v>-6.4200000000000004E-3</v>
      </c>
      <c r="J724" s="1019">
        <f t="shared" si="668"/>
        <v>-1.0400000000000001E-3</v>
      </c>
      <c r="K724" s="1019">
        <f t="shared" si="668"/>
        <v>-3.0099999999999997E-3</v>
      </c>
      <c r="L724" s="1019">
        <f t="shared" si="668"/>
        <v>-1.6600000000000002E-3</v>
      </c>
      <c r="M724" s="1019">
        <f t="shared" si="668"/>
        <v>-1.439E-2</v>
      </c>
      <c r="N724" s="1019">
        <f t="shared" si="668"/>
        <v>-1.6190000000000003E-2</v>
      </c>
      <c r="O724" s="1019">
        <f t="shared" si="668"/>
        <v>-1.6879999999999999E-2</v>
      </c>
      <c r="P724" s="1019">
        <f t="shared" si="668"/>
        <v>-4.5679999999999998E-2</v>
      </c>
      <c r="Q724" s="1019">
        <f t="shared" si="668"/>
        <v>-0.14876</v>
      </c>
      <c r="R724" s="1019">
        <f t="shared" si="668"/>
        <v>-0.22446000000000002</v>
      </c>
      <c r="S724" s="1019">
        <f t="shared" si="668"/>
        <v>-0.38224000000000002</v>
      </c>
      <c r="T724" s="1019">
        <f t="shared" si="668"/>
        <v>-0.16441999999999998</v>
      </c>
      <c r="U724" s="1019">
        <f t="shared" si="668"/>
        <v>2.172E-2</v>
      </c>
      <c r="V724" s="3012">
        <f t="shared" si="668"/>
        <v>3.7149999999999996E-2</v>
      </c>
      <c r="W724" s="3012">
        <f t="shared" si="668"/>
        <v>-2.291E-2</v>
      </c>
      <c r="X724" s="3012">
        <f t="shared" si="668"/>
        <v>-4.2200000000000001E-2</v>
      </c>
      <c r="Y724" s="3012">
        <f t="shared" si="668"/>
        <v>2.3190000000000002E-2</v>
      </c>
      <c r="Z724" s="3012">
        <f t="shared" si="668"/>
        <v>4.1369999999999997E-2</v>
      </c>
      <c r="AA724" s="3012">
        <f t="shared" si="668"/>
        <v>-3.4590000000000003E-2</v>
      </c>
      <c r="AB724" s="3012">
        <f t="shared" si="668"/>
        <v>-7.7609999999999998E-2</v>
      </c>
      <c r="AC724" s="3012">
        <f t="shared" si="668"/>
        <v>-7.7609999999999998E-2</v>
      </c>
      <c r="AD724" s="3012">
        <f>+AD519</f>
        <v>-7.7609999999999998E-2</v>
      </c>
      <c r="AE724" s="3012">
        <f>+AE519</f>
        <v>-7.7609999999999998E-2</v>
      </c>
    </row>
    <row r="725" spans="1:31" ht="12.75" customHeight="1">
      <c r="A725" s="664"/>
      <c r="B725" s="664">
        <v>97</v>
      </c>
      <c r="C725" s="784" t="s">
        <v>1769</v>
      </c>
      <c r="D725" s="752" t="s">
        <v>685</v>
      </c>
      <c r="E725" s="753" t="s">
        <v>2118</v>
      </c>
      <c r="F725" s="754" t="s">
        <v>2119</v>
      </c>
      <c r="G725" s="785">
        <f t="shared" ref="G725:Q725" si="669">+G723+G724</f>
        <v>-1.7899999999999999E-2</v>
      </c>
      <c r="H725" s="785">
        <f t="shared" si="669"/>
        <v>-3.032E-2</v>
      </c>
      <c r="I725" s="785">
        <f t="shared" si="669"/>
        <v>-1.4775200000000002</v>
      </c>
      <c r="J725" s="785">
        <f t="shared" si="669"/>
        <v>-5.0709999999999991E-2</v>
      </c>
      <c r="K725" s="785">
        <f t="shared" si="669"/>
        <v>-5.4550000000000001E-2</v>
      </c>
      <c r="L725" s="785">
        <f t="shared" si="669"/>
        <v>-0.19653000000000001</v>
      </c>
      <c r="M725" s="785">
        <f t="shared" si="669"/>
        <v>-4.2810000000000001E-2</v>
      </c>
      <c r="N725" s="785">
        <f t="shared" si="669"/>
        <v>-4.0600000000000004E-2</v>
      </c>
      <c r="O725" s="785">
        <f t="shared" si="669"/>
        <v>-5.1069999999999997E-2</v>
      </c>
      <c r="P725" s="785">
        <f t="shared" si="669"/>
        <v>-0.13129000000000002</v>
      </c>
      <c r="Q725" s="785">
        <f t="shared" si="669"/>
        <v>-0.22094</v>
      </c>
      <c r="R725" s="785">
        <f t="shared" ref="R725:Y725" si="670">+R723+R724</f>
        <v>-0.30287000000000003</v>
      </c>
      <c r="S725" s="785">
        <f t="shared" si="670"/>
        <v>-0.56608000000000003</v>
      </c>
      <c r="T725" s="785">
        <f>+T723+T724</f>
        <v>-0.20887999999999998</v>
      </c>
      <c r="U725" s="785">
        <f>+U723+U724</f>
        <v>-8.9900000000000015E-3</v>
      </c>
      <c r="V725" s="844">
        <f t="shared" si="670"/>
        <v>-2.1800000000000014E-3</v>
      </c>
      <c r="W725" s="844">
        <f t="shared" si="670"/>
        <v>-1.25936</v>
      </c>
      <c r="X725" s="844">
        <f t="shared" si="670"/>
        <v>-8.0979999999999996E-2</v>
      </c>
      <c r="Y725" s="844">
        <f t="shared" si="670"/>
        <v>-4.9879999999999994E-2</v>
      </c>
      <c r="Z725" s="844">
        <f t="shared" ref="Z725:AE725" si="671">+Z723+Z724</f>
        <v>-0.35565000000000002</v>
      </c>
      <c r="AA725" s="844">
        <f t="shared" si="671"/>
        <v>-0.15492</v>
      </c>
      <c r="AB725" s="844">
        <f t="shared" si="671"/>
        <v>-0.13267000000000001</v>
      </c>
      <c r="AC725" s="844">
        <f t="shared" si="671"/>
        <v>-0.12881580000000001</v>
      </c>
      <c r="AD725" s="844">
        <f t="shared" si="671"/>
        <v>-0.125231394</v>
      </c>
      <c r="AE725" s="844">
        <f t="shared" si="671"/>
        <v>-0.12189789641999998</v>
      </c>
    </row>
    <row r="726" spans="1:31">
      <c r="Q726" s="699"/>
      <c r="R726" s="699"/>
      <c r="S726" s="699"/>
      <c r="T726" s="699"/>
      <c r="U726" s="699"/>
      <c r="V726" s="843"/>
      <c r="W726" s="843"/>
      <c r="X726" s="843"/>
      <c r="Y726" s="843"/>
      <c r="Z726" s="843"/>
      <c r="AA726" s="843"/>
      <c r="AB726" s="843"/>
      <c r="AC726" s="843"/>
      <c r="AD726" s="843"/>
      <c r="AE726" s="843"/>
    </row>
    <row r="727" spans="1:31" ht="12.75" customHeight="1">
      <c r="A727" s="664"/>
      <c r="B727" s="664"/>
      <c r="C727" s="774"/>
      <c r="D727" s="775"/>
      <c r="E727" s="776" t="s">
        <v>1384</v>
      </c>
      <c r="F727" s="777"/>
      <c r="G727" s="778">
        <f>+InputY!$G$3</f>
        <v>1995</v>
      </c>
      <c r="H727" s="778">
        <f>+G727+1</f>
        <v>1996</v>
      </c>
      <c r="I727" s="778">
        <f t="shared" ref="I727:O727" si="672">+H727+1</f>
        <v>1997</v>
      </c>
      <c r="J727" s="778">
        <f t="shared" si="672"/>
        <v>1998</v>
      </c>
      <c r="K727" s="778">
        <f>+J727+1</f>
        <v>1999</v>
      </c>
      <c r="L727" s="778">
        <f t="shared" si="672"/>
        <v>2000</v>
      </c>
      <c r="M727" s="778">
        <f t="shared" si="672"/>
        <v>2001</v>
      </c>
      <c r="N727" s="778">
        <f t="shared" si="672"/>
        <v>2002</v>
      </c>
      <c r="O727" s="778">
        <f t="shared" si="672"/>
        <v>2003</v>
      </c>
      <c r="P727" s="778">
        <f>+O727+1</f>
        <v>2004</v>
      </c>
      <c r="Q727" s="778">
        <f>+P727+1</f>
        <v>2005</v>
      </c>
      <c r="R727" s="778">
        <f>+Q727+1</f>
        <v>2006</v>
      </c>
      <c r="S727" s="778">
        <f t="shared" ref="S727:X727" si="673">+R727+1</f>
        <v>2007</v>
      </c>
      <c r="T727" s="778">
        <f t="shared" si="673"/>
        <v>2008</v>
      </c>
      <c r="U727" s="778">
        <f t="shared" si="673"/>
        <v>2009</v>
      </c>
      <c r="V727" s="778">
        <f t="shared" si="673"/>
        <v>2010</v>
      </c>
      <c r="W727" s="778">
        <f t="shared" si="673"/>
        <v>2011</v>
      </c>
      <c r="X727" s="778">
        <f t="shared" si="673"/>
        <v>2012</v>
      </c>
      <c r="Y727" s="778">
        <f t="shared" ref="Y727:AE727" si="674">+X727+1</f>
        <v>2013</v>
      </c>
      <c r="Z727" s="778">
        <f t="shared" si="674"/>
        <v>2014</v>
      </c>
      <c r="AA727" s="778">
        <f t="shared" si="674"/>
        <v>2015</v>
      </c>
      <c r="AB727" s="778">
        <f t="shared" si="674"/>
        <v>2016</v>
      </c>
      <c r="AC727" s="778">
        <f t="shared" si="674"/>
        <v>2017</v>
      </c>
      <c r="AD727" s="778">
        <f t="shared" si="674"/>
        <v>2018</v>
      </c>
      <c r="AE727" s="778">
        <f t="shared" si="674"/>
        <v>2019</v>
      </c>
    </row>
    <row r="728" spans="1:31" ht="12.75" customHeight="1">
      <c r="A728" s="664"/>
      <c r="B728" s="664"/>
      <c r="C728" s="779" t="s">
        <v>1767</v>
      </c>
      <c r="D728" s="668" t="s">
        <v>686</v>
      </c>
      <c r="E728" s="700" t="str">
        <f t="shared" ref="E728:AC728" si="675">+E257</f>
        <v>Social contributions (D.61r)</v>
      </c>
      <c r="F728" s="1016" t="str">
        <f t="shared" si="675"/>
        <v>YESoc</v>
      </c>
      <c r="G728" s="1018">
        <f t="shared" si="675"/>
        <v>4.4400000000000004E-3</v>
      </c>
      <c r="H728" s="1018">
        <f t="shared" si="675"/>
        <v>4.1399999999999996E-3</v>
      </c>
      <c r="I728" s="1018">
        <f t="shared" si="675"/>
        <v>5.7199999999999994E-3</v>
      </c>
      <c r="J728" s="1018">
        <f t="shared" si="675"/>
        <v>7.0899999999999999E-3</v>
      </c>
      <c r="K728" s="1018">
        <f t="shared" si="675"/>
        <v>7.7400000000000004E-3</v>
      </c>
      <c r="L728" s="1018">
        <f t="shared" si="675"/>
        <v>6.1700000000000001E-3</v>
      </c>
      <c r="M728" s="1018">
        <f t="shared" si="675"/>
        <v>4.5999999999999999E-3</v>
      </c>
      <c r="N728" s="1018">
        <f t="shared" si="675"/>
        <v>4.3699999999999998E-3</v>
      </c>
      <c r="O728" s="1018">
        <f t="shared" si="675"/>
        <v>5.2900000000000004E-3</v>
      </c>
      <c r="P728" s="1018">
        <f t="shared" si="675"/>
        <v>5.6229999999999995E-2</v>
      </c>
      <c r="Q728" s="1018">
        <f t="shared" si="675"/>
        <v>0.17993000000000001</v>
      </c>
      <c r="R728" s="1018">
        <f t="shared" si="675"/>
        <v>0.26597999999999999</v>
      </c>
      <c r="S728" s="1018">
        <f t="shared" si="675"/>
        <v>0.39018000000000003</v>
      </c>
      <c r="T728" s="1018">
        <f t="shared" si="675"/>
        <v>0.47537999999999997</v>
      </c>
      <c r="U728" s="1018">
        <f t="shared" si="675"/>
        <v>0.24734999999999999</v>
      </c>
      <c r="V728" s="3011">
        <f t="shared" si="675"/>
        <v>0.21381999999999998</v>
      </c>
      <c r="W728" s="3011">
        <f t="shared" si="675"/>
        <v>0.25058000000000002</v>
      </c>
      <c r="X728" s="3011">
        <f t="shared" si="675"/>
        <v>0.21143000000000001</v>
      </c>
      <c r="Y728" s="3011">
        <f t="shared" si="675"/>
        <v>0.29031000000000001</v>
      </c>
      <c r="Z728" s="3011">
        <f t="shared" si="675"/>
        <v>0.27892</v>
      </c>
      <c r="AA728" s="3011">
        <f t="shared" si="675"/>
        <v>0.30210000000000004</v>
      </c>
      <c r="AB728" s="3011">
        <f t="shared" si="675"/>
        <v>0.31881999999999999</v>
      </c>
      <c r="AC728" s="3011">
        <f t="shared" si="675"/>
        <v>0.33794920000000001</v>
      </c>
      <c r="AD728" s="3011">
        <f>+AD257</f>
        <v>0.35822615200000002</v>
      </c>
      <c r="AE728" s="3011">
        <f>+AE257</f>
        <v>0.37971972112000002</v>
      </c>
    </row>
    <row r="729" spans="1:31" ht="12.75" customHeight="1">
      <c r="A729" s="664"/>
      <c r="B729" s="664"/>
      <c r="C729" s="782" t="s">
        <v>1767</v>
      </c>
      <c r="D729" s="674" t="s">
        <v>686</v>
      </c>
      <c r="E729" s="783" t="str">
        <f t="shared" ref="E729:AC729" si="676">+E326</f>
        <v>Other current transfers (D.7r)</v>
      </c>
      <c r="F729" s="1017" t="str">
        <f t="shared" si="676"/>
        <v>YETO</v>
      </c>
      <c r="G729" s="1019">
        <f t="shared" si="676"/>
        <v>2.1780000000000001E-2</v>
      </c>
      <c r="H729" s="1019">
        <f t="shared" si="676"/>
        <v>1.8239999999999999E-2</v>
      </c>
      <c r="I729" s="1019">
        <f t="shared" si="676"/>
        <v>0.11393</v>
      </c>
      <c r="J729" s="1019">
        <f t="shared" si="676"/>
        <v>0.13008</v>
      </c>
      <c r="K729" s="1019">
        <f t="shared" si="676"/>
        <v>0.15775999999999998</v>
      </c>
      <c r="L729" s="1019">
        <f t="shared" si="676"/>
        <v>0.11975</v>
      </c>
      <c r="M729" s="1019">
        <f t="shared" si="676"/>
        <v>0.12631999999999999</v>
      </c>
      <c r="N729" s="1019">
        <f t="shared" si="676"/>
        <v>0.19588</v>
      </c>
      <c r="O729" s="1019">
        <f t="shared" si="676"/>
        <v>0.14812999999999998</v>
      </c>
      <c r="P729" s="1019">
        <f t="shared" si="676"/>
        <v>0.18512999999999999</v>
      </c>
      <c r="Q729" s="1019">
        <f t="shared" si="676"/>
        <v>0.19778000000000001</v>
      </c>
      <c r="R729" s="1019">
        <f t="shared" si="676"/>
        <v>0.35533999999999999</v>
      </c>
      <c r="S729" s="1019">
        <f t="shared" si="676"/>
        <v>0.38927999999999996</v>
      </c>
      <c r="T729" s="1019">
        <f t="shared" si="676"/>
        <v>0.46614999999999995</v>
      </c>
      <c r="U729" s="1019">
        <f t="shared" si="676"/>
        <v>0.41881000000000002</v>
      </c>
      <c r="V729" s="3012">
        <f t="shared" si="676"/>
        <v>0.40181</v>
      </c>
      <c r="W729" s="3012">
        <f t="shared" si="676"/>
        <v>0.44327</v>
      </c>
      <c r="X729" s="3012">
        <f t="shared" si="676"/>
        <v>0.39974999999999999</v>
      </c>
      <c r="Y729" s="3012">
        <f t="shared" si="676"/>
        <v>0.43422000000000005</v>
      </c>
      <c r="Z729" s="3012">
        <f t="shared" si="676"/>
        <v>0.46385000000000004</v>
      </c>
      <c r="AA729" s="3012">
        <f t="shared" si="676"/>
        <v>0.49933</v>
      </c>
      <c r="AB729" s="3012">
        <f t="shared" si="676"/>
        <v>0.49392000000000003</v>
      </c>
      <c r="AC729" s="3012">
        <f t="shared" si="676"/>
        <v>0.51861600000000008</v>
      </c>
      <c r="AD729" s="3012">
        <f>+AD326</f>
        <v>0.54454680000000011</v>
      </c>
      <c r="AE729" s="3012">
        <f>+AE326</f>
        <v>0.57177414000000015</v>
      </c>
    </row>
    <row r="730" spans="1:31" ht="12.75" customHeight="1">
      <c r="A730" s="664"/>
      <c r="B730" s="664"/>
      <c r="C730" s="782" t="s">
        <v>401</v>
      </c>
      <c r="D730" s="674" t="s">
        <v>686</v>
      </c>
      <c r="E730" s="783" t="str">
        <f t="shared" ref="E730:AC730" si="677">+E299</f>
        <v>Social benefits (D.62p)</v>
      </c>
      <c r="F730" s="1017" t="str">
        <f t="shared" si="677"/>
        <v>$ETSoc</v>
      </c>
      <c r="G730" s="1019">
        <f t="shared" si="677"/>
        <v>4.4400000000000004E-3</v>
      </c>
      <c r="H730" s="1019">
        <f t="shared" si="677"/>
        <v>4.1399999999999996E-3</v>
      </c>
      <c r="I730" s="1019">
        <f t="shared" si="677"/>
        <v>5.7199999999999994E-3</v>
      </c>
      <c r="J730" s="1019">
        <f t="shared" si="677"/>
        <v>7.0899999999999999E-3</v>
      </c>
      <c r="K730" s="1019">
        <f t="shared" si="677"/>
        <v>7.7400000000000004E-3</v>
      </c>
      <c r="L730" s="1019">
        <f t="shared" si="677"/>
        <v>6.1700000000000001E-3</v>
      </c>
      <c r="M730" s="1019">
        <f t="shared" si="677"/>
        <v>4.5999999999999999E-3</v>
      </c>
      <c r="N730" s="1019">
        <f t="shared" si="677"/>
        <v>4.3699999999999998E-3</v>
      </c>
      <c r="O730" s="1019">
        <f t="shared" si="677"/>
        <v>5.2900000000000004E-3</v>
      </c>
      <c r="P730" s="1019">
        <f t="shared" si="677"/>
        <v>6.0899999999999999E-3</v>
      </c>
      <c r="Q730" s="1019">
        <f t="shared" si="677"/>
        <v>9.0659999999999991E-2</v>
      </c>
      <c r="R730" s="1019">
        <f t="shared" si="677"/>
        <v>0.11231999999999999</v>
      </c>
      <c r="S730" s="1019">
        <f t="shared" si="677"/>
        <v>0.14411000000000002</v>
      </c>
      <c r="T730" s="1019">
        <f t="shared" si="677"/>
        <v>0.16861999999999999</v>
      </c>
      <c r="U730" s="1019">
        <f t="shared" si="677"/>
        <v>0.12520999999999999</v>
      </c>
      <c r="V730" s="3012">
        <f t="shared" si="677"/>
        <v>0.11831</v>
      </c>
      <c r="W730" s="3012">
        <f t="shared" si="677"/>
        <v>0.15762999999999999</v>
      </c>
      <c r="X730" s="3012">
        <f t="shared" si="677"/>
        <v>0.13691999999999999</v>
      </c>
      <c r="Y730" s="3012">
        <f t="shared" si="677"/>
        <v>0.15028</v>
      </c>
      <c r="Z730" s="3012">
        <f t="shared" si="677"/>
        <v>0.15912000000000001</v>
      </c>
      <c r="AA730" s="3012">
        <f t="shared" si="677"/>
        <v>0.17338000000000001</v>
      </c>
      <c r="AB730" s="3012">
        <f t="shared" si="677"/>
        <v>0.18775999999999998</v>
      </c>
      <c r="AC730" s="3012">
        <f t="shared" si="677"/>
        <v>0.19620919999999997</v>
      </c>
      <c r="AD730" s="3012">
        <f>+AD299</f>
        <v>0.20503861399999995</v>
      </c>
      <c r="AE730" s="3012">
        <f>+AE299</f>
        <v>0.21426535162999993</v>
      </c>
    </row>
    <row r="731" spans="1:31" ht="12.75" customHeight="1">
      <c r="A731" s="664"/>
      <c r="B731" s="664"/>
      <c r="C731" s="782" t="s">
        <v>401</v>
      </c>
      <c r="D731" s="674" t="s">
        <v>686</v>
      </c>
      <c r="E731" s="783" t="str">
        <f t="shared" ref="E731:AC731" si="678">+E325</f>
        <v>Other current transfers (D.7p)</v>
      </c>
      <c r="F731" s="1017" t="str">
        <f t="shared" si="678"/>
        <v>$ETO</v>
      </c>
      <c r="G731" s="1019">
        <f t="shared" si="678"/>
        <v>0.29097000000000001</v>
      </c>
      <c r="H731" s="1019">
        <f t="shared" si="678"/>
        <v>0.36098000000000002</v>
      </c>
      <c r="I731" s="1019">
        <f t="shared" si="678"/>
        <v>0.36907999999999996</v>
      </c>
      <c r="J731" s="1019">
        <f t="shared" si="678"/>
        <v>0.30886000000000002</v>
      </c>
      <c r="K731" s="1019">
        <f t="shared" si="678"/>
        <v>0.27594000000000002</v>
      </c>
      <c r="L731" s="1019">
        <f t="shared" si="678"/>
        <v>0.25236999999999998</v>
      </c>
      <c r="M731" s="1019">
        <f t="shared" si="678"/>
        <v>0.24536000000000002</v>
      </c>
      <c r="N731" s="1019">
        <f t="shared" si="678"/>
        <v>0.27867000000000003</v>
      </c>
      <c r="O731" s="1019">
        <f t="shared" si="678"/>
        <v>0.18616999999999997</v>
      </c>
      <c r="P731" s="1019">
        <f t="shared" si="678"/>
        <v>0.23157</v>
      </c>
      <c r="Q731" s="1019">
        <f t="shared" si="678"/>
        <v>0.32592000000000004</v>
      </c>
      <c r="R731" s="1019">
        <f t="shared" si="678"/>
        <v>0.32991000000000004</v>
      </c>
      <c r="S731" s="1019">
        <f t="shared" si="678"/>
        <v>0.40314</v>
      </c>
      <c r="T731" s="1019">
        <f t="shared" si="678"/>
        <v>0.79137000000000002</v>
      </c>
      <c r="U731" s="1019">
        <f t="shared" si="678"/>
        <v>0.71341999999999994</v>
      </c>
      <c r="V731" s="3012">
        <f t="shared" si="678"/>
        <v>0.64309000000000005</v>
      </c>
      <c r="W731" s="3012">
        <f t="shared" si="678"/>
        <v>0.71772999999999998</v>
      </c>
      <c r="X731" s="3012">
        <f t="shared" si="678"/>
        <v>0.68996000000000002</v>
      </c>
      <c r="Y731" s="3012">
        <f t="shared" si="678"/>
        <v>0.71371000000000007</v>
      </c>
      <c r="Z731" s="3012">
        <f t="shared" si="678"/>
        <v>0.72487999999999997</v>
      </c>
      <c r="AA731" s="3012">
        <f t="shared" si="678"/>
        <v>0.77882000000000007</v>
      </c>
      <c r="AB731" s="3012">
        <f t="shared" si="678"/>
        <v>0.83196000000000003</v>
      </c>
      <c r="AC731" s="3012">
        <f t="shared" si="678"/>
        <v>0.89851680000000012</v>
      </c>
      <c r="AD731" s="3012">
        <f>+AD325</f>
        <v>0.97039814400000024</v>
      </c>
      <c r="AE731" s="3012">
        <f>+AE325</f>
        <v>1.0480299955200003</v>
      </c>
    </row>
    <row r="732" spans="1:31" ht="12.75" customHeight="1">
      <c r="A732" s="664"/>
      <c r="B732" s="664">
        <v>106</v>
      </c>
      <c r="C732" s="784" t="s">
        <v>1769</v>
      </c>
      <c r="D732" s="752" t="s">
        <v>686</v>
      </c>
      <c r="E732" s="753" t="s">
        <v>208</v>
      </c>
      <c r="F732" s="1022" t="s">
        <v>209</v>
      </c>
      <c r="G732" s="785">
        <f t="shared" ref="G732:Q732" si="679">+G728+G729-G730-G731</f>
        <v>-0.26918999999999998</v>
      </c>
      <c r="H732" s="785">
        <f t="shared" si="679"/>
        <v>-0.34274000000000004</v>
      </c>
      <c r="I732" s="785">
        <f t="shared" si="679"/>
        <v>-0.25514999999999999</v>
      </c>
      <c r="J732" s="785">
        <f t="shared" si="679"/>
        <v>-0.17878000000000002</v>
      </c>
      <c r="K732" s="785">
        <f t="shared" si="679"/>
        <v>-0.11818000000000004</v>
      </c>
      <c r="L732" s="785">
        <f t="shared" si="679"/>
        <v>-0.13261999999999996</v>
      </c>
      <c r="M732" s="785">
        <f t="shared" si="679"/>
        <v>-0.11904000000000003</v>
      </c>
      <c r="N732" s="785">
        <f t="shared" si="679"/>
        <v>-8.279000000000003E-2</v>
      </c>
      <c r="O732" s="785">
        <f t="shared" si="679"/>
        <v>-3.803999999999999E-2</v>
      </c>
      <c r="P732" s="785">
        <f t="shared" si="679"/>
        <v>3.6999999999999811E-3</v>
      </c>
      <c r="Q732" s="785">
        <f t="shared" si="679"/>
        <v>-3.8870000000000016E-2</v>
      </c>
      <c r="R732" s="785">
        <f t="shared" ref="R732:Y732" si="680">+R728+R729-R730-R731</f>
        <v>0.17908999999999997</v>
      </c>
      <c r="S732" s="785">
        <f t="shared" si="680"/>
        <v>0.23221000000000008</v>
      </c>
      <c r="T732" s="785">
        <f>+T728+T729-T730-T731</f>
        <v>-1.8460000000000032E-2</v>
      </c>
      <c r="U732" s="785">
        <f>+U728+U729-U730-U731</f>
        <v>-0.1724699999999999</v>
      </c>
      <c r="V732" s="844">
        <f t="shared" si="680"/>
        <v>-0.14577000000000007</v>
      </c>
      <c r="W732" s="844">
        <f t="shared" si="680"/>
        <v>-0.18150999999999984</v>
      </c>
      <c r="X732" s="844">
        <f t="shared" si="680"/>
        <v>-0.21569999999999995</v>
      </c>
      <c r="Y732" s="844">
        <f t="shared" si="680"/>
        <v>-0.13945999999999992</v>
      </c>
      <c r="Z732" s="844">
        <f t="shared" ref="Z732:AE732" si="681">+Z728+Z729-Z730-Z731</f>
        <v>-0.14122999999999997</v>
      </c>
      <c r="AA732" s="844">
        <f t="shared" si="681"/>
        <v>-0.15076999999999996</v>
      </c>
      <c r="AB732" s="844">
        <f t="shared" si="681"/>
        <v>-0.20697999999999994</v>
      </c>
      <c r="AC732" s="844">
        <f t="shared" si="681"/>
        <v>-0.23816079999999995</v>
      </c>
      <c r="AD732" s="844">
        <f t="shared" si="681"/>
        <v>-0.27266380600000018</v>
      </c>
      <c r="AE732" s="844">
        <f t="shared" si="681"/>
        <v>-0.31080148603000013</v>
      </c>
    </row>
    <row r="733" spans="1:31">
      <c r="Q733" s="699"/>
      <c r="AB733" s="2221"/>
      <c r="AC733" s="2221"/>
      <c r="AD733" s="2221"/>
      <c r="AE733" s="2221"/>
    </row>
    <row r="734" spans="1:31" ht="12.75" customHeight="1">
      <c r="A734" s="664"/>
      <c r="B734" s="664"/>
      <c r="C734" s="774"/>
      <c r="D734" s="775"/>
      <c r="E734" s="776" t="s">
        <v>1384</v>
      </c>
      <c r="F734" s="777"/>
      <c r="G734" s="778">
        <f>+InputY!$G$3</f>
        <v>1995</v>
      </c>
      <c r="H734" s="778">
        <f>+G734+1</f>
        <v>1996</v>
      </c>
      <c r="I734" s="778">
        <f t="shared" ref="I734:O734" si="682">+H734+1</f>
        <v>1997</v>
      </c>
      <c r="J734" s="778">
        <f t="shared" si="682"/>
        <v>1998</v>
      </c>
      <c r="K734" s="778">
        <f>+J734+1</f>
        <v>1999</v>
      </c>
      <c r="L734" s="778">
        <f t="shared" si="682"/>
        <v>2000</v>
      </c>
      <c r="M734" s="778">
        <f t="shared" si="682"/>
        <v>2001</v>
      </c>
      <c r="N734" s="778">
        <f t="shared" si="682"/>
        <v>2002</v>
      </c>
      <c r="O734" s="778">
        <f t="shared" si="682"/>
        <v>2003</v>
      </c>
      <c r="P734" s="778">
        <f>+O734+1</f>
        <v>2004</v>
      </c>
      <c r="Q734" s="778">
        <f>+P734+1</f>
        <v>2005</v>
      </c>
      <c r="R734" s="778">
        <f>+Q734+1</f>
        <v>2006</v>
      </c>
      <c r="S734" s="778">
        <f t="shared" ref="S734:X734" si="683">+R734+1</f>
        <v>2007</v>
      </c>
      <c r="T734" s="778">
        <f t="shared" si="683"/>
        <v>2008</v>
      </c>
      <c r="U734" s="778">
        <f t="shared" si="683"/>
        <v>2009</v>
      </c>
      <c r="V734" s="778">
        <f t="shared" si="683"/>
        <v>2010</v>
      </c>
      <c r="W734" s="778">
        <f t="shared" si="683"/>
        <v>2011</v>
      </c>
      <c r="X734" s="778">
        <f t="shared" si="683"/>
        <v>2012</v>
      </c>
      <c r="Y734" s="778">
        <f t="shared" ref="Y734:AE734" si="684">+X734+1</f>
        <v>2013</v>
      </c>
      <c r="Z734" s="778">
        <f t="shared" si="684"/>
        <v>2014</v>
      </c>
      <c r="AA734" s="778">
        <f t="shared" si="684"/>
        <v>2015</v>
      </c>
      <c r="AB734" s="778">
        <f t="shared" si="684"/>
        <v>2016</v>
      </c>
      <c r="AC734" s="778">
        <f t="shared" si="684"/>
        <v>2017</v>
      </c>
      <c r="AD734" s="778">
        <f t="shared" si="684"/>
        <v>2018</v>
      </c>
      <c r="AE734" s="778">
        <f t="shared" si="684"/>
        <v>2019</v>
      </c>
    </row>
    <row r="735" spans="1:31" ht="12.75" customHeight="1">
      <c r="A735" s="664"/>
      <c r="B735" s="664"/>
      <c r="C735" s="779" t="s">
        <v>1767</v>
      </c>
      <c r="D735" s="668" t="s">
        <v>686</v>
      </c>
      <c r="E735" s="700" t="s">
        <v>376</v>
      </c>
      <c r="F735" s="1016" t="s">
        <v>1558</v>
      </c>
      <c r="G735" s="780">
        <f>+'VVP2'!G230</f>
        <v>1.0315099999999999</v>
      </c>
      <c r="H735" s="780">
        <f>+'VVP2'!H230</f>
        <v>1.45316</v>
      </c>
      <c r="I735" s="780">
        <f>+'VVP2'!I230</f>
        <v>1.9308800000000002</v>
      </c>
      <c r="J735" s="780">
        <f>+'VVP2'!J230</f>
        <v>2.1963900000000001</v>
      </c>
      <c r="K735" s="780">
        <f>+'VVP2'!K230</f>
        <v>2.0300199999999999</v>
      </c>
      <c r="L735" s="780">
        <f>+'VVP2'!L230</f>
        <v>1.7495399999999999</v>
      </c>
      <c r="M735" s="780">
        <f>+'VVP2'!M230</f>
        <v>2.0532399999999997</v>
      </c>
      <c r="N735" s="780">
        <f>+'VVP2'!N230</f>
        <v>2.1570999999999998</v>
      </c>
      <c r="O735" s="780">
        <f>+'VVP2'!O230</f>
        <v>2.38741</v>
      </c>
      <c r="P735" s="780">
        <f>+'VVP2'!P230</f>
        <v>2.7249899999999996</v>
      </c>
      <c r="Q735" s="780">
        <f>+'VVP2'!Q230</f>
        <v>3.3142499999999999</v>
      </c>
      <c r="R735" s="780">
        <f>+'VVP2'!R230</f>
        <v>4.3358999999999996</v>
      </c>
      <c r="S735" s="780">
        <f>+'VVP2'!S230</f>
        <v>5.6438000000000006</v>
      </c>
      <c r="T735" s="780">
        <f>+'VVP2'!T230</f>
        <v>5.4749799999999995</v>
      </c>
      <c r="U735" s="780">
        <f>+'VVP2'!U230</f>
        <v>2.6641699999999999</v>
      </c>
      <c r="V735" s="846">
        <f>+'VVP2'!V230</f>
        <v>2.41317</v>
      </c>
      <c r="W735" s="846">
        <f>+'VVP2'!W230</f>
        <v>3.25813</v>
      </c>
      <c r="X735" s="846">
        <f>+'VVP2'!X230</f>
        <v>3.45871</v>
      </c>
      <c r="Y735" s="846">
        <f>+'VVP2'!Y230</f>
        <v>3.9040300000000001</v>
      </c>
      <c r="Z735" s="846">
        <f>+'VVP2'!Z230</f>
        <v>4.2507999999999999</v>
      </c>
      <c r="AA735" s="846">
        <f>+'VVP2'!AA230</f>
        <v>4.3872</v>
      </c>
      <c r="AB735" s="846">
        <f>+'VVP2'!AB230</f>
        <v>4.4183300000000001</v>
      </c>
      <c r="AC735" s="846">
        <f ca="1">+'VVP2'!AC230</f>
        <v>4.8402273491796706</v>
      </c>
      <c r="AD735" s="846">
        <f ca="1">+'VVP2'!AD230</f>
        <v>5.3913625170022881</v>
      </c>
      <c r="AE735" s="846">
        <f ca="1">+'VVP2'!AE230</f>
        <v>5.7944843096866441</v>
      </c>
    </row>
    <row r="736" spans="1:31" ht="12.75" customHeight="1">
      <c r="A736" s="664"/>
      <c r="B736" s="664"/>
      <c r="C736" s="782" t="s">
        <v>1767</v>
      </c>
      <c r="D736" s="674" t="s">
        <v>686</v>
      </c>
      <c r="E736" s="783" t="s">
        <v>377</v>
      </c>
      <c r="F736" s="1017" t="s">
        <v>382</v>
      </c>
      <c r="G736" s="706">
        <f t="shared" ref="G736:AC736" si="685">+G542</f>
        <v>0.16175</v>
      </c>
      <c r="H736" s="706">
        <f t="shared" si="685"/>
        <v>4.1340000000000002E-2</v>
      </c>
      <c r="I736" s="706">
        <f t="shared" si="685"/>
        <v>0.19895000000000002</v>
      </c>
      <c r="J736" s="706">
        <f t="shared" si="685"/>
        <v>3.1109999999999999E-2</v>
      </c>
      <c r="K736" s="706">
        <f t="shared" si="685"/>
        <v>-4.0870000000000004E-2</v>
      </c>
      <c r="L736" s="706">
        <f t="shared" si="685"/>
        <v>-4.922E-2</v>
      </c>
      <c r="M736" s="706">
        <f t="shared" si="685"/>
        <v>-0.11035</v>
      </c>
      <c r="N736" s="706">
        <f t="shared" si="685"/>
        <v>-2.018E-2</v>
      </c>
      <c r="O736" s="706">
        <f t="shared" si="685"/>
        <v>3.2250000000000001E-2</v>
      </c>
      <c r="P736" s="706">
        <f t="shared" si="685"/>
        <v>-6.1490000000000003E-2</v>
      </c>
      <c r="Q736" s="706">
        <f t="shared" si="685"/>
        <v>0.17057</v>
      </c>
      <c r="R736" s="706">
        <f t="shared" si="685"/>
        <v>0.16547000000000001</v>
      </c>
      <c r="S736" s="706">
        <f t="shared" si="685"/>
        <v>0.9591900000000001</v>
      </c>
      <c r="T736" s="706">
        <f t="shared" si="685"/>
        <v>0.43486000000000002</v>
      </c>
      <c r="U736" s="706">
        <f t="shared" si="685"/>
        <v>-1.4296800000000001</v>
      </c>
      <c r="V736" s="792">
        <f t="shared" si="685"/>
        <v>0.34223999999999999</v>
      </c>
      <c r="W736" s="792">
        <f t="shared" si="685"/>
        <v>0.94126000000000021</v>
      </c>
      <c r="X736" s="792">
        <f t="shared" si="685"/>
        <v>0.57815000000000005</v>
      </c>
      <c r="Y736" s="792">
        <f t="shared" si="685"/>
        <v>0.23589000000000004</v>
      </c>
      <c r="Z736" s="792">
        <f t="shared" si="685"/>
        <v>2.7549999999999998E-2</v>
      </c>
      <c r="AA736" s="792">
        <f t="shared" si="685"/>
        <v>0.30141000000000007</v>
      </c>
      <c r="AB736" s="792">
        <f t="shared" si="685"/>
        <v>-0.68081999999999998</v>
      </c>
      <c r="AC736" s="792">
        <f t="shared" ca="1" si="685"/>
        <v>-0.68081999999999998</v>
      </c>
      <c r="AD736" s="792">
        <f ca="1">+AD542</f>
        <v>-0.68081999999999998</v>
      </c>
      <c r="AE736" s="792">
        <f ca="1">+AE542</f>
        <v>-0.68081999999999998</v>
      </c>
    </row>
    <row r="737" spans="1:31" ht="12.75" customHeight="1">
      <c r="A737" s="664"/>
      <c r="B737" s="664">
        <v>109</v>
      </c>
      <c r="C737" s="784" t="s">
        <v>1769</v>
      </c>
      <c r="D737" s="752" t="s">
        <v>686</v>
      </c>
      <c r="E737" s="753" t="s">
        <v>583</v>
      </c>
      <c r="F737" s="754"/>
      <c r="G737" s="785">
        <f t="shared" ref="G737:Q737" si="686">+G735+G736</f>
        <v>1.19326</v>
      </c>
      <c r="H737" s="785">
        <f t="shared" si="686"/>
        <v>1.4944999999999999</v>
      </c>
      <c r="I737" s="785">
        <f t="shared" si="686"/>
        <v>2.1298300000000001</v>
      </c>
      <c r="J737" s="785">
        <f t="shared" si="686"/>
        <v>2.2275</v>
      </c>
      <c r="K737" s="785">
        <f t="shared" si="686"/>
        <v>1.98915</v>
      </c>
      <c r="L737" s="785">
        <f t="shared" si="686"/>
        <v>1.7003199999999998</v>
      </c>
      <c r="M737" s="785">
        <f t="shared" si="686"/>
        <v>1.9428899999999998</v>
      </c>
      <c r="N737" s="785">
        <f t="shared" si="686"/>
        <v>2.1369199999999999</v>
      </c>
      <c r="O737" s="785">
        <f t="shared" si="686"/>
        <v>2.4196599999999999</v>
      </c>
      <c r="P737" s="785">
        <f t="shared" si="686"/>
        <v>2.6634999999999995</v>
      </c>
      <c r="Q737" s="785">
        <f t="shared" si="686"/>
        <v>3.48482</v>
      </c>
      <c r="R737" s="785">
        <f t="shared" ref="R737:Y737" si="687">+R735+R736</f>
        <v>4.5013699999999996</v>
      </c>
      <c r="S737" s="785">
        <f t="shared" si="687"/>
        <v>6.602990000000001</v>
      </c>
      <c r="T737" s="785">
        <f>+T735+T736</f>
        <v>5.9098399999999991</v>
      </c>
      <c r="U737" s="785">
        <f>+U735+U736</f>
        <v>1.2344899999999999</v>
      </c>
      <c r="V737" s="844">
        <f t="shared" si="687"/>
        <v>2.7554099999999999</v>
      </c>
      <c r="W737" s="844">
        <f t="shared" si="687"/>
        <v>4.1993900000000002</v>
      </c>
      <c r="X737" s="844">
        <f t="shared" si="687"/>
        <v>4.0368599999999999</v>
      </c>
      <c r="Y737" s="844">
        <f t="shared" si="687"/>
        <v>4.13992</v>
      </c>
      <c r="Z737" s="844">
        <f t="shared" ref="Z737:AE737" si="688">+Z735+Z736</f>
        <v>4.2783499999999997</v>
      </c>
      <c r="AA737" s="844">
        <f t="shared" si="688"/>
        <v>4.6886099999999997</v>
      </c>
      <c r="AB737" s="844">
        <f t="shared" si="688"/>
        <v>3.7375100000000003</v>
      </c>
      <c r="AC737" s="844">
        <f t="shared" ca="1" si="688"/>
        <v>4.1594073491796708</v>
      </c>
      <c r="AD737" s="844">
        <f t="shared" ca="1" si="688"/>
        <v>4.7105425170022883</v>
      </c>
      <c r="AE737" s="844">
        <f t="shared" ca="1" si="688"/>
        <v>5.1136643096866443</v>
      </c>
    </row>
    <row r="738" spans="1:31">
      <c r="Q738" s="699"/>
      <c r="R738" s="699"/>
      <c r="S738" s="699"/>
      <c r="T738" s="699"/>
      <c r="U738" s="699"/>
      <c r="V738" s="843"/>
      <c r="W738" s="843"/>
      <c r="X738" s="843"/>
      <c r="Y738" s="843"/>
      <c r="Z738" s="843"/>
      <c r="AA738" s="843"/>
      <c r="AB738" s="843"/>
      <c r="AC738" s="843"/>
      <c r="AD738" s="843"/>
      <c r="AE738" s="843"/>
    </row>
    <row r="739" spans="1:31" ht="12.75" customHeight="1">
      <c r="A739" s="664"/>
      <c r="B739" s="664"/>
      <c r="C739" s="774"/>
      <c r="D739" s="775"/>
      <c r="E739" s="776" t="s">
        <v>1384</v>
      </c>
      <c r="F739" s="777"/>
      <c r="G739" s="778">
        <f>+InputY!$G$3</f>
        <v>1995</v>
      </c>
      <c r="H739" s="778">
        <f>+G739+1</f>
        <v>1996</v>
      </c>
      <c r="I739" s="778">
        <f t="shared" ref="I739:O739" si="689">+H739+1</f>
        <v>1997</v>
      </c>
      <c r="J739" s="778">
        <f t="shared" si="689"/>
        <v>1998</v>
      </c>
      <c r="K739" s="778">
        <f>+J739+1</f>
        <v>1999</v>
      </c>
      <c r="L739" s="778">
        <f t="shared" si="689"/>
        <v>2000</v>
      </c>
      <c r="M739" s="778">
        <f t="shared" si="689"/>
        <v>2001</v>
      </c>
      <c r="N739" s="778">
        <f t="shared" si="689"/>
        <v>2002</v>
      </c>
      <c r="O739" s="778">
        <f t="shared" si="689"/>
        <v>2003</v>
      </c>
      <c r="P739" s="778">
        <f>+O739+1</f>
        <v>2004</v>
      </c>
      <c r="Q739" s="778">
        <f>+P739+1</f>
        <v>2005</v>
      </c>
      <c r="R739" s="778">
        <f>+Q739+1</f>
        <v>2006</v>
      </c>
      <c r="S739" s="778">
        <f t="shared" ref="S739:X739" si="690">+R739+1</f>
        <v>2007</v>
      </c>
      <c r="T739" s="778">
        <f t="shared" si="690"/>
        <v>2008</v>
      </c>
      <c r="U739" s="778">
        <f t="shared" si="690"/>
        <v>2009</v>
      </c>
      <c r="V739" s="778">
        <f t="shared" si="690"/>
        <v>2010</v>
      </c>
      <c r="W739" s="778">
        <f t="shared" si="690"/>
        <v>2011</v>
      </c>
      <c r="X739" s="778">
        <f t="shared" si="690"/>
        <v>2012</v>
      </c>
      <c r="Y739" s="778">
        <f t="shared" ref="Y739:AE739" si="691">+X739+1</f>
        <v>2013</v>
      </c>
      <c r="Z739" s="778">
        <f t="shared" si="691"/>
        <v>2014</v>
      </c>
      <c r="AA739" s="778">
        <f t="shared" si="691"/>
        <v>2015</v>
      </c>
      <c r="AB739" s="778">
        <f t="shared" si="691"/>
        <v>2016</v>
      </c>
      <c r="AC739" s="778">
        <f t="shared" si="691"/>
        <v>2017</v>
      </c>
      <c r="AD739" s="778">
        <f t="shared" si="691"/>
        <v>2018</v>
      </c>
      <c r="AE739" s="778">
        <f t="shared" si="691"/>
        <v>2019</v>
      </c>
    </row>
    <row r="740" spans="1:31" ht="12.75" customHeight="1">
      <c r="A740" s="664"/>
      <c r="B740" s="664"/>
      <c r="C740" s="779" t="s">
        <v>1767</v>
      </c>
      <c r="D740" s="668" t="s">
        <v>686</v>
      </c>
      <c r="E740" s="700" t="s">
        <v>1324</v>
      </c>
      <c r="F740" s="1016" t="s">
        <v>114</v>
      </c>
      <c r="G740" s="1018">
        <f t="shared" ref="G740:AC740" si="692">-G489</f>
        <v>-3.3049999999999996E-2</v>
      </c>
      <c r="H740" s="1018">
        <f t="shared" si="692"/>
        <v>-0.22208</v>
      </c>
      <c r="I740" s="1018">
        <f t="shared" si="692"/>
        <v>-3.1609999999999999E-2</v>
      </c>
      <c r="J740" s="1018">
        <f t="shared" si="692"/>
        <v>-0.10012</v>
      </c>
      <c r="K740" s="1018">
        <f t="shared" si="692"/>
        <v>-5.3999999999999999E-2</v>
      </c>
      <c r="L740" s="1018">
        <f t="shared" si="692"/>
        <v>-0.12583</v>
      </c>
      <c r="M740" s="1018">
        <f t="shared" si="692"/>
        <v>-0.26213999999999998</v>
      </c>
      <c r="N740" s="1018">
        <f t="shared" si="692"/>
        <v>-0.12173</v>
      </c>
      <c r="O740" s="1018">
        <f t="shared" si="692"/>
        <v>-4.3559999999999995E-2</v>
      </c>
      <c r="P740" s="1018">
        <f t="shared" si="692"/>
        <v>-7.5829999999999995E-2</v>
      </c>
      <c r="Q740" s="1018">
        <f t="shared" si="692"/>
        <v>-5.5099999999999996E-2</v>
      </c>
      <c r="R740" s="1018">
        <f t="shared" si="692"/>
        <v>-0.14396</v>
      </c>
      <c r="S740" s="1018">
        <f t="shared" si="692"/>
        <v>-0.27153000000000005</v>
      </c>
      <c r="T740" s="1018">
        <f t="shared" si="692"/>
        <v>-0.36141000000000001</v>
      </c>
      <c r="U740" s="1018">
        <f t="shared" si="692"/>
        <v>-0.84387999999999996</v>
      </c>
      <c r="V740" s="3011">
        <f t="shared" si="692"/>
        <v>-0.43232999999999999</v>
      </c>
      <c r="W740" s="3011">
        <f t="shared" si="692"/>
        <v>-0.47370999999999996</v>
      </c>
      <c r="X740" s="3011">
        <f t="shared" si="692"/>
        <v>-0.38078000000000001</v>
      </c>
      <c r="Y740" s="3011">
        <f t="shared" si="692"/>
        <v>-0.74426999999999999</v>
      </c>
      <c r="Z740" s="3011">
        <f t="shared" si="692"/>
        <v>-9.0939999999999938E-2</v>
      </c>
      <c r="AA740" s="3011">
        <f t="shared" si="692"/>
        <v>-0.57279000000000013</v>
      </c>
      <c r="AB740" s="3011">
        <f t="shared" si="692"/>
        <v>-0.38400000000000001</v>
      </c>
      <c r="AC740" s="3011">
        <f t="shared" si="692"/>
        <v>-0.35711999999999999</v>
      </c>
      <c r="AD740" s="3011">
        <f>-AD489</f>
        <v>-0.33212159999999996</v>
      </c>
      <c r="AE740" s="3011">
        <f>-AE489</f>
        <v>-0.30887308799999996</v>
      </c>
    </row>
    <row r="741" spans="1:31" ht="12.75" customHeight="1">
      <c r="A741" s="664"/>
      <c r="B741" s="664"/>
      <c r="C741" s="782" t="s">
        <v>1767</v>
      </c>
      <c r="D741" s="674" t="s">
        <v>686</v>
      </c>
      <c r="E741" s="783" t="s">
        <v>375</v>
      </c>
      <c r="F741" s="1017" t="s">
        <v>1557</v>
      </c>
      <c r="G741" s="1019">
        <f t="shared" ref="G741:AC741" si="693">+G520</f>
        <v>0</v>
      </c>
      <c r="H741" s="1019">
        <f t="shared" si="693"/>
        <v>0</v>
      </c>
      <c r="I741" s="1019">
        <f t="shared" si="693"/>
        <v>6.4200000000000004E-3</v>
      </c>
      <c r="J741" s="1019">
        <f t="shared" si="693"/>
        <v>1.3600000000000001E-3</v>
      </c>
      <c r="K741" s="1019">
        <f t="shared" si="693"/>
        <v>4.2699999999999995E-3</v>
      </c>
      <c r="L741" s="1019">
        <f t="shared" si="693"/>
        <v>6.5300000000000002E-3</v>
      </c>
      <c r="M741" s="1019">
        <f t="shared" si="693"/>
        <v>1.7149999999999999E-2</v>
      </c>
      <c r="N741" s="1019">
        <f t="shared" si="693"/>
        <v>1.9890000000000001E-2</v>
      </c>
      <c r="O741" s="1019">
        <f t="shared" si="693"/>
        <v>2.3649999999999997E-2</v>
      </c>
      <c r="P741" s="1019">
        <f t="shared" si="693"/>
        <v>6.8229999999999999E-2</v>
      </c>
      <c r="Q741" s="1019">
        <f t="shared" si="693"/>
        <v>0.18268000000000001</v>
      </c>
      <c r="R741" s="1019">
        <f t="shared" si="693"/>
        <v>0.26053999999999999</v>
      </c>
      <c r="S741" s="1019">
        <f t="shared" si="693"/>
        <v>0.40805999999999998</v>
      </c>
      <c r="T741" s="1019">
        <f t="shared" si="693"/>
        <v>0.16866999999999999</v>
      </c>
      <c r="U741" s="1019">
        <f t="shared" si="693"/>
        <v>-2.4570000000000002E-2</v>
      </c>
      <c r="V741" s="3012">
        <f t="shared" si="693"/>
        <v>-1.6739999999999998E-2</v>
      </c>
      <c r="W741" s="3012">
        <f t="shared" si="693"/>
        <v>0.12236</v>
      </c>
      <c r="X741" s="3012">
        <f t="shared" si="693"/>
        <v>0.1183</v>
      </c>
      <c r="Y741" s="3012">
        <f t="shared" si="693"/>
        <v>9.484999999999999E-2</v>
      </c>
      <c r="Z741" s="3012">
        <f t="shared" si="693"/>
        <v>3.7079999999999995E-2</v>
      </c>
      <c r="AA741" s="3012">
        <f t="shared" si="693"/>
        <v>8.6230000000000001E-2</v>
      </c>
      <c r="AB741" s="3012">
        <f t="shared" si="693"/>
        <v>0.10553</v>
      </c>
      <c r="AC741" s="3012">
        <f t="shared" si="693"/>
        <v>0.10553</v>
      </c>
      <c r="AD741" s="3012">
        <f>+AD520</f>
        <v>0.10553</v>
      </c>
      <c r="AE741" s="3012">
        <f>+AE520</f>
        <v>0.10553</v>
      </c>
    </row>
    <row r="742" spans="1:31" ht="12.75" customHeight="1">
      <c r="A742" s="664"/>
      <c r="B742" s="664">
        <v>110</v>
      </c>
      <c r="C742" s="784" t="s">
        <v>1769</v>
      </c>
      <c r="D742" s="752" t="s">
        <v>686</v>
      </c>
      <c r="E742" s="753" t="s">
        <v>2118</v>
      </c>
      <c r="F742" s="754" t="s">
        <v>207</v>
      </c>
      <c r="G742" s="785">
        <f t="shared" ref="G742:Q742" si="694">+G740+G741</f>
        <v>-3.3049999999999996E-2</v>
      </c>
      <c r="H742" s="785">
        <f t="shared" si="694"/>
        <v>-0.22208</v>
      </c>
      <c r="I742" s="785">
        <f t="shared" si="694"/>
        <v>-2.5189999999999997E-2</v>
      </c>
      <c r="J742" s="785">
        <f t="shared" si="694"/>
        <v>-9.8760000000000001E-2</v>
      </c>
      <c r="K742" s="785">
        <f t="shared" si="694"/>
        <v>-4.9729999999999996E-2</v>
      </c>
      <c r="L742" s="785">
        <f t="shared" si="694"/>
        <v>-0.1193</v>
      </c>
      <c r="M742" s="785">
        <f t="shared" si="694"/>
        <v>-0.24498999999999999</v>
      </c>
      <c r="N742" s="785">
        <f t="shared" si="694"/>
        <v>-0.10184</v>
      </c>
      <c r="O742" s="785">
        <f t="shared" si="694"/>
        <v>-1.9909999999999997E-2</v>
      </c>
      <c r="P742" s="785">
        <f t="shared" si="694"/>
        <v>-7.5999999999999956E-3</v>
      </c>
      <c r="Q742" s="785">
        <f t="shared" si="694"/>
        <v>0.12758000000000003</v>
      </c>
      <c r="R742" s="785">
        <f t="shared" ref="R742:Y742" si="695">+R740+R741</f>
        <v>0.11657999999999999</v>
      </c>
      <c r="S742" s="785">
        <f t="shared" si="695"/>
        <v>0.13652999999999993</v>
      </c>
      <c r="T742" s="785">
        <f>+T740+T741</f>
        <v>-0.19274000000000002</v>
      </c>
      <c r="U742" s="785">
        <f>+U740+U741</f>
        <v>-0.86844999999999994</v>
      </c>
      <c r="V742" s="844">
        <f t="shared" si="695"/>
        <v>-0.44906999999999997</v>
      </c>
      <c r="W742" s="844">
        <f t="shared" si="695"/>
        <v>-0.35134999999999994</v>
      </c>
      <c r="X742" s="844">
        <f t="shared" si="695"/>
        <v>-0.26247999999999999</v>
      </c>
      <c r="Y742" s="844">
        <f t="shared" si="695"/>
        <v>-0.64942</v>
      </c>
      <c r="Z742" s="844">
        <f t="shared" ref="Z742:AE742" si="696">+Z740+Z741</f>
        <v>-5.3859999999999943E-2</v>
      </c>
      <c r="AA742" s="844">
        <f t="shared" si="696"/>
        <v>-0.4865600000000001</v>
      </c>
      <c r="AB742" s="844">
        <f t="shared" si="696"/>
        <v>-0.27847</v>
      </c>
      <c r="AC742" s="844">
        <f t="shared" si="696"/>
        <v>-0.25158999999999998</v>
      </c>
      <c r="AD742" s="844">
        <f t="shared" si="696"/>
        <v>-0.22659159999999995</v>
      </c>
      <c r="AE742" s="844">
        <f t="shared" si="696"/>
        <v>-0.20334308799999995</v>
      </c>
    </row>
    <row r="743" spans="1:31">
      <c r="Q743" s="699"/>
      <c r="R743" s="699"/>
      <c r="S743" s="699"/>
      <c r="T743" s="699"/>
      <c r="U743" s="699"/>
      <c r="V743" s="843"/>
      <c r="W743" s="843"/>
      <c r="X743" s="843"/>
      <c r="Y743" s="843"/>
      <c r="Z743" s="843"/>
      <c r="AA743" s="843"/>
      <c r="AB743" s="843"/>
      <c r="AC743" s="843"/>
      <c r="AD743" s="843"/>
      <c r="AE743" s="843"/>
    </row>
    <row r="744" spans="1:31" ht="12.75" customHeight="1">
      <c r="A744" s="664"/>
      <c r="B744" s="664"/>
      <c r="C744" s="774"/>
      <c r="D744" s="775"/>
      <c r="E744" s="776" t="s">
        <v>1384</v>
      </c>
      <c r="F744" s="777"/>
      <c r="G744" s="778">
        <f>+InputY!$G$3</f>
        <v>1995</v>
      </c>
      <c r="H744" s="778">
        <f>+G744+1</f>
        <v>1996</v>
      </c>
      <c r="I744" s="778">
        <f t="shared" ref="I744:O744" si="697">+H744+1</f>
        <v>1997</v>
      </c>
      <c r="J744" s="778">
        <f t="shared" si="697"/>
        <v>1998</v>
      </c>
      <c r="K744" s="778">
        <f>+J744+1</f>
        <v>1999</v>
      </c>
      <c r="L744" s="778">
        <f t="shared" si="697"/>
        <v>2000</v>
      </c>
      <c r="M744" s="778">
        <f t="shared" si="697"/>
        <v>2001</v>
      </c>
      <c r="N744" s="778">
        <f t="shared" si="697"/>
        <v>2002</v>
      </c>
      <c r="O744" s="778">
        <f t="shared" si="697"/>
        <v>2003</v>
      </c>
      <c r="P744" s="778">
        <f>+O744+1</f>
        <v>2004</v>
      </c>
      <c r="Q744" s="778">
        <f>+P744+1</f>
        <v>2005</v>
      </c>
      <c r="R744" s="778">
        <f>+Q744+1</f>
        <v>2006</v>
      </c>
      <c r="S744" s="778">
        <f t="shared" ref="S744:X744" si="698">+R744+1</f>
        <v>2007</v>
      </c>
      <c r="T744" s="778">
        <f t="shared" si="698"/>
        <v>2008</v>
      </c>
      <c r="U744" s="778">
        <f t="shared" si="698"/>
        <v>2009</v>
      </c>
      <c r="V744" s="778">
        <f t="shared" si="698"/>
        <v>2010</v>
      </c>
      <c r="W744" s="778">
        <f t="shared" si="698"/>
        <v>2011</v>
      </c>
      <c r="X744" s="778">
        <f t="shared" si="698"/>
        <v>2012</v>
      </c>
      <c r="Y744" s="778">
        <f t="shared" ref="Y744:AE744" si="699">+X744+1</f>
        <v>2013</v>
      </c>
      <c r="Z744" s="778">
        <f t="shared" si="699"/>
        <v>2014</v>
      </c>
      <c r="AA744" s="778">
        <f t="shared" si="699"/>
        <v>2015</v>
      </c>
      <c r="AB744" s="778">
        <f t="shared" si="699"/>
        <v>2016</v>
      </c>
      <c r="AC744" s="778">
        <f t="shared" si="699"/>
        <v>2017</v>
      </c>
      <c r="AD744" s="778">
        <f t="shared" si="699"/>
        <v>2018</v>
      </c>
      <c r="AE744" s="778">
        <f t="shared" si="699"/>
        <v>2019</v>
      </c>
    </row>
    <row r="745" spans="1:31" ht="12.75" customHeight="1">
      <c r="A745" s="664"/>
      <c r="B745" s="664"/>
      <c r="C745" s="779" t="s">
        <v>1767</v>
      </c>
      <c r="D745" s="668" t="s">
        <v>687</v>
      </c>
      <c r="E745" s="780" t="s">
        <v>1375</v>
      </c>
      <c r="F745" s="701" t="s">
        <v>218</v>
      </c>
      <c r="G745" s="780">
        <f t="shared" ref="G745:AC745" si="700">+G48</f>
        <v>0</v>
      </c>
      <c r="H745" s="780">
        <f t="shared" si="700"/>
        <v>0</v>
      </c>
      <c r="I745" s="780">
        <f t="shared" si="700"/>
        <v>0</v>
      </c>
      <c r="J745" s="780">
        <f t="shared" si="700"/>
        <v>0</v>
      </c>
      <c r="K745" s="780">
        <f t="shared" si="700"/>
        <v>0</v>
      </c>
      <c r="L745" s="780">
        <f t="shared" si="700"/>
        <v>0</v>
      </c>
      <c r="M745" s="780">
        <f t="shared" si="700"/>
        <v>0</v>
      </c>
      <c r="N745" s="780">
        <f t="shared" si="700"/>
        <v>0</v>
      </c>
      <c r="O745" s="780">
        <f t="shared" si="700"/>
        <v>0</v>
      </c>
      <c r="P745" s="780">
        <f t="shared" si="700"/>
        <v>0</v>
      </c>
      <c r="Q745" s="780">
        <f t="shared" si="700"/>
        <v>0</v>
      </c>
      <c r="R745" s="780">
        <f t="shared" si="700"/>
        <v>0</v>
      </c>
      <c r="S745" s="780">
        <f t="shared" si="700"/>
        <v>0</v>
      </c>
      <c r="T745" s="780">
        <f t="shared" si="700"/>
        <v>0</v>
      </c>
      <c r="U745" s="780">
        <f t="shared" si="700"/>
        <v>0</v>
      </c>
      <c r="V745" s="846">
        <f t="shared" si="700"/>
        <v>0</v>
      </c>
      <c r="W745" s="846">
        <f t="shared" si="700"/>
        <v>0</v>
      </c>
      <c r="X745" s="846">
        <f t="shared" si="700"/>
        <v>0</v>
      </c>
      <c r="Y745" s="846">
        <f t="shared" si="700"/>
        <v>0</v>
      </c>
      <c r="Z745" s="846">
        <f t="shared" si="700"/>
        <v>0</v>
      </c>
      <c r="AA745" s="846">
        <f t="shared" si="700"/>
        <v>0</v>
      </c>
      <c r="AB745" s="846">
        <f t="shared" si="700"/>
        <v>0</v>
      </c>
      <c r="AC745" s="846">
        <f t="shared" si="700"/>
        <v>0</v>
      </c>
      <c r="AD745" s="846">
        <f>+AD48</f>
        <v>0</v>
      </c>
      <c r="AE745" s="846">
        <f>+AE48</f>
        <v>0</v>
      </c>
    </row>
    <row r="746" spans="1:31" ht="12.75" customHeight="1">
      <c r="A746" s="664"/>
      <c r="B746" s="664"/>
      <c r="C746" s="782" t="s">
        <v>1767</v>
      </c>
      <c r="D746" s="1041" t="s">
        <v>687</v>
      </c>
      <c r="E746" s="1044" t="s">
        <v>852</v>
      </c>
      <c r="F746" s="704" t="s">
        <v>2094</v>
      </c>
      <c r="G746" s="706">
        <f t="shared" ref="G746:AC746" si="701">+G137</f>
        <v>2.7739999999999997E-2</v>
      </c>
      <c r="H746" s="706">
        <f t="shared" si="701"/>
        <v>3.005E-2</v>
      </c>
      <c r="I746" s="706">
        <f t="shared" si="701"/>
        <v>5.4469999999999998E-2</v>
      </c>
      <c r="J746" s="706">
        <f t="shared" si="701"/>
        <v>0.15242</v>
      </c>
      <c r="K746" s="706">
        <f t="shared" si="701"/>
        <v>0.15071999999999999</v>
      </c>
      <c r="L746" s="706">
        <f t="shared" si="701"/>
        <v>0.17279</v>
      </c>
      <c r="M746" s="706">
        <f t="shared" si="701"/>
        <v>0.21227000000000001</v>
      </c>
      <c r="N746" s="706">
        <f t="shared" si="701"/>
        <v>0.16736000000000001</v>
      </c>
      <c r="O746" s="706">
        <f t="shared" si="701"/>
        <v>0.15512999999999999</v>
      </c>
      <c r="P746" s="706">
        <f t="shared" si="701"/>
        <v>0.14368999999999998</v>
      </c>
      <c r="Q746" s="706">
        <f t="shared" si="701"/>
        <v>0.16131999999999999</v>
      </c>
      <c r="R746" s="706">
        <f t="shared" si="701"/>
        <v>0.14407</v>
      </c>
      <c r="S746" s="706">
        <f t="shared" si="701"/>
        <v>0.17216999999999999</v>
      </c>
      <c r="T746" s="706">
        <f t="shared" si="701"/>
        <v>0.19849</v>
      </c>
      <c r="U746" s="706">
        <f t="shared" si="701"/>
        <v>0.16755</v>
      </c>
      <c r="V746" s="792">
        <f t="shared" si="701"/>
        <v>0.1923</v>
      </c>
      <c r="W746" s="792">
        <f t="shared" si="701"/>
        <v>0.17241000000000001</v>
      </c>
      <c r="X746" s="792">
        <f t="shared" si="701"/>
        <v>0.20311999999999999</v>
      </c>
      <c r="Y746" s="792">
        <f t="shared" si="701"/>
        <v>0.12808</v>
      </c>
      <c r="Z746" s="792">
        <f t="shared" si="701"/>
        <v>0.13741</v>
      </c>
      <c r="AA746" s="1312">
        <f>+AA137</f>
        <v>0.14858000000000002</v>
      </c>
      <c r="AB746" s="792">
        <f t="shared" si="701"/>
        <v>0.18825999999999998</v>
      </c>
      <c r="AC746" s="792">
        <f t="shared" si="701"/>
        <v>0.21649899999999997</v>
      </c>
      <c r="AD746" s="792">
        <f>+AD137</f>
        <v>0.2381489</v>
      </c>
      <c r="AE746" s="792">
        <f>+AE137</f>
        <v>0.25243783400000003</v>
      </c>
    </row>
    <row r="747" spans="1:31" ht="12.75" customHeight="1">
      <c r="A747" s="664"/>
      <c r="B747" s="664"/>
      <c r="C747" s="782" t="s">
        <v>1767</v>
      </c>
      <c r="D747" s="674" t="s">
        <v>687</v>
      </c>
      <c r="E747" s="706" t="s">
        <v>1336</v>
      </c>
      <c r="F747" s="704" t="s">
        <v>317</v>
      </c>
      <c r="G747" s="706">
        <f t="shared" ref="G747:AC747" si="702">+G328</f>
        <v>0.32274000000000003</v>
      </c>
      <c r="H747" s="706">
        <f t="shared" si="702"/>
        <v>0.47088999999999998</v>
      </c>
      <c r="I747" s="706">
        <f t="shared" si="702"/>
        <v>0.621</v>
      </c>
      <c r="J747" s="706">
        <f t="shared" si="702"/>
        <v>0.37545999999999996</v>
      </c>
      <c r="K747" s="706">
        <f t="shared" si="702"/>
        <v>0.2334</v>
      </c>
      <c r="L747" s="706">
        <f t="shared" si="702"/>
        <v>0.31313000000000002</v>
      </c>
      <c r="M747" s="706">
        <f t="shared" si="702"/>
        <v>0.22991</v>
      </c>
      <c r="N747" s="706">
        <f t="shared" si="702"/>
        <v>0.19896</v>
      </c>
      <c r="O747" s="706">
        <f t="shared" si="702"/>
        <v>0.15042</v>
      </c>
      <c r="P747" s="706">
        <f t="shared" si="702"/>
        <v>0.14199000000000001</v>
      </c>
      <c r="Q747" s="706">
        <f t="shared" si="702"/>
        <v>0.24165999999999999</v>
      </c>
      <c r="R747" s="706">
        <f t="shared" si="702"/>
        <v>0.20996000000000001</v>
      </c>
      <c r="S747" s="706">
        <f t="shared" si="702"/>
        <v>0.24681</v>
      </c>
      <c r="T747" s="706">
        <f t="shared" si="702"/>
        <v>0.28988999999999998</v>
      </c>
      <c r="U747" s="706">
        <f t="shared" si="702"/>
        <v>0.27145999999999998</v>
      </c>
      <c r="V747" s="792">
        <f t="shared" si="702"/>
        <v>0.40132000000000001</v>
      </c>
      <c r="W747" s="792">
        <f t="shared" si="702"/>
        <v>0.50073999999999996</v>
      </c>
      <c r="X747" s="792">
        <f t="shared" si="702"/>
        <v>0.47694999999999999</v>
      </c>
      <c r="Y747" s="792">
        <f t="shared" si="702"/>
        <v>0.46564</v>
      </c>
      <c r="Z747" s="792">
        <f t="shared" si="702"/>
        <v>0.46029999999999999</v>
      </c>
      <c r="AA747" s="1312">
        <f>+AA328</f>
        <v>0.52540999999999993</v>
      </c>
      <c r="AB747" s="792">
        <f t="shared" si="702"/>
        <v>0.45651999999999998</v>
      </c>
      <c r="AC747" s="792">
        <f t="shared" si="702"/>
        <v>0.49094160799999992</v>
      </c>
      <c r="AD747" s="792">
        <f>+AD328</f>
        <v>0.53267164467999994</v>
      </c>
      <c r="AE747" s="792">
        <f>+AE328</f>
        <v>0.57794873447779993</v>
      </c>
    </row>
    <row r="748" spans="1:31" ht="12.75" customHeight="1">
      <c r="A748" s="664"/>
      <c r="B748" s="664">
        <v>117</v>
      </c>
      <c r="C748" s="784" t="s">
        <v>1769</v>
      </c>
      <c r="D748" s="752" t="s">
        <v>687</v>
      </c>
      <c r="E748" s="785" t="s">
        <v>1653</v>
      </c>
      <c r="F748" s="754" t="s">
        <v>2008</v>
      </c>
      <c r="G748" s="785">
        <f t="shared" ref="G748:Q748" si="703">+G745+G746+G747</f>
        <v>0.35048000000000001</v>
      </c>
      <c r="H748" s="785">
        <f t="shared" si="703"/>
        <v>0.50093999999999994</v>
      </c>
      <c r="I748" s="785">
        <f t="shared" si="703"/>
        <v>0.67547000000000001</v>
      </c>
      <c r="J748" s="785">
        <f t="shared" si="703"/>
        <v>0.5278799999999999</v>
      </c>
      <c r="K748" s="785">
        <f t="shared" si="703"/>
        <v>0.38412000000000002</v>
      </c>
      <c r="L748" s="785">
        <f t="shared" si="703"/>
        <v>0.48592000000000002</v>
      </c>
      <c r="M748" s="785">
        <f t="shared" si="703"/>
        <v>0.44218000000000002</v>
      </c>
      <c r="N748" s="785">
        <f t="shared" si="703"/>
        <v>0.36631999999999998</v>
      </c>
      <c r="O748" s="785">
        <f t="shared" si="703"/>
        <v>0.30554999999999999</v>
      </c>
      <c r="P748" s="785">
        <f t="shared" si="703"/>
        <v>0.28567999999999999</v>
      </c>
      <c r="Q748" s="785">
        <f t="shared" si="703"/>
        <v>0.40298</v>
      </c>
      <c r="R748" s="785">
        <f t="shared" ref="R748:Y748" si="704">+R745+R746+R747</f>
        <v>0.35403000000000001</v>
      </c>
      <c r="S748" s="785">
        <f t="shared" si="704"/>
        <v>0.41898000000000002</v>
      </c>
      <c r="T748" s="785">
        <f>+T745+T746+T747</f>
        <v>0.48837999999999998</v>
      </c>
      <c r="U748" s="785">
        <f>+U745+U746+U747</f>
        <v>0.43901000000000001</v>
      </c>
      <c r="V748" s="844">
        <f t="shared" si="704"/>
        <v>0.59362000000000004</v>
      </c>
      <c r="W748" s="844">
        <f t="shared" si="704"/>
        <v>0.67314999999999992</v>
      </c>
      <c r="X748" s="844">
        <f t="shared" si="704"/>
        <v>0.68006999999999995</v>
      </c>
      <c r="Y748" s="844">
        <f t="shared" si="704"/>
        <v>0.59372000000000003</v>
      </c>
      <c r="Z748" s="844">
        <f t="shared" ref="Z748:AE748" si="705">+Z745+Z746+Z747</f>
        <v>0.59770999999999996</v>
      </c>
      <c r="AA748" s="844">
        <f t="shared" si="705"/>
        <v>0.67398999999999998</v>
      </c>
      <c r="AB748" s="844">
        <f t="shared" si="705"/>
        <v>0.64477999999999991</v>
      </c>
      <c r="AC748" s="844">
        <f t="shared" si="705"/>
        <v>0.70744060799999986</v>
      </c>
      <c r="AD748" s="844">
        <f t="shared" si="705"/>
        <v>0.77082054467999994</v>
      </c>
      <c r="AE748" s="844">
        <f t="shared" si="705"/>
        <v>0.83038656847780001</v>
      </c>
    </row>
    <row r="749" spans="1:31">
      <c r="G749" s="703"/>
      <c r="Q749" s="699"/>
      <c r="R749" s="699"/>
      <c r="S749" s="699"/>
      <c r="T749" s="699"/>
      <c r="U749" s="699"/>
      <c r="V749" s="843"/>
      <c r="W749" s="843"/>
      <c r="X749" s="843"/>
      <c r="Y749" s="843"/>
      <c r="Z749" s="843"/>
      <c r="AA749" s="843"/>
      <c r="AB749" s="843"/>
      <c r="AC749" s="843"/>
      <c r="AD749" s="843"/>
      <c r="AE749" s="843"/>
    </row>
    <row r="750" spans="1:31" ht="12.75" customHeight="1">
      <c r="A750" s="664"/>
      <c r="B750" s="664"/>
      <c r="C750" s="774"/>
      <c r="D750" s="775"/>
      <c r="E750" s="776" t="s">
        <v>1384</v>
      </c>
      <c r="F750" s="777"/>
      <c r="G750" s="778">
        <f>+InputY!$G$3</f>
        <v>1995</v>
      </c>
      <c r="H750" s="778">
        <f>+G750+1</f>
        <v>1996</v>
      </c>
      <c r="I750" s="778">
        <f t="shared" ref="I750:O750" si="706">+H750+1</f>
        <v>1997</v>
      </c>
      <c r="J750" s="778">
        <f t="shared" si="706"/>
        <v>1998</v>
      </c>
      <c r="K750" s="778">
        <f>+J750+1</f>
        <v>1999</v>
      </c>
      <c r="L750" s="778">
        <f t="shared" si="706"/>
        <v>2000</v>
      </c>
      <c r="M750" s="778">
        <f t="shared" si="706"/>
        <v>2001</v>
      </c>
      <c r="N750" s="778">
        <f t="shared" si="706"/>
        <v>2002</v>
      </c>
      <c r="O750" s="778">
        <f t="shared" si="706"/>
        <v>2003</v>
      </c>
      <c r="P750" s="778">
        <f>+O750+1</f>
        <v>2004</v>
      </c>
      <c r="Q750" s="778">
        <f>+P750+1</f>
        <v>2005</v>
      </c>
      <c r="R750" s="778">
        <f>+Q750+1</f>
        <v>2006</v>
      </c>
      <c r="S750" s="778">
        <f t="shared" ref="S750:X750" si="707">+R750+1</f>
        <v>2007</v>
      </c>
      <c r="T750" s="778">
        <f t="shared" si="707"/>
        <v>2008</v>
      </c>
      <c r="U750" s="778">
        <f t="shared" si="707"/>
        <v>2009</v>
      </c>
      <c r="V750" s="778">
        <f t="shared" si="707"/>
        <v>2010</v>
      </c>
      <c r="W750" s="778">
        <f t="shared" si="707"/>
        <v>2011</v>
      </c>
      <c r="X750" s="778">
        <f t="shared" si="707"/>
        <v>2012</v>
      </c>
      <c r="Y750" s="778">
        <f t="shared" ref="Y750:AE750" si="708">+X750+1</f>
        <v>2013</v>
      </c>
      <c r="Z750" s="778">
        <f t="shared" si="708"/>
        <v>2014</v>
      </c>
      <c r="AA750" s="778">
        <f t="shared" si="708"/>
        <v>2015</v>
      </c>
      <c r="AB750" s="778">
        <f t="shared" si="708"/>
        <v>2016</v>
      </c>
      <c r="AC750" s="778">
        <f t="shared" si="708"/>
        <v>2017</v>
      </c>
      <c r="AD750" s="778">
        <f t="shared" si="708"/>
        <v>2018</v>
      </c>
      <c r="AE750" s="778">
        <f t="shared" si="708"/>
        <v>2019</v>
      </c>
    </row>
    <row r="751" spans="1:31" ht="12.75" customHeight="1">
      <c r="A751" s="664"/>
      <c r="B751" s="664"/>
      <c r="C751" s="779" t="s">
        <v>1767</v>
      </c>
      <c r="D751" s="668" t="s">
        <v>687</v>
      </c>
      <c r="E751" s="780" t="s">
        <v>1374</v>
      </c>
      <c r="F751" s="701" t="s">
        <v>215</v>
      </c>
      <c r="G751" s="780">
        <f t="shared" ref="G751:AC751" si="709">+G11</f>
        <v>2.8500000000000001E-3</v>
      </c>
      <c r="H751" s="780">
        <f t="shared" si="709"/>
        <v>4.4299999999999999E-3</v>
      </c>
      <c r="I751" s="780">
        <f t="shared" si="709"/>
        <v>5.8700000000000002E-3</v>
      </c>
      <c r="J751" s="780">
        <f t="shared" si="709"/>
        <v>6.1700000000000001E-3</v>
      </c>
      <c r="K751" s="780">
        <f t="shared" si="709"/>
        <v>6.43E-3</v>
      </c>
      <c r="L751" s="780">
        <f t="shared" si="709"/>
        <v>6.1900000000000002E-3</v>
      </c>
      <c r="M751" s="780">
        <f t="shared" si="709"/>
        <v>6.9500000000000004E-3</v>
      </c>
      <c r="N751" s="780">
        <f t="shared" si="709"/>
        <v>7.62E-3</v>
      </c>
      <c r="O751" s="780">
        <f t="shared" si="709"/>
        <v>7.6699999999999997E-3</v>
      </c>
      <c r="P751" s="780">
        <f t="shared" si="709"/>
        <v>9.5500000000000012E-3</v>
      </c>
      <c r="Q751" s="780">
        <f t="shared" si="709"/>
        <v>4.15E-3</v>
      </c>
      <c r="R751" s="780">
        <f t="shared" si="709"/>
        <v>3.5999999999999999E-3</v>
      </c>
      <c r="S751" s="780">
        <f t="shared" si="709"/>
        <v>3.64E-3</v>
      </c>
      <c r="T751" s="780">
        <f t="shared" si="709"/>
        <v>3.2699999999999999E-3</v>
      </c>
      <c r="U751" s="780">
        <f t="shared" si="709"/>
        <v>2.4599999999999999E-3</v>
      </c>
      <c r="V751" s="846">
        <f t="shared" si="709"/>
        <v>2.2200000000000002E-3</v>
      </c>
      <c r="W751" s="846">
        <f t="shared" si="709"/>
        <v>2.8200000000000005E-3</v>
      </c>
      <c r="X751" s="846">
        <f t="shared" si="709"/>
        <v>3.7200000000000002E-3</v>
      </c>
      <c r="Y751" s="846">
        <f t="shared" si="709"/>
        <v>4.3600000000000002E-3</v>
      </c>
      <c r="Z751" s="846">
        <f t="shared" si="709"/>
        <v>5.0499999999999998E-3</v>
      </c>
      <c r="AA751" s="846">
        <f t="shared" si="709"/>
        <v>2.6199999999999999E-3</v>
      </c>
      <c r="AB751" s="846">
        <f t="shared" si="709"/>
        <v>2.7000000000000001E-3</v>
      </c>
      <c r="AC751" s="846">
        <f t="shared" si="709"/>
        <v>2.8350000000000003E-3</v>
      </c>
      <c r="AD751" s="846">
        <f>+AD11</f>
        <v>2.9767500000000002E-3</v>
      </c>
      <c r="AE751" s="846">
        <f>+AE11</f>
        <v>3.1255875000000006E-3</v>
      </c>
    </row>
    <row r="752" spans="1:31" ht="12.75" customHeight="1">
      <c r="A752" s="664"/>
      <c r="B752" s="664"/>
      <c r="C752" s="782" t="s">
        <v>1767</v>
      </c>
      <c r="D752" s="674" t="s">
        <v>687</v>
      </c>
      <c r="E752" s="706" t="s">
        <v>851</v>
      </c>
      <c r="F752" s="981" t="str">
        <f t="shared" ref="F752:AC752" si="710">+F138</f>
        <v>$AProp - $AInt</v>
      </c>
      <c r="G752" s="706">
        <f t="shared" si="710"/>
        <v>0</v>
      </c>
      <c r="H752" s="706">
        <f t="shared" si="710"/>
        <v>0</v>
      </c>
      <c r="I752" s="706">
        <f t="shared" si="710"/>
        <v>0</v>
      </c>
      <c r="J752" s="706">
        <f t="shared" si="710"/>
        <v>0</v>
      </c>
      <c r="K752" s="706">
        <f t="shared" si="710"/>
        <v>0</v>
      </c>
      <c r="L752" s="706">
        <f t="shared" si="710"/>
        <v>0</v>
      </c>
      <c r="M752" s="706">
        <f t="shared" si="710"/>
        <v>0</v>
      </c>
      <c r="N752" s="706">
        <f t="shared" si="710"/>
        <v>0</v>
      </c>
      <c r="O752" s="706">
        <f t="shared" si="710"/>
        <v>0</v>
      </c>
      <c r="P752" s="706">
        <f t="shared" si="710"/>
        <v>9.9999999999909054E-6</v>
      </c>
      <c r="Q752" s="706">
        <f t="shared" si="710"/>
        <v>9.9999999999909054E-6</v>
      </c>
      <c r="R752" s="706">
        <f t="shared" si="710"/>
        <v>1.0000000000019327E-5</v>
      </c>
      <c r="S752" s="706">
        <f t="shared" si="710"/>
        <v>9.9999999999909054E-6</v>
      </c>
      <c r="T752" s="706">
        <f t="shared" si="710"/>
        <v>2.000000000001023E-5</v>
      </c>
      <c r="U752" s="706">
        <f t="shared" si="710"/>
        <v>2.0000000000038653E-5</v>
      </c>
      <c r="V752" s="792">
        <f t="shared" si="710"/>
        <v>1.9999999999981811E-5</v>
      </c>
      <c r="W752" s="792">
        <f t="shared" si="710"/>
        <v>1.9999999999981811E-5</v>
      </c>
      <c r="X752" s="792">
        <f t="shared" si="710"/>
        <v>9.9999999999909054E-6</v>
      </c>
      <c r="Y752" s="792">
        <f t="shared" si="710"/>
        <v>1.0000000000104592E-5</v>
      </c>
      <c r="Z752" s="792">
        <f t="shared" si="710"/>
        <v>9.9999999999909054E-6</v>
      </c>
      <c r="AA752" s="792">
        <f t="shared" si="710"/>
        <v>1.0000000000104592E-5</v>
      </c>
      <c r="AB752" s="792">
        <f t="shared" si="710"/>
        <v>9.9999999999909054E-6</v>
      </c>
      <c r="AC752" s="792">
        <f t="shared" si="710"/>
        <v>9.9999999999909054E-6</v>
      </c>
      <c r="AD752" s="792">
        <f>+AD138</f>
        <v>9.9999999999909054E-6</v>
      </c>
      <c r="AE752" s="792">
        <f>+AE138</f>
        <v>9.9999999999909054E-6</v>
      </c>
    </row>
    <row r="753" spans="1:31" ht="12.75" customHeight="1">
      <c r="A753" s="664"/>
      <c r="B753" s="664"/>
      <c r="C753" s="782" t="s">
        <v>1767</v>
      </c>
      <c r="D753" s="674" t="s">
        <v>687</v>
      </c>
      <c r="E753" s="706" t="s">
        <v>978</v>
      </c>
      <c r="F753" s="704" t="s">
        <v>384</v>
      </c>
      <c r="G753" s="706">
        <f t="shared" ref="G753:AC753" si="711">+G203</f>
        <v>0</v>
      </c>
      <c r="H753" s="706">
        <f t="shared" si="711"/>
        <v>0</v>
      </c>
      <c r="I753" s="706">
        <f t="shared" si="711"/>
        <v>0</v>
      </c>
      <c r="J753" s="706">
        <f t="shared" si="711"/>
        <v>0</v>
      </c>
      <c r="K753" s="706">
        <f t="shared" si="711"/>
        <v>0</v>
      </c>
      <c r="L753" s="706">
        <f t="shared" si="711"/>
        <v>0</v>
      </c>
      <c r="M753" s="706">
        <f t="shared" si="711"/>
        <v>0</v>
      </c>
      <c r="N753" s="706">
        <f t="shared" si="711"/>
        <v>3.0000000000000001E-5</v>
      </c>
      <c r="O753" s="706">
        <f t="shared" si="711"/>
        <v>1.5000000000000001E-4</v>
      </c>
      <c r="P753" s="706">
        <f t="shared" si="711"/>
        <v>3.2000000000000003E-4</v>
      </c>
      <c r="Q753" s="706">
        <f t="shared" si="711"/>
        <v>2.4000000000000001E-4</v>
      </c>
      <c r="R753" s="706">
        <f t="shared" si="711"/>
        <v>9.4000000000000008E-4</v>
      </c>
      <c r="S753" s="706">
        <f t="shared" si="711"/>
        <v>9.3000000000000005E-4</v>
      </c>
      <c r="T753" s="706">
        <f t="shared" si="711"/>
        <v>1.6899999999999999E-3</v>
      </c>
      <c r="U753" s="706">
        <f t="shared" si="711"/>
        <v>7.2000000000000005E-4</v>
      </c>
      <c r="V753" s="792">
        <f t="shared" si="711"/>
        <v>3.0000000000000003E-4</v>
      </c>
      <c r="W753" s="792">
        <f t="shared" si="711"/>
        <v>9.1E-4</v>
      </c>
      <c r="X753" s="792">
        <f t="shared" si="711"/>
        <v>2.7100000000000002E-3</v>
      </c>
      <c r="Y753" s="792">
        <f t="shared" si="711"/>
        <v>1.4199999999999998E-3</v>
      </c>
      <c r="Z753" s="792">
        <f t="shared" si="711"/>
        <v>1.25E-3</v>
      </c>
      <c r="AA753" s="792">
        <f t="shared" si="711"/>
        <v>1.2199999999999999E-3</v>
      </c>
      <c r="AB753" s="792">
        <f t="shared" si="711"/>
        <v>2.0899999999999998E-3</v>
      </c>
      <c r="AC753" s="792">
        <f t="shared" si="711"/>
        <v>2.1317999999999997E-3</v>
      </c>
      <c r="AD753" s="792">
        <f>+AD203</f>
        <v>2.1744359999999996E-3</v>
      </c>
      <c r="AE753" s="792">
        <f>+AE203</f>
        <v>2.2179247199999997E-3</v>
      </c>
    </row>
    <row r="754" spans="1:31" ht="12.75" customHeight="1">
      <c r="A754" s="664"/>
      <c r="B754" s="664"/>
      <c r="C754" s="782" t="s">
        <v>1767</v>
      </c>
      <c r="D754" s="674" t="s">
        <v>687</v>
      </c>
      <c r="E754" s="706" t="s">
        <v>1341</v>
      </c>
      <c r="F754" s="704" t="s">
        <v>318</v>
      </c>
      <c r="G754" s="706">
        <f t="shared" ref="G754:AA754" si="712">+G327</f>
        <v>5.6799999999999993E-3</v>
      </c>
      <c r="H754" s="706">
        <f t="shared" si="712"/>
        <v>5.4999999999999997E-3</v>
      </c>
      <c r="I754" s="706">
        <f t="shared" si="712"/>
        <v>0.22914999999999999</v>
      </c>
      <c r="J754" s="706">
        <f t="shared" si="712"/>
        <v>8.2860000000000003E-2</v>
      </c>
      <c r="K754" s="706">
        <f t="shared" si="712"/>
        <v>6.4030000000000004E-2</v>
      </c>
      <c r="L754" s="706">
        <f t="shared" si="712"/>
        <v>1.325E-2</v>
      </c>
      <c r="M754" s="706">
        <f t="shared" si="712"/>
        <v>5.237E-2</v>
      </c>
      <c r="N754" s="706">
        <f t="shared" si="712"/>
        <v>1.8089999999999998E-2</v>
      </c>
      <c r="O754" s="706">
        <f t="shared" si="712"/>
        <v>2.7050000000000001E-2</v>
      </c>
      <c r="P754" s="706">
        <f t="shared" si="712"/>
        <v>0.13155</v>
      </c>
      <c r="Q754" s="706">
        <f t="shared" si="712"/>
        <v>0.37627999999999995</v>
      </c>
      <c r="R754" s="706">
        <f t="shared" si="712"/>
        <v>0.30130000000000001</v>
      </c>
      <c r="S754" s="706">
        <f t="shared" si="712"/>
        <v>0.38061</v>
      </c>
      <c r="T754" s="706">
        <f t="shared" si="712"/>
        <v>0.47885</v>
      </c>
      <c r="U754" s="706">
        <f t="shared" si="712"/>
        <v>0.44794</v>
      </c>
      <c r="V754" s="792">
        <f t="shared" si="712"/>
        <v>0.34664</v>
      </c>
      <c r="W754" s="792">
        <f t="shared" si="712"/>
        <v>0.49845</v>
      </c>
      <c r="X754" s="792">
        <f t="shared" si="712"/>
        <v>0.46572000000000002</v>
      </c>
      <c r="Y754" s="792">
        <f t="shared" si="712"/>
        <v>0.5542999999999999</v>
      </c>
      <c r="Z754" s="792">
        <f t="shared" si="712"/>
        <v>0.51539999999999997</v>
      </c>
      <c r="AA754" s="792">
        <f t="shared" si="712"/>
        <v>0.55409000000000008</v>
      </c>
      <c r="AB754" s="792">
        <f>+AB327</f>
        <v>0.64263999999999999</v>
      </c>
      <c r="AC754" s="792">
        <f>+AC327</f>
        <v>0.67477200000000004</v>
      </c>
      <c r="AD754" s="792">
        <f>+AD327</f>
        <v>0.70513674000000004</v>
      </c>
      <c r="AE754" s="792">
        <f>+AE327</f>
        <v>0.74039357700000008</v>
      </c>
    </row>
    <row r="755" spans="1:31" ht="12.75" customHeight="1">
      <c r="A755" s="664"/>
      <c r="B755" s="664"/>
      <c r="C755" s="782" t="s">
        <v>1767</v>
      </c>
      <c r="D755" s="674" t="s">
        <v>687</v>
      </c>
      <c r="E755" s="706" t="s">
        <v>487</v>
      </c>
      <c r="F755" s="704" t="s">
        <v>386</v>
      </c>
      <c r="G755" s="1019">
        <f t="shared" ref="G755:AC755" si="713">+G398</f>
        <v>0</v>
      </c>
      <c r="H755" s="1019">
        <f t="shared" si="713"/>
        <v>0</v>
      </c>
      <c r="I755" s="1019">
        <f t="shared" si="713"/>
        <v>0</v>
      </c>
      <c r="J755" s="1019">
        <f t="shared" si="713"/>
        <v>0</v>
      </c>
      <c r="K755" s="1019">
        <f t="shared" si="713"/>
        <v>0</v>
      </c>
      <c r="L755" s="1019">
        <f t="shared" si="713"/>
        <v>0</v>
      </c>
      <c r="M755" s="1019">
        <f t="shared" si="713"/>
        <v>0</v>
      </c>
      <c r="N755" s="1019">
        <f t="shared" si="713"/>
        <v>0</v>
      </c>
      <c r="O755" s="1019">
        <f t="shared" si="713"/>
        <v>0</v>
      </c>
      <c r="P755" s="1019">
        <f t="shared" si="713"/>
        <v>0</v>
      </c>
      <c r="Q755" s="1019">
        <f t="shared" si="713"/>
        <v>0</v>
      </c>
      <c r="R755" s="1019">
        <f t="shared" si="713"/>
        <v>0</v>
      </c>
      <c r="S755" s="1019">
        <f t="shared" si="713"/>
        <v>0</v>
      </c>
      <c r="T755" s="1019">
        <f t="shared" si="713"/>
        <v>0</v>
      </c>
      <c r="U755" s="1019">
        <f t="shared" si="713"/>
        <v>0</v>
      </c>
      <c r="V755" s="3012">
        <f t="shared" si="713"/>
        <v>0</v>
      </c>
      <c r="W755" s="3012">
        <f t="shared" si="713"/>
        <v>0</v>
      </c>
      <c r="X755" s="3012">
        <f t="shared" si="713"/>
        <v>0</v>
      </c>
      <c r="Y755" s="3012">
        <f t="shared" si="713"/>
        <v>0</v>
      </c>
      <c r="Z755" s="3012">
        <f t="shared" si="713"/>
        <v>0</v>
      </c>
      <c r="AA755" s="3012">
        <f t="shared" si="713"/>
        <v>0</v>
      </c>
      <c r="AB755" s="3012">
        <f t="shared" si="713"/>
        <v>0</v>
      </c>
      <c r="AC755" s="3012">
        <f t="shared" si="713"/>
        <v>0</v>
      </c>
      <c r="AD755" s="3012">
        <f>+AD398</f>
        <v>0</v>
      </c>
      <c r="AE755" s="3012">
        <f>+AE398</f>
        <v>0</v>
      </c>
    </row>
    <row r="756" spans="1:31" ht="12.75" customHeight="1">
      <c r="A756" s="664"/>
      <c r="B756" s="664">
        <v>124</v>
      </c>
      <c r="C756" s="784" t="s">
        <v>1769</v>
      </c>
      <c r="D756" s="752" t="s">
        <v>687</v>
      </c>
      <c r="E756" s="785" t="s">
        <v>908</v>
      </c>
      <c r="F756" s="754" t="s">
        <v>161</v>
      </c>
      <c r="G756" s="785">
        <f>+G751+G752+G753+G754+G755</f>
        <v>8.5299999999999994E-3</v>
      </c>
      <c r="H756" s="785">
        <f t="shared" ref="H756:Q756" si="714">+H751+H752+H753+H754+H755</f>
        <v>9.9299999999999996E-3</v>
      </c>
      <c r="I756" s="785">
        <f t="shared" si="714"/>
        <v>0.23502000000000001</v>
      </c>
      <c r="J756" s="785">
        <f t="shared" si="714"/>
        <v>8.9029999999999998E-2</v>
      </c>
      <c r="K756" s="785">
        <f t="shared" si="714"/>
        <v>7.0460000000000009E-2</v>
      </c>
      <c r="L756" s="785">
        <f t="shared" si="714"/>
        <v>1.9439999999999999E-2</v>
      </c>
      <c r="M756" s="785">
        <f t="shared" si="714"/>
        <v>5.9319999999999998E-2</v>
      </c>
      <c r="N756" s="785">
        <f t="shared" si="714"/>
        <v>2.5739999999999999E-2</v>
      </c>
      <c r="O756" s="785">
        <f t="shared" si="714"/>
        <v>3.4869999999999998E-2</v>
      </c>
      <c r="P756" s="785">
        <f t="shared" si="714"/>
        <v>0.14143</v>
      </c>
      <c r="Q756" s="785">
        <f t="shared" si="714"/>
        <v>0.38067999999999996</v>
      </c>
      <c r="R756" s="785">
        <f t="shared" ref="R756:Y756" si="715">+R751+R752+R753+R754+R755</f>
        <v>0.30585000000000001</v>
      </c>
      <c r="S756" s="785">
        <f t="shared" si="715"/>
        <v>0.38518999999999998</v>
      </c>
      <c r="T756" s="785">
        <f>+T751+T752+T753+T754+T755</f>
        <v>0.48382999999999998</v>
      </c>
      <c r="U756" s="785">
        <f>+U751+U752+U753+U754+U755</f>
        <v>0.45114000000000004</v>
      </c>
      <c r="V756" s="844">
        <f t="shared" si="715"/>
        <v>0.34917999999999999</v>
      </c>
      <c r="W756" s="844">
        <f t="shared" si="715"/>
        <v>0.50219999999999998</v>
      </c>
      <c r="X756" s="844">
        <f t="shared" si="715"/>
        <v>0.47216000000000002</v>
      </c>
      <c r="Y756" s="844">
        <f t="shared" si="715"/>
        <v>0.56008999999999998</v>
      </c>
      <c r="Z756" s="844">
        <f t="shared" ref="Z756:AE756" si="716">+Z751+Z752+Z753+Z754+Z755</f>
        <v>0.52171000000000001</v>
      </c>
      <c r="AA756" s="844">
        <f t="shared" si="716"/>
        <v>0.55794000000000021</v>
      </c>
      <c r="AB756" s="844">
        <f t="shared" si="716"/>
        <v>0.64744000000000002</v>
      </c>
      <c r="AC756" s="844">
        <f t="shared" si="716"/>
        <v>0.67974880000000004</v>
      </c>
      <c r="AD756" s="844">
        <f t="shared" si="716"/>
        <v>0.71029792600000008</v>
      </c>
      <c r="AE756" s="844">
        <f t="shared" si="716"/>
        <v>0.7457470892200001</v>
      </c>
    </row>
    <row r="757" spans="1:31">
      <c r="Q757" s="699"/>
      <c r="AB757" s="2221"/>
      <c r="AC757" s="2221"/>
      <c r="AD757" s="2221"/>
      <c r="AE757" s="2221"/>
    </row>
    <row r="758" spans="1:31" ht="12.75" customHeight="1">
      <c r="A758" s="664"/>
      <c r="B758" s="664"/>
      <c r="C758" s="774"/>
      <c r="D758" s="775"/>
      <c r="E758" s="776" t="s">
        <v>1384</v>
      </c>
      <c r="F758" s="777"/>
      <c r="G758" s="778">
        <f>+InputY!$G$3</f>
        <v>1995</v>
      </c>
      <c r="H758" s="778">
        <f>+G758+1</f>
        <v>1996</v>
      </c>
      <c r="I758" s="778">
        <f t="shared" ref="I758:R758" si="717">+H758+1</f>
        <v>1997</v>
      </c>
      <c r="J758" s="778">
        <f t="shared" si="717"/>
        <v>1998</v>
      </c>
      <c r="K758" s="778">
        <f>+J758+1</f>
        <v>1999</v>
      </c>
      <c r="L758" s="778">
        <f t="shared" si="717"/>
        <v>2000</v>
      </c>
      <c r="M758" s="778">
        <f t="shared" si="717"/>
        <v>2001</v>
      </c>
      <c r="N758" s="778">
        <f t="shared" si="717"/>
        <v>2002</v>
      </c>
      <c r="O758" s="778">
        <f t="shared" si="717"/>
        <v>2003</v>
      </c>
      <c r="P758" s="778">
        <f>+O758+1</f>
        <v>2004</v>
      </c>
      <c r="Q758" s="778">
        <f>+P758+1</f>
        <v>2005</v>
      </c>
      <c r="R758" s="2222">
        <f t="shared" si="717"/>
        <v>2006</v>
      </c>
      <c r="S758" s="2222">
        <f t="shared" ref="S758:X758" si="718">+R758+1</f>
        <v>2007</v>
      </c>
      <c r="T758" s="2222">
        <f>+S758+1</f>
        <v>2008</v>
      </c>
      <c r="U758" s="2222">
        <f>+T758+1</f>
        <v>2009</v>
      </c>
      <c r="V758" s="2222">
        <f t="shared" si="718"/>
        <v>2010</v>
      </c>
      <c r="W758" s="2222">
        <f t="shared" si="718"/>
        <v>2011</v>
      </c>
      <c r="X758" s="2222">
        <f t="shared" si="718"/>
        <v>2012</v>
      </c>
      <c r="Y758" s="2222">
        <f t="shared" ref="Y758:AE758" si="719">+X758+1</f>
        <v>2013</v>
      </c>
      <c r="Z758" s="2222">
        <f t="shared" si="719"/>
        <v>2014</v>
      </c>
      <c r="AA758" s="2222">
        <f t="shared" si="719"/>
        <v>2015</v>
      </c>
      <c r="AB758" s="2222">
        <f t="shared" si="719"/>
        <v>2016</v>
      </c>
      <c r="AC758" s="2222">
        <f t="shared" si="719"/>
        <v>2017</v>
      </c>
      <c r="AD758" s="2222">
        <f t="shared" si="719"/>
        <v>2018</v>
      </c>
      <c r="AE758" s="2222">
        <f t="shared" si="719"/>
        <v>2019</v>
      </c>
    </row>
    <row r="759" spans="1:31" ht="12.75" customHeight="1">
      <c r="A759" s="664"/>
      <c r="B759" s="664"/>
      <c r="C759" s="779" t="s">
        <v>1767</v>
      </c>
      <c r="D759" s="668" t="s">
        <v>687</v>
      </c>
      <c r="E759" s="780" t="str">
        <f t="shared" ref="E759:AC759" si="720">+E486</f>
        <v>Capital transfers (D.9p)</v>
      </c>
      <c r="F759" s="701" t="str">
        <f t="shared" si="720"/>
        <v>$ACapT</v>
      </c>
      <c r="G759" s="780">
        <f t="shared" si="720"/>
        <v>9.6120000000000011E-2</v>
      </c>
      <c r="H759" s="780">
        <f t="shared" si="720"/>
        <v>0.24603</v>
      </c>
      <c r="I759" s="780">
        <f t="shared" si="720"/>
        <v>1.50024</v>
      </c>
      <c r="J759" s="780">
        <f t="shared" si="720"/>
        <v>0.15225</v>
      </c>
      <c r="K759" s="780">
        <f t="shared" si="720"/>
        <v>0.12124</v>
      </c>
      <c r="L759" s="780">
        <f t="shared" si="720"/>
        <v>0.29037000000000002</v>
      </c>
      <c r="M759" s="780">
        <f t="shared" si="720"/>
        <v>0.25951000000000002</v>
      </c>
      <c r="N759" s="780">
        <f t="shared" si="720"/>
        <v>0.13302</v>
      </c>
      <c r="O759" s="780">
        <f t="shared" si="720"/>
        <v>7.1790000000000007E-2</v>
      </c>
      <c r="P759" s="780">
        <f t="shared" si="720"/>
        <v>0.10396</v>
      </c>
      <c r="Q759" s="780">
        <f t="shared" si="720"/>
        <v>8.3019999999999997E-2</v>
      </c>
      <c r="R759" s="780">
        <f t="shared" si="720"/>
        <v>9.5530000000000004E-2</v>
      </c>
      <c r="S759" s="780">
        <f t="shared" si="720"/>
        <v>0.25720999999999999</v>
      </c>
      <c r="T759" s="780">
        <f t="shared" si="720"/>
        <v>0.12953000000000001</v>
      </c>
      <c r="U759" s="780">
        <f t="shared" si="720"/>
        <v>0.11079</v>
      </c>
      <c r="V759" s="846">
        <f t="shared" si="720"/>
        <v>0.12154999999999999</v>
      </c>
      <c r="W759" s="846">
        <f t="shared" si="720"/>
        <v>1.3936600000000001</v>
      </c>
      <c r="X759" s="846">
        <f t="shared" si="720"/>
        <v>9.1180000000000011E-2</v>
      </c>
      <c r="Y759" s="846">
        <f t="shared" si="720"/>
        <v>0.45080000000000003</v>
      </c>
      <c r="Z759" s="846">
        <f t="shared" si="720"/>
        <v>0.50519000000000003</v>
      </c>
      <c r="AA759" s="846">
        <f t="shared" si="720"/>
        <v>0.26716000000000001</v>
      </c>
      <c r="AB759" s="846">
        <f t="shared" si="720"/>
        <v>0.18389</v>
      </c>
      <c r="AC759" s="846">
        <f t="shared" si="720"/>
        <v>0.26480159999999997</v>
      </c>
      <c r="AD759" s="846">
        <f>+AD486</f>
        <v>0.19065715199999997</v>
      </c>
      <c r="AE759" s="846">
        <f>+AE486</f>
        <v>0.19065715199999997</v>
      </c>
    </row>
    <row r="760" spans="1:31" ht="12.75" customHeight="1">
      <c r="A760" s="664"/>
      <c r="B760" s="664"/>
      <c r="C760" s="782" t="s">
        <v>1767</v>
      </c>
      <c r="D760" s="674" t="s">
        <v>687</v>
      </c>
      <c r="E760" s="706" t="str">
        <f t="shared" ref="E760:AC760" si="721">+E543</f>
        <v>Changes in inventories / valuables (P.52 + P.53)</v>
      </c>
      <c r="F760" s="704" t="str">
        <f t="shared" si="721"/>
        <v>$AIny</v>
      </c>
      <c r="G760" s="706">
        <f t="shared" si="721"/>
        <v>9.689999999999999E-3</v>
      </c>
      <c r="H760" s="706">
        <f t="shared" si="721"/>
        <v>3.2599999999999999E-3</v>
      </c>
      <c r="I760" s="706">
        <f t="shared" si="721"/>
        <v>2.6100000000000003E-3</v>
      </c>
      <c r="J760" s="706">
        <f t="shared" si="721"/>
        <v>8.9999999999999998E-4</v>
      </c>
      <c r="K760" s="706">
        <f t="shared" si="721"/>
        <v>1.7000000000000001E-4</v>
      </c>
      <c r="L760" s="706">
        <f t="shared" si="721"/>
        <v>4.1000000000000005E-4</v>
      </c>
      <c r="M760" s="706">
        <f t="shared" si="721"/>
        <v>2.3799999999999997E-3</v>
      </c>
      <c r="N760" s="706">
        <f t="shared" si="721"/>
        <v>1.2800000000000001E-2</v>
      </c>
      <c r="O760" s="706">
        <f t="shared" si="721"/>
        <v>2.7299999999999998E-3</v>
      </c>
      <c r="P760" s="706">
        <f t="shared" si="721"/>
        <v>7.6299999999999996E-3</v>
      </c>
      <c r="Q760" s="706">
        <f t="shared" si="721"/>
        <v>9.5700000000000004E-3</v>
      </c>
      <c r="R760" s="706">
        <f t="shared" si="721"/>
        <v>2.2030000000000001E-2</v>
      </c>
      <c r="S760" s="706">
        <f t="shared" si="721"/>
        <v>2.0730000000000002E-2</v>
      </c>
      <c r="T760" s="706">
        <f t="shared" si="721"/>
        <v>3.4360000000000002E-2</v>
      </c>
      <c r="U760" s="706">
        <f t="shared" si="721"/>
        <v>8.1400000000000014E-3</v>
      </c>
      <c r="V760" s="792">
        <f t="shared" si="721"/>
        <v>3.5499999999999998E-3</v>
      </c>
      <c r="W760" s="792">
        <f t="shared" si="721"/>
        <v>4.62E-3</v>
      </c>
      <c r="X760" s="792">
        <f t="shared" si="721"/>
        <v>6.3099999999999996E-3</v>
      </c>
      <c r="Y760" s="792">
        <f t="shared" si="721"/>
        <v>9.5999999999999992E-3</v>
      </c>
      <c r="Z760" s="792">
        <f t="shared" si="721"/>
        <v>1.26E-2</v>
      </c>
      <c r="AA760" s="792">
        <f t="shared" si="721"/>
        <v>4.811E-2</v>
      </c>
      <c r="AB760" s="792">
        <f t="shared" si="721"/>
        <v>3.9149999999999997E-2</v>
      </c>
      <c r="AC760" s="792">
        <f t="shared" ca="1" si="721"/>
        <v>3.9149999999999997E-2</v>
      </c>
      <c r="AD760" s="792">
        <f ca="1">+AD543</f>
        <v>3.9149999999999997E-2</v>
      </c>
      <c r="AE760" s="792">
        <f ca="1">+AE543</f>
        <v>3.9149999999999997E-2</v>
      </c>
    </row>
    <row r="761" spans="1:31" ht="12.75" customHeight="1">
      <c r="A761" s="664"/>
      <c r="B761" s="664"/>
      <c r="C761" s="782" t="s">
        <v>1767</v>
      </c>
      <c r="D761" s="674" t="s">
        <v>687</v>
      </c>
      <c r="E761" s="706" t="str">
        <f t="shared" ref="E761:AC761" si="722">+E521</f>
        <v>Acq. less disp. of non-fin. non-prod. assets (K.2)</v>
      </c>
      <c r="F761" s="704" t="str">
        <f t="shared" si="722"/>
        <v>ANonFinN</v>
      </c>
      <c r="G761" s="706">
        <f t="shared" si="722"/>
        <v>0</v>
      </c>
      <c r="H761" s="706">
        <f t="shared" si="722"/>
        <v>0</v>
      </c>
      <c r="I761" s="706">
        <f t="shared" si="722"/>
        <v>0</v>
      </c>
      <c r="J761" s="706">
        <f t="shared" si="722"/>
        <v>-3.2000000000000003E-4</v>
      </c>
      <c r="K761" s="706">
        <f t="shared" si="722"/>
        <v>-1.2600000000000001E-3</v>
      </c>
      <c r="L761" s="706">
        <f t="shared" si="722"/>
        <v>-4.8700000000000002E-3</v>
      </c>
      <c r="M761" s="706">
        <f t="shared" si="722"/>
        <v>-2.7599999999999999E-3</v>
      </c>
      <c r="N761" s="706">
        <f t="shared" si="722"/>
        <v>-3.7000000000000002E-3</v>
      </c>
      <c r="O761" s="706">
        <f t="shared" si="722"/>
        <v>-6.77E-3</v>
      </c>
      <c r="P761" s="706">
        <f t="shared" si="722"/>
        <v>-2.2550000000000001E-2</v>
      </c>
      <c r="Q761" s="706">
        <f t="shared" si="722"/>
        <v>-3.3919999999999999E-2</v>
      </c>
      <c r="R761" s="706">
        <f t="shared" si="722"/>
        <v>-3.6069999999999998E-2</v>
      </c>
      <c r="S761" s="706">
        <f t="shared" si="722"/>
        <v>-2.5829999999999999E-2</v>
      </c>
      <c r="T761" s="706">
        <f t="shared" si="722"/>
        <v>-4.2500000000000003E-3</v>
      </c>
      <c r="U761" s="706">
        <f t="shared" si="722"/>
        <v>2.8500000000000001E-3</v>
      </c>
      <c r="V761" s="792">
        <f t="shared" si="722"/>
        <v>-2.0399999999999998E-2</v>
      </c>
      <c r="W761" s="792">
        <f t="shared" si="722"/>
        <v>-9.9449999999999997E-2</v>
      </c>
      <c r="X761" s="792">
        <f t="shared" si="722"/>
        <v>-7.6109999999999997E-2</v>
      </c>
      <c r="Y761" s="792">
        <f t="shared" si="722"/>
        <v>-0.11804000000000001</v>
      </c>
      <c r="Z761" s="792">
        <f t="shared" si="722"/>
        <v>-7.8439999999999996E-2</v>
      </c>
      <c r="AA761" s="792">
        <f t="shared" si="722"/>
        <v>-5.1639999999999998E-2</v>
      </c>
      <c r="AB761" s="792">
        <f t="shared" si="722"/>
        <v>-2.792E-2</v>
      </c>
      <c r="AC761" s="792">
        <f t="shared" si="722"/>
        <v>0</v>
      </c>
      <c r="AD761" s="792">
        <f>+AD521</f>
        <v>0</v>
      </c>
      <c r="AE761" s="792">
        <f>+AE521</f>
        <v>0</v>
      </c>
    </row>
    <row r="762" spans="1:31" ht="12.75" customHeight="1">
      <c r="A762" s="664"/>
      <c r="B762" s="664">
        <v>127</v>
      </c>
      <c r="C762" s="782" t="s">
        <v>1769</v>
      </c>
      <c r="D762" s="746" t="s">
        <v>687</v>
      </c>
      <c r="E762" s="799" t="s">
        <v>2118</v>
      </c>
      <c r="F762" s="748"/>
      <c r="G762" s="799">
        <f t="shared" ref="G762:Q762" si="723">+G759+G760+G761</f>
        <v>0.10581000000000002</v>
      </c>
      <c r="H762" s="799">
        <f t="shared" si="723"/>
        <v>0.24929000000000001</v>
      </c>
      <c r="I762" s="799">
        <f t="shared" si="723"/>
        <v>1.50285</v>
      </c>
      <c r="J762" s="799">
        <f t="shared" si="723"/>
        <v>0.15283000000000002</v>
      </c>
      <c r="K762" s="799">
        <f t="shared" si="723"/>
        <v>0.12015000000000001</v>
      </c>
      <c r="L762" s="799">
        <f t="shared" si="723"/>
        <v>0.28591000000000005</v>
      </c>
      <c r="M762" s="799">
        <f t="shared" si="723"/>
        <v>0.25913000000000003</v>
      </c>
      <c r="N762" s="799">
        <f t="shared" si="723"/>
        <v>0.14212</v>
      </c>
      <c r="O762" s="799">
        <f t="shared" si="723"/>
        <v>6.7750000000000005E-2</v>
      </c>
      <c r="P762" s="799">
        <f t="shared" si="723"/>
        <v>8.9039999999999994E-2</v>
      </c>
      <c r="Q762" s="799">
        <f t="shared" si="723"/>
        <v>5.8669999999999993E-2</v>
      </c>
      <c r="R762" s="799">
        <f t="shared" ref="R762:Y762" si="724">+R759+R760+R761</f>
        <v>8.1490000000000007E-2</v>
      </c>
      <c r="S762" s="799">
        <f t="shared" si="724"/>
        <v>0.25211</v>
      </c>
      <c r="T762" s="799">
        <f>+T759+T760+T761</f>
        <v>0.15964</v>
      </c>
      <c r="U762" s="799">
        <f>+U759+U760+U761</f>
        <v>0.12178000000000001</v>
      </c>
      <c r="V762" s="800">
        <f t="shared" si="724"/>
        <v>0.10469999999999999</v>
      </c>
      <c r="W762" s="800">
        <f t="shared" si="724"/>
        <v>1.2988300000000002</v>
      </c>
      <c r="X762" s="800">
        <f t="shared" si="724"/>
        <v>2.138000000000001E-2</v>
      </c>
      <c r="Y762" s="800">
        <f t="shared" si="724"/>
        <v>0.34236</v>
      </c>
      <c r="Z762" s="800">
        <f t="shared" ref="Z762:AE762" si="725">+Z759+Z760+Z761</f>
        <v>0.43934999999999996</v>
      </c>
      <c r="AA762" s="800">
        <f t="shared" si="725"/>
        <v>0.26362999999999998</v>
      </c>
      <c r="AB762" s="800">
        <f t="shared" si="725"/>
        <v>0.19511999999999999</v>
      </c>
      <c r="AC762" s="800">
        <f t="shared" ca="1" si="725"/>
        <v>0.30395159999999999</v>
      </c>
      <c r="AD762" s="800">
        <f t="shared" ca="1" si="725"/>
        <v>0.22980715199999996</v>
      </c>
      <c r="AE762" s="800">
        <f t="shared" ca="1" si="725"/>
        <v>0.22980715199999996</v>
      </c>
    </row>
    <row r="763" spans="1:31" ht="12.75" customHeight="1">
      <c r="A763" s="664"/>
      <c r="B763" s="664"/>
      <c r="C763" s="842"/>
      <c r="D763" s="676" t="s">
        <v>687</v>
      </c>
      <c r="E763" s="1133" t="s">
        <v>376</v>
      </c>
      <c r="F763" s="1226" t="str">
        <f>+'VVP2'!F229</f>
        <v>$AI</v>
      </c>
      <c r="G763" s="1529">
        <f>+'VVP2'!G229</f>
        <v>0.25098999999999999</v>
      </c>
      <c r="H763" s="1529">
        <f>+'VVP2'!H229</f>
        <v>0.23119000000000001</v>
      </c>
      <c r="I763" s="1529">
        <f>+'VVP2'!I229</f>
        <v>0.26547000000000004</v>
      </c>
      <c r="J763" s="1529">
        <f>+'VVP2'!J229</f>
        <v>0.32951999999999998</v>
      </c>
      <c r="K763" s="1529">
        <f>+'VVP2'!K229</f>
        <v>0.32613999999999999</v>
      </c>
      <c r="L763" s="1529">
        <f>+'VVP2'!L229</f>
        <v>0.32395999999999997</v>
      </c>
      <c r="M763" s="1529">
        <f>+'VVP2'!M229</f>
        <v>0.32343</v>
      </c>
      <c r="N763" s="1529">
        <f>+'VVP2'!N229</f>
        <v>0.45168000000000003</v>
      </c>
      <c r="O763" s="1529">
        <f>+'VVP2'!O229</f>
        <v>0.51299000000000006</v>
      </c>
      <c r="P763" s="1529">
        <f>+'VVP2'!P229</f>
        <v>0.65776999999999997</v>
      </c>
      <c r="Q763" s="1529">
        <f>+'VVP2'!Q229</f>
        <v>0.75748000000000004</v>
      </c>
      <c r="R763" s="1529">
        <f>+'VVP2'!R229</f>
        <v>1.0293299999999999</v>
      </c>
      <c r="S763" s="1529">
        <f>+'VVP2'!S229</f>
        <v>1.57236</v>
      </c>
      <c r="T763" s="1529">
        <f>+'VVP2'!T229</f>
        <v>1.75915</v>
      </c>
      <c r="U763" s="1529">
        <f>+'VVP2'!U229</f>
        <v>1.1892</v>
      </c>
      <c r="V763" s="3013">
        <f>+'VVP2'!V229</f>
        <v>1.39093</v>
      </c>
      <c r="W763" s="3013">
        <f>+'VVP2'!W229</f>
        <v>1.47923</v>
      </c>
      <c r="X763" s="3013">
        <f>+'VVP2'!X229</f>
        <v>1.32633</v>
      </c>
      <c r="Y763" s="3013">
        <f>+'VVP2'!Y229</f>
        <v>1.30948</v>
      </c>
      <c r="Z763" s="3013">
        <f>+'VVP2'!Z229</f>
        <v>1.28298</v>
      </c>
      <c r="AA763" s="3013">
        <f>+'VVP2'!AA229</f>
        <v>1.3745099999999999</v>
      </c>
      <c r="AB763" s="3013">
        <f>+'VVP2'!AB229</f>
        <v>1.1535899999999999</v>
      </c>
      <c r="AC763" s="3013">
        <f ca="1">+'VVP2'!AC229</f>
        <v>1.2369138056999998</v>
      </c>
      <c r="AD763" s="3013">
        <f ca="1">+'VVP2'!AD229</f>
        <v>1.3547941652108211</v>
      </c>
      <c r="AE763" s="3013">
        <f ca="1">+'VVP2'!AE229</f>
        <v>1.4582326997246671</v>
      </c>
    </row>
    <row r="764" spans="1:31" ht="12.75" customHeight="1">
      <c r="A764" s="664"/>
      <c r="B764" s="664"/>
      <c r="C764" s="784"/>
      <c r="D764" s="752" t="s">
        <v>687</v>
      </c>
      <c r="E764" s="785" t="s">
        <v>164</v>
      </c>
      <c r="F764" s="754"/>
      <c r="G764" s="785">
        <f>+G762+G763</f>
        <v>0.35680000000000001</v>
      </c>
      <c r="H764" s="785">
        <f t="shared" ref="H764:Q764" si="726">+H762+H763</f>
        <v>0.48048000000000002</v>
      </c>
      <c r="I764" s="785">
        <f t="shared" si="726"/>
        <v>1.7683200000000001</v>
      </c>
      <c r="J764" s="785">
        <f t="shared" si="726"/>
        <v>0.48235</v>
      </c>
      <c r="K764" s="785">
        <f t="shared" si="726"/>
        <v>0.44628999999999996</v>
      </c>
      <c r="L764" s="785">
        <f t="shared" si="726"/>
        <v>0.60987000000000002</v>
      </c>
      <c r="M764" s="785">
        <f t="shared" si="726"/>
        <v>0.58255999999999997</v>
      </c>
      <c r="N764" s="785">
        <f t="shared" si="726"/>
        <v>0.59379999999999999</v>
      </c>
      <c r="O764" s="785">
        <f t="shared" si="726"/>
        <v>0.58074000000000003</v>
      </c>
      <c r="P764" s="785">
        <f t="shared" si="726"/>
        <v>0.74680999999999997</v>
      </c>
      <c r="Q764" s="785">
        <f t="shared" si="726"/>
        <v>0.81615000000000004</v>
      </c>
      <c r="R764" s="785">
        <f t="shared" ref="R764:Y764" si="727">+R762+R763</f>
        <v>1.1108199999999999</v>
      </c>
      <c r="S764" s="785">
        <f t="shared" si="727"/>
        <v>1.82447</v>
      </c>
      <c r="T764" s="785">
        <f>+T762+T763</f>
        <v>1.91879</v>
      </c>
      <c r="U764" s="785">
        <f>+U762+U763</f>
        <v>1.31098</v>
      </c>
      <c r="V764" s="844">
        <f t="shared" si="727"/>
        <v>1.49563</v>
      </c>
      <c r="W764" s="844">
        <f t="shared" si="727"/>
        <v>2.77806</v>
      </c>
      <c r="X764" s="844">
        <f t="shared" si="727"/>
        <v>1.34771</v>
      </c>
      <c r="Y764" s="844">
        <f t="shared" si="727"/>
        <v>1.65184</v>
      </c>
      <c r="Z764" s="844">
        <f t="shared" ref="Z764:AE764" si="728">+Z762+Z763</f>
        <v>1.7223299999999999</v>
      </c>
      <c r="AA764" s="844">
        <f t="shared" si="728"/>
        <v>1.6381399999999999</v>
      </c>
      <c r="AB764" s="844">
        <f t="shared" si="728"/>
        <v>1.3487099999999999</v>
      </c>
      <c r="AC764" s="844">
        <f t="shared" ca="1" si="728"/>
        <v>1.5408654056999997</v>
      </c>
      <c r="AD764" s="844">
        <f t="shared" ca="1" si="728"/>
        <v>1.5846013172108211</v>
      </c>
      <c r="AE764" s="844">
        <f t="shared" ca="1" si="728"/>
        <v>1.6880398517246671</v>
      </c>
    </row>
    <row r="765" spans="1:31" ht="12.75" customHeight="1">
      <c r="A765" s="664"/>
      <c r="B765" s="664"/>
      <c r="C765" s="774"/>
      <c r="D765" s="806"/>
      <c r="E765" s="809" t="s">
        <v>379</v>
      </c>
      <c r="F765" s="808"/>
      <c r="G765" s="841">
        <f>+G764/'VVP2'!G$341</f>
        <v>4.5952556046534691E-2</v>
      </c>
      <c r="H765" s="841">
        <f>+H764/'VVP2'!H$341</f>
        <v>4.9461867481972177E-2</v>
      </c>
      <c r="I765" s="841">
        <f>+I764/'VVP2'!I$341</f>
        <v>0.15082469460967526</v>
      </c>
      <c r="J765" s="841">
        <f>+J764/'VVP2'!J$341</f>
        <v>3.7041274892566096E-2</v>
      </c>
      <c r="K765" s="841">
        <f>+K764/'VVP2'!K$341</f>
        <v>3.5107551242597589E-2</v>
      </c>
      <c r="L765" s="841">
        <f>+L764/'VVP2'!L$341</f>
        <v>4.5621019465626585E-2</v>
      </c>
      <c r="M765" s="841">
        <f>+M764/'VVP2'!M$341</f>
        <v>4.1041190543956399E-2</v>
      </c>
      <c r="N765" s="841">
        <f>+N764/'VVP2'!N$341</f>
        <v>3.9060213114311966E-2</v>
      </c>
      <c r="O765" s="841">
        <f>+O764/'VVP2'!O$341</f>
        <v>3.4840609341703625E-2</v>
      </c>
      <c r="P765" s="841">
        <f>+P764/'VVP2'!P$341</f>
        <v>4.0948649282914751E-2</v>
      </c>
      <c r="Q765" s="841">
        <f>+Q764/'VVP2'!Q$341</f>
        <v>3.885993710227665E-2</v>
      </c>
      <c r="R765" s="841">
        <f>+R764/'VVP2'!R$341</f>
        <v>4.6131969610260809E-2</v>
      </c>
      <c r="S765" s="841">
        <f>+S764/'VVP2'!S$341</f>
        <v>6.282467409487251E-2</v>
      </c>
      <c r="T765" s="841">
        <f>+T764/'VVP2'!T$341</f>
        <v>5.868526939456109E-2</v>
      </c>
      <c r="U765" s="841">
        <f>+U764/'VVP2'!U$341</f>
        <v>4.8672313384681989E-2</v>
      </c>
      <c r="V765" s="2912">
        <f>+V764/'VVP2'!V$341</f>
        <v>5.3362642475326162E-2</v>
      </c>
      <c r="W765" s="2912">
        <f>+W764/'VVP2'!W$341</f>
        <v>8.8825949662545423E-2</v>
      </c>
      <c r="X765" s="2912">
        <f>+X764/'VVP2'!X$341</f>
        <v>4.0412936361717229E-2</v>
      </c>
      <c r="Y765" s="2912">
        <f>+Y764/'VVP2'!Y$341</f>
        <v>4.7249900957246418E-2</v>
      </c>
      <c r="Z765" s="2912">
        <f>+Z764/'VVP2'!Z$341</f>
        <v>4.7099015868397417E-2</v>
      </c>
      <c r="AA765" s="2912">
        <f>+AA764/'VVP2'!AA$341</f>
        <v>4.3769392953302469E-2</v>
      </c>
      <c r="AB765" s="2912">
        <f>+AB764/'VVP2'!AB$341</f>
        <v>3.4878939659131809E-2</v>
      </c>
      <c r="AC765" s="2912">
        <f ca="1">+AC764/'VVP2'!AC$341</f>
        <v>3.6880812503530598E-2</v>
      </c>
      <c r="AD765" s="2912">
        <f ca="1">+AD764/'VVP2'!AD$341</f>
        <v>3.5841335935671043E-2</v>
      </c>
      <c r="AE765" s="2912">
        <f ca="1">+AE764/'VVP2'!AE$341</f>
        <v>3.6164855907544133E-2</v>
      </c>
    </row>
    <row r="766" spans="1:31">
      <c r="Q766" s="2307"/>
      <c r="R766" s="699"/>
      <c r="S766" s="699"/>
      <c r="T766" s="699"/>
      <c r="U766" s="699"/>
      <c r="V766" s="843"/>
      <c r="W766" s="843"/>
      <c r="X766" s="843"/>
      <c r="Y766" s="843"/>
      <c r="Z766" s="843"/>
      <c r="AA766" s="843"/>
      <c r="AB766" s="843"/>
      <c r="AC766" s="843"/>
      <c r="AD766" s="843"/>
      <c r="AE766" s="843"/>
    </row>
    <row r="767" spans="1:31" ht="12.75" customHeight="1">
      <c r="A767" s="664"/>
      <c r="B767" s="664"/>
      <c r="C767" s="774"/>
      <c r="D767" s="775"/>
      <c r="E767" s="776" t="s">
        <v>1384</v>
      </c>
      <c r="F767" s="777"/>
      <c r="G767" s="778">
        <f>+InputY!$G$3</f>
        <v>1995</v>
      </c>
      <c r="H767" s="778">
        <f>+G767+1</f>
        <v>1996</v>
      </c>
      <c r="I767" s="778">
        <f t="shared" ref="I767:O767" si="729">+H767+1</f>
        <v>1997</v>
      </c>
      <c r="J767" s="778">
        <f t="shared" si="729"/>
        <v>1998</v>
      </c>
      <c r="K767" s="778">
        <f>+J767+1</f>
        <v>1999</v>
      </c>
      <c r="L767" s="778">
        <f t="shared" si="729"/>
        <v>2000</v>
      </c>
      <c r="M767" s="778">
        <f t="shared" si="729"/>
        <v>2001</v>
      </c>
      <c r="N767" s="778">
        <f t="shared" si="729"/>
        <v>2002</v>
      </c>
      <c r="O767" s="778">
        <f t="shared" si="729"/>
        <v>2003</v>
      </c>
      <c r="P767" s="778">
        <f>+O767+1</f>
        <v>2004</v>
      </c>
      <c r="Q767" s="778">
        <f>+P767+1</f>
        <v>2005</v>
      </c>
      <c r="R767" s="778">
        <f>+Q767+1</f>
        <v>2006</v>
      </c>
      <c r="S767" s="778">
        <f t="shared" ref="S767:X767" si="730">+R767+1</f>
        <v>2007</v>
      </c>
      <c r="T767" s="778">
        <f t="shared" si="730"/>
        <v>2008</v>
      </c>
      <c r="U767" s="778">
        <f t="shared" si="730"/>
        <v>2009</v>
      </c>
      <c r="V767" s="778">
        <f t="shared" si="730"/>
        <v>2010</v>
      </c>
      <c r="W767" s="778">
        <f t="shared" si="730"/>
        <v>2011</v>
      </c>
      <c r="X767" s="778">
        <f t="shared" si="730"/>
        <v>2012</v>
      </c>
      <c r="Y767" s="778">
        <f t="shared" ref="Y767:AE767" si="731">+X767+1</f>
        <v>2013</v>
      </c>
      <c r="Z767" s="778">
        <f t="shared" si="731"/>
        <v>2014</v>
      </c>
      <c r="AA767" s="778">
        <f t="shared" si="731"/>
        <v>2015</v>
      </c>
      <c r="AB767" s="778">
        <f t="shared" si="731"/>
        <v>2016</v>
      </c>
      <c r="AC767" s="778">
        <f t="shared" si="731"/>
        <v>2017</v>
      </c>
      <c r="AD767" s="778">
        <f t="shared" si="731"/>
        <v>2018</v>
      </c>
      <c r="AE767" s="778">
        <f t="shared" si="731"/>
        <v>2019</v>
      </c>
    </row>
    <row r="768" spans="1:31" ht="12.75" customHeight="1">
      <c r="A768" s="664"/>
      <c r="B768" s="664"/>
      <c r="C768" s="779" t="s">
        <v>1767</v>
      </c>
      <c r="D768" s="668" t="s">
        <v>688</v>
      </c>
      <c r="E768" s="780" t="str">
        <f>+Labour1!E216</f>
        <v>Compensation of employees (Net) (D.1)</v>
      </c>
      <c r="F768" s="701" t="s">
        <v>1165</v>
      </c>
      <c r="G768" s="780">
        <f>+Labour1!G216</f>
        <v>-5.7924003707136244E-4</v>
      </c>
      <c r="H768" s="780">
        <f>+Labour1!H216</f>
        <v>-3.6492122335495827E-2</v>
      </c>
      <c r="I768" s="780">
        <f>+Labour1!I216</f>
        <v>-6.4874884151992593E-2</v>
      </c>
      <c r="J768" s="780">
        <f>+Labour1!J216</f>
        <v>-6.9798424467099163E-2</v>
      </c>
      <c r="K768" s="780">
        <f>+Labour1!K216</f>
        <v>-5.0393883225208526E-2</v>
      </c>
      <c r="L768" s="780">
        <f>+Labour1!L216</f>
        <v>1.2743280815569975E-2</v>
      </c>
      <c r="M768" s="780">
        <f>+Labour1!M216</f>
        <v>5.5317423540315103E-2</v>
      </c>
      <c r="N768" s="780">
        <f>+Labour1!N216</f>
        <v>6.7191844300278039E-2</v>
      </c>
      <c r="O768" s="780">
        <f>+Labour1!O216</f>
        <v>4.6918443002780356E-2</v>
      </c>
      <c r="P768" s="780">
        <f>+Labour1!P216</f>
        <v>0.14452038924930491</v>
      </c>
      <c r="Q768" s="780">
        <f>+Labour1!Q216</f>
        <v>0.185</v>
      </c>
      <c r="R768" s="780">
        <f>+Labour1!R216</f>
        <v>0.20200000000000001</v>
      </c>
      <c r="S768" s="780">
        <f>+Labour1!S216</f>
        <v>0.159</v>
      </c>
      <c r="T768" s="780">
        <f>+Labour1!T216</f>
        <v>9.5000000000000001E-2</v>
      </c>
      <c r="U768" s="780">
        <f>+Labour1!U216</f>
        <v>1.7000000000000001E-2</v>
      </c>
      <c r="V768" s="846">
        <f>+Labour1!V216</f>
        <v>0.17100000000000001</v>
      </c>
      <c r="W768" s="846">
        <f>+Labour1!W216</f>
        <v>0.13700000000000001</v>
      </c>
      <c r="X768" s="846">
        <f>+Labour1!X216</f>
        <v>2.1000000000000001E-2</v>
      </c>
      <c r="Y768" s="846">
        <f>+Labour1!Y216</f>
        <v>3.6999999999999998E-2</v>
      </c>
      <c r="Z768" s="846">
        <f>+Labour1!Z216</f>
        <v>-1.7999999999999999E-2</v>
      </c>
      <c r="AA768" s="846">
        <f>+Labour1!AA216</f>
        <v>-1E-3</v>
      </c>
      <c r="AB768" s="3275">
        <f>+Labour1!AB216</f>
        <v>-4.7E-2</v>
      </c>
      <c r="AC768" s="3275">
        <f>+Labour1!AC216</f>
        <v>0</v>
      </c>
      <c r="AD768" s="3275">
        <f>+Labour1!AD216</f>
        <v>0</v>
      </c>
      <c r="AE768" s="3275">
        <f>+Labour1!AE216</f>
        <v>0</v>
      </c>
    </row>
    <row r="769" spans="1:113" ht="12.75" customHeight="1">
      <c r="A769" s="664"/>
      <c r="B769" s="664"/>
      <c r="C769" s="782" t="s">
        <v>1767</v>
      </c>
      <c r="D769" s="674" t="s">
        <v>688</v>
      </c>
      <c r="E769" s="706" t="s">
        <v>1972</v>
      </c>
      <c r="F769" s="704" t="s">
        <v>2087</v>
      </c>
      <c r="G769" s="706">
        <f t="shared" ref="G769:AC769" si="732">+G49</f>
        <v>0</v>
      </c>
      <c r="H769" s="706">
        <f t="shared" si="732"/>
        <v>0</v>
      </c>
      <c r="I769" s="706">
        <f t="shared" si="732"/>
        <v>0</v>
      </c>
      <c r="J769" s="706">
        <f t="shared" si="732"/>
        <v>0</v>
      </c>
      <c r="K769" s="706">
        <f t="shared" si="732"/>
        <v>0</v>
      </c>
      <c r="L769" s="706">
        <f t="shared" si="732"/>
        <v>0</v>
      </c>
      <c r="M769" s="706">
        <f t="shared" si="732"/>
        <v>0</v>
      </c>
      <c r="N769" s="706">
        <f t="shared" si="732"/>
        <v>0</v>
      </c>
      <c r="O769" s="706">
        <f t="shared" si="732"/>
        <v>0</v>
      </c>
      <c r="P769" s="706">
        <f t="shared" si="732"/>
        <v>0.12193002780352179</v>
      </c>
      <c r="Q769" s="706">
        <f t="shared" si="732"/>
        <v>0.245</v>
      </c>
      <c r="R769" s="706">
        <f t="shared" si="732"/>
        <v>0.23499999999999999</v>
      </c>
      <c r="S769" s="706">
        <f t="shared" si="732"/>
        <v>0.189</v>
      </c>
      <c r="T769" s="706">
        <f t="shared" si="732"/>
        <v>0.20699999999999999</v>
      </c>
      <c r="U769" s="706">
        <f t="shared" si="732"/>
        <v>0.27300000000000002</v>
      </c>
      <c r="V769" s="792">
        <f t="shared" si="732"/>
        <v>0.30499999999999999</v>
      </c>
      <c r="W769" s="792">
        <f t="shared" si="732"/>
        <v>0.32300000000000001</v>
      </c>
      <c r="X769" s="792">
        <f t="shared" si="732"/>
        <v>0.36599999999999999</v>
      </c>
      <c r="Y769" s="792">
        <f t="shared" si="732"/>
        <v>0.38900000000000001</v>
      </c>
      <c r="Z769" s="792">
        <f t="shared" si="732"/>
        <v>0.38600000000000001</v>
      </c>
      <c r="AA769" s="792">
        <f t="shared" si="732"/>
        <v>0.441</v>
      </c>
      <c r="AB769" s="792">
        <f t="shared" si="732"/>
        <v>0.46700000000000003</v>
      </c>
      <c r="AC769" s="792">
        <f t="shared" si="732"/>
        <v>0.47867499999999996</v>
      </c>
      <c r="AD769" s="792">
        <f>+AD49</f>
        <v>0.49064187499999989</v>
      </c>
      <c r="AE769" s="792">
        <f>+AE49</f>
        <v>0.50290792187499989</v>
      </c>
    </row>
    <row r="770" spans="1:113" ht="12.75" customHeight="1">
      <c r="A770" s="664"/>
      <c r="B770" s="664"/>
      <c r="C770" s="782" t="s">
        <v>401</v>
      </c>
      <c r="D770" s="674" t="s">
        <v>688</v>
      </c>
      <c r="E770" s="706" t="s">
        <v>1952</v>
      </c>
      <c r="F770" s="704" t="s">
        <v>2084</v>
      </c>
      <c r="G770" s="706">
        <f t="shared" ref="G770:AC770" si="733">+G12</f>
        <v>0</v>
      </c>
      <c r="H770" s="706">
        <f t="shared" si="733"/>
        <v>0</v>
      </c>
      <c r="I770" s="706">
        <f t="shared" si="733"/>
        <v>0</v>
      </c>
      <c r="J770" s="706">
        <f t="shared" si="733"/>
        <v>0</v>
      </c>
      <c r="K770" s="706">
        <f t="shared" si="733"/>
        <v>0</v>
      </c>
      <c r="L770" s="706">
        <f t="shared" si="733"/>
        <v>0</v>
      </c>
      <c r="M770" s="706">
        <f t="shared" si="733"/>
        <v>0</v>
      </c>
      <c r="N770" s="706">
        <f t="shared" si="733"/>
        <v>0</v>
      </c>
      <c r="O770" s="706">
        <f t="shared" si="733"/>
        <v>0</v>
      </c>
      <c r="P770" s="706">
        <f t="shared" si="733"/>
        <v>3.4464782205746058E-2</v>
      </c>
      <c r="Q770" s="706" t="e">
        <f t="shared" si="733"/>
        <v>#VALUE!</v>
      </c>
      <c r="R770" s="706" t="e">
        <f t="shared" si="733"/>
        <v>#VALUE!</v>
      </c>
      <c r="S770" s="706" t="e">
        <f t="shared" si="733"/>
        <v>#VALUE!</v>
      </c>
      <c r="T770" s="706">
        <f t="shared" si="733"/>
        <v>0.11799999999999999</v>
      </c>
      <c r="U770" s="706">
        <f t="shared" si="733"/>
        <v>7.9000000000000001E-2</v>
      </c>
      <c r="V770" s="792">
        <f t="shared" si="733"/>
        <v>8.7999999999999995E-2</v>
      </c>
      <c r="W770" s="792">
        <f t="shared" si="733"/>
        <v>9.1999999999999998E-2</v>
      </c>
      <c r="X770" s="792">
        <f t="shared" si="733"/>
        <v>8.6999999999999994E-2</v>
      </c>
      <c r="Y770" s="792">
        <f t="shared" si="733"/>
        <v>0.1</v>
      </c>
      <c r="Z770" s="792">
        <f t="shared" si="733"/>
        <v>0.10299999999999999</v>
      </c>
      <c r="AA770" s="792">
        <f t="shared" si="733"/>
        <v>0.123</v>
      </c>
      <c r="AB770" s="792">
        <f t="shared" si="733"/>
        <v>0.112</v>
      </c>
      <c r="AC770" s="792">
        <f t="shared" si="733"/>
        <v>0.11648</v>
      </c>
      <c r="AD770" s="792">
        <f>+AD12</f>
        <v>0.1211392</v>
      </c>
      <c r="AE770" s="792">
        <f>+AE12</f>
        <v>0.125984768</v>
      </c>
    </row>
    <row r="771" spans="1:113" ht="12.75" customHeight="1">
      <c r="A771" s="664"/>
      <c r="B771" s="664"/>
      <c r="C771" s="782" t="s">
        <v>401</v>
      </c>
      <c r="D771" s="674" t="s">
        <v>688</v>
      </c>
      <c r="E771" s="706" t="str">
        <f>+E142</f>
        <v>Property income (net - negative means paid) (D.4)</v>
      </c>
      <c r="F771" s="704" t="s">
        <v>885</v>
      </c>
      <c r="G771" s="706">
        <f t="shared" ref="G771:AC771" si="734">+G142</f>
        <v>7.8197405004633899E-3</v>
      </c>
      <c r="H771" s="706">
        <f t="shared" si="734"/>
        <v>7.24050046339203E-2</v>
      </c>
      <c r="I771" s="706">
        <f t="shared" si="734"/>
        <v>0.15118164967562558</v>
      </c>
      <c r="J771" s="706">
        <f t="shared" si="734"/>
        <v>0.22329703429101019</v>
      </c>
      <c r="K771" s="706">
        <f t="shared" si="734"/>
        <v>0.24357043558850788</v>
      </c>
      <c r="L771" s="706">
        <f t="shared" si="734"/>
        <v>0.24414967562557924</v>
      </c>
      <c r="M771" s="706">
        <f t="shared" si="734"/>
        <v>0.24125347544022246</v>
      </c>
      <c r="N771" s="706">
        <f t="shared" si="734"/>
        <v>0.21431881371640407</v>
      </c>
      <c r="O771" s="706">
        <f t="shared" si="734"/>
        <v>0.45296570898980537</v>
      </c>
      <c r="P771" s="706">
        <f t="shared" si="734"/>
        <v>0.5847428174235404</v>
      </c>
      <c r="Q771" s="706">
        <f t="shared" si="734"/>
        <v>0.66600000000000004</v>
      </c>
      <c r="R771" s="706">
        <f t="shared" si="734"/>
        <v>0.84499999999999997</v>
      </c>
      <c r="S771" s="706">
        <f t="shared" si="734"/>
        <v>1.367</v>
      </c>
      <c r="T771" s="706">
        <f t="shared" si="734"/>
        <v>1.353</v>
      </c>
      <c r="U771" s="706">
        <f t="shared" si="734"/>
        <v>-0.24299999999999999</v>
      </c>
      <c r="V771" s="792">
        <f t="shared" si="734"/>
        <v>0.98599999999999999</v>
      </c>
      <c r="W771" s="792">
        <f t="shared" si="734"/>
        <v>1.583</v>
      </c>
      <c r="X771" s="792">
        <f t="shared" si="734"/>
        <v>1.347</v>
      </c>
      <c r="Y771" s="792">
        <f t="shared" si="734"/>
        <v>1.2809999999999999</v>
      </c>
      <c r="Z771" s="792">
        <f t="shared" si="734"/>
        <v>0.77200000000000002</v>
      </c>
      <c r="AA771" s="792">
        <f t="shared" si="734"/>
        <v>1.871</v>
      </c>
      <c r="AB771" s="792">
        <f t="shared" si="734"/>
        <v>1.851</v>
      </c>
      <c r="AC771" s="792">
        <f t="shared" si="734"/>
        <v>1.8787649999999998</v>
      </c>
      <c r="AD771" s="792">
        <f>+AD142</f>
        <v>1.9163402999999999</v>
      </c>
      <c r="AE771" s="792">
        <f>+AE142</f>
        <v>1.9546671059999998</v>
      </c>
    </row>
    <row r="772" spans="1:113" ht="12.75" customHeight="1">
      <c r="A772" s="664"/>
      <c r="B772" s="664">
        <v>140</v>
      </c>
      <c r="C772" s="784" t="s">
        <v>1769</v>
      </c>
      <c r="D772" s="752" t="s">
        <v>688</v>
      </c>
      <c r="E772" s="785" t="s">
        <v>1954</v>
      </c>
      <c r="F772" s="754" t="s">
        <v>1953</v>
      </c>
      <c r="G772" s="785">
        <f t="shared" ref="G772:Q772" si="735">+G768+G769-G770-G771</f>
        <v>-8.3989805375347532E-3</v>
      </c>
      <c r="H772" s="785">
        <f t="shared" si="735"/>
        <v>-0.10889712696941613</v>
      </c>
      <c r="I772" s="785">
        <f t="shared" si="735"/>
        <v>-0.21605653382761819</v>
      </c>
      <c r="J772" s="785">
        <f t="shared" si="735"/>
        <v>-0.29309545875810938</v>
      </c>
      <c r="K772" s="785">
        <f t="shared" si="735"/>
        <v>-0.29396431881371643</v>
      </c>
      <c r="L772" s="785">
        <f t="shared" si="735"/>
        <v>-0.23140639481000927</v>
      </c>
      <c r="M772" s="785">
        <f t="shared" si="735"/>
        <v>-0.18593605189990736</v>
      </c>
      <c r="N772" s="785">
        <f t="shared" si="735"/>
        <v>-0.14712696941612602</v>
      </c>
      <c r="O772" s="785">
        <f t="shared" si="735"/>
        <v>-0.40604726598702501</v>
      </c>
      <c r="P772" s="785">
        <f t="shared" si="735"/>
        <v>-0.35275718257645977</v>
      </c>
      <c r="Q772" s="785" t="e">
        <f t="shared" si="735"/>
        <v>#VALUE!</v>
      </c>
      <c r="R772" s="785" t="e">
        <f>+R768+R769-R770-R771</f>
        <v>#VALUE!</v>
      </c>
      <c r="S772" s="785" t="e">
        <f>+S768+S769-S770-S771</f>
        <v>#VALUE!</v>
      </c>
      <c r="T772" s="785">
        <f t="shared" ref="T772:Y772" si="736">+T768+T769-T770-T771</f>
        <v>-1.169</v>
      </c>
      <c r="U772" s="785">
        <f t="shared" si="736"/>
        <v>0.45400000000000001</v>
      </c>
      <c r="V772" s="3175">
        <f t="shared" si="736"/>
        <v>-0.59799999999999998</v>
      </c>
      <c r="W772" s="844">
        <f t="shared" si="736"/>
        <v>-1.2149999999999999</v>
      </c>
      <c r="X772" s="3227">
        <f t="shared" si="736"/>
        <v>-1.0469999999999999</v>
      </c>
      <c r="Y772" s="844">
        <f t="shared" si="736"/>
        <v>-0.95499999999999996</v>
      </c>
      <c r="Z772" s="844">
        <f t="shared" ref="Z772:AE772" si="737">+Z768+Z769-Z770-Z771</f>
        <v>-0.50700000000000001</v>
      </c>
      <c r="AA772" s="3264">
        <f t="shared" si="737"/>
        <v>-1.554</v>
      </c>
      <c r="AB772" s="3227">
        <f t="shared" si="737"/>
        <v>-1.5429999999999999</v>
      </c>
      <c r="AC772" s="844">
        <f t="shared" si="737"/>
        <v>-1.5165699999999998</v>
      </c>
      <c r="AD772" s="844">
        <f>+AD768+AD769-AD770-AD771</f>
        <v>-1.546837625</v>
      </c>
      <c r="AE772" s="844">
        <f t="shared" si="737"/>
        <v>-1.5777439521250001</v>
      </c>
    </row>
    <row r="773" spans="1:113" s="1976" customFormat="1" ht="12.75" customHeight="1">
      <c r="A773" s="664">
        <f>+ROW(InputY!A94)</f>
        <v>94</v>
      </c>
      <c r="B773" s="998"/>
      <c r="C773" s="1595"/>
      <c r="D773" s="1975" t="s">
        <v>688</v>
      </c>
      <c r="E773" s="1973" t="s">
        <v>1954</v>
      </c>
      <c r="F773" s="1974" t="s">
        <v>1953</v>
      </c>
      <c r="G773" s="1002">
        <f>IF(+InputY!G94=":",G772,+InputY!G94/1000)</f>
        <v>-1.32E-2</v>
      </c>
      <c r="H773" s="1002">
        <f>IF(+InputY!H94=":",H772,+InputY!H94/1000)</f>
        <v>-0.10087</v>
      </c>
      <c r="I773" s="1002">
        <f>IF(+InputY!I94=":",I772,+InputY!I94/1000)</f>
        <v>-0.22203999999999999</v>
      </c>
      <c r="J773" s="1002">
        <f>IF(+InputY!J94=":",J772,+InputY!J94/1000)</f>
        <v>-0.29128999999999999</v>
      </c>
      <c r="K773" s="1002">
        <f>IF(+InputY!K94=":",K772,+InputY!K94/1000)</f>
        <v>-0.30279</v>
      </c>
      <c r="L773" s="1002">
        <f>IF(+InputY!L94=":",L772,+InputY!L94/1000)</f>
        <v>-0.23988999999999999</v>
      </c>
      <c r="M773" s="1002">
        <f>IF(+InputY!M94=":",M772,+InputY!M94/1000)</f>
        <v>-0.19155</v>
      </c>
      <c r="N773" s="1002">
        <f>IF(+InputY!N94=":",N772,+InputY!N94/1000)</f>
        <v>-0.16068000000000002</v>
      </c>
      <c r="O773" s="1002">
        <f>IF(+InputY!O94=":",O772,+InputY!O94/1000)</f>
        <v>-0.41287999999999997</v>
      </c>
      <c r="P773" s="1002">
        <f>IF(+InputY!P94=":",P772,+InputY!P94/1000)</f>
        <v>-0.35507</v>
      </c>
      <c r="Q773" s="1002">
        <f>IF(+InputY!Q94=":",Q772,+InputY!Q94/1000)</f>
        <v>-0.28081</v>
      </c>
      <c r="R773" s="1002">
        <f>IF(+InputY!R94=":",R772,+InputY!R94/1000)</f>
        <v>-0.45949000000000001</v>
      </c>
      <c r="S773" s="1002">
        <f>IF(+InputY!S94=":",S772,+InputY!S94/1000)</f>
        <v>-1.0934000000000001</v>
      </c>
      <c r="T773" s="1002">
        <f>IF(+InputY!T94=":",T772,+InputY!T94/1000)</f>
        <v>-1.11477</v>
      </c>
      <c r="U773" s="1002">
        <f>IF(+InputY!U94=":",U772,+InputY!U94/1000)</f>
        <v>0.50280000000000002</v>
      </c>
      <c r="V773" s="2904">
        <f>IF(+InputY!V94=":",V772,+InputY!V94/1000)</f>
        <v>-0.52207000000000003</v>
      </c>
      <c r="W773" s="2904">
        <f>IF(+InputY!W94=":",W772,+InputY!W94/1000)</f>
        <v>-1.1480299999999999</v>
      </c>
      <c r="X773" s="2904">
        <f>IF(+InputY!X94=":",X772,+InputY!X94/1000)</f>
        <v>-1.00617</v>
      </c>
      <c r="Y773" s="2904">
        <f>IF(+InputY!Y94=":",Y772,+InputY!Y94/1000)</f>
        <v>-0.90969000000000011</v>
      </c>
      <c r="Z773" s="2904">
        <f>IF(+InputY!Z94=":",Z772,+InputY!Z94/1000)</f>
        <v>-0.4748</v>
      </c>
      <c r="AA773" s="2904">
        <f>IF(+InputY!AA94=":",AA772,+InputY!AA94/1000)</f>
        <v>-1.52396</v>
      </c>
      <c r="AB773" s="2904">
        <f>IF(+InputY!AB94=":",AB772,+InputY!AB94/1000)</f>
        <v>-1.5250299999999999</v>
      </c>
      <c r="AC773" s="2904">
        <f>IF(+InputY!AC94=":",AC772,+InputY!AC94/1000)</f>
        <v>-1.5165699999999998</v>
      </c>
      <c r="AD773" s="2904">
        <f>IF(+InputY!AD94=":",AD772,+InputY!AD94/1000)</f>
        <v>-1.546837625</v>
      </c>
      <c r="AE773" s="2904">
        <f>IF(+InputY!AE94=":",AE772,+InputY!AE94/1000)</f>
        <v>-1.5777439521250001</v>
      </c>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row>
    <row r="774" spans="1:113" s="1976" customFormat="1" ht="12.75" customHeight="1">
      <c r="A774" s="998"/>
      <c r="B774" s="998"/>
      <c r="C774" s="1595"/>
      <c r="D774" s="1975"/>
      <c r="E774" s="1973" t="s">
        <v>737</v>
      </c>
      <c r="F774" s="1974"/>
      <c r="G774" s="1002">
        <f>ABS(G772-G773)</f>
        <v>4.8010194624652468E-3</v>
      </c>
      <c r="H774" s="1002">
        <f t="shared" ref="H774:Q774" si="738">ABS(H772-H773)</f>
        <v>8.0271269694161262E-3</v>
      </c>
      <c r="I774" s="1002">
        <f t="shared" si="738"/>
        <v>5.9834661723817961E-3</v>
      </c>
      <c r="J774" s="1002">
        <f t="shared" si="738"/>
        <v>1.8054587581093906E-3</v>
      </c>
      <c r="K774" s="1002">
        <f t="shared" si="738"/>
        <v>8.8256811862835738E-3</v>
      </c>
      <c r="L774" s="1002">
        <f t="shared" si="738"/>
        <v>8.4836051899907228E-3</v>
      </c>
      <c r="M774" s="1002">
        <f t="shared" si="738"/>
        <v>5.6139481000926361E-3</v>
      </c>
      <c r="N774" s="1002">
        <f t="shared" si="738"/>
        <v>1.3553030583873998E-2</v>
      </c>
      <c r="O774" s="1002">
        <f t="shared" si="738"/>
        <v>6.8327340129749614E-3</v>
      </c>
      <c r="P774" s="1002">
        <f t="shared" si="738"/>
        <v>2.3128174235402255E-3</v>
      </c>
      <c r="Q774" s="1002" t="e">
        <f t="shared" si="738"/>
        <v>#VALUE!</v>
      </c>
      <c r="R774" s="1002" t="e">
        <f t="shared" ref="R774:Y774" si="739">ABS(R772-R773)</f>
        <v>#VALUE!</v>
      </c>
      <c r="S774" s="1002" t="e">
        <f t="shared" si="739"/>
        <v>#VALUE!</v>
      </c>
      <c r="T774" s="1002">
        <f>ABS(T772-T773)</f>
        <v>5.423E-2</v>
      </c>
      <c r="U774" s="1002">
        <f>ABS(U772-U773)</f>
        <v>4.880000000000001E-2</v>
      </c>
      <c r="V774" s="2904">
        <f t="shared" si="739"/>
        <v>7.5929999999999942E-2</v>
      </c>
      <c r="W774" s="2904">
        <f t="shared" si="739"/>
        <v>6.6969999999999974E-2</v>
      </c>
      <c r="X774" s="2904">
        <f t="shared" si="739"/>
        <v>4.0829999999999922E-2</v>
      </c>
      <c r="Y774" s="3130">
        <f t="shared" si="739"/>
        <v>4.530999999999985E-2</v>
      </c>
      <c r="Z774" s="3130">
        <f t="shared" ref="Z774:AE774" si="740">ABS(Z772-Z773)</f>
        <v>3.2200000000000006E-2</v>
      </c>
      <c r="AA774" s="3130">
        <f t="shared" si="740"/>
        <v>3.0040000000000067E-2</v>
      </c>
      <c r="AB774" s="3130">
        <f t="shared" si="740"/>
        <v>1.7970000000000041E-2</v>
      </c>
      <c r="AC774" s="2904">
        <f t="shared" si="740"/>
        <v>0</v>
      </c>
      <c r="AD774" s="2904">
        <f t="shared" si="740"/>
        <v>0</v>
      </c>
      <c r="AE774" s="2904">
        <f t="shared" si="740"/>
        <v>0</v>
      </c>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row>
    <row r="775" spans="1:113">
      <c r="Q775" s="699"/>
      <c r="AB775" s="2221"/>
      <c r="AC775" s="2221"/>
      <c r="AD775" s="2221"/>
      <c r="AE775" s="2221"/>
    </row>
    <row r="776" spans="1:113" ht="12.75" customHeight="1">
      <c r="A776" s="664"/>
      <c r="B776" s="664"/>
      <c r="C776" s="774"/>
      <c r="D776" s="775"/>
      <c r="E776" s="776" t="s">
        <v>1384</v>
      </c>
      <c r="F776" s="777"/>
      <c r="G776" s="778">
        <f>+InputY!$G$3</f>
        <v>1995</v>
      </c>
      <c r="H776" s="778">
        <f>+G776+1</f>
        <v>1996</v>
      </c>
      <c r="I776" s="778">
        <f t="shared" ref="I776:R776" si="741">+H776+1</f>
        <v>1997</v>
      </c>
      <c r="J776" s="778">
        <f t="shared" si="741"/>
        <v>1998</v>
      </c>
      <c r="K776" s="778">
        <f>+J776+1</f>
        <v>1999</v>
      </c>
      <c r="L776" s="778">
        <f t="shared" si="741"/>
        <v>2000</v>
      </c>
      <c r="M776" s="778">
        <f t="shared" si="741"/>
        <v>2001</v>
      </c>
      <c r="N776" s="778">
        <f t="shared" si="741"/>
        <v>2002</v>
      </c>
      <c r="O776" s="778">
        <f t="shared" si="741"/>
        <v>2003</v>
      </c>
      <c r="P776" s="778">
        <f>+O776+1</f>
        <v>2004</v>
      </c>
      <c r="Q776" s="778">
        <f>+P776+1</f>
        <v>2005</v>
      </c>
      <c r="R776" s="2222">
        <f t="shared" si="741"/>
        <v>2006</v>
      </c>
      <c r="S776" s="2222">
        <f t="shared" ref="S776:X776" si="742">+R776+1</f>
        <v>2007</v>
      </c>
      <c r="T776" s="2222">
        <f>+S776+1</f>
        <v>2008</v>
      </c>
      <c r="U776" s="2222">
        <f>+T776+1</f>
        <v>2009</v>
      </c>
      <c r="V776" s="2222">
        <f t="shared" si="742"/>
        <v>2010</v>
      </c>
      <c r="W776" s="2222">
        <f t="shared" si="742"/>
        <v>2011</v>
      </c>
      <c r="X776" s="2222">
        <f t="shared" si="742"/>
        <v>2012</v>
      </c>
      <c r="Y776" s="2222">
        <f t="shared" ref="Y776:AE776" si="743">+X776+1</f>
        <v>2013</v>
      </c>
      <c r="Z776" s="2222">
        <f t="shared" si="743"/>
        <v>2014</v>
      </c>
      <c r="AA776" s="2222">
        <f t="shared" si="743"/>
        <v>2015</v>
      </c>
      <c r="AB776" s="2222">
        <f t="shared" si="743"/>
        <v>2016</v>
      </c>
      <c r="AC776" s="2222">
        <f t="shared" si="743"/>
        <v>2017</v>
      </c>
      <c r="AD776" s="2222">
        <f t="shared" si="743"/>
        <v>2018</v>
      </c>
      <c r="AE776" s="2222">
        <f t="shared" si="743"/>
        <v>2019</v>
      </c>
    </row>
    <row r="777" spans="1:113" ht="12.75" customHeight="1">
      <c r="A777" s="664"/>
      <c r="B777" s="664"/>
      <c r="C777" s="779" t="s">
        <v>1767</v>
      </c>
      <c r="D777" s="668" t="s">
        <v>688</v>
      </c>
      <c r="E777" s="780" t="s">
        <v>979</v>
      </c>
      <c r="F777" s="701" t="s">
        <v>980</v>
      </c>
      <c r="G777" s="780">
        <f t="shared" ref="G777:AC777" si="744">+G204</f>
        <v>0</v>
      </c>
      <c r="H777" s="780">
        <f t="shared" si="744"/>
        <v>0</v>
      </c>
      <c r="I777" s="780">
        <f t="shared" si="744"/>
        <v>0</v>
      </c>
      <c r="J777" s="780">
        <f t="shared" si="744"/>
        <v>0</v>
      </c>
      <c r="K777" s="780">
        <f t="shared" si="744"/>
        <v>0</v>
      </c>
      <c r="L777" s="780">
        <f t="shared" si="744"/>
        <v>0</v>
      </c>
      <c r="M777" s="780">
        <f t="shared" si="744"/>
        <v>0</v>
      </c>
      <c r="N777" s="780">
        <f t="shared" si="744"/>
        <v>0</v>
      </c>
      <c r="O777" s="780">
        <f t="shared" si="744"/>
        <v>0</v>
      </c>
      <c r="P777" s="780">
        <f t="shared" si="744"/>
        <v>5.7924003707136244E-4</v>
      </c>
      <c r="Q777" s="780" t="e">
        <f t="shared" si="744"/>
        <v>#VALUE!</v>
      </c>
      <c r="R777" s="780" t="e">
        <f t="shared" si="744"/>
        <v>#VALUE!</v>
      </c>
      <c r="S777" s="780" t="e">
        <f t="shared" si="744"/>
        <v>#VALUE!</v>
      </c>
      <c r="T777" s="780">
        <f t="shared" si="744"/>
        <v>-8.9999999999999993E-3</v>
      </c>
      <c r="U777" s="780">
        <f t="shared" si="744"/>
        <v>3.0000000000000001E-3</v>
      </c>
      <c r="V777" s="846">
        <f t="shared" si="744"/>
        <v>-2.1999999999999999E-2</v>
      </c>
      <c r="W777" s="846">
        <f t="shared" si="744"/>
        <v>-1.7000000000000001E-2</v>
      </c>
      <c r="X777" s="846">
        <f t="shared" si="744"/>
        <v>-4.0000000000000001E-3</v>
      </c>
      <c r="Y777" s="846">
        <f t="shared" si="744"/>
        <v>-6.0000000000000001E-3</v>
      </c>
      <c r="Z777" s="846">
        <f t="shared" si="744"/>
        <v>3.0000000000000001E-3</v>
      </c>
      <c r="AA777" s="846">
        <f t="shared" si="744"/>
        <v>1E-3</v>
      </c>
      <c r="AB777" s="846">
        <f t="shared" si="744"/>
        <v>8.9999999999999993E-3</v>
      </c>
      <c r="AC777" s="846">
        <f t="shared" si="744"/>
        <v>8.9999999999999993E-3</v>
      </c>
      <c r="AD777" s="846">
        <f>+AD204</f>
        <v>8.9999999999999993E-3</v>
      </c>
      <c r="AE777" s="846">
        <f>+AE204</f>
        <v>8.9999999999999993E-3</v>
      </c>
    </row>
    <row r="778" spans="1:113" ht="12.75" customHeight="1">
      <c r="A778" s="664"/>
      <c r="B778" s="664"/>
      <c r="C778" s="782" t="s">
        <v>401</v>
      </c>
      <c r="D778" s="674" t="s">
        <v>688</v>
      </c>
      <c r="E778" s="706" t="s">
        <v>0</v>
      </c>
      <c r="F778" s="704" t="s">
        <v>1</v>
      </c>
      <c r="G778" s="706">
        <f t="shared" ref="G778:AC778" si="745">+G329</f>
        <v>-0.12656394810009269</v>
      </c>
      <c r="H778" s="706">
        <f t="shared" si="745"/>
        <v>-0.16653151065801669</v>
      </c>
      <c r="I778" s="706">
        <f t="shared" si="745"/>
        <v>-0.26645041705282663</v>
      </c>
      <c r="J778" s="706">
        <f t="shared" si="745"/>
        <v>-0.27224281742354034</v>
      </c>
      <c r="K778" s="706">
        <f t="shared" si="745"/>
        <v>-0.18883225208526414</v>
      </c>
      <c r="L778" s="706">
        <f t="shared" si="745"/>
        <v>-0.25457599629286376</v>
      </c>
      <c r="M778" s="706">
        <f t="shared" si="745"/>
        <v>-0.27427015755329004</v>
      </c>
      <c r="N778" s="706">
        <f t="shared" si="745"/>
        <v>-0.20939527340129752</v>
      </c>
      <c r="O778" s="706">
        <f t="shared" si="745"/>
        <v>-0.22474513438368859</v>
      </c>
      <c r="P778" s="706">
        <f t="shared" si="745"/>
        <v>-0.26152687673772013</v>
      </c>
      <c r="Q778" s="706">
        <f t="shared" si="745"/>
        <v>-0.28999999999999998</v>
      </c>
      <c r="R778" s="706">
        <f t="shared" si="745"/>
        <v>-0.44600000000000001</v>
      </c>
      <c r="S778" s="706">
        <f t="shared" si="745"/>
        <v>-0.54500000000000004</v>
      </c>
      <c r="T778" s="706">
        <f t="shared" si="745"/>
        <v>-0.59</v>
      </c>
      <c r="U778" s="706">
        <f t="shared" si="745"/>
        <v>-0.502</v>
      </c>
      <c r="V778" s="3188">
        <f t="shared" si="745"/>
        <v>-0.98199999999999998</v>
      </c>
      <c r="W778" s="792">
        <f t="shared" si="745"/>
        <v>-0.77100000000000002</v>
      </c>
      <c r="X778" s="792">
        <f t="shared" si="745"/>
        <v>-0.39200000000000002</v>
      </c>
      <c r="Y778" s="792">
        <f t="shared" si="745"/>
        <v>-0.97599999999999998</v>
      </c>
      <c r="Z778" s="792">
        <f t="shared" si="745"/>
        <v>-1.159</v>
      </c>
      <c r="AA778" s="792">
        <f t="shared" si="745"/>
        <v>-0.93700000000000006</v>
      </c>
      <c r="AB778" s="792">
        <f t="shared" si="745"/>
        <v>-0.76707999999999976</v>
      </c>
      <c r="AC778" s="792">
        <f t="shared" si="745"/>
        <v>-0.79549840799999982</v>
      </c>
      <c r="AD778" s="792">
        <f>+AD329</f>
        <v>-0.83240506867999964</v>
      </c>
      <c r="AE778" s="792">
        <f>+AE329</f>
        <v>-0.86719322619779959</v>
      </c>
    </row>
    <row r="779" spans="1:113" ht="12.75" customHeight="1">
      <c r="A779" s="664"/>
      <c r="B779" s="664"/>
      <c r="C779" s="782" t="s">
        <v>401</v>
      </c>
      <c r="D779" s="674" t="s">
        <v>688</v>
      </c>
      <c r="E779" s="706" t="s">
        <v>840</v>
      </c>
      <c r="F779" s="704" t="s">
        <v>841</v>
      </c>
      <c r="G779" s="706" t="e">
        <f t="shared" ref="G779:AC779" si="746">+G258</f>
        <v>#VALUE!</v>
      </c>
      <c r="H779" s="706" t="e">
        <f t="shared" si="746"/>
        <v>#VALUE!</v>
      </c>
      <c r="I779" s="706" t="e">
        <f t="shared" si="746"/>
        <v>#VALUE!</v>
      </c>
      <c r="J779" s="706" t="e">
        <f t="shared" si="746"/>
        <v>#VALUE!</v>
      </c>
      <c r="K779" s="706" t="e">
        <f t="shared" si="746"/>
        <v>#VALUE!</v>
      </c>
      <c r="L779" s="706" t="e">
        <f t="shared" si="746"/>
        <v>#VALUE!</v>
      </c>
      <c r="M779" s="706" t="e">
        <f t="shared" si="746"/>
        <v>#VALUE!</v>
      </c>
      <c r="N779" s="706" t="e">
        <f t="shared" si="746"/>
        <v>#VALUE!</v>
      </c>
      <c r="O779" s="706" t="e">
        <f t="shared" si="746"/>
        <v>#VALUE!</v>
      </c>
      <c r="P779" s="706" t="e">
        <f t="shared" si="746"/>
        <v>#VALUE!</v>
      </c>
      <c r="Q779" s="706" t="e">
        <f t="shared" si="746"/>
        <v>#VALUE!</v>
      </c>
      <c r="R779" s="706" t="e">
        <f t="shared" si="746"/>
        <v>#VALUE!</v>
      </c>
      <c r="S779" s="706" t="e">
        <f t="shared" si="746"/>
        <v>#VALUE!</v>
      </c>
      <c r="T779" s="706">
        <f t="shared" si="746"/>
        <v>1.9E-2</v>
      </c>
      <c r="U779" s="706">
        <f t="shared" si="746"/>
        <v>1.0999999999999999E-2</v>
      </c>
      <c r="V779" s="792">
        <f t="shared" si="746"/>
        <v>3.2000000000000001E-2</v>
      </c>
      <c r="W779" s="792">
        <f t="shared" si="746"/>
        <v>2.5999999999999999E-2</v>
      </c>
      <c r="X779" s="792">
        <f t="shared" si="746"/>
        <v>1E-3</v>
      </c>
      <c r="Y779" s="792">
        <f t="shared" si="746"/>
        <v>3.0000000000000001E-3</v>
      </c>
      <c r="Z779" s="792">
        <f t="shared" si="746"/>
        <v>-3.0000000000000001E-3</v>
      </c>
      <c r="AA779" s="792">
        <f t="shared" si="746"/>
        <v>1E-3</v>
      </c>
      <c r="AB779" s="792">
        <f t="shared" si="746"/>
        <v>-5.0000000000000001E-3</v>
      </c>
      <c r="AC779" s="792">
        <f t="shared" si="746"/>
        <v>-5.0000000000000001E-3</v>
      </c>
      <c r="AD779" s="792">
        <f>+AD258</f>
        <v>-5.0000000000000001E-3</v>
      </c>
      <c r="AE779" s="792">
        <f>+AE258</f>
        <v>-5.0000000000000001E-3</v>
      </c>
    </row>
    <row r="780" spans="1:113" ht="12.75" customHeight="1">
      <c r="A780" s="664"/>
      <c r="B780" s="664"/>
      <c r="C780" s="782" t="s">
        <v>401</v>
      </c>
      <c r="D780" s="674" t="s">
        <v>688</v>
      </c>
      <c r="E780" s="706" t="s">
        <v>1182</v>
      </c>
      <c r="F780" s="704" t="s">
        <v>842</v>
      </c>
      <c r="G780" s="706">
        <f t="shared" ref="G780:AC780" si="747">+G301</f>
        <v>0</v>
      </c>
      <c r="H780" s="706">
        <f t="shared" si="747"/>
        <v>0</v>
      </c>
      <c r="I780" s="706">
        <f t="shared" si="747"/>
        <v>0</v>
      </c>
      <c r="J780" s="706">
        <f t="shared" si="747"/>
        <v>0</v>
      </c>
      <c r="K780" s="706">
        <f t="shared" si="747"/>
        <v>0</v>
      </c>
      <c r="L780" s="706">
        <f t="shared" si="747"/>
        <v>-2.635542168674699E-2</v>
      </c>
      <c r="M780" s="706">
        <f t="shared" si="747"/>
        <v>-2.3459221501390175E-2</v>
      </c>
      <c r="N780" s="706">
        <f t="shared" si="747"/>
        <v>-2.7224281742354032E-2</v>
      </c>
      <c r="O780" s="706">
        <f t="shared" si="747"/>
        <v>-2.5486561631139947E-2</v>
      </c>
      <c r="P780" s="706">
        <f t="shared" si="747"/>
        <v>-2.5486561631139947E-2</v>
      </c>
      <c r="Q780" s="706">
        <f t="shared" si="747"/>
        <v>-2.9000000000000001E-2</v>
      </c>
      <c r="R780" s="706">
        <f t="shared" si="747"/>
        <v>-2.8000000000000001E-2</v>
      </c>
      <c r="S780" s="706">
        <f t="shared" si="747"/>
        <v>-2.5000000000000001E-2</v>
      </c>
      <c r="T780" s="706">
        <f t="shared" si="747"/>
        <v>-3.3000000000000002E-2</v>
      </c>
      <c r="U780" s="706">
        <f t="shared" si="747"/>
        <v>-2.7E-2</v>
      </c>
      <c r="V780" s="792">
        <f t="shared" si="747"/>
        <v>-3.1E-2</v>
      </c>
      <c r="W780" s="792">
        <f t="shared" si="747"/>
        <v>-0.02</v>
      </c>
      <c r="X780" s="792">
        <f t="shared" si="747"/>
        <v>-1.7000000000000001E-2</v>
      </c>
      <c r="Y780" s="792">
        <f t="shared" si="747"/>
        <v>-5.0000000000000001E-3</v>
      </c>
      <c r="Z780" s="792">
        <f t="shared" si="747"/>
        <v>-4.0000000000000001E-3</v>
      </c>
      <c r="AA780" s="792">
        <f t="shared" si="747"/>
        <v>-8.9999999999999993E-3</v>
      </c>
      <c r="AB780" s="792">
        <f t="shared" si="747"/>
        <v>-7.0000000000000001E-3</v>
      </c>
      <c r="AC780" s="792">
        <f t="shared" si="747"/>
        <v>-7.0000000000000001E-3</v>
      </c>
      <c r="AD780" s="792">
        <f>+AD301</f>
        <v>-7.0000000000000001E-3</v>
      </c>
      <c r="AE780" s="792">
        <f>+AE301</f>
        <v>-7.0000000000000001E-3</v>
      </c>
    </row>
    <row r="781" spans="1:113" s="1327" customFormat="1" ht="12.75" customHeight="1">
      <c r="A781" s="664"/>
      <c r="B781" s="664"/>
      <c r="C781" s="782" t="s">
        <v>1767</v>
      </c>
      <c r="D781" s="674" t="s">
        <v>688</v>
      </c>
      <c r="E781" s="1025" t="s">
        <v>487</v>
      </c>
      <c r="F781" s="704" t="s">
        <v>1366</v>
      </c>
      <c r="G781" s="1019">
        <f t="shared" ref="G781:AC781" si="748">+G399</f>
        <v>0</v>
      </c>
      <c r="H781" s="1019">
        <f t="shared" si="748"/>
        <v>0</v>
      </c>
      <c r="I781" s="1019">
        <f t="shared" si="748"/>
        <v>0</v>
      </c>
      <c r="J781" s="1019">
        <f t="shared" si="748"/>
        <v>0</v>
      </c>
      <c r="K781" s="1019">
        <f t="shared" si="748"/>
        <v>0</v>
      </c>
      <c r="L781" s="1019">
        <f t="shared" si="748"/>
        <v>0</v>
      </c>
      <c r="M781" s="1019">
        <f t="shared" si="748"/>
        <v>0</v>
      </c>
      <c r="N781" s="1019">
        <f t="shared" si="748"/>
        <v>0</v>
      </c>
      <c r="O781" s="1019">
        <f t="shared" si="748"/>
        <v>0</v>
      </c>
      <c r="P781" s="1019">
        <f t="shared" si="748"/>
        <v>0</v>
      </c>
      <c r="Q781" s="1019">
        <f t="shared" si="748"/>
        <v>0</v>
      </c>
      <c r="R781" s="1019">
        <f t="shared" si="748"/>
        <v>0</v>
      </c>
      <c r="S781" s="1019">
        <f t="shared" si="748"/>
        <v>0</v>
      </c>
      <c r="T781" s="1019">
        <f t="shared" si="748"/>
        <v>0</v>
      </c>
      <c r="U781" s="1019">
        <f t="shared" si="748"/>
        <v>0</v>
      </c>
      <c r="V781" s="3012">
        <f t="shared" si="748"/>
        <v>0</v>
      </c>
      <c r="W781" s="3012">
        <f t="shared" si="748"/>
        <v>0</v>
      </c>
      <c r="X781" s="3012">
        <f t="shared" si="748"/>
        <v>0</v>
      </c>
      <c r="Y781" s="3012">
        <f t="shared" si="748"/>
        <v>0</v>
      </c>
      <c r="Z781" s="3012">
        <f t="shared" si="748"/>
        <v>0</v>
      </c>
      <c r="AA781" s="3012">
        <f t="shared" si="748"/>
        <v>0</v>
      </c>
      <c r="AB781" s="3012">
        <f t="shared" si="748"/>
        <v>0</v>
      </c>
      <c r="AC781" s="3012">
        <f t="shared" si="748"/>
        <v>0</v>
      </c>
      <c r="AD781" s="3012">
        <f>+AD399</f>
        <v>0</v>
      </c>
      <c r="AE781" s="3012">
        <f>+AE399</f>
        <v>0</v>
      </c>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row>
    <row r="782" spans="1:113" ht="12.75" customHeight="1">
      <c r="A782" s="664"/>
      <c r="B782" s="664">
        <v>141</v>
      </c>
      <c r="C782" s="784" t="s">
        <v>1769</v>
      </c>
      <c r="D782" s="752" t="s">
        <v>688</v>
      </c>
      <c r="E782" s="785" t="s">
        <v>1004</v>
      </c>
      <c r="F782" s="754" t="s">
        <v>839</v>
      </c>
      <c r="G782" s="785" t="e">
        <f t="shared" ref="G782:Q782" si="749">+G777-G778-G779-G780+G781</f>
        <v>#VALUE!</v>
      </c>
      <c r="H782" s="785" t="e">
        <f t="shared" si="749"/>
        <v>#VALUE!</v>
      </c>
      <c r="I782" s="785" t="e">
        <f t="shared" si="749"/>
        <v>#VALUE!</v>
      </c>
      <c r="J782" s="785" t="e">
        <f t="shared" si="749"/>
        <v>#VALUE!</v>
      </c>
      <c r="K782" s="785" t="e">
        <f t="shared" si="749"/>
        <v>#VALUE!</v>
      </c>
      <c r="L782" s="785" t="e">
        <f t="shared" si="749"/>
        <v>#VALUE!</v>
      </c>
      <c r="M782" s="785" t="e">
        <f t="shared" si="749"/>
        <v>#VALUE!</v>
      </c>
      <c r="N782" s="785" t="e">
        <f t="shared" si="749"/>
        <v>#VALUE!</v>
      </c>
      <c r="O782" s="785" t="e">
        <f t="shared" si="749"/>
        <v>#VALUE!</v>
      </c>
      <c r="P782" s="785" t="e">
        <f t="shared" si="749"/>
        <v>#VALUE!</v>
      </c>
      <c r="Q782" s="785" t="e">
        <f t="shared" si="749"/>
        <v>#VALUE!</v>
      </c>
      <c r="R782" s="785" t="e">
        <f t="shared" ref="R782:Y782" si="750">+R777-R778-R779-R780+R781</f>
        <v>#VALUE!</v>
      </c>
      <c r="S782" s="785" t="e">
        <f t="shared" si="750"/>
        <v>#VALUE!</v>
      </c>
      <c r="T782" s="785">
        <f>+T777-T778-T779-T780+T781</f>
        <v>0.59499999999999997</v>
      </c>
      <c r="U782" s="785">
        <f>+U777-U778-U779-U780+U781</f>
        <v>0.52100000000000002</v>
      </c>
      <c r="V782" s="3174">
        <f>+V777-V778-V779-V780+V781</f>
        <v>0.95899999999999996</v>
      </c>
      <c r="W782" s="3227">
        <f t="shared" si="750"/>
        <v>0.748</v>
      </c>
      <c r="X782" s="3227">
        <f t="shared" si="750"/>
        <v>0.40400000000000003</v>
      </c>
      <c r="Y782" s="844">
        <f t="shared" si="750"/>
        <v>0.97199999999999998</v>
      </c>
      <c r="Z782" s="844">
        <f t="shared" ref="Z782:AE782" si="751">+Z777-Z778-Z779-Z780+Z781</f>
        <v>1.1689999999999998</v>
      </c>
      <c r="AA782" s="3264">
        <f t="shared" si="751"/>
        <v>0.94600000000000006</v>
      </c>
      <c r="AB782" s="3264">
        <f t="shared" si="751"/>
        <v>0.78807999999999978</v>
      </c>
      <c r="AC782" s="844">
        <f t="shared" si="751"/>
        <v>0.81649840799999984</v>
      </c>
      <c r="AD782" s="844">
        <f t="shared" si="751"/>
        <v>0.85340506867999966</v>
      </c>
      <c r="AE782" s="844">
        <f t="shared" si="751"/>
        <v>0.88819322619779961</v>
      </c>
    </row>
    <row r="783" spans="1:113" s="1976" customFormat="1" ht="12.75" customHeight="1">
      <c r="A783" s="664">
        <f>+ROW(InputY!A95)</f>
        <v>95</v>
      </c>
      <c r="B783" s="998"/>
      <c r="C783" s="1595"/>
      <c r="D783" s="1975" t="s">
        <v>688</v>
      </c>
      <c r="E783" s="1973" t="s">
        <v>1954</v>
      </c>
      <c r="F783" s="1974" t="s">
        <v>1953</v>
      </c>
      <c r="G783" s="1002">
        <f>IF(+InputY!G95=":",G782,+InputY!G95/1000)</f>
        <v>0.12668000000000001</v>
      </c>
      <c r="H783" s="1002">
        <f>IF(+InputY!H95=":",H782,+InputY!H95/1000)</f>
        <v>0.16656000000000001</v>
      </c>
      <c r="I783" s="1002">
        <f>IF(+InputY!I95=":",I782,+InputY!I95/1000)</f>
        <v>0.26649</v>
      </c>
      <c r="J783" s="1002">
        <f>IF(+InputY!J95=":",J782,+InputY!J95/1000)</f>
        <v>0.27223999999999998</v>
      </c>
      <c r="K783" s="1002">
        <f>IF(+InputY!K95=":",K782,+InputY!K95/1000)</f>
        <v>0.21375999999999998</v>
      </c>
      <c r="L783" s="1002">
        <f>IF(+InputY!L95=":",L782,+InputY!L95/1000)</f>
        <v>0.28448000000000001</v>
      </c>
      <c r="M783" s="1002">
        <f>IF(+InputY!M95=":",M782,+InputY!M95/1000)</f>
        <v>0.29388999999999998</v>
      </c>
      <c r="N783" s="1002">
        <f>IF(+InputY!N95=":",N782,+InputY!N95/1000)</f>
        <v>0.23288999999999999</v>
      </c>
      <c r="O783" s="1002">
        <f>IF(+InputY!O95=":",O782,+InputY!O95/1000)</f>
        <v>0.24753999999999998</v>
      </c>
      <c r="P783" s="1002">
        <f>IF(+InputY!P95=":",P782,+InputY!P95/1000)</f>
        <v>0.28942000000000001</v>
      </c>
      <c r="Q783" s="1002">
        <f>IF(+InputY!Q95=":",Q782,+InputY!Q95/1000)</f>
        <v>0.32069999999999999</v>
      </c>
      <c r="R783" s="1002">
        <f>IF(+InputY!R95=":",R782,+InputY!R95/1000)</f>
        <v>0.47420000000000001</v>
      </c>
      <c r="S783" s="1002">
        <f>IF(+InputY!S95=":",S782,+InputY!S95/1000)</f>
        <v>0.57191999999999998</v>
      </c>
      <c r="T783" s="1002">
        <f>IF(+InputY!T95=":",T782,+InputY!T95/1000)</f>
        <v>0.59599000000000002</v>
      </c>
      <c r="U783" s="1002">
        <f>IF(+InputY!U95=":",U782,+InputY!U95/1000)</f>
        <v>0.52457000000000009</v>
      </c>
      <c r="V783" s="2904">
        <f>IF(+InputY!V95=":",V782,+InputY!V95/1000)</f>
        <v>0.95971000000000006</v>
      </c>
      <c r="W783" s="2904">
        <f>IF(+InputY!W95=":",W782,+InputY!W95/1000)</f>
        <v>0.74812999999999996</v>
      </c>
      <c r="X783" s="3145">
        <f>IF(+InputY!X95=":",X782,+InputY!X95/1000)</f>
        <v>0.40350999999999998</v>
      </c>
      <c r="Y783" s="2904">
        <f>IF(+InputY!Y95=":",Y782,+InputY!Y95/1000)</f>
        <v>0.97036</v>
      </c>
      <c r="Z783" s="2904">
        <f>IF(+InputY!Z95=":",Z782,+InputY!Z95/1000)</f>
        <v>1.17018</v>
      </c>
      <c r="AA783" s="2904">
        <f>IF(+InputY!AA95=":",AA782,+InputY!AA95/1000)</f>
        <v>0.94603999999999999</v>
      </c>
      <c r="AB783" s="2904">
        <f>IF(+InputY!AB95=":",AB782,+InputY!AB95/1000)</f>
        <v>0.78937999999999997</v>
      </c>
      <c r="AC783" s="2904">
        <f>IF(+InputY!AC95=":",AC782,+InputY!AC95/1000)</f>
        <v>0.81649840799999984</v>
      </c>
      <c r="AD783" s="2904">
        <f>IF(+InputY!AD95=":",AD782,+InputY!AD95/1000)</f>
        <v>0.85340506867999966</v>
      </c>
      <c r="AE783" s="2904">
        <f>IF(+InputY!AE95=":",AE782,+InputY!AE95/1000)</f>
        <v>0.88819322619779961</v>
      </c>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row>
    <row r="784" spans="1:113" s="1976" customFormat="1" ht="12.75" customHeight="1">
      <c r="A784" s="998"/>
      <c r="B784" s="998"/>
      <c r="C784" s="1595"/>
      <c r="D784" s="1975"/>
      <c r="E784" s="1973" t="s">
        <v>737</v>
      </c>
      <c r="F784" s="1974"/>
      <c r="G784" s="1002" t="e">
        <f t="shared" ref="G784:Q784" si="752">ABS(G782-G783)</f>
        <v>#VALUE!</v>
      </c>
      <c r="H784" s="1002" t="e">
        <f t="shared" si="752"/>
        <v>#VALUE!</v>
      </c>
      <c r="I784" s="1002" t="e">
        <f t="shared" si="752"/>
        <v>#VALUE!</v>
      </c>
      <c r="J784" s="1002" t="e">
        <f t="shared" si="752"/>
        <v>#VALUE!</v>
      </c>
      <c r="K784" s="1002" t="e">
        <f t="shared" si="752"/>
        <v>#VALUE!</v>
      </c>
      <c r="L784" s="1002" t="e">
        <f t="shared" si="752"/>
        <v>#VALUE!</v>
      </c>
      <c r="M784" s="1002" t="e">
        <f t="shared" si="752"/>
        <v>#VALUE!</v>
      </c>
      <c r="N784" s="1002" t="e">
        <f t="shared" si="752"/>
        <v>#VALUE!</v>
      </c>
      <c r="O784" s="1002" t="e">
        <f t="shared" si="752"/>
        <v>#VALUE!</v>
      </c>
      <c r="P784" s="1002" t="e">
        <f t="shared" si="752"/>
        <v>#VALUE!</v>
      </c>
      <c r="Q784" s="1002" t="e">
        <f t="shared" si="752"/>
        <v>#VALUE!</v>
      </c>
      <c r="R784" s="1002" t="e">
        <f t="shared" ref="R784:Y784" si="753">ABS(R782-R783)</f>
        <v>#VALUE!</v>
      </c>
      <c r="S784" s="1002" t="e">
        <f t="shared" si="753"/>
        <v>#VALUE!</v>
      </c>
      <c r="T784" s="1002">
        <f>ABS(T782-T783)</f>
        <v>9.900000000000464E-4</v>
      </c>
      <c r="U784" s="1002">
        <f>ABS(U782-U783)</f>
        <v>3.5700000000000731E-3</v>
      </c>
      <c r="V784" s="2904">
        <f>ABS(V782-V783)</f>
        <v>7.1000000000009944E-4</v>
      </c>
      <c r="W784" s="3217">
        <f t="shared" si="753"/>
        <v>1.2999999999996348E-4</v>
      </c>
      <c r="X784" s="2904">
        <f t="shared" si="753"/>
        <v>4.9000000000004595E-4</v>
      </c>
      <c r="Y784" s="2904">
        <f t="shared" si="753"/>
        <v>1.6399999999999748E-3</v>
      </c>
      <c r="Z784" s="2904">
        <f t="shared" ref="Z784:AE784" si="754">ABS(Z782-Z783)</f>
        <v>1.1800000000001809E-3</v>
      </c>
      <c r="AA784" s="2904">
        <f t="shared" si="754"/>
        <v>3.9999999999928981E-5</v>
      </c>
      <c r="AB784" s="3130">
        <f t="shared" si="754"/>
        <v>1.3000000000001899E-3</v>
      </c>
      <c r="AC784" s="2904">
        <f t="shared" si="754"/>
        <v>0</v>
      </c>
      <c r="AD784" s="2904">
        <f t="shared" si="754"/>
        <v>0</v>
      </c>
      <c r="AE784" s="2904">
        <f t="shared" si="754"/>
        <v>0</v>
      </c>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row>
    <row r="785" spans="1:113">
      <c r="Q785" s="699"/>
      <c r="R785" s="699"/>
      <c r="S785" s="699"/>
      <c r="T785" s="699"/>
      <c r="U785" s="699"/>
      <c r="V785" s="843"/>
      <c r="W785" s="843"/>
      <c r="X785" s="843"/>
      <c r="Y785" s="843"/>
      <c r="Z785" s="843"/>
      <c r="AA785" s="843"/>
      <c r="AB785" s="843"/>
      <c r="AC785" s="843"/>
      <c r="AD785" s="843"/>
      <c r="AE785" s="843"/>
    </row>
    <row r="786" spans="1:113" ht="12.75" customHeight="1">
      <c r="A786" s="664"/>
      <c r="B786" s="664"/>
      <c r="C786" s="774"/>
      <c r="D786" s="775"/>
      <c r="E786" s="776" t="s">
        <v>1384</v>
      </c>
      <c r="F786" s="777"/>
      <c r="G786" s="778">
        <f>+InputY!$G$3</f>
        <v>1995</v>
      </c>
      <c r="H786" s="778">
        <f>+G786+1</f>
        <v>1996</v>
      </c>
      <c r="I786" s="778">
        <f t="shared" ref="I786:O786" si="755">+H786+1</f>
        <v>1997</v>
      </c>
      <c r="J786" s="778">
        <f t="shared" si="755"/>
        <v>1998</v>
      </c>
      <c r="K786" s="778">
        <f>+J786+1</f>
        <v>1999</v>
      </c>
      <c r="L786" s="778">
        <f t="shared" si="755"/>
        <v>2000</v>
      </c>
      <c r="M786" s="778">
        <f t="shared" si="755"/>
        <v>2001</v>
      </c>
      <c r="N786" s="778">
        <f t="shared" si="755"/>
        <v>2002</v>
      </c>
      <c r="O786" s="778">
        <f t="shared" si="755"/>
        <v>2003</v>
      </c>
      <c r="P786" s="778">
        <f>+O786+1</f>
        <v>2004</v>
      </c>
      <c r="Q786" s="778">
        <f>+P786+1</f>
        <v>2005</v>
      </c>
      <c r="R786" s="778">
        <f>+Q786+1</f>
        <v>2006</v>
      </c>
      <c r="S786" s="778">
        <f t="shared" ref="S786:X786" si="756">+R786+1</f>
        <v>2007</v>
      </c>
      <c r="T786" s="778">
        <f t="shared" si="756"/>
        <v>2008</v>
      </c>
      <c r="U786" s="778">
        <f t="shared" si="756"/>
        <v>2009</v>
      </c>
      <c r="V786" s="778">
        <f t="shared" si="756"/>
        <v>2010</v>
      </c>
      <c r="W786" s="778">
        <f t="shared" si="756"/>
        <v>2011</v>
      </c>
      <c r="X786" s="778">
        <f t="shared" si="756"/>
        <v>2012</v>
      </c>
      <c r="Y786" s="778">
        <f t="shared" ref="Y786:AE786" si="757">+X786+1</f>
        <v>2013</v>
      </c>
      <c r="Z786" s="778">
        <f t="shared" si="757"/>
        <v>2014</v>
      </c>
      <c r="AA786" s="778">
        <f t="shared" si="757"/>
        <v>2015</v>
      </c>
      <c r="AB786" s="778">
        <f t="shared" si="757"/>
        <v>2016</v>
      </c>
      <c r="AC786" s="778">
        <f t="shared" si="757"/>
        <v>2017</v>
      </c>
      <c r="AD786" s="778">
        <f t="shared" si="757"/>
        <v>2018</v>
      </c>
      <c r="AE786" s="778">
        <f t="shared" si="757"/>
        <v>2019</v>
      </c>
    </row>
    <row r="787" spans="1:113" ht="12.75" customHeight="1">
      <c r="A787" s="664"/>
      <c r="B787" s="664"/>
      <c r="C787" s="779" t="s">
        <v>1767</v>
      </c>
      <c r="D787" s="668" t="s">
        <v>688</v>
      </c>
      <c r="E787" s="780" t="s">
        <v>206</v>
      </c>
      <c r="F787" s="701" t="s">
        <v>1477</v>
      </c>
      <c r="G787" s="780">
        <f t="shared" ref="G787:AC787" si="758">+G490</f>
        <v>-4.5170000000000002E-2</v>
      </c>
      <c r="H787" s="780">
        <f t="shared" si="758"/>
        <v>6.3699999999999998E-3</v>
      </c>
      <c r="I787" s="780">
        <f t="shared" si="758"/>
        <v>4.7699999999999999E-3</v>
      </c>
      <c r="J787" s="780">
        <f t="shared" si="758"/>
        <v>-1.98E-3</v>
      </c>
      <c r="K787" s="780">
        <f t="shared" si="758"/>
        <v>-3.81E-3</v>
      </c>
      <c r="L787" s="780">
        <f t="shared" si="758"/>
        <v>2.49E-3</v>
      </c>
      <c r="M787" s="780">
        <f t="shared" si="758"/>
        <v>1.6100000000000001E-3</v>
      </c>
      <c r="N787" s="780">
        <f t="shared" si="758"/>
        <v>5.9020000000000003E-2</v>
      </c>
      <c r="O787" s="780">
        <f t="shared" si="758"/>
        <v>5.9359999999999996E-2</v>
      </c>
      <c r="P787" s="780">
        <f t="shared" si="758"/>
        <v>0.12966999999999998</v>
      </c>
      <c r="Q787" s="780">
        <f t="shared" si="758"/>
        <v>0.20397000000000001</v>
      </c>
      <c r="R787" s="780">
        <f t="shared" si="758"/>
        <v>0.35857</v>
      </c>
      <c r="S787" s="780">
        <f t="shared" si="758"/>
        <v>0.61141999999999996</v>
      </c>
      <c r="T787" s="780">
        <f t="shared" si="758"/>
        <v>0.61907000000000001</v>
      </c>
      <c r="U787" s="780">
        <f t="shared" si="758"/>
        <v>1.15822</v>
      </c>
      <c r="V787" s="846">
        <f t="shared" si="758"/>
        <v>1.0577999999999999</v>
      </c>
      <c r="W787" s="846">
        <f t="shared" si="758"/>
        <v>1.0038099999999999</v>
      </c>
      <c r="X787" s="846">
        <f t="shared" si="758"/>
        <v>0.96409</v>
      </c>
      <c r="Y787" s="846">
        <f t="shared" si="758"/>
        <v>1.0888499999999999</v>
      </c>
      <c r="Z787" s="846">
        <f t="shared" si="758"/>
        <v>0.97573999999999994</v>
      </c>
      <c r="AA787" s="846">
        <f t="shared" si="758"/>
        <v>1.1172599999999999</v>
      </c>
      <c r="AB787" s="3686">
        <f t="shared" si="758"/>
        <v>0.56872</v>
      </c>
      <c r="AC787" s="846">
        <f t="shared" si="758"/>
        <v>0.45054839999999996</v>
      </c>
      <c r="AD787" s="846">
        <f>+AD490</f>
        <v>0.54727231399999998</v>
      </c>
      <c r="AE787" s="846">
        <f>+AE490</f>
        <v>0.52810883385999996</v>
      </c>
    </row>
    <row r="788" spans="1:113" ht="12.75" customHeight="1">
      <c r="A788" s="664"/>
      <c r="B788" s="664"/>
      <c r="C788" s="782" t="s">
        <v>1767</v>
      </c>
      <c r="D788" s="674" t="s">
        <v>688</v>
      </c>
      <c r="E788" s="1025" t="s">
        <v>375</v>
      </c>
      <c r="F788" s="704" t="s">
        <v>887</v>
      </c>
      <c r="G788" s="1019" t="e">
        <f t="shared" ref="G788:AC788" si="759">+G522</f>
        <v>#VALUE!</v>
      </c>
      <c r="H788" s="1019" t="e">
        <f t="shared" si="759"/>
        <v>#VALUE!</v>
      </c>
      <c r="I788" s="1019" t="e">
        <f t="shared" si="759"/>
        <v>#VALUE!</v>
      </c>
      <c r="J788" s="1019" t="e">
        <f t="shared" si="759"/>
        <v>#VALUE!</v>
      </c>
      <c r="K788" s="1019" t="e">
        <f t="shared" si="759"/>
        <v>#VALUE!</v>
      </c>
      <c r="L788" s="1019" t="e">
        <f t="shared" si="759"/>
        <v>#VALUE!</v>
      </c>
      <c r="M788" s="1019" t="e">
        <f t="shared" si="759"/>
        <v>#VALUE!</v>
      </c>
      <c r="N788" s="1019" t="e">
        <f t="shared" si="759"/>
        <v>#VALUE!</v>
      </c>
      <c r="O788" s="1019" t="e">
        <f t="shared" si="759"/>
        <v>#VALUE!</v>
      </c>
      <c r="P788" s="1019" t="e">
        <f t="shared" si="759"/>
        <v>#VALUE!</v>
      </c>
      <c r="Q788" s="1019" t="e">
        <f t="shared" si="759"/>
        <v>#VALUE!</v>
      </c>
      <c r="R788" s="1019" t="e">
        <f t="shared" si="759"/>
        <v>#VALUE!</v>
      </c>
      <c r="S788" s="1019" t="e">
        <f t="shared" si="759"/>
        <v>#VALUE!</v>
      </c>
      <c r="T788" s="1019">
        <f t="shared" si="759"/>
        <v>0</v>
      </c>
      <c r="U788" s="1019">
        <f t="shared" si="759"/>
        <v>0</v>
      </c>
      <c r="V788" s="3012">
        <f t="shared" si="759"/>
        <v>-9.9999999999995925E-6</v>
      </c>
      <c r="W788" s="3012">
        <f t="shared" si="759"/>
        <v>0</v>
      </c>
      <c r="X788" s="3012">
        <f t="shared" si="759"/>
        <v>9.9999999999961231E-6</v>
      </c>
      <c r="Y788" s="3012">
        <f t="shared" si="759"/>
        <v>0</v>
      </c>
      <c r="Z788" s="3012">
        <f t="shared" si="759"/>
        <v>-9.9999999999961231E-6</v>
      </c>
      <c r="AA788" s="3012">
        <f t="shared" si="759"/>
        <v>0</v>
      </c>
      <c r="AB788" s="1519">
        <f>+AB522</f>
        <v>0</v>
      </c>
      <c r="AC788" s="3012">
        <f t="shared" si="759"/>
        <v>-2.792E-2</v>
      </c>
      <c r="AD788" s="3012">
        <f>+AD522</f>
        <v>-2.792E-2</v>
      </c>
      <c r="AE788" s="3012">
        <f>+AE522</f>
        <v>-2.792E-2</v>
      </c>
    </row>
    <row r="789" spans="1:113" ht="12.75" customHeight="1">
      <c r="A789" s="664"/>
      <c r="B789" s="664">
        <v>142</v>
      </c>
      <c r="C789" s="784" t="s">
        <v>1769</v>
      </c>
      <c r="D789" s="752" t="s">
        <v>688</v>
      </c>
      <c r="E789" s="1026" t="s">
        <v>2103</v>
      </c>
      <c r="F789" s="754" t="s">
        <v>886</v>
      </c>
      <c r="G789" s="785" t="e">
        <f>+G787+G788</f>
        <v>#VALUE!</v>
      </c>
      <c r="H789" s="785" t="e">
        <f t="shared" ref="H789:Q789" si="760">+H787+H788</f>
        <v>#VALUE!</v>
      </c>
      <c r="I789" s="785" t="e">
        <f t="shared" si="760"/>
        <v>#VALUE!</v>
      </c>
      <c r="J789" s="785" t="e">
        <f t="shared" si="760"/>
        <v>#VALUE!</v>
      </c>
      <c r="K789" s="785" t="e">
        <f t="shared" si="760"/>
        <v>#VALUE!</v>
      </c>
      <c r="L789" s="785" t="e">
        <f t="shared" si="760"/>
        <v>#VALUE!</v>
      </c>
      <c r="M789" s="785" t="e">
        <f t="shared" si="760"/>
        <v>#VALUE!</v>
      </c>
      <c r="N789" s="785" t="e">
        <f t="shared" si="760"/>
        <v>#VALUE!</v>
      </c>
      <c r="O789" s="785" t="e">
        <f t="shared" si="760"/>
        <v>#VALUE!</v>
      </c>
      <c r="P789" s="785" t="e">
        <f t="shared" si="760"/>
        <v>#VALUE!</v>
      </c>
      <c r="Q789" s="785" t="e">
        <f t="shared" si="760"/>
        <v>#VALUE!</v>
      </c>
      <c r="R789" s="785" t="e">
        <f t="shared" ref="R789:Y789" si="761">+R787+R788</f>
        <v>#VALUE!</v>
      </c>
      <c r="S789" s="785" t="e">
        <f t="shared" si="761"/>
        <v>#VALUE!</v>
      </c>
      <c r="T789" s="785">
        <f>+T787+T788</f>
        <v>0.61907000000000001</v>
      </c>
      <c r="U789" s="785">
        <f>+U787+U788</f>
        <v>1.15822</v>
      </c>
      <c r="V789" s="844">
        <f t="shared" si="761"/>
        <v>1.0577899999999998</v>
      </c>
      <c r="W789" s="844">
        <f t="shared" si="761"/>
        <v>1.0038099999999999</v>
      </c>
      <c r="X789" s="3264">
        <f t="shared" si="761"/>
        <v>0.96409999999999996</v>
      </c>
      <c r="Y789" s="844">
        <f t="shared" si="761"/>
        <v>1.0888499999999999</v>
      </c>
      <c r="Z789" s="844">
        <f t="shared" ref="Z789:AE789" si="762">+Z787+Z788</f>
        <v>0.97572999999999999</v>
      </c>
      <c r="AA789" s="3264">
        <f t="shared" si="762"/>
        <v>1.1172599999999999</v>
      </c>
      <c r="AB789" s="3685">
        <f t="shared" si="762"/>
        <v>0.56872</v>
      </c>
      <c r="AC789" s="844">
        <f t="shared" si="762"/>
        <v>0.42262839999999996</v>
      </c>
      <c r="AD789" s="844">
        <f t="shared" si="762"/>
        <v>0.51935231400000004</v>
      </c>
      <c r="AE789" s="844">
        <f t="shared" si="762"/>
        <v>0.50018883386000002</v>
      </c>
    </row>
    <row r="790" spans="1:113" s="1976" customFormat="1" ht="12.75" customHeight="1">
      <c r="A790" s="664">
        <f>+ROW(InputY!A96)</f>
        <v>96</v>
      </c>
      <c r="B790" s="998"/>
      <c r="C790" s="1595"/>
      <c r="D790" s="1975" t="s">
        <v>688</v>
      </c>
      <c r="E790" s="1973" t="s">
        <v>1954</v>
      </c>
      <c r="F790" s="1974" t="s">
        <v>1953</v>
      </c>
      <c r="G790" s="1002">
        <f>IF(+InputY!G96=":",G789,+InputY!G96/1000)</f>
        <v>-4.5170000000000002E-2</v>
      </c>
      <c r="H790" s="1002">
        <f>IF(+InputY!H96=":",H789,+InputY!H96/1000)</f>
        <v>6.3699999999999998E-3</v>
      </c>
      <c r="I790" s="1002">
        <f>IF(+InputY!I96=":",I789,+InputY!I96/1000)</f>
        <v>4.7699999999999999E-3</v>
      </c>
      <c r="J790" s="1002">
        <f>IF(+InputY!J96=":",J789,+InputY!J96/1000)</f>
        <v>-1.98E-3</v>
      </c>
      <c r="K790" s="1002">
        <f>IF(+InputY!K96=":",K789,+InputY!K96/1000)</f>
        <v>-3.81E-3</v>
      </c>
      <c r="L790" s="1002">
        <f>IF(+InputY!L96=":",L789,+InputY!L96/1000)</f>
        <v>2.49E-3</v>
      </c>
      <c r="M790" s="1002">
        <f>IF(+InputY!M96=":",M789,+InputY!M96/1000)</f>
        <v>1.6100000000000001E-3</v>
      </c>
      <c r="N790" s="1002">
        <f>IF(+InputY!N96=":",N789,+InputY!N96/1000)</f>
        <v>5.9020000000000003E-2</v>
      </c>
      <c r="O790" s="1002">
        <f>IF(+InputY!O96=":",O789,+InputY!O96/1000)</f>
        <v>5.9359999999999996E-2</v>
      </c>
      <c r="P790" s="1002">
        <f>IF(+InputY!P96=":",P789,+InputY!P96/1000)</f>
        <v>0.12966999999999998</v>
      </c>
      <c r="Q790" s="1002">
        <f>IF(+InputY!Q96=":",Q789,+InputY!Q96/1000)</f>
        <v>0.20397000000000001</v>
      </c>
      <c r="R790" s="1002">
        <f>IF(+InputY!R96=":",R789,+InputY!R96/1000)</f>
        <v>0.35857</v>
      </c>
      <c r="S790" s="1002">
        <f>IF(+InputY!S96=":",S789,+InputY!S96/1000)</f>
        <v>0.61141999999999996</v>
      </c>
      <c r="T790" s="1002">
        <f>IF(+InputY!T96=":",T789,+InputY!T96/1000)</f>
        <v>0.61907000000000001</v>
      </c>
      <c r="U790" s="1002">
        <f>IF(+InputY!U96=":",U789,+InputY!U96/1000)</f>
        <v>1.15822</v>
      </c>
      <c r="V790" s="2904">
        <f>IF(+InputY!V96=":",V789,+InputY!V96/1000)</f>
        <v>1.0577999999999999</v>
      </c>
      <c r="W790" s="2904">
        <f>IF(+InputY!W96=":",W789,+InputY!W96/1000)</f>
        <v>1.0038099999999999</v>
      </c>
      <c r="X790" s="2904">
        <f>IF(+InputY!X96=":",X789,+InputY!X96/1000)</f>
        <v>0.96409</v>
      </c>
      <c r="Y790" s="2904">
        <f>IF(+InputY!Y96=":",Y789,+InputY!Y96/1000)</f>
        <v>1.0888699999999998</v>
      </c>
      <c r="Z790" s="2904">
        <f>IF(+InputY!Z96=":",Z789,+InputY!Z96/1000)</f>
        <v>0.97572000000000003</v>
      </c>
      <c r="AA790" s="2904">
        <f>IF(+InputY!AA96=":",AA789,+InputY!AA96/1000)</f>
        <v>1.11727</v>
      </c>
      <c r="AB790" s="3217">
        <f>IF(+InputY!AB96=":",AB789,+InputY!AB96/1000)</f>
        <v>0.56872</v>
      </c>
      <c r="AC790" s="2904">
        <f>IF(+InputY!AC96=":",AC789,+InputY!AC96/1000)</f>
        <v>0.42262839999999996</v>
      </c>
      <c r="AD790" s="2904">
        <f>IF(+InputY!AD96=":",AD789,+InputY!AD96/1000)</f>
        <v>0.51935231400000004</v>
      </c>
      <c r="AE790" s="2904">
        <f>IF(+InputY!AE96=":",AE789,+InputY!AE96/1000)</f>
        <v>0.50018883386000002</v>
      </c>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row>
    <row r="791" spans="1:113" s="1976" customFormat="1" ht="12.75" customHeight="1">
      <c r="A791" s="998"/>
      <c r="B791" s="998"/>
      <c r="C791" s="1595"/>
      <c r="D791" s="1975"/>
      <c r="E791" s="1973" t="s">
        <v>737</v>
      </c>
      <c r="F791" s="1974"/>
      <c r="G791" s="1002" t="e">
        <f t="shared" ref="G791:Q791" si="763">ABS(G789-G790)</f>
        <v>#VALUE!</v>
      </c>
      <c r="H791" s="1002" t="e">
        <f t="shared" si="763"/>
        <v>#VALUE!</v>
      </c>
      <c r="I791" s="1002" t="e">
        <f t="shared" si="763"/>
        <v>#VALUE!</v>
      </c>
      <c r="J791" s="1002" t="e">
        <f t="shared" si="763"/>
        <v>#VALUE!</v>
      </c>
      <c r="K791" s="1002" t="e">
        <f t="shared" si="763"/>
        <v>#VALUE!</v>
      </c>
      <c r="L791" s="1002" t="e">
        <f t="shared" si="763"/>
        <v>#VALUE!</v>
      </c>
      <c r="M791" s="1002" t="e">
        <f t="shared" si="763"/>
        <v>#VALUE!</v>
      </c>
      <c r="N791" s="1002" t="e">
        <f t="shared" si="763"/>
        <v>#VALUE!</v>
      </c>
      <c r="O791" s="1002" t="e">
        <f t="shared" si="763"/>
        <v>#VALUE!</v>
      </c>
      <c r="P791" s="1002" t="e">
        <f t="shared" si="763"/>
        <v>#VALUE!</v>
      </c>
      <c r="Q791" s="1002" t="e">
        <f t="shared" si="763"/>
        <v>#VALUE!</v>
      </c>
      <c r="R791" s="1002" t="e">
        <f t="shared" ref="R791:Y791" si="764">ABS(R789-R790)</f>
        <v>#VALUE!</v>
      </c>
      <c r="S791" s="1002" t="e">
        <f t="shared" si="764"/>
        <v>#VALUE!</v>
      </c>
      <c r="T791" s="2209">
        <f>ABS(T789-T790)</f>
        <v>0</v>
      </c>
      <c r="U791" s="2209">
        <f>ABS(U789-U790)</f>
        <v>0</v>
      </c>
      <c r="V791" s="3217">
        <f t="shared" si="764"/>
        <v>1.0000000000065512E-5</v>
      </c>
      <c r="W791" s="3217">
        <f t="shared" si="764"/>
        <v>0</v>
      </c>
      <c r="X791" s="3217">
        <f t="shared" si="764"/>
        <v>9.9999999999544897E-6</v>
      </c>
      <c r="Y791" s="3217">
        <f t="shared" si="764"/>
        <v>1.9999999999908979E-5</v>
      </c>
      <c r="Z791" s="3217">
        <f t="shared" ref="Z791:AE791" si="765">ABS(Z789-Z790)</f>
        <v>9.9999999999544897E-6</v>
      </c>
      <c r="AA791" s="3217">
        <f t="shared" si="765"/>
        <v>1.0000000000065512E-5</v>
      </c>
      <c r="AB791" s="3217">
        <f t="shared" si="765"/>
        <v>0</v>
      </c>
      <c r="AC791" s="2904">
        <f t="shared" si="765"/>
        <v>0</v>
      </c>
      <c r="AD791" s="2904">
        <f t="shared" si="765"/>
        <v>0</v>
      </c>
      <c r="AE791" s="2904">
        <f t="shared" si="765"/>
        <v>0</v>
      </c>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row>
    <row r="792" spans="1:113">
      <c r="AB792" s="2221"/>
      <c r="AC792" s="2221"/>
      <c r="AD792" s="2221"/>
      <c r="AE792" s="2221"/>
    </row>
    <row r="793" spans="1:113" customFormat="1">
      <c r="B793" s="3701"/>
      <c r="C793" s="3701"/>
      <c r="D793" s="3701"/>
      <c r="E793" s="3701"/>
      <c r="F793" s="3701"/>
      <c r="G793" s="3701"/>
      <c r="H793" s="3701"/>
      <c r="I793" s="3701"/>
      <c r="J793" s="3701"/>
      <c r="K793" s="3701"/>
      <c r="AE793" s="3649"/>
    </row>
    <row r="794" spans="1:113" customFormat="1">
      <c r="B794" s="3701"/>
      <c r="C794" s="774"/>
      <c r="D794" s="775"/>
      <c r="E794" s="3270" t="s">
        <v>1384</v>
      </c>
      <c r="F794" s="3270"/>
      <c r="G794" s="3270">
        <f>+InputY!$G$3</f>
        <v>1995</v>
      </c>
      <c r="H794" s="3270">
        <f t="shared" ref="H794:AE794" si="766">+G794+1</f>
        <v>1996</v>
      </c>
      <c r="I794" s="3270">
        <f t="shared" si="766"/>
        <v>1997</v>
      </c>
      <c r="J794" s="3270">
        <f t="shared" si="766"/>
        <v>1998</v>
      </c>
      <c r="K794" s="3270">
        <f t="shared" si="766"/>
        <v>1999</v>
      </c>
      <c r="L794" s="3270">
        <f t="shared" si="766"/>
        <v>2000</v>
      </c>
      <c r="M794" s="3270">
        <f t="shared" si="766"/>
        <v>2001</v>
      </c>
      <c r="N794" s="3270">
        <f t="shared" si="766"/>
        <v>2002</v>
      </c>
      <c r="O794" s="3270">
        <f t="shared" si="766"/>
        <v>2003</v>
      </c>
      <c r="P794" s="3270">
        <f t="shared" si="766"/>
        <v>2004</v>
      </c>
      <c r="Q794" s="3270">
        <f t="shared" si="766"/>
        <v>2005</v>
      </c>
      <c r="R794" s="3270">
        <f t="shared" si="766"/>
        <v>2006</v>
      </c>
      <c r="S794" s="3270">
        <f t="shared" si="766"/>
        <v>2007</v>
      </c>
      <c r="T794" s="3270">
        <f t="shared" si="766"/>
        <v>2008</v>
      </c>
      <c r="U794" s="3270">
        <f t="shared" si="766"/>
        <v>2009</v>
      </c>
      <c r="V794" s="3270">
        <f t="shared" si="766"/>
        <v>2010</v>
      </c>
      <c r="W794" s="3270">
        <f t="shared" si="766"/>
        <v>2011</v>
      </c>
      <c r="X794" s="3270">
        <f t="shared" si="766"/>
        <v>2012</v>
      </c>
      <c r="Y794" s="3270">
        <f t="shared" si="766"/>
        <v>2013</v>
      </c>
      <c r="Z794" s="3270">
        <f t="shared" si="766"/>
        <v>2014</v>
      </c>
      <c r="AA794" s="3270">
        <f t="shared" si="766"/>
        <v>2015</v>
      </c>
      <c r="AB794" s="3270">
        <f t="shared" si="766"/>
        <v>2016</v>
      </c>
      <c r="AC794" s="3270">
        <f t="shared" si="766"/>
        <v>2017</v>
      </c>
      <c r="AD794" s="3270">
        <f t="shared" si="766"/>
        <v>2018</v>
      </c>
      <c r="AE794" s="3270">
        <f t="shared" si="766"/>
        <v>2019</v>
      </c>
    </row>
    <row r="795" spans="1:113" customFormat="1">
      <c r="B795" s="3701"/>
      <c r="C795" s="779"/>
      <c r="D795" s="668" t="s">
        <v>688</v>
      </c>
      <c r="E795" s="780" t="s">
        <v>2498</v>
      </c>
      <c r="F795" s="701"/>
      <c r="G795" s="780" t="e">
        <f>'VVP2'!G331+Sector1!G772+Sector1!G782</f>
        <v>#VALUE!</v>
      </c>
      <c r="H795" s="780" t="e">
        <f>'VVP2'!H331+Sector1!H772+Sector1!H782</f>
        <v>#VALUE!</v>
      </c>
      <c r="I795" s="780" t="e">
        <f>'VVP2'!I331+Sector1!I772+Sector1!I782</f>
        <v>#VALUE!</v>
      </c>
      <c r="J795" s="780" t="e">
        <f>'VVP2'!J331+Sector1!J772+Sector1!J782</f>
        <v>#VALUE!</v>
      </c>
      <c r="K795" s="780" t="e">
        <f>'VVP2'!K331+Sector1!K772+Sector1!K782</f>
        <v>#VALUE!</v>
      </c>
      <c r="L795" s="780" t="e">
        <f>'VVP2'!L331+Sector1!L772+Sector1!L782</f>
        <v>#VALUE!</v>
      </c>
      <c r="M795" s="780" t="e">
        <f>'VVP2'!M331+Sector1!M772+Sector1!M782</f>
        <v>#VALUE!</v>
      </c>
      <c r="N795" s="780" t="e">
        <f>'VVP2'!N331+Sector1!N772+Sector1!N782</f>
        <v>#VALUE!</v>
      </c>
      <c r="O795" s="780" t="e">
        <f>'VVP2'!O331+Sector1!O772+Sector1!O782</f>
        <v>#VALUE!</v>
      </c>
      <c r="P795" s="780" t="e">
        <f>'VVP2'!P331+Sector1!P772+Sector1!P782</f>
        <v>#VALUE!</v>
      </c>
      <c r="Q795" s="780" t="e">
        <f>'VVP2'!Q331+Sector1!Q772+Sector1!Q782</f>
        <v>#VALUE!</v>
      </c>
      <c r="R795" s="780" t="e">
        <f>'VVP2'!R331+Sector1!R772+Sector1!R782</f>
        <v>#VALUE!</v>
      </c>
      <c r="S795" s="780" t="e">
        <f>'VVP2'!S331+Sector1!S772+Sector1!S782</f>
        <v>#VALUE!</v>
      </c>
      <c r="T795" s="780">
        <f>'VVP2'!T331+Sector1!T772+Sector1!T782</f>
        <v>-4.3574200000000003</v>
      </c>
      <c r="U795" s="780">
        <f>'VVP2'!U331+Sector1!U772+Sector1!U782</f>
        <v>0.52244999999999964</v>
      </c>
      <c r="V795" s="780">
        <f>'VVP2'!V331+Sector1!V772+Sector1!V782</f>
        <v>-0.16520999999999886</v>
      </c>
      <c r="W795" s="780">
        <f>'VVP2'!W331+Sector1!W772+Sector1!W782</f>
        <v>-1.2646600000000003</v>
      </c>
      <c r="X795" s="780">
        <f>'VVP2'!X331+Sector1!X772+Sector1!X782</f>
        <v>-0.35613999999999912</v>
      </c>
      <c r="Y795" s="780">
        <f>'VVP2'!Y331+Sector1!Y772+Sector1!Y782</f>
        <v>0.45424999999999882</v>
      </c>
      <c r="Z795" s="780">
        <f>'VVP2'!Z331+Sector1!Z772+Sector1!Z782</f>
        <v>1.4215200000000019</v>
      </c>
      <c r="AA795" s="780">
        <f>'VVP2'!AA331+Sector1!AA772+Sector1!AA782</f>
        <v>-0.78749000000000124</v>
      </c>
      <c r="AB795" s="780">
        <f>'VVP2'!AB331+Sector1!AB772+Sector1!AB782</f>
        <v>-0.25501999999999991</v>
      </c>
      <c r="AC795" s="780">
        <f>'VVP2'!AC331+Sector1!AC772+Sector1!AC782</f>
        <v>0.14305840799999514</v>
      </c>
      <c r="AD795" s="780">
        <f ca="1">'VVP2'!AD331+Sector1!AD772+Sector1!AD782</f>
        <v>-0.19902025200000661</v>
      </c>
      <c r="AE795" s="780">
        <f ca="1">'VVP2'!AE331+Sector1!AE772+Sector1!AE782</f>
        <v>-0.2625227012653919</v>
      </c>
    </row>
    <row r="796" spans="1:113" customFormat="1">
      <c r="B796" s="3701"/>
      <c r="C796" s="774"/>
      <c r="D796" s="806" t="s">
        <v>688</v>
      </c>
      <c r="E796" s="809" t="s">
        <v>2499</v>
      </c>
      <c r="F796" s="808"/>
      <c r="G796" s="841" t="e">
        <f>+G795/'VVP2'!G$341</f>
        <v>#VALUE!</v>
      </c>
      <c r="H796" s="841" t="e">
        <f>+H795/'VVP2'!H$341</f>
        <v>#VALUE!</v>
      </c>
      <c r="I796" s="841" t="e">
        <f>+I795/'VVP2'!I$341</f>
        <v>#VALUE!</v>
      </c>
      <c r="J796" s="841" t="e">
        <f>+J795/'VVP2'!J$341</f>
        <v>#VALUE!</v>
      </c>
      <c r="K796" s="841" t="e">
        <f>+K795/'VVP2'!K$341</f>
        <v>#VALUE!</v>
      </c>
      <c r="L796" s="841" t="e">
        <f>+L795/'VVP2'!L$341</f>
        <v>#VALUE!</v>
      </c>
      <c r="M796" s="841" t="e">
        <f>+M795/'VVP2'!M$341</f>
        <v>#VALUE!</v>
      </c>
      <c r="N796" s="841" t="e">
        <f>+N795/'VVP2'!N$341</f>
        <v>#VALUE!</v>
      </c>
      <c r="O796" s="841" t="e">
        <f>+O795/'VVP2'!O$341</f>
        <v>#VALUE!</v>
      </c>
      <c r="P796" s="841" t="e">
        <f>+P795/'VVP2'!P$341</f>
        <v>#VALUE!</v>
      </c>
      <c r="Q796" s="841" t="e">
        <f>+Q795/'VVP2'!Q$341</f>
        <v>#VALUE!</v>
      </c>
      <c r="R796" s="841" t="e">
        <f>+R795/'VVP2'!R$341</f>
        <v>#VALUE!</v>
      </c>
      <c r="S796" s="841" t="e">
        <f>+S795/'VVP2'!S$341</f>
        <v>#VALUE!</v>
      </c>
      <c r="T796" s="841">
        <f>+T795/'VVP2'!T$341</f>
        <v>-0.13326959519553908</v>
      </c>
      <c r="U796" s="841">
        <f>+U795/'VVP2'!U$341</f>
        <v>1.93968253732529E-2</v>
      </c>
      <c r="V796" s="841">
        <f>+V795/'VVP2'!V$341</f>
        <v>-5.8945341851584778E-3</v>
      </c>
      <c r="W796" s="841">
        <f>+W795/'VVP2'!W$341</f>
        <v>-4.043635684622892E-2</v>
      </c>
      <c r="X796" s="841">
        <f>+X795/'VVP2'!X$341</f>
        <v>-1.0679347304584769E-2</v>
      </c>
      <c r="Y796" s="841">
        <f>+Y795/'VVP2'!Y$341</f>
        <v>1.2993551136810545E-2</v>
      </c>
      <c r="Z796" s="841">
        <f>+Z795/'VVP2'!Z$341</f>
        <v>3.8873034225290384E-2</v>
      </c>
      <c r="AA796" s="841">
        <f>+AA795/'VVP2'!AA$341</f>
        <v>-2.1040911800454306E-2</v>
      </c>
      <c r="AB796" s="841">
        <f>+AB795/'VVP2'!AB$341</f>
        <v>-6.595062831796155E-3</v>
      </c>
      <c r="AC796" s="841">
        <f ca="1">+AC795/'VVP2'!AC$341</f>
        <v>3.4241214728969261E-3</v>
      </c>
      <c r="AD796" s="841">
        <f ca="1">+AD795/'VVP2'!AD$341</f>
        <v>-4.5015434686686709E-3</v>
      </c>
      <c r="AE796" s="841">
        <f ca="1">+AE795/'VVP2'!AE$341</f>
        <v>-5.6243314718085911E-3</v>
      </c>
    </row>
    <row r="797" spans="1:113" customFormat="1">
      <c r="B797" s="3701"/>
      <c r="C797" s="779"/>
      <c r="D797" s="668" t="s">
        <v>688</v>
      </c>
      <c r="E797" s="780" t="s">
        <v>2500</v>
      </c>
      <c r="F797" s="701"/>
      <c r="G797" s="780" t="e">
        <f>InputY!G86/1000</f>
        <v>#VALUE!</v>
      </c>
      <c r="H797" s="780" t="e">
        <f>InputY!H86/1000</f>
        <v>#VALUE!</v>
      </c>
      <c r="I797" s="780" t="e">
        <f>InputY!I86/1000</f>
        <v>#VALUE!</v>
      </c>
      <c r="J797" s="780" t="e">
        <f>InputY!J86/1000</f>
        <v>#VALUE!</v>
      </c>
      <c r="K797" s="780" t="e">
        <f>InputY!K86/1000</f>
        <v>#VALUE!</v>
      </c>
      <c r="L797" s="780" t="e">
        <f>InputY!L86/1000</f>
        <v>#VALUE!</v>
      </c>
      <c r="M797" s="780" t="e">
        <f>InputY!M86/1000</f>
        <v>#VALUE!</v>
      </c>
      <c r="N797" s="780" t="e">
        <f>InputY!N86/1000</f>
        <v>#VALUE!</v>
      </c>
      <c r="O797" s="780" t="e">
        <f>InputY!O86/1000</f>
        <v>#VALUE!</v>
      </c>
      <c r="P797" s="780">
        <f>InputY!P86/1000</f>
        <v>-1.387</v>
      </c>
      <c r="Q797" s="780">
        <f>InputY!Q86/1000</f>
        <v>-1.5269000000000001</v>
      </c>
      <c r="R797" s="780">
        <f>InputY!R86/1000</f>
        <v>-2.6238000000000001</v>
      </c>
      <c r="S797" s="780">
        <f>InputY!S86/1000</f>
        <v>-4.4960000000000004</v>
      </c>
      <c r="T797" s="780">
        <f>InputY!T86/1000</f>
        <v>-4.4486000000000008</v>
      </c>
      <c r="U797" s="780">
        <f>InputY!U86/1000</f>
        <v>0.38530000000000003</v>
      </c>
      <c r="V797" s="780">
        <f>InputY!V86/1000</f>
        <v>-0.35749999999999998</v>
      </c>
      <c r="W797" s="780">
        <f>InputY!W86/1000</f>
        <v>-1.4234</v>
      </c>
      <c r="X797" s="780">
        <f>InputY!X86/1000</f>
        <v>-0.47020000000000001</v>
      </c>
      <c r="Y797" s="780">
        <f>InputY!Y86/1000</f>
        <v>0.29210000000000003</v>
      </c>
      <c r="Z797" s="780">
        <f>InputY!Z86/1000</f>
        <v>1.1577</v>
      </c>
      <c r="AA797" s="780">
        <f>InputY!AA86/1000</f>
        <v>-1.0497999999999998</v>
      </c>
      <c r="AB797" s="780">
        <f>InputY!AB86/1000</f>
        <v>-0.43330000000000002</v>
      </c>
      <c r="AC797" s="2213">
        <f t="shared" ref="AC797:AD797" si="767">AC795</f>
        <v>0.14305840799999514</v>
      </c>
      <c r="AD797" s="2213">
        <f t="shared" ca="1" si="767"/>
        <v>-0.19902025200000661</v>
      </c>
      <c r="AE797" s="2213">
        <f t="shared" ref="AE797" ca="1" si="768">AE795</f>
        <v>-0.2625227012653919</v>
      </c>
    </row>
    <row r="798" spans="1:113" customFormat="1">
      <c r="B798" s="3701"/>
      <c r="C798" s="774"/>
      <c r="D798" s="806" t="s">
        <v>688</v>
      </c>
      <c r="E798" s="809" t="s">
        <v>2501</v>
      </c>
      <c r="F798" s="808"/>
      <c r="G798" s="841" t="e">
        <f>+G797/'VVP2'!G$341</f>
        <v>#VALUE!</v>
      </c>
      <c r="H798" s="841" t="e">
        <f>+H797/'VVP2'!H$341</f>
        <v>#VALUE!</v>
      </c>
      <c r="I798" s="841" t="e">
        <f>+I797/'VVP2'!I$341</f>
        <v>#VALUE!</v>
      </c>
      <c r="J798" s="841" t="e">
        <f>+J797/'VVP2'!J$341</f>
        <v>#VALUE!</v>
      </c>
      <c r="K798" s="841" t="e">
        <f>+K797/'VVP2'!K$341</f>
        <v>#VALUE!</v>
      </c>
      <c r="L798" s="841" t="e">
        <f>+L797/'VVP2'!L$341</f>
        <v>#VALUE!</v>
      </c>
      <c r="M798" s="841" t="e">
        <f>+M797/'VVP2'!M$341</f>
        <v>#VALUE!</v>
      </c>
      <c r="N798" s="841" t="e">
        <f>+N797/'VVP2'!N$341</f>
        <v>#VALUE!</v>
      </c>
      <c r="O798" s="841" t="e">
        <f>+O797/'VVP2'!O$341</f>
        <v>#VALUE!</v>
      </c>
      <c r="P798" s="841">
        <f>+P797/'VVP2'!P$341</f>
        <v>-7.6051173063299587E-2</v>
      </c>
      <c r="Q798" s="841">
        <f>+Q797/'VVP2'!Q$341</f>
        <v>-7.2701388177989615E-2</v>
      </c>
      <c r="R798" s="841">
        <f>+R797/'VVP2'!R$341</f>
        <v>-0.10896550463927758</v>
      </c>
      <c r="S798" s="841">
        <f>+S797/'VVP2'!S$341</f>
        <v>-0.15481741806143526</v>
      </c>
      <c r="T798" s="841">
        <f>+T797/'VVP2'!T$341</f>
        <v>-0.13605829164663383</v>
      </c>
      <c r="U798" s="841">
        <f>+U797/'VVP2'!U$341</f>
        <v>1.4304903466962098E-2</v>
      </c>
      <c r="V798" s="841">
        <f>+V797/'VVP2'!V$341</f>
        <v>-1.275525677134659E-2</v>
      </c>
      <c r="W798" s="841">
        <f>+W797/'VVP2'!W$341</f>
        <v>-4.5511924418359266E-2</v>
      </c>
      <c r="X798" s="841">
        <f>+X797/'VVP2'!X$341</f>
        <v>-1.4099593144874968E-2</v>
      </c>
      <c r="Y798" s="841">
        <f>+Y797/'VVP2'!Y$341</f>
        <v>8.3553468069617401E-3</v>
      </c>
      <c r="Z798" s="841">
        <f>+Z797/'VVP2'!Z$341</f>
        <v>3.1658584981300732E-2</v>
      </c>
      <c r="AA798" s="841">
        <f>+AA797/'VVP2'!AA$341</f>
        <v>-2.8049561528548799E-2</v>
      </c>
      <c r="AB798" s="841">
        <f>+AB797/'VVP2'!AB$341</f>
        <v>-1.1205555348667851E-2</v>
      </c>
      <c r="AC798" s="841">
        <f ca="1">+AC797/'VVP2'!AC$341</f>
        <v>3.4241214728969261E-3</v>
      </c>
      <c r="AD798" s="841">
        <f ca="1">+AD797/'VVP2'!AD$341</f>
        <v>-4.5015434686686709E-3</v>
      </c>
      <c r="AE798" s="841">
        <f ca="1">+AE797/'VVP2'!AE$341</f>
        <v>-5.6243314718085911E-3</v>
      </c>
    </row>
    <row r="799" spans="1:113" customFormat="1">
      <c r="B799" s="3701"/>
      <c r="C799" s="3701"/>
      <c r="D799" s="670"/>
      <c r="E799" s="699"/>
      <c r="F799" s="3701"/>
      <c r="G799" s="3701"/>
      <c r="H799" s="3701"/>
      <c r="I799" s="3701"/>
      <c r="J799" s="3701"/>
      <c r="K799" s="3701"/>
      <c r="AE799" s="3649"/>
    </row>
    <row r="800" spans="1:113" customFormat="1">
      <c r="B800" s="3701"/>
      <c r="C800" s="3701"/>
      <c r="D800" s="668" t="s">
        <v>688</v>
      </c>
      <c r="E800" s="780" t="s">
        <v>2517</v>
      </c>
      <c r="F800" s="3701"/>
      <c r="G800" s="3701" t="e">
        <f>InputY!G170/1000</f>
        <v>#VALUE!</v>
      </c>
      <c r="H800" s="3701" t="e">
        <f>InputY!H170/1000</f>
        <v>#VALUE!</v>
      </c>
      <c r="I800" s="3701" t="e">
        <f>InputY!I170/1000</f>
        <v>#VALUE!</v>
      </c>
      <c r="J800" s="3701" t="e">
        <f>InputY!J170/1000</f>
        <v>#VALUE!</v>
      </c>
      <c r="K800" s="3701" t="e">
        <f>InputY!K170/1000</f>
        <v>#VALUE!</v>
      </c>
      <c r="L800" s="3603" t="e">
        <f>InputY!L170/1000</f>
        <v>#VALUE!</v>
      </c>
      <c r="M800" s="3603" t="e">
        <f>InputY!M170/1000</f>
        <v>#VALUE!</v>
      </c>
      <c r="N800" s="3603" t="e">
        <f>InputY!N170/1000</f>
        <v>#VALUE!</v>
      </c>
      <c r="O800" s="3603" t="e">
        <f>InputY!O170/1000</f>
        <v>#VALUE!</v>
      </c>
      <c r="P800" s="3603">
        <f>InputY!P170/1000</f>
        <v>8.8400000000000006E-2</v>
      </c>
      <c r="Q800" s="3603">
        <f>InputY!Q170/1000</f>
        <v>5.8939999999999999E-2</v>
      </c>
      <c r="R800" s="3603">
        <f>InputY!R170/1000</f>
        <v>7.8019999999999992E-2</v>
      </c>
      <c r="S800" s="3603">
        <f>InputY!S170/1000</f>
        <v>9.6560000000000007E-2</v>
      </c>
      <c r="T800" s="3603">
        <f>InputY!T170/1000</f>
        <v>0.11871999999999999</v>
      </c>
      <c r="U800" s="3603">
        <f>InputY!U170/1000</f>
        <v>0.12181</v>
      </c>
      <c r="V800" s="3603">
        <f>InputY!V170/1000</f>
        <v>0.22234000000000001</v>
      </c>
      <c r="W800" s="3603">
        <f>InputY!W170/1000</f>
        <v>0.27355000000000002</v>
      </c>
      <c r="X800" s="3603">
        <f>InputY!X170/1000</f>
        <v>0.26882999999999996</v>
      </c>
      <c r="Y800" s="3603">
        <f>InputY!Y170/1000</f>
        <v>0.25854000000000005</v>
      </c>
      <c r="Z800" s="3603">
        <f>InputY!Z170/1000</f>
        <v>0.25791000000000003</v>
      </c>
      <c r="AA800" s="3603">
        <f>InputY!AA170/1000</f>
        <v>0.25409999999999999</v>
      </c>
      <c r="AB800" s="3682">
        <f>InputY!AB170/1000</f>
        <v>0.19440000000000002</v>
      </c>
      <c r="AC800" s="3605">
        <v>0.27</v>
      </c>
      <c r="AD800" s="3605">
        <v>0.27</v>
      </c>
      <c r="AE800" s="3605">
        <v>0.27</v>
      </c>
    </row>
    <row r="801" spans="4:31" customFormat="1">
      <c r="D801" s="668" t="s">
        <v>688</v>
      </c>
      <c r="E801" s="780" t="s">
        <v>2516</v>
      </c>
      <c r="F801" s="3701"/>
      <c r="G801" s="3701" t="e">
        <f>InputY!G174/1000</f>
        <v>#VALUE!</v>
      </c>
      <c r="H801" s="3701" t="e">
        <f>InputY!H174/1000</f>
        <v>#VALUE!</v>
      </c>
      <c r="I801" s="3701" t="e">
        <f>InputY!I174/1000</f>
        <v>#VALUE!</v>
      </c>
      <c r="J801" s="3701" t="e">
        <f>InputY!J174/1000</f>
        <v>#VALUE!</v>
      </c>
      <c r="K801" s="3701" t="e">
        <f>InputY!K174/1000</f>
        <v>#VALUE!</v>
      </c>
      <c r="L801" s="3603" t="e">
        <f>InputY!L174/1000</f>
        <v>#VALUE!</v>
      </c>
      <c r="M801" s="3603" t="e">
        <f>InputY!M174/1000</f>
        <v>#VALUE!</v>
      </c>
      <c r="N801" s="3603" t="e">
        <f>InputY!N174/1000</f>
        <v>#VALUE!</v>
      </c>
      <c r="O801" s="3603" t="e">
        <f>InputY!O174/1000</f>
        <v>#VALUE!</v>
      </c>
      <c r="P801" s="3603">
        <f>InputY!P174/1000</f>
        <v>7.6079999999999995E-2</v>
      </c>
      <c r="Q801" s="3603">
        <f>InputY!Q174/1000</f>
        <v>0.14515999999999998</v>
      </c>
      <c r="R801" s="3603">
        <f>InputY!R174/1000</f>
        <v>0.23908000000000001</v>
      </c>
      <c r="S801" s="3603">
        <f>InputY!S174/1000</f>
        <v>0.41317000000000004</v>
      </c>
      <c r="T801" s="3603">
        <f>InputY!T174/1000</f>
        <v>0.35420999999999997</v>
      </c>
      <c r="U801" s="3603">
        <f>InputY!U174/1000</f>
        <v>0.43730000000000002</v>
      </c>
      <c r="V801" s="3603">
        <f>InputY!V174/1000</f>
        <v>0.73433000000000004</v>
      </c>
      <c r="W801" s="3603">
        <f>InputY!W174/1000</f>
        <v>0.70191999999999999</v>
      </c>
      <c r="X801" s="3603">
        <f>InputY!X174/1000</f>
        <v>0.64755999999999991</v>
      </c>
      <c r="Y801" s="3603">
        <f>InputY!Y174/1000</f>
        <v>0.61676999999999993</v>
      </c>
      <c r="Z801" s="3603">
        <f>InputY!Z174/1000</f>
        <v>0.50839999999999996</v>
      </c>
      <c r="AA801" s="3603">
        <f>InputY!AA174/1000</f>
        <v>0.45700999999999997</v>
      </c>
      <c r="AB801" s="3682">
        <f>InputY!AB174/1000</f>
        <v>0.21001</v>
      </c>
      <c r="AC801" s="3648">
        <v>0.47699999999999998</v>
      </c>
      <c r="AD801" s="3648">
        <v>0.53400000000000003</v>
      </c>
      <c r="AE801" s="3648">
        <v>0.62</v>
      </c>
    </row>
    <row r="802" spans="4:31" customFormat="1">
      <c r="D802" s="3701"/>
      <c r="E802" s="3701"/>
      <c r="F802" s="3701"/>
      <c r="G802" s="3701"/>
      <c r="H802" s="3701"/>
      <c r="I802" s="3701"/>
      <c r="J802" s="3701"/>
      <c r="K802" s="3701"/>
      <c r="AE802" s="3649"/>
    </row>
    <row r="803" spans="4:31" customFormat="1">
      <c r="D803" s="3701"/>
      <c r="E803" s="3701"/>
      <c r="F803" s="3701"/>
      <c r="G803" s="3701"/>
      <c r="H803" s="3701"/>
      <c r="I803" s="3701"/>
      <c r="J803" s="3701"/>
      <c r="K803" s="3701"/>
      <c r="AE803" s="3649"/>
    </row>
    <row r="804" spans="4:31" customFormat="1">
      <c r="D804" s="3701"/>
      <c r="E804" s="3701"/>
      <c r="F804" s="3701"/>
      <c r="G804" s="3701"/>
      <c r="H804" s="3701"/>
      <c r="I804" s="3701"/>
      <c r="J804" s="3701"/>
      <c r="K804" s="3701"/>
      <c r="AE804" s="3649"/>
    </row>
    <row r="805" spans="4:31" customFormat="1">
      <c r="D805" s="3701"/>
      <c r="E805" s="3701"/>
      <c r="F805" s="3701"/>
      <c r="G805" s="3701"/>
      <c r="H805" s="3701"/>
      <c r="I805" s="3701"/>
      <c r="J805" s="3701"/>
      <c r="K805" s="3701"/>
      <c r="AE805" s="3649"/>
    </row>
    <row r="806" spans="4:31" customFormat="1">
      <c r="D806" s="3701"/>
      <c r="E806" s="3701"/>
      <c r="F806" s="3701"/>
      <c r="G806" s="3701"/>
      <c r="H806" s="3701"/>
      <c r="I806" s="3701"/>
      <c r="J806" s="3701"/>
      <c r="K806" s="3701"/>
      <c r="AE806" s="3649"/>
    </row>
    <row r="807" spans="4:31" customFormat="1">
      <c r="D807" s="3701"/>
      <c r="E807" s="3701"/>
      <c r="F807" s="3701"/>
      <c r="G807" s="3701"/>
      <c r="H807" s="3701"/>
      <c r="I807" s="3701"/>
      <c r="J807" s="3701"/>
      <c r="K807" s="3701"/>
      <c r="AE807" s="3649"/>
    </row>
    <row r="808" spans="4:31" customFormat="1">
      <c r="D808" s="3701"/>
      <c r="E808" s="3701"/>
      <c r="F808" s="3701"/>
      <c r="G808" s="3701"/>
      <c r="H808" s="3701"/>
      <c r="I808" s="3701"/>
      <c r="J808" s="3701"/>
      <c r="K808" s="3701"/>
      <c r="AE808" s="3649"/>
    </row>
    <row r="809" spans="4:31" customFormat="1">
      <c r="D809" s="3701"/>
      <c r="E809" s="3701"/>
      <c r="F809" s="3701"/>
      <c r="G809" s="3701"/>
      <c r="H809" s="3701"/>
      <c r="I809" s="3701"/>
      <c r="J809" s="3701"/>
      <c r="K809" s="3701"/>
      <c r="AE809" s="3649"/>
    </row>
    <row r="810" spans="4:31" customFormat="1">
      <c r="D810" s="3701"/>
      <c r="E810" s="3701"/>
      <c r="F810" s="3701"/>
      <c r="G810" s="3701"/>
      <c r="H810" s="3701"/>
      <c r="I810" s="3701"/>
      <c r="J810" s="3701"/>
      <c r="K810" s="3701"/>
      <c r="AE810" s="3649"/>
    </row>
    <row r="811" spans="4:31" customFormat="1">
      <c r="D811" s="3701"/>
      <c r="E811" s="3701"/>
      <c r="F811" s="3701"/>
      <c r="G811" s="3701"/>
      <c r="H811" s="3701"/>
      <c r="I811" s="3701"/>
      <c r="J811" s="3701"/>
      <c r="K811" s="3701"/>
      <c r="AE811" s="3649"/>
    </row>
    <row r="812" spans="4:31" customFormat="1">
      <c r="D812" s="3701"/>
      <c r="E812" s="3701"/>
      <c r="F812" s="3701"/>
      <c r="G812" s="3701"/>
      <c r="H812" s="3701"/>
      <c r="I812" s="3701"/>
      <c r="J812" s="3701"/>
      <c r="K812" s="3701"/>
      <c r="AE812" s="3649"/>
    </row>
    <row r="813" spans="4:31" customFormat="1">
      <c r="D813" s="3701"/>
      <c r="E813" s="3701"/>
      <c r="F813" s="3701"/>
      <c r="G813" s="3701"/>
      <c r="H813" s="3701"/>
      <c r="I813" s="3701"/>
      <c r="J813" s="3701"/>
      <c r="K813" s="3701"/>
      <c r="AE813" s="3649"/>
    </row>
    <row r="814" spans="4:31" customFormat="1">
      <c r="D814" s="3701"/>
      <c r="E814" s="3701"/>
      <c r="F814" s="3701"/>
      <c r="G814" s="3701"/>
      <c r="H814" s="3701"/>
      <c r="I814" s="3701"/>
      <c r="J814" s="3701"/>
      <c r="K814" s="3701"/>
      <c r="AE814" s="3649"/>
    </row>
    <row r="815" spans="4:31" customFormat="1">
      <c r="D815" s="3701"/>
      <c r="E815" s="3701"/>
      <c r="F815" s="3701"/>
      <c r="G815" s="3701"/>
      <c r="H815" s="3701"/>
      <c r="I815" s="3701"/>
      <c r="J815" s="3701"/>
      <c r="K815" s="3701"/>
      <c r="AE815" s="3649"/>
    </row>
    <row r="816" spans="4:31" customFormat="1">
      <c r="D816" s="3701"/>
      <c r="E816" s="3701"/>
      <c r="F816" s="3701"/>
      <c r="G816" s="3701"/>
      <c r="H816" s="3701"/>
      <c r="I816" s="3701"/>
      <c r="J816" s="3701"/>
      <c r="K816" s="3701"/>
      <c r="AE816" s="3649"/>
    </row>
    <row r="817" spans="31:31" customFormat="1">
      <c r="AE817" s="3649"/>
    </row>
    <row r="818" spans="31:31" customFormat="1">
      <c r="AE818" s="3649"/>
    </row>
    <row r="819" spans="31:31" customFormat="1">
      <c r="AE819" s="3649"/>
    </row>
    <row r="820" spans="31:31" customFormat="1">
      <c r="AE820" s="3649"/>
    </row>
    <row r="821" spans="31:31" customFormat="1">
      <c r="AE821" s="3649"/>
    </row>
    <row r="822" spans="31:31" customFormat="1">
      <c r="AE822" s="3649"/>
    </row>
    <row r="823" spans="31:31" customFormat="1">
      <c r="AE823" s="3649"/>
    </row>
    <row r="824" spans="31:31" customFormat="1">
      <c r="AE824" s="3649"/>
    </row>
    <row r="825" spans="31:31" customFormat="1">
      <c r="AE825" s="3649"/>
    </row>
    <row r="826" spans="31:31" customFormat="1">
      <c r="AE826" s="3649"/>
    </row>
    <row r="827" spans="31:31" customFormat="1">
      <c r="AE827" s="3649"/>
    </row>
    <row r="828" spans="31:31" customFormat="1">
      <c r="AE828" s="3649"/>
    </row>
    <row r="829" spans="31:31" customFormat="1">
      <c r="AE829" s="3649"/>
    </row>
    <row r="830" spans="31:31" customFormat="1">
      <c r="AE830" s="3649"/>
    </row>
    <row r="831" spans="31:31" customFormat="1">
      <c r="AE831" s="3649"/>
    </row>
    <row r="832" spans="31:31" customFormat="1">
      <c r="AE832" s="3649"/>
    </row>
    <row r="833" spans="31:31" customFormat="1">
      <c r="AE833" s="3649"/>
    </row>
    <row r="834" spans="31:31" customFormat="1">
      <c r="AE834" s="3649"/>
    </row>
    <row r="835" spans="31:31" customFormat="1">
      <c r="AE835" s="3649"/>
    </row>
    <row r="836" spans="31:31" customFormat="1">
      <c r="AE836" s="3649"/>
    </row>
    <row r="837" spans="31:31" customFormat="1">
      <c r="AE837" s="3649"/>
    </row>
    <row r="838" spans="31:31" customFormat="1">
      <c r="AE838" s="3649"/>
    </row>
    <row r="839" spans="31:31" customFormat="1">
      <c r="AE839" s="3649"/>
    </row>
    <row r="840" spans="31:31" customFormat="1">
      <c r="AE840" s="3649"/>
    </row>
    <row r="841" spans="31:31" customFormat="1">
      <c r="AE841" s="3649"/>
    </row>
    <row r="842" spans="31:31" customFormat="1">
      <c r="AE842" s="3649"/>
    </row>
    <row r="843" spans="31:31" customFormat="1">
      <c r="AE843" s="3649"/>
    </row>
    <row r="844" spans="31:31" customFormat="1">
      <c r="AE844" s="3649"/>
    </row>
    <row r="845" spans="31:31" customFormat="1">
      <c r="AE845" s="3649"/>
    </row>
    <row r="846" spans="31:31" customFormat="1">
      <c r="AE846" s="3649"/>
    </row>
    <row r="847" spans="31:31" customFormat="1">
      <c r="AE847" s="3649"/>
    </row>
    <row r="848" spans="31:31" customFormat="1">
      <c r="AE848" s="3649"/>
    </row>
    <row r="849" spans="31:31" customFormat="1">
      <c r="AE849" s="3649"/>
    </row>
    <row r="850" spans="31:31" customFormat="1">
      <c r="AE850" s="3649"/>
    </row>
    <row r="851" spans="31:31" customFormat="1">
      <c r="AE851" s="3649"/>
    </row>
    <row r="852" spans="31:31" customFormat="1">
      <c r="AE852" s="3649"/>
    </row>
    <row r="853" spans="31:31" customFormat="1">
      <c r="AE853" s="3649"/>
    </row>
    <row r="854" spans="31:31" customFormat="1">
      <c r="AE854" s="3649"/>
    </row>
    <row r="855" spans="31:31" customFormat="1">
      <c r="AE855" s="3649"/>
    </row>
    <row r="856" spans="31:31" customFormat="1">
      <c r="AE856" s="3649"/>
    </row>
    <row r="857" spans="31:31" customFormat="1">
      <c r="AE857" s="3649"/>
    </row>
    <row r="858" spans="31:31" customFormat="1">
      <c r="AE858" s="3649"/>
    </row>
    <row r="859" spans="31:31" customFormat="1">
      <c r="AE859" s="3649"/>
    </row>
    <row r="860" spans="31:31" customFormat="1">
      <c r="AE860" s="3649"/>
    </row>
    <row r="861" spans="31:31" customFormat="1">
      <c r="AE861" s="3649"/>
    </row>
    <row r="862" spans="31:31" customFormat="1">
      <c r="AE862" s="3649"/>
    </row>
    <row r="863" spans="31:31" customFormat="1">
      <c r="AE863" s="3649"/>
    </row>
    <row r="864" spans="31:31" customFormat="1">
      <c r="AE864" s="3649"/>
    </row>
    <row r="865" spans="31:31" customFormat="1">
      <c r="AE865" s="3649"/>
    </row>
    <row r="866" spans="31:31" customFormat="1">
      <c r="AE866" s="3649"/>
    </row>
    <row r="867" spans="31:31" customFormat="1">
      <c r="AE867" s="3649"/>
    </row>
    <row r="868" spans="31:31" customFormat="1">
      <c r="AE868" s="3649"/>
    </row>
    <row r="869" spans="31:31" customFormat="1">
      <c r="AE869" s="3649"/>
    </row>
    <row r="870" spans="31:31" customFormat="1">
      <c r="AE870" s="3649"/>
    </row>
    <row r="871" spans="31:31" customFormat="1">
      <c r="AE871" s="3649"/>
    </row>
    <row r="872" spans="31:31" customFormat="1">
      <c r="AE872" s="3649"/>
    </row>
    <row r="873" spans="31:31" customFormat="1">
      <c r="AE873" s="3649"/>
    </row>
    <row r="874" spans="31:31" customFormat="1">
      <c r="AE874" s="3649"/>
    </row>
    <row r="875" spans="31:31" customFormat="1">
      <c r="AE875" s="3649"/>
    </row>
    <row r="876" spans="31:31" customFormat="1">
      <c r="AE876" s="3649"/>
    </row>
    <row r="877" spans="31:31" customFormat="1">
      <c r="AE877" s="3649"/>
    </row>
    <row r="878" spans="31:31" customFormat="1">
      <c r="AE878" s="3649"/>
    </row>
    <row r="879" spans="31:31" customFormat="1">
      <c r="AE879" s="3649"/>
    </row>
    <row r="880" spans="31:31" customFormat="1">
      <c r="AE880" s="3649"/>
    </row>
    <row r="881" spans="31:31" customFormat="1">
      <c r="AE881" s="3649"/>
    </row>
    <row r="882" spans="31:31" customFormat="1">
      <c r="AE882" s="3649"/>
    </row>
    <row r="883" spans="31:31" customFormat="1">
      <c r="AE883" s="3649"/>
    </row>
    <row r="884" spans="31:31" customFormat="1">
      <c r="AE884" s="3649"/>
    </row>
    <row r="885" spans="31:31" customFormat="1">
      <c r="AE885" s="3649"/>
    </row>
    <row r="886" spans="31:31" customFormat="1">
      <c r="AE886" s="3649"/>
    </row>
    <row r="887" spans="31:31" customFormat="1">
      <c r="AE887" s="3649"/>
    </row>
    <row r="888" spans="31:31" customFormat="1">
      <c r="AE888" s="3649"/>
    </row>
    <row r="889" spans="31:31" customFormat="1">
      <c r="AE889" s="3649"/>
    </row>
    <row r="890" spans="31:31" customFormat="1">
      <c r="AE890" s="3649"/>
    </row>
    <row r="891" spans="31:31" customFormat="1">
      <c r="AE891" s="3649"/>
    </row>
    <row r="892" spans="31:31" customFormat="1">
      <c r="AE892" s="3649"/>
    </row>
    <row r="893" spans="31:31" customFormat="1">
      <c r="AE893" s="3649"/>
    </row>
    <row r="894" spans="31:31" customFormat="1">
      <c r="AE894" s="3649"/>
    </row>
    <row r="895" spans="31:31" customFormat="1">
      <c r="AE895" s="3649"/>
    </row>
    <row r="896" spans="31:31" customFormat="1">
      <c r="AE896" s="3649"/>
    </row>
    <row r="897" spans="31:31" customFormat="1">
      <c r="AE897" s="3649"/>
    </row>
    <row r="898" spans="31:31" customFormat="1">
      <c r="AE898" s="3649"/>
    </row>
    <row r="899" spans="31:31" customFormat="1">
      <c r="AE899" s="3649"/>
    </row>
    <row r="900" spans="31:31" customFormat="1">
      <c r="AE900" s="3649"/>
    </row>
    <row r="901" spans="31:31" customFormat="1">
      <c r="AE901" s="3649"/>
    </row>
    <row r="902" spans="31:31" customFormat="1">
      <c r="AE902" s="3649"/>
    </row>
    <row r="903" spans="31:31" customFormat="1">
      <c r="AE903" s="3649"/>
    </row>
    <row r="904" spans="31:31" customFormat="1">
      <c r="AE904" s="3649"/>
    </row>
    <row r="905" spans="31:31" customFormat="1">
      <c r="AE905" s="3649"/>
    </row>
    <row r="906" spans="31:31" customFormat="1">
      <c r="AE906" s="3649"/>
    </row>
    <row r="907" spans="31:31" customFormat="1">
      <c r="AE907" s="3649"/>
    </row>
    <row r="908" spans="31:31" customFormat="1">
      <c r="AE908" s="3649"/>
    </row>
    <row r="909" spans="31:31" customFormat="1">
      <c r="AE909" s="3649"/>
    </row>
    <row r="910" spans="31:31" customFormat="1">
      <c r="AE910" s="3649"/>
    </row>
    <row r="911" spans="31:31" customFormat="1">
      <c r="AE911" s="3649"/>
    </row>
    <row r="912" spans="31:31" customFormat="1">
      <c r="AE912" s="3649"/>
    </row>
    <row r="913" spans="31:31" customFormat="1">
      <c r="AE913" s="3649"/>
    </row>
    <row r="914" spans="31:31" customFormat="1">
      <c r="AE914" s="3649"/>
    </row>
    <row r="915" spans="31:31" customFormat="1">
      <c r="AE915" s="3649"/>
    </row>
    <row r="916" spans="31:31" customFormat="1">
      <c r="AE916" s="3649"/>
    </row>
    <row r="917" spans="31:31" customFormat="1">
      <c r="AE917" s="3649"/>
    </row>
    <row r="918" spans="31:31" customFormat="1">
      <c r="AE918" s="3649"/>
    </row>
    <row r="919" spans="31:31" customFormat="1">
      <c r="AE919" s="3649"/>
    </row>
    <row r="920" spans="31:31" customFormat="1">
      <c r="AE920" s="3649"/>
    </row>
    <row r="921" spans="31:31" customFormat="1">
      <c r="AE921" s="3649"/>
    </row>
    <row r="922" spans="31:31" customFormat="1">
      <c r="AE922" s="3649"/>
    </row>
    <row r="923" spans="31:31" customFormat="1">
      <c r="AE923" s="3649"/>
    </row>
    <row r="924" spans="31:31" customFormat="1">
      <c r="AE924" s="3649"/>
    </row>
    <row r="925" spans="31:31" customFormat="1">
      <c r="AE925" s="3649"/>
    </row>
    <row r="926" spans="31:31" customFormat="1">
      <c r="AE926" s="3649"/>
    </row>
    <row r="927" spans="31:31" customFormat="1">
      <c r="AE927" s="3649"/>
    </row>
    <row r="928" spans="31:31" customFormat="1">
      <c r="AE928" s="3649"/>
    </row>
    <row r="929" spans="31:31" customFormat="1">
      <c r="AE929" s="3649"/>
    </row>
    <row r="930" spans="31:31" customFormat="1">
      <c r="AE930" s="3649"/>
    </row>
    <row r="931" spans="31:31" customFormat="1">
      <c r="AE931" s="3649"/>
    </row>
    <row r="932" spans="31:31" customFormat="1">
      <c r="AE932" s="3649"/>
    </row>
    <row r="933" spans="31:31" customFormat="1">
      <c r="AE933" s="3649"/>
    </row>
    <row r="934" spans="31:31" customFormat="1">
      <c r="AE934" s="3649"/>
    </row>
    <row r="935" spans="31:31" customFormat="1">
      <c r="AE935" s="3649"/>
    </row>
    <row r="936" spans="31:31" customFormat="1">
      <c r="AE936" s="3649"/>
    </row>
    <row r="937" spans="31:31" customFormat="1">
      <c r="AE937" s="3649"/>
    </row>
    <row r="938" spans="31:31" customFormat="1">
      <c r="AE938" s="3649"/>
    </row>
    <row r="939" spans="31:31" customFormat="1">
      <c r="AE939" s="3649"/>
    </row>
    <row r="940" spans="31:31" customFormat="1">
      <c r="AE940" s="3649"/>
    </row>
    <row r="941" spans="31:31" customFormat="1">
      <c r="AE941" s="3649"/>
    </row>
    <row r="942" spans="31:31" customFormat="1">
      <c r="AE942" s="3649"/>
    </row>
    <row r="943" spans="31:31" customFormat="1">
      <c r="AE943" s="3649"/>
    </row>
    <row r="944" spans="31:31" customFormat="1">
      <c r="AE944" s="3649"/>
    </row>
    <row r="945" spans="31:31" customFormat="1">
      <c r="AE945" s="3649"/>
    </row>
    <row r="946" spans="31:31" customFormat="1">
      <c r="AE946" s="3649"/>
    </row>
    <row r="947" spans="31:31" customFormat="1">
      <c r="AE947" s="3649"/>
    </row>
    <row r="948" spans="31:31" customFormat="1">
      <c r="AE948" s="3649"/>
    </row>
    <row r="949" spans="31:31" customFormat="1">
      <c r="AE949" s="3649"/>
    </row>
    <row r="950" spans="31:31" customFormat="1">
      <c r="AE950" s="3649"/>
    </row>
    <row r="951" spans="31:31" customFormat="1">
      <c r="AE951" s="3649"/>
    </row>
    <row r="952" spans="31:31" customFormat="1">
      <c r="AE952" s="3649"/>
    </row>
    <row r="953" spans="31:31" customFormat="1">
      <c r="AE953" s="3649"/>
    </row>
    <row r="954" spans="31:31" customFormat="1">
      <c r="AE954" s="3649"/>
    </row>
    <row r="955" spans="31:31" customFormat="1">
      <c r="AE955" s="3649"/>
    </row>
    <row r="956" spans="31:31" customFormat="1">
      <c r="AE956" s="3649"/>
    </row>
    <row r="957" spans="31:31" customFormat="1">
      <c r="AE957" s="3649"/>
    </row>
    <row r="958" spans="31:31" customFormat="1">
      <c r="AE958" s="3649"/>
    </row>
    <row r="959" spans="31:31" customFormat="1">
      <c r="AE959" s="3649"/>
    </row>
    <row r="960" spans="31:31" customFormat="1">
      <c r="AE960" s="3649"/>
    </row>
    <row r="961" spans="31:31" customFormat="1">
      <c r="AE961" s="3649"/>
    </row>
    <row r="962" spans="31:31" customFormat="1">
      <c r="AE962" s="3649"/>
    </row>
    <row r="963" spans="31:31" customFormat="1">
      <c r="AE963" s="3649"/>
    </row>
    <row r="964" spans="31:31" customFormat="1">
      <c r="AE964" s="3649"/>
    </row>
    <row r="965" spans="31:31" customFormat="1">
      <c r="AE965" s="3649"/>
    </row>
    <row r="966" spans="31:31" customFormat="1">
      <c r="AE966" s="3649"/>
    </row>
    <row r="967" spans="31:31" customFormat="1">
      <c r="AE967" s="3649"/>
    </row>
    <row r="968" spans="31:31" customFormat="1">
      <c r="AE968" s="3649"/>
    </row>
    <row r="969" spans="31:31" customFormat="1">
      <c r="AE969" s="3649"/>
    </row>
    <row r="970" spans="31:31" customFormat="1">
      <c r="AE970" s="3649"/>
    </row>
    <row r="971" spans="31:31" customFormat="1">
      <c r="AE971" s="3649"/>
    </row>
    <row r="972" spans="31:31" customFormat="1">
      <c r="AE972" s="3649"/>
    </row>
    <row r="973" spans="31:31" customFormat="1">
      <c r="AE973" s="3649"/>
    </row>
    <row r="974" spans="31:31" customFormat="1">
      <c r="AE974" s="3649"/>
    </row>
    <row r="975" spans="31:31" customFormat="1">
      <c r="AE975" s="3649"/>
    </row>
    <row r="976" spans="31:31" customFormat="1">
      <c r="AE976" s="3649"/>
    </row>
    <row r="977" spans="31:31" customFormat="1">
      <c r="AE977" s="3649"/>
    </row>
    <row r="978" spans="31:31" customFormat="1">
      <c r="AE978" s="3649"/>
    </row>
    <row r="979" spans="31:31" customFormat="1">
      <c r="AE979" s="3649"/>
    </row>
    <row r="980" spans="31:31" customFormat="1">
      <c r="AE980" s="3649"/>
    </row>
    <row r="981" spans="31:31" customFormat="1">
      <c r="AE981" s="3649"/>
    </row>
    <row r="982" spans="31:31" customFormat="1">
      <c r="AE982" s="3649"/>
    </row>
    <row r="983" spans="31:31" customFormat="1">
      <c r="AE983" s="3649"/>
    </row>
    <row r="984" spans="31:31" customFormat="1">
      <c r="AE984" s="3649"/>
    </row>
    <row r="985" spans="31:31" customFormat="1">
      <c r="AE985" s="3649"/>
    </row>
    <row r="986" spans="31:31" customFormat="1">
      <c r="AE986" s="3649"/>
    </row>
    <row r="987" spans="31:31" customFormat="1">
      <c r="AE987" s="3649"/>
    </row>
    <row r="988" spans="31:31" customFormat="1">
      <c r="AE988" s="3649"/>
    </row>
    <row r="989" spans="31:31" customFormat="1">
      <c r="AE989" s="3649"/>
    </row>
    <row r="990" spans="31:31" customFormat="1">
      <c r="AE990" s="3649"/>
    </row>
    <row r="991" spans="31:31" customFormat="1">
      <c r="AE991" s="3649"/>
    </row>
    <row r="992" spans="31:31" customFormat="1">
      <c r="AE992" s="3649"/>
    </row>
    <row r="993" spans="31:31" customFormat="1">
      <c r="AE993" s="3649"/>
    </row>
    <row r="994" spans="31:31" customFormat="1">
      <c r="AE994" s="3649"/>
    </row>
    <row r="995" spans="31:31" customFormat="1">
      <c r="AE995" s="3649"/>
    </row>
    <row r="996" spans="31:31" customFormat="1">
      <c r="AE996" s="3649"/>
    </row>
    <row r="997" spans="31:31" customFormat="1">
      <c r="AE997" s="3649"/>
    </row>
    <row r="998" spans="31:31" customFormat="1">
      <c r="AE998" s="3649"/>
    </row>
    <row r="999" spans="31:31" customFormat="1">
      <c r="AE999" s="3649"/>
    </row>
    <row r="1000" spans="31:31" customFormat="1">
      <c r="AE1000" s="3649"/>
    </row>
    <row r="1001" spans="31:31" customFormat="1">
      <c r="AE1001" s="3649"/>
    </row>
    <row r="1002" spans="31:31" customFormat="1">
      <c r="AE1002" s="3649"/>
    </row>
    <row r="1003" spans="31:31" customFormat="1">
      <c r="AE1003" s="3649"/>
    </row>
    <row r="1004" spans="31:31" customFormat="1">
      <c r="AE1004" s="3649"/>
    </row>
    <row r="1005" spans="31:31" customFormat="1">
      <c r="AE1005" s="3649"/>
    </row>
    <row r="1006" spans="31:31" customFormat="1">
      <c r="AE1006" s="3649"/>
    </row>
    <row r="1007" spans="31:31" customFormat="1">
      <c r="AE1007" s="3649"/>
    </row>
    <row r="1008" spans="31:31" customFormat="1">
      <c r="AE1008" s="3649"/>
    </row>
    <row r="1009" spans="31:31" customFormat="1">
      <c r="AE1009" s="3649"/>
    </row>
    <row r="1010" spans="31:31" customFormat="1">
      <c r="AE1010" s="3649"/>
    </row>
    <row r="1011" spans="31:31" customFormat="1">
      <c r="AE1011" s="3649"/>
    </row>
    <row r="1012" spans="31:31" customFormat="1">
      <c r="AE1012" s="3649"/>
    </row>
    <row r="1013" spans="31:31" customFormat="1">
      <c r="AE1013" s="3649"/>
    </row>
    <row r="1014" spans="31:31" customFormat="1">
      <c r="AE1014" s="3649"/>
    </row>
    <row r="1015" spans="31:31" customFormat="1">
      <c r="AE1015" s="3649"/>
    </row>
    <row r="1016" spans="31:31" customFormat="1">
      <c r="AE1016" s="3649"/>
    </row>
    <row r="1017" spans="31:31" customFormat="1">
      <c r="AE1017" s="3649"/>
    </row>
    <row r="1018" spans="31:31" customFormat="1">
      <c r="AE1018" s="3649"/>
    </row>
    <row r="1019" spans="31:31" customFormat="1">
      <c r="AE1019" s="3649"/>
    </row>
    <row r="1020" spans="31:31" customFormat="1">
      <c r="AE1020" s="3649"/>
    </row>
    <row r="1021" spans="31:31" customFormat="1">
      <c r="AE1021" s="3649"/>
    </row>
    <row r="1022" spans="31:31" customFormat="1">
      <c r="AE1022" s="3649"/>
    </row>
    <row r="1023" spans="31:31" customFormat="1">
      <c r="AE1023" s="3649"/>
    </row>
    <row r="1024" spans="31:31" customFormat="1">
      <c r="AE1024" s="3649"/>
    </row>
    <row r="1025" spans="31:31" customFormat="1">
      <c r="AE1025" s="3649"/>
    </row>
    <row r="1026" spans="31:31" customFormat="1">
      <c r="AE1026" s="3649"/>
    </row>
    <row r="1027" spans="31:31" customFormat="1">
      <c r="AE1027" s="3649"/>
    </row>
    <row r="1028" spans="31:31" customFormat="1">
      <c r="AE1028" s="3649"/>
    </row>
    <row r="1029" spans="31:31" customFormat="1">
      <c r="AE1029" s="3649"/>
    </row>
    <row r="1030" spans="31:31" customFormat="1">
      <c r="AE1030" s="3649"/>
    </row>
    <row r="1031" spans="31:31" customFormat="1">
      <c r="AE1031" s="3649"/>
    </row>
    <row r="1032" spans="31:31" customFormat="1">
      <c r="AE1032" s="3649"/>
    </row>
    <row r="1033" spans="31:31" customFormat="1">
      <c r="AE1033" s="3649"/>
    </row>
    <row r="1034" spans="31:31" customFormat="1">
      <c r="AE1034" s="3649"/>
    </row>
    <row r="1035" spans="31:31" customFormat="1">
      <c r="AE1035" s="3649"/>
    </row>
    <row r="1036" spans="31:31" customFormat="1">
      <c r="AE1036" s="3649"/>
    </row>
    <row r="1037" spans="31:31" customFormat="1">
      <c r="AE1037" s="3649"/>
    </row>
    <row r="1038" spans="31:31" customFormat="1">
      <c r="AE1038" s="3649"/>
    </row>
    <row r="1039" spans="31:31" customFormat="1">
      <c r="AE1039" s="3649"/>
    </row>
    <row r="1040" spans="31:31" customFormat="1">
      <c r="AE1040" s="3649"/>
    </row>
    <row r="1041" spans="31:31" customFormat="1">
      <c r="AE1041" s="3649"/>
    </row>
    <row r="1042" spans="31:31" customFormat="1">
      <c r="AE1042" s="3649"/>
    </row>
    <row r="1043" spans="31:31" customFormat="1">
      <c r="AE1043" s="3649"/>
    </row>
    <row r="1044" spans="31:31" customFormat="1">
      <c r="AE1044" s="3649"/>
    </row>
    <row r="1045" spans="31:31" customFormat="1">
      <c r="AE1045" s="3649"/>
    </row>
    <row r="1046" spans="31:31" customFormat="1">
      <c r="AE1046" s="3649"/>
    </row>
    <row r="1047" spans="31:31" customFormat="1">
      <c r="AE1047" s="3649"/>
    </row>
    <row r="1048" spans="31:31" customFormat="1">
      <c r="AE1048" s="3649"/>
    </row>
    <row r="1049" spans="31:31" customFormat="1">
      <c r="AE1049" s="3649"/>
    </row>
    <row r="1050" spans="31:31" customFormat="1">
      <c r="AE1050" s="3649"/>
    </row>
    <row r="1051" spans="31:31" customFormat="1">
      <c r="AE1051" s="3649"/>
    </row>
    <row r="1052" spans="31:31" customFormat="1">
      <c r="AE1052" s="3649"/>
    </row>
    <row r="1053" spans="31:31" customFormat="1">
      <c r="AE1053" s="3649"/>
    </row>
    <row r="1054" spans="31:31" customFormat="1">
      <c r="AE1054" s="3649"/>
    </row>
    <row r="1055" spans="31:31" customFormat="1">
      <c r="AE1055" s="3649"/>
    </row>
    <row r="1056" spans="31:31" customFormat="1">
      <c r="AE1056" s="3649"/>
    </row>
    <row r="1057" spans="31:31" customFormat="1">
      <c r="AE1057" s="3649"/>
    </row>
    <row r="1058" spans="31:31" customFormat="1">
      <c r="AE1058" s="3649"/>
    </row>
    <row r="1059" spans="31:31" customFormat="1">
      <c r="AE1059" s="3649"/>
    </row>
    <row r="1060" spans="31:31" customFormat="1">
      <c r="AE1060" s="3649"/>
    </row>
    <row r="1061" spans="31:31" customFormat="1">
      <c r="AE1061" s="3649"/>
    </row>
    <row r="1062" spans="31:31" customFormat="1">
      <c r="AE1062" s="3649"/>
    </row>
    <row r="1063" spans="31:31" customFormat="1">
      <c r="AE1063" s="3649"/>
    </row>
    <row r="1064" spans="31:31" customFormat="1">
      <c r="AE1064" s="3649"/>
    </row>
    <row r="1065" spans="31:31" customFormat="1">
      <c r="AE1065" s="3649"/>
    </row>
    <row r="1066" spans="31:31" customFormat="1">
      <c r="AE1066" s="3649"/>
    </row>
    <row r="1067" spans="31:31" customFormat="1">
      <c r="AE1067" s="3649"/>
    </row>
    <row r="1068" spans="31:31" customFormat="1">
      <c r="AE1068" s="3649"/>
    </row>
    <row r="1069" spans="31:31" customFormat="1">
      <c r="AE1069" s="3649"/>
    </row>
    <row r="1070" spans="31:31" customFormat="1">
      <c r="AE1070" s="3649"/>
    </row>
    <row r="1071" spans="31:31" customFormat="1">
      <c r="AE1071" s="3649"/>
    </row>
    <row r="1072" spans="31:31" customFormat="1">
      <c r="AE1072" s="3649"/>
    </row>
    <row r="1073" spans="31:31" customFormat="1">
      <c r="AE1073" s="3649"/>
    </row>
    <row r="1074" spans="31:31" customFormat="1">
      <c r="AE1074" s="3649"/>
    </row>
    <row r="1075" spans="31:31" customFormat="1">
      <c r="AE1075" s="3649"/>
    </row>
    <row r="1076" spans="31:31" customFormat="1">
      <c r="AE1076" s="3649"/>
    </row>
    <row r="1077" spans="31:31" customFormat="1">
      <c r="AE1077" s="3649"/>
    </row>
    <row r="1078" spans="31:31" customFormat="1">
      <c r="AE1078" s="3649"/>
    </row>
    <row r="1079" spans="31:31" customFormat="1">
      <c r="AE1079" s="3649"/>
    </row>
    <row r="1080" spans="31:31" customFormat="1">
      <c r="AE1080" s="3649"/>
    </row>
    <row r="1081" spans="31:31" customFormat="1">
      <c r="AE1081" s="3649"/>
    </row>
    <row r="1082" spans="31:31" customFormat="1">
      <c r="AE1082" s="3649"/>
    </row>
    <row r="1083" spans="31:31" customFormat="1">
      <c r="AE1083" s="3649"/>
    </row>
    <row r="1084" spans="31:31" customFormat="1">
      <c r="AE1084" s="3649"/>
    </row>
    <row r="1085" spans="31:31" customFormat="1">
      <c r="AE1085" s="3649"/>
    </row>
    <row r="1086" spans="31:31" customFormat="1">
      <c r="AE1086" s="3649"/>
    </row>
    <row r="1087" spans="31:31" customFormat="1">
      <c r="AE1087" s="3649"/>
    </row>
    <row r="1088" spans="31:31" customFormat="1">
      <c r="AE1088" s="3649"/>
    </row>
    <row r="1089" spans="31:31" customFormat="1">
      <c r="AE1089" s="3649"/>
    </row>
    <row r="1090" spans="31:31" customFormat="1">
      <c r="AE1090" s="3649"/>
    </row>
    <row r="1091" spans="31:31" customFormat="1">
      <c r="AE1091" s="3649"/>
    </row>
    <row r="1092" spans="31:31" customFormat="1">
      <c r="AE1092" s="3649"/>
    </row>
    <row r="1093" spans="31:31" customFormat="1">
      <c r="AE1093" s="3649"/>
    </row>
    <row r="1094" spans="31:31" customFormat="1">
      <c r="AE1094" s="3649"/>
    </row>
    <row r="1095" spans="31:31" customFormat="1">
      <c r="AE1095" s="3649"/>
    </row>
    <row r="1096" spans="31:31" customFormat="1">
      <c r="AE1096" s="3649"/>
    </row>
    <row r="1097" spans="31:31" customFormat="1">
      <c r="AE1097" s="3649"/>
    </row>
    <row r="1098" spans="31:31" customFormat="1">
      <c r="AE1098" s="3649"/>
    </row>
    <row r="1099" spans="31:31" customFormat="1">
      <c r="AE1099" s="3649"/>
    </row>
    <row r="1100" spans="31:31" customFormat="1">
      <c r="AE1100" s="3649"/>
    </row>
    <row r="1101" spans="31:31" customFormat="1">
      <c r="AE1101" s="3649"/>
    </row>
    <row r="1102" spans="31:31" customFormat="1">
      <c r="AE1102" s="3649"/>
    </row>
    <row r="1103" spans="31:31" customFormat="1">
      <c r="AE1103" s="3649"/>
    </row>
    <row r="1104" spans="31:31" customFormat="1">
      <c r="AE1104" s="3649"/>
    </row>
    <row r="1105" spans="31:31" customFormat="1">
      <c r="AE1105" s="3649"/>
    </row>
    <row r="1106" spans="31:31" customFormat="1">
      <c r="AE1106" s="3649"/>
    </row>
    <row r="1107" spans="31:31" customFormat="1">
      <c r="AE1107" s="3649"/>
    </row>
    <row r="1108" spans="31:31" customFormat="1">
      <c r="AE1108" s="3649"/>
    </row>
    <row r="1109" spans="31:31" customFormat="1">
      <c r="AE1109" s="3649"/>
    </row>
    <row r="1110" spans="31:31" customFormat="1">
      <c r="AE1110" s="3649"/>
    </row>
    <row r="1111" spans="31:31" customFormat="1">
      <c r="AE1111" s="3649"/>
    </row>
    <row r="1112" spans="31:31" customFormat="1">
      <c r="AE1112" s="3649"/>
    </row>
    <row r="1113" spans="31:31" customFormat="1">
      <c r="AE1113" s="3649"/>
    </row>
    <row r="1114" spans="31:31" customFormat="1">
      <c r="AE1114" s="3649"/>
    </row>
    <row r="1115" spans="31:31" customFormat="1">
      <c r="AE1115" s="3649"/>
    </row>
    <row r="1116" spans="31:31" customFormat="1">
      <c r="AE1116" s="3649"/>
    </row>
    <row r="1117" spans="31:31" customFormat="1">
      <c r="AE1117" s="3649"/>
    </row>
    <row r="1118" spans="31:31" customFormat="1">
      <c r="AE1118" s="3649"/>
    </row>
    <row r="1119" spans="31:31" customFormat="1">
      <c r="AE1119" s="3649"/>
    </row>
    <row r="1120" spans="31:31" customFormat="1">
      <c r="AE1120" s="3649"/>
    </row>
    <row r="1121" spans="31:31" customFormat="1">
      <c r="AE1121" s="3649"/>
    </row>
    <row r="1122" spans="31:31" customFormat="1">
      <c r="AE1122" s="3649"/>
    </row>
    <row r="1123" spans="31:31" customFormat="1">
      <c r="AE1123" s="3649"/>
    </row>
    <row r="1124" spans="31:31" customFormat="1">
      <c r="AE1124" s="3649"/>
    </row>
    <row r="1125" spans="31:31" customFormat="1">
      <c r="AE1125" s="3649"/>
    </row>
    <row r="1126" spans="31:31" customFormat="1">
      <c r="AE1126" s="3649"/>
    </row>
    <row r="1127" spans="31:31" customFormat="1">
      <c r="AE1127" s="3649"/>
    </row>
    <row r="1128" spans="31:31" customFormat="1">
      <c r="AE1128" s="3649"/>
    </row>
    <row r="1129" spans="31:31" customFormat="1">
      <c r="AE1129" s="3649"/>
    </row>
    <row r="1130" spans="31:31" customFormat="1">
      <c r="AE1130" s="3649"/>
    </row>
    <row r="1131" spans="31:31" customFormat="1">
      <c r="AE1131" s="3649"/>
    </row>
    <row r="1132" spans="31:31" customFormat="1">
      <c r="AE1132" s="3649"/>
    </row>
    <row r="1133" spans="31:31" customFormat="1">
      <c r="AE1133" s="3649"/>
    </row>
    <row r="1134" spans="31:31" customFormat="1">
      <c r="AE1134" s="3649"/>
    </row>
    <row r="1135" spans="31:31" customFormat="1">
      <c r="AE1135" s="3649"/>
    </row>
    <row r="1136" spans="31:31" customFormat="1">
      <c r="AE1136" s="3649"/>
    </row>
    <row r="1137" spans="31:31" customFormat="1">
      <c r="AE1137" s="3649"/>
    </row>
    <row r="1138" spans="31:31" customFormat="1">
      <c r="AE1138" s="3649"/>
    </row>
    <row r="1139" spans="31:31" customFormat="1">
      <c r="AE1139" s="3649"/>
    </row>
    <row r="1140" spans="31:31" customFormat="1">
      <c r="AE1140" s="3649"/>
    </row>
    <row r="1141" spans="31:31" customFormat="1">
      <c r="AE1141" s="3649"/>
    </row>
    <row r="1142" spans="31:31" customFormat="1">
      <c r="AE1142" s="3649"/>
    </row>
    <row r="1143" spans="31:31" customFormat="1">
      <c r="AE1143" s="3649"/>
    </row>
    <row r="1144" spans="31:31" customFormat="1">
      <c r="AE1144" s="3649"/>
    </row>
    <row r="1145" spans="31:31" customFormat="1">
      <c r="AE1145" s="3649"/>
    </row>
    <row r="1146" spans="31:31" customFormat="1">
      <c r="AE1146" s="3649"/>
    </row>
    <row r="1147" spans="31:31" customFormat="1">
      <c r="AE1147" s="3649"/>
    </row>
    <row r="1148" spans="31:31" customFormat="1">
      <c r="AE1148" s="3649"/>
    </row>
    <row r="1149" spans="31:31" customFormat="1">
      <c r="AE1149" s="3649"/>
    </row>
    <row r="1150" spans="31:31" customFormat="1">
      <c r="AE1150" s="3649"/>
    </row>
    <row r="1151" spans="31:31" customFormat="1">
      <c r="AE1151" s="3649"/>
    </row>
    <row r="1152" spans="31:31" customFormat="1">
      <c r="AE1152" s="3649"/>
    </row>
    <row r="1153" spans="31:31" customFormat="1">
      <c r="AE1153" s="3649"/>
    </row>
    <row r="1154" spans="31:31" customFormat="1">
      <c r="AE1154" s="3649"/>
    </row>
    <row r="1155" spans="31:31" customFormat="1">
      <c r="AE1155" s="3649"/>
    </row>
    <row r="1156" spans="31:31" customFormat="1">
      <c r="AE1156" s="3649"/>
    </row>
    <row r="1157" spans="31:31" customFormat="1">
      <c r="AE1157" s="3649"/>
    </row>
    <row r="1158" spans="31:31" customFormat="1">
      <c r="AE1158" s="3649"/>
    </row>
    <row r="1159" spans="31:31" customFormat="1">
      <c r="AE1159" s="3649"/>
    </row>
    <row r="1160" spans="31:31" customFormat="1">
      <c r="AE1160" s="3649"/>
    </row>
    <row r="1161" spans="31:31" customFormat="1">
      <c r="AE1161" s="3649"/>
    </row>
    <row r="1162" spans="31:31" customFormat="1">
      <c r="AE1162" s="3649"/>
    </row>
    <row r="1163" spans="31:31" customFormat="1">
      <c r="AE1163" s="3649"/>
    </row>
    <row r="1164" spans="31:31" customFormat="1">
      <c r="AE1164" s="3649"/>
    </row>
    <row r="1165" spans="31:31" customFormat="1">
      <c r="AE1165" s="3649"/>
    </row>
    <row r="1166" spans="31:31" customFormat="1">
      <c r="AE1166" s="3649"/>
    </row>
    <row r="1167" spans="31:31" customFormat="1">
      <c r="AE1167" s="3649"/>
    </row>
    <row r="1168" spans="31:31" customFormat="1">
      <c r="AE1168" s="3649"/>
    </row>
    <row r="1169" spans="31:31" customFormat="1">
      <c r="AE1169" s="3649"/>
    </row>
    <row r="1170" spans="31:31" customFormat="1">
      <c r="AE1170" s="3649"/>
    </row>
    <row r="1171" spans="31:31" customFormat="1">
      <c r="AE1171" s="3649"/>
    </row>
    <row r="1172" spans="31:31" customFormat="1">
      <c r="AE1172" s="3649"/>
    </row>
    <row r="1173" spans="31:31" customFormat="1">
      <c r="AE1173" s="3649"/>
    </row>
    <row r="1174" spans="31:31" customFormat="1">
      <c r="AE1174" s="3649"/>
    </row>
    <row r="1175" spans="31:31" customFormat="1">
      <c r="AE1175" s="3649"/>
    </row>
    <row r="1176" spans="31:31" customFormat="1">
      <c r="AE1176" s="3649"/>
    </row>
    <row r="1177" spans="31:31" customFormat="1">
      <c r="AE1177" s="3649"/>
    </row>
    <row r="1178" spans="31:31" customFormat="1">
      <c r="AE1178" s="3649"/>
    </row>
    <row r="1179" spans="31:31" customFormat="1">
      <c r="AE1179" s="3649"/>
    </row>
    <row r="1180" spans="31:31" customFormat="1">
      <c r="AE1180" s="3649"/>
    </row>
    <row r="1181" spans="31:31" customFormat="1">
      <c r="AE1181" s="3649"/>
    </row>
    <row r="1182" spans="31:31" customFormat="1">
      <c r="AE1182" s="3649"/>
    </row>
    <row r="1183" spans="31:31" customFormat="1">
      <c r="AE1183" s="3649"/>
    </row>
    <row r="1184" spans="31:31" customFormat="1">
      <c r="AE1184" s="3649"/>
    </row>
    <row r="1185" spans="31:31" customFormat="1">
      <c r="AE1185" s="3649"/>
    </row>
    <row r="1186" spans="31:31" customFormat="1">
      <c r="AE1186" s="3649"/>
    </row>
    <row r="1187" spans="31:31" customFormat="1">
      <c r="AE1187" s="3649"/>
    </row>
    <row r="1188" spans="31:31" customFormat="1">
      <c r="AE1188" s="3649"/>
    </row>
    <row r="1189" spans="31:31" customFormat="1">
      <c r="AE1189" s="3649"/>
    </row>
    <row r="1190" spans="31:31" customFormat="1">
      <c r="AE1190" s="3649"/>
    </row>
    <row r="1191" spans="31:31" customFormat="1">
      <c r="AE1191" s="3649"/>
    </row>
    <row r="1192" spans="31:31" customFormat="1">
      <c r="AE1192" s="3649"/>
    </row>
    <row r="1193" spans="31:31" customFormat="1">
      <c r="AE1193" s="3649"/>
    </row>
    <row r="1194" spans="31:31" customFormat="1">
      <c r="AE1194" s="3649"/>
    </row>
    <row r="1195" spans="31:31" customFormat="1">
      <c r="AE1195" s="3649"/>
    </row>
    <row r="1196" spans="31:31" customFormat="1">
      <c r="AE1196" s="3649"/>
    </row>
    <row r="1197" spans="31:31" customFormat="1">
      <c r="AE1197" s="3649"/>
    </row>
    <row r="1198" spans="31:31" customFormat="1">
      <c r="AE1198" s="3649"/>
    </row>
    <row r="1199" spans="31:31" customFormat="1">
      <c r="AE1199" s="3649"/>
    </row>
    <row r="1200" spans="31:31" customFormat="1">
      <c r="AE1200" s="3649"/>
    </row>
    <row r="1201" spans="31:31" customFormat="1">
      <c r="AE1201" s="3649"/>
    </row>
    <row r="1202" spans="31:31" customFormat="1">
      <c r="AE1202" s="3649"/>
    </row>
    <row r="1203" spans="31:31" customFormat="1">
      <c r="AE1203" s="3649"/>
    </row>
    <row r="1204" spans="31:31" customFormat="1">
      <c r="AE1204" s="3649"/>
    </row>
    <row r="1205" spans="31:31" customFormat="1">
      <c r="AE1205" s="3649"/>
    </row>
    <row r="1206" spans="31:31" customFormat="1">
      <c r="AE1206" s="3649"/>
    </row>
    <row r="1207" spans="31:31" customFormat="1">
      <c r="AE1207" s="3649"/>
    </row>
    <row r="1208" spans="31:31" customFormat="1">
      <c r="AE1208" s="3649"/>
    </row>
    <row r="1209" spans="31:31" customFormat="1">
      <c r="AE1209" s="3649"/>
    </row>
    <row r="1210" spans="31:31" customFormat="1">
      <c r="AE1210" s="3649"/>
    </row>
    <row r="1211" spans="31:31" customFormat="1">
      <c r="AE1211" s="3649"/>
    </row>
    <row r="1212" spans="31:31" customFormat="1">
      <c r="AE1212" s="3649"/>
    </row>
    <row r="1213" spans="31:31" customFormat="1">
      <c r="AE1213" s="3649"/>
    </row>
    <row r="1214" spans="31:31" customFormat="1">
      <c r="AE1214" s="3649"/>
    </row>
    <row r="1215" spans="31:31" customFormat="1">
      <c r="AE1215" s="3649"/>
    </row>
    <row r="1216" spans="31:31" customFormat="1">
      <c r="AE1216" s="3649"/>
    </row>
    <row r="1217" spans="31:31" customFormat="1">
      <c r="AE1217" s="3649"/>
    </row>
    <row r="1218" spans="31:31" customFormat="1">
      <c r="AE1218" s="3649"/>
    </row>
    <row r="1219" spans="31:31" customFormat="1">
      <c r="AE1219" s="3649"/>
    </row>
    <row r="1220" spans="31:31" customFormat="1">
      <c r="AE1220" s="3649"/>
    </row>
    <row r="1221" spans="31:31" customFormat="1">
      <c r="AE1221" s="3649"/>
    </row>
    <row r="1222" spans="31:31" customFormat="1">
      <c r="AE1222" s="3649"/>
    </row>
    <row r="1223" spans="31:31" customFormat="1">
      <c r="AE1223" s="3649"/>
    </row>
    <row r="1224" spans="31:31" customFormat="1">
      <c r="AE1224" s="3649"/>
    </row>
    <row r="1225" spans="31:31" customFormat="1">
      <c r="AE1225" s="3649"/>
    </row>
    <row r="1226" spans="31:31" customFormat="1">
      <c r="AE1226" s="3649"/>
    </row>
    <row r="1227" spans="31:31" customFormat="1">
      <c r="AE1227" s="3649"/>
    </row>
    <row r="1228" spans="31:31" customFormat="1">
      <c r="AE1228" s="3649"/>
    </row>
    <row r="1229" spans="31:31" customFormat="1">
      <c r="AE1229" s="3649"/>
    </row>
    <row r="1230" spans="31:31" customFormat="1">
      <c r="AE1230" s="3649"/>
    </row>
    <row r="1231" spans="31:31" customFormat="1">
      <c r="AE1231" s="3649"/>
    </row>
    <row r="1232" spans="31:31" customFormat="1">
      <c r="AE1232" s="3649"/>
    </row>
    <row r="1233" spans="31:31" customFormat="1">
      <c r="AE1233" s="3649"/>
    </row>
    <row r="1234" spans="31:31" customFormat="1">
      <c r="AE1234" s="3649"/>
    </row>
    <row r="1235" spans="31:31" customFormat="1">
      <c r="AE1235" s="3649"/>
    </row>
    <row r="1236" spans="31:31" customFormat="1">
      <c r="AE1236" s="3649"/>
    </row>
    <row r="1237" spans="31:31" customFormat="1">
      <c r="AE1237" s="3649"/>
    </row>
    <row r="1238" spans="31:31" customFormat="1">
      <c r="AE1238" s="3649"/>
    </row>
    <row r="1239" spans="31:31" customFormat="1">
      <c r="AE1239" s="3649"/>
    </row>
    <row r="1240" spans="31:31" customFormat="1">
      <c r="AE1240" s="3649"/>
    </row>
    <row r="1241" spans="31:31" customFormat="1">
      <c r="AE1241" s="3649"/>
    </row>
    <row r="1242" spans="31:31" customFormat="1">
      <c r="AE1242" s="3649"/>
    </row>
    <row r="1243" spans="31:31" customFormat="1">
      <c r="AE1243" s="3649"/>
    </row>
    <row r="1244" spans="31:31" customFormat="1">
      <c r="AE1244" s="3649"/>
    </row>
    <row r="1245" spans="31:31" customFormat="1">
      <c r="AE1245" s="3649"/>
    </row>
    <row r="1246" spans="31:31" customFormat="1">
      <c r="AE1246" s="3649"/>
    </row>
    <row r="1247" spans="31:31" customFormat="1">
      <c r="AE1247" s="3649"/>
    </row>
    <row r="1248" spans="31:31" customFormat="1">
      <c r="AE1248" s="3649"/>
    </row>
    <row r="1249" spans="31:31" customFormat="1">
      <c r="AE1249" s="3649"/>
    </row>
    <row r="1250" spans="31:31" customFormat="1">
      <c r="AE1250" s="3649"/>
    </row>
    <row r="1251" spans="31:31" customFormat="1">
      <c r="AE1251" s="3649"/>
    </row>
    <row r="1252" spans="31:31" customFormat="1">
      <c r="AE1252" s="3649"/>
    </row>
    <row r="1253" spans="31:31" customFormat="1">
      <c r="AE1253" s="3649"/>
    </row>
    <row r="1254" spans="31:31" customFormat="1">
      <c r="AE1254" s="3649"/>
    </row>
    <row r="1255" spans="31:31" customFormat="1">
      <c r="AE1255" s="3649"/>
    </row>
    <row r="1256" spans="31:31" customFormat="1">
      <c r="AE1256" s="3649"/>
    </row>
    <row r="1257" spans="31:31" customFormat="1">
      <c r="AE1257" s="3649"/>
    </row>
    <row r="1258" spans="31:31" customFormat="1">
      <c r="AE1258" s="3649"/>
    </row>
    <row r="1259" spans="31:31" customFormat="1">
      <c r="AE1259" s="3649"/>
    </row>
    <row r="1260" spans="31:31" customFormat="1">
      <c r="AE1260" s="3649"/>
    </row>
    <row r="1261" spans="31:31" customFormat="1">
      <c r="AE1261" s="3649"/>
    </row>
    <row r="1262" spans="31:31" customFormat="1">
      <c r="AE1262" s="3649"/>
    </row>
    <row r="1263" spans="31:31" customFormat="1">
      <c r="AE1263" s="3649"/>
    </row>
    <row r="1264" spans="31:31" customFormat="1">
      <c r="AE1264" s="3649"/>
    </row>
    <row r="1265" spans="31:31" customFormat="1">
      <c r="AE1265" s="3649"/>
    </row>
    <row r="1266" spans="31:31" customFormat="1">
      <c r="AE1266" s="3649"/>
    </row>
    <row r="1267" spans="31:31" customFormat="1">
      <c r="AE1267" s="3649"/>
    </row>
    <row r="1268" spans="31:31" customFormat="1">
      <c r="AE1268" s="3649"/>
    </row>
    <row r="1269" spans="31:31" customFormat="1">
      <c r="AE1269" s="3649"/>
    </row>
    <row r="1270" spans="31:31" customFormat="1">
      <c r="AE1270" s="3649"/>
    </row>
    <row r="1271" spans="31:31" customFormat="1">
      <c r="AE1271" s="3649"/>
    </row>
    <row r="1272" spans="31:31" customFormat="1">
      <c r="AE1272" s="3649"/>
    </row>
    <row r="1273" spans="31:31" customFormat="1">
      <c r="AE1273" s="3649"/>
    </row>
    <row r="1274" spans="31:31" customFormat="1">
      <c r="AE1274" s="3649"/>
    </row>
    <row r="1275" spans="31:31" customFormat="1">
      <c r="AE1275" s="3649"/>
    </row>
    <row r="1276" spans="31:31" customFormat="1">
      <c r="AE1276" s="3649"/>
    </row>
    <row r="1277" spans="31:31" customFormat="1">
      <c r="AE1277" s="3649"/>
    </row>
    <row r="1278" spans="31:31" customFormat="1">
      <c r="AE1278" s="3649"/>
    </row>
    <row r="1279" spans="31:31" customFormat="1">
      <c r="AE1279" s="3649"/>
    </row>
    <row r="1280" spans="31:31" customFormat="1">
      <c r="AE1280" s="3649"/>
    </row>
    <row r="1281" spans="31:31" customFormat="1">
      <c r="AE1281" s="3649"/>
    </row>
    <row r="1282" spans="31:31" customFormat="1">
      <c r="AE1282" s="3649"/>
    </row>
    <row r="1283" spans="31:31" customFormat="1">
      <c r="AE1283" s="3649"/>
    </row>
    <row r="1284" spans="31:31" customFormat="1">
      <c r="AE1284" s="3649"/>
    </row>
    <row r="1285" spans="31:31" customFormat="1">
      <c r="AE1285" s="3649"/>
    </row>
    <row r="1286" spans="31:31" customFormat="1">
      <c r="AE1286" s="3649"/>
    </row>
    <row r="1287" spans="31:31" customFormat="1">
      <c r="AE1287" s="3649"/>
    </row>
    <row r="1288" spans="31:31" customFormat="1">
      <c r="AE1288" s="3649"/>
    </row>
    <row r="1289" spans="31:31" customFormat="1">
      <c r="AE1289" s="3649"/>
    </row>
    <row r="1290" spans="31:31" customFormat="1">
      <c r="AE1290" s="3649"/>
    </row>
    <row r="1291" spans="31:31" customFormat="1">
      <c r="AE1291" s="3649"/>
    </row>
    <row r="1292" spans="31:31" customFormat="1">
      <c r="AE1292" s="3649"/>
    </row>
    <row r="1293" spans="31:31" customFormat="1">
      <c r="AE1293" s="3649"/>
    </row>
    <row r="1294" spans="31:31" customFormat="1">
      <c r="AE1294" s="3649"/>
    </row>
    <row r="1295" spans="31:31" customFormat="1">
      <c r="AE1295" s="3649"/>
    </row>
    <row r="1296" spans="31:31" customFormat="1">
      <c r="AE1296" s="3649"/>
    </row>
    <row r="1297" spans="31:31" customFormat="1">
      <c r="AE1297" s="3649"/>
    </row>
    <row r="1298" spans="31:31" customFormat="1">
      <c r="AE1298" s="3649"/>
    </row>
    <row r="1299" spans="31:31" customFormat="1">
      <c r="AE1299" s="3649"/>
    </row>
    <row r="1300" spans="31:31" customFormat="1">
      <c r="AE1300" s="3649"/>
    </row>
    <row r="1301" spans="31:31" customFormat="1">
      <c r="AE1301" s="3649"/>
    </row>
    <row r="1302" spans="31:31" customFormat="1">
      <c r="AE1302" s="3649"/>
    </row>
    <row r="1303" spans="31:31" customFormat="1">
      <c r="AE1303" s="3649"/>
    </row>
    <row r="1304" spans="31:31" customFormat="1">
      <c r="AE1304" s="3649"/>
    </row>
    <row r="1305" spans="31:31" customFormat="1">
      <c r="AE1305" s="3649"/>
    </row>
    <row r="1306" spans="31:31" customFormat="1">
      <c r="AE1306" s="3649"/>
    </row>
    <row r="1307" spans="31:31" customFormat="1">
      <c r="AE1307" s="3649"/>
    </row>
    <row r="1308" spans="31:31" customFormat="1">
      <c r="AE1308" s="3649"/>
    </row>
    <row r="1309" spans="31:31" customFormat="1">
      <c r="AE1309" s="3649"/>
    </row>
    <row r="1310" spans="31:31" customFormat="1">
      <c r="AE1310" s="3649"/>
    </row>
    <row r="1311" spans="31:31" customFormat="1">
      <c r="AE1311" s="3649"/>
    </row>
    <row r="1312" spans="31:31" customFormat="1">
      <c r="AE1312" s="3649"/>
    </row>
    <row r="1313" spans="31:31" customFormat="1">
      <c r="AE1313" s="3649"/>
    </row>
    <row r="1314" spans="31:31" customFormat="1">
      <c r="AE1314" s="3649"/>
    </row>
    <row r="1315" spans="31:31" customFormat="1">
      <c r="AE1315" s="3649"/>
    </row>
    <row r="1316" spans="31:31" customFormat="1">
      <c r="AE1316" s="3649"/>
    </row>
    <row r="1317" spans="31:31" customFormat="1">
      <c r="AE1317" s="3649"/>
    </row>
    <row r="1318" spans="31:31" customFormat="1">
      <c r="AE1318" s="3649"/>
    </row>
    <row r="1319" spans="31:31" customFormat="1">
      <c r="AE1319" s="3649"/>
    </row>
    <row r="1320" spans="31:31" customFormat="1">
      <c r="AE1320" s="3649"/>
    </row>
    <row r="1321" spans="31:31" customFormat="1">
      <c r="AE1321" s="3649"/>
    </row>
    <row r="1322" spans="31:31" customFormat="1">
      <c r="AE1322" s="3649"/>
    </row>
    <row r="1323" spans="31:31" customFormat="1">
      <c r="AE1323" s="3649"/>
    </row>
    <row r="1324" spans="31:31" customFormat="1">
      <c r="AE1324" s="3649"/>
    </row>
    <row r="1325" spans="31:31" customFormat="1">
      <c r="AE1325" s="3649"/>
    </row>
    <row r="1326" spans="31:31" customFormat="1">
      <c r="AE1326" s="3649"/>
    </row>
    <row r="1327" spans="31:31" customFormat="1">
      <c r="AE1327" s="3649"/>
    </row>
    <row r="1328" spans="31:31" customFormat="1">
      <c r="AE1328" s="3649"/>
    </row>
    <row r="1329" spans="31:31" customFormat="1">
      <c r="AE1329" s="3649"/>
    </row>
    <row r="1330" spans="31:31" customFormat="1">
      <c r="AE1330" s="3649"/>
    </row>
    <row r="1331" spans="31:31" customFormat="1">
      <c r="AE1331" s="3649"/>
    </row>
    <row r="1332" spans="31:31" customFormat="1">
      <c r="AE1332" s="3649"/>
    </row>
    <row r="1333" spans="31:31" customFormat="1">
      <c r="AE1333" s="3649"/>
    </row>
    <row r="1334" spans="31:31" customFormat="1">
      <c r="AE1334" s="3649"/>
    </row>
    <row r="1335" spans="31:31" customFormat="1">
      <c r="AE1335" s="3649"/>
    </row>
    <row r="1336" spans="31:31" customFormat="1">
      <c r="AE1336" s="3649"/>
    </row>
    <row r="1337" spans="31:31" customFormat="1">
      <c r="AE1337" s="3649"/>
    </row>
    <row r="1338" spans="31:31" customFormat="1">
      <c r="AE1338" s="3649"/>
    </row>
    <row r="1339" spans="31:31" customFormat="1">
      <c r="AE1339" s="3649"/>
    </row>
    <row r="1340" spans="31:31" customFormat="1">
      <c r="AE1340" s="3649"/>
    </row>
    <row r="1341" spans="31:31" customFormat="1">
      <c r="AE1341" s="3649"/>
    </row>
    <row r="1342" spans="31:31" customFormat="1">
      <c r="AE1342" s="3649"/>
    </row>
    <row r="1343" spans="31:31" customFormat="1">
      <c r="AE1343" s="3649"/>
    </row>
    <row r="1344" spans="31:31" customFormat="1">
      <c r="AE1344" s="3649"/>
    </row>
    <row r="1345" spans="31:31" customFormat="1">
      <c r="AE1345" s="3649"/>
    </row>
    <row r="1346" spans="31:31" customFormat="1">
      <c r="AE1346" s="3649"/>
    </row>
    <row r="1347" spans="31:31" customFormat="1">
      <c r="AE1347" s="3649"/>
    </row>
    <row r="1348" spans="31:31" customFormat="1">
      <c r="AE1348" s="3649"/>
    </row>
    <row r="1349" spans="31:31" customFormat="1">
      <c r="AE1349" s="3649"/>
    </row>
    <row r="1350" spans="31:31" customFormat="1">
      <c r="AE1350" s="3649"/>
    </row>
    <row r="1351" spans="31:31" customFormat="1">
      <c r="AE1351" s="3649"/>
    </row>
    <row r="1352" spans="31:31" customFormat="1">
      <c r="AE1352" s="3649"/>
    </row>
    <row r="1353" spans="31:31" customFormat="1">
      <c r="AE1353" s="3649"/>
    </row>
    <row r="1354" spans="31:31" customFormat="1">
      <c r="AE1354" s="3649"/>
    </row>
    <row r="1355" spans="31:31" customFormat="1">
      <c r="AE1355" s="3649"/>
    </row>
    <row r="1356" spans="31:31" customFormat="1">
      <c r="AE1356" s="3649"/>
    </row>
    <row r="1357" spans="31:31" customFormat="1">
      <c r="AE1357" s="3649"/>
    </row>
    <row r="1358" spans="31:31" customFormat="1">
      <c r="AE1358" s="3649"/>
    </row>
    <row r="1359" spans="31:31" customFormat="1">
      <c r="AE1359" s="3649"/>
    </row>
    <row r="1360" spans="31:31" customFormat="1">
      <c r="AE1360" s="3649"/>
    </row>
    <row r="1361" spans="31:31" customFormat="1">
      <c r="AE1361" s="3649"/>
    </row>
    <row r="1362" spans="31:31" customFormat="1">
      <c r="AE1362" s="3649"/>
    </row>
    <row r="1363" spans="31:31" customFormat="1">
      <c r="AE1363" s="3649"/>
    </row>
    <row r="1364" spans="31:31" customFormat="1">
      <c r="AE1364" s="3649"/>
    </row>
    <row r="1365" spans="31:31" customFormat="1">
      <c r="AE1365" s="3649"/>
    </row>
    <row r="1366" spans="31:31" customFormat="1">
      <c r="AE1366" s="3649"/>
    </row>
    <row r="1367" spans="31:31" customFormat="1">
      <c r="AE1367" s="3649"/>
    </row>
    <row r="1368" spans="31:31" customFormat="1">
      <c r="AE1368" s="3649"/>
    </row>
    <row r="1369" spans="31:31" customFormat="1">
      <c r="AE1369" s="3649"/>
    </row>
    <row r="1370" spans="31:31" customFormat="1">
      <c r="AE1370" s="3649"/>
    </row>
    <row r="1371" spans="31:31" customFormat="1">
      <c r="AE1371" s="3649"/>
    </row>
    <row r="1372" spans="31:31" customFormat="1">
      <c r="AE1372" s="3649"/>
    </row>
    <row r="1373" spans="31:31" customFormat="1">
      <c r="AE1373" s="3649"/>
    </row>
    <row r="1374" spans="31:31" customFormat="1">
      <c r="AE1374" s="3649"/>
    </row>
    <row r="1375" spans="31:31" customFormat="1">
      <c r="AE1375" s="3649"/>
    </row>
    <row r="1376" spans="31:31" customFormat="1">
      <c r="AE1376" s="3649"/>
    </row>
    <row r="1377" spans="31:31" customFormat="1">
      <c r="AE1377" s="3649"/>
    </row>
    <row r="1378" spans="31:31" customFormat="1">
      <c r="AE1378" s="3649"/>
    </row>
    <row r="1379" spans="31:31" customFormat="1">
      <c r="AE1379" s="3649"/>
    </row>
    <row r="1380" spans="31:31" customFormat="1">
      <c r="AE1380" s="3649"/>
    </row>
    <row r="1381" spans="31:31" customFormat="1">
      <c r="AE1381" s="3649"/>
    </row>
    <row r="1382" spans="31:31" customFormat="1">
      <c r="AE1382" s="3649"/>
    </row>
    <row r="1383" spans="31:31" customFormat="1">
      <c r="AE1383" s="3649"/>
    </row>
    <row r="1384" spans="31:31" customFormat="1">
      <c r="AE1384" s="3649"/>
    </row>
    <row r="1385" spans="31:31" customFormat="1">
      <c r="AE1385" s="3649"/>
    </row>
    <row r="1386" spans="31:31" customFormat="1">
      <c r="AE1386" s="3649"/>
    </row>
    <row r="1387" spans="31:31" customFormat="1">
      <c r="AE1387" s="3649"/>
    </row>
    <row r="1388" spans="31:31" customFormat="1">
      <c r="AE1388" s="3649"/>
    </row>
    <row r="1389" spans="31:31" customFormat="1">
      <c r="AE1389" s="3649"/>
    </row>
    <row r="1390" spans="31:31" customFormat="1">
      <c r="AE1390" s="3649"/>
    </row>
    <row r="1391" spans="31:31" customFormat="1">
      <c r="AE1391" s="3649"/>
    </row>
    <row r="1392" spans="31:31" customFormat="1">
      <c r="AE1392" s="3649"/>
    </row>
    <row r="1393" spans="31:31" customFormat="1">
      <c r="AE1393" s="3649"/>
    </row>
    <row r="1394" spans="31:31" customFormat="1">
      <c r="AE1394" s="3649"/>
    </row>
    <row r="1395" spans="31:31" customFormat="1">
      <c r="AE1395" s="3649"/>
    </row>
    <row r="1396" spans="31:31" customFormat="1">
      <c r="AE1396" s="3649"/>
    </row>
    <row r="1397" spans="31:31" customFormat="1">
      <c r="AE1397" s="3649"/>
    </row>
    <row r="1398" spans="31:31" customFormat="1">
      <c r="AE1398" s="3649"/>
    </row>
    <row r="1399" spans="31:31" customFormat="1">
      <c r="AE1399" s="3649"/>
    </row>
    <row r="1400" spans="31:31" customFormat="1">
      <c r="AE1400" s="3649"/>
    </row>
    <row r="1401" spans="31:31" customFormat="1">
      <c r="AE1401" s="3649"/>
    </row>
    <row r="1402" spans="31:31" customFormat="1">
      <c r="AE1402" s="3649"/>
    </row>
    <row r="1403" spans="31:31" customFormat="1">
      <c r="AE1403" s="3649"/>
    </row>
    <row r="1404" spans="31:31" customFormat="1">
      <c r="AE1404" s="3649"/>
    </row>
    <row r="1405" spans="31:31" customFormat="1">
      <c r="AE1405" s="3649"/>
    </row>
    <row r="1406" spans="31:31" customFormat="1">
      <c r="AE1406" s="3649"/>
    </row>
    <row r="1407" spans="31:31" customFormat="1">
      <c r="AE1407" s="3649"/>
    </row>
    <row r="1408" spans="31:31" customFormat="1">
      <c r="AE1408" s="3649"/>
    </row>
    <row r="1409" spans="31:31" customFormat="1">
      <c r="AE1409" s="3649"/>
    </row>
    <row r="1410" spans="31:31" customFormat="1">
      <c r="AE1410" s="3649"/>
    </row>
    <row r="1411" spans="31:31" customFormat="1">
      <c r="AE1411" s="3649"/>
    </row>
    <row r="1412" spans="31:31" customFormat="1">
      <c r="AE1412" s="3649"/>
    </row>
    <row r="1413" spans="31:31" customFormat="1">
      <c r="AE1413" s="3649"/>
    </row>
    <row r="1414" spans="31:31" customFormat="1">
      <c r="AE1414" s="3649"/>
    </row>
    <row r="1415" spans="31:31" customFormat="1">
      <c r="AE1415" s="3649"/>
    </row>
    <row r="1416" spans="31:31" customFormat="1">
      <c r="AE1416" s="3649"/>
    </row>
    <row r="1417" spans="31:31" customFormat="1">
      <c r="AE1417" s="3649"/>
    </row>
    <row r="1418" spans="31:31" customFormat="1">
      <c r="AE1418" s="3649"/>
    </row>
    <row r="1419" spans="31:31" customFormat="1">
      <c r="AE1419" s="3649"/>
    </row>
    <row r="1420" spans="31:31" customFormat="1">
      <c r="AE1420" s="3649"/>
    </row>
    <row r="1421" spans="31:31" customFormat="1">
      <c r="AE1421" s="3649"/>
    </row>
    <row r="1422" spans="31:31" customFormat="1">
      <c r="AE1422" s="3649"/>
    </row>
    <row r="1423" spans="31:31" customFormat="1">
      <c r="AE1423" s="3649"/>
    </row>
    <row r="1424" spans="31:31" customFormat="1">
      <c r="AE1424" s="3649"/>
    </row>
    <row r="1425" spans="31:31" customFormat="1">
      <c r="AE1425" s="3649"/>
    </row>
    <row r="1426" spans="31:31" customFormat="1">
      <c r="AE1426" s="3649"/>
    </row>
    <row r="1427" spans="31:31" customFormat="1">
      <c r="AE1427" s="3649"/>
    </row>
    <row r="1428" spans="31:31" customFormat="1">
      <c r="AE1428" s="3649"/>
    </row>
    <row r="1429" spans="31:31" customFormat="1">
      <c r="AE1429" s="3649"/>
    </row>
    <row r="1430" spans="31:31" customFormat="1">
      <c r="AE1430" s="3649"/>
    </row>
    <row r="1431" spans="31:31" customFormat="1">
      <c r="AE1431" s="3649"/>
    </row>
    <row r="1432" spans="31:31" customFormat="1">
      <c r="AE1432" s="3649"/>
    </row>
    <row r="1433" spans="31:31" customFormat="1">
      <c r="AE1433" s="3649"/>
    </row>
    <row r="1434" spans="31:31" customFormat="1">
      <c r="AE1434" s="3649"/>
    </row>
    <row r="1435" spans="31:31" customFormat="1">
      <c r="AE1435" s="3649"/>
    </row>
    <row r="1436" spans="31:31" customFormat="1">
      <c r="AE1436" s="3649"/>
    </row>
    <row r="1437" spans="31:31" customFormat="1">
      <c r="AE1437" s="3649"/>
    </row>
    <row r="1438" spans="31:31" customFormat="1">
      <c r="AE1438" s="3649"/>
    </row>
    <row r="1439" spans="31:31" customFormat="1">
      <c r="AE1439" s="3649"/>
    </row>
    <row r="1440" spans="31:31" customFormat="1">
      <c r="AE1440" s="3649"/>
    </row>
    <row r="1441" spans="31:31" customFormat="1">
      <c r="AE1441" s="3649"/>
    </row>
    <row r="1442" spans="31:31" customFormat="1">
      <c r="AE1442" s="3649"/>
    </row>
    <row r="1443" spans="31:31" customFormat="1">
      <c r="AE1443" s="3649"/>
    </row>
    <row r="1444" spans="31:31" customFormat="1">
      <c r="AE1444" s="3649"/>
    </row>
    <row r="1445" spans="31:31" customFormat="1">
      <c r="AE1445" s="3649"/>
    </row>
    <row r="1446" spans="31:31" customFormat="1">
      <c r="AE1446" s="3649"/>
    </row>
    <row r="1447" spans="31:31" customFormat="1">
      <c r="AE1447" s="3649"/>
    </row>
    <row r="1448" spans="31:31" customFormat="1">
      <c r="AE1448" s="3649"/>
    </row>
    <row r="1449" spans="31:31" customFormat="1">
      <c r="AE1449" s="3649"/>
    </row>
    <row r="1450" spans="31:31" customFormat="1">
      <c r="AE1450" s="3649"/>
    </row>
    <row r="1451" spans="31:31" customFormat="1">
      <c r="AE1451" s="3649"/>
    </row>
    <row r="1452" spans="31:31" customFormat="1">
      <c r="AE1452" s="3649"/>
    </row>
    <row r="1453" spans="31:31" customFormat="1">
      <c r="AE1453" s="3649"/>
    </row>
    <row r="1454" spans="31:31" customFormat="1">
      <c r="AE1454" s="3649"/>
    </row>
    <row r="1455" spans="31:31" customFormat="1">
      <c r="AE1455" s="3649"/>
    </row>
    <row r="1456" spans="31:31" customFormat="1">
      <c r="AE1456" s="3649"/>
    </row>
    <row r="1457" spans="31:31" customFormat="1">
      <c r="AE1457" s="3649"/>
    </row>
    <row r="1458" spans="31:31" customFormat="1">
      <c r="AE1458" s="3649"/>
    </row>
    <row r="1459" spans="31:31" customFormat="1">
      <c r="AE1459" s="3649"/>
    </row>
    <row r="1460" spans="31:31" customFormat="1">
      <c r="AE1460" s="3649"/>
    </row>
    <row r="1461" spans="31:31" customFormat="1">
      <c r="AE1461" s="3649"/>
    </row>
    <row r="1462" spans="31:31" customFormat="1">
      <c r="AE1462" s="3649"/>
    </row>
    <row r="1463" spans="31:31" customFormat="1">
      <c r="AE1463" s="3649"/>
    </row>
    <row r="1464" spans="31:31" customFormat="1">
      <c r="AE1464" s="3649"/>
    </row>
    <row r="1465" spans="31:31" customFormat="1">
      <c r="AE1465" s="3649"/>
    </row>
    <row r="1466" spans="31:31" customFormat="1">
      <c r="AE1466" s="3649"/>
    </row>
    <row r="1467" spans="31:31" customFormat="1">
      <c r="AE1467" s="3649"/>
    </row>
    <row r="1468" spans="31:31" customFormat="1">
      <c r="AE1468" s="3649"/>
    </row>
    <row r="1469" spans="31:31" customFormat="1">
      <c r="AE1469" s="3649"/>
    </row>
    <row r="1470" spans="31:31" customFormat="1">
      <c r="AE1470" s="3649"/>
    </row>
    <row r="1471" spans="31:31" customFormat="1">
      <c r="AE1471" s="3649"/>
    </row>
    <row r="1472" spans="31:31" customFormat="1">
      <c r="AE1472" s="3649"/>
    </row>
    <row r="1473" spans="31:31" customFormat="1">
      <c r="AE1473" s="3649"/>
    </row>
    <row r="1474" spans="31:31" customFormat="1">
      <c r="AE1474" s="3649"/>
    </row>
    <row r="1475" spans="31:31" customFormat="1">
      <c r="AE1475" s="3649"/>
    </row>
    <row r="1476" spans="31:31" customFormat="1">
      <c r="AE1476" s="3649"/>
    </row>
    <row r="1477" spans="31:31" customFormat="1">
      <c r="AE1477" s="3649"/>
    </row>
    <row r="1478" spans="31:31" customFormat="1">
      <c r="AE1478" s="3649"/>
    </row>
    <row r="1479" spans="31:31" customFormat="1">
      <c r="AE1479" s="3649"/>
    </row>
    <row r="1480" spans="31:31" customFormat="1">
      <c r="AE1480" s="3649"/>
    </row>
    <row r="1481" spans="31:31" customFormat="1">
      <c r="AE1481" s="3649"/>
    </row>
    <row r="1482" spans="31:31" customFormat="1">
      <c r="AE1482" s="3649"/>
    </row>
    <row r="1483" spans="31:31" customFormat="1">
      <c r="AE1483" s="3649"/>
    </row>
    <row r="1484" spans="31:31" customFormat="1">
      <c r="AE1484" s="3649"/>
    </row>
    <row r="1485" spans="31:31" customFormat="1">
      <c r="AE1485" s="3649"/>
    </row>
    <row r="1486" spans="31:31" customFormat="1">
      <c r="AE1486" s="3649"/>
    </row>
    <row r="1487" spans="31:31" customFormat="1">
      <c r="AE1487" s="3649"/>
    </row>
    <row r="1488" spans="31:31" customFormat="1">
      <c r="AE1488" s="3649"/>
    </row>
    <row r="1489" spans="31:31" customFormat="1">
      <c r="AE1489" s="3649"/>
    </row>
    <row r="1490" spans="31:31" customFormat="1">
      <c r="AE1490" s="3649"/>
    </row>
    <row r="1491" spans="31:31" customFormat="1">
      <c r="AE1491" s="3649"/>
    </row>
    <row r="1492" spans="31:31" customFormat="1">
      <c r="AE1492" s="3649"/>
    </row>
    <row r="1493" spans="31:31" customFormat="1">
      <c r="AE1493" s="3649"/>
    </row>
    <row r="1494" spans="31:31" customFormat="1">
      <c r="AE1494" s="3649"/>
    </row>
    <row r="1495" spans="31:31" customFormat="1">
      <c r="AE1495" s="3649"/>
    </row>
    <row r="1496" spans="31:31" customFormat="1">
      <c r="AE1496" s="3649"/>
    </row>
    <row r="1497" spans="31:31" customFormat="1">
      <c r="AE1497" s="3649"/>
    </row>
    <row r="1498" spans="31:31" customFormat="1">
      <c r="AE1498" s="3649"/>
    </row>
    <row r="1499" spans="31:31" customFormat="1">
      <c r="AE1499" s="3649"/>
    </row>
    <row r="1500" spans="31:31" customFormat="1">
      <c r="AE1500" s="3649"/>
    </row>
    <row r="1501" spans="31:31" customFormat="1">
      <c r="AE1501" s="3649"/>
    </row>
    <row r="1502" spans="31:31" customFormat="1">
      <c r="AE1502" s="3649"/>
    </row>
    <row r="1503" spans="31:31" customFormat="1">
      <c r="AE1503" s="3649"/>
    </row>
    <row r="1504" spans="31:31" customFormat="1">
      <c r="AE1504" s="3649"/>
    </row>
    <row r="1505" spans="31:31" customFormat="1">
      <c r="AE1505" s="3649"/>
    </row>
    <row r="1506" spans="31:31" customFormat="1">
      <c r="AE1506" s="3649"/>
    </row>
    <row r="1507" spans="31:31" customFormat="1">
      <c r="AE1507" s="3649"/>
    </row>
    <row r="1508" spans="31:31" customFormat="1">
      <c r="AE1508" s="3649"/>
    </row>
    <row r="1509" spans="31:31" customFormat="1">
      <c r="AE1509" s="3649"/>
    </row>
    <row r="1510" spans="31:31" customFormat="1">
      <c r="AE1510" s="3649"/>
    </row>
    <row r="1511" spans="31:31" customFormat="1">
      <c r="AE1511" s="3649"/>
    </row>
    <row r="1512" spans="31:31" customFormat="1">
      <c r="AE1512" s="3649"/>
    </row>
    <row r="1513" spans="31:31" customFormat="1">
      <c r="AE1513" s="3649"/>
    </row>
    <row r="1514" spans="31:31" customFormat="1">
      <c r="AE1514" s="3649"/>
    </row>
    <row r="1515" spans="31:31" customFormat="1">
      <c r="AE1515" s="3649"/>
    </row>
    <row r="1516" spans="31:31" customFormat="1">
      <c r="AE1516" s="3649"/>
    </row>
    <row r="1517" spans="31:31" customFormat="1">
      <c r="AE1517" s="3649"/>
    </row>
    <row r="1518" spans="31:31" customFormat="1">
      <c r="AE1518" s="3649"/>
    </row>
    <row r="1519" spans="31:31" customFormat="1">
      <c r="AE1519" s="3649"/>
    </row>
    <row r="1520" spans="31:31" customFormat="1">
      <c r="AE1520" s="3649"/>
    </row>
    <row r="1521" spans="31:31" customFormat="1">
      <c r="AE1521" s="3649"/>
    </row>
    <row r="1522" spans="31:31" customFormat="1">
      <c r="AE1522" s="3649"/>
    </row>
    <row r="1523" spans="31:31" customFormat="1">
      <c r="AE1523" s="3649"/>
    </row>
    <row r="1524" spans="31:31" customFormat="1">
      <c r="AE1524" s="3649"/>
    </row>
    <row r="1525" spans="31:31" customFormat="1">
      <c r="AE1525" s="3649"/>
    </row>
    <row r="1526" spans="31:31" customFormat="1">
      <c r="AE1526" s="3649"/>
    </row>
    <row r="1527" spans="31:31" customFormat="1">
      <c r="AE1527" s="3649"/>
    </row>
    <row r="1528" spans="31:31" customFormat="1">
      <c r="AE1528" s="3649"/>
    </row>
    <row r="1529" spans="31:31" customFormat="1">
      <c r="AE1529" s="3649"/>
    </row>
    <row r="1530" spans="31:31" customFormat="1">
      <c r="AE1530" s="3649"/>
    </row>
    <row r="1531" spans="31:31" customFormat="1">
      <c r="AE1531" s="3649"/>
    </row>
    <row r="1532" spans="31:31" customFormat="1">
      <c r="AE1532" s="3649"/>
    </row>
    <row r="1533" spans="31:31" customFormat="1">
      <c r="AE1533" s="3649"/>
    </row>
    <row r="1534" spans="31:31" customFormat="1">
      <c r="AE1534" s="3649"/>
    </row>
    <row r="1535" spans="31:31" customFormat="1">
      <c r="AE1535" s="3649"/>
    </row>
    <row r="1536" spans="31:31" customFormat="1">
      <c r="AE1536" s="3649"/>
    </row>
    <row r="1537" spans="31:31" customFormat="1">
      <c r="AE1537" s="3649"/>
    </row>
    <row r="1538" spans="31:31" customFormat="1">
      <c r="AE1538" s="3649"/>
    </row>
    <row r="1539" spans="31:31" customFormat="1">
      <c r="AE1539" s="3649"/>
    </row>
    <row r="1540" spans="31:31" customFormat="1">
      <c r="AE1540" s="3649"/>
    </row>
    <row r="1541" spans="31:31" customFormat="1">
      <c r="AE1541" s="3649"/>
    </row>
    <row r="1542" spans="31:31" customFormat="1">
      <c r="AE1542" s="3649"/>
    </row>
    <row r="1543" spans="31:31" customFormat="1">
      <c r="AE1543" s="3649"/>
    </row>
    <row r="1544" spans="31:31" customFormat="1">
      <c r="AE1544" s="3649"/>
    </row>
    <row r="1545" spans="31:31" customFormat="1">
      <c r="AE1545" s="3649"/>
    </row>
    <row r="1546" spans="31:31" customFormat="1">
      <c r="AE1546" s="3649"/>
    </row>
    <row r="1547" spans="31:31" customFormat="1">
      <c r="AE1547" s="3649"/>
    </row>
    <row r="1548" spans="31:31" customFormat="1">
      <c r="AE1548" s="3649"/>
    </row>
    <row r="1549" spans="31:31" customFormat="1">
      <c r="AE1549" s="3649"/>
    </row>
    <row r="1550" spans="31:31" customFormat="1">
      <c r="AE1550" s="3649"/>
    </row>
    <row r="1551" spans="31:31" customFormat="1">
      <c r="AE1551" s="3649"/>
    </row>
    <row r="1552" spans="31:31" customFormat="1">
      <c r="AE1552" s="3649"/>
    </row>
    <row r="1553" spans="31:31" customFormat="1">
      <c r="AE1553" s="3649"/>
    </row>
    <row r="1554" spans="31:31" customFormat="1">
      <c r="AE1554" s="3649"/>
    </row>
    <row r="1555" spans="31:31" customFormat="1">
      <c r="AE1555" s="3649"/>
    </row>
    <row r="1556" spans="31:31" customFormat="1">
      <c r="AE1556" s="3649"/>
    </row>
    <row r="1557" spans="31:31" customFormat="1">
      <c r="AE1557" s="3649"/>
    </row>
    <row r="1558" spans="31:31" customFormat="1">
      <c r="AE1558" s="3649"/>
    </row>
    <row r="1559" spans="31:31" customFormat="1">
      <c r="AE1559" s="3649"/>
    </row>
    <row r="1560" spans="31:31" customFormat="1">
      <c r="AE1560" s="3649"/>
    </row>
    <row r="1561" spans="31:31" customFormat="1">
      <c r="AE1561" s="3649"/>
    </row>
    <row r="1562" spans="31:31" customFormat="1">
      <c r="AE1562" s="3649"/>
    </row>
    <row r="1563" spans="31:31" customFormat="1">
      <c r="AE1563" s="3649"/>
    </row>
    <row r="1564" spans="31:31" customFormat="1">
      <c r="AE1564" s="3649"/>
    </row>
    <row r="1565" spans="31:31" customFormat="1">
      <c r="AE1565" s="3649"/>
    </row>
    <row r="1566" spans="31:31" customFormat="1">
      <c r="AE1566" s="3649"/>
    </row>
    <row r="1567" spans="31:31" customFormat="1">
      <c r="AE1567" s="3649"/>
    </row>
    <row r="1568" spans="31:31" customFormat="1">
      <c r="AE1568" s="3649"/>
    </row>
    <row r="1569" spans="31:31" customFormat="1">
      <c r="AE1569" s="3649"/>
    </row>
    <row r="1570" spans="31:31" customFormat="1">
      <c r="AE1570" s="3649"/>
    </row>
    <row r="1571" spans="31:31" customFormat="1">
      <c r="AE1571" s="3649"/>
    </row>
    <row r="1572" spans="31:31" customFormat="1">
      <c r="AE1572" s="3649"/>
    </row>
    <row r="1573" spans="31:31" customFormat="1">
      <c r="AE1573" s="3649"/>
    </row>
    <row r="1574" spans="31:31" customFormat="1">
      <c r="AE1574" s="3649"/>
    </row>
    <row r="1575" spans="31:31" customFormat="1">
      <c r="AE1575" s="3649"/>
    </row>
    <row r="1576" spans="31:31" customFormat="1">
      <c r="AE1576" s="3649"/>
    </row>
    <row r="1577" spans="31:31" customFormat="1">
      <c r="AE1577" s="3649"/>
    </row>
    <row r="1578" spans="31:31" customFormat="1">
      <c r="AE1578" s="3649"/>
    </row>
    <row r="1579" spans="31:31" customFormat="1">
      <c r="AE1579" s="3649"/>
    </row>
    <row r="1580" spans="31:31" customFormat="1">
      <c r="AE1580" s="3649"/>
    </row>
    <row r="1581" spans="31:31" customFormat="1">
      <c r="AE1581" s="3649"/>
    </row>
    <row r="1582" spans="31:31" customFormat="1">
      <c r="AE1582" s="3649"/>
    </row>
    <row r="1583" spans="31:31" customFormat="1">
      <c r="AE1583" s="3649"/>
    </row>
    <row r="1584" spans="31:31" customFormat="1">
      <c r="AE1584" s="3649"/>
    </row>
    <row r="1585" spans="31:31" customFormat="1">
      <c r="AE1585" s="3649"/>
    </row>
    <row r="1586" spans="31:31" customFormat="1">
      <c r="AE1586" s="3649"/>
    </row>
    <row r="1587" spans="31:31" customFormat="1">
      <c r="AE1587" s="3649"/>
    </row>
    <row r="1588" spans="31:31" customFormat="1">
      <c r="AE1588" s="3649"/>
    </row>
    <row r="1589" spans="31:31" customFormat="1">
      <c r="AE1589" s="3649"/>
    </row>
    <row r="1590" spans="31:31" customFormat="1">
      <c r="AE1590" s="3649"/>
    </row>
    <row r="1591" spans="31:31" customFormat="1">
      <c r="AE1591" s="3649"/>
    </row>
    <row r="1592" spans="31:31" customFormat="1">
      <c r="AE1592" s="3649"/>
    </row>
    <row r="1593" spans="31:31" customFormat="1">
      <c r="AE1593" s="3649"/>
    </row>
    <row r="1594" spans="31:31" customFormat="1">
      <c r="AE1594" s="3649"/>
    </row>
    <row r="1595" spans="31:31" customFormat="1">
      <c r="AE1595" s="3649"/>
    </row>
    <row r="1596" spans="31:31" customFormat="1">
      <c r="AE1596" s="3649"/>
    </row>
    <row r="1597" spans="31:31" customFormat="1">
      <c r="AE1597" s="3649"/>
    </row>
    <row r="1598" spans="31:31" customFormat="1">
      <c r="AE1598" s="3649"/>
    </row>
    <row r="1599" spans="31:31" customFormat="1">
      <c r="AE1599" s="3649"/>
    </row>
    <row r="1600" spans="31:31" customFormat="1">
      <c r="AE1600" s="3649"/>
    </row>
    <row r="1601" spans="31:31" customFormat="1">
      <c r="AE1601" s="3649"/>
    </row>
    <row r="1602" spans="31:31" customFormat="1">
      <c r="AE1602" s="3649"/>
    </row>
    <row r="1603" spans="31:31" customFormat="1">
      <c r="AE1603" s="3649"/>
    </row>
    <row r="1604" spans="31:31" customFormat="1">
      <c r="AE1604" s="3649"/>
    </row>
    <row r="1605" spans="31:31" customFormat="1">
      <c r="AE1605" s="3649"/>
    </row>
    <row r="1606" spans="31:31" customFormat="1">
      <c r="AE1606" s="3649"/>
    </row>
    <row r="1607" spans="31:31" customFormat="1">
      <c r="AE1607" s="3649"/>
    </row>
    <row r="1608" spans="31:31" customFormat="1">
      <c r="AE1608" s="3649"/>
    </row>
    <row r="1609" spans="31:31" customFormat="1">
      <c r="AE1609" s="3649"/>
    </row>
    <row r="1610" spans="31:31" customFormat="1">
      <c r="AE1610" s="3649"/>
    </row>
    <row r="1611" spans="31:31" customFormat="1">
      <c r="AE1611" s="3649"/>
    </row>
    <row r="1612" spans="31:31" customFormat="1">
      <c r="AE1612" s="3649"/>
    </row>
    <row r="1613" spans="31:31" customFormat="1">
      <c r="AE1613" s="3649"/>
    </row>
    <row r="1614" spans="31:31" customFormat="1">
      <c r="AE1614" s="3649"/>
    </row>
    <row r="1615" spans="31:31" customFormat="1">
      <c r="AE1615" s="3649"/>
    </row>
    <row r="1616" spans="31:31" customFormat="1">
      <c r="AE1616" s="3649"/>
    </row>
    <row r="1617" spans="31:31" customFormat="1">
      <c r="AE1617" s="3649"/>
    </row>
    <row r="1618" spans="31:31" customFormat="1">
      <c r="AE1618" s="3649"/>
    </row>
    <row r="1619" spans="31:31" customFormat="1">
      <c r="AE1619" s="3649"/>
    </row>
    <row r="1620" spans="31:31" customFormat="1">
      <c r="AE1620" s="3649"/>
    </row>
    <row r="1621" spans="31:31" customFormat="1">
      <c r="AE1621" s="3649"/>
    </row>
    <row r="1622" spans="31:31" customFormat="1">
      <c r="AE1622" s="3649"/>
    </row>
    <row r="1623" spans="31:31" customFormat="1">
      <c r="AE1623" s="3649"/>
    </row>
    <row r="1624" spans="31:31" customFormat="1">
      <c r="AE1624" s="3649"/>
    </row>
    <row r="1625" spans="31:31" customFormat="1">
      <c r="AE1625" s="3649"/>
    </row>
    <row r="1626" spans="31:31" customFormat="1">
      <c r="AE1626" s="3649"/>
    </row>
    <row r="1627" spans="31:31" customFormat="1">
      <c r="AE1627" s="3649"/>
    </row>
    <row r="1628" spans="31:31" customFormat="1">
      <c r="AE1628" s="3649"/>
    </row>
    <row r="1629" spans="31:31" customFormat="1">
      <c r="AE1629" s="3649"/>
    </row>
    <row r="1630" spans="31:31" customFormat="1">
      <c r="AE1630" s="3649"/>
    </row>
    <row r="1631" spans="31:31" customFormat="1">
      <c r="AE1631" s="3649"/>
    </row>
    <row r="1632" spans="31:31" customFormat="1">
      <c r="AE1632" s="3649"/>
    </row>
    <row r="1633" spans="31:31" customFormat="1">
      <c r="AE1633" s="3649"/>
    </row>
    <row r="1634" spans="31:31" customFormat="1">
      <c r="AE1634" s="3649"/>
    </row>
    <row r="1635" spans="31:31" customFormat="1">
      <c r="AE1635" s="3649"/>
    </row>
    <row r="1636" spans="31:31" customFormat="1">
      <c r="AE1636" s="3649"/>
    </row>
    <row r="1637" spans="31:31" customFormat="1">
      <c r="AE1637" s="3649"/>
    </row>
    <row r="1638" spans="31:31" customFormat="1">
      <c r="AE1638" s="3649"/>
    </row>
    <row r="1639" spans="31:31" customFormat="1">
      <c r="AE1639" s="3649"/>
    </row>
    <row r="1640" spans="31:31" customFormat="1">
      <c r="AE1640" s="3649"/>
    </row>
    <row r="1641" spans="31:31" customFormat="1">
      <c r="AE1641" s="3649"/>
    </row>
    <row r="1642" spans="31:31" customFormat="1">
      <c r="AE1642" s="3649"/>
    </row>
    <row r="1643" spans="31:31" customFormat="1">
      <c r="AE1643" s="3649"/>
    </row>
    <row r="1644" spans="31:31" customFormat="1">
      <c r="AE1644" s="3649"/>
    </row>
    <row r="1645" spans="31:31" customFormat="1">
      <c r="AE1645" s="3649"/>
    </row>
    <row r="1646" spans="31:31" customFormat="1">
      <c r="AE1646" s="3649"/>
    </row>
    <row r="1647" spans="31:31" customFormat="1">
      <c r="AE1647" s="3649"/>
    </row>
    <row r="1648" spans="31:31" customFormat="1">
      <c r="AE1648" s="3649"/>
    </row>
    <row r="1649" spans="31:31" customFormat="1">
      <c r="AE1649" s="3649"/>
    </row>
    <row r="1650" spans="31:31" customFormat="1">
      <c r="AE1650" s="3649"/>
    </row>
    <row r="1651" spans="31:31" customFormat="1">
      <c r="AE1651" s="3649"/>
    </row>
    <row r="1652" spans="31:31" customFormat="1">
      <c r="AE1652" s="3649"/>
    </row>
    <row r="1653" spans="31:31" customFormat="1">
      <c r="AE1653" s="3649"/>
    </row>
    <row r="1654" spans="31:31" customFormat="1">
      <c r="AE1654" s="3649"/>
    </row>
    <row r="1655" spans="31:31" customFormat="1">
      <c r="AE1655" s="3649"/>
    </row>
    <row r="1656" spans="31:31" customFormat="1">
      <c r="AE1656" s="3649"/>
    </row>
    <row r="1657" spans="31:31" customFormat="1">
      <c r="AE1657" s="3649"/>
    </row>
    <row r="1658" spans="31:31" customFormat="1">
      <c r="AE1658" s="3649"/>
    </row>
    <row r="1659" spans="31:31" customFormat="1">
      <c r="AE1659" s="3649"/>
    </row>
    <row r="1660" spans="31:31" customFormat="1">
      <c r="AE1660" s="3649"/>
    </row>
    <row r="1661" spans="31:31" customFormat="1">
      <c r="AE1661" s="3649"/>
    </row>
    <row r="1662" spans="31:31" customFormat="1">
      <c r="AE1662" s="3649"/>
    </row>
    <row r="1663" spans="31:31" customFormat="1">
      <c r="AE1663" s="3649"/>
    </row>
    <row r="1664" spans="31:31" customFormat="1">
      <c r="AE1664" s="3649"/>
    </row>
    <row r="1665" spans="31:31" customFormat="1">
      <c r="AE1665" s="3649"/>
    </row>
    <row r="1666" spans="31:31" customFormat="1">
      <c r="AE1666" s="3649"/>
    </row>
    <row r="1667" spans="31:31" customFormat="1">
      <c r="AE1667" s="3649"/>
    </row>
    <row r="1668" spans="31:31" customFormat="1">
      <c r="AE1668" s="3649"/>
    </row>
    <row r="1669" spans="31:31" customFormat="1">
      <c r="AE1669" s="3649"/>
    </row>
    <row r="1670" spans="31:31" customFormat="1">
      <c r="AE1670" s="3649"/>
    </row>
    <row r="1671" spans="31:31" customFormat="1">
      <c r="AE1671" s="3649"/>
    </row>
    <row r="1672" spans="31:31" customFormat="1">
      <c r="AE1672" s="3649"/>
    </row>
    <row r="1673" spans="31:31" customFormat="1">
      <c r="AE1673" s="3649"/>
    </row>
    <row r="1674" spans="31:31" customFormat="1">
      <c r="AE1674" s="3649"/>
    </row>
    <row r="1675" spans="31:31" customFormat="1">
      <c r="AE1675" s="3649"/>
    </row>
    <row r="1676" spans="31:31" customFormat="1">
      <c r="AE1676" s="3649"/>
    </row>
    <row r="1677" spans="31:31" customFormat="1">
      <c r="AE1677" s="3649"/>
    </row>
    <row r="1678" spans="31:31" customFormat="1">
      <c r="AE1678" s="3649"/>
    </row>
    <row r="1679" spans="31:31" customFormat="1">
      <c r="AE1679" s="3649"/>
    </row>
    <row r="1680" spans="31:31" customFormat="1">
      <c r="AE1680" s="3649"/>
    </row>
    <row r="1681" spans="31:31" customFormat="1">
      <c r="AE1681" s="3649"/>
    </row>
    <row r="1682" spans="31:31" customFormat="1">
      <c r="AE1682" s="3649"/>
    </row>
    <row r="1683" spans="31:31" customFormat="1">
      <c r="AE1683" s="3649"/>
    </row>
    <row r="1684" spans="31:31" customFormat="1">
      <c r="AE1684" s="3649"/>
    </row>
    <row r="1685" spans="31:31" customFormat="1">
      <c r="AE1685" s="3649"/>
    </row>
    <row r="1686" spans="31:31" customFormat="1">
      <c r="AE1686" s="3649"/>
    </row>
    <row r="1687" spans="31:31" customFormat="1">
      <c r="AE1687" s="3649"/>
    </row>
    <row r="1688" spans="31:31" customFormat="1">
      <c r="AE1688" s="3649"/>
    </row>
    <row r="1689" spans="31:31" customFormat="1">
      <c r="AE1689" s="3649"/>
    </row>
    <row r="1690" spans="31:31" customFormat="1">
      <c r="AE1690" s="3649"/>
    </row>
    <row r="1691" spans="31:31" customFormat="1">
      <c r="AE1691" s="3649"/>
    </row>
    <row r="1692" spans="31:31" customFormat="1">
      <c r="AE1692" s="3649"/>
    </row>
    <row r="1693" spans="31:31" customFormat="1">
      <c r="AE1693" s="3649"/>
    </row>
    <row r="1694" spans="31:31" customFormat="1">
      <c r="AE1694" s="3649"/>
    </row>
    <row r="1695" spans="31:31" customFormat="1">
      <c r="AE1695" s="3649"/>
    </row>
    <row r="1696" spans="31:31" customFormat="1">
      <c r="AE1696" s="3649"/>
    </row>
    <row r="1697" spans="31:31" customFormat="1">
      <c r="AE1697" s="3649"/>
    </row>
    <row r="1698" spans="31:31" customFormat="1">
      <c r="AE1698" s="3649"/>
    </row>
    <row r="1699" spans="31:31" customFormat="1">
      <c r="AE1699" s="3649"/>
    </row>
    <row r="1700" spans="31:31" customFormat="1">
      <c r="AE1700" s="3649"/>
    </row>
    <row r="1701" spans="31:31" customFormat="1">
      <c r="AE1701" s="3649"/>
    </row>
    <row r="1702" spans="31:31" customFormat="1">
      <c r="AE1702" s="3649"/>
    </row>
    <row r="1703" spans="31:31" customFormat="1">
      <c r="AE1703" s="3649"/>
    </row>
    <row r="1704" spans="31:31" customFormat="1">
      <c r="AE1704" s="3649"/>
    </row>
    <row r="1705" spans="31:31" customFormat="1">
      <c r="AE1705" s="3649"/>
    </row>
    <row r="1706" spans="31:31" customFormat="1">
      <c r="AE1706" s="3649"/>
    </row>
    <row r="1707" spans="31:31" customFormat="1">
      <c r="AE1707" s="3649"/>
    </row>
    <row r="1708" spans="31:31" customFormat="1">
      <c r="AE1708" s="3649"/>
    </row>
    <row r="1709" spans="31:31" customFormat="1">
      <c r="AE1709" s="3649"/>
    </row>
    <row r="1710" spans="31:31" customFormat="1">
      <c r="AE1710" s="3649"/>
    </row>
    <row r="1711" spans="31:31" customFormat="1">
      <c r="AE1711" s="3649"/>
    </row>
    <row r="1712" spans="31:31" customFormat="1">
      <c r="AE1712" s="3649"/>
    </row>
    <row r="1713" spans="31:31" customFormat="1">
      <c r="AE1713" s="3649"/>
    </row>
    <row r="1714" spans="31:31" customFormat="1">
      <c r="AE1714" s="3649"/>
    </row>
    <row r="1715" spans="31:31" customFormat="1">
      <c r="AE1715" s="3649"/>
    </row>
    <row r="1716" spans="31:31" customFormat="1">
      <c r="AE1716" s="3649"/>
    </row>
    <row r="1717" spans="31:31" customFormat="1">
      <c r="AE1717" s="3649"/>
    </row>
    <row r="1718" spans="31:31" customFormat="1">
      <c r="AE1718" s="3649"/>
    </row>
    <row r="1719" spans="31:31" customFormat="1">
      <c r="AE1719" s="3649"/>
    </row>
    <row r="1720" spans="31:31" customFormat="1">
      <c r="AE1720" s="3649"/>
    </row>
    <row r="1721" spans="31:31" customFormat="1">
      <c r="AE1721" s="3649"/>
    </row>
    <row r="1722" spans="31:31" customFormat="1">
      <c r="AE1722" s="3649"/>
    </row>
    <row r="1723" spans="31:31" customFormat="1">
      <c r="AE1723" s="3649"/>
    </row>
    <row r="1724" spans="31:31" customFormat="1">
      <c r="AE1724" s="3649"/>
    </row>
    <row r="1725" spans="31:31" customFormat="1">
      <c r="AE1725" s="3649"/>
    </row>
    <row r="1726" spans="31:31" customFormat="1">
      <c r="AE1726" s="3649"/>
    </row>
    <row r="1727" spans="31:31" customFormat="1">
      <c r="AE1727" s="3649"/>
    </row>
    <row r="1728" spans="31:31" customFormat="1">
      <c r="AE1728" s="3649"/>
    </row>
    <row r="1729" spans="31:31" customFormat="1">
      <c r="AE1729" s="3649"/>
    </row>
    <row r="1730" spans="31:31" customFormat="1">
      <c r="AE1730" s="3649"/>
    </row>
    <row r="1731" spans="31:31" customFormat="1">
      <c r="AE1731" s="3649"/>
    </row>
    <row r="1732" spans="31:31" customFormat="1">
      <c r="AE1732" s="3649"/>
    </row>
    <row r="1733" spans="31:31" customFormat="1">
      <c r="AE1733" s="3649"/>
    </row>
    <row r="1734" spans="31:31" customFormat="1">
      <c r="AE1734" s="3649"/>
    </row>
    <row r="1735" spans="31:31" customFormat="1">
      <c r="AE1735" s="3649"/>
    </row>
    <row r="1736" spans="31:31" customFormat="1">
      <c r="AE1736" s="3649"/>
    </row>
    <row r="1737" spans="31:31" customFormat="1">
      <c r="AE1737" s="3649"/>
    </row>
    <row r="1738" spans="31:31" customFormat="1">
      <c r="AE1738" s="3649"/>
    </row>
    <row r="1739" spans="31:31" customFormat="1">
      <c r="AE1739" s="3649"/>
    </row>
    <row r="1740" spans="31:31" customFormat="1">
      <c r="AE1740" s="3649"/>
    </row>
    <row r="1741" spans="31:31" customFormat="1">
      <c r="AE1741" s="3649"/>
    </row>
    <row r="1742" spans="31:31" customFormat="1">
      <c r="AE1742" s="3649"/>
    </row>
    <row r="1743" spans="31:31" customFormat="1">
      <c r="AE1743" s="3649"/>
    </row>
    <row r="1744" spans="31:31" customFormat="1">
      <c r="AE1744" s="3649"/>
    </row>
    <row r="1745" spans="31:31" customFormat="1">
      <c r="AE1745" s="3649"/>
    </row>
    <row r="1746" spans="31:31" customFormat="1">
      <c r="AE1746" s="3649"/>
    </row>
    <row r="1747" spans="31:31" customFormat="1">
      <c r="AE1747" s="3649"/>
    </row>
    <row r="1748" spans="31:31" customFormat="1">
      <c r="AE1748" s="3649"/>
    </row>
    <row r="1749" spans="31:31" customFormat="1">
      <c r="AE1749" s="3649"/>
    </row>
    <row r="1750" spans="31:31" customFormat="1">
      <c r="AE1750" s="3649"/>
    </row>
    <row r="1751" spans="31:31" customFormat="1">
      <c r="AE1751" s="3649"/>
    </row>
    <row r="1752" spans="31:31" customFormat="1">
      <c r="AE1752" s="3649"/>
    </row>
    <row r="1753" spans="31:31" customFormat="1">
      <c r="AE1753" s="3649"/>
    </row>
    <row r="1754" spans="31:31" customFormat="1">
      <c r="AE1754" s="3649"/>
    </row>
    <row r="1755" spans="31:31" customFormat="1">
      <c r="AE1755" s="3649"/>
    </row>
    <row r="1756" spans="31:31" customFormat="1">
      <c r="AE1756" s="3649"/>
    </row>
    <row r="1757" spans="31:31" customFormat="1">
      <c r="AE1757" s="3649"/>
    </row>
    <row r="1758" spans="31:31" customFormat="1">
      <c r="AE1758" s="3649"/>
    </row>
    <row r="1759" spans="31:31" customFormat="1">
      <c r="AE1759" s="3649"/>
    </row>
    <row r="1760" spans="31:31" customFormat="1">
      <c r="AE1760" s="3649"/>
    </row>
    <row r="1761" spans="31:31" customFormat="1">
      <c r="AE1761" s="3649"/>
    </row>
    <row r="1762" spans="31:31" customFormat="1">
      <c r="AE1762" s="3649"/>
    </row>
    <row r="1763" spans="31:31" customFormat="1">
      <c r="AE1763" s="3649"/>
    </row>
    <row r="1764" spans="31:31" customFormat="1">
      <c r="AE1764" s="3649"/>
    </row>
    <row r="1765" spans="31:31" customFormat="1">
      <c r="AE1765" s="3649"/>
    </row>
    <row r="1766" spans="31:31" customFormat="1">
      <c r="AE1766" s="3649"/>
    </row>
    <row r="1767" spans="31:31" customFormat="1">
      <c r="AE1767" s="3649"/>
    </row>
    <row r="1768" spans="31:31" customFormat="1">
      <c r="AE1768" s="3649"/>
    </row>
    <row r="1769" spans="31:31" customFormat="1">
      <c r="AE1769" s="3649"/>
    </row>
    <row r="1770" spans="31:31" customFormat="1">
      <c r="AE1770" s="3649"/>
    </row>
    <row r="1771" spans="31:31" customFormat="1">
      <c r="AE1771" s="3649"/>
    </row>
    <row r="1772" spans="31:31" customFormat="1">
      <c r="AE1772" s="3649"/>
    </row>
    <row r="1773" spans="31:31" customFormat="1">
      <c r="AE1773" s="3649"/>
    </row>
    <row r="1774" spans="31:31" customFormat="1">
      <c r="AE1774" s="3649"/>
    </row>
    <row r="1775" spans="31:31" customFormat="1">
      <c r="AE1775" s="3649"/>
    </row>
    <row r="1776" spans="31:31" customFormat="1">
      <c r="AE1776" s="3649"/>
    </row>
    <row r="1777" spans="31:31" customFormat="1">
      <c r="AE1777" s="3649"/>
    </row>
    <row r="1778" spans="31:31" customFormat="1">
      <c r="AE1778" s="3649"/>
    </row>
    <row r="1779" spans="31:31" customFormat="1">
      <c r="AE1779" s="3649"/>
    </row>
    <row r="1780" spans="31:31" customFormat="1">
      <c r="AE1780" s="3649"/>
    </row>
    <row r="1781" spans="31:31" customFormat="1">
      <c r="AE1781" s="3649"/>
    </row>
    <row r="1782" spans="31:31" customFormat="1">
      <c r="AE1782" s="3649"/>
    </row>
    <row r="1783" spans="31:31" customFormat="1">
      <c r="AE1783" s="3649"/>
    </row>
    <row r="1784" spans="31:31" customFormat="1">
      <c r="AE1784" s="3649"/>
    </row>
    <row r="1785" spans="31:31" customFormat="1">
      <c r="AE1785" s="3649"/>
    </row>
    <row r="1786" spans="31:31" customFormat="1">
      <c r="AE1786" s="3649"/>
    </row>
    <row r="1787" spans="31:31" customFormat="1">
      <c r="AE1787" s="3649"/>
    </row>
    <row r="1788" spans="31:31" customFormat="1">
      <c r="AE1788" s="3649"/>
    </row>
    <row r="1789" spans="31:31" customFormat="1">
      <c r="AE1789" s="3649"/>
    </row>
    <row r="1790" spans="31:31" customFormat="1">
      <c r="AE1790" s="3649"/>
    </row>
    <row r="1791" spans="31:31" customFormat="1">
      <c r="AE1791" s="3649"/>
    </row>
    <row r="1792" spans="31:31" customFormat="1">
      <c r="AE1792" s="3649"/>
    </row>
    <row r="1793" spans="31:31" customFormat="1">
      <c r="AE1793" s="3649"/>
    </row>
    <row r="1794" spans="31:31" customFormat="1">
      <c r="AE1794" s="3649"/>
    </row>
    <row r="1795" spans="31:31" customFormat="1">
      <c r="AE1795" s="3649"/>
    </row>
    <row r="1796" spans="31:31" customFormat="1">
      <c r="AE1796" s="3649"/>
    </row>
    <row r="1797" spans="31:31" customFormat="1">
      <c r="AE1797" s="3649"/>
    </row>
    <row r="1798" spans="31:31" customFormat="1">
      <c r="AE1798" s="3649"/>
    </row>
    <row r="1799" spans="31:31" customFormat="1">
      <c r="AE1799" s="3649"/>
    </row>
    <row r="1800" spans="31:31" customFormat="1">
      <c r="AE1800" s="3649"/>
    </row>
    <row r="1801" spans="31:31" customFormat="1">
      <c r="AE1801" s="3649"/>
    </row>
    <row r="1802" spans="31:31" customFormat="1">
      <c r="AE1802" s="3649"/>
    </row>
    <row r="1803" spans="31:31" customFormat="1">
      <c r="AE1803" s="3649"/>
    </row>
    <row r="1804" spans="31:31" customFormat="1">
      <c r="AE1804" s="3649"/>
    </row>
    <row r="1805" spans="31:31" customFormat="1">
      <c r="AE1805" s="3649"/>
    </row>
    <row r="1806" spans="31:31" customFormat="1">
      <c r="AE1806" s="3649"/>
    </row>
    <row r="1807" spans="31:31" customFormat="1">
      <c r="AE1807" s="3649"/>
    </row>
    <row r="1808" spans="31:31" customFormat="1">
      <c r="AE1808" s="3649"/>
    </row>
    <row r="1809" spans="31:31" customFormat="1">
      <c r="AE1809" s="3649"/>
    </row>
    <row r="1810" spans="31:31" customFormat="1">
      <c r="AE1810" s="3649"/>
    </row>
    <row r="1811" spans="31:31" customFormat="1">
      <c r="AE1811" s="3649"/>
    </row>
    <row r="1812" spans="31:31" customFormat="1">
      <c r="AE1812" s="3649"/>
    </row>
    <row r="1813" spans="31:31" customFormat="1">
      <c r="AE1813" s="3649"/>
    </row>
    <row r="1814" spans="31:31" customFormat="1">
      <c r="AE1814" s="3649"/>
    </row>
    <row r="1815" spans="31:31" customFormat="1">
      <c r="AE1815" s="3649"/>
    </row>
    <row r="1816" spans="31:31" customFormat="1">
      <c r="AE1816" s="3649"/>
    </row>
    <row r="1817" spans="31:31" customFormat="1">
      <c r="AE1817" s="3649"/>
    </row>
    <row r="1818" spans="31:31" customFormat="1">
      <c r="AE1818" s="3649"/>
    </row>
    <row r="1819" spans="31:31" customFormat="1">
      <c r="AE1819" s="3649"/>
    </row>
    <row r="1820" spans="31:31" customFormat="1">
      <c r="AE1820" s="3649"/>
    </row>
    <row r="1821" spans="31:31" customFormat="1">
      <c r="AE1821" s="3649"/>
    </row>
    <row r="1822" spans="31:31" customFormat="1">
      <c r="AE1822" s="3649"/>
    </row>
    <row r="1823" spans="31:31" customFormat="1">
      <c r="AE1823" s="3649"/>
    </row>
    <row r="1824" spans="31:31" customFormat="1">
      <c r="AE1824" s="3649"/>
    </row>
    <row r="1825" spans="31:31" customFormat="1">
      <c r="AE1825" s="3649"/>
    </row>
    <row r="1826" spans="31:31" customFormat="1">
      <c r="AE1826" s="3649"/>
    </row>
    <row r="1827" spans="31:31" customFormat="1">
      <c r="AE1827" s="3649"/>
    </row>
    <row r="1828" spans="31:31" customFormat="1">
      <c r="AE1828" s="3649"/>
    </row>
    <row r="1829" spans="31:31" customFormat="1">
      <c r="AE1829" s="3649"/>
    </row>
    <row r="1830" spans="31:31" customFormat="1">
      <c r="AE1830" s="3649"/>
    </row>
    <row r="1831" spans="31:31" customFormat="1">
      <c r="AE1831" s="3649"/>
    </row>
    <row r="1832" spans="31:31" customFormat="1">
      <c r="AE1832" s="3649"/>
    </row>
    <row r="1833" spans="31:31" customFormat="1">
      <c r="AE1833" s="3649"/>
    </row>
    <row r="1834" spans="31:31" customFormat="1">
      <c r="AE1834" s="3649"/>
    </row>
    <row r="1835" spans="31:31" customFormat="1">
      <c r="AE1835" s="3649"/>
    </row>
    <row r="1836" spans="31:31" customFormat="1">
      <c r="AE1836" s="3649"/>
    </row>
    <row r="1837" spans="31:31" customFormat="1">
      <c r="AE1837" s="3649"/>
    </row>
    <row r="1838" spans="31:31" customFormat="1">
      <c r="AE1838" s="3649"/>
    </row>
    <row r="1839" spans="31:31" customFormat="1">
      <c r="AE1839" s="3649"/>
    </row>
    <row r="1840" spans="31:31" customFormat="1">
      <c r="AE1840" s="3649"/>
    </row>
    <row r="1841" spans="31:31" customFormat="1">
      <c r="AE1841" s="3649"/>
    </row>
    <row r="1842" spans="31:31" customFormat="1">
      <c r="AE1842" s="3649"/>
    </row>
    <row r="1843" spans="31:31" customFormat="1">
      <c r="AE1843" s="3649"/>
    </row>
    <row r="1844" spans="31:31" customFormat="1">
      <c r="AE1844" s="3649"/>
    </row>
    <row r="1845" spans="31:31" customFormat="1">
      <c r="AE1845" s="3649"/>
    </row>
    <row r="1846" spans="31:31" customFormat="1">
      <c r="AE1846" s="3649"/>
    </row>
    <row r="1847" spans="31:31" customFormat="1">
      <c r="AE1847" s="3649"/>
    </row>
    <row r="1848" spans="31:31" customFormat="1">
      <c r="AE1848" s="3649"/>
    </row>
    <row r="1849" spans="31:31" customFormat="1">
      <c r="AE1849" s="3649"/>
    </row>
    <row r="1850" spans="31:31" customFormat="1">
      <c r="AE1850" s="3649"/>
    </row>
    <row r="1851" spans="31:31" customFormat="1">
      <c r="AE1851" s="3649"/>
    </row>
    <row r="1852" spans="31:31" customFormat="1">
      <c r="AE1852" s="3649"/>
    </row>
    <row r="1853" spans="31:31" customFormat="1">
      <c r="AE1853" s="3649"/>
    </row>
    <row r="1854" spans="31:31" customFormat="1">
      <c r="AE1854" s="3649"/>
    </row>
    <row r="1855" spans="31:31" customFormat="1">
      <c r="AE1855" s="3649"/>
    </row>
    <row r="1856" spans="31:31" customFormat="1">
      <c r="AE1856" s="3649"/>
    </row>
    <row r="1857" spans="31:31" customFormat="1">
      <c r="AE1857" s="3649"/>
    </row>
    <row r="1858" spans="31:31" customFormat="1">
      <c r="AE1858" s="3649"/>
    </row>
    <row r="1859" spans="31:31" customFormat="1">
      <c r="AE1859" s="3649"/>
    </row>
    <row r="1860" spans="31:31" customFormat="1">
      <c r="AE1860" s="3649"/>
    </row>
    <row r="1861" spans="31:31" customFormat="1">
      <c r="AE1861" s="3649"/>
    </row>
    <row r="1862" spans="31:31" customFormat="1">
      <c r="AE1862" s="3649"/>
    </row>
    <row r="1863" spans="31:31" customFormat="1">
      <c r="AE1863" s="3649"/>
    </row>
    <row r="1864" spans="31:31" customFormat="1">
      <c r="AE1864" s="3649"/>
    </row>
    <row r="1865" spans="31:31" customFormat="1">
      <c r="AE1865" s="3649"/>
    </row>
    <row r="1866" spans="31:31" customFormat="1">
      <c r="AE1866" s="3649"/>
    </row>
    <row r="1867" spans="31:31" customFormat="1">
      <c r="AE1867" s="3649"/>
    </row>
    <row r="1868" spans="31:31" customFormat="1">
      <c r="AE1868" s="3649"/>
    </row>
    <row r="1869" spans="31:31" customFormat="1">
      <c r="AE1869" s="3649"/>
    </row>
    <row r="1870" spans="31:31" customFormat="1">
      <c r="AE1870" s="3649"/>
    </row>
    <row r="1871" spans="31:31" customFormat="1">
      <c r="AE1871" s="3649"/>
    </row>
    <row r="1872" spans="31:31" customFormat="1">
      <c r="AE1872" s="3649"/>
    </row>
    <row r="1873" spans="31:31" customFormat="1">
      <c r="AE1873" s="3649"/>
    </row>
    <row r="1874" spans="31:31" customFormat="1">
      <c r="AE1874" s="3649"/>
    </row>
    <row r="1875" spans="31:31" customFormat="1">
      <c r="AE1875" s="3649"/>
    </row>
    <row r="1876" spans="31:31" customFormat="1">
      <c r="AE1876" s="3649"/>
    </row>
    <row r="1877" spans="31:31" customFormat="1">
      <c r="AE1877" s="3649"/>
    </row>
    <row r="1878" spans="31:31" customFormat="1">
      <c r="AE1878" s="3649"/>
    </row>
    <row r="1879" spans="31:31" customFormat="1">
      <c r="AE1879" s="3649"/>
    </row>
    <row r="1880" spans="31:31" customFormat="1">
      <c r="AE1880" s="3649"/>
    </row>
    <row r="1881" spans="31:31" customFormat="1">
      <c r="AE1881" s="3649"/>
    </row>
    <row r="1882" spans="31:31" customFormat="1">
      <c r="AE1882" s="3649"/>
    </row>
    <row r="1883" spans="31:31" customFormat="1">
      <c r="AE1883" s="3649"/>
    </row>
    <row r="1884" spans="31:31" customFormat="1">
      <c r="AE1884" s="3649"/>
    </row>
    <row r="1885" spans="31:31" customFormat="1">
      <c r="AE1885" s="3649"/>
    </row>
    <row r="1886" spans="31:31" customFormat="1">
      <c r="AE1886" s="3649"/>
    </row>
    <row r="1887" spans="31:31" customFormat="1">
      <c r="AE1887" s="3649"/>
    </row>
    <row r="1888" spans="31:31" customFormat="1">
      <c r="AE1888" s="3649"/>
    </row>
    <row r="1889" spans="31:31" customFormat="1">
      <c r="AE1889" s="3649"/>
    </row>
    <row r="1890" spans="31:31" customFormat="1">
      <c r="AE1890" s="3649"/>
    </row>
    <row r="1891" spans="31:31" customFormat="1">
      <c r="AE1891" s="3649"/>
    </row>
    <row r="1892" spans="31:31" customFormat="1">
      <c r="AE1892" s="3649"/>
    </row>
    <row r="1893" spans="31:31" customFormat="1">
      <c r="AE1893" s="3649"/>
    </row>
    <row r="1894" spans="31:31" customFormat="1">
      <c r="AE1894" s="3649"/>
    </row>
    <row r="1895" spans="31:31" customFormat="1">
      <c r="AE1895" s="3649"/>
    </row>
    <row r="1896" spans="31:31" customFormat="1">
      <c r="AE1896" s="3649"/>
    </row>
    <row r="1897" spans="31:31" customFormat="1">
      <c r="AE1897" s="3649"/>
    </row>
    <row r="1898" spans="31:31" customFormat="1">
      <c r="AE1898" s="3649"/>
    </row>
    <row r="1899" spans="31:31" customFormat="1">
      <c r="AE1899" s="3649"/>
    </row>
    <row r="1900" spans="31:31" customFormat="1">
      <c r="AE1900" s="3649"/>
    </row>
    <row r="1901" spans="31:31" customFormat="1">
      <c r="AE1901" s="3649"/>
    </row>
    <row r="1902" spans="31:31" customFormat="1">
      <c r="AE1902" s="3649"/>
    </row>
    <row r="1903" spans="31:31" customFormat="1">
      <c r="AE1903" s="3649"/>
    </row>
    <row r="1904" spans="31:31" customFormat="1">
      <c r="AE1904" s="3649"/>
    </row>
    <row r="1905" spans="31:31" customFormat="1">
      <c r="AE1905" s="3649"/>
    </row>
    <row r="1906" spans="31:31" customFormat="1">
      <c r="AE1906" s="3649"/>
    </row>
    <row r="1907" spans="31:31" customFormat="1">
      <c r="AE1907" s="3649"/>
    </row>
    <row r="1908" spans="31:31" customFormat="1">
      <c r="AE1908" s="3649"/>
    </row>
    <row r="1909" spans="31:31" customFormat="1">
      <c r="AE1909" s="3649"/>
    </row>
    <row r="1910" spans="31:31" customFormat="1">
      <c r="AE1910" s="3649"/>
    </row>
    <row r="1911" spans="31:31" customFormat="1">
      <c r="AE1911" s="3649"/>
    </row>
    <row r="1912" spans="31:31" customFormat="1">
      <c r="AE1912" s="3649"/>
    </row>
    <row r="1913" spans="31:31" customFormat="1">
      <c r="AE1913" s="3649"/>
    </row>
    <row r="1914" spans="31:31" customFormat="1">
      <c r="AE1914" s="3649"/>
    </row>
    <row r="1915" spans="31:31" customFormat="1">
      <c r="AE1915" s="3649"/>
    </row>
    <row r="1916" spans="31:31" customFormat="1">
      <c r="AE1916" s="3649"/>
    </row>
    <row r="1917" spans="31:31" customFormat="1">
      <c r="AE1917" s="3649"/>
    </row>
    <row r="1918" spans="31:31" customFormat="1">
      <c r="AE1918" s="3649"/>
    </row>
    <row r="1919" spans="31:31" customFormat="1">
      <c r="AE1919" s="3649"/>
    </row>
    <row r="1920" spans="31:31" customFormat="1">
      <c r="AE1920" s="3649"/>
    </row>
    <row r="1921" spans="31:31" customFormat="1">
      <c r="AE1921" s="3649"/>
    </row>
    <row r="1922" spans="31:31" customFormat="1">
      <c r="AE1922" s="3649"/>
    </row>
    <row r="1923" spans="31:31" customFormat="1">
      <c r="AE1923" s="3649"/>
    </row>
    <row r="1924" spans="31:31" customFormat="1">
      <c r="AE1924" s="3649"/>
    </row>
    <row r="1925" spans="31:31" customFormat="1">
      <c r="AE1925" s="3649"/>
    </row>
    <row r="1926" spans="31:31" customFormat="1">
      <c r="AE1926" s="3649"/>
    </row>
    <row r="1927" spans="31:31" customFormat="1">
      <c r="AE1927" s="3649"/>
    </row>
    <row r="1928" spans="31:31" customFormat="1">
      <c r="AE1928" s="3649"/>
    </row>
    <row r="1929" spans="31:31" customFormat="1">
      <c r="AE1929" s="3649"/>
    </row>
    <row r="1930" spans="31:31" customFormat="1">
      <c r="AE1930" s="3649"/>
    </row>
    <row r="1931" spans="31:31" customFormat="1">
      <c r="AE1931" s="3649"/>
    </row>
    <row r="1932" spans="31:31" customFormat="1">
      <c r="AE1932" s="3649"/>
    </row>
    <row r="1933" spans="31:31" customFormat="1">
      <c r="AE1933" s="3649"/>
    </row>
    <row r="1934" spans="31:31" customFormat="1">
      <c r="AE1934" s="3649"/>
    </row>
    <row r="1935" spans="31:31" customFormat="1">
      <c r="AE1935" s="3649"/>
    </row>
    <row r="1936" spans="31:31" customFormat="1">
      <c r="AE1936" s="3649"/>
    </row>
    <row r="1937" spans="31:31" customFormat="1">
      <c r="AE1937" s="3649"/>
    </row>
    <row r="1938" spans="31:31" customFormat="1">
      <c r="AE1938" s="3649"/>
    </row>
    <row r="1939" spans="31:31" customFormat="1">
      <c r="AE1939" s="3649"/>
    </row>
    <row r="1940" spans="31:31" customFormat="1">
      <c r="AE1940" s="3649"/>
    </row>
    <row r="1941" spans="31:31" customFormat="1">
      <c r="AE1941" s="3649"/>
    </row>
    <row r="1942" spans="31:31" customFormat="1">
      <c r="AE1942" s="3649"/>
    </row>
    <row r="1943" spans="31:31" customFormat="1">
      <c r="AE1943" s="3649"/>
    </row>
    <row r="1944" spans="31:31" customFormat="1">
      <c r="AE1944" s="3649"/>
    </row>
    <row r="1945" spans="31:31" customFormat="1">
      <c r="AE1945" s="3649"/>
    </row>
    <row r="1946" spans="31:31" customFormat="1">
      <c r="AE1946" s="3649"/>
    </row>
    <row r="1947" spans="31:31" customFormat="1">
      <c r="AE1947" s="3649"/>
    </row>
    <row r="1948" spans="31:31" customFormat="1">
      <c r="AE1948" s="3649"/>
    </row>
    <row r="1949" spans="31:31" customFormat="1">
      <c r="AE1949" s="3649"/>
    </row>
    <row r="1950" spans="31:31" customFormat="1">
      <c r="AE1950" s="3649"/>
    </row>
    <row r="1951" spans="31:31" customFormat="1">
      <c r="AE1951" s="3649"/>
    </row>
    <row r="1952" spans="31:31" customFormat="1">
      <c r="AE1952" s="3649"/>
    </row>
    <row r="1953" spans="31:31" customFormat="1">
      <c r="AE1953" s="3649"/>
    </row>
    <row r="1954" spans="31:31" customFormat="1">
      <c r="AE1954" s="3649"/>
    </row>
    <row r="1955" spans="31:31" customFormat="1">
      <c r="AE1955" s="3649"/>
    </row>
    <row r="1956" spans="31:31" customFormat="1">
      <c r="AE1956" s="3649"/>
    </row>
    <row r="1957" spans="31:31" customFormat="1">
      <c r="AE1957" s="3649"/>
    </row>
    <row r="1958" spans="31:31" customFormat="1">
      <c r="AE1958" s="3649"/>
    </row>
    <row r="1959" spans="31:31" customFormat="1">
      <c r="AE1959" s="3649"/>
    </row>
    <row r="1960" spans="31:31" customFormat="1">
      <c r="AE1960" s="3649"/>
    </row>
    <row r="1961" spans="31:31" customFormat="1">
      <c r="AE1961" s="3649"/>
    </row>
    <row r="1962" spans="31:31" customFormat="1">
      <c r="AE1962" s="3649"/>
    </row>
    <row r="1963" spans="31:31" customFormat="1">
      <c r="AE1963" s="3649"/>
    </row>
    <row r="1964" spans="31:31" customFormat="1">
      <c r="AE1964" s="3649"/>
    </row>
    <row r="1965" spans="31:31" customFormat="1">
      <c r="AE1965" s="3649"/>
    </row>
    <row r="1966" spans="31:31" customFormat="1">
      <c r="AE1966" s="3649"/>
    </row>
    <row r="1967" spans="31:31" customFormat="1">
      <c r="AE1967" s="3649"/>
    </row>
    <row r="1968" spans="31:31" customFormat="1">
      <c r="AE1968" s="3649"/>
    </row>
    <row r="1969" spans="31:31" customFormat="1">
      <c r="AE1969" s="3649"/>
    </row>
    <row r="1970" spans="31:31" customFormat="1">
      <c r="AE1970" s="3649"/>
    </row>
    <row r="1971" spans="31:31" customFormat="1">
      <c r="AE1971" s="3649"/>
    </row>
    <row r="1972" spans="31:31" customFormat="1">
      <c r="AE1972" s="3649"/>
    </row>
    <row r="1973" spans="31:31" customFormat="1">
      <c r="AE1973" s="3649"/>
    </row>
    <row r="1974" spans="31:31" customFormat="1">
      <c r="AE1974" s="3649"/>
    </row>
    <row r="1975" spans="31:31" customFormat="1">
      <c r="AE1975" s="3649"/>
    </row>
    <row r="1976" spans="31:31" customFormat="1">
      <c r="AE1976" s="3649"/>
    </row>
    <row r="1977" spans="31:31" customFormat="1">
      <c r="AE1977" s="3649"/>
    </row>
    <row r="1978" spans="31:31" customFormat="1">
      <c r="AE1978" s="3649"/>
    </row>
    <row r="1979" spans="31:31" customFormat="1">
      <c r="AE1979" s="3649"/>
    </row>
  </sheetData>
  <mergeCells count="22">
    <mergeCell ref="C455:F455"/>
    <mergeCell ref="C2:E2"/>
    <mergeCell ref="C104:F104"/>
    <mergeCell ref="C133:F133"/>
    <mergeCell ref="C177:F177"/>
    <mergeCell ref="C5:F5"/>
    <mergeCell ref="C351:F351"/>
    <mergeCell ref="C372:F372"/>
    <mergeCell ref="C414:F414"/>
    <mergeCell ref="C393:F393"/>
    <mergeCell ref="C42:F42"/>
    <mergeCell ref="C70:F70"/>
    <mergeCell ref="C320:F320"/>
    <mergeCell ref="C198:F198"/>
    <mergeCell ref="C250:F250"/>
    <mergeCell ref="C295:F295"/>
    <mergeCell ref="C703:F703"/>
    <mergeCell ref="C584:F584"/>
    <mergeCell ref="C560:F560"/>
    <mergeCell ref="C479:F479"/>
    <mergeCell ref="C516:F516"/>
    <mergeCell ref="C538:F538"/>
  </mergeCells>
  <phoneticPr fontId="60" type="noConversion"/>
  <conditionalFormatting sqref="G774:Y774 G784:Y784 G665:Y665 G89:Y89 G262:Y262 G206:Y206 G303:Y303 G491:Y491 G632:Y632 G51:Y51 G791:Y791 G428:Y428 G569:Y569 G567:Y567 G115:Z115 G330:Z330 G523:Z523 G545:Z545 G14:Z14 G144:Y144">
    <cfRule type="cellIs" dxfId="34" priority="11" stopIfTrue="1" operator="notBetween">
      <formula>-0.001</formula>
      <formula>0.001</formula>
    </cfRule>
  </conditionalFormatting>
  <conditionalFormatting sqref="G2:Y2">
    <cfRule type="cellIs" dxfId="33" priority="12" stopIfTrue="1" operator="notEqual">
      <formula>"ok"</formula>
    </cfRule>
  </conditionalFormatting>
  <conditionalFormatting sqref="Z569 Z774 Z784 Z665 Z89 Z262 Z206 Z144 Z303 Z428 Z567 Z491 Z632 Z51 Z791">
    <cfRule type="cellIs" dxfId="32" priority="9" stopIfTrue="1" operator="notBetween">
      <formula>-0.001</formula>
      <formula>0.001</formula>
    </cfRule>
  </conditionalFormatting>
  <conditionalFormatting sqref="Z2">
    <cfRule type="cellIs" dxfId="31" priority="10" stopIfTrue="1" operator="notEqual">
      <formula>"ok"</formula>
    </cfRule>
  </conditionalFormatting>
  <conditionalFormatting sqref="AA774:AC774 AA784:AC784 AA665:AC665 AA89:AC89 AA330:AC330 AA115:AC115 AA262:AC262 AA206:AC206 AA144:AC144 AA303:AC303 AA428:AC428 AA523:AC523 AA491:AC491 AA632:AC632 AA51:AC51 AA791:AC791 AA14:AC14 AA567:AC567 AA569:AC569 AA545:AC545">
    <cfRule type="cellIs" dxfId="30" priority="7" stopIfTrue="1" operator="notBetween">
      <formula>-0.001</formula>
      <formula>0.001</formula>
    </cfRule>
  </conditionalFormatting>
  <conditionalFormatting sqref="AA2:AC2">
    <cfRule type="cellIs" dxfId="29" priority="8" stopIfTrue="1" operator="notEqual">
      <formula>"ok"</formula>
    </cfRule>
  </conditionalFormatting>
  <conditionalFormatting sqref="AD569 AD774 AD784 AD665 AD89 AD330 AD115 AD262 AD206 AD144 AD303 AD428 AD567 AD545 AD523 AD491 AD632 AD51 AD791 AD14">
    <cfRule type="cellIs" dxfId="28" priority="3" stopIfTrue="1" operator="notBetween">
      <formula>-0.001</formula>
      <formula>0.001</formula>
    </cfRule>
  </conditionalFormatting>
  <conditionalFormatting sqref="AD2">
    <cfRule type="cellIs" dxfId="27" priority="4" stopIfTrue="1" operator="notEqual">
      <formula>"ok"</formula>
    </cfRule>
  </conditionalFormatting>
  <conditionalFormatting sqref="AE569 AE774 AE784 AE665 AE89 AE330 AE115 AE262 AE206 AE144 AE303 AE428 AE567 AE545 AE523 AE491 AE632 AE51 AE791 AE14">
    <cfRule type="cellIs" dxfId="26" priority="1" stopIfTrue="1" operator="notBetween">
      <formula>-0.001</formula>
      <formula>0.001</formula>
    </cfRule>
  </conditionalFormatting>
  <conditionalFormatting sqref="AE2">
    <cfRule type="cellIs" dxfId="25" priority="2" stopIfTrue="1" operator="notEqual">
      <formula>"ok"</formula>
    </cfRule>
  </conditionalFormatting>
  <hyperlinks>
    <hyperlink ref="E110" location="Sector1!E420" display="Follow this link to GVT final consumption expenditure (P.3)"/>
    <hyperlink ref="E429" location="VVP1!E47" display="Follow this link to the total consumption forecast in VVP1"/>
  </hyperlinks>
  <pageMargins left="0.15748031496062992" right="0.15748031496062992" top="0.98425196850393704" bottom="0.98425196850393704" header="0.51181102362204722" footer="0.51181102362204722"/>
  <pageSetup scale="56" fitToHeight="0" orientation="landscape" r:id="rId1"/>
  <headerFooter alignWithMargins="0"/>
  <rowBreaks count="13" manualBreakCount="13">
    <brk id="4" max="16383" man="1"/>
    <brk id="41" max="16383" man="1"/>
    <brk id="69" max="16383" man="1"/>
    <brk id="103" max="16383" man="1"/>
    <brk id="132" max="16383" man="1"/>
    <brk id="176" max="16383" man="1"/>
    <brk id="197" max="16383" man="1"/>
    <brk id="249" max="16383" man="1"/>
    <brk id="294" max="16383" man="1"/>
    <brk id="319" max="16383" man="1"/>
    <brk id="392" max="16383" man="1"/>
    <brk id="478" max="16383" man="1"/>
    <brk id="515" max="16383" man="1"/>
  </rowBreaks>
  <ignoredErrors>
    <ignoredError sqref="H92:H95 I92:N95" evalError="1"/>
  </ignoredError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indexed="44"/>
    <pageSetUpPr fitToPage="1"/>
  </sheetPr>
  <dimension ref="A1:EX147"/>
  <sheetViews>
    <sheetView showGridLines="0" workbookViewId="0">
      <pane xSplit="4" ySplit="4" topLeftCell="EA5" activePane="bottomRight" state="frozen"/>
      <selection pane="topRight" activeCell="E1" sqref="E1"/>
      <selection pane="bottomLeft" activeCell="A4" sqref="A4"/>
      <selection pane="bottomRight" activeCell="EQ48" sqref="EQ48"/>
    </sheetView>
  </sheetViews>
  <sheetFormatPr defaultRowHeight="12.75"/>
  <cols>
    <col min="1" max="1" width="2.140625" customWidth="1"/>
    <col min="2" max="2" width="2.140625" style="546" bestFit="1" customWidth="1"/>
    <col min="3" max="3" width="2.28515625" style="547" customWidth="1"/>
    <col min="4" max="4" width="45.5703125" style="548" customWidth="1"/>
    <col min="5" max="9" width="6.7109375" style="217" hidden="1" customWidth="1"/>
    <col min="10" max="10" width="6.7109375" style="546" hidden="1" customWidth="1"/>
    <col min="11" max="15" width="6.7109375" hidden="1" customWidth="1"/>
    <col min="16" max="16" width="8.7109375" hidden="1" customWidth="1"/>
    <col min="17" max="21" width="6.7109375" hidden="1" customWidth="1"/>
    <col min="22" max="22" width="7.7109375" hidden="1" customWidth="1"/>
    <col min="23" max="70" width="6.7109375" hidden="1" customWidth="1"/>
    <col min="71" max="106" width="6.5703125" hidden="1" customWidth="1"/>
    <col min="107" max="118" width="7.140625" hidden="1" customWidth="1"/>
    <col min="119" max="130" width="7.140625" customWidth="1"/>
    <col min="149" max="154" width="9.140625" style="3649"/>
  </cols>
  <sheetData>
    <row r="1" spans="1:154">
      <c r="A1" s="1187" t="s">
        <v>750</v>
      </c>
    </row>
    <row r="2" spans="1:154">
      <c r="C2"/>
      <c r="E2" s="3751">
        <f ca="1">OFFSET(InputY!$G$3,0,(COLUMN()-5)/6)</f>
        <v>1995</v>
      </c>
      <c r="F2" s="3751"/>
      <c r="G2" s="3751"/>
      <c r="H2" s="3751"/>
      <c r="I2" s="3751"/>
      <c r="J2" s="3751"/>
      <c r="K2" s="3751">
        <f ca="1">OFFSET(InputY!$G$3,0,(COLUMN()-5)/6)</f>
        <v>1996</v>
      </c>
      <c r="L2" s="3751"/>
      <c r="M2" s="3751"/>
      <c r="N2" s="3751"/>
      <c r="O2" s="3751"/>
      <c r="P2" s="3751"/>
      <c r="Q2" s="3751">
        <f ca="1">OFFSET(InputY!$G$3,0,(COLUMN()-5)/6)</f>
        <v>1997</v>
      </c>
      <c r="R2" s="3751"/>
      <c r="S2" s="3751"/>
      <c r="T2" s="3751"/>
      <c r="U2" s="3751"/>
      <c r="V2" s="3751"/>
      <c r="W2" s="3751">
        <f ca="1">OFFSET(InputY!$G$3,0,(COLUMN()-5)/6)</f>
        <v>1998</v>
      </c>
      <c r="X2" s="3751"/>
      <c r="Y2" s="3751"/>
      <c r="Z2" s="3751"/>
      <c r="AA2" s="3751"/>
      <c r="AB2" s="3751"/>
      <c r="AC2" s="3751">
        <f ca="1">OFFSET(InputY!$G$3,0,(COLUMN()-5)/6)</f>
        <v>1999</v>
      </c>
      <c r="AD2" s="3751"/>
      <c r="AE2" s="3751"/>
      <c r="AF2" s="3751"/>
      <c r="AG2" s="3751"/>
      <c r="AH2" s="3751"/>
      <c r="AI2" s="3751">
        <f ca="1">OFFSET(InputY!$G$3,0,(COLUMN()-5)/6)</f>
        <v>2000</v>
      </c>
      <c r="AJ2" s="3751"/>
      <c r="AK2" s="3751"/>
      <c r="AL2" s="3751"/>
      <c r="AM2" s="3751"/>
      <c r="AN2" s="3751"/>
      <c r="AO2" s="3751">
        <f ca="1">OFFSET(InputY!$G$3,0,(COLUMN()-5)/6)</f>
        <v>2001</v>
      </c>
      <c r="AP2" s="3751"/>
      <c r="AQ2" s="3751"/>
      <c r="AR2" s="3751"/>
      <c r="AS2" s="3751"/>
      <c r="AT2" s="3751"/>
      <c r="AU2" s="3751">
        <f ca="1">OFFSET(InputY!$G$3,0,(COLUMN()-5)/6)</f>
        <v>2002</v>
      </c>
      <c r="AV2" s="3751"/>
      <c r="AW2" s="3751"/>
      <c r="AX2" s="3751"/>
      <c r="AY2" s="3751"/>
      <c r="AZ2" s="3751"/>
      <c r="BA2" s="3751">
        <f ca="1">OFFSET(InputY!$G$3,0,(COLUMN()-5)/6)</f>
        <v>2003</v>
      </c>
      <c r="BB2" s="3751"/>
      <c r="BC2" s="3751"/>
      <c r="BD2" s="3751"/>
      <c r="BE2" s="3751"/>
      <c r="BF2" s="3751"/>
      <c r="BG2" s="3751">
        <f ca="1">OFFSET(InputY!$G$3,0,(COLUMN()-5)/6)</f>
        <v>2004</v>
      </c>
      <c r="BH2" s="3751"/>
      <c r="BI2" s="3751"/>
      <c r="BJ2" s="3751"/>
      <c r="BK2" s="3751"/>
      <c r="BL2" s="3751"/>
      <c r="BM2" s="3751">
        <f ca="1">OFFSET(InputY!$G$3,0,(COLUMN()-5)/6)</f>
        <v>2005</v>
      </c>
      <c r="BN2" s="3751"/>
      <c r="BO2" s="3751"/>
      <c r="BP2" s="3751"/>
      <c r="BQ2" s="3751"/>
      <c r="BR2" s="3751"/>
      <c r="BS2" s="3751">
        <f ca="1">OFFSET(InputY!$G$3,0,(COLUMN()-5)/6)</f>
        <v>2006</v>
      </c>
      <c r="BT2" s="3751"/>
      <c r="BU2" s="3751"/>
      <c r="BV2" s="3751"/>
      <c r="BW2" s="3751"/>
      <c r="BX2" s="3751"/>
      <c r="BY2" s="3751">
        <f ca="1">OFFSET(InputY!$G$3,0,(COLUMN()-5)/6)</f>
        <v>2007</v>
      </c>
      <c r="BZ2" s="3751"/>
      <c r="CA2" s="3751"/>
      <c r="CB2" s="3751"/>
      <c r="CC2" s="3751"/>
      <c r="CD2" s="3751"/>
      <c r="CE2" s="3751">
        <f ca="1">OFFSET(InputY!$G$3,0,(COLUMN()-5)/6)</f>
        <v>2008</v>
      </c>
      <c r="CF2" s="3751"/>
      <c r="CG2" s="3751"/>
      <c r="CH2" s="3751"/>
      <c r="CI2" s="3751"/>
      <c r="CJ2" s="3751"/>
      <c r="CK2" s="3751">
        <f ca="1">OFFSET(InputY!$G$3,0,(COLUMN()-5)/6)</f>
        <v>2009</v>
      </c>
      <c r="CL2" s="3751"/>
      <c r="CM2" s="3751"/>
      <c r="CN2" s="3751"/>
      <c r="CO2" s="3751"/>
      <c r="CP2" s="3751"/>
      <c r="CQ2" s="3751">
        <f ca="1">OFFSET(InputY!$G$3,0,(COLUMN()-5)/6)</f>
        <v>2010</v>
      </c>
      <c r="CR2" s="3751"/>
      <c r="CS2" s="3751"/>
      <c r="CT2" s="3751"/>
      <c r="CU2" s="3751"/>
      <c r="CV2" s="3751"/>
      <c r="CW2" s="3751">
        <f ca="1">OFFSET(InputY!$G$3,0,(COLUMN()-5)/6)</f>
        <v>2011</v>
      </c>
      <c r="CX2" s="3751"/>
      <c r="CY2" s="3751"/>
      <c r="CZ2" s="3751"/>
      <c r="DA2" s="3751"/>
      <c r="DB2" s="3751"/>
      <c r="DC2" s="3751">
        <f ca="1">OFFSET(InputY!$G$3,0,(COLUMN()-5)/6)</f>
        <v>2012</v>
      </c>
      <c r="DD2" s="3751"/>
      <c r="DE2" s="3751"/>
      <c r="DF2" s="3751"/>
      <c r="DG2" s="3751"/>
      <c r="DH2" s="3751"/>
      <c r="DI2" s="3751">
        <f ca="1">OFFSET(InputY!$G$3,0,(COLUMN()-5)/6)</f>
        <v>2013</v>
      </c>
      <c r="DJ2" s="3751"/>
      <c r="DK2" s="3751"/>
      <c r="DL2" s="3751"/>
      <c r="DM2" s="3751"/>
      <c r="DN2" s="3751"/>
      <c r="DO2" s="3776">
        <f ca="1">OFFSET(InputY!$G$3,0,(COLUMN()-5)/6)</f>
        <v>2014</v>
      </c>
      <c r="DP2" s="3771"/>
      <c r="DQ2" s="3771"/>
      <c r="DR2" s="3771"/>
      <c r="DS2" s="3771"/>
      <c r="DT2" s="3772"/>
      <c r="DU2" s="3776">
        <f ca="1">OFFSET(InputY!$G$3,0,(COLUMN()-5)/6)</f>
        <v>2015</v>
      </c>
      <c r="DV2" s="3771"/>
      <c r="DW2" s="3771"/>
      <c r="DX2" s="3771"/>
      <c r="DY2" s="3771"/>
      <c r="DZ2" s="3772"/>
      <c r="EA2" s="3776">
        <f ca="1">OFFSET(InputY!$G$3,0,(COLUMN()-5)/6)</f>
        <v>2016</v>
      </c>
      <c r="EB2" s="3771"/>
      <c r="EC2" s="3771"/>
      <c r="ED2" s="3771"/>
      <c r="EE2" s="3771"/>
      <c r="EF2" s="3772"/>
      <c r="EG2" s="3776">
        <f ca="1">OFFSET(InputY!$G$3,0,(COLUMN()-5)/6)</f>
        <v>2017</v>
      </c>
      <c r="EH2" s="3771"/>
      <c r="EI2" s="3771"/>
      <c r="EJ2" s="3771"/>
      <c r="EK2" s="3771"/>
      <c r="EL2" s="3772"/>
      <c r="EM2" s="3776">
        <f ca="1">OFFSET(InputY!$G$3,0,(COLUMN()-5)/6)</f>
        <v>2018</v>
      </c>
      <c r="EN2" s="3771"/>
      <c r="EO2" s="3771"/>
      <c r="EP2" s="3771"/>
      <c r="EQ2" s="3771"/>
      <c r="ER2" s="3772"/>
      <c r="ES2" s="3776">
        <f ca="1">OFFSET(InputY!$G$3,0,(COLUMN()-5)/6)</f>
        <v>2019</v>
      </c>
      <c r="ET2" s="3771"/>
      <c r="EU2" s="3771"/>
      <c r="EV2" s="3771"/>
      <c r="EW2" s="3771"/>
      <c r="EX2" s="3772"/>
    </row>
    <row r="3" spans="1:154">
      <c r="C3"/>
      <c r="D3" s="549"/>
      <c r="E3" s="3751"/>
      <c r="F3" s="3751"/>
      <c r="G3" s="3751"/>
      <c r="H3" s="3751"/>
      <c r="I3" s="3751"/>
      <c r="J3" s="3751"/>
      <c r="K3" s="3751"/>
      <c r="L3" s="3751"/>
      <c r="M3" s="3751"/>
      <c r="N3" s="3751"/>
      <c r="O3" s="3751"/>
      <c r="P3" s="3751"/>
      <c r="Q3" s="3751"/>
      <c r="R3" s="3751"/>
      <c r="S3" s="3751"/>
      <c r="T3" s="3751"/>
      <c r="U3" s="3751"/>
      <c r="V3" s="3751"/>
      <c r="W3" s="3751"/>
      <c r="X3" s="3751"/>
      <c r="Y3" s="3751"/>
      <c r="Z3" s="3751"/>
      <c r="AA3" s="3751"/>
      <c r="AB3" s="3751"/>
      <c r="AC3" s="3751"/>
      <c r="AD3" s="3751"/>
      <c r="AE3" s="3751"/>
      <c r="AF3" s="3751"/>
      <c r="AG3" s="3751"/>
      <c r="AH3" s="3751"/>
      <c r="AI3" s="3751"/>
      <c r="AJ3" s="3751"/>
      <c r="AK3" s="3751"/>
      <c r="AL3" s="3751"/>
      <c r="AM3" s="3751"/>
      <c r="AN3" s="3751"/>
      <c r="AO3" s="3751"/>
      <c r="AP3" s="3751"/>
      <c r="AQ3" s="3751"/>
      <c r="AR3" s="3751"/>
      <c r="AS3" s="3751"/>
      <c r="AT3" s="3751"/>
      <c r="AU3" s="3751"/>
      <c r="AV3" s="3751"/>
      <c r="AW3" s="3751"/>
      <c r="AX3" s="3751"/>
      <c r="AY3" s="3751"/>
      <c r="AZ3" s="3751"/>
      <c r="BA3" s="3751"/>
      <c r="BB3" s="3751"/>
      <c r="BC3" s="3751"/>
      <c r="BD3" s="3751"/>
      <c r="BE3" s="3751"/>
      <c r="BF3" s="3751"/>
      <c r="BG3" s="3751"/>
      <c r="BH3" s="3751"/>
      <c r="BI3" s="3751"/>
      <c r="BJ3" s="3751"/>
      <c r="BK3" s="3751"/>
      <c r="BL3" s="3751"/>
      <c r="BM3" s="3751"/>
      <c r="BN3" s="3751"/>
      <c r="BO3" s="3751"/>
      <c r="BP3" s="3751"/>
      <c r="BQ3" s="3751"/>
      <c r="BR3" s="3751"/>
      <c r="BS3" s="3751"/>
      <c r="BT3" s="3751"/>
      <c r="BU3" s="3751"/>
      <c r="BV3" s="3751"/>
      <c r="BW3" s="3751"/>
      <c r="BX3" s="3751"/>
      <c r="BY3" s="3751"/>
      <c r="BZ3" s="3751"/>
      <c r="CA3" s="3751"/>
      <c r="CB3" s="3751"/>
      <c r="CC3" s="3751"/>
      <c r="CD3" s="3751"/>
      <c r="CE3" s="3751"/>
      <c r="CF3" s="3751"/>
      <c r="CG3" s="3751"/>
      <c r="CH3" s="3751"/>
      <c r="CI3" s="3751"/>
      <c r="CJ3" s="3751"/>
      <c r="CK3" s="3751"/>
      <c r="CL3" s="3751"/>
      <c r="CM3" s="3751"/>
      <c r="CN3" s="3751"/>
      <c r="CO3" s="3751"/>
      <c r="CP3" s="3751"/>
      <c r="CQ3" s="3751"/>
      <c r="CR3" s="3751"/>
      <c r="CS3" s="3751"/>
      <c r="CT3" s="3751"/>
      <c r="CU3" s="3751"/>
      <c r="CV3" s="3751"/>
      <c r="CW3" s="3751"/>
      <c r="CX3" s="3751"/>
      <c r="CY3" s="3751"/>
      <c r="CZ3" s="3751"/>
      <c r="DA3" s="3751"/>
      <c r="DB3" s="3751"/>
      <c r="DC3" s="3751"/>
      <c r="DD3" s="3751"/>
      <c r="DE3" s="3751"/>
      <c r="DF3" s="3751"/>
      <c r="DG3" s="3751"/>
      <c r="DH3" s="3751"/>
      <c r="DI3" s="3751"/>
      <c r="DJ3" s="3751"/>
      <c r="DK3" s="3751"/>
      <c r="DL3" s="3751"/>
      <c r="DM3" s="3751"/>
      <c r="DN3" s="3751"/>
      <c r="DO3" s="3773"/>
      <c r="DP3" s="3774"/>
      <c r="DQ3" s="3774"/>
      <c r="DR3" s="3774"/>
      <c r="DS3" s="3774"/>
      <c r="DT3" s="3775"/>
      <c r="DU3" s="3773"/>
      <c r="DV3" s="3774"/>
      <c r="DW3" s="3774"/>
      <c r="DX3" s="3774"/>
      <c r="DY3" s="3774"/>
      <c r="DZ3" s="3775"/>
      <c r="EA3" s="3773"/>
      <c r="EB3" s="3774"/>
      <c r="EC3" s="3774"/>
      <c r="ED3" s="3774"/>
      <c r="EE3" s="3774"/>
      <c r="EF3" s="3775"/>
      <c r="EG3" s="3773"/>
      <c r="EH3" s="3774"/>
      <c r="EI3" s="3774"/>
      <c r="EJ3" s="3774"/>
      <c r="EK3" s="3774"/>
      <c r="EL3" s="3775"/>
      <c r="EM3" s="3773"/>
      <c r="EN3" s="3774"/>
      <c r="EO3" s="3774"/>
      <c r="EP3" s="3774"/>
      <c r="EQ3" s="3774"/>
      <c r="ER3" s="3775"/>
      <c r="ES3" s="3773"/>
      <c r="ET3" s="3774"/>
      <c r="EU3" s="3774"/>
      <c r="EV3" s="3774"/>
      <c r="EW3" s="3774"/>
      <c r="EX3" s="3775"/>
    </row>
    <row r="4" spans="1:154">
      <c r="C4"/>
      <c r="E4" s="550" t="s">
        <v>684</v>
      </c>
      <c r="F4" s="550" t="s">
        <v>685</v>
      </c>
      <c r="G4" s="550" t="s">
        <v>686</v>
      </c>
      <c r="H4" s="550" t="s">
        <v>687</v>
      </c>
      <c r="I4" s="550" t="s">
        <v>688</v>
      </c>
      <c r="J4" s="550" t="s">
        <v>689</v>
      </c>
      <c r="K4" s="550" t="s">
        <v>684</v>
      </c>
      <c r="L4" s="550" t="s">
        <v>685</v>
      </c>
      <c r="M4" s="550" t="s">
        <v>686</v>
      </c>
      <c r="N4" s="550" t="s">
        <v>687</v>
      </c>
      <c r="O4" s="550" t="s">
        <v>688</v>
      </c>
      <c r="P4" s="550" t="s">
        <v>689</v>
      </c>
      <c r="Q4" s="550" t="s">
        <v>684</v>
      </c>
      <c r="R4" s="550" t="s">
        <v>685</v>
      </c>
      <c r="S4" s="550" t="s">
        <v>686</v>
      </c>
      <c r="T4" s="550" t="s">
        <v>687</v>
      </c>
      <c r="U4" s="550" t="s">
        <v>688</v>
      </c>
      <c r="V4" s="550" t="s">
        <v>689</v>
      </c>
      <c r="W4" s="550" t="s">
        <v>684</v>
      </c>
      <c r="X4" s="550" t="s">
        <v>685</v>
      </c>
      <c r="Y4" s="550" t="s">
        <v>686</v>
      </c>
      <c r="Z4" s="550" t="s">
        <v>687</v>
      </c>
      <c r="AA4" s="550" t="s">
        <v>688</v>
      </c>
      <c r="AB4" s="550" t="s">
        <v>689</v>
      </c>
      <c r="AC4" s="550" t="s">
        <v>684</v>
      </c>
      <c r="AD4" s="550" t="s">
        <v>685</v>
      </c>
      <c r="AE4" s="550" t="s">
        <v>686</v>
      </c>
      <c r="AF4" s="550" t="s">
        <v>687</v>
      </c>
      <c r="AG4" s="550" t="s">
        <v>688</v>
      </c>
      <c r="AH4" s="550" t="s">
        <v>689</v>
      </c>
      <c r="AI4" s="550" t="s">
        <v>684</v>
      </c>
      <c r="AJ4" s="550" t="s">
        <v>685</v>
      </c>
      <c r="AK4" s="550" t="s">
        <v>686</v>
      </c>
      <c r="AL4" s="550" t="s">
        <v>687</v>
      </c>
      <c r="AM4" s="550" t="s">
        <v>688</v>
      </c>
      <c r="AN4" s="550" t="s">
        <v>689</v>
      </c>
      <c r="AO4" s="550" t="s">
        <v>684</v>
      </c>
      <c r="AP4" s="550" t="s">
        <v>685</v>
      </c>
      <c r="AQ4" s="550" t="s">
        <v>686</v>
      </c>
      <c r="AR4" s="550" t="s">
        <v>687</v>
      </c>
      <c r="AS4" s="550" t="s">
        <v>688</v>
      </c>
      <c r="AT4" s="550" t="s">
        <v>689</v>
      </c>
      <c r="AU4" s="550" t="s">
        <v>684</v>
      </c>
      <c r="AV4" s="550" t="s">
        <v>685</v>
      </c>
      <c r="AW4" s="550" t="s">
        <v>686</v>
      </c>
      <c r="AX4" s="550" t="s">
        <v>687</v>
      </c>
      <c r="AY4" s="550" t="s">
        <v>688</v>
      </c>
      <c r="AZ4" s="550" t="s">
        <v>689</v>
      </c>
      <c r="BA4" s="550" t="s">
        <v>684</v>
      </c>
      <c r="BB4" s="550" t="s">
        <v>685</v>
      </c>
      <c r="BC4" s="550" t="s">
        <v>686</v>
      </c>
      <c r="BD4" s="550" t="s">
        <v>687</v>
      </c>
      <c r="BE4" s="550" t="s">
        <v>688</v>
      </c>
      <c r="BF4" s="550" t="s">
        <v>689</v>
      </c>
      <c r="BG4" s="550" t="s">
        <v>684</v>
      </c>
      <c r="BH4" s="550" t="s">
        <v>685</v>
      </c>
      <c r="BI4" s="550" t="s">
        <v>686</v>
      </c>
      <c r="BJ4" s="550" t="s">
        <v>687</v>
      </c>
      <c r="BK4" s="550" t="s">
        <v>688</v>
      </c>
      <c r="BL4" s="550" t="s">
        <v>689</v>
      </c>
      <c r="BM4" s="550" t="s">
        <v>684</v>
      </c>
      <c r="BN4" s="550" t="s">
        <v>685</v>
      </c>
      <c r="BO4" s="550" t="s">
        <v>686</v>
      </c>
      <c r="BP4" s="550" t="s">
        <v>687</v>
      </c>
      <c r="BQ4" s="550" t="s">
        <v>688</v>
      </c>
      <c r="BR4" s="550" t="s">
        <v>689</v>
      </c>
      <c r="BS4" s="550" t="s">
        <v>684</v>
      </c>
      <c r="BT4" s="550" t="s">
        <v>685</v>
      </c>
      <c r="BU4" s="550" t="s">
        <v>686</v>
      </c>
      <c r="BV4" s="550" t="s">
        <v>687</v>
      </c>
      <c r="BW4" s="550" t="s">
        <v>688</v>
      </c>
      <c r="BX4" s="550" t="s">
        <v>689</v>
      </c>
      <c r="BY4" s="550" t="s">
        <v>684</v>
      </c>
      <c r="BZ4" s="550" t="s">
        <v>685</v>
      </c>
      <c r="CA4" s="550" t="s">
        <v>686</v>
      </c>
      <c r="CB4" s="550" t="s">
        <v>687</v>
      </c>
      <c r="CC4" s="550" t="s">
        <v>688</v>
      </c>
      <c r="CD4" s="550" t="s">
        <v>689</v>
      </c>
      <c r="CE4" s="550" t="s">
        <v>684</v>
      </c>
      <c r="CF4" s="550" t="s">
        <v>685</v>
      </c>
      <c r="CG4" s="550" t="s">
        <v>686</v>
      </c>
      <c r="CH4" s="550" t="s">
        <v>687</v>
      </c>
      <c r="CI4" s="550" t="s">
        <v>688</v>
      </c>
      <c r="CJ4" s="550" t="s">
        <v>689</v>
      </c>
      <c r="CK4" s="550" t="s">
        <v>684</v>
      </c>
      <c r="CL4" s="550" t="s">
        <v>685</v>
      </c>
      <c r="CM4" s="550" t="s">
        <v>686</v>
      </c>
      <c r="CN4" s="550" t="s">
        <v>687</v>
      </c>
      <c r="CO4" s="550" t="s">
        <v>688</v>
      </c>
      <c r="CP4" s="550" t="s">
        <v>689</v>
      </c>
      <c r="CQ4" s="550" t="s">
        <v>684</v>
      </c>
      <c r="CR4" s="550" t="s">
        <v>685</v>
      </c>
      <c r="CS4" s="550" t="s">
        <v>686</v>
      </c>
      <c r="CT4" s="550" t="s">
        <v>687</v>
      </c>
      <c r="CU4" s="550" t="s">
        <v>688</v>
      </c>
      <c r="CV4" s="550" t="s">
        <v>689</v>
      </c>
      <c r="CW4" s="550" t="s">
        <v>684</v>
      </c>
      <c r="CX4" s="550" t="s">
        <v>685</v>
      </c>
      <c r="CY4" s="550" t="s">
        <v>686</v>
      </c>
      <c r="CZ4" s="550" t="s">
        <v>687</v>
      </c>
      <c r="DA4" s="550" t="s">
        <v>688</v>
      </c>
      <c r="DB4" s="550" t="s">
        <v>689</v>
      </c>
      <c r="DC4" s="550" t="s">
        <v>684</v>
      </c>
      <c r="DD4" s="550" t="s">
        <v>685</v>
      </c>
      <c r="DE4" s="550" t="s">
        <v>686</v>
      </c>
      <c r="DF4" s="550" t="s">
        <v>687</v>
      </c>
      <c r="DG4" s="550" t="s">
        <v>688</v>
      </c>
      <c r="DH4" s="550" t="s">
        <v>689</v>
      </c>
      <c r="DI4" s="550" t="s">
        <v>684</v>
      </c>
      <c r="DJ4" s="550" t="s">
        <v>685</v>
      </c>
      <c r="DK4" s="550" t="s">
        <v>686</v>
      </c>
      <c r="DL4" s="550" t="s">
        <v>687</v>
      </c>
      <c r="DM4" s="550" t="s">
        <v>688</v>
      </c>
      <c r="DN4" s="550" t="s">
        <v>689</v>
      </c>
      <c r="DO4" s="550" t="s">
        <v>684</v>
      </c>
      <c r="DP4" s="550" t="s">
        <v>685</v>
      </c>
      <c r="DQ4" s="550" t="s">
        <v>686</v>
      </c>
      <c r="DR4" s="550" t="s">
        <v>687</v>
      </c>
      <c r="DS4" s="550" t="s">
        <v>688</v>
      </c>
      <c r="DT4" s="550" t="s">
        <v>689</v>
      </c>
      <c r="DU4" s="550" t="s">
        <v>684</v>
      </c>
      <c r="DV4" s="550" t="s">
        <v>685</v>
      </c>
      <c r="DW4" s="550" t="s">
        <v>686</v>
      </c>
      <c r="DX4" s="550" t="s">
        <v>687</v>
      </c>
      <c r="DY4" s="550" t="s">
        <v>688</v>
      </c>
      <c r="DZ4" s="550" t="s">
        <v>689</v>
      </c>
      <c r="EA4" s="550" t="s">
        <v>684</v>
      </c>
      <c r="EB4" s="550" t="s">
        <v>685</v>
      </c>
      <c r="EC4" s="550" t="s">
        <v>686</v>
      </c>
      <c r="ED4" s="550" t="s">
        <v>687</v>
      </c>
      <c r="EE4" s="550" t="s">
        <v>688</v>
      </c>
      <c r="EF4" s="550" t="s">
        <v>689</v>
      </c>
      <c r="EG4" s="550" t="s">
        <v>684</v>
      </c>
      <c r="EH4" s="550" t="s">
        <v>685</v>
      </c>
      <c r="EI4" s="550" t="s">
        <v>686</v>
      </c>
      <c r="EJ4" s="550" t="s">
        <v>687</v>
      </c>
      <c r="EK4" s="550" t="s">
        <v>688</v>
      </c>
      <c r="EL4" s="550" t="s">
        <v>689</v>
      </c>
      <c r="EM4" s="550" t="s">
        <v>684</v>
      </c>
      <c r="EN4" s="550" t="s">
        <v>685</v>
      </c>
      <c r="EO4" s="550" t="s">
        <v>686</v>
      </c>
      <c r="EP4" s="550" t="s">
        <v>687</v>
      </c>
      <c r="EQ4" s="550" t="s">
        <v>688</v>
      </c>
      <c r="ER4" s="550" t="s">
        <v>689</v>
      </c>
      <c r="ES4" s="550" t="s">
        <v>684</v>
      </c>
      <c r="ET4" s="550" t="s">
        <v>685</v>
      </c>
      <c r="EU4" s="550" t="s">
        <v>686</v>
      </c>
      <c r="EV4" s="550" t="s">
        <v>687</v>
      </c>
      <c r="EW4" s="550" t="s">
        <v>688</v>
      </c>
      <c r="EX4" s="550" t="s">
        <v>689</v>
      </c>
    </row>
    <row r="5" spans="1:154" ht="12.75" customHeight="1">
      <c r="A5" s="551"/>
      <c r="B5" s="3438"/>
      <c r="C5" s="3781" t="s">
        <v>1166</v>
      </c>
      <c r="D5" s="3782"/>
      <c r="E5" s="3439">
        <f ca="1">OFFSET('VVP2'!$G$341,0,(COLUMN()-5)/6)</f>
        <v>7.7645299999999997</v>
      </c>
      <c r="F5" s="3440"/>
      <c r="G5" s="3440"/>
      <c r="H5" s="3440"/>
      <c r="I5" s="3440"/>
      <c r="J5" s="3441"/>
      <c r="K5" s="3439">
        <f ca="1">OFFSET('VVP2'!$G$341,0,(COLUMN()-5)/6)</f>
        <v>9.7141500000000001</v>
      </c>
      <c r="L5" s="3440"/>
      <c r="M5" s="3440"/>
      <c r="N5" s="3440"/>
      <c r="O5" s="3440"/>
      <c r="P5" s="3441"/>
      <c r="Q5" s="3439">
        <f ca="1">OFFSET('VVP2'!$G$341,0,(COLUMN()-5)/6)</f>
        <v>11.72434</v>
      </c>
      <c r="R5" s="3440"/>
      <c r="S5" s="3440"/>
      <c r="T5" s="3440"/>
      <c r="U5" s="3440"/>
      <c r="V5" s="3441"/>
      <c r="W5" s="3439">
        <f ca="1">OFFSET('VVP2'!$G$341,0,(COLUMN()-5)/6)</f>
        <v>13.02196</v>
      </c>
      <c r="X5" s="3440"/>
      <c r="Y5" s="3440"/>
      <c r="Z5" s="3440"/>
      <c r="AA5" s="3440"/>
      <c r="AB5" s="3441"/>
      <c r="AC5" s="3439">
        <f ca="1">OFFSET('VVP2'!$G$341,0,(COLUMN()-5)/6)</f>
        <v>12.71208</v>
      </c>
      <c r="AD5" s="3440"/>
      <c r="AE5" s="3440"/>
      <c r="AF5" s="3440"/>
      <c r="AG5" s="3440"/>
      <c r="AH5" s="3441"/>
      <c r="AI5" s="3439">
        <f ca="1">OFFSET('VVP2'!$G$341,0,(COLUMN()-5)/6)</f>
        <v>13.368180000000001</v>
      </c>
      <c r="AJ5" s="3440"/>
      <c r="AK5" s="3440"/>
      <c r="AL5" s="3440"/>
      <c r="AM5" s="3440"/>
      <c r="AN5" s="3441"/>
      <c r="AO5" s="3439">
        <f ca="1">OFFSET('VVP2'!$G$341,0,(COLUMN()-5)/6)</f>
        <v>14.194520000000001</v>
      </c>
      <c r="AP5" s="3440"/>
      <c r="AQ5" s="3440"/>
      <c r="AR5" s="3440"/>
      <c r="AS5" s="3440"/>
      <c r="AT5" s="3441"/>
      <c r="AU5" s="3439">
        <f ca="1">OFFSET('VVP2'!$G$341,0,(COLUMN()-5)/6)</f>
        <v>15.202170000000001</v>
      </c>
      <c r="AV5" s="3440"/>
      <c r="AW5" s="3440"/>
      <c r="AX5" s="3440"/>
      <c r="AY5" s="3440"/>
      <c r="AZ5" s="3441"/>
      <c r="BA5" s="3439">
        <f ca="1">OFFSET('VVP2'!$G$341,0,(COLUMN()-5)/6)</f>
        <v>16.668479999999999</v>
      </c>
      <c r="BB5" s="3440"/>
      <c r="BC5" s="3440"/>
      <c r="BD5" s="3440"/>
      <c r="BE5" s="3440"/>
      <c r="BF5" s="3441"/>
      <c r="BG5" s="3439">
        <f ca="1">OFFSET('VVP2'!$G$341,0,(COLUMN()-5)/6)</f>
        <v>18.237719999999999</v>
      </c>
      <c r="BH5" s="3440"/>
      <c r="BI5" s="3440"/>
      <c r="BJ5" s="3440"/>
      <c r="BK5" s="3440"/>
      <c r="BL5" s="3441"/>
      <c r="BM5" s="3439">
        <f ca="1">OFFSET('VVP2'!$G$341,0,(COLUMN()-5)/6)</f>
        <v>21.00235</v>
      </c>
      <c r="BN5" s="3440"/>
      <c r="BO5" s="3440"/>
      <c r="BP5" s="3440"/>
      <c r="BQ5" s="3440"/>
      <c r="BR5" s="3441"/>
      <c r="BS5" s="3439">
        <f ca="1">OFFSET('VVP2'!$G$341,0,(COLUMN()-5)/6)</f>
        <v>24.079180000000001</v>
      </c>
      <c r="BT5" s="3440"/>
      <c r="BU5" s="3440"/>
      <c r="BV5" s="3440"/>
      <c r="BW5" s="3440"/>
      <c r="BX5" s="3441"/>
      <c r="BY5" s="3439">
        <f ca="1">OFFSET('VVP2'!$G$341,0,(COLUMN()-5)/6)</f>
        <v>29.040659999999999</v>
      </c>
      <c r="BZ5" s="3440"/>
      <c r="CA5" s="3440"/>
      <c r="CB5" s="3440"/>
      <c r="CC5" s="3440"/>
      <c r="CD5" s="3441"/>
      <c r="CE5" s="3439">
        <f ca="1">OFFSET('VVP2'!$G$341,0,(COLUMN()-5)/6)</f>
        <v>32.696280000000002</v>
      </c>
      <c r="CF5" s="3440"/>
      <c r="CG5" s="3440"/>
      <c r="CH5" s="3440"/>
      <c r="CI5" s="3440"/>
      <c r="CJ5" s="3441"/>
      <c r="CK5" s="3439">
        <f ca="1">OFFSET('VVP2'!$G$341,0,(COLUMN()-5)/6)</f>
        <v>26.934819999999998</v>
      </c>
      <c r="CL5" s="3440"/>
      <c r="CM5" s="3440"/>
      <c r="CN5" s="3440"/>
      <c r="CO5" s="3440"/>
      <c r="CP5" s="3441"/>
      <c r="CQ5" s="3439">
        <f ca="1">OFFSET('VVP2'!$G$341,0,(COLUMN()-5)/6)</f>
        <v>28.027660000000001</v>
      </c>
      <c r="CR5" s="3440"/>
      <c r="CS5" s="3440"/>
      <c r="CT5" s="3440"/>
      <c r="CU5" s="3440"/>
      <c r="CV5" s="3441"/>
      <c r="CW5" s="3439">
        <f ca="1">OFFSET('VVP2'!$G$341,0,(COLUMN()-5)/6)</f>
        <v>31.275320000000001</v>
      </c>
      <c r="CX5" s="3440"/>
      <c r="CY5" s="3440"/>
      <c r="CZ5" s="3440"/>
      <c r="DA5" s="3440"/>
      <c r="DB5" s="3441"/>
      <c r="DC5" s="3439">
        <f ca="1">OFFSET('VVP2'!$G$341,0,(COLUMN()-5)/6)</f>
        <v>33.348480000000002</v>
      </c>
      <c r="DD5" s="3440"/>
      <c r="DE5" s="3440"/>
      <c r="DF5" s="3440"/>
      <c r="DG5" s="3440"/>
      <c r="DH5" s="3441"/>
      <c r="DI5" s="3439">
        <f ca="1">OFFSET('VVP2'!$G$341,0,(COLUMN()-5)/6)</f>
        <v>34.959650000000003</v>
      </c>
      <c r="DJ5" s="3440"/>
      <c r="DK5" s="3440"/>
      <c r="DL5" s="3440"/>
      <c r="DM5" s="3440"/>
      <c r="DN5" s="3441"/>
      <c r="DO5" s="3439">
        <f ca="1">OFFSET('VVP2'!$G$341,0,(COLUMN()-5)/6)</f>
        <v>36.568280000000001</v>
      </c>
      <c r="DP5" s="3440"/>
      <c r="DQ5" s="3440"/>
      <c r="DR5" s="3440"/>
      <c r="DS5" s="3440"/>
      <c r="DT5" s="3441"/>
      <c r="DU5" s="3439">
        <f ca="1">OFFSET('VVP2'!$G$341,0,(COLUMN()-5)/6)</f>
        <v>37.426610000000004</v>
      </c>
      <c r="DV5" s="3440"/>
      <c r="DW5" s="3440"/>
      <c r="DX5" s="3440"/>
      <c r="DY5" s="3440"/>
      <c r="DZ5" s="3441"/>
      <c r="EA5" s="3439">
        <f ca="1">OFFSET('VVP2'!$G$341,0,(COLUMN()-5)/6)</f>
        <v>38.668320000000001</v>
      </c>
      <c r="EB5" s="3440"/>
      <c r="EC5" s="3440"/>
      <c r="ED5" s="3440"/>
      <c r="EE5" s="3440"/>
      <c r="EF5" s="3441"/>
      <c r="EG5" s="3439">
        <f ca="1">OFFSET('VVP2'!$G$341,0,(COLUMN()-5)/6)</f>
        <v>41.779594892398123</v>
      </c>
      <c r="EH5" s="3440"/>
      <c r="EI5" s="3440"/>
      <c r="EJ5" s="3440"/>
      <c r="EK5" s="3440"/>
      <c r="EL5" s="3441"/>
      <c r="EM5" s="3439">
        <f ca="1">OFFSET('VVP2'!$G$341,0,(COLUMN()-5)/6)</f>
        <v>44.211558409957277</v>
      </c>
      <c r="EN5" s="3440"/>
      <c r="EO5" s="3440"/>
      <c r="EP5" s="3440"/>
      <c r="EQ5" s="3440"/>
      <c r="ER5" s="3441"/>
      <c r="ES5" s="3439">
        <f ca="1">OFFSET('VVP2'!$G$341,0,(COLUMN()-5)/6)</f>
        <v>46.676249894100508</v>
      </c>
      <c r="ET5" s="3440"/>
      <c r="EU5" s="3440"/>
      <c r="EV5" s="3440"/>
      <c r="EW5" s="3440"/>
      <c r="EX5" s="3441"/>
    </row>
    <row r="6" spans="1:154" ht="12.75" customHeight="1">
      <c r="A6" s="553"/>
      <c r="B6" s="600" t="s">
        <v>401</v>
      </c>
      <c r="C6" s="3779" t="s">
        <v>1766</v>
      </c>
      <c r="D6" s="3780"/>
      <c r="E6" s="3442">
        <f ca="1">OFFSET(Sector1!$G$8,0,(COLUMN()-5)/6)</f>
        <v>0.89854000000000001</v>
      </c>
      <c r="F6" s="3443"/>
      <c r="G6" s="3443"/>
      <c r="H6" s="3443"/>
      <c r="I6" s="3444"/>
      <c r="J6" s="3441"/>
      <c r="K6" s="3442">
        <f ca="1">OFFSET(Sector1!$G$8,0,(COLUMN()-5)/6)</f>
        <v>1.06829</v>
      </c>
      <c r="L6" s="3443"/>
      <c r="M6" s="3443"/>
      <c r="N6" s="3443"/>
      <c r="O6" s="3444"/>
      <c r="P6" s="3441"/>
      <c r="Q6" s="3442">
        <f ca="1">OFFSET(Sector1!$G$8,0,(COLUMN()-5)/6)</f>
        <v>1.5122899999999999</v>
      </c>
      <c r="R6" s="3443"/>
      <c r="S6" s="3443"/>
      <c r="T6" s="3443"/>
      <c r="U6" s="3444"/>
      <c r="V6" s="3441"/>
      <c r="W6" s="3442">
        <f ca="1">OFFSET(Sector1!$G$8,0,(COLUMN()-5)/6)</f>
        <v>1.7178800000000001</v>
      </c>
      <c r="X6" s="3443"/>
      <c r="Y6" s="3443"/>
      <c r="Z6" s="3443"/>
      <c r="AA6" s="3444"/>
      <c r="AB6" s="3441"/>
      <c r="AC6" s="3442">
        <f ca="1">OFFSET(Sector1!$G$8,0,(COLUMN()-5)/6)</f>
        <v>1.65448</v>
      </c>
      <c r="AD6" s="3443"/>
      <c r="AE6" s="3443"/>
      <c r="AF6" s="3443"/>
      <c r="AG6" s="3444"/>
      <c r="AH6" s="3441"/>
      <c r="AI6" s="3442">
        <f ca="1">OFFSET(Sector1!$G$8,0,(COLUMN()-5)/6)</f>
        <v>1.58941</v>
      </c>
      <c r="AJ6" s="3443"/>
      <c r="AK6" s="3443"/>
      <c r="AL6" s="3443"/>
      <c r="AM6" s="3444"/>
      <c r="AN6" s="3441"/>
      <c r="AO6" s="3442">
        <f ca="1">OFFSET(Sector1!$G$8,0,(COLUMN()-5)/6)</f>
        <v>1.6358499999999998</v>
      </c>
      <c r="AP6" s="3443"/>
      <c r="AQ6" s="3443"/>
      <c r="AR6" s="3443"/>
      <c r="AS6" s="3444"/>
      <c r="AT6" s="3441"/>
      <c r="AU6" s="3442">
        <f ca="1">OFFSET(Sector1!$G$8,0,(COLUMN()-5)/6)</f>
        <v>1.7799700000000001</v>
      </c>
      <c r="AV6" s="3443"/>
      <c r="AW6" s="3443"/>
      <c r="AX6" s="3443"/>
      <c r="AY6" s="3444"/>
      <c r="AZ6" s="3441"/>
      <c r="BA6" s="3442">
        <f ca="1">OFFSET(Sector1!$G$8,0,(COLUMN()-5)/6)</f>
        <v>1.8392200000000001</v>
      </c>
      <c r="BB6" s="3443"/>
      <c r="BC6" s="3443"/>
      <c r="BD6" s="3443"/>
      <c r="BE6" s="3444"/>
      <c r="BF6" s="3441"/>
      <c r="BG6" s="3442">
        <f ca="1">OFFSET(Sector1!$G$8,0,(COLUMN()-5)/6)</f>
        <v>1.9280999999999999</v>
      </c>
      <c r="BH6" s="3443"/>
      <c r="BI6" s="3443"/>
      <c r="BJ6" s="3443"/>
      <c r="BK6" s="3444"/>
      <c r="BL6" s="3441"/>
      <c r="BM6" s="3442">
        <f ca="1">OFFSET(Sector1!$G$8,0,(COLUMN()-5)/6)</f>
        <v>2.2637700000000001</v>
      </c>
      <c r="BN6" s="3443"/>
      <c r="BO6" s="3443"/>
      <c r="BP6" s="3443"/>
      <c r="BQ6" s="3444"/>
      <c r="BR6" s="3441"/>
      <c r="BS6" s="3442">
        <f ca="1">OFFSET(Sector1!$G$8,0,(COLUMN()-5)/6)</f>
        <v>2.61253</v>
      </c>
      <c r="BT6" s="3443"/>
      <c r="BU6" s="3443"/>
      <c r="BV6" s="3443"/>
      <c r="BW6" s="3444"/>
      <c r="BX6" s="3441"/>
      <c r="BY6" s="3442">
        <f ca="1">OFFSET(Sector1!$G$8,0,(COLUMN()-5)/6)</f>
        <v>3.2654899999999998</v>
      </c>
      <c r="BZ6" s="3443"/>
      <c r="CA6" s="3443"/>
      <c r="CB6" s="3443"/>
      <c r="CC6" s="3444"/>
      <c r="CD6" s="3441"/>
      <c r="CE6" s="3442">
        <f ca="1">OFFSET(Sector1!$G$8,0,(COLUMN()-5)/6)</f>
        <v>3.7011799999999999</v>
      </c>
      <c r="CF6" s="3443"/>
      <c r="CG6" s="3443"/>
      <c r="CH6" s="3443"/>
      <c r="CI6" s="3444"/>
      <c r="CJ6" s="3441"/>
      <c r="CK6" s="3442">
        <f ca="1">OFFSET(Sector1!$G$8,0,(COLUMN()-5)/6)</f>
        <v>2.9961599999999997</v>
      </c>
      <c r="CL6" s="3443"/>
      <c r="CM6" s="3443"/>
      <c r="CN6" s="3443"/>
      <c r="CO6" s="3444"/>
      <c r="CP6" s="3441"/>
      <c r="CQ6" s="3442">
        <f ca="1">OFFSET(Sector1!$G$8,0,(COLUMN()-5)/6)</f>
        <v>3.1924800000000002</v>
      </c>
      <c r="CR6" s="3443"/>
      <c r="CS6" s="3443"/>
      <c r="CT6" s="3443"/>
      <c r="CU6" s="3444"/>
      <c r="CV6" s="3441"/>
      <c r="CW6" s="3442">
        <f ca="1">OFFSET(Sector1!$G$8,0,(COLUMN()-5)/6)</f>
        <v>3.5021399999999998</v>
      </c>
      <c r="CX6" s="3443"/>
      <c r="CY6" s="3443"/>
      <c r="CZ6" s="3443"/>
      <c r="DA6" s="3444"/>
      <c r="DB6" s="3441"/>
      <c r="DC6" s="3442">
        <f ca="1">OFFSET(Sector1!$G$8,0,(COLUMN()-5)/6)</f>
        <v>3.5937899999999998</v>
      </c>
      <c r="DD6" s="3443"/>
      <c r="DE6" s="3443"/>
      <c r="DF6" s="3443"/>
      <c r="DG6" s="3444"/>
      <c r="DH6" s="3441"/>
      <c r="DI6" s="3442">
        <f ca="1">OFFSET(Sector1!$G$8,0,(COLUMN()-5)/6)</f>
        <v>3.7091500000000002</v>
      </c>
      <c r="DJ6" s="3443"/>
      <c r="DK6" s="3443"/>
      <c r="DL6" s="3443"/>
      <c r="DM6" s="3444"/>
      <c r="DN6" s="3441"/>
      <c r="DO6" s="3442">
        <f ca="1">OFFSET(Sector1!$G$8,0,(COLUMN()-5)/6)</f>
        <v>3.9403299999999999</v>
      </c>
      <c r="DP6" s="3443"/>
      <c r="DQ6" s="3443"/>
      <c r="DR6" s="3443"/>
      <c r="DS6" s="3444"/>
      <c r="DT6" s="3441"/>
      <c r="DU6" s="3442">
        <f ca="1">OFFSET(Sector1!$G$8,0,(COLUMN()-5)/6)</f>
        <v>4.2110900000000004</v>
      </c>
      <c r="DV6" s="3443"/>
      <c r="DW6" s="3443"/>
      <c r="DX6" s="3443"/>
      <c r="DY6" s="3444"/>
      <c r="DZ6" s="3441"/>
      <c r="EA6" s="3442">
        <f ca="1">OFFSET(Sector1!$G$8,0,(COLUMN()-5)/6)</f>
        <v>4.4171499999999995</v>
      </c>
      <c r="EB6" s="3443"/>
      <c r="EC6" s="3443"/>
      <c r="ED6" s="3443"/>
      <c r="EE6" s="3444"/>
      <c r="EF6" s="3441"/>
      <c r="EG6" s="3442">
        <f ca="1">OFFSET(Sector1!$G$8,0,(COLUMN()-5)/6)</f>
        <v>4.8132999999999999</v>
      </c>
      <c r="EH6" s="3443"/>
      <c r="EI6" s="3443"/>
      <c r="EJ6" s="3443"/>
      <c r="EK6" s="3444"/>
      <c r="EL6" s="3441"/>
      <c r="EM6" s="3442">
        <f ca="1">OFFSET(Sector1!$G$8,0,(COLUMN()-5)/6)</f>
        <v>5.123979558019216</v>
      </c>
      <c r="EN6" s="3443"/>
      <c r="EO6" s="3443"/>
      <c r="EP6" s="3443"/>
      <c r="EQ6" s="3444"/>
      <c r="ER6" s="3441"/>
      <c r="ES6" s="3442">
        <f ca="1">OFFSET(Sector1!$G$8,0,(COLUMN()-5)/6)</f>
        <v>5.4109224132682927</v>
      </c>
      <c r="ET6" s="3443"/>
      <c r="EU6" s="3443"/>
      <c r="EV6" s="3443"/>
      <c r="EW6" s="3444"/>
      <c r="EX6" s="3441"/>
    </row>
    <row r="7" spans="1:154" ht="12.75" customHeight="1">
      <c r="A7" s="553"/>
      <c r="B7" s="600" t="s">
        <v>1767</v>
      </c>
      <c r="C7" s="3779" t="s">
        <v>1768</v>
      </c>
      <c r="D7" s="3780"/>
      <c r="E7" s="3442">
        <f ca="1">OFFSET(Sector1!$G$45,0,(COLUMN()-5)/6)</f>
        <v>6.9860000000000005E-2</v>
      </c>
      <c r="F7" s="3443"/>
      <c r="G7" s="3443"/>
      <c r="H7" s="3443"/>
      <c r="I7" s="3444"/>
      <c r="J7" s="3441"/>
      <c r="K7" s="3442">
        <f ca="1">OFFSET(Sector1!$G$45,0,(COLUMN()-5)/6)</f>
        <v>8.7959999999999997E-2</v>
      </c>
      <c r="L7" s="3443"/>
      <c r="M7" s="3443"/>
      <c r="N7" s="3443"/>
      <c r="O7" s="3444"/>
      <c r="P7" s="3441"/>
      <c r="Q7" s="3442">
        <f ca="1">OFFSET(Sector1!$G$45,0,(COLUMN()-5)/6)</f>
        <v>6.3109999999999999E-2</v>
      </c>
      <c r="R7" s="3443"/>
      <c r="S7" s="3443"/>
      <c r="T7" s="3443"/>
      <c r="U7" s="3444"/>
      <c r="V7" s="3441"/>
      <c r="W7" s="3442">
        <f ca="1">OFFSET(Sector1!$G$45,0,(COLUMN()-5)/6)</f>
        <v>0.10904999999999999</v>
      </c>
      <c r="X7" s="3443"/>
      <c r="Y7" s="3443"/>
      <c r="Z7" s="3443"/>
      <c r="AA7" s="3444"/>
      <c r="AB7" s="3441"/>
      <c r="AC7" s="3442">
        <f ca="1">OFFSET(Sector1!$G$45,0,(COLUMN()-5)/6)</f>
        <v>0.11612</v>
      </c>
      <c r="AD7" s="3443"/>
      <c r="AE7" s="3443"/>
      <c r="AF7" s="3443"/>
      <c r="AG7" s="3444"/>
      <c r="AH7" s="3441"/>
      <c r="AI7" s="3442">
        <f ca="1">OFFSET(Sector1!$G$45,0,(COLUMN()-5)/6)</f>
        <v>0.10212</v>
      </c>
      <c r="AJ7" s="3443"/>
      <c r="AK7" s="3443"/>
      <c r="AL7" s="3443"/>
      <c r="AM7" s="3444"/>
      <c r="AN7" s="3441"/>
      <c r="AO7" s="3442">
        <f ca="1">OFFSET(Sector1!$G$45,0,(COLUMN()-5)/6)</f>
        <v>7.5840000000000005E-2</v>
      </c>
      <c r="AP7" s="3443"/>
      <c r="AQ7" s="3443"/>
      <c r="AR7" s="3443"/>
      <c r="AS7" s="3444"/>
      <c r="AT7" s="3441"/>
      <c r="AU7" s="3442">
        <f ca="1">OFFSET(Sector1!$G$45,0,(COLUMN()-5)/6)</f>
        <v>0.10173</v>
      </c>
      <c r="AV7" s="3443"/>
      <c r="AW7" s="3443"/>
      <c r="AX7" s="3443"/>
      <c r="AY7" s="3444"/>
      <c r="AZ7" s="3441"/>
      <c r="BA7" s="3442">
        <f ca="1">OFFSET(Sector1!$G$45,0,(COLUMN()-5)/6)</f>
        <v>0.10779000000000001</v>
      </c>
      <c r="BB7" s="3443"/>
      <c r="BC7" s="3443"/>
      <c r="BD7" s="3443"/>
      <c r="BE7" s="3444"/>
      <c r="BF7" s="3441"/>
      <c r="BG7" s="3442">
        <f ca="1">OFFSET(Sector1!$G$45,0,(COLUMN()-5)/6)</f>
        <v>0.18997</v>
      </c>
      <c r="BH7" s="3443"/>
      <c r="BI7" s="3443"/>
      <c r="BJ7" s="3443"/>
      <c r="BK7" s="3444"/>
      <c r="BL7" s="3441"/>
      <c r="BM7" s="3442">
        <f ca="1">OFFSET(Sector1!$G$45,0,(COLUMN()-5)/6)</f>
        <v>0.27112999999999998</v>
      </c>
      <c r="BN7" s="3443"/>
      <c r="BO7" s="3443"/>
      <c r="BP7" s="3443"/>
      <c r="BQ7" s="3444"/>
      <c r="BR7" s="3441"/>
      <c r="BS7" s="3442">
        <f ca="1">OFFSET(Sector1!$G$45,0,(COLUMN()-5)/6)</f>
        <v>0.26702999999999999</v>
      </c>
      <c r="BT7" s="3443"/>
      <c r="BU7" s="3443"/>
      <c r="BV7" s="3443"/>
      <c r="BW7" s="3444"/>
      <c r="BX7" s="3441"/>
      <c r="BY7" s="3442">
        <f ca="1">OFFSET(Sector1!$G$45,0,(COLUMN()-5)/6)</f>
        <v>0.30131999999999998</v>
      </c>
      <c r="BZ7" s="3443"/>
      <c r="CA7" s="3443"/>
      <c r="CB7" s="3443"/>
      <c r="CC7" s="3444"/>
      <c r="CD7" s="3441"/>
      <c r="CE7" s="3442">
        <f ca="1">OFFSET(Sector1!$G$45,0,(COLUMN()-5)/6)</f>
        <v>0.35411000000000004</v>
      </c>
      <c r="CF7" s="3443"/>
      <c r="CG7" s="3443"/>
      <c r="CH7" s="3443"/>
      <c r="CI7" s="3444"/>
      <c r="CJ7" s="3441"/>
      <c r="CK7" s="3442">
        <f ca="1">OFFSET(Sector1!$G$45,0,(COLUMN()-5)/6)</f>
        <v>0.36169999999999997</v>
      </c>
      <c r="CL7" s="3443"/>
      <c r="CM7" s="3443"/>
      <c r="CN7" s="3443"/>
      <c r="CO7" s="3444"/>
      <c r="CP7" s="3441"/>
      <c r="CQ7" s="3442">
        <f ca="1">OFFSET(Sector1!$G$45,0,(COLUMN()-5)/6)</f>
        <v>0.37457000000000001</v>
      </c>
      <c r="CR7" s="3443"/>
      <c r="CS7" s="3443"/>
      <c r="CT7" s="3443"/>
      <c r="CU7" s="3444"/>
      <c r="CV7" s="3441"/>
      <c r="CW7" s="3442">
        <f ca="1">OFFSET(Sector1!$G$45,0,(COLUMN()-5)/6)</f>
        <v>0.38688</v>
      </c>
      <c r="CX7" s="3443"/>
      <c r="CY7" s="3443"/>
      <c r="CZ7" s="3443"/>
      <c r="DA7" s="3444"/>
      <c r="DB7" s="3441"/>
      <c r="DC7" s="3442">
        <f ca="1">OFFSET(Sector1!$G$45,0,(COLUMN()-5)/6)</f>
        <v>0.41048000000000001</v>
      </c>
      <c r="DD7" s="3443"/>
      <c r="DE7" s="3443"/>
      <c r="DF7" s="3443"/>
      <c r="DG7" s="3444"/>
      <c r="DH7" s="3441"/>
      <c r="DI7" s="3442">
        <f ca="1">OFFSET(Sector1!$G$45,0,(COLUMN()-5)/6)</f>
        <v>0.43957999999999997</v>
      </c>
      <c r="DJ7" s="3443"/>
      <c r="DK7" s="3443"/>
      <c r="DL7" s="3443"/>
      <c r="DM7" s="3444"/>
      <c r="DN7" s="3441"/>
      <c r="DO7" s="3442">
        <f ca="1">OFFSET(Sector1!$G$45,0,(COLUMN()-5)/6)</f>
        <v>0.43972</v>
      </c>
      <c r="DP7" s="3443"/>
      <c r="DQ7" s="3443"/>
      <c r="DR7" s="3443"/>
      <c r="DS7" s="3444"/>
      <c r="DT7" s="3441"/>
      <c r="DU7" s="3442">
        <f ca="1">OFFSET(Sector1!$G$45,0,(COLUMN()-5)/6)</f>
        <v>0.49363000000000001</v>
      </c>
      <c r="DV7" s="3443"/>
      <c r="DW7" s="3443"/>
      <c r="DX7" s="3443"/>
      <c r="DY7" s="3444"/>
      <c r="DZ7" s="3441"/>
      <c r="EA7" s="3442">
        <f ca="1">OFFSET(Sector1!$G$45,0,(COLUMN()-5)/6)</f>
        <v>0.53820000000000001</v>
      </c>
      <c r="EB7" s="3443"/>
      <c r="EC7" s="3443"/>
      <c r="ED7" s="3443"/>
      <c r="EE7" s="3444"/>
      <c r="EF7" s="3441"/>
      <c r="EG7" s="3442">
        <f ca="1">OFFSET(Sector1!$G$45,0,(COLUMN()-5)/6)</f>
        <v>0.54600000000000004</v>
      </c>
      <c r="EH7" s="3443"/>
      <c r="EI7" s="3443"/>
      <c r="EJ7" s="3443"/>
      <c r="EK7" s="3444"/>
      <c r="EL7" s="3441"/>
      <c r="EM7" s="3442">
        <f ca="1">OFFSET(Sector1!$G$45,0,(COLUMN()-5)/6)</f>
        <v>0.56565600000000005</v>
      </c>
      <c r="EN7" s="3443"/>
      <c r="EO7" s="3443"/>
      <c r="EP7" s="3443"/>
      <c r="EQ7" s="3444"/>
      <c r="ER7" s="3441"/>
      <c r="ES7" s="3442">
        <f ca="1">OFFSET(Sector1!$G$45,0,(COLUMN()-5)/6)</f>
        <v>0.58601961600000008</v>
      </c>
      <c r="ET7" s="3443"/>
      <c r="EU7" s="3443"/>
      <c r="EV7" s="3443"/>
      <c r="EW7" s="3444"/>
      <c r="EX7" s="3441"/>
    </row>
    <row r="8" spans="1:154" s="557" customFormat="1" ht="12.75" customHeight="1">
      <c r="A8" s="555"/>
      <c r="B8" s="3445" t="s">
        <v>1769</v>
      </c>
      <c r="C8" s="3777" t="s">
        <v>1373</v>
      </c>
      <c r="D8" s="3777"/>
      <c r="E8" s="3446">
        <f ca="1">+E5-E6+E7</f>
        <v>6.9358500000000003</v>
      </c>
      <c r="F8" s="3446">
        <f ca="1">OFFSET(Sector1!$G$73,0,(COLUMN()-6)/6)</f>
        <v>1.84365</v>
      </c>
      <c r="G8" s="3446">
        <f ca="1">OFFSET(Sector1!$G$78,0,(COLUMN()-7)/6)</f>
        <v>3.9930599999999998</v>
      </c>
      <c r="H8" s="3446">
        <f ca="1">OFFSET(Sector1!$G$83,0,(COLUMN()-8)/6)</f>
        <v>1.09914</v>
      </c>
      <c r="I8" s="3447"/>
      <c r="J8" s="556">
        <f ca="1">+E8-F8-G8-H8</f>
        <v>0</v>
      </c>
      <c r="K8" s="3446">
        <f ca="1">+K5-K6+K7</f>
        <v>8.7338200000000015</v>
      </c>
      <c r="L8" s="3446">
        <f ca="1">OFFSET(Sector1!$G$73,0,(COLUMN()-6)/6)</f>
        <v>2.30016</v>
      </c>
      <c r="M8" s="3446">
        <f ca="1">OFFSET(Sector1!$G$78,0,(COLUMN()-7)/6)</f>
        <v>5.0259799999999997</v>
      </c>
      <c r="N8" s="3446">
        <f ca="1">OFFSET(Sector1!$G$83,0,(COLUMN()-8)/6)</f>
        <v>1.40767</v>
      </c>
      <c r="O8" s="3447"/>
      <c r="P8" s="556">
        <f ca="1">+K8-L8-M8-N8</f>
        <v>1.0000000001841869E-5</v>
      </c>
      <c r="Q8" s="3446">
        <f ca="1">+Q5-Q6+Q7</f>
        <v>10.27516</v>
      </c>
      <c r="R8" s="3446">
        <f ca="1">OFFSET(Sector1!$G$73,0,(COLUMN()-6)/6)</f>
        <v>2.6009799999999998</v>
      </c>
      <c r="S8" s="3446">
        <f ca="1">OFFSET(Sector1!$G$78,0,(COLUMN()-7)/6)</f>
        <v>5.9436200000000001</v>
      </c>
      <c r="T8" s="3446">
        <f ca="1">OFFSET(Sector1!$G$83,0,(COLUMN()-8)/6)</f>
        <v>1.7305599999999999</v>
      </c>
      <c r="U8" s="3447"/>
      <c r="V8" s="556">
        <f ca="1">+Q8-R8-S8-T8</f>
        <v>0</v>
      </c>
      <c r="W8" s="3446">
        <f ca="1">+W5-W6+W7</f>
        <v>11.413129999999999</v>
      </c>
      <c r="X8" s="3446">
        <f ca="1">OFFSET(Sector1!$G$73,0,(COLUMN()-6)/6)</f>
        <v>2.8379499999999998</v>
      </c>
      <c r="Y8" s="3446">
        <f ca="1">OFFSET(Sector1!$G$78,0,(COLUMN()-7)/6)</f>
        <v>6.4824099999999998</v>
      </c>
      <c r="Z8" s="3446">
        <f ca="1">OFFSET(Sector1!$G$83,0,(COLUMN()-8)/6)</f>
        <v>2.0927699999999998</v>
      </c>
      <c r="AA8" s="3447"/>
      <c r="AB8" s="556">
        <f ca="1">+W8-X8-Y8-Z8</f>
        <v>0</v>
      </c>
      <c r="AC8" s="3446">
        <f ca="1">+AC5-AC6+AC7</f>
        <v>11.173720000000001</v>
      </c>
      <c r="AD8" s="3446">
        <f ca="1">OFFSET(Sector1!$G$73,0,(COLUMN()-6)/6)</f>
        <v>2.6959400000000002</v>
      </c>
      <c r="AE8" s="3446">
        <f ca="1">OFFSET(Sector1!$G$78,0,(COLUMN()-7)/6)</f>
        <v>6.3313900000000007</v>
      </c>
      <c r="AF8" s="3446">
        <f ca="1">OFFSET(Sector1!$G$83,0,(COLUMN()-8)/6)</f>
        <v>2.1463899999999998</v>
      </c>
      <c r="AG8" s="3447"/>
      <c r="AH8" s="556">
        <f ca="1">+AC8-AD8-AE8-AF8</f>
        <v>0</v>
      </c>
      <c r="AI8" s="3446">
        <f ca="1">+AI5-AI6+AI7</f>
        <v>11.880890000000001</v>
      </c>
      <c r="AJ8" s="3446">
        <f ca="1">OFFSET(Sector1!$G$73,0,(COLUMN()-6)/6)</f>
        <v>2.7768699999999997</v>
      </c>
      <c r="AK8" s="3446">
        <f ca="1">OFFSET(Sector1!$G$78,0,(COLUMN()-7)/6)</f>
        <v>7.04054</v>
      </c>
      <c r="AL8" s="3446">
        <f ca="1">OFFSET(Sector1!$G$83,0,(COLUMN()-8)/6)</f>
        <v>2.0634800000000002</v>
      </c>
      <c r="AM8" s="3447"/>
      <c r="AN8" s="556">
        <f ca="1">+AI8-AJ8-AK8-AL8</f>
        <v>0</v>
      </c>
      <c r="AO8" s="3446">
        <f ca="1">+AO5-AO6+AO7</f>
        <v>12.634510000000001</v>
      </c>
      <c r="AP8" s="3446">
        <f ca="1">OFFSET(Sector1!$G$73,0,(COLUMN()-6)/6)</f>
        <v>2.6924899999999998</v>
      </c>
      <c r="AQ8" s="3446">
        <f ca="1">OFFSET(Sector1!$G$78,0,(COLUMN()-7)/6)</f>
        <v>7.8377799999999995</v>
      </c>
      <c r="AR8" s="3446">
        <f ca="1">OFFSET(Sector1!$G$83,0,(COLUMN()-8)/6)</f>
        <v>2.1042299999999998</v>
      </c>
      <c r="AS8" s="3447"/>
      <c r="AT8" s="556">
        <f ca="1">+AO8-AP8-AQ8-AR8</f>
        <v>1.0000000001841869E-5</v>
      </c>
      <c r="AU8" s="3446">
        <f ca="1">+AU5-AU6+AU7</f>
        <v>13.52393</v>
      </c>
      <c r="AV8" s="3446">
        <f ca="1">OFFSET(Sector1!$G$73,0,(COLUMN()-6)/6)</f>
        <v>2.7059600000000001</v>
      </c>
      <c r="AW8" s="3446">
        <f ca="1">OFFSET(Sector1!$G$78,0,(COLUMN()-7)/6)</f>
        <v>8.6526899999999998</v>
      </c>
      <c r="AX8" s="3446">
        <f ca="1">OFFSET(Sector1!$G$83,0,(COLUMN()-8)/6)</f>
        <v>2.1652600000000004</v>
      </c>
      <c r="AY8" s="3447"/>
      <c r="AZ8" s="556">
        <f ca="1">+AU8-AV8-AW8-AX8</f>
        <v>1.9999999998798756E-5</v>
      </c>
      <c r="BA8" s="3446">
        <f ca="1">+BA5-BA6+BA7</f>
        <v>14.937049999999997</v>
      </c>
      <c r="BB8" s="3446">
        <f ca="1">OFFSET(Sector1!$G$73,0,(COLUMN()-6)/6)</f>
        <v>2.8033899999999998</v>
      </c>
      <c r="BC8" s="3446">
        <f ca="1">OFFSET(Sector1!$G$78,0,(COLUMN()-7)/6)</f>
        <v>9.867700000000001</v>
      </c>
      <c r="BD8" s="3446">
        <f ca="1">OFFSET(Sector1!$G$83,0,(COLUMN()-8)/6)</f>
        <v>2.2659699999999998</v>
      </c>
      <c r="BE8" s="3447"/>
      <c r="BF8" s="556">
        <f ca="1">+BA8-BB8-BC8-BD8</f>
        <v>-1.0000000003618226E-5</v>
      </c>
      <c r="BG8" s="3446">
        <f ca="1">+BG5-BG6+BG7</f>
        <v>16.499589999999998</v>
      </c>
      <c r="BH8" s="3446">
        <f ca="1">OFFSET(Sector1!$G$73,0,(COLUMN()-6)/6)</f>
        <v>2.92544</v>
      </c>
      <c r="BI8" s="3446">
        <f ca="1">OFFSET(Sector1!$G$78,0,(COLUMN()-7)/6)</f>
        <v>11.10008</v>
      </c>
      <c r="BJ8" s="3446">
        <f ca="1">OFFSET(Sector1!$G$83,0,(COLUMN()-8)/6)</f>
        <v>2.4740900000000003</v>
      </c>
      <c r="BK8" s="3447"/>
      <c r="BL8" s="556">
        <f ca="1">+BG8-BH8-BI8-BJ8</f>
        <v>-2.0000000002795559E-5</v>
      </c>
      <c r="BM8" s="3446">
        <f ca="1">+BM5-BM6+BM7</f>
        <v>19.009709999999998</v>
      </c>
      <c r="BN8" s="3446">
        <f ca="1">OFFSET(Sector1!$G$73,0,(COLUMN()-6)/6)</f>
        <v>3.2303899999999999</v>
      </c>
      <c r="BO8" s="3446">
        <f ca="1">OFFSET(Sector1!$G$78,0,(COLUMN()-7)/6)</f>
        <v>13.076600000000001</v>
      </c>
      <c r="BP8" s="3446">
        <f ca="1">OFFSET(Sector1!$G$83,0,(COLUMN()-8)/6)</f>
        <v>2.7027199999999998</v>
      </c>
      <c r="BQ8" s="3447"/>
      <c r="BR8" s="556">
        <f ca="1">+BM8-BN8-BO8-BP8</f>
        <v>0</v>
      </c>
      <c r="BS8" s="3446">
        <f ca="1">+BS5-BS6+BS7</f>
        <v>21.73368</v>
      </c>
      <c r="BT8" s="3446">
        <f ca="1">OFFSET(Sector1!$G$73,0,(COLUMN()-6)/6)</f>
        <v>3.4656799999999999</v>
      </c>
      <c r="BU8" s="3446">
        <f ca="1">OFFSET(Sector1!$G$78,0,(COLUMN()-7)/6)</f>
        <v>15.146889999999999</v>
      </c>
      <c r="BV8" s="3446">
        <f ca="1">OFFSET(Sector1!$G$83,0,(COLUMN()-8)/6)</f>
        <v>3.1210999999999998</v>
      </c>
      <c r="BW8" s="3447"/>
      <c r="BX8" s="556">
        <f ca="1">+BS8-BT8-BU8-BV8</f>
        <v>1.0000000001841869E-5</v>
      </c>
      <c r="BY8" s="3446">
        <f ca="1">+BY5-BY6+BY7</f>
        <v>26.07649</v>
      </c>
      <c r="BZ8" s="3446">
        <f ca="1">OFFSET(Sector1!$G$73,0,(COLUMN()-6)/6)</f>
        <v>3.8770199999999999</v>
      </c>
      <c r="CA8" s="3446">
        <f ca="1">OFFSET(Sector1!$G$78,0,(COLUMN()-7)/6)</f>
        <v>18.65231</v>
      </c>
      <c r="CB8" s="3446">
        <f ca="1">OFFSET(Sector1!$G$83,0,(COLUMN()-8)/6)</f>
        <v>3.5471599999999999</v>
      </c>
      <c r="CC8" s="3447"/>
      <c r="CD8" s="556">
        <f ca="1">+BY8-BZ8-CA8-CB8</f>
        <v>0</v>
      </c>
      <c r="CE8" s="3446">
        <f ca="1">+CE5-CE6+CE7</f>
        <v>29.349209999999999</v>
      </c>
      <c r="CF8" s="3446">
        <f ca="1">OFFSET(Sector1!$G$73,0,(COLUMN()-6)/6)</f>
        <v>4.1631099999999996</v>
      </c>
      <c r="CG8" s="3446">
        <f ca="1">OFFSET(Sector1!$G$78,0,(COLUMN()-7)/6)</f>
        <v>20.88843</v>
      </c>
      <c r="CH8" s="3446">
        <f ca="1">OFFSET(Sector1!$G$83,0,(COLUMN()-8)/6)</f>
        <v>4.2976700000000001</v>
      </c>
      <c r="CI8" s="3447"/>
      <c r="CJ8" s="556">
        <f ca="1">+CE8-CF8-CG8-CH8</f>
        <v>0</v>
      </c>
      <c r="CK8" s="3446">
        <f ca="1">+CK5-CK6+CK7</f>
        <v>24.300359999999998</v>
      </c>
      <c r="CL8" s="3446">
        <f ca="1">OFFSET(Sector1!$G$73,0,(COLUMN()-6)/6)</f>
        <v>3.3344800000000001</v>
      </c>
      <c r="CM8" s="3446">
        <f ca="1">OFFSET(Sector1!$G$78,0,(COLUMN()-7)/6)</f>
        <v>16.73537</v>
      </c>
      <c r="CN8" s="3446">
        <f ca="1">OFFSET(Sector1!$G$83,0,(COLUMN()-8)/6)</f>
        <v>4.2305000000000001</v>
      </c>
      <c r="CO8" s="3447"/>
      <c r="CP8" s="556">
        <f ca="1">+CK8-CL8-CM8-CN8</f>
        <v>9.9999999987332444E-6</v>
      </c>
      <c r="CQ8" s="3446">
        <f ca="1">+CQ5-CQ6+CQ7</f>
        <v>25.20975</v>
      </c>
      <c r="CR8" s="3446">
        <f ca="1">OFFSET(Sector1!$G$73,0,(COLUMN()-6)/6)</f>
        <v>3.0989499999999999</v>
      </c>
      <c r="CS8" s="3446">
        <f ca="1">OFFSET(Sector1!$G$78,0,(COLUMN()-7)/6)</f>
        <v>18.234159999999999</v>
      </c>
      <c r="CT8" s="3446">
        <f ca="1">OFFSET(Sector1!$G$83,0,(COLUMN()-8)/6)</f>
        <v>3.8766500000000002</v>
      </c>
      <c r="CU8" s="3447"/>
      <c r="CV8" s="556">
        <f ca="1">+CQ8-CR8-CS8-CT8</f>
        <v>-9.9999999982891552E-6</v>
      </c>
      <c r="CW8" s="3446">
        <f ca="1">+CW5-CW6+CW7</f>
        <v>28.160060000000001</v>
      </c>
      <c r="CX8" s="3446">
        <f ca="1">OFFSET(Sector1!$G$73,0,(COLUMN()-6)/6)</f>
        <v>3.3005</v>
      </c>
      <c r="CY8" s="3446">
        <f ca="1">OFFSET(Sector1!$G$78,0,(COLUMN()-7)/6)</f>
        <v>20.770669999999999</v>
      </c>
      <c r="CZ8" s="3446">
        <f ca="1">OFFSET(Sector1!$G$83,0,(COLUMN()-8)/6)</f>
        <v>4.0888900000000001</v>
      </c>
      <c r="DA8" s="3447"/>
      <c r="DB8" s="556">
        <f ca="1">+CW8-CX8-CY8-CZ8</f>
        <v>0</v>
      </c>
      <c r="DC8" s="3446">
        <f ca="1">+DC5-DC6+DC7</f>
        <v>30.165170000000003</v>
      </c>
      <c r="DD8" s="3446">
        <f ca="1">OFFSET(Sector1!$G$73,0,(COLUMN()-6)/6)</f>
        <v>3.7175500000000001</v>
      </c>
      <c r="DE8" s="3446">
        <f ca="1">OFFSET(Sector1!$G$78,0,(COLUMN()-7)/6)</f>
        <v>22.225490000000001</v>
      </c>
      <c r="DF8" s="3446">
        <f ca="1">OFFSET(Sector1!$G$83,0,(COLUMN()-8)/6)</f>
        <v>4.2221200000000003</v>
      </c>
      <c r="DG8" s="3447"/>
      <c r="DH8" s="556">
        <f ca="1">+DC8-DD8-DE8-DF8</f>
        <v>1.0000000003174137E-5</v>
      </c>
      <c r="DI8" s="3446">
        <f ca="1">+DI5-DI6+DI7</f>
        <v>31.690080000000002</v>
      </c>
      <c r="DJ8" s="3446">
        <f ca="1">OFFSET(Sector1!$G$73,0,(COLUMN()-6)/6)</f>
        <v>3.8779400000000002</v>
      </c>
      <c r="DK8" s="3446">
        <f ca="1">OFFSET(Sector1!$G$78,0,(COLUMN()-7)/6)</f>
        <v>23.43872</v>
      </c>
      <c r="DL8" s="3446">
        <f ca="1">OFFSET(Sector1!$G$83,0,(COLUMN()-8)/6)</f>
        <v>4.3734099999999998</v>
      </c>
      <c r="DM8" s="3447"/>
      <c r="DN8" s="556">
        <f ca="1">+DI8-DJ8-DK8-DL8</f>
        <v>1.0000000003174137E-5</v>
      </c>
      <c r="DO8" s="3446">
        <f ca="1">+DO5-DO6+DO7</f>
        <v>33.06767</v>
      </c>
      <c r="DP8" s="3446">
        <f ca="1">OFFSET(Sector1!$G$73,0,(COLUMN()-6)/6)</f>
        <v>4.0212899999999996</v>
      </c>
      <c r="DQ8" s="3446">
        <f ca="1">OFFSET(Sector1!$G$78,0,(COLUMN()-7)/6)</f>
        <v>24.500109999999999</v>
      </c>
      <c r="DR8" s="3446">
        <f ca="1">OFFSET(Sector1!$G$83,0,(COLUMN()-8)/6)</f>
        <v>4.5462799999999994</v>
      </c>
      <c r="DS8" s="3447"/>
      <c r="DT8" s="556">
        <f ca="1">+DO8-DP8-DQ8-DR8</f>
        <v>-9.9999999996214228E-6</v>
      </c>
      <c r="DU8" s="3446">
        <f ca="1">+DU5-DU6+DU7</f>
        <v>33.709150000000008</v>
      </c>
      <c r="DV8" s="3446">
        <f ca="1">OFFSET(Sector1!$G$73,0,(COLUMN()-6)/6)</f>
        <v>4.2696000000000005</v>
      </c>
      <c r="DW8" s="3446">
        <f ca="1">OFFSET(Sector1!$G$78,0,(COLUMN()-7)/6)</f>
        <v>24.728159999999999</v>
      </c>
      <c r="DX8" s="3446">
        <f ca="1">OFFSET(Sector1!$G$83,0,(COLUMN()-8)/6)</f>
        <v>4.7113900000000006</v>
      </c>
      <c r="DY8" s="3447"/>
      <c r="DZ8" s="556">
        <f ca="1">+DU8-DV8-DW8-DX8</f>
        <v>7.9936057773011271E-15</v>
      </c>
      <c r="EA8" s="3446">
        <f ca="1">+EA5-EA6+EA7</f>
        <v>34.789370000000005</v>
      </c>
      <c r="EB8" s="3446">
        <f ca="1">OFFSET(Sector1!$G$73,0,(COLUMN()-6)/6)</f>
        <v>4.2739500000000001</v>
      </c>
      <c r="EC8" s="3446">
        <f ca="1">OFFSET(Sector1!$G$78,0,(COLUMN()-7)/6)</f>
        <v>25.56738</v>
      </c>
      <c r="ED8" s="3446">
        <f ca="1">OFFSET(Sector1!$G$83,0,(COLUMN()-8)/6)</f>
        <v>4.9480300000000002</v>
      </c>
      <c r="EE8" s="3447"/>
      <c r="EF8" s="556">
        <f ca="1">+EA8-EB8-EC8-ED8</f>
        <v>1.0000000005838672E-5</v>
      </c>
      <c r="EG8" s="3446">
        <f ca="1">+EG5-EG6+EG7</f>
        <v>37.512294892398124</v>
      </c>
      <c r="EH8" s="3446">
        <f ca="1">OFFSET(Sector1!$G$73,0,(COLUMN()-6)/6)</f>
        <v>4.3074756499999998</v>
      </c>
      <c r="EI8" s="3446">
        <f ca="1">OFFSET(Sector1!$G$78,0,(COLUMN()-7)/6)</f>
        <v>28.093316769273876</v>
      </c>
      <c r="EJ8" s="3446">
        <f ca="1">OFFSET(Sector1!$G$83,0,(COLUMN()-8)/6)</f>
        <v>5.1889375807261278</v>
      </c>
      <c r="EK8" s="3447"/>
      <c r="EL8" s="556">
        <f ca="1">+EG8-EH8-EI8-EJ8</f>
        <v>-7.7435107601880659E-2</v>
      </c>
      <c r="EM8" s="3446">
        <f ca="1">+EM5-EM6+EM7</f>
        <v>39.653234851938059</v>
      </c>
      <c r="EN8" s="3446">
        <f ca="1">OFFSET(Sector1!$G$73,0,(COLUMN()-6)/6)</f>
        <v>4.3431890632499996</v>
      </c>
      <c r="EO8" s="3446">
        <f ca="1">OFFSET(Sector1!$G$78,0,(COLUMN()-7)/6)</f>
        <v>29.895443026415556</v>
      </c>
      <c r="EP8" s="3446">
        <f ca="1">OFFSET(Sector1!$G$83,0,(COLUMN()-8)/6)</f>
        <v>5.4146027622725015</v>
      </c>
      <c r="EQ8" s="3447"/>
      <c r="ER8" s="556">
        <f ca="1">+EM8-EN8-EO8-EP8</f>
        <v>0</v>
      </c>
      <c r="ES8" s="3446">
        <f ca="1">+ES5-ES6+ES7</f>
        <v>41.851347096832214</v>
      </c>
      <c r="ET8" s="3446">
        <f ca="1">OFFSET(Sector1!$G$73,0,(COLUMN()-6)/6)</f>
        <v>4.3784579944850002</v>
      </c>
      <c r="EU8" s="3446">
        <f ca="1">OFFSET(Sector1!$G$78,0,(COLUMN()-7)/6)</f>
        <v>31.814666730987341</v>
      </c>
      <c r="EV8" s="3446">
        <f ca="1">OFFSET(Sector1!$G$83,0,(COLUMN()-8)/6)</f>
        <v>5.6582223713598712</v>
      </c>
      <c r="EW8" s="3447"/>
      <c r="EX8" s="556">
        <f ca="1">+ES8-ET8-EU8-EV8</f>
        <v>0</v>
      </c>
    </row>
    <row r="9" spans="1:154" ht="12.75" customHeight="1">
      <c r="A9" s="553"/>
      <c r="B9" s="600" t="s">
        <v>401</v>
      </c>
      <c r="C9" s="3779" t="s">
        <v>1374</v>
      </c>
      <c r="D9" s="3779"/>
      <c r="E9" s="3442">
        <f ca="1">+F9+G9+H9</f>
        <v>3.56E-2</v>
      </c>
      <c r="F9" s="3448">
        <f ca="1">OFFSET(Sector1!$G$9,0,(COLUMN()-6)/6)</f>
        <v>8.3099999999999997E-3</v>
      </c>
      <c r="G9" s="3449">
        <f ca="1">OFFSET(Sector1!$G$10,0,(COLUMN()-7)/6)</f>
        <v>2.444E-2</v>
      </c>
      <c r="H9" s="3449">
        <f ca="1">OFFSET(Sector1!$G$11,0,(COLUMN()-7)/6)</f>
        <v>2.8500000000000001E-3</v>
      </c>
      <c r="I9" s="3448"/>
      <c r="J9" s="604"/>
      <c r="K9" s="3442">
        <f ca="1">+L9+M9+N9</f>
        <v>5.5430000000000007E-2</v>
      </c>
      <c r="L9" s="3448">
        <f ca="1">OFFSET(Sector1!$G$9,0,(COLUMN()-6)/6)</f>
        <v>3.058E-2</v>
      </c>
      <c r="M9" s="3449">
        <f ca="1">OFFSET(Sector1!$G$10,0,(COLUMN()-7)/6)</f>
        <v>2.0420000000000001E-2</v>
      </c>
      <c r="N9" s="3449">
        <f ca="1">OFFSET(Sector1!$G$11,0,(COLUMN()-7)/6)</f>
        <v>4.4299999999999999E-3</v>
      </c>
      <c r="O9" s="3448"/>
      <c r="P9" s="604"/>
      <c r="Q9" s="3442">
        <f ca="1">+R9+S9+T9</f>
        <v>7.3329999999999992E-2</v>
      </c>
      <c r="R9" s="3448">
        <f ca="1">OFFSET(Sector1!$G$9,0,(COLUMN()-6)/6)</f>
        <v>1.2670000000000001E-2</v>
      </c>
      <c r="S9" s="3449">
        <f ca="1">OFFSET(Sector1!$G$10,0,(COLUMN()-7)/6)</f>
        <v>5.4789999999999998E-2</v>
      </c>
      <c r="T9" s="3449">
        <f ca="1">OFFSET(Sector1!$G$11,0,(COLUMN()-7)/6)</f>
        <v>5.8700000000000002E-3</v>
      </c>
      <c r="U9" s="3448"/>
      <c r="V9" s="604"/>
      <c r="W9" s="3442">
        <f ca="1">+X9+Y9+Z9</f>
        <v>7.7149999999999996E-2</v>
      </c>
      <c r="X9" s="3448">
        <f ca="1">OFFSET(Sector1!$G$9,0,(COLUMN()-6)/6)</f>
        <v>1.191E-2</v>
      </c>
      <c r="Y9" s="3449">
        <f ca="1">OFFSET(Sector1!$G$10,0,(COLUMN()-7)/6)</f>
        <v>5.9069999999999998E-2</v>
      </c>
      <c r="Z9" s="3449">
        <f ca="1">OFFSET(Sector1!$G$11,0,(COLUMN()-7)/6)</f>
        <v>6.1700000000000001E-3</v>
      </c>
      <c r="AA9" s="3448"/>
      <c r="AB9" s="604"/>
      <c r="AC9" s="3442">
        <f ca="1">+AD9+AE9+AF9</f>
        <v>8.9080000000000006E-2</v>
      </c>
      <c r="AD9" s="3448">
        <f ca="1">OFFSET(Sector1!$G$9,0,(COLUMN()-6)/6)</f>
        <v>1.1630000000000001E-2</v>
      </c>
      <c r="AE9" s="3449">
        <f ca="1">OFFSET(Sector1!$G$10,0,(COLUMN()-7)/6)</f>
        <v>7.102E-2</v>
      </c>
      <c r="AF9" s="3449">
        <f ca="1">OFFSET(Sector1!$G$11,0,(COLUMN()-7)/6)</f>
        <v>6.43E-3</v>
      </c>
      <c r="AG9" s="3448"/>
      <c r="AH9" s="604"/>
      <c r="AI9" s="3442">
        <f ca="1">+AJ9+AK9+AL9</f>
        <v>8.319E-2</v>
      </c>
      <c r="AJ9" s="3448">
        <f ca="1">OFFSET(Sector1!$G$9,0,(COLUMN()-6)/6)</f>
        <v>1.585E-2</v>
      </c>
      <c r="AK9" s="3449">
        <f ca="1">OFFSET(Sector1!$G$10,0,(COLUMN()-7)/6)</f>
        <v>6.1149999999999996E-2</v>
      </c>
      <c r="AL9" s="3449">
        <f ca="1">OFFSET(Sector1!$G$11,0,(COLUMN()-7)/6)</f>
        <v>6.1900000000000002E-3</v>
      </c>
      <c r="AM9" s="3448"/>
      <c r="AN9" s="604"/>
      <c r="AO9" s="3442">
        <f ca="1">+AP9+AQ9+AR9</f>
        <v>9.3480000000000008E-2</v>
      </c>
      <c r="AP9" s="3448">
        <f ca="1">OFFSET(Sector1!$G$9,0,(COLUMN()-6)/6)</f>
        <v>2.0829999999999998E-2</v>
      </c>
      <c r="AQ9" s="3449">
        <f ca="1">OFFSET(Sector1!$G$10,0,(COLUMN()-7)/6)</f>
        <v>6.5700000000000008E-2</v>
      </c>
      <c r="AR9" s="3449">
        <f ca="1">OFFSET(Sector1!$G$11,0,(COLUMN()-7)/6)</f>
        <v>6.9500000000000004E-3</v>
      </c>
      <c r="AS9" s="3448"/>
      <c r="AT9" s="604"/>
      <c r="AU9" s="3442">
        <f ca="1">+AV9+AW9+AX9</f>
        <v>0.10346000000000001</v>
      </c>
      <c r="AV9" s="3448">
        <f ca="1">OFFSET(Sector1!$G$9,0,(COLUMN()-6)/6)</f>
        <v>3.5810000000000002E-2</v>
      </c>
      <c r="AW9" s="3449">
        <f ca="1">OFFSET(Sector1!$G$10,0,(COLUMN()-7)/6)</f>
        <v>6.003E-2</v>
      </c>
      <c r="AX9" s="3449">
        <f ca="1">OFFSET(Sector1!$G$11,0,(COLUMN()-7)/6)</f>
        <v>7.62E-3</v>
      </c>
      <c r="AY9" s="3448"/>
      <c r="AZ9" s="604"/>
      <c r="BA9" s="3442">
        <f ca="1">+BB9+BC9+BD9</f>
        <v>0.10147999999999999</v>
      </c>
      <c r="BB9" s="3448">
        <f ca="1">OFFSET(Sector1!$G$9,0,(COLUMN()-6)/6)</f>
        <v>1.5619999999999998E-2</v>
      </c>
      <c r="BC9" s="3449">
        <f ca="1">OFFSET(Sector1!$G$10,0,(COLUMN()-7)/6)</f>
        <v>7.8189999999999996E-2</v>
      </c>
      <c r="BD9" s="3449">
        <f ca="1">OFFSET(Sector1!$G$11,0,(COLUMN()-7)/6)</f>
        <v>7.6699999999999997E-3</v>
      </c>
      <c r="BE9" s="3448"/>
      <c r="BF9" s="604"/>
      <c r="BG9" s="3442">
        <f ca="1">+BH9+BI9+BJ9</f>
        <v>0.12978000000000001</v>
      </c>
      <c r="BH9" s="3448">
        <f ca="1">OFFSET(Sector1!$G$9,0,(COLUMN()-6)/6)</f>
        <v>1.992E-2</v>
      </c>
      <c r="BI9" s="3449">
        <f ca="1">OFFSET(Sector1!$G$10,0,(COLUMN()-7)/6)</f>
        <v>0.10031</v>
      </c>
      <c r="BJ9" s="3449">
        <f ca="1">OFFSET(Sector1!$G$11,0,(COLUMN()-7)/6)</f>
        <v>9.5500000000000012E-3</v>
      </c>
      <c r="BK9" s="3448"/>
      <c r="BL9" s="604"/>
      <c r="BM9" s="3442">
        <f ca="1">+BN9+BO9+BP9</f>
        <v>0.13630999999999999</v>
      </c>
      <c r="BN9" s="3448">
        <f ca="1">OFFSET(Sector1!$G$9,0,(COLUMN()-6)/6)</f>
        <v>2.2589999999999999E-2</v>
      </c>
      <c r="BO9" s="3449">
        <f ca="1">OFFSET(Sector1!$G$10,0,(COLUMN()-7)/6)</f>
        <v>0.10956999999999999</v>
      </c>
      <c r="BP9" s="3449">
        <f ca="1">OFFSET(Sector1!$G$11,0,(COLUMN()-7)/6)</f>
        <v>4.15E-3</v>
      </c>
      <c r="BQ9" s="3448"/>
      <c r="BR9" s="604"/>
      <c r="BS9" s="3442">
        <f ca="1">+BT9+BU9+BV9</f>
        <v>0.16164999999999999</v>
      </c>
      <c r="BT9" s="3448">
        <f ca="1">OFFSET(Sector1!$G$9,0,(COLUMN()-6)/6)</f>
        <v>2.104E-2</v>
      </c>
      <c r="BU9" s="3449">
        <f ca="1">OFFSET(Sector1!$G$10,0,(COLUMN()-7)/6)</f>
        <v>0.13700999999999999</v>
      </c>
      <c r="BV9" s="3449">
        <f ca="1">OFFSET(Sector1!$G$11,0,(COLUMN()-7)/6)</f>
        <v>3.5999999999999999E-3</v>
      </c>
      <c r="BW9" s="3448"/>
      <c r="BX9" s="604"/>
      <c r="BY9" s="3442">
        <f ca="1">+BZ9+CA9+CB9</f>
        <v>0.18547000000000002</v>
      </c>
      <c r="BZ9" s="3448">
        <f ca="1">OFFSET(Sector1!$G$9,0,(COLUMN()-6)/6)</f>
        <v>2.4559999999999998E-2</v>
      </c>
      <c r="CA9" s="3449">
        <f ca="1">OFFSET(Sector1!$G$10,0,(COLUMN()-7)/6)</f>
        <v>0.15727000000000002</v>
      </c>
      <c r="CB9" s="3449">
        <f ca="1">OFFSET(Sector1!$G$11,0,(COLUMN()-7)/6)</f>
        <v>3.64E-3</v>
      </c>
      <c r="CC9" s="3448"/>
      <c r="CD9" s="604"/>
      <c r="CE9" s="3442">
        <f ca="1">+CF9+CG9+CH9</f>
        <v>0.18488999999999997</v>
      </c>
      <c r="CF9" s="3448">
        <f ca="1">OFFSET(Sector1!$G$9,0,(COLUMN()-6)/6)</f>
        <v>2.8829999999999998E-2</v>
      </c>
      <c r="CG9" s="3449">
        <f ca="1">OFFSET(Sector1!$G$10,0,(COLUMN()-7)/6)</f>
        <v>0.15278999999999998</v>
      </c>
      <c r="CH9" s="3449">
        <f ca="1">OFFSET(Sector1!$G$11,0,(COLUMN()-7)/6)</f>
        <v>3.2699999999999999E-3</v>
      </c>
      <c r="CI9" s="3448"/>
      <c r="CJ9" s="604"/>
      <c r="CK9" s="3442">
        <f ca="1">+CL9+CM9+CN9</f>
        <v>0.17777999999999999</v>
      </c>
      <c r="CL9" s="3448">
        <f ca="1">OFFSET(Sector1!$G$9,0,(COLUMN()-6)/6)</f>
        <v>2.1950000000000001E-2</v>
      </c>
      <c r="CM9" s="3449">
        <f ca="1">OFFSET(Sector1!$G$10,0,(COLUMN()-7)/6)</f>
        <v>0.15337000000000001</v>
      </c>
      <c r="CN9" s="3449">
        <f ca="1">OFFSET(Sector1!$G$11,0,(COLUMN()-7)/6)</f>
        <v>2.4599999999999999E-3</v>
      </c>
      <c r="CO9" s="3448"/>
      <c r="CP9" s="604"/>
      <c r="CQ9" s="3442">
        <f ca="1">+CR9+CS9+CT9</f>
        <v>0.18064</v>
      </c>
      <c r="CR9" s="3448">
        <f ca="1">OFFSET(Sector1!$G$9,0,(COLUMN()-6)/6)</f>
        <v>2.9440000000000001E-2</v>
      </c>
      <c r="CS9" s="3449">
        <f ca="1">OFFSET(Sector1!$G$10,0,(COLUMN()-7)/6)</f>
        <v>0.14898</v>
      </c>
      <c r="CT9" s="3449">
        <f ca="1">OFFSET(Sector1!$G$11,0,(COLUMN()-7)/6)</f>
        <v>2.2200000000000002E-3</v>
      </c>
      <c r="CU9" s="3448"/>
      <c r="CV9" s="604"/>
      <c r="CW9" s="3442">
        <f ca="1">+CX9+CY9+CZ9</f>
        <v>0.18798999999999996</v>
      </c>
      <c r="CX9" s="3448">
        <f ca="1">OFFSET(Sector1!$G$9,0,(COLUMN()-6)/6)</f>
        <v>2.375E-2</v>
      </c>
      <c r="CY9" s="3449">
        <f ca="1">OFFSET(Sector1!$G$10,0,(COLUMN()-7)/6)</f>
        <v>0.16141999999999998</v>
      </c>
      <c r="CZ9" s="3449">
        <f ca="1">OFFSET(Sector1!$G$11,0,(COLUMN()-7)/6)</f>
        <v>2.8200000000000005E-3</v>
      </c>
      <c r="DA9" s="3448"/>
      <c r="DB9" s="604"/>
      <c r="DC9" s="3442">
        <f ca="1">+DD9+DE9+DF9</f>
        <v>0.19524999999999998</v>
      </c>
      <c r="DD9" s="3448">
        <f ca="1">OFFSET(Sector1!$G$9,0,(COLUMN()-6)/6)</f>
        <v>2.214E-2</v>
      </c>
      <c r="DE9" s="3449">
        <f ca="1">OFFSET(Sector1!$G$10,0,(COLUMN()-7)/6)</f>
        <v>0.16938999999999999</v>
      </c>
      <c r="DF9" s="3449">
        <f ca="1">OFFSET(Sector1!$G$11,0,(COLUMN()-7)/6)</f>
        <v>3.7200000000000002E-3</v>
      </c>
      <c r="DG9" s="3448"/>
      <c r="DH9" s="604"/>
      <c r="DI9" s="3442">
        <f ca="1">+DJ9+DK9+DL9</f>
        <v>0.20701999999999998</v>
      </c>
      <c r="DJ9" s="3448">
        <f ca="1">OFFSET(Sector1!$G$9,0,(COLUMN()-6)/6)</f>
        <v>2.2120000000000001E-2</v>
      </c>
      <c r="DK9" s="3449">
        <f ca="1">OFFSET(Sector1!$G$10,0,(COLUMN()-7)/6)</f>
        <v>0.18053999999999998</v>
      </c>
      <c r="DL9" s="3449">
        <f ca="1">OFFSET(Sector1!$G$11,0,(COLUMN()-7)/6)</f>
        <v>4.3600000000000002E-3</v>
      </c>
      <c r="DM9" s="3448"/>
      <c r="DN9" s="604"/>
      <c r="DO9" s="3442">
        <f ca="1">+DP9+DQ9+DR9</f>
        <v>0.22625999999999999</v>
      </c>
      <c r="DP9" s="3448">
        <f ca="1">OFFSET(Sector1!$G$9,0,(COLUMN()-6)/6)</f>
        <v>1.7780000000000001E-2</v>
      </c>
      <c r="DQ9" s="3449">
        <f ca="1">OFFSET(Sector1!$G$10,0,(COLUMN()-7)/6)</f>
        <v>0.20343</v>
      </c>
      <c r="DR9" s="3449">
        <f ca="1">OFFSET(Sector1!$G$11,0,(COLUMN()-7)/6)</f>
        <v>5.0499999999999998E-3</v>
      </c>
      <c r="DS9" s="3448"/>
      <c r="DT9" s="604"/>
      <c r="DU9" s="3442">
        <f ca="1">+DV9+DW9+DX9</f>
        <v>0.24263000000000001</v>
      </c>
      <c r="DV9" s="3448">
        <f ca="1">OFFSET(Sector1!$G$9,0,(COLUMN()-6)/6)</f>
        <v>2.4340000000000001E-2</v>
      </c>
      <c r="DW9" s="3449">
        <f ca="1">OFFSET(Sector1!$G$10,0,(COLUMN()-7)/6)</f>
        <v>0.21567</v>
      </c>
      <c r="DX9" s="3449">
        <f ca="1">OFFSET(Sector1!$G$11,0,(COLUMN()-7)/6)</f>
        <v>2.6199999999999999E-3</v>
      </c>
      <c r="DY9" s="3448"/>
      <c r="DZ9" s="604"/>
      <c r="EA9" s="3442">
        <f ca="1">+EB9+EC9+ED9</f>
        <v>0.21969000000000002</v>
      </c>
      <c r="EB9" s="3448">
        <f ca="1">OFFSET(Sector1!$G$9,0,(COLUMN()-6)/6)</f>
        <v>2.4559999999999998E-2</v>
      </c>
      <c r="EC9" s="3449">
        <f ca="1">OFFSET(Sector1!$G$10,0,(COLUMN()-7)/6)</f>
        <v>0.19243000000000002</v>
      </c>
      <c r="ED9" s="3449">
        <f ca="1">OFFSET(Sector1!$G$11,0,(COLUMN()-7)/6)</f>
        <v>2.7000000000000001E-3</v>
      </c>
      <c r="EE9" s="3448"/>
      <c r="EF9" s="604"/>
      <c r="EG9" s="3442">
        <f ca="1">+EH9+EI9+EJ9</f>
        <v>0.23116570000000003</v>
      </c>
      <c r="EH9" s="3448">
        <f ca="1">OFFSET(Sector1!$G$9,0,(COLUMN()-6)/6)</f>
        <v>2.6279199999999999E-2</v>
      </c>
      <c r="EI9" s="3449">
        <f ca="1">OFFSET(Sector1!$G$10,0,(COLUMN()-7)/6)</f>
        <v>0.20205150000000002</v>
      </c>
      <c r="EJ9" s="3449">
        <f ca="1">OFFSET(Sector1!$G$11,0,(COLUMN()-7)/6)</f>
        <v>2.8350000000000003E-3</v>
      </c>
      <c r="EK9" s="3448"/>
      <c r="EL9" s="604"/>
      <c r="EM9" s="3442">
        <f ca="1">+EN9+EO9+EP9</f>
        <v>0.24324956900000003</v>
      </c>
      <c r="EN9" s="3448">
        <f ca="1">OFFSET(Sector1!$G$9,0,(COLUMN()-6)/6)</f>
        <v>2.8118744000000001E-2</v>
      </c>
      <c r="EO9" s="3449">
        <f ca="1">OFFSET(Sector1!$G$10,0,(COLUMN()-7)/6)</f>
        <v>0.21215407500000003</v>
      </c>
      <c r="EP9" s="3449">
        <f ca="1">OFFSET(Sector1!$G$11,0,(COLUMN()-7)/6)</f>
        <v>2.9767500000000002E-3</v>
      </c>
      <c r="EQ9" s="3448"/>
      <c r="ER9" s="604"/>
      <c r="ES9" s="3442">
        <f ca="1">+ET9+EU9+EV9</f>
        <v>0.25597442233000006</v>
      </c>
      <c r="ET9" s="3448">
        <f ca="1">OFFSET(Sector1!$G$9,0,(COLUMN()-6)/6)</f>
        <v>3.0087056080000004E-2</v>
      </c>
      <c r="EU9" s="3449">
        <f ca="1">OFFSET(Sector1!$G$10,0,(COLUMN()-7)/6)</f>
        <v>0.22276177875000003</v>
      </c>
      <c r="EV9" s="3449">
        <f ca="1">OFFSET(Sector1!$G$11,0,(COLUMN()-7)/6)</f>
        <v>3.1255875000000006E-3</v>
      </c>
      <c r="EW9" s="3448"/>
      <c r="EX9" s="604"/>
    </row>
    <row r="10" spans="1:154" ht="12.75" customHeight="1">
      <c r="A10" s="553"/>
      <c r="B10" s="600" t="s">
        <v>1767</v>
      </c>
      <c r="C10" s="3779" t="s">
        <v>1375</v>
      </c>
      <c r="D10" s="3779"/>
      <c r="E10" s="3442">
        <f ca="1">+F10+G10+H10</f>
        <v>9.7899999999999984E-3</v>
      </c>
      <c r="F10" s="3449">
        <f ca="1">OFFSET(Sector1!$G$46,0,(COLUMN()-6)/6)</f>
        <v>0</v>
      </c>
      <c r="G10" s="3449">
        <f ca="1">OFFSET(Sector1!$G$47,0,(COLUMN()-7)/6)</f>
        <v>9.7899999999999984E-3</v>
      </c>
      <c r="H10" s="3449">
        <f ca="1">OFFSET(Sector1!$G$48,0,(COLUMN()-7)/6)</f>
        <v>0</v>
      </c>
      <c r="I10" s="3449"/>
      <c r="J10" s="604"/>
      <c r="K10" s="3442">
        <f ca="1">+L10+M10+N10</f>
        <v>2.6850000000000002E-2</v>
      </c>
      <c r="L10" s="3449">
        <f ca="1">OFFSET(Sector1!$G$46,0,(COLUMN()-6)/6)</f>
        <v>0</v>
      </c>
      <c r="M10" s="3449">
        <f ca="1">OFFSET(Sector1!$G$47,0,(COLUMN()-7)/6)</f>
        <v>2.6850000000000002E-2</v>
      </c>
      <c r="N10" s="3449">
        <f ca="1">OFFSET(Sector1!$G$48,0,(COLUMN()-7)/6)</f>
        <v>0</v>
      </c>
      <c r="O10" s="3449"/>
      <c r="P10" s="604"/>
      <c r="Q10" s="3442">
        <f ca="1">+R10+S10+T10</f>
        <v>3.7999999999999999E-2</v>
      </c>
      <c r="R10" s="3449">
        <f ca="1">OFFSET(Sector1!$G$46,0,(COLUMN()-6)/6)</f>
        <v>0</v>
      </c>
      <c r="S10" s="3449">
        <f ca="1">OFFSET(Sector1!$G$47,0,(COLUMN()-7)/6)</f>
        <v>3.7999999999999999E-2</v>
      </c>
      <c r="T10" s="3449">
        <f ca="1">OFFSET(Sector1!$G$48,0,(COLUMN()-7)/6)</f>
        <v>0</v>
      </c>
      <c r="U10" s="3449"/>
      <c r="V10" s="604"/>
      <c r="W10" s="3442">
        <f ca="1">+X10+Y10+Z10</f>
        <v>2.7570000000000001E-2</v>
      </c>
      <c r="X10" s="3449">
        <f ca="1">OFFSET(Sector1!$G$46,0,(COLUMN()-6)/6)</f>
        <v>0</v>
      </c>
      <c r="Y10" s="3449">
        <f ca="1">OFFSET(Sector1!$G$47,0,(COLUMN()-7)/6)</f>
        <v>2.7570000000000001E-2</v>
      </c>
      <c r="Z10" s="3449">
        <f ca="1">OFFSET(Sector1!$G$48,0,(COLUMN()-7)/6)</f>
        <v>0</v>
      </c>
      <c r="AA10" s="3449"/>
      <c r="AB10" s="604"/>
      <c r="AC10" s="3442">
        <f ca="1">+AD10+AE10+AF10</f>
        <v>1.627E-2</v>
      </c>
      <c r="AD10" s="3449">
        <f ca="1">OFFSET(Sector1!$G$46,0,(COLUMN()-6)/6)</f>
        <v>0</v>
      </c>
      <c r="AE10" s="3449">
        <f ca="1">OFFSET(Sector1!$G$47,0,(COLUMN()-7)/6)</f>
        <v>1.627E-2</v>
      </c>
      <c r="AF10" s="3449">
        <f ca="1">OFFSET(Sector1!$G$48,0,(COLUMN()-7)/6)</f>
        <v>0</v>
      </c>
      <c r="AG10" s="3449"/>
      <c r="AH10" s="604"/>
      <c r="AI10" s="3442">
        <f ca="1">+AJ10+AK10+AL10</f>
        <v>2.5300000000000001E-3</v>
      </c>
      <c r="AJ10" s="3449">
        <f ca="1">OFFSET(Sector1!$G$46,0,(COLUMN()-6)/6)</f>
        <v>0</v>
      </c>
      <c r="AK10" s="3449">
        <f ca="1">OFFSET(Sector1!$G$47,0,(COLUMN()-7)/6)</f>
        <v>2.5300000000000001E-3</v>
      </c>
      <c r="AL10" s="3449">
        <f ca="1">OFFSET(Sector1!$G$48,0,(COLUMN()-7)/6)</f>
        <v>0</v>
      </c>
      <c r="AM10" s="3449"/>
      <c r="AN10" s="604"/>
      <c r="AO10" s="3442">
        <f ca="1">+AP10+AQ10+AR10</f>
        <v>4.342E-2</v>
      </c>
      <c r="AP10" s="3449">
        <f ca="1">OFFSET(Sector1!$G$46,0,(COLUMN()-6)/6)</f>
        <v>1.184E-2</v>
      </c>
      <c r="AQ10" s="3449">
        <f ca="1">OFFSET(Sector1!$G$47,0,(COLUMN()-7)/6)</f>
        <v>3.1579999999999997E-2</v>
      </c>
      <c r="AR10" s="3449">
        <f ca="1">OFFSET(Sector1!$G$48,0,(COLUMN()-7)/6)</f>
        <v>0</v>
      </c>
      <c r="AS10" s="3449"/>
      <c r="AT10" s="604"/>
      <c r="AU10" s="3442">
        <f ca="1">+AV10+AW10+AX10</f>
        <v>1.8100000000000002E-2</v>
      </c>
      <c r="AV10" s="3449">
        <f ca="1">OFFSET(Sector1!$G$46,0,(COLUMN()-6)/6)</f>
        <v>0</v>
      </c>
      <c r="AW10" s="3449">
        <f ca="1">OFFSET(Sector1!$G$47,0,(COLUMN()-7)/6)</f>
        <v>1.8100000000000002E-2</v>
      </c>
      <c r="AX10" s="3449">
        <f ca="1">OFFSET(Sector1!$G$48,0,(COLUMN()-7)/6)</f>
        <v>0</v>
      </c>
      <c r="AY10" s="3449"/>
      <c r="AZ10" s="604"/>
      <c r="BA10" s="3442">
        <f ca="1">+BB10+BC10+BD10</f>
        <v>2.1700000000000001E-2</v>
      </c>
      <c r="BB10" s="3449">
        <f ca="1">OFFSET(Sector1!$G$46,0,(COLUMN()-6)/6)</f>
        <v>7.5499999999999994E-3</v>
      </c>
      <c r="BC10" s="3449">
        <f ca="1">OFFSET(Sector1!$G$47,0,(COLUMN()-7)/6)</f>
        <v>1.4150000000000001E-2</v>
      </c>
      <c r="BD10" s="3449">
        <f ca="1">OFFSET(Sector1!$G$48,0,(COLUMN()-7)/6)</f>
        <v>0</v>
      </c>
      <c r="BE10" s="3449"/>
      <c r="BF10" s="604"/>
      <c r="BG10" s="3442">
        <f ca="1">+BH10+BI10+BJ10</f>
        <v>5.7709999999999997E-2</v>
      </c>
      <c r="BH10" s="3449">
        <f ca="1">OFFSET(Sector1!$G$46,0,(COLUMN()-6)/6)</f>
        <v>3.5569999999999997E-2</v>
      </c>
      <c r="BI10" s="3449">
        <f ca="1">OFFSET(Sector1!$G$47,0,(COLUMN()-7)/6)</f>
        <v>2.214E-2</v>
      </c>
      <c r="BJ10" s="3449">
        <f ca="1">OFFSET(Sector1!$G$48,0,(COLUMN()-7)/6)</f>
        <v>0</v>
      </c>
      <c r="BK10" s="3449"/>
      <c r="BL10" s="604"/>
      <c r="BM10" s="3442">
        <f ca="1">+BN10+BO10+BP10</f>
        <v>0.11549000000000001</v>
      </c>
      <c r="BN10" s="3449">
        <f ca="1">OFFSET(Sector1!$G$46,0,(COLUMN()-6)/6)</f>
        <v>9.2980000000000007E-2</v>
      </c>
      <c r="BO10" s="3449">
        <f ca="1">OFFSET(Sector1!$G$47,0,(COLUMN()-7)/6)</f>
        <v>2.2510000000000002E-2</v>
      </c>
      <c r="BP10" s="3449">
        <f ca="1">OFFSET(Sector1!$G$48,0,(COLUMN()-7)/6)</f>
        <v>0</v>
      </c>
      <c r="BQ10" s="3449"/>
      <c r="BR10" s="604"/>
      <c r="BS10" s="3442">
        <f ca="1">+BT10+BU10+BV10</f>
        <v>0.12953999999999999</v>
      </c>
      <c r="BT10" s="3449">
        <f ca="1">OFFSET(Sector1!$G$46,0,(COLUMN()-6)/6)</f>
        <v>6.3270000000000007E-2</v>
      </c>
      <c r="BU10" s="3449">
        <f ca="1">OFFSET(Sector1!$G$47,0,(COLUMN()-7)/6)</f>
        <v>6.6269999999999996E-2</v>
      </c>
      <c r="BV10" s="3449">
        <f ca="1">OFFSET(Sector1!$G$48,0,(COLUMN()-7)/6)</f>
        <v>0</v>
      </c>
      <c r="BW10" s="3449"/>
      <c r="BX10" s="604"/>
      <c r="BY10" s="3442">
        <f ca="1">+BZ10+CA10+CB10</f>
        <v>0.14280000000000001</v>
      </c>
      <c r="BZ10" s="3449">
        <f ca="1">OFFSET(Sector1!$G$46,0,(COLUMN()-6)/6)</f>
        <v>7.1400000000000005E-2</v>
      </c>
      <c r="CA10" s="3449">
        <f ca="1">OFFSET(Sector1!$G$47,0,(COLUMN()-7)/6)</f>
        <v>7.1400000000000005E-2</v>
      </c>
      <c r="CB10" s="3449">
        <f ca="1">OFFSET(Sector1!$G$48,0,(COLUMN()-7)/6)</f>
        <v>0</v>
      </c>
      <c r="CC10" s="3449"/>
      <c r="CD10" s="604"/>
      <c r="CE10" s="3442">
        <f ca="1">+CF10+CG10+CH10</f>
        <v>7.3449999999999988E-2</v>
      </c>
      <c r="CF10" s="3449">
        <f ca="1">OFFSET(Sector1!$G$46,0,(COLUMN()-6)/6)</f>
        <v>3.7039999999999997E-2</v>
      </c>
      <c r="CG10" s="3449">
        <f ca="1">OFFSET(Sector1!$G$47,0,(COLUMN()-7)/6)</f>
        <v>3.6409999999999998E-2</v>
      </c>
      <c r="CH10" s="3449">
        <f ca="1">OFFSET(Sector1!$G$48,0,(COLUMN()-7)/6)</f>
        <v>0</v>
      </c>
      <c r="CI10" s="3449"/>
      <c r="CJ10" s="604"/>
      <c r="CK10" s="3442">
        <f ca="1">+CL10+CM10+CN10</f>
        <v>8.2229999999999998E-2</v>
      </c>
      <c r="CL10" s="3449">
        <f ca="1">OFFSET(Sector1!$G$46,0,(COLUMN()-6)/6)</f>
        <v>6.3250000000000001E-2</v>
      </c>
      <c r="CM10" s="3449">
        <f ca="1">OFFSET(Sector1!$G$47,0,(COLUMN()-7)/6)</f>
        <v>1.898E-2</v>
      </c>
      <c r="CN10" s="3449">
        <f ca="1">OFFSET(Sector1!$G$48,0,(COLUMN()-7)/6)</f>
        <v>0</v>
      </c>
      <c r="CO10" s="3449"/>
      <c r="CP10" s="604"/>
      <c r="CQ10" s="3442">
        <f ca="1">+CR10+CS10+CT10</f>
        <v>6.7989999999999995E-2</v>
      </c>
      <c r="CR10" s="3449">
        <f ca="1">OFFSET(Sector1!$G$46,0,(COLUMN()-6)/6)</f>
        <v>2.2339999999999999E-2</v>
      </c>
      <c r="CS10" s="3449">
        <f ca="1">OFFSET(Sector1!$G$47,0,(COLUMN()-7)/6)</f>
        <v>4.5649999999999996E-2</v>
      </c>
      <c r="CT10" s="3449">
        <f ca="1">OFFSET(Sector1!$G$48,0,(COLUMN()-7)/6)</f>
        <v>0</v>
      </c>
      <c r="CU10" s="3449"/>
      <c r="CV10" s="604"/>
      <c r="CW10" s="3442">
        <f ca="1">+CX10+CY10+CZ10</f>
        <v>5.8620000000000005E-2</v>
      </c>
      <c r="CX10" s="3449">
        <f ca="1">OFFSET(Sector1!$G$46,0,(COLUMN()-6)/6)</f>
        <v>3.1730000000000001E-2</v>
      </c>
      <c r="CY10" s="3449">
        <f ca="1">OFFSET(Sector1!$G$47,0,(COLUMN()-7)/6)</f>
        <v>2.6890000000000001E-2</v>
      </c>
      <c r="CZ10" s="3449">
        <f ca="1">OFFSET(Sector1!$G$48,0,(COLUMN()-7)/6)</f>
        <v>0</v>
      </c>
      <c r="DA10" s="3449"/>
      <c r="DB10" s="604"/>
      <c r="DC10" s="3442">
        <f ca="1">+DD10+DE10+DF10</f>
        <v>6.0769999999999998E-2</v>
      </c>
      <c r="DD10" s="3449">
        <f ca="1">OFFSET(Sector1!$G$46,0,(COLUMN()-6)/6)</f>
        <v>3.5049999999999998E-2</v>
      </c>
      <c r="DE10" s="3449">
        <f ca="1">OFFSET(Sector1!$G$47,0,(COLUMN()-7)/6)</f>
        <v>2.572E-2</v>
      </c>
      <c r="DF10" s="3449">
        <f ca="1">OFFSET(Sector1!$G$48,0,(COLUMN()-7)/6)</f>
        <v>0</v>
      </c>
      <c r="DG10" s="3449"/>
      <c r="DH10" s="604"/>
      <c r="DI10" s="3442">
        <f ca="1">+DJ10+DK10+DL10</f>
        <v>6.497E-2</v>
      </c>
      <c r="DJ10" s="3449">
        <f ca="1">OFFSET(Sector1!$G$46,0,(COLUMN()-6)/6)</f>
        <v>1.5939999999999999E-2</v>
      </c>
      <c r="DK10" s="3449">
        <f ca="1">OFFSET(Sector1!$G$47,0,(COLUMN()-7)/6)</f>
        <v>4.9030000000000004E-2</v>
      </c>
      <c r="DL10" s="3449">
        <f ca="1">OFFSET(Sector1!$G$48,0,(COLUMN()-7)/6)</f>
        <v>0</v>
      </c>
      <c r="DM10" s="3449"/>
      <c r="DN10" s="604"/>
      <c r="DO10" s="3442">
        <f ca="1">+DP10+DQ10+DR10</f>
        <v>6.4979999999999996E-2</v>
      </c>
      <c r="DP10" s="3449">
        <f ca="1">OFFSET(Sector1!$G$46,0,(COLUMN()-6)/6)</f>
        <v>1.7649999999999999E-2</v>
      </c>
      <c r="DQ10" s="3449">
        <f ca="1">OFFSET(Sector1!$G$47,0,(COLUMN()-7)/6)</f>
        <v>4.7329999999999997E-2</v>
      </c>
      <c r="DR10" s="3449">
        <f ca="1">OFFSET(Sector1!$G$48,0,(COLUMN()-7)/6)</f>
        <v>0</v>
      </c>
      <c r="DS10" s="3449"/>
      <c r="DT10" s="604"/>
      <c r="DU10" s="3442">
        <f ca="1">+DV10+DW10+DX10</f>
        <v>9.5339999999999994E-2</v>
      </c>
      <c r="DV10" s="3449">
        <f ca="1">OFFSET(Sector1!$G$46,0,(COLUMN()-6)/6)</f>
        <v>3.4369999999999998E-2</v>
      </c>
      <c r="DW10" s="3449">
        <f ca="1">OFFSET(Sector1!$G$47,0,(COLUMN()-7)/6)</f>
        <v>6.0969999999999996E-2</v>
      </c>
      <c r="DX10" s="3449">
        <f ca="1">OFFSET(Sector1!$G$48,0,(COLUMN()-7)/6)</f>
        <v>0</v>
      </c>
      <c r="DY10" s="3449"/>
      <c r="DZ10" s="604"/>
      <c r="EA10" s="3442">
        <f ca="1">+EB10+EC10+ED10</f>
        <v>9.1490000000000002E-2</v>
      </c>
      <c r="EB10" s="3449">
        <f ca="1">OFFSET(Sector1!$G$46,0,(COLUMN()-6)/6)</f>
        <v>1.8620000000000001E-2</v>
      </c>
      <c r="EC10" s="3449">
        <f ca="1">OFFSET(Sector1!$G$47,0,(COLUMN()-7)/6)</f>
        <v>7.2870000000000004E-2</v>
      </c>
      <c r="ED10" s="3449">
        <f ca="1">OFFSET(Sector1!$G$48,0,(COLUMN()-7)/6)</f>
        <v>0</v>
      </c>
      <c r="EE10" s="3449"/>
      <c r="EF10" s="604"/>
      <c r="EG10" s="3442">
        <f ca="1">+EH10+EI10+EJ10</f>
        <v>9.1490000000000002E-2</v>
      </c>
      <c r="EH10" s="3449">
        <f ca="1">OFFSET(Sector1!$G$46,0,(COLUMN()-6)/6)</f>
        <v>1.8620000000000001E-2</v>
      </c>
      <c r="EI10" s="3449">
        <f ca="1">OFFSET(Sector1!$G$47,0,(COLUMN()-7)/6)</f>
        <v>7.2870000000000004E-2</v>
      </c>
      <c r="EJ10" s="3449">
        <f ca="1">OFFSET(Sector1!$G$48,0,(COLUMN()-7)/6)</f>
        <v>0</v>
      </c>
      <c r="EK10" s="3449"/>
      <c r="EL10" s="604"/>
      <c r="EM10" s="3442">
        <f ca="1">+EN10+EO10+EP10</f>
        <v>9.1490000000000002E-2</v>
      </c>
      <c r="EN10" s="3449">
        <f ca="1">OFFSET(Sector1!$G$46,0,(COLUMN()-6)/6)</f>
        <v>1.8620000000000001E-2</v>
      </c>
      <c r="EO10" s="3449">
        <f ca="1">OFFSET(Sector1!$G$47,0,(COLUMN()-7)/6)</f>
        <v>7.2870000000000004E-2</v>
      </c>
      <c r="EP10" s="3449">
        <f ca="1">OFFSET(Sector1!$G$48,0,(COLUMN()-7)/6)</f>
        <v>0</v>
      </c>
      <c r="EQ10" s="3449"/>
      <c r="ER10" s="604"/>
      <c r="ES10" s="3442">
        <f ca="1">+ET10+EU10+EV10</f>
        <v>9.1490000000000002E-2</v>
      </c>
      <c r="ET10" s="3449">
        <f ca="1">OFFSET(Sector1!$G$46,0,(COLUMN()-6)/6)</f>
        <v>1.8620000000000001E-2</v>
      </c>
      <c r="EU10" s="3449">
        <f ca="1">OFFSET(Sector1!$G$47,0,(COLUMN()-7)/6)</f>
        <v>7.2870000000000004E-2</v>
      </c>
      <c r="EV10" s="3449">
        <f ca="1">OFFSET(Sector1!$G$48,0,(COLUMN()-7)/6)</f>
        <v>0</v>
      </c>
      <c r="EW10" s="3449"/>
      <c r="EX10" s="604"/>
    </row>
    <row r="11" spans="1:154" ht="12.75" customHeight="1">
      <c r="A11" s="553"/>
      <c r="B11" s="600" t="s">
        <v>401</v>
      </c>
      <c r="C11" s="3779" t="s">
        <v>1376</v>
      </c>
      <c r="D11" s="3780"/>
      <c r="E11" s="3450">
        <f ca="1">+F11+G11+H11</f>
        <v>2.9019599999999999</v>
      </c>
      <c r="F11" s="3451">
        <f ca="1">OFFSET(Labour1!$G$209,0,(COLUMN()-6)/6)</f>
        <v>0.13669000000000001</v>
      </c>
      <c r="G11" s="3452">
        <f ca="1">OFFSET(Labour1!$G$210,0,(COLUMN()-7)/6)</f>
        <v>2.0170599999999999</v>
      </c>
      <c r="H11" s="3452">
        <f ca="1">OFFSET(Labour1!$G$211,0,(COLUMN()-8)/6)</f>
        <v>0.74821000000000004</v>
      </c>
      <c r="I11" s="3452">
        <f ca="1">OFFSET(Labour1!$G$216,0,(COLUMN()-9)/6)</f>
        <v>-5.7924003707136244E-4</v>
      </c>
      <c r="J11" s="604"/>
      <c r="K11" s="3450">
        <f ca="1">+L11+M11+N11</f>
        <v>3.6906499999999998</v>
      </c>
      <c r="L11" s="3451">
        <f ca="1">OFFSET(Labour1!$G$209,0,(COLUMN()-6)/6)</f>
        <v>0.14573</v>
      </c>
      <c r="M11" s="3452">
        <f ca="1">OFFSET(Labour1!$G$210,0,(COLUMN()-7)/6)</f>
        <v>2.5295700000000001</v>
      </c>
      <c r="N11" s="3452">
        <f ca="1">OFFSET(Labour1!$G$211,0,(COLUMN()-8)/6)</f>
        <v>1.01535</v>
      </c>
      <c r="O11" s="3452">
        <f ca="1">OFFSET(Labour1!$G$216,0,(COLUMN()-9)/6)</f>
        <v>-3.6492122335495827E-2</v>
      </c>
      <c r="P11" s="604"/>
      <c r="Q11" s="3450">
        <f ca="1">+R11+S11+T11</f>
        <v>4.5364100000000001</v>
      </c>
      <c r="R11" s="3451">
        <f ca="1">OFFSET(Labour1!$G$209,0,(COLUMN()-6)/6)</f>
        <v>0.18937000000000001</v>
      </c>
      <c r="S11" s="3452">
        <f ca="1">OFFSET(Labour1!$G$210,0,(COLUMN()-7)/6)</f>
        <v>3.0486399999999998</v>
      </c>
      <c r="T11" s="3452">
        <f ca="1">OFFSET(Labour1!$G$211,0,(COLUMN()-8)/6)</f>
        <v>1.2984</v>
      </c>
      <c r="U11" s="3452">
        <f ca="1">OFFSET(Labour1!$G$216,0,(COLUMN()-9)/6)</f>
        <v>-6.4874884151992593E-2</v>
      </c>
      <c r="V11" s="604"/>
      <c r="W11" s="3450">
        <f ca="1">+X11+Y11+Z11</f>
        <v>5.4153899999999995</v>
      </c>
      <c r="X11" s="3451">
        <f ca="1">OFFSET(Labour1!$G$209,0,(COLUMN()-6)/6)</f>
        <v>0.25024999999999997</v>
      </c>
      <c r="Y11" s="3452">
        <f ca="1">OFFSET(Labour1!$G$210,0,(COLUMN()-7)/6)</f>
        <v>3.5181399999999998</v>
      </c>
      <c r="Z11" s="3452">
        <f ca="1">OFFSET(Labour1!$G$211,0,(COLUMN()-8)/6)</f>
        <v>1.647</v>
      </c>
      <c r="AA11" s="3452">
        <f ca="1">OFFSET(Labour1!$G$216,0,(COLUMN()-9)/6)</f>
        <v>-6.9798424467099163E-2</v>
      </c>
      <c r="AB11" s="604"/>
      <c r="AC11" s="3450">
        <f ca="1">+AD11+AE11+AF11</f>
        <v>5.4537800000000001</v>
      </c>
      <c r="AD11" s="3451">
        <f ca="1">OFFSET(Labour1!$G$209,0,(COLUMN()-6)/6)</f>
        <v>0.1721</v>
      </c>
      <c r="AE11" s="3452">
        <f ca="1">OFFSET(Labour1!$G$210,0,(COLUMN()-7)/6)</f>
        <v>3.5856500000000002</v>
      </c>
      <c r="AF11" s="3452">
        <f ca="1">OFFSET(Labour1!$G$211,0,(COLUMN()-8)/6)</f>
        <v>1.6960299999999999</v>
      </c>
      <c r="AG11" s="3452">
        <f ca="1">OFFSET(Labour1!$G$216,0,(COLUMN()-9)/6)</f>
        <v>-5.0393883225208526E-2</v>
      </c>
      <c r="AH11" s="604"/>
      <c r="AI11" s="3450">
        <f ca="1">+AJ11+AK11+AL11</f>
        <v>5.2228399999999997</v>
      </c>
      <c r="AJ11" s="3451">
        <f ca="1">OFFSET(Labour1!$G$209,0,(COLUMN()-6)/6)</f>
        <v>0.24402000000000001</v>
      </c>
      <c r="AK11" s="3452">
        <f ca="1">OFFSET(Labour1!$G$210,0,(COLUMN()-7)/6)</f>
        <v>3.3712399999999998</v>
      </c>
      <c r="AL11" s="3452">
        <f ca="1">OFFSET(Labour1!$G$211,0,(COLUMN()-8)/6)</f>
        <v>1.60758</v>
      </c>
      <c r="AM11" s="3452">
        <f ca="1">OFFSET(Labour1!$G$216,0,(COLUMN()-9)/6)</f>
        <v>1.2743280815569975E-2</v>
      </c>
      <c r="AN11" s="604"/>
      <c r="AO11" s="3450">
        <f ca="1">+AP11+AQ11+AR11</f>
        <v>5.3652800000000003</v>
      </c>
      <c r="AP11" s="3451">
        <f ca="1">OFFSET(Labour1!$G$209,0,(COLUMN()-6)/6)</f>
        <v>0.29619999999999996</v>
      </c>
      <c r="AQ11" s="3452">
        <f ca="1">OFFSET(Labour1!$G$210,0,(COLUMN()-7)/6)</f>
        <v>3.41967</v>
      </c>
      <c r="AR11" s="3452">
        <f ca="1">OFFSET(Labour1!$G$211,0,(COLUMN()-8)/6)</f>
        <v>1.64941</v>
      </c>
      <c r="AS11" s="3452">
        <f ca="1">OFFSET(Labour1!$G$216,0,(COLUMN()-9)/6)</f>
        <v>5.5317423540315103E-2</v>
      </c>
      <c r="AT11" s="604"/>
      <c r="AU11" s="3450">
        <f ca="1">+AV11+AW11+AX11</f>
        <v>5.8103099999999994</v>
      </c>
      <c r="AV11" s="3451">
        <f ca="1">OFFSET(Labour1!$G$209,0,(COLUMN()-6)/6)</f>
        <v>0.32375999999999999</v>
      </c>
      <c r="AW11" s="3452">
        <f ca="1">OFFSET(Labour1!$G$210,0,(COLUMN()-7)/6)</f>
        <v>3.7725399999999998</v>
      </c>
      <c r="AX11" s="3452">
        <f ca="1">OFFSET(Labour1!$G$211,0,(COLUMN()-8)/6)</f>
        <v>1.71401</v>
      </c>
      <c r="AY11" s="3452">
        <f ca="1">OFFSET(Labour1!$G$216,0,(COLUMN()-9)/6)</f>
        <v>6.7191844300278039E-2</v>
      </c>
      <c r="AZ11" s="604"/>
      <c r="BA11" s="3450">
        <f ca="1">+BB11+BC11+BD11</f>
        <v>6.4430399999999999</v>
      </c>
      <c r="BB11" s="3451">
        <f ca="1">OFFSET(Labour1!$G$209,0,(COLUMN()-6)/6)</f>
        <v>0.35852999999999996</v>
      </c>
      <c r="BC11" s="3452">
        <f ca="1">OFFSET(Labour1!$G$210,0,(COLUMN()-7)/6)</f>
        <v>4.2979799999999999</v>
      </c>
      <c r="BD11" s="3452">
        <f ca="1">OFFSET(Labour1!$G$211,0,(COLUMN()-8)/6)</f>
        <v>1.78653</v>
      </c>
      <c r="BE11" s="3452">
        <f ca="1">OFFSET(Labour1!$G$216,0,(COLUMN()-9)/6)</f>
        <v>4.6918443002780356E-2</v>
      </c>
      <c r="BF11" s="604"/>
      <c r="BG11" s="3450">
        <f ca="1">+BH11+BI11+BJ11</f>
        <v>7.3100900000000006</v>
      </c>
      <c r="BH11" s="3451">
        <f ca="1">OFFSET(Labour1!$G$209,0,(COLUMN()-6)/6)</f>
        <v>0.39130000000000004</v>
      </c>
      <c r="BI11" s="3452">
        <f ca="1">OFFSET(Labour1!$G$210,0,(COLUMN()-7)/6)</f>
        <v>4.9501200000000001</v>
      </c>
      <c r="BJ11" s="3452">
        <f ca="1">OFFSET(Labour1!$G$211,0,(COLUMN()-8)/6)</f>
        <v>1.9686700000000001</v>
      </c>
      <c r="BK11" s="3452">
        <f ca="1">OFFSET(Labour1!$G$216,0,(COLUMN()-9)/6)</f>
        <v>0.14452038924930491</v>
      </c>
      <c r="BL11" s="604"/>
      <c r="BM11" s="3450">
        <f ca="1">+BN11+BO11+BP11</f>
        <v>8.5200200000000006</v>
      </c>
      <c r="BN11" s="3451">
        <f ca="1">OFFSET(Labour1!$G$209,0,(COLUMN()-6)/6)</f>
        <v>0.44927</v>
      </c>
      <c r="BO11" s="3452">
        <f ca="1">OFFSET(Labour1!$G$210,0,(COLUMN()-7)/6)</f>
        <v>5.9176700000000002</v>
      </c>
      <c r="BP11" s="3452">
        <f ca="1">OFFSET(Labour1!$G$211,0,(COLUMN()-8)/6)</f>
        <v>2.1530800000000001</v>
      </c>
      <c r="BQ11" s="3452">
        <f ca="1">OFFSET(Labour1!$G$216,0,(COLUMN()-9)/6)</f>
        <v>0.185</v>
      </c>
      <c r="BR11" s="604"/>
      <c r="BS11" s="3450">
        <f ca="1">+BT11+BU11+BV11</f>
        <v>10.2773</v>
      </c>
      <c r="BT11" s="3451">
        <f ca="1">OFFSET(Labour1!$G$209,0,(COLUMN()-6)/6)</f>
        <v>0.54009000000000007</v>
      </c>
      <c r="BU11" s="3452">
        <f ca="1">OFFSET(Labour1!$G$210,0,(COLUMN()-7)/6)</f>
        <v>7.2326000000000006</v>
      </c>
      <c r="BV11" s="3452">
        <f ca="1">OFFSET(Labour1!$G$211,0,(COLUMN()-8)/6)</f>
        <v>2.50461</v>
      </c>
      <c r="BW11" s="3452">
        <f ca="1">OFFSET(Labour1!$G$216,0,(COLUMN()-9)/6)</f>
        <v>0.20200000000000001</v>
      </c>
      <c r="BX11" s="604"/>
      <c r="BY11" s="3450">
        <f ca="1">+BZ11+CA11+CB11</f>
        <v>12.325889999999998</v>
      </c>
      <c r="BZ11" s="3451">
        <f ca="1">OFFSET(Labour1!$G$209,0,(COLUMN()-6)/6)</f>
        <v>0.73077000000000003</v>
      </c>
      <c r="CA11" s="3452">
        <f ca="1">OFFSET(Labour1!$G$210,0,(COLUMN()-7)/6)</f>
        <v>8.7606399999999987</v>
      </c>
      <c r="CB11" s="3452">
        <f ca="1">OFFSET(Labour1!$G$211,0,(COLUMN()-8)/6)</f>
        <v>2.8344800000000001</v>
      </c>
      <c r="CC11" s="3452">
        <f ca="1">OFFSET(Labour1!$G$216,0,(COLUMN()-9)/6)</f>
        <v>0.159</v>
      </c>
      <c r="CD11" s="604"/>
      <c r="CE11" s="3450">
        <f ca="1">+CF11+CG11+CH11</f>
        <v>14.35507</v>
      </c>
      <c r="CF11" s="3451">
        <f ca="1">OFFSET(Labour1!$G$209,0,(COLUMN()-6)/6)</f>
        <v>0.76090000000000002</v>
      </c>
      <c r="CG11" s="3452">
        <f ca="1">OFFSET(Labour1!$G$210,0,(COLUMN()-7)/6)</f>
        <v>10.118370000000001</v>
      </c>
      <c r="CH11" s="3452">
        <f ca="1">OFFSET(Labour1!$G$211,0,(COLUMN()-8)/6)</f>
        <v>3.4758</v>
      </c>
      <c r="CI11" s="3452">
        <f ca="1">OFFSET(Labour1!$G$216,0,(COLUMN()-9)/6)</f>
        <v>9.5000000000000001E-2</v>
      </c>
      <c r="CJ11" s="604"/>
      <c r="CK11" s="3450">
        <f ca="1">+CL11+CM11+CN11</f>
        <v>11.978259999999999</v>
      </c>
      <c r="CL11" s="3451">
        <f ca="1">OFFSET(Labour1!$G$209,0,(COLUMN()-6)/6)</f>
        <v>0.55355999999999994</v>
      </c>
      <c r="CM11" s="3452">
        <f ca="1">OFFSET(Labour1!$G$210,0,(COLUMN()-7)/6)</f>
        <v>8.0144400000000005</v>
      </c>
      <c r="CN11" s="3452">
        <f ca="1">OFFSET(Labour1!$G$211,0,(COLUMN()-8)/6)</f>
        <v>3.4102600000000001</v>
      </c>
      <c r="CO11" s="3452">
        <f ca="1">OFFSET(Labour1!$G$216,0,(COLUMN()-9)/6)</f>
        <v>1.7000000000000001E-2</v>
      </c>
      <c r="CP11" s="604"/>
      <c r="CQ11" s="3450">
        <f ca="1">+CR11+CS11+CT11</f>
        <v>11.46996</v>
      </c>
      <c r="CR11" s="3451">
        <f ca="1">OFFSET(Labour1!$G$209,0,(COLUMN()-6)/6)</f>
        <v>0.46087</v>
      </c>
      <c r="CS11" s="3452">
        <f ca="1">OFFSET(Labour1!$G$210,0,(COLUMN()-7)/6)</f>
        <v>7.9502499999999996</v>
      </c>
      <c r="CT11" s="3452">
        <f ca="1">OFFSET(Labour1!$G$211,0,(COLUMN()-8)/6)</f>
        <v>3.05884</v>
      </c>
      <c r="CU11" s="3452">
        <f ca="1">OFFSET(Labour1!$G$216,0,(COLUMN()-9)/6)</f>
        <v>0.17100000000000001</v>
      </c>
      <c r="CV11" s="604"/>
      <c r="CW11" s="3450">
        <f ca="1">+CX11+CY11+CZ11</f>
        <v>12.29609</v>
      </c>
      <c r="CX11" s="3451">
        <f ca="1">OFFSET(Labour1!$G$209,0,(COLUMN()-6)/6)</f>
        <v>0.4718</v>
      </c>
      <c r="CY11" s="3452">
        <f ca="1">OFFSET(Labour1!$G$210,0,(COLUMN()-7)/6)</f>
        <v>8.6269599999999986</v>
      </c>
      <c r="CZ11" s="3452">
        <f ca="1">OFFSET(Labour1!$G$211,0,(COLUMN()-8)/6)</f>
        <v>3.19733</v>
      </c>
      <c r="DA11" s="3452">
        <f ca="1">OFFSET(Labour1!$G$216,0,(COLUMN()-9)/6)</f>
        <v>0.13700000000000001</v>
      </c>
      <c r="DB11" s="604"/>
      <c r="DC11" s="3450">
        <f ca="1">+DD11+DE11+DF11</f>
        <v>12.97705</v>
      </c>
      <c r="DD11" s="3451">
        <f ca="1">OFFSET(Labour1!$G$209,0,(COLUMN()-6)/6)</f>
        <v>0.45989999999999998</v>
      </c>
      <c r="DE11" s="3452">
        <f ca="1">OFFSET(Labour1!$G$210,0,(COLUMN()-7)/6)</f>
        <v>9.2755400000000012</v>
      </c>
      <c r="DF11" s="3452">
        <f ca="1">OFFSET(Labour1!$G$211,0,(COLUMN()-8)/6)</f>
        <v>3.2416100000000001</v>
      </c>
      <c r="DG11" s="3452">
        <f ca="1">OFFSET(Labour1!$G$216,0,(COLUMN()-9)/6)</f>
        <v>2.1000000000000001E-2</v>
      </c>
      <c r="DH11" s="604"/>
      <c r="DI11" s="3450">
        <f ca="1">+DJ11+DK11+DL11</f>
        <v>13.742620000000001</v>
      </c>
      <c r="DJ11" s="3451">
        <f ca="1">OFFSET(Labour1!$G$209,0,(COLUMN()-6)/6)</f>
        <v>0.48381999999999997</v>
      </c>
      <c r="DK11" s="3452">
        <f ca="1">OFFSET(Labour1!$G$210,0,(COLUMN()-7)/6)</f>
        <v>9.9203500000000009</v>
      </c>
      <c r="DL11" s="3452">
        <f ca="1">OFFSET(Labour1!$G$211,0,(COLUMN()-8)/6)</f>
        <v>3.3384499999999999</v>
      </c>
      <c r="DM11" s="3452">
        <f ca="1">OFFSET(Labour1!$G$216,0,(COLUMN()-9)/6)</f>
        <v>3.6999999999999998E-2</v>
      </c>
      <c r="DN11" s="604"/>
      <c r="DO11" s="3450">
        <f ca="1">+DP11+DQ11+DR11</f>
        <v>14.623929999999998</v>
      </c>
      <c r="DP11" s="3451">
        <f ca="1">OFFSET(Labour1!$G$209,0,(COLUMN()-6)/6)</f>
        <v>0.49345</v>
      </c>
      <c r="DQ11" s="3452">
        <f ca="1">OFFSET(Labour1!$G$210,0,(COLUMN()-7)/6)</f>
        <v>10.668329999999999</v>
      </c>
      <c r="DR11" s="3452">
        <f ca="1">OFFSET(Labour1!$G$211,0,(COLUMN()-8)/6)</f>
        <v>3.4621500000000003</v>
      </c>
      <c r="DS11" s="3453">
        <f ca="1">OFFSET(Labour1!$G$216,0,(COLUMN()-9)/6)</f>
        <v>-1.7999999999999999E-2</v>
      </c>
      <c r="DT11" s="604"/>
      <c r="DU11" s="3450">
        <f ca="1">+DV11+DW11+DX11</f>
        <v>15.637279999999999</v>
      </c>
      <c r="DV11" s="3451">
        <f ca="1">OFFSET(Labour1!$G$209,0,(COLUMN()-6)/6)</f>
        <v>0.50648000000000004</v>
      </c>
      <c r="DW11" s="3452">
        <f ca="1">OFFSET(Labour1!$G$210,0,(COLUMN()-7)/6)</f>
        <v>11.52549</v>
      </c>
      <c r="DX11" s="3452">
        <f ca="1">OFFSET(Labour1!$G$211,0,(COLUMN()-8)/6)</f>
        <v>3.6053099999999998</v>
      </c>
      <c r="DY11" s="3452">
        <f ca="1">OFFSET(Labour1!$G$216,0,(COLUMN()-9)/6)</f>
        <v>-1E-3</v>
      </c>
      <c r="DZ11" s="604"/>
      <c r="EA11" s="3450">
        <f ca="1">+EB11+EC11+ED11</f>
        <v>16.929069999999999</v>
      </c>
      <c r="EB11" s="3451">
        <f ca="1">OFFSET(Labour1!$G$209,0,(COLUMN()-6)/6)</f>
        <v>0.48932999999999999</v>
      </c>
      <c r="EC11" s="3452">
        <f ca="1">OFFSET(Labour1!$G$210,0,(COLUMN()-7)/6)</f>
        <v>12.63739</v>
      </c>
      <c r="ED11" s="3452">
        <f ca="1">OFFSET(Labour1!$G$211,0,(COLUMN()-8)/6)</f>
        <v>3.8023500000000001</v>
      </c>
      <c r="EE11" s="3452">
        <f ca="1">OFFSET(Labour1!$G$216,0,(COLUMN()-9)/6)</f>
        <v>-4.7E-2</v>
      </c>
      <c r="EF11" s="604"/>
      <c r="EG11" s="3450">
        <f ca="1">+EH11+EI11+EJ11</f>
        <v>18.449630000000003</v>
      </c>
      <c r="EH11" s="3451">
        <f ca="1">OFFSET(Labour1!$G$209,0,(COLUMN()-6)/6)</f>
        <v>0.52113644999999997</v>
      </c>
      <c r="EI11" s="3452">
        <f ca="1">OFFSET(Labour1!$G$210,0,(COLUMN()-7)/6)</f>
        <v>13.926518249273876</v>
      </c>
      <c r="EJ11" s="3452">
        <f ca="1">OFFSET(Labour1!$G$211,0,(COLUMN()-8)/6)</f>
        <v>4.0019753007261274</v>
      </c>
      <c r="EK11" s="3452">
        <f ca="1">OFFSET(Labour1!$G$216,0,(COLUMN()-9)/6)</f>
        <v>0</v>
      </c>
      <c r="EL11" s="604"/>
      <c r="EM11" s="3450">
        <f ca="1">+EN11+EO11+EP11</f>
        <v>19.549555182988733</v>
      </c>
      <c r="EN11" s="3451">
        <f ca="1">OFFSET(Labour1!$G$209,0,(COLUMN()-6)/6)</f>
        <v>0.55501031924999999</v>
      </c>
      <c r="EO11" s="3452">
        <f ca="1">OFFSET(Labour1!$G$210,0,(COLUMN()-7)/6)</f>
        <v>14.79072867706623</v>
      </c>
      <c r="EP11" s="3452">
        <f ca="1">OFFSET(Labour1!$G$211,0,(COLUMN()-8)/6)</f>
        <v>4.2038161866725012</v>
      </c>
      <c r="EQ11" s="3452">
        <f ca="1">OFFSET(Labour1!$G$216,0,(COLUMN()-9)/6)</f>
        <v>0</v>
      </c>
      <c r="ER11" s="604"/>
      <c r="ES11" s="3450">
        <f ca="1">+ET11+EU11+EV11</f>
        <v>20.686003495864497</v>
      </c>
      <c r="ET11" s="3451">
        <f ca="1">OFFSET(Labour1!$G$209,0,(COLUMN()-6)/6)</f>
        <v>0.58831093840500004</v>
      </c>
      <c r="EU11" s="3452">
        <f ca="1">OFFSET(Labour1!$G$210,0,(COLUMN()-7)/6)</f>
        <v>15.662483697455624</v>
      </c>
      <c r="EV11" s="3452">
        <f ca="1">OFFSET(Labour1!$G$211,0,(COLUMN()-8)/6)</f>
        <v>4.435208860003871</v>
      </c>
      <c r="EW11" s="3452">
        <f ca="1">OFFSET(Labour1!$G$216,0,(COLUMN()-9)/6)</f>
        <v>0</v>
      </c>
      <c r="EX11" s="604"/>
    </row>
    <row r="12" spans="1:154" s="557" customFormat="1" ht="13.5" customHeight="1" thickBot="1">
      <c r="A12" s="555"/>
      <c r="B12" s="3445" t="s">
        <v>1769</v>
      </c>
      <c r="C12" s="3777" t="s">
        <v>1377</v>
      </c>
      <c r="D12" s="3778"/>
      <c r="E12" s="3454">
        <f ca="1">+E8-E9+E10-E11</f>
        <v>4.0080800000000005</v>
      </c>
      <c r="F12" s="3454">
        <f ca="1">+F8-F9+F10-F11</f>
        <v>1.69865</v>
      </c>
      <c r="G12" s="3454">
        <f ca="1">+G8-G9+G10-G11</f>
        <v>1.9613500000000004</v>
      </c>
      <c r="H12" s="3454">
        <f ca="1">+H8-H9+H10-H11</f>
        <v>0.34807999999999995</v>
      </c>
      <c r="I12" s="3455"/>
      <c r="J12" s="604"/>
      <c r="K12" s="3454">
        <f ca="1">+K8-K9+K10-K11</f>
        <v>5.0145900000000019</v>
      </c>
      <c r="L12" s="3454">
        <f ca="1">+L8-L9+L10-L11</f>
        <v>2.12385</v>
      </c>
      <c r="M12" s="3454">
        <f ca="1">+M8-M9+M10-M11</f>
        <v>2.5028399999999995</v>
      </c>
      <c r="N12" s="3454">
        <f ca="1">+N8-N9+N10-N11</f>
        <v>0.38789000000000007</v>
      </c>
      <c r="O12" s="3455"/>
      <c r="P12" s="604"/>
      <c r="Q12" s="3454">
        <f ca="1">+Q8-Q9+Q10-Q11</f>
        <v>5.7034199999999995</v>
      </c>
      <c r="R12" s="3454">
        <f ca="1">+R8-R9+R10-R11</f>
        <v>2.3989400000000001</v>
      </c>
      <c r="S12" s="3454">
        <f ca="1">+S8-S9+S10-S11</f>
        <v>2.8781900000000009</v>
      </c>
      <c r="T12" s="3454">
        <f ca="1">+T8-T9+T10-T11</f>
        <v>0.42628999999999984</v>
      </c>
      <c r="U12" s="3455"/>
      <c r="V12" s="604"/>
      <c r="W12" s="3454">
        <f ca="1">+W8-W9+W10-W11</f>
        <v>5.9481600000000006</v>
      </c>
      <c r="X12" s="3454">
        <f ca="1">+X8-X9+X10-X11</f>
        <v>2.57579</v>
      </c>
      <c r="Y12" s="3454">
        <f ca="1">+Y8-Y9+Y10-Y11</f>
        <v>2.9327699999999997</v>
      </c>
      <c r="Z12" s="3454">
        <f ca="1">+Z8-Z9+Z10-Z11</f>
        <v>0.43959999999999977</v>
      </c>
      <c r="AA12" s="3455"/>
      <c r="AB12" s="604"/>
      <c r="AC12" s="3454">
        <f ca="1">+AC8-AC9+AC10-AC11</f>
        <v>5.6471300000000024</v>
      </c>
      <c r="AD12" s="3454">
        <f ca="1">+AD8-AD9+AD10-AD11</f>
        <v>2.5122100000000005</v>
      </c>
      <c r="AE12" s="3454">
        <f ca="1">+AE8-AE9+AE10-AE11</f>
        <v>2.6909900000000002</v>
      </c>
      <c r="AF12" s="3454">
        <f ca="1">+AF8-AF9+AF10-AF11</f>
        <v>0.44392999999999994</v>
      </c>
      <c r="AG12" s="3455"/>
      <c r="AH12" s="604"/>
      <c r="AI12" s="3454">
        <f ca="1">+AI8-AI9+AI10-AI11</f>
        <v>6.5773900000000012</v>
      </c>
      <c r="AJ12" s="3454">
        <f ca="1">+AJ8-AJ9+AJ10-AJ11</f>
        <v>2.5169999999999999</v>
      </c>
      <c r="AK12" s="3454">
        <f ca="1">+AK8-AK9+AK10-AK11</f>
        <v>3.6106800000000008</v>
      </c>
      <c r="AL12" s="3454">
        <f ca="1">+AL8-AL9+AL10-AL11</f>
        <v>0.44971000000000005</v>
      </c>
      <c r="AM12" s="3455"/>
      <c r="AN12" s="604"/>
      <c r="AO12" s="3454">
        <f ca="1">+AO8-AO9+AO10-AO11</f>
        <v>7.2191700000000001</v>
      </c>
      <c r="AP12" s="3454">
        <f ca="1">+AP8-AP9+AP10-AP11</f>
        <v>2.3872999999999998</v>
      </c>
      <c r="AQ12" s="3454">
        <f ca="1">+AQ8-AQ9+AQ10-AQ11</f>
        <v>4.3839899999999998</v>
      </c>
      <c r="AR12" s="3454">
        <f ca="1">+AR8-AR9+AR10-AR11</f>
        <v>0.44786999999999999</v>
      </c>
      <c r="AS12" s="3455"/>
      <c r="AT12" s="604"/>
      <c r="AU12" s="3454">
        <f ca="1">+AU8-AU9+AU10-AU11</f>
        <v>7.6282600000000009</v>
      </c>
      <c r="AV12" s="3454">
        <f ca="1">+AV8-AV9+AV10-AV11</f>
        <v>2.34639</v>
      </c>
      <c r="AW12" s="3454">
        <f ca="1">+AW8-AW9+AW10-AW11</f>
        <v>4.8382200000000015</v>
      </c>
      <c r="AX12" s="3454">
        <f ca="1">+AX8-AX9+AX10-AX11</f>
        <v>0.44363000000000019</v>
      </c>
      <c r="AY12" s="3455"/>
      <c r="AZ12" s="604"/>
      <c r="BA12" s="3454">
        <f ca="1">+BA8-BA9+BA10-BA11</f>
        <v>8.4142299999999963</v>
      </c>
      <c r="BB12" s="3454">
        <f ca="1">+BB8-BB9+BB10-BB11</f>
        <v>2.4367899999999998</v>
      </c>
      <c r="BC12" s="3454">
        <f ca="1">+BC8-BC9+BC10-BC11</f>
        <v>5.5056800000000026</v>
      </c>
      <c r="BD12" s="3454">
        <f ca="1">+BD8-BD9+BD10-BD11</f>
        <v>0.4717699999999998</v>
      </c>
      <c r="BE12" s="3455"/>
      <c r="BF12" s="604"/>
      <c r="BG12" s="3454">
        <f ca="1">+BG8-BG9+BG10-BG11</f>
        <v>9.117429999999997</v>
      </c>
      <c r="BH12" s="3454">
        <f ca="1">+BH8-BH9+BH10-BH11</f>
        <v>2.5497899999999998</v>
      </c>
      <c r="BI12" s="3454">
        <f ca="1">+BI8-BI9+BI10-BI11</f>
        <v>6.07179</v>
      </c>
      <c r="BJ12" s="3454">
        <f ca="1">+BJ8-BJ9+BJ10-BJ11</f>
        <v>0.49587000000000026</v>
      </c>
      <c r="BK12" s="3455"/>
      <c r="BL12" s="604"/>
      <c r="BM12" s="3454">
        <f ca="1">+BM8-BM9+BM10-BM11</f>
        <v>10.468869999999997</v>
      </c>
      <c r="BN12" s="3454">
        <f ca="1">+BN8-BN9+BN10-BN11</f>
        <v>2.8515099999999998</v>
      </c>
      <c r="BO12" s="3454">
        <f ca="1">+BO8-BO9+BO10-BO11</f>
        <v>7.0718700000000014</v>
      </c>
      <c r="BP12" s="3454">
        <f ca="1">+BP8-BP9+BP10-BP11</f>
        <v>0.54548999999999959</v>
      </c>
      <c r="BQ12" s="3455"/>
      <c r="BR12" s="604"/>
      <c r="BS12" s="3454">
        <f ca="1">+BS8-BS9+BS10-BS11</f>
        <v>11.424269999999996</v>
      </c>
      <c r="BT12" s="3454">
        <f ca="1">+BT8-BT9+BT10-BT11</f>
        <v>2.9678199999999997</v>
      </c>
      <c r="BU12" s="3454">
        <f ca="1">+BU8-BU9+BU10-BU11</f>
        <v>7.8435499999999978</v>
      </c>
      <c r="BV12" s="3454">
        <f ca="1">+BV8-BV9+BV10-BV11</f>
        <v>0.61288999999999971</v>
      </c>
      <c r="BW12" s="3455"/>
      <c r="BX12" s="604"/>
      <c r="BY12" s="3454">
        <f ca="1">+BY8-BY9+BY10-BY11</f>
        <v>13.707930000000005</v>
      </c>
      <c r="BZ12" s="3454">
        <f ca="1">+BZ8-BZ9+BZ10-BZ11</f>
        <v>3.1930899999999998</v>
      </c>
      <c r="CA12" s="3454">
        <f ca="1">+CA8-CA9+CA10-CA11</f>
        <v>9.8058000000000014</v>
      </c>
      <c r="CB12" s="3454">
        <f ca="1">+CB8-CB9+CB10-CB11</f>
        <v>0.70903999999999989</v>
      </c>
      <c r="CC12" s="3455"/>
      <c r="CD12" s="604"/>
      <c r="CE12" s="3454">
        <f ca="1">+CE8-CE9+CE10-CE11</f>
        <v>14.882700000000002</v>
      </c>
      <c r="CF12" s="3454">
        <f ca="1">+CF8-CF9+CF10-CF11</f>
        <v>3.4104199999999998</v>
      </c>
      <c r="CG12" s="3454">
        <f ca="1">+CG8-CG9+CG10-CG11</f>
        <v>10.65368</v>
      </c>
      <c r="CH12" s="3454">
        <f ca="1">+CH8-CH9+CH10-CH11</f>
        <v>0.81860000000000044</v>
      </c>
      <c r="CI12" s="3455"/>
      <c r="CJ12" s="604"/>
      <c r="CK12" s="3454">
        <f ca="1">+CK8-CK9+CK10-CK11</f>
        <v>12.22655</v>
      </c>
      <c r="CL12" s="3454">
        <f ca="1">+CL8-CL9+CL10-CL11</f>
        <v>2.8222200000000002</v>
      </c>
      <c r="CM12" s="3454">
        <f ca="1">+CM8-CM9+CM10-CM11</f>
        <v>8.5865399999999994</v>
      </c>
      <c r="CN12" s="3454">
        <f ca="1">+CN8-CN9+CN10-CN11</f>
        <v>0.81777999999999995</v>
      </c>
      <c r="CO12" s="3455"/>
      <c r="CP12" s="604"/>
      <c r="CQ12" s="3454">
        <f ca="1">+CQ8-CQ9+CQ10-CQ11</f>
        <v>13.627139999999997</v>
      </c>
      <c r="CR12" s="3454">
        <f ca="1">+CR8-CR9+CR10-CR11</f>
        <v>2.6309799999999997</v>
      </c>
      <c r="CS12" s="3454">
        <f ca="1">+CS8-CS9+CS10-CS11</f>
        <v>10.180579999999996</v>
      </c>
      <c r="CT12" s="3454">
        <f ca="1">+CT8-CT9+CT10-CT11</f>
        <v>0.81559000000000026</v>
      </c>
      <c r="CU12" s="3455"/>
      <c r="CV12" s="604"/>
      <c r="CW12" s="3454">
        <f ca="1">+CW8-CW9+CW10-CW11</f>
        <v>15.734600000000004</v>
      </c>
      <c r="CX12" s="3454">
        <f ca="1">+CX8-CX9+CX10-CX11</f>
        <v>2.8366799999999999</v>
      </c>
      <c r="CY12" s="3454">
        <f ca="1">+CY8-CY9+CY10-CY11</f>
        <v>12.009180000000002</v>
      </c>
      <c r="CZ12" s="3454">
        <f ca="1">+CZ8-CZ9+CZ10-CZ11</f>
        <v>0.88874000000000031</v>
      </c>
      <c r="DA12" s="3455"/>
      <c r="DB12" s="604"/>
      <c r="DC12" s="3454">
        <f ca="1">+DC8-DC9+DC10-DC11</f>
        <v>17.053640000000001</v>
      </c>
      <c r="DD12" s="3454">
        <f ca="1">+DD8-DD9+DD10-DD11</f>
        <v>3.2705600000000006</v>
      </c>
      <c r="DE12" s="3454">
        <f ca="1">+DE8-DE9+DE10-DE11</f>
        <v>12.806279999999999</v>
      </c>
      <c r="DF12" s="3454">
        <f ca="1">+DF8-DF9+DF10-DF11</f>
        <v>0.97678999999999983</v>
      </c>
      <c r="DG12" s="3455"/>
      <c r="DH12" s="604"/>
      <c r="DI12" s="3454">
        <f ca="1">+DI8-DI9+DI10-DI11</f>
        <v>17.805410000000002</v>
      </c>
      <c r="DJ12" s="3454">
        <f ca="1">+DJ8-DJ9+DJ10-DJ11</f>
        <v>3.38794</v>
      </c>
      <c r="DK12" s="3454">
        <f ca="1">+DK8-DK9+DK10-DK11</f>
        <v>13.386859999999997</v>
      </c>
      <c r="DL12" s="3454">
        <f ca="1">+DL8-DL9+DL10-DL11</f>
        <v>1.0305999999999997</v>
      </c>
      <c r="DM12" s="3455"/>
      <c r="DN12" s="604"/>
      <c r="DO12" s="3454">
        <f ca="1">+DO8-DO9+DO10-DO11</f>
        <v>18.282459999999997</v>
      </c>
      <c r="DP12" s="3454">
        <f ca="1">+DP8-DP9+DP10-DP11</f>
        <v>3.527709999999999</v>
      </c>
      <c r="DQ12" s="3454">
        <f ca="1">+DQ8-DQ9+DQ10-DQ11</f>
        <v>13.675679999999998</v>
      </c>
      <c r="DR12" s="3454">
        <f ca="1">+DR8-DR9+DR10-DR11</f>
        <v>1.0790799999999994</v>
      </c>
      <c r="DS12" s="3455">
        <f ca="1">+DS8-DS9+DS10-DS11</f>
        <v>1.7999999999999999E-2</v>
      </c>
      <c r="DT12" s="604"/>
      <c r="DU12" s="3454">
        <f ca="1">+DU8-DU9+DU10-DU11</f>
        <v>17.924580000000013</v>
      </c>
      <c r="DV12" s="3454">
        <f ca="1">+DV8-DV9+DV10-DV11</f>
        <v>3.7731500000000011</v>
      </c>
      <c r="DW12" s="3454">
        <f ca="1">+DW8-DW9+DW10-DW11</f>
        <v>13.047970000000001</v>
      </c>
      <c r="DX12" s="3454">
        <f ca="1">+DX8-DX9+DX10-DX11</f>
        <v>1.1034600000000006</v>
      </c>
      <c r="DY12" s="3455"/>
      <c r="DZ12" s="604"/>
      <c r="EA12" s="3454">
        <f ca="1">+EA8-EA9+EA10-EA11</f>
        <v>17.732100000000006</v>
      </c>
      <c r="EB12" s="3454">
        <f ca="1">+EB8-EB9+EB10-EB11</f>
        <v>3.7786800000000005</v>
      </c>
      <c r="EC12" s="3454">
        <f ca="1">+EC8-EC9+EC10-EC11</f>
        <v>12.81043</v>
      </c>
      <c r="ED12" s="3454">
        <f ca="1">+ED8-ED9+ED10-ED11</f>
        <v>1.1429800000000001</v>
      </c>
      <c r="EE12" s="3455"/>
      <c r="EF12" s="604"/>
      <c r="EG12" s="3454">
        <f ca="1">+EG8-EG9+EG10-EG11</f>
        <v>18.922989192398123</v>
      </c>
      <c r="EH12" s="3454">
        <f ca="1">+EH8-EH9+EH10-EH11</f>
        <v>3.7786799999999996</v>
      </c>
      <c r="EI12" s="3454">
        <f ca="1">+EI8-EI9+EI10-EI11</f>
        <v>14.037617020000003</v>
      </c>
      <c r="EJ12" s="3454">
        <f ca="1">+EJ8-EJ9+EJ10-EJ11</f>
        <v>1.1841272800000002</v>
      </c>
      <c r="EK12" s="3455"/>
      <c r="EL12" s="604"/>
      <c r="EM12" s="3454">
        <f ca="1">+EM8-EM9+EM10-EM11</f>
        <v>19.951920099949326</v>
      </c>
      <c r="EN12" s="3454">
        <f ca="1">+EN8-EN9+EN10-EN11</f>
        <v>3.7786799999999996</v>
      </c>
      <c r="EO12" s="3454">
        <f ca="1">+EO8-EO9+EO10-EO11</f>
        <v>14.965430274349327</v>
      </c>
      <c r="EP12" s="3454">
        <f ca="1">+EP8-EP9+EP10-EP11</f>
        <v>1.2078098256000001</v>
      </c>
      <c r="EQ12" s="3455"/>
      <c r="ER12" s="604"/>
      <c r="ES12" s="3454">
        <f ca="1">+ES8-ES9+ES10-ES11</f>
        <v>21.000859178637718</v>
      </c>
      <c r="ET12" s="3454">
        <f ca="1">+ET8-ET9+ET10-ET11</f>
        <v>3.7786800000000005</v>
      </c>
      <c r="EU12" s="3454">
        <f ca="1">+EU8-EU9+EU10-EU11</f>
        <v>16.002291254781717</v>
      </c>
      <c r="EV12" s="3454">
        <f ca="1">+EV8-EV9+EV10-EV11</f>
        <v>1.2198879238560005</v>
      </c>
      <c r="EW12" s="3455"/>
      <c r="EX12" s="604"/>
    </row>
    <row r="13" spans="1:154" ht="12.75" customHeight="1">
      <c r="A13" s="553"/>
      <c r="B13" s="600" t="s">
        <v>1767</v>
      </c>
      <c r="C13" s="3779" t="s">
        <v>1378</v>
      </c>
      <c r="D13" s="3780"/>
      <c r="E13" s="3450">
        <f ca="1">+F13</f>
        <v>2.9015</v>
      </c>
      <c r="F13" s="3456">
        <f ca="1">OFFSET(Labour1!$G$217,0,(COLUMN()-6)/6)</f>
        <v>2.9015</v>
      </c>
      <c r="G13" s="3457"/>
      <c r="H13" s="3448"/>
      <c r="I13" s="603" t="s">
        <v>235</v>
      </c>
      <c r="J13" s="556">
        <f ca="1">+E13-E11-I11</f>
        <v>1.1924003707145751E-4</v>
      </c>
      <c r="K13" s="3450">
        <f ca="1">+L13</f>
        <v>3.6541700000000001</v>
      </c>
      <c r="L13" s="3456">
        <f ca="1">OFFSET(Labour1!$G$217,0,(COLUMN()-6)/6)</f>
        <v>3.6541700000000001</v>
      </c>
      <c r="M13" s="3457"/>
      <c r="N13" s="3448"/>
      <c r="O13" s="603" t="s">
        <v>235</v>
      </c>
      <c r="P13" s="556">
        <f ca="1">+K13-K11-O11</f>
        <v>1.2122335496203562E-5</v>
      </c>
      <c r="Q13" s="3450">
        <f ca="1">+R13</f>
        <v>4.4716499999999995</v>
      </c>
      <c r="R13" s="3456">
        <f ca="1">OFFSET(Labour1!$G$217,0,(COLUMN()-6)/6)</f>
        <v>4.4716499999999995</v>
      </c>
      <c r="S13" s="3457"/>
      <c r="T13" s="3448"/>
      <c r="U13" s="603" t="s">
        <v>235</v>
      </c>
      <c r="V13" s="556">
        <f ca="1">+Q13-Q11-U11</f>
        <v>1.1488415199199797E-4</v>
      </c>
      <c r="W13" s="3450">
        <f ca="1">+X13</f>
        <v>5.3453200000000001</v>
      </c>
      <c r="X13" s="3456">
        <f ca="1">OFFSET(Labour1!$G$217,0,(COLUMN()-6)/6)</f>
        <v>5.3453200000000001</v>
      </c>
      <c r="Y13" s="3457"/>
      <c r="Z13" s="3448"/>
      <c r="AA13" s="603" t="s">
        <v>235</v>
      </c>
      <c r="AB13" s="556">
        <f ca="1">+W13-W11-AA11</f>
        <v>-2.7157553290024783E-4</v>
      </c>
      <c r="AC13" s="3450">
        <f ca="1">+AD13</f>
        <v>5.4032200000000001</v>
      </c>
      <c r="AD13" s="3456">
        <f ca="1">OFFSET(Labour1!$G$217,0,(COLUMN()-6)/6)</f>
        <v>5.4032200000000001</v>
      </c>
      <c r="AE13" s="3457"/>
      <c r="AF13" s="3448"/>
      <c r="AG13" s="603" t="s">
        <v>235</v>
      </c>
      <c r="AH13" s="556">
        <f ca="1">+AC13-AC11-AG11</f>
        <v>-1.6611677479141246E-4</v>
      </c>
      <c r="AI13" s="3450">
        <f ca="1">+AJ13</f>
        <v>5.2354099999999999</v>
      </c>
      <c r="AJ13" s="3456">
        <f ca="1">OFFSET(Labour1!$G$217,0,(COLUMN()-6)/6)</f>
        <v>5.2354099999999999</v>
      </c>
      <c r="AK13" s="3457"/>
      <c r="AL13" s="3448"/>
      <c r="AM13" s="603" t="s">
        <v>235</v>
      </c>
      <c r="AN13" s="556">
        <f ca="1">+AI13-AI11-AM11</f>
        <v>-1.732808155697832E-4</v>
      </c>
      <c r="AO13" s="3450">
        <f ca="1">+AP13</f>
        <v>5.4208299999999996</v>
      </c>
      <c r="AP13" s="3456">
        <f ca="1">OFFSET(Labour1!$G$217,0,(COLUMN()-6)/6)</f>
        <v>5.4208299999999996</v>
      </c>
      <c r="AQ13" s="3457"/>
      <c r="AR13" s="3448"/>
      <c r="AS13" s="603" t="s">
        <v>235</v>
      </c>
      <c r="AT13" s="556">
        <f ca="1">+AO13-AO11-AS11</f>
        <v>2.3257645968421947E-4</v>
      </c>
      <c r="AU13" s="3450">
        <f ca="1">+AV13</f>
        <v>5.8667299999999996</v>
      </c>
      <c r="AV13" s="3456">
        <f ca="1">OFFSET(Labour1!$G$217,0,(COLUMN()-6)/6)</f>
        <v>5.8667299999999996</v>
      </c>
      <c r="AW13" s="3457"/>
      <c r="AX13" s="3448"/>
      <c r="AY13" s="603" t="s">
        <v>235</v>
      </c>
      <c r="AZ13" s="556">
        <f ca="1">+AU13-AU11-AY11</f>
        <v>-1.0771844300277902E-2</v>
      </c>
      <c r="BA13" s="3450">
        <f ca="1">+BB13</f>
        <v>6.4834300000000002</v>
      </c>
      <c r="BB13" s="3456">
        <f ca="1">OFFSET(Labour1!$G$217,0,(COLUMN()-6)/6)</f>
        <v>6.4834300000000002</v>
      </c>
      <c r="BC13" s="3457"/>
      <c r="BD13" s="3448"/>
      <c r="BE13" s="603" t="s">
        <v>235</v>
      </c>
      <c r="BF13" s="556">
        <f ca="1">+BA13-BA11-BE11</f>
        <v>-6.5284430027799864E-3</v>
      </c>
      <c r="BG13" s="3450">
        <f ca="1">+BH13</f>
        <v>7.4544499999999996</v>
      </c>
      <c r="BH13" s="3456">
        <f ca="1">OFFSET(Labour1!$G$217,0,(COLUMN()-6)/6)</f>
        <v>7.4544499999999996</v>
      </c>
      <c r="BI13" s="3457"/>
      <c r="BJ13" s="3448"/>
      <c r="BK13" s="603" t="s">
        <v>235</v>
      </c>
      <c r="BL13" s="556">
        <f ca="1">+BG13-BG11-BK11</f>
        <v>-1.6038924930597553E-4</v>
      </c>
      <c r="BM13" s="3450">
        <f ca="1">+BN13</f>
        <v>8.7055799999999994</v>
      </c>
      <c r="BN13" s="3456">
        <f ca="1">OFFSET(Labour1!$G$217,0,(COLUMN()-6)/6)</f>
        <v>8.7055799999999994</v>
      </c>
      <c r="BO13" s="3457"/>
      <c r="BP13" s="3448"/>
      <c r="BQ13" s="603" t="s">
        <v>235</v>
      </c>
      <c r="BR13" s="556">
        <f ca="1">+BM13-BM11-BQ11</f>
        <v>5.599999999988392E-4</v>
      </c>
      <c r="BS13" s="3450">
        <f ca="1">+BT13</f>
        <v>10.479700000000001</v>
      </c>
      <c r="BT13" s="3456">
        <f ca="1">OFFSET(Labour1!$G$217,0,(COLUMN()-6)/6)</f>
        <v>10.479700000000001</v>
      </c>
      <c r="BU13" s="3457"/>
      <c r="BV13" s="3448"/>
      <c r="BW13" s="603" t="s">
        <v>235</v>
      </c>
      <c r="BX13" s="556">
        <f ca="1">+BS13-BS11-BW11</f>
        <v>4.0000000000078861E-4</v>
      </c>
      <c r="BY13" s="3450">
        <f ca="1">+BZ13</f>
        <v>12.48507</v>
      </c>
      <c r="BZ13" s="3456">
        <f ca="1">OFFSET(Labour1!$G$217,0,(COLUMN()-6)/6)</f>
        <v>12.48507</v>
      </c>
      <c r="CA13" s="3457"/>
      <c r="CB13" s="3448"/>
      <c r="CC13" s="603" t="s">
        <v>235</v>
      </c>
      <c r="CD13" s="556">
        <f ca="1">+BY13-BY11-CC11</f>
        <v>1.8000000000276128E-4</v>
      </c>
      <c r="CE13" s="3450">
        <f ca="1">+CF13</f>
        <v>14.48174</v>
      </c>
      <c r="CF13" s="3456">
        <f ca="1">OFFSET(Labour1!$G$217,0,(COLUMN()-6)/6)</f>
        <v>14.48174</v>
      </c>
      <c r="CG13" s="3457"/>
      <c r="CH13" s="3448"/>
      <c r="CI13" s="603" t="s">
        <v>235</v>
      </c>
      <c r="CJ13" s="556">
        <f ca="1">+CE13-CE11-CI11</f>
        <v>3.1670000000000725E-2</v>
      </c>
      <c r="CK13" s="3450">
        <f ca="1">+CL13</f>
        <v>12.023280000000002</v>
      </c>
      <c r="CL13" s="3456">
        <f ca="1">OFFSET(Labour1!$G$217,0,(COLUMN()-6)/6)</f>
        <v>12.023280000000002</v>
      </c>
      <c r="CM13" s="3457"/>
      <c r="CN13" s="3448"/>
      <c r="CO13" s="603" t="s">
        <v>235</v>
      </c>
      <c r="CP13" s="556">
        <f ca="1">+CK13-CK11-CO11</f>
        <v>2.8020000000002723E-2</v>
      </c>
      <c r="CQ13" s="3450">
        <f ca="1">+CR13</f>
        <v>11.682739999999999</v>
      </c>
      <c r="CR13" s="3456">
        <f ca="1">OFFSET(Labour1!$G$217,0,(COLUMN()-6)/6)</f>
        <v>11.682739999999999</v>
      </c>
      <c r="CS13" s="3457"/>
      <c r="CT13" s="3448"/>
      <c r="CU13" s="603" t="s">
        <v>235</v>
      </c>
      <c r="CV13" s="556">
        <f ca="1">+CQ13-CQ11-CU11</f>
        <v>4.1779999999998624E-2</v>
      </c>
      <c r="CW13" s="3450">
        <f ca="1">+CX13</f>
        <v>12.470510000000001</v>
      </c>
      <c r="CX13" s="3456">
        <f ca="1">OFFSET(Labour1!$G$217,0,(COLUMN()-6)/6)</f>
        <v>12.470510000000001</v>
      </c>
      <c r="CY13" s="3457"/>
      <c r="CZ13" s="3448"/>
      <c r="DA13" s="603" t="s">
        <v>235</v>
      </c>
      <c r="DB13" s="556">
        <f ca="1">+CW13-CW11-DA11</f>
        <v>3.7420000000001341E-2</v>
      </c>
      <c r="DC13" s="3450">
        <f ca="1">+DD13</f>
        <v>13.015799999999999</v>
      </c>
      <c r="DD13" s="3456">
        <f ca="1">OFFSET(Labour1!$G$217,0,(COLUMN()-6)/6)</f>
        <v>13.015799999999999</v>
      </c>
      <c r="DE13" s="3457"/>
      <c r="DF13" s="3448"/>
      <c r="DG13" s="603" t="s">
        <v>235</v>
      </c>
      <c r="DH13" s="556">
        <f ca="1">+DC13-DC11-DG11</f>
        <v>1.7749999999998507E-2</v>
      </c>
      <c r="DI13" s="3450">
        <f ca="1">+DJ13</f>
        <v>13.800240000000001</v>
      </c>
      <c r="DJ13" s="3456">
        <f ca="1">OFFSET(Labour1!$G$217,0,(COLUMN()-6)/6)</f>
        <v>13.800240000000001</v>
      </c>
      <c r="DK13" s="3457"/>
      <c r="DL13" s="3448"/>
      <c r="DM13" s="603" t="s">
        <v>235</v>
      </c>
      <c r="DN13" s="556">
        <f ca="1">+DI13-DI11-DM11</f>
        <v>2.0620000000000006E-2</v>
      </c>
      <c r="DO13" s="3450">
        <f ca="1">+DP13</f>
        <v>14.621930000000001</v>
      </c>
      <c r="DP13" s="3456">
        <f ca="1">OFFSET(Labour1!$G$217,0,(COLUMN()-6)/6)</f>
        <v>14.621930000000001</v>
      </c>
      <c r="DQ13" s="3457"/>
      <c r="DR13" s="3448"/>
      <c r="DS13" s="603" t="s">
        <v>235</v>
      </c>
      <c r="DT13" s="556">
        <f ca="1">+DO13-DO11-DS11</f>
        <v>1.6000000000002883E-2</v>
      </c>
      <c r="DU13" s="3450">
        <f ca="1">+DV13</f>
        <v>15.65227</v>
      </c>
      <c r="DV13" s="3456">
        <f ca="1">OFFSET(Labour1!$G$217,0,(COLUMN()-6)/6)</f>
        <v>15.65227</v>
      </c>
      <c r="DW13" s="3457"/>
      <c r="DX13" s="3448"/>
      <c r="DY13" s="603" t="s">
        <v>235</v>
      </c>
      <c r="DZ13" s="556">
        <f ca="1">+DU13-DU11-DY11</f>
        <v>1.5990000000000948E-2</v>
      </c>
      <c r="EA13" s="3450">
        <f ca="1">+EB13</f>
        <v>16.892139999999998</v>
      </c>
      <c r="EB13" s="3456">
        <f ca="1">OFFSET(Labour1!$G$217,0,(COLUMN()-6)/6)</f>
        <v>16.892139999999998</v>
      </c>
      <c r="EC13" s="3457"/>
      <c r="ED13" s="3448"/>
      <c r="EE13" s="603" t="s">
        <v>235</v>
      </c>
      <c r="EF13" s="556">
        <f ca="1">+EA13-EA11-EE11</f>
        <v>1.0069999999998316E-2</v>
      </c>
      <c r="EG13" s="3450">
        <f ca="1">+EH13</f>
        <v>18.449630000000003</v>
      </c>
      <c r="EH13" s="3456">
        <f ca="1">OFFSET(Labour1!$G$217,0,(COLUMN()-6)/6)</f>
        <v>18.449630000000003</v>
      </c>
      <c r="EI13" s="3457"/>
      <c r="EJ13" s="3448"/>
      <c r="EK13" s="603" t="s">
        <v>235</v>
      </c>
      <c r="EL13" s="556">
        <f ca="1">+EG13-EG11-EK11</f>
        <v>0</v>
      </c>
      <c r="EM13" s="3450">
        <f ca="1">+EN13</f>
        <v>19.549555182988733</v>
      </c>
      <c r="EN13" s="3456">
        <f ca="1">OFFSET(Labour1!$G$217,0,(COLUMN()-6)/6)</f>
        <v>19.549555182988733</v>
      </c>
      <c r="EO13" s="3457"/>
      <c r="EP13" s="3448"/>
      <c r="EQ13" s="603" t="s">
        <v>235</v>
      </c>
      <c r="ER13" s="556">
        <f ca="1">+EM13-EM11-EQ11</f>
        <v>0</v>
      </c>
      <c r="ES13" s="3450">
        <f ca="1">+ET13</f>
        <v>20.686003495864497</v>
      </c>
      <c r="ET13" s="3456">
        <f ca="1">OFFSET(Labour1!$G$217,0,(COLUMN()-6)/6)</f>
        <v>20.686003495864497</v>
      </c>
      <c r="EU13" s="3457"/>
      <c r="EV13" s="3448"/>
      <c r="EW13" s="603" t="s">
        <v>235</v>
      </c>
      <c r="EX13" s="556">
        <f ca="1">+ES13-ES11-EW11</f>
        <v>0</v>
      </c>
    </row>
    <row r="14" spans="1:154" s="558" customFormat="1">
      <c r="B14" s="564"/>
      <c r="C14" s="565"/>
      <c r="D14" s="566" t="s">
        <v>1379</v>
      </c>
      <c r="E14" s="1193"/>
      <c r="F14" s="1188">
        <f ca="1">OFFSET(Labour1!$G$137,0,(COLUMN()-6)/6)</f>
        <v>2.3582899999999998</v>
      </c>
      <c r="G14" s="1194"/>
      <c r="H14" s="1195"/>
      <c r="I14" s="1195"/>
      <c r="J14" s="3441"/>
      <c r="K14" s="1193"/>
      <c r="L14" s="1188">
        <f ca="1">OFFSET(Labour1!$G$137,0,(COLUMN()-6)/6)</f>
        <v>2.931</v>
      </c>
      <c r="M14" s="1194"/>
      <c r="N14" s="1195"/>
      <c r="O14" s="1195"/>
      <c r="P14" s="3441"/>
      <c r="Q14" s="1193"/>
      <c r="R14" s="1188">
        <f ca="1">OFFSET(Labour1!$G$137,0,(COLUMN()-6)/6)</f>
        <v>3.52176</v>
      </c>
      <c r="S14" s="1194"/>
      <c r="T14" s="1195"/>
      <c r="U14" s="1195"/>
      <c r="V14" s="3441"/>
      <c r="W14" s="1193"/>
      <c r="X14" s="1188">
        <f ca="1">OFFSET(Labour1!$G$137,0,(COLUMN()-6)/6)</f>
        <v>4.2111899999999993</v>
      </c>
      <c r="Y14" s="1194"/>
      <c r="Z14" s="1195"/>
      <c r="AA14" s="1195"/>
      <c r="AB14" s="3441"/>
      <c r="AC14" s="1193"/>
      <c r="AD14" s="1188">
        <f ca="1">OFFSET(Labour1!$G$137,0,(COLUMN()-6)/6)</f>
        <v>4.2784300000000002</v>
      </c>
      <c r="AE14" s="1194"/>
      <c r="AF14" s="1195"/>
      <c r="AG14" s="1195"/>
      <c r="AH14" s="3441"/>
      <c r="AI14" s="1193"/>
      <c r="AJ14" s="1188">
        <f ca="1">OFFSET(Labour1!$G$137,0,(COLUMN()-6)/6)</f>
        <v>4.1073300000000001</v>
      </c>
      <c r="AK14" s="1194"/>
      <c r="AL14" s="1195"/>
      <c r="AM14" s="1195"/>
      <c r="AN14" s="3441"/>
      <c r="AO14" s="1193"/>
      <c r="AP14" s="1188">
        <f ca="1">OFFSET(Labour1!$G$137,0,(COLUMN()-6)/6)</f>
        <v>4.2849700000000004</v>
      </c>
      <c r="AQ14" s="1194"/>
      <c r="AR14" s="1195"/>
      <c r="AS14" s="1195"/>
      <c r="AT14" s="3441"/>
      <c r="AU14" s="1193"/>
      <c r="AV14" s="1188">
        <f ca="1">OFFSET(Labour1!$G$137,0,(COLUMN()-6)/6)</f>
        <v>4.6896599999999999</v>
      </c>
      <c r="AW14" s="1194"/>
      <c r="AX14" s="1195"/>
      <c r="AY14" s="1195"/>
      <c r="AZ14" s="3441"/>
      <c r="BA14" s="1193"/>
      <c r="BB14" s="1188">
        <f ca="1">OFFSET(Labour1!$G$137,0,(COLUMN()-6)/6)</f>
        <v>5.2108100000000004</v>
      </c>
      <c r="BC14" s="1194"/>
      <c r="BD14" s="1195"/>
      <c r="BE14" s="1195"/>
      <c r="BF14" s="3441"/>
      <c r="BG14" s="1193"/>
      <c r="BH14" s="1188">
        <f ca="1">OFFSET(Labour1!$G$137,0,(COLUMN()-6)/6)</f>
        <v>5.9780600000000002</v>
      </c>
      <c r="BI14" s="1194"/>
      <c r="BJ14" s="1195"/>
      <c r="BK14" s="1195"/>
      <c r="BL14" s="3441"/>
      <c r="BM14" s="1193"/>
      <c r="BN14" s="1188">
        <f ca="1">OFFSET(Labour1!$G$137,0,(COLUMN()-6)/6)</f>
        <v>6.9432299999999998</v>
      </c>
      <c r="BO14" s="1194"/>
      <c r="BP14" s="1195"/>
      <c r="BQ14" s="1195"/>
      <c r="BR14" s="3441"/>
      <c r="BS14" s="1193"/>
      <c r="BT14" s="1188">
        <f ca="1">OFFSET(Labour1!$G$137,0,(COLUMN()-6)/6)</f>
        <v>8.337159999999999</v>
      </c>
      <c r="BU14" s="1194"/>
      <c r="BV14" s="1195"/>
      <c r="BW14" s="1195"/>
      <c r="BX14" s="3441"/>
      <c r="BY14" s="1193"/>
      <c r="BZ14" s="1188">
        <f ca="1">OFFSET(Labour1!$G$137,0,(COLUMN()-6)/6)</f>
        <v>9.8237199999999998</v>
      </c>
      <c r="CA14" s="1194"/>
      <c r="CB14" s="1195"/>
      <c r="CC14" s="1195"/>
      <c r="CD14" s="3441"/>
      <c r="CE14" s="1193"/>
      <c r="CF14" s="1188">
        <f ca="1">OFFSET(Labour1!$G$137,0,(COLUMN()-6)/6)</f>
        <v>11.29602</v>
      </c>
      <c r="CG14" s="1194"/>
      <c r="CH14" s="1195"/>
      <c r="CI14" s="1195"/>
      <c r="CJ14" s="3441"/>
      <c r="CK14" s="1193"/>
      <c r="CL14" s="1188">
        <f ca="1">OFFSET(Labour1!$G$137,0,(COLUMN()-6)/6)</f>
        <v>9.3578299999999999</v>
      </c>
      <c r="CM14" s="1194"/>
      <c r="CN14" s="1195"/>
      <c r="CO14" s="1195"/>
      <c r="CP14" s="3441"/>
      <c r="CQ14" s="1193"/>
      <c r="CR14" s="1188">
        <f ca="1">OFFSET(Labour1!$G$137,0,(COLUMN()-6)/6)</f>
        <v>9.2319500000000012</v>
      </c>
      <c r="CS14" s="1194"/>
      <c r="CT14" s="1195"/>
      <c r="CU14" s="1195"/>
      <c r="CV14" s="3441"/>
      <c r="CW14" s="1193"/>
      <c r="CX14" s="1188">
        <f ca="1">OFFSET(Labour1!$G$137,0,(COLUMN()-6)/6)</f>
        <v>9.8397999999999985</v>
      </c>
      <c r="CY14" s="1194"/>
      <c r="CZ14" s="1195"/>
      <c r="DA14" s="1195"/>
      <c r="DB14" s="3441"/>
      <c r="DC14" s="1193"/>
      <c r="DD14" s="1188">
        <f ca="1">OFFSET(Labour1!$G$137,0,(COLUMN()-6)/6)</f>
        <v>10.295219999999999</v>
      </c>
      <c r="DE14" s="1194"/>
      <c r="DF14" s="1195"/>
      <c r="DG14" s="1195"/>
      <c r="DH14" s="3441"/>
      <c r="DI14" s="1193"/>
      <c r="DJ14" s="1188">
        <f ca="1">OFFSET(Labour1!$G$137,0,(COLUMN()-6)/6)</f>
        <v>10.88761</v>
      </c>
      <c r="DK14" s="1194"/>
      <c r="DL14" s="1195"/>
      <c r="DM14" s="1195"/>
      <c r="DN14" s="3441"/>
      <c r="DO14" s="1193"/>
      <c r="DP14" s="1188">
        <f ca="1">OFFSET(Labour1!$G$137,0,(COLUMN()-6)/6)</f>
        <v>11.518120000000001</v>
      </c>
      <c r="DQ14" s="1194"/>
      <c r="DR14" s="1195"/>
      <c r="DS14" s="1195"/>
      <c r="DT14" s="3441"/>
      <c r="DU14" s="1193"/>
      <c r="DV14" s="1188">
        <f ca="1">OFFSET(Labour1!$G$137,0,(COLUMN()-6)/6)</f>
        <v>12.323559999999999</v>
      </c>
      <c r="DW14" s="1194"/>
      <c r="DX14" s="1195"/>
      <c r="DY14" s="1195"/>
      <c r="DZ14" s="3441"/>
      <c r="EA14" s="1193"/>
      <c r="EB14" s="1188">
        <f ca="1">OFFSET(Labour1!$G$137,0,(COLUMN()-6)/6)</f>
        <v>13.25775</v>
      </c>
      <c r="EC14" s="1194"/>
      <c r="ED14" s="1195"/>
      <c r="EE14" s="1195"/>
      <c r="EF14" s="3441"/>
      <c r="EG14" s="1193"/>
      <c r="EH14" s="1188">
        <f ca="1">OFFSET(Labour1!$G$137,0,(COLUMN()-6)/6)</f>
        <v>14.362240126594433</v>
      </c>
      <c r="EI14" s="1194"/>
      <c r="EJ14" s="1195"/>
      <c r="EK14" s="1195"/>
      <c r="EL14" s="3441"/>
      <c r="EM14" s="1193"/>
      <c r="EN14" s="1188">
        <f ca="1">OFFSET(Labour1!$G$137,0,(COLUMN()-6)/6)</f>
        <v>15.177575242380211</v>
      </c>
      <c r="EO14" s="1194"/>
      <c r="EP14" s="1195"/>
      <c r="EQ14" s="1195"/>
      <c r="ER14" s="3441"/>
      <c r="ES14" s="1193"/>
      <c r="ET14" s="1188">
        <f ca="1">OFFSET(Labour1!$G$137,0,(COLUMN()-6)/6)</f>
        <v>16.047371297764418</v>
      </c>
      <c r="EU14" s="1194"/>
      <c r="EV14" s="1195"/>
      <c r="EW14" s="1195"/>
      <c r="EX14" s="3441"/>
    </row>
    <row r="15" spans="1:154" s="558" customFormat="1" ht="13.5" thickBot="1">
      <c r="B15" s="564"/>
      <c r="C15" s="565"/>
      <c r="D15" s="566" t="s">
        <v>1380</v>
      </c>
      <c r="E15" s="1193"/>
      <c r="F15" s="1189">
        <f ca="1">+F13-F14</f>
        <v>0.54321000000000019</v>
      </c>
      <c r="G15" s="1194"/>
      <c r="H15" s="1195"/>
      <c r="I15" s="1195"/>
      <c r="J15" s="3441"/>
      <c r="K15" s="1193"/>
      <c r="L15" s="1189">
        <f ca="1">+L13-L14</f>
        <v>0.72317000000000009</v>
      </c>
      <c r="M15" s="1194"/>
      <c r="N15" s="1195"/>
      <c r="O15" s="1195"/>
      <c r="P15" s="3441"/>
      <c r="Q15" s="1193"/>
      <c r="R15" s="1189">
        <f ca="1">+R13-R14</f>
        <v>0.94988999999999946</v>
      </c>
      <c r="S15" s="1194"/>
      <c r="T15" s="1195"/>
      <c r="U15" s="1195"/>
      <c r="V15" s="3441"/>
      <c r="W15" s="1193"/>
      <c r="X15" s="1189">
        <f ca="1">+X13-X14</f>
        <v>1.1341300000000007</v>
      </c>
      <c r="Y15" s="1194"/>
      <c r="Z15" s="1195"/>
      <c r="AA15" s="1195"/>
      <c r="AB15" s="3441"/>
      <c r="AC15" s="1193"/>
      <c r="AD15" s="1189">
        <f ca="1">+AD13-AD14</f>
        <v>1.12479</v>
      </c>
      <c r="AE15" s="1194"/>
      <c r="AF15" s="1195"/>
      <c r="AG15" s="1195"/>
      <c r="AH15" s="3441"/>
      <c r="AI15" s="1193"/>
      <c r="AJ15" s="1189">
        <f ca="1">+AJ13-AJ14</f>
        <v>1.1280799999999997</v>
      </c>
      <c r="AK15" s="1194"/>
      <c r="AL15" s="1195"/>
      <c r="AM15" s="1195"/>
      <c r="AN15" s="3441"/>
      <c r="AO15" s="1193"/>
      <c r="AP15" s="1189">
        <f ca="1">+AP13-AP14</f>
        <v>1.1358599999999992</v>
      </c>
      <c r="AQ15" s="1194"/>
      <c r="AR15" s="1195"/>
      <c r="AS15" s="1195"/>
      <c r="AT15" s="3441"/>
      <c r="AU15" s="1193"/>
      <c r="AV15" s="1189">
        <f ca="1">+AV13-AV14</f>
        <v>1.1770699999999996</v>
      </c>
      <c r="AW15" s="1194"/>
      <c r="AX15" s="1195"/>
      <c r="AY15" s="1195"/>
      <c r="AZ15" s="3441"/>
      <c r="BA15" s="1193"/>
      <c r="BB15" s="1189">
        <f ca="1">+BB13-BB14</f>
        <v>1.2726199999999999</v>
      </c>
      <c r="BC15" s="1194"/>
      <c r="BD15" s="1195"/>
      <c r="BE15" s="1195"/>
      <c r="BF15" s="3441"/>
      <c r="BG15" s="1193"/>
      <c r="BH15" s="1189">
        <f ca="1">+BH13-BH14</f>
        <v>1.4763899999999994</v>
      </c>
      <c r="BI15" s="1194"/>
      <c r="BJ15" s="1195"/>
      <c r="BK15" s="1195"/>
      <c r="BL15" s="3441"/>
      <c r="BM15" s="1193"/>
      <c r="BN15" s="1189">
        <f ca="1">+BN13-BN14</f>
        <v>1.7623499999999996</v>
      </c>
      <c r="BO15" s="1194"/>
      <c r="BP15" s="1195"/>
      <c r="BQ15" s="1195"/>
      <c r="BR15" s="3441"/>
      <c r="BS15" s="1193"/>
      <c r="BT15" s="1189">
        <f ca="1">+BT13-BT14</f>
        <v>2.1425400000000021</v>
      </c>
      <c r="BU15" s="1194"/>
      <c r="BV15" s="1195"/>
      <c r="BW15" s="1195"/>
      <c r="BX15" s="3441"/>
      <c r="BY15" s="1193"/>
      <c r="BZ15" s="1189">
        <f ca="1">+BZ13-BZ14</f>
        <v>2.6613500000000005</v>
      </c>
      <c r="CA15" s="1194"/>
      <c r="CB15" s="1195"/>
      <c r="CC15" s="1195"/>
      <c r="CD15" s="3441"/>
      <c r="CE15" s="1193"/>
      <c r="CF15" s="1189">
        <f ca="1">+CF13-CF14</f>
        <v>3.1857199999999999</v>
      </c>
      <c r="CG15" s="1194"/>
      <c r="CH15" s="1195"/>
      <c r="CI15" s="1195"/>
      <c r="CJ15" s="3441"/>
      <c r="CK15" s="1193"/>
      <c r="CL15" s="1189">
        <f ca="1">+CL13-CL14</f>
        <v>2.6654500000000017</v>
      </c>
      <c r="CM15" s="1194"/>
      <c r="CN15" s="1195"/>
      <c r="CO15" s="1195"/>
      <c r="CP15" s="3441"/>
      <c r="CQ15" s="1193"/>
      <c r="CR15" s="1189">
        <f ca="1">+CR13-CR14</f>
        <v>2.4507899999999978</v>
      </c>
      <c r="CS15" s="1194"/>
      <c r="CT15" s="1195"/>
      <c r="CU15" s="1195"/>
      <c r="CV15" s="3441"/>
      <c r="CW15" s="1193"/>
      <c r="CX15" s="1189">
        <f ca="1">+CX13-CX14</f>
        <v>2.6307100000000023</v>
      </c>
      <c r="CY15" s="1194"/>
      <c r="CZ15" s="1195"/>
      <c r="DA15" s="1195"/>
      <c r="DB15" s="3441"/>
      <c r="DC15" s="1193"/>
      <c r="DD15" s="1189">
        <f ca="1">+DD13-DD14</f>
        <v>2.72058</v>
      </c>
      <c r="DE15" s="1194"/>
      <c r="DF15" s="1195"/>
      <c r="DG15" s="1195"/>
      <c r="DH15" s="3441"/>
      <c r="DI15" s="1193"/>
      <c r="DJ15" s="1189">
        <f ca="1">+DJ13-DJ14</f>
        <v>2.9126300000000001</v>
      </c>
      <c r="DK15" s="1194"/>
      <c r="DL15" s="1195"/>
      <c r="DM15" s="1195"/>
      <c r="DN15" s="3441"/>
      <c r="DO15" s="1193"/>
      <c r="DP15" s="1189">
        <f ca="1">+DP13-DP14</f>
        <v>3.1038099999999993</v>
      </c>
      <c r="DQ15" s="1194"/>
      <c r="DR15" s="1195"/>
      <c r="DS15" s="1195"/>
      <c r="DT15" s="3441"/>
      <c r="DU15" s="1193"/>
      <c r="DV15" s="1189">
        <f ca="1">+DV13-DV14</f>
        <v>3.3287100000000009</v>
      </c>
      <c r="DW15" s="1194"/>
      <c r="DX15" s="1195"/>
      <c r="DY15" s="1195"/>
      <c r="DZ15" s="3441"/>
      <c r="EA15" s="1193"/>
      <c r="EB15" s="1189">
        <f ca="1">+EB13-EB14</f>
        <v>3.634389999999998</v>
      </c>
      <c r="EC15" s="1194"/>
      <c r="ED15" s="1195"/>
      <c r="EE15" s="1195"/>
      <c r="EF15" s="3441"/>
      <c r="EG15" s="1193"/>
      <c r="EH15" s="1189">
        <f ca="1">+EH13-EH14</f>
        <v>4.08738987340557</v>
      </c>
      <c r="EI15" s="1194"/>
      <c r="EJ15" s="1195"/>
      <c r="EK15" s="1195"/>
      <c r="EL15" s="3441"/>
      <c r="EM15" s="1193"/>
      <c r="EN15" s="1189">
        <f ca="1">+EN13-EN14</f>
        <v>4.3719799406085222</v>
      </c>
      <c r="EO15" s="1194"/>
      <c r="EP15" s="1195"/>
      <c r="EQ15" s="1195"/>
      <c r="ER15" s="3441"/>
      <c r="ES15" s="1193"/>
      <c r="ET15" s="1189">
        <f ca="1">+ET13-ET14</f>
        <v>4.6386321981000798</v>
      </c>
      <c r="EU15" s="1194"/>
      <c r="EV15" s="1195"/>
      <c r="EW15" s="1195"/>
      <c r="EX15" s="3441"/>
    </row>
    <row r="16" spans="1:154" ht="12.75" customHeight="1">
      <c r="A16" s="553"/>
      <c r="B16" s="600" t="s">
        <v>1767</v>
      </c>
      <c r="C16" s="3779" t="s">
        <v>1381</v>
      </c>
      <c r="D16" s="3780"/>
      <c r="E16" s="3458">
        <f ca="1">+F16+G16+H16</f>
        <v>0.93413999999999997</v>
      </c>
      <c r="F16" s="3448"/>
      <c r="G16" s="3448"/>
      <c r="H16" s="3449">
        <f ca="1">OFFSET(Sector1!$G$13,0,(COLUMN()-8)/6)</f>
        <v>0.93413999999999997</v>
      </c>
      <c r="I16" s="3449">
        <f ca="1">OFFSET(Sector1!$G$12,0,(COLUMN()-9)/6)</f>
        <v>0</v>
      </c>
      <c r="J16" s="556">
        <f ca="1">+E16-E9-E6+I16</f>
        <v>0</v>
      </c>
      <c r="K16" s="3458">
        <f ca="1">+L16+M16+N16</f>
        <v>1.1237200000000001</v>
      </c>
      <c r="L16" s="3448"/>
      <c r="M16" s="3448"/>
      <c r="N16" s="3449">
        <f ca="1">OFFSET(Sector1!$G$13,0,(COLUMN()-8)/6)</f>
        <v>1.1237200000000001</v>
      </c>
      <c r="O16" s="3449">
        <f ca="1">OFFSET(Sector1!$G$12,0,(COLUMN()-9)/6)</f>
        <v>0</v>
      </c>
      <c r="P16" s="556">
        <f ca="1">+K16-K9-K6+O16</f>
        <v>0</v>
      </c>
      <c r="Q16" s="3458">
        <f ca="1">+R16+S16+T16</f>
        <v>1.58561</v>
      </c>
      <c r="R16" s="3448"/>
      <c r="S16" s="3448"/>
      <c r="T16" s="3449">
        <f ca="1">OFFSET(Sector1!$G$13,0,(COLUMN()-8)/6)</f>
        <v>1.58561</v>
      </c>
      <c r="U16" s="3449">
        <f ca="1">OFFSET(Sector1!$G$12,0,(COLUMN()-9)/6)</f>
        <v>0</v>
      </c>
      <c r="V16" s="556">
        <f ca="1">+Q16-Q9-Q6+U16</f>
        <v>-9.9999999998434674E-6</v>
      </c>
      <c r="W16" s="3458">
        <f ca="1">+X16+Y16+Z16</f>
        <v>1.7950299999999999</v>
      </c>
      <c r="X16" s="3448"/>
      <c r="Y16" s="3448"/>
      <c r="Z16" s="3449">
        <f ca="1">OFFSET(Sector1!$G$13,0,(COLUMN()-8)/6)</f>
        <v>1.7950299999999999</v>
      </c>
      <c r="AA16" s="3449">
        <f ca="1">OFFSET(Sector1!$G$12,0,(COLUMN()-9)/6)</f>
        <v>0</v>
      </c>
      <c r="AB16" s="556">
        <f ca="1">+W16-W9-W6+AA16</f>
        <v>-2.2204460492503131E-16</v>
      </c>
      <c r="AC16" s="3458">
        <f ca="1">+AD16+AE16+AF16</f>
        <v>1.74356</v>
      </c>
      <c r="AD16" s="3448"/>
      <c r="AE16" s="3448"/>
      <c r="AF16" s="3449">
        <f ca="1">OFFSET(Sector1!$G$13,0,(COLUMN()-8)/6)</f>
        <v>1.74356</v>
      </c>
      <c r="AG16" s="3449">
        <f ca="1">OFFSET(Sector1!$G$12,0,(COLUMN()-9)/6)</f>
        <v>0</v>
      </c>
      <c r="AH16" s="556">
        <f ca="1">+AC16-AC9-AC6+AG16</f>
        <v>0</v>
      </c>
      <c r="AI16" s="3458">
        <f ca="1">+AJ16+AK16+AL16</f>
        <v>1.6726099999999999</v>
      </c>
      <c r="AJ16" s="3448"/>
      <c r="AK16" s="3448"/>
      <c r="AL16" s="3449">
        <f ca="1">OFFSET(Sector1!$G$13,0,(COLUMN()-8)/6)</f>
        <v>1.6726099999999999</v>
      </c>
      <c r="AM16" s="3449">
        <f ca="1">OFFSET(Sector1!$G$12,0,(COLUMN()-9)/6)</f>
        <v>0</v>
      </c>
      <c r="AN16" s="556">
        <f ca="1">+AI16-AI9-AI6+AM16</f>
        <v>9.9999999998434674E-6</v>
      </c>
      <c r="AO16" s="3458">
        <f ca="1">+AP16+AQ16+AR16</f>
        <v>1.72933</v>
      </c>
      <c r="AP16" s="3448"/>
      <c r="AQ16" s="3448"/>
      <c r="AR16" s="3449">
        <f ca="1">OFFSET(Sector1!$G$13,0,(COLUMN()-8)/6)</f>
        <v>1.72933</v>
      </c>
      <c r="AS16" s="3449">
        <f ca="1">OFFSET(Sector1!$G$12,0,(COLUMN()-9)/6)</f>
        <v>0</v>
      </c>
      <c r="AT16" s="556">
        <f ca="1">+AO16-AO9-AO6+AS16</f>
        <v>2.2204460492503131E-16</v>
      </c>
      <c r="AU16" s="3458">
        <f ca="1">+AV16+AW16+AX16</f>
        <v>1.8834200000000001</v>
      </c>
      <c r="AV16" s="3448"/>
      <c r="AW16" s="3448"/>
      <c r="AX16" s="3449">
        <f ca="1">OFFSET(Sector1!$G$13,0,(COLUMN()-8)/6)</f>
        <v>1.8834200000000001</v>
      </c>
      <c r="AY16" s="3449">
        <f ca="1">OFFSET(Sector1!$G$12,0,(COLUMN()-9)/6)</f>
        <v>0</v>
      </c>
      <c r="AZ16" s="556">
        <f ca="1">+AU16-AU9-AU6+AY16</f>
        <v>-1.0000000000065512E-5</v>
      </c>
      <c r="BA16" s="3458">
        <f ca="1">+BB16+BC16+BD16</f>
        <v>1.94069</v>
      </c>
      <c r="BB16" s="3448"/>
      <c r="BC16" s="3448"/>
      <c r="BD16" s="3449">
        <f ca="1">OFFSET(Sector1!$G$13,0,(COLUMN()-8)/6)</f>
        <v>1.94069</v>
      </c>
      <c r="BE16" s="3449">
        <f ca="1">OFFSET(Sector1!$G$12,0,(COLUMN()-9)/6)</f>
        <v>0</v>
      </c>
      <c r="BF16" s="556">
        <f ca="1">+BA16-BA9-BA6+BE16</f>
        <v>-1.0000000000065512E-5</v>
      </c>
      <c r="BG16" s="3458">
        <f ca="1">+BH16+BI16+BJ16</f>
        <v>2.0387400000000002</v>
      </c>
      <c r="BH16" s="3448"/>
      <c r="BI16" s="3448"/>
      <c r="BJ16" s="3449">
        <f ca="1">OFFSET(Sector1!$G$13,0,(COLUMN()-8)/6)</f>
        <v>2.0387400000000002</v>
      </c>
      <c r="BK16" s="3449">
        <f ca="1">OFFSET(Sector1!$G$12,0,(COLUMN()-9)/6)</f>
        <v>3.4464782205746058E-2</v>
      </c>
      <c r="BL16" s="556">
        <f ca="1">+BG16-BG9-BG6+BK16</f>
        <v>1.5324782205746346E-2</v>
      </c>
      <c r="BM16" s="3458">
        <f ca="1">+BN16+BO16+BP16</f>
        <v>2.3545599999999998</v>
      </c>
      <c r="BN16" s="3448"/>
      <c r="BO16" s="3448"/>
      <c r="BP16" s="3449">
        <f ca="1">OFFSET(Sector1!$G$13,0,(COLUMN()-8)/6)</f>
        <v>2.3545599999999998</v>
      </c>
      <c r="BQ16" s="3449" t="e">
        <f ca="1">OFFSET(Sector1!$G$12,0,(COLUMN()-9)/6)</f>
        <v>#VALUE!</v>
      </c>
      <c r="BR16" s="556" t="e">
        <f ca="1">+BM16-BM9-BM6+BQ16</f>
        <v>#VALUE!</v>
      </c>
      <c r="BS16" s="3458">
        <f ca="1">+BT16+BU16+BV16</f>
        <v>2.7234699999999998</v>
      </c>
      <c r="BT16" s="3448"/>
      <c r="BU16" s="3448"/>
      <c r="BV16" s="3449">
        <f ca="1">OFFSET(Sector1!$G$13,0,(COLUMN()-8)/6)</f>
        <v>2.7234699999999998</v>
      </c>
      <c r="BW16" s="3449" t="e">
        <f ca="1">OFFSET(Sector1!$G$12,0,(COLUMN()-9)/6)</f>
        <v>#VALUE!</v>
      </c>
      <c r="BX16" s="556" t="e">
        <f ca="1">+BS16-BS9-BS6+BW16</f>
        <v>#VALUE!</v>
      </c>
      <c r="BY16" s="3458">
        <f ca="1">+BZ16+CA16+CB16</f>
        <v>3.3773499999999999</v>
      </c>
      <c r="BZ16" s="3448"/>
      <c r="CA16" s="3448"/>
      <c r="CB16" s="3449">
        <f ca="1">OFFSET(Sector1!$G$13,0,(COLUMN()-8)/6)</f>
        <v>3.3773499999999999</v>
      </c>
      <c r="CC16" s="3449" t="e">
        <f ca="1">OFFSET(Sector1!$G$12,0,(COLUMN()-9)/6)</f>
        <v>#VALUE!</v>
      </c>
      <c r="CD16" s="556" t="e">
        <f ca="1">+BY16-BY9-BY6+CC16</f>
        <v>#VALUE!</v>
      </c>
      <c r="CE16" s="3458">
        <f ca="1">+CF16+CG16+CH16</f>
        <v>3.79074</v>
      </c>
      <c r="CF16" s="3448"/>
      <c r="CG16" s="3448"/>
      <c r="CH16" s="3449">
        <f ca="1">OFFSET(Sector1!$G$13,0,(COLUMN()-8)/6)</f>
        <v>3.79074</v>
      </c>
      <c r="CI16" s="3449">
        <f ca="1">OFFSET(Sector1!$G$12,0,(COLUMN()-9)/6)</f>
        <v>0.11799999999999999</v>
      </c>
      <c r="CJ16" s="556">
        <f ca="1">+CE16-CE9-CE6+CI16</f>
        <v>2.2670000000000301E-2</v>
      </c>
      <c r="CK16" s="3458">
        <f ca="1">+CL16+CM16+CN16</f>
        <v>3.1144400000000001</v>
      </c>
      <c r="CL16" s="3448"/>
      <c r="CM16" s="3448"/>
      <c r="CN16" s="3449">
        <f ca="1">OFFSET(Sector1!$G$13,0,(COLUMN()-8)/6)</f>
        <v>3.1144400000000001</v>
      </c>
      <c r="CO16" s="3449">
        <f ca="1">OFFSET(Sector1!$G$12,0,(COLUMN()-9)/6)</f>
        <v>7.9000000000000001E-2</v>
      </c>
      <c r="CP16" s="556">
        <f ca="1">+CK16-CK9-CK6+CO16</f>
        <v>1.9500000000000559E-2</v>
      </c>
      <c r="CQ16" s="3458">
        <f ca="1">+CR16+CS16+CT16</f>
        <v>3.3192600000000003</v>
      </c>
      <c r="CR16" s="3448"/>
      <c r="CS16" s="3448"/>
      <c r="CT16" s="3449">
        <f ca="1">OFFSET(Sector1!$G$13,0,(COLUMN()-8)/6)</f>
        <v>3.3192600000000003</v>
      </c>
      <c r="CU16" s="3449">
        <f ca="1">OFFSET(Sector1!$G$12,0,(COLUMN()-9)/6)</f>
        <v>8.7999999999999995E-2</v>
      </c>
      <c r="CV16" s="556">
        <f ca="1">+CQ16-CQ9-CQ6+CU16</f>
        <v>3.4140000000000198E-2</v>
      </c>
      <c r="CW16" s="3458">
        <f ca="1">+CX16+CY16+CZ16</f>
        <v>3.6286</v>
      </c>
      <c r="CX16" s="3448"/>
      <c r="CY16" s="3448"/>
      <c r="CZ16" s="3449">
        <f ca="1">OFFSET(Sector1!$G$13,0,(COLUMN()-8)/6)</f>
        <v>3.6286</v>
      </c>
      <c r="DA16" s="3449">
        <f ca="1">OFFSET(Sector1!$G$12,0,(COLUMN()-9)/6)</f>
        <v>9.1999999999999998E-2</v>
      </c>
      <c r="DB16" s="556">
        <f ca="1">+CW16-CW9-CW6+DA16</f>
        <v>3.0470000000000136E-2</v>
      </c>
      <c r="DC16" s="3458">
        <f ca="1">+DD16+DE16+DF16</f>
        <v>3.7240700000000002</v>
      </c>
      <c r="DD16" s="3448"/>
      <c r="DE16" s="3448"/>
      <c r="DF16" s="3449">
        <f ca="1">OFFSET(Sector1!$G$13,0,(COLUMN()-8)/6)</f>
        <v>3.7240700000000002</v>
      </c>
      <c r="DG16" s="3449">
        <f ca="1">OFFSET(Sector1!$G$12,0,(COLUMN()-9)/6)</f>
        <v>8.6999999999999994E-2</v>
      </c>
      <c r="DH16" s="556">
        <f ca="1">+DC16-DC9-DC6+DG16</f>
        <v>2.2030000000000244E-2</v>
      </c>
      <c r="DI16" s="3458">
        <f ca="1">+DJ16+DK16+DL16</f>
        <v>3.8413400000000002</v>
      </c>
      <c r="DJ16" s="3448"/>
      <c r="DK16" s="3448"/>
      <c r="DL16" s="3449">
        <f ca="1">OFFSET(Sector1!$G$13,0,(COLUMN()-8)/6)</f>
        <v>3.8413400000000002</v>
      </c>
      <c r="DM16" s="3449">
        <f ca="1">OFFSET(Sector1!$G$12,0,(COLUMN()-9)/6)</f>
        <v>0.1</v>
      </c>
      <c r="DN16" s="556">
        <f ca="1">+DI16-DI9-DI6+DM16</f>
        <v>2.5170000000000053E-2</v>
      </c>
      <c r="DO16" s="3458">
        <f ca="1">+DP16+DQ16+DR16</f>
        <v>4.0795399999999997</v>
      </c>
      <c r="DP16" s="3448"/>
      <c r="DQ16" s="3448"/>
      <c r="DR16" s="3449">
        <f ca="1">OFFSET(Sector1!$G$13,0,(COLUMN()-8)/6)</f>
        <v>4.0795399999999997</v>
      </c>
      <c r="DS16" s="3449">
        <f ca="1">OFFSET(Sector1!$G$12,0,(COLUMN()-9)/6)</f>
        <v>0.10299999999999999</v>
      </c>
      <c r="DT16" s="556">
        <f ca="1">+DO16-DO9-DO6+DS16</f>
        <v>1.5949999999999923E-2</v>
      </c>
      <c r="DU16" s="3458">
        <f ca="1">+DV16+DW16+DX16</f>
        <v>4.3436300000000001</v>
      </c>
      <c r="DV16" s="3448"/>
      <c r="DW16" s="3448"/>
      <c r="DX16" s="3449">
        <f ca="1">OFFSET(Sector1!$G$13,0,(COLUMN()-8)/6)</f>
        <v>4.3436300000000001</v>
      </c>
      <c r="DY16" s="3449">
        <f ca="1">OFFSET(Sector1!$G$12,0,(COLUMN()-9)/6)</f>
        <v>0.123</v>
      </c>
      <c r="DZ16" s="556">
        <f ca="1">+DU16-DU9-DU6+DY16</f>
        <v>1.2909999999999533E-2</v>
      </c>
      <c r="EA16" s="3458">
        <f ca="1">+EB16+EC16+ED16</f>
        <v>4.5327600000000006</v>
      </c>
      <c r="EB16" s="3448"/>
      <c r="EC16" s="3448"/>
      <c r="ED16" s="3449">
        <f ca="1">OFFSET(Sector1!$G$13,0,(COLUMN()-8)/6)</f>
        <v>4.5327600000000006</v>
      </c>
      <c r="EE16" s="3449">
        <f ca="1">OFFSET(Sector1!$G$12,0,(COLUMN()-9)/6)</f>
        <v>0.112</v>
      </c>
      <c r="EF16" s="556">
        <f ca="1">+EA16-EA9-EA6+EE16</f>
        <v>7.9200000000011622E-3</v>
      </c>
      <c r="EG16" s="3458">
        <f ca="1">+EH16+EI16+EJ16</f>
        <v>4.9279856999999998</v>
      </c>
      <c r="EH16" s="3448"/>
      <c r="EI16" s="3448"/>
      <c r="EJ16" s="3449">
        <f ca="1">OFFSET(Sector1!$G$13,0,(COLUMN()-8)/6)</f>
        <v>4.9279856999999998</v>
      </c>
      <c r="EK16" s="3449">
        <f ca="1">OFFSET(Sector1!$G$12,0,(COLUMN()-9)/6)</f>
        <v>0.11648</v>
      </c>
      <c r="EL16" s="556">
        <f ca="1">+EG16-EG9-EG6+EK16</f>
        <v>-1.3877787807814457E-16</v>
      </c>
      <c r="EM16" s="3458">
        <f ca="1">+EN16+EO16+EP16</f>
        <v>5.2460899270192165</v>
      </c>
      <c r="EN16" s="3448"/>
      <c r="EO16" s="3448"/>
      <c r="EP16" s="3449">
        <f ca="1">OFFSET(Sector1!$G$13,0,(COLUMN()-8)/6)</f>
        <v>5.2460899270192165</v>
      </c>
      <c r="EQ16" s="3449">
        <f ca="1">OFFSET(Sector1!$G$12,0,(COLUMN()-9)/6)</f>
        <v>0.1211392</v>
      </c>
      <c r="ER16" s="556">
        <f ca="1">+EM16-EM9-EM6+EQ16</f>
        <v>8.8817841970012523E-16</v>
      </c>
      <c r="ES16" s="3458">
        <f ca="1">+ET16+EU16+EV16</f>
        <v>5.5409120675982919</v>
      </c>
      <c r="ET16" s="3448"/>
      <c r="EU16" s="3448"/>
      <c r="EV16" s="3449">
        <f ca="1">OFFSET(Sector1!$G$13,0,(COLUMN()-8)/6)</f>
        <v>5.5409120675982919</v>
      </c>
      <c r="EW16" s="3449">
        <f ca="1">OFFSET(Sector1!$G$12,0,(COLUMN()-9)/6)</f>
        <v>0.125984768</v>
      </c>
      <c r="EX16" s="556">
        <f ca="1">+ES16-ES9-ES6+EW16</f>
        <v>-1.2490009027033011E-15</v>
      </c>
    </row>
    <row r="17" spans="1:154" ht="13.5" customHeight="1" thickBot="1">
      <c r="A17" s="553"/>
      <c r="B17" s="600" t="s">
        <v>401</v>
      </c>
      <c r="C17" s="3779" t="s">
        <v>1488</v>
      </c>
      <c r="D17" s="3780"/>
      <c r="E17" s="3458">
        <f ca="1">+F17+G17+H17</f>
        <v>7.9650000000000012E-2</v>
      </c>
      <c r="F17" s="3448"/>
      <c r="G17" s="3448"/>
      <c r="H17" s="3449">
        <f ca="1">OFFSET(Sector1!$G$50,0,(COLUMN()-8)/6)</f>
        <v>7.9650000000000012E-2</v>
      </c>
      <c r="I17" s="3449">
        <f ca="1">OFFSET(Sector1!$G$49,0,(COLUMN()-9)/6)</f>
        <v>0</v>
      </c>
      <c r="J17" s="556">
        <f ca="1">+E17-E10-E7+I17</f>
        <v>1.3877787807814457E-17</v>
      </c>
      <c r="K17" s="3458">
        <f ca="1">+L17+M17+N17</f>
        <v>0.11481</v>
      </c>
      <c r="L17" s="3448"/>
      <c r="M17" s="3448"/>
      <c r="N17" s="3449">
        <f ca="1">OFFSET(Sector1!$G$50,0,(COLUMN()-8)/6)</f>
        <v>0.11481</v>
      </c>
      <c r="O17" s="3449">
        <f ca="1">OFFSET(Sector1!$G$49,0,(COLUMN()-9)/6)</f>
        <v>0</v>
      </c>
      <c r="P17" s="556">
        <f ca="1">+K17-K10-K7+O17</f>
        <v>0</v>
      </c>
      <c r="Q17" s="3458">
        <f ca="1">+R17+S17+T17</f>
        <v>0.10111000000000001</v>
      </c>
      <c r="R17" s="3448"/>
      <c r="S17" s="3448"/>
      <c r="T17" s="3449">
        <f ca="1">OFFSET(Sector1!$G$50,0,(COLUMN()-8)/6)</f>
        <v>0.10111000000000001</v>
      </c>
      <c r="U17" s="3449">
        <f ca="1">OFFSET(Sector1!$G$49,0,(COLUMN()-9)/6)</f>
        <v>0</v>
      </c>
      <c r="V17" s="556">
        <f ca="1">+Q17-Q10-Q7+U17</f>
        <v>0</v>
      </c>
      <c r="W17" s="3458">
        <f ca="1">+X17+Y17+Z17</f>
        <v>0.13661000000000001</v>
      </c>
      <c r="X17" s="3448"/>
      <c r="Y17" s="3448"/>
      <c r="Z17" s="3449">
        <f ca="1">OFFSET(Sector1!$G$50,0,(COLUMN()-8)/6)</f>
        <v>0.13661000000000001</v>
      </c>
      <c r="AA17" s="3449">
        <f ca="1">OFFSET(Sector1!$G$49,0,(COLUMN()-9)/6)</f>
        <v>0</v>
      </c>
      <c r="AB17" s="556">
        <f ca="1">+W17-W10-W7+AA17</f>
        <v>-9.9999999999822453E-6</v>
      </c>
      <c r="AC17" s="3458">
        <f ca="1">+AD17+AE17+AF17</f>
        <v>0.13238999999999998</v>
      </c>
      <c r="AD17" s="3448"/>
      <c r="AE17" s="3448"/>
      <c r="AF17" s="3449">
        <f ca="1">OFFSET(Sector1!$G$50,0,(COLUMN()-8)/6)</f>
        <v>0.13238999999999998</v>
      </c>
      <c r="AG17" s="3449">
        <f ca="1">OFFSET(Sector1!$G$49,0,(COLUMN()-9)/6)</f>
        <v>0</v>
      </c>
      <c r="AH17" s="556">
        <f ca="1">+AC17-AC10-AC7+AG17</f>
        <v>-2.7755575615628914E-17</v>
      </c>
      <c r="AI17" s="3458">
        <f ca="1">+AJ17+AK17+AL17</f>
        <v>0.10464</v>
      </c>
      <c r="AJ17" s="3448"/>
      <c r="AK17" s="3448"/>
      <c r="AL17" s="3449">
        <f ca="1">OFFSET(Sector1!$G$50,0,(COLUMN()-8)/6)</f>
        <v>0.10464</v>
      </c>
      <c r="AM17" s="3449">
        <f ca="1">OFFSET(Sector1!$G$49,0,(COLUMN()-9)/6)</f>
        <v>0</v>
      </c>
      <c r="AN17" s="556">
        <f ca="1">+AI17-AI10-AI7+AM17</f>
        <v>-1.0000000000010001E-5</v>
      </c>
      <c r="AO17" s="3458">
        <f ca="1">+AP17+AQ17+AR17</f>
        <v>0.11926</v>
      </c>
      <c r="AP17" s="3448"/>
      <c r="AQ17" s="3448"/>
      <c r="AR17" s="3449">
        <f ca="1">OFFSET(Sector1!$G$50,0,(COLUMN()-8)/6)</f>
        <v>0.11926</v>
      </c>
      <c r="AS17" s="3449">
        <f ca="1">OFFSET(Sector1!$G$49,0,(COLUMN()-9)/6)</f>
        <v>0</v>
      </c>
      <c r="AT17" s="556">
        <f ca="1">+AO17-AO10-AO7+AS17</f>
        <v>0</v>
      </c>
      <c r="AU17" s="3458">
        <f ca="1">+AV17+AW17+AX17</f>
        <v>0.11982</v>
      </c>
      <c r="AV17" s="3448"/>
      <c r="AW17" s="3448"/>
      <c r="AX17" s="3449">
        <f ca="1">OFFSET(Sector1!$G$50,0,(COLUMN()-8)/6)</f>
        <v>0.11982</v>
      </c>
      <c r="AY17" s="3449">
        <f ca="1">OFFSET(Sector1!$G$49,0,(COLUMN()-9)/6)</f>
        <v>0</v>
      </c>
      <c r="AZ17" s="556">
        <f ca="1">+AU17-AU10-AU7+AY17</f>
        <v>-1.0000000000010001E-5</v>
      </c>
      <c r="BA17" s="3458">
        <f ca="1">+BB17+BC17+BD17</f>
        <v>0.1295</v>
      </c>
      <c r="BB17" s="3448"/>
      <c r="BC17" s="3448"/>
      <c r="BD17" s="3449">
        <f ca="1">OFFSET(Sector1!$G$50,0,(COLUMN()-8)/6)</f>
        <v>0.1295</v>
      </c>
      <c r="BE17" s="3449">
        <f ca="1">OFFSET(Sector1!$G$49,0,(COLUMN()-9)/6)</f>
        <v>0</v>
      </c>
      <c r="BF17" s="556">
        <f ca="1">+BA17-BA10-BA7+BE17</f>
        <v>9.9999999999961231E-6</v>
      </c>
      <c r="BG17" s="3458">
        <f ca="1">+BH17+BI17+BJ17</f>
        <v>0.12561</v>
      </c>
      <c r="BH17" s="3448"/>
      <c r="BI17" s="3448"/>
      <c r="BJ17" s="3449">
        <f ca="1">OFFSET(Sector1!$G$50,0,(COLUMN()-8)/6)</f>
        <v>0.12561</v>
      </c>
      <c r="BK17" s="3449">
        <f ca="1">OFFSET(Sector1!$G$49,0,(COLUMN()-9)/6)</f>
        <v>0.12193002780352179</v>
      </c>
      <c r="BL17" s="556">
        <f ca="1">+BG17-BG10-BG7+BK17</f>
        <v>-1.399721964782108E-4</v>
      </c>
      <c r="BM17" s="3458">
        <f ca="1">+BN17+BO17+BP17</f>
        <v>0.14176</v>
      </c>
      <c r="BN17" s="3448"/>
      <c r="BO17" s="3448"/>
      <c r="BP17" s="3449">
        <f ca="1">OFFSET(Sector1!$G$50,0,(COLUMN()-8)/6)</f>
        <v>0.14176</v>
      </c>
      <c r="BQ17" s="3449">
        <f ca="1">OFFSET(Sector1!$G$49,0,(COLUMN()-9)/6)</f>
        <v>0.245</v>
      </c>
      <c r="BR17" s="556">
        <f ca="1">+BM17-BM10-BM7+BQ17</f>
        <v>1.4000000000000123E-4</v>
      </c>
      <c r="BS17" s="3458">
        <f ca="1">+BT17+BU17+BV17</f>
        <v>0.16190000000000002</v>
      </c>
      <c r="BT17" s="3448"/>
      <c r="BU17" s="3448"/>
      <c r="BV17" s="3449">
        <f ca="1">OFFSET(Sector1!$G$50,0,(COLUMN()-8)/6)</f>
        <v>0.16190000000000002</v>
      </c>
      <c r="BW17" s="3449">
        <f ca="1">OFFSET(Sector1!$G$49,0,(COLUMN()-9)/6)</f>
        <v>0.23499999999999999</v>
      </c>
      <c r="BX17" s="556">
        <f ca="1">+BS17-BS10-BS7+BW17</f>
        <v>3.3000000000002472E-4</v>
      </c>
      <c r="BY17" s="3458">
        <f ca="1">+BZ17+CA17+CB17</f>
        <v>0.25557000000000002</v>
      </c>
      <c r="BZ17" s="3448"/>
      <c r="CA17" s="3448"/>
      <c r="CB17" s="3449">
        <f ca="1">OFFSET(Sector1!$G$50,0,(COLUMN()-8)/6)</f>
        <v>0.25557000000000002</v>
      </c>
      <c r="CC17" s="3449">
        <f ca="1">OFFSET(Sector1!$G$49,0,(COLUMN()-9)/6)</f>
        <v>0.189</v>
      </c>
      <c r="CD17" s="556">
        <f ca="1">+BY17-BY10-BY7+CC17</f>
        <v>4.5000000000003371E-4</v>
      </c>
      <c r="CE17" s="3458">
        <f ca="1">+CF17+CG17+CH17</f>
        <v>0.22084000000000001</v>
      </c>
      <c r="CF17" s="3448"/>
      <c r="CG17" s="3448"/>
      <c r="CH17" s="3449">
        <f ca="1">OFFSET(Sector1!$G$50,0,(COLUMN()-8)/6)</f>
        <v>0.22084000000000001</v>
      </c>
      <c r="CI17" s="3449">
        <f ca="1">OFFSET(Sector1!$G$49,0,(COLUMN()-9)/6)</f>
        <v>0.20699999999999999</v>
      </c>
      <c r="CJ17" s="556">
        <f ca="1">+CE17-CE10-CE7+CI17</f>
        <v>2.7999999999997471E-4</v>
      </c>
      <c r="CK17" s="3458">
        <f ca="1">+CL17+CM17+CN17</f>
        <v>0.17044000000000001</v>
      </c>
      <c r="CL17" s="3448"/>
      <c r="CM17" s="3448"/>
      <c r="CN17" s="3449">
        <f ca="1">OFFSET(Sector1!$G$50,0,(COLUMN()-8)/6)</f>
        <v>0.17044000000000001</v>
      </c>
      <c r="CO17" s="3449">
        <f ca="1">OFFSET(Sector1!$G$49,0,(COLUMN()-9)/6)</f>
        <v>0.27300000000000002</v>
      </c>
      <c r="CP17" s="556">
        <f ca="1">+CK17-CK10-CK7+CO17</f>
        <v>-4.8999999999993493E-4</v>
      </c>
      <c r="CQ17" s="3458">
        <f ca="1">+CR17+CS17+CT17</f>
        <v>0.13799</v>
      </c>
      <c r="CR17" s="3448"/>
      <c r="CS17" s="3448"/>
      <c r="CT17" s="3449">
        <f ca="1">OFFSET(Sector1!$G$50,0,(COLUMN()-8)/6)</f>
        <v>0.13799</v>
      </c>
      <c r="CU17" s="3449">
        <f ca="1">OFFSET(Sector1!$G$49,0,(COLUMN()-9)/6)</f>
        <v>0.30499999999999999</v>
      </c>
      <c r="CV17" s="556">
        <f ca="1">+CQ17-CQ10-CQ7+CU17</f>
        <v>4.2999999999998595E-4</v>
      </c>
      <c r="CW17" s="3458">
        <f ca="1">+CX17+CY17+CZ17</f>
        <v>0.12257</v>
      </c>
      <c r="CX17" s="3448"/>
      <c r="CY17" s="3448"/>
      <c r="CZ17" s="3449">
        <f ca="1">OFFSET(Sector1!$G$50,0,(COLUMN()-8)/6)</f>
        <v>0.12257</v>
      </c>
      <c r="DA17" s="3449">
        <f ca="1">OFFSET(Sector1!$G$49,0,(COLUMN()-9)/6)</f>
        <v>0.32300000000000001</v>
      </c>
      <c r="DB17" s="556">
        <f ca="1">+CW17-CW10-CW7+DA17</f>
        <v>7.0000000000014495E-5</v>
      </c>
      <c r="DC17" s="3458">
        <f ca="1">+DD17+DE17+DF17</f>
        <v>0.10482</v>
      </c>
      <c r="DD17" s="3448"/>
      <c r="DE17" s="3448"/>
      <c r="DF17" s="3449">
        <f ca="1">OFFSET(Sector1!$G$50,0,(COLUMN()-8)/6)</f>
        <v>0.10482</v>
      </c>
      <c r="DG17" s="3449">
        <f ca="1">OFFSET(Sector1!$G$49,0,(COLUMN()-9)/6)</f>
        <v>0.36599999999999999</v>
      </c>
      <c r="DH17" s="556">
        <f ca="1">+DC17-DC10-DC7+DG17</f>
        <v>-4.3000000000004146E-4</v>
      </c>
      <c r="DI17" s="3458">
        <f ca="1">+DJ17+DK17+DL17</f>
        <v>0.11563</v>
      </c>
      <c r="DJ17" s="3448"/>
      <c r="DK17" s="3448"/>
      <c r="DL17" s="3449">
        <f ca="1">OFFSET(Sector1!$G$50,0,(COLUMN()-8)/6)</f>
        <v>0.11563</v>
      </c>
      <c r="DM17" s="3449">
        <f ca="1">OFFSET(Sector1!$G$49,0,(COLUMN()-9)/6)</f>
        <v>0.38900000000000001</v>
      </c>
      <c r="DN17" s="556">
        <f ca="1">+DI17-DI10-DI7+DM17</f>
        <v>8.0000000000024496E-5</v>
      </c>
      <c r="DO17" s="3458">
        <f ca="1">+DP17+DQ17+DR17</f>
        <v>0.11874</v>
      </c>
      <c r="DP17" s="3448"/>
      <c r="DQ17" s="3448"/>
      <c r="DR17" s="3449">
        <f ca="1">OFFSET(Sector1!$G$50,0,(COLUMN()-8)/6)</f>
        <v>0.11874</v>
      </c>
      <c r="DS17" s="3449">
        <f ca="1">OFFSET(Sector1!$G$49,0,(COLUMN()-9)/6)</f>
        <v>0.38600000000000001</v>
      </c>
      <c r="DT17" s="556">
        <f ca="1">+DO17-DO10-DO7+DS17</f>
        <v>4.0000000000040004E-5</v>
      </c>
      <c r="DU17" s="3458">
        <f ca="1">+DV17+DW17+DX17</f>
        <v>0.14757000000000001</v>
      </c>
      <c r="DV17" s="3448"/>
      <c r="DW17" s="3448"/>
      <c r="DX17" s="3449">
        <f ca="1">OFFSET(Sector1!$G$50,0,(COLUMN()-8)/6)</f>
        <v>0.14757000000000001</v>
      </c>
      <c r="DY17" s="3449">
        <f ca="1">OFFSET(Sector1!$G$49,0,(COLUMN()-9)/6)</f>
        <v>0.441</v>
      </c>
      <c r="DZ17" s="556">
        <f ca="1">+DU17-DU10-DU7+DY17</f>
        <v>-4.0000000000001146E-4</v>
      </c>
      <c r="EA17" s="3458">
        <f ca="1">+EB17+EC17+ED17</f>
        <v>0.16243000000000002</v>
      </c>
      <c r="EB17" s="3448"/>
      <c r="EC17" s="3448"/>
      <c r="ED17" s="3449">
        <f ca="1">OFFSET(Sector1!$G$50,0,(COLUMN()-8)/6)</f>
        <v>0.16243000000000002</v>
      </c>
      <c r="EE17" s="3449">
        <f ca="1">OFFSET(Sector1!$G$49,0,(COLUMN()-9)/6)</f>
        <v>0.46700000000000003</v>
      </c>
      <c r="EF17" s="556">
        <f ca="1">+EA17-EA10-EA7+EE17</f>
        <v>-2.5999999999998247E-4</v>
      </c>
      <c r="EG17" s="3458">
        <f ca="1">+EH17+EI17+EJ17</f>
        <v>0.15881500000000004</v>
      </c>
      <c r="EH17" s="3448"/>
      <c r="EI17" s="3448"/>
      <c r="EJ17" s="3449">
        <f ca="1">OFFSET(Sector1!$G$50,0,(COLUMN()-8)/6)</f>
        <v>0.15881500000000004</v>
      </c>
      <c r="EK17" s="3449">
        <f ca="1">OFFSET(Sector1!$G$49,0,(COLUMN()-9)/6)</f>
        <v>0.47867499999999996</v>
      </c>
      <c r="EL17" s="556">
        <f ca="1">+EG17-EG10-EG7+EK17</f>
        <v>0</v>
      </c>
      <c r="EM17" s="3458">
        <f ca="1">+EN17+EO17+EP17</f>
        <v>0.16650412500000011</v>
      </c>
      <c r="EN17" s="3448"/>
      <c r="EO17" s="3448"/>
      <c r="EP17" s="3449">
        <f ca="1">OFFSET(Sector1!$G$50,0,(COLUMN()-8)/6)</f>
        <v>0.16650412500000011</v>
      </c>
      <c r="EQ17" s="3449">
        <f ca="1">OFFSET(Sector1!$G$49,0,(COLUMN()-9)/6)</f>
        <v>0.49064187499999989</v>
      </c>
      <c r="ER17" s="556">
        <f ca="1">+EM17-EM10-EM7+EQ17</f>
        <v>0</v>
      </c>
      <c r="ES17" s="3458">
        <f ca="1">+ET17+EU17+EV17</f>
        <v>0.17460169412500015</v>
      </c>
      <c r="ET17" s="3448"/>
      <c r="EU17" s="3448"/>
      <c r="EV17" s="3449">
        <f ca="1">OFFSET(Sector1!$G$50,0,(COLUMN()-8)/6)</f>
        <v>0.17460169412500015</v>
      </c>
      <c r="EW17" s="3449">
        <f ca="1">OFFSET(Sector1!$G$49,0,(COLUMN()-9)/6)</f>
        <v>0.50290792187499989</v>
      </c>
      <c r="EX17" s="556">
        <f ca="1">+ES17-ES10-ES7+EW17</f>
        <v>0</v>
      </c>
    </row>
    <row r="18" spans="1:154" ht="12.75" customHeight="1">
      <c r="A18" s="553"/>
      <c r="B18" s="600" t="s">
        <v>1767</v>
      </c>
      <c r="C18" s="3779" t="s">
        <v>1489</v>
      </c>
      <c r="D18" s="3780"/>
      <c r="E18" s="3458">
        <f ca="1">+F18+G18+H18</f>
        <v>-1.2750000000000067E-2</v>
      </c>
      <c r="F18" s="3449">
        <f ca="1">OFFSET(Sector1!$G$143,0,(COLUMN()-6)/6)</f>
        <v>0.77046999999999999</v>
      </c>
      <c r="G18" s="3449">
        <f ca="1">OFFSET(Sector1!$G$136,0,(COLUMN()-7)/6)</f>
        <v>-0.78402000000000005</v>
      </c>
      <c r="H18" s="3459">
        <f ca="1">+H19-H20-H21</f>
        <v>7.9999999999999516E-4</v>
      </c>
      <c r="I18" s="3449">
        <f ca="1">OFFSET(Sector1!$G$142,0,(COLUMN()-9)/6)</f>
        <v>7.8197405004633899E-3</v>
      </c>
      <c r="J18" s="570">
        <f ca="1">+E18+I18</f>
        <v>-4.930259499536677E-3</v>
      </c>
      <c r="K18" s="3458">
        <f ca="1">+L18+M18+N18</f>
        <v>-6.4380000000000132E-2</v>
      </c>
      <c r="L18" s="3449">
        <f ca="1">OFFSET(Sector1!$G$143,0,(COLUMN()-6)/6)</f>
        <v>0.91266999999999998</v>
      </c>
      <c r="M18" s="3449">
        <f ca="1">OFFSET(Sector1!$G$136,0,(COLUMN()-7)/6)</f>
        <v>-0.92613000000000012</v>
      </c>
      <c r="N18" s="3459">
        <f ca="1">+N19-N20-N21</f>
        <v>-5.092E-2</v>
      </c>
      <c r="O18" s="3449">
        <f ca="1">OFFSET(Sector1!$G$142,0,(COLUMN()-9)/6)</f>
        <v>7.24050046339203E-2</v>
      </c>
      <c r="P18" s="570">
        <f ca="1">+K18+O18</f>
        <v>8.0250046339201686E-3</v>
      </c>
      <c r="Q18" s="3458">
        <f ca="1">+R18+S18+T18</f>
        <v>-0.15727999999999998</v>
      </c>
      <c r="R18" s="3449">
        <f ca="1">OFFSET(Sector1!$G$143,0,(COLUMN()-6)/6)</f>
        <v>1.17761</v>
      </c>
      <c r="S18" s="3449">
        <f ca="1">OFFSET(Sector1!$G$136,0,(COLUMN()-7)/6)</f>
        <v>-1.30352</v>
      </c>
      <c r="T18" s="3459">
        <f ca="1">+T19-T20-T21</f>
        <v>-3.1370000000000002E-2</v>
      </c>
      <c r="U18" s="3449">
        <f ca="1">OFFSET(Sector1!$G$142,0,(COLUMN()-9)/6)</f>
        <v>0.15118164967562558</v>
      </c>
      <c r="V18" s="570">
        <f ca="1">+Q18+U18</f>
        <v>-6.0983503243743908E-3</v>
      </c>
      <c r="W18" s="3458">
        <f ca="1">+X18+Y18+Z18</f>
        <v>-0.22121999999999981</v>
      </c>
      <c r="X18" s="3449">
        <f ca="1">OFFSET(Sector1!$G$143,0,(COLUMN()-6)/6)</f>
        <v>1.3924300000000001</v>
      </c>
      <c r="Y18" s="3449">
        <f ca="1">OFFSET(Sector1!$G$136,0,(COLUMN()-7)/6)</f>
        <v>-1.6185399999999999</v>
      </c>
      <c r="Z18" s="3459">
        <f ca="1">+Z19-Z20-Z21</f>
        <v>4.8900000000000055E-3</v>
      </c>
      <c r="AA18" s="3449">
        <f ca="1">OFFSET(Sector1!$G$142,0,(COLUMN()-9)/6)</f>
        <v>0.22329703429101019</v>
      </c>
      <c r="AB18" s="570">
        <f ca="1">+W18+AA18</f>
        <v>2.0770342910103878E-3</v>
      </c>
      <c r="AC18" s="3458">
        <f ca="1">+AD18+AE18+AF18</f>
        <v>-0.25223000000000029</v>
      </c>
      <c r="AD18" s="3449">
        <f ca="1">OFFSET(Sector1!$G$143,0,(COLUMN()-6)/6)</f>
        <v>1.3356299999999999</v>
      </c>
      <c r="AE18" s="3449">
        <f ca="1">OFFSET(Sector1!$G$136,0,(COLUMN()-7)/6)</f>
        <v>-1.5516400000000001</v>
      </c>
      <c r="AF18" s="3459">
        <f ca="1">+AF19-AF20-AF21</f>
        <v>-3.6220000000000002E-2</v>
      </c>
      <c r="AG18" s="3449">
        <f ca="1">OFFSET(Sector1!$G$142,0,(COLUMN()-9)/6)</f>
        <v>0.24357043558850788</v>
      </c>
      <c r="AH18" s="570">
        <f ca="1">+AC18+AG18</f>
        <v>-8.6595644114924042E-3</v>
      </c>
      <c r="AI18" s="3458">
        <f ca="1">+AJ18+AK18+AL18</f>
        <v>-0.25245000000000006</v>
      </c>
      <c r="AJ18" s="3449">
        <f ca="1">OFFSET(Sector1!$G$143,0,(COLUMN()-6)/6)</f>
        <v>2.2481900000000001</v>
      </c>
      <c r="AK18" s="3449">
        <f ca="1">OFFSET(Sector1!$G$136,0,(COLUMN()-7)/6)</f>
        <v>-2.4417300000000002</v>
      </c>
      <c r="AL18" s="3459">
        <f ca="1">+AL19-AL20-AL21</f>
        <v>-5.890999999999999E-2</v>
      </c>
      <c r="AM18" s="3449">
        <f ca="1">OFFSET(Sector1!$G$142,0,(COLUMN()-9)/6)</f>
        <v>0.24414967562557924</v>
      </c>
      <c r="AN18" s="570">
        <f ca="1">+AI18+AM18</f>
        <v>-8.3003243744208255E-3</v>
      </c>
      <c r="AO18" s="3458">
        <f ca="1">+AP18+AQ18+AR18</f>
        <v>-0.24708000000000022</v>
      </c>
      <c r="AP18" s="3449">
        <f ca="1">OFFSET(Sector1!$G$143,0,(COLUMN()-6)/6)</f>
        <v>2.4520399999999998</v>
      </c>
      <c r="AQ18" s="3449">
        <f ca="1">OFFSET(Sector1!$G$136,0,(COLUMN()-7)/6)</f>
        <v>-2.69787</v>
      </c>
      <c r="AR18" s="3459">
        <f ca="1">+AR19-AR20-AR21</f>
        <v>-1.2500000000000011E-3</v>
      </c>
      <c r="AS18" s="3449">
        <f ca="1">OFFSET(Sector1!$G$142,0,(COLUMN()-9)/6)</f>
        <v>0.24125347544022246</v>
      </c>
      <c r="AT18" s="570">
        <f ca="1">+AO18+AS18</f>
        <v>-5.8265245597777515E-3</v>
      </c>
      <c r="AU18" s="3458">
        <f ca="1">+AV18+AW18+AX18</f>
        <v>-0.21708999999999976</v>
      </c>
      <c r="AV18" s="3449">
        <f ca="1">OFFSET(Sector1!$G$143,0,(COLUMN()-6)/6)</f>
        <v>2.8442200000000004</v>
      </c>
      <c r="AW18" s="3449">
        <f ca="1">OFFSET(Sector1!$G$136,0,(COLUMN()-7)/6)</f>
        <v>-3.0302600000000002</v>
      </c>
      <c r="AX18" s="3459">
        <f ca="1">+AX19-AX20-AX21</f>
        <v>-3.1049999999999994E-2</v>
      </c>
      <c r="AY18" s="3449">
        <f ca="1">OFFSET(Sector1!$G$142,0,(COLUMN()-9)/6)</f>
        <v>0.21431881371640407</v>
      </c>
      <c r="AZ18" s="570">
        <f ca="1">+AU18+AY18</f>
        <v>-2.7711862835956835E-3</v>
      </c>
      <c r="BA18" s="3458">
        <f ca="1">+BB18+BC18+BD18</f>
        <v>-0.45327000000000001</v>
      </c>
      <c r="BB18" s="3449">
        <f ca="1">OFFSET(Sector1!$G$143,0,(COLUMN()-6)/6)</f>
        <v>2.8599800000000002</v>
      </c>
      <c r="BC18" s="3449">
        <f ca="1">OFFSET(Sector1!$G$136,0,(COLUMN()-7)/6)</f>
        <v>-3.2625700000000002</v>
      </c>
      <c r="BD18" s="3459">
        <f ca="1">+BD19-BD20-BD21</f>
        <v>-5.0680000000000003E-2</v>
      </c>
      <c r="BE18" s="3449">
        <f ca="1">OFFSET(Sector1!$G$142,0,(COLUMN()-9)/6)</f>
        <v>0.45296570898980537</v>
      </c>
      <c r="BF18" s="570">
        <f ca="1">+BA18+BE18</f>
        <v>-3.04291010194635E-4</v>
      </c>
      <c r="BG18" s="3458">
        <f ca="1">+BH18+BI18+BJ18</f>
        <v>-0.60237000000000118</v>
      </c>
      <c r="BH18" s="3460">
        <f ca="1">OFFSET(Sector1!$G$143,0,(COLUMN()-6)/6)</f>
        <v>3.7417699999999998</v>
      </c>
      <c r="BI18" s="3449">
        <f ca="1">OFFSET(Sector1!$G$136,0,(COLUMN()-7)/6)</f>
        <v>-4.324110000000001</v>
      </c>
      <c r="BJ18" s="3459">
        <f ca="1">+BJ19-BJ20-BJ21</f>
        <v>-2.0029999999999992E-2</v>
      </c>
      <c r="BK18" s="3449">
        <f ca="1">OFFSET(Sector1!$G$142,0,(COLUMN()-9)/6)</f>
        <v>0.5847428174235404</v>
      </c>
      <c r="BL18" s="570">
        <f ca="1">+BG18+BK18</f>
        <v>-1.7627182576460787E-2</v>
      </c>
      <c r="BM18" s="3458">
        <f ca="1">+BN18+BO18+BP18</f>
        <v>-0.66570999999999969</v>
      </c>
      <c r="BN18" s="3449">
        <f ca="1">OFFSET(Sector1!$G$143,0,(COLUMN()-6)/6)</f>
        <v>3.4261699999999999</v>
      </c>
      <c r="BO18" s="3449">
        <f ca="1">OFFSET(Sector1!$G$136,0,(COLUMN()-7)/6)</f>
        <v>-4.0924699999999996</v>
      </c>
      <c r="BP18" s="3459">
        <f ca="1">+BP19-BP20-BP21</f>
        <v>5.9000000000000719E-4</v>
      </c>
      <c r="BQ18" s="3449">
        <f ca="1">OFFSET(Sector1!$G$142,0,(COLUMN()-9)/6)</f>
        <v>0.66600000000000004</v>
      </c>
      <c r="BR18" s="570">
        <f ca="1">+BM18+BQ18</f>
        <v>2.9000000000034554E-4</v>
      </c>
      <c r="BS18" s="3458">
        <f ca="1">+BT18+BU18+BV18</f>
        <v>-0.84583999999999893</v>
      </c>
      <c r="BT18" s="3449">
        <f ca="1">OFFSET(Sector1!$G$143,0,(COLUMN()-6)/6)</f>
        <v>4.061090000000001</v>
      </c>
      <c r="BU18" s="3449">
        <f ca="1">OFFSET(Sector1!$G$136,0,(COLUMN()-7)/6)</f>
        <v>-4.8829799999999999</v>
      </c>
      <c r="BV18" s="3459">
        <f ca="1">+BV19-BV20-BV21</f>
        <v>-2.3949999999999999E-2</v>
      </c>
      <c r="BW18" s="3449">
        <f ca="1">OFFSET(Sector1!$G$142,0,(COLUMN()-9)/6)</f>
        <v>0.84499999999999997</v>
      </c>
      <c r="BX18" s="570">
        <f ca="1">+BS18+BW18</f>
        <v>-8.399999999989527E-4</v>
      </c>
      <c r="BY18" s="3458">
        <f ca="1">+BZ18+CA18+CB18</f>
        <v>-1.3675000000000002</v>
      </c>
      <c r="BZ18" s="3449">
        <f ca="1">OFFSET(Sector1!$G$143,0,(COLUMN()-6)/6)</f>
        <v>3.1740200000000001</v>
      </c>
      <c r="CA18" s="3449">
        <f ca="1">OFFSET(Sector1!$G$136,0,(COLUMN()-7)/6)</f>
        <v>-4.5213700000000001</v>
      </c>
      <c r="CB18" s="3459">
        <f ca="1">+CB19-CB20-CB21</f>
        <v>-2.0150000000000001E-2</v>
      </c>
      <c r="CC18" s="3449">
        <f ca="1">OFFSET(Sector1!$G$142,0,(COLUMN()-9)/6)</f>
        <v>1.367</v>
      </c>
      <c r="CD18" s="570">
        <f ca="1">+BY18+CC18</f>
        <v>-5.0000000000016698E-4</v>
      </c>
      <c r="CE18" s="3458">
        <f ca="1">+CF18+CG18+CH18</f>
        <v>-1.3528400000000003</v>
      </c>
      <c r="CF18" s="3449">
        <f ca="1">OFFSET(Sector1!$G$143,0,(COLUMN()-6)/6)</f>
        <v>3.7490299999999999</v>
      </c>
      <c r="CG18" s="3449">
        <f ca="1">OFFSET(Sector1!$G$136,0,(COLUMN()-7)/6)</f>
        <v>-5.0862400000000001</v>
      </c>
      <c r="CH18" s="3459">
        <f ca="1">+CH19-CH20-CH21</f>
        <v>-1.5630000000000005E-2</v>
      </c>
      <c r="CI18" s="3449">
        <f ca="1">OFFSET(Sector1!$G$142,0,(COLUMN()-9)/6)</f>
        <v>1.353</v>
      </c>
      <c r="CJ18" s="570">
        <f ca="1">+CE18+CI18</f>
        <v>1.5999999999971593E-4</v>
      </c>
      <c r="CK18" s="3458">
        <f ca="1">+CL18+CM18+CN18</f>
        <v>0.24377999999999961</v>
      </c>
      <c r="CL18" s="3449">
        <f ca="1">OFFSET(Sector1!$G$143,0,(COLUMN()-6)/6)</f>
        <v>3.7567799999999996</v>
      </c>
      <c r="CM18" s="3449">
        <f ca="1">OFFSET(Sector1!$G$136,0,(COLUMN()-7)/6)</f>
        <v>-3.3473299999999999</v>
      </c>
      <c r="CN18" s="3459">
        <f ca="1">+CN19-CN20-CN21</f>
        <v>-0.16567000000000004</v>
      </c>
      <c r="CO18" s="3449">
        <f ca="1">OFFSET(Sector1!$G$142,0,(COLUMN()-9)/6)</f>
        <v>-0.24299999999999999</v>
      </c>
      <c r="CP18" s="570">
        <f ca="1">+CK18+CO18</f>
        <v>7.7999999999961434E-4</v>
      </c>
      <c r="CQ18" s="3458">
        <f ca="1">+CR18+CS18+CT18</f>
        <v>-0.98557000000000139</v>
      </c>
      <c r="CR18" s="3449">
        <f ca="1">OFFSET(Sector1!$G$143,0,(COLUMN()-6)/6)</f>
        <v>4.4089599999999995</v>
      </c>
      <c r="CS18" s="3449">
        <f ca="1">OFFSET(Sector1!$G$136,0,(COLUMN()-7)/6)</f>
        <v>-5.076950000000001</v>
      </c>
      <c r="CT18" s="3459">
        <f ca="1">+CT19-CT20-CT21</f>
        <v>-0.31757999999999997</v>
      </c>
      <c r="CU18" s="3449">
        <f ca="1">OFFSET(Sector1!$G$142,0,(COLUMN()-9)/6)</f>
        <v>0.98599999999999999</v>
      </c>
      <c r="CV18" s="570">
        <f ca="1">+CQ18+CU18</f>
        <v>4.2999999999859817E-4</v>
      </c>
      <c r="CW18" s="3458">
        <f ca="1">+CX18+CY18+CZ18</f>
        <v>-1.583839999999999</v>
      </c>
      <c r="CX18" s="3449">
        <f ca="1">OFFSET(Sector1!$G$143,0,(COLUMN()-6)/6)</f>
        <v>4.9348000000000001</v>
      </c>
      <c r="CY18" s="3449">
        <f ca="1">OFFSET(Sector1!$G$136,0,(COLUMN()-7)/6)</f>
        <v>-6.1153799999999991</v>
      </c>
      <c r="CZ18" s="3459">
        <f ca="1">+CZ19-CZ20-CZ21</f>
        <v>-0.40325999999999995</v>
      </c>
      <c r="DA18" s="3449">
        <f ca="1">OFFSET(Sector1!$G$142,0,(COLUMN()-9)/6)</f>
        <v>1.583</v>
      </c>
      <c r="DB18" s="570">
        <f ca="1">+CW18+DA18</f>
        <v>-8.3999999999906372E-4</v>
      </c>
      <c r="DC18" s="3458">
        <f ca="1">+DD18+DE18+DF18</f>
        <v>-1.346369999999999</v>
      </c>
      <c r="DD18" s="3449">
        <f ca="1">OFFSET(Sector1!$G$143,0,(COLUMN()-6)/6)</f>
        <v>5.0896300000000005</v>
      </c>
      <c r="DE18" s="3449">
        <f ca="1">OFFSET(Sector1!$G$136,0,(COLUMN()-7)/6)</f>
        <v>-5.9805399999999995</v>
      </c>
      <c r="DF18" s="3459">
        <f ca="1">+DF19-DF20-DF21</f>
        <v>-0.45546000000000009</v>
      </c>
      <c r="DG18" s="3449">
        <f ca="1">OFFSET(Sector1!$G$142,0,(COLUMN()-9)/6)</f>
        <v>1.347</v>
      </c>
      <c r="DH18" s="570">
        <f ca="1">+DC18+DG18</f>
        <v>6.3000000000101863E-4</v>
      </c>
      <c r="DI18" s="3458">
        <f ca="1">+DJ18+DK18+DL18</f>
        <v>-1.28139</v>
      </c>
      <c r="DJ18" s="3449">
        <f ca="1">OFFSET(Sector1!$G$143,0,(COLUMN()-6)/6)</f>
        <v>5.0884999999999998</v>
      </c>
      <c r="DK18" s="3449">
        <f ca="1">OFFSET(Sector1!$G$136,0,(COLUMN()-7)/6)</f>
        <v>-5.8831499999999997</v>
      </c>
      <c r="DL18" s="3459">
        <f ca="1">+DL19-DL20-DL21</f>
        <v>-0.48674000000000006</v>
      </c>
      <c r="DM18" s="3449">
        <f ca="1">OFFSET(Sector1!$G$142,0,(COLUMN()-9)/6)</f>
        <v>1.2809999999999999</v>
      </c>
      <c r="DN18" s="570">
        <f ca="1">+DI18+DM18</f>
        <v>-3.9000000000011248E-4</v>
      </c>
      <c r="DO18" s="3458">
        <f ca="1">+DP18+DQ18+DR18</f>
        <v>-0.77171999999999885</v>
      </c>
      <c r="DP18" s="3449">
        <f ca="1">OFFSET(Sector1!$G$143,0,(COLUMN()-6)/6)</f>
        <v>4.7201900000000006</v>
      </c>
      <c r="DQ18" s="3449">
        <f ca="1">OFFSET(Sector1!$G$136,0,(COLUMN()-7)/6)</f>
        <v>-5.0425499999999994</v>
      </c>
      <c r="DR18" s="3459">
        <f ca="1">+DR19-DR20-DR21</f>
        <v>-0.44935999999999993</v>
      </c>
      <c r="DS18" s="3449">
        <f ca="1">OFFSET(Sector1!$G$142,0,(COLUMN()-9)/6)</f>
        <v>0.77200000000000002</v>
      </c>
      <c r="DT18" s="570">
        <f ca="1">+DO18+DS18</f>
        <v>2.800000000011682E-4</v>
      </c>
      <c r="DU18" s="3458">
        <f ca="1">+DV18+DW18+DX18</f>
        <v>-1.8702600000000007</v>
      </c>
      <c r="DV18" s="3449">
        <f ca="1">OFFSET(Sector1!$G$143,0,(COLUMN()-6)/6)</f>
        <v>4.6545599999999991</v>
      </c>
      <c r="DW18" s="3449">
        <f ca="1">OFFSET(Sector1!$G$136,0,(COLUMN()-7)/6)</f>
        <v>-6.1047099999999999</v>
      </c>
      <c r="DX18" s="3459">
        <f ca="1">+DX19-DX20-DX21</f>
        <v>-0.42011000000000004</v>
      </c>
      <c r="DY18" s="3449">
        <f ca="1">OFFSET(Sector1!$G$142,0,(COLUMN()-9)/6)</f>
        <v>1.871</v>
      </c>
      <c r="DZ18" s="570">
        <f ca="1">+DU18+DY18</f>
        <v>7.3999999999929678E-4</v>
      </c>
      <c r="EA18" s="3458">
        <f ca="1">+EB18+EC18+ED18</f>
        <v>-1.8512799999999989</v>
      </c>
      <c r="EB18" s="3449">
        <f ca="1">OFFSET(Sector1!$G$143,0,(COLUMN()-6)/6)</f>
        <v>4.9098900000000008</v>
      </c>
      <c r="EC18" s="3449">
        <f ca="1">OFFSET(Sector1!$G$136,0,(COLUMN()-7)/6)</f>
        <v>-6.4326499999999998</v>
      </c>
      <c r="ED18" s="3459">
        <f ca="1">+ED19-ED20-ED21</f>
        <v>-0.32851999999999992</v>
      </c>
      <c r="EE18" s="3449">
        <f ca="1">OFFSET(Sector1!$G$142,0,(COLUMN()-9)/6)</f>
        <v>1.851</v>
      </c>
      <c r="EF18" s="570">
        <f ca="1">+EA18+EE18</f>
        <v>-2.7999999999894776E-4</v>
      </c>
      <c r="EG18" s="3458">
        <f ca="1">+EH18+EI18+EJ18</f>
        <v>-1.8787649999999996</v>
      </c>
      <c r="EH18" s="3449">
        <f ca="1">OFFSET(Sector1!$G$143,0,(COLUMN()-6)/6)</f>
        <v>5.1861917499999999</v>
      </c>
      <c r="EI18" s="3449">
        <f ca="1">OFFSET(Sector1!$G$136,0,(COLUMN()-7)/6)</f>
        <v>-6.7864457499999995</v>
      </c>
      <c r="EJ18" s="3459">
        <f ca="1">+EJ19-EJ20-EJ21</f>
        <v>-0.27851099999999995</v>
      </c>
      <c r="EK18" s="3449">
        <f ca="1">OFFSET(Sector1!$G$142,0,(COLUMN()-9)/6)</f>
        <v>1.8787649999999998</v>
      </c>
      <c r="EL18" s="570">
        <f ca="1">+EG18+EK18</f>
        <v>0</v>
      </c>
      <c r="EM18" s="3458">
        <f ca="1">+EN18+EO18+EP18</f>
        <v>-1.9163403000000001</v>
      </c>
      <c r="EN18" s="3449">
        <f ca="1">OFFSET(Sector1!$G$143,0,(COLUMN()-6)/6)</f>
        <v>5.3902210662499987</v>
      </c>
      <c r="EO18" s="3449">
        <f ca="1">OFFSET(Sector1!$G$136,0,(COLUMN()-7)/6)</f>
        <v>-7.1597002662499989</v>
      </c>
      <c r="EP18" s="3459">
        <f ca="1">+EP19-EP20-EP21</f>
        <v>-0.14686109999999999</v>
      </c>
      <c r="EQ18" s="3449">
        <f ca="1">OFFSET(Sector1!$G$142,0,(COLUMN()-9)/6)</f>
        <v>1.9163402999999999</v>
      </c>
      <c r="ER18" s="570">
        <f ca="1">+EM18+EQ18</f>
        <v>0</v>
      </c>
      <c r="ES18" s="3458">
        <f ca="1">+ET18+EU18+EV18</f>
        <v>-1.9546671060000005</v>
      </c>
      <c r="ET18" s="3449">
        <f ca="1">OFFSET(Sector1!$G$143,0,(COLUMN()-6)/6)</f>
        <v>5.7473888408937484</v>
      </c>
      <c r="EU18" s="3449">
        <f ca="1">OFFSET(Sector1!$G$136,0,(COLUMN()-7)/6)</f>
        <v>-7.5534837808937487</v>
      </c>
      <c r="EV18" s="3459">
        <f ca="1">+EV19-EV20-EV21</f>
        <v>-0.14857216600000001</v>
      </c>
      <c r="EW18" s="3449">
        <f ca="1">OFFSET(Sector1!$G$142,0,(COLUMN()-9)/6)</f>
        <v>1.9546671059999998</v>
      </c>
      <c r="EX18" s="570">
        <f ca="1">+ES18+EW18</f>
        <v>0</v>
      </c>
    </row>
    <row r="19" spans="1:154" s="568" customFormat="1" ht="13.5" customHeight="1">
      <c r="A19" s="563"/>
      <c r="B19" s="564"/>
      <c r="C19" s="571"/>
      <c r="D19" s="572" t="s">
        <v>985</v>
      </c>
      <c r="E19" s="567"/>
      <c r="F19" s="3448"/>
      <c r="G19" s="3461"/>
      <c r="H19" s="562">
        <f ca="1">OFFSET(Sector1!$G$137,0,(COLUMN()-8)/6)</f>
        <v>2.7739999999999997E-2</v>
      </c>
      <c r="I19" s="3457"/>
      <c r="J19" s="604"/>
      <c r="K19" s="567"/>
      <c r="L19" s="3448"/>
      <c r="M19" s="3461"/>
      <c r="N19" s="562">
        <f ca="1">OFFSET(Sector1!$G$137,0,(COLUMN()-8)/6)</f>
        <v>3.005E-2</v>
      </c>
      <c r="O19" s="3457"/>
      <c r="P19" s="604"/>
      <c r="Q19" s="567"/>
      <c r="R19" s="3448"/>
      <c r="S19" s="3461"/>
      <c r="T19" s="562">
        <f ca="1">OFFSET(Sector1!$G$137,0,(COLUMN()-8)/6)</f>
        <v>5.4469999999999998E-2</v>
      </c>
      <c r="U19" s="3457"/>
      <c r="V19" s="604"/>
      <c r="W19" s="567"/>
      <c r="X19" s="3448"/>
      <c r="Y19" s="3461"/>
      <c r="Z19" s="562">
        <f ca="1">OFFSET(Sector1!$G$137,0,(COLUMN()-8)/6)</f>
        <v>0.15242</v>
      </c>
      <c r="AA19" s="3457"/>
      <c r="AB19" s="604"/>
      <c r="AC19" s="567"/>
      <c r="AD19" s="3448"/>
      <c r="AE19" s="3461"/>
      <c r="AF19" s="562">
        <f ca="1">OFFSET(Sector1!$G$137,0,(COLUMN()-8)/6)</f>
        <v>0.15071999999999999</v>
      </c>
      <c r="AG19" s="3457"/>
      <c r="AH19" s="604"/>
      <c r="AI19" s="567"/>
      <c r="AJ19" s="3448"/>
      <c r="AK19" s="3461"/>
      <c r="AL19" s="562">
        <f ca="1">OFFSET(Sector1!$G$137,0,(COLUMN()-8)/6)</f>
        <v>0.17279</v>
      </c>
      <c r="AM19" s="3457"/>
      <c r="AN19" s="604"/>
      <c r="AO19" s="567"/>
      <c r="AP19" s="3448"/>
      <c r="AQ19" s="3461"/>
      <c r="AR19" s="562">
        <f ca="1">OFFSET(Sector1!$G$137,0,(COLUMN()-8)/6)</f>
        <v>0.21227000000000001</v>
      </c>
      <c r="AS19" s="3457"/>
      <c r="AT19" s="604"/>
      <c r="AU19" s="567"/>
      <c r="AV19" s="3448"/>
      <c r="AW19" s="3461"/>
      <c r="AX19" s="562">
        <f ca="1">OFFSET(Sector1!$G$137,0,(COLUMN()-8)/6)</f>
        <v>0.16736000000000001</v>
      </c>
      <c r="AY19" s="3457"/>
      <c r="AZ19" s="604"/>
      <c r="BA19" s="567"/>
      <c r="BB19" s="3448"/>
      <c r="BC19" s="3461"/>
      <c r="BD19" s="562">
        <f ca="1">OFFSET(Sector1!$G$137,0,(COLUMN()-8)/6)</f>
        <v>0.15512999999999999</v>
      </c>
      <c r="BE19" s="3457"/>
      <c r="BF19" s="604"/>
      <c r="BG19" s="567"/>
      <c r="BH19" s="3448"/>
      <c r="BI19" s="3461"/>
      <c r="BJ19" s="562">
        <f ca="1">OFFSET(Sector1!$G$137,0,(COLUMN()-8)/6)</f>
        <v>0.14368999999999998</v>
      </c>
      <c r="BK19" s="3457"/>
      <c r="BL19" s="604"/>
      <c r="BM19" s="567"/>
      <c r="BN19" s="3448"/>
      <c r="BO19" s="3461"/>
      <c r="BP19" s="562">
        <f ca="1">OFFSET(Sector1!$G$137,0,(COLUMN()-8)/6)</f>
        <v>0.16131999999999999</v>
      </c>
      <c r="BQ19" s="3457"/>
      <c r="BR19" s="604"/>
      <c r="BS19" s="567"/>
      <c r="BT19" s="3448"/>
      <c r="BU19" s="3461"/>
      <c r="BV19" s="562">
        <f ca="1">OFFSET(Sector1!$G$137,0,(COLUMN()-8)/6)</f>
        <v>0.14407</v>
      </c>
      <c r="BW19" s="3457"/>
      <c r="BX19" s="604"/>
      <c r="BY19" s="567"/>
      <c r="BZ19" s="3448"/>
      <c r="CA19" s="3461"/>
      <c r="CB19" s="562">
        <f ca="1">OFFSET(Sector1!$G$137,0,(COLUMN()-8)/6)</f>
        <v>0.17216999999999999</v>
      </c>
      <c r="CC19" s="3457"/>
      <c r="CD19" s="604"/>
      <c r="CE19" s="567"/>
      <c r="CF19" s="3448"/>
      <c r="CG19" s="3461"/>
      <c r="CH19" s="562">
        <f ca="1">OFFSET(Sector1!$G$137,0,(COLUMN()-8)/6)</f>
        <v>0.19849</v>
      </c>
      <c r="CI19" s="3457"/>
      <c r="CJ19" s="604"/>
      <c r="CK19" s="567"/>
      <c r="CL19" s="3448"/>
      <c r="CM19" s="3461"/>
      <c r="CN19" s="562">
        <f ca="1">OFFSET(Sector1!$G$137,0,(COLUMN()-8)/6)</f>
        <v>0.16755</v>
      </c>
      <c r="CO19" s="3457"/>
      <c r="CP19" s="604"/>
      <c r="CQ19" s="567"/>
      <c r="CR19" s="3448"/>
      <c r="CS19" s="3461"/>
      <c r="CT19" s="562">
        <f ca="1">OFFSET(Sector1!$G$137,0,(COLUMN()-8)/6)</f>
        <v>0.1923</v>
      </c>
      <c r="CU19" s="3457"/>
      <c r="CV19" s="604"/>
      <c r="CW19" s="567"/>
      <c r="CX19" s="3448"/>
      <c r="CY19" s="3461"/>
      <c r="CZ19" s="562">
        <f ca="1">OFFSET(Sector1!$G$137,0,(COLUMN()-8)/6)</f>
        <v>0.17241000000000001</v>
      </c>
      <c r="DA19" s="3457"/>
      <c r="DB19" s="604"/>
      <c r="DC19" s="567"/>
      <c r="DD19" s="3448"/>
      <c r="DE19" s="3461"/>
      <c r="DF19" s="562">
        <f ca="1">OFFSET(Sector1!$G$137,0,(COLUMN()-8)/6)</f>
        <v>0.20311999999999999</v>
      </c>
      <c r="DG19" s="3457"/>
      <c r="DH19" s="604"/>
      <c r="DI19" s="567"/>
      <c r="DJ19" s="3448"/>
      <c r="DK19" s="3461"/>
      <c r="DL19" s="562">
        <f ca="1">OFFSET(Sector1!$G$137,0,(COLUMN()-8)/6)</f>
        <v>0.12808</v>
      </c>
      <c r="DM19" s="3457"/>
      <c r="DN19" s="604"/>
      <c r="DO19" s="567"/>
      <c r="DP19" s="3448"/>
      <c r="DQ19" s="3461"/>
      <c r="DR19" s="562">
        <f ca="1">OFFSET(Sector1!$G$137,0,(COLUMN()-8)/6)</f>
        <v>0.13741</v>
      </c>
      <c r="DS19" s="3457"/>
      <c r="DT19" s="604"/>
      <c r="DU19" s="567"/>
      <c r="DV19" s="3448"/>
      <c r="DW19" s="3461"/>
      <c r="DX19" s="562">
        <f ca="1">OFFSET(Sector1!$G$137,0,(COLUMN()-8)/6)</f>
        <v>0.14858000000000002</v>
      </c>
      <c r="DY19" s="3457"/>
      <c r="DZ19" s="604"/>
      <c r="EA19" s="567"/>
      <c r="EB19" s="3448"/>
      <c r="EC19" s="3461"/>
      <c r="ED19" s="562">
        <f ca="1">OFFSET(Sector1!$G$137,0,(COLUMN()-8)/6)</f>
        <v>0.18825999999999998</v>
      </c>
      <c r="EE19" s="3457"/>
      <c r="EF19" s="604"/>
      <c r="EG19" s="567"/>
      <c r="EH19" s="3448"/>
      <c r="EI19" s="3461"/>
      <c r="EJ19" s="562">
        <f ca="1">OFFSET(Sector1!$G$137,0,(COLUMN()-8)/6)</f>
        <v>0.21649899999999997</v>
      </c>
      <c r="EK19" s="3457"/>
      <c r="EL19" s="604"/>
      <c r="EM19" s="567"/>
      <c r="EN19" s="3448"/>
      <c r="EO19" s="3461"/>
      <c r="EP19" s="562">
        <f ca="1">OFFSET(Sector1!$G$137,0,(COLUMN()-8)/6)</f>
        <v>0.2381489</v>
      </c>
      <c r="EQ19" s="3457"/>
      <c r="ER19" s="604"/>
      <c r="ES19" s="567"/>
      <c r="ET19" s="3448"/>
      <c r="EU19" s="3461"/>
      <c r="EV19" s="562">
        <f ca="1">OFFSET(Sector1!$G$137,0,(COLUMN()-8)/6)</f>
        <v>0.25243783400000003</v>
      </c>
      <c r="EW19" s="3457"/>
      <c r="EX19" s="604"/>
    </row>
    <row r="20" spans="1:154" s="568" customFormat="1" ht="13.5" customHeight="1">
      <c r="A20" s="563"/>
      <c r="B20" s="564"/>
      <c r="C20" s="571"/>
      <c r="D20" s="572" t="s">
        <v>986</v>
      </c>
      <c r="E20" s="567"/>
      <c r="F20" s="3448"/>
      <c r="G20" s="3461"/>
      <c r="H20" s="562">
        <f ca="1">OFFSET(Sector1!$G$138,0,(COLUMN()-8)/6)</f>
        <v>0</v>
      </c>
      <c r="I20" s="3457"/>
      <c r="J20" s="604"/>
      <c r="K20" s="567"/>
      <c r="L20" s="3448"/>
      <c r="M20" s="3461"/>
      <c r="N20" s="562">
        <f ca="1">OFFSET(Sector1!$G$138,0,(COLUMN()-8)/6)</f>
        <v>0</v>
      </c>
      <c r="O20" s="3457"/>
      <c r="P20" s="604"/>
      <c r="Q20" s="567"/>
      <c r="R20" s="3448"/>
      <c r="S20" s="3461"/>
      <c r="T20" s="562">
        <f ca="1">OFFSET(Sector1!$G$138,0,(COLUMN()-8)/6)</f>
        <v>0</v>
      </c>
      <c r="U20" s="3457"/>
      <c r="V20" s="604"/>
      <c r="W20" s="567"/>
      <c r="X20" s="3448"/>
      <c r="Y20" s="3461"/>
      <c r="Z20" s="562">
        <f ca="1">OFFSET(Sector1!$G$138,0,(COLUMN()-8)/6)</f>
        <v>0</v>
      </c>
      <c r="AA20" s="3457"/>
      <c r="AB20" s="604"/>
      <c r="AC20" s="567"/>
      <c r="AD20" s="3448"/>
      <c r="AE20" s="3461"/>
      <c r="AF20" s="562">
        <f ca="1">OFFSET(Sector1!$G$138,0,(COLUMN()-8)/6)</f>
        <v>0</v>
      </c>
      <c r="AG20" s="3457"/>
      <c r="AH20" s="604"/>
      <c r="AI20" s="567"/>
      <c r="AJ20" s="3448"/>
      <c r="AK20" s="3461"/>
      <c r="AL20" s="562">
        <f ca="1">OFFSET(Sector1!$G$138,0,(COLUMN()-8)/6)</f>
        <v>0</v>
      </c>
      <c r="AM20" s="3457"/>
      <c r="AN20" s="604"/>
      <c r="AO20" s="567"/>
      <c r="AP20" s="3448"/>
      <c r="AQ20" s="3461"/>
      <c r="AR20" s="562">
        <f ca="1">OFFSET(Sector1!$G$138,0,(COLUMN()-8)/6)</f>
        <v>0</v>
      </c>
      <c r="AS20" s="3457"/>
      <c r="AT20" s="604"/>
      <c r="AU20" s="567"/>
      <c r="AV20" s="3448"/>
      <c r="AW20" s="3461"/>
      <c r="AX20" s="562">
        <f ca="1">OFFSET(Sector1!$G$138,0,(COLUMN()-8)/6)</f>
        <v>0</v>
      </c>
      <c r="AY20" s="3457"/>
      <c r="AZ20" s="604"/>
      <c r="BA20" s="567"/>
      <c r="BB20" s="3448"/>
      <c r="BC20" s="3461"/>
      <c r="BD20" s="562">
        <f ca="1">OFFSET(Sector1!$G$138,0,(COLUMN()-8)/6)</f>
        <v>0</v>
      </c>
      <c r="BE20" s="3457"/>
      <c r="BF20" s="604"/>
      <c r="BG20" s="567"/>
      <c r="BH20" s="3448"/>
      <c r="BI20" s="3461"/>
      <c r="BJ20" s="562">
        <f ca="1">OFFSET(Sector1!$G$138,0,(COLUMN()-8)/6)</f>
        <v>9.9999999999909054E-6</v>
      </c>
      <c r="BK20" s="3457"/>
      <c r="BL20" s="604"/>
      <c r="BM20" s="567"/>
      <c r="BN20" s="3448"/>
      <c r="BO20" s="3461"/>
      <c r="BP20" s="562">
        <f ca="1">OFFSET(Sector1!$G$138,0,(COLUMN()-8)/6)</f>
        <v>9.9999999999909054E-6</v>
      </c>
      <c r="BQ20" s="3457"/>
      <c r="BR20" s="604"/>
      <c r="BS20" s="567"/>
      <c r="BT20" s="3448"/>
      <c r="BU20" s="3461"/>
      <c r="BV20" s="562">
        <f ca="1">OFFSET(Sector1!$G$138,0,(COLUMN()-8)/6)</f>
        <v>1.0000000000019327E-5</v>
      </c>
      <c r="BW20" s="3457"/>
      <c r="BX20" s="604"/>
      <c r="BY20" s="567"/>
      <c r="BZ20" s="3448"/>
      <c r="CA20" s="3461"/>
      <c r="CB20" s="562">
        <f ca="1">OFFSET(Sector1!$G$138,0,(COLUMN()-8)/6)</f>
        <v>9.9999999999909054E-6</v>
      </c>
      <c r="CC20" s="3457"/>
      <c r="CD20" s="604"/>
      <c r="CE20" s="567"/>
      <c r="CF20" s="3448"/>
      <c r="CG20" s="3461"/>
      <c r="CH20" s="562">
        <f ca="1">OFFSET(Sector1!$G$138,0,(COLUMN()-8)/6)</f>
        <v>2.000000000001023E-5</v>
      </c>
      <c r="CI20" s="3457"/>
      <c r="CJ20" s="604"/>
      <c r="CK20" s="567"/>
      <c r="CL20" s="3448"/>
      <c r="CM20" s="3461"/>
      <c r="CN20" s="562">
        <f ca="1">OFFSET(Sector1!$G$138,0,(COLUMN()-8)/6)</f>
        <v>2.0000000000038653E-5</v>
      </c>
      <c r="CO20" s="3457"/>
      <c r="CP20" s="604"/>
      <c r="CQ20" s="567"/>
      <c r="CR20" s="3448"/>
      <c r="CS20" s="3461"/>
      <c r="CT20" s="562">
        <f ca="1">OFFSET(Sector1!$G$138,0,(COLUMN()-8)/6)</f>
        <v>1.9999999999981811E-5</v>
      </c>
      <c r="CU20" s="3457"/>
      <c r="CV20" s="604"/>
      <c r="CW20" s="567"/>
      <c r="CX20" s="3448"/>
      <c r="CY20" s="3461"/>
      <c r="CZ20" s="562">
        <f ca="1">OFFSET(Sector1!$G$138,0,(COLUMN()-8)/6)</f>
        <v>1.9999999999981811E-5</v>
      </c>
      <c r="DA20" s="3457"/>
      <c r="DB20" s="604"/>
      <c r="DC20" s="567"/>
      <c r="DD20" s="3448"/>
      <c r="DE20" s="3461"/>
      <c r="DF20" s="562">
        <f ca="1">OFFSET(Sector1!$G$138,0,(COLUMN()-8)/6)</f>
        <v>9.9999999999909054E-6</v>
      </c>
      <c r="DG20" s="3457"/>
      <c r="DH20" s="604"/>
      <c r="DI20" s="567"/>
      <c r="DJ20" s="3448"/>
      <c r="DK20" s="3461"/>
      <c r="DL20" s="562">
        <f ca="1">OFFSET(Sector1!$G$138,0,(COLUMN()-8)/6)</f>
        <v>1.0000000000104592E-5</v>
      </c>
      <c r="DM20" s="3457"/>
      <c r="DN20" s="604"/>
      <c r="DO20" s="567"/>
      <c r="DP20" s="3448"/>
      <c r="DQ20" s="3461"/>
      <c r="DR20" s="562">
        <f ca="1">OFFSET(Sector1!$G$138,0,(COLUMN()-8)/6)</f>
        <v>9.9999999999909054E-6</v>
      </c>
      <c r="DS20" s="3457"/>
      <c r="DT20" s="604"/>
      <c r="DU20" s="567"/>
      <c r="DV20" s="3448"/>
      <c r="DW20" s="3461"/>
      <c r="DX20" s="562">
        <f ca="1">OFFSET(Sector1!$G$138,0,(COLUMN()-8)/6)</f>
        <v>1.0000000000104592E-5</v>
      </c>
      <c r="DY20" s="3457"/>
      <c r="DZ20" s="604"/>
      <c r="EA20" s="567"/>
      <c r="EB20" s="3448"/>
      <c r="EC20" s="3461"/>
      <c r="ED20" s="562">
        <f ca="1">OFFSET(Sector1!$G$138,0,(COLUMN()-8)/6)</f>
        <v>9.9999999999909054E-6</v>
      </c>
      <c r="EE20" s="3457"/>
      <c r="EF20" s="604"/>
      <c r="EG20" s="567"/>
      <c r="EH20" s="3448"/>
      <c r="EI20" s="3461"/>
      <c r="EJ20" s="562">
        <f ca="1">OFFSET(Sector1!$G$138,0,(COLUMN()-8)/6)</f>
        <v>9.9999999999909054E-6</v>
      </c>
      <c r="EK20" s="3457"/>
      <c r="EL20" s="604"/>
      <c r="EM20" s="567"/>
      <c r="EN20" s="3448"/>
      <c r="EO20" s="3461"/>
      <c r="EP20" s="562">
        <f ca="1">OFFSET(Sector1!$G$138,0,(COLUMN()-8)/6)</f>
        <v>9.9999999999909054E-6</v>
      </c>
      <c r="EQ20" s="3457"/>
      <c r="ER20" s="604"/>
      <c r="ES20" s="567"/>
      <c r="ET20" s="3448"/>
      <c r="EU20" s="3461"/>
      <c r="EV20" s="562">
        <f ca="1">OFFSET(Sector1!$G$138,0,(COLUMN()-8)/6)</f>
        <v>9.9999999999909054E-6</v>
      </c>
      <c r="EW20" s="3457"/>
      <c r="EX20" s="604"/>
    </row>
    <row r="21" spans="1:154" s="574" customFormat="1" ht="13.5" thickBot="1">
      <c r="A21" s="573"/>
      <c r="B21" s="564"/>
      <c r="C21" s="571"/>
      <c r="D21" s="572" t="s">
        <v>1490</v>
      </c>
      <c r="E21" s="567"/>
      <c r="F21" s="3448"/>
      <c r="G21" s="3461"/>
      <c r="H21" s="569">
        <f ca="1">OFFSET(Sector1!$G$139,0,(COLUMN()-8)/6)</f>
        <v>2.6940000000000002E-2</v>
      </c>
      <c r="I21" s="3457"/>
      <c r="J21" s="604"/>
      <c r="K21" s="567"/>
      <c r="L21" s="3448"/>
      <c r="M21" s="3461"/>
      <c r="N21" s="569">
        <f ca="1">OFFSET(Sector1!$G$139,0,(COLUMN()-8)/6)</f>
        <v>8.097E-2</v>
      </c>
      <c r="O21" s="3457"/>
      <c r="P21" s="604"/>
      <c r="Q21" s="567"/>
      <c r="R21" s="3448"/>
      <c r="S21" s="3461"/>
      <c r="T21" s="569">
        <f ca="1">OFFSET(Sector1!$G$139,0,(COLUMN()-8)/6)</f>
        <v>8.584E-2</v>
      </c>
      <c r="U21" s="3457"/>
      <c r="V21" s="604"/>
      <c r="W21" s="567"/>
      <c r="X21" s="3448"/>
      <c r="Y21" s="3461"/>
      <c r="Z21" s="569">
        <f ca="1">OFFSET(Sector1!$G$139,0,(COLUMN()-8)/6)</f>
        <v>0.14752999999999999</v>
      </c>
      <c r="AA21" s="3457"/>
      <c r="AB21" s="604"/>
      <c r="AC21" s="567"/>
      <c r="AD21" s="3448"/>
      <c r="AE21" s="3461"/>
      <c r="AF21" s="569">
        <f ca="1">OFFSET(Sector1!$G$139,0,(COLUMN()-8)/6)</f>
        <v>0.18694</v>
      </c>
      <c r="AG21" s="3457"/>
      <c r="AH21" s="604"/>
      <c r="AI21" s="567"/>
      <c r="AJ21" s="3448"/>
      <c r="AK21" s="3461"/>
      <c r="AL21" s="569">
        <f ca="1">OFFSET(Sector1!$G$139,0,(COLUMN()-8)/6)</f>
        <v>0.23169999999999999</v>
      </c>
      <c r="AM21" s="3457"/>
      <c r="AN21" s="604"/>
      <c r="AO21" s="567"/>
      <c r="AP21" s="3448"/>
      <c r="AQ21" s="3461"/>
      <c r="AR21" s="569">
        <f ca="1">OFFSET(Sector1!$G$139,0,(COLUMN()-8)/6)</f>
        <v>0.21352000000000002</v>
      </c>
      <c r="AS21" s="3457"/>
      <c r="AT21" s="604"/>
      <c r="AU21" s="567"/>
      <c r="AV21" s="3448"/>
      <c r="AW21" s="3461"/>
      <c r="AX21" s="569">
        <f ca="1">OFFSET(Sector1!$G$139,0,(COLUMN()-8)/6)</f>
        <v>0.19841</v>
      </c>
      <c r="AY21" s="3457"/>
      <c r="AZ21" s="604"/>
      <c r="BA21" s="567"/>
      <c r="BB21" s="3448"/>
      <c r="BC21" s="3461"/>
      <c r="BD21" s="569">
        <f ca="1">OFFSET(Sector1!$G$139,0,(COLUMN()-8)/6)</f>
        <v>0.20580999999999999</v>
      </c>
      <c r="BE21" s="3457"/>
      <c r="BF21" s="604"/>
      <c r="BG21" s="567"/>
      <c r="BH21" s="3448"/>
      <c r="BI21" s="3461"/>
      <c r="BJ21" s="569">
        <f ca="1">OFFSET(Sector1!$G$139,0,(COLUMN()-8)/6)</f>
        <v>0.16370999999999999</v>
      </c>
      <c r="BK21" s="3457"/>
      <c r="BL21" s="604"/>
      <c r="BM21" s="567"/>
      <c r="BN21" s="3448"/>
      <c r="BO21" s="3461"/>
      <c r="BP21" s="569">
        <f ca="1">OFFSET(Sector1!$G$139,0,(COLUMN()-8)/6)</f>
        <v>0.16072</v>
      </c>
      <c r="BQ21" s="3457"/>
      <c r="BR21" s="604"/>
      <c r="BS21" s="567"/>
      <c r="BT21" s="3448"/>
      <c r="BU21" s="3461"/>
      <c r="BV21" s="569">
        <f ca="1">OFFSET(Sector1!$G$139,0,(COLUMN()-8)/6)</f>
        <v>0.16800999999999999</v>
      </c>
      <c r="BW21" s="3457"/>
      <c r="BX21" s="604"/>
      <c r="BY21" s="567"/>
      <c r="BZ21" s="3448"/>
      <c r="CA21" s="3461"/>
      <c r="CB21" s="569">
        <f ca="1">OFFSET(Sector1!$G$139,0,(COLUMN()-8)/6)</f>
        <v>0.19231000000000001</v>
      </c>
      <c r="CC21" s="3457"/>
      <c r="CD21" s="604"/>
      <c r="CE21" s="567"/>
      <c r="CF21" s="3448"/>
      <c r="CG21" s="3461"/>
      <c r="CH21" s="569">
        <f ca="1">OFFSET(Sector1!$G$139,0,(COLUMN()-8)/6)</f>
        <v>0.21409999999999998</v>
      </c>
      <c r="CI21" s="3457"/>
      <c r="CJ21" s="604"/>
      <c r="CK21" s="567"/>
      <c r="CL21" s="3448"/>
      <c r="CM21" s="3461"/>
      <c r="CN21" s="569">
        <f ca="1">OFFSET(Sector1!$G$139,0,(COLUMN()-8)/6)</f>
        <v>0.3332</v>
      </c>
      <c r="CO21" s="3457"/>
      <c r="CP21" s="604"/>
      <c r="CQ21" s="567"/>
      <c r="CR21" s="3448"/>
      <c r="CS21" s="3461"/>
      <c r="CT21" s="569">
        <f ca="1">OFFSET(Sector1!$G$139,0,(COLUMN()-8)/6)</f>
        <v>0.50985999999999998</v>
      </c>
      <c r="CU21" s="3457"/>
      <c r="CV21" s="604"/>
      <c r="CW21" s="567"/>
      <c r="CX21" s="3448"/>
      <c r="CY21" s="3461"/>
      <c r="CZ21" s="569">
        <f ca="1">OFFSET(Sector1!$G$139,0,(COLUMN()-8)/6)</f>
        <v>0.57565</v>
      </c>
      <c r="DA21" s="3457"/>
      <c r="DB21" s="604"/>
      <c r="DC21" s="567"/>
      <c r="DD21" s="3448"/>
      <c r="DE21" s="3461"/>
      <c r="DF21" s="569">
        <f ca="1">OFFSET(Sector1!$G$139,0,(COLUMN()-8)/6)</f>
        <v>0.6585700000000001</v>
      </c>
      <c r="DG21" s="3457"/>
      <c r="DH21" s="604"/>
      <c r="DI21" s="567"/>
      <c r="DJ21" s="3448"/>
      <c r="DK21" s="3461"/>
      <c r="DL21" s="569">
        <f ca="1">OFFSET(Sector1!$G$139,0,(COLUMN()-8)/6)</f>
        <v>0.61480999999999997</v>
      </c>
      <c r="DM21" s="3457"/>
      <c r="DN21" s="604"/>
      <c r="DO21" s="567"/>
      <c r="DP21" s="3448"/>
      <c r="DQ21" s="3461"/>
      <c r="DR21" s="569">
        <f ca="1">OFFSET(Sector1!$G$139,0,(COLUMN()-8)/6)</f>
        <v>0.58675999999999995</v>
      </c>
      <c r="DS21" s="3457"/>
      <c r="DT21" s="604"/>
      <c r="DU21" s="567"/>
      <c r="DV21" s="3448"/>
      <c r="DW21" s="3461"/>
      <c r="DX21" s="569">
        <f ca="1">OFFSET(Sector1!$G$139,0,(COLUMN()-8)/6)</f>
        <v>0.56867999999999996</v>
      </c>
      <c r="DY21" s="3457"/>
      <c r="DZ21" s="604"/>
      <c r="EA21" s="567"/>
      <c r="EB21" s="3448"/>
      <c r="EC21" s="3461"/>
      <c r="ED21" s="569">
        <f ca="1">OFFSET(Sector1!$G$139,0,(COLUMN()-8)/6)</f>
        <v>0.51676999999999995</v>
      </c>
      <c r="EE21" s="3457"/>
      <c r="EF21" s="604"/>
      <c r="EG21" s="567"/>
      <c r="EH21" s="3448"/>
      <c r="EI21" s="3461"/>
      <c r="EJ21" s="569">
        <f ca="1">OFFSET(Sector1!$G$139,0,(COLUMN()-8)/6)</f>
        <v>0.49499999999999994</v>
      </c>
      <c r="EK21" s="3457"/>
      <c r="EL21" s="604"/>
      <c r="EM21" s="567"/>
      <c r="EN21" s="3448"/>
      <c r="EO21" s="3461"/>
      <c r="EP21" s="569">
        <f ca="1">OFFSET(Sector1!$G$139,0,(COLUMN()-8)/6)</f>
        <v>0.38500000000000001</v>
      </c>
      <c r="EQ21" s="3457"/>
      <c r="ER21" s="604"/>
      <c r="ES21" s="567"/>
      <c r="ET21" s="3448"/>
      <c r="EU21" s="3461"/>
      <c r="EV21" s="569">
        <f ca="1">OFFSET(Sector1!$G$139,0,(COLUMN()-8)/6)</f>
        <v>0.40100000000000002</v>
      </c>
      <c r="EW21" s="3457"/>
      <c r="EX21" s="604"/>
    </row>
    <row r="22" spans="1:154" s="557" customFormat="1" ht="12.75" customHeight="1">
      <c r="A22" s="555"/>
      <c r="B22" s="3445" t="s">
        <v>1769</v>
      </c>
      <c r="C22" s="3777" t="s">
        <v>1491</v>
      </c>
      <c r="D22" s="3778"/>
      <c r="E22" s="3454">
        <f ca="1">+F22+G22+H22</f>
        <v>7.7513200000000007</v>
      </c>
      <c r="F22" s="3454">
        <f ca="1">+F12+F13+F16-F17+F18</f>
        <v>5.3706200000000006</v>
      </c>
      <c r="G22" s="3454">
        <f ca="1">+G12+G13+G16-G17+G18</f>
        <v>1.1773300000000004</v>
      </c>
      <c r="H22" s="3454">
        <f ca="1">+H12+H13+H16-H17+H18</f>
        <v>1.2033699999999998</v>
      </c>
      <c r="I22" s="3455"/>
      <c r="J22" s="604"/>
      <c r="K22" s="3454">
        <f ca="1">+L22+M22+N22</f>
        <v>9.6132799999999978</v>
      </c>
      <c r="L22" s="3454">
        <f ca="1">+L12+L13+L16-L17+L18</f>
        <v>6.69069</v>
      </c>
      <c r="M22" s="3454">
        <f ca="1">+M12+M13+M16-M17+M18</f>
        <v>1.5767099999999994</v>
      </c>
      <c r="N22" s="3454">
        <f ca="1">+N12+N13+N16-N17+N18</f>
        <v>1.34588</v>
      </c>
      <c r="O22" s="3455"/>
      <c r="P22" s="604"/>
      <c r="Q22" s="3454">
        <f ca="1">+R22+S22+T22</f>
        <v>11.50229</v>
      </c>
      <c r="R22" s="3454">
        <f ca="1">+R12+R13+R16-R17+R18</f>
        <v>8.0481999999999996</v>
      </c>
      <c r="S22" s="3454">
        <f ca="1">+S12+S13+S16-S17+S18</f>
        <v>1.5746700000000009</v>
      </c>
      <c r="T22" s="3454">
        <f ca="1">+T12+T13+T16-T17+T18</f>
        <v>1.8794199999999999</v>
      </c>
      <c r="U22" s="3455"/>
      <c r="V22" s="604"/>
      <c r="W22" s="3454">
        <f ca="1">+X22+Y22+Z22</f>
        <v>12.73068</v>
      </c>
      <c r="X22" s="3454">
        <f ca="1">+X12+X13+X16-X17+X18</f>
        <v>9.3135399999999997</v>
      </c>
      <c r="Y22" s="3454">
        <f ca="1">+Y12+Y13+Y16-Y17+Y18</f>
        <v>1.3142299999999998</v>
      </c>
      <c r="Z22" s="3454">
        <f ca="1">+Z12+Z13+Z16-Z17+Z18</f>
        <v>2.1029099999999996</v>
      </c>
      <c r="AA22" s="3455"/>
      <c r="AB22" s="604"/>
      <c r="AC22" s="3454">
        <f ca="1">+AD22+AE22+AF22</f>
        <v>12.40929</v>
      </c>
      <c r="AD22" s="3454">
        <f ca="1">+AD12+AD13+AD16-AD17+AD18</f>
        <v>9.2510600000000007</v>
      </c>
      <c r="AE22" s="3454">
        <f ca="1">+AE12+AE13+AE16-AE17+AE18</f>
        <v>1.1393500000000001</v>
      </c>
      <c r="AF22" s="3454">
        <f ca="1">+AF12+AF13+AF16-AF17+AF18</f>
        <v>2.0188799999999998</v>
      </c>
      <c r="AG22" s="3455"/>
      <c r="AH22" s="604"/>
      <c r="AI22" s="3454">
        <f ca="1">+AJ22+AK22+AL22</f>
        <v>13.128319999999999</v>
      </c>
      <c r="AJ22" s="3454">
        <f ca="1">+AJ12+AJ13+AJ16-AJ17+AJ18</f>
        <v>10.000599999999999</v>
      </c>
      <c r="AK22" s="3454">
        <f ca="1">+AK12+AK13+AK16-AK17+AK18</f>
        <v>1.1689500000000006</v>
      </c>
      <c r="AL22" s="3454">
        <f ca="1">+AL12+AL13+AL16-AL17+AL18</f>
        <v>1.9587700000000003</v>
      </c>
      <c r="AM22" s="3455"/>
      <c r="AN22" s="604"/>
      <c r="AO22" s="3454">
        <f ca="1">+AP22+AQ22+AR22</f>
        <v>14.002979999999997</v>
      </c>
      <c r="AP22" s="3454">
        <f ca="1">+AP12+AP13+AP16-AP17+AP18</f>
        <v>10.260169999999999</v>
      </c>
      <c r="AQ22" s="3454">
        <f ca="1">+AQ12+AQ13+AQ16-AQ17+AQ18</f>
        <v>1.6861199999999998</v>
      </c>
      <c r="AR22" s="3454">
        <f ca="1">+AR12+AR13+AR16-AR17+AR18</f>
        <v>2.0566899999999997</v>
      </c>
      <c r="AS22" s="3455"/>
      <c r="AT22" s="604"/>
      <c r="AU22" s="3454">
        <f ca="1">+AV22+AW22+AX22</f>
        <v>15.041480000000002</v>
      </c>
      <c r="AV22" s="3454">
        <f ca="1">+AV12+AV13+AV16-AV17+AV18</f>
        <v>11.05734</v>
      </c>
      <c r="AW22" s="3454">
        <f ca="1">+AW12+AW13+AW16-AW17+AW18</f>
        <v>1.8079600000000013</v>
      </c>
      <c r="AX22" s="3454">
        <f ca="1">+AX12+AX13+AX16-AX17+AX18</f>
        <v>2.1761800000000004</v>
      </c>
      <c r="AY22" s="3455"/>
      <c r="AZ22" s="604"/>
      <c r="BA22" s="3454">
        <f ca="1">+BB22+BC22+BD22</f>
        <v>16.255590000000002</v>
      </c>
      <c r="BB22" s="3454">
        <f ca="1">+BB12+BB13+BB16-BB17+BB18</f>
        <v>11.780200000000001</v>
      </c>
      <c r="BC22" s="3454">
        <f ca="1">+BC12+BC13+BC16-BC17+BC18</f>
        <v>2.2431100000000024</v>
      </c>
      <c r="BD22" s="3454">
        <f ca="1">+BD12+BD13+BD16-BD17+BD18</f>
        <v>2.2322799999999998</v>
      </c>
      <c r="BE22" s="3455"/>
      <c r="BF22" s="604"/>
      <c r="BG22" s="3454">
        <f ca="1">+BH22+BI22+BJ22</f>
        <v>17.882659999999998</v>
      </c>
      <c r="BH22" s="3454">
        <f ca="1">+BH12+BH13+BH16-BH17+BH18</f>
        <v>13.746009999999998</v>
      </c>
      <c r="BI22" s="3454">
        <f ca="1">+BI12+BI13+BI16-BI17+BI18</f>
        <v>1.747679999999999</v>
      </c>
      <c r="BJ22" s="3454">
        <f ca="1">+BJ12+BJ13+BJ16-BJ17+BJ18</f>
        <v>2.3889700000000005</v>
      </c>
      <c r="BK22" s="3455"/>
      <c r="BL22" s="604"/>
      <c r="BM22" s="3454">
        <f ca="1">+BN22+BO22+BP22</f>
        <v>20.721539999999997</v>
      </c>
      <c r="BN22" s="3454">
        <f ca="1">+BN12+BN13+BN16-BN17+BN18</f>
        <v>14.983259999999998</v>
      </c>
      <c r="BO22" s="3454">
        <f ca="1">+BO12+BO13+BO16-BO17+BO18</f>
        <v>2.9794000000000018</v>
      </c>
      <c r="BP22" s="3454">
        <f ca="1">+BP12+BP13+BP16-BP17+BP18</f>
        <v>2.7588799999999991</v>
      </c>
      <c r="BQ22" s="3455"/>
      <c r="BR22" s="604"/>
      <c r="BS22" s="3454">
        <f ca="1">+BT22+BU22+BV22</f>
        <v>23.619689999999999</v>
      </c>
      <c r="BT22" s="3454">
        <f ca="1">+BT12+BT13+BT16-BT17+BT18</f>
        <v>17.508610000000001</v>
      </c>
      <c r="BU22" s="3454">
        <f ca="1">+BU12+BU13+BU16-BU17+BU18</f>
        <v>2.9605699999999979</v>
      </c>
      <c r="BV22" s="3454">
        <f ca="1">+BV12+BV13+BV16-BV17+BV18</f>
        <v>3.1505099999999993</v>
      </c>
      <c r="BW22" s="3455"/>
      <c r="BX22" s="604"/>
      <c r="BY22" s="3454">
        <f ca="1">+BZ22+CA22+CB22</f>
        <v>27.947279999999999</v>
      </c>
      <c r="BZ22" s="3454">
        <f ca="1">+BZ12+BZ13+BZ16-BZ17+BZ18</f>
        <v>18.852180000000001</v>
      </c>
      <c r="CA22" s="3454">
        <f ca="1">+CA12+CA13+CA16-CA17+CA18</f>
        <v>5.2844300000000013</v>
      </c>
      <c r="CB22" s="3454">
        <f ca="1">+CB12+CB13+CB16-CB17+CB18</f>
        <v>3.8106699999999996</v>
      </c>
      <c r="CC22" s="3455"/>
      <c r="CD22" s="604"/>
      <c r="CE22" s="3454">
        <f ca="1">+CF22+CG22+CH22</f>
        <v>31.581499999999998</v>
      </c>
      <c r="CF22" s="3454">
        <f ca="1">+CF12+CF13+CF16-CF17+CF18</f>
        <v>21.641190000000002</v>
      </c>
      <c r="CG22" s="3454">
        <f ca="1">+CG12+CG13+CG16-CG17+CG18</f>
        <v>5.5674399999999995</v>
      </c>
      <c r="CH22" s="3454">
        <f ca="1">+CH12+CH13+CH16-CH17+CH18</f>
        <v>4.3728700000000007</v>
      </c>
      <c r="CI22" s="3455"/>
      <c r="CJ22" s="604"/>
      <c r="CK22" s="3454">
        <f ca="1">+CL22+CM22+CN22</f>
        <v>27.4376</v>
      </c>
      <c r="CL22" s="3454">
        <f ca="1">+CL12+CL13+CL16-CL17+CL18</f>
        <v>18.60228</v>
      </c>
      <c r="CM22" s="3454">
        <f ca="1">+CM12+CM13+CM16-CM17+CM18</f>
        <v>5.2392099999999999</v>
      </c>
      <c r="CN22" s="3454">
        <f ca="1">+CN12+CN13+CN16-CN17+CN18</f>
        <v>3.5961099999999999</v>
      </c>
      <c r="CO22" s="3455"/>
      <c r="CP22" s="604"/>
      <c r="CQ22" s="3454">
        <f ca="1">+CR22+CS22+CT22</f>
        <v>27.505589999999991</v>
      </c>
      <c r="CR22" s="3454">
        <f ca="1">+CR12+CR13+CR16-CR17+CR18</f>
        <v>18.722679999999997</v>
      </c>
      <c r="CS22" s="3454">
        <f ca="1">+CS12+CS13+CS16-CS17+CS18</f>
        <v>5.1036299999999946</v>
      </c>
      <c r="CT22" s="3454">
        <f ca="1">+CT12+CT13+CT16-CT17+CT18</f>
        <v>3.6792800000000003</v>
      </c>
      <c r="CU22" s="3455"/>
      <c r="CV22" s="604"/>
      <c r="CW22" s="3454">
        <f ca="1">+CX22+CY22+CZ22</f>
        <v>30.127300000000005</v>
      </c>
      <c r="CX22" s="3454">
        <f ca="1">+CX12+CX13+CX16-CX17+CX18</f>
        <v>20.241990000000001</v>
      </c>
      <c r="CY22" s="3454">
        <f ca="1">+CY12+CY13+CY16-CY17+CY18</f>
        <v>5.8938000000000033</v>
      </c>
      <c r="CZ22" s="3454">
        <f ca="1">+CZ12+CZ13+CZ16-CZ17+CZ18</f>
        <v>3.9915100000000012</v>
      </c>
      <c r="DA22" s="3455"/>
      <c r="DB22" s="604"/>
      <c r="DC22" s="3454">
        <f ca="1">+DD22+DE22+DF22</f>
        <v>32.342309999999998</v>
      </c>
      <c r="DD22" s="3454">
        <f ca="1">+DD12+DD13+DD16-DD17+DD18</f>
        <v>21.375989999999998</v>
      </c>
      <c r="DE22" s="3454">
        <f ca="1">+DE12+DE13+DE16-DE17+DE18</f>
        <v>6.8257399999999997</v>
      </c>
      <c r="DF22" s="3454">
        <f ca="1">+DF12+DF13+DF16-DF17+DF18</f>
        <v>4.1405799999999999</v>
      </c>
      <c r="DG22" s="3455"/>
      <c r="DH22" s="604"/>
      <c r="DI22" s="3454">
        <f ca="1">+DJ22+DK22+DL22</f>
        <v>34.049959999999999</v>
      </c>
      <c r="DJ22" s="3454">
        <f ca="1">+DJ12+DJ13+DJ16-DJ17+DJ18</f>
        <v>22.276679999999999</v>
      </c>
      <c r="DK22" s="3454">
        <f ca="1">+DK12+DK13+DK16-DK17+DK18</f>
        <v>7.5037099999999972</v>
      </c>
      <c r="DL22" s="3454">
        <f ca="1">+DL12+DL13+DL16-DL17+DL18</f>
        <v>4.2695699999999999</v>
      </c>
      <c r="DM22" s="3455"/>
      <c r="DN22" s="604"/>
      <c r="DO22" s="3454">
        <f ca="1">+DP22+DQ22+DR22</f>
        <v>36.09348</v>
      </c>
      <c r="DP22" s="3454">
        <f ca="1">+DP12+DP13+DP16-DP17+DP18</f>
        <v>22.86983</v>
      </c>
      <c r="DQ22" s="3454">
        <f ca="1">+DQ12+DQ13+DQ16-DQ17+DQ18</f>
        <v>8.6331299999999978</v>
      </c>
      <c r="DR22" s="3454">
        <f ca="1">+DR12+DR13+DR16-DR17+DR18</f>
        <v>4.5905199999999997</v>
      </c>
      <c r="DS22" s="3455"/>
      <c r="DT22" s="604"/>
      <c r="DU22" s="3454">
        <f ca="1">+DV22+DW22+DX22</f>
        <v>35.902650000000008</v>
      </c>
      <c r="DV22" s="3454">
        <f ca="1">+DV12+DV13+DV16-DV17+DV18</f>
        <v>24.079980000000003</v>
      </c>
      <c r="DW22" s="3454">
        <f ca="1">+DW12+DW13+DW16-DW17+DW18</f>
        <v>6.9432600000000013</v>
      </c>
      <c r="DX22" s="3454">
        <f ca="1">+DX12+DX13+DX16-DX17+DX18</f>
        <v>4.8794100000000009</v>
      </c>
      <c r="DY22" s="3455"/>
      <c r="DZ22" s="604"/>
      <c r="EA22" s="3454">
        <f ca="1">+EB22+EC22+ED22</f>
        <v>37.143280000000004</v>
      </c>
      <c r="EB22" s="3454">
        <f ca="1">+EB12+EB13+EB16-EB17+EB18</f>
        <v>25.58071</v>
      </c>
      <c r="EC22" s="3454">
        <f ca="1">+EC12+EC13+EC16-EC17+EC18</f>
        <v>6.3777800000000004</v>
      </c>
      <c r="ED22" s="3454">
        <f ca="1">+ED12+ED13+ED16-ED17+ED18</f>
        <v>5.1847900000000013</v>
      </c>
      <c r="EE22" s="3455"/>
      <c r="EF22" s="604"/>
      <c r="EG22" s="3454">
        <f ca="1">+EH22+EI22+EJ22</f>
        <v>40.34046</v>
      </c>
      <c r="EH22" s="3454">
        <f ca="1">+EH12+EH13+EH16-EH17+EH18</f>
        <v>27.414501749999999</v>
      </c>
      <c r="EI22" s="3454">
        <f ca="1">+EI12+EI13+EI16-EI17+EI18</f>
        <v>7.2511712700000031</v>
      </c>
      <c r="EJ22" s="3454">
        <f ca="1">+EJ12+EJ13+EJ16-EJ17+EJ18</f>
        <v>5.6747869800000004</v>
      </c>
      <c r="EK22" s="3455"/>
      <c r="EL22" s="604"/>
      <c r="EM22" s="3454">
        <f ca="1">+EN22+EO22+EP22</f>
        <v>42.664720784957275</v>
      </c>
      <c r="EN22" s="3454">
        <f ca="1">+EN12+EN13+EN16-EN17+EN18</f>
        <v>28.718456249238734</v>
      </c>
      <c r="EO22" s="3454">
        <f ca="1">+EO12+EO13+EO16-EO17+EO18</f>
        <v>7.8057300080993279</v>
      </c>
      <c r="EP22" s="3454">
        <f ca="1">+EP12+EP13+EP16-EP17+EP18</f>
        <v>6.1405345276192165</v>
      </c>
      <c r="EQ22" s="3455"/>
      <c r="ER22" s="604"/>
      <c r="ES22" s="3454">
        <f ca="1">+ET22+EU22+EV22</f>
        <v>45.098505941975503</v>
      </c>
      <c r="ET22" s="3454">
        <f ca="1">+ET12+ET13+ET16-ET17+ET18</f>
        <v>30.212072336758247</v>
      </c>
      <c r="EU22" s="3454">
        <f ca="1">+EU12+EU13+EU16-EU17+EU18</f>
        <v>8.4488074738879675</v>
      </c>
      <c r="EV22" s="3454">
        <f ca="1">+EV12+EV13+EV16-EV17+EV18</f>
        <v>6.4376261313292922</v>
      </c>
      <c r="EW22" s="3455"/>
      <c r="EX22" s="604"/>
    </row>
    <row r="23" spans="1:154" s="217" customFormat="1" ht="13.5" customHeight="1" thickBot="1">
      <c r="A23" s="553"/>
      <c r="B23" s="600" t="s">
        <v>1767</v>
      </c>
      <c r="C23" s="3779" t="s">
        <v>614</v>
      </c>
      <c r="D23" s="3780"/>
      <c r="E23" s="3458">
        <f ca="1">+F23+G23+H23+H27+I23</f>
        <v>0.65282000000000007</v>
      </c>
      <c r="F23" s="3448"/>
      <c r="G23" s="3448"/>
      <c r="H23" s="3449">
        <f ca="1">OFFSET(Sector1!$G$205,0,(COLUMN()-8)/6)</f>
        <v>0.65282000000000007</v>
      </c>
      <c r="I23" s="3449"/>
      <c r="J23" s="604"/>
      <c r="K23" s="3458">
        <f ca="1">+L23+M23+N23</f>
        <v>0.77739000000000003</v>
      </c>
      <c r="L23" s="3448"/>
      <c r="M23" s="3448"/>
      <c r="N23" s="3449">
        <f ca="1">OFFSET(Sector1!$G$205,0,(COLUMN()-8)/6)</f>
        <v>0.77739000000000003</v>
      </c>
      <c r="O23" s="3449"/>
      <c r="P23" s="604"/>
      <c r="Q23" s="3458">
        <f ca="1">+R23+S23+T23</f>
        <v>1.02521</v>
      </c>
      <c r="R23" s="3448"/>
      <c r="S23" s="3448"/>
      <c r="T23" s="3449">
        <f ca="1">OFFSET(Sector1!$G$205,0,(COLUMN()-8)/6)</f>
        <v>1.02521</v>
      </c>
      <c r="U23" s="3449"/>
      <c r="V23" s="604"/>
      <c r="W23" s="3458">
        <f ca="1">+X23+Y23+Z23</f>
        <v>1.17039</v>
      </c>
      <c r="X23" s="3448"/>
      <c r="Y23" s="3448"/>
      <c r="Z23" s="3449">
        <f ca="1">OFFSET(Sector1!$G$205,0,(COLUMN()-8)/6)</f>
        <v>1.17039</v>
      </c>
      <c r="AA23" s="3449"/>
      <c r="AB23" s="604"/>
      <c r="AC23" s="3458">
        <f ca="1">+AD23+AE23+AF23</f>
        <v>1.1596099999999998</v>
      </c>
      <c r="AD23" s="3448"/>
      <c r="AE23" s="3448"/>
      <c r="AF23" s="3449">
        <f ca="1">OFFSET(Sector1!$G$205,0,(COLUMN()-8)/6)</f>
        <v>1.1596099999999998</v>
      </c>
      <c r="AG23" s="3449"/>
      <c r="AH23" s="604"/>
      <c r="AI23" s="3458">
        <f ca="1">+AJ23+AK23+AL23</f>
        <v>1.1185</v>
      </c>
      <c r="AJ23" s="3448"/>
      <c r="AK23" s="3448"/>
      <c r="AL23" s="3449">
        <f ca="1">OFFSET(Sector1!$G$205,0,(COLUMN()-8)/6)</f>
        <v>1.1185</v>
      </c>
      <c r="AM23" s="3449"/>
      <c r="AN23" s="604"/>
      <c r="AO23" s="3458">
        <f ca="1">+AP23+AQ23+AR23</f>
        <v>1.1014699999999999</v>
      </c>
      <c r="AP23" s="3448"/>
      <c r="AQ23" s="3448"/>
      <c r="AR23" s="3449">
        <f ca="1">OFFSET(Sector1!$G$205,0,(COLUMN()-8)/6)</f>
        <v>1.1014699999999999</v>
      </c>
      <c r="AS23" s="3449"/>
      <c r="AT23" s="604"/>
      <c r="AU23" s="3458">
        <f ca="1">+AV23+AW23+AX23</f>
        <v>1.12815</v>
      </c>
      <c r="AV23" s="3448"/>
      <c r="AW23" s="3448"/>
      <c r="AX23" s="3449">
        <f ca="1">OFFSET(Sector1!$G$205,0,(COLUMN()-8)/6)</f>
        <v>1.12815</v>
      </c>
      <c r="AY23" s="3449"/>
      <c r="AZ23" s="604"/>
      <c r="BA23" s="3458">
        <f ca="1">+BB23+BC23+BD23</f>
        <v>1.31376</v>
      </c>
      <c r="BB23" s="3448"/>
      <c r="BC23" s="3448"/>
      <c r="BD23" s="3449">
        <f ca="1">OFFSET(Sector1!$G$205,0,(COLUMN()-8)/6)</f>
        <v>1.31376</v>
      </c>
      <c r="BE23" s="3449"/>
      <c r="BF23" s="604"/>
      <c r="BG23" s="3458">
        <f ca="1">+BH23+BI23+BJ23</f>
        <v>1.57897</v>
      </c>
      <c r="BH23" s="3448"/>
      <c r="BI23" s="3448"/>
      <c r="BJ23" s="3449">
        <f ca="1">OFFSET(Sector1!$G$205,0,(COLUMN()-8)/6)</f>
        <v>1.57897</v>
      </c>
      <c r="BK23" s="3449"/>
      <c r="BL23" s="604"/>
      <c r="BM23" s="3458">
        <f ca="1">+BN23+BO23+BP23</f>
        <v>1.8784799999999999</v>
      </c>
      <c r="BN23" s="3448"/>
      <c r="BO23" s="3448"/>
      <c r="BP23" s="3449">
        <f ca="1">OFFSET(Sector1!$G$205,0,(COLUMN()-8)/6)</f>
        <v>1.8784799999999999</v>
      </c>
      <c r="BQ23" s="3449"/>
      <c r="BR23" s="604"/>
      <c r="BS23" s="3458">
        <f ca="1">+BT23+BU23+BV23</f>
        <v>2.2994699999999999</v>
      </c>
      <c r="BT23" s="3448"/>
      <c r="BU23" s="3448"/>
      <c r="BV23" s="3449">
        <f ca="1">OFFSET(Sector1!$G$205,0,(COLUMN()-8)/6)</f>
        <v>2.2994699999999999</v>
      </c>
      <c r="BW23" s="3449"/>
      <c r="BX23" s="604"/>
      <c r="BY23" s="3458">
        <f ca="1">+BZ23+CA23+CB23</f>
        <v>2.6336900000000001</v>
      </c>
      <c r="BZ23" s="3448"/>
      <c r="CA23" s="3448"/>
      <c r="CB23" s="3449">
        <f ca="1">OFFSET(Sector1!$G$205,0,(COLUMN()-8)/6)</f>
        <v>2.6336900000000001</v>
      </c>
      <c r="CC23" s="3449"/>
      <c r="CD23" s="604"/>
      <c r="CE23" s="3458">
        <f ca="1">+CF23+CG23+CH23</f>
        <v>3.0165999999999999</v>
      </c>
      <c r="CF23" s="3448"/>
      <c r="CG23" s="3448"/>
      <c r="CH23" s="3449">
        <f ca="1">OFFSET(Sector1!$G$205,0,(COLUMN()-8)/6)</f>
        <v>3.0165999999999999</v>
      </c>
      <c r="CI23" s="3449"/>
      <c r="CJ23" s="604"/>
      <c r="CK23" s="3458">
        <f ca="1">+CL23+CM23+CN23</f>
        <v>1.5983099999999999</v>
      </c>
      <c r="CL23" s="3448"/>
      <c r="CM23" s="3448"/>
      <c r="CN23" s="3449">
        <f ca="1">OFFSET(Sector1!$G$205,0,(COLUMN()-8)/6)</f>
        <v>1.5983099999999999</v>
      </c>
      <c r="CO23" s="3449"/>
      <c r="CP23" s="604"/>
      <c r="CQ23" s="3458">
        <f ca="1">+CR23+CS23+CT23</f>
        <v>1.2940499999999999</v>
      </c>
      <c r="CR23" s="3448"/>
      <c r="CS23" s="3448"/>
      <c r="CT23" s="3449">
        <f ca="1">OFFSET(Sector1!$G$205,0,(COLUMN()-8)/6)</f>
        <v>1.2940499999999999</v>
      </c>
      <c r="CU23" s="3449"/>
      <c r="CV23" s="604"/>
      <c r="CW23" s="3458">
        <f ca="1">+CX23+CY23+CZ23</f>
        <v>1.3590799999999998</v>
      </c>
      <c r="CX23" s="3448"/>
      <c r="CY23" s="3448"/>
      <c r="CZ23" s="3449">
        <f ca="1">OFFSET(Sector1!$G$205,0,(COLUMN()-8)/6)</f>
        <v>1.3590799999999998</v>
      </c>
      <c r="DA23" s="3449"/>
      <c r="DB23" s="604"/>
      <c r="DC23" s="3458">
        <f ca="1">+DD23+DE23+DF23</f>
        <v>1.60755</v>
      </c>
      <c r="DD23" s="3448"/>
      <c r="DE23" s="3448"/>
      <c r="DF23" s="3449">
        <f ca="1">OFFSET(Sector1!$G$205,0,(COLUMN()-8)/6)</f>
        <v>1.60755</v>
      </c>
      <c r="DG23" s="3449"/>
      <c r="DH23" s="604"/>
      <c r="DI23" s="3458">
        <f ca="1">+DJ23+DK23+DL23</f>
        <v>1.7361900000000001</v>
      </c>
      <c r="DJ23" s="3448"/>
      <c r="DK23" s="3448"/>
      <c r="DL23" s="3449">
        <f ca="1">OFFSET(Sector1!$G$205,0,(COLUMN()-8)/6)</f>
        <v>1.7361900000000001</v>
      </c>
      <c r="DM23" s="3449"/>
      <c r="DN23" s="604"/>
      <c r="DO23" s="3458">
        <f ca="1">+DP23+DQ23+DR23</f>
        <v>1.83673</v>
      </c>
      <c r="DP23" s="3448"/>
      <c r="DQ23" s="3448"/>
      <c r="DR23" s="3449">
        <f ca="1">OFFSET(Sector1!$G$205,0,(COLUMN()-8)/6)</f>
        <v>1.83673</v>
      </c>
      <c r="DS23" s="3449"/>
      <c r="DT23" s="604"/>
      <c r="DU23" s="3458">
        <f ca="1">+DV23+DW23+DX23</f>
        <v>2.0321899999999999</v>
      </c>
      <c r="DV23" s="3448"/>
      <c r="DW23" s="3448"/>
      <c r="DX23" s="3449">
        <f ca="1">OFFSET(Sector1!$G$205,0,(COLUMN()-8)/6)</f>
        <v>2.0321899999999999</v>
      </c>
      <c r="DY23" s="3449"/>
      <c r="DZ23" s="604"/>
      <c r="EA23" s="3458">
        <f ca="1">+EB23+EC23+ED23</f>
        <v>2.1945000000000001</v>
      </c>
      <c r="EB23" s="3448"/>
      <c r="EC23" s="3448"/>
      <c r="ED23" s="3449">
        <f ca="1">OFFSET(Sector1!$G$205,0,(COLUMN()-8)/6)</f>
        <v>2.1945000000000001</v>
      </c>
      <c r="EE23" s="3449"/>
      <c r="EF23" s="604"/>
      <c r="EG23" s="3458">
        <f ca="1">+EH23+EI23+EJ23</f>
        <v>2.3153593839999997</v>
      </c>
      <c r="EH23" s="3462"/>
      <c r="EI23" s="3462"/>
      <c r="EJ23" s="3449">
        <f ca="1">OFFSET(Sector1!$G$205,0,(COLUMN()-8)/6)</f>
        <v>2.3153593839999997</v>
      </c>
      <c r="EK23" s="3449"/>
      <c r="EL23" s="604"/>
      <c r="EM23" s="3458">
        <f ca="1">+EN23+EO23+EP23</f>
        <v>2.3945682130239994</v>
      </c>
      <c r="EN23" s="3448"/>
      <c r="EO23" s="3448"/>
      <c r="EP23" s="3449">
        <f ca="1">OFFSET(Sector1!$G$205,0,(COLUMN()-8)/6)</f>
        <v>2.3945682130239994</v>
      </c>
      <c r="EQ23" s="3449"/>
      <c r="ER23" s="604"/>
      <c r="ES23" s="3458">
        <f ca="1">+ET23+EU23+EV23</f>
        <v>2.5256978838147841</v>
      </c>
      <c r="ET23" s="3448"/>
      <c r="EU23" s="3448"/>
      <c r="EV23" s="3449">
        <f ca="1">OFFSET(Sector1!$G$205,0,(COLUMN()-8)/6)</f>
        <v>2.5256978838147841</v>
      </c>
      <c r="EW23" s="3449"/>
      <c r="EX23" s="604"/>
    </row>
    <row r="24" spans="1:154" ht="12.75" customHeight="1">
      <c r="A24" s="553"/>
      <c r="B24" s="600" t="s">
        <v>1767</v>
      </c>
      <c r="C24" s="3779" t="s">
        <v>567</v>
      </c>
      <c r="D24" s="3780"/>
      <c r="E24" s="3458" t="e">
        <f ca="1">+F24+G24+H24+I24</f>
        <v>#VALUE!</v>
      </c>
      <c r="F24" s="3449">
        <f ca="1">OFFSET(Sector1!$G$256,0,(COLUMN()-6)/6)</f>
        <v>2.8000000000000003E-4</v>
      </c>
      <c r="G24" s="3449">
        <f ca="1">OFFSET(Sector1!$G$257,0,(COLUMN()-7)/6)</f>
        <v>4.4400000000000004E-3</v>
      </c>
      <c r="H24" s="3459">
        <f ca="1">+H25+H26</f>
        <v>0.56044000000000005</v>
      </c>
      <c r="I24" s="3449" t="e">
        <f ca="1">OFFSET(Sector1!$G$258,0,(COLUMN()-9)/6)</f>
        <v>#VALUE!</v>
      </c>
      <c r="J24" s="604"/>
      <c r="K24" s="3458">
        <f ca="1">+L24+M24+N24</f>
        <v>0.75263000000000002</v>
      </c>
      <c r="L24" s="3449">
        <f ca="1">OFFSET(Sector1!$G$256,0,(COLUMN()-6)/6)</f>
        <v>2.2000000000000003E-4</v>
      </c>
      <c r="M24" s="3449">
        <f ca="1">OFFSET(Sector1!$G$257,0,(COLUMN()-7)/6)</f>
        <v>4.1399999999999996E-3</v>
      </c>
      <c r="N24" s="3459">
        <f ca="1">+N25+N26</f>
        <v>0.74826999999999999</v>
      </c>
      <c r="O24" s="3449" t="e">
        <f ca="1">OFFSET(Sector1!$G$258,0,(COLUMN()-9)/6)</f>
        <v>#VALUE!</v>
      </c>
      <c r="P24" s="604"/>
      <c r="Q24" s="3458">
        <f ca="1">+R24+S24+T24</f>
        <v>1.0605099999999998</v>
      </c>
      <c r="R24" s="3449">
        <f ca="1">OFFSET(Sector1!$G$256,0,(COLUMN()-6)/6)</f>
        <v>3.3E-4</v>
      </c>
      <c r="S24" s="3449">
        <f ca="1">OFFSET(Sector1!$G$257,0,(COLUMN()-7)/6)</f>
        <v>5.7199999999999994E-3</v>
      </c>
      <c r="T24" s="3459">
        <f ca="1">+T25+T26</f>
        <v>1.05446</v>
      </c>
      <c r="U24" s="3449" t="e">
        <f ca="1">OFFSET(Sector1!$G$258,0,(COLUMN()-9)/6)</f>
        <v>#VALUE!</v>
      </c>
      <c r="V24" s="604"/>
      <c r="W24" s="3458">
        <f ca="1">+X24+Y24+Z24</f>
        <v>1.3106399999999998</v>
      </c>
      <c r="X24" s="3449">
        <f ca="1">OFFSET(Sector1!$G$256,0,(COLUMN()-6)/6)</f>
        <v>4.9000000000000009E-4</v>
      </c>
      <c r="Y24" s="3449">
        <f ca="1">OFFSET(Sector1!$G$257,0,(COLUMN()-7)/6)</f>
        <v>7.0899999999999999E-3</v>
      </c>
      <c r="Z24" s="3459">
        <f ca="1">+Z25+Z26</f>
        <v>1.3030599999999999</v>
      </c>
      <c r="AA24" s="3449" t="e">
        <f ca="1">OFFSET(Sector1!$G$258,0,(COLUMN()-9)/6)</f>
        <v>#VALUE!</v>
      </c>
      <c r="AB24" s="604"/>
      <c r="AC24" s="3458">
        <f ca="1">+AD24+AE24+AF24</f>
        <v>1.2953199999999998</v>
      </c>
      <c r="AD24" s="3449">
        <f ca="1">OFFSET(Sector1!$G$256,0,(COLUMN()-6)/6)</f>
        <v>3.5000000000000005E-4</v>
      </c>
      <c r="AE24" s="3449">
        <f ca="1">OFFSET(Sector1!$G$257,0,(COLUMN()-7)/6)</f>
        <v>7.7400000000000004E-3</v>
      </c>
      <c r="AF24" s="3459">
        <f ca="1">+AF25+AF26</f>
        <v>1.2872299999999999</v>
      </c>
      <c r="AG24" s="3449" t="e">
        <f ca="1">OFFSET(Sector1!$G$258,0,(COLUMN()-9)/6)</f>
        <v>#VALUE!</v>
      </c>
      <c r="AH24" s="604"/>
      <c r="AI24" s="3458">
        <f ca="1">+AJ24+AK24+AL24</f>
        <v>1.3715199999999999</v>
      </c>
      <c r="AJ24" s="3449">
        <f ca="1">OFFSET(Sector1!$G$256,0,(COLUMN()-6)/6)</f>
        <v>4.6000000000000001E-4</v>
      </c>
      <c r="AK24" s="3449">
        <f ca="1">OFFSET(Sector1!$G$257,0,(COLUMN()-7)/6)</f>
        <v>6.1700000000000001E-3</v>
      </c>
      <c r="AL24" s="3459">
        <f ca="1">+AL25+AL26</f>
        <v>1.3648899999999999</v>
      </c>
      <c r="AM24" s="3449" t="e">
        <f ca="1">OFFSET(Sector1!$G$258,0,(COLUMN()-9)/6)</f>
        <v>#VALUE!</v>
      </c>
      <c r="AN24" s="604"/>
      <c r="AO24" s="3458">
        <f ca="1">+AP24+AQ24+AR24</f>
        <v>1.38411</v>
      </c>
      <c r="AP24" s="3449">
        <f ca="1">OFFSET(Sector1!$G$256,0,(COLUMN()-6)/6)</f>
        <v>4.0000000000000002E-4</v>
      </c>
      <c r="AQ24" s="3449">
        <f ca="1">OFFSET(Sector1!$G$257,0,(COLUMN()-7)/6)</f>
        <v>4.5999999999999999E-3</v>
      </c>
      <c r="AR24" s="3459">
        <f ca="1">+AR25+AR26</f>
        <v>1.3791100000000001</v>
      </c>
      <c r="AS24" s="3449" t="e">
        <f ca="1">OFFSET(Sector1!$G$258,0,(COLUMN()-9)/6)</f>
        <v>#VALUE!</v>
      </c>
      <c r="AT24" s="604"/>
      <c r="AU24" s="3458">
        <f ca="1">+AV24+AW24+AX24</f>
        <v>1.4299500000000001</v>
      </c>
      <c r="AV24" s="3449">
        <f ca="1">OFFSET(Sector1!$G$256,0,(COLUMN()-6)/6)</f>
        <v>3.7000000000000005E-4</v>
      </c>
      <c r="AW24" s="3449">
        <f ca="1">OFFSET(Sector1!$G$257,0,(COLUMN()-7)/6)</f>
        <v>4.3699999999999998E-3</v>
      </c>
      <c r="AX24" s="3459">
        <f ca="1">+AX25+AX26</f>
        <v>1.4252100000000001</v>
      </c>
      <c r="AY24" s="3449" t="e">
        <f ca="1">OFFSET(Sector1!$G$258,0,(COLUMN()-9)/6)</f>
        <v>#VALUE!</v>
      </c>
      <c r="AZ24" s="604"/>
      <c r="BA24" s="3458">
        <f ca="1">+BB24+BC24+BD24</f>
        <v>1.5413100000000002</v>
      </c>
      <c r="BB24" s="3449">
        <f ca="1">OFFSET(Sector1!$G$256,0,(COLUMN()-6)/6)</f>
        <v>4.2000000000000002E-4</v>
      </c>
      <c r="BC24" s="3449">
        <f ca="1">OFFSET(Sector1!$G$257,0,(COLUMN()-7)/6)</f>
        <v>5.2900000000000004E-3</v>
      </c>
      <c r="BD24" s="3459">
        <f ca="1">+BD25+BD26</f>
        <v>1.5356000000000001</v>
      </c>
      <c r="BE24" s="3449" t="e">
        <f ca="1">OFFSET(Sector1!$G$258,0,(COLUMN()-9)/6)</f>
        <v>#VALUE!</v>
      </c>
      <c r="BF24" s="604"/>
      <c r="BG24" s="3458">
        <f ca="1">+BH24+BI24+BJ24</f>
        <v>1.7729699999999999</v>
      </c>
      <c r="BH24" s="3449">
        <f ca="1">OFFSET(Sector1!$G$256,0,(COLUMN()-6)/6)</f>
        <v>4.4000000000000007E-4</v>
      </c>
      <c r="BI24" s="3449">
        <f ca="1">OFFSET(Sector1!$G$257,0,(COLUMN()-7)/6)</f>
        <v>5.6229999999999995E-2</v>
      </c>
      <c r="BJ24" s="3459">
        <f ca="1">+BJ25+BJ26</f>
        <v>1.7162999999999999</v>
      </c>
      <c r="BK24" s="3449" t="e">
        <f ca="1">OFFSET(Sector1!$G$258,0,(COLUMN()-9)/6)</f>
        <v>#VALUE!</v>
      </c>
      <c r="BL24" s="604"/>
      <c r="BM24" s="3458">
        <f ca="1">+BN24+BO24+BP24</f>
        <v>2.10656</v>
      </c>
      <c r="BN24" s="3449">
        <f ca="1">OFFSET(Sector1!$G$256,0,(COLUMN()-6)/6)</f>
        <v>5.6000000000000006E-4</v>
      </c>
      <c r="BO24" s="3449">
        <f ca="1">OFFSET(Sector1!$G$257,0,(COLUMN()-7)/6)</f>
        <v>0.17993000000000001</v>
      </c>
      <c r="BP24" s="3459">
        <f ca="1">+BP25+BP26</f>
        <v>1.9260700000000002</v>
      </c>
      <c r="BQ24" s="3449" t="e">
        <f ca="1">OFFSET(Sector1!$G$258,0,(COLUMN()-9)/6)</f>
        <v>#VALUE!</v>
      </c>
      <c r="BR24" s="604"/>
      <c r="BS24" s="3458">
        <f ca="1">+BT24+BU24+BV24</f>
        <v>2.53653</v>
      </c>
      <c r="BT24" s="3449">
        <f ca="1">OFFSET(Sector1!$G$256,0,(COLUMN()-6)/6)</f>
        <v>6.8000000000000005E-4</v>
      </c>
      <c r="BU24" s="3449">
        <f ca="1">OFFSET(Sector1!$G$257,0,(COLUMN()-7)/6)</f>
        <v>0.26597999999999999</v>
      </c>
      <c r="BV24" s="3459">
        <f ca="1">+BV25+BV26</f>
        <v>2.2698700000000001</v>
      </c>
      <c r="BW24" s="3449" t="e">
        <f ca="1">OFFSET(Sector1!$G$258,0,(COLUMN()-9)/6)</f>
        <v>#VALUE!</v>
      </c>
      <c r="BX24" s="604"/>
      <c r="BY24" s="3458">
        <f ca="1">+BZ24+CA24+CB24</f>
        <v>3.1278100000000002</v>
      </c>
      <c r="BZ24" s="3449">
        <f ca="1">OFFSET(Sector1!$G$256,0,(COLUMN()-6)/6)</f>
        <v>8.5000000000000006E-4</v>
      </c>
      <c r="CA24" s="3449">
        <f ca="1">OFFSET(Sector1!$G$257,0,(COLUMN()-7)/6)</f>
        <v>0.39018000000000003</v>
      </c>
      <c r="CB24" s="3459">
        <f ca="1">+CB25+CB26</f>
        <v>2.73678</v>
      </c>
      <c r="CC24" s="3449" t="e">
        <f ca="1">OFFSET(Sector1!$G$258,0,(COLUMN()-9)/6)</f>
        <v>#VALUE!</v>
      </c>
      <c r="CD24" s="604"/>
      <c r="CE24" s="3458">
        <f ca="1">+CF24+CG24+CH24</f>
        <v>3.7027199999999998</v>
      </c>
      <c r="CF24" s="3449">
        <f ca="1">OFFSET(Sector1!$G$256,0,(COLUMN()-6)/6)</f>
        <v>8.7000000000000011E-4</v>
      </c>
      <c r="CG24" s="3449">
        <f ca="1">OFFSET(Sector1!$G$257,0,(COLUMN()-7)/6)</f>
        <v>0.47537999999999997</v>
      </c>
      <c r="CH24" s="3459">
        <f ca="1">+CH25+CH26</f>
        <v>3.2264699999999999</v>
      </c>
      <c r="CI24" s="3449">
        <f ca="1">OFFSET(Sector1!$G$258,0,(COLUMN()-9)/6)</f>
        <v>1.9E-2</v>
      </c>
      <c r="CJ24" s="604"/>
      <c r="CK24" s="3458">
        <f ca="1">+CL24+CM24+CN24</f>
        <v>3.7694900000000002</v>
      </c>
      <c r="CL24" s="3449">
        <f ca="1">OFFSET(Sector1!$G$256,0,(COLUMN()-6)/6)</f>
        <v>8.1000000000000006E-4</v>
      </c>
      <c r="CM24" s="3449">
        <f ca="1">OFFSET(Sector1!$G$257,0,(COLUMN()-7)/6)</f>
        <v>0.24734999999999999</v>
      </c>
      <c r="CN24" s="3459">
        <f ca="1">+CN25+CN26</f>
        <v>3.5213300000000003</v>
      </c>
      <c r="CO24" s="3449">
        <f ca="1">OFFSET(Sector1!$G$258,0,(COLUMN()-9)/6)</f>
        <v>1.0999999999999999E-2</v>
      </c>
      <c r="CP24" s="604"/>
      <c r="CQ24" s="3458">
        <f ca="1">+CR24+CS24+CT24</f>
        <v>3.6130800000000001</v>
      </c>
      <c r="CR24" s="3449">
        <f ca="1">OFFSET(Sector1!$G$256,0,(COLUMN()-6)/6)</f>
        <v>7.7999999999999999E-4</v>
      </c>
      <c r="CS24" s="3449">
        <f ca="1">OFFSET(Sector1!$G$257,0,(COLUMN()-7)/6)</f>
        <v>0.21381999999999998</v>
      </c>
      <c r="CT24" s="3459">
        <f ca="1">+CT25+CT26</f>
        <v>3.3984800000000002</v>
      </c>
      <c r="CU24" s="3449">
        <f ca="1">OFFSET(Sector1!$G$258,0,(COLUMN()-9)/6)</f>
        <v>3.2000000000000001E-2</v>
      </c>
      <c r="CV24" s="604"/>
      <c r="CW24" s="3458">
        <f ca="1">+CX24+CY24+CZ24</f>
        <v>3.8348399999999998</v>
      </c>
      <c r="CX24" s="3449">
        <f ca="1">OFFSET(Sector1!$G$256,0,(COLUMN()-6)/6)</f>
        <v>8.7000000000000011E-4</v>
      </c>
      <c r="CY24" s="3449">
        <f ca="1">OFFSET(Sector1!$G$257,0,(COLUMN()-7)/6)</f>
        <v>0.25058000000000002</v>
      </c>
      <c r="CZ24" s="3459">
        <f ca="1">+CZ25+CZ26</f>
        <v>3.5833899999999996</v>
      </c>
      <c r="DA24" s="3449">
        <f ca="1">OFFSET(Sector1!$G$258,0,(COLUMN()-9)/6)</f>
        <v>2.5999999999999999E-2</v>
      </c>
      <c r="DB24" s="604"/>
      <c r="DC24" s="3458">
        <f ca="1">+DD24+DE24+DF24</f>
        <v>3.9377599999999999</v>
      </c>
      <c r="DD24" s="3449">
        <f ca="1">OFFSET(Sector1!$G$256,0,(COLUMN()-6)/6)</f>
        <v>8.5000000000000006E-4</v>
      </c>
      <c r="DE24" s="3449">
        <f ca="1">OFFSET(Sector1!$G$257,0,(COLUMN()-7)/6)</f>
        <v>0.21143000000000001</v>
      </c>
      <c r="DF24" s="3459">
        <f ca="1">+DF25+DF26</f>
        <v>3.7254800000000001</v>
      </c>
      <c r="DG24" s="3449">
        <f ca="1">OFFSET(Sector1!$G$258,0,(COLUMN()-9)/6)</f>
        <v>1E-3</v>
      </c>
      <c r="DH24" s="604"/>
      <c r="DI24" s="3458">
        <f ca="1">+DJ24+DK24+DL24</f>
        <v>4.1839399999999998</v>
      </c>
      <c r="DJ24" s="3449">
        <f ca="1">OFFSET(Sector1!$G$256,0,(COLUMN()-6)/6)</f>
        <v>8.8000000000000014E-4</v>
      </c>
      <c r="DK24" s="3449">
        <f ca="1">OFFSET(Sector1!$G$257,0,(COLUMN()-7)/6)</f>
        <v>0.29031000000000001</v>
      </c>
      <c r="DL24" s="3459">
        <f ca="1">+DL25+DL26</f>
        <v>3.8927499999999999</v>
      </c>
      <c r="DM24" s="3449">
        <f ca="1">OFFSET(Sector1!$G$258,0,(COLUMN()-9)/6)</f>
        <v>3.0000000000000001E-3</v>
      </c>
      <c r="DN24" s="604"/>
      <c r="DO24" s="3458">
        <f ca="1">+DP24+DQ24+DR24</f>
        <v>4.4536499999999997</v>
      </c>
      <c r="DP24" s="3449">
        <f ca="1">OFFSET(Sector1!$G$256,0,(COLUMN()-6)/6)</f>
        <v>1E-3</v>
      </c>
      <c r="DQ24" s="3449">
        <f ca="1">OFFSET(Sector1!$G$257,0,(COLUMN()-7)/6)</f>
        <v>0.27892</v>
      </c>
      <c r="DR24" s="3459">
        <f ca="1">+DR25+DR26</f>
        <v>4.1737299999999999</v>
      </c>
      <c r="DS24" s="3449">
        <f ca="1">OFFSET(Sector1!$G$258,0,(COLUMN()-9)/6)</f>
        <v>-3.0000000000000001E-3</v>
      </c>
      <c r="DT24" s="604"/>
      <c r="DU24" s="3458">
        <f ca="1">+DV24+DW24+DX24</f>
        <v>4.7593400000000008</v>
      </c>
      <c r="DV24" s="3449">
        <f ca="1">OFFSET(Sector1!$G$256,0,(COLUMN()-6)/6)</f>
        <v>8.9999999999999998E-4</v>
      </c>
      <c r="DW24" s="3449">
        <f ca="1">OFFSET(Sector1!$G$257,0,(COLUMN()-7)/6)</f>
        <v>0.30210000000000004</v>
      </c>
      <c r="DX24" s="3459">
        <f ca="1">+DX25+DX26</f>
        <v>4.4563400000000009</v>
      </c>
      <c r="DY24" s="3449">
        <f ca="1">OFFSET(Sector1!$G$258,0,(COLUMN()-9)/6)</f>
        <v>1E-3</v>
      </c>
      <c r="DZ24" s="604"/>
      <c r="EA24" s="3458">
        <f ca="1">+EB24+EC24+ED24</f>
        <v>5.1638599999999997</v>
      </c>
      <c r="EB24" s="3449">
        <f ca="1">OFFSET(Sector1!$G$256,0,(COLUMN()-6)/6)</f>
        <v>9.4000000000000008E-4</v>
      </c>
      <c r="EC24" s="3449">
        <f ca="1">OFFSET(Sector1!$G$257,0,(COLUMN()-7)/6)</f>
        <v>0.31881999999999999</v>
      </c>
      <c r="ED24" s="3459">
        <f ca="1">+ED25+ED26</f>
        <v>4.8441000000000001</v>
      </c>
      <c r="EE24" s="3449">
        <f ca="1">OFFSET(Sector1!$G$258,0,(COLUMN()-9)/6)</f>
        <v>-5.0000000000000001E-3</v>
      </c>
      <c r="EF24" s="604"/>
      <c r="EG24" s="3458">
        <f ca="1">+EH24+EI24+EJ24</f>
        <v>5.7831323307806333</v>
      </c>
      <c r="EH24" s="3449">
        <f ca="1">OFFSET(Sector1!$G$256,0,(COLUMN()-6)/6)</f>
        <v>9.7760000000000013E-4</v>
      </c>
      <c r="EI24" s="3449">
        <f ca="1">OFFSET(Sector1!$G$257,0,(COLUMN()-7)/6)</f>
        <v>0.33794920000000001</v>
      </c>
      <c r="EJ24" s="3459">
        <f ca="1">+EJ25+EJ26</f>
        <v>5.444205530780633</v>
      </c>
      <c r="EK24" s="3449">
        <f ca="1">OFFSET(Sector1!$G$258,0,(COLUMN()-9)/6)</f>
        <v>-5.0000000000000001E-3</v>
      </c>
      <c r="EL24" s="604"/>
      <c r="EM24" s="3458">
        <f ca="1">+EN24+EO24+EP24</f>
        <v>6.1682101573429344</v>
      </c>
      <c r="EN24" s="3449">
        <f ca="1">OFFSET(Sector1!$G$256,0,(COLUMN()-6)/6)</f>
        <v>1.0167040000000002E-3</v>
      </c>
      <c r="EO24" s="3449">
        <f ca="1">OFFSET(Sector1!$G$257,0,(COLUMN()-7)/6)</f>
        <v>0.35822615200000002</v>
      </c>
      <c r="EP24" s="3459">
        <f ca="1">+EP25+EP26</f>
        <v>5.8089673013429346</v>
      </c>
      <c r="EQ24" s="3449">
        <f ca="1">OFFSET(Sector1!$G$258,0,(COLUMN()-9)/6)</f>
        <v>-5.0000000000000001E-3</v>
      </c>
      <c r="ER24" s="604"/>
      <c r="ES24" s="3458">
        <f ca="1">+ET24+EU24+EV24</f>
        <v>6.5227736483684184</v>
      </c>
      <c r="ET24" s="3449">
        <f ca="1">OFFSET(Sector1!$G$256,0,(COLUMN()-6)/6)</f>
        <v>1.0573721600000002E-3</v>
      </c>
      <c r="EU24" s="3449">
        <f ca="1">OFFSET(Sector1!$G$257,0,(COLUMN()-7)/6)</f>
        <v>0.37971972112000002</v>
      </c>
      <c r="EV24" s="3459">
        <f ca="1">+EV25+EV26</f>
        <v>6.1419965550884186</v>
      </c>
      <c r="EW24" s="3449">
        <f ca="1">OFFSET(Sector1!$G$258,0,(COLUMN()-9)/6)</f>
        <v>-5.0000000000000001E-3</v>
      </c>
      <c r="EX24" s="604"/>
    </row>
    <row r="25" spans="1:154" s="568" customFormat="1" ht="11.25">
      <c r="A25" s="563"/>
      <c r="B25" s="564"/>
      <c r="C25" s="565"/>
      <c r="D25" s="566" t="s">
        <v>1461</v>
      </c>
      <c r="E25" s="567"/>
      <c r="F25" s="575"/>
      <c r="G25" s="576"/>
      <c r="H25" s="577">
        <f ca="1">OFFSET(Sector1!$G$253,0,(COLUMN()-8)/6)</f>
        <v>0.55920000000000003</v>
      </c>
      <c r="I25" s="578"/>
      <c r="J25" s="579"/>
      <c r="K25" s="567"/>
      <c r="L25" s="575"/>
      <c r="M25" s="576"/>
      <c r="N25" s="577">
        <f ca="1">OFFSET(Sector1!$G$253,0,(COLUMN()-8)/6)</f>
        <v>0.74658000000000002</v>
      </c>
      <c r="O25" s="578"/>
      <c r="P25" s="579"/>
      <c r="Q25" s="567"/>
      <c r="R25" s="575"/>
      <c r="S25" s="576"/>
      <c r="T25" s="577">
        <f ca="1">OFFSET(Sector1!$G$253,0,(COLUMN()-8)/6)</f>
        <v>1.05233</v>
      </c>
      <c r="U25" s="578"/>
      <c r="V25" s="579"/>
      <c r="W25" s="567"/>
      <c r="X25" s="575"/>
      <c r="Y25" s="576"/>
      <c r="Z25" s="577">
        <f ca="1">OFFSET(Sector1!$G$253,0,(COLUMN()-8)/6)</f>
        <v>1.30036</v>
      </c>
      <c r="AA25" s="578"/>
      <c r="AB25" s="579"/>
      <c r="AC25" s="567"/>
      <c r="AD25" s="575"/>
      <c r="AE25" s="576"/>
      <c r="AF25" s="577">
        <f ca="1">OFFSET(Sector1!$G$253,0,(COLUMN()-8)/6)</f>
        <v>1.28443</v>
      </c>
      <c r="AG25" s="578"/>
      <c r="AH25" s="579"/>
      <c r="AI25" s="567"/>
      <c r="AJ25" s="575"/>
      <c r="AK25" s="576"/>
      <c r="AL25" s="577">
        <f ca="1">OFFSET(Sector1!$G$253,0,(COLUMN()-8)/6)</f>
        <v>1.3622799999999999</v>
      </c>
      <c r="AM25" s="578"/>
      <c r="AN25" s="579"/>
      <c r="AO25" s="567"/>
      <c r="AP25" s="575"/>
      <c r="AQ25" s="576"/>
      <c r="AR25" s="577">
        <f ca="1">OFFSET(Sector1!$G$253,0,(COLUMN()-8)/6)</f>
        <v>1.37643</v>
      </c>
      <c r="AS25" s="578"/>
      <c r="AT25" s="579"/>
      <c r="AU25" s="567"/>
      <c r="AV25" s="575"/>
      <c r="AW25" s="576"/>
      <c r="AX25" s="577">
        <f ca="1">OFFSET(Sector1!$G$253,0,(COLUMN()-8)/6)</f>
        <v>1.4224300000000001</v>
      </c>
      <c r="AY25" s="578"/>
      <c r="AZ25" s="579"/>
      <c r="BA25" s="567"/>
      <c r="BB25" s="575"/>
      <c r="BC25" s="576"/>
      <c r="BD25" s="577">
        <f ca="1">OFFSET(Sector1!$G$253,0,(COLUMN()-8)/6)</f>
        <v>1.53271</v>
      </c>
      <c r="BE25" s="578"/>
      <c r="BF25" s="579"/>
      <c r="BG25" s="567"/>
      <c r="BH25" s="575"/>
      <c r="BI25" s="576"/>
      <c r="BJ25" s="577">
        <f ca="1">OFFSET(Sector1!$G$253,0,(COLUMN()-8)/6)</f>
        <v>1.66425</v>
      </c>
      <c r="BK25" s="578"/>
      <c r="BL25" s="579"/>
      <c r="BM25" s="567"/>
      <c r="BN25" s="575"/>
      <c r="BO25" s="576"/>
      <c r="BP25" s="577">
        <f ca="1">OFFSET(Sector1!$G$253,0,(COLUMN()-8)/6)</f>
        <v>1.8654900000000001</v>
      </c>
      <c r="BQ25" s="578"/>
      <c r="BR25" s="579"/>
      <c r="BS25" s="567"/>
      <c r="BT25" s="575"/>
      <c r="BU25" s="576"/>
      <c r="BV25" s="577">
        <f ca="1">OFFSET(Sector1!$G$253,0,(COLUMN()-8)/6)</f>
        <v>2.1977500000000001</v>
      </c>
      <c r="BW25" s="578"/>
      <c r="BX25" s="579"/>
      <c r="BY25" s="567"/>
      <c r="BZ25" s="575"/>
      <c r="CA25" s="576"/>
      <c r="CB25" s="577">
        <f ca="1">OFFSET(Sector1!$G$253,0,(COLUMN()-8)/6)</f>
        <v>2.64581</v>
      </c>
      <c r="CC25" s="578"/>
      <c r="CD25" s="579"/>
      <c r="CE25" s="567"/>
      <c r="CF25" s="575"/>
      <c r="CG25" s="576"/>
      <c r="CH25" s="577">
        <f ca="1">OFFSET(Sector1!$G$253,0,(COLUMN()-8)/6)</f>
        <v>3.1147900000000002</v>
      </c>
      <c r="CI25" s="578"/>
      <c r="CJ25" s="579"/>
      <c r="CK25" s="567"/>
      <c r="CL25" s="575"/>
      <c r="CM25" s="576"/>
      <c r="CN25" s="577">
        <f ca="1">OFFSET(Sector1!$G$253,0,(COLUMN()-8)/6)</f>
        <v>3.4030100000000001</v>
      </c>
      <c r="CO25" s="578"/>
      <c r="CP25" s="579"/>
      <c r="CQ25" s="567"/>
      <c r="CR25" s="575"/>
      <c r="CS25" s="576"/>
      <c r="CT25" s="577">
        <f ca="1">OFFSET(Sector1!$G$253,0,(COLUMN()-8)/6)</f>
        <v>3.29555</v>
      </c>
      <c r="CU25" s="578"/>
      <c r="CV25" s="579"/>
      <c r="CW25" s="567"/>
      <c r="CX25" s="575"/>
      <c r="CY25" s="576"/>
      <c r="CZ25" s="577">
        <f ca="1">OFFSET(Sector1!$G$253,0,(COLUMN()-8)/6)</f>
        <v>3.4756199999999997</v>
      </c>
      <c r="DA25" s="578"/>
      <c r="DB25" s="579"/>
      <c r="DC25" s="567"/>
      <c r="DD25" s="575"/>
      <c r="DE25" s="576"/>
      <c r="DF25" s="577">
        <f ca="1">OFFSET(Sector1!$G$253,0,(COLUMN()-8)/6)</f>
        <v>3.6120100000000002</v>
      </c>
      <c r="DG25" s="578"/>
      <c r="DH25" s="579"/>
      <c r="DI25" s="567"/>
      <c r="DJ25" s="575"/>
      <c r="DK25" s="576"/>
      <c r="DL25" s="577">
        <f ca="1">OFFSET(Sector1!$G$253,0,(COLUMN()-8)/6)</f>
        <v>3.7942399999999998</v>
      </c>
      <c r="DM25" s="578"/>
      <c r="DN25" s="579"/>
      <c r="DO25" s="567"/>
      <c r="DP25" s="575"/>
      <c r="DQ25" s="576"/>
      <c r="DR25" s="577">
        <f ca="1">OFFSET(Sector1!$G$253,0,(COLUMN()-8)/6)</f>
        <v>4.0646199999999997</v>
      </c>
      <c r="DS25" s="578"/>
      <c r="DT25" s="579"/>
      <c r="DU25" s="567"/>
      <c r="DV25" s="575"/>
      <c r="DW25" s="576"/>
      <c r="DX25" s="577">
        <f ca="1">OFFSET(Sector1!$G$253,0,(COLUMN()-8)/6)</f>
        <v>4.3401000000000005</v>
      </c>
      <c r="DY25" s="578"/>
      <c r="DZ25" s="579"/>
      <c r="EA25" s="567"/>
      <c r="EB25" s="575"/>
      <c r="EC25" s="576"/>
      <c r="ED25" s="577">
        <f ca="1">OFFSET(Sector1!$G$253,0,(COLUMN()-8)/6)</f>
        <v>4.7157900000000001</v>
      </c>
      <c r="EE25" s="578"/>
      <c r="EF25" s="579"/>
      <c r="EG25" s="567"/>
      <c r="EH25" s="575"/>
      <c r="EI25" s="576"/>
      <c r="EJ25" s="577">
        <f ca="1">OFFSET(Sector1!$G$253,0,(COLUMN()-8)/6)</f>
        <v>5.3</v>
      </c>
      <c r="EK25" s="578"/>
      <c r="EL25" s="579"/>
      <c r="EM25" s="567"/>
      <c r="EN25" s="575"/>
      <c r="EO25" s="576"/>
      <c r="EP25" s="577">
        <f ca="1">OFFSET(Sector1!$G$253,0,(COLUMN()-8)/6)</f>
        <v>5.6550999999999991</v>
      </c>
      <c r="EQ25" s="578"/>
      <c r="ER25" s="579"/>
      <c r="ES25" s="567"/>
      <c r="ET25" s="575"/>
      <c r="EU25" s="576"/>
      <c r="EV25" s="577">
        <f ca="1">OFFSET(Sector1!$G$253,0,(COLUMN()-8)/6)</f>
        <v>5.9793080106769914</v>
      </c>
      <c r="EW25" s="578"/>
      <c r="EX25" s="579"/>
    </row>
    <row r="26" spans="1:154" s="568" customFormat="1" ht="12" thickBot="1">
      <c r="A26" s="563"/>
      <c r="B26" s="564"/>
      <c r="C26" s="565"/>
      <c r="D26" s="566" t="s">
        <v>1334</v>
      </c>
      <c r="E26" s="567"/>
      <c r="F26" s="575"/>
      <c r="G26" s="576"/>
      <c r="H26" s="580">
        <f ca="1">OFFSET(Sector1!$G$254,0,(COLUMN()-8)/6)</f>
        <v>1.24E-3</v>
      </c>
      <c r="I26" s="578"/>
      <c r="J26" s="579"/>
      <c r="K26" s="567"/>
      <c r="L26" s="575"/>
      <c r="M26" s="576"/>
      <c r="N26" s="580">
        <f ca="1">OFFSET(Sector1!$G$254,0,(COLUMN()-8)/6)</f>
        <v>1.6899999999999999E-3</v>
      </c>
      <c r="O26" s="578"/>
      <c r="P26" s="579"/>
      <c r="Q26" s="567"/>
      <c r="R26" s="575"/>
      <c r="S26" s="576"/>
      <c r="T26" s="580">
        <f ca="1">OFFSET(Sector1!$G$254,0,(COLUMN()-8)/6)</f>
        <v>2.1299999999999999E-3</v>
      </c>
      <c r="U26" s="578"/>
      <c r="V26" s="579"/>
      <c r="W26" s="567"/>
      <c r="X26" s="575"/>
      <c r="Y26" s="576"/>
      <c r="Z26" s="580">
        <f ca="1">OFFSET(Sector1!$G$254,0,(COLUMN()-8)/6)</f>
        <v>2.7000000000000001E-3</v>
      </c>
      <c r="AA26" s="578"/>
      <c r="AB26" s="579"/>
      <c r="AC26" s="567"/>
      <c r="AD26" s="575"/>
      <c r="AE26" s="576"/>
      <c r="AF26" s="580">
        <f ca="1">OFFSET(Sector1!$G$254,0,(COLUMN()-8)/6)</f>
        <v>2.8E-3</v>
      </c>
      <c r="AG26" s="578"/>
      <c r="AH26" s="579"/>
      <c r="AI26" s="567"/>
      <c r="AJ26" s="575"/>
      <c r="AK26" s="576"/>
      <c r="AL26" s="580">
        <f ca="1">OFFSET(Sector1!$G$254,0,(COLUMN()-8)/6)</f>
        <v>2.6100000000000003E-3</v>
      </c>
      <c r="AM26" s="578"/>
      <c r="AN26" s="579"/>
      <c r="AO26" s="567"/>
      <c r="AP26" s="575"/>
      <c r="AQ26" s="576"/>
      <c r="AR26" s="580">
        <f ca="1">OFFSET(Sector1!$G$254,0,(COLUMN()-8)/6)</f>
        <v>2.6800000000000001E-3</v>
      </c>
      <c r="AS26" s="578"/>
      <c r="AT26" s="579"/>
      <c r="AU26" s="567"/>
      <c r="AV26" s="575"/>
      <c r="AW26" s="576"/>
      <c r="AX26" s="580">
        <f ca="1">OFFSET(Sector1!$G$254,0,(COLUMN()-8)/6)</f>
        <v>2.7800000000000004E-3</v>
      </c>
      <c r="AY26" s="578"/>
      <c r="AZ26" s="579"/>
      <c r="BA26" s="567"/>
      <c r="BB26" s="575"/>
      <c r="BC26" s="576"/>
      <c r="BD26" s="580">
        <f ca="1">OFFSET(Sector1!$G$254,0,(COLUMN()-8)/6)</f>
        <v>2.8900000000000002E-3</v>
      </c>
      <c r="BE26" s="578"/>
      <c r="BF26" s="579"/>
      <c r="BG26" s="567"/>
      <c r="BH26" s="575"/>
      <c r="BI26" s="576"/>
      <c r="BJ26" s="580">
        <f ca="1">OFFSET(Sector1!$G$254,0,(COLUMN()-8)/6)</f>
        <v>5.2049999999999999E-2</v>
      </c>
      <c r="BK26" s="578"/>
      <c r="BL26" s="579"/>
      <c r="BM26" s="567"/>
      <c r="BN26" s="575"/>
      <c r="BO26" s="576"/>
      <c r="BP26" s="580">
        <f ca="1">OFFSET(Sector1!$G$254,0,(COLUMN()-8)/6)</f>
        <v>6.0579999999999995E-2</v>
      </c>
      <c r="BQ26" s="578"/>
      <c r="BR26" s="579"/>
      <c r="BS26" s="567"/>
      <c r="BT26" s="575"/>
      <c r="BU26" s="576"/>
      <c r="BV26" s="580">
        <f ca="1">OFFSET(Sector1!$G$254,0,(COLUMN()-8)/6)</f>
        <v>7.2120000000000004E-2</v>
      </c>
      <c r="BW26" s="578"/>
      <c r="BX26" s="579"/>
      <c r="BY26" s="567"/>
      <c r="BZ26" s="575"/>
      <c r="CA26" s="576"/>
      <c r="CB26" s="580">
        <f ca="1">OFFSET(Sector1!$G$254,0,(COLUMN()-8)/6)</f>
        <v>9.0969999999999995E-2</v>
      </c>
      <c r="CC26" s="578"/>
      <c r="CD26" s="579"/>
      <c r="CE26" s="567"/>
      <c r="CF26" s="575"/>
      <c r="CG26" s="576"/>
      <c r="CH26" s="580">
        <f ca="1">OFFSET(Sector1!$G$254,0,(COLUMN()-8)/6)</f>
        <v>0.11168</v>
      </c>
      <c r="CI26" s="578"/>
      <c r="CJ26" s="579"/>
      <c r="CK26" s="567"/>
      <c r="CL26" s="575"/>
      <c r="CM26" s="576"/>
      <c r="CN26" s="580">
        <f ca="1">OFFSET(Sector1!$G$254,0,(COLUMN()-8)/6)</f>
        <v>0.11831999999999999</v>
      </c>
      <c r="CO26" s="578"/>
      <c r="CP26" s="579"/>
      <c r="CQ26" s="567"/>
      <c r="CR26" s="575"/>
      <c r="CS26" s="576"/>
      <c r="CT26" s="580">
        <f ca="1">OFFSET(Sector1!$G$254,0,(COLUMN()-8)/6)</f>
        <v>0.10293000000000001</v>
      </c>
      <c r="CU26" s="578"/>
      <c r="CV26" s="579"/>
      <c r="CW26" s="567"/>
      <c r="CX26" s="575"/>
      <c r="CY26" s="576"/>
      <c r="CZ26" s="580">
        <f ca="1">OFFSET(Sector1!$G$254,0,(COLUMN()-8)/6)</f>
        <v>0.10776999999999999</v>
      </c>
      <c r="DA26" s="578"/>
      <c r="DB26" s="579"/>
      <c r="DC26" s="567"/>
      <c r="DD26" s="575"/>
      <c r="DE26" s="576"/>
      <c r="DF26" s="580">
        <f ca="1">OFFSET(Sector1!$G$254,0,(COLUMN()-8)/6)</f>
        <v>0.11347</v>
      </c>
      <c r="DG26" s="578"/>
      <c r="DH26" s="579"/>
      <c r="DI26" s="567"/>
      <c r="DJ26" s="575"/>
      <c r="DK26" s="576"/>
      <c r="DL26" s="580">
        <f ca="1">OFFSET(Sector1!$G$254,0,(COLUMN()-8)/6)</f>
        <v>9.851E-2</v>
      </c>
      <c r="DM26" s="578"/>
      <c r="DN26" s="579"/>
      <c r="DO26" s="567"/>
      <c r="DP26" s="575"/>
      <c r="DQ26" s="576"/>
      <c r="DR26" s="580">
        <f ca="1">OFFSET(Sector1!$G$254,0,(COLUMN()-8)/6)</f>
        <v>0.10911</v>
      </c>
      <c r="DS26" s="578"/>
      <c r="DT26" s="579"/>
      <c r="DU26" s="567"/>
      <c r="DV26" s="575"/>
      <c r="DW26" s="576"/>
      <c r="DX26" s="580">
        <f ca="1">OFFSET(Sector1!$G$254,0,(COLUMN()-8)/6)</f>
        <v>0.11624</v>
      </c>
      <c r="DY26" s="578"/>
      <c r="DZ26" s="579"/>
      <c r="EA26" s="567"/>
      <c r="EB26" s="575"/>
      <c r="EC26" s="576"/>
      <c r="ED26" s="580">
        <f ca="1">OFFSET(Sector1!$G$254,0,(COLUMN()-8)/6)</f>
        <v>0.12831000000000001</v>
      </c>
      <c r="EE26" s="578"/>
      <c r="EF26" s="579"/>
      <c r="EG26" s="567"/>
      <c r="EH26" s="575"/>
      <c r="EI26" s="576"/>
      <c r="EJ26" s="580">
        <f ca="1">OFFSET(Sector1!$G$254,0,(COLUMN()-8)/6)</f>
        <v>0.14420553078063272</v>
      </c>
      <c r="EK26" s="578"/>
      <c r="EL26" s="579"/>
      <c r="EM26" s="567"/>
      <c r="EN26" s="575"/>
      <c r="EO26" s="576"/>
      <c r="EP26" s="580">
        <f ca="1">OFFSET(Sector1!$G$254,0,(COLUMN()-8)/6)</f>
        <v>0.15386730134293511</v>
      </c>
      <c r="EQ26" s="578"/>
      <c r="ER26" s="579"/>
      <c r="ES26" s="567"/>
      <c r="ET26" s="575"/>
      <c r="EU26" s="576"/>
      <c r="EV26" s="580">
        <f ca="1">OFFSET(Sector1!$G$254,0,(COLUMN()-8)/6)</f>
        <v>0.16268854441142733</v>
      </c>
      <c r="EW26" s="578"/>
      <c r="EX26" s="579"/>
    </row>
    <row r="27" spans="1:154" ht="12.75" customHeight="1">
      <c r="A27" s="553"/>
      <c r="B27" s="600" t="s">
        <v>1767</v>
      </c>
      <c r="C27" s="3779" t="s">
        <v>1335</v>
      </c>
      <c r="D27" s="3780"/>
      <c r="E27" s="3458">
        <f ca="1">+F27+G27+H27+I27</f>
        <v>0.63928999999999991</v>
      </c>
      <c r="F27" s="3449">
        <f ca="1">OFFSET(Sector1!$G$302,0,(COLUMN()-6)/6)</f>
        <v>0.63928999999999991</v>
      </c>
      <c r="G27" s="3448"/>
      <c r="H27" s="3448"/>
      <c r="I27" s="3449"/>
      <c r="J27" s="604"/>
      <c r="K27" s="3458">
        <f t="shared" ref="K27:K34" ca="1" si="0">+L27+M27+N27</f>
        <v>0.83790999999999993</v>
      </c>
      <c r="L27" s="3449">
        <f ca="1">OFFSET(Sector1!$G$302,0,(COLUMN()-6)/6)</f>
        <v>0.83790999999999993</v>
      </c>
      <c r="M27" s="3448"/>
      <c r="N27" s="3448"/>
      <c r="O27" s="3449"/>
      <c r="P27" s="604"/>
      <c r="Q27" s="3458">
        <f t="shared" ref="Q27:Q34" ca="1" si="1">+R27+S27+T27</f>
        <v>1.13683</v>
      </c>
      <c r="R27" s="3449">
        <f ca="1">OFFSET(Sector1!$G$302,0,(COLUMN()-6)/6)</f>
        <v>1.13683</v>
      </c>
      <c r="S27" s="3448"/>
      <c r="T27" s="3448"/>
      <c r="U27" s="3449"/>
      <c r="V27" s="604"/>
      <c r="W27" s="3458">
        <f t="shared" ref="W27:W34" ca="1" si="2">+X27+Y27+Z27</f>
        <v>1.4190799999999999</v>
      </c>
      <c r="X27" s="3449">
        <f ca="1">OFFSET(Sector1!$G$302,0,(COLUMN()-6)/6)</f>
        <v>1.4190799999999999</v>
      </c>
      <c r="Y27" s="3448"/>
      <c r="Z27" s="3448"/>
      <c r="AA27" s="3449"/>
      <c r="AB27" s="604"/>
      <c r="AC27" s="3458">
        <f t="shared" ref="AC27:AC34" ca="1" si="3">+AD27+AE27+AF27</f>
        <v>1.5840999999999998</v>
      </c>
      <c r="AD27" s="3449">
        <f ca="1">OFFSET(Sector1!$G$302,0,(COLUMN()-6)/6)</f>
        <v>1.5840999999999998</v>
      </c>
      <c r="AE27" s="3448"/>
      <c r="AF27" s="3448"/>
      <c r="AG27" s="3449"/>
      <c r="AH27" s="604"/>
      <c r="AI27" s="3458">
        <f t="shared" ref="AI27:AI34" ca="1" si="4">+AJ27+AK27+AL27</f>
        <v>1.5676600000000001</v>
      </c>
      <c r="AJ27" s="3449">
        <f ca="1">OFFSET(Sector1!$G$302,0,(COLUMN()-6)/6)</f>
        <v>1.5676600000000001</v>
      </c>
      <c r="AK27" s="3448"/>
      <c r="AL27" s="3448"/>
      <c r="AM27" s="3449"/>
      <c r="AN27" s="604"/>
      <c r="AO27" s="3458">
        <f t="shared" ref="AO27:AO34" ca="1" si="5">+AP27+AQ27+AR27</f>
        <v>1.63063</v>
      </c>
      <c r="AP27" s="3449">
        <f ca="1">OFFSET(Sector1!$G$302,0,(COLUMN()-6)/6)</f>
        <v>1.63063</v>
      </c>
      <c r="AQ27" s="3448"/>
      <c r="AR27" s="3448"/>
      <c r="AS27" s="3449"/>
      <c r="AT27" s="604"/>
      <c r="AU27" s="3458">
        <f t="shared" ref="AU27:AU34" ca="1" si="6">+AV27+AW27+AX27</f>
        <v>1.54847</v>
      </c>
      <c r="AV27" s="3449">
        <f ca="1">OFFSET(Sector1!$G$302,0,(COLUMN()-6)/6)</f>
        <v>1.54847</v>
      </c>
      <c r="AW27" s="3448"/>
      <c r="AX27" s="3448"/>
      <c r="AY27" s="3449"/>
      <c r="AZ27" s="604"/>
      <c r="BA27" s="3458">
        <f t="shared" ref="BA27:BA34" ca="1" si="7">+BB27+BC27+BD27</f>
        <v>1.6601600000000001</v>
      </c>
      <c r="BB27" s="3449">
        <f ca="1">OFFSET(Sector1!$G$302,0,(COLUMN()-6)/6)</f>
        <v>1.6601600000000001</v>
      </c>
      <c r="BC27" s="3448"/>
      <c r="BD27" s="3448"/>
      <c r="BE27" s="3449"/>
      <c r="BF27" s="604"/>
      <c r="BG27" s="3458">
        <f t="shared" ref="BG27:BG34" ca="1" si="8">+BH27+BI27+BJ27</f>
        <v>1.81019</v>
      </c>
      <c r="BH27" s="3449">
        <f ca="1">OFFSET(Sector1!$G$302,0,(COLUMN()-6)/6)</f>
        <v>1.81019</v>
      </c>
      <c r="BI27" s="3448"/>
      <c r="BJ27" s="3448"/>
      <c r="BK27" s="3449"/>
      <c r="BL27" s="604"/>
      <c r="BM27" s="3458">
        <f t="shared" ref="BM27:BM34" ca="1" si="9">+BN27+BO27+BP27</f>
        <v>2.0784899999999999</v>
      </c>
      <c r="BN27" s="3449">
        <f ca="1">OFFSET(Sector1!$G$302,0,(COLUMN()-6)/6)</f>
        <v>2.0784899999999999</v>
      </c>
      <c r="BO27" s="3448"/>
      <c r="BP27" s="3448"/>
      <c r="BQ27" s="3449"/>
      <c r="BR27" s="604"/>
      <c r="BS27" s="3458">
        <f t="shared" ref="BS27:BS34" ca="1" si="10">+BT27+BU27+BV27</f>
        <v>2.3494000000000002</v>
      </c>
      <c r="BT27" s="3449">
        <f ca="1">OFFSET(Sector1!$G$302,0,(COLUMN()-6)/6)</f>
        <v>2.3494000000000002</v>
      </c>
      <c r="BU27" s="3448"/>
      <c r="BV27" s="3448"/>
      <c r="BW27" s="3449"/>
      <c r="BX27" s="604"/>
      <c r="BY27" s="3458">
        <f t="shared" ref="BY27:BY34" ca="1" si="11">+BZ27+CA27+CB27</f>
        <v>2.9751099999999999</v>
      </c>
      <c r="BZ27" s="3449">
        <f ca="1">OFFSET(Sector1!$G$302,0,(COLUMN()-6)/6)</f>
        <v>2.9751099999999999</v>
      </c>
      <c r="CA27" s="3448"/>
      <c r="CB27" s="3448"/>
      <c r="CC27" s="3449"/>
      <c r="CD27" s="604"/>
      <c r="CE27" s="3458">
        <f t="shared" ref="CE27:CE34" ca="1" si="12">+CF27+CG27+CH27</f>
        <v>3.9594299999999998</v>
      </c>
      <c r="CF27" s="3449">
        <f ca="1">OFFSET(Sector1!$G$302,0,(COLUMN()-6)/6)</f>
        <v>3.9594299999999998</v>
      </c>
      <c r="CG27" s="3448"/>
      <c r="CH27" s="3448"/>
      <c r="CI27" s="3449"/>
      <c r="CJ27" s="604"/>
      <c r="CK27" s="3458">
        <f ca="1">+CL27+CM27+CN27</f>
        <v>4.5076000000000001</v>
      </c>
      <c r="CL27" s="3449">
        <f ca="1">OFFSET(Sector1!$G$302,0,(COLUMN()-6)/6)</f>
        <v>4.5076000000000001</v>
      </c>
      <c r="CM27" s="3448"/>
      <c r="CN27" s="3448"/>
      <c r="CO27" s="3449"/>
      <c r="CP27" s="604"/>
      <c r="CQ27" s="3458">
        <f ca="1">+CR27+CS27+CT27</f>
        <v>4.1591899999999997</v>
      </c>
      <c r="CR27" s="3449">
        <f ca="1">OFFSET(Sector1!$G$302,0,(COLUMN()-6)/6)</f>
        <v>4.1591899999999997</v>
      </c>
      <c r="CS27" s="3448"/>
      <c r="CT27" s="3448"/>
      <c r="CU27" s="3449"/>
      <c r="CV27" s="604"/>
      <c r="CW27" s="3458">
        <f ca="1">+CX27+CY27+CZ27</f>
        <v>4.0821500000000004</v>
      </c>
      <c r="CX27" s="3449">
        <f ca="1">OFFSET(Sector1!$G$302,0,(COLUMN()-6)/6)</f>
        <v>4.0821500000000004</v>
      </c>
      <c r="CY27" s="3448"/>
      <c r="CZ27" s="3448"/>
      <c r="DA27" s="3449"/>
      <c r="DB27" s="604"/>
      <c r="DC27" s="3458">
        <f ca="1">+DD27+DE27+DF27</f>
        <v>4.1427500000000004</v>
      </c>
      <c r="DD27" s="3449">
        <f ca="1">OFFSET(Sector1!$G$302,0,(COLUMN()-6)/6)</f>
        <v>4.1427500000000004</v>
      </c>
      <c r="DE27" s="3448"/>
      <c r="DF27" s="3448"/>
      <c r="DG27" s="3449"/>
      <c r="DH27" s="604"/>
      <c r="DI27" s="3458">
        <f ca="1">+DJ27+DK27+DL27</f>
        <v>4.1100900000000005</v>
      </c>
      <c r="DJ27" s="3449">
        <f ca="1">OFFSET(Sector1!$G$302,0,(COLUMN()-6)/6)</f>
        <v>4.1100900000000005</v>
      </c>
      <c r="DK27" s="3448"/>
      <c r="DL27" s="3448"/>
      <c r="DM27" s="3449"/>
      <c r="DN27" s="604"/>
      <c r="DO27" s="3458">
        <f ca="1">+DP27+DQ27+DR27</f>
        <v>4.13232</v>
      </c>
      <c r="DP27" s="3449">
        <f ca="1">OFFSET(Sector1!$G$302,0,(COLUMN()-6)/6)</f>
        <v>4.13232</v>
      </c>
      <c r="DQ27" s="3448"/>
      <c r="DR27" s="3448"/>
      <c r="DS27" s="3449"/>
      <c r="DT27" s="604"/>
      <c r="DU27" s="3458">
        <f ca="1">+DV27+DW27+DX27</f>
        <v>4.2368500000000004</v>
      </c>
      <c r="DV27" s="3449">
        <f ca="1">OFFSET(Sector1!$G$302,0,(COLUMN()-6)/6)</f>
        <v>4.2368500000000004</v>
      </c>
      <c r="DW27" s="3448"/>
      <c r="DX27" s="3448"/>
      <c r="DY27" s="3449"/>
      <c r="DZ27" s="604"/>
      <c r="EA27" s="3458">
        <f ca="1">+EB27+EC27+ED27</f>
        <v>4.4561299999999999</v>
      </c>
      <c r="EB27" s="3449">
        <f ca="1">OFFSET(Sector1!$G$302,0,(COLUMN()-6)/6)</f>
        <v>4.4561299999999999</v>
      </c>
      <c r="EC27" s="3448"/>
      <c r="ED27" s="3448"/>
      <c r="EE27" s="3449"/>
      <c r="EF27" s="604"/>
      <c r="EG27" s="3458">
        <f ca="1">+EH27+EI27+EJ27</f>
        <v>4.9755800200000007</v>
      </c>
      <c r="EH27" s="3449">
        <f ca="1">OFFSET(Sector1!$G$302,0,(COLUMN()-6)/6)</f>
        <v>4.9755800200000007</v>
      </c>
      <c r="EI27" s="3448"/>
      <c r="EJ27" s="3448"/>
      <c r="EK27" s="3449"/>
      <c r="EL27" s="604"/>
      <c r="EM27" s="3458">
        <f ca="1">+EN27+EO27+EP27</f>
        <v>5.5570204009000017</v>
      </c>
      <c r="EN27" s="3449">
        <f ca="1">OFFSET(Sector1!$G$302,0,(COLUMN()-6)/6)</f>
        <v>5.5570204009000017</v>
      </c>
      <c r="EO27" s="3448"/>
      <c r="EP27" s="3448"/>
      <c r="EQ27" s="3449"/>
      <c r="ER27" s="604"/>
      <c r="ES27" s="3458">
        <f ca="1">+ET27+EU27+EV27</f>
        <v>5.8869286285827016</v>
      </c>
      <c r="ET27" s="3449">
        <f ca="1">OFFSET(Sector1!$G$302,0,(COLUMN()-6)/6)</f>
        <v>5.8869286285827016</v>
      </c>
      <c r="EU27" s="3448"/>
      <c r="EV27" s="3448"/>
      <c r="EW27" s="3449"/>
      <c r="EX27" s="604"/>
    </row>
    <row r="28" spans="1:154" ht="12.75" customHeight="1">
      <c r="A28" s="553"/>
      <c r="B28" s="600" t="s">
        <v>1767</v>
      </c>
      <c r="C28" s="3779" t="s">
        <v>1336</v>
      </c>
      <c r="D28" s="3780"/>
      <c r="E28" s="3458">
        <f ca="1">+F28+G28+H28+I28</f>
        <v>0.33260605189990733</v>
      </c>
      <c r="F28" s="3449">
        <f ca="1">OFFSET(Sector1!$G$324,0,(COLUMN()-6)/6)</f>
        <v>0.11465</v>
      </c>
      <c r="G28" s="3449">
        <f ca="1">OFFSET(Sector1!$G$326,0,(COLUMN()-7)/6)</f>
        <v>2.1780000000000001E-2</v>
      </c>
      <c r="H28" s="3449">
        <f ca="1">OFFSET(Sector1!$G$328,0,(COLUMN()-8)/6)</f>
        <v>0.32274000000000003</v>
      </c>
      <c r="I28" s="3449">
        <f ca="1">OFFSET(Sector1!$G$329,0,(COLUMN()-9)/6)</f>
        <v>-0.12656394810009269</v>
      </c>
      <c r="J28" s="604"/>
      <c r="K28" s="3458">
        <f t="shared" ca="1" si="0"/>
        <v>0.57957999999999998</v>
      </c>
      <c r="L28" s="3449">
        <f ca="1">OFFSET(Sector1!$G$324,0,(COLUMN()-6)/6)</f>
        <v>9.0450000000000003E-2</v>
      </c>
      <c r="M28" s="3449">
        <f ca="1">OFFSET(Sector1!$G$326,0,(COLUMN()-7)/6)</f>
        <v>1.8239999999999999E-2</v>
      </c>
      <c r="N28" s="3449">
        <f ca="1">OFFSET(Sector1!$G$328,0,(COLUMN()-8)/6)</f>
        <v>0.47088999999999998</v>
      </c>
      <c r="O28" s="3449">
        <f ca="1">OFFSET(Sector1!$G$329,0,(COLUMN()-9)/6)</f>
        <v>-0.16653151065801669</v>
      </c>
      <c r="P28" s="604"/>
      <c r="Q28" s="3458">
        <f t="shared" ca="1" si="1"/>
        <v>0.88441999999999998</v>
      </c>
      <c r="R28" s="3449">
        <f ca="1">OFFSET(Sector1!$G$324,0,(COLUMN()-6)/6)</f>
        <v>0.14949000000000001</v>
      </c>
      <c r="S28" s="3449">
        <f ca="1">OFFSET(Sector1!$G$326,0,(COLUMN()-7)/6)</f>
        <v>0.11393</v>
      </c>
      <c r="T28" s="3449">
        <f ca="1">OFFSET(Sector1!$G$328,0,(COLUMN()-8)/6)</f>
        <v>0.621</v>
      </c>
      <c r="U28" s="3449">
        <f ca="1">OFFSET(Sector1!$G$329,0,(COLUMN()-9)/6)</f>
        <v>-0.26645041705282663</v>
      </c>
      <c r="V28" s="604"/>
      <c r="W28" s="3458">
        <f t="shared" ca="1" si="2"/>
        <v>0.68951999999999991</v>
      </c>
      <c r="X28" s="3449">
        <f ca="1">OFFSET(Sector1!$G$324,0,(COLUMN()-6)/6)</f>
        <v>0.18397999999999998</v>
      </c>
      <c r="Y28" s="3449">
        <f ca="1">OFFSET(Sector1!$G$326,0,(COLUMN()-7)/6)</f>
        <v>0.13008</v>
      </c>
      <c r="Z28" s="3449">
        <f ca="1">OFFSET(Sector1!$G$328,0,(COLUMN()-8)/6)</f>
        <v>0.37545999999999996</v>
      </c>
      <c r="AA28" s="3449">
        <f ca="1">OFFSET(Sector1!$G$329,0,(COLUMN()-9)/6)</f>
        <v>-0.27224281742354034</v>
      </c>
      <c r="AB28" s="604"/>
      <c r="AC28" s="3458">
        <f t="shared" ca="1" si="3"/>
        <v>0.56786999999999999</v>
      </c>
      <c r="AD28" s="3449">
        <f ca="1">OFFSET(Sector1!$G$324,0,(COLUMN()-6)/6)</f>
        <v>0.17671000000000001</v>
      </c>
      <c r="AE28" s="3449">
        <f ca="1">OFFSET(Sector1!$G$326,0,(COLUMN()-7)/6)</f>
        <v>0.15775999999999998</v>
      </c>
      <c r="AF28" s="3449">
        <f ca="1">OFFSET(Sector1!$G$328,0,(COLUMN()-8)/6)</f>
        <v>0.2334</v>
      </c>
      <c r="AG28" s="3449">
        <f ca="1">OFFSET(Sector1!$G$329,0,(COLUMN()-9)/6)</f>
        <v>-0.18883225208526414</v>
      </c>
      <c r="AH28" s="604"/>
      <c r="AI28" s="3458">
        <f t="shared" ca="1" si="4"/>
        <v>0.56045999999999996</v>
      </c>
      <c r="AJ28" s="3449">
        <f ca="1">OFFSET(Sector1!$G$324,0,(COLUMN()-6)/6)</f>
        <v>0.12758</v>
      </c>
      <c r="AK28" s="3449">
        <f ca="1">OFFSET(Sector1!$G$326,0,(COLUMN()-7)/6)</f>
        <v>0.11975</v>
      </c>
      <c r="AL28" s="3449">
        <f ca="1">OFFSET(Sector1!$G$328,0,(COLUMN()-8)/6)</f>
        <v>0.31313000000000002</v>
      </c>
      <c r="AM28" s="3449">
        <f ca="1">OFFSET(Sector1!$G$329,0,(COLUMN()-9)/6)</f>
        <v>-0.25457599629286376</v>
      </c>
      <c r="AN28" s="604"/>
      <c r="AO28" s="3458">
        <f t="shared" ca="1" si="5"/>
        <v>0.60932999999999993</v>
      </c>
      <c r="AP28" s="3449">
        <f ca="1">OFFSET(Sector1!$G$324,0,(COLUMN()-6)/6)</f>
        <v>0.25309999999999999</v>
      </c>
      <c r="AQ28" s="3449">
        <f ca="1">OFFSET(Sector1!$G$326,0,(COLUMN()-7)/6)</f>
        <v>0.12631999999999999</v>
      </c>
      <c r="AR28" s="3449">
        <f ca="1">OFFSET(Sector1!$G$328,0,(COLUMN()-8)/6)</f>
        <v>0.22991</v>
      </c>
      <c r="AS28" s="3449">
        <f ca="1">OFFSET(Sector1!$G$329,0,(COLUMN()-9)/6)</f>
        <v>-0.27427015755329004</v>
      </c>
      <c r="AT28" s="604"/>
      <c r="AU28" s="3458">
        <f t="shared" ca="1" si="6"/>
        <v>0.59420000000000006</v>
      </c>
      <c r="AV28" s="3449">
        <f ca="1">OFFSET(Sector1!$G$324,0,(COLUMN()-6)/6)</f>
        <v>0.19936000000000001</v>
      </c>
      <c r="AW28" s="3449">
        <f ca="1">OFFSET(Sector1!$G$326,0,(COLUMN()-7)/6)</f>
        <v>0.19588</v>
      </c>
      <c r="AX28" s="3449">
        <f ca="1">OFFSET(Sector1!$G$328,0,(COLUMN()-8)/6)</f>
        <v>0.19896</v>
      </c>
      <c r="AY28" s="3449">
        <f ca="1">OFFSET(Sector1!$G$329,0,(COLUMN()-9)/6)</f>
        <v>-0.20939527340129752</v>
      </c>
      <c r="AZ28" s="604"/>
      <c r="BA28" s="3458">
        <f t="shared" ca="1" si="7"/>
        <v>0.5101</v>
      </c>
      <c r="BB28" s="3449">
        <f ca="1">OFFSET(Sector1!$G$324,0,(COLUMN()-6)/6)</f>
        <v>0.21155000000000002</v>
      </c>
      <c r="BC28" s="3449">
        <f ca="1">OFFSET(Sector1!$G$326,0,(COLUMN()-7)/6)</f>
        <v>0.14812999999999998</v>
      </c>
      <c r="BD28" s="3449">
        <f ca="1">OFFSET(Sector1!$G$328,0,(COLUMN()-8)/6)</f>
        <v>0.15042</v>
      </c>
      <c r="BE28" s="3449">
        <f ca="1">OFFSET(Sector1!$G$329,0,(COLUMN()-9)/6)</f>
        <v>-0.22474513438368859</v>
      </c>
      <c r="BF28" s="604"/>
      <c r="BG28" s="3458">
        <f t="shared" ca="1" si="8"/>
        <v>0.68253999999999992</v>
      </c>
      <c r="BH28" s="3449">
        <f ca="1">OFFSET(Sector1!$G$324,0,(COLUMN()-6)/6)</f>
        <v>0.35542000000000001</v>
      </c>
      <c r="BI28" s="3449">
        <f ca="1">OFFSET(Sector1!$G$326,0,(COLUMN()-7)/6)</f>
        <v>0.18512999999999999</v>
      </c>
      <c r="BJ28" s="3449">
        <f ca="1">OFFSET(Sector1!$G$328,0,(COLUMN()-8)/6)</f>
        <v>0.14199000000000001</v>
      </c>
      <c r="BK28" s="3449">
        <f ca="1">OFFSET(Sector1!$G$329,0,(COLUMN()-9)/6)</f>
        <v>-0.26152687673772013</v>
      </c>
      <c r="BL28" s="604"/>
      <c r="BM28" s="3458">
        <f t="shared" ca="1" si="9"/>
        <v>1.0726</v>
      </c>
      <c r="BN28" s="3449">
        <f ca="1">OFFSET(Sector1!$G$324,0,(COLUMN()-6)/6)</f>
        <v>0.63315999999999995</v>
      </c>
      <c r="BO28" s="3449">
        <f ca="1">OFFSET(Sector1!$G$326,0,(COLUMN()-7)/6)</f>
        <v>0.19778000000000001</v>
      </c>
      <c r="BP28" s="3449">
        <f ca="1">OFFSET(Sector1!$G$328,0,(COLUMN()-8)/6)</f>
        <v>0.24165999999999999</v>
      </c>
      <c r="BQ28" s="3449">
        <f ca="1">OFFSET(Sector1!$G$329,0,(COLUMN()-9)/6)</f>
        <v>-0.28999999999999998</v>
      </c>
      <c r="BR28" s="604"/>
      <c r="BS28" s="3458">
        <f t="shared" ca="1" si="10"/>
        <v>1.19642</v>
      </c>
      <c r="BT28" s="3449">
        <f ca="1">OFFSET(Sector1!$G$324,0,(COLUMN()-6)/6)</f>
        <v>0.63112000000000001</v>
      </c>
      <c r="BU28" s="3449">
        <f ca="1">OFFSET(Sector1!$G$326,0,(COLUMN()-7)/6)</f>
        <v>0.35533999999999999</v>
      </c>
      <c r="BV28" s="3449">
        <f ca="1">OFFSET(Sector1!$G$328,0,(COLUMN()-8)/6)</f>
        <v>0.20996000000000001</v>
      </c>
      <c r="BW28" s="3449">
        <f ca="1">OFFSET(Sector1!$G$329,0,(COLUMN()-9)/6)</f>
        <v>-0.44600000000000001</v>
      </c>
      <c r="BX28" s="604"/>
      <c r="BY28" s="3458">
        <f t="shared" ca="1" si="11"/>
        <v>1.46695</v>
      </c>
      <c r="BZ28" s="3449">
        <f ca="1">OFFSET(Sector1!$G$324,0,(COLUMN()-6)/6)</f>
        <v>0.83086000000000004</v>
      </c>
      <c r="CA28" s="3449">
        <f ca="1">OFFSET(Sector1!$G$326,0,(COLUMN()-7)/6)</f>
        <v>0.38927999999999996</v>
      </c>
      <c r="CB28" s="3449">
        <f ca="1">OFFSET(Sector1!$G$328,0,(COLUMN()-8)/6)</f>
        <v>0.24681</v>
      </c>
      <c r="CC28" s="3449">
        <f ca="1">OFFSET(Sector1!$G$329,0,(COLUMN()-9)/6)</f>
        <v>-0.54500000000000004</v>
      </c>
      <c r="CD28" s="604"/>
      <c r="CE28" s="3458">
        <f t="shared" ca="1" si="12"/>
        <v>1.9787399999999999</v>
      </c>
      <c r="CF28" s="3449">
        <f ca="1">OFFSET(Sector1!$G$324,0,(COLUMN()-6)/6)</f>
        <v>1.2227000000000001</v>
      </c>
      <c r="CG28" s="3449">
        <f ca="1">OFFSET(Sector1!$G$326,0,(COLUMN()-7)/6)</f>
        <v>0.46614999999999995</v>
      </c>
      <c r="CH28" s="3449">
        <f ca="1">OFFSET(Sector1!$G$328,0,(COLUMN()-8)/6)</f>
        <v>0.28988999999999998</v>
      </c>
      <c r="CI28" s="3449">
        <f ca="1">OFFSET(Sector1!$G$329,0,(COLUMN()-9)/6)</f>
        <v>-0.59</v>
      </c>
      <c r="CJ28" s="604"/>
      <c r="CK28" s="3458">
        <f ca="1">+CL28+CM28+CN28</f>
        <v>1.7728699999999999</v>
      </c>
      <c r="CL28" s="3449">
        <f ca="1">OFFSET(Sector1!$G$324,0,(COLUMN()-6)/6)</f>
        <v>1.0826</v>
      </c>
      <c r="CM28" s="3449">
        <f ca="1">OFFSET(Sector1!$G$326,0,(COLUMN()-7)/6)</f>
        <v>0.41881000000000002</v>
      </c>
      <c r="CN28" s="3449">
        <f ca="1">OFFSET(Sector1!$G$328,0,(COLUMN()-8)/6)</f>
        <v>0.27145999999999998</v>
      </c>
      <c r="CO28" s="3449">
        <f ca="1">OFFSET(Sector1!$G$329,0,(COLUMN()-9)/6)</f>
        <v>-0.502</v>
      </c>
      <c r="CP28" s="604"/>
      <c r="CQ28" s="3458">
        <f ca="1">+CR28+CS28+CT28</f>
        <v>2.0854900000000001</v>
      </c>
      <c r="CR28" s="3449">
        <f ca="1">OFFSET(Sector1!$G$324,0,(COLUMN()-6)/6)</f>
        <v>1.2823599999999999</v>
      </c>
      <c r="CS28" s="3449">
        <f ca="1">OFFSET(Sector1!$G$326,0,(COLUMN()-7)/6)</f>
        <v>0.40181</v>
      </c>
      <c r="CT28" s="3449">
        <f ca="1">OFFSET(Sector1!$G$328,0,(COLUMN()-8)/6)</f>
        <v>0.40132000000000001</v>
      </c>
      <c r="CU28" s="3449">
        <f ca="1">OFFSET(Sector1!$G$329,0,(COLUMN()-9)/6)</f>
        <v>-0.98199999999999998</v>
      </c>
      <c r="CV28" s="604"/>
      <c r="CW28" s="3458">
        <f ca="1">+CX28+CY28+CZ28</f>
        <v>2.1246900000000002</v>
      </c>
      <c r="CX28" s="3449">
        <f ca="1">OFFSET(Sector1!$G$324,0,(COLUMN()-6)/6)</f>
        <v>1.1806800000000002</v>
      </c>
      <c r="CY28" s="3449">
        <f ca="1">OFFSET(Sector1!$G$326,0,(COLUMN()-7)/6)</f>
        <v>0.44327</v>
      </c>
      <c r="CZ28" s="3449">
        <f ca="1">OFFSET(Sector1!$G$328,0,(COLUMN()-8)/6)</f>
        <v>0.50073999999999996</v>
      </c>
      <c r="DA28" s="3449">
        <f ca="1">OFFSET(Sector1!$G$329,0,(COLUMN()-9)/6)</f>
        <v>-0.77100000000000002</v>
      </c>
      <c r="DB28" s="604"/>
      <c r="DC28" s="3458">
        <f ca="1">+DD28+DE28+DF28</f>
        <v>1.6854</v>
      </c>
      <c r="DD28" s="3449">
        <f ca="1">OFFSET(Sector1!$G$324,0,(COLUMN()-6)/6)</f>
        <v>0.80870000000000009</v>
      </c>
      <c r="DE28" s="3449">
        <f ca="1">OFFSET(Sector1!$G$326,0,(COLUMN()-7)/6)</f>
        <v>0.39974999999999999</v>
      </c>
      <c r="DF28" s="3449">
        <f ca="1">OFFSET(Sector1!$G$328,0,(COLUMN()-8)/6)</f>
        <v>0.47694999999999999</v>
      </c>
      <c r="DG28" s="3449">
        <f ca="1">OFFSET(Sector1!$G$329,0,(COLUMN()-9)/6)</f>
        <v>-0.39200000000000002</v>
      </c>
      <c r="DH28" s="604"/>
      <c r="DI28" s="3458">
        <f ca="1">+DJ28+DK28+DL28</f>
        <v>2.3813599999999999</v>
      </c>
      <c r="DJ28" s="3449">
        <f ca="1">OFFSET(Sector1!$G$324,0,(COLUMN()-6)/6)</f>
        <v>1.4815</v>
      </c>
      <c r="DK28" s="3449">
        <f ca="1">OFFSET(Sector1!$G$326,0,(COLUMN()-7)/6)</f>
        <v>0.43422000000000005</v>
      </c>
      <c r="DL28" s="3449">
        <f ca="1">OFFSET(Sector1!$G$328,0,(COLUMN()-8)/6)</f>
        <v>0.46564</v>
      </c>
      <c r="DM28" s="3449">
        <f ca="1">OFFSET(Sector1!$G$329,0,(COLUMN()-9)/6)</f>
        <v>-0.97599999999999998</v>
      </c>
      <c r="DN28" s="604"/>
      <c r="DO28" s="3458">
        <f ca="1">+DP28+DQ28+DR28</f>
        <v>2.5398800000000001</v>
      </c>
      <c r="DP28" s="3449">
        <f ca="1">OFFSET(Sector1!$G$324,0,(COLUMN()-6)/6)</f>
        <v>1.6157300000000001</v>
      </c>
      <c r="DQ28" s="3449">
        <f ca="1">OFFSET(Sector1!$G$326,0,(COLUMN()-7)/6)</f>
        <v>0.46385000000000004</v>
      </c>
      <c r="DR28" s="3449">
        <f ca="1">OFFSET(Sector1!$G$328,0,(COLUMN()-8)/6)</f>
        <v>0.46029999999999999</v>
      </c>
      <c r="DS28" s="3449">
        <f ca="1">OFFSET(Sector1!$G$329,0,(COLUMN()-9)/6)</f>
        <v>-1.159</v>
      </c>
      <c r="DT28" s="604"/>
      <c r="DU28" s="3458">
        <f ca="1">+DV28+DW28+DX28</f>
        <v>2.4215400000000002</v>
      </c>
      <c r="DV28" s="3449">
        <f ca="1">OFFSET(Sector1!$G$324,0,(COLUMN()-6)/6)</f>
        <v>1.3968</v>
      </c>
      <c r="DW28" s="3449">
        <f ca="1">OFFSET(Sector1!$G$326,0,(COLUMN()-7)/6)</f>
        <v>0.49933</v>
      </c>
      <c r="DX28" s="3449">
        <f ca="1">OFFSET(Sector1!$G$328,0,(COLUMN()-8)/6)</f>
        <v>0.52540999999999993</v>
      </c>
      <c r="DY28" s="3449">
        <f ca="1">OFFSET(Sector1!$G$329,0,(COLUMN()-9)/6)</f>
        <v>-0.93700000000000006</v>
      </c>
      <c r="DZ28" s="604"/>
      <c r="EA28" s="3458">
        <f ca="1">+EB28+EC28+ED28</f>
        <v>2.4130599999999998</v>
      </c>
      <c r="EB28" s="3449">
        <f ca="1">OFFSET(Sector1!$G$324,0,(COLUMN()-6)/6)</f>
        <v>1.4626199999999998</v>
      </c>
      <c r="EC28" s="3449">
        <f ca="1">OFFSET(Sector1!$G$326,0,(COLUMN()-7)/6)</f>
        <v>0.49392000000000003</v>
      </c>
      <c r="ED28" s="3449">
        <f ca="1">OFFSET(Sector1!$G$328,0,(COLUMN()-8)/6)</f>
        <v>0.45651999999999998</v>
      </c>
      <c r="EE28" s="3449">
        <f ca="1">OFFSET(Sector1!$G$329,0,(COLUMN()-9)/6)</f>
        <v>-0.76707999999999976</v>
      </c>
      <c r="EF28" s="604"/>
      <c r="EG28" s="3458">
        <f ca="1">+EH28+EI28+EJ28</f>
        <v>2.545308608</v>
      </c>
      <c r="EH28" s="3449">
        <f ca="1">OFFSET(Sector1!$G$324,0,(COLUMN()-6)/6)</f>
        <v>1.5357509999999999</v>
      </c>
      <c r="EI28" s="3449">
        <f ca="1">OFFSET(Sector1!$G$326,0,(COLUMN()-7)/6)</f>
        <v>0.51861600000000008</v>
      </c>
      <c r="EJ28" s="3449">
        <f ca="1">OFFSET(Sector1!$G$328,0,(COLUMN()-8)/6)</f>
        <v>0.49094160799999992</v>
      </c>
      <c r="EK28" s="3449">
        <f ca="1">OFFSET(Sector1!$G$329,0,(COLUMN()-9)/6)</f>
        <v>-0.79549840799999982</v>
      </c>
      <c r="EL28" s="604"/>
      <c r="EM28" s="3458">
        <f ca="1">+EN28+EO28+EP28</f>
        <v>2.6897569946799997</v>
      </c>
      <c r="EN28" s="3449">
        <f ca="1">OFFSET(Sector1!$G$324,0,(COLUMN()-6)/6)</f>
        <v>1.61253855</v>
      </c>
      <c r="EO28" s="3449">
        <f ca="1">OFFSET(Sector1!$G$326,0,(COLUMN()-7)/6)</f>
        <v>0.54454680000000011</v>
      </c>
      <c r="EP28" s="3449">
        <f ca="1">OFFSET(Sector1!$G$328,0,(COLUMN()-8)/6)</f>
        <v>0.53267164467999994</v>
      </c>
      <c r="EQ28" s="3449">
        <f ca="1">OFFSET(Sector1!$G$329,0,(COLUMN()-9)/6)</f>
        <v>-0.83240506867999964</v>
      </c>
      <c r="ER28" s="604"/>
      <c r="ES28" s="3458">
        <f ca="1">+ET28+EU28+EV28</f>
        <v>2.8428883519778001</v>
      </c>
      <c r="ET28" s="3449">
        <f ca="1">OFFSET(Sector1!$G$324,0,(COLUMN()-6)/6)</f>
        <v>1.6931654775</v>
      </c>
      <c r="EU28" s="3449">
        <f ca="1">OFFSET(Sector1!$G$326,0,(COLUMN()-7)/6)</f>
        <v>0.57177414000000015</v>
      </c>
      <c r="EV28" s="3449">
        <f ca="1">OFFSET(Sector1!$G$328,0,(COLUMN()-8)/6)</f>
        <v>0.57794873447779993</v>
      </c>
      <c r="EW28" s="3449">
        <f ca="1">OFFSET(Sector1!$G$329,0,(COLUMN()-9)/6)</f>
        <v>-0.86719322619779959</v>
      </c>
      <c r="EX28" s="604"/>
    </row>
    <row r="29" spans="1:154" s="557" customFormat="1" ht="12.75" customHeight="1">
      <c r="A29" s="555"/>
      <c r="B29" s="3445" t="s">
        <v>1769</v>
      </c>
      <c r="C29" s="3777" t="s">
        <v>1337</v>
      </c>
      <c r="D29" s="3778"/>
      <c r="E29" s="3454">
        <f ca="1">+F29+G29+H29</f>
        <v>10.06776</v>
      </c>
      <c r="F29" s="3454">
        <f ca="1">+F22+F23+F24+F27+F28</f>
        <v>6.1248400000000007</v>
      </c>
      <c r="G29" s="3454">
        <f ca="1">+G22+G23+G24+G27+G28</f>
        <v>1.2035500000000003</v>
      </c>
      <c r="H29" s="3454">
        <f ca="1">+H22+H23+H24+H27+H28</f>
        <v>2.7393699999999996</v>
      </c>
      <c r="I29" s="3455"/>
      <c r="J29" s="604"/>
      <c r="K29" s="3454">
        <f t="shared" ca="1" si="0"/>
        <v>12.560789999999997</v>
      </c>
      <c r="L29" s="3454">
        <f ca="1">+L22+L23+L24+L27+L28</f>
        <v>7.6192699999999993</v>
      </c>
      <c r="M29" s="3454">
        <f ca="1">+M22+M23+M24+M27+M28</f>
        <v>1.5990899999999995</v>
      </c>
      <c r="N29" s="3454">
        <f ca="1">+N22+N23+N24+N27+N28</f>
        <v>3.3424299999999993</v>
      </c>
      <c r="O29" s="3455"/>
      <c r="P29" s="604"/>
      <c r="Q29" s="3454">
        <f t="shared" ca="1" si="1"/>
        <v>15.609260000000001</v>
      </c>
      <c r="R29" s="3454">
        <f ca="1">+R22+R23+R24+R27+R28</f>
        <v>9.3348499999999994</v>
      </c>
      <c r="S29" s="3454">
        <f ca="1">+S22+S23+S24+S27+S28</f>
        <v>1.6943200000000009</v>
      </c>
      <c r="T29" s="3454">
        <f ca="1">+T22+T23+T24+T27+T28</f>
        <v>4.5800900000000002</v>
      </c>
      <c r="U29" s="3455"/>
      <c r="V29" s="604"/>
      <c r="W29" s="3454">
        <f t="shared" ca="1" si="2"/>
        <v>17.320309999999999</v>
      </c>
      <c r="X29" s="3454">
        <f ca="1">+X22+X23+X24+X27+X28</f>
        <v>10.917089999999998</v>
      </c>
      <c r="Y29" s="3454">
        <f ca="1">+Y22+Y23+Y24+Y27+Y28</f>
        <v>1.4513999999999998</v>
      </c>
      <c r="Z29" s="3454">
        <f ca="1">+Z22+Z23+Z24+Z27+Z28</f>
        <v>4.9518199999999997</v>
      </c>
      <c r="AA29" s="3455"/>
      <c r="AB29" s="604"/>
      <c r="AC29" s="3454">
        <f t="shared" ca="1" si="3"/>
        <v>17.016189999999998</v>
      </c>
      <c r="AD29" s="3454">
        <f ca="1">+AD22+AD23+AD24+AD27+AD28</f>
        <v>11.012219999999999</v>
      </c>
      <c r="AE29" s="3454">
        <f ca="1">+AE22+AE23+AE24+AE27+AE28</f>
        <v>1.3048500000000001</v>
      </c>
      <c r="AF29" s="3454">
        <f ca="1">+AF22+AF23+AF24+AF27+AF28</f>
        <v>4.6991199999999989</v>
      </c>
      <c r="AG29" s="3455"/>
      <c r="AH29" s="604"/>
      <c r="AI29" s="3454">
        <f t="shared" ca="1" si="4"/>
        <v>17.746459999999999</v>
      </c>
      <c r="AJ29" s="3454">
        <f ca="1">+AJ22+AJ23+AJ24+AJ27+AJ28</f>
        <v>11.696299999999999</v>
      </c>
      <c r="AK29" s="3454">
        <f ca="1">+AK22+AK23+AK24+AK27+AK28</f>
        <v>1.2948700000000006</v>
      </c>
      <c r="AL29" s="3454">
        <f ca="1">+AL22+AL23+AL24+AL27+AL28</f>
        <v>4.7552900000000005</v>
      </c>
      <c r="AM29" s="3455"/>
      <c r="AN29" s="604"/>
      <c r="AO29" s="3454">
        <f t="shared" ca="1" si="5"/>
        <v>18.72852</v>
      </c>
      <c r="AP29" s="3454">
        <f ca="1">+AP22+AP23+AP24+AP27+AP28</f>
        <v>12.144299999999999</v>
      </c>
      <c r="AQ29" s="3454">
        <f ca="1">+AQ22+AQ23+AQ24+AQ27+AQ28</f>
        <v>1.8170399999999998</v>
      </c>
      <c r="AR29" s="3454">
        <f ca="1">+AR22+AR23+AR24+AR27+AR28</f>
        <v>4.7671799999999998</v>
      </c>
      <c r="AS29" s="3455"/>
      <c r="AT29" s="604"/>
      <c r="AU29" s="3454">
        <f t="shared" ca="1" si="6"/>
        <v>19.742250000000002</v>
      </c>
      <c r="AV29" s="3454">
        <f ca="1">+AV22+AV23+AV24+AV27+AV28</f>
        <v>12.805540000000001</v>
      </c>
      <c r="AW29" s="3454">
        <f ca="1">+AW22+AW23+AW24+AW27+AW28</f>
        <v>2.0082100000000014</v>
      </c>
      <c r="AX29" s="3454">
        <f ca="1">+AX22+AX23+AX24+AX27+AX28</f>
        <v>4.9284999999999997</v>
      </c>
      <c r="AY29" s="3455"/>
      <c r="AZ29" s="604"/>
      <c r="BA29" s="3454">
        <f t="shared" ca="1" si="7"/>
        <v>21.280920000000005</v>
      </c>
      <c r="BB29" s="3454">
        <f ca="1">+BB22+BB23+BB24+BB27+BB28</f>
        <v>13.652330000000001</v>
      </c>
      <c r="BC29" s="3454">
        <f ca="1">+BC22+BC23+BC24+BC27+BC28</f>
        <v>2.3965300000000025</v>
      </c>
      <c r="BD29" s="3454">
        <f ca="1">+BD22+BD23+BD24+BD27+BD28</f>
        <v>5.2320600000000006</v>
      </c>
      <c r="BE29" s="3455"/>
      <c r="BF29" s="604"/>
      <c r="BG29" s="3454">
        <f t="shared" ca="1" si="8"/>
        <v>23.727329999999995</v>
      </c>
      <c r="BH29" s="3454">
        <f ca="1">+BH22+BH23+BH24+BH27+BH28</f>
        <v>15.912059999999999</v>
      </c>
      <c r="BI29" s="3454">
        <f ca="1">+BI22+BI23+BI24+BI27+BI28</f>
        <v>1.989039999999999</v>
      </c>
      <c r="BJ29" s="3454">
        <f ca="1">+BJ22+BJ23+BJ24+BJ27+BJ28</f>
        <v>5.8262300000000007</v>
      </c>
      <c r="BK29" s="3455"/>
      <c r="BL29" s="604"/>
      <c r="BM29" s="3454">
        <f t="shared" ca="1" si="9"/>
        <v>27.857669999999999</v>
      </c>
      <c r="BN29" s="3454">
        <f ca="1">+BN22+BN23+BN24+BN27+BN28</f>
        <v>17.695469999999997</v>
      </c>
      <c r="BO29" s="3454">
        <f ca="1">+BO22+BO23+BO24+BO27+BO28</f>
        <v>3.3571100000000018</v>
      </c>
      <c r="BP29" s="3454">
        <f ca="1">+BP22+BP23+BP24+BP27+BP28</f>
        <v>6.8050899999999999</v>
      </c>
      <c r="BQ29" s="3455"/>
      <c r="BR29" s="3463"/>
      <c r="BS29" s="3454">
        <f t="shared" ca="1" si="10"/>
        <v>32.001509999999996</v>
      </c>
      <c r="BT29" s="3454">
        <f ca="1">+BT22+BT23+BT24+BT27+BT28</f>
        <v>20.489809999999999</v>
      </c>
      <c r="BU29" s="3454">
        <f ca="1">+BU22+BU23+BU24+BU27+BU28</f>
        <v>3.5818899999999978</v>
      </c>
      <c r="BV29" s="3454">
        <f ca="1">+BV22+BV23+BV24+BV27+BV28</f>
        <v>7.9298099999999989</v>
      </c>
      <c r="BW29" s="3455"/>
      <c r="BX29" s="604"/>
      <c r="BY29" s="3454">
        <f t="shared" ca="1" si="11"/>
        <v>38.150840000000002</v>
      </c>
      <c r="BZ29" s="3454">
        <f ca="1">+BZ22+BZ23+BZ24+BZ27+BZ28</f>
        <v>22.659000000000002</v>
      </c>
      <c r="CA29" s="3454">
        <f ca="1">+CA22+CA23+CA24+CA27+CA28</f>
        <v>6.0638900000000016</v>
      </c>
      <c r="CB29" s="3454">
        <f ca="1">+CB22+CB23+CB24+CB27+CB28</f>
        <v>9.4279499999999992</v>
      </c>
      <c r="CC29" s="3455"/>
      <c r="CD29" s="604"/>
      <c r="CE29" s="3454">
        <f t="shared" ca="1" si="12"/>
        <v>44.238990000000001</v>
      </c>
      <c r="CF29" s="3454">
        <f ca="1">+CF22+CF23+CF24+CF27+CF28</f>
        <v>26.824190000000002</v>
      </c>
      <c r="CG29" s="3454">
        <f ca="1">+CG22+CG23+CG24+CG27+CG28</f>
        <v>6.5089699999999997</v>
      </c>
      <c r="CH29" s="3454">
        <f ca="1">+CH22+CH23+CH24+CH27+CH28</f>
        <v>10.905830000000002</v>
      </c>
      <c r="CI29" s="3455"/>
      <c r="CJ29" s="604"/>
      <c r="CK29" s="3454">
        <f ca="1">+CL29+CM29+CN29</f>
        <v>39.08587</v>
      </c>
      <c r="CL29" s="3454">
        <f ca="1">+CL22+CL23+CL24+CL27+CL28</f>
        <v>24.193290000000001</v>
      </c>
      <c r="CM29" s="3454">
        <f ca="1">+CM22+CM23+CM24+CM27+CM28</f>
        <v>5.9053699999999996</v>
      </c>
      <c r="CN29" s="3454">
        <f ca="1">+CN22+CN23+CN24+CN27+CN28</f>
        <v>8.9872099999999993</v>
      </c>
      <c r="CO29" s="3455"/>
      <c r="CP29" s="604"/>
      <c r="CQ29" s="3454">
        <f ca="1">+CR29+CS29+CT29</f>
        <v>38.657399999999988</v>
      </c>
      <c r="CR29" s="3454">
        <f ca="1">+CR22+CR23+CR24+CR27+CR28</f>
        <v>24.165009999999995</v>
      </c>
      <c r="CS29" s="3454">
        <f ca="1">+CS22+CS23+CS24+CS27+CS28</f>
        <v>5.7192599999999949</v>
      </c>
      <c r="CT29" s="3454">
        <f ca="1">+CT22+CT23+CT24+CT27+CT28</f>
        <v>8.7731300000000001</v>
      </c>
      <c r="CU29" s="3455"/>
      <c r="CV29" s="604"/>
      <c r="CW29" s="3454">
        <f ca="1">+CX29+CY29+CZ29</f>
        <v>41.528059999999996</v>
      </c>
      <c r="CX29" s="3454">
        <f ca="1">+CX22+CX23+CX24+CX27+CX28</f>
        <v>25.505689999999998</v>
      </c>
      <c r="CY29" s="3454">
        <f ca="1">+CY22+CY23+CY24+CY27+CY28</f>
        <v>6.5876500000000036</v>
      </c>
      <c r="CZ29" s="3454">
        <f ca="1">+CZ22+CZ23+CZ24+CZ27+CZ28</f>
        <v>9.4347200000000022</v>
      </c>
      <c r="DA29" s="3455"/>
      <c r="DB29" s="604"/>
      <c r="DC29" s="3454">
        <f ca="1">+DD29+DE29+DF29</f>
        <v>43.715769999999999</v>
      </c>
      <c r="DD29" s="3454">
        <f ca="1">+DD22+DD23+DD24+DD27+DD28</f>
        <v>26.328289999999999</v>
      </c>
      <c r="DE29" s="3454">
        <f ca="1">+DE22+DE23+DE24+DE27+DE28</f>
        <v>7.4369199999999998</v>
      </c>
      <c r="DF29" s="3454">
        <f ca="1">+DF22+DF23+DF24+DF27+DF28</f>
        <v>9.9505600000000012</v>
      </c>
      <c r="DG29" s="3455"/>
      <c r="DH29" s="604"/>
      <c r="DI29" s="3454">
        <f ca="1">+DJ29+DK29+DL29</f>
        <v>46.461539999999999</v>
      </c>
      <c r="DJ29" s="3454">
        <f ca="1">+DJ22+DJ23+DJ24+DJ27+DJ28</f>
        <v>27.869149999999998</v>
      </c>
      <c r="DK29" s="3454">
        <f ca="1">+DK22+DK23+DK24+DK27+DK28</f>
        <v>8.2282399999999978</v>
      </c>
      <c r="DL29" s="3454">
        <f ca="1">+DL22+DL23+DL24+DL27+DL28</f>
        <v>10.36415</v>
      </c>
      <c r="DM29" s="3455"/>
      <c r="DN29" s="604"/>
      <c r="DO29" s="3454">
        <f ca="1">+DP29+DQ29+DR29</f>
        <v>49.056060000000002</v>
      </c>
      <c r="DP29" s="3454">
        <f ca="1">+DP22+DP23+DP24+DP27+DP28</f>
        <v>28.618880000000001</v>
      </c>
      <c r="DQ29" s="3454">
        <f ca="1">+DQ22+DQ23+DQ24+DQ27+DQ28</f>
        <v>9.3758999999999979</v>
      </c>
      <c r="DR29" s="3454">
        <f ca="1">+DR22+DR23+DR24+DR27+DR28</f>
        <v>11.06128</v>
      </c>
      <c r="DS29" s="3455"/>
      <c r="DT29" s="604"/>
      <c r="DU29" s="3454">
        <f ca="1">+DV29+DW29+DX29</f>
        <v>49.35257</v>
      </c>
      <c r="DV29" s="3454">
        <f ca="1">+DV22+DV23+DV24+DV27+DV28</f>
        <v>29.714530000000003</v>
      </c>
      <c r="DW29" s="3454">
        <f ca="1">+DW22+DW23+DW24+DW27+DW28</f>
        <v>7.7446900000000012</v>
      </c>
      <c r="DX29" s="3454">
        <f ca="1">+DX22+DX23+DX24+DX27+DX28</f>
        <v>11.893350000000002</v>
      </c>
      <c r="DY29" s="3455"/>
      <c r="DZ29" s="604"/>
      <c r="EA29" s="3454">
        <f ca="1">+EB29+EC29+ED29</f>
        <v>51.370829999999998</v>
      </c>
      <c r="EB29" s="3454">
        <f ca="1">+EB22+EB23+EB24+EB27+EB28</f>
        <v>31.500399999999999</v>
      </c>
      <c r="EC29" s="3454">
        <f ca="1">+EC22+EC23+EC24+EC27+EC28</f>
        <v>7.1905200000000002</v>
      </c>
      <c r="ED29" s="3454">
        <f ca="1">+ED22+ED23+ED24+ED27+ED28</f>
        <v>12.679910000000001</v>
      </c>
      <c r="EE29" s="3455"/>
      <c r="EF29" s="604"/>
      <c r="EG29" s="3454">
        <f ca="1">+EH29+EI29+EJ29</f>
        <v>55.959840342780637</v>
      </c>
      <c r="EH29" s="3454">
        <f ca="1">+EH22+EH23+EH24+EH27+EH28</f>
        <v>33.926810369999998</v>
      </c>
      <c r="EI29" s="3454">
        <f ca="1">+EI22+EI23+EI24+EI27+EI28</f>
        <v>8.1077364700000025</v>
      </c>
      <c r="EJ29" s="3454">
        <f ca="1">+EJ22+EJ23+EJ24+EJ27+EJ28</f>
        <v>13.925293502780633</v>
      </c>
      <c r="EK29" s="3455"/>
      <c r="EL29" s="604"/>
      <c r="EM29" s="3454">
        <f ca="1">+EN29+EO29+EP29</f>
        <v>59.474276550904214</v>
      </c>
      <c r="EN29" s="3454">
        <f ca="1">+EN22+EN23+EN24+EN27+EN28</f>
        <v>35.889031904138733</v>
      </c>
      <c r="EO29" s="3454">
        <f ca="1">+EO22+EO23+EO24+EO27+EO28</f>
        <v>8.7085029600993291</v>
      </c>
      <c r="EP29" s="3454">
        <f ca="1">+EP22+EP23+EP24+EP27+EP28</f>
        <v>14.876741686666151</v>
      </c>
      <c r="EQ29" s="3455"/>
      <c r="ER29" s="604"/>
      <c r="ES29" s="3454">
        <f ca="1">+ET29+EU29+EV29</f>
        <v>62.87679445471921</v>
      </c>
      <c r="ET29" s="3454">
        <f ca="1">+ET22+ET23+ET24+ET27+ET28</f>
        <v>37.79322381500095</v>
      </c>
      <c r="EU29" s="3454">
        <f ca="1">+EU22+EU23+EU24+EU27+EU28</f>
        <v>9.4003013350079687</v>
      </c>
      <c r="EV29" s="3454">
        <f ca="1">+EV22+EV23+EV24+EV27+EV28</f>
        <v>15.683269304710295</v>
      </c>
      <c r="EW29" s="3455"/>
      <c r="EX29" s="604"/>
    </row>
    <row r="30" spans="1:154" ht="12.75" customHeight="1">
      <c r="A30" s="553"/>
      <c r="B30" s="600" t="s">
        <v>401</v>
      </c>
      <c r="C30" s="3780" t="s">
        <v>1338</v>
      </c>
      <c r="D30" s="3780"/>
      <c r="E30" s="3458">
        <f ca="1">+F30+G30+H30+I30</f>
        <v>0.65283000000000002</v>
      </c>
      <c r="F30" s="3449">
        <f ca="1">OFFSET(Sector1!$G$201,0,(COLUMN()-6)/6)</f>
        <v>0.49329000000000001</v>
      </c>
      <c r="G30" s="3449">
        <f ca="1">OFFSET(Sector1!$G$202,0,(COLUMN()-7)/6)</f>
        <v>0.15953999999999999</v>
      </c>
      <c r="H30" s="3449">
        <f ca="1">OFFSET(Sector1!$G$203,0,(COLUMN()-8)/6)</f>
        <v>0</v>
      </c>
      <c r="I30" s="3449">
        <f ca="1">OFFSET(Sector1!$G$204,0,(COLUMN()-9)/6)</f>
        <v>0</v>
      </c>
      <c r="J30" s="556">
        <f ca="1">+E30-E23</f>
        <v>9.9999999999544897E-6</v>
      </c>
      <c r="K30" s="3458">
        <f t="shared" ca="1" si="0"/>
        <v>0.77738999999999991</v>
      </c>
      <c r="L30" s="3449">
        <f ca="1">OFFSET(Sector1!$G$201,0,(COLUMN()-6)/6)</f>
        <v>0.66565999999999992</v>
      </c>
      <c r="M30" s="3449">
        <f ca="1">OFFSET(Sector1!$G$202,0,(COLUMN()-7)/6)</f>
        <v>0.11173000000000001</v>
      </c>
      <c r="N30" s="3449">
        <f ca="1">OFFSET(Sector1!$G$203,0,(COLUMN()-8)/6)</f>
        <v>0</v>
      </c>
      <c r="O30" s="3449">
        <f ca="1">OFFSET(Sector1!$G$204,0,(COLUMN()-9)/6)</f>
        <v>0</v>
      </c>
      <c r="P30" s="556">
        <f ca="1">+K30-K23+O30</f>
        <v>-1.1102230246251565E-16</v>
      </c>
      <c r="Q30" s="3458">
        <f t="shared" ca="1" si="1"/>
        <v>1.02521</v>
      </c>
      <c r="R30" s="3449">
        <f ca="1">OFFSET(Sector1!$G$201,0,(COLUMN()-6)/6)</f>
        <v>0.84538000000000002</v>
      </c>
      <c r="S30" s="3449">
        <f ca="1">OFFSET(Sector1!$G$202,0,(COLUMN()-7)/6)</f>
        <v>0.17983000000000002</v>
      </c>
      <c r="T30" s="3449">
        <f ca="1">OFFSET(Sector1!$G$203,0,(COLUMN()-8)/6)</f>
        <v>0</v>
      </c>
      <c r="U30" s="3449">
        <f ca="1">OFFSET(Sector1!$G$204,0,(COLUMN()-9)/6)</f>
        <v>0</v>
      </c>
      <c r="V30" s="556">
        <f ca="1">+Q30-Q23+U30</f>
        <v>0</v>
      </c>
      <c r="W30" s="3458">
        <f t="shared" ca="1" si="2"/>
        <v>1.17039</v>
      </c>
      <c r="X30" s="3449">
        <f ca="1">OFFSET(Sector1!$G$201,0,(COLUMN()-6)/6)</f>
        <v>1.00234</v>
      </c>
      <c r="Y30" s="3449">
        <f ca="1">OFFSET(Sector1!$G$202,0,(COLUMN()-7)/6)</f>
        <v>0.16805</v>
      </c>
      <c r="Z30" s="3449">
        <f ca="1">OFFSET(Sector1!$G$203,0,(COLUMN()-8)/6)</f>
        <v>0</v>
      </c>
      <c r="AA30" s="3449">
        <f ca="1">OFFSET(Sector1!$G$204,0,(COLUMN()-9)/6)</f>
        <v>0</v>
      </c>
      <c r="AB30" s="556">
        <f ca="1">+W30-W23+AA30</f>
        <v>0</v>
      </c>
      <c r="AC30" s="3458">
        <f t="shared" ca="1" si="3"/>
        <v>1.1596</v>
      </c>
      <c r="AD30" s="3449">
        <f ca="1">OFFSET(Sector1!$G$201,0,(COLUMN()-6)/6)</f>
        <v>1.0550999999999999</v>
      </c>
      <c r="AE30" s="3449">
        <f ca="1">OFFSET(Sector1!$G$202,0,(COLUMN()-7)/6)</f>
        <v>0.1045</v>
      </c>
      <c r="AF30" s="3449">
        <f ca="1">OFFSET(Sector1!$G$203,0,(COLUMN()-8)/6)</f>
        <v>0</v>
      </c>
      <c r="AG30" s="3449">
        <f ca="1">OFFSET(Sector1!$G$204,0,(COLUMN()-9)/6)</f>
        <v>0</v>
      </c>
      <c r="AH30" s="556">
        <f ca="1">+AC30-AC23+AG30</f>
        <v>-9.9999999998434674E-6</v>
      </c>
      <c r="AI30" s="3458">
        <f t="shared" ca="1" si="4"/>
        <v>1.1185</v>
      </c>
      <c r="AJ30" s="3449">
        <f ca="1">OFFSET(Sector1!$G$201,0,(COLUMN()-6)/6)</f>
        <v>1.02823</v>
      </c>
      <c r="AK30" s="3449">
        <f ca="1">OFFSET(Sector1!$G$202,0,(COLUMN()-7)/6)</f>
        <v>9.0269999999999989E-2</v>
      </c>
      <c r="AL30" s="3449">
        <f ca="1">OFFSET(Sector1!$G$203,0,(COLUMN()-8)/6)</f>
        <v>0</v>
      </c>
      <c r="AM30" s="3449">
        <f ca="1">OFFSET(Sector1!$G$204,0,(COLUMN()-9)/6)</f>
        <v>0</v>
      </c>
      <c r="AN30" s="556">
        <f ca="1">+AI30-AI23+AM30</f>
        <v>0</v>
      </c>
      <c r="AO30" s="3458">
        <f t="shared" ca="1" si="5"/>
        <v>1.1014800000000002</v>
      </c>
      <c r="AP30" s="3449">
        <f ca="1">OFFSET(Sector1!$G$201,0,(COLUMN()-6)/6)</f>
        <v>1.0264000000000002</v>
      </c>
      <c r="AQ30" s="3449">
        <f ca="1">OFFSET(Sector1!$G$202,0,(COLUMN()-7)/6)</f>
        <v>7.5079999999999994E-2</v>
      </c>
      <c r="AR30" s="3449">
        <f ca="1">OFFSET(Sector1!$G$203,0,(COLUMN()-8)/6)</f>
        <v>0</v>
      </c>
      <c r="AS30" s="3449">
        <f ca="1">OFFSET(Sector1!$G$204,0,(COLUMN()-9)/6)</f>
        <v>0</v>
      </c>
      <c r="AT30" s="556">
        <f ca="1">+AO30-AO23+AS30</f>
        <v>1.0000000000287557E-5</v>
      </c>
      <c r="AU30" s="3458">
        <f t="shared" ca="1" si="6"/>
        <v>1.12815</v>
      </c>
      <c r="AV30" s="3449">
        <f ca="1">OFFSET(Sector1!$G$201,0,(COLUMN()-6)/6)</f>
        <v>1.0390299999999999</v>
      </c>
      <c r="AW30" s="3449">
        <f ca="1">OFFSET(Sector1!$G$202,0,(COLUMN()-7)/6)</f>
        <v>8.9090000000000003E-2</v>
      </c>
      <c r="AX30" s="3449">
        <f ca="1">OFFSET(Sector1!$G$203,0,(COLUMN()-8)/6)</f>
        <v>3.0000000000000001E-5</v>
      </c>
      <c r="AY30" s="3449">
        <f ca="1">OFFSET(Sector1!$G$204,0,(COLUMN()-9)/6)</f>
        <v>0</v>
      </c>
      <c r="AZ30" s="556">
        <f ca="1">+AU30-AU23+AY30</f>
        <v>0</v>
      </c>
      <c r="BA30" s="3458">
        <f t="shared" ca="1" si="7"/>
        <v>1.3137500000000002</v>
      </c>
      <c r="BB30" s="3449">
        <f ca="1">OFFSET(Sector1!$G$201,0,(COLUMN()-6)/6)</f>
        <v>1.0864400000000001</v>
      </c>
      <c r="BC30" s="3449">
        <f ca="1">OFFSET(Sector1!$G$202,0,(COLUMN()-7)/6)</f>
        <v>0.22716</v>
      </c>
      <c r="BD30" s="3449">
        <f ca="1">OFFSET(Sector1!$G$203,0,(COLUMN()-8)/6)</f>
        <v>1.5000000000000001E-4</v>
      </c>
      <c r="BE30" s="3449">
        <f ca="1">OFFSET(Sector1!$G$204,0,(COLUMN()-9)/6)</f>
        <v>0</v>
      </c>
      <c r="BF30" s="556">
        <f ca="1">+BA30-BA23+BE30</f>
        <v>-9.9999999998434674E-6</v>
      </c>
      <c r="BG30" s="3458">
        <f t="shared" ca="1" si="8"/>
        <v>1.5787000000000002</v>
      </c>
      <c r="BH30" s="3449">
        <f ca="1">OFFSET(Sector1!$G$201,0,(COLUMN()-6)/6)</f>
        <v>1.2406900000000001</v>
      </c>
      <c r="BI30" s="3449">
        <f ca="1">OFFSET(Sector1!$G$202,0,(COLUMN()-7)/6)</f>
        <v>0.33768999999999999</v>
      </c>
      <c r="BJ30" s="3449">
        <f ca="1">OFFSET(Sector1!$G$203,0,(COLUMN()-8)/6)</f>
        <v>3.2000000000000003E-4</v>
      </c>
      <c r="BK30" s="3449">
        <f ca="1">OFFSET(Sector1!$G$204,0,(COLUMN()-9)/6)</f>
        <v>5.7924003707136244E-4</v>
      </c>
      <c r="BL30" s="556">
        <f ca="1">+BG30-BG23+BK30</f>
        <v>3.0924003707159201E-4</v>
      </c>
      <c r="BM30" s="3458">
        <f t="shared" ca="1" si="9"/>
        <v>1.87795</v>
      </c>
      <c r="BN30" s="3449">
        <f ca="1">OFFSET(Sector1!$G$201,0,(COLUMN()-6)/6)</f>
        <v>1.44129</v>
      </c>
      <c r="BO30" s="3449">
        <f ca="1">OFFSET(Sector1!$G$202,0,(COLUMN()-7)/6)</f>
        <v>0.43642000000000003</v>
      </c>
      <c r="BP30" s="3449">
        <f ca="1">OFFSET(Sector1!$G$203,0,(COLUMN()-8)/6)</f>
        <v>2.4000000000000001E-4</v>
      </c>
      <c r="BQ30" s="3449" t="e">
        <f ca="1">OFFSET(Sector1!$G$204,0,(COLUMN()-9)/6)</f>
        <v>#VALUE!</v>
      </c>
      <c r="BR30" s="556" t="e">
        <f ca="1">+BM30-BM23+BQ30</f>
        <v>#VALUE!</v>
      </c>
      <c r="BS30" s="3458">
        <f t="shared" ca="1" si="10"/>
        <v>2.29894</v>
      </c>
      <c r="BT30" s="3449">
        <f ca="1">OFFSET(Sector1!$G$201,0,(COLUMN()-6)/6)</f>
        <v>1.63571</v>
      </c>
      <c r="BU30" s="3449">
        <f ca="1">OFFSET(Sector1!$G$202,0,(COLUMN()-7)/6)</f>
        <v>0.66228999999999993</v>
      </c>
      <c r="BV30" s="3449">
        <f ca="1">OFFSET(Sector1!$G$203,0,(COLUMN()-8)/6)</f>
        <v>9.4000000000000008E-4</v>
      </c>
      <c r="BW30" s="3449" t="e">
        <f ca="1">OFFSET(Sector1!$G$204,0,(COLUMN()-9)/6)</f>
        <v>#VALUE!</v>
      </c>
      <c r="BX30" s="556" t="e">
        <f ca="1">+BS30-BS23+BW30</f>
        <v>#VALUE!</v>
      </c>
      <c r="BY30" s="3458">
        <f t="shared" ca="1" si="11"/>
        <v>2.6330300000000002</v>
      </c>
      <c r="BZ30" s="3449">
        <f ca="1">OFFSET(Sector1!$G$201,0,(COLUMN()-6)/6)</f>
        <v>1.8986800000000001</v>
      </c>
      <c r="CA30" s="3449">
        <f ca="1">OFFSET(Sector1!$G$202,0,(COLUMN()-7)/6)</f>
        <v>0.73341999999999996</v>
      </c>
      <c r="CB30" s="3449">
        <f ca="1">OFFSET(Sector1!$G$203,0,(COLUMN()-8)/6)</f>
        <v>9.3000000000000005E-4</v>
      </c>
      <c r="CC30" s="3449" t="e">
        <f ca="1">OFFSET(Sector1!$G$204,0,(COLUMN()-9)/6)</f>
        <v>#VALUE!</v>
      </c>
      <c r="CD30" s="556" t="e">
        <f ca="1">+BY30-BY23+CC30</f>
        <v>#VALUE!</v>
      </c>
      <c r="CE30" s="3458">
        <f t="shared" ca="1" si="12"/>
        <v>3.0254900000000005</v>
      </c>
      <c r="CF30" s="3449">
        <f ca="1">OFFSET(Sector1!$G$201,0,(COLUMN()-6)/6)</f>
        <v>2.1377100000000002</v>
      </c>
      <c r="CG30" s="3449">
        <f ca="1">OFFSET(Sector1!$G$202,0,(COLUMN()-7)/6)</f>
        <v>0.88609000000000004</v>
      </c>
      <c r="CH30" s="3449">
        <f ca="1">OFFSET(Sector1!$G$203,0,(COLUMN()-8)/6)</f>
        <v>1.6899999999999999E-3</v>
      </c>
      <c r="CI30" s="3449">
        <f ca="1">OFFSET(Sector1!$G$204,0,(COLUMN()-9)/6)</f>
        <v>-8.9999999999999993E-3</v>
      </c>
      <c r="CJ30" s="556">
        <f ca="1">+CE30-CE23+CI30</f>
        <v>-1.0999999999949071E-4</v>
      </c>
      <c r="CK30" s="3458">
        <f ca="1">+CL30+CM30+CN30</f>
        <v>1.5953200000000001</v>
      </c>
      <c r="CL30" s="3449">
        <f ca="1">OFFSET(Sector1!$G$201,0,(COLUMN()-6)/6)</f>
        <v>1.10605</v>
      </c>
      <c r="CM30" s="3449">
        <f ca="1">OFFSET(Sector1!$G$202,0,(COLUMN()-7)/6)</f>
        <v>0.48854999999999998</v>
      </c>
      <c r="CN30" s="3449">
        <f ca="1">OFFSET(Sector1!$G$203,0,(COLUMN()-8)/6)</f>
        <v>7.2000000000000005E-4</v>
      </c>
      <c r="CO30" s="3449">
        <f ca="1">OFFSET(Sector1!$G$204,0,(COLUMN()-9)/6)</f>
        <v>3.0000000000000001E-3</v>
      </c>
      <c r="CP30" s="556">
        <f ca="1">+CK30-CK23+CO30</f>
        <v>1.0000000000173932E-5</v>
      </c>
      <c r="CQ30" s="3458">
        <f ca="1">+CR30+CS30+CT30</f>
        <v>1.31602</v>
      </c>
      <c r="CR30" s="3449">
        <f ca="1">OFFSET(Sector1!$G$201,0,(COLUMN()-6)/6)</f>
        <v>1.0397700000000001</v>
      </c>
      <c r="CS30" s="3449">
        <f ca="1">OFFSET(Sector1!$G$202,0,(COLUMN()-7)/6)</f>
        <v>0.27594999999999997</v>
      </c>
      <c r="CT30" s="3449">
        <f ca="1">OFFSET(Sector1!$G$203,0,(COLUMN()-8)/6)</f>
        <v>3.0000000000000003E-4</v>
      </c>
      <c r="CU30" s="3449">
        <f ca="1">OFFSET(Sector1!$G$204,0,(COLUMN()-9)/6)</f>
        <v>-2.1999999999999999E-2</v>
      </c>
      <c r="CV30" s="556">
        <f ca="1">+CQ30-CQ23+CU30</f>
        <v>-2.9999999999953675E-5</v>
      </c>
      <c r="CW30" s="3458">
        <f ca="1">+CX30+CY30+CZ30</f>
        <v>1.3760999999999999</v>
      </c>
      <c r="CX30" s="3449">
        <f ca="1">OFFSET(Sector1!$G$201,0,(COLUMN()-6)/6)</f>
        <v>1.12323</v>
      </c>
      <c r="CY30" s="3449">
        <f ca="1">OFFSET(Sector1!$G$202,0,(COLUMN()-7)/6)</f>
        <v>0.25196000000000002</v>
      </c>
      <c r="CZ30" s="3449">
        <f ca="1">OFFSET(Sector1!$G$203,0,(COLUMN()-8)/6)</f>
        <v>9.1E-4</v>
      </c>
      <c r="DA30" s="3449">
        <f ca="1">OFFSET(Sector1!$G$204,0,(COLUMN()-9)/6)</f>
        <v>-1.7000000000000001E-2</v>
      </c>
      <c r="DB30" s="556">
        <f ca="1">+CW30-CW23+DA30</f>
        <v>2.000000000003388E-5</v>
      </c>
      <c r="DC30" s="3458">
        <f ca="1">+DD30+DE30+DF30</f>
        <v>1.6112099999999998</v>
      </c>
      <c r="DD30" s="3449">
        <f ca="1">OFFSET(Sector1!$G$201,0,(COLUMN()-6)/6)</f>
        <v>1.1782999999999999</v>
      </c>
      <c r="DE30" s="3449">
        <f ca="1">OFFSET(Sector1!$G$202,0,(COLUMN()-7)/6)</f>
        <v>0.43019999999999997</v>
      </c>
      <c r="DF30" s="3449">
        <f ca="1">OFFSET(Sector1!$G$203,0,(COLUMN()-8)/6)</f>
        <v>2.7100000000000002E-3</v>
      </c>
      <c r="DG30" s="3449">
        <f ca="1">OFFSET(Sector1!$G$204,0,(COLUMN()-9)/6)</f>
        <v>-4.0000000000000001E-3</v>
      </c>
      <c r="DH30" s="556">
        <f ca="1">+DC30-DC23+DG30</f>
        <v>-3.4000000000022554E-4</v>
      </c>
      <c r="DI30" s="3458">
        <f ca="1">+DJ30+DK30+DL30</f>
        <v>1.7425600000000001</v>
      </c>
      <c r="DJ30" s="3449">
        <f ca="1">OFFSET(Sector1!$G$201,0,(COLUMN()-6)/6)</f>
        <v>1.2658900000000002</v>
      </c>
      <c r="DK30" s="3449">
        <f ca="1">OFFSET(Sector1!$G$202,0,(COLUMN()-7)/6)</f>
        <v>0.47525000000000001</v>
      </c>
      <c r="DL30" s="3449">
        <f ca="1">OFFSET(Sector1!$G$203,0,(COLUMN()-8)/6)</f>
        <v>1.4199999999999998E-3</v>
      </c>
      <c r="DM30" s="3449">
        <f ca="1">OFFSET(Sector1!$G$204,0,(COLUMN()-9)/6)</f>
        <v>-6.0000000000000001E-3</v>
      </c>
      <c r="DN30" s="556">
        <f ca="1">+DI30-DI23+DM30</f>
        <v>3.6999999999998666E-4</v>
      </c>
      <c r="DO30" s="3458">
        <f ca="1">+DP30+DQ30+DR30</f>
        <v>1.83361</v>
      </c>
      <c r="DP30" s="3449">
        <f ca="1">OFFSET(Sector1!$G$201,0,(COLUMN()-6)/6)</f>
        <v>1.3338399999999999</v>
      </c>
      <c r="DQ30" s="3449">
        <f ca="1">OFFSET(Sector1!$G$202,0,(COLUMN()-7)/6)</f>
        <v>0.49851999999999996</v>
      </c>
      <c r="DR30" s="3449">
        <f ca="1">OFFSET(Sector1!$G$203,0,(COLUMN()-8)/6)</f>
        <v>1.25E-3</v>
      </c>
      <c r="DS30" s="3449">
        <f ca="1">OFFSET(Sector1!$G$204,0,(COLUMN()-9)/6)</f>
        <v>3.0000000000000001E-3</v>
      </c>
      <c r="DT30" s="556">
        <f ca="1">+DO30-DO23+DS30</f>
        <v>-1.2000000000001159E-4</v>
      </c>
      <c r="DU30" s="3458">
        <f ca="1">+DV30+DW30+DX30</f>
        <v>2.03085</v>
      </c>
      <c r="DV30" s="3449">
        <f ca="1">OFFSET(Sector1!$G$201,0,(COLUMN()-6)/6)</f>
        <v>1.4569700000000001</v>
      </c>
      <c r="DW30" s="3449">
        <f ca="1">OFFSET(Sector1!$G$202,0,(COLUMN()-7)/6)</f>
        <v>0.57265999999999995</v>
      </c>
      <c r="DX30" s="3449">
        <f ca="1">OFFSET(Sector1!$G$203,0,(COLUMN()-8)/6)</f>
        <v>1.2199999999999999E-3</v>
      </c>
      <c r="DY30" s="3449">
        <f ca="1">OFFSET(Sector1!$G$204,0,(COLUMN()-9)/6)</f>
        <v>1E-3</v>
      </c>
      <c r="DZ30" s="556">
        <f ca="1">+DU30-DU23+DY30</f>
        <v>-3.3999999999989681E-4</v>
      </c>
      <c r="EA30" s="3458">
        <f ca="1">+EB30+EC30+ED30</f>
        <v>2.1850099999999997</v>
      </c>
      <c r="EB30" s="3449">
        <f ca="1">OFFSET(Sector1!$G$201,0,(COLUMN()-6)/6)</f>
        <v>1.5573599999999999</v>
      </c>
      <c r="EC30" s="3449">
        <f ca="1">OFFSET(Sector1!$G$202,0,(COLUMN()-7)/6)</f>
        <v>0.62555999999999989</v>
      </c>
      <c r="ED30" s="3449">
        <f ca="1">OFFSET(Sector1!$G$203,0,(COLUMN()-8)/6)</f>
        <v>2.0899999999999998E-3</v>
      </c>
      <c r="EE30" s="3449">
        <f ca="1">OFFSET(Sector1!$G$204,0,(COLUMN()-9)/6)</f>
        <v>8.9999999999999993E-3</v>
      </c>
      <c r="EF30" s="556">
        <f ca="1">+EA30-EA23+EE30</f>
        <v>-4.9000000000044321E-4</v>
      </c>
      <c r="EG30" s="3458">
        <f ca="1">+EH30+EI30+EJ30</f>
        <v>2.3063593839999998</v>
      </c>
      <c r="EH30" s="3449">
        <f ca="1">OFFSET(Sector1!$G$201,0,(COLUMN()-6)/6)</f>
        <v>1.6732275839999999</v>
      </c>
      <c r="EI30" s="3449">
        <f ca="1">OFFSET(Sector1!$G$202,0,(COLUMN()-7)/6)</f>
        <v>0.63099999999999989</v>
      </c>
      <c r="EJ30" s="3449">
        <f ca="1">OFFSET(Sector1!$G$203,0,(COLUMN()-8)/6)</f>
        <v>2.1317999999999997E-3</v>
      </c>
      <c r="EK30" s="3449">
        <f ca="1">OFFSET(Sector1!$G$204,0,(COLUMN()-9)/6)</f>
        <v>8.9999999999999993E-3</v>
      </c>
      <c r="EL30" s="556">
        <f ca="1">+EG30-EG23+EK30</f>
        <v>1.0234868508263162E-16</v>
      </c>
      <c r="EM30" s="3458">
        <f ca="1">+EN30+EO30+EP30</f>
        <v>2.3855682130239995</v>
      </c>
      <c r="EN30" s="3449">
        <f ca="1">OFFSET(Sector1!$G$201,0,(COLUMN()-6)/6)</f>
        <v>1.733463777024</v>
      </c>
      <c r="EO30" s="3449">
        <f ca="1">OFFSET(Sector1!$G$202,0,(COLUMN()-7)/6)</f>
        <v>0.6499299999999999</v>
      </c>
      <c r="EP30" s="3449">
        <f ca="1">OFFSET(Sector1!$G$203,0,(COLUMN()-8)/6)</f>
        <v>2.1744359999999996E-3</v>
      </c>
      <c r="EQ30" s="3449">
        <f ca="1">OFFSET(Sector1!$G$204,0,(COLUMN()-9)/6)</f>
        <v>8.9999999999999993E-3</v>
      </c>
      <c r="ER30" s="556">
        <f ca="1">+EM30-EM23+EQ30</f>
        <v>1.0234868508263162E-16</v>
      </c>
      <c r="ES30" s="3458">
        <f ca="1">+ET30+EU30+EV30</f>
        <v>2.5166978838147842</v>
      </c>
      <c r="ET30" s="3449">
        <f ca="1">OFFSET(Sector1!$G$201,0,(COLUMN()-6)/6)</f>
        <v>1.8262040890947842</v>
      </c>
      <c r="EU30" s="3449">
        <f ca="1">OFFSET(Sector1!$G$202,0,(COLUMN()-7)/6)</f>
        <v>0.6882758699999999</v>
      </c>
      <c r="EV30" s="3449">
        <f ca="1">OFFSET(Sector1!$G$203,0,(COLUMN()-8)/6)</f>
        <v>2.2179247199999997E-3</v>
      </c>
      <c r="EW30" s="3449">
        <f ca="1">OFFSET(Sector1!$G$204,0,(COLUMN()-9)/6)</f>
        <v>8.9999999999999993E-3</v>
      </c>
      <c r="EX30" s="556">
        <f ca="1">+ES30-ES23+EW30</f>
        <v>1.0234868508263162E-16</v>
      </c>
    </row>
    <row r="31" spans="1:154" ht="12.75" customHeight="1">
      <c r="A31" s="553"/>
      <c r="B31" s="600" t="s">
        <v>401</v>
      </c>
      <c r="C31" s="3780" t="s">
        <v>1339</v>
      </c>
      <c r="D31" s="3780"/>
      <c r="E31" s="3458">
        <f ca="1">+F31+G31+H31+I31</f>
        <v>0.56516999999999995</v>
      </c>
      <c r="F31" s="3449">
        <f ca="1">OFFSET(Sector1!$G$259,0,(COLUMN()-6)/6)</f>
        <v>0.56516999999999995</v>
      </c>
      <c r="G31" s="3448"/>
      <c r="H31" s="3448"/>
      <c r="I31" s="3449"/>
      <c r="J31" s="581" t="e">
        <f ca="1">-E31+E24</f>
        <v>#VALUE!</v>
      </c>
      <c r="K31" s="3458">
        <f t="shared" ca="1" si="0"/>
        <v>0.75261999999999996</v>
      </c>
      <c r="L31" s="3449">
        <f ca="1">OFFSET(Sector1!$G$259,0,(COLUMN()-6)/6)</f>
        <v>0.75261999999999996</v>
      </c>
      <c r="M31" s="3448"/>
      <c r="N31" s="3448"/>
      <c r="O31" s="3449"/>
      <c r="P31" s="581" t="e">
        <f ca="1">-K31+K24+O24</f>
        <v>#VALUE!</v>
      </c>
      <c r="Q31" s="3458">
        <f t="shared" ca="1" si="1"/>
        <v>1.0605100000000001</v>
      </c>
      <c r="R31" s="3449">
        <f ca="1">OFFSET(Sector1!$G$259,0,(COLUMN()-6)/6)</f>
        <v>1.0605100000000001</v>
      </c>
      <c r="S31" s="3448"/>
      <c r="T31" s="3448"/>
      <c r="U31" s="3449"/>
      <c r="V31" s="581" t="e">
        <f ca="1">-Q31+Q24+U24</f>
        <v>#VALUE!</v>
      </c>
      <c r="W31" s="3458">
        <f t="shared" ca="1" si="2"/>
        <v>1.3106500000000001</v>
      </c>
      <c r="X31" s="3449">
        <f ca="1">OFFSET(Sector1!$G$259,0,(COLUMN()-6)/6)</f>
        <v>1.3106500000000001</v>
      </c>
      <c r="Y31" s="3448"/>
      <c r="Z31" s="3448"/>
      <c r="AA31" s="3449"/>
      <c r="AB31" s="581" t="e">
        <f ca="1">-W31+W24+AA24</f>
        <v>#VALUE!</v>
      </c>
      <c r="AC31" s="3458">
        <f t="shared" ca="1" si="3"/>
        <v>1.29495</v>
      </c>
      <c r="AD31" s="3449">
        <f ca="1">OFFSET(Sector1!$G$259,0,(COLUMN()-6)/6)</f>
        <v>1.29495</v>
      </c>
      <c r="AE31" s="3448"/>
      <c r="AF31" s="3448"/>
      <c r="AG31" s="3449"/>
      <c r="AH31" s="581" t="e">
        <f ca="1">-AC31+AC24+AG24</f>
        <v>#VALUE!</v>
      </c>
      <c r="AI31" s="3458">
        <f t="shared" ca="1" si="4"/>
        <v>1.37117</v>
      </c>
      <c r="AJ31" s="3449">
        <f ca="1">OFFSET(Sector1!$G$259,0,(COLUMN()-6)/6)</f>
        <v>1.37117</v>
      </c>
      <c r="AK31" s="3448"/>
      <c r="AL31" s="3448"/>
      <c r="AM31" s="3449"/>
      <c r="AN31" s="581" t="e">
        <f ca="1">-AI31+AI24+AM24</f>
        <v>#VALUE!</v>
      </c>
      <c r="AO31" s="3458">
        <f t="shared" ca="1" si="5"/>
        <v>1.3836900000000001</v>
      </c>
      <c r="AP31" s="3449">
        <f ca="1">OFFSET(Sector1!$G$259,0,(COLUMN()-6)/6)</f>
        <v>1.3836900000000001</v>
      </c>
      <c r="AQ31" s="3448"/>
      <c r="AR31" s="3448"/>
      <c r="AS31" s="3449"/>
      <c r="AT31" s="581" t="e">
        <f ca="1">-AO31+AO24+AS24</f>
        <v>#VALUE!</v>
      </c>
      <c r="AU31" s="3458">
        <f t="shared" ca="1" si="6"/>
        <v>1.4291700000000001</v>
      </c>
      <c r="AV31" s="3449">
        <f ca="1">OFFSET(Sector1!$G$259,0,(COLUMN()-6)/6)</f>
        <v>1.4291700000000001</v>
      </c>
      <c r="AW31" s="3448"/>
      <c r="AX31" s="3448"/>
      <c r="AY31" s="3449"/>
      <c r="AZ31" s="581" t="e">
        <f ca="1">-AU31+AU24+AY24</f>
        <v>#VALUE!</v>
      </c>
      <c r="BA31" s="3458">
        <f t="shared" ca="1" si="7"/>
        <v>1.5403800000000001</v>
      </c>
      <c r="BB31" s="3449">
        <f ca="1">OFFSET(Sector1!$G$259,0,(COLUMN()-6)/6)</f>
        <v>1.5403800000000001</v>
      </c>
      <c r="BC31" s="3448"/>
      <c r="BD31" s="3448"/>
      <c r="BE31" s="3449"/>
      <c r="BF31" s="581" t="e">
        <f ca="1">-BA31+BA24+BE24</f>
        <v>#VALUE!</v>
      </c>
      <c r="BG31" s="3458">
        <f t="shared" ca="1" si="8"/>
        <v>1.7726900000000001</v>
      </c>
      <c r="BH31" s="3449">
        <f ca="1">OFFSET(Sector1!$G$259,0,(COLUMN()-6)/6)</f>
        <v>1.7726900000000001</v>
      </c>
      <c r="BI31" s="3448"/>
      <c r="BJ31" s="3448"/>
      <c r="BK31" s="3449"/>
      <c r="BL31" s="581" t="e">
        <f ca="1">-BG31+BG24+BK24</f>
        <v>#VALUE!</v>
      </c>
      <c r="BM31" s="3458">
        <f t="shared" ca="1" si="9"/>
        <v>2.1060300000000001</v>
      </c>
      <c r="BN31" s="3449">
        <f ca="1">OFFSET(Sector1!$G$259,0,(COLUMN()-6)/6)</f>
        <v>2.1060300000000001</v>
      </c>
      <c r="BO31" s="3448"/>
      <c r="BP31" s="3448"/>
      <c r="BQ31" s="3449"/>
      <c r="BR31" s="581" t="e">
        <f ca="1">-BM31+BM24+BQ24</f>
        <v>#VALUE!</v>
      </c>
      <c r="BS31" s="3458">
        <f t="shared" ca="1" si="10"/>
        <v>2.5360200000000002</v>
      </c>
      <c r="BT31" s="3449">
        <f ca="1">OFFSET(Sector1!$G$259,0,(COLUMN()-6)/6)</f>
        <v>2.5360200000000002</v>
      </c>
      <c r="BU31" s="3448"/>
      <c r="BV31" s="3448"/>
      <c r="BW31" s="3449"/>
      <c r="BX31" s="581" t="e">
        <f ca="1">-BS31+BS24+BW24</f>
        <v>#VALUE!</v>
      </c>
      <c r="BY31" s="3458">
        <f t="shared" ca="1" si="11"/>
        <v>3.1271399999999998</v>
      </c>
      <c r="BZ31" s="3449">
        <f ca="1">OFFSET(Sector1!$G$259,0,(COLUMN()-6)/6)</f>
        <v>3.1271399999999998</v>
      </c>
      <c r="CA31" s="3448"/>
      <c r="CB31" s="3448"/>
      <c r="CC31" s="3449"/>
      <c r="CD31" s="581" t="e">
        <f ca="1">-BY31+BY24+CC24</f>
        <v>#VALUE!</v>
      </c>
      <c r="CE31" s="3458">
        <f t="shared" ca="1" si="12"/>
        <v>3.7217500000000001</v>
      </c>
      <c r="CF31" s="3449">
        <f ca="1">OFFSET(Sector1!$G$259,0,(COLUMN()-6)/6)</f>
        <v>3.7217500000000001</v>
      </c>
      <c r="CG31" s="3448"/>
      <c r="CH31" s="3448"/>
      <c r="CI31" s="3449"/>
      <c r="CJ31" s="581">
        <f ca="1">-CE31+CE24+CI24</f>
        <v>-3.0000000000324906E-5</v>
      </c>
      <c r="CK31" s="3458">
        <f ca="1">+CL31+CM31+CN31</f>
        <v>3.7771500000000002</v>
      </c>
      <c r="CL31" s="3449">
        <f ca="1">OFFSET(Sector1!$G$259,0,(COLUMN()-6)/6)</f>
        <v>3.7771500000000002</v>
      </c>
      <c r="CM31" s="3448"/>
      <c r="CN31" s="3448"/>
      <c r="CO31" s="3449"/>
      <c r="CP31" s="581">
        <f ca="1">-CK31+CK24+CO24</f>
        <v>3.3399999999999992E-3</v>
      </c>
      <c r="CQ31" s="3458">
        <f ca="1">+CR31+CS31+CT31</f>
        <v>3.6449099999999999</v>
      </c>
      <c r="CR31" s="3449">
        <f ca="1">OFFSET(Sector1!$G$259,0,(COLUMN()-6)/6)</f>
        <v>3.6449099999999999</v>
      </c>
      <c r="CS31" s="3448"/>
      <c r="CT31" s="3448"/>
      <c r="CU31" s="3449"/>
      <c r="CV31" s="581">
        <f ca="1">-CQ31+CQ24+CU24</f>
        <v>1.7000000000019777E-4</v>
      </c>
      <c r="CW31" s="3458">
        <f ca="1">+CX31+CY31+CZ31</f>
        <v>3.8609299999999998</v>
      </c>
      <c r="CX31" s="3449">
        <f ca="1">OFFSET(Sector1!$G$259,0,(COLUMN()-6)/6)</f>
        <v>3.8609299999999998</v>
      </c>
      <c r="CY31" s="3448"/>
      <c r="CZ31" s="3448"/>
      <c r="DA31" s="3449"/>
      <c r="DB31" s="581">
        <f ca="1">-CW31+CW24+DA24</f>
        <v>-8.9999999999947761E-5</v>
      </c>
      <c r="DC31" s="3458">
        <f ca="1">+DD31+DE31+DF31</f>
        <v>3.9392600000000004</v>
      </c>
      <c r="DD31" s="3449">
        <f ca="1">OFFSET(Sector1!$G$259,0,(COLUMN()-6)/6)</f>
        <v>3.9392600000000004</v>
      </c>
      <c r="DE31" s="3448"/>
      <c r="DF31" s="3448"/>
      <c r="DG31" s="3449"/>
      <c r="DH31" s="581">
        <f ca="1">-DC31+DC24+DG24</f>
        <v>-5.0000000000050091E-4</v>
      </c>
      <c r="DI31" s="3458">
        <f ca="1">+DJ31+DK31+DL31</f>
        <v>4.1875400000000003</v>
      </c>
      <c r="DJ31" s="3449">
        <f ca="1">OFFSET(Sector1!$G$259,0,(COLUMN()-6)/6)</f>
        <v>4.1875400000000003</v>
      </c>
      <c r="DK31" s="3448"/>
      <c r="DL31" s="3448"/>
      <c r="DM31" s="3449"/>
      <c r="DN31" s="581">
        <f ca="1">-DI31+DI24+DM24</f>
        <v>-6.0000000000049163E-4</v>
      </c>
      <c r="DO31" s="3458">
        <f ca="1">+DP31+DQ31+DR31</f>
        <v>4.4502299999999995</v>
      </c>
      <c r="DP31" s="3449">
        <f ca="1">OFFSET(Sector1!$G$259,0,(COLUMN()-6)/6)</f>
        <v>4.4502299999999995</v>
      </c>
      <c r="DQ31" s="3448"/>
      <c r="DR31" s="3448"/>
      <c r="DS31" s="3449"/>
      <c r="DT31" s="581">
        <f ca="1">-DO31+DO24+DS24</f>
        <v>4.2000000000020059E-4</v>
      </c>
      <c r="DU31" s="3458">
        <f ca="1">+DV31+DW31+DX31</f>
        <v>4.7600800000000003</v>
      </c>
      <c r="DV31" s="3449">
        <f ca="1">OFFSET(Sector1!$G$259,0,(COLUMN()-6)/6)</f>
        <v>4.7600800000000003</v>
      </c>
      <c r="DW31" s="3448"/>
      <c r="DX31" s="3448"/>
      <c r="DY31" s="3449"/>
      <c r="DZ31" s="581">
        <f ca="1">-DU31+DU24+DY24</f>
        <v>2.600000000004812E-4</v>
      </c>
      <c r="EA31" s="3458">
        <f ca="1">+EB31+EC31+ED31</f>
        <v>5.1583000000000006</v>
      </c>
      <c r="EB31" s="3449">
        <f ca="1">OFFSET(Sector1!$G$259,0,(COLUMN()-6)/6)</f>
        <v>5.1583000000000006</v>
      </c>
      <c r="EC31" s="3448"/>
      <c r="ED31" s="3448"/>
      <c r="EE31" s="3449"/>
      <c r="EF31" s="581">
        <f ca="1">-EA31+EA24+EE24</f>
        <v>5.599999999991211E-4</v>
      </c>
      <c r="EG31" s="3458">
        <f ca="1">+EH31+EI31+EJ31</f>
        <v>5.7781323307806325</v>
      </c>
      <c r="EH31" s="3449">
        <f ca="1">OFFSET(Sector1!$G$259,0,(COLUMN()-6)/6)</f>
        <v>5.7781323307806325</v>
      </c>
      <c r="EI31" s="3448"/>
      <c r="EJ31" s="3448"/>
      <c r="EK31" s="3449"/>
      <c r="EL31" s="581">
        <f ca="1">-EG31+EG24+EK24</f>
        <v>7.814929259275516E-16</v>
      </c>
      <c r="EM31" s="3458">
        <f ca="1">+EN31+EO31+EP31</f>
        <v>6.1632101573429354</v>
      </c>
      <c r="EN31" s="3449">
        <f ca="1">OFFSET(Sector1!$G$259,0,(COLUMN()-6)/6)</f>
        <v>6.1632101573429354</v>
      </c>
      <c r="EO31" s="3448"/>
      <c r="EP31" s="3448"/>
      <c r="EQ31" s="3449"/>
      <c r="ER31" s="581">
        <f ca="1">-EM31+EM24+EQ24</f>
        <v>-9.9486391347269887E-16</v>
      </c>
      <c r="ES31" s="3458">
        <f ca="1">+ET31+EU31+EV31</f>
        <v>6.5177736483684185</v>
      </c>
      <c r="ET31" s="3449">
        <f ca="1">OFFSET(Sector1!$G$259,0,(COLUMN()-6)/6)</f>
        <v>6.5177736483684185</v>
      </c>
      <c r="EU31" s="3448"/>
      <c r="EV31" s="3448"/>
      <c r="EW31" s="3449"/>
      <c r="EX31" s="581">
        <f ca="1">-ES31+ES24+EW24</f>
        <v>-1.0668549377257364E-16</v>
      </c>
    </row>
    <row r="32" spans="1:154" ht="12.75" customHeight="1">
      <c r="A32" s="553"/>
      <c r="B32" s="600" t="s">
        <v>401</v>
      </c>
      <c r="C32" s="3780" t="s">
        <v>1340</v>
      </c>
      <c r="D32" s="3780"/>
      <c r="E32" s="3458">
        <f ca="1">+F32+G32+H32-I32</f>
        <v>0.63927999999999985</v>
      </c>
      <c r="F32" s="3449">
        <f ca="1">OFFSET(Sector1!$G$298,0,(COLUMN()-6)/6)</f>
        <v>2.8000000000000003E-4</v>
      </c>
      <c r="G32" s="3449">
        <f ca="1">OFFSET(Sector1!$G$299,0,(COLUMN()-7)/6)</f>
        <v>4.4400000000000004E-3</v>
      </c>
      <c r="H32" s="3449">
        <f ca="1">OFFSET(Sector1!$G$300,0,(COLUMN()-8)/6)</f>
        <v>0.6345599999999999</v>
      </c>
      <c r="I32" s="3449">
        <f ca="1">OFFSET(Sector1!$G$301,0,(COLUMN()-9)/6)</f>
        <v>0</v>
      </c>
      <c r="J32" s="581">
        <f ca="1">-E32+E27</f>
        <v>1.0000000000065512E-5</v>
      </c>
      <c r="K32" s="3458">
        <f ca="1">+L32+M32+N32-O32</f>
        <v>0.83792</v>
      </c>
      <c r="L32" s="3449">
        <f ca="1">OFFSET(Sector1!$G$298,0,(COLUMN()-6)/6)</f>
        <v>2.2000000000000003E-4</v>
      </c>
      <c r="M32" s="3449">
        <f ca="1">OFFSET(Sector1!$G$299,0,(COLUMN()-7)/6)</f>
        <v>4.1399999999999996E-3</v>
      </c>
      <c r="N32" s="3449">
        <f ca="1">OFFSET(Sector1!$G$300,0,(COLUMN()-8)/6)</f>
        <v>0.83355999999999997</v>
      </c>
      <c r="O32" s="3449">
        <f ca="1">OFFSET(Sector1!$G$301,0,(COLUMN()-9)/6)</f>
        <v>0</v>
      </c>
      <c r="P32" s="581">
        <f ca="1">-K32+K27</f>
        <v>-1.0000000000065512E-5</v>
      </c>
      <c r="Q32" s="3458">
        <f ca="1">+R32+S32+T32-U32</f>
        <v>1.1368299999999998</v>
      </c>
      <c r="R32" s="3449">
        <f ca="1">OFFSET(Sector1!$G$298,0,(COLUMN()-6)/6)</f>
        <v>3.3E-4</v>
      </c>
      <c r="S32" s="3449">
        <f ca="1">OFFSET(Sector1!$G$299,0,(COLUMN()-7)/6)</f>
        <v>5.7199999999999994E-3</v>
      </c>
      <c r="T32" s="3449">
        <f ca="1">OFFSET(Sector1!$G$300,0,(COLUMN()-8)/6)</f>
        <v>1.1307799999999999</v>
      </c>
      <c r="U32" s="3449">
        <f ca="1">OFFSET(Sector1!$G$301,0,(COLUMN()-9)/6)</f>
        <v>0</v>
      </c>
      <c r="V32" s="581">
        <f ca="1">-Q32+Q27</f>
        <v>0</v>
      </c>
      <c r="W32" s="3458">
        <f ca="1">+X32+Y32+Z32-AA32</f>
        <v>1.4190699999999998</v>
      </c>
      <c r="X32" s="3449">
        <f ca="1">OFFSET(Sector1!$G$298,0,(COLUMN()-6)/6)</f>
        <v>4.9000000000000009E-4</v>
      </c>
      <c r="Y32" s="3449">
        <f ca="1">OFFSET(Sector1!$G$299,0,(COLUMN()-7)/6)</f>
        <v>7.0899999999999999E-3</v>
      </c>
      <c r="Z32" s="3449">
        <f ca="1">OFFSET(Sector1!$G$300,0,(COLUMN()-8)/6)</f>
        <v>1.4114899999999999</v>
      </c>
      <c r="AA32" s="3449">
        <f ca="1">OFFSET(Sector1!$G$301,0,(COLUMN()-9)/6)</f>
        <v>0</v>
      </c>
      <c r="AB32" s="581">
        <f ca="1">-W32+W27</f>
        <v>1.0000000000065512E-5</v>
      </c>
      <c r="AC32" s="3458">
        <f ca="1">+AD32+AE32+AF32-AG32</f>
        <v>1.5593599999999999</v>
      </c>
      <c r="AD32" s="3449">
        <f ca="1">OFFSET(Sector1!$G$298,0,(COLUMN()-6)/6)</f>
        <v>3.5000000000000005E-4</v>
      </c>
      <c r="AE32" s="3449">
        <f ca="1">OFFSET(Sector1!$G$299,0,(COLUMN()-7)/6)</f>
        <v>7.7400000000000004E-3</v>
      </c>
      <c r="AF32" s="3449">
        <f ca="1">OFFSET(Sector1!$G$300,0,(COLUMN()-8)/6)</f>
        <v>1.5512699999999999</v>
      </c>
      <c r="AG32" s="3449">
        <f ca="1">OFFSET(Sector1!$G$301,0,(COLUMN()-9)/6)</f>
        <v>0</v>
      </c>
      <c r="AH32" s="581">
        <f ca="1">-AC32+AC27</f>
        <v>2.4739999999999984E-2</v>
      </c>
      <c r="AI32" s="3458">
        <f ca="1">+AJ32+AK32+AL32-AM32</f>
        <v>1.5679254216867469</v>
      </c>
      <c r="AJ32" s="3449">
        <f ca="1">OFFSET(Sector1!$G$298,0,(COLUMN()-6)/6)</f>
        <v>4.6000000000000001E-4</v>
      </c>
      <c r="AK32" s="3449">
        <f ca="1">OFFSET(Sector1!$G$299,0,(COLUMN()-7)/6)</f>
        <v>6.1700000000000001E-3</v>
      </c>
      <c r="AL32" s="3449">
        <f ca="1">OFFSET(Sector1!$G$300,0,(COLUMN()-8)/6)</f>
        <v>1.53494</v>
      </c>
      <c r="AM32" s="3449">
        <f ca="1">OFFSET(Sector1!$G$301,0,(COLUMN()-9)/6)</f>
        <v>-2.635542168674699E-2</v>
      </c>
      <c r="AN32" s="581">
        <f ca="1">-AI32+AI27</f>
        <v>-2.6542168674681399E-4</v>
      </c>
      <c r="AO32" s="3458">
        <f ca="1">+AP32+AQ32+AR32-AS32</f>
        <v>1.6304192215013902</v>
      </c>
      <c r="AP32" s="3449">
        <f ca="1">OFFSET(Sector1!$G$298,0,(COLUMN()-6)/6)</f>
        <v>4.0000000000000002E-4</v>
      </c>
      <c r="AQ32" s="3449">
        <f ca="1">OFFSET(Sector1!$G$299,0,(COLUMN()-7)/6)</f>
        <v>4.5999999999999999E-3</v>
      </c>
      <c r="AR32" s="3449">
        <f ca="1">OFFSET(Sector1!$G$300,0,(COLUMN()-8)/6)</f>
        <v>1.6019600000000001</v>
      </c>
      <c r="AS32" s="3449">
        <f ca="1">OFFSET(Sector1!$G$301,0,(COLUMN()-9)/6)</f>
        <v>-2.3459221501390175E-2</v>
      </c>
      <c r="AT32" s="581">
        <f ca="1">-AO32+AO27</f>
        <v>2.1077849860984266E-4</v>
      </c>
      <c r="AU32" s="3458">
        <f ca="1">+AV32+AW32+AX32-AY32</f>
        <v>1.5505542817423539</v>
      </c>
      <c r="AV32" s="3449">
        <f ca="1">OFFSET(Sector1!$G$298,0,(COLUMN()-6)/6)</f>
        <v>3.7000000000000005E-4</v>
      </c>
      <c r="AW32" s="3449">
        <f ca="1">OFFSET(Sector1!$G$299,0,(COLUMN()-7)/6)</f>
        <v>4.3699999999999998E-3</v>
      </c>
      <c r="AX32" s="3449">
        <f ca="1">OFFSET(Sector1!$G$300,0,(COLUMN()-8)/6)</f>
        <v>1.5185899999999999</v>
      </c>
      <c r="AY32" s="3449">
        <f ca="1">OFFSET(Sector1!$G$301,0,(COLUMN()-9)/6)</f>
        <v>-2.7224281742354032E-2</v>
      </c>
      <c r="AZ32" s="581">
        <f ca="1">-AU32+AU27</f>
        <v>-2.0842817423538662E-3</v>
      </c>
      <c r="BA32" s="3458">
        <f ca="1">+BB32+BC32+BD32-BE32</f>
        <v>1.6603565616311402</v>
      </c>
      <c r="BB32" s="3449">
        <f ca="1">OFFSET(Sector1!$G$298,0,(COLUMN()-6)/6)</f>
        <v>4.2000000000000002E-4</v>
      </c>
      <c r="BC32" s="3449">
        <f ca="1">OFFSET(Sector1!$G$299,0,(COLUMN()-7)/6)</f>
        <v>5.2900000000000004E-3</v>
      </c>
      <c r="BD32" s="3449">
        <f ca="1">OFFSET(Sector1!$G$300,0,(COLUMN()-8)/6)</f>
        <v>1.6291600000000002</v>
      </c>
      <c r="BE32" s="3449">
        <f ca="1">OFFSET(Sector1!$G$301,0,(COLUMN()-9)/6)</f>
        <v>-2.5486561631139947E-2</v>
      </c>
      <c r="BF32" s="581">
        <f ca="1">-BA32+BA27</f>
        <v>-1.9656163114012415E-4</v>
      </c>
      <c r="BG32" s="3458">
        <f ca="1">+BH32+BI32+BJ32-BK32</f>
        <v>1.8101865616311399</v>
      </c>
      <c r="BH32" s="3449">
        <f ca="1">OFFSET(Sector1!$G$298,0,(COLUMN()-6)/6)</f>
        <v>4.4000000000000007E-4</v>
      </c>
      <c r="BI32" s="3449">
        <f ca="1">OFFSET(Sector1!$G$299,0,(COLUMN()-7)/6)</f>
        <v>6.0899999999999999E-3</v>
      </c>
      <c r="BJ32" s="3449">
        <f ca="1">OFFSET(Sector1!$G$300,0,(COLUMN()-8)/6)</f>
        <v>1.77817</v>
      </c>
      <c r="BK32" s="3449">
        <f ca="1">OFFSET(Sector1!$G$301,0,(COLUMN()-9)/6)</f>
        <v>-2.5486561631139947E-2</v>
      </c>
      <c r="BL32" s="581">
        <f ca="1">-BG32+BG27</f>
        <v>3.4383688600758688E-6</v>
      </c>
      <c r="BM32" s="3458">
        <f ca="1">+BN32+BO32+BP32-BQ32</f>
        <v>2.0780099999999999</v>
      </c>
      <c r="BN32" s="3449">
        <f ca="1">OFFSET(Sector1!$G$298,0,(COLUMN()-6)/6)</f>
        <v>5.6000000000000006E-4</v>
      </c>
      <c r="BO32" s="3449">
        <f ca="1">OFFSET(Sector1!$G$299,0,(COLUMN()-7)/6)</f>
        <v>9.0659999999999991E-2</v>
      </c>
      <c r="BP32" s="3449">
        <f ca="1">OFFSET(Sector1!$G$300,0,(COLUMN()-8)/6)</f>
        <v>1.9577899999999999</v>
      </c>
      <c r="BQ32" s="3449">
        <f ca="1">OFFSET(Sector1!$G$301,0,(COLUMN()-9)/6)</f>
        <v>-2.9000000000000001E-2</v>
      </c>
      <c r="BR32" s="581">
        <f ca="1">-BM32+BM27</f>
        <v>4.8000000000003595E-4</v>
      </c>
      <c r="BS32" s="3458">
        <f ca="1">+BT32+BU32+BV32-BW32</f>
        <v>2.3494899999999999</v>
      </c>
      <c r="BT32" s="3449">
        <f ca="1">OFFSET(Sector1!$G$298,0,(COLUMN()-6)/6)</f>
        <v>6.8000000000000005E-4</v>
      </c>
      <c r="BU32" s="3449">
        <f ca="1">OFFSET(Sector1!$G$299,0,(COLUMN()-7)/6)</f>
        <v>0.11231999999999999</v>
      </c>
      <c r="BV32" s="3449">
        <f ca="1">OFFSET(Sector1!$G$300,0,(COLUMN()-8)/6)</f>
        <v>2.2084899999999998</v>
      </c>
      <c r="BW32" s="3449">
        <f ca="1">OFFSET(Sector1!$G$301,0,(COLUMN()-9)/6)</f>
        <v>-2.8000000000000001E-2</v>
      </c>
      <c r="BX32" s="581">
        <f ca="1">-BS32+BS27</f>
        <v>-8.999999999970143E-5</v>
      </c>
      <c r="BY32" s="3458">
        <f ca="1">+BZ32+CA32+CB32-CC32</f>
        <v>2.9750800000000002</v>
      </c>
      <c r="BZ32" s="3449">
        <f ca="1">OFFSET(Sector1!$G$298,0,(COLUMN()-6)/6)</f>
        <v>8.5000000000000006E-4</v>
      </c>
      <c r="CA32" s="3449">
        <f ca="1">OFFSET(Sector1!$G$299,0,(COLUMN()-7)/6)</f>
        <v>0.14411000000000002</v>
      </c>
      <c r="CB32" s="3449">
        <f ca="1">OFFSET(Sector1!$G$300,0,(COLUMN()-8)/6)</f>
        <v>2.8051200000000001</v>
      </c>
      <c r="CC32" s="3449">
        <f ca="1">OFFSET(Sector1!$G$301,0,(COLUMN()-9)/6)</f>
        <v>-2.5000000000000001E-2</v>
      </c>
      <c r="CD32" s="581">
        <f ca="1">-BY32+BY27</f>
        <v>2.9999999999752447E-5</v>
      </c>
      <c r="CE32" s="3458">
        <f ca="1">+CF32+CG32+CH32-CI32</f>
        <v>3.9589399999999997</v>
      </c>
      <c r="CF32" s="3449">
        <f ca="1">OFFSET(Sector1!$G$298,0,(COLUMN()-6)/6)</f>
        <v>8.7000000000000011E-4</v>
      </c>
      <c r="CG32" s="3449">
        <f ca="1">OFFSET(Sector1!$G$299,0,(COLUMN()-7)/6)</f>
        <v>0.16861999999999999</v>
      </c>
      <c r="CH32" s="3449">
        <f ca="1">OFFSET(Sector1!$G$300,0,(COLUMN()-8)/6)</f>
        <v>3.7564499999999996</v>
      </c>
      <c r="CI32" s="3449">
        <f ca="1">OFFSET(Sector1!$G$301,0,(COLUMN()-9)/6)</f>
        <v>-3.3000000000000002E-2</v>
      </c>
      <c r="CJ32" s="581">
        <f ca="1">-CE32+CE27</f>
        <v>4.9000000000010147E-4</v>
      </c>
      <c r="CK32" s="3458">
        <f ca="1">+CL32+CM32+CN32-CO32</f>
        <v>4.5077800000000003</v>
      </c>
      <c r="CL32" s="3449">
        <f ca="1">OFFSET(Sector1!$G$298,0,(COLUMN()-6)/6)</f>
        <v>8.1000000000000006E-4</v>
      </c>
      <c r="CM32" s="3449">
        <f ca="1">OFFSET(Sector1!$G$299,0,(COLUMN()-7)/6)</f>
        <v>0.12520999999999999</v>
      </c>
      <c r="CN32" s="3449">
        <f ca="1">OFFSET(Sector1!$G$300,0,(COLUMN()-8)/6)</f>
        <v>4.3547600000000006</v>
      </c>
      <c r="CO32" s="3449">
        <f ca="1">OFFSET(Sector1!$G$301,0,(COLUMN()-9)/6)</f>
        <v>-2.7E-2</v>
      </c>
      <c r="CP32" s="581">
        <f ca="1">-CK32+CK27</f>
        <v>-1.8000000000029104E-4</v>
      </c>
      <c r="CQ32" s="3458">
        <f ca="1">+CR32+CS32+CT32-CU32</f>
        <v>4.1590699999999998</v>
      </c>
      <c r="CR32" s="3449">
        <f ca="1">OFFSET(Sector1!$G$298,0,(COLUMN()-6)/6)</f>
        <v>7.7999999999999999E-4</v>
      </c>
      <c r="CS32" s="3449">
        <f ca="1">OFFSET(Sector1!$G$299,0,(COLUMN()-7)/6)</f>
        <v>0.11831</v>
      </c>
      <c r="CT32" s="3449">
        <f ca="1">OFFSET(Sector1!$G$300,0,(COLUMN()-8)/6)</f>
        <v>4.0089800000000002</v>
      </c>
      <c r="CU32" s="3449">
        <f ca="1">OFFSET(Sector1!$G$301,0,(COLUMN()-9)/6)</f>
        <v>-3.1E-2</v>
      </c>
      <c r="CV32" s="581">
        <f ca="1">-CQ32+CQ27</f>
        <v>1.1999999999989797E-4</v>
      </c>
      <c r="CW32" s="3458">
        <f ca="1">+CX32+CY32+CZ32-DA32</f>
        <v>4.0817199999999989</v>
      </c>
      <c r="CX32" s="3449">
        <f ca="1">OFFSET(Sector1!$G$298,0,(COLUMN()-6)/6)</f>
        <v>8.7000000000000011E-4</v>
      </c>
      <c r="CY32" s="3449">
        <f ca="1">OFFSET(Sector1!$G$299,0,(COLUMN()-7)/6)</f>
        <v>0.15762999999999999</v>
      </c>
      <c r="CZ32" s="3449">
        <f ca="1">OFFSET(Sector1!$G$300,0,(COLUMN()-8)/6)</f>
        <v>3.9032199999999997</v>
      </c>
      <c r="DA32" s="3449">
        <f ca="1">OFFSET(Sector1!$G$301,0,(COLUMN()-9)/6)</f>
        <v>-0.02</v>
      </c>
      <c r="DB32" s="581">
        <f ca="1">-CW32+CW27</f>
        <v>4.3000000000148475E-4</v>
      </c>
      <c r="DC32" s="3458">
        <f ca="1">+DD32+DE32+DF32-DG32</f>
        <v>4.1431900000000006</v>
      </c>
      <c r="DD32" s="3449">
        <f ca="1">OFFSET(Sector1!$G$298,0,(COLUMN()-6)/6)</f>
        <v>8.5000000000000006E-4</v>
      </c>
      <c r="DE32" s="3449">
        <f ca="1">OFFSET(Sector1!$G$299,0,(COLUMN()-7)/6)</f>
        <v>0.13691999999999999</v>
      </c>
      <c r="DF32" s="3449">
        <f ca="1">OFFSET(Sector1!$G$300,0,(COLUMN()-8)/6)</f>
        <v>3.9884200000000001</v>
      </c>
      <c r="DG32" s="3449">
        <f ca="1">OFFSET(Sector1!$G$301,0,(COLUMN()-9)/6)</f>
        <v>-1.7000000000000001E-2</v>
      </c>
      <c r="DH32" s="581">
        <f ca="1">-DC32+DC27</f>
        <v>-4.4000000000021799E-4</v>
      </c>
      <c r="DI32" s="3458">
        <f ca="1">+DJ32+DK32+DL32-DM32</f>
        <v>4.1105099999999997</v>
      </c>
      <c r="DJ32" s="3449">
        <f ca="1">OFFSET(Sector1!$G$298,0,(COLUMN()-6)/6)</f>
        <v>8.8000000000000014E-4</v>
      </c>
      <c r="DK32" s="3449">
        <f ca="1">OFFSET(Sector1!$G$299,0,(COLUMN()-7)/6)</f>
        <v>0.15028</v>
      </c>
      <c r="DL32" s="3449">
        <f ca="1">OFFSET(Sector1!$G$300,0,(COLUMN()-8)/6)</f>
        <v>3.9543499999999998</v>
      </c>
      <c r="DM32" s="3449">
        <f ca="1">OFFSET(Sector1!$G$301,0,(COLUMN()-9)/6)</f>
        <v>-5.0000000000000001E-3</v>
      </c>
      <c r="DN32" s="581">
        <f ca="1">-DI32+DI27</f>
        <v>-4.1999999999919879E-4</v>
      </c>
      <c r="DO32" s="3458">
        <f ca="1">+DP32+DQ32+DR32-DS32</f>
        <v>4.1318199999999994</v>
      </c>
      <c r="DP32" s="3449">
        <f ca="1">OFFSET(Sector1!$G$298,0,(COLUMN()-6)/6)</f>
        <v>1E-3</v>
      </c>
      <c r="DQ32" s="3449">
        <f ca="1">OFFSET(Sector1!$G$299,0,(COLUMN()-7)/6)</f>
        <v>0.15912000000000001</v>
      </c>
      <c r="DR32" s="3449">
        <f ca="1">OFFSET(Sector1!$G$300,0,(COLUMN()-8)/6)</f>
        <v>3.9676999999999998</v>
      </c>
      <c r="DS32" s="3449">
        <f ca="1">OFFSET(Sector1!$G$301,0,(COLUMN()-9)/6)</f>
        <v>-4.0000000000000001E-3</v>
      </c>
      <c r="DT32" s="581">
        <f ca="1">-DO32+DO27</f>
        <v>5.0000000000061107E-4</v>
      </c>
      <c r="DU32" s="3458">
        <f ca="1">+DV32+DW32+DX32-DY32</f>
        <v>4.2373300000000009</v>
      </c>
      <c r="DV32" s="3449">
        <f ca="1">OFFSET(Sector1!$G$298,0,(COLUMN()-6)/6)</f>
        <v>8.9999999999999998E-4</v>
      </c>
      <c r="DW32" s="3449">
        <f ca="1">OFFSET(Sector1!$G$299,0,(COLUMN()-7)/6)</f>
        <v>0.17338000000000001</v>
      </c>
      <c r="DX32" s="3449">
        <f ca="1">OFFSET(Sector1!$G$300,0,(COLUMN()-8)/6)</f>
        <v>4.0540500000000002</v>
      </c>
      <c r="DY32" s="3449">
        <f ca="1">OFFSET(Sector1!$G$301,0,(COLUMN()-9)/6)</f>
        <v>-8.9999999999999993E-3</v>
      </c>
      <c r="DZ32" s="581">
        <f ca="1">-DU32+DU27</f>
        <v>-4.8000000000048004E-4</v>
      </c>
      <c r="EA32" s="3458">
        <f ca="1">+EB32+EC32+ED32-EE32</f>
        <v>4.45587</v>
      </c>
      <c r="EB32" s="3449">
        <f ca="1">OFFSET(Sector1!$G$298,0,(COLUMN()-6)/6)</f>
        <v>9.4000000000000008E-4</v>
      </c>
      <c r="EC32" s="3449">
        <f ca="1">OFFSET(Sector1!$G$299,0,(COLUMN()-7)/6)</f>
        <v>0.18775999999999998</v>
      </c>
      <c r="ED32" s="3449">
        <f ca="1">OFFSET(Sector1!$G$300,0,(COLUMN()-8)/6)</f>
        <v>4.2601700000000005</v>
      </c>
      <c r="EE32" s="3449">
        <f ca="1">OFFSET(Sector1!$G$301,0,(COLUMN()-9)/6)</f>
        <v>-7.0000000000000001E-3</v>
      </c>
      <c r="EF32" s="581">
        <f ca="1">-EA32+EA27</f>
        <v>2.5999999999992696E-4</v>
      </c>
      <c r="EG32" s="3458">
        <f ca="1">+EH32+EI32+EJ32-EK32</f>
        <v>4.9755800200000007</v>
      </c>
      <c r="EH32" s="3449">
        <f ca="1">OFFSET(Sector1!$G$298,0,(COLUMN()-6)/6)</f>
        <v>9.8042000000000008E-4</v>
      </c>
      <c r="EI32" s="3449">
        <f ca="1">OFFSET(Sector1!$G$299,0,(COLUMN()-7)/6)</f>
        <v>0.19620919999999997</v>
      </c>
      <c r="EJ32" s="3449">
        <f ca="1">OFFSET(Sector1!$G$300,0,(COLUMN()-8)/6)</f>
        <v>4.7713904000000014</v>
      </c>
      <c r="EK32" s="3449">
        <f ca="1">OFFSET(Sector1!$G$301,0,(COLUMN()-9)/6)</f>
        <v>-7.0000000000000001E-3</v>
      </c>
      <c r="EL32" s="581">
        <f ca="1">-EG32+EG27</f>
        <v>0</v>
      </c>
      <c r="EM32" s="3458">
        <f ca="1">+EN32+EO32+EP32-EQ32</f>
        <v>5.5570204009000017</v>
      </c>
      <c r="EN32" s="3449">
        <f ca="1">OFFSET(Sector1!$G$298,0,(COLUMN()-6)/6)</f>
        <v>1.0245389000000001E-3</v>
      </c>
      <c r="EO32" s="3449">
        <f ca="1">OFFSET(Sector1!$G$299,0,(COLUMN()-7)/6)</f>
        <v>0.20503861399999995</v>
      </c>
      <c r="EP32" s="3449">
        <f ca="1">OFFSET(Sector1!$G$300,0,(COLUMN()-8)/6)</f>
        <v>5.3439572480000024</v>
      </c>
      <c r="EQ32" s="3449">
        <f ca="1">OFFSET(Sector1!$G$301,0,(COLUMN()-9)/6)</f>
        <v>-7.0000000000000001E-3</v>
      </c>
      <c r="ER32" s="581">
        <f ca="1">-EM32+EM27</f>
        <v>0</v>
      </c>
      <c r="ES32" s="3458">
        <f ca="1">+ET32+EU32+EV32-EW32</f>
        <v>5.8869286285827016</v>
      </c>
      <c r="ET32" s="3449">
        <f ca="1">OFFSET(Sector1!$G$298,0,(COLUMN()-6)/6)</f>
        <v>1.0685940727000001E-3</v>
      </c>
      <c r="EU32" s="3449">
        <f ca="1">OFFSET(Sector1!$G$299,0,(COLUMN()-7)/6)</f>
        <v>0.21426535162999993</v>
      </c>
      <c r="EV32" s="3449">
        <f ca="1">OFFSET(Sector1!$G$300,0,(COLUMN()-8)/6)</f>
        <v>5.6645946828800025</v>
      </c>
      <c r="EW32" s="3449">
        <f ca="1">OFFSET(Sector1!$G$301,0,(COLUMN()-9)/6)</f>
        <v>-7.0000000000000001E-3</v>
      </c>
      <c r="EX32" s="581">
        <f ca="1">-ES32+ES27</f>
        <v>0</v>
      </c>
    </row>
    <row r="33" spans="1:154" ht="12.75" customHeight="1">
      <c r="A33" s="553"/>
      <c r="B33" s="600" t="s">
        <v>401</v>
      </c>
      <c r="C33" s="3780" t="s">
        <v>1341</v>
      </c>
      <c r="D33" s="3780"/>
      <c r="E33" s="3458">
        <f ca="1">+F33+G33+H33+I33</f>
        <v>0.33250000000000002</v>
      </c>
      <c r="F33" s="3449">
        <f ca="1">OFFSET(Sector1!$G$323,0,(COLUMN()-6)/6)</f>
        <v>3.585E-2</v>
      </c>
      <c r="G33" s="3449">
        <f ca="1">OFFSET(Sector1!$G$325,0,(COLUMN()-7)/6)</f>
        <v>0.29097000000000001</v>
      </c>
      <c r="H33" s="3449">
        <f ca="1">OFFSET(Sector1!$G$327,0,(COLUMN()-8)/6)</f>
        <v>5.6799999999999993E-3</v>
      </c>
      <c r="I33" s="3449"/>
      <c r="J33" s="556">
        <f ca="1">+E33-E28</f>
        <v>-1.0605189990731123E-4</v>
      </c>
      <c r="K33" s="3458">
        <f t="shared" ca="1" si="0"/>
        <v>0.41301000000000004</v>
      </c>
      <c r="L33" s="3449">
        <f ca="1">OFFSET(Sector1!$G$323,0,(COLUMN()-6)/6)</f>
        <v>4.6530000000000002E-2</v>
      </c>
      <c r="M33" s="3449">
        <f ca="1">OFFSET(Sector1!$G$325,0,(COLUMN()-7)/6)</f>
        <v>0.36098000000000002</v>
      </c>
      <c r="N33" s="3449">
        <f ca="1">OFFSET(Sector1!$G$327,0,(COLUMN()-8)/6)</f>
        <v>5.4999999999999997E-3</v>
      </c>
      <c r="O33" s="3449"/>
      <c r="P33" s="556">
        <f ca="1">+K33-K28-O28</f>
        <v>-3.8489341983249936E-5</v>
      </c>
      <c r="Q33" s="3458">
        <f t="shared" ca="1" si="1"/>
        <v>0.61791999999999991</v>
      </c>
      <c r="R33" s="3449">
        <f ca="1">OFFSET(Sector1!$G$323,0,(COLUMN()-6)/6)</f>
        <v>1.9690000000000003E-2</v>
      </c>
      <c r="S33" s="3449">
        <f ca="1">OFFSET(Sector1!$G$325,0,(COLUMN()-7)/6)</f>
        <v>0.36907999999999996</v>
      </c>
      <c r="T33" s="3449">
        <f ca="1">OFFSET(Sector1!$G$327,0,(COLUMN()-8)/6)</f>
        <v>0.22914999999999999</v>
      </c>
      <c r="U33" s="3449"/>
      <c r="V33" s="556">
        <f ca="1">+Q33-Q28-U28</f>
        <v>-4.9582947173443248E-5</v>
      </c>
      <c r="W33" s="3458">
        <f t="shared" ca="1" si="2"/>
        <v>0.41728000000000004</v>
      </c>
      <c r="X33" s="3449">
        <f ca="1">OFFSET(Sector1!$G$323,0,(COLUMN()-6)/6)</f>
        <v>2.5559999999999999E-2</v>
      </c>
      <c r="Y33" s="3449">
        <f ca="1">OFFSET(Sector1!$G$325,0,(COLUMN()-7)/6)</f>
        <v>0.30886000000000002</v>
      </c>
      <c r="Z33" s="3449">
        <f ca="1">OFFSET(Sector1!$G$327,0,(COLUMN()-8)/6)</f>
        <v>8.2860000000000003E-2</v>
      </c>
      <c r="AA33" s="3449"/>
      <c r="AB33" s="556">
        <f ca="1">+W33-W28-AA28</f>
        <v>2.8174235404687664E-6</v>
      </c>
      <c r="AC33" s="3458">
        <f t="shared" ca="1" si="3"/>
        <v>0.37923000000000007</v>
      </c>
      <c r="AD33" s="3449">
        <f ca="1">OFFSET(Sector1!$G$323,0,(COLUMN()-6)/6)</f>
        <v>3.9259999999999996E-2</v>
      </c>
      <c r="AE33" s="3449">
        <f ca="1">OFFSET(Sector1!$G$325,0,(COLUMN()-7)/6)</f>
        <v>0.27594000000000002</v>
      </c>
      <c r="AF33" s="3449">
        <f ca="1">OFFSET(Sector1!$G$327,0,(COLUMN()-8)/6)</f>
        <v>6.4030000000000004E-2</v>
      </c>
      <c r="AG33" s="3449"/>
      <c r="AH33" s="556">
        <f ca="1">+AC33-AC28-AG28</f>
        <v>1.9225208526421622E-4</v>
      </c>
      <c r="AI33" s="3458">
        <f t="shared" ca="1" si="4"/>
        <v>0.30243999999999999</v>
      </c>
      <c r="AJ33" s="3449">
        <f ca="1">OFFSET(Sector1!$G$323,0,(COLUMN()-6)/6)</f>
        <v>3.6819999999999999E-2</v>
      </c>
      <c r="AK33" s="3449">
        <f ca="1">OFFSET(Sector1!$G$325,0,(COLUMN()-7)/6)</f>
        <v>0.25236999999999998</v>
      </c>
      <c r="AL33" s="3449">
        <f ca="1">OFFSET(Sector1!$G$327,0,(COLUMN()-8)/6)</f>
        <v>1.325E-2</v>
      </c>
      <c r="AM33" s="3449"/>
      <c r="AN33" s="556">
        <f ca="1">+AI33-AI28-AM28</f>
        <v>-3.4440037071362117E-3</v>
      </c>
      <c r="AO33" s="3458">
        <f t="shared" ca="1" si="5"/>
        <v>0.33952000000000004</v>
      </c>
      <c r="AP33" s="3449">
        <f ca="1">OFFSET(Sector1!$G$323,0,(COLUMN()-6)/6)</f>
        <v>4.1790000000000001E-2</v>
      </c>
      <c r="AQ33" s="3449">
        <f ca="1">OFFSET(Sector1!$G$325,0,(COLUMN()-7)/6)</f>
        <v>0.24536000000000002</v>
      </c>
      <c r="AR33" s="3449">
        <f ca="1">OFFSET(Sector1!$G$327,0,(COLUMN()-8)/6)</f>
        <v>5.237E-2</v>
      </c>
      <c r="AS33" s="3449"/>
      <c r="AT33" s="556">
        <f ca="1">+AO33-AO28-AS28</f>
        <v>4.4601575532901561E-3</v>
      </c>
      <c r="AU33" s="3458">
        <f t="shared" ca="1" si="6"/>
        <v>0.38723000000000002</v>
      </c>
      <c r="AV33" s="3449">
        <f ca="1">OFFSET(Sector1!$G$323,0,(COLUMN()-6)/6)</f>
        <v>9.0469999999999995E-2</v>
      </c>
      <c r="AW33" s="3449">
        <f ca="1">OFFSET(Sector1!$G$325,0,(COLUMN()-7)/6)</f>
        <v>0.27867000000000003</v>
      </c>
      <c r="AX33" s="3449">
        <f ca="1">OFFSET(Sector1!$G$327,0,(COLUMN()-8)/6)</f>
        <v>1.8089999999999998E-2</v>
      </c>
      <c r="AY33" s="3449"/>
      <c r="AZ33" s="556">
        <f ca="1">+AU33-AU28-AY28</f>
        <v>2.425273401297473E-3</v>
      </c>
      <c r="BA33" s="3458">
        <f t="shared" ca="1" si="7"/>
        <v>0.28878999999999999</v>
      </c>
      <c r="BB33" s="3449">
        <f ca="1">OFFSET(Sector1!$G$323,0,(COLUMN()-6)/6)</f>
        <v>7.5569999999999998E-2</v>
      </c>
      <c r="BC33" s="3449">
        <f ca="1">OFFSET(Sector1!$G$325,0,(COLUMN()-7)/6)</f>
        <v>0.18616999999999997</v>
      </c>
      <c r="BD33" s="3449">
        <f ca="1">OFFSET(Sector1!$G$327,0,(COLUMN()-8)/6)</f>
        <v>2.7050000000000001E-2</v>
      </c>
      <c r="BE33" s="3449"/>
      <c r="BF33" s="556">
        <f ca="1">+BA33-BA28-BE28</f>
        <v>3.4351343836885873E-3</v>
      </c>
      <c r="BG33" s="3458">
        <f t="shared" ca="1" si="8"/>
        <v>0.41918</v>
      </c>
      <c r="BH33" s="3449">
        <f ca="1">OFFSET(Sector1!$G$323,0,(COLUMN()-6)/6)</f>
        <v>5.6060000000000006E-2</v>
      </c>
      <c r="BI33" s="3449">
        <f ca="1">OFFSET(Sector1!$G$325,0,(COLUMN()-7)/6)</f>
        <v>0.23157</v>
      </c>
      <c r="BJ33" s="3449">
        <f ca="1">OFFSET(Sector1!$G$327,0,(COLUMN()-8)/6)</f>
        <v>0.13155</v>
      </c>
      <c r="BK33" s="3449"/>
      <c r="BL33" s="556">
        <f ca="1">+BG33-BG28-BK28</f>
        <v>-1.833123262279801E-3</v>
      </c>
      <c r="BM33" s="3458">
        <f t="shared" ca="1" si="9"/>
        <v>0.78245999999999993</v>
      </c>
      <c r="BN33" s="3449">
        <f ca="1">OFFSET(Sector1!$G$323,0,(COLUMN()-6)/6)</f>
        <v>8.0260000000000012E-2</v>
      </c>
      <c r="BO33" s="3449">
        <f ca="1">OFFSET(Sector1!$G$325,0,(COLUMN()-7)/6)</f>
        <v>0.32592000000000004</v>
      </c>
      <c r="BP33" s="3449">
        <f ca="1">OFFSET(Sector1!$G$327,0,(COLUMN()-8)/6)</f>
        <v>0.37627999999999995</v>
      </c>
      <c r="BQ33" s="3449"/>
      <c r="BR33" s="556">
        <f ca="1">+BM33-BM28-BQ28</f>
        <v>-1.400000000000845E-4</v>
      </c>
      <c r="BS33" s="3458">
        <f t="shared" ca="1" si="10"/>
        <v>0.75114999999999998</v>
      </c>
      <c r="BT33" s="3449">
        <f ca="1">OFFSET(Sector1!$G$323,0,(COLUMN()-6)/6)</f>
        <v>0.11993999999999999</v>
      </c>
      <c r="BU33" s="3449">
        <f ca="1">OFFSET(Sector1!$G$325,0,(COLUMN()-7)/6)</f>
        <v>0.32991000000000004</v>
      </c>
      <c r="BV33" s="3449">
        <f ca="1">OFFSET(Sector1!$G$327,0,(COLUMN()-8)/6)</f>
        <v>0.30130000000000001</v>
      </c>
      <c r="BW33" s="3449"/>
      <c r="BX33" s="556">
        <f ca="1">+BS33-BS28-BW28</f>
        <v>7.2999999999995291E-4</v>
      </c>
      <c r="BY33" s="3458">
        <f t="shared" ca="1" si="11"/>
        <v>0.92137000000000002</v>
      </c>
      <c r="BZ33" s="3449">
        <f ca="1">OFFSET(Sector1!$G$323,0,(COLUMN()-6)/6)</f>
        <v>0.13761999999999999</v>
      </c>
      <c r="CA33" s="3449">
        <f ca="1">OFFSET(Sector1!$G$325,0,(COLUMN()-7)/6)</f>
        <v>0.40314</v>
      </c>
      <c r="CB33" s="3449">
        <f ca="1">OFFSET(Sector1!$G$327,0,(COLUMN()-8)/6)</f>
        <v>0.38061</v>
      </c>
      <c r="CC33" s="3449"/>
      <c r="CD33" s="556">
        <f ca="1">+BY33-BY28-CC28</f>
        <v>-5.7999999999991392E-4</v>
      </c>
      <c r="CE33" s="3458">
        <f t="shared" ca="1" si="12"/>
        <v>1.3883100000000002</v>
      </c>
      <c r="CF33" s="3449">
        <f ca="1">OFFSET(Sector1!$G$323,0,(COLUMN()-6)/6)</f>
        <v>0.11809</v>
      </c>
      <c r="CG33" s="3449">
        <f ca="1">OFFSET(Sector1!$G$325,0,(COLUMN()-7)/6)</f>
        <v>0.79137000000000002</v>
      </c>
      <c r="CH33" s="3449">
        <f ca="1">OFFSET(Sector1!$G$327,0,(COLUMN()-8)/6)</f>
        <v>0.47885</v>
      </c>
      <c r="CI33" s="3449"/>
      <c r="CJ33" s="556">
        <f ca="1">+CE33-CE28-CI28</f>
        <v>-4.2999999999981942E-4</v>
      </c>
      <c r="CK33" s="3458">
        <f ca="1">+CL33+CM33+CN33</f>
        <v>1.2704499999999999</v>
      </c>
      <c r="CL33" s="3449">
        <f ca="1">OFFSET(Sector1!$G$323,0,(COLUMN()-6)/6)</f>
        <v>0.10909000000000001</v>
      </c>
      <c r="CM33" s="3449">
        <f ca="1">OFFSET(Sector1!$G$325,0,(COLUMN()-7)/6)</f>
        <v>0.71341999999999994</v>
      </c>
      <c r="CN33" s="3449">
        <f ca="1">OFFSET(Sector1!$G$327,0,(COLUMN()-8)/6)</f>
        <v>0.44794</v>
      </c>
      <c r="CO33" s="3449"/>
      <c r="CP33" s="556">
        <f ca="1">+CK33-CK28-CO28</f>
        <v>-4.2000000000008697E-4</v>
      </c>
      <c r="CQ33" s="3458">
        <f ca="1">+CR33+CS33+CT33</f>
        <v>1.1030800000000001</v>
      </c>
      <c r="CR33" s="3449">
        <f ca="1">OFFSET(Sector1!$G$323,0,(COLUMN()-6)/6)</f>
        <v>0.11334999999999999</v>
      </c>
      <c r="CS33" s="3449">
        <f ca="1">OFFSET(Sector1!$G$325,0,(COLUMN()-7)/6)</f>
        <v>0.64309000000000005</v>
      </c>
      <c r="CT33" s="3449">
        <f ca="1">OFFSET(Sector1!$G$327,0,(COLUMN()-8)/6)</f>
        <v>0.34664</v>
      </c>
      <c r="CU33" s="3449"/>
      <c r="CV33" s="556">
        <f ca="1">+CQ33-CQ28-CU28</f>
        <v>-4.1000000000002146E-4</v>
      </c>
      <c r="CW33" s="3458">
        <f ca="1">+CX33+CY33+CZ33</f>
        <v>1.35389</v>
      </c>
      <c r="CX33" s="3449">
        <f ca="1">OFFSET(Sector1!$G$323,0,(COLUMN()-6)/6)</f>
        <v>0.13771</v>
      </c>
      <c r="CY33" s="3449">
        <f ca="1">OFFSET(Sector1!$G$325,0,(COLUMN()-7)/6)</f>
        <v>0.71772999999999998</v>
      </c>
      <c r="CZ33" s="3449">
        <f ca="1">OFFSET(Sector1!$G$327,0,(COLUMN()-8)/6)</f>
        <v>0.49845</v>
      </c>
      <c r="DA33" s="3449"/>
      <c r="DB33" s="556">
        <f ca="1">+CW33-CW28-DA28</f>
        <v>1.9999999999986695E-4</v>
      </c>
      <c r="DC33" s="3458">
        <f ca="1">+DD33+DE33+DF33</f>
        <v>1.2932700000000001</v>
      </c>
      <c r="DD33" s="3449">
        <f ca="1">OFFSET(Sector1!$G$323,0,(COLUMN()-6)/6)</f>
        <v>0.13758999999999999</v>
      </c>
      <c r="DE33" s="3449">
        <f ca="1">OFFSET(Sector1!$G$325,0,(COLUMN()-7)/6)</f>
        <v>0.68996000000000002</v>
      </c>
      <c r="DF33" s="3449">
        <f ca="1">OFFSET(Sector1!$G$327,0,(COLUMN()-8)/6)</f>
        <v>0.46572000000000002</v>
      </c>
      <c r="DG33" s="3449"/>
      <c r="DH33" s="556">
        <f ca="1">+DC33-DC28-DG28</f>
        <v>-1.2999999999985246E-4</v>
      </c>
      <c r="DI33" s="3458">
        <f ca="1">+DJ33+DK33+DL33</f>
        <v>1.4056199999999999</v>
      </c>
      <c r="DJ33" s="3449">
        <f ca="1">OFFSET(Sector1!$G$323,0,(COLUMN()-6)/6)</f>
        <v>0.13761000000000001</v>
      </c>
      <c r="DK33" s="3449">
        <f ca="1">OFFSET(Sector1!$G$325,0,(COLUMN()-7)/6)</f>
        <v>0.71371000000000007</v>
      </c>
      <c r="DL33" s="3449">
        <f ca="1">OFFSET(Sector1!$G$327,0,(COLUMN()-8)/6)</f>
        <v>0.5542999999999999</v>
      </c>
      <c r="DM33" s="3449"/>
      <c r="DN33" s="556">
        <f ca="1">+DI33-DI28-DM28</f>
        <v>2.5999999999992696E-4</v>
      </c>
      <c r="DO33" s="3458">
        <f ca="1">+DP33+DQ33+DR33</f>
        <v>1.38076</v>
      </c>
      <c r="DP33" s="3449">
        <f ca="1">OFFSET(Sector1!$G$323,0,(COLUMN()-6)/6)</f>
        <v>0.14047999999999999</v>
      </c>
      <c r="DQ33" s="3449">
        <f ca="1">OFFSET(Sector1!$G$325,0,(COLUMN()-7)/6)</f>
        <v>0.72487999999999997</v>
      </c>
      <c r="DR33" s="3449">
        <f ca="1">OFFSET(Sector1!$G$327,0,(COLUMN()-8)/6)</f>
        <v>0.51539999999999997</v>
      </c>
      <c r="DS33" s="3449"/>
      <c r="DT33" s="556">
        <f ca="1">+DO33-DO28-DS28</f>
        <v>-1.2000000000012001E-4</v>
      </c>
      <c r="DU33" s="3458">
        <f ca="1">+DV33+DW33+DX33</f>
        <v>1.4846300000000001</v>
      </c>
      <c r="DV33" s="3449">
        <f ca="1">OFFSET(Sector1!$G$323,0,(COLUMN()-6)/6)</f>
        <v>0.15171999999999999</v>
      </c>
      <c r="DW33" s="3449">
        <f ca="1">OFFSET(Sector1!$G$325,0,(COLUMN()-7)/6)</f>
        <v>0.77882000000000007</v>
      </c>
      <c r="DX33" s="3449">
        <f ca="1">OFFSET(Sector1!$G$327,0,(COLUMN()-8)/6)</f>
        <v>0.55409000000000008</v>
      </c>
      <c r="DY33" s="3449"/>
      <c r="DZ33" s="556">
        <f ca="1">+DU33-DU28-DY28</f>
        <v>8.9999999999923475E-5</v>
      </c>
      <c r="EA33" s="3458">
        <f ca="1">+EB33+EC33+ED33</f>
        <v>1.6459800000000002</v>
      </c>
      <c r="EB33" s="3449">
        <f ca="1">OFFSET(Sector1!$G$323,0,(COLUMN()-6)/6)</f>
        <v>0.17138</v>
      </c>
      <c r="EC33" s="3449">
        <f ca="1">OFFSET(Sector1!$G$325,0,(COLUMN()-7)/6)</f>
        <v>0.83196000000000003</v>
      </c>
      <c r="ED33" s="3449">
        <f ca="1">OFFSET(Sector1!$G$327,0,(COLUMN()-8)/6)</f>
        <v>0.64263999999999999</v>
      </c>
      <c r="EE33" s="3449"/>
      <c r="EF33" s="556">
        <f ca="1">+EA33-EA28-EE28</f>
        <v>0</v>
      </c>
      <c r="EG33" s="3458">
        <f ca="1">+EH33+EI33+EJ33</f>
        <v>1.7498102000000002</v>
      </c>
      <c r="EH33" s="3449">
        <f ca="1">OFFSET(Sector1!$G$323,0,(COLUMN()-6)/6)</f>
        <v>0.17652140000000002</v>
      </c>
      <c r="EI33" s="3449">
        <f ca="1">OFFSET(Sector1!$G$325,0,(COLUMN()-7)/6)</f>
        <v>0.89851680000000012</v>
      </c>
      <c r="EJ33" s="3449">
        <f ca="1">OFFSET(Sector1!$G$327,0,(COLUMN()-8)/6)</f>
        <v>0.67477200000000004</v>
      </c>
      <c r="EK33" s="3449"/>
      <c r="EL33" s="556">
        <f ca="1">+EG33-EG28-EK28</f>
        <v>0</v>
      </c>
      <c r="EM33" s="3458">
        <f ca="1">+EN33+EO33+EP33</f>
        <v>1.8573519260000002</v>
      </c>
      <c r="EN33" s="3449">
        <f ca="1">OFFSET(Sector1!$G$323,0,(COLUMN()-6)/6)</f>
        <v>0.18181704200000004</v>
      </c>
      <c r="EO33" s="3449">
        <f ca="1">OFFSET(Sector1!$G$325,0,(COLUMN()-7)/6)</f>
        <v>0.97039814400000024</v>
      </c>
      <c r="EP33" s="3449">
        <f ca="1">OFFSET(Sector1!$G$327,0,(COLUMN()-8)/6)</f>
        <v>0.70513674000000004</v>
      </c>
      <c r="EQ33" s="3449"/>
      <c r="ER33" s="556">
        <f ca="1">+EM33-EM28-EQ28</f>
        <v>0</v>
      </c>
      <c r="ES33" s="3458">
        <f ca="1">+ET33+EU33+EV33</f>
        <v>1.9756951257800004</v>
      </c>
      <c r="ET33" s="3449">
        <f ca="1">OFFSET(Sector1!$G$323,0,(COLUMN()-6)/6)</f>
        <v>0.18727155326000006</v>
      </c>
      <c r="EU33" s="3449">
        <f ca="1">OFFSET(Sector1!$G$325,0,(COLUMN()-7)/6)</f>
        <v>1.0480299955200003</v>
      </c>
      <c r="EV33" s="3449">
        <f ca="1">OFFSET(Sector1!$G$327,0,(COLUMN()-8)/6)</f>
        <v>0.74039357700000008</v>
      </c>
      <c r="EW33" s="3449"/>
      <c r="EX33" s="556">
        <f ca="1">+ES33-ES28-EW28</f>
        <v>0</v>
      </c>
    </row>
    <row r="34" spans="1:154" s="557" customFormat="1" ht="12.75" customHeight="1">
      <c r="A34" s="555"/>
      <c r="B34" s="3445" t="s">
        <v>1769</v>
      </c>
      <c r="C34" s="3777" t="s">
        <v>500</v>
      </c>
      <c r="D34" s="3778"/>
      <c r="E34" s="3454">
        <f ca="1">+F34+G34+H34</f>
        <v>7.8779800000000009</v>
      </c>
      <c r="F34" s="3454">
        <f ca="1">+F29-F30-F31-F32-F33</f>
        <v>5.0302500000000006</v>
      </c>
      <c r="G34" s="3454">
        <f ca="1">+G29-G30-G31-G32-G33</f>
        <v>0.74860000000000038</v>
      </c>
      <c r="H34" s="3454">
        <f ca="1">+H29-H30-H31-H32-H33</f>
        <v>2.0991299999999997</v>
      </c>
      <c r="I34" s="3455"/>
      <c r="J34" s="604"/>
      <c r="K34" s="3454">
        <f t="shared" ca="1" si="0"/>
        <v>9.7798499999999997</v>
      </c>
      <c r="L34" s="3454">
        <f ca="1">+L29-L30-L31-L32-L33</f>
        <v>6.1542399999999997</v>
      </c>
      <c r="M34" s="3454">
        <f ca="1">+M29-M30-M31-M32-M33</f>
        <v>1.1222399999999992</v>
      </c>
      <c r="N34" s="3454">
        <f ca="1">+N29-N30-N31-N32-N33</f>
        <v>2.5033699999999994</v>
      </c>
      <c r="O34" s="3455"/>
      <c r="P34" s="604"/>
      <c r="Q34" s="3454">
        <f t="shared" ca="1" si="1"/>
        <v>11.768790000000001</v>
      </c>
      <c r="R34" s="3454">
        <f ca="1">+R29-R30-R31-R32-R33</f>
        <v>7.4089399999999994</v>
      </c>
      <c r="S34" s="3454">
        <f ca="1">+S29-S30-S31-S32-S33</f>
        <v>1.1396900000000012</v>
      </c>
      <c r="T34" s="3454">
        <f ca="1">+T29-T30-T31-T32-T33</f>
        <v>3.2201600000000004</v>
      </c>
      <c r="U34" s="3455"/>
      <c r="V34" s="604"/>
      <c r="W34" s="3454">
        <f t="shared" ca="1" si="2"/>
        <v>13.002919999999996</v>
      </c>
      <c r="X34" s="3454">
        <f ca="1">+X29-X30-X31-X32-X33</f>
        <v>8.5780499999999975</v>
      </c>
      <c r="Y34" s="3454">
        <f ca="1">+Y29-Y30-Y31-Y32-Y33</f>
        <v>0.9673999999999997</v>
      </c>
      <c r="Z34" s="3454">
        <f ca="1">+Z29-Z30-Z31-Z32-Z33</f>
        <v>3.4574699999999998</v>
      </c>
      <c r="AA34" s="3455"/>
      <c r="AB34" s="604"/>
      <c r="AC34" s="3454">
        <f t="shared" ca="1" si="3"/>
        <v>12.623049999999999</v>
      </c>
      <c r="AD34" s="3454">
        <f ca="1">+AD29-AD30-AD31-AD32-AD33</f>
        <v>8.62256</v>
      </c>
      <c r="AE34" s="3454">
        <f ca="1">+AE29-AE30-AE31-AE32-AE33</f>
        <v>0.91666999999999987</v>
      </c>
      <c r="AF34" s="3454">
        <f ca="1">+AF29-AF30-AF31-AF32-AF33</f>
        <v>3.0838199999999993</v>
      </c>
      <c r="AG34" s="3455"/>
      <c r="AH34" s="604"/>
      <c r="AI34" s="3454">
        <f t="shared" ca="1" si="4"/>
        <v>13.41278</v>
      </c>
      <c r="AJ34" s="3454">
        <f ca="1">+AJ29-AJ30-AJ31-AJ32-AJ33</f>
        <v>9.2596199999999982</v>
      </c>
      <c r="AK34" s="3454">
        <f ca="1">+AK29-AK30-AK31-AK32-AK33</f>
        <v>0.94606000000000057</v>
      </c>
      <c r="AL34" s="3454">
        <f ca="1">+AL29-AL30-AL31-AL32-AL33</f>
        <v>3.2071000000000005</v>
      </c>
      <c r="AM34" s="3455"/>
      <c r="AN34" s="604"/>
      <c r="AO34" s="3454">
        <f t="shared" ca="1" si="5"/>
        <v>14.296869999999997</v>
      </c>
      <c r="AP34" s="3454">
        <f ca="1">+AP29-AP30-AP31-AP32-AP33</f>
        <v>9.6920199999999976</v>
      </c>
      <c r="AQ34" s="3454">
        <f ca="1">+AQ29-AQ30-AQ31-AQ32-AQ33</f>
        <v>1.4919999999999998</v>
      </c>
      <c r="AR34" s="3454">
        <f ca="1">+AR29-AR30-AR31-AR32-AR33</f>
        <v>3.1128499999999999</v>
      </c>
      <c r="AS34" s="3455"/>
      <c r="AT34" s="604"/>
      <c r="AU34" s="3454">
        <f t="shared" ca="1" si="6"/>
        <v>15.274370000000003</v>
      </c>
      <c r="AV34" s="3454">
        <f ca="1">+AV29-AV30-AV31-AV32-AV33</f>
        <v>10.246500000000001</v>
      </c>
      <c r="AW34" s="3454">
        <f ca="1">+AW29-AW30-AW31-AW32-AW33</f>
        <v>1.6360800000000013</v>
      </c>
      <c r="AX34" s="3454">
        <f ca="1">+AX29-AX30-AX31-AX32-AX33</f>
        <v>3.3917900000000003</v>
      </c>
      <c r="AY34" s="3455"/>
      <c r="AZ34" s="604"/>
      <c r="BA34" s="3454">
        <f t="shared" ca="1" si="7"/>
        <v>16.503130000000002</v>
      </c>
      <c r="BB34" s="3454">
        <f ca="1">+BB29-BB30-BB31-BB32-BB33</f>
        <v>10.94952</v>
      </c>
      <c r="BC34" s="3454">
        <f ca="1">+BC29-BC30-BC31-BC32-BC33</f>
        <v>1.9779100000000025</v>
      </c>
      <c r="BD34" s="3454">
        <f ca="1">+BD29-BD30-BD31-BD32-BD33</f>
        <v>3.5757000000000008</v>
      </c>
      <c r="BE34" s="3455"/>
      <c r="BF34" s="604"/>
      <c r="BG34" s="3454">
        <f t="shared" ca="1" si="8"/>
        <v>18.172059999999995</v>
      </c>
      <c r="BH34" s="3454">
        <f ca="1">+BH29-BH30-BH31-BH32-BH33</f>
        <v>12.842179999999997</v>
      </c>
      <c r="BI34" s="3454">
        <f ca="1">+BI29-BI30-BI31-BI32-BI33</f>
        <v>1.413689999999999</v>
      </c>
      <c r="BJ34" s="3454">
        <f ca="1">+BJ29-BJ30-BJ31-BJ32-BJ33</f>
        <v>3.9161900000000003</v>
      </c>
      <c r="BK34" s="3455"/>
      <c r="BL34" s="604"/>
      <c r="BM34" s="3454">
        <f t="shared" ca="1" si="9"/>
        <v>21.04222</v>
      </c>
      <c r="BN34" s="3454">
        <f ca="1">+BN29-BN30-BN31-BN32-BN33</f>
        <v>14.067329999999997</v>
      </c>
      <c r="BO34" s="3454">
        <f ca="1">+BO29-BO30-BO31-BO32-BO33</f>
        <v>2.5041100000000016</v>
      </c>
      <c r="BP34" s="3454">
        <f ca="1">+BP29-BP30-BP31-BP32-BP33</f>
        <v>4.4707799999999995</v>
      </c>
      <c r="BQ34" s="3455"/>
      <c r="BR34" s="604"/>
      <c r="BS34" s="3454">
        <f t="shared" ca="1" si="10"/>
        <v>24.093909999999994</v>
      </c>
      <c r="BT34" s="3454">
        <f ca="1">+BT29-BT30-BT31-BT32-BT33</f>
        <v>16.19746</v>
      </c>
      <c r="BU34" s="3454">
        <f ca="1">+BU29-BU30-BU31-BU32-BU33</f>
        <v>2.4773699999999979</v>
      </c>
      <c r="BV34" s="3454">
        <f ca="1">+BV29-BV30-BV31-BV32-BV33</f>
        <v>5.4190799999999983</v>
      </c>
      <c r="BW34" s="3455"/>
      <c r="BX34" s="604"/>
      <c r="BY34" s="3454">
        <f t="shared" ca="1" si="11"/>
        <v>28.519220000000004</v>
      </c>
      <c r="BZ34" s="3454">
        <f ca="1">+BZ29-BZ30-BZ31-BZ32-BZ33</f>
        <v>17.494710000000005</v>
      </c>
      <c r="CA34" s="3454">
        <f ca="1">+CA29-CA30-CA31-CA32-CA33</f>
        <v>4.7832200000000018</v>
      </c>
      <c r="CB34" s="3454">
        <f ca="1">+CB29-CB30-CB31-CB32-CB33</f>
        <v>6.2412899999999985</v>
      </c>
      <c r="CC34" s="3455"/>
      <c r="CD34" s="604"/>
      <c r="CE34" s="3454">
        <f t="shared" ca="1" si="12"/>
        <v>32.177500000000009</v>
      </c>
      <c r="CF34" s="3454">
        <f ca="1">+CF29-CF30-CF31-CF32-CF33</f>
        <v>20.845770000000005</v>
      </c>
      <c r="CG34" s="3454">
        <f ca="1">+CG29-CG30-CG31-CG32-CG33</f>
        <v>4.66289</v>
      </c>
      <c r="CH34" s="3454">
        <f ca="1">+CH29-CH30-CH31-CH32-CH33</f>
        <v>6.668840000000003</v>
      </c>
      <c r="CI34" s="3455"/>
      <c r="CJ34" s="604"/>
      <c r="CK34" s="3454">
        <f ca="1">+CL34+CM34+CN34</f>
        <v>27.96217</v>
      </c>
      <c r="CL34" s="3454">
        <f ca="1">+CL29-CL30-CL31-CL32-CL33</f>
        <v>19.200190000000003</v>
      </c>
      <c r="CM34" s="3454">
        <f ca="1">+CM29-CM30-CM31-CM32-CM33</f>
        <v>4.5781899999999993</v>
      </c>
      <c r="CN34" s="3454">
        <f ca="1">+CN29-CN30-CN31-CN32-CN33</f>
        <v>4.1837899999999992</v>
      </c>
      <c r="CO34" s="3455"/>
      <c r="CP34" s="604"/>
      <c r="CQ34" s="3454">
        <f ca="1">+CR34+CS34+CT34</f>
        <v>28.465319999999991</v>
      </c>
      <c r="CR34" s="3454">
        <f ca="1">+CR29-CR30-CR31-CR32-CR33</f>
        <v>19.366199999999996</v>
      </c>
      <c r="CS34" s="3454">
        <f ca="1">+CS29-CS30-CS31-CS32-CS33</f>
        <v>4.6819099999999949</v>
      </c>
      <c r="CT34" s="3454">
        <f ca="1">+CT29-CT30-CT31-CT32-CT33</f>
        <v>4.4172100000000007</v>
      </c>
      <c r="CU34" s="3455"/>
      <c r="CV34" s="604"/>
      <c r="CW34" s="3454">
        <f ca="1">+CX34+CY34+CZ34</f>
        <v>30.875420000000005</v>
      </c>
      <c r="CX34" s="3454">
        <f ca="1">+CX29-CX30-CX31-CX32-CX33</f>
        <v>20.382950000000001</v>
      </c>
      <c r="CY34" s="3454">
        <f ca="1">+CY29-CY30-CY31-CY32-CY33</f>
        <v>5.4603300000000026</v>
      </c>
      <c r="CZ34" s="3454">
        <f ca="1">+CZ29-CZ30-CZ31-CZ32-CZ33</f>
        <v>5.0321400000000036</v>
      </c>
      <c r="DA34" s="3455"/>
      <c r="DB34" s="604"/>
      <c r="DC34" s="3454">
        <f ca="1">+DD34+DE34+DF34</f>
        <v>32.745840000000001</v>
      </c>
      <c r="DD34" s="3454">
        <f ca="1">+DD29-DD30-DD31-DD32-DD33</f>
        <v>21.072289999999999</v>
      </c>
      <c r="DE34" s="3454">
        <f ca="1">+DE29-DE30-DE31-DE32-DE33</f>
        <v>6.1798399999999996</v>
      </c>
      <c r="DF34" s="3454">
        <f ca="1">+DF29-DF30-DF31-DF32-DF33</f>
        <v>5.493710000000001</v>
      </c>
      <c r="DG34" s="3455"/>
      <c r="DH34" s="604"/>
      <c r="DI34" s="3454">
        <f ca="1">+DJ34+DK34+DL34</f>
        <v>35.020310000000002</v>
      </c>
      <c r="DJ34" s="3454">
        <f ca="1">+DJ29-DJ30-DJ31-DJ32-DJ33</f>
        <v>22.277230000000003</v>
      </c>
      <c r="DK34" s="3454">
        <f ca="1">+DK29-DK30-DK31-DK32-DK33</f>
        <v>6.8889999999999976</v>
      </c>
      <c r="DL34" s="3454">
        <f ca="1">+DL29-DL30-DL31-DL32-DL33</f>
        <v>5.8540800000000015</v>
      </c>
      <c r="DM34" s="3455"/>
      <c r="DN34" s="604"/>
      <c r="DO34" s="3454">
        <f ca="1">+DP34+DQ34+DR34</f>
        <v>37.263640000000002</v>
      </c>
      <c r="DP34" s="3454">
        <f ca="1">+DP29-DP30-DP31-DP32-DP33</f>
        <v>22.693330000000003</v>
      </c>
      <c r="DQ34" s="3454">
        <f ca="1">+DQ29-DQ30-DQ31-DQ32-DQ33</f>
        <v>7.9933799999999993</v>
      </c>
      <c r="DR34" s="3454">
        <f ca="1">+DR29-DR30-DR31-DR32-DR33</f>
        <v>6.5769299999999999</v>
      </c>
      <c r="DS34" s="3455"/>
      <c r="DT34" s="604"/>
      <c r="DU34" s="3454">
        <f ca="1">+DV34+DW34+DX34</f>
        <v>36.848680000000002</v>
      </c>
      <c r="DV34" s="3454">
        <f ca="1">+DV29-DV30-DV31-DV32-DV33</f>
        <v>23.344860000000001</v>
      </c>
      <c r="DW34" s="3454">
        <f ca="1">+DW29-DW30-DW31-DW32-DW33</f>
        <v>6.2198300000000017</v>
      </c>
      <c r="DX34" s="3454">
        <f ca="1">+DX29-DX30-DX31-DX32-DX33</f>
        <v>7.2839900000000011</v>
      </c>
      <c r="DY34" s="3455"/>
      <c r="DZ34" s="604"/>
      <c r="EA34" s="3454">
        <f ca="1">+EB34+EC34+ED34</f>
        <v>37.932670000000002</v>
      </c>
      <c r="EB34" s="3454">
        <f ca="1">+EB29-EB30-EB31-EB32-EB33</f>
        <v>24.61242</v>
      </c>
      <c r="EC34" s="3454">
        <f ca="1">+EC29-EC30-EC31-EC32-EC33</f>
        <v>5.5452399999999997</v>
      </c>
      <c r="ED34" s="3454">
        <f ca="1">+ED29-ED30-ED31-ED32-ED33</f>
        <v>7.77501</v>
      </c>
      <c r="EE34" s="3455"/>
      <c r="EF34" s="604"/>
      <c r="EG34" s="3454">
        <f ca="1">+EH34+EI34+EJ34</f>
        <v>41.156958407999994</v>
      </c>
      <c r="EH34" s="3454">
        <f ca="1">+EH29-EH30-EH31-EH32-EH33</f>
        <v>26.297948635219363</v>
      </c>
      <c r="EI34" s="3454">
        <f ca="1">+EI29-EI30-EI31-EI32-EI33</f>
        <v>6.3820104700000018</v>
      </c>
      <c r="EJ34" s="3454">
        <f ca="1">+EJ29-EJ30-EJ31-EJ32-EJ33</f>
        <v>8.4769993027806301</v>
      </c>
      <c r="EK34" s="3455"/>
      <c r="EL34" s="604"/>
      <c r="EM34" s="3454">
        <f ca="1">+EN34+EO34+EP34</f>
        <v>43.518125853637272</v>
      </c>
      <c r="EN34" s="3454">
        <f ca="1">+EN29-EN30-EN31-EN32-EN33</f>
        <v>27.809516388871799</v>
      </c>
      <c r="EO34" s="3454">
        <f ca="1">+EO29-EO30-EO31-EO32-EO33</f>
        <v>6.8831362020993296</v>
      </c>
      <c r="EP34" s="3454">
        <f ca="1">+EP29-EP30-EP31-EP32-EP33</f>
        <v>8.8254732626661472</v>
      </c>
      <c r="EQ34" s="3455"/>
      <c r="ER34" s="604"/>
      <c r="ES34" s="3454">
        <f ca="1">+ET34+EU34+EV34</f>
        <v>45.986699168173303</v>
      </c>
      <c r="ET34" s="3454">
        <f ca="1">+ET29-ET30-ET31-ET32-ET33</f>
        <v>29.260905930205045</v>
      </c>
      <c r="EU34" s="3454">
        <f ca="1">+EU29-EU30-EU31-EU32-EU33</f>
        <v>7.4497301178579676</v>
      </c>
      <c r="EV34" s="3454">
        <f ca="1">+EV29-EV30-EV31-EV32-EV33</f>
        <v>9.2760631201102921</v>
      </c>
      <c r="EW34" s="3455"/>
      <c r="EX34" s="604"/>
    </row>
    <row r="35" spans="1:154" ht="13.5" customHeight="1" thickBot="1">
      <c r="A35" s="553"/>
      <c r="B35" s="600" t="s">
        <v>1767</v>
      </c>
      <c r="C35" s="3779" t="s">
        <v>1295</v>
      </c>
      <c r="D35" s="3780"/>
      <c r="E35" s="3458">
        <f ca="1">+F35+G35+H35</f>
        <v>0</v>
      </c>
      <c r="F35" s="3449">
        <f ca="1">OFFSET(Sector1!$G$396,0,(COLUMN()-6)/6)</f>
        <v>0</v>
      </c>
      <c r="G35" s="3449">
        <f ca="1">-OFFSET(Sector1!$G$397,0,(COLUMN()-7)/6)</f>
        <v>0</v>
      </c>
      <c r="H35" s="3449">
        <f ca="1">-OFFSET(Sector1!$G$398,0,(COLUMN()-8)/6)</f>
        <v>0</v>
      </c>
      <c r="I35" s="3449">
        <f ca="1">-OFFSET(Sector1!$G$399,0,(COLUMN()-8)/6)</f>
        <v>0</v>
      </c>
      <c r="J35" s="556">
        <f ca="1">+E35+I35</f>
        <v>0</v>
      </c>
      <c r="K35" s="3458">
        <f ca="1">+L35+M35+N35</f>
        <v>0</v>
      </c>
      <c r="L35" s="3449">
        <f ca="1">OFFSET(Sector1!$G$396,0,(COLUMN()-6)/6)</f>
        <v>0</v>
      </c>
      <c r="M35" s="3449">
        <f ca="1">-OFFSET(Sector1!$G$397,0,(COLUMN()-7)/6)</f>
        <v>0</v>
      </c>
      <c r="N35" s="3449">
        <f ca="1">-OFFSET(Sector1!$G$398,0,(COLUMN()-8)/6)</f>
        <v>0</v>
      </c>
      <c r="O35" s="3449">
        <f ca="1">-OFFSET(Sector1!$G$399,0,(COLUMN()-8)/6)</f>
        <v>0</v>
      </c>
      <c r="P35" s="556">
        <f ca="1">+K35+O35</f>
        <v>0</v>
      </c>
      <c r="Q35" s="3458">
        <f ca="1">+R35+S35+T35</f>
        <v>0</v>
      </c>
      <c r="R35" s="3449">
        <f ca="1">OFFSET(Sector1!$G$396,0,(COLUMN()-6)/6)</f>
        <v>0</v>
      </c>
      <c r="S35" s="3449">
        <f ca="1">-OFFSET(Sector1!$G$397,0,(COLUMN()-7)/6)</f>
        <v>0</v>
      </c>
      <c r="T35" s="3449">
        <f ca="1">-OFFSET(Sector1!$G$398,0,(COLUMN()-8)/6)</f>
        <v>0</v>
      </c>
      <c r="U35" s="3449">
        <f ca="1">-OFFSET(Sector1!$G$399,0,(COLUMN()-8)/6)</f>
        <v>0</v>
      </c>
      <c r="V35" s="556">
        <f ca="1">+Q35+U35</f>
        <v>0</v>
      </c>
      <c r="W35" s="3458">
        <f ca="1">+X35+Y35+Z35</f>
        <v>0</v>
      </c>
      <c r="X35" s="3449">
        <f ca="1">OFFSET(Sector1!$G$396,0,(COLUMN()-6)/6)</f>
        <v>0</v>
      </c>
      <c r="Y35" s="3449">
        <f ca="1">-OFFSET(Sector1!$G$397,0,(COLUMN()-7)/6)</f>
        <v>0</v>
      </c>
      <c r="Z35" s="3449">
        <f ca="1">-OFFSET(Sector1!$G$398,0,(COLUMN()-8)/6)</f>
        <v>0</v>
      </c>
      <c r="AA35" s="3449">
        <f ca="1">-OFFSET(Sector1!$G$399,0,(COLUMN()-8)/6)</f>
        <v>0</v>
      </c>
      <c r="AB35" s="556">
        <f ca="1">+W35+AA35</f>
        <v>0</v>
      </c>
      <c r="AC35" s="3458">
        <f ca="1">+AD35+AE35+AF35</f>
        <v>0</v>
      </c>
      <c r="AD35" s="3449">
        <f ca="1">OFFSET(Sector1!$G$396,0,(COLUMN()-6)/6)</f>
        <v>0</v>
      </c>
      <c r="AE35" s="3449">
        <f ca="1">-OFFSET(Sector1!$G$397,0,(COLUMN()-7)/6)</f>
        <v>0</v>
      </c>
      <c r="AF35" s="3449">
        <f ca="1">-OFFSET(Sector1!$G$398,0,(COLUMN()-8)/6)</f>
        <v>0</v>
      </c>
      <c r="AG35" s="3449">
        <f ca="1">-OFFSET(Sector1!$G$399,0,(COLUMN()-8)/6)</f>
        <v>0</v>
      </c>
      <c r="AH35" s="556">
        <f ca="1">+AC35+AG35</f>
        <v>0</v>
      </c>
      <c r="AI35" s="3458">
        <f ca="1">+AJ35+AK35+AL35</f>
        <v>0</v>
      </c>
      <c r="AJ35" s="3449">
        <f ca="1">OFFSET(Sector1!$G$396,0,(COLUMN()-6)/6)</f>
        <v>0</v>
      </c>
      <c r="AK35" s="3449">
        <f ca="1">-OFFSET(Sector1!$G$397,0,(COLUMN()-7)/6)</f>
        <v>0</v>
      </c>
      <c r="AL35" s="3449">
        <f ca="1">-OFFSET(Sector1!$G$398,0,(COLUMN()-8)/6)</f>
        <v>0</v>
      </c>
      <c r="AM35" s="3449">
        <f ca="1">-OFFSET(Sector1!$G$399,0,(COLUMN()-8)/6)</f>
        <v>0</v>
      </c>
      <c r="AN35" s="556">
        <f ca="1">+AI35+AM35</f>
        <v>0</v>
      </c>
      <c r="AO35" s="3458">
        <f ca="1">+AP35+AQ35+AR35</f>
        <v>0</v>
      </c>
      <c r="AP35" s="3449">
        <f ca="1">OFFSET(Sector1!$G$396,0,(COLUMN()-6)/6)</f>
        <v>0</v>
      </c>
      <c r="AQ35" s="3449">
        <f ca="1">-OFFSET(Sector1!$G$397,0,(COLUMN()-7)/6)</f>
        <v>0</v>
      </c>
      <c r="AR35" s="3449">
        <f ca="1">-OFFSET(Sector1!$G$398,0,(COLUMN()-8)/6)</f>
        <v>0</v>
      </c>
      <c r="AS35" s="3449">
        <f ca="1">-OFFSET(Sector1!$G$399,0,(COLUMN()-8)/6)</f>
        <v>0</v>
      </c>
      <c r="AT35" s="556">
        <f ca="1">+AO35+AS35</f>
        <v>0</v>
      </c>
      <c r="AU35" s="3458">
        <f ca="1">+AV35+AW35+AX35</f>
        <v>0</v>
      </c>
      <c r="AV35" s="3449">
        <f ca="1">OFFSET(Sector1!$G$396,0,(COLUMN()-6)/6)</f>
        <v>0</v>
      </c>
      <c r="AW35" s="3449">
        <f ca="1">-OFFSET(Sector1!$G$397,0,(COLUMN()-7)/6)</f>
        <v>0</v>
      </c>
      <c r="AX35" s="3449">
        <f ca="1">-OFFSET(Sector1!$G$398,0,(COLUMN()-8)/6)</f>
        <v>0</v>
      </c>
      <c r="AY35" s="3449">
        <f ca="1">-OFFSET(Sector1!$G$399,0,(COLUMN()-8)/6)</f>
        <v>0</v>
      </c>
      <c r="AZ35" s="556">
        <f ca="1">+AU35+AY35</f>
        <v>0</v>
      </c>
      <c r="BA35" s="3458">
        <f ca="1">+BB35+BC35+BD35</f>
        <v>0</v>
      </c>
      <c r="BB35" s="3449">
        <f ca="1">OFFSET(Sector1!$G$396,0,(COLUMN()-6)/6)</f>
        <v>0</v>
      </c>
      <c r="BC35" s="3449">
        <f ca="1">-OFFSET(Sector1!$G$397,0,(COLUMN()-7)/6)</f>
        <v>0</v>
      </c>
      <c r="BD35" s="3449">
        <f ca="1">-OFFSET(Sector1!$G$398,0,(COLUMN()-8)/6)</f>
        <v>0</v>
      </c>
      <c r="BE35" s="3449">
        <f ca="1">-OFFSET(Sector1!$G$399,0,(COLUMN()-8)/6)</f>
        <v>0</v>
      </c>
      <c r="BF35" s="556">
        <f ca="1">+BA35+BE35</f>
        <v>0</v>
      </c>
      <c r="BG35" s="3458">
        <f ca="1">+BH35+BI35+BJ35</f>
        <v>0</v>
      </c>
      <c r="BH35" s="3449">
        <f ca="1">OFFSET(Sector1!$G$396,0,(COLUMN()-6)/6)</f>
        <v>5.0140000000000004E-2</v>
      </c>
      <c r="BI35" s="3449">
        <f ca="1">-OFFSET(Sector1!$G$397,0,(COLUMN()-7)/6)</f>
        <v>-5.0140000000000004E-2</v>
      </c>
      <c r="BJ35" s="3449">
        <f ca="1">-OFFSET(Sector1!$G$398,0,(COLUMN()-8)/6)</f>
        <v>0</v>
      </c>
      <c r="BK35" s="3449">
        <f ca="1">-OFFSET(Sector1!$G$399,0,(COLUMN()-8)/6)</f>
        <v>0</v>
      </c>
      <c r="BL35" s="556">
        <f ca="1">+BG35+BK35</f>
        <v>0</v>
      </c>
      <c r="BM35" s="3458">
        <f ca="1">+BN35+BO35+BP35</f>
        <v>0</v>
      </c>
      <c r="BN35" s="3449">
        <f ca="1">OFFSET(Sector1!$G$396,0,(COLUMN()-6)/6)</f>
        <v>8.9270000000000002E-2</v>
      </c>
      <c r="BO35" s="3449">
        <f ca="1">-OFFSET(Sector1!$G$397,0,(COLUMN()-7)/6)</f>
        <v>-8.9270000000000002E-2</v>
      </c>
      <c r="BP35" s="3449">
        <f ca="1">-OFFSET(Sector1!$G$398,0,(COLUMN()-8)/6)</f>
        <v>0</v>
      </c>
      <c r="BQ35" s="3449">
        <f ca="1">-OFFSET(Sector1!$G$399,0,(COLUMN()-8)/6)</f>
        <v>0</v>
      </c>
      <c r="BR35" s="556">
        <f ca="1">+BM35+BQ35</f>
        <v>0</v>
      </c>
      <c r="BS35" s="3458">
        <f ca="1">+BT35+BU35+BV35</f>
        <v>0</v>
      </c>
      <c r="BT35" s="3449">
        <f ca="1">OFFSET(Sector1!$G$396,0,(COLUMN()-6)/6)</f>
        <v>0.15365999999999999</v>
      </c>
      <c r="BU35" s="3449">
        <f ca="1">-OFFSET(Sector1!$G$397,0,(COLUMN()-7)/6)</f>
        <v>-0.15365999999999999</v>
      </c>
      <c r="BV35" s="3449">
        <f ca="1">-OFFSET(Sector1!$G$398,0,(COLUMN()-8)/6)</f>
        <v>0</v>
      </c>
      <c r="BW35" s="3449">
        <f ca="1">-OFFSET(Sector1!$G$399,0,(COLUMN()-8)/6)</f>
        <v>0</v>
      </c>
      <c r="BX35" s="556">
        <f ca="1">+BS35+BW35</f>
        <v>0</v>
      </c>
      <c r="BY35" s="3458">
        <f ca="1">+BZ35+CA35+CB35</f>
        <v>0</v>
      </c>
      <c r="BZ35" s="3449">
        <f ca="1">OFFSET(Sector1!$G$396,0,(COLUMN()-6)/6)</f>
        <v>0.24606999999999998</v>
      </c>
      <c r="CA35" s="3449">
        <f ca="1">-OFFSET(Sector1!$G$397,0,(COLUMN()-7)/6)</f>
        <v>-0.24606999999999998</v>
      </c>
      <c r="CB35" s="3449">
        <f ca="1">-OFFSET(Sector1!$G$398,0,(COLUMN()-8)/6)</f>
        <v>0</v>
      </c>
      <c r="CC35" s="3449">
        <f ca="1">-OFFSET(Sector1!$G$399,0,(COLUMN()-8)/6)</f>
        <v>0</v>
      </c>
      <c r="CD35" s="556">
        <f ca="1">+BY35+CC35</f>
        <v>0</v>
      </c>
      <c r="CE35" s="3458">
        <f ca="1">+CF35+CG35+CH35</f>
        <v>0</v>
      </c>
      <c r="CF35" s="3449">
        <f ca="1">OFFSET(Sector1!$G$396,0,(COLUMN()-6)/6)</f>
        <v>0.30675999999999998</v>
      </c>
      <c r="CG35" s="3449">
        <f ca="1">-OFFSET(Sector1!$G$397,0,(COLUMN()-7)/6)</f>
        <v>-0.30675999999999998</v>
      </c>
      <c r="CH35" s="3449">
        <f ca="1">-OFFSET(Sector1!$G$398,0,(COLUMN()-8)/6)</f>
        <v>0</v>
      </c>
      <c r="CI35" s="3449">
        <f ca="1">-OFFSET(Sector1!$G$399,0,(COLUMN()-8)/6)</f>
        <v>0</v>
      </c>
      <c r="CJ35" s="556">
        <f ca="1">+CE35+CI35</f>
        <v>0</v>
      </c>
      <c r="CK35" s="3458">
        <f ca="1">+CL35+CM35+CN35</f>
        <v>0</v>
      </c>
      <c r="CL35" s="3449">
        <f ca="1">OFFSET(Sector1!$G$396,0,(COLUMN()-6)/6)</f>
        <v>0.12214</v>
      </c>
      <c r="CM35" s="3449">
        <f ca="1">-OFFSET(Sector1!$G$397,0,(COLUMN()-7)/6)</f>
        <v>-0.12214</v>
      </c>
      <c r="CN35" s="3449">
        <f ca="1">-OFFSET(Sector1!$G$398,0,(COLUMN()-8)/6)</f>
        <v>0</v>
      </c>
      <c r="CO35" s="3449">
        <f ca="1">-OFFSET(Sector1!$G$399,0,(COLUMN()-8)/6)</f>
        <v>0</v>
      </c>
      <c r="CP35" s="556">
        <f ca="1">+CK35+CO35</f>
        <v>0</v>
      </c>
      <c r="CQ35" s="3458">
        <f ca="1">+CR35+CS35+CT35</f>
        <v>0</v>
      </c>
      <c r="CR35" s="3449">
        <f ca="1">OFFSET(Sector1!$G$396,0,(COLUMN()-6)/6)</f>
        <v>9.5510000000000012E-2</v>
      </c>
      <c r="CS35" s="3449">
        <f ca="1">-OFFSET(Sector1!$G$397,0,(COLUMN()-7)/6)</f>
        <v>-9.5510000000000012E-2</v>
      </c>
      <c r="CT35" s="3449">
        <f ca="1">-OFFSET(Sector1!$G$398,0,(COLUMN()-8)/6)</f>
        <v>0</v>
      </c>
      <c r="CU35" s="3449">
        <f ca="1">-OFFSET(Sector1!$G$399,0,(COLUMN()-8)/6)</f>
        <v>0</v>
      </c>
      <c r="CV35" s="556">
        <f ca="1">+CQ35+CU35</f>
        <v>0</v>
      </c>
      <c r="CW35" s="3458">
        <f ca="1">+CX35+CY35+CZ35</f>
        <v>0</v>
      </c>
      <c r="CX35" s="3449">
        <f ca="1">OFFSET(Sector1!$G$396,0,(COLUMN()-6)/6)</f>
        <v>9.2939999999999995E-2</v>
      </c>
      <c r="CY35" s="3449">
        <f ca="1">-OFFSET(Sector1!$G$397,0,(COLUMN()-7)/6)</f>
        <v>-9.2939999999999995E-2</v>
      </c>
      <c r="CZ35" s="3449">
        <f ca="1">-OFFSET(Sector1!$G$398,0,(COLUMN()-8)/6)</f>
        <v>0</v>
      </c>
      <c r="DA35" s="3449">
        <f ca="1">-OFFSET(Sector1!$G$399,0,(COLUMN()-8)/6)</f>
        <v>0</v>
      </c>
      <c r="DB35" s="556">
        <f ca="1">+CW35+DA35</f>
        <v>0</v>
      </c>
      <c r="DC35" s="3458">
        <f ca="1">+DD35+DE35+DF35</f>
        <v>0</v>
      </c>
      <c r="DD35" s="3449">
        <f ca="1">OFFSET(Sector1!$G$396,0,(COLUMN()-6)/6)</f>
        <v>7.4510000000000007E-2</v>
      </c>
      <c r="DE35" s="3449">
        <f ca="1">-OFFSET(Sector1!$G$397,0,(COLUMN()-7)/6)</f>
        <v>-7.4510000000000007E-2</v>
      </c>
      <c r="DF35" s="3449">
        <f ca="1">-OFFSET(Sector1!$G$398,0,(COLUMN()-8)/6)</f>
        <v>0</v>
      </c>
      <c r="DG35" s="3449">
        <f ca="1">-OFFSET(Sector1!$G$399,0,(COLUMN()-8)/6)</f>
        <v>0</v>
      </c>
      <c r="DH35" s="556">
        <f ca="1">+DC35+DG35</f>
        <v>0</v>
      </c>
      <c r="DI35" s="3458">
        <f ca="1">+DJ35+DK35+DL35</f>
        <v>0</v>
      </c>
      <c r="DJ35" s="3449">
        <f ca="1">OFFSET(Sector1!$G$396,0,(COLUMN()-6)/6)</f>
        <v>0.14002999999999999</v>
      </c>
      <c r="DK35" s="3449">
        <f ca="1">-OFFSET(Sector1!$G$397,0,(COLUMN()-7)/6)</f>
        <v>-0.14002999999999999</v>
      </c>
      <c r="DL35" s="3449">
        <f ca="1">-OFFSET(Sector1!$G$398,0,(COLUMN()-8)/6)</f>
        <v>0</v>
      </c>
      <c r="DM35" s="3449">
        <f ca="1">-OFFSET(Sector1!$G$399,0,(COLUMN()-8)/6)</f>
        <v>0</v>
      </c>
      <c r="DN35" s="556">
        <f ca="1">+DI35+DM35</f>
        <v>0</v>
      </c>
      <c r="DO35" s="3458">
        <f ca="1">+DP35+DQ35+DR35</f>
        <v>0</v>
      </c>
      <c r="DP35" s="3449">
        <f ca="1">OFFSET(Sector1!$G$396,0,(COLUMN()-6)/6)</f>
        <v>0.1198</v>
      </c>
      <c r="DQ35" s="3449">
        <f ca="1">-OFFSET(Sector1!$G$397,0,(COLUMN()-7)/6)</f>
        <v>-0.1198</v>
      </c>
      <c r="DR35" s="3449">
        <f ca="1">-OFFSET(Sector1!$G$398,0,(COLUMN()-8)/6)</f>
        <v>0</v>
      </c>
      <c r="DS35" s="3449">
        <f ca="1">-OFFSET(Sector1!$G$399,0,(COLUMN()-8)/6)</f>
        <v>0</v>
      </c>
      <c r="DT35" s="556">
        <f ca="1">+DO35+DS35</f>
        <v>0</v>
      </c>
      <c r="DU35" s="3458">
        <f ca="1">+DV35+DW35+DX35</f>
        <v>0</v>
      </c>
      <c r="DV35" s="3449">
        <f ca="1">OFFSET(Sector1!$G$396,0,(COLUMN()-6)/6)</f>
        <v>0.12872</v>
      </c>
      <c r="DW35" s="3449">
        <f ca="1">-OFFSET(Sector1!$G$397,0,(COLUMN()-7)/6)</f>
        <v>-0.12872</v>
      </c>
      <c r="DX35" s="3449">
        <f ca="1">-OFFSET(Sector1!$G$398,0,(COLUMN()-8)/6)</f>
        <v>0</v>
      </c>
      <c r="DY35" s="3449">
        <f ca="1">-OFFSET(Sector1!$G$399,0,(COLUMN()-8)/6)</f>
        <v>0</v>
      </c>
      <c r="DZ35" s="556">
        <f ca="1">+DU35+DY35</f>
        <v>0</v>
      </c>
      <c r="EA35" s="3458">
        <f ca="1">+EB35+EC35+ED35</f>
        <v>0</v>
      </c>
      <c r="EB35" s="3449">
        <f ca="1">OFFSET(Sector1!$G$396,0,(COLUMN()-6)/6)</f>
        <v>0.13106000000000001</v>
      </c>
      <c r="EC35" s="3449">
        <f ca="1">-OFFSET(Sector1!$G$397,0,(COLUMN()-7)/6)</f>
        <v>-0.13106000000000001</v>
      </c>
      <c r="ED35" s="3449">
        <f ca="1">-OFFSET(Sector1!$G$398,0,(COLUMN()-8)/6)</f>
        <v>0</v>
      </c>
      <c r="EE35" s="3449">
        <f ca="1">-OFFSET(Sector1!$G$399,0,(COLUMN()-8)/6)</f>
        <v>0</v>
      </c>
      <c r="EF35" s="556">
        <f ca="1">+EA35+EE35</f>
        <v>0</v>
      </c>
      <c r="EG35" s="3458">
        <f ca="1">+EH35+EI35+EJ35</f>
        <v>0</v>
      </c>
      <c r="EH35" s="3449">
        <f ca="1">OFFSET(Sector1!$G$396,0,(COLUMN()-6)/6)</f>
        <v>0.13106000000000001</v>
      </c>
      <c r="EI35" s="3449">
        <f ca="1">-OFFSET(Sector1!$G$397,0,(COLUMN()-7)/6)</f>
        <v>-0.13106000000000001</v>
      </c>
      <c r="EJ35" s="3449">
        <f ca="1">-OFFSET(Sector1!$G$398,0,(COLUMN()-8)/6)</f>
        <v>0</v>
      </c>
      <c r="EK35" s="3449">
        <f ca="1">-OFFSET(Sector1!$G$399,0,(COLUMN()-8)/6)</f>
        <v>0</v>
      </c>
      <c r="EL35" s="556">
        <f ca="1">+EG35+EK35</f>
        <v>0</v>
      </c>
      <c r="EM35" s="3458">
        <f ca="1">+EN35+EO35+EP35</f>
        <v>0</v>
      </c>
      <c r="EN35" s="3449">
        <f ca="1">OFFSET(Sector1!$G$396,0,(COLUMN()-6)/6)</f>
        <v>0.13106000000000001</v>
      </c>
      <c r="EO35" s="3449">
        <f ca="1">-OFFSET(Sector1!$G$397,0,(COLUMN()-7)/6)</f>
        <v>-0.13106000000000001</v>
      </c>
      <c r="EP35" s="3449">
        <f ca="1">-OFFSET(Sector1!$G$398,0,(COLUMN()-8)/6)</f>
        <v>0</v>
      </c>
      <c r="EQ35" s="3449">
        <f ca="1">-OFFSET(Sector1!$G$399,0,(COLUMN()-8)/6)</f>
        <v>0</v>
      </c>
      <c r="ER35" s="556">
        <f ca="1">+EM35+EQ35</f>
        <v>0</v>
      </c>
      <c r="ES35" s="3458">
        <f ca="1">+ET35+EU35+EV35</f>
        <v>0</v>
      </c>
      <c r="ET35" s="3449">
        <f ca="1">OFFSET(Sector1!$G$396,0,(COLUMN()-6)/6)</f>
        <v>0.13106000000000001</v>
      </c>
      <c r="EU35" s="3449">
        <f ca="1">-OFFSET(Sector1!$G$397,0,(COLUMN()-7)/6)</f>
        <v>-0.13106000000000001</v>
      </c>
      <c r="EV35" s="3449">
        <f ca="1">-OFFSET(Sector1!$G$398,0,(COLUMN()-8)/6)</f>
        <v>0</v>
      </c>
      <c r="EW35" s="3449">
        <f ca="1">-OFFSET(Sector1!$G$399,0,(COLUMN()-8)/6)</f>
        <v>0</v>
      </c>
      <c r="EX35" s="556">
        <f ca="1">+ES35+EW35</f>
        <v>0</v>
      </c>
    </row>
    <row r="36" spans="1:154" ht="12.75" customHeight="1">
      <c r="A36" s="553"/>
      <c r="B36" s="600" t="s">
        <v>401</v>
      </c>
      <c r="C36" s="3779" t="s">
        <v>821</v>
      </c>
      <c r="D36" s="3780"/>
      <c r="E36" s="3458">
        <f ca="1">+F36+G36+H36+I36</f>
        <v>6.8240300000000005</v>
      </c>
      <c r="F36" s="3452">
        <f ca="1">OFFSET('VVP2'!$G$185,0,(COLUMN()-6)/6)</f>
        <v>4.9615900000000002</v>
      </c>
      <c r="G36" s="3461"/>
      <c r="H36" s="3459">
        <f ca="1">+H37+H38</f>
        <v>1.8624400000000001</v>
      </c>
      <c r="I36" s="3457"/>
      <c r="J36" s="604"/>
      <c r="K36" s="3458">
        <f ca="1">+L36+M36+N36+O36</f>
        <v>8.5714000000000006</v>
      </c>
      <c r="L36" s="3452">
        <f ca="1">OFFSET('VVP2'!$G$185,0,(COLUMN()-6)/6)</f>
        <v>6.2328599999999996</v>
      </c>
      <c r="M36" s="3461"/>
      <c r="N36" s="3459">
        <f ca="1">+N37+N38</f>
        <v>2.3385400000000001</v>
      </c>
      <c r="O36" s="3457"/>
      <c r="P36" s="604"/>
      <c r="Q36" s="3458">
        <f ca="1">+R36+S36+T36+U36</f>
        <v>10.024470000000001</v>
      </c>
      <c r="R36" s="3452">
        <f ca="1">OFFSET('VVP2'!$G$185,0,(COLUMN()-6)/6)</f>
        <v>7.1923199999999996</v>
      </c>
      <c r="S36" s="3461"/>
      <c r="T36" s="3459">
        <f ca="1">+T37+T38</f>
        <v>2.8321500000000004</v>
      </c>
      <c r="U36" s="3457"/>
      <c r="V36" s="604"/>
      <c r="W36" s="3458">
        <f ca="1">+X36+Y36+Z36+AA36</f>
        <v>11.33778</v>
      </c>
      <c r="X36" s="3452">
        <f ca="1">OFFSET('VVP2'!$G$185,0,(COLUMN()-6)/6)</f>
        <v>7.9673100000000003</v>
      </c>
      <c r="Y36" s="3461"/>
      <c r="Z36" s="3459">
        <f ca="1">+Z37+Z38</f>
        <v>3.3704700000000001</v>
      </c>
      <c r="AA36" s="3457"/>
      <c r="AB36" s="604"/>
      <c r="AC36" s="3458">
        <f ca="1">+AD36+AE36+AF36+AG36</f>
        <v>11.2681</v>
      </c>
      <c r="AD36" s="3452">
        <f ca="1">OFFSET('VVP2'!$G$185,0,(COLUMN()-6)/6)</f>
        <v>8.2599499999999999</v>
      </c>
      <c r="AE36" s="3461"/>
      <c r="AF36" s="3459">
        <f ca="1">+AF37+AF38</f>
        <v>3.0081499999999997</v>
      </c>
      <c r="AG36" s="3457"/>
      <c r="AH36" s="604"/>
      <c r="AI36" s="3458">
        <f ca="1">+AJ36+AK36+AL36+AM36</f>
        <v>11.687019999999999</v>
      </c>
      <c r="AJ36" s="3452">
        <f ca="1">OFFSET('VVP2'!$G$185,0,(COLUMN()-6)/6)</f>
        <v>8.691889999999999</v>
      </c>
      <c r="AK36" s="3461"/>
      <c r="AL36" s="3459">
        <f ca="1">+AL37+AL38</f>
        <v>2.9951300000000001</v>
      </c>
      <c r="AM36" s="3457"/>
      <c r="AN36" s="604"/>
      <c r="AO36" s="3458">
        <f ca="1">+AP36+AQ36+AR36+AS36</f>
        <v>12.270470000000001</v>
      </c>
      <c r="AP36" s="3452">
        <f ca="1">OFFSET('VVP2'!$G$185,0,(COLUMN()-6)/6)</f>
        <v>9.2690300000000008</v>
      </c>
      <c r="AQ36" s="3461"/>
      <c r="AR36" s="3459">
        <f ca="1">+AR37+AR38</f>
        <v>3.0014400000000001</v>
      </c>
      <c r="AS36" s="3457"/>
      <c r="AT36" s="604"/>
      <c r="AU36" s="3458">
        <f ca="1">+AV36+AW36+AX36+AY36</f>
        <v>12.928339999999999</v>
      </c>
      <c r="AV36" s="3452">
        <f ca="1">OFFSET('VVP2'!$G$185,0,(COLUMN()-6)/6)</f>
        <v>9.8024199999999997</v>
      </c>
      <c r="AW36" s="3461"/>
      <c r="AX36" s="3459">
        <f ca="1">+AX37+AX38</f>
        <v>3.1259199999999998</v>
      </c>
      <c r="AY36" s="3457"/>
      <c r="AZ36" s="604"/>
      <c r="BA36" s="3458">
        <f ca="1">+BB36+BC36+BD36+BE36</f>
        <v>13.999089999999999</v>
      </c>
      <c r="BB36" s="3452">
        <f ca="1">OFFSET('VVP2'!$G$185,0,(COLUMN()-6)/6)</f>
        <v>10.739979999999999</v>
      </c>
      <c r="BC36" s="3461"/>
      <c r="BD36" s="3459">
        <f ca="1">+BD37+BD38</f>
        <v>3.2591100000000002</v>
      </c>
      <c r="BE36" s="3457"/>
      <c r="BF36" s="604"/>
      <c r="BG36" s="3458">
        <f ca="1">+BH36+BI36+BJ36+BK36</f>
        <v>15.38457</v>
      </c>
      <c r="BH36" s="3452">
        <f ca="1">OFFSET('VVP2'!$G$185,0,(COLUMN()-6)/6)</f>
        <v>11.88908</v>
      </c>
      <c r="BI36" s="3461"/>
      <c r="BJ36" s="3459">
        <f ca="1">+BJ37+BJ38</f>
        <v>3.4954900000000002</v>
      </c>
      <c r="BK36" s="3457"/>
      <c r="BL36" s="604"/>
      <c r="BM36" s="3458">
        <f ca="1">+BN36+BO36+BP36+BQ36</f>
        <v>17.46949</v>
      </c>
      <c r="BN36" s="3452">
        <f ca="1">OFFSET('VVP2'!$G$185,0,(COLUMN()-6)/6)</f>
        <v>13.583080000000001</v>
      </c>
      <c r="BO36" s="3461"/>
      <c r="BP36" s="3459">
        <f ca="1">+BP37+BP38</f>
        <v>3.8864100000000001</v>
      </c>
      <c r="BQ36" s="3457"/>
      <c r="BR36" s="604"/>
      <c r="BS36" s="3458">
        <f ca="1">+BT36+BU36+BV36+BW36</f>
        <v>20.115349999999999</v>
      </c>
      <c r="BT36" s="3452">
        <f ca="1">OFFSET('VVP2'!$G$185,0,(COLUMN()-6)/6)</f>
        <v>15.509840000000001</v>
      </c>
      <c r="BU36" s="3461"/>
      <c r="BV36" s="3459">
        <f ca="1">+BV37+BV38</f>
        <v>4.6055100000000007</v>
      </c>
      <c r="BW36" s="3457"/>
      <c r="BX36" s="604"/>
      <c r="BY36" s="3458">
        <f ca="1">+BZ36+CA36+CB36+CC36</f>
        <v>23.527439999999999</v>
      </c>
      <c r="BZ36" s="3452">
        <f ca="1">OFFSET('VVP2'!$G$185,0,(COLUMN()-6)/6)</f>
        <v>18.460609999999999</v>
      </c>
      <c r="CA36" s="3461"/>
      <c r="CB36" s="3459">
        <f ca="1">+CB37+CB38</f>
        <v>5.0668299999999995</v>
      </c>
      <c r="CC36" s="3457"/>
      <c r="CD36" s="604"/>
      <c r="CE36" s="3458">
        <f ca="1">+CF36+CG36+CH36+CI36</f>
        <v>27.361630000000002</v>
      </c>
      <c r="CF36" s="3452">
        <f ca="1">OFFSET('VVP2'!$G$185,0,(COLUMN()-6)/6)</f>
        <v>21.260830000000002</v>
      </c>
      <c r="CG36" s="3461"/>
      <c r="CH36" s="3459">
        <f ca="1">+CH37+CH38</f>
        <v>6.1007999999999996</v>
      </c>
      <c r="CI36" s="3457"/>
      <c r="CJ36" s="604"/>
      <c r="CK36" s="3458">
        <f ca="1">+CL36+CM36+CN36+CO36</f>
        <v>24.055219999999998</v>
      </c>
      <c r="CL36" s="3452">
        <f ca="1">OFFSET('VVP2'!$G$185,0,(COLUMN()-6)/6)</f>
        <v>18.33539</v>
      </c>
      <c r="CM36" s="3461"/>
      <c r="CN36" s="3459">
        <f ca="1">+CN37+CN38</f>
        <v>5.71983</v>
      </c>
      <c r="CO36" s="3457"/>
      <c r="CP36" s="604"/>
      <c r="CQ36" s="3458">
        <f ca="1">+CR36+CS36+CT36+CU36</f>
        <v>23.508920000000003</v>
      </c>
      <c r="CR36" s="3452">
        <f ca="1">OFFSET('VVP2'!$G$185,0,(COLUMN()-6)/6)</f>
        <v>17.945540000000001</v>
      </c>
      <c r="CS36" s="3461"/>
      <c r="CT36" s="3459">
        <f ca="1">+CT37+CT38</f>
        <v>5.5633800000000004</v>
      </c>
      <c r="CU36" s="3457"/>
      <c r="CV36" s="604"/>
      <c r="CW36" s="3458">
        <f ca="1">+CX36+CY36+CZ36+DA36</f>
        <v>25.281169999999999</v>
      </c>
      <c r="CX36" s="3452">
        <f ca="1">OFFSET('VVP2'!$G$185,0,(COLUMN()-6)/6)</f>
        <v>19.543849999999999</v>
      </c>
      <c r="CY36" s="3461"/>
      <c r="CZ36" s="3459">
        <f ca="1">+CZ37+CZ38</f>
        <v>5.7373200000000004</v>
      </c>
      <c r="DA36" s="3457"/>
      <c r="DB36" s="604"/>
      <c r="DC36" s="3458">
        <f ca="1">+DD36+DE36+DF36+DG36</f>
        <v>26.600760000000001</v>
      </c>
      <c r="DD36" s="3452">
        <f ca="1">OFFSET('VVP2'!$G$185,0,(COLUMN()-6)/6)</f>
        <v>20.77008</v>
      </c>
      <c r="DE36" s="3461"/>
      <c r="DF36" s="3459">
        <f ca="1">+DF37+DF38</f>
        <v>5.8306800000000001</v>
      </c>
      <c r="DG36" s="3457"/>
      <c r="DH36" s="604"/>
      <c r="DI36" s="3458">
        <f ca="1">+DJ36+DK36+DL36+DM36</f>
        <v>27.718669999999996</v>
      </c>
      <c r="DJ36" s="3452">
        <f ca="1">OFFSET('VVP2'!$G$185,0,(COLUMN()-6)/6)</f>
        <v>21.881709999999998</v>
      </c>
      <c r="DK36" s="3461"/>
      <c r="DL36" s="3459">
        <f ca="1">+DL37+DL38</f>
        <v>5.8369599999999995</v>
      </c>
      <c r="DM36" s="3457"/>
      <c r="DN36" s="604"/>
      <c r="DO36" s="3458">
        <f ca="1">+DP36+DQ36+DR36+DS36</f>
        <v>28.850149999999999</v>
      </c>
      <c r="DP36" s="3452">
        <f ca="1">OFFSET('VVP2'!$G$185,0,(COLUMN()-6)/6)</f>
        <v>22.776820000000001</v>
      </c>
      <c r="DQ36" s="3461"/>
      <c r="DR36" s="3459">
        <f ca="1">+DR37+DR38</f>
        <v>6.0733300000000003</v>
      </c>
      <c r="DS36" s="3457"/>
      <c r="DT36" s="604"/>
      <c r="DU36" s="3458">
        <f ca="1">+DV36+DW36+DX36+DY36</f>
        <v>29.9024</v>
      </c>
      <c r="DV36" s="3452">
        <f ca="1">OFFSET('VVP2'!$G$185,0,(COLUMN()-6)/6)</f>
        <v>23.47364</v>
      </c>
      <c r="DW36" s="3461"/>
      <c r="DX36" s="3459">
        <f ca="1">+DX37+DX38</f>
        <v>6.4287600000000005</v>
      </c>
      <c r="DY36" s="3457"/>
      <c r="DZ36" s="604"/>
      <c r="EA36" s="3458">
        <f ca="1">+EB36+EC36+ED36+EE36</f>
        <v>31.500210000000003</v>
      </c>
      <c r="EB36" s="3452">
        <f ca="1">OFFSET('VVP2'!$G$185,0,(COLUMN()-6)/6)</f>
        <v>24.863340000000001</v>
      </c>
      <c r="EC36" s="3461"/>
      <c r="ED36" s="3459">
        <f ca="1">+ED37+ED38</f>
        <v>6.63687</v>
      </c>
      <c r="EE36" s="3457"/>
      <c r="EF36" s="604"/>
      <c r="EG36" s="3458">
        <f ca="1">+EH36+EI36+EJ36+EK36</f>
        <v>33.708440000000003</v>
      </c>
      <c r="EH36" s="3452">
        <f ca="1">OFFSET('VVP2'!$G$185,0,(COLUMN()-6)/6)</f>
        <v>26.80039</v>
      </c>
      <c r="EI36" s="3461"/>
      <c r="EJ36" s="3459">
        <f ca="1">+EJ37+EJ38</f>
        <v>6.9080500000000002</v>
      </c>
      <c r="EK36" s="3457"/>
      <c r="EL36" s="604"/>
      <c r="EM36" s="3458">
        <f ca="1">+EN36+EO36+EP36+EQ36</f>
        <v>35.757585040487996</v>
      </c>
      <c r="EN36" s="3452">
        <f ca="1">OFFSET('VVP2'!$G$185,0,(COLUMN()-6)/6)</f>
        <v>28.459602144899996</v>
      </c>
      <c r="EO36" s="3461"/>
      <c r="EP36" s="3459">
        <f ca="1">+EP37+EP38</f>
        <v>7.2979828955880004</v>
      </c>
      <c r="EQ36" s="3457"/>
      <c r="ER36" s="604"/>
      <c r="ES36" s="3458">
        <f ca="1">+ET36+EU36+EV36+EW36</f>
        <v>37.718240929065921</v>
      </c>
      <c r="ET36" s="3452">
        <f ca="1">OFFSET('VVP2'!$G$185,0,(COLUMN()-6)/6)</f>
        <v>30.045541934026691</v>
      </c>
      <c r="EU36" s="3461"/>
      <c r="EV36" s="3459">
        <f ca="1">+EV37+EV38</f>
        <v>7.6726989950392319</v>
      </c>
      <c r="EW36" s="3457"/>
      <c r="EX36" s="604"/>
    </row>
    <row r="37" spans="1:154" s="568" customFormat="1">
      <c r="A37" s="563"/>
      <c r="B37" s="600"/>
      <c r="C37" s="582"/>
      <c r="D37" s="583" t="s">
        <v>1644</v>
      </c>
      <c r="E37" s="567"/>
      <c r="F37" s="3448"/>
      <c r="G37" s="3461"/>
      <c r="H37" s="1190">
        <f ca="1">OFFSET('VVP2'!$G$191,0,(COLUMN()-8)/6)</f>
        <v>0.79224000000000006</v>
      </c>
      <c r="I37" s="3457"/>
      <c r="J37" s="584"/>
      <c r="K37" s="567"/>
      <c r="L37" s="3448"/>
      <c r="M37" s="3461"/>
      <c r="N37" s="1190">
        <f ca="1">OFFSET('VVP2'!$G$191,0,(COLUMN()-8)/6)</f>
        <v>1.0240100000000001</v>
      </c>
      <c r="O37" s="3457"/>
      <c r="P37" s="584"/>
      <c r="Q37" s="567"/>
      <c r="R37" s="3448"/>
      <c r="S37" s="3461"/>
      <c r="T37" s="1190">
        <f ca="1">OFFSET('VVP2'!$G$191,0,(COLUMN()-8)/6)</f>
        <v>1.35297</v>
      </c>
      <c r="U37" s="3457"/>
      <c r="V37" s="584"/>
      <c r="W37" s="567"/>
      <c r="X37" s="3448"/>
      <c r="Y37" s="3461"/>
      <c r="Z37" s="1190">
        <f ca="1">OFFSET('VVP2'!$G$191,0,(COLUMN()-8)/6)</f>
        <v>1.66221</v>
      </c>
      <c r="AA37" s="3457"/>
      <c r="AB37" s="584"/>
      <c r="AC37" s="567"/>
      <c r="AD37" s="3448"/>
      <c r="AE37" s="3461"/>
      <c r="AF37" s="1190">
        <f ca="1">OFFSET('VVP2'!$G$191,0,(COLUMN()-8)/6)</f>
        <v>1.7330999999999999</v>
      </c>
      <c r="AG37" s="3457"/>
      <c r="AH37" s="584"/>
      <c r="AI37" s="567"/>
      <c r="AJ37" s="3448"/>
      <c r="AK37" s="3461"/>
      <c r="AL37" s="1190">
        <f ca="1">OFFSET('VVP2'!$G$191,0,(COLUMN()-8)/6)</f>
        <v>1.46346</v>
      </c>
      <c r="AM37" s="3457"/>
      <c r="AN37" s="584"/>
      <c r="AO37" s="567"/>
      <c r="AP37" s="3448"/>
      <c r="AQ37" s="3461"/>
      <c r="AR37" s="1190">
        <f ca="1">OFFSET('VVP2'!$G$191,0,(COLUMN()-8)/6)</f>
        <v>1.5200199999999999</v>
      </c>
      <c r="AS37" s="3457"/>
      <c r="AT37" s="584"/>
      <c r="AU37" s="567"/>
      <c r="AV37" s="3448"/>
      <c r="AW37" s="3461"/>
      <c r="AX37" s="1190">
        <f ca="1">OFFSET('VVP2'!$G$191,0,(COLUMN()-8)/6)</f>
        <v>1.6473100000000001</v>
      </c>
      <c r="AY37" s="3457"/>
      <c r="AZ37" s="584"/>
      <c r="BA37" s="567"/>
      <c r="BB37" s="3448"/>
      <c r="BC37" s="3461"/>
      <c r="BD37" s="1190">
        <f ca="1">OFFSET('VVP2'!$G$191,0,(COLUMN()-8)/6)</f>
        <v>1.7149700000000001</v>
      </c>
      <c r="BE37" s="3457"/>
      <c r="BF37" s="584"/>
      <c r="BG37" s="567"/>
      <c r="BH37" s="3448"/>
      <c r="BI37" s="3461"/>
      <c r="BJ37" s="1190">
        <f ca="1">OFFSET('VVP2'!$G$191,0,(COLUMN()-8)/6)</f>
        <v>1.8429800000000001</v>
      </c>
      <c r="BK37" s="3457"/>
      <c r="BL37" s="584"/>
      <c r="BM37" s="567"/>
      <c r="BN37" s="3448"/>
      <c r="BO37" s="3461"/>
      <c r="BP37" s="1190">
        <f ca="1">OFFSET('VVP2'!$G$191,0,(COLUMN()-8)/6)</f>
        <v>2.1234000000000002</v>
      </c>
      <c r="BQ37" s="3457"/>
      <c r="BR37" s="584"/>
      <c r="BS37" s="567"/>
      <c r="BT37" s="3448"/>
      <c r="BU37" s="3461"/>
      <c r="BV37" s="1190">
        <f ca="1">OFFSET('VVP2'!$G$191,0,(COLUMN()-8)/6)</f>
        <v>2.4421900000000001</v>
      </c>
      <c r="BW37" s="3457"/>
      <c r="BX37" s="584"/>
      <c r="BY37" s="567"/>
      <c r="BZ37" s="3448"/>
      <c r="CA37" s="3461"/>
      <c r="CB37" s="1190">
        <f ca="1">OFFSET('VVP2'!$G$191,0,(COLUMN()-8)/6)</f>
        <v>2.7316700000000003</v>
      </c>
      <c r="CC37" s="3457"/>
      <c r="CD37" s="584"/>
      <c r="CE37" s="567"/>
      <c r="CF37" s="3448"/>
      <c r="CG37" s="3461"/>
      <c r="CH37" s="1190">
        <f ca="1">OFFSET('VVP2'!$G$191,0,(COLUMN()-8)/6)</f>
        <v>3.3761199999999998</v>
      </c>
      <c r="CI37" s="3457"/>
      <c r="CJ37" s="584"/>
      <c r="CK37" s="567"/>
      <c r="CL37" s="3448"/>
      <c r="CM37" s="3461"/>
      <c r="CN37" s="1190">
        <f ca="1">OFFSET('VVP2'!$G$191,0,(COLUMN()-8)/6)</f>
        <v>3.3891499999999999</v>
      </c>
      <c r="CO37" s="3457"/>
      <c r="CP37" s="584"/>
      <c r="CQ37" s="567"/>
      <c r="CR37" s="3448"/>
      <c r="CS37" s="3461"/>
      <c r="CT37" s="1190">
        <f ca="1">OFFSET('VVP2'!$G$191,0,(COLUMN()-8)/6)</f>
        <v>3.1927500000000002</v>
      </c>
      <c r="CU37" s="3457"/>
      <c r="CV37" s="584"/>
      <c r="CW37" s="567"/>
      <c r="CX37" s="3448"/>
      <c r="CY37" s="3461"/>
      <c r="CZ37" s="1190">
        <f ca="1">OFFSET('VVP2'!$G$191,0,(COLUMN()-8)/6)</f>
        <v>3.33344</v>
      </c>
      <c r="DA37" s="3457"/>
      <c r="DB37" s="584"/>
      <c r="DC37" s="567"/>
      <c r="DD37" s="3448"/>
      <c r="DE37" s="3461"/>
      <c r="DF37" s="1190">
        <f ca="1">OFFSET('VVP2'!$G$191,0,(COLUMN()-8)/6)</f>
        <v>3.2970000000000002</v>
      </c>
      <c r="DG37" s="3457"/>
      <c r="DH37" s="584"/>
      <c r="DI37" s="567"/>
      <c r="DJ37" s="3448"/>
      <c r="DK37" s="3461"/>
      <c r="DL37" s="1190">
        <f ca="1">OFFSET('VVP2'!$G$191,0,(COLUMN()-8)/6)</f>
        <v>3.3099499999999997</v>
      </c>
      <c r="DM37" s="3457"/>
      <c r="DN37" s="584"/>
      <c r="DO37" s="567"/>
      <c r="DP37" s="3448"/>
      <c r="DQ37" s="3461"/>
      <c r="DR37" s="1190">
        <f ca="1">OFFSET('VVP2'!$G$191,0,(COLUMN()-8)/6)</f>
        <v>3.3924000000000003</v>
      </c>
      <c r="DS37" s="3457"/>
      <c r="DT37" s="584"/>
      <c r="DU37" s="567"/>
      <c r="DV37" s="3448"/>
      <c r="DW37" s="3461"/>
      <c r="DX37" s="1190">
        <f ca="1">OFFSET('VVP2'!$G$191,0,(COLUMN()-8)/6)</f>
        <v>3.6384699999999999</v>
      </c>
      <c r="DY37" s="3457"/>
      <c r="DZ37" s="584"/>
      <c r="EA37" s="567"/>
      <c r="EB37" s="3448"/>
      <c r="EC37" s="3461"/>
      <c r="ED37" s="1190">
        <f ca="1">OFFSET('VVP2'!$G$191,0,(COLUMN()-8)/6)</f>
        <v>3.7765200000000001</v>
      </c>
      <c r="EE37" s="3457"/>
      <c r="EF37" s="584"/>
      <c r="EG37" s="567"/>
      <c r="EH37" s="3448"/>
      <c r="EI37" s="3461"/>
      <c r="EJ37" s="1190">
        <f ca="1">OFFSET('VVP2'!$G$191,0,(COLUMN()-8)/6)</f>
        <v>3.9208400000000001</v>
      </c>
      <c r="EK37" s="3457"/>
      <c r="EL37" s="584"/>
      <c r="EM37" s="567"/>
      <c r="EN37" s="3448"/>
      <c r="EO37" s="3461"/>
      <c r="EP37" s="1190">
        <f ca="1">OFFSET('VVP2'!$G$191,0,(COLUMN()-8)/6)</f>
        <v>4.161412395588</v>
      </c>
      <c r="EQ37" s="3457"/>
      <c r="ER37" s="584"/>
      <c r="ES37" s="567"/>
      <c r="ET37" s="3448"/>
      <c r="EU37" s="3461"/>
      <c r="EV37" s="1190">
        <f ca="1">OFFSET('VVP2'!$G$191,0,(COLUMN()-8)/6)</f>
        <v>4.3792999700392308</v>
      </c>
      <c r="EW37" s="3457"/>
      <c r="EX37" s="584"/>
    </row>
    <row r="38" spans="1:154" s="568" customFormat="1" ht="13.5" thickBot="1">
      <c r="A38" s="563"/>
      <c r="B38" s="564"/>
      <c r="C38" s="582"/>
      <c r="D38" s="583" t="s">
        <v>1645</v>
      </c>
      <c r="E38" s="585"/>
      <c r="F38" s="3448"/>
      <c r="G38" s="3461"/>
      <c r="H38" s="1191">
        <f ca="1">OFFSET('VVP2'!$G$192,0,(COLUMN()-8)/6)</f>
        <v>1.0702</v>
      </c>
      <c r="I38" s="3457"/>
      <c r="J38" s="584"/>
      <c r="K38" s="585"/>
      <c r="L38" s="3448"/>
      <c r="M38" s="3461"/>
      <c r="N38" s="1191">
        <f ca="1">OFFSET('VVP2'!$G$192,0,(COLUMN()-8)/6)</f>
        <v>1.31453</v>
      </c>
      <c r="O38" s="3457"/>
      <c r="P38" s="584"/>
      <c r="Q38" s="585"/>
      <c r="R38" s="3448"/>
      <c r="S38" s="3461"/>
      <c r="T38" s="1191">
        <f ca="1">OFFSET('VVP2'!$G$192,0,(COLUMN()-8)/6)</f>
        <v>1.4791800000000002</v>
      </c>
      <c r="U38" s="3457"/>
      <c r="V38" s="584"/>
      <c r="W38" s="585"/>
      <c r="X38" s="3448"/>
      <c r="Y38" s="3461"/>
      <c r="Z38" s="1191">
        <f ca="1">OFFSET('VVP2'!$G$192,0,(COLUMN()-8)/6)</f>
        <v>1.7082599999999999</v>
      </c>
      <c r="AA38" s="3457"/>
      <c r="AB38" s="584"/>
      <c r="AC38" s="585"/>
      <c r="AD38" s="3448"/>
      <c r="AE38" s="3461"/>
      <c r="AF38" s="1191">
        <f ca="1">OFFSET('VVP2'!$G$192,0,(COLUMN()-8)/6)</f>
        <v>1.27505</v>
      </c>
      <c r="AG38" s="3457"/>
      <c r="AH38" s="584"/>
      <c r="AI38" s="585"/>
      <c r="AJ38" s="3448"/>
      <c r="AK38" s="3461"/>
      <c r="AL38" s="1191">
        <f ca="1">OFFSET('VVP2'!$G$192,0,(COLUMN()-8)/6)</f>
        <v>1.5316700000000001</v>
      </c>
      <c r="AM38" s="3457"/>
      <c r="AN38" s="584"/>
      <c r="AO38" s="585"/>
      <c r="AP38" s="3448"/>
      <c r="AQ38" s="3461"/>
      <c r="AR38" s="1191">
        <f ca="1">OFFSET('VVP2'!$G$192,0,(COLUMN()-8)/6)</f>
        <v>1.4814200000000002</v>
      </c>
      <c r="AS38" s="3457"/>
      <c r="AT38" s="584"/>
      <c r="AU38" s="585"/>
      <c r="AV38" s="3448"/>
      <c r="AW38" s="3461"/>
      <c r="AX38" s="1191">
        <f ca="1">OFFSET('VVP2'!$G$192,0,(COLUMN()-8)/6)</f>
        <v>1.47861</v>
      </c>
      <c r="AY38" s="3457"/>
      <c r="AZ38" s="584"/>
      <c r="BA38" s="585"/>
      <c r="BB38" s="3448"/>
      <c r="BC38" s="3461"/>
      <c r="BD38" s="1191">
        <f ca="1">OFFSET('VVP2'!$G$192,0,(COLUMN()-8)/6)</f>
        <v>1.5441400000000001</v>
      </c>
      <c r="BE38" s="3457"/>
      <c r="BF38" s="584"/>
      <c r="BG38" s="585"/>
      <c r="BH38" s="3448"/>
      <c r="BI38" s="3461"/>
      <c r="BJ38" s="1191">
        <f ca="1">OFFSET('VVP2'!$G$192,0,(COLUMN()-8)/6)</f>
        <v>1.6525099999999999</v>
      </c>
      <c r="BK38" s="3457"/>
      <c r="BL38" s="584"/>
      <c r="BM38" s="585"/>
      <c r="BN38" s="3448"/>
      <c r="BO38" s="3461"/>
      <c r="BP38" s="1191">
        <f ca="1">OFFSET('VVP2'!$G$192,0,(COLUMN()-8)/6)</f>
        <v>1.76301</v>
      </c>
      <c r="BQ38" s="3457"/>
      <c r="BR38" s="584"/>
      <c r="BS38" s="585"/>
      <c r="BT38" s="3448"/>
      <c r="BU38" s="3461"/>
      <c r="BV38" s="1191">
        <f ca="1">OFFSET('VVP2'!$G$192,0,(COLUMN()-8)/6)</f>
        <v>2.1633200000000001</v>
      </c>
      <c r="BW38" s="3457"/>
      <c r="BX38" s="584"/>
      <c r="BY38" s="585"/>
      <c r="BZ38" s="3448"/>
      <c r="CA38" s="3461"/>
      <c r="CB38" s="1191">
        <f ca="1">OFFSET('VVP2'!$G$192,0,(COLUMN()-8)/6)</f>
        <v>2.3351599999999997</v>
      </c>
      <c r="CC38" s="3457"/>
      <c r="CD38" s="584"/>
      <c r="CE38" s="585"/>
      <c r="CF38" s="3448"/>
      <c r="CG38" s="3461"/>
      <c r="CH38" s="1191">
        <f ca="1">OFFSET('VVP2'!$G$192,0,(COLUMN()-8)/6)</f>
        <v>2.7246799999999998</v>
      </c>
      <c r="CI38" s="3457"/>
      <c r="CJ38" s="584"/>
      <c r="CK38" s="585"/>
      <c r="CL38" s="3448"/>
      <c r="CM38" s="3461"/>
      <c r="CN38" s="1191">
        <f ca="1">OFFSET('VVP2'!$G$192,0,(COLUMN()-8)/6)</f>
        <v>2.3306799999999996</v>
      </c>
      <c r="CO38" s="3457"/>
      <c r="CP38" s="584"/>
      <c r="CQ38" s="585"/>
      <c r="CR38" s="3448"/>
      <c r="CS38" s="3461"/>
      <c r="CT38" s="1191">
        <f ca="1">OFFSET('VVP2'!$G$192,0,(COLUMN()-8)/6)</f>
        <v>2.3706300000000002</v>
      </c>
      <c r="CU38" s="3457"/>
      <c r="CV38" s="584"/>
      <c r="CW38" s="585"/>
      <c r="CX38" s="3448"/>
      <c r="CY38" s="3461"/>
      <c r="CZ38" s="1191">
        <f ca="1">OFFSET('VVP2'!$G$192,0,(COLUMN()-8)/6)</f>
        <v>2.40388</v>
      </c>
      <c r="DA38" s="3457"/>
      <c r="DB38" s="584"/>
      <c r="DC38" s="585"/>
      <c r="DD38" s="3448"/>
      <c r="DE38" s="3461"/>
      <c r="DF38" s="1191">
        <f ca="1">OFFSET('VVP2'!$G$192,0,(COLUMN()-8)/6)</f>
        <v>2.5336799999999999</v>
      </c>
      <c r="DG38" s="3457"/>
      <c r="DH38" s="584"/>
      <c r="DI38" s="585"/>
      <c r="DJ38" s="3448"/>
      <c r="DK38" s="3461"/>
      <c r="DL38" s="1191">
        <f ca="1">OFFSET('VVP2'!$G$192,0,(COLUMN()-8)/6)</f>
        <v>2.5270100000000002</v>
      </c>
      <c r="DM38" s="3457"/>
      <c r="DN38" s="584"/>
      <c r="DO38" s="585"/>
      <c r="DP38" s="3448"/>
      <c r="DQ38" s="3461"/>
      <c r="DR38" s="1191">
        <f ca="1">OFFSET('VVP2'!$G$192,0,(COLUMN()-8)/6)</f>
        <v>2.68093</v>
      </c>
      <c r="DS38" s="3457"/>
      <c r="DT38" s="584"/>
      <c r="DU38" s="585"/>
      <c r="DV38" s="3448"/>
      <c r="DW38" s="3461"/>
      <c r="DX38" s="1191">
        <f ca="1">OFFSET('VVP2'!$G$192,0,(COLUMN()-8)/6)</f>
        <v>2.7902900000000002</v>
      </c>
      <c r="DY38" s="3457"/>
      <c r="DZ38" s="584"/>
      <c r="EA38" s="585"/>
      <c r="EB38" s="3448"/>
      <c r="EC38" s="3461"/>
      <c r="ED38" s="1191">
        <f ca="1">OFFSET('VVP2'!$G$192,0,(COLUMN()-8)/6)</f>
        <v>2.8603499999999999</v>
      </c>
      <c r="EE38" s="3457"/>
      <c r="EF38" s="584"/>
      <c r="EG38" s="585"/>
      <c r="EH38" s="3448"/>
      <c r="EI38" s="3461"/>
      <c r="EJ38" s="1191">
        <f ca="1">OFFSET('VVP2'!$G$192,0,(COLUMN()-8)/6)</f>
        <v>2.9872100000000001</v>
      </c>
      <c r="EK38" s="3457"/>
      <c r="EL38" s="584"/>
      <c r="EM38" s="585"/>
      <c r="EN38" s="3448"/>
      <c r="EO38" s="3461"/>
      <c r="EP38" s="1191">
        <f ca="1">OFFSET('VVP2'!$G$192,0,(COLUMN()-8)/6)</f>
        <v>3.1365705000000004</v>
      </c>
      <c r="EQ38" s="3457"/>
      <c r="ER38" s="584"/>
      <c r="ES38" s="585"/>
      <c r="ET38" s="3448"/>
      <c r="EU38" s="3461"/>
      <c r="EV38" s="1191">
        <f ca="1">OFFSET('VVP2'!$G$192,0,(COLUMN()-8)/6)</f>
        <v>3.2933990250000007</v>
      </c>
      <c r="EW38" s="3457"/>
      <c r="EX38" s="584"/>
    </row>
    <row r="39" spans="1:154" s="557" customFormat="1" ht="13.5" customHeight="1" thickBot="1">
      <c r="A39" s="555"/>
      <c r="B39" s="3445" t="s">
        <v>1769</v>
      </c>
      <c r="C39" s="3777" t="s">
        <v>1323</v>
      </c>
      <c r="D39" s="3778"/>
      <c r="E39" s="3454">
        <f ca="1">+F39+G39+H39</f>
        <v>1.0539500000000004</v>
      </c>
      <c r="F39" s="3454">
        <f ca="1">+F34+F35-F36</f>
        <v>6.8660000000000387E-2</v>
      </c>
      <c r="G39" s="3454">
        <f ca="1">+G34+G35-G36</f>
        <v>0.74860000000000038</v>
      </c>
      <c r="H39" s="3454">
        <f ca="1">+H34+H35-H36</f>
        <v>0.23668999999999962</v>
      </c>
      <c r="I39" s="3454"/>
      <c r="J39" s="604"/>
      <c r="K39" s="3454">
        <f ca="1">+L39+M39+N39</f>
        <v>1.2084499999999987</v>
      </c>
      <c r="L39" s="3454">
        <f ca="1">+L34+L35-L36</f>
        <v>-7.8619999999999912E-2</v>
      </c>
      <c r="M39" s="3454">
        <f ca="1">+M34+M35-M36</f>
        <v>1.1222399999999992</v>
      </c>
      <c r="N39" s="3454">
        <f ca="1">+N34+N35-N36</f>
        <v>0.16482999999999937</v>
      </c>
      <c r="O39" s="3454"/>
      <c r="P39" s="604"/>
      <c r="Q39" s="3454">
        <f ca="1">+R39+S39+T39</f>
        <v>1.744320000000001</v>
      </c>
      <c r="R39" s="3454">
        <f ca="1">+R34+R35-R36</f>
        <v>0.21661999999999981</v>
      </c>
      <c r="S39" s="3454">
        <f ca="1">+S34+S35-S36</f>
        <v>1.1396900000000012</v>
      </c>
      <c r="T39" s="3454">
        <f ca="1">+T34+T35-T36</f>
        <v>0.38800999999999997</v>
      </c>
      <c r="U39" s="3454"/>
      <c r="V39" s="604"/>
      <c r="W39" s="3454">
        <f ca="1">+X39+Y39+Z39</f>
        <v>1.6651399999999965</v>
      </c>
      <c r="X39" s="3454">
        <f ca="1">+X34+X35-X36</f>
        <v>0.61073999999999717</v>
      </c>
      <c r="Y39" s="3454">
        <f ca="1">+Y34+Y35-Y36</f>
        <v>0.9673999999999997</v>
      </c>
      <c r="Z39" s="3454">
        <f ca="1">+Z34+Z35-Z36</f>
        <v>8.6999999999999744E-2</v>
      </c>
      <c r="AA39" s="3454"/>
      <c r="AB39" s="604"/>
      <c r="AC39" s="3454">
        <f ca="1">+AD39+AE39+AF39</f>
        <v>1.3549499999999997</v>
      </c>
      <c r="AD39" s="3454">
        <f ca="1">+AD34+AD35-AD36</f>
        <v>0.3626100000000001</v>
      </c>
      <c r="AE39" s="3454">
        <f ca="1">+AE34+AE35-AE36</f>
        <v>0.91666999999999987</v>
      </c>
      <c r="AF39" s="3454">
        <f ca="1">+AF34+AF35-AF36</f>
        <v>7.5669999999999682E-2</v>
      </c>
      <c r="AG39" s="3454"/>
      <c r="AH39" s="604"/>
      <c r="AI39" s="3454">
        <f ca="1">+AJ39+AK39+AL39</f>
        <v>1.7257600000000002</v>
      </c>
      <c r="AJ39" s="3454">
        <f ca="1">+AJ34+AJ35-AJ36</f>
        <v>0.56772999999999918</v>
      </c>
      <c r="AK39" s="3454">
        <f ca="1">+AK34+AK35-AK36</f>
        <v>0.94606000000000057</v>
      </c>
      <c r="AL39" s="3454">
        <f ca="1">+AL34+AL35-AL36</f>
        <v>0.21197000000000044</v>
      </c>
      <c r="AM39" s="3454"/>
      <c r="AN39" s="604"/>
      <c r="AO39" s="3454">
        <f ca="1">+AP39+AQ39+AR39</f>
        <v>2.0263999999999962</v>
      </c>
      <c r="AP39" s="3454">
        <f ca="1">+AP34+AP35-AP36</f>
        <v>0.42298999999999687</v>
      </c>
      <c r="AQ39" s="3454">
        <f ca="1">+AQ34+AQ35-AQ36</f>
        <v>1.4919999999999998</v>
      </c>
      <c r="AR39" s="3454">
        <f ca="1">+AR34+AR35-AR36</f>
        <v>0.11140999999999979</v>
      </c>
      <c r="AS39" s="3454"/>
      <c r="AT39" s="604"/>
      <c r="AU39" s="3454">
        <f ca="1">+AV39+AW39+AX39</f>
        <v>2.3460300000000034</v>
      </c>
      <c r="AV39" s="3454">
        <f ca="1">+AV34+AV35-AV36</f>
        <v>0.44408000000000136</v>
      </c>
      <c r="AW39" s="3454">
        <f ca="1">+AW34+AW35-AW36</f>
        <v>1.6360800000000013</v>
      </c>
      <c r="AX39" s="3454">
        <f ca="1">+AX34+AX35-AX36</f>
        <v>0.26587000000000049</v>
      </c>
      <c r="AY39" s="3454"/>
      <c r="AZ39" s="604"/>
      <c r="BA39" s="3454">
        <f ca="1">+BB39+BC39+BD39</f>
        <v>2.5040400000000034</v>
      </c>
      <c r="BB39" s="3454">
        <f ca="1">+BB34+BB35-BB36</f>
        <v>0.2095400000000005</v>
      </c>
      <c r="BC39" s="3454">
        <f ca="1">+BC34+BC35-BC36</f>
        <v>1.9779100000000025</v>
      </c>
      <c r="BD39" s="3454">
        <f ca="1">+BD34+BD35-BD36</f>
        <v>0.31659000000000059</v>
      </c>
      <c r="BE39" s="3454"/>
      <c r="BF39" s="604"/>
      <c r="BG39" s="3454">
        <f ca="1">+BH39+BI39+BJ39</f>
        <v>2.7874899999999974</v>
      </c>
      <c r="BH39" s="3454">
        <f ca="1">+BH34+BH35-BH36</f>
        <v>1.0032399999999981</v>
      </c>
      <c r="BI39" s="3454">
        <f ca="1">+BI34+BI35-BI36</f>
        <v>1.3635499999999989</v>
      </c>
      <c r="BJ39" s="3454">
        <f ca="1">+BJ34+BJ35-BJ36</f>
        <v>0.42070000000000007</v>
      </c>
      <c r="BK39" s="3454"/>
      <c r="BL39" s="604"/>
      <c r="BM39" s="3454">
        <f ca="1">+BN39+BO39+BP39</f>
        <v>3.5727299999999977</v>
      </c>
      <c r="BN39" s="3454">
        <f ca="1">+BN34+BN35-BN36</f>
        <v>0.5735199999999967</v>
      </c>
      <c r="BO39" s="3454">
        <f ca="1">+BO34+BO35-BO36</f>
        <v>2.4148400000000017</v>
      </c>
      <c r="BP39" s="3454">
        <f ca="1">+BP34+BP35-BP36</f>
        <v>0.58436999999999939</v>
      </c>
      <c r="BQ39" s="3454"/>
      <c r="BR39" s="604"/>
      <c r="BS39" s="3454">
        <f ca="1">+BT39+BU39+BV39</f>
        <v>3.9785599999999932</v>
      </c>
      <c r="BT39" s="3454">
        <f ca="1">+BT34+BT35-BT36</f>
        <v>0.84127999999999759</v>
      </c>
      <c r="BU39" s="3454">
        <f ca="1">+BU34+BU35-BU36</f>
        <v>2.3237099999999979</v>
      </c>
      <c r="BV39" s="3454">
        <f ca="1">+BV34+BV35-BV36</f>
        <v>0.81356999999999768</v>
      </c>
      <c r="BW39" s="3454"/>
      <c r="BX39" s="604"/>
      <c r="BY39" s="3454">
        <f ca="1">+BZ39+CA39+CB39</f>
        <v>4.9917800000000065</v>
      </c>
      <c r="BZ39" s="3454">
        <f ca="1">+BZ34+BZ35-BZ36</f>
        <v>-0.71982999999999464</v>
      </c>
      <c r="CA39" s="3454">
        <f ca="1">+CA34+CA35-CA36</f>
        <v>4.5371500000000022</v>
      </c>
      <c r="CB39" s="3454">
        <f ca="1">+CB34+CB35-CB36</f>
        <v>1.1744599999999989</v>
      </c>
      <c r="CC39" s="3454"/>
      <c r="CD39" s="604"/>
      <c r="CE39" s="3454">
        <f ca="1">+CF39+CG39+CH39</f>
        <v>4.8158700000000074</v>
      </c>
      <c r="CF39" s="3454">
        <f ca="1">+CF34+CF35-CF36</f>
        <v>-0.10829999999999629</v>
      </c>
      <c r="CG39" s="3454">
        <f ca="1">+CG34+CG35-CG36</f>
        <v>4.3561300000000003</v>
      </c>
      <c r="CH39" s="3454">
        <f ca="1">+CH34+CH35-CH36</f>
        <v>0.56804000000000343</v>
      </c>
      <c r="CI39" s="3454"/>
      <c r="CJ39" s="604"/>
      <c r="CK39" s="3454">
        <f ca="1">+CL39+CM39+CN39</f>
        <v>3.9069500000000028</v>
      </c>
      <c r="CL39" s="3454">
        <f ca="1">+CL34+CL35-CL36</f>
        <v>0.98694000000000415</v>
      </c>
      <c r="CM39" s="3454">
        <f ca="1">+CM34+CM35-CM36</f>
        <v>4.4560499999999994</v>
      </c>
      <c r="CN39" s="3454">
        <f ca="1">+CN34+CN35-CN36</f>
        <v>-1.5360400000000007</v>
      </c>
      <c r="CO39" s="3454"/>
      <c r="CP39" s="604"/>
      <c r="CQ39" s="3454">
        <f ca="1">+CR39+CS39+CT39</f>
        <v>4.9563999999999906</v>
      </c>
      <c r="CR39" s="3454">
        <f ca="1">+CR34+CR35-CR36</f>
        <v>1.5161699999999954</v>
      </c>
      <c r="CS39" s="3454">
        <f ca="1">+CS34+CS35-CS36</f>
        <v>4.5863999999999949</v>
      </c>
      <c r="CT39" s="3454">
        <f ca="1">+CT34+CT35-CT36</f>
        <v>-1.1461699999999997</v>
      </c>
      <c r="CU39" s="3454"/>
      <c r="CV39" s="604"/>
      <c r="CW39" s="3454">
        <f ca="1">+CX39+CY39+CZ39</f>
        <v>5.5942500000000068</v>
      </c>
      <c r="CX39" s="3454">
        <f ca="1">+CX34+CX35-CX36</f>
        <v>0.93204000000000065</v>
      </c>
      <c r="CY39" s="3454">
        <f ca="1">+CY34+CY35-CY36</f>
        <v>5.367390000000003</v>
      </c>
      <c r="CZ39" s="3454">
        <f ca="1">+CZ34+CZ35-CZ36</f>
        <v>-0.70517999999999681</v>
      </c>
      <c r="DA39" s="3454"/>
      <c r="DB39" s="604"/>
      <c r="DC39" s="3454">
        <f ca="1">+DD39+DE39+DF39</f>
        <v>6.1450799999999992</v>
      </c>
      <c r="DD39" s="3454">
        <f ca="1">+DD34+DD35-DD36</f>
        <v>0.37671999999999883</v>
      </c>
      <c r="DE39" s="3454">
        <f ca="1">+DE34+DE35-DE36</f>
        <v>6.1053299999999995</v>
      </c>
      <c r="DF39" s="3454">
        <f ca="1">+DF34+DF35-DF36</f>
        <v>-0.3369699999999991</v>
      </c>
      <c r="DG39" s="3454"/>
      <c r="DH39" s="604"/>
      <c r="DI39" s="3454">
        <f ca="1">+DJ39+DK39+DL39</f>
        <v>7.3016400000000035</v>
      </c>
      <c r="DJ39" s="3454">
        <f ca="1">+DJ34+DJ35-DJ36</f>
        <v>0.53555000000000419</v>
      </c>
      <c r="DK39" s="3454">
        <f ca="1">+DK34+DK35-DK36</f>
        <v>6.7489699999999972</v>
      </c>
      <c r="DL39" s="3454">
        <f ca="1">+DL34+DL35-DL36</f>
        <v>1.7120000000002022E-2</v>
      </c>
      <c r="DM39" s="3454"/>
      <c r="DN39" s="604"/>
      <c r="DO39" s="3454">
        <f ca="1">+DP39+DQ39+DR39</f>
        <v>8.413490000000003</v>
      </c>
      <c r="DP39" s="3454">
        <f ca="1">+DP34+DP35-DP36</f>
        <v>3.6310000000003839E-2</v>
      </c>
      <c r="DQ39" s="3454">
        <f ca="1">+DQ34+DQ35-DQ36</f>
        <v>7.8735799999999996</v>
      </c>
      <c r="DR39" s="3454">
        <f ca="1">+DR34+DR35-DR36</f>
        <v>0.5035999999999996</v>
      </c>
      <c r="DS39" s="3454"/>
      <c r="DT39" s="604"/>
      <c r="DU39" s="3454">
        <f ca="1">+DV39+DW39+DX39</f>
        <v>6.9462800000000042</v>
      </c>
      <c r="DV39" s="3454">
        <f ca="1">+DV34+DV35-DV36</f>
        <v>-5.9999999997728537E-5</v>
      </c>
      <c r="DW39" s="3454">
        <f ca="1">+DW34+DW35-DW36</f>
        <v>6.0911100000000014</v>
      </c>
      <c r="DX39" s="3454">
        <f ca="1">+DX34+DX35-DX36</f>
        <v>0.8552300000000006</v>
      </c>
      <c r="DY39" s="3454"/>
      <c r="DZ39" s="604"/>
      <c r="EA39" s="3454">
        <f ca="1">+EB39+EC39+ED39</f>
        <v>6.4324600000000007</v>
      </c>
      <c r="EB39" s="3454">
        <f ca="1">+EB34+EB35-EB36</f>
        <v>-0.11985999999999919</v>
      </c>
      <c r="EC39" s="3454">
        <f ca="1">+EC34+EC35-EC36</f>
        <v>5.41418</v>
      </c>
      <c r="ED39" s="3454">
        <f ca="1">+ED34+ED35-ED36</f>
        <v>1.1381399999999999</v>
      </c>
      <c r="EE39" s="3454"/>
      <c r="EF39" s="604"/>
      <c r="EG39" s="3454">
        <f ca="1">+EH39+EI39+EJ39</f>
        <v>7.4485184079999964</v>
      </c>
      <c r="EH39" s="3454">
        <f ca="1">+EH34+EH35-EH36</f>
        <v>-0.37138136478063544</v>
      </c>
      <c r="EI39" s="3454">
        <f ca="1">+EI34+EI35-EI36</f>
        <v>6.250950470000002</v>
      </c>
      <c r="EJ39" s="3454">
        <f ca="1">+EJ34+EJ35-EJ36</f>
        <v>1.5689493027806298</v>
      </c>
      <c r="EK39" s="3454"/>
      <c r="EL39" s="604"/>
      <c r="EM39" s="3454">
        <f ca="1">+EN39+EO39+EP39</f>
        <v>7.760540813149281</v>
      </c>
      <c r="EN39" s="3454">
        <f ca="1">+EN34+EN35-EN36</f>
        <v>-0.51902575602819567</v>
      </c>
      <c r="EO39" s="3454">
        <f ca="1">+EO34+EO35-EO36</f>
        <v>6.7520762020993299</v>
      </c>
      <c r="EP39" s="3454">
        <f ca="1">+EP34+EP35-EP36</f>
        <v>1.5274903670781468</v>
      </c>
      <c r="EQ39" s="3454"/>
      <c r="ER39" s="604"/>
      <c r="ES39" s="3454">
        <f ca="1">+ET39+EU39+EV39</f>
        <v>8.2684582391073835</v>
      </c>
      <c r="ET39" s="3454">
        <f ca="1">+ET34+ET35-ET36</f>
        <v>-0.65357600382164449</v>
      </c>
      <c r="EU39" s="3454">
        <f ca="1">+EU34+EU35-EU36</f>
        <v>7.3186701178579678</v>
      </c>
      <c r="EV39" s="3454">
        <f ca="1">+EV34+EV35-EV36</f>
        <v>1.6033641250710602</v>
      </c>
      <c r="EW39" s="3454"/>
      <c r="EX39" s="604"/>
    </row>
    <row r="40" spans="1:154" ht="12.75" customHeight="1">
      <c r="A40" s="553"/>
      <c r="B40" s="600" t="s">
        <v>1767</v>
      </c>
      <c r="C40" s="3779" t="s">
        <v>1324</v>
      </c>
      <c r="D40" s="3780"/>
      <c r="E40" s="3458">
        <f ca="1">+F40+G40+H40</f>
        <v>-4.5170000000000016E-2</v>
      </c>
      <c r="F40" s="3449">
        <f ca="1">OFFSET(Sector1!$G$488,0,(COLUMN()-6)/6)</f>
        <v>1.7899999999999999E-2</v>
      </c>
      <c r="G40" s="3449">
        <f ca="1">OFFSET(Sector1!$G$489,0,(COLUMN()-7)/6)</f>
        <v>3.3049999999999996E-2</v>
      </c>
      <c r="H40" s="3464">
        <f ca="1">+H41-H42+H43-H44</f>
        <v>-9.6120000000000011E-2</v>
      </c>
      <c r="I40" s="3449">
        <f ca="1">-OFFSET(Sector1!$G$490,0,(COLUMN()-9)/6)</f>
        <v>4.5170000000000002E-2</v>
      </c>
      <c r="J40" s="586">
        <f ca="1">+E40+I40</f>
        <v>0</v>
      </c>
      <c r="K40" s="3458">
        <f ca="1">+L40+M40+N40</f>
        <v>6.3700000000000145E-3</v>
      </c>
      <c r="L40" s="3449">
        <f ca="1">OFFSET(Sector1!$G$488,0,(COLUMN()-6)/6)</f>
        <v>3.032E-2</v>
      </c>
      <c r="M40" s="3449">
        <f ca="1">OFFSET(Sector1!$G$489,0,(COLUMN()-7)/6)</f>
        <v>0.22208</v>
      </c>
      <c r="N40" s="3464">
        <f ca="1">+N41-N42+N43-N44</f>
        <v>-0.24603</v>
      </c>
      <c r="O40" s="3449">
        <f ca="1">-OFFSET(Sector1!$G$490,0,(COLUMN()-9)/6)</f>
        <v>-6.3699999999999998E-3</v>
      </c>
      <c r="P40" s="586">
        <f ca="1">+K40+O40</f>
        <v>1.474514954580286E-17</v>
      </c>
      <c r="Q40" s="3458">
        <f ca="1">+R40+S40+T40</f>
        <v>4.769999999999941E-3</v>
      </c>
      <c r="R40" s="3449">
        <f ca="1">OFFSET(Sector1!$G$488,0,(COLUMN()-6)/6)</f>
        <v>1.4711000000000001</v>
      </c>
      <c r="S40" s="3449">
        <f ca="1">OFFSET(Sector1!$G$489,0,(COLUMN()-7)/6)</f>
        <v>3.1609999999999999E-2</v>
      </c>
      <c r="T40" s="3464">
        <f ca="1">+T41-T42+T43-T44</f>
        <v>-1.49794</v>
      </c>
      <c r="U40" s="3449">
        <f ca="1">-OFFSET(Sector1!$G$490,0,(COLUMN()-9)/6)</f>
        <v>-4.7699999999999999E-3</v>
      </c>
      <c r="V40" s="586">
        <f ca="1">+Q40+U40</f>
        <v>-5.8980598183211441E-17</v>
      </c>
      <c r="W40" s="3458">
        <f ca="1">+X40+Y40+Z40</f>
        <v>-1.9900000000000195E-3</v>
      </c>
      <c r="X40" s="3449">
        <f ca="1">OFFSET(Sector1!$G$488,0,(COLUMN()-6)/6)</f>
        <v>4.9669999999999992E-2</v>
      </c>
      <c r="Y40" s="3449">
        <f ca="1">OFFSET(Sector1!$G$489,0,(COLUMN()-7)/6)</f>
        <v>0.10012</v>
      </c>
      <c r="Z40" s="3464">
        <f ca="1">+Z41-Z42+Z43-Z44</f>
        <v>-0.15178</v>
      </c>
      <c r="AA40" s="3449">
        <f ca="1">-OFFSET(Sector1!$G$490,0,(COLUMN()-9)/6)</f>
        <v>1.98E-3</v>
      </c>
      <c r="AB40" s="586">
        <f ca="1">+W40+AA40</f>
        <v>-1.0000000000019542E-5</v>
      </c>
      <c r="AC40" s="3458">
        <f ca="1">+AD40+AE40+AF40</f>
        <v>-3.8100000000000078E-3</v>
      </c>
      <c r="AD40" s="3449">
        <f ca="1">OFFSET(Sector1!$G$488,0,(COLUMN()-6)/6)</f>
        <v>5.1540000000000002E-2</v>
      </c>
      <c r="AE40" s="3449">
        <f ca="1">OFFSET(Sector1!$G$489,0,(COLUMN()-7)/6)</f>
        <v>5.3999999999999999E-2</v>
      </c>
      <c r="AF40" s="3464">
        <f ca="1">+AF41-AF42+AF43-AF44</f>
        <v>-0.10935</v>
      </c>
      <c r="AG40" s="3449">
        <f ca="1">-OFFSET(Sector1!$G$490,0,(COLUMN()-9)/6)</f>
        <v>3.81E-3</v>
      </c>
      <c r="AH40" s="586">
        <f ca="1">+AC40+AG40</f>
        <v>-7.8062556418956319E-18</v>
      </c>
      <c r="AI40" s="3458">
        <f ca="1">+AJ40+AK40+AL40</f>
        <v>2.4799999999999822E-3</v>
      </c>
      <c r="AJ40" s="3449">
        <f ca="1">OFFSET(Sector1!$G$488,0,(COLUMN()-6)/6)</f>
        <v>0.19487000000000002</v>
      </c>
      <c r="AK40" s="3449">
        <f ca="1">OFFSET(Sector1!$G$489,0,(COLUMN()-7)/6)</f>
        <v>0.12583</v>
      </c>
      <c r="AL40" s="3464">
        <f ca="1">+AL41-AL42+AL43-AL44</f>
        <v>-0.31822</v>
      </c>
      <c r="AM40" s="3449">
        <f ca="1">-OFFSET(Sector1!$G$490,0,(COLUMN()-9)/6)</f>
        <v>-2.49E-3</v>
      </c>
      <c r="AN40" s="586">
        <f ca="1">+AI40+AM40</f>
        <v>-1.0000000000017807E-5</v>
      </c>
      <c r="AO40" s="3458">
        <f ca="1">+AP40+AQ40+AR40</f>
        <v>1.5999999999999903E-3</v>
      </c>
      <c r="AP40" s="3449">
        <f ca="1">OFFSET(Sector1!$G$488,0,(COLUMN()-6)/6)</f>
        <v>2.8420000000000001E-2</v>
      </c>
      <c r="AQ40" s="3449">
        <f ca="1">OFFSET(Sector1!$G$489,0,(COLUMN()-7)/6)</f>
        <v>0.26213999999999998</v>
      </c>
      <c r="AR40" s="3464">
        <f ca="1">+AR41-AR42+AR43-AR44</f>
        <v>-0.28895999999999999</v>
      </c>
      <c r="AS40" s="3449">
        <f ca="1">-OFFSET(Sector1!$G$490,0,(COLUMN()-9)/6)</f>
        <v>-1.6100000000000001E-3</v>
      </c>
      <c r="AT40" s="586">
        <f ca="1">+AO40+AS40</f>
        <v>-1.0000000000009784E-5</v>
      </c>
      <c r="AU40" s="3458">
        <f ca="1">+AV40+AW40+AX40</f>
        <v>5.9019999999999989E-2</v>
      </c>
      <c r="AV40" s="3449">
        <f ca="1">OFFSET(Sector1!$G$488,0,(COLUMN()-6)/6)</f>
        <v>2.4410000000000001E-2</v>
      </c>
      <c r="AW40" s="3449">
        <f ca="1">OFFSET(Sector1!$G$489,0,(COLUMN()-7)/6)</f>
        <v>0.12173</v>
      </c>
      <c r="AX40" s="3464">
        <f ca="1">+AX41-AX42+AX43-AX44</f>
        <v>-8.7120000000000003E-2</v>
      </c>
      <c r="AY40" s="3449">
        <f ca="1">-OFFSET(Sector1!$G$490,0,(COLUMN()-9)/6)</f>
        <v>-5.9020000000000003E-2</v>
      </c>
      <c r="AZ40" s="586">
        <f ca="1">+AU40+AY40</f>
        <v>0</v>
      </c>
      <c r="BA40" s="3458">
        <f ca="1">+BB40+BC40+BD40</f>
        <v>5.9359999999999982E-2</v>
      </c>
      <c r="BB40" s="3449">
        <f ca="1">OFFSET(Sector1!$G$488,0,(COLUMN()-6)/6)</f>
        <v>3.4189999999999998E-2</v>
      </c>
      <c r="BC40" s="3449">
        <f ca="1">OFFSET(Sector1!$G$489,0,(COLUMN()-7)/6)</f>
        <v>4.3559999999999995E-2</v>
      </c>
      <c r="BD40" s="3464">
        <f ca="1">+BD41-BD42+BD43-BD44</f>
        <v>-1.8390000000000004E-2</v>
      </c>
      <c r="BE40" s="3449">
        <f ca="1">-OFFSET(Sector1!$G$490,0,(COLUMN()-9)/6)</f>
        <v>-5.9359999999999996E-2</v>
      </c>
      <c r="BF40" s="586">
        <f ca="1">+BA40+BE40</f>
        <v>0</v>
      </c>
      <c r="BG40" s="3458">
        <f ca="1">+BH40+BI40+BJ40</f>
        <v>0.12967000000000001</v>
      </c>
      <c r="BH40" s="3449">
        <f ca="1">OFFSET(Sector1!$G$488,0,(COLUMN()-6)/6)</f>
        <v>8.5610000000000006E-2</v>
      </c>
      <c r="BI40" s="3449">
        <f ca="1">OFFSET(Sector1!$G$489,0,(COLUMN()-7)/6)</f>
        <v>7.5829999999999995E-2</v>
      </c>
      <c r="BJ40" s="3464">
        <f ca="1">+BJ41-BJ42+BJ43-BJ44</f>
        <v>-3.1769999999999993E-2</v>
      </c>
      <c r="BK40" s="3449">
        <f ca="1">-OFFSET(Sector1!$G$490,0,(COLUMN()-9)/6)</f>
        <v>-0.12966999999999998</v>
      </c>
      <c r="BL40" s="586">
        <f ca="1">+BG40+BK40</f>
        <v>0</v>
      </c>
      <c r="BM40" s="3458">
        <f ca="1">+BN40+BO40+BP40</f>
        <v>0.20397000000000004</v>
      </c>
      <c r="BN40" s="3449">
        <f ca="1">OFFSET(Sector1!$G$488,0,(COLUMN()-6)/6)</f>
        <v>7.2179999999999994E-2</v>
      </c>
      <c r="BO40" s="3449">
        <f ca="1">OFFSET(Sector1!$G$489,0,(COLUMN()-7)/6)</f>
        <v>5.5099999999999996E-2</v>
      </c>
      <c r="BP40" s="3464">
        <f ca="1">+BP41-BP42+BP43-BP44</f>
        <v>7.6690000000000022E-2</v>
      </c>
      <c r="BQ40" s="3449">
        <f ca="1">-OFFSET(Sector1!$G$490,0,(COLUMN()-9)/6)</f>
        <v>-0.20397000000000001</v>
      </c>
      <c r="BR40" s="586">
        <f ca="1">+BM40+BQ40</f>
        <v>0</v>
      </c>
      <c r="BS40" s="3458">
        <f ca="1">+BT40+BU40+BV40</f>
        <v>0.35857</v>
      </c>
      <c r="BT40" s="3449">
        <f ca="1">OFFSET(Sector1!$G$488,0,(COLUMN()-6)/6)</f>
        <v>7.8410000000000007E-2</v>
      </c>
      <c r="BU40" s="3449">
        <f ca="1">OFFSET(Sector1!$G$489,0,(COLUMN()-7)/6)</f>
        <v>0.14396</v>
      </c>
      <c r="BV40" s="3464">
        <f ca="1">+BV41-BV42+BV43-BV44</f>
        <v>0.13619999999999999</v>
      </c>
      <c r="BW40" s="3449">
        <f ca="1">-OFFSET(Sector1!$G$490,0,(COLUMN()-9)/6)</f>
        <v>-0.35857</v>
      </c>
      <c r="BX40" s="586">
        <f ca="1">+BS40+BW40</f>
        <v>0</v>
      </c>
      <c r="BY40" s="3458">
        <f ca="1">+BZ40+CA40+CB40</f>
        <v>0.61141000000000012</v>
      </c>
      <c r="BZ40" s="3449">
        <f ca="1">OFFSET(Sector1!$G$488,0,(COLUMN()-6)/6)</f>
        <v>0.18384</v>
      </c>
      <c r="CA40" s="3449">
        <f ca="1">OFFSET(Sector1!$G$489,0,(COLUMN()-7)/6)</f>
        <v>0.27153000000000005</v>
      </c>
      <c r="CB40" s="3464">
        <f ca="1">+CB41-CB42+CB43-CB44</f>
        <v>0.15604000000000007</v>
      </c>
      <c r="CC40" s="3449">
        <f ca="1">-OFFSET(Sector1!$G$490,0,(COLUMN()-9)/6)</f>
        <v>-0.61141999999999996</v>
      </c>
      <c r="CD40" s="586">
        <f ca="1">+BY40+CC40</f>
        <v>-9.9999999998434674E-6</v>
      </c>
      <c r="CE40" s="3458">
        <f ca="1">+CF40+CG40+CH40</f>
        <v>0.61907000000000012</v>
      </c>
      <c r="CF40" s="3449">
        <f ca="1">OFFSET(Sector1!$G$488,0,(COLUMN()-6)/6)</f>
        <v>4.446E-2</v>
      </c>
      <c r="CG40" s="3449">
        <f ca="1">OFFSET(Sector1!$G$489,0,(COLUMN()-7)/6)</f>
        <v>0.36141000000000001</v>
      </c>
      <c r="CH40" s="3464">
        <f ca="1">+CH41-CH42+CH43-CH44</f>
        <v>0.21320000000000008</v>
      </c>
      <c r="CI40" s="3449">
        <f ca="1">-OFFSET(Sector1!$G$490,0,(COLUMN()-9)/6)</f>
        <v>-0.61907000000000001</v>
      </c>
      <c r="CJ40" s="586">
        <f ca="1">+CE40+CI40</f>
        <v>0</v>
      </c>
      <c r="CK40" s="3458">
        <f ca="1">+CL40+CM40+CN40</f>
        <v>1.15822</v>
      </c>
      <c r="CL40" s="3449">
        <f ca="1">OFFSET(Sector1!$G$488,0,(COLUMN()-6)/6)</f>
        <v>3.0710000000000001E-2</v>
      </c>
      <c r="CM40" s="3449">
        <f ca="1">OFFSET(Sector1!$G$489,0,(COLUMN()-7)/6)</f>
        <v>0.84387999999999996</v>
      </c>
      <c r="CN40" s="3464">
        <f ca="1">+CN41-CN42+CN43-CN44</f>
        <v>0.28362999999999999</v>
      </c>
      <c r="CO40" s="3449">
        <f ca="1">-OFFSET(Sector1!$G$490,0,(COLUMN()-9)/6)</f>
        <v>-1.15822</v>
      </c>
      <c r="CP40" s="586">
        <f ca="1">+CK40+CO40</f>
        <v>0</v>
      </c>
      <c r="CQ40" s="3458">
        <f ca="1">+CR40+CS40+CT40</f>
        <v>1.0578099999999999</v>
      </c>
      <c r="CR40" s="3449">
        <f ca="1">OFFSET(Sector1!$G$488,0,(COLUMN()-6)/6)</f>
        <v>3.9329999999999997E-2</v>
      </c>
      <c r="CS40" s="3449">
        <f ca="1">OFFSET(Sector1!$G$489,0,(COLUMN()-7)/6)</f>
        <v>0.43232999999999999</v>
      </c>
      <c r="CT40" s="3464">
        <f ca="1">+CT41-CT42+CT43-CT44</f>
        <v>0.58614999999999995</v>
      </c>
      <c r="CU40" s="3449">
        <f ca="1">-OFFSET(Sector1!$G$490,0,(COLUMN()-9)/6)</f>
        <v>-1.0577999999999999</v>
      </c>
      <c r="CV40" s="586">
        <f ca="1">+CQ40+CU40</f>
        <v>1.0000000000065512E-5</v>
      </c>
      <c r="CW40" s="3458">
        <f ca="1">+CX40+CY40+CZ40</f>
        <v>1.0038100000000001</v>
      </c>
      <c r="CX40" s="3449">
        <f ca="1">OFFSET(Sector1!$G$488,0,(COLUMN()-6)/6)</f>
        <v>1.23645</v>
      </c>
      <c r="CY40" s="3449">
        <f ca="1">OFFSET(Sector1!$G$489,0,(COLUMN()-7)/6)</f>
        <v>0.47370999999999996</v>
      </c>
      <c r="CZ40" s="3464">
        <f ca="1">+CZ41-CZ42+CZ43-CZ44</f>
        <v>-0.70635000000000014</v>
      </c>
      <c r="DA40" s="3449">
        <f ca="1">-OFFSET(Sector1!$G$490,0,(COLUMN()-9)/6)</f>
        <v>-1.0038099999999999</v>
      </c>
      <c r="DB40" s="586">
        <f ca="1">+CW40+DA40</f>
        <v>0</v>
      </c>
      <c r="DC40" s="3458">
        <f ca="1">+DD40+DE40+DF40</f>
        <v>0.96408999999999989</v>
      </c>
      <c r="DD40" s="3449">
        <f ca="1">OFFSET(Sector1!$G$488,0,(COLUMN()-6)/6)</f>
        <v>3.8779999999999995E-2</v>
      </c>
      <c r="DE40" s="3449">
        <f ca="1">OFFSET(Sector1!$G$489,0,(COLUMN()-7)/6)</f>
        <v>0.38078000000000001</v>
      </c>
      <c r="DF40" s="3464">
        <f ca="1">+DF41-DF42+DF43-DF44</f>
        <v>0.54452999999999996</v>
      </c>
      <c r="DG40" s="3449">
        <f ca="1">-OFFSET(Sector1!$G$490,0,(COLUMN()-9)/6)</f>
        <v>-0.96409</v>
      </c>
      <c r="DH40" s="586">
        <f ca="1">+DC40+DG40</f>
        <v>0</v>
      </c>
      <c r="DI40" s="3458">
        <f ca="1">+DJ40+DK40+DL40</f>
        <v>1.0888499999999999</v>
      </c>
      <c r="DJ40" s="3449">
        <f ca="1">OFFSET(Sector1!$G$488,0,(COLUMN()-6)/6)</f>
        <v>7.3069999999999996E-2</v>
      </c>
      <c r="DK40" s="3449">
        <f ca="1">OFFSET(Sector1!$G$489,0,(COLUMN()-7)/6)</f>
        <v>0.74426999999999999</v>
      </c>
      <c r="DL40" s="3464">
        <f ca="1">+DL41-DL42+DL43-DL44</f>
        <v>0.27150999999999997</v>
      </c>
      <c r="DM40" s="3449">
        <f ca="1">-OFFSET(Sector1!$G$490,0,(COLUMN()-9)/6)</f>
        <v>-1.0888499999999999</v>
      </c>
      <c r="DN40" s="586">
        <f ca="1">+DI40+DM40</f>
        <v>0</v>
      </c>
      <c r="DO40" s="3458">
        <f ca="1">+DP40+DQ40+DR40</f>
        <v>0.97573999999999994</v>
      </c>
      <c r="DP40" s="3449">
        <f ca="1">OFFSET(Sector1!$G$488,0,(COLUMN()-6)/6)</f>
        <v>0.39702000000000004</v>
      </c>
      <c r="DQ40" s="3449">
        <f ca="1">OFFSET(Sector1!$G$489,0,(COLUMN()-7)/6)</f>
        <v>9.0939999999999938E-2</v>
      </c>
      <c r="DR40" s="3464">
        <f ca="1">+DR41-DR42+DR43-DR44</f>
        <v>0.48777999999999999</v>
      </c>
      <c r="DS40" s="3449">
        <f ca="1">-OFFSET(Sector1!$G$490,0,(COLUMN()-9)/6)</f>
        <v>-0.97573999999999994</v>
      </c>
      <c r="DT40" s="586">
        <f ca="1">+DO40+DS40</f>
        <v>0</v>
      </c>
      <c r="DU40" s="3458">
        <f ca="1">+DV40+DW40+DX40</f>
        <v>1.1172600000000001</v>
      </c>
      <c r="DV40" s="3449">
        <f ca="1">OFFSET(Sector1!$G$488,0,(COLUMN()-6)/6)</f>
        <v>0.12033000000000001</v>
      </c>
      <c r="DW40" s="3449">
        <f ca="1">OFFSET(Sector1!$G$489,0,(COLUMN()-7)/6)</f>
        <v>0.57279000000000013</v>
      </c>
      <c r="DX40" s="3464">
        <f ca="1">+DX41-DX42+DX43-DX44</f>
        <v>0.42413999999999991</v>
      </c>
      <c r="DY40" s="3449">
        <f ca="1">-OFFSET(Sector1!$G$490,0,(COLUMN()-9)/6)</f>
        <v>-1.1172599999999999</v>
      </c>
      <c r="DZ40" s="586">
        <f ca="1">+DU40+DY40</f>
        <v>0</v>
      </c>
      <c r="EA40" s="3458">
        <f ca="1">+EB40+EC40+ED40</f>
        <v>0.56872</v>
      </c>
      <c r="EB40" s="3449">
        <f ca="1">OFFSET(Sector1!$G$488,0,(COLUMN()-6)/6)</f>
        <v>5.5060000000000005E-2</v>
      </c>
      <c r="EC40" s="3449">
        <f ca="1">OFFSET(Sector1!$G$489,0,(COLUMN()-7)/6)</f>
        <v>0.38400000000000001</v>
      </c>
      <c r="ED40" s="3464">
        <f ca="1">+ED41-ED42+ED43-ED44</f>
        <v>0.12966</v>
      </c>
      <c r="EE40" s="3449">
        <f ca="1">-OFFSET(Sector1!$G$490,0,(COLUMN()-9)/6)</f>
        <v>-0.56872</v>
      </c>
      <c r="EF40" s="586">
        <f ca="1">+EA40+EE40</f>
        <v>0</v>
      </c>
      <c r="EG40" s="3458">
        <f ca="1">+EH40+EI40+EJ40</f>
        <v>0.45054840000000002</v>
      </c>
      <c r="EH40" s="3449">
        <f ca="1">OFFSET(Sector1!$G$488,0,(COLUMN()-6)/6)</f>
        <v>5.1205800000000003E-2</v>
      </c>
      <c r="EI40" s="3449">
        <f ca="1">OFFSET(Sector1!$G$489,0,(COLUMN()-7)/6)</f>
        <v>0.35711999999999999</v>
      </c>
      <c r="EJ40" s="3464">
        <f ca="1">+EJ41-EJ42+EJ43-EJ44</f>
        <v>4.2222599999999999E-2</v>
      </c>
      <c r="EK40" s="3449">
        <f ca="1">-OFFSET(Sector1!$G$490,0,(COLUMN()-9)/6)</f>
        <v>-0.45054839999999996</v>
      </c>
      <c r="EL40" s="586">
        <f ca="1">+EG40+EK40</f>
        <v>0</v>
      </c>
      <c r="EM40" s="3458">
        <f ca="1">+EN40+EO40+EP40</f>
        <v>0.54727231399999987</v>
      </c>
      <c r="EN40" s="3449">
        <f ca="1">OFFSET(Sector1!$G$488,0,(COLUMN()-6)/6)</f>
        <v>4.7621393999999997E-2</v>
      </c>
      <c r="EO40" s="3449">
        <f ca="1">OFFSET(Sector1!$G$489,0,(COLUMN()-7)/6)</f>
        <v>0.33212159999999996</v>
      </c>
      <c r="EP40" s="3464">
        <f ca="1">+EP41-EP42+EP43-EP44</f>
        <v>0.1675293199999999</v>
      </c>
      <c r="EQ40" s="3449">
        <f ca="1">-OFFSET(Sector1!$G$490,0,(COLUMN()-9)/6)</f>
        <v>-0.54727231399999998</v>
      </c>
      <c r="ER40" s="586">
        <f ca="1">+EM40+EQ40</f>
        <v>0</v>
      </c>
      <c r="ES40" s="3458">
        <f ca="1">+ET40+EU40+EV40</f>
        <v>0.52810883385999985</v>
      </c>
      <c r="ET40" s="3449">
        <f ca="1">OFFSET(Sector1!$G$488,0,(COLUMN()-6)/6)</f>
        <v>4.4287896419999993E-2</v>
      </c>
      <c r="EU40" s="3449">
        <f ca="1">OFFSET(Sector1!$G$489,0,(COLUMN()-7)/6)</f>
        <v>0.30887308799999996</v>
      </c>
      <c r="EV40" s="3464">
        <f ca="1">+EV41-EV42+EV43-EV44</f>
        <v>0.17494784943999989</v>
      </c>
      <c r="EW40" s="3449">
        <f ca="1">-OFFSET(Sector1!$G$490,0,(COLUMN()-9)/6)</f>
        <v>-0.52810883385999996</v>
      </c>
      <c r="EX40" s="586">
        <f ca="1">+ES40+EW40</f>
        <v>0</v>
      </c>
    </row>
    <row r="41" spans="1:154" s="568" customFormat="1">
      <c r="A41" s="563"/>
      <c r="B41" s="564"/>
      <c r="C41" s="582"/>
      <c r="D41" s="583" t="s">
        <v>1813</v>
      </c>
      <c r="E41" s="3458"/>
      <c r="F41" s="3448"/>
      <c r="G41" s="3461"/>
      <c r="H41" s="562">
        <f ca="1">OFFSET(Sector1!$G$482,0,(COLUMN()-8)/6)</f>
        <v>0</v>
      </c>
      <c r="I41" s="3457"/>
      <c r="J41" s="584"/>
      <c r="K41" s="3458"/>
      <c r="L41" s="3448"/>
      <c r="M41" s="3461"/>
      <c r="N41" s="562">
        <f ca="1">OFFSET(Sector1!$G$482,0,(COLUMN()-8)/6)</f>
        <v>0</v>
      </c>
      <c r="O41" s="3457"/>
      <c r="P41" s="584"/>
      <c r="Q41" s="3458"/>
      <c r="R41" s="3448"/>
      <c r="S41" s="3461"/>
      <c r="T41" s="562">
        <f ca="1">OFFSET(Sector1!$G$482,0,(COLUMN()-8)/6)</f>
        <v>3.0000000000000001E-5</v>
      </c>
      <c r="U41" s="3457"/>
      <c r="V41" s="584"/>
      <c r="W41" s="3458"/>
      <c r="X41" s="3448"/>
      <c r="Y41" s="3461"/>
      <c r="Z41" s="562">
        <f ca="1">OFFSET(Sector1!$G$482,0,(COLUMN()-8)/6)</f>
        <v>2.0000000000000001E-4</v>
      </c>
      <c r="AA41" s="3457"/>
      <c r="AB41" s="584"/>
      <c r="AC41" s="3458"/>
      <c r="AD41" s="3448"/>
      <c r="AE41" s="3461"/>
      <c r="AF41" s="562">
        <f ca="1">OFFSET(Sector1!$G$482,0,(COLUMN()-8)/6)</f>
        <v>6.2E-4</v>
      </c>
      <c r="AG41" s="3457"/>
      <c r="AH41" s="584"/>
      <c r="AI41" s="3458"/>
      <c r="AJ41" s="3448"/>
      <c r="AK41" s="3461"/>
      <c r="AL41" s="562">
        <f ca="1">OFFSET(Sector1!$G$482,0,(COLUMN()-8)/6)</f>
        <v>5.2999999999999998E-4</v>
      </c>
      <c r="AM41" s="3457"/>
      <c r="AN41" s="584"/>
      <c r="AO41" s="3458"/>
      <c r="AP41" s="3448"/>
      <c r="AQ41" s="3461"/>
      <c r="AR41" s="562">
        <f ca="1">OFFSET(Sector1!$G$482,0,(COLUMN()-8)/6)</f>
        <v>6.4999999999999997E-4</v>
      </c>
      <c r="AS41" s="3457"/>
      <c r="AT41" s="584"/>
      <c r="AU41" s="3458"/>
      <c r="AV41" s="3448"/>
      <c r="AW41" s="3461"/>
      <c r="AX41" s="562">
        <f ca="1">OFFSET(Sector1!$G$482,0,(COLUMN()-8)/6)</f>
        <v>6.6E-4</v>
      </c>
      <c r="AY41" s="3457"/>
      <c r="AZ41" s="584"/>
      <c r="BA41" s="3458"/>
      <c r="BB41" s="3448"/>
      <c r="BC41" s="3461"/>
      <c r="BD41" s="562">
        <f ca="1">OFFSET(Sector1!$G$482,0,(COLUMN()-8)/6)</f>
        <v>3.2000000000000003E-4</v>
      </c>
      <c r="BE41" s="3457"/>
      <c r="BF41" s="584"/>
      <c r="BG41" s="3458"/>
      <c r="BH41" s="3448"/>
      <c r="BI41" s="3461"/>
      <c r="BJ41" s="562">
        <f ca="1">OFFSET(Sector1!$G$482,0,(COLUMN()-8)/6)</f>
        <v>5.0000000000000001E-4</v>
      </c>
      <c r="BK41" s="3457"/>
      <c r="BL41" s="584"/>
      <c r="BM41" s="3458"/>
      <c r="BN41" s="3448"/>
      <c r="BO41" s="3461"/>
      <c r="BP41" s="562">
        <f ca="1">OFFSET(Sector1!$G$482,0,(COLUMN()-8)/6)</f>
        <v>6.7000000000000002E-4</v>
      </c>
      <c r="BQ41" s="3457"/>
      <c r="BR41" s="584"/>
      <c r="BS41" s="3458"/>
      <c r="BT41" s="3448"/>
      <c r="BU41" s="3461"/>
      <c r="BV41" s="562">
        <f ca="1">OFFSET(Sector1!$G$482,0,(COLUMN()-8)/6)</f>
        <v>1.2099999999999999E-3</v>
      </c>
      <c r="BW41" s="3457"/>
      <c r="BX41" s="584"/>
      <c r="BY41" s="3458"/>
      <c r="BZ41" s="3448"/>
      <c r="CA41" s="3461"/>
      <c r="CB41" s="562">
        <f ca="1">OFFSET(Sector1!$G$482,0,(COLUMN()-8)/6)</f>
        <v>1.82E-3</v>
      </c>
      <c r="CC41" s="3457"/>
      <c r="CD41" s="584"/>
      <c r="CE41" s="3458"/>
      <c r="CF41" s="3448"/>
      <c r="CG41" s="3461"/>
      <c r="CH41" s="562">
        <f ca="1">OFFSET(Sector1!$G$482,0,(COLUMN()-8)/6)</f>
        <v>1.7600000000000001E-3</v>
      </c>
      <c r="CI41" s="3457"/>
      <c r="CJ41" s="584"/>
      <c r="CK41" s="3458"/>
      <c r="CL41" s="3448"/>
      <c r="CM41" s="3461"/>
      <c r="CN41" s="562">
        <f ca="1">OFFSET(Sector1!$G$482,0,(COLUMN()-8)/6)</f>
        <v>1.7800000000000001E-3</v>
      </c>
      <c r="CO41" s="3457"/>
      <c r="CP41" s="584"/>
      <c r="CQ41" s="3458"/>
      <c r="CR41" s="3448"/>
      <c r="CS41" s="3461"/>
      <c r="CT41" s="562">
        <f ca="1">OFFSET(Sector1!$G$482,0,(COLUMN()-8)/6)</f>
        <v>1.1000000000000001E-3</v>
      </c>
      <c r="CU41" s="3457"/>
      <c r="CV41" s="584"/>
      <c r="CW41" s="3458"/>
      <c r="CX41" s="3448"/>
      <c r="CY41" s="3461"/>
      <c r="CZ41" s="562">
        <f ca="1">OFFSET(Sector1!$G$482,0,(COLUMN()-8)/6)</f>
        <v>1E-3</v>
      </c>
      <c r="DA41" s="3457"/>
      <c r="DB41" s="584"/>
      <c r="DC41" s="3458"/>
      <c r="DD41" s="3448"/>
      <c r="DE41" s="3461"/>
      <c r="DF41" s="562">
        <f ca="1">OFFSET(Sector1!$G$482,0,(COLUMN()-8)/6)</f>
        <v>1.1999999999999999E-3</v>
      </c>
      <c r="DG41" s="3457"/>
      <c r="DH41" s="584"/>
      <c r="DI41" s="3458"/>
      <c r="DJ41" s="3448"/>
      <c r="DK41" s="3461"/>
      <c r="DL41" s="562">
        <f ca="1">OFFSET(Sector1!$G$482,0,(COLUMN()-8)/6)</f>
        <v>1.2800000000000001E-3</v>
      </c>
      <c r="DM41" s="3457"/>
      <c r="DN41" s="584"/>
      <c r="DO41" s="3458"/>
      <c r="DP41" s="3448"/>
      <c r="DQ41" s="3461"/>
      <c r="DR41" s="562">
        <f ca="1">OFFSET(Sector1!$G$482,0,(COLUMN()-8)/6)</f>
        <v>1.33E-3</v>
      </c>
      <c r="DS41" s="3457"/>
      <c r="DT41" s="584"/>
      <c r="DU41" s="3458"/>
      <c r="DV41" s="3448"/>
      <c r="DW41" s="3461"/>
      <c r="DX41" s="562">
        <f ca="1">OFFSET(Sector1!$G$482,0,(COLUMN()-8)/6)</f>
        <v>1.4300000000000001E-3</v>
      </c>
      <c r="DY41" s="3457"/>
      <c r="DZ41" s="584"/>
      <c r="EA41" s="3458"/>
      <c r="EB41" s="3448"/>
      <c r="EC41" s="3461"/>
      <c r="ED41" s="562">
        <f ca="1">OFFSET(Sector1!$G$482,0,(COLUMN()-8)/6)</f>
        <v>1.47E-3</v>
      </c>
      <c r="EE41" s="3457"/>
      <c r="EF41" s="584"/>
      <c r="EG41" s="3458"/>
      <c r="EH41" s="3448"/>
      <c r="EI41" s="3461"/>
      <c r="EJ41" s="562">
        <f ca="1">OFFSET(Sector1!$G$482,0,(COLUMN()-8)/6)</f>
        <v>1.47E-3</v>
      </c>
      <c r="EK41" s="3457"/>
      <c r="EL41" s="584"/>
      <c r="EM41" s="3458"/>
      <c r="EN41" s="3448"/>
      <c r="EO41" s="3461"/>
      <c r="EP41" s="562">
        <f ca="1">OFFSET(Sector1!$G$482,0,(COLUMN()-8)/6)</f>
        <v>1.47E-3</v>
      </c>
      <c r="EQ41" s="3457"/>
      <c r="ER41" s="584"/>
      <c r="ES41" s="3458"/>
      <c r="ET41" s="3448"/>
      <c r="EU41" s="3461"/>
      <c r="EV41" s="562">
        <f ca="1">OFFSET(Sector1!$G$482,0,(COLUMN()-8)/6)</f>
        <v>1.47E-3</v>
      </c>
      <c r="EW41" s="3457"/>
      <c r="EX41" s="584"/>
    </row>
    <row r="42" spans="1:154" s="568" customFormat="1">
      <c r="A42" s="563"/>
      <c r="B42" s="564"/>
      <c r="C42" s="582"/>
      <c r="D42" s="583" t="s">
        <v>1156</v>
      </c>
      <c r="E42" s="3458"/>
      <c r="F42" s="3448"/>
      <c r="G42" s="3461"/>
      <c r="H42" s="562">
        <f ca="1">OFFSET(Sector1!$G$483,0,(COLUMN()-8)/6)</f>
        <v>0</v>
      </c>
      <c r="I42" s="3457"/>
      <c r="J42" s="584"/>
      <c r="K42" s="3458"/>
      <c r="L42" s="3448"/>
      <c r="M42" s="3461"/>
      <c r="N42" s="562">
        <f ca="1">OFFSET(Sector1!$G$483,0,(COLUMN()-8)/6)</f>
        <v>0</v>
      </c>
      <c r="O42" s="3457"/>
      <c r="P42" s="584"/>
      <c r="Q42" s="3458"/>
      <c r="R42" s="3448"/>
      <c r="S42" s="3461"/>
      <c r="T42" s="562">
        <f ca="1">OFFSET(Sector1!$G$483,0,(COLUMN()-8)/6)</f>
        <v>0</v>
      </c>
      <c r="U42" s="3457"/>
      <c r="V42" s="584"/>
      <c r="W42" s="3458"/>
      <c r="X42" s="3448"/>
      <c r="Y42" s="3461"/>
      <c r="Z42" s="562">
        <f ca="1">OFFSET(Sector1!$G$483,0,(COLUMN()-8)/6)</f>
        <v>0</v>
      </c>
      <c r="AA42" s="3457"/>
      <c r="AB42" s="584"/>
      <c r="AC42" s="3458"/>
      <c r="AD42" s="3448"/>
      <c r="AE42" s="3461"/>
      <c r="AF42" s="562">
        <f ca="1">OFFSET(Sector1!$G$483,0,(COLUMN()-8)/6)</f>
        <v>0</v>
      </c>
      <c r="AG42" s="3457"/>
      <c r="AH42" s="584"/>
      <c r="AI42" s="3458"/>
      <c r="AJ42" s="3448"/>
      <c r="AK42" s="3461"/>
      <c r="AL42" s="562">
        <f ca="1">OFFSET(Sector1!$G$483,0,(COLUMN()-8)/6)</f>
        <v>3.8509999999999996E-2</v>
      </c>
      <c r="AM42" s="3457"/>
      <c r="AN42" s="584"/>
      <c r="AO42" s="3458"/>
      <c r="AP42" s="3448"/>
      <c r="AQ42" s="3461"/>
      <c r="AR42" s="562">
        <f ca="1">OFFSET(Sector1!$G$483,0,(COLUMN()-8)/6)</f>
        <v>4.5679999999999998E-2</v>
      </c>
      <c r="AS42" s="3457"/>
      <c r="AT42" s="584"/>
      <c r="AU42" s="3458"/>
      <c r="AV42" s="3448"/>
      <c r="AW42" s="3461"/>
      <c r="AX42" s="562">
        <f ca="1">OFFSET(Sector1!$G$483,0,(COLUMN()-8)/6)</f>
        <v>2.674E-2</v>
      </c>
      <c r="AY42" s="3457"/>
      <c r="AZ42" s="584"/>
      <c r="BA42" s="3458"/>
      <c r="BB42" s="3448"/>
      <c r="BC42" s="3461"/>
      <c r="BD42" s="562">
        <f ca="1">OFFSET(Sector1!$G$483,0,(COLUMN()-8)/6)</f>
        <v>1.4320000000000001E-2</v>
      </c>
      <c r="BE42" s="3457"/>
      <c r="BF42" s="584"/>
      <c r="BG42" s="3458"/>
      <c r="BH42" s="3448"/>
      <c r="BI42" s="3461"/>
      <c r="BJ42" s="562">
        <f ca="1">OFFSET(Sector1!$G$483,0,(COLUMN()-8)/6)</f>
        <v>1.1990000000000001E-2</v>
      </c>
      <c r="BK42" s="3457"/>
      <c r="BL42" s="584"/>
      <c r="BM42" s="3458"/>
      <c r="BN42" s="3448"/>
      <c r="BO42" s="3461"/>
      <c r="BP42" s="562">
        <f ca="1">OFFSET(Sector1!$G$483,0,(COLUMN()-8)/6)</f>
        <v>9.8000000000000014E-3</v>
      </c>
      <c r="BQ42" s="3457"/>
      <c r="BR42" s="584"/>
      <c r="BS42" s="3458"/>
      <c r="BT42" s="3448"/>
      <c r="BU42" s="3461"/>
      <c r="BV42" s="562">
        <f ca="1">OFFSET(Sector1!$G$483,0,(COLUMN()-8)/6)</f>
        <v>1.498E-2</v>
      </c>
      <c r="BW42" s="3457"/>
      <c r="BX42" s="584"/>
      <c r="BY42" s="3458"/>
      <c r="BZ42" s="3448"/>
      <c r="CA42" s="3461"/>
      <c r="CB42" s="562">
        <f ca="1">OFFSET(Sector1!$G$483,0,(COLUMN()-8)/6)</f>
        <v>8.8999999999999999E-3</v>
      </c>
      <c r="CC42" s="3457"/>
      <c r="CD42" s="584"/>
      <c r="CE42" s="3458"/>
      <c r="CF42" s="3448"/>
      <c r="CG42" s="3461"/>
      <c r="CH42" s="562">
        <f ca="1">OFFSET(Sector1!$G$483,0,(COLUMN()-8)/6)</f>
        <v>1.8670000000000003E-2</v>
      </c>
      <c r="CI42" s="3457"/>
      <c r="CJ42" s="584"/>
      <c r="CK42" s="3458"/>
      <c r="CL42" s="3448"/>
      <c r="CM42" s="3461"/>
      <c r="CN42" s="562">
        <f ca="1">OFFSET(Sector1!$G$483,0,(COLUMN()-8)/6)</f>
        <v>4.725E-2</v>
      </c>
      <c r="CO42" s="3457"/>
      <c r="CP42" s="584"/>
      <c r="CQ42" s="3458"/>
      <c r="CR42" s="3448"/>
      <c r="CS42" s="3461"/>
      <c r="CT42" s="562">
        <f ca="1">OFFSET(Sector1!$G$483,0,(COLUMN()-8)/6)</f>
        <v>3.1949999999999999E-2</v>
      </c>
      <c r="CU42" s="3457"/>
      <c r="CV42" s="584"/>
      <c r="CW42" s="3458"/>
      <c r="CX42" s="3448"/>
      <c r="CY42" s="3461"/>
      <c r="CZ42" s="562">
        <f ca="1">OFFSET(Sector1!$G$483,0,(COLUMN()-8)/6)</f>
        <v>1.5939999999999999E-2</v>
      </c>
      <c r="DA42" s="3457"/>
      <c r="DB42" s="584"/>
      <c r="DC42" s="3458"/>
      <c r="DD42" s="3448"/>
      <c r="DE42" s="3461"/>
      <c r="DF42" s="562">
        <f ca="1">OFFSET(Sector1!$G$483,0,(COLUMN()-8)/6)</f>
        <v>1.4119999999999999E-2</v>
      </c>
      <c r="DG42" s="3457"/>
      <c r="DH42" s="584"/>
      <c r="DI42" s="3458"/>
      <c r="DJ42" s="3448"/>
      <c r="DK42" s="3461"/>
      <c r="DL42" s="562">
        <f ca="1">OFFSET(Sector1!$G$483,0,(COLUMN()-8)/6)</f>
        <v>1.7410000000000002E-2</v>
      </c>
      <c r="DM42" s="3457"/>
      <c r="DN42" s="584"/>
      <c r="DO42" s="3458"/>
      <c r="DP42" s="3448"/>
      <c r="DQ42" s="3461"/>
      <c r="DR42" s="562">
        <f ca="1">OFFSET(Sector1!$G$483,0,(COLUMN()-8)/6)</f>
        <v>1.5140000000000001E-2</v>
      </c>
      <c r="DS42" s="3457"/>
      <c r="DT42" s="584"/>
      <c r="DU42" s="3458"/>
      <c r="DV42" s="3448"/>
      <c r="DW42" s="3461"/>
      <c r="DX42" s="562">
        <f ca="1">OFFSET(Sector1!$G$483,0,(COLUMN()-8)/6)</f>
        <v>1.763E-2</v>
      </c>
      <c r="DY42" s="3457"/>
      <c r="DZ42" s="584"/>
      <c r="EA42" s="3458"/>
      <c r="EB42" s="3448"/>
      <c r="EC42" s="3461"/>
      <c r="ED42" s="562">
        <f ca="1">OFFSET(Sector1!$G$483,0,(COLUMN()-8)/6)</f>
        <v>1.421E-2</v>
      </c>
      <c r="EE42" s="3457"/>
      <c r="EF42" s="584"/>
      <c r="EG42" s="3458"/>
      <c r="EH42" s="3448"/>
      <c r="EI42" s="3461"/>
      <c r="EJ42" s="562">
        <f ca="1">OFFSET(Sector1!$G$483,0,(COLUMN()-8)/6)</f>
        <v>1.421E-2</v>
      </c>
      <c r="EK42" s="3457"/>
      <c r="EL42" s="584"/>
      <c r="EM42" s="3458"/>
      <c r="EN42" s="3448"/>
      <c r="EO42" s="3461"/>
      <c r="EP42" s="562">
        <f ca="1">OFFSET(Sector1!$G$483,0,(COLUMN()-8)/6)</f>
        <v>1.421E-2</v>
      </c>
      <c r="EQ42" s="3457"/>
      <c r="ER42" s="584"/>
      <c r="ES42" s="3458"/>
      <c r="ET42" s="3448"/>
      <c r="EU42" s="3461"/>
      <c r="EV42" s="562">
        <f ca="1">OFFSET(Sector1!$G$483,0,(COLUMN()-8)/6)</f>
        <v>1.421E-2</v>
      </c>
      <c r="EW42" s="3457"/>
      <c r="EX42" s="584"/>
    </row>
    <row r="43" spans="1:154" s="568" customFormat="1">
      <c r="A43" s="563"/>
      <c r="B43" s="564"/>
      <c r="C43" s="582"/>
      <c r="D43" s="583" t="s">
        <v>2083</v>
      </c>
      <c r="E43" s="3458"/>
      <c r="F43" s="3448"/>
      <c r="G43" s="3461"/>
      <c r="H43" s="562">
        <f ca="1">OFFSET(Sector1!$G$484,0,(COLUMN()-8)/6)</f>
        <v>0</v>
      </c>
      <c r="I43" s="3457"/>
      <c r="J43" s="584"/>
      <c r="K43" s="3458"/>
      <c r="L43" s="3448"/>
      <c r="M43" s="3461"/>
      <c r="N43" s="562">
        <f ca="1">OFFSET(Sector1!$G$484,0,(COLUMN()-8)/6)</f>
        <v>0</v>
      </c>
      <c r="O43" s="3457"/>
      <c r="P43" s="584"/>
      <c r="Q43" s="3458"/>
      <c r="R43" s="3448"/>
      <c r="S43" s="3461"/>
      <c r="T43" s="562">
        <f ca="1">OFFSET(Sector1!$G$484,0,(COLUMN()-8)/6)</f>
        <v>2.2699999999999999E-3</v>
      </c>
      <c r="U43" s="3457"/>
      <c r="V43" s="584"/>
      <c r="W43" s="3458"/>
      <c r="X43" s="3448"/>
      <c r="Y43" s="3461"/>
      <c r="Z43" s="562">
        <f ca="1">OFFSET(Sector1!$G$484,0,(COLUMN()-8)/6)</f>
        <v>2.7000000000000006E-4</v>
      </c>
      <c r="AA43" s="3457"/>
      <c r="AB43" s="584"/>
      <c r="AC43" s="3458"/>
      <c r="AD43" s="3448"/>
      <c r="AE43" s="3461"/>
      <c r="AF43" s="562">
        <f ca="1">OFFSET(Sector1!$G$484,0,(COLUMN()-8)/6)</f>
        <v>1.1270000000000001E-2</v>
      </c>
      <c r="AG43" s="3457"/>
      <c r="AH43" s="584"/>
      <c r="AI43" s="3458"/>
      <c r="AJ43" s="3448"/>
      <c r="AK43" s="3461"/>
      <c r="AL43" s="562">
        <f ca="1">OFFSET(Sector1!$G$484,0,(COLUMN()-8)/6)</f>
        <v>1.0129999999999997E-2</v>
      </c>
      <c r="AM43" s="3457"/>
      <c r="AN43" s="584"/>
      <c r="AO43" s="3458"/>
      <c r="AP43" s="3448"/>
      <c r="AQ43" s="3461"/>
      <c r="AR43" s="562">
        <f ca="1">OFFSET(Sector1!$G$484,0,(COLUMN()-8)/6)</f>
        <v>1.5579999999999997E-2</v>
      </c>
      <c r="AS43" s="3457"/>
      <c r="AT43" s="584"/>
      <c r="AU43" s="3458"/>
      <c r="AV43" s="3448"/>
      <c r="AW43" s="3461"/>
      <c r="AX43" s="562">
        <f ca="1">OFFSET(Sector1!$G$484,0,(COLUMN()-8)/6)</f>
        <v>7.1979999999999988E-2</v>
      </c>
      <c r="AY43" s="3457"/>
      <c r="AZ43" s="584"/>
      <c r="BA43" s="3458"/>
      <c r="BB43" s="3448"/>
      <c r="BC43" s="3461"/>
      <c r="BD43" s="562">
        <f ca="1">OFFSET(Sector1!$G$484,0,(COLUMN()-8)/6)</f>
        <v>6.7400000000000002E-2</v>
      </c>
      <c r="BE43" s="3457"/>
      <c r="BF43" s="584"/>
      <c r="BG43" s="3458"/>
      <c r="BH43" s="3448"/>
      <c r="BI43" s="3461"/>
      <c r="BJ43" s="562">
        <f ca="1">OFFSET(Sector1!$G$484,0,(COLUMN()-8)/6)</f>
        <v>8.3680000000000004E-2</v>
      </c>
      <c r="BK43" s="3457"/>
      <c r="BL43" s="584"/>
      <c r="BM43" s="3458"/>
      <c r="BN43" s="3448"/>
      <c r="BO43" s="3461"/>
      <c r="BP43" s="562">
        <f ca="1">OFFSET(Sector1!$G$484,0,(COLUMN()-8)/6)</f>
        <v>0.16884000000000002</v>
      </c>
      <c r="BQ43" s="3457"/>
      <c r="BR43" s="584"/>
      <c r="BS43" s="3458"/>
      <c r="BT43" s="3448"/>
      <c r="BU43" s="3461"/>
      <c r="BV43" s="562">
        <f ca="1">OFFSET(Sector1!$G$484,0,(COLUMN()-8)/6)</f>
        <v>0.2455</v>
      </c>
      <c r="BW43" s="3457"/>
      <c r="BX43" s="584"/>
      <c r="BY43" s="3458"/>
      <c r="BZ43" s="3448"/>
      <c r="CA43" s="3461"/>
      <c r="CB43" s="562">
        <f ca="1">OFFSET(Sector1!$G$484,0,(COLUMN()-8)/6)</f>
        <v>0.42033000000000004</v>
      </c>
      <c r="CC43" s="3457"/>
      <c r="CD43" s="584"/>
      <c r="CE43" s="3458"/>
      <c r="CF43" s="3448"/>
      <c r="CG43" s="3461"/>
      <c r="CH43" s="562">
        <f ca="1">OFFSET(Sector1!$G$484,0,(COLUMN()-8)/6)</f>
        <v>0.35964000000000007</v>
      </c>
      <c r="CI43" s="3457"/>
      <c r="CJ43" s="584"/>
      <c r="CK43" s="3458"/>
      <c r="CL43" s="3448"/>
      <c r="CM43" s="3461"/>
      <c r="CN43" s="562">
        <f ca="1">OFFSET(Sector1!$G$484,0,(COLUMN()-8)/6)</f>
        <v>0.43989</v>
      </c>
      <c r="CO43" s="3457"/>
      <c r="CP43" s="584"/>
      <c r="CQ43" s="3458"/>
      <c r="CR43" s="3448"/>
      <c r="CS43" s="3461"/>
      <c r="CT43" s="562">
        <f ca="1">OFFSET(Sector1!$G$484,0,(COLUMN()-8)/6)</f>
        <v>0.73855000000000004</v>
      </c>
      <c r="CU43" s="3457"/>
      <c r="CV43" s="584"/>
      <c r="CW43" s="3458"/>
      <c r="CX43" s="3448"/>
      <c r="CY43" s="3461"/>
      <c r="CZ43" s="562">
        <f ca="1">OFFSET(Sector1!$G$484,0,(COLUMN()-8)/6)</f>
        <v>0.70224999999999993</v>
      </c>
      <c r="DA43" s="3457"/>
      <c r="DB43" s="584"/>
      <c r="DC43" s="3458"/>
      <c r="DD43" s="3448"/>
      <c r="DE43" s="3461"/>
      <c r="DF43" s="562">
        <f ca="1">OFFSET(Sector1!$G$484,0,(COLUMN()-8)/6)</f>
        <v>0.64863000000000004</v>
      </c>
      <c r="DG43" s="3457"/>
      <c r="DH43" s="584"/>
      <c r="DI43" s="3458"/>
      <c r="DJ43" s="3448"/>
      <c r="DK43" s="3461"/>
      <c r="DL43" s="562">
        <f ca="1">OFFSET(Sector1!$G$484,0,(COLUMN()-8)/6)</f>
        <v>0.73843999999999999</v>
      </c>
      <c r="DM43" s="3457"/>
      <c r="DN43" s="584"/>
      <c r="DO43" s="3458"/>
      <c r="DP43" s="3448"/>
      <c r="DQ43" s="3461"/>
      <c r="DR43" s="562">
        <f ca="1">OFFSET(Sector1!$G$484,0,(COLUMN()-8)/6)</f>
        <v>1.00678</v>
      </c>
      <c r="DS43" s="3457"/>
      <c r="DT43" s="584"/>
      <c r="DU43" s="3458"/>
      <c r="DV43" s="3448"/>
      <c r="DW43" s="3461"/>
      <c r="DX43" s="562">
        <f ca="1">OFFSET(Sector1!$G$484,0,(COLUMN()-8)/6)</f>
        <v>0.70749999999999991</v>
      </c>
      <c r="DY43" s="3457"/>
      <c r="DZ43" s="584"/>
      <c r="EA43" s="3458"/>
      <c r="EB43" s="3448"/>
      <c r="EC43" s="3461"/>
      <c r="ED43" s="562">
        <f ca="1">OFFSET(Sector1!$G$484,0,(COLUMN()-8)/6)</f>
        <v>0.32628999999999997</v>
      </c>
      <c r="EE43" s="3457"/>
      <c r="EF43" s="584"/>
      <c r="EG43" s="3458"/>
      <c r="EH43" s="3448"/>
      <c r="EI43" s="3461"/>
      <c r="EJ43" s="562">
        <f ca="1">OFFSET(Sector1!$G$484,0,(COLUMN()-8)/6)</f>
        <v>0.31976419999999994</v>
      </c>
      <c r="EK43" s="3457"/>
      <c r="EL43" s="584"/>
      <c r="EM43" s="3458"/>
      <c r="EN43" s="3448"/>
      <c r="EO43" s="3461"/>
      <c r="EP43" s="562">
        <f ca="1">OFFSET(Sector1!$G$484,0,(COLUMN()-8)/6)</f>
        <v>0.3709264719999999</v>
      </c>
      <c r="EQ43" s="3457"/>
      <c r="ER43" s="584"/>
      <c r="ES43" s="3458"/>
      <c r="ET43" s="3448"/>
      <c r="EU43" s="3461"/>
      <c r="EV43" s="562">
        <f ca="1">OFFSET(Sector1!$G$484,0,(COLUMN()-8)/6)</f>
        <v>0.37834500143999988</v>
      </c>
      <c r="EW43" s="3457"/>
      <c r="EX43" s="584"/>
    </row>
    <row r="44" spans="1:154" s="568" customFormat="1" ht="13.5" thickBot="1">
      <c r="A44" s="563"/>
      <c r="B44" s="564"/>
      <c r="C44" s="582"/>
      <c r="D44" s="583" t="s">
        <v>374</v>
      </c>
      <c r="E44" s="3458"/>
      <c r="F44" s="3448"/>
      <c r="G44" s="3461"/>
      <c r="H44" s="569">
        <f ca="1">OFFSET(Sector1!$G$486,0,(COLUMN()-8)/6)</f>
        <v>9.6120000000000011E-2</v>
      </c>
      <c r="I44" s="3457"/>
      <c r="J44" s="584"/>
      <c r="K44" s="3458"/>
      <c r="L44" s="3448"/>
      <c r="M44" s="3461"/>
      <c r="N44" s="569">
        <f ca="1">OFFSET(Sector1!$G$486,0,(COLUMN()-8)/6)</f>
        <v>0.24603</v>
      </c>
      <c r="O44" s="3457"/>
      <c r="P44" s="584"/>
      <c r="Q44" s="3458"/>
      <c r="R44" s="3448"/>
      <c r="S44" s="3461"/>
      <c r="T44" s="569">
        <f ca="1">OFFSET(Sector1!$G$486,0,(COLUMN()-8)/6)</f>
        <v>1.50024</v>
      </c>
      <c r="U44" s="3457"/>
      <c r="V44" s="584"/>
      <c r="W44" s="3458"/>
      <c r="X44" s="3448"/>
      <c r="Y44" s="3461"/>
      <c r="Z44" s="569">
        <f ca="1">OFFSET(Sector1!$G$486,0,(COLUMN()-8)/6)</f>
        <v>0.15225</v>
      </c>
      <c r="AA44" s="3457"/>
      <c r="AB44" s="584"/>
      <c r="AC44" s="3458"/>
      <c r="AD44" s="3448"/>
      <c r="AE44" s="3461"/>
      <c r="AF44" s="569">
        <f ca="1">OFFSET(Sector1!$G$486,0,(COLUMN()-8)/6)</f>
        <v>0.12124</v>
      </c>
      <c r="AG44" s="3457"/>
      <c r="AH44" s="584"/>
      <c r="AI44" s="3458"/>
      <c r="AJ44" s="3448"/>
      <c r="AK44" s="3461"/>
      <c r="AL44" s="569">
        <f ca="1">OFFSET(Sector1!$G$486,0,(COLUMN()-8)/6)</f>
        <v>0.29037000000000002</v>
      </c>
      <c r="AM44" s="3457"/>
      <c r="AN44" s="584"/>
      <c r="AO44" s="3458"/>
      <c r="AP44" s="3448"/>
      <c r="AQ44" s="3461"/>
      <c r="AR44" s="569">
        <f ca="1">OFFSET(Sector1!$G$486,0,(COLUMN()-8)/6)</f>
        <v>0.25951000000000002</v>
      </c>
      <c r="AS44" s="3457"/>
      <c r="AT44" s="584"/>
      <c r="AU44" s="3458"/>
      <c r="AV44" s="3448"/>
      <c r="AW44" s="3461"/>
      <c r="AX44" s="569">
        <f ca="1">OFFSET(Sector1!$G$486,0,(COLUMN()-8)/6)</f>
        <v>0.13302</v>
      </c>
      <c r="AY44" s="3457"/>
      <c r="AZ44" s="584"/>
      <c r="BA44" s="3458"/>
      <c r="BB44" s="3448"/>
      <c r="BC44" s="3461"/>
      <c r="BD44" s="569">
        <f ca="1">OFFSET(Sector1!$G$486,0,(COLUMN()-8)/6)</f>
        <v>7.1790000000000007E-2</v>
      </c>
      <c r="BE44" s="3457"/>
      <c r="BF44" s="584"/>
      <c r="BG44" s="3458"/>
      <c r="BH44" s="3448"/>
      <c r="BI44" s="3461"/>
      <c r="BJ44" s="569">
        <f ca="1">OFFSET(Sector1!$G$486,0,(COLUMN()-8)/6)</f>
        <v>0.10396</v>
      </c>
      <c r="BK44" s="3457"/>
      <c r="BL44" s="584"/>
      <c r="BM44" s="3458"/>
      <c r="BN44" s="3448"/>
      <c r="BO44" s="3461"/>
      <c r="BP44" s="569">
        <f ca="1">OFFSET(Sector1!$G$486,0,(COLUMN()-8)/6)</f>
        <v>8.3019999999999997E-2</v>
      </c>
      <c r="BQ44" s="3457"/>
      <c r="BR44" s="584"/>
      <c r="BS44" s="3458"/>
      <c r="BT44" s="3448"/>
      <c r="BU44" s="3461"/>
      <c r="BV44" s="569">
        <f ca="1">OFFSET(Sector1!$G$486,0,(COLUMN()-8)/6)</f>
        <v>9.5530000000000004E-2</v>
      </c>
      <c r="BW44" s="3457"/>
      <c r="BX44" s="584"/>
      <c r="BY44" s="3458"/>
      <c r="BZ44" s="3448"/>
      <c r="CA44" s="3461"/>
      <c r="CB44" s="569">
        <f ca="1">OFFSET(Sector1!$G$486,0,(COLUMN()-8)/6)</f>
        <v>0.25720999999999999</v>
      </c>
      <c r="CC44" s="3457"/>
      <c r="CD44" s="584"/>
      <c r="CE44" s="3458"/>
      <c r="CF44" s="3448"/>
      <c r="CG44" s="3461"/>
      <c r="CH44" s="569">
        <f ca="1">OFFSET(Sector1!$G$486,0,(COLUMN()-8)/6)</f>
        <v>0.12953000000000001</v>
      </c>
      <c r="CI44" s="3457"/>
      <c r="CJ44" s="584"/>
      <c r="CK44" s="3458"/>
      <c r="CL44" s="3448"/>
      <c r="CM44" s="3461"/>
      <c r="CN44" s="569">
        <f ca="1">OFFSET(Sector1!$G$486,0,(COLUMN()-8)/6)</f>
        <v>0.11079</v>
      </c>
      <c r="CO44" s="3457"/>
      <c r="CP44" s="584"/>
      <c r="CQ44" s="3458"/>
      <c r="CR44" s="3448"/>
      <c r="CS44" s="3461"/>
      <c r="CT44" s="569">
        <f ca="1">OFFSET(Sector1!$G$486,0,(COLUMN()-8)/6)</f>
        <v>0.12154999999999999</v>
      </c>
      <c r="CU44" s="3457"/>
      <c r="CV44" s="584"/>
      <c r="CW44" s="3458"/>
      <c r="CX44" s="3448"/>
      <c r="CY44" s="3461"/>
      <c r="CZ44" s="569">
        <f ca="1">OFFSET(Sector1!$G$486,0,(COLUMN()-8)/6)</f>
        <v>1.3936600000000001</v>
      </c>
      <c r="DA44" s="3457"/>
      <c r="DB44" s="584"/>
      <c r="DC44" s="3458"/>
      <c r="DD44" s="3448"/>
      <c r="DE44" s="3461"/>
      <c r="DF44" s="569">
        <f ca="1">OFFSET(Sector1!$G$486,0,(COLUMN()-8)/6)</f>
        <v>9.1180000000000011E-2</v>
      </c>
      <c r="DG44" s="3457"/>
      <c r="DH44" s="584"/>
      <c r="DI44" s="3458"/>
      <c r="DJ44" s="3448"/>
      <c r="DK44" s="3461"/>
      <c r="DL44" s="569">
        <f ca="1">OFFSET(Sector1!$G$486,0,(COLUMN()-8)/6)</f>
        <v>0.45080000000000003</v>
      </c>
      <c r="DM44" s="3457"/>
      <c r="DN44" s="584"/>
      <c r="DO44" s="3458"/>
      <c r="DP44" s="3448"/>
      <c r="DQ44" s="3461"/>
      <c r="DR44" s="569">
        <f ca="1">OFFSET(Sector1!$G$486,0,(COLUMN()-8)/6)</f>
        <v>0.50519000000000003</v>
      </c>
      <c r="DS44" s="3457"/>
      <c r="DT44" s="584"/>
      <c r="DU44" s="3458"/>
      <c r="DV44" s="3448"/>
      <c r="DW44" s="3461"/>
      <c r="DX44" s="569">
        <f ca="1">OFFSET(Sector1!$G$486,0,(COLUMN()-8)/6)</f>
        <v>0.26716000000000001</v>
      </c>
      <c r="DY44" s="3457"/>
      <c r="DZ44" s="584"/>
      <c r="EA44" s="3458"/>
      <c r="EB44" s="3448"/>
      <c r="EC44" s="3461"/>
      <c r="ED44" s="569">
        <f ca="1">OFFSET(Sector1!$G$486,0,(COLUMN()-8)/6)</f>
        <v>0.18389</v>
      </c>
      <c r="EE44" s="3457"/>
      <c r="EF44" s="584"/>
      <c r="EG44" s="3458"/>
      <c r="EH44" s="3448"/>
      <c r="EI44" s="3461"/>
      <c r="EJ44" s="569">
        <f ca="1">OFFSET(Sector1!$G$486,0,(COLUMN()-8)/6)</f>
        <v>0.26480159999999997</v>
      </c>
      <c r="EK44" s="3457"/>
      <c r="EL44" s="584"/>
      <c r="EM44" s="3458"/>
      <c r="EN44" s="3448"/>
      <c r="EO44" s="3461"/>
      <c r="EP44" s="569">
        <f ca="1">OFFSET(Sector1!$G$486,0,(COLUMN()-8)/6)</f>
        <v>0.19065715199999997</v>
      </c>
      <c r="EQ44" s="3457"/>
      <c r="ER44" s="584"/>
      <c r="ES44" s="3458"/>
      <c r="ET44" s="3448"/>
      <c r="EU44" s="3461"/>
      <c r="EV44" s="569">
        <f ca="1">OFFSET(Sector1!$G$486,0,(COLUMN()-8)/6)</f>
        <v>0.19065715199999997</v>
      </c>
      <c r="EW44" s="3457"/>
      <c r="EX44" s="584"/>
    </row>
    <row r="45" spans="1:154" ht="12.75" customHeight="1">
      <c r="A45" s="553"/>
      <c r="B45" s="600" t="s">
        <v>401</v>
      </c>
      <c r="C45" s="3779" t="s">
        <v>375</v>
      </c>
      <c r="D45" s="3780"/>
      <c r="E45" s="3458">
        <f ca="1">+F45+G45+H45</f>
        <v>0</v>
      </c>
      <c r="F45" s="3449">
        <f ca="1">OFFSET(Sector1!$G$519,0,(COLUMN()-6)/6)</f>
        <v>0</v>
      </c>
      <c r="G45" s="3449">
        <f ca="1">OFFSET(Sector1!$G$520,0,(COLUMN()-7)/6)</f>
        <v>0</v>
      </c>
      <c r="H45" s="3449">
        <f ca="1">OFFSET(Sector1!$G$521,0,(COLUMN()-8)/6)</f>
        <v>0</v>
      </c>
      <c r="I45" s="3449" t="e">
        <f ca="1">OFFSET(Sector1!$G$522,0,(COLUMN()-9)/6)</f>
        <v>#VALUE!</v>
      </c>
      <c r="J45" s="586" t="e">
        <f ca="1">+E45+I45</f>
        <v>#VALUE!</v>
      </c>
      <c r="K45" s="3458">
        <f ca="1">+L45+M45+N45</f>
        <v>0</v>
      </c>
      <c r="L45" s="3449">
        <f ca="1">OFFSET(Sector1!$G$519,0,(COLUMN()-6)/6)</f>
        <v>0</v>
      </c>
      <c r="M45" s="3449">
        <f ca="1">OFFSET(Sector1!$G$520,0,(COLUMN()-7)/6)</f>
        <v>0</v>
      </c>
      <c r="N45" s="3449">
        <f ca="1">OFFSET(Sector1!$G$521,0,(COLUMN()-8)/6)</f>
        <v>0</v>
      </c>
      <c r="O45" s="3449" t="e">
        <f ca="1">OFFSET(Sector1!$G$522,0,(COLUMN()-9)/6)</f>
        <v>#VALUE!</v>
      </c>
      <c r="P45" s="586" t="e">
        <f ca="1">+K45+O45</f>
        <v>#VALUE!</v>
      </c>
      <c r="Q45" s="3458">
        <f ca="1">+R45+S45+T45</f>
        <v>0</v>
      </c>
      <c r="R45" s="3449">
        <f ca="1">OFFSET(Sector1!$G$519,0,(COLUMN()-6)/6)</f>
        <v>-6.4200000000000004E-3</v>
      </c>
      <c r="S45" s="3449">
        <f ca="1">OFFSET(Sector1!$G$520,0,(COLUMN()-7)/6)</f>
        <v>6.4200000000000004E-3</v>
      </c>
      <c r="T45" s="3449">
        <f ca="1">OFFSET(Sector1!$G$521,0,(COLUMN()-8)/6)</f>
        <v>0</v>
      </c>
      <c r="U45" s="3449" t="e">
        <f ca="1">OFFSET(Sector1!$G$522,0,(COLUMN()-9)/6)</f>
        <v>#VALUE!</v>
      </c>
      <c r="V45" s="586" t="e">
        <f ca="1">+Q45+U45</f>
        <v>#VALUE!</v>
      </c>
      <c r="W45" s="3458">
        <f ca="1">+X45+Y45+Z45</f>
        <v>0</v>
      </c>
      <c r="X45" s="3449">
        <f ca="1">OFFSET(Sector1!$G$519,0,(COLUMN()-6)/6)</f>
        <v>-1.0400000000000001E-3</v>
      </c>
      <c r="Y45" s="3449">
        <f ca="1">OFFSET(Sector1!$G$520,0,(COLUMN()-7)/6)</f>
        <v>1.3600000000000001E-3</v>
      </c>
      <c r="Z45" s="3449">
        <f ca="1">OFFSET(Sector1!$G$521,0,(COLUMN()-8)/6)</f>
        <v>-3.2000000000000003E-4</v>
      </c>
      <c r="AA45" s="3449" t="e">
        <f ca="1">OFFSET(Sector1!$G$522,0,(COLUMN()-9)/6)</f>
        <v>#VALUE!</v>
      </c>
      <c r="AB45" s="586" t="e">
        <f ca="1">+W45+AA45</f>
        <v>#VALUE!</v>
      </c>
      <c r="AC45" s="3458">
        <f ca="1">+AD45+AE45+AF45</f>
        <v>0</v>
      </c>
      <c r="AD45" s="3449">
        <f ca="1">OFFSET(Sector1!$G$519,0,(COLUMN()-6)/6)</f>
        <v>-3.0099999999999997E-3</v>
      </c>
      <c r="AE45" s="3449">
        <f ca="1">OFFSET(Sector1!$G$520,0,(COLUMN()-7)/6)</f>
        <v>4.2699999999999995E-3</v>
      </c>
      <c r="AF45" s="3449">
        <f ca="1">OFFSET(Sector1!$G$521,0,(COLUMN()-8)/6)</f>
        <v>-1.2600000000000001E-3</v>
      </c>
      <c r="AG45" s="3449" t="e">
        <f ca="1">OFFSET(Sector1!$G$522,0,(COLUMN()-9)/6)</f>
        <v>#VALUE!</v>
      </c>
      <c r="AH45" s="586" t="e">
        <f ca="1">+AC45+AG45</f>
        <v>#VALUE!</v>
      </c>
      <c r="AI45" s="3458">
        <f ca="1">+AJ45+AK45+AL45</f>
        <v>0</v>
      </c>
      <c r="AJ45" s="3449">
        <f ca="1">OFFSET(Sector1!$G$519,0,(COLUMN()-6)/6)</f>
        <v>-1.6600000000000002E-3</v>
      </c>
      <c r="AK45" s="3449">
        <f ca="1">OFFSET(Sector1!$G$520,0,(COLUMN()-7)/6)</f>
        <v>6.5300000000000002E-3</v>
      </c>
      <c r="AL45" s="3449">
        <f ca="1">OFFSET(Sector1!$G$521,0,(COLUMN()-8)/6)</f>
        <v>-4.8700000000000002E-3</v>
      </c>
      <c r="AM45" s="3449" t="e">
        <f ca="1">OFFSET(Sector1!$G$522,0,(COLUMN()-9)/6)</f>
        <v>#VALUE!</v>
      </c>
      <c r="AN45" s="586" t="e">
        <f ca="1">+AI45+AM45</f>
        <v>#VALUE!</v>
      </c>
      <c r="AO45" s="3458">
        <f ca="1">+AP45+AQ45+AR45</f>
        <v>0</v>
      </c>
      <c r="AP45" s="3449">
        <f ca="1">OFFSET(Sector1!$G$519,0,(COLUMN()-6)/6)</f>
        <v>-1.439E-2</v>
      </c>
      <c r="AQ45" s="3449">
        <f ca="1">OFFSET(Sector1!$G$520,0,(COLUMN()-7)/6)</f>
        <v>1.7149999999999999E-2</v>
      </c>
      <c r="AR45" s="3449">
        <f ca="1">OFFSET(Sector1!$G$521,0,(COLUMN()-8)/6)</f>
        <v>-2.7599999999999999E-3</v>
      </c>
      <c r="AS45" s="3449" t="e">
        <f ca="1">OFFSET(Sector1!$G$522,0,(COLUMN()-9)/6)</f>
        <v>#VALUE!</v>
      </c>
      <c r="AT45" s="586" t="e">
        <f ca="1">+AO45+AS45</f>
        <v>#VALUE!</v>
      </c>
      <c r="AU45" s="3458">
        <f ca="1">+AV45+AW45+AX45</f>
        <v>0</v>
      </c>
      <c r="AV45" s="3449">
        <f ca="1">OFFSET(Sector1!$G$519,0,(COLUMN()-6)/6)</f>
        <v>-1.6190000000000003E-2</v>
      </c>
      <c r="AW45" s="3449">
        <f ca="1">OFFSET(Sector1!$G$520,0,(COLUMN()-7)/6)</f>
        <v>1.9890000000000001E-2</v>
      </c>
      <c r="AX45" s="3449">
        <f ca="1">OFFSET(Sector1!$G$521,0,(COLUMN()-8)/6)</f>
        <v>-3.7000000000000002E-3</v>
      </c>
      <c r="AY45" s="3449" t="e">
        <f ca="1">OFFSET(Sector1!$G$522,0,(COLUMN()-9)/6)</f>
        <v>#VALUE!</v>
      </c>
      <c r="AZ45" s="586" t="e">
        <f ca="1">+AU45+AY45</f>
        <v>#VALUE!</v>
      </c>
      <c r="BA45" s="3458">
        <f ca="1">+BB45+BC45+BD45</f>
        <v>0</v>
      </c>
      <c r="BB45" s="3449">
        <f ca="1">OFFSET(Sector1!$G$519,0,(COLUMN()-6)/6)</f>
        <v>-1.6879999999999999E-2</v>
      </c>
      <c r="BC45" s="3449">
        <f ca="1">OFFSET(Sector1!$G$520,0,(COLUMN()-7)/6)</f>
        <v>2.3649999999999997E-2</v>
      </c>
      <c r="BD45" s="3449">
        <f ca="1">OFFSET(Sector1!$G$521,0,(COLUMN()-8)/6)</f>
        <v>-6.77E-3</v>
      </c>
      <c r="BE45" s="3449" t="e">
        <f ca="1">OFFSET(Sector1!$G$522,0,(COLUMN()-9)/6)</f>
        <v>#VALUE!</v>
      </c>
      <c r="BF45" s="586" t="e">
        <f ca="1">+BA45+BE45</f>
        <v>#VALUE!</v>
      </c>
      <c r="BG45" s="3458">
        <f ca="1">+BH45+BI45+BJ45</f>
        <v>0</v>
      </c>
      <c r="BH45" s="3449">
        <f ca="1">OFFSET(Sector1!$G$519,0,(COLUMN()-6)/6)</f>
        <v>-4.5679999999999998E-2</v>
      </c>
      <c r="BI45" s="3449">
        <f ca="1">OFFSET(Sector1!$G$520,0,(COLUMN()-7)/6)</f>
        <v>6.8229999999999999E-2</v>
      </c>
      <c r="BJ45" s="3449">
        <f ca="1">OFFSET(Sector1!$G$521,0,(COLUMN()-8)/6)</f>
        <v>-2.2550000000000001E-2</v>
      </c>
      <c r="BK45" s="3449" t="e">
        <f ca="1">OFFSET(Sector1!$G$522,0,(COLUMN()-9)/6)</f>
        <v>#VALUE!</v>
      </c>
      <c r="BL45" s="586" t="e">
        <f ca="1">+BG45+BK45</f>
        <v>#VALUE!</v>
      </c>
      <c r="BM45" s="3458">
        <f ca="1">+BN45+BO45+BP45</f>
        <v>0</v>
      </c>
      <c r="BN45" s="3449">
        <f ca="1">OFFSET(Sector1!$G$519,0,(COLUMN()-6)/6)</f>
        <v>-0.14876</v>
      </c>
      <c r="BO45" s="3449">
        <f ca="1">OFFSET(Sector1!$G$520,0,(COLUMN()-7)/6)</f>
        <v>0.18268000000000001</v>
      </c>
      <c r="BP45" s="3449">
        <f ca="1">OFFSET(Sector1!$G$521,0,(COLUMN()-8)/6)</f>
        <v>-3.3919999999999999E-2</v>
      </c>
      <c r="BQ45" s="3449" t="e">
        <f ca="1">OFFSET(Sector1!$G$522,0,(COLUMN()-9)/6)</f>
        <v>#VALUE!</v>
      </c>
      <c r="BR45" s="586" t="e">
        <f ca="1">+BM45+BQ45</f>
        <v>#VALUE!</v>
      </c>
      <c r="BS45" s="3458">
        <f ca="1">+BT45+BU45+BV45</f>
        <v>9.9999999999753064E-6</v>
      </c>
      <c r="BT45" s="3449">
        <f ca="1">OFFSET(Sector1!$G$519,0,(COLUMN()-6)/6)</f>
        <v>-0.22446000000000002</v>
      </c>
      <c r="BU45" s="3449">
        <f ca="1">OFFSET(Sector1!$G$520,0,(COLUMN()-7)/6)</f>
        <v>0.26053999999999999</v>
      </c>
      <c r="BV45" s="3449">
        <f ca="1">OFFSET(Sector1!$G$521,0,(COLUMN()-8)/6)</f>
        <v>-3.6069999999999998E-2</v>
      </c>
      <c r="BW45" s="3449" t="e">
        <f ca="1">OFFSET(Sector1!$G$522,0,(COLUMN()-9)/6)</f>
        <v>#VALUE!</v>
      </c>
      <c r="BX45" s="586" t="e">
        <f ca="1">+BS45+BW45</f>
        <v>#VALUE!</v>
      </c>
      <c r="BY45" s="3458">
        <f ca="1">+BZ45+CA45+CB45</f>
        <v>-1.0000000000044695E-5</v>
      </c>
      <c r="BZ45" s="3449">
        <f ca="1">OFFSET(Sector1!$G$519,0,(COLUMN()-6)/6)</f>
        <v>-0.38224000000000002</v>
      </c>
      <c r="CA45" s="3449">
        <f ca="1">OFFSET(Sector1!$G$520,0,(COLUMN()-7)/6)</f>
        <v>0.40805999999999998</v>
      </c>
      <c r="CB45" s="3449">
        <f ca="1">OFFSET(Sector1!$G$521,0,(COLUMN()-8)/6)</f>
        <v>-2.5829999999999999E-2</v>
      </c>
      <c r="CC45" s="3449" t="e">
        <f ca="1">OFFSET(Sector1!$G$522,0,(COLUMN()-9)/6)</f>
        <v>#VALUE!</v>
      </c>
      <c r="CD45" s="586" t="e">
        <f ca="1">+BY45+CC45</f>
        <v>#VALUE!</v>
      </c>
      <c r="CE45" s="3458">
        <f ca="1">+CF45+CG45+CH45</f>
        <v>0</v>
      </c>
      <c r="CF45" s="3449">
        <f ca="1">OFFSET(Sector1!$G$519,0,(COLUMN()-6)/6)</f>
        <v>-0.16441999999999998</v>
      </c>
      <c r="CG45" s="3449">
        <f ca="1">OFFSET(Sector1!$G$520,0,(COLUMN()-7)/6)</f>
        <v>0.16866999999999999</v>
      </c>
      <c r="CH45" s="3449">
        <f ca="1">OFFSET(Sector1!$G$521,0,(COLUMN()-8)/6)</f>
        <v>-4.2500000000000003E-3</v>
      </c>
      <c r="CI45" s="3449">
        <f ca="1">OFFSET(Sector1!$G$522,0,(COLUMN()-9)/6)</f>
        <v>0</v>
      </c>
      <c r="CJ45" s="586">
        <f ca="1">+CE45+CI45</f>
        <v>0</v>
      </c>
      <c r="CK45" s="3458">
        <f ca="1">+CL45+CM45+CN45</f>
        <v>0</v>
      </c>
      <c r="CL45" s="3449">
        <f ca="1">OFFSET(Sector1!$G$519,0,(COLUMN()-6)/6)</f>
        <v>2.172E-2</v>
      </c>
      <c r="CM45" s="3449">
        <f ca="1">OFFSET(Sector1!$G$520,0,(COLUMN()-7)/6)</f>
        <v>-2.4570000000000002E-2</v>
      </c>
      <c r="CN45" s="3449">
        <f ca="1">OFFSET(Sector1!$G$521,0,(COLUMN()-8)/6)</f>
        <v>2.8500000000000001E-3</v>
      </c>
      <c r="CO45" s="3449">
        <f ca="1">OFFSET(Sector1!$G$522,0,(COLUMN()-9)/6)</f>
        <v>0</v>
      </c>
      <c r="CP45" s="586">
        <f ca="1">+CK45+CO45</f>
        <v>0</v>
      </c>
      <c r="CQ45" s="3458">
        <f ca="1">+CR45+CS45+CT45</f>
        <v>9.9999999999995925E-6</v>
      </c>
      <c r="CR45" s="3449">
        <f ca="1">OFFSET(Sector1!$G$519,0,(COLUMN()-6)/6)</f>
        <v>3.7149999999999996E-2</v>
      </c>
      <c r="CS45" s="3449">
        <f ca="1">OFFSET(Sector1!$G$520,0,(COLUMN()-7)/6)</f>
        <v>-1.6739999999999998E-2</v>
      </c>
      <c r="CT45" s="3449">
        <f ca="1">OFFSET(Sector1!$G$521,0,(COLUMN()-8)/6)</f>
        <v>-2.0399999999999998E-2</v>
      </c>
      <c r="CU45" s="3449">
        <f ca="1">OFFSET(Sector1!$G$522,0,(COLUMN()-9)/6)</f>
        <v>-9.9999999999995925E-6</v>
      </c>
      <c r="CV45" s="586">
        <f ca="1">+CQ45+CU45</f>
        <v>0</v>
      </c>
      <c r="CW45" s="3458">
        <f ca="1">+CX45+CY45+CZ45</f>
        <v>0</v>
      </c>
      <c r="CX45" s="3449">
        <f ca="1">OFFSET(Sector1!$G$519,0,(COLUMN()-6)/6)</f>
        <v>-2.291E-2</v>
      </c>
      <c r="CY45" s="3449">
        <f ca="1">OFFSET(Sector1!$G$520,0,(COLUMN()-7)/6)</f>
        <v>0.12236</v>
      </c>
      <c r="CZ45" s="3449">
        <f ca="1">OFFSET(Sector1!$G$521,0,(COLUMN()-8)/6)</f>
        <v>-9.9449999999999997E-2</v>
      </c>
      <c r="DA45" s="3449">
        <f ca="1">OFFSET(Sector1!$G$522,0,(COLUMN()-9)/6)</f>
        <v>0</v>
      </c>
      <c r="DB45" s="586">
        <f ca="1">+CW45+DA45</f>
        <v>0</v>
      </c>
      <c r="DC45" s="3458">
        <f ca="1">+DD45+DE45+DF45</f>
        <v>-9.9999999999961231E-6</v>
      </c>
      <c r="DD45" s="3449">
        <f ca="1">OFFSET(Sector1!$G$519,0,(COLUMN()-6)/6)</f>
        <v>-4.2200000000000001E-2</v>
      </c>
      <c r="DE45" s="3449">
        <f ca="1">OFFSET(Sector1!$G$520,0,(COLUMN()-7)/6)</f>
        <v>0.1183</v>
      </c>
      <c r="DF45" s="3449">
        <f ca="1">OFFSET(Sector1!$G$521,0,(COLUMN()-8)/6)</f>
        <v>-7.6109999999999997E-2</v>
      </c>
      <c r="DG45" s="3449">
        <f ca="1">OFFSET(Sector1!$G$522,0,(COLUMN()-9)/6)</f>
        <v>9.9999999999961231E-6</v>
      </c>
      <c r="DH45" s="586">
        <f ca="1">+DC45+DG45</f>
        <v>0</v>
      </c>
      <c r="DI45" s="3458">
        <f ca="1">+DJ45+DK45+DL45</f>
        <v>0</v>
      </c>
      <c r="DJ45" s="3449">
        <f ca="1">OFFSET(Sector1!$G$519,0,(COLUMN()-6)/6)</f>
        <v>2.3190000000000002E-2</v>
      </c>
      <c r="DK45" s="3449">
        <f ca="1">OFFSET(Sector1!$G$520,0,(COLUMN()-7)/6)</f>
        <v>9.484999999999999E-2</v>
      </c>
      <c r="DL45" s="3449">
        <f ca="1">OFFSET(Sector1!$G$521,0,(COLUMN()-8)/6)</f>
        <v>-0.11804000000000001</v>
      </c>
      <c r="DM45" s="3449">
        <f ca="1">OFFSET(Sector1!$G$522,0,(COLUMN()-9)/6)</f>
        <v>0</v>
      </c>
      <c r="DN45" s="586">
        <f ca="1">+DI45+DM45</f>
        <v>0</v>
      </c>
      <c r="DO45" s="3458">
        <f ca="1">+DP45+DQ45+DR45</f>
        <v>9.9999999999961231E-6</v>
      </c>
      <c r="DP45" s="3449">
        <f ca="1">OFFSET(Sector1!$G$519,0,(COLUMN()-6)/6)</f>
        <v>4.1369999999999997E-2</v>
      </c>
      <c r="DQ45" s="3449">
        <f ca="1">OFFSET(Sector1!$G$520,0,(COLUMN()-7)/6)</f>
        <v>3.7079999999999995E-2</v>
      </c>
      <c r="DR45" s="3449">
        <f ca="1">OFFSET(Sector1!$G$521,0,(COLUMN()-8)/6)</f>
        <v>-7.8439999999999996E-2</v>
      </c>
      <c r="DS45" s="3449">
        <f ca="1">OFFSET(Sector1!$G$522,0,(COLUMN()-9)/6)</f>
        <v>-9.9999999999961231E-6</v>
      </c>
      <c r="DT45" s="586">
        <f ca="1">+DO45+DS45</f>
        <v>0</v>
      </c>
      <c r="DU45" s="3458">
        <f ca="1">+DV45+DW45+DX45</f>
        <v>0</v>
      </c>
      <c r="DV45" s="3449">
        <f ca="1">OFFSET(Sector1!$G$519,0,(COLUMN()-6)/6)</f>
        <v>-3.4590000000000003E-2</v>
      </c>
      <c r="DW45" s="3449">
        <f ca="1">OFFSET(Sector1!$G$520,0,(COLUMN()-7)/6)</f>
        <v>8.6230000000000001E-2</v>
      </c>
      <c r="DX45" s="3449">
        <f ca="1">OFFSET(Sector1!$G$521,0,(COLUMN()-8)/6)</f>
        <v>-5.1639999999999998E-2</v>
      </c>
      <c r="DY45" s="3449">
        <f ca="1">OFFSET(Sector1!$G$522,0,(COLUMN()-9)/6)</f>
        <v>0</v>
      </c>
      <c r="DZ45" s="586">
        <f ca="1">+DU45+DY45</f>
        <v>0</v>
      </c>
      <c r="EA45" s="3458">
        <f ca="1">+EB45+EC45+ED45</f>
        <v>0</v>
      </c>
      <c r="EB45" s="3449">
        <f ca="1">OFFSET(Sector1!$G$519,0,(COLUMN()-6)/6)</f>
        <v>-7.7609999999999998E-2</v>
      </c>
      <c r="EC45" s="3449">
        <f ca="1">OFFSET(Sector1!$G$520,0,(COLUMN()-7)/6)</f>
        <v>0.10553</v>
      </c>
      <c r="ED45" s="3449">
        <f ca="1">OFFSET(Sector1!$G$521,0,(COLUMN()-8)/6)</f>
        <v>-2.792E-2</v>
      </c>
      <c r="EE45" s="3449">
        <f ca="1">OFFSET(Sector1!$G$522,0,(COLUMN()-9)/6)</f>
        <v>0</v>
      </c>
      <c r="EF45" s="586">
        <f ca="1">+EA45+EE45</f>
        <v>0</v>
      </c>
      <c r="EG45" s="3458">
        <f ca="1">+EH45+EI45+EJ45</f>
        <v>2.792E-2</v>
      </c>
      <c r="EH45" s="3449">
        <f ca="1">OFFSET(Sector1!$G$519,0,(COLUMN()-6)/6)</f>
        <v>-7.7609999999999998E-2</v>
      </c>
      <c r="EI45" s="3449">
        <f ca="1">OFFSET(Sector1!$G$520,0,(COLUMN()-7)/6)</f>
        <v>0.10553</v>
      </c>
      <c r="EJ45" s="3449">
        <f ca="1">OFFSET(Sector1!$G$521,0,(COLUMN()-8)/6)</f>
        <v>0</v>
      </c>
      <c r="EK45" s="3449">
        <f ca="1">OFFSET(Sector1!$G$522,0,(COLUMN()-9)/6)</f>
        <v>-2.792E-2</v>
      </c>
      <c r="EL45" s="586">
        <f ca="1">+EG45+EK45</f>
        <v>0</v>
      </c>
      <c r="EM45" s="3458">
        <f ca="1">+EN45+EO45+EP45</f>
        <v>2.792E-2</v>
      </c>
      <c r="EN45" s="3449">
        <f ca="1">OFFSET(Sector1!$G$519,0,(COLUMN()-6)/6)</f>
        <v>-7.7609999999999998E-2</v>
      </c>
      <c r="EO45" s="3449">
        <f ca="1">OFFSET(Sector1!$G$520,0,(COLUMN()-7)/6)</f>
        <v>0.10553</v>
      </c>
      <c r="EP45" s="3449">
        <f ca="1">OFFSET(Sector1!$G$521,0,(COLUMN()-8)/6)</f>
        <v>0</v>
      </c>
      <c r="EQ45" s="3449">
        <f ca="1">OFFSET(Sector1!$G$522,0,(COLUMN()-9)/6)</f>
        <v>-2.792E-2</v>
      </c>
      <c r="ER45" s="586">
        <f ca="1">+EM45+EQ45</f>
        <v>0</v>
      </c>
      <c r="ES45" s="3458">
        <f ca="1">+ET45+EU45+EV45</f>
        <v>2.792E-2</v>
      </c>
      <c r="ET45" s="3449">
        <f ca="1">OFFSET(Sector1!$G$519,0,(COLUMN()-6)/6)</f>
        <v>-7.7609999999999998E-2</v>
      </c>
      <c r="EU45" s="3449">
        <f ca="1">OFFSET(Sector1!$G$520,0,(COLUMN()-7)/6)</f>
        <v>0.10553</v>
      </c>
      <c r="EV45" s="3449">
        <f ca="1">OFFSET(Sector1!$G$521,0,(COLUMN()-8)/6)</f>
        <v>0</v>
      </c>
      <c r="EW45" s="3449">
        <f ca="1">OFFSET(Sector1!$G$522,0,(COLUMN()-9)/6)</f>
        <v>-2.792E-2</v>
      </c>
      <c r="EX45" s="586">
        <f ca="1">+ES45+EW45</f>
        <v>0</v>
      </c>
    </row>
    <row r="46" spans="1:154" ht="12.75" customHeight="1">
      <c r="A46" s="553"/>
      <c r="B46" s="600" t="s">
        <v>401</v>
      </c>
      <c r="C46" s="3779" t="s">
        <v>376</v>
      </c>
      <c r="D46" s="3780"/>
      <c r="E46" s="3458">
        <f ca="1">OFFSET('VVP2'!$G$212,0,(COLUMN()-5)/6)</f>
        <v>1.5812299999999999</v>
      </c>
      <c r="F46" s="3452">
        <f ca="1">OFFSET('VVP2'!$G$228,0,(COLUMN()-6)/6)</f>
        <v>0.29872000000000004</v>
      </c>
      <c r="G46" s="3452">
        <f ca="1">OFFSET('VVP2'!$G$230,0,(COLUMN()-7)/6)</f>
        <v>1.0315099999999999</v>
      </c>
      <c r="H46" s="3452">
        <f ca="1">OFFSET('VVP2'!$G$229,0,(COLUMN()-8)/6)</f>
        <v>0.25098999999999999</v>
      </c>
      <c r="I46" s="3443"/>
      <c r="J46" s="586">
        <f ca="1">+E46-F46-G46-H46</f>
        <v>9.9999999998989786E-6</v>
      </c>
      <c r="K46" s="3458">
        <f ca="1">OFFSET('VVP2'!$G$212,0,(COLUMN()-5)/6)</f>
        <v>1.99884</v>
      </c>
      <c r="L46" s="3452">
        <f ca="1">OFFSET('VVP2'!$G$228,0,(COLUMN()-6)/6)</f>
        <v>0.31448999999999999</v>
      </c>
      <c r="M46" s="3452">
        <f ca="1">OFFSET('VVP2'!$G$230,0,(COLUMN()-7)/6)</f>
        <v>1.45316</v>
      </c>
      <c r="N46" s="3452">
        <f ca="1">OFFSET('VVP2'!$G$229,0,(COLUMN()-8)/6)</f>
        <v>0.23119000000000001</v>
      </c>
      <c r="O46" s="3443"/>
      <c r="P46" s="586">
        <f ca="1">+K46-L46-M46-N46</f>
        <v>0</v>
      </c>
      <c r="Q46" s="3458">
        <f ca="1">OFFSET('VVP2'!$G$212,0,(COLUMN()-5)/6)</f>
        <v>2.6227300000000002</v>
      </c>
      <c r="R46" s="3452">
        <f ca="1">OFFSET('VVP2'!$G$228,0,(COLUMN()-6)/6)</f>
        <v>0.42637000000000003</v>
      </c>
      <c r="S46" s="3452">
        <f ca="1">OFFSET('VVP2'!$G$230,0,(COLUMN()-7)/6)</f>
        <v>1.9308800000000002</v>
      </c>
      <c r="T46" s="3452">
        <f ca="1">OFFSET('VVP2'!$G$229,0,(COLUMN()-8)/6)</f>
        <v>0.26547000000000004</v>
      </c>
      <c r="U46" s="3443"/>
      <c r="V46" s="586">
        <f ca="1">+Q46-R46-S46-T46</f>
        <v>1.0000000000121023E-5</v>
      </c>
      <c r="W46" s="3458">
        <f ca="1">OFFSET('VVP2'!$G$212,0,(COLUMN()-5)/6)</f>
        <v>3.1101300000000003</v>
      </c>
      <c r="X46" s="3452">
        <f ca="1">OFFSET('VVP2'!$G$228,0,(COLUMN()-6)/6)</f>
        <v>0.58422000000000007</v>
      </c>
      <c r="Y46" s="3452">
        <f ca="1">OFFSET('VVP2'!$G$230,0,(COLUMN()-7)/6)</f>
        <v>2.1963900000000001</v>
      </c>
      <c r="Z46" s="3452">
        <f ca="1">OFFSET('VVP2'!$G$229,0,(COLUMN()-8)/6)</f>
        <v>0.32951999999999998</v>
      </c>
      <c r="AA46" s="3443"/>
      <c r="AB46" s="586">
        <f ca="1">+W46-X46-Y46-Z46</f>
        <v>0</v>
      </c>
      <c r="AC46" s="3458">
        <f ca="1">OFFSET('VVP2'!$G$212,0,(COLUMN()-5)/6)</f>
        <v>2.7903200000000004</v>
      </c>
      <c r="AD46" s="3452">
        <f ca="1">OFFSET('VVP2'!$G$228,0,(COLUMN()-6)/6)</f>
        <v>0.43416000000000005</v>
      </c>
      <c r="AE46" s="3452">
        <f ca="1">OFFSET('VVP2'!$G$230,0,(COLUMN()-7)/6)</f>
        <v>2.0300199999999999</v>
      </c>
      <c r="AF46" s="3452">
        <f ca="1">OFFSET('VVP2'!$G$229,0,(COLUMN()-8)/6)</f>
        <v>0.32613999999999999</v>
      </c>
      <c r="AG46" s="3443"/>
      <c r="AH46" s="586">
        <f ca="1">+AC46-AD46-AE46-AF46</f>
        <v>5.5511151231257827E-16</v>
      </c>
      <c r="AI46" s="3458">
        <f ca="1">OFFSET('VVP2'!$G$212,0,(COLUMN()-5)/6)</f>
        <v>2.5566900000000001</v>
      </c>
      <c r="AJ46" s="3452">
        <f ca="1">OFFSET('VVP2'!$G$228,0,(COLUMN()-6)/6)</f>
        <v>0.48319000000000001</v>
      </c>
      <c r="AK46" s="3452">
        <f ca="1">OFFSET('VVP2'!$G$230,0,(COLUMN()-7)/6)</f>
        <v>1.7495399999999999</v>
      </c>
      <c r="AL46" s="3452">
        <f ca="1">OFFSET('VVP2'!$G$229,0,(COLUMN()-8)/6)</f>
        <v>0.32395999999999997</v>
      </c>
      <c r="AM46" s="3443"/>
      <c r="AN46" s="586">
        <f ca="1">+AI46-AJ46-AK46-AL46</f>
        <v>0</v>
      </c>
      <c r="AO46" s="3458">
        <f ca="1">OFFSET('VVP2'!$G$212,0,(COLUMN()-5)/6)</f>
        <v>2.9120400000000002</v>
      </c>
      <c r="AP46" s="3452">
        <f ca="1">OFFSET('VVP2'!$G$228,0,(COLUMN()-6)/6)</f>
        <v>0.53537000000000001</v>
      </c>
      <c r="AQ46" s="3452">
        <f ca="1">OFFSET('VVP2'!$G$230,0,(COLUMN()-7)/6)</f>
        <v>2.0532399999999997</v>
      </c>
      <c r="AR46" s="3452">
        <f ca="1">OFFSET('VVP2'!$G$229,0,(COLUMN()-8)/6)</f>
        <v>0.32343</v>
      </c>
      <c r="AS46" s="3443"/>
      <c r="AT46" s="586">
        <f ca="1">+AO46-AP46-AQ46-AR46</f>
        <v>5.5511151231257827E-16</v>
      </c>
      <c r="AU46" s="3458">
        <f ca="1">OFFSET('VVP2'!$G$212,0,(COLUMN()-5)/6)</f>
        <v>3.1459000000000001</v>
      </c>
      <c r="AV46" s="3452">
        <f ca="1">OFFSET('VVP2'!$G$228,0,(COLUMN()-6)/6)</f>
        <v>0.53712000000000004</v>
      </c>
      <c r="AW46" s="3452">
        <f ca="1">OFFSET('VVP2'!$G$230,0,(COLUMN()-7)/6)</f>
        <v>2.1570999999999998</v>
      </c>
      <c r="AX46" s="3452">
        <f ca="1">OFFSET('VVP2'!$G$229,0,(COLUMN()-8)/6)</f>
        <v>0.45168000000000003</v>
      </c>
      <c r="AY46" s="3443"/>
      <c r="AZ46" s="586">
        <f ca="1">+AU46-AV46-AW46-AX46</f>
        <v>4.9960036108132044E-16</v>
      </c>
      <c r="BA46" s="3458">
        <f ca="1">OFFSET('VVP2'!$G$212,0,(COLUMN()-5)/6)</f>
        <v>3.5902800000000004</v>
      </c>
      <c r="BB46" s="3452">
        <f ca="1">OFFSET('VVP2'!$G$228,0,(COLUMN()-6)/6)</f>
        <v>0.68988000000000005</v>
      </c>
      <c r="BC46" s="3452">
        <f ca="1">OFFSET('VVP2'!$G$230,0,(COLUMN()-7)/6)</f>
        <v>2.38741</v>
      </c>
      <c r="BD46" s="3452">
        <f ca="1">OFFSET('VVP2'!$G$229,0,(COLUMN()-8)/6)</f>
        <v>0.51299000000000006</v>
      </c>
      <c r="BE46" s="3443"/>
      <c r="BF46" s="586">
        <f ca="1">+BA46-BB46-BC46-BD46</f>
        <v>0</v>
      </c>
      <c r="BG46" s="3458">
        <f ca="1">OFFSET('VVP2'!$G$212,0,(COLUMN()-5)/6)</f>
        <v>4.1760000000000002</v>
      </c>
      <c r="BH46" s="3452">
        <f ca="1">OFFSET('VVP2'!$G$228,0,(COLUMN()-6)/6)</f>
        <v>0.79324000000000006</v>
      </c>
      <c r="BI46" s="3452">
        <f ca="1">OFFSET('VVP2'!$G$230,0,(COLUMN()-7)/6)</f>
        <v>2.7249899999999996</v>
      </c>
      <c r="BJ46" s="3452">
        <f ca="1">OFFSET('VVP2'!$G$229,0,(COLUMN()-8)/6)</f>
        <v>0.65776999999999997</v>
      </c>
      <c r="BK46" s="3443"/>
      <c r="BL46" s="586">
        <f ca="1">+BG46-BH46-BI46-BJ46</f>
        <v>0</v>
      </c>
      <c r="BM46" s="3458">
        <f ca="1">OFFSET('VVP2'!$G$212,0,(COLUMN()-5)/6)</f>
        <v>4.9113800000000003</v>
      </c>
      <c r="BN46" s="3452">
        <f ca="1">OFFSET('VVP2'!$G$228,0,(COLUMN()-6)/6)</f>
        <v>0.83965000000000001</v>
      </c>
      <c r="BO46" s="3452">
        <f ca="1">OFFSET('VVP2'!$G$230,0,(COLUMN()-7)/6)</f>
        <v>3.3142499999999999</v>
      </c>
      <c r="BP46" s="3452">
        <f ca="1">OFFSET('VVP2'!$G$229,0,(COLUMN()-8)/6)</f>
        <v>0.75748000000000004</v>
      </c>
      <c r="BQ46" s="3443"/>
      <c r="BR46" s="586">
        <f ca="1">+BM46-BN46-BO46-BP46</f>
        <v>0</v>
      </c>
      <c r="BS46" s="3458">
        <f ca="1">OFFSET('VVP2'!$G$212,0,(COLUMN()-5)/6)</f>
        <v>6.2428999999999997</v>
      </c>
      <c r="BT46" s="3452">
        <f ca="1">OFFSET('VVP2'!$G$228,0,(COLUMN()-6)/6)</f>
        <v>0.87766999999999995</v>
      </c>
      <c r="BU46" s="3452">
        <f ca="1">OFFSET('VVP2'!$G$230,0,(COLUMN()-7)/6)</f>
        <v>4.3358999999999996</v>
      </c>
      <c r="BV46" s="3452">
        <f ca="1">OFFSET('VVP2'!$G$229,0,(COLUMN()-8)/6)</f>
        <v>1.0293299999999999</v>
      </c>
      <c r="BW46" s="3443"/>
      <c r="BX46" s="586">
        <f ca="1">+BS46-BT46-BU46-BV46</f>
        <v>0</v>
      </c>
      <c r="BY46" s="3458">
        <f ca="1">OFFSET('VVP2'!$G$212,0,(COLUMN()-5)/6)</f>
        <v>8.2986699999999995</v>
      </c>
      <c r="BZ46" s="3452">
        <f ca="1">OFFSET('VVP2'!$G$228,0,(COLUMN()-6)/6)</f>
        <v>1.0825199999999999</v>
      </c>
      <c r="CA46" s="3452">
        <f ca="1">OFFSET('VVP2'!$G$230,0,(COLUMN()-7)/6)</f>
        <v>5.6438000000000006</v>
      </c>
      <c r="CB46" s="3452">
        <f ca="1">OFFSET('VVP2'!$G$229,0,(COLUMN()-8)/6)</f>
        <v>1.57236</v>
      </c>
      <c r="CC46" s="3443"/>
      <c r="CD46" s="586">
        <f ca="1">+BY46-BZ46-CA46-CB46</f>
        <v>-1.0000000000731646E-5</v>
      </c>
      <c r="CE46" s="3458">
        <f ca="1">OFFSET('VVP2'!$G$212,0,(COLUMN()-5)/6)</f>
        <v>8.5133200000000002</v>
      </c>
      <c r="CF46" s="3452">
        <f ca="1">OFFSET('VVP2'!$G$228,0,(COLUMN()-6)/6)</f>
        <v>1.27919</v>
      </c>
      <c r="CG46" s="3452">
        <f ca="1">OFFSET('VVP2'!$G$230,0,(COLUMN()-7)/6)</f>
        <v>5.4749799999999995</v>
      </c>
      <c r="CH46" s="3452">
        <f ca="1">OFFSET('VVP2'!$G$229,0,(COLUMN()-8)/6)</f>
        <v>1.75915</v>
      </c>
      <c r="CI46" s="3443"/>
      <c r="CJ46" s="586">
        <f ca="1">+CE46-CF46-CG46-CH46</f>
        <v>0</v>
      </c>
      <c r="CK46" s="3458">
        <f ca="1">OFFSET('VVP2'!$G$212,0,(COLUMN()-5)/6)</f>
        <v>4.8105200000000004</v>
      </c>
      <c r="CL46" s="3452">
        <f ca="1">OFFSET('VVP2'!$G$228,0,(COLUMN()-6)/6)</f>
        <v>0.95716000000000001</v>
      </c>
      <c r="CM46" s="3452">
        <f ca="1">OFFSET('VVP2'!$G$230,0,(COLUMN()-7)/6)</f>
        <v>2.6641699999999999</v>
      </c>
      <c r="CN46" s="3452">
        <f ca="1">OFFSET('VVP2'!$G$229,0,(COLUMN()-8)/6)</f>
        <v>1.1892</v>
      </c>
      <c r="CO46" s="3443"/>
      <c r="CP46" s="586">
        <f ca="1">+CK46-CL46-CM46-CN46</f>
        <v>-9.9999999996214228E-6</v>
      </c>
      <c r="CQ46" s="3458">
        <f ca="1">OFFSET('VVP2'!$G$212,0,(COLUMN()-5)/6)</f>
        <v>4.7263000000000002</v>
      </c>
      <c r="CR46" s="3452">
        <f ca="1">OFFSET('VVP2'!$G$228,0,(COLUMN()-6)/6)</f>
        <v>0.92220000000000002</v>
      </c>
      <c r="CS46" s="3452">
        <f ca="1">OFFSET('VVP2'!$G$230,0,(COLUMN()-7)/6)</f>
        <v>2.41317</v>
      </c>
      <c r="CT46" s="3452">
        <f ca="1">OFFSET('VVP2'!$G$229,0,(COLUMN()-8)/6)</f>
        <v>1.39093</v>
      </c>
      <c r="CU46" s="3443"/>
      <c r="CV46" s="586">
        <f ca="1">+CQ46-CR46-CS46-CT46</f>
        <v>0</v>
      </c>
      <c r="CW46" s="3458">
        <f ca="1">OFFSET('VVP2'!$G$212,0,(COLUMN()-5)/6)</f>
        <v>5.78111</v>
      </c>
      <c r="CX46" s="3452">
        <f ca="1">OFFSET('VVP2'!$G$228,0,(COLUMN()-6)/6)</f>
        <v>1.04375</v>
      </c>
      <c r="CY46" s="3452">
        <f ca="1">OFFSET('VVP2'!$G$230,0,(COLUMN()-7)/6)</f>
        <v>3.25813</v>
      </c>
      <c r="CZ46" s="3452">
        <f ca="1">OFFSET('VVP2'!$G$229,0,(COLUMN()-8)/6)</f>
        <v>1.47923</v>
      </c>
      <c r="DA46" s="3443"/>
      <c r="DB46" s="586">
        <f ca="1">+CW46-CX46-CY46-CZ46</f>
        <v>0</v>
      </c>
      <c r="DC46" s="3458">
        <f ca="1">OFFSET('VVP2'!$G$212,0,(COLUMN()-5)/6)</f>
        <v>5.78803</v>
      </c>
      <c r="DD46" s="3452">
        <f ca="1">OFFSET('VVP2'!$G$228,0,(COLUMN()-6)/6)</f>
        <v>1.00299</v>
      </c>
      <c r="DE46" s="3452">
        <f ca="1">OFFSET('VVP2'!$G$230,0,(COLUMN()-7)/6)</f>
        <v>3.45871</v>
      </c>
      <c r="DF46" s="3452">
        <f ca="1">OFFSET('VVP2'!$G$229,0,(COLUMN()-8)/6)</f>
        <v>1.32633</v>
      </c>
      <c r="DG46" s="3443"/>
      <c r="DH46" s="586">
        <f ca="1">+DC46-DD46-DE46-DF46</f>
        <v>0</v>
      </c>
      <c r="DI46" s="3458">
        <f ca="1">OFFSET('VVP2'!$G$212,0,(COLUMN()-5)/6)</f>
        <v>6.4548800000000002</v>
      </c>
      <c r="DJ46" s="3452">
        <f ca="1">OFFSET('VVP2'!$G$228,0,(COLUMN()-6)/6)</f>
        <v>1.2413599999999998</v>
      </c>
      <c r="DK46" s="3452">
        <f ca="1">OFFSET('VVP2'!$G$230,0,(COLUMN()-7)/6)</f>
        <v>3.9040300000000001</v>
      </c>
      <c r="DL46" s="3452">
        <f ca="1">OFFSET('VVP2'!$G$229,0,(COLUMN()-8)/6)</f>
        <v>1.30948</v>
      </c>
      <c r="DM46" s="3443"/>
      <c r="DN46" s="586">
        <f ca="1">+DI46-DJ46-DK46-DL46</f>
        <v>1.0000000000731646E-5</v>
      </c>
      <c r="DO46" s="3458">
        <f ca="1">OFFSET('VVP2'!$G$212,0,(COLUMN()-5)/6)</f>
        <v>6.9054899999999995</v>
      </c>
      <c r="DP46" s="3452">
        <f ca="1">OFFSET('VVP2'!$G$228,0,(COLUMN()-6)/6)</f>
        <v>1.37171</v>
      </c>
      <c r="DQ46" s="3452">
        <f ca="1">OFFSET('VVP2'!$G$230,0,(COLUMN()-7)/6)</f>
        <v>4.2507999999999999</v>
      </c>
      <c r="DR46" s="3452">
        <f ca="1">OFFSET('VVP2'!$G$229,0,(COLUMN()-8)/6)</f>
        <v>1.28298</v>
      </c>
      <c r="DS46" s="3443"/>
      <c r="DT46" s="586">
        <f ca="1">+DO46-DP46-DQ46-DR46</f>
        <v>0</v>
      </c>
      <c r="DU46" s="3458">
        <f ca="1">OFFSET('VVP2'!$G$212,0,(COLUMN()-5)/6)</f>
        <v>7.3252199999999998</v>
      </c>
      <c r="DV46" s="3452">
        <f ca="1">OFFSET('VVP2'!$G$228,0,(COLUMN()-6)/6)</f>
        <v>1.56351</v>
      </c>
      <c r="DW46" s="3452">
        <f ca="1">OFFSET('VVP2'!$G$230,0,(COLUMN()-7)/6)</f>
        <v>4.3872</v>
      </c>
      <c r="DX46" s="3452">
        <f ca="1">OFFSET('VVP2'!$G$229,0,(COLUMN()-8)/6)</f>
        <v>1.3745099999999999</v>
      </c>
      <c r="DY46" s="3443"/>
      <c r="DZ46" s="586">
        <f ca="1">+DU46-DV46-DW46-DX46</f>
        <v>0</v>
      </c>
      <c r="EA46" s="3458">
        <f ca="1">OFFSET('VVP2'!$G$212,0,(COLUMN()-5)/6)</f>
        <v>7.3141999999999996</v>
      </c>
      <c r="EB46" s="3452">
        <f ca="1">OFFSET('VVP2'!$G$228,0,(COLUMN()-6)/6)</f>
        <v>1.7422800000000001</v>
      </c>
      <c r="EC46" s="3452">
        <f ca="1">OFFSET('VVP2'!$G$230,0,(COLUMN()-7)/6)</f>
        <v>4.4183300000000001</v>
      </c>
      <c r="ED46" s="3452">
        <f ca="1">OFFSET('VVP2'!$G$229,0,(COLUMN()-8)/6)</f>
        <v>1.1535899999999999</v>
      </c>
      <c r="EE46" s="3443"/>
      <c r="EF46" s="586">
        <f ca="1">+EA46-EB46-EC46-ED46</f>
        <v>0</v>
      </c>
      <c r="EG46" s="3458">
        <f ca="1">OFFSET('VVP2'!$G$212,0,(COLUMN()-5)/6)</f>
        <v>7.8803900000000002</v>
      </c>
      <c r="EH46" s="3452">
        <f ca="1">OFFSET('VVP2'!$G$228,0,(COLUMN()-6)/6)</f>
        <v>1.8032598</v>
      </c>
      <c r="EI46" s="3452">
        <f ca="1">OFFSET('VVP2'!$G$230,0,(COLUMN()-7)/6)</f>
        <v>4.8402273491796706</v>
      </c>
      <c r="EJ46" s="3452">
        <f ca="1">OFFSET('VVP2'!$G$229,0,(COLUMN()-8)/6)</f>
        <v>1.2369138056999998</v>
      </c>
      <c r="EK46" s="3443"/>
      <c r="EL46" s="586">
        <f ca="1">+EG46-EH46-EI46-EJ46</f>
        <v>-1.095487967028852E-5</v>
      </c>
      <c r="EM46" s="3458">
        <f ca="1">OFFSET('VVP2'!$G$212,0,(COLUMN()-5)/6)</f>
        <v>8.6125183729499977</v>
      </c>
      <c r="EN46" s="3452">
        <f ca="1">OFFSET('VVP2'!$G$228,0,(COLUMN()-6)/6)</f>
        <v>1.8663738929999998</v>
      </c>
      <c r="EO46" s="3452">
        <f ca="1">OFFSET('VVP2'!$G$230,0,(COLUMN()-7)/6)</f>
        <v>5.3913625170022881</v>
      </c>
      <c r="EP46" s="3452">
        <f ca="1">OFFSET('VVP2'!$G$229,0,(COLUMN()-8)/6)</f>
        <v>1.3547941652108211</v>
      </c>
      <c r="EQ46" s="3443"/>
      <c r="ER46" s="586">
        <f ca="1">+EM46-EN46-EO46-EP46</f>
        <v>-1.220226311104966E-5</v>
      </c>
      <c r="ES46" s="3458">
        <f ca="1">OFFSET('VVP2'!$G$212,0,(COLUMN()-5)/6)</f>
        <v>9.1844008740182197</v>
      </c>
      <c r="ET46" s="3452">
        <f ca="1">OFFSET('VVP2'!$G$228,0,(COLUMN()-6)/6)</f>
        <v>1.9316969792549996</v>
      </c>
      <c r="EU46" s="3452">
        <f ca="1">OFFSET('VVP2'!$G$230,0,(COLUMN()-7)/6)</f>
        <v>5.7944843096866441</v>
      </c>
      <c r="EV46" s="3452">
        <f ca="1">OFFSET('VVP2'!$G$229,0,(COLUMN()-8)/6)</f>
        <v>1.4582326997246671</v>
      </c>
      <c r="EW46" s="3443"/>
      <c r="EX46" s="586">
        <f ca="1">+ES46-ET46-EU46-EV46</f>
        <v>-1.3114648090839509E-5</v>
      </c>
    </row>
    <row r="47" spans="1:154" ht="12.75" customHeight="1">
      <c r="A47" s="553"/>
      <c r="B47" s="600" t="s">
        <v>401</v>
      </c>
      <c r="C47" s="3786" t="s">
        <v>377</v>
      </c>
      <c r="D47" s="3787"/>
      <c r="E47" s="3452">
        <f ca="1">OFFSET('VVP2'!$G$260,0,(COLUMN()-5)/6)</f>
        <v>0.18446000000000001</v>
      </c>
      <c r="F47" s="3449">
        <f ca="1">OFFSET(Sector1!$G$541,0,(COLUMN()-6)/6)</f>
        <v>1.3009999999999999E-2</v>
      </c>
      <c r="G47" s="3449">
        <f ca="1">OFFSET(Sector1!$G$542,0,(COLUMN()-7)/6)</f>
        <v>0.16175</v>
      </c>
      <c r="H47" s="3449">
        <f ca="1">OFFSET(Sector1!$G$543,0,(COLUMN()-8)/6)</f>
        <v>9.689999999999999E-3</v>
      </c>
      <c r="I47" s="3448"/>
      <c r="J47" s="586">
        <f ca="1">+E47-F47-G47-H47</f>
        <v>1.0000000000015205E-5</v>
      </c>
      <c r="K47" s="3452">
        <f ca="1">OFFSET('VVP2'!$G$260,0,(COLUMN()-5)/6)</f>
        <v>4.6679999999999999E-2</v>
      </c>
      <c r="L47" s="3449">
        <f ca="1">OFFSET(Sector1!$G$541,0,(COLUMN()-6)/6)</f>
        <v>2.0800000000000003E-3</v>
      </c>
      <c r="M47" s="3449">
        <f ca="1">OFFSET(Sector1!$G$542,0,(COLUMN()-7)/6)</f>
        <v>4.1340000000000002E-2</v>
      </c>
      <c r="N47" s="3449">
        <f ca="1">OFFSET(Sector1!$G$543,0,(COLUMN()-8)/6)</f>
        <v>3.2599999999999999E-3</v>
      </c>
      <c r="O47" s="3448"/>
      <c r="P47" s="586">
        <f ca="1">+K47-L47-M47-N47</f>
        <v>0</v>
      </c>
      <c r="Q47" s="3452">
        <f ca="1">OFFSET('VVP2'!$G$260,0,(COLUMN()-5)/6)</f>
        <v>0.25845999999999997</v>
      </c>
      <c r="R47" s="3449">
        <f ca="1">OFFSET(Sector1!$G$541,0,(COLUMN()-6)/6)</f>
        <v>5.6900000000000006E-2</v>
      </c>
      <c r="S47" s="3449">
        <f ca="1">OFFSET(Sector1!$G$542,0,(COLUMN()-7)/6)</f>
        <v>0.19895000000000002</v>
      </c>
      <c r="T47" s="3449">
        <f ca="1">OFFSET(Sector1!$G$543,0,(COLUMN()-8)/6)</f>
        <v>2.6100000000000003E-3</v>
      </c>
      <c r="U47" s="3448"/>
      <c r="V47" s="586">
        <f ca="1">+Q47-R47-S47-T47</f>
        <v>-5.4643789493269423E-17</v>
      </c>
      <c r="W47" s="3452">
        <f ca="1">OFFSET('VVP2'!$G$260,0,(COLUMN()-5)/6)</f>
        <v>5.8840000000000003E-2</v>
      </c>
      <c r="X47" s="3449">
        <f ca="1">OFFSET(Sector1!$G$541,0,(COLUMN()-6)/6)</f>
        <v>2.6830000000000003E-2</v>
      </c>
      <c r="Y47" s="3449">
        <f ca="1">OFFSET(Sector1!$G$542,0,(COLUMN()-7)/6)</f>
        <v>3.1109999999999999E-2</v>
      </c>
      <c r="Z47" s="3449">
        <f ca="1">OFFSET(Sector1!$G$543,0,(COLUMN()-8)/6)</f>
        <v>8.9999999999999998E-4</v>
      </c>
      <c r="AA47" s="3448"/>
      <c r="AB47" s="586">
        <f ca="1">+W47-X47-Y47-Z47</f>
        <v>-1.951563910473908E-18</v>
      </c>
      <c r="AC47" s="3452">
        <f ca="1">OFFSET('VVP2'!$G$260,0,(COLUMN()-5)/6)</f>
        <v>-7.7159999999999992E-2</v>
      </c>
      <c r="AD47" s="3449">
        <f ca="1">OFFSET(Sector1!$G$541,0,(COLUMN()-6)/6)</f>
        <v>-3.6469999999999995E-2</v>
      </c>
      <c r="AE47" s="3449">
        <f ca="1">OFFSET(Sector1!$G$542,0,(COLUMN()-7)/6)</f>
        <v>-4.0870000000000004E-2</v>
      </c>
      <c r="AF47" s="3449">
        <f ca="1">OFFSET(Sector1!$G$543,0,(COLUMN()-8)/6)</f>
        <v>1.7000000000000001E-4</v>
      </c>
      <c r="AG47" s="3448"/>
      <c r="AH47" s="586">
        <f ca="1">+AC47-AD47-AE47-AF47</f>
        <v>1.0000000000006531E-5</v>
      </c>
      <c r="AI47" s="3452">
        <f ca="1">OFFSET('VVP2'!$G$260,0,(COLUMN()-5)/6)</f>
        <v>-4.8979999999999996E-2</v>
      </c>
      <c r="AJ47" s="3449">
        <f ca="1">OFFSET(Sector1!$G$541,0,(COLUMN()-6)/6)</f>
        <v>-1.7000000000000036E-4</v>
      </c>
      <c r="AK47" s="3449">
        <f ca="1">OFFSET(Sector1!$G$542,0,(COLUMN()-7)/6)</f>
        <v>-4.922E-2</v>
      </c>
      <c r="AL47" s="3449">
        <f ca="1">OFFSET(Sector1!$G$543,0,(COLUMN()-8)/6)</f>
        <v>4.1000000000000005E-4</v>
      </c>
      <c r="AM47" s="3448"/>
      <c r="AN47" s="586">
        <f ca="1">+AI47-AJ47-AK47-AL47</f>
        <v>7.5352050987742558E-18</v>
      </c>
      <c r="AO47" s="3452">
        <f ca="1">OFFSET('VVP2'!$G$260,0,(COLUMN()-5)/6)</f>
        <v>-0.21227000000000001</v>
      </c>
      <c r="AP47" s="3449">
        <f ca="1">OFFSET(Sector1!$G$541,0,(COLUMN()-6)/6)</f>
        <v>-0.1043</v>
      </c>
      <c r="AQ47" s="3449">
        <f ca="1">OFFSET(Sector1!$G$542,0,(COLUMN()-7)/6)</f>
        <v>-0.11035</v>
      </c>
      <c r="AR47" s="3449">
        <f ca="1">OFFSET(Sector1!$G$543,0,(COLUMN()-8)/6)</f>
        <v>2.3799999999999997E-3</v>
      </c>
      <c r="AS47" s="3448"/>
      <c r="AT47" s="586">
        <f ca="1">+AO47-AP47-AQ47-AR47</f>
        <v>-6.5052130349130266E-18</v>
      </c>
      <c r="AU47" s="3452">
        <f ca="1">OFFSET('VVP2'!$G$260,0,(COLUMN()-5)/6)</f>
        <v>-9.2399999999999999E-3</v>
      </c>
      <c r="AV47" s="3449">
        <f ca="1">OFFSET(Sector1!$G$541,0,(COLUMN()-6)/6)</f>
        <v>-1.8500000000000001E-3</v>
      </c>
      <c r="AW47" s="3449">
        <f ca="1">OFFSET(Sector1!$G$542,0,(COLUMN()-7)/6)</f>
        <v>-2.018E-2</v>
      </c>
      <c r="AX47" s="3449">
        <f ca="1">OFFSET(Sector1!$G$543,0,(COLUMN()-8)/6)</f>
        <v>1.2800000000000001E-2</v>
      </c>
      <c r="AY47" s="3448"/>
      <c r="AZ47" s="586">
        <f ca="1">+AU47-AV47-AW47-AX47</f>
        <v>-1.0000000000001327E-5</v>
      </c>
      <c r="BA47" s="3452">
        <f ca="1">OFFSET('VVP2'!$G$260,0,(COLUMN()-5)/6)</f>
        <v>4.3630000000000002E-2</v>
      </c>
      <c r="BB47" s="3449">
        <f ca="1">OFFSET(Sector1!$G$541,0,(COLUMN()-6)/6)</f>
        <v>8.6599999999999993E-3</v>
      </c>
      <c r="BC47" s="3449">
        <f ca="1">OFFSET(Sector1!$G$542,0,(COLUMN()-7)/6)</f>
        <v>3.2250000000000001E-2</v>
      </c>
      <c r="BD47" s="3449">
        <f ca="1">OFFSET(Sector1!$G$543,0,(COLUMN()-8)/6)</f>
        <v>2.7299999999999998E-3</v>
      </c>
      <c r="BE47" s="3448"/>
      <c r="BF47" s="586">
        <f ca="1">+BA47-BB47-BC47-BD47</f>
        <v>-9.9999999999995925E-6</v>
      </c>
      <c r="BG47" s="3452">
        <f ca="1">OFFSET('VVP2'!$G$260,0,(COLUMN()-5)/6)</f>
        <v>-3.9409999999999994E-2</v>
      </c>
      <c r="BH47" s="3449">
        <f ca="1">OFFSET(Sector1!$G$541,0,(COLUMN()-6)/6)</f>
        <v>1.4449999999999999E-2</v>
      </c>
      <c r="BI47" s="3449">
        <f ca="1">OFFSET(Sector1!$G$542,0,(COLUMN()-7)/6)</f>
        <v>-6.1490000000000003E-2</v>
      </c>
      <c r="BJ47" s="3449">
        <f ca="1">OFFSET(Sector1!$G$543,0,(COLUMN()-8)/6)</f>
        <v>7.6299999999999996E-3</v>
      </c>
      <c r="BK47" s="3448"/>
      <c r="BL47" s="586">
        <f ca="1">+BG47-BH47-BI47-BJ47</f>
        <v>1.214306433183765E-17</v>
      </c>
      <c r="BM47" s="3452">
        <f ca="1">OFFSET('VVP2'!$G$260,0,(COLUMN()-5)/6)</f>
        <v>0.14046</v>
      </c>
      <c r="BN47" s="3449">
        <f ca="1">OFFSET(Sector1!$G$541,0,(COLUMN()-6)/6)</f>
        <v>-3.968E-2</v>
      </c>
      <c r="BO47" s="3449">
        <f ca="1">OFFSET(Sector1!$G$542,0,(COLUMN()-7)/6)</f>
        <v>0.17057</v>
      </c>
      <c r="BP47" s="3449">
        <f ca="1">OFFSET(Sector1!$G$543,0,(COLUMN()-8)/6)</f>
        <v>9.5700000000000004E-3</v>
      </c>
      <c r="BQ47" s="3448"/>
      <c r="BR47" s="586">
        <f ca="1">+BM47-BN47-BO47-BP47</f>
        <v>0</v>
      </c>
      <c r="BS47" s="3452">
        <f ca="1">OFFSET('VVP2'!$G$260,0,(COLUMN()-5)/6)</f>
        <v>0.19234000000000001</v>
      </c>
      <c r="BT47" s="3449">
        <f ca="1">OFFSET(Sector1!$G$541,0,(COLUMN()-6)/6)</f>
        <v>4.8399999999999988E-3</v>
      </c>
      <c r="BU47" s="3449">
        <f ca="1">OFFSET(Sector1!$G$542,0,(COLUMN()-7)/6)</f>
        <v>0.16547000000000001</v>
      </c>
      <c r="BV47" s="3449">
        <f ca="1">OFFSET(Sector1!$G$543,0,(COLUMN()-8)/6)</f>
        <v>2.2030000000000001E-2</v>
      </c>
      <c r="BW47" s="3448"/>
      <c r="BX47" s="586">
        <f ca="1">+BS47-BT47-BU47-BV47</f>
        <v>0</v>
      </c>
      <c r="BY47" s="3452">
        <f ca="1">OFFSET('VVP2'!$G$260,0,(COLUMN()-5)/6)</f>
        <v>1.0260799999999999</v>
      </c>
      <c r="BZ47" s="3449">
        <f ca="1">OFFSET(Sector1!$G$541,0,(COLUMN()-6)/6)</f>
        <v>4.6170000000000003E-2</v>
      </c>
      <c r="CA47" s="3449">
        <f ca="1">OFFSET(Sector1!$G$542,0,(COLUMN()-7)/6)</f>
        <v>0.9591900000000001</v>
      </c>
      <c r="CB47" s="3449">
        <f ca="1">OFFSET(Sector1!$G$543,0,(COLUMN()-8)/6)</f>
        <v>2.0730000000000002E-2</v>
      </c>
      <c r="CC47" s="3448"/>
      <c r="CD47" s="586">
        <f ca="1">+BY47-BZ47-CA47-CB47</f>
        <v>-1.0000000000263271E-5</v>
      </c>
      <c r="CE47" s="3452">
        <f ca="1">OFFSET('VVP2'!$G$260,0,(COLUMN()-5)/6)</f>
        <v>0.60474000000000006</v>
      </c>
      <c r="CF47" s="3449">
        <f ca="1">OFFSET(Sector1!$G$541,0,(COLUMN()-6)/6)</f>
        <v>0.13553000000000001</v>
      </c>
      <c r="CG47" s="3449">
        <f ca="1">OFFSET(Sector1!$G$542,0,(COLUMN()-7)/6)</f>
        <v>0.43486000000000002</v>
      </c>
      <c r="CH47" s="3449">
        <f ca="1">OFFSET(Sector1!$G$543,0,(COLUMN()-8)/6)</f>
        <v>3.4360000000000002E-2</v>
      </c>
      <c r="CI47" s="3448"/>
      <c r="CJ47" s="586">
        <f ca="1">+CE47-CF47-CG47-CH47</f>
        <v>-1.0000000000010001E-5</v>
      </c>
      <c r="CK47" s="3452">
        <f ca="1">OFFSET('VVP2'!$G$260,0,(COLUMN()-5)/6)</f>
        <v>-1.47837</v>
      </c>
      <c r="CL47" s="3449">
        <f ca="1">OFFSET(Sector1!$G$541,0,(COLUMN()-6)/6)</f>
        <v>-5.6829999999999999E-2</v>
      </c>
      <c r="CM47" s="3449">
        <f ca="1">OFFSET(Sector1!$G$542,0,(COLUMN()-7)/6)</f>
        <v>-1.4296800000000001</v>
      </c>
      <c r="CN47" s="3449">
        <f ca="1">OFFSET(Sector1!$G$543,0,(COLUMN()-8)/6)</f>
        <v>8.1400000000000014E-3</v>
      </c>
      <c r="CO47" s="3448"/>
      <c r="CP47" s="586">
        <f ca="1">+CK47-CL47-CM47-CN47</f>
        <v>3.4694469519536142E-17</v>
      </c>
      <c r="CQ47" s="3452">
        <f ca="1">OFFSET('VVP2'!$G$260,0,(COLUMN()-5)/6)</f>
        <v>0.31864999999999999</v>
      </c>
      <c r="CR47" s="3449">
        <f ca="1">OFFSET(Sector1!$G$541,0,(COLUMN()-6)/6)</f>
        <v>-2.7140000000000001E-2</v>
      </c>
      <c r="CS47" s="3449">
        <f ca="1">OFFSET(Sector1!$G$542,0,(COLUMN()-7)/6)</f>
        <v>0.34223999999999999</v>
      </c>
      <c r="CT47" s="3449">
        <f ca="1">OFFSET(Sector1!$G$543,0,(COLUMN()-8)/6)</f>
        <v>3.5499999999999998E-3</v>
      </c>
      <c r="CU47" s="3448"/>
      <c r="CV47" s="586">
        <f ca="1">+CQ47-CR47-CS47-CT47</f>
        <v>0</v>
      </c>
      <c r="CW47" s="3452">
        <f ca="1">OFFSET('VVP2'!$G$260,0,(COLUMN()-5)/6)</f>
        <v>1.0107000000000002</v>
      </c>
      <c r="CX47" s="3449">
        <f ca="1">OFFSET(Sector1!$G$541,0,(COLUMN()-6)/6)</f>
        <v>6.4819999999999989E-2</v>
      </c>
      <c r="CY47" s="3449">
        <f ca="1">OFFSET(Sector1!$G$542,0,(COLUMN()-7)/6)</f>
        <v>0.94126000000000021</v>
      </c>
      <c r="CZ47" s="3449">
        <f ca="1">OFFSET(Sector1!$G$543,0,(COLUMN()-8)/6)</f>
        <v>4.62E-3</v>
      </c>
      <c r="DA47" s="3448"/>
      <c r="DB47" s="586">
        <f ca="1">+CW47-CX47-CY47-CZ47</f>
        <v>-4.2500725161431774E-17</v>
      </c>
      <c r="DC47" s="3452">
        <f ca="1">OFFSET('VVP2'!$G$260,0,(COLUMN()-5)/6)</f>
        <v>0.67282000000000008</v>
      </c>
      <c r="DD47" s="3449">
        <f ca="1">OFFSET(Sector1!$G$541,0,(COLUMN()-6)/6)</f>
        <v>8.8359999999999994E-2</v>
      </c>
      <c r="DE47" s="3449">
        <f ca="1">OFFSET(Sector1!$G$542,0,(COLUMN()-7)/6)</f>
        <v>0.57815000000000005</v>
      </c>
      <c r="DF47" s="3449">
        <f ca="1">OFFSET(Sector1!$G$543,0,(COLUMN()-8)/6)</f>
        <v>6.3099999999999996E-3</v>
      </c>
      <c r="DG47" s="3448"/>
      <c r="DH47" s="586">
        <f ca="1">+DC47-DD47-DE47-DF47</f>
        <v>3.8163916471489756E-17</v>
      </c>
      <c r="DI47" s="3452">
        <f ca="1">OFFSET('VVP2'!$G$260,0,(COLUMN()-5)/6)</f>
        <v>0.34885000000000005</v>
      </c>
      <c r="DJ47" s="3449">
        <f ca="1">OFFSET(Sector1!$G$541,0,(COLUMN()-6)/6)</f>
        <v>0.10335999999999999</v>
      </c>
      <c r="DK47" s="3449">
        <f ca="1">OFFSET(Sector1!$G$542,0,(COLUMN()-7)/6)</f>
        <v>0.23589000000000004</v>
      </c>
      <c r="DL47" s="3449">
        <f ca="1">OFFSET(Sector1!$G$543,0,(COLUMN()-8)/6)</f>
        <v>9.5999999999999992E-3</v>
      </c>
      <c r="DM47" s="3448"/>
      <c r="DN47" s="586">
        <f ca="1">+DI47-DJ47-DK47-DL47</f>
        <v>0</v>
      </c>
      <c r="DO47" s="3452">
        <f ca="1">OFFSET('VVP2'!$G$260,0,(COLUMN()-5)/6)</f>
        <v>5.3120000000000001E-2</v>
      </c>
      <c r="DP47" s="3449">
        <f ca="1">OFFSET(Sector1!$G$541,0,(COLUMN()-6)/6)</f>
        <v>1.2970000000000001E-2</v>
      </c>
      <c r="DQ47" s="3449">
        <f ca="1">OFFSET(Sector1!$G$542,0,(COLUMN()-7)/6)</f>
        <v>2.7549999999999998E-2</v>
      </c>
      <c r="DR47" s="3449">
        <f ca="1">OFFSET(Sector1!$G$543,0,(COLUMN()-8)/6)</f>
        <v>1.26E-2</v>
      </c>
      <c r="DS47" s="3448"/>
      <c r="DT47" s="586">
        <f ca="1">+DO47-DP47-DQ47-DR47</f>
        <v>0</v>
      </c>
      <c r="DU47" s="3452">
        <f ca="1">OFFSET('VVP2'!$G$260,0,(COLUMN()-5)/6)</f>
        <v>0.37847000000000003</v>
      </c>
      <c r="DV47" s="3449">
        <f ca="1">OFFSET(Sector1!$G$541,0,(COLUMN()-6)/6)</f>
        <v>2.895E-2</v>
      </c>
      <c r="DW47" s="3449">
        <f ca="1">OFFSET(Sector1!$G$542,0,(COLUMN()-7)/6)</f>
        <v>0.30141000000000007</v>
      </c>
      <c r="DX47" s="3449">
        <f ca="1">OFFSET(Sector1!$G$543,0,(COLUMN()-8)/6)</f>
        <v>4.811E-2</v>
      </c>
      <c r="DY47" s="3448"/>
      <c r="DZ47" s="586">
        <f ca="1">+DU47-DV47-DW47-DX47</f>
        <v>0</v>
      </c>
      <c r="EA47" s="3452">
        <f ca="1">OFFSET('VVP2'!$G$260,0,(COLUMN()-5)/6)</f>
        <v>-0.64598</v>
      </c>
      <c r="EB47" s="3449">
        <f ca="1">OFFSET(Sector1!$G$541,0,(COLUMN()-6)/6)</f>
        <v>-4.3100000000000005E-3</v>
      </c>
      <c r="EC47" s="3449">
        <f ca="1">OFFSET(Sector1!$G$542,0,(COLUMN()-7)/6)</f>
        <v>-0.68081999999999998</v>
      </c>
      <c r="ED47" s="3449">
        <f ca="1">OFFSET(Sector1!$G$543,0,(COLUMN()-8)/6)</f>
        <v>3.9149999999999997E-2</v>
      </c>
      <c r="EE47" s="3448"/>
      <c r="EF47" s="586">
        <f ca="1">+EA47-EB47-EC47-ED47</f>
        <v>0</v>
      </c>
      <c r="EG47" s="3452">
        <f ca="1">OFFSET('VVP2'!$G$260,0,(COLUMN()-5)/6)</f>
        <v>-0.64598</v>
      </c>
      <c r="EH47" s="3449">
        <f ca="1">OFFSET(Sector1!$G$541,0,(COLUMN()-6)/6)</f>
        <v>-4.3100000000000005E-3</v>
      </c>
      <c r="EI47" s="3449">
        <f ca="1">OFFSET(Sector1!$G$542,0,(COLUMN()-7)/6)</f>
        <v>-0.68081999999999998</v>
      </c>
      <c r="EJ47" s="3449">
        <f ca="1">OFFSET(Sector1!$G$543,0,(COLUMN()-8)/6)</f>
        <v>3.9149999999999997E-2</v>
      </c>
      <c r="EK47" s="3448"/>
      <c r="EL47" s="586">
        <f ca="1">+EG47-EH47-EI47-EJ47</f>
        <v>0</v>
      </c>
      <c r="EM47" s="3452">
        <f ca="1">OFFSET('VVP2'!$G$260,0,(COLUMN()-5)/6)</f>
        <v>-0.64598</v>
      </c>
      <c r="EN47" s="3449">
        <f ca="1">OFFSET(Sector1!$G$541,0,(COLUMN()-6)/6)</f>
        <v>-4.3100000000000005E-3</v>
      </c>
      <c r="EO47" s="3449">
        <f ca="1">OFFSET(Sector1!$G$542,0,(COLUMN()-7)/6)</f>
        <v>-0.68081999999999998</v>
      </c>
      <c r="EP47" s="3449">
        <f ca="1">OFFSET(Sector1!$G$543,0,(COLUMN()-8)/6)</f>
        <v>3.9149999999999997E-2</v>
      </c>
      <c r="EQ47" s="3448"/>
      <c r="ER47" s="586">
        <f ca="1">+EM47-EN47-EO47-EP47</f>
        <v>0</v>
      </c>
      <c r="ES47" s="3452">
        <f ca="1">OFFSET('VVP2'!$G$260,0,(COLUMN()-5)/6)</f>
        <v>-0.64598</v>
      </c>
      <c r="ET47" s="3449">
        <f ca="1">OFFSET(Sector1!$G$541,0,(COLUMN()-6)/6)</f>
        <v>-4.3100000000000005E-3</v>
      </c>
      <c r="EU47" s="3449">
        <f ca="1">OFFSET(Sector1!$G$542,0,(COLUMN()-7)/6)</f>
        <v>-0.68081999999999998</v>
      </c>
      <c r="EV47" s="3449">
        <f ca="1">OFFSET(Sector1!$G$543,0,(COLUMN()-8)/6)</f>
        <v>3.9149999999999997E-2</v>
      </c>
      <c r="EW47" s="3448"/>
      <c r="EX47" s="586">
        <f ca="1">+ES47-ET47-EU47-EV47</f>
        <v>0</v>
      </c>
    </row>
    <row r="48" spans="1:154" s="557" customFormat="1" ht="12.75" customHeight="1">
      <c r="A48" s="555"/>
      <c r="B48" s="587" t="s">
        <v>1769</v>
      </c>
      <c r="C48" s="3783" t="s">
        <v>378</v>
      </c>
      <c r="D48" s="3783"/>
      <c r="E48" s="588">
        <f ca="1">+E39+E40-E45-E46-E47</f>
        <v>-0.75690999999999953</v>
      </c>
      <c r="F48" s="588">
        <f ca="1">+F39+F40-F45-F46-F47</f>
        <v>-0.22516999999999965</v>
      </c>
      <c r="G48" s="588">
        <f ca="1">+G39+G40-G45-G46-G47</f>
        <v>-0.41160999999999953</v>
      </c>
      <c r="H48" s="588">
        <f ca="1">+H39+H40-H45-H46-H47</f>
        <v>-0.12011000000000038</v>
      </c>
      <c r="I48" s="588" t="e">
        <f ca="1">-OFFSET('VVP2'!$G$331,0,(COLUMN()-9)/6)-I11-I17+I16+I18-I30+I28+I24+I32+I35+I40-I45</f>
        <v>#VALUE!</v>
      </c>
      <c r="J48" s="589" t="e">
        <f ca="1">+E48+I48</f>
        <v>#VALUE!</v>
      </c>
      <c r="K48" s="588">
        <f ca="1">+K39+K40-K45-K46-K47</f>
        <v>-0.83070000000000133</v>
      </c>
      <c r="L48" s="588">
        <f ca="1">+L39+L40-L45-L46-L47</f>
        <v>-0.36486999999999992</v>
      </c>
      <c r="M48" s="588">
        <f ca="1">+M39+M40-M45-M46-M47</f>
        <v>-0.1501800000000007</v>
      </c>
      <c r="N48" s="588">
        <f ca="1">+N39+N40-N45-N46-N47</f>
        <v>-0.3156500000000006</v>
      </c>
      <c r="O48" s="588" t="e">
        <f ca="1">-OFFSET('VVP2'!$G$331,0,(COLUMN()-9)/6)-O11-O17+O16+O18-O30+O28+O24+O32+O35+O40-O45</f>
        <v>#VALUE!</v>
      </c>
      <c r="P48" s="589" t="e">
        <f ca="1">+K48+O48</f>
        <v>#VALUE!</v>
      </c>
      <c r="Q48" s="588">
        <f ca="1">+Q39+Q40-Q45-Q46-Q47</f>
        <v>-1.1320999999999992</v>
      </c>
      <c r="R48" s="588">
        <f ca="1">+R39+R40-R45-R46-R47</f>
        <v>1.2108700000000001</v>
      </c>
      <c r="S48" s="588">
        <f ca="1">+S39+S40-S45-S46-S47</f>
        <v>-0.96494999999999909</v>
      </c>
      <c r="T48" s="588">
        <f ca="1">+T39+T40-T45-T46-T47</f>
        <v>-1.3780100000000002</v>
      </c>
      <c r="U48" s="588" t="e">
        <f ca="1">-OFFSET('VVP2'!$G$331,0,(COLUMN()-9)/6)-U11-U17+U16+U18-U30+U28+U24+U32+U35+U40-U45</f>
        <v>#VALUE!</v>
      </c>
      <c r="V48" s="589" t="e">
        <f ca="1">+Q48+U48</f>
        <v>#VALUE!</v>
      </c>
      <c r="W48" s="588">
        <f ca="1">+W39+W40-W45-W46-W47</f>
        <v>-1.5058200000000037</v>
      </c>
      <c r="X48" s="588">
        <f ca="1">+X39+X40-X45-X46-X47</f>
        <v>5.0399999999997128E-2</v>
      </c>
      <c r="Y48" s="588">
        <f ca="1">+Y39+Y40-Y45-Y46-Y47</f>
        <v>-1.1613400000000003</v>
      </c>
      <c r="Z48" s="588">
        <f ca="1">+Z39+Z40-Z45-Z46-Z47</f>
        <v>-0.39488000000000023</v>
      </c>
      <c r="AA48" s="588" t="e">
        <f ca="1">-OFFSET('VVP2'!$G$331,0,(COLUMN()-9)/6)-AA11-AA17+AA16+AA18-AA30+AA28+AA24+AA32+AA35+AA40-AA45</f>
        <v>#VALUE!</v>
      </c>
      <c r="AB48" s="589" t="e">
        <f ca="1">+W48+AA48</f>
        <v>#VALUE!</v>
      </c>
      <c r="AC48" s="588">
        <f ca="1">+AC39+AC40-AC45-AC46-AC47</f>
        <v>-1.3620200000000009</v>
      </c>
      <c r="AD48" s="588">
        <f ca="1">+AD39+AD40-AD45-AD46-AD47</f>
        <v>1.9470000000000091E-2</v>
      </c>
      <c r="AE48" s="588">
        <f ca="1">+AE39+AE40-AE45-AE46-AE47</f>
        <v>-1.02275</v>
      </c>
      <c r="AF48" s="588">
        <f ca="1">+AF39+AF40-AF45-AF46-AF47</f>
        <v>-0.35873000000000033</v>
      </c>
      <c r="AG48" s="588" t="e">
        <f ca="1">-OFFSET('VVP2'!$G$331,0,(COLUMN()-9)/6)-AG11-AG17+AG16+AG18-AG30+AG28+AG24+AG32+AG35+AG40-AG45</f>
        <v>#VALUE!</v>
      </c>
      <c r="AH48" s="589" t="e">
        <f ca="1">+AC48+AG48</f>
        <v>#VALUE!</v>
      </c>
      <c r="AI48" s="588">
        <f ca="1">+AI39+AI40-AI45-AI46-AI47</f>
        <v>-0.77946999999999989</v>
      </c>
      <c r="AJ48" s="588">
        <f ca="1">+AJ39+AJ40-AJ45-AJ46-AJ47</f>
        <v>0.28123999999999916</v>
      </c>
      <c r="AK48" s="588">
        <f ca="1">+AK39+AK40-AK45-AK46-AK47</f>
        <v>-0.63495999999999908</v>
      </c>
      <c r="AL48" s="588">
        <f ca="1">+AL39+AL40-AL45-AL46-AL47</f>
        <v>-0.42574999999999957</v>
      </c>
      <c r="AM48" s="588" t="e">
        <f ca="1">-OFFSET('VVP2'!$G$331,0,(COLUMN()-9)/6)-AM11-AM17+AM16+AM18-AM30+AM28+AM24+AM32+AM35+AM40-AM45</f>
        <v>#VALUE!</v>
      </c>
      <c r="AN48" s="589" t="e">
        <f ca="1">+AI48+AM48</f>
        <v>#VALUE!</v>
      </c>
      <c r="AO48" s="588">
        <f ca="1">+AO39+AO40-AO45-AO46-AO47</f>
        <v>-0.6717700000000042</v>
      </c>
      <c r="AP48" s="588">
        <f ca="1">+AP39+AP40-AP45-AP46-AP47</f>
        <v>3.4729999999996874E-2</v>
      </c>
      <c r="AQ48" s="588">
        <f ca="1">+AQ39+AQ40-AQ45-AQ46-AQ47</f>
        <v>-0.20589999999999992</v>
      </c>
      <c r="AR48" s="588">
        <f ca="1">+AR39+AR40-AR45-AR46-AR47</f>
        <v>-0.50060000000000027</v>
      </c>
      <c r="AS48" s="588" t="e">
        <f ca="1">-OFFSET('VVP2'!$G$331,0,(COLUMN()-9)/6)-AS11-AS17+AS16+AS18-AS30+AS28+AS24+AS32+AS35+AS40-AS45</f>
        <v>#VALUE!</v>
      </c>
      <c r="AT48" s="589" t="e">
        <f ca="1">+AO48+AS48</f>
        <v>#VALUE!</v>
      </c>
      <c r="AU48" s="588">
        <f ca="1">+AU39+AU40-AU45-AU46-AU47</f>
        <v>-0.73160999999999687</v>
      </c>
      <c r="AV48" s="588">
        <f ca="1">+AV39+AV40-AV45-AV46-AV47</f>
        <v>-5.0589999999998712E-2</v>
      </c>
      <c r="AW48" s="588">
        <f ca="1">+AW39+AW40-AW45-AW46-AW47</f>
        <v>-0.39899999999999836</v>
      </c>
      <c r="AX48" s="588">
        <f ca="1">+AX39+AX40-AX45-AX46-AX47</f>
        <v>-0.2820299999999995</v>
      </c>
      <c r="AY48" s="588" t="e">
        <f ca="1">-OFFSET('VVP2'!$G$331,0,(COLUMN()-9)/6)-AY11-AY17+AY16+AY18-AY30+AY28+AY24+AY32+AY35+AY40-AY45</f>
        <v>#VALUE!</v>
      </c>
      <c r="AZ48" s="589" t="e">
        <f ca="1">+AU48+AY48</f>
        <v>#VALUE!</v>
      </c>
      <c r="BA48" s="588">
        <f ca="1">+BA39+BA40-BA45-BA46-BA47</f>
        <v>-1.0705099999999972</v>
      </c>
      <c r="BB48" s="588">
        <f ca="1">+BB39+BB40-BB45-BB46-BB47</f>
        <v>-0.43792999999999954</v>
      </c>
      <c r="BC48" s="588">
        <f ca="1">+BC39+BC40-BC45-BC46-BC47</f>
        <v>-0.42183999999999744</v>
      </c>
      <c r="BD48" s="588">
        <f ca="1">+BD39+BD40-BD45-BD46-BD47</f>
        <v>-0.21074999999999949</v>
      </c>
      <c r="BE48" s="588" t="e">
        <f ca="1">-OFFSET('VVP2'!$G$331,0,(COLUMN()-9)/6)-BE11-BE17+BE16+BE18-BE30+BE28+BE24+BE32+BE35+BE40-BE45</f>
        <v>#VALUE!</v>
      </c>
      <c r="BF48" s="589" t="e">
        <f ca="1">+BA48+BE48</f>
        <v>#VALUE!</v>
      </c>
      <c r="BG48" s="588">
        <f ca="1">+BG39+BG40-BG45-BG46-BG47</f>
        <v>-1.2194300000000029</v>
      </c>
      <c r="BH48" s="588">
        <f ca="1">+BH39+BH40-BH45-BH46-BH47</f>
        <v>0.32683999999999797</v>
      </c>
      <c r="BI48" s="588">
        <f ca="1">+BI39+BI40-BI45-BI46-BI47</f>
        <v>-1.2923500000000006</v>
      </c>
      <c r="BJ48" s="588">
        <f ca="1">+BJ39+BJ40-BJ45-BJ46-BJ47</f>
        <v>-0.25391999999999987</v>
      </c>
      <c r="BK48" s="588" t="e">
        <f ca="1">-OFFSET('VVP2'!$G$331,0,(COLUMN()-9)/6)-BK11-BK17+BK16+BK18-BK30+BK28+BK24+BK32+BK35+BK40-BK45</f>
        <v>#VALUE!</v>
      </c>
      <c r="BL48" s="589" t="e">
        <f ca="1">+BG48+BK48</f>
        <v>#VALUE!</v>
      </c>
      <c r="BM48" s="588">
        <f ca="1">+BM39+BM40-BM45-BM46-BM47</f>
        <v>-1.2751400000000026</v>
      </c>
      <c r="BN48" s="588">
        <f ca="1">+BN39+BN40-BN45-BN46-BN47</f>
        <v>-5.5100000000032831E-3</v>
      </c>
      <c r="BO48" s="588">
        <f ca="1">+BO39+BO40-BO45-BO46-BO47</f>
        <v>-1.1975599999999984</v>
      </c>
      <c r="BP48" s="588">
        <f ca="1">+BP39+BP40-BP45-BP46-BP47</f>
        <v>-7.2070000000000661E-2</v>
      </c>
      <c r="BQ48" s="588" t="e">
        <f ca="1">-OFFSET('VVP2'!$G$331,0,(COLUMN()-9)/6)-BQ11-BQ17+BQ16+BQ18-BQ30+BQ28+BQ24+BQ32+BQ35+BQ40-BQ45</f>
        <v>#VALUE!</v>
      </c>
      <c r="BR48" s="589" t="e">
        <f ca="1">+BM48+BQ48</f>
        <v>#VALUE!</v>
      </c>
      <c r="BS48" s="588">
        <f ca="1">+BS39+BS40-BS45-BS46-BS47</f>
        <v>-2.0981200000000064</v>
      </c>
      <c r="BT48" s="588">
        <f ca="1">+BT39+BT40-BT45-BT46-BT47</f>
        <v>0.2616399999999976</v>
      </c>
      <c r="BU48" s="588">
        <f ca="1">+BU39+BU40-BU45-BU46-BU47</f>
        <v>-2.2942400000000021</v>
      </c>
      <c r="BV48" s="588">
        <f ca="1">+BV39+BV40-BV45-BV46-BV47</f>
        <v>-6.5520000000002132E-2</v>
      </c>
      <c r="BW48" s="588" t="e">
        <f ca="1">-OFFSET('VVP2'!$G$331,0,(COLUMN()-9)/6)-BW11-BW17+BW16+BW18-BW30+BW28+BW24+BW32+BW35+BW40-BW45</f>
        <v>#VALUE!</v>
      </c>
      <c r="BX48" s="589" t="e">
        <f ca="1">+BS48+BW48</f>
        <v>#VALUE!</v>
      </c>
      <c r="BY48" s="588">
        <f ca="1">+BY39+BY40-BY45-BY46-BY47</f>
        <v>-3.721549999999993</v>
      </c>
      <c r="BZ48" s="588">
        <f ca="1">+BZ39+BZ40-BZ45-BZ46-BZ47</f>
        <v>-1.2824399999999945</v>
      </c>
      <c r="CA48" s="588">
        <f ca="1">+CA39+CA40-CA45-CA46-CA47</f>
        <v>-2.2023699999999979</v>
      </c>
      <c r="CB48" s="588">
        <f ca="1">+CB39+CB40-CB45-CB46-CB47</f>
        <v>-0.23676000000000105</v>
      </c>
      <c r="CC48" s="588" t="e">
        <f ca="1">-OFFSET('VVP2'!$G$331,0,(COLUMN()-9)/6)-CC11-CC17+CC16+CC18-CC30+CC28+CC24+CC32+CC35+CC40-CC45</f>
        <v>#VALUE!</v>
      </c>
      <c r="CD48" s="589" t="e">
        <f ca="1">+BY48+CC48</f>
        <v>#VALUE!</v>
      </c>
      <c r="CE48" s="588">
        <f ca="1">+CE39+CE40-CE45-CE46-CE47</f>
        <v>-3.6831199999999931</v>
      </c>
      <c r="CF48" s="588">
        <f ca="1">+CF39+CF40-CF45-CF46-CF47</f>
        <v>-1.3141399999999963</v>
      </c>
      <c r="CG48" s="588">
        <f ca="1">+CG39+CG40-CG45-CG46-CG47</f>
        <v>-1.3609699999999987</v>
      </c>
      <c r="CH48" s="588">
        <f ca="1">+CH39+CH40-CH45-CH46-CH47</f>
        <v>-1.0080199999999966</v>
      </c>
      <c r="CI48" s="588">
        <f ca="1">-OFFSET('VVP2'!$G$331,0,(COLUMN()-9)/6)-CI11-CI17+CI16+CI18-CI30+CI28+CI24+CI32+CI35+CI40-CI45</f>
        <v>3.7383499999999996</v>
      </c>
      <c r="CJ48" s="589">
        <f ca="1">+CE48+CI48</f>
        <v>5.5230000000006552E-2</v>
      </c>
      <c r="CK48" s="588">
        <f ca="1">+CK39+CK40-CK45-CK46-CK47</f>
        <v>1.7330200000000024</v>
      </c>
      <c r="CL48" s="588">
        <f ca="1">+CL39+CL40-CL45-CL46-CL47</f>
        <v>9.5600000000004182E-2</v>
      </c>
      <c r="CM48" s="588">
        <f ca="1">+CM39+CM40-CM45-CM46-CM47</f>
        <v>4.0900099999999995</v>
      </c>
      <c r="CN48" s="588">
        <f ca="1">+CN39+CN40-CN45-CN46-CN47</f>
        <v>-2.4526000000000008</v>
      </c>
      <c r="CO48" s="588">
        <f ca="1">-OFFSET('VVP2'!$G$331,0,(COLUMN()-9)/6)-CO11-CO17+CO16+CO18-CO30+CO28+CO24+CO32+CO35+CO40-CO45</f>
        <v>-1.6806699999999997</v>
      </c>
      <c r="CP48" s="589">
        <f ca="1">+CK48+CO48</f>
        <v>5.2350000000002783E-2</v>
      </c>
      <c r="CQ48" s="588">
        <f ca="1">+CQ39+CQ40-CQ45-CQ46-CQ47</f>
        <v>0.96924999999999073</v>
      </c>
      <c r="CR48" s="588">
        <f ca="1">+CR39+CR40-CR45-CR46-CR47</f>
        <v>0.62328999999999546</v>
      </c>
      <c r="CS48" s="588">
        <f ca="1">+CS39+CS40-CS45-CS46-CS47</f>
        <v>2.2800599999999958</v>
      </c>
      <c r="CT48" s="588">
        <f ca="1">+CT39+CT40-CT45-CT46-CT47</f>
        <v>-1.9340999999999997</v>
      </c>
      <c r="CU48" s="588">
        <f ca="1">-OFFSET('VVP2'!$G$331,0,(COLUMN()-9)/6)-CU11-CU17+CU16+CU18-CU30+CU28+CU24+CU32+CU35+CU40-CU45</f>
        <v>-0.89258000000000104</v>
      </c>
      <c r="CV48" s="589">
        <f ca="1">+CQ48+CU48</f>
        <v>7.6669999999989691E-2</v>
      </c>
      <c r="CW48" s="588">
        <f ca="1">+CW39+CW40-CW45-CW46-CW47</f>
        <v>-0.19374999999999276</v>
      </c>
      <c r="CX48" s="588">
        <f ca="1">+CX39+CX40-CX45-CX46-CX47</f>
        <v>1.0828300000000008</v>
      </c>
      <c r="CY48" s="588">
        <f ca="1">+CY39+CY40-CY45-CY46-CY47</f>
        <v>1.5193500000000029</v>
      </c>
      <c r="CZ48" s="588">
        <f ca="1">+CZ39+CZ40-CZ45-CZ46-CZ47</f>
        <v>-2.7959299999999967</v>
      </c>
      <c r="DA48" s="588">
        <f ca="1">-OFFSET('VVP2'!$G$331,0,(COLUMN()-9)/6)-DA11-DA17+DA16+DA18-DA30+DA28+DA24+DA32+DA35+DA40-DA45</f>
        <v>0.26085000000000047</v>
      </c>
      <c r="DB48" s="589">
        <f ca="1">+CW48+DA48</f>
        <v>6.7100000000007709E-2</v>
      </c>
      <c r="DC48" s="588">
        <f ca="1">+DC39+DC40-DC45-DC46-DC47</f>
        <v>0.64832999999999841</v>
      </c>
      <c r="DD48" s="588">
        <f ca="1">+DD39+DD40-DD45-DD46-DD47</f>
        <v>-0.63365000000000116</v>
      </c>
      <c r="DE48" s="588">
        <f ca="1">+DE39+DE40-DE45-DE46-DE47</f>
        <v>2.3309499999999996</v>
      </c>
      <c r="DF48" s="588">
        <f ca="1">+DF39+DF40-DF45-DF46-DF47</f>
        <v>-1.0489699999999993</v>
      </c>
      <c r="DG48" s="588">
        <f ca="1">-OFFSET('VVP2'!$G$331,0,(COLUMN()-9)/6)-DG11-DG17+DG16+DG18-DG30+DG28+DG24+DG32+DG35+DG40-DG45</f>
        <v>-0.60796000000000083</v>
      </c>
      <c r="DH48" s="589">
        <f ca="1">+DC48+DG48</f>
        <v>4.0369999999997574E-2</v>
      </c>
      <c r="DI48" s="588">
        <f ca="1">+DI39+DI40-DI45-DI46-DI47</f>
        <v>1.5867600000000031</v>
      </c>
      <c r="DJ48" s="588">
        <f ca="1">+DJ39+DJ40-DJ45-DJ46-DJ47</f>
        <v>-0.75928999999999569</v>
      </c>
      <c r="DK48" s="588">
        <f ca="1">+DK39+DK40-DK45-DK46-DK47</f>
        <v>3.2584699999999973</v>
      </c>
      <c r="DL48" s="588">
        <f ca="1">+DL39+DL40-DL45-DL46-DL47</f>
        <v>-0.91240999999999806</v>
      </c>
      <c r="DM48" s="588">
        <f ca="1">-OFFSET('VVP2'!$G$331,0,(COLUMN()-9)/6)-DM11-DM17+DM16+DM18-DM30+DM28+DM24+DM32+DM35+DM40-DM45</f>
        <v>-1.5430999999999986</v>
      </c>
      <c r="DN48" s="589">
        <f ca="1">+DI48+DM48</f>
        <v>4.3660000000004473E-2</v>
      </c>
      <c r="DO48" s="588">
        <f ca="1">+DO39+DO40-DO45-DO46-DO47</f>
        <v>2.4306100000000042</v>
      </c>
      <c r="DP48" s="588">
        <f ca="1">+DP39+DP40-DP45-DP46-DP47</f>
        <v>-0.99271999999999616</v>
      </c>
      <c r="DQ48" s="588">
        <f ca="1">+DQ39+DQ40-DQ45-DQ46-DQ47</f>
        <v>3.6490899999999997</v>
      </c>
      <c r="DR48" s="588">
        <f ca="1">+DR39+DR40-DR45-DR46-DR47</f>
        <v>-0.22576000000000046</v>
      </c>
      <c r="DS48" s="588">
        <f ca="1">-OFFSET('VVP2'!$G$331,0,(COLUMN()-9)/6)-DS11-DS17+DS16+DS18-DS30+DS28+DS24+DS32+DS35+DS40-DS45</f>
        <v>-2.3972500000000014</v>
      </c>
      <c r="DT48" s="589">
        <f ca="1">+DO48+DS48</f>
        <v>3.3360000000002721E-2</v>
      </c>
      <c r="DU48" s="588">
        <f ca="1">+DU39+DU40-DU45-DU46-DU47</f>
        <v>0.35985000000000517</v>
      </c>
      <c r="DV48" s="588">
        <f ca="1">+DV39+DV40-DV45-DV46-DV47</f>
        <v>-1.4375999999999978</v>
      </c>
      <c r="DW48" s="588">
        <f ca="1">+DW39+DW40-DW45-DW46-DW47</f>
        <v>1.889060000000002</v>
      </c>
      <c r="DX48" s="588">
        <f ca="1">+DX39+DX40-DX45-DX46-DX47</f>
        <v>-9.1609999999999428E-2</v>
      </c>
      <c r="DY48" s="588">
        <f ca="1">-OFFSET('VVP2'!$G$331,0,(COLUMN()-9)/6)-DY11-DY17+DY16+DY18-DY30+DY28+DY24+DY32+DY35+DY40-DY45</f>
        <v>-0.32976999999999856</v>
      </c>
      <c r="DZ48" s="589">
        <f ca="1">+DU48+DY48</f>
        <v>3.0080000000006601E-2</v>
      </c>
      <c r="EA48" s="588">
        <f ca="1">+EA39+EA40-EA45-EA46-EA47</f>
        <v>0.33296000000000103</v>
      </c>
      <c r="EB48" s="588">
        <f ca="1">+EB39+EB40-EB45-EB46-EB47</f>
        <v>-1.7251599999999991</v>
      </c>
      <c r="EC48" s="588">
        <f ca="1">+EC39+EC40-EC45-EC46-EC47</f>
        <v>1.9551400000000003</v>
      </c>
      <c r="ED48" s="588">
        <f ca="1">+ED39+ED40-ED45-ED46-ED47</f>
        <v>0.10297999999999988</v>
      </c>
      <c r="EE48" s="588">
        <f ca="1">-OFFSET('VVP2'!$G$331,0,(COLUMN()-9)/6)-EE11-EE17+EE16+EE18-EE30+EE28+EE24+EE32+EE35+EE40-EE45</f>
        <v>-0.31369999999999998</v>
      </c>
      <c r="EF48" s="589">
        <f ca="1">+EA48+EE48</f>
        <v>1.9260000000001054E-2</v>
      </c>
      <c r="EG48" s="588">
        <f ca="1">+EG39+EG40-EG45-EG46-EG47</f>
        <v>0.63673680799999599</v>
      </c>
      <c r="EH48" s="588">
        <f ca="1">+EH39+EH40-EH45-EH46-EH47</f>
        <v>-2.0415153647806354</v>
      </c>
      <c r="EI48" s="588">
        <f ca="1">+EI39+EI40-EI45-EI46-EI47</f>
        <v>2.3431331208203314</v>
      </c>
      <c r="EJ48" s="588">
        <f ca="1">+EJ39+EJ40-EJ45-EJ46-EJ47</f>
        <v>0.33510809708063016</v>
      </c>
      <c r="EK48" s="588">
        <f ca="1">-OFFSET('VVP2'!$G$331,0,(COLUMN()-9)/6)-EK11-EK17+EK16+EK18-EK30+EK28+EK24+EK32+EK35+EK40-EK45</f>
        <v>-0.56568680799999504</v>
      </c>
      <c r="EL48" s="589">
        <f ca="1">+EG48+EK48</f>
        <v>7.1050000000000946E-2</v>
      </c>
      <c r="EM48" s="588">
        <f ca="1">+EM39+EM40-EM45-EM46-EM47</f>
        <v>0.31335475419928316</v>
      </c>
      <c r="EN48" s="588">
        <f ca="1">+EN39+EN40-EN45-EN46-EN47</f>
        <v>-2.2558582550281958</v>
      </c>
      <c r="EO48" s="588">
        <f ca="1">+EO39+EO40-EO45-EO46-EO47</f>
        <v>2.2681252850970415</v>
      </c>
      <c r="EP48" s="588">
        <f ca="1">+EP39+EP40-EP45-EP46-EP47</f>
        <v>0.30107552186732556</v>
      </c>
      <c r="EQ48" s="588">
        <f ca="1">-OFFSET('VVP2'!$G$331,0,(COLUMN()-9)/6)-EQ11-EQ17+EQ16+EQ18-EQ30+EQ28+EQ24+EQ32+EQ35+EQ40-EQ45</f>
        <v>-0.32033206199999326</v>
      </c>
      <c r="ER48" s="3732">
        <f ca="1">+EM48+EQ48</f>
        <v>-6.9773078007100975E-3</v>
      </c>
      <c r="ES48" s="588">
        <f ca="1">+ES39+ES40-ES45-ES46-ES47</f>
        <v>0.23022619894916319</v>
      </c>
      <c r="ET48" s="588">
        <f ca="1">+ET39+ET40-ET45-ET46-ET47</f>
        <v>-2.4590650866566444</v>
      </c>
      <c r="EU48" s="588">
        <f ca="1">+EU39+EU40-EU45-EU46-EU47</f>
        <v>2.408348896171324</v>
      </c>
      <c r="EV48" s="588">
        <f ca="1">+EV39+EV40-EV45-EV46-EV47</f>
        <v>0.28092927478639296</v>
      </c>
      <c r="EW48" s="588">
        <f ca="1">-OFFSET('VVP2'!$G$331,0,(COLUMN()-9)/6)-EW11-EW17+EW16+EW18-EW30+EW28+EW24+EW32+EW35+EW40-EW45</f>
        <v>-0.23766613259460795</v>
      </c>
      <c r="EX48" s="589">
        <f ca="1">+ES48+EW48</f>
        <v>-7.4399336454447629E-3</v>
      </c>
    </row>
    <row r="49" spans="1:154" ht="12.75" customHeight="1">
      <c r="A49" s="590"/>
      <c r="B49" s="3465"/>
      <c r="C49" s="3784" t="s">
        <v>379</v>
      </c>
      <c r="D49" s="3785"/>
      <c r="E49" s="3466"/>
      <c r="F49" s="3467">
        <f ca="1">+F48/E5</f>
        <v>-2.8999823556609305E-2</v>
      </c>
      <c r="G49" s="3467">
        <f ca="1">+G48/E5</f>
        <v>-5.3011579580476802E-2</v>
      </c>
      <c r="H49" s="3467">
        <f ca="1">+H48/E5</f>
        <v>-1.5469062518916199E-2</v>
      </c>
      <c r="I49" s="3467" t="e">
        <f ca="1">+I48/E5</f>
        <v>#VALUE!</v>
      </c>
      <c r="J49" s="592"/>
      <c r="K49" s="3466"/>
      <c r="L49" s="3467">
        <f ca="1">+L48/K5</f>
        <v>-3.7560671803503129E-2</v>
      </c>
      <c r="M49" s="3467">
        <f ca="1">+M48/K5</f>
        <v>-1.5459921866555561E-2</v>
      </c>
      <c r="N49" s="3467">
        <f ca="1">+N48/K5</f>
        <v>-3.2493836310948522E-2</v>
      </c>
      <c r="O49" s="3467" t="e">
        <f ca="1">+O48/K5</f>
        <v>#VALUE!</v>
      </c>
      <c r="P49" s="592"/>
      <c r="Q49" s="3466"/>
      <c r="R49" s="3467">
        <f ca="1">+R48/Q5</f>
        <v>0.10327830820327627</v>
      </c>
      <c r="S49" s="3467">
        <f ca="1">+S48/Q5</f>
        <v>-8.2303140304699374E-2</v>
      </c>
      <c r="T49" s="3467">
        <f ca="1">+T48/Q5</f>
        <v>-0.11753412132367368</v>
      </c>
      <c r="U49" s="3467" t="e">
        <f ca="1">+U48/Q5</f>
        <v>#VALUE!</v>
      </c>
      <c r="V49" s="592"/>
      <c r="W49" s="3466"/>
      <c r="X49" s="3467">
        <f ca="1">+X48/W5</f>
        <v>3.8703851033175594E-3</v>
      </c>
      <c r="Y49" s="3467">
        <f ca="1">+Y48/W5</f>
        <v>-8.9183195156489523E-2</v>
      </c>
      <c r="Z49" s="3467">
        <f ca="1">+Z48/W5</f>
        <v>-3.0324160111073927E-2</v>
      </c>
      <c r="AA49" s="3467" t="e">
        <f ca="1">+AA48/W5</f>
        <v>#VALUE!</v>
      </c>
      <c r="AB49" s="592"/>
      <c r="AC49" s="3466"/>
      <c r="AD49" s="3467">
        <f ca="1">+AD48/AC5</f>
        <v>1.531614023826163E-3</v>
      </c>
      <c r="AE49" s="3467">
        <f ca="1">+AE48/AC5</f>
        <v>-8.0454968817062197E-2</v>
      </c>
      <c r="AF49" s="3467">
        <f ca="1">+AF48/AC5</f>
        <v>-2.8219614728667561E-2</v>
      </c>
      <c r="AG49" s="3467" t="e">
        <f ca="1">+AG48/AC5</f>
        <v>#VALUE!</v>
      </c>
      <c r="AH49" s="592"/>
      <c r="AI49" s="3466"/>
      <c r="AJ49" s="3467">
        <f ca="1">+AJ48/AI5</f>
        <v>2.10380171421988E-2</v>
      </c>
      <c r="AK49" s="3467">
        <f ca="1">+AK48/AI5</f>
        <v>-4.749786433156937E-2</v>
      </c>
      <c r="AL49" s="3467">
        <f ca="1">+AL48/AI5</f>
        <v>-3.1848015212242772E-2</v>
      </c>
      <c r="AM49" s="3467" t="e">
        <f ca="1">+AM48/AI5</f>
        <v>#VALUE!</v>
      </c>
      <c r="AN49" s="592"/>
      <c r="AO49" s="3466"/>
      <c r="AP49" s="3467">
        <f ca="1">+AP48/AO5</f>
        <v>2.446718874607727E-3</v>
      </c>
      <c r="AQ49" s="3467">
        <f ca="1">+AQ48/AO5</f>
        <v>-1.4505597934977717E-2</v>
      </c>
      <c r="AR49" s="3467">
        <f ca="1">+AR48/AO5</f>
        <v>-3.5267131259105647E-2</v>
      </c>
      <c r="AS49" s="3467" t="e">
        <f ca="1">+AS48/AO5</f>
        <v>#VALUE!</v>
      </c>
      <c r="AT49" s="592"/>
      <c r="AU49" s="3466"/>
      <c r="AV49" s="3467">
        <f ca="1">+AV48/AU5</f>
        <v>-3.3278143843937223E-3</v>
      </c>
      <c r="AW49" s="3467">
        <f ca="1">+AW48/AU5</f>
        <v>-2.6246253002038415E-2</v>
      </c>
      <c r="AX49" s="3467">
        <f ca="1">+AX48/AU5</f>
        <v>-1.8551956727230354E-2</v>
      </c>
      <c r="AY49" s="3467" t="e">
        <f ca="1">+AY48/AU5</f>
        <v>#VALUE!</v>
      </c>
      <c r="AZ49" s="592"/>
      <c r="BA49" s="3466"/>
      <c r="BB49" s="3467">
        <f ca="1">+BB48/BA5</f>
        <v>-2.6272941503964344E-2</v>
      </c>
      <c r="BC49" s="3467">
        <f ca="1">+BC48/BA5</f>
        <v>-2.5307646528057594E-2</v>
      </c>
      <c r="BD49" s="3467">
        <f ca="1">+BD48/BA5</f>
        <v>-1.2643624373668115E-2</v>
      </c>
      <c r="BE49" s="3467" t="e">
        <f ca="1">+BE48/BA5</f>
        <v>#VALUE!</v>
      </c>
      <c r="BF49" s="592"/>
      <c r="BG49" s="3466"/>
      <c r="BH49" s="3467">
        <f ca="1">+BH48/BG5</f>
        <v>1.792109978659602E-2</v>
      </c>
      <c r="BI49" s="3467">
        <f ca="1">+BI48/BG5</f>
        <v>-7.0861379602274885E-2</v>
      </c>
      <c r="BJ49" s="3467">
        <f ca="1">+BJ48/BG5</f>
        <v>-1.3922792980701528E-2</v>
      </c>
      <c r="BK49" s="3467" t="e">
        <f ca="1">+BK48/BG5</f>
        <v>#VALUE!</v>
      </c>
      <c r="BL49" s="592"/>
      <c r="BM49" s="3466"/>
      <c r="BN49" s="3467">
        <f ca="1">+BN48/BM5</f>
        <v>-2.6235159398844813E-4</v>
      </c>
      <c r="BO49" s="3467">
        <f ca="1">+BO48/BM5</f>
        <v>-5.7020285825157585E-2</v>
      </c>
      <c r="BP49" s="3467">
        <f ca="1">+BP48/BM5</f>
        <v>-3.4315207583913545E-3</v>
      </c>
      <c r="BQ49" s="3467" t="e">
        <f ca="1">+BQ48/BM5</f>
        <v>#VALUE!</v>
      </c>
      <c r="BR49" s="592"/>
      <c r="BS49" s="3466"/>
      <c r="BT49" s="3467">
        <f ca="1">+BT48/BS5</f>
        <v>1.0865818520398019E-2</v>
      </c>
      <c r="BU49" s="3467">
        <f ca="1">+BU48/BS5</f>
        <v>-9.527899205869976E-2</v>
      </c>
      <c r="BV49" s="3467">
        <f ca="1">+BV48/BS5</f>
        <v>-2.7210228919756457E-3</v>
      </c>
      <c r="BW49" s="3467" t="e">
        <f ca="1">+BW48/BS5</f>
        <v>#VALUE!</v>
      </c>
      <c r="BX49" s="592"/>
      <c r="BY49" s="3466"/>
      <c r="BZ49" s="3467">
        <f ca="1">+BZ48/BY5</f>
        <v>-4.4160153384943543E-2</v>
      </c>
      <c r="CA49" s="3467">
        <f ca="1">+CA48/BY5</f>
        <v>-7.5837463749102052E-2</v>
      </c>
      <c r="CB49" s="3467">
        <f ca="1">+CB48/BY5</f>
        <v>-8.1527072731818438E-3</v>
      </c>
      <c r="CC49" s="3467" t="e">
        <f ca="1">+CC48/BY5</f>
        <v>#VALUE!</v>
      </c>
      <c r="CD49" s="592"/>
      <c r="CE49" s="3466"/>
      <c r="CF49" s="3467">
        <f ca="1">+CF48/CE5</f>
        <v>-4.0192339923685393E-2</v>
      </c>
      <c r="CG49" s="3467">
        <f ca="1">+CG48/CE5</f>
        <v>-4.1624612952910811E-2</v>
      </c>
      <c r="CH49" s="3467">
        <f ca="1">+CH48/CE5</f>
        <v>-3.0829806938281558E-2</v>
      </c>
      <c r="CI49" s="3467">
        <f ca="1">+CI48/CE5</f>
        <v>0.11433563695931157</v>
      </c>
      <c r="CJ49" s="592"/>
      <c r="CK49" s="3466"/>
      <c r="CL49" s="3467">
        <f ca="1">+CL48/CK5</f>
        <v>3.5493090356647711E-3</v>
      </c>
      <c r="CM49" s="3467">
        <f ca="1">+CM48/CK5</f>
        <v>0.15184842519831207</v>
      </c>
      <c r="CN49" s="3467">
        <f ca="1">+CN48/CK5</f>
        <v>-9.1056855030031789E-2</v>
      </c>
      <c r="CO49" s="3467">
        <f ca="1">+CO48/CK5</f>
        <v>-6.2397669633582099E-2</v>
      </c>
      <c r="CP49" s="592"/>
      <c r="CQ49" s="3466"/>
      <c r="CR49" s="3467">
        <f ca="1">+CR48/CQ5</f>
        <v>2.2238388791643519E-2</v>
      </c>
      <c r="CS49" s="3467">
        <f ca="1">+CS48/CQ5</f>
        <v>8.135035175965441E-2</v>
      </c>
      <c r="CT49" s="3467">
        <f ca="1">+CT48/CQ5</f>
        <v>-6.9006831108983036E-2</v>
      </c>
      <c r="CU49" s="3467">
        <f ca="1">+CU48/CQ5</f>
        <v>-3.1846397451660291E-2</v>
      </c>
      <c r="CV49" s="592"/>
      <c r="CW49" s="3466"/>
      <c r="CX49" s="3467">
        <f ca="1">+CX48/CW5</f>
        <v>3.4622507459555994E-2</v>
      </c>
      <c r="CY49" s="3467">
        <f ca="1">+CY48/CW5</f>
        <v>4.8579838671514886E-2</v>
      </c>
      <c r="CZ49" s="3467">
        <f ca="1">+CZ48/CW5</f>
        <v>-8.9397326710006372E-2</v>
      </c>
      <c r="DA49" s="3467">
        <f ca="1">+DA48/CW5</f>
        <v>8.3404422400794129E-3</v>
      </c>
      <c r="DB49" s="592"/>
      <c r="DC49" s="3466"/>
      <c r="DD49" s="3467">
        <f ca="1">+DD48/DC5</f>
        <v>-1.9000866006486684E-2</v>
      </c>
      <c r="DE49" s="3467">
        <f ca="1">+DE48/DC5</f>
        <v>6.9896738921833901E-2</v>
      </c>
      <c r="DF49" s="3467">
        <f ca="1">+DF48/DC5</f>
        <v>-3.1454806935728379E-2</v>
      </c>
      <c r="DG49" s="3467">
        <f ca="1">+DG48/DC5</f>
        <v>-1.823051605350531E-2</v>
      </c>
      <c r="DH49" s="592"/>
      <c r="DI49" s="3466"/>
      <c r="DJ49" s="3467">
        <f ca="1">+DJ48/DI5</f>
        <v>-2.1719038949188439E-2</v>
      </c>
      <c r="DK49" s="3467">
        <f ca="1">+DK48/DI5</f>
        <v>9.3206596747965068E-2</v>
      </c>
      <c r="DL49" s="3467">
        <f ca="1">+DL48/DI5</f>
        <v>-2.609894549859618E-2</v>
      </c>
      <c r="DM49" s="3467">
        <f ca="1">+DM48/DI5</f>
        <v>-4.4139457917913891E-2</v>
      </c>
      <c r="DN49" s="592"/>
      <c r="DO49" s="3466"/>
      <c r="DP49" s="3467">
        <f ca="1">+DP48/DO5</f>
        <v>-2.7147024689156727E-2</v>
      </c>
      <c r="DQ49" s="3467">
        <f ca="1">+DQ48/DO5</f>
        <v>9.9788395844704739E-2</v>
      </c>
      <c r="DR49" s="3467">
        <f ca="1">+DR48/DO5</f>
        <v>-6.1736565132404489E-3</v>
      </c>
      <c r="DS49" s="3467">
        <f ca="1">+DS48/DO5</f>
        <v>-6.5555448601903113E-2</v>
      </c>
      <c r="DT49" s="592"/>
      <c r="DU49" s="3466"/>
      <c r="DV49" s="3467">
        <f ca="1">+DV48/DU5</f>
        <v>-3.841117322674957E-2</v>
      </c>
      <c r="DW49" s="3467">
        <f ca="1">+DW48/DU5</f>
        <v>5.047371375606826E-2</v>
      </c>
      <c r="DX49" s="3468">
        <f ca="1">+DX48/DU5</f>
        <v>-2.4477236917797101E-3</v>
      </c>
      <c r="DY49" s="3467">
        <f ca="1">+DY48/DU5</f>
        <v>-8.8111105975133344E-3</v>
      </c>
      <c r="DZ49" s="592"/>
      <c r="EA49" s="3466"/>
      <c r="EB49" s="3467">
        <f ca="1">+EB48/EA5</f>
        <v>-4.461429925065271E-2</v>
      </c>
      <c r="EC49" s="3467">
        <f ca="1">+EC48/EA5</f>
        <v>5.0561803564261397E-2</v>
      </c>
      <c r="ED49" s="3469">
        <f ca="1">+ED48/EA5</f>
        <v>2.6631619889356424E-3</v>
      </c>
      <c r="EE49" s="3467">
        <f ca="1">+EE48/EA5</f>
        <v>-8.1125841515742071E-3</v>
      </c>
      <c r="EF49" s="592"/>
      <c r="EG49" s="3466"/>
      <c r="EH49" s="3467">
        <f ca="1">+EH48/EG5</f>
        <v>-4.886393393805006E-2</v>
      </c>
      <c r="EI49" s="3467">
        <f ca="1">+EI48/EG5</f>
        <v>5.6083193885794927E-2</v>
      </c>
      <c r="EJ49" s="3467">
        <f ca="1">+EJ48/EG5</f>
        <v>8.0208555861704563E-3</v>
      </c>
      <c r="EK49" s="3467">
        <f ca="1">+EK48/EG5</f>
        <v>-1.353978681356058E-2</v>
      </c>
      <c r="EL49" s="592"/>
      <c r="EM49" s="3466"/>
      <c r="EN49" s="3467">
        <f ca="1">+EN48/EM5</f>
        <v>-5.102417413361602E-2</v>
      </c>
      <c r="EO49" s="3467">
        <f ca="1">+EO48/EM5</f>
        <v>5.1301636193539307E-2</v>
      </c>
      <c r="EP49" s="3467">
        <f ca="1">+EP48/EM5</f>
        <v>6.8098825894252505E-3</v>
      </c>
      <c r="EQ49" s="3467">
        <f ca="1">+EQ48/EM5</f>
        <v>-7.245437019651595E-3</v>
      </c>
      <c r="ER49" s="592"/>
      <c r="ES49" s="3466"/>
      <c r="ET49" s="3467">
        <f ca="1">+ET48/ES5</f>
        <v>-5.2683433057192752E-2</v>
      </c>
      <c r="EU49" s="3467">
        <f ca="1">+EU48/ES5</f>
        <v>5.1596880675619988E-2</v>
      </c>
      <c r="EV49" s="3467">
        <f ca="1">+EV48/ES5</f>
        <v>6.0186770664688747E-3</v>
      </c>
      <c r="EW49" s="3467">
        <f ca="1">+EW48/ES5</f>
        <v>-5.0918000724956905E-3</v>
      </c>
      <c r="EX49" s="592"/>
    </row>
    <row r="50" spans="1:154" ht="60" customHeight="1">
      <c r="C50" s="593"/>
      <c r="E50" s="1053"/>
      <c r="F50" s="3436"/>
      <c r="G50" s="599"/>
      <c r="H50" s="1444"/>
      <c r="I50" s="1192"/>
      <c r="J50" s="3436"/>
      <c r="K50" s="3436"/>
      <c r="L50" s="3436"/>
      <c r="M50" s="3436"/>
      <c r="N50" s="3436"/>
      <c r="O50" s="3436"/>
      <c r="P50" s="3436"/>
      <c r="Q50" s="3436"/>
      <c r="R50" s="3436"/>
      <c r="S50" s="3436"/>
      <c r="T50" s="3436"/>
      <c r="U50" s="3436"/>
      <c r="V50" s="3436"/>
      <c r="W50" s="3436"/>
      <c r="X50" s="3436"/>
      <c r="Y50" s="3436"/>
      <c r="Z50" s="3436"/>
      <c r="AA50" s="3436"/>
      <c r="AB50" s="3436"/>
      <c r="AC50" s="3436"/>
      <c r="AD50" s="3436"/>
      <c r="AE50" s="3436"/>
      <c r="AF50" s="3436"/>
      <c r="AG50" s="3436"/>
      <c r="AH50" s="3436"/>
      <c r="AI50" s="3436"/>
      <c r="AJ50" s="3436"/>
      <c r="AK50" s="3436"/>
      <c r="AL50" s="3436"/>
      <c r="AM50" s="3436"/>
      <c r="AN50" s="3436"/>
      <c r="AO50" s="3436"/>
      <c r="AP50" s="3436"/>
      <c r="AQ50" s="3436"/>
      <c r="AR50" s="3436"/>
      <c r="AS50" s="3436"/>
      <c r="AT50" s="3436"/>
      <c r="AU50" s="3436"/>
      <c r="AV50" s="3436"/>
      <c r="AW50" s="3436"/>
      <c r="AX50" s="3436"/>
      <c r="AY50" s="3436"/>
      <c r="AZ50" s="3436"/>
      <c r="BA50" s="3436"/>
      <c r="BB50" s="3436"/>
      <c r="BC50" s="3436"/>
      <c r="BD50" s="3436"/>
      <c r="BE50" s="3436"/>
      <c r="BF50" s="3436"/>
      <c r="BG50" s="3436"/>
      <c r="BH50" s="3436"/>
      <c r="BI50" s="3436"/>
      <c r="BJ50" s="3436"/>
      <c r="BK50" s="3436"/>
      <c r="BL50" s="3436"/>
      <c r="BM50" s="3436"/>
      <c r="BN50" s="1053"/>
      <c r="BO50" s="3436"/>
      <c r="BP50" s="3436"/>
      <c r="BQ50" s="1444"/>
      <c r="BR50" s="3436"/>
      <c r="BS50" s="3436"/>
      <c r="BT50" s="3436"/>
      <c r="BU50" s="3436"/>
      <c r="BV50" s="3436"/>
      <c r="BW50" s="3436"/>
      <c r="BX50" s="1394"/>
      <c r="BY50" s="1053">
        <f ca="1">+BY5-BY36-BY46-BY47</f>
        <v>-3.811529999999999</v>
      </c>
      <c r="BZ50" s="3436"/>
      <c r="CA50" s="3436"/>
      <c r="CB50" s="3436"/>
      <c r="CC50" s="1053">
        <f ca="1">-OFFSET('VVP2'!$G$331,0,(COLUMN()-9)/6)</f>
        <v>3.8115299999999994</v>
      </c>
      <c r="CD50" s="1053">
        <f ca="1">+CC50+BY50</f>
        <v>0</v>
      </c>
      <c r="CE50" s="3436"/>
      <c r="CF50" s="3436"/>
      <c r="CG50" s="3436"/>
      <c r="CH50" s="3436"/>
      <c r="CI50" s="3436"/>
      <c r="CJ50" s="3436"/>
      <c r="CK50" s="3436"/>
      <c r="CL50" s="3436"/>
      <c r="CM50" s="3436"/>
      <c r="CN50" s="3436"/>
      <c r="CO50" s="3436"/>
      <c r="CP50" s="3436"/>
      <c r="CQ50" s="3436"/>
      <c r="CR50" s="3436"/>
      <c r="CS50" s="3436"/>
      <c r="CT50" s="3436"/>
      <c r="CU50" s="3436"/>
      <c r="CV50" s="3436"/>
      <c r="CW50" s="3436"/>
      <c r="CX50" s="3436"/>
      <c r="CY50" s="3436"/>
      <c r="CZ50" s="3436"/>
      <c r="DA50" s="3436"/>
      <c r="DB50" s="3436"/>
      <c r="DC50" s="3436"/>
      <c r="DD50" s="3436"/>
      <c r="DE50" s="3436"/>
      <c r="DF50" s="3436"/>
      <c r="DG50" s="3436"/>
      <c r="DH50" s="3436"/>
      <c r="DI50" s="3436"/>
      <c r="DJ50" s="3436"/>
      <c r="DK50" s="3436"/>
      <c r="DL50" s="3436"/>
      <c r="DM50" s="3436"/>
      <c r="DN50" s="3436"/>
      <c r="DO50" s="3436"/>
      <c r="DP50" s="3436"/>
      <c r="DQ50" s="3436"/>
      <c r="DR50" s="3436"/>
      <c r="DS50" s="3436"/>
      <c r="DT50" s="3436"/>
      <c r="DU50" s="3436"/>
      <c r="DV50" s="3436"/>
      <c r="DW50" s="3436"/>
      <c r="DX50" s="3436"/>
      <c r="DY50" s="3436"/>
      <c r="DZ50" s="3436"/>
      <c r="EA50" s="3436"/>
      <c r="EB50" s="3436"/>
      <c r="EC50" s="3436"/>
      <c r="ED50" s="3436"/>
      <c r="EE50" s="3436"/>
      <c r="EF50" s="3436"/>
      <c r="EG50" s="3436"/>
      <c r="EH50" s="3421"/>
      <c r="EI50" s="3436"/>
      <c r="EJ50" s="3436"/>
      <c r="EK50" s="3436"/>
      <c r="EL50" s="3436"/>
      <c r="EM50" s="3436"/>
      <c r="EN50" s="3436"/>
      <c r="EO50" s="3436"/>
      <c r="EP50" s="3436"/>
      <c r="EQ50" s="3436"/>
      <c r="ER50" s="3436"/>
    </row>
    <row r="51" spans="1:154">
      <c r="C51" s="593"/>
      <c r="E51" s="3770">
        <f ca="1">+E2</f>
        <v>1995</v>
      </c>
      <c r="F51" s="3771"/>
      <c r="G51" s="3771"/>
      <c r="H51" s="3771"/>
      <c r="I51" s="3771"/>
      <c r="J51" s="3772"/>
      <c r="K51" s="3770">
        <f ca="1">+E51+1</f>
        <v>1996</v>
      </c>
      <c r="L51" s="3771"/>
      <c r="M51" s="3771"/>
      <c r="N51" s="3771"/>
      <c r="O51" s="3771"/>
      <c r="P51" s="3772"/>
      <c r="Q51" s="3770">
        <f ca="1">+K51+1</f>
        <v>1997</v>
      </c>
      <c r="R51" s="3771"/>
      <c r="S51" s="3771"/>
      <c r="T51" s="3771"/>
      <c r="U51" s="3771"/>
      <c r="V51" s="3772"/>
      <c r="W51" s="3770">
        <f ca="1">+Q51+1</f>
        <v>1998</v>
      </c>
      <c r="X51" s="3771"/>
      <c r="Y51" s="3771"/>
      <c r="Z51" s="3771"/>
      <c r="AA51" s="3771"/>
      <c r="AB51" s="3772"/>
      <c r="AC51" s="3770">
        <f ca="1">+W51+1</f>
        <v>1999</v>
      </c>
      <c r="AD51" s="3771"/>
      <c r="AE51" s="3771"/>
      <c r="AF51" s="3771"/>
      <c r="AG51" s="3771"/>
      <c r="AH51" s="3772"/>
      <c r="AI51" s="3770">
        <f ca="1">+AC51+1</f>
        <v>2000</v>
      </c>
      <c r="AJ51" s="3771"/>
      <c r="AK51" s="3771"/>
      <c r="AL51" s="3771"/>
      <c r="AM51" s="3771"/>
      <c r="AN51" s="3772"/>
      <c r="AO51" s="3770">
        <f ca="1">+AI51+1</f>
        <v>2001</v>
      </c>
      <c r="AP51" s="3771"/>
      <c r="AQ51" s="3771"/>
      <c r="AR51" s="3771"/>
      <c r="AS51" s="3771"/>
      <c r="AT51" s="3772"/>
      <c r="AU51" s="3770">
        <f ca="1">+AO51+1</f>
        <v>2002</v>
      </c>
      <c r="AV51" s="3771"/>
      <c r="AW51" s="3771"/>
      <c r="AX51" s="3771"/>
      <c r="AY51" s="3771"/>
      <c r="AZ51" s="3772"/>
      <c r="BA51" s="3770">
        <f ca="1">+AU51+1</f>
        <v>2003</v>
      </c>
      <c r="BB51" s="3771"/>
      <c r="BC51" s="3771"/>
      <c r="BD51" s="3771"/>
      <c r="BE51" s="3771"/>
      <c r="BF51" s="3772"/>
      <c r="BG51" s="3770">
        <f ca="1">+BA51+1</f>
        <v>2004</v>
      </c>
      <c r="BH51" s="3771"/>
      <c r="BI51" s="3771"/>
      <c r="BJ51" s="3771"/>
      <c r="BK51" s="3771"/>
      <c r="BL51" s="3772"/>
      <c r="BM51" s="3770">
        <f ca="1">+BG51+1</f>
        <v>2005</v>
      </c>
      <c r="BN51" s="3771"/>
      <c r="BO51" s="3771"/>
      <c r="BP51" s="3771"/>
      <c r="BQ51" s="3771"/>
      <c r="BR51" s="3772"/>
      <c r="BS51" s="3770">
        <f ca="1">+BM51+1</f>
        <v>2006</v>
      </c>
      <c r="BT51" s="3771"/>
      <c r="BU51" s="3771"/>
      <c r="BV51" s="3771"/>
      <c r="BW51" s="3771"/>
      <c r="BX51" s="3772"/>
      <c r="BY51" s="3770">
        <f ca="1">+BS51+1</f>
        <v>2007</v>
      </c>
      <c r="BZ51" s="3771"/>
      <c r="CA51" s="3771"/>
      <c r="CB51" s="3771"/>
      <c r="CC51" s="3771"/>
      <c r="CD51" s="3772"/>
      <c r="CE51" s="3770">
        <f ca="1">+BY51+1</f>
        <v>2008</v>
      </c>
      <c r="CF51" s="3771"/>
      <c r="CG51" s="3771"/>
      <c r="CH51" s="3771"/>
      <c r="CI51" s="3771"/>
      <c r="CJ51" s="3772"/>
      <c r="CK51" s="3770">
        <f ca="1">+CE51+1</f>
        <v>2009</v>
      </c>
      <c r="CL51" s="3771"/>
      <c r="CM51" s="3771"/>
      <c r="CN51" s="3771"/>
      <c r="CO51" s="3771"/>
      <c r="CP51" s="3772"/>
      <c r="CQ51" s="3770">
        <f ca="1">+CK51+1</f>
        <v>2010</v>
      </c>
      <c r="CR51" s="3771"/>
      <c r="CS51" s="3771"/>
      <c r="CT51" s="3771"/>
      <c r="CU51" s="3771"/>
      <c r="CV51" s="3772"/>
      <c r="CW51" s="3770">
        <f ca="1">+CQ51+1</f>
        <v>2011</v>
      </c>
      <c r="CX51" s="3771"/>
      <c r="CY51" s="3771"/>
      <c r="CZ51" s="3771"/>
      <c r="DA51" s="3771"/>
      <c r="DB51" s="3772"/>
      <c r="DC51" s="3770">
        <f ca="1">+CW51+1</f>
        <v>2012</v>
      </c>
      <c r="DD51" s="3771"/>
      <c r="DE51" s="3771"/>
      <c r="DF51" s="3771"/>
      <c r="DG51" s="3771"/>
      <c r="DH51" s="3772"/>
      <c r="DI51" s="3770">
        <f ca="1">+DC51+1</f>
        <v>2013</v>
      </c>
      <c r="DJ51" s="3771"/>
      <c r="DK51" s="3771"/>
      <c r="DL51" s="3771"/>
      <c r="DM51" s="3771"/>
      <c r="DN51" s="3772"/>
      <c r="DO51" s="3770">
        <f ca="1">+DI51+1</f>
        <v>2014</v>
      </c>
      <c r="DP51" s="3771"/>
      <c r="DQ51" s="3771"/>
      <c r="DR51" s="3771"/>
      <c r="DS51" s="3771"/>
      <c r="DT51" s="3772"/>
      <c r="DU51" s="3770">
        <f ca="1">+DO51+1</f>
        <v>2015</v>
      </c>
      <c r="DV51" s="3771"/>
      <c r="DW51" s="3771"/>
      <c r="DX51" s="3771"/>
      <c r="DY51" s="3771"/>
      <c r="DZ51" s="3772"/>
      <c r="EA51" s="3770">
        <f ca="1">+DU51+1</f>
        <v>2016</v>
      </c>
      <c r="EB51" s="3771"/>
      <c r="EC51" s="3771"/>
      <c r="ED51" s="3771"/>
      <c r="EE51" s="3771"/>
      <c r="EF51" s="3772"/>
      <c r="EG51" s="3770">
        <f ca="1">+EA51+1</f>
        <v>2017</v>
      </c>
      <c r="EH51" s="3771"/>
      <c r="EI51" s="3771"/>
      <c r="EJ51" s="3771"/>
      <c r="EK51" s="3771"/>
      <c r="EL51" s="3772"/>
      <c r="EM51" s="3770">
        <f ca="1">+EG51+1</f>
        <v>2018</v>
      </c>
      <c r="EN51" s="3771"/>
      <c r="EO51" s="3771"/>
      <c r="EP51" s="3771"/>
      <c r="EQ51" s="3771"/>
      <c r="ER51" s="3772"/>
      <c r="ES51" s="3770">
        <f ca="1">+EM51+1</f>
        <v>2019</v>
      </c>
      <c r="ET51" s="3771"/>
      <c r="EU51" s="3771"/>
      <c r="EV51" s="3771"/>
      <c r="EW51" s="3771"/>
      <c r="EX51" s="3772"/>
    </row>
    <row r="52" spans="1:154">
      <c r="C52" s="593"/>
      <c r="D52" s="3470" t="s">
        <v>1189</v>
      </c>
      <c r="E52" s="3773"/>
      <c r="F52" s="3774"/>
      <c r="G52" s="3774"/>
      <c r="H52" s="3774"/>
      <c r="I52" s="3774"/>
      <c r="J52" s="3775"/>
      <c r="K52" s="3773"/>
      <c r="L52" s="3774"/>
      <c r="M52" s="3774"/>
      <c r="N52" s="3774"/>
      <c r="O52" s="3774"/>
      <c r="P52" s="3775"/>
      <c r="Q52" s="3773"/>
      <c r="R52" s="3774"/>
      <c r="S52" s="3774"/>
      <c r="T52" s="3774"/>
      <c r="U52" s="3774"/>
      <c r="V52" s="3775"/>
      <c r="W52" s="3773"/>
      <c r="X52" s="3774"/>
      <c r="Y52" s="3774"/>
      <c r="Z52" s="3774"/>
      <c r="AA52" s="3774"/>
      <c r="AB52" s="3775"/>
      <c r="AC52" s="3773"/>
      <c r="AD52" s="3774"/>
      <c r="AE52" s="3774"/>
      <c r="AF52" s="3774"/>
      <c r="AG52" s="3774"/>
      <c r="AH52" s="3775"/>
      <c r="AI52" s="3773"/>
      <c r="AJ52" s="3774"/>
      <c r="AK52" s="3774"/>
      <c r="AL52" s="3774"/>
      <c r="AM52" s="3774"/>
      <c r="AN52" s="3775"/>
      <c r="AO52" s="3773"/>
      <c r="AP52" s="3774"/>
      <c r="AQ52" s="3774"/>
      <c r="AR52" s="3774"/>
      <c r="AS52" s="3774"/>
      <c r="AT52" s="3775"/>
      <c r="AU52" s="3773"/>
      <c r="AV52" s="3774"/>
      <c r="AW52" s="3774"/>
      <c r="AX52" s="3774"/>
      <c r="AY52" s="3774"/>
      <c r="AZ52" s="3775"/>
      <c r="BA52" s="3773"/>
      <c r="BB52" s="3774"/>
      <c r="BC52" s="3774"/>
      <c r="BD52" s="3774"/>
      <c r="BE52" s="3774"/>
      <c r="BF52" s="3775"/>
      <c r="BG52" s="3773"/>
      <c r="BH52" s="3774"/>
      <c r="BI52" s="3774"/>
      <c r="BJ52" s="3774"/>
      <c r="BK52" s="3774"/>
      <c r="BL52" s="3775"/>
      <c r="BM52" s="3773"/>
      <c r="BN52" s="3774"/>
      <c r="BO52" s="3774"/>
      <c r="BP52" s="3774"/>
      <c r="BQ52" s="3774"/>
      <c r="BR52" s="3775"/>
      <c r="BS52" s="3773"/>
      <c r="BT52" s="3774"/>
      <c r="BU52" s="3774"/>
      <c r="BV52" s="3774"/>
      <c r="BW52" s="3774"/>
      <c r="BX52" s="3775"/>
      <c r="BY52" s="3773"/>
      <c r="BZ52" s="3774"/>
      <c r="CA52" s="3774"/>
      <c r="CB52" s="3774"/>
      <c r="CC52" s="3774"/>
      <c r="CD52" s="3775"/>
      <c r="CE52" s="3773"/>
      <c r="CF52" s="3774"/>
      <c r="CG52" s="3774"/>
      <c r="CH52" s="3774"/>
      <c r="CI52" s="3774"/>
      <c r="CJ52" s="3775"/>
      <c r="CK52" s="3773"/>
      <c r="CL52" s="3774"/>
      <c r="CM52" s="3774"/>
      <c r="CN52" s="3774"/>
      <c r="CO52" s="3774"/>
      <c r="CP52" s="3775"/>
      <c r="CQ52" s="3773"/>
      <c r="CR52" s="3774"/>
      <c r="CS52" s="3774"/>
      <c r="CT52" s="3774"/>
      <c r="CU52" s="3774"/>
      <c r="CV52" s="3775"/>
      <c r="CW52" s="3773"/>
      <c r="CX52" s="3774"/>
      <c r="CY52" s="3774"/>
      <c r="CZ52" s="3774"/>
      <c r="DA52" s="3774"/>
      <c r="DB52" s="3775"/>
      <c r="DC52" s="3773"/>
      <c r="DD52" s="3774"/>
      <c r="DE52" s="3774"/>
      <c r="DF52" s="3774"/>
      <c r="DG52" s="3774"/>
      <c r="DH52" s="3775"/>
      <c r="DI52" s="3773"/>
      <c r="DJ52" s="3774"/>
      <c r="DK52" s="3774"/>
      <c r="DL52" s="3774"/>
      <c r="DM52" s="3774"/>
      <c r="DN52" s="3775"/>
      <c r="DO52" s="3773"/>
      <c r="DP52" s="3774"/>
      <c r="DQ52" s="3774"/>
      <c r="DR52" s="3774"/>
      <c r="DS52" s="3774"/>
      <c r="DT52" s="3775"/>
      <c r="DU52" s="3773"/>
      <c r="DV52" s="3774"/>
      <c r="DW52" s="3774"/>
      <c r="DX52" s="3774"/>
      <c r="DY52" s="3774"/>
      <c r="DZ52" s="3775"/>
      <c r="EA52" s="3773"/>
      <c r="EB52" s="3774"/>
      <c r="EC52" s="3774"/>
      <c r="ED52" s="3774"/>
      <c r="EE52" s="3774"/>
      <c r="EF52" s="3775"/>
      <c r="EG52" s="3773"/>
      <c r="EH52" s="3774"/>
      <c r="EI52" s="3774"/>
      <c r="EJ52" s="3774"/>
      <c r="EK52" s="3774"/>
      <c r="EL52" s="3775"/>
      <c r="EM52" s="3773"/>
      <c r="EN52" s="3774"/>
      <c r="EO52" s="3774"/>
      <c r="EP52" s="3774"/>
      <c r="EQ52" s="3774"/>
      <c r="ER52" s="3775"/>
      <c r="ES52" s="3773"/>
      <c r="ET52" s="3774"/>
      <c r="EU52" s="3774"/>
      <c r="EV52" s="3774"/>
      <c r="EW52" s="3774"/>
      <c r="EX52" s="3775"/>
    </row>
    <row r="53" spans="1:154">
      <c r="C53" s="593"/>
      <c r="E53" s="550" t="s">
        <v>684</v>
      </c>
      <c r="F53" s="550" t="s">
        <v>685</v>
      </c>
      <c r="G53" s="550" t="s">
        <v>686</v>
      </c>
      <c r="H53" s="550" t="s">
        <v>687</v>
      </c>
      <c r="I53" s="550" t="s">
        <v>688</v>
      </c>
      <c r="J53" s="550" t="s">
        <v>689</v>
      </c>
      <c r="K53" s="550" t="s">
        <v>684</v>
      </c>
      <c r="L53" s="550" t="s">
        <v>685</v>
      </c>
      <c r="M53" s="550" t="s">
        <v>686</v>
      </c>
      <c r="N53" s="550" t="s">
        <v>687</v>
      </c>
      <c r="O53" s="550" t="s">
        <v>688</v>
      </c>
      <c r="P53" s="550" t="s">
        <v>689</v>
      </c>
      <c r="Q53" s="550" t="s">
        <v>684</v>
      </c>
      <c r="R53" s="550" t="s">
        <v>685</v>
      </c>
      <c r="S53" s="550" t="s">
        <v>686</v>
      </c>
      <c r="T53" s="550" t="s">
        <v>687</v>
      </c>
      <c r="U53" s="550" t="s">
        <v>688</v>
      </c>
      <c r="V53" s="550" t="s">
        <v>689</v>
      </c>
      <c r="W53" s="550" t="s">
        <v>684</v>
      </c>
      <c r="X53" s="550" t="s">
        <v>685</v>
      </c>
      <c r="Y53" s="550" t="s">
        <v>686</v>
      </c>
      <c r="Z53" s="550" t="s">
        <v>687</v>
      </c>
      <c r="AA53" s="550" t="s">
        <v>688</v>
      </c>
      <c r="AB53" s="550" t="s">
        <v>689</v>
      </c>
      <c r="AC53" s="550" t="s">
        <v>684</v>
      </c>
      <c r="AD53" s="550" t="s">
        <v>685</v>
      </c>
      <c r="AE53" s="550" t="s">
        <v>686</v>
      </c>
      <c r="AF53" s="550" t="s">
        <v>687</v>
      </c>
      <c r="AG53" s="550" t="s">
        <v>688</v>
      </c>
      <c r="AH53" s="550" t="s">
        <v>689</v>
      </c>
      <c r="AI53" s="550" t="s">
        <v>684</v>
      </c>
      <c r="AJ53" s="550" t="s">
        <v>685</v>
      </c>
      <c r="AK53" s="550" t="s">
        <v>686</v>
      </c>
      <c r="AL53" s="550" t="s">
        <v>687</v>
      </c>
      <c r="AM53" s="550" t="s">
        <v>688</v>
      </c>
      <c r="AN53" s="550" t="s">
        <v>689</v>
      </c>
      <c r="AO53" s="550" t="s">
        <v>684</v>
      </c>
      <c r="AP53" s="550" t="s">
        <v>685</v>
      </c>
      <c r="AQ53" s="550" t="s">
        <v>686</v>
      </c>
      <c r="AR53" s="550" t="s">
        <v>687</v>
      </c>
      <c r="AS53" s="550" t="s">
        <v>688</v>
      </c>
      <c r="AT53" s="550" t="s">
        <v>689</v>
      </c>
      <c r="AU53" s="550" t="s">
        <v>684</v>
      </c>
      <c r="AV53" s="550" t="s">
        <v>685</v>
      </c>
      <c r="AW53" s="550" t="s">
        <v>686</v>
      </c>
      <c r="AX53" s="550" t="s">
        <v>687</v>
      </c>
      <c r="AY53" s="550" t="s">
        <v>688</v>
      </c>
      <c r="AZ53" s="550" t="s">
        <v>689</v>
      </c>
      <c r="BA53" s="550" t="s">
        <v>684</v>
      </c>
      <c r="BB53" s="550" t="s">
        <v>685</v>
      </c>
      <c r="BC53" s="550" t="s">
        <v>686</v>
      </c>
      <c r="BD53" s="550" t="s">
        <v>687</v>
      </c>
      <c r="BE53" s="550" t="s">
        <v>688</v>
      </c>
      <c r="BF53" s="550" t="s">
        <v>689</v>
      </c>
      <c r="BG53" s="550" t="s">
        <v>684</v>
      </c>
      <c r="BH53" s="550" t="s">
        <v>685</v>
      </c>
      <c r="BI53" s="550" t="s">
        <v>686</v>
      </c>
      <c r="BJ53" s="550" t="s">
        <v>687</v>
      </c>
      <c r="BK53" s="550" t="s">
        <v>688</v>
      </c>
      <c r="BL53" s="550" t="s">
        <v>689</v>
      </c>
      <c r="BM53" s="550" t="s">
        <v>684</v>
      </c>
      <c r="BN53" s="550" t="s">
        <v>685</v>
      </c>
      <c r="BO53" s="550" t="s">
        <v>686</v>
      </c>
      <c r="BP53" s="550" t="s">
        <v>687</v>
      </c>
      <c r="BQ53" s="550" t="s">
        <v>688</v>
      </c>
      <c r="BR53" s="550" t="s">
        <v>689</v>
      </c>
      <c r="BS53" s="550" t="s">
        <v>684</v>
      </c>
      <c r="BT53" s="550" t="s">
        <v>685</v>
      </c>
      <c r="BU53" s="550" t="s">
        <v>686</v>
      </c>
      <c r="BV53" s="550" t="s">
        <v>687</v>
      </c>
      <c r="BW53" s="550" t="s">
        <v>688</v>
      </c>
      <c r="BX53" s="550" t="s">
        <v>689</v>
      </c>
      <c r="BY53" s="550" t="s">
        <v>684</v>
      </c>
      <c r="BZ53" s="550" t="s">
        <v>685</v>
      </c>
      <c r="CA53" s="550" t="s">
        <v>686</v>
      </c>
      <c r="CB53" s="550" t="s">
        <v>687</v>
      </c>
      <c r="CC53" s="550" t="s">
        <v>688</v>
      </c>
      <c r="CD53" s="550" t="s">
        <v>689</v>
      </c>
      <c r="CE53" s="550" t="s">
        <v>684</v>
      </c>
      <c r="CF53" s="550" t="s">
        <v>685</v>
      </c>
      <c r="CG53" s="550" t="s">
        <v>686</v>
      </c>
      <c r="CH53" s="550" t="s">
        <v>687</v>
      </c>
      <c r="CI53" s="550" t="s">
        <v>688</v>
      </c>
      <c r="CJ53" s="550" t="s">
        <v>689</v>
      </c>
      <c r="CK53" s="550" t="s">
        <v>684</v>
      </c>
      <c r="CL53" s="550" t="s">
        <v>685</v>
      </c>
      <c r="CM53" s="550" t="s">
        <v>686</v>
      </c>
      <c r="CN53" s="550" t="s">
        <v>687</v>
      </c>
      <c r="CO53" s="550" t="s">
        <v>688</v>
      </c>
      <c r="CP53" s="550" t="s">
        <v>689</v>
      </c>
      <c r="CQ53" s="550" t="s">
        <v>684</v>
      </c>
      <c r="CR53" s="550" t="s">
        <v>685</v>
      </c>
      <c r="CS53" s="550" t="s">
        <v>686</v>
      </c>
      <c r="CT53" s="550" t="s">
        <v>687</v>
      </c>
      <c r="CU53" s="550" t="s">
        <v>688</v>
      </c>
      <c r="CV53" s="550" t="s">
        <v>689</v>
      </c>
      <c r="CW53" s="550" t="s">
        <v>684</v>
      </c>
      <c r="CX53" s="550" t="s">
        <v>685</v>
      </c>
      <c r="CY53" s="550" t="s">
        <v>686</v>
      </c>
      <c r="CZ53" s="550" t="s">
        <v>687</v>
      </c>
      <c r="DA53" s="550" t="s">
        <v>688</v>
      </c>
      <c r="DB53" s="550" t="s">
        <v>689</v>
      </c>
      <c r="DC53" s="550" t="s">
        <v>684</v>
      </c>
      <c r="DD53" s="550" t="s">
        <v>685</v>
      </c>
      <c r="DE53" s="550" t="s">
        <v>686</v>
      </c>
      <c r="DF53" s="550" t="s">
        <v>687</v>
      </c>
      <c r="DG53" s="550" t="s">
        <v>688</v>
      </c>
      <c r="DH53" s="550" t="s">
        <v>689</v>
      </c>
      <c r="DI53" s="550" t="s">
        <v>684</v>
      </c>
      <c r="DJ53" s="550" t="s">
        <v>685</v>
      </c>
      <c r="DK53" s="550" t="s">
        <v>686</v>
      </c>
      <c r="DL53" s="550" t="s">
        <v>687</v>
      </c>
      <c r="DM53" s="550" t="s">
        <v>688</v>
      </c>
      <c r="DN53" s="550" t="s">
        <v>689</v>
      </c>
      <c r="DO53" s="550" t="s">
        <v>684</v>
      </c>
      <c r="DP53" s="550" t="s">
        <v>685</v>
      </c>
      <c r="DQ53" s="550" t="s">
        <v>686</v>
      </c>
      <c r="DR53" s="550" t="s">
        <v>687</v>
      </c>
      <c r="DS53" s="550" t="s">
        <v>688</v>
      </c>
      <c r="DT53" s="550" t="s">
        <v>689</v>
      </c>
      <c r="DU53" s="550" t="s">
        <v>684</v>
      </c>
      <c r="DV53" s="550" t="s">
        <v>685</v>
      </c>
      <c r="DW53" s="550" t="s">
        <v>686</v>
      </c>
      <c r="DX53" s="550" t="s">
        <v>687</v>
      </c>
      <c r="DY53" s="550" t="s">
        <v>688</v>
      </c>
      <c r="DZ53" s="550" t="s">
        <v>689</v>
      </c>
      <c r="EA53" s="550" t="s">
        <v>684</v>
      </c>
      <c r="EB53" s="550" t="s">
        <v>685</v>
      </c>
      <c r="EC53" s="550" t="s">
        <v>686</v>
      </c>
      <c r="ED53" s="550" t="s">
        <v>687</v>
      </c>
      <c r="EE53" s="550" t="s">
        <v>688</v>
      </c>
      <c r="EF53" s="550" t="s">
        <v>689</v>
      </c>
      <c r="EG53" s="550" t="s">
        <v>684</v>
      </c>
      <c r="EH53" s="550" t="s">
        <v>685</v>
      </c>
      <c r="EI53" s="550" t="s">
        <v>686</v>
      </c>
      <c r="EJ53" s="550" t="s">
        <v>687</v>
      </c>
      <c r="EK53" s="550" t="s">
        <v>688</v>
      </c>
      <c r="EL53" s="550" t="s">
        <v>689</v>
      </c>
      <c r="EM53" s="550" t="s">
        <v>684</v>
      </c>
      <c r="EN53" s="550" t="s">
        <v>685</v>
      </c>
      <c r="EO53" s="550" t="s">
        <v>686</v>
      </c>
      <c r="EP53" s="550" t="s">
        <v>687</v>
      </c>
      <c r="EQ53" s="550" t="s">
        <v>688</v>
      </c>
      <c r="ER53" s="550" t="s">
        <v>689</v>
      </c>
      <c r="ES53" s="550" t="s">
        <v>684</v>
      </c>
      <c r="ET53" s="550" t="s">
        <v>685</v>
      </c>
      <c r="EU53" s="550" t="s">
        <v>686</v>
      </c>
      <c r="EV53" s="550" t="s">
        <v>687</v>
      </c>
      <c r="EW53" s="550" t="s">
        <v>688</v>
      </c>
      <c r="EX53" s="550" t="s">
        <v>689</v>
      </c>
    </row>
    <row r="54" spans="1:154">
      <c r="B54" s="3438"/>
      <c r="C54" s="3781" t="s">
        <v>1765</v>
      </c>
      <c r="D54" s="3782"/>
      <c r="E54" s="3471"/>
      <c r="F54" s="3472"/>
      <c r="G54" s="3472"/>
      <c r="H54" s="3472"/>
      <c r="I54" s="3472"/>
      <c r="J54" s="3441"/>
      <c r="K54" s="3471">
        <f t="shared" ref="K54:O61" ca="1" si="13">IF(K5="","",IF(E5=0,"N",(K5/E5-1)*100))</f>
        <v>25.109311188185245</v>
      </c>
      <c r="L54" s="3472" t="str">
        <f t="shared" si="13"/>
        <v/>
      </c>
      <c r="M54" s="3472" t="str">
        <f t="shared" si="13"/>
        <v/>
      </c>
      <c r="N54" s="3472" t="str">
        <f t="shared" si="13"/>
        <v/>
      </c>
      <c r="O54" s="3472" t="str">
        <f t="shared" si="13"/>
        <v/>
      </c>
      <c r="P54" s="3441"/>
      <c r="Q54" s="3471">
        <f t="shared" ref="Q54:U61" ca="1" si="14">IF(Q5="","",IF(K5=0,"N",(Q5/K5-1)*100))</f>
        <v>20.693421452211467</v>
      </c>
      <c r="R54" s="3472" t="str">
        <f t="shared" si="14"/>
        <v/>
      </c>
      <c r="S54" s="3472" t="str">
        <f t="shared" si="14"/>
        <v/>
      </c>
      <c r="T54" s="3472" t="str">
        <f t="shared" si="14"/>
        <v/>
      </c>
      <c r="U54" s="3472" t="str">
        <f t="shared" si="14"/>
        <v/>
      </c>
      <c r="V54" s="3441"/>
      <c r="W54" s="3471">
        <f t="shared" ref="W54:AA61" ca="1" si="15">IF(W5="","",IF(Q5=0,"N",(W5/Q5-1)*100))</f>
        <v>11.067744538285318</v>
      </c>
      <c r="X54" s="3472" t="str">
        <f t="shared" si="15"/>
        <v/>
      </c>
      <c r="Y54" s="3472" t="str">
        <f t="shared" si="15"/>
        <v/>
      </c>
      <c r="Z54" s="3472" t="str">
        <f t="shared" si="15"/>
        <v/>
      </c>
      <c r="AA54" s="3472" t="str">
        <f t="shared" si="15"/>
        <v/>
      </c>
      <c r="AB54" s="3441"/>
      <c r="AC54" s="3471">
        <f t="shared" ref="AC54:AG61" ca="1" si="16">IF(AC5="","",IF(W5=0,"N",(AC5/W5-1)*100))</f>
        <v>-2.3796724916986367</v>
      </c>
      <c r="AD54" s="3472" t="str">
        <f t="shared" si="16"/>
        <v/>
      </c>
      <c r="AE54" s="3472" t="str">
        <f t="shared" si="16"/>
        <v/>
      </c>
      <c r="AF54" s="3472" t="str">
        <f t="shared" si="16"/>
        <v/>
      </c>
      <c r="AG54" s="3472" t="str">
        <f t="shared" si="16"/>
        <v/>
      </c>
      <c r="AH54" s="3441"/>
      <c r="AI54" s="3471">
        <f t="shared" ref="AI54:AM61" ca="1" si="17">IF(AI5="","",IF(AC5=0,"N",(AI5/AC5-1)*100))</f>
        <v>5.1612324654973785</v>
      </c>
      <c r="AJ54" s="3472" t="str">
        <f t="shared" si="17"/>
        <v/>
      </c>
      <c r="AK54" s="3472" t="str">
        <f t="shared" si="17"/>
        <v/>
      </c>
      <c r="AL54" s="3472" t="str">
        <f t="shared" si="17"/>
        <v/>
      </c>
      <c r="AM54" s="3472" t="str">
        <f t="shared" si="17"/>
        <v/>
      </c>
      <c r="AN54" s="3441"/>
      <c r="AO54" s="3471">
        <f t="shared" ref="AO54:AS61" ca="1" si="18">IF(AO5="","",IF(AI5=0,"N",(AO5/AI5-1)*100))</f>
        <v>6.18139492436518</v>
      </c>
      <c r="AP54" s="3472" t="str">
        <f t="shared" si="18"/>
        <v/>
      </c>
      <c r="AQ54" s="3472" t="str">
        <f t="shared" si="18"/>
        <v/>
      </c>
      <c r="AR54" s="3472" t="str">
        <f t="shared" si="18"/>
        <v/>
      </c>
      <c r="AS54" s="3472" t="str">
        <f t="shared" si="18"/>
        <v/>
      </c>
      <c r="AT54" s="3441"/>
      <c r="AU54" s="3471">
        <f t="shared" ref="AU54:AY61" ca="1" si="19">IF(AU5="","",IF(AO5=0,"N",(AU5/AO5-1)*100))</f>
        <v>7.0988663230598936</v>
      </c>
      <c r="AV54" s="3472" t="str">
        <f t="shared" si="19"/>
        <v/>
      </c>
      <c r="AW54" s="3472" t="str">
        <f t="shared" si="19"/>
        <v/>
      </c>
      <c r="AX54" s="3472" t="str">
        <f t="shared" si="19"/>
        <v/>
      </c>
      <c r="AY54" s="3472" t="str">
        <f t="shared" si="19"/>
        <v/>
      </c>
      <c r="AZ54" s="3441"/>
      <c r="BA54" s="3471">
        <f t="shared" ref="BA54:BE61" ca="1" si="20">IF(BA5="","",IF(AU5=0,"N",(BA5/AU5-1)*100))</f>
        <v>9.645399308125068</v>
      </c>
      <c r="BB54" s="3472" t="str">
        <f t="shared" si="20"/>
        <v/>
      </c>
      <c r="BC54" s="3472" t="str">
        <f t="shared" si="20"/>
        <v/>
      </c>
      <c r="BD54" s="3472" t="str">
        <f t="shared" si="20"/>
        <v/>
      </c>
      <c r="BE54" s="3472" t="str">
        <f t="shared" si="20"/>
        <v/>
      </c>
      <c r="BF54" s="3441"/>
      <c r="BG54" s="3471">
        <f t="shared" ref="BG54:BG66" ca="1" si="21">IF(BG5="","",IF(BA5=0,"N",(BG5/BA5-1)*100))</f>
        <v>9.4144157115705784</v>
      </c>
      <c r="BH54" s="3472" t="str">
        <f t="shared" ref="BH54:BH66" si="22">IF(BH5="","",IF(BB5=0,"N",(BH5/BB5-1)*100))</f>
        <v/>
      </c>
      <c r="BI54" s="3472" t="str">
        <f t="shared" ref="BI54:BI66" si="23">IF(BI5="","",IF(BC5=0,"N",(BI5/BC5-1)*100))</f>
        <v/>
      </c>
      <c r="BJ54" s="3472" t="str">
        <f t="shared" ref="BJ54:BJ66" si="24">IF(BJ5="","",IF(BD5=0,"N",(BJ5/BD5-1)*100))</f>
        <v/>
      </c>
      <c r="BK54" s="3472" t="str">
        <f t="shared" ref="BK54:BK61" si="25">IF(BK5="","",IF(BE5=0,"N",(BK5/BE5-1)*100))</f>
        <v/>
      </c>
      <c r="BL54" s="3441"/>
      <c r="BM54" s="3471">
        <f t="shared" ref="BM54:BQ61" ca="1" si="26">IF(BM5="","",IF(BG5=0,"N",(BM5/BG5-1)*100))</f>
        <v>15.158857576495311</v>
      </c>
      <c r="BN54" s="3472" t="str">
        <f t="shared" si="26"/>
        <v/>
      </c>
      <c r="BO54" s="3472" t="str">
        <f t="shared" si="26"/>
        <v/>
      </c>
      <c r="BP54" s="3472" t="str">
        <f t="shared" si="26"/>
        <v/>
      </c>
      <c r="BQ54" s="3472" t="str">
        <f t="shared" si="26"/>
        <v/>
      </c>
      <c r="BR54" s="3441"/>
      <c r="BS54" s="3471">
        <f t="shared" ref="BS54:BW61" ca="1" si="27">IF(BS5="","",IF(BM5=0,"N",(BS5/BM5-1)*100))</f>
        <v>14.649932031415535</v>
      </c>
      <c r="BT54" s="3472" t="str">
        <f t="shared" si="27"/>
        <v/>
      </c>
      <c r="BU54" s="3472" t="str">
        <f t="shared" si="27"/>
        <v/>
      </c>
      <c r="BV54" s="3472" t="str">
        <f t="shared" si="27"/>
        <v/>
      </c>
      <c r="BW54" s="3472" t="str">
        <f t="shared" si="27"/>
        <v/>
      </c>
      <c r="BX54" s="3441"/>
      <c r="BY54" s="3471">
        <f t="shared" ref="BY54:CC61" ca="1" si="28">IF(BY5="","",IF(BS5=0,"N",(BY5/BS5-1)*100))</f>
        <v>20.604854484247383</v>
      </c>
      <c r="BZ54" s="3472" t="str">
        <f t="shared" si="28"/>
        <v/>
      </c>
      <c r="CA54" s="3472" t="str">
        <f t="shared" si="28"/>
        <v/>
      </c>
      <c r="CB54" s="3472" t="str">
        <f t="shared" si="28"/>
        <v/>
      </c>
      <c r="CC54" s="3472" t="str">
        <f t="shared" si="28"/>
        <v/>
      </c>
      <c r="CD54" s="3441"/>
      <c r="CE54" s="3471">
        <f t="shared" ref="CE54:CE66" ca="1" si="29">IF(CE5="","",IF(BY5=0,"N",(CE5/BY5-1)*100))</f>
        <v>12.587937051017439</v>
      </c>
      <c r="CF54" s="3472" t="str">
        <f t="shared" ref="CF54:CF66" si="30">IF(CF5="","",IF(BZ5=0,"N",(CF5/BZ5-1)*100))</f>
        <v/>
      </c>
      <c r="CG54" s="3472" t="str">
        <f t="shared" ref="CG54:CG66" si="31">IF(CG5="","",IF(CA5=0,"N",(CG5/CA5-1)*100))</f>
        <v/>
      </c>
      <c r="CH54" s="3472" t="str">
        <f t="shared" ref="CH54:CH66" si="32">IF(CH5="","",IF(CB5=0,"N",(CH5/CB5-1)*100))</f>
        <v/>
      </c>
      <c r="CI54" s="3472" t="str">
        <f t="shared" ref="CI54:CI61" si="33">IF(CI5="","",IF(CC5=0,"N",(CI5/CC5-1)*100))</f>
        <v/>
      </c>
      <c r="CJ54" s="3441"/>
      <c r="CK54" s="3471">
        <f t="shared" ref="CK54:CK68" ca="1" si="34">IF(CK5="","",IF(CE5=0,"N",(CK5/CE5-1)*100))</f>
        <v>-17.621148338587766</v>
      </c>
      <c r="CL54" s="3472" t="str">
        <f t="shared" ref="CL54:CL68" si="35">IF(CL5="","",IF(CF5=0,"N",(CL5/CF5-1)*100))</f>
        <v/>
      </c>
      <c r="CM54" s="3472" t="str">
        <f t="shared" ref="CM54:CM68" si="36">IF(CM5="","",IF(CG5=0,"N",(CM5/CG5-1)*100))</f>
        <v/>
      </c>
      <c r="CN54" s="3472" t="str">
        <f t="shared" ref="CN54:CN68" si="37">IF(CN5="","",IF(CH5=0,"N",(CN5/CH5-1)*100))</f>
        <v/>
      </c>
      <c r="CO54" s="3472" t="str">
        <f t="shared" ref="CO54:CO61" si="38">IF(CO5="","",IF(CI5=0,"N",(CO5/CI5-1)*100))</f>
        <v/>
      </c>
      <c r="CP54" s="3441"/>
      <c r="CQ54" s="3471">
        <f t="shared" ref="CQ54:CQ68" ca="1" si="39">IF(CQ5="","",IF(CK5=0,"N",(CQ5/CK5-1)*100))</f>
        <v>4.0573502997235611</v>
      </c>
      <c r="CR54" s="3472" t="str">
        <f t="shared" ref="CR54:CR68" si="40">IF(CR5="","",IF(CL5=0,"N",(CR5/CL5-1)*100))</f>
        <v/>
      </c>
      <c r="CS54" s="3472" t="str">
        <f t="shared" ref="CS54:CS68" si="41">IF(CS5="","",IF(CM5=0,"N",(CS5/CM5-1)*100))</f>
        <v/>
      </c>
      <c r="CT54" s="3472" t="str">
        <f t="shared" ref="CT54:CT93" si="42">IF(CT5="","",IF(CN5=0,"N",(CT5/CN5-1)*100))</f>
        <v/>
      </c>
      <c r="CU54" s="3472" t="str">
        <f t="shared" ref="CU54:CU61" si="43">IF(CU5="","",IF(CO5=0,"N",(CU5/CO5-1)*100))</f>
        <v/>
      </c>
      <c r="CV54" s="3441"/>
      <c r="CW54" s="3471">
        <f t="shared" ref="CW54:CW68" ca="1" si="44">IF(CW5="","",IF(CQ5=0,"N",(CW5/CQ5-1)*100))</f>
        <v>11.587339078610203</v>
      </c>
      <c r="CX54" s="3472" t="str">
        <f t="shared" ref="CX54:CX68" si="45">IF(CX5="","",IF(CR5=0,"N",(CX5/CR5-1)*100))</f>
        <v/>
      </c>
      <c r="CY54" s="3472" t="str">
        <f t="shared" ref="CY54:CY68" si="46">IF(CY5="","",IF(CS5=0,"N",(CY5/CS5-1)*100))</f>
        <v/>
      </c>
      <c r="CZ54" s="3472" t="str">
        <f t="shared" ref="CZ54:CZ93" si="47">IF(CZ5="","",IF(CT5=0,"N",(CZ5/CT5-1)*100))</f>
        <v/>
      </c>
      <c r="DA54" s="3472" t="str">
        <f t="shared" ref="DA54:DA61" si="48">IF(DA5="","",IF(CU5=0,"N",(DA5/CU5-1)*100))</f>
        <v/>
      </c>
      <c r="DB54" s="3441"/>
      <c r="DC54" s="3471">
        <f t="shared" ref="DC54:DC68" ca="1" si="49">IF(DC5="","",IF(CW5=0,"N",(DC5/CW5-1)*100))</f>
        <v>6.6287411287878184</v>
      </c>
      <c r="DD54" s="3472" t="str">
        <f t="shared" ref="DD54:DD68" si="50">IF(DD5="","",IF(CX5=0,"N",(DD5/CX5-1)*100))</f>
        <v/>
      </c>
      <c r="DE54" s="3472" t="str">
        <f t="shared" ref="DE54:DE68" si="51">IF(DE5="","",IF(CY5=0,"N",(DE5/CY5-1)*100))</f>
        <v/>
      </c>
      <c r="DF54" s="3472" t="str">
        <f t="shared" ref="DF54:DF93" si="52">IF(DF5="","",IF(CZ5=0,"N",(DF5/CZ5-1)*100))</f>
        <v/>
      </c>
      <c r="DG54" s="3472" t="str">
        <f t="shared" ref="DG54:DG61" si="53">IF(DG5="","",IF(DA5=0,"N",(DG5/DA5-1)*100))</f>
        <v/>
      </c>
      <c r="DH54" s="3441"/>
      <c r="DI54" s="3471">
        <f t="shared" ref="DI54:DI68" ca="1" si="54">IF(DI5="","",IF(DC5=0,"N",(DI5/DC5-1)*100))</f>
        <v>4.8313146506227644</v>
      </c>
      <c r="DJ54" s="3472" t="str">
        <f t="shared" ref="DJ54:DJ68" si="55">IF(DJ5="","",IF(DD5=0,"N",(DJ5/DD5-1)*100))</f>
        <v/>
      </c>
      <c r="DK54" s="3472" t="str">
        <f t="shared" ref="DK54:DK68" si="56">IF(DK5="","",IF(DE5=0,"N",(DK5/DE5-1)*100))</f>
        <v/>
      </c>
      <c r="DL54" s="3472" t="str">
        <f t="shared" ref="DL54:DL93" si="57">IF(DL5="","",IF(DF5=0,"N",(DL5/DF5-1)*100))</f>
        <v/>
      </c>
      <c r="DM54" s="3472" t="str">
        <f t="shared" ref="DM54:DM61" si="58">IF(DM5="","",IF(DG5=0,"N",(DM5/DG5-1)*100))</f>
        <v/>
      </c>
      <c r="DN54" s="3441"/>
      <c r="DO54" s="3471">
        <f t="shared" ref="DO54:DO68" ca="1" si="59">IF(DO5="","",IF(DI5=0,"N",(DO5/DI5-1)*100))</f>
        <v>4.6013904601447608</v>
      </c>
      <c r="DP54" s="3472" t="str">
        <f t="shared" ref="DP54:DP68" si="60">IF(DP5="","",IF(DJ5=0,"N",(DP5/DJ5-1)*100))</f>
        <v/>
      </c>
      <c r="DQ54" s="3472" t="str">
        <f t="shared" ref="DQ54:DQ68" si="61">IF(DQ5="","",IF(DK5=0,"N",(DQ5/DK5-1)*100))</f>
        <v/>
      </c>
      <c r="DR54" s="3472" t="str">
        <f t="shared" ref="DR54:DR93" si="62">IF(DR5="","",IF(DL5=0,"N",(DR5/DL5-1)*100))</f>
        <v/>
      </c>
      <c r="DS54" s="3472" t="str">
        <f t="shared" ref="DS54:DS61" si="63">IF(DS5="","",IF(DM5=0,"N",(DS5/DM5-1)*100))</f>
        <v/>
      </c>
      <c r="DT54" s="3441"/>
      <c r="DU54" s="3471">
        <f t="shared" ref="DU54:DU68" ca="1" si="64">IF(DU5="","",IF(DO5=0,"N",(DU5/DO5-1)*100))</f>
        <v>2.3471981728427016</v>
      </c>
      <c r="DV54" s="3472" t="str">
        <f t="shared" ref="DV54:DV68" si="65">IF(DV5="","",IF(DP5=0,"N",(DV5/DP5-1)*100))</f>
        <v/>
      </c>
      <c r="DW54" s="3472" t="str">
        <f t="shared" ref="DW54:DW68" si="66">IF(DW5="","",IF(DQ5=0,"N",(DW5/DQ5-1)*100))</f>
        <v/>
      </c>
      <c r="DX54" s="3472" t="str">
        <f t="shared" ref="DX54:DX93" si="67">IF(DX5="","",IF(DR5=0,"N",(DX5/DR5-1)*100))</f>
        <v/>
      </c>
      <c r="DY54" s="3472" t="str">
        <f t="shared" ref="DY54:DY61" si="68">IF(DY5="","",IF(DS5=0,"N",(DY5/DS5-1)*100))</f>
        <v/>
      </c>
      <c r="DZ54" s="3441"/>
      <c r="EA54" s="3471">
        <f t="shared" ref="EA54:EA68" ca="1" si="69">IF(EA5="","",IF(DU5=0,"N",(EA5/DU5-1)*100))</f>
        <v>3.3177196652328211</v>
      </c>
      <c r="EB54" s="3472" t="str">
        <f t="shared" ref="EB54:EB68" si="70">IF(EB5="","",IF(DV5=0,"N",(EB5/DV5-1)*100))</f>
        <v/>
      </c>
      <c r="EC54" s="3472" t="str">
        <f t="shared" ref="EC54:EC68" si="71">IF(EC5="","",IF(DW5=0,"N",(EC5/DW5-1)*100))</f>
        <v/>
      </c>
      <c r="ED54" s="3472" t="str">
        <f t="shared" ref="ED54:ED93" si="72">IF(ED5="","",IF(DX5=0,"N",(ED5/DX5-1)*100))</f>
        <v/>
      </c>
      <c r="EE54" s="3472" t="str">
        <f t="shared" ref="EE54:EE61" si="73">IF(EE5="","",IF(DY5=0,"N",(EE5/DY5-1)*100))</f>
        <v/>
      </c>
      <c r="EF54" s="3441"/>
      <c r="EG54" s="3471">
        <f t="shared" ref="EG54:EG68" ca="1" si="74">IF(EG5="","",IF(EA5=0,"N",(EG5/EA5-1)*100))</f>
        <v>8.0460565455083621</v>
      </c>
      <c r="EH54" s="3472" t="str">
        <f t="shared" ref="EH54:EH68" si="75">IF(EH5="","",IF(EB5=0,"N",(EH5/EB5-1)*100))</f>
        <v/>
      </c>
      <c r="EI54" s="3472" t="str">
        <f t="shared" ref="EI54:EI68" si="76">IF(EI5="","",IF(EC5=0,"N",(EI5/EC5-1)*100))</f>
        <v/>
      </c>
      <c r="EJ54" s="3472" t="str">
        <f t="shared" ref="EJ54:EJ93" si="77">IF(EJ5="","",IF(ED5=0,"N",(EJ5/ED5-1)*100))</f>
        <v/>
      </c>
      <c r="EK54" s="3472" t="str">
        <f t="shared" ref="EK54:EK61" si="78">IF(EK5="","",IF(EE5=0,"N",(EK5/EE5-1)*100))</f>
        <v/>
      </c>
      <c r="EL54" s="3441"/>
      <c r="EM54" s="3471">
        <f t="shared" ref="EM54:EM68" ca="1" si="79">IF(EM5="","",IF(EG5=0,"N",(EM5/EG5-1)*100))</f>
        <v>5.8209360905068452</v>
      </c>
      <c r="EN54" s="3472" t="str">
        <f t="shared" ref="EN54:EN68" si="80">IF(EN5="","",IF(EH5=0,"N",(EN5/EH5-1)*100))</f>
        <v/>
      </c>
      <c r="EO54" s="3472" t="str">
        <f t="shared" ref="EO54:EO68" si="81">IF(EO5="","",IF(EI5=0,"N",(EO5/EI5-1)*100))</f>
        <v/>
      </c>
      <c r="EP54" s="3472" t="str">
        <f t="shared" ref="EP54:EP93" si="82">IF(EP5="","",IF(EJ5=0,"N",(EP5/EJ5-1)*100))</f>
        <v/>
      </c>
      <c r="EQ54" s="3472" t="str">
        <f t="shared" ref="EQ54:EQ61" si="83">IF(EQ5="","",IF(EK5=0,"N",(EQ5/EK5-1)*100))</f>
        <v/>
      </c>
      <c r="ER54" s="3441"/>
      <c r="ES54" s="3471">
        <f t="shared" ref="ES54:ES68" ca="1" si="84">IF(ES5="","",IF(EM5=0,"N",(ES5/EM5-1)*100))</f>
        <v>5.5747672617397104</v>
      </c>
      <c r="ET54" s="3472" t="str">
        <f t="shared" ref="ET54:ET68" si="85">IF(ET5="","",IF(EN5=0,"N",(ET5/EN5-1)*100))</f>
        <v/>
      </c>
      <c r="EU54" s="3472" t="str">
        <f t="shared" ref="EU54:EU68" si="86">IF(EU5="","",IF(EO5=0,"N",(EU5/EO5-1)*100))</f>
        <v/>
      </c>
      <c r="EV54" s="3472" t="str">
        <f t="shared" ref="EV54:EV93" si="87">IF(EV5="","",IF(EP5=0,"N",(EV5/EP5-1)*100))</f>
        <v/>
      </c>
      <c r="EW54" s="3472" t="str">
        <f t="shared" ref="EW54:EW61" si="88">IF(EW5="","",IF(EQ5=0,"N",(EW5/EQ5-1)*100))</f>
        <v/>
      </c>
      <c r="EX54" s="3441"/>
    </row>
    <row r="55" spans="1:154">
      <c r="B55" s="600" t="s">
        <v>401</v>
      </c>
      <c r="C55" s="3779" t="s">
        <v>1902</v>
      </c>
      <c r="D55" s="3780"/>
      <c r="E55" s="3473"/>
      <c r="F55" s="3474"/>
      <c r="G55" s="3474"/>
      <c r="H55" s="3474"/>
      <c r="I55" s="3475"/>
      <c r="J55" s="3441"/>
      <c r="K55" s="3473">
        <f t="shared" ca="1" si="13"/>
        <v>18.891757740334313</v>
      </c>
      <c r="L55" s="3474" t="str">
        <f t="shared" si="13"/>
        <v/>
      </c>
      <c r="M55" s="3474" t="str">
        <f t="shared" si="13"/>
        <v/>
      </c>
      <c r="N55" s="3474" t="str">
        <f t="shared" si="13"/>
        <v/>
      </c>
      <c r="O55" s="3475" t="str">
        <f t="shared" si="13"/>
        <v/>
      </c>
      <c r="P55" s="3441"/>
      <c r="Q55" s="3473">
        <f t="shared" ca="1" si="14"/>
        <v>41.561748214436143</v>
      </c>
      <c r="R55" s="3474" t="str">
        <f t="shared" si="14"/>
        <v/>
      </c>
      <c r="S55" s="3474" t="str">
        <f t="shared" si="14"/>
        <v/>
      </c>
      <c r="T55" s="3474" t="str">
        <f t="shared" si="14"/>
        <v/>
      </c>
      <c r="U55" s="3475" t="str">
        <f t="shared" si="14"/>
        <v/>
      </c>
      <c r="V55" s="3441"/>
      <c r="W55" s="3473">
        <f t="shared" ca="1" si="15"/>
        <v>13.594614789491445</v>
      </c>
      <c r="X55" s="3474" t="str">
        <f t="shared" si="15"/>
        <v/>
      </c>
      <c r="Y55" s="3474" t="str">
        <f t="shared" si="15"/>
        <v/>
      </c>
      <c r="Z55" s="3474" t="str">
        <f t="shared" si="15"/>
        <v/>
      </c>
      <c r="AA55" s="3475" t="str">
        <f t="shared" si="15"/>
        <v/>
      </c>
      <c r="AB55" s="3441"/>
      <c r="AC55" s="3473">
        <f t="shared" ca="1" si="16"/>
        <v>-3.690595385009432</v>
      </c>
      <c r="AD55" s="3474" t="str">
        <f t="shared" si="16"/>
        <v/>
      </c>
      <c r="AE55" s="3474" t="str">
        <f t="shared" si="16"/>
        <v/>
      </c>
      <c r="AF55" s="3474" t="str">
        <f t="shared" si="16"/>
        <v/>
      </c>
      <c r="AG55" s="3475" t="str">
        <f t="shared" si="16"/>
        <v/>
      </c>
      <c r="AH55" s="3441"/>
      <c r="AI55" s="3473">
        <f t="shared" ca="1" si="17"/>
        <v>-3.9329577873410404</v>
      </c>
      <c r="AJ55" s="3474" t="str">
        <f t="shared" si="17"/>
        <v/>
      </c>
      <c r="AK55" s="3474" t="str">
        <f t="shared" si="17"/>
        <v/>
      </c>
      <c r="AL55" s="3474" t="str">
        <f t="shared" si="17"/>
        <v/>
      </c>
      <c r="AM55" s="3475" t="str">
        <f t="shared" si="17"/>
        <v/>
      </c>
      <c r="AN55" s="3441"/>
      <c r="AO55" s="3473">
        <f t="shared" ca="1" si="18"/>
        <v>2.9218389213607532</v>
      </c>
      <c r="AP55" s="3474" t="str">
        <f t="shared" si="18"/>
        <v/>
      </c>
      <c r="AQ55" s="3474" t="str">
        <f t="shared" si="18"/>
        <v/>
      </c>
      <c r="AR55" s="3474" t="str">
        <f t="shared" si="18"/>
        <v/>
      </c>
      <c r="AS55" s="3475" t="str">
        <f t="shared" si="18"/>
        <v/>
      </c>
      <c r="AT55" s="3441"/>
      <c r="AU55" s="3473">
        <f t="shared" ca="1" si="19"/>
        <v>8.8100987254332797</v>
      </c>
      <c r="AV55" s="3474" t="str">
        <f t="shared" si="19"/>
        <v/>
      </c>
      <c r="AW55" s="3474" t="str">
        <f t="shared" si="19"/>
        <v/>
      </c>
      <c r="AX55" s="3474" t="str">
        <f t="shared" si="19"/>
        <v/>
      </c>
      <c r="AY55" s="3475" t="str">
        <f t="shared" si="19"/>
        <v/>
      </c>
      <c r="AZ55" s="3441"/>
      <c r="BA55" s="3473">
        <f t="shared" ca="1" si="20"/>
        <v>3.3287077872099058</v>
      </c>
      <c r="BB55" s="3474" t="str">
        <f t="shared" si="20"/>
        <v/>
      </c>
      <c r="BC55" s="3474" t="str">
        <f t="shared" si="20"/>
        <v/>
      </c>
      <c r="BD55" s="3474" t="str">
        <f t="shared" si="20"/>
        <v/>
      </c>
      <c r="BE55" s="3475" t="str">
        <f t="shared" si="20"/>
        <v/>
      </c>
      <c r="BF55" s="3441"/>
      <c r="BG55" s="3473">
        <f t="shared" ca="1" si="21"/>
        <v>4.8324833353269314</v>
      </c>
      <c r="BH55" s="3474" t="str">
        <f t="shared" si="22"/>
        <v/>
      </c>
      <c r="BI55" s="3474" t="str">
        <f t="shared" si="23"/>
        <v/>
      </c>
      <c r="BJ55" s="3474" t="str">
        <f t="shared" si="24"/>
        <v/>
      </c>
      <c r="BK55" s="3475" t="str">
        <f t="shared" si="25"/>
        <v/>
      </c>
      <c r="BL55" s="3441"/>
      <c r="BM55" s="3473">
        <f t="shared" ca="1" si="26"/>
        <v>17.409366734090568</v>
      </c>
      <c r="BN55" s="3474" t="str">
        <f t="shared" si="26"/>
        <v/>
      </c>
      <c r="BO55" s="3474" t="str">
        <f t="shared" si="26"/>
        <v/>
      </c>
      <c r="BP55" s="3474" t="str">
        <f t="shared" si="26"/>
        <v/>
      </c>
      <c r="BQ55" s="3475" t="str">
        <f t="shared" si="26"/>
        <v/>
      </c>
      <c r="BR55" s="3441"/>
      <c r="BS55" s="3473">
        <f t="shared" ca="1" si="27"/>
        <v>15.406158752876831</v>
      </c>
      <c r="BT55" s="3474" t="str">
        <f t="shared" si="27"/>
        <v/>
      </c>
      <c r="BU55" s="3474" t="str">
        <f t="shared" si="27"/>
        <v/>
      </c>
      <c r="BV55" s="3474" t="str">
        <f t="shared" si="27"/>
        <v/>
      </c>
      <c r="BW55" s="3475" t="str">
        <f t="shared" si="27"/>
        <v/>
      </c>
      <c r="BX55" s="3441"/>
      <c r="BY55" s="3473">
        <f t="shared" ca="1" si="28"/>
        <v>24.993397205008172</v>
      </c>
      <c r="BZ55" s="3474" t="str">
        <f t="shared" si="28"/>
        <v/>
      </c>
      <c r="CA55" s="3474" t="str">
        <f t="shared" si="28"/>
        <v/>
      </c>
      <c r="CB55" s="3474" t="str">
        <f t="shared" si="28"/>
        <v/>
      </c>
      <c r="CC55" s="3475" t="str">
        <f t="shared" si="28"/>
        <v/>
      </c>
      <c r="CD55" s="3441"/>
      <c r="CE55" s="3473">
        <f t="shared" ca="1" si="29"/>
        <v>13.342254914270146</v>
      </c>
      <c r="CF55" s="3474" t="str">
        <f t="shared" si="30"/>
        <v/>
      </c>
      <c r="CG55" s="3474" t="str">
        <f t="shared" si="31"/>
        <v/>
      </c>
      <c r="CH55" s="3474" t="str">
        <f t="shared" si="32"/>
        <v/>
      </c>
      <c r="CI55" s="3475" t="str">
        <f t="shared" si="33"/>
        <v/>
      </c>
      <c r="CJ55" s="3441"/>
      <c r="CK55" s="3473">
        <f t="shared" ca="1" si="34"/>
        <v>-19.048519661297213</v>
      </c>
      <c r="CL55" s="3474" t="str">
        <f t="shared" si="35"/>
        <v/>
      </c>
      <c r="CM55" s="3474" t="str">
        <f t="shared" si="36"/>
        <v/>
      </c>
      <c r="CN55" s="3474" t="str">
        <f t="shared" si="37"/>
        <v/>
      </c>
      <c r="CO55" s="3475" t="str">
        <f t="shared" si="38"/>
        <v/>
      </c>
      <c r="CP55" s="3441"/>
      <c r="CQ55" s="3473">
        <f t="shared" ca="1" si="39"/>
        <v>6.5523870554309749</v>
      </c>
      <c r="CR55" s="3474" t="str">
        <f t="shared" si="40"/>
        <v/>
      </c>
      <c r="CS55" s="3474" t="str">
        <f t="shared" si="41"/>
        <v/>
      </c>
      <c r="CT55" s="3474" t="str">
        <f t="shared" si="42"/>
        <v/>
      </c>
      <c r="CU55" s="3475" t="str">
        <f t="shared" si="43"/>
        <v/>
      </c>
      <c r="CV55" s="3441"/>
      <c r="CW55" s="3473">
        <f t="shared" ca="1" si="44"/>
        <v>9.6996692226732684</v>
      </c>
      <c r="CX55" s="3474" t="str">
        <f t="shared" si="45"/>
        <v/>
      </c>
      <c r="CY55" s="3474" t="str">
        <f t="shared" si="46"/>
        <v/>
      </c>
      <c r="CZ55" s="3474" t="str">
        <f t="shared" si="47"/>
        <v/>
      </c>
      <c r="DA55" s="3475" t="str">
        <f t="shared" si="48"/>
        <v/>
      </c>
      <c r="DB55" s="3441"/>
      <c r="DC55" s="3473">
        <f t="shared" ca="1" si="49"/>
        <v>2.6169713375250536</v>
      </c>
      <c r="DD55" s="3474" t="str">
        <f t="shared" si="50"/>
        <v/>
      </c>
      <c r="DE55" s="3474" t="str">
        <f t="shared" si="51"/>
        <v/>
      </c>
      <c r="DF55" s="3474" t="str">
        <f t="shared" si="52"/>
        <v/>
      </c>
      <c r="DG55" s="3475" t="str">
        <f t="shared" si="53"/>
        <v/>
      </c>
      <c r="DH55" s="3441"/>
      <c r="DI55" s="3473">
        <f t="shared" ca="1" si="54"/>
        <v>3.2099816628128108</v>
      </c>
      <c r="DJ55" s="3474" t="str">
        <f t="shared" si="55"/>
        <v/>
      </c>
      <c r="DK55" s="3474" t="str">
        <f t="shared" si="56"/>
        <v/>
      </c>
      <c r="DL55" s="3474" t="str">
        <f t="shared" si="57"/>
        <v/>
      </c>
      <c r="DM55" s="3475" t="str">
        <f t="shared" si="58"/>
        <v/>
      </c>
      <c r="DN55" s="3441"/>
      <c r="DO55" s="3473">
        <f t="shared" ca="1" si="59"/>
        <v>6.2326948222638512</v>
      </c>
      <c r="DP55" s="3474" t="str">
        <f t="shared" si="60"/>
        <v/>
      </c>
      <c r="DQ55" s="3474" t="str">
        <f t="shared" si="61"/>
        <v/>
      </c>
      <c r="DR55" s="3474" t="str">
        <f t="shared" si="62"/>
        <v/>
      </c>
      <c r="DS55" s="3475" t="str">
        <f t="shared" si="63"/>
        <v/>
      </c>
      <c r="DT55" s="3441"/>
      <c r="DU55" s="3473">
        <f t="shared" ca="1" si="64"/>
        <v>6.8715056860719992</v>
      </c>
      <c r="DV55" s="3474" t="str">
        <f t="shared" si="65"/>
        <v/>
      </c>
      <c r="DW55" s="3474" t="str">
        <f t="shared" si="66"/>
        <v/>
      </c>
      <c r="DX55" s="3474" t="str">
        <f t="shared" si="67"/>
        <v/>
      </c>
      <c r="DY55" s="3475" t="str">
        <f t="shared" si="68"/>
        <v/>
      </c>
      <c r="DZ55" s="3441"/>
      <c r="EA55" s="3473">
        <f t="shared" ca="1" si="69"/>
        <v>4.8932699134903057</v>
      </c>
      <c r="EB55" s="3474" t="str">
        <f t="shared" si="70"/>
        <v/>
      </c>
      <c r="EC55" s="3474" t="str">
        <f t="shared" si="71"/>
        <v/>
      </c>
      <c r="ED55" s="3474" t="str">
        <f t="shared" si="72"/>
        <v/>
      </c>
      <c r="EE55" s="3475" t="str">
        <f t="shared" si="73"/>
        <v/>
      </c>
      <c r="EF55" s="3441"/>
      <c r="EG55" s="3473">
        <f t="shared" ca="1" si="74"/>
        <v>8.9684525089707368</v>
      </c>
      <c r="EH55" s="3474" t="str">
        <f t="shared" si="75"/>
        <v/>
      </c>
      <c r="EI55" s="3474" t="str">
        <f t="shared" si="76"/>
        <v/>
      </c>
      <c r="EJ55" s="3474" t="str">
        <f t="shared" si="77"/>
        <v/>
      </c>
      <c r="EK55" s="3475" t="str">
        <f t="shared" si="78"/>
        <v/>
      </c>
      <c r="EL55" s="3441"/>
      <c r="EM55" s="3473">
        <f t="shared" ca="1" si="79"/>
        <v>6.4546061541814526</v>
      </c>
      <c r="EN55" s="3474" t="str">
        <f t="shared" si="80"/>
        <v/>
      </c>
      <c r="EO55" s="3474" t="str">
        <f t="shared" si="81"/>
        <v/>
      </c>
      <c r="EP55" s="3474" t="str">
        <f t="shared" si="82"/>
        <v/>
      </c>
      <c r="EQ55" s="3475" t="str">
        <f t="shared" si="83"/>
        <v/>
      </c>
      <c r="ER55" s="3441"/>
      <c r="ES55" s="3473">
        <f t="shared" ca="1" si="84"/>
        <v>5.600000000000005</v>
      </c>
      <c r="ET55" s="3474" t="str">
        <f t="shared" si="85"/>
        <v/>
      </c>
      <c r="EU55" s="3474" t="str">
        <f t="shared" si="86"/>
        <v/>
      </c>
      <c r="EV55" s="3474" t="str">
        <f t="shared" si="87"/>
        <v/>
      </c>
      <c r="EW55" s="3475" t="str">
        <f t="shared" si="88"/>
        <v/>
      </c>
      <c r="EX55" s="3441"/>
    </row>
    <row r="56" spans="1:154">
      <c r="B56" s="600" t="s">
        <v>1767</v>
      </c>
      <c r="C56" s="3779" t="s">
        <v>1903</v>
      </c>
      <c r="D56" s="3780"/>
      <c r="E56" s="3473"/>
      <c r="F56" s="3474"/>
      <c r="G56" s="3474"/>
      <c r="H56" s="3474"/>
      <c r="I56" s="3475"/>
      <c r="J56" s="3441"/>
      <c r="K56" s="3473">
        <f t="shared" ca="1" si="13"/>
        <v>25.908960778700241</v>
      </c>
      <c r="L56" s="3474" t="str">
        <f t="shared" si="13"/>
        <v/>
      </c>
      <c r="M56" s="3474" t="str">
        <f t="shared" si="13"/>
        <v/>
      </c>
      <c r="N56" s="3474" t="str">
        <f t="shared" si="13"/>
        <v/>
      </c>
      <c r="O56" s="3475" t="str">
        <f t="shared" si="13"/>
        <v/>
      </c>
      <c r="P56" s="3441"/>
      <c r="Q56" s="3473">
        <f t="shared" ca="1" si="14"/>
        <v>-28.251477944520232</v>
      </c>
      <c r="R56" s="3474" t="str">
        <f t="shared" si="14"/>
        <v/>
      </c>
      <c r="S56" s="3474" t="str">
        <f t="shared" si="14"/>
        <v/>
      </c>
      <c r="T56" s="3474" t="str">
        <f t="shared" si="14"/>
        <v/>
      </c>
      <c r="U56" s="3475" t="str">
        <f t="shared" si="14"/>
        <v/>
      </c>
      <c r="V56" s="3441"/>
      <c r="W56" s="3473">
        <f t="shared" ca="1" si="15"/>
        <v>72.793535097448881</v>
      </c>
      <c r="X56" s="3474" t="str">
        <f t="shared" si="15"/>
        <v/>
      </c>
      <c r="Y56" s="3474" t="str">
        <f t="shared" si="15"/>
        <v/>
      </c>
      <c r="Z56" s="3474" t="str">
        <f t="shared" si="15"/>
        <v/>
      </c>
      <c r="AA56" s="3475" t="str">
        <f t="shared" si="15"/>
        <v/>
      </c>
      <c r="AB56" s="3441"/>
      <c r="AC56" s="3473">
        <f t="shared" ca="1" si="16"/>
        <v>6.483264557542423</v>
      </c>
      <c r="AD56" s="3474" t="str">
        <f t="shared" si="16"/>
        <v/>
      </c>
      <c r="AE56" s="3474" t="str">
        <f t="shared" si="16"/>
        <v/>
      </c>
      <c r="AF56" s="3474" t="str">
        <f t="shared" si="16"/>
        <v/>
      </c>
      <c r="AG56" s="3475" t="str">
        <f t="shared" si="16"/>
        <v/>
      </c>
      <c r="AH56" s="3441"/>
      <c r="AI56" s="3473">
        <f t="shared" ca="1" si="17"/>
        <v>-12.056493282810887</v>
      </c>
      <c r="AJ56" s="3474" t="str">
        <f t="shared" si="17"/>
        <v/>
      </c>
      <c r="AK56" s="3474" t="str">
        <f t="shared" si="17"/>
        <v/>
      </c>
      <c r="AL56" s="3474" t="str">
        <f t="shared" si="17"/>
        <v/>
      </c>
      <c r="AM56" s="3475" t="str">
        <f t="shared" si="17"/>
        <v/>
      </c>
      <c r="AN56" s="3441"/>
      <c r="AO56" s="3473">
        <f t="shared" ca="1" si="18"/>
        <v>-25.734430082256164</v>
      </c>
      <c r="AP56" s="3474" t="str">
        <f t="shared" si="18"/>
        <v/>
      </c>
      <c r="AQ56" s="3474" t="str">
        <f t="shared" si="18"/>
        <v/>
      </c>
      <c r="AR56" s="3474" t="str">
        <f t="shared" si="18"/>
        <v/>
      </c>
      <c r="AS56" s="3475" t="str">
        <f t="shared" si="18"/>
        <v/>
      </c>
      <c r="AT56" s="3441"/>
      <c r="AU56" s="3473">
        <f t="shared" ca="1" si="19"/>
        <v>34.137658227848092</v>
      </c>
      <c r="AV56" s="3474" t="str">
        <f t="shared" si="19"/>
        <v/>
      </c>
      <c r="AW56" s="3474" t="str">
        <f t="shared" si="19"/>
        <v/>
      </c>
      <c r="AX56" s="3474" t="str">
        <f t="shared" si="19"/>
        <v/>
      </c>
      <c r="AY56" s="3475" t="str">
        <f t="shared" si="19"/>
        <v/>
      </c>
      <c r="AZ56" s="3441"/>
      <c r="BA56" s="3473">
        <f t="shared" ca="1" si="20"/>
        <v>5.9569448540253811</v>
      </c>
      <c r="BB56" s="3474" t="str">
        <f t="shared" si="20"/>
        <v/>
      </c>
      <c r="BC56" s="3474" t="str">
        <f t="shared" si="20"/>
        <v/>
      </c>
      <c r="BD56" s="3474" t="str">
        <f t="shared" si="20"/>
        <v/>
      </c>
      <c r="BE56" s="3475" t="str">
        <f t="shared" si="20"/>
        <v/>
      </c>
      <c r="BF56" s="3441"/>
      <c r="BG56" s="3473">
        <f t="shared" ca="1" si="21"/>
        <v>76.240838667779926</v>
      </c>
      <c r="BH56" s="3474" t="str">
        <f t="shared" si="22"/>
        <v/>
      </c>
      <c r="BI56" s="3474" t="str">
        <f t="shared" si="23"/>
        <v/>
      </c>
      <c r="BJ56" s="3474" t="str">
        <f t="shared" si="24"/>
        <v/>
      </c>
      <c r="BK56" s="3475" t="str">
        <f t="shared" si="25"/>
        <v/>
      </c>
      <c r="BL56" s="3441"/>
      <c r="BM56" s="3473">
        <f t="shared" ca="1" si="26"/>
        <v>42.722535137126918</v>
      </c>
      <c r="BN56" s="3474" t="str">
        <f t="shared" si="26"/>
        <v/>
      </c>
      <c r="BO56" s="3474" t="str">
        <f t="shared" si="26"/>
        <v/>
      </c>
      <c r="BP56" s="3474" t="str">
        <f t="shared" si="26"/>
        <v/>
      </c>
      <c r="BQ56" s="3475" t="str">
        <f t="shared" si="26"/>
        <v/>
      </c>
      <c r="BR56" s="3441"/>
      <c r="BS56" s="3473">
        <f t="shared" ca="1" si="27"/>
        <v>-1.5121897244864013</v>
      </c>
      <c r="BT56" s="3474" t="str">
        <f t="shared" si="27"/>
        <v/>
      </c>
      <c r="BU56" s="3474" t="str">
        <f t="shared" si="27"/>
        <v/>
      </c>
      <c r="BV56" s="3474" t="str">
        <f t="shared" si="27"/>
        <v/>
      </c>
      <c r="BW56" s="3475" t="str">
        <f t="shared" si="27"/>
        <v/>
      </c>
      <c r="BX56" s="3441"/>
      <c r="BY56" s="3473">
        <f t="shared" ca="1" si="28"/>
        <v>12.841253791708795</v>
      </c>
      <c r="BZ56" s="3474" t="str">
        <f t="shared" si="28"/>
        <v/>
      </c>
      <c r="CA56" s="3474" t="str">
        <f t="shared" si="28"/>
        <v/>
      </c>
      <c r="CB56" s="3474" t="str">
        <f t="shared" si="28"/>
        <v/>
      </c>
      <c r="CC56" s="3475" t="str">
        <f t="shared" si="28"/>
        <v/>
      </c>
      <c r="CD56" s="3441"/>
      <c r="CE56" s="3473">
        <f t="shared" ca="1" si="29"/>
        <v>17.51958051241207</v>
      </c>
      <c r="CF56" s="3474" t="str">
        <f t="shared" si="30"/>
        <v/>
      </c>
      <c r="CG56" s="3474" t="str">
        <f t="shared" si="31"/>
        <v/>
      </c>
      <c r="CH56" s="3474" t="str">
        <f t="shared" si="32"/>
        <v/>
      </c>
      <c r="CI56" s="3475" t="str">
        <f t="shared" si="33"/>
        <v/>
      </c>
      <c r="CJ56" s="3441"/>
      <c r="CK56" s="3473">
        <f t="shared" ca="1" si="34"/>
        <v>2.1434017678122474</v>
      </c>
      <c r="CL56" s="3474" t="str">
        <f t="shared" si="35"/>
        <v/>
      </c>
      <c r="CM56" s="3474" t="str">
        <f t="shared" si="36"/>
        <v/>
      </c>
      <c r="CN56" s="3474" t="str">
        <f t="shared" si="37"/>
        <v/>
      </c>
      <c r="CO56" s="3475" t="str">
        <f t="shared" si="38"/>
        <v/>
      </c>
      <c r="CP56" s="3441"/>
      <c r="CQ56" s="3473">
        <f t="shared" ca="1" si="39"/>
        <v>3.5581974011611894</v>
      </c>
      <c r="CR56" s="3474" t="str">
        <f t="shared" si="40"/>
        <v/>
      </c>
      <c r="CS56" s="3474" t="str">
        <f t="shared" si="41"/>
        <v/>
      </c>
      <c r="CT56" s="3474" t="str">
        <f t="shared" si="42"/>
        <v/>
      </c>
      <c r="CU56" s="3475" t="str">
        <f t="shared" si="43"/>
        <v/>
      </c>
      <c r="CV56" s="3441"/>
      <c r="CW56" s="3473">
        <f t="shared" ca="1" si="44"/>
        <v>3.2864351122620539</v>
      </c>
      <c r="CX56" s="3474" t="str">
        <f t="shared" si="45"/>
        <v/>
      </c>
      <c r="CY56" s="3474" t="str">
        <f t="shared" si="46"/>
        <v/>
      </c>
      <c r="CZ56" s="3474" t="str">
        <f t="shared" si="47"/>
        <v/>
      </c>
      <c r="DA56" s="3475" t="str">
        <f t="shared" si="48"/>
        <v/>
      </c>
      <c r="DB56" s="3441"/>
      <c r="DC56" s="3473">
        <f t="shared" ca="1" si="49"/>
        <v>6.1000827129859436</v>
      </c>
      <c r="DD56" s="3474" t="str">
        <f t="shared" si="50"/>
        <v/>
      </c>
      <c r="DE56" s="3474" t="str">
        <f t="shared" si="51"/>
        <v/>
      </c>
      <c r="DF56" s="3474" t="str">
        <f t="shared" si="52"/>
        <v/>
      </c>
      <c r="DG56" s="3475" t="str">
        <f t="shared" si="53"/>
        <v/>
      </c>
      <c r="DH56" s="3441"/>
      <c r="DI56" s="3473">
        <f t="shared" ca="1" si="54"/>
        <v>7.0892613525628478</v>
      </c>
      <c r="DJ56" s="3474" t="str">
        <f t="shared" si="55"/>
        <v/>
      </c>
      <c r="DK56" s="3474" t="str">
        <f t="shared" si="56"/>
        <v/>
      </c>
      <c r="DL56" s="3474" t="str">
        <f t="shared" si="57"/>
        <v/>
      </c>
      <c r="DM56" s="3475" t="str">
        <f t="shared" si="58"/>
        <v/>
      </c>
      <c r="DN56" s="3441"/>
      <c r="DO56" s="3473">
        <f t="shared" ca="1" si="59"/>
        <v>3.1848582738080999E-2</v>
      </c>
      <c r="DP56" s="3474" t="str">
        <f t="shared" si="60"/>
        <v/>
      </c>
      <c r="DQ56" s="3474" t="str">
        <f t="shared" si="61"/>
        <v/>
      </c>
      <c r="DR56" s="3474" t="str">
        <f t="shared" si="62"/>
        <v/>
      </c>
      <c r="DS56" s="3475" t="str">
        <f t="shared" si="63"/>
        <v/>
      </c>
      <c r="DT56" s="3441"/>
      <c r="DU56" s="3473">
        <f t="shared" ca="1" si="64"/>
        <v>12.260074592922777</v>
      </c>
      <c r="DV56" s="3474" t="str">
        <f t="shared" si="65"/>
        <v/>
      </c>
      <c r="DW56" s="3474" t="str">
        <f t="shared" si="66"/>
        <v/>
      </c>
      <c r="DX56" s="3474" t="str">
        <f t="shared" si="67"/>
        <v/>
      </c>
      <c r="DY56" s="3475" t="str">
        <f t="shared" si="68"/>
        <v/>
      </c>
      <c r="DZ56" s="3441"/>
      <c r="EA56" s="3473">
        <f t="shared" ca="1" si="69"/>
        <v>9.0290298401636946</v>
      </c>
      <c r="EB56" s="3474" t="str">
        <f t="shared" si="70"/>
        <v/>
      </c>
      <c r="EC56" s="3474" t="str">
        <f t="shared" si="71"/>
        <v/>
      </c>
      <c r="ED56" s="3474" t="str">
        <f t="shared" si="72"/>
        <v/>
      </c>
      <c r="EE56" s="3475" t="str">
        <f t="shared" si="73"/>
        <v/>
      </c>
      <c r="EF56" s="3441"/>
      <c r="EG56" s="3473">
        <f t="shared" ca="1" si="74"/>
        <v>1.449275362318847</v>
      </c>
      <c r="EH56" s="3474" t="str">
        <f t="shared" si="75"/>
        <v/>
      </c>
      <c r="EI56" s="3474" t="str">
        <f t="shared" si="76"/>
        <v/>
      </c>
      <c r="EJ56" s="3474" t="str">
        <f t="shared" si="77"/>
        <v/>
      </c>
      <c r="EK56" s="3475" t="str">
        <f t="shared" si="78"/>
        <v/>
      </c>
      <c r="EL56" s="3441"/>
      <c r="EM56" s="3473">
        <f t="shared" ca="1" si="79"/>
        <v>3.6000000000000032</v>
      </c>
      <c r="EN56" s="3474" t="str">
        <f t="shared" si="80"/>
        <v/>
      </c>
      <c r="EO56" s="3474" t="str">
        <f t="shared" si="81"/>
        <v/>
      </c>
      <c r="EP56" s="3474" t="str">
        <f t="shared" si="82"/>
        <v/>
      </c>
      <c r="EQ56" s="3475" t="str">
        <f t="shared" si="83"/>
        <v/>
      </c>
      <c r="ER56" s="3441"/>
      <c r="ES56" s="3473">
        <f t="shared" ca="1" si="84"/>
        <v>3.6000000000000032</v>
      </c>
      <c r="ET56" s="3474" t="str">
        <f t="shared" si="85"/>
        <v/>
      </c>
      <c r="EU56" s="3474" t="str">
        <f t="shared" si="86"/>
        <v/>
      </c>
      <c r="EV56" s="3474" t="str">
        <f t="shared" si="87"/>
        <v/>
      </c>
      <c r="EW56" s="3475" t="str">
        <f t="shared" si="88"/>
        <v/>
      </c>
      <c r="EX56" s="3441"/>
    </row>
    <row r="57" spans="1:154">
      <c r="B57" s="600" t="s">
        <v>1769</v>
      </c>
      <c r="C57" s="3777" t="s">
        <v>1373</v>
      </c>
      <c r="D57" s="3777"/>
      <c r="E57" s="3447"/>
      <c r="F57" s="3447"/>
      <c r="G57" s="3447"/>
      <c r="H57" s="3447"/>
      <c r="I57" s="3476"/>
      <c r="J57" s="556"/>
      <c r="K57" s="3447">
        <f t="shared" ca="1" si="13"/>
        <v>25.922850119307661</v>
      </c>
      <c r="L57" s="3447">
        <f t="shared" ca="1" si="13"/>
        <v>24.761207387519324</v>
      </c>
      <c r="M57" s="3447">
        <f t="shared" ca="1" si="13"/>
        <v>25.867880773141394</v>
      </c>
      <c r="N57" s="3447">
        <f t="shared" ca="1" si="13"/>
        <v>28.070127554269696</v>
      </c>
      <c r="O57" s="3476" t="str">
        <f t="shared" si="13"/>
        <v/>
      </c>
      <c r="P57" s="556" t="str">
        <f ca="1">IF(ROUND(P8,2)=0,"ok","!")</f>
        <v>ok</v>
      </c>
      <c r="Q57" s="3447">
        <f t="shared" ca="1" si="14"/>
        <v>17.647947862447346</v>
      </c>
      <c r="R57" s="3447">
        <f t="shared" ca="1" si="14"/>
        <v>13.078220645520311</v>
      </c>
      <c r="S57" s="3447">
        <f t="shared" ca="1" si="14"/>
        <v>18.257931786437688</v>
      </c>
      <c r="T57" s="3447">
        <f t="shared" ca="1" si="14"/>
        <v>22.937904480453518</v>
      </c>
      <c r="U57" s="3476" t="str">
        <f t="shared" si="14"/>
        <v/>
      </c>
      <c r="V57" s="556" t="str">
        <f ca="1">IF(ROUND(V8,2)=0,"ok","!")</f>
        <v>ok</v>
      </c>
      <c r="W57" s="3447">
        <f t="shared" ca="1" si="15"/>
        <v>11.07496136313204</v>
      </c>
      <c r="X57" s="3447">
        <f t="shared" ca="1" si="15"/>
        <v>9.1107966997054923</v>
      </c>
      <c r="Y57" s="3447">
        <f t="shared" ca="1" si="15"/>
        <v>9.0650142505745546</v>
      </c>
      <c r="Z57" s="3447">
        <f t="shared" ca="1" si="15"/>
        <v>20.930219119822489</v>
      </c>
      <c r="AA57" s="3476" t="str">
        <f t="shared" si="15"/>
        <v/>
      </c>
      <c r="AB57" s="556" t="str">
        <f ca="1">IF(ROUND(AB8,2)=0,"ok","!")</f>
        <v>ok</v>
      </c>
      <c r="AC57" s="3447">
        <f t="shared" ca="1" si="16"/>
        <v>-2.0976717166982017</v>
      </c>
      <c r="AD57" s="3447">
        <f t="shared" ca="1" si="16"/>
        <v>-5.0039641290367864</v>
      </c>
      <c r="AE57" s="3447">
        <f t="shared" ca="1" si="16"/>
        <v>-2.3296891125368369</v>
      </c>
      <c r="AF57" s="3447">
        <f t="shared" ca="1" si="16"/>
        <v>2.562154465134725</v>
      </c>
      <c r="AG57" s="3476" t="str">
        <f t="shared" si="16"/>
        <v/>
      </c>
      <c r="AH57" s="556" t="str">
        <f ca="1">IF(ROUND(AH8,2)=0,"ok","!")</f>
        <v>ok</v>
      </c>
      <c r="AI57" s="3447">
        <f t="shared" ca="1" si="17"/>
        <v>6.3288680940635667</v>
      </c>
      <c r="AJ57" s="3447">
        <f t="shared" ca="1" si="17"/>
        <v>3.001921407746444</v>
      </c>
      <c r="AK57" s="3447">
        <f t="shared" ca="1" si="17"/>
        <v>11.200542061063977</v>
      </c>
      <c r="AL57" s="3447">
        <f t="shared" ca="1" si="17"/>
        <v>-3.8627649215659643</v>
      </c>
      <c r="AM57" s="3476" t="str">
        <f t="shared" si="17"/>
        <v/>
      </c>
      <c r="AN57" s="556" t="str">
        <f ca="1">IF(ROUND(AN8,2)=0,"ok","!")</f>
        <v>ok</v>
      </c>
      <c r="AO57" s="3447">
        <f t="shared" ca="1" si="18"/>
        <v>6.34312749297401</v>
      </c>
      <c r="AP57" s="3447">
        <f t="shared" ca="1" si="18"/>
        <v>-3.0386730383489269</v>
      </c>
      <c r="AQ57" s="3447">
        <f t="shared" ca="1" si="18"/>
        <v>11.32356324940984</v>
      </c>
      <c r="AR57" s="3447">
        <f t="shared" ca="1" si="18"/>
        <v>1.9748192374047457</v>
      </c>
      <c r="AS57" s="3476" t="str">
        <f t="shared" si="18"/>
        <v/>
      </c>
      <c r="AT57" s="556" t="str">
        <f ca="1">IF(ROUND(AT8,2)=0,"ok","!")</f>
        <v>ok</v>
      </c>
      <c r="AU57" s="3447">
        <f t="shared" ca="1" si="19"/>
        <v>7.0396081842509117</v>
      </c>
      <c r="AV57" s="3447">
        <f t="shared" ca="1" si="19"/>
        <v>0.50028040958369768</v>
      </c>
      <c r="AW57" s="3447">
        <f t="shared" ca="1" si="19"/>
        <v>10.397204310404229</v>
      </c>
      <c r="AX57" s="3447">
        <f t="shared" ca="1" si="19"/>
        <v>2.9003483459508095</v>
      </c>
      <c r="AY57" s="3476" t="str">
        <f t="shared" si="19"/>
        <v/>
      </c>
      <c r="AZ57" s="556" t="str">
        <f ca="1">IF(ROUND(AZ8,2)=0,"ok","!")</f>
        <v>ok</v>
      </c>
      <c r="BA57" s="3447">
        <f t="shared" ca="1" si="20"/>
        <v>10.449033675861962</v>
      </c>
      <c r="BB57" s="3447">
        <f t="shared" ca="1" si="20"/>
        <v>3.6005705923221276</v>
      </c>
      <c r="BC57" s="3447">
        <f t="shared" ca="1" si="20"/>
        <v>14.041991565628731</v>
      </c>
      <c r="BD57" s="3447">
        <f t="shared" ca="1" si="20"/>
        <v>4.6511735311232538</v>
      </c>
      <c r="BE57" s="3476" t="str">
        <f t="shared" si="20"/>
        <v/>
      </c>
      <c r="BF57" s="556" t="str">
        <f ca="1">IF(ROUND(BF8,2)=0,"ok","!")</f>
        <v>ok</v>
      </c>
      <c r="BG57" s="3447">
        <f t="shared" ca="1" si="21"/>
        <v>10.460833966546268</v>
      </c>
      <c r="BH57" s="3447">
        <f t="shared" ca="1" si="22"/>
        <v>4.3536575360545671</v>
      </c>
      <c r="BI57" s="3447">
        <f t="shared" ca="1" si="23"/>
        <v>12.489029865115464</v>
      </c>
      <c r="BJ57" s="3447">
        <f t="shared" ca="1" si="24"/>
        <v>9.1845876158996198</v>
      </c>
      <c r="BK57" s="3476" t="str">
        <f t="shared" si="25"/>
        <v/>
      </c>
      <c r="BL57" s="556" t="str">
        <f ca="1">IF(ROUND(BL8,2)=0,"ok","!")</f>
        <v>ok</v>
      </c>
      <c r="BM57" s="3447">
        <f t="shared" ca="1" si="26"/>
        <v>15.21322651047694</v>
      </c>
      <c r="BN57" s="3447">
        <f t="shared" ca="1" si="26"/>
        <v>10.424072959964992</v>
      </c>
      <c r="BO57" s="3447">
        <f t="shared" ca="1" si="26"/>
        <v>17.806358152373679</v>
      </c>
      <c r="BP57" s="3447">
        <f t="shared" ca="1" si="26"/>
        <v>9.2409734488235742</v>
      </c>
      <c r="BQ57" s="3476" t="str">
        <f t="shared" si="26"/>
        <v/>
      </c>
      <c r="BR57" s="556" t="str">
        <f ca="1">IF(ROUND(BR8,2)=0,"ok","!")</f>
        <v>ok</v>
      </c>
      <c r="BS57" s="3447">
        <f t="shared" ca="1" si="27"/>
        <v>14.329361152800345</v>
      </c>
      <c r="BT57" s="3447">
        <f t="shared" ca="1" si="27"/>
        <v>7.2836406749649418</v>
      </c>
      <c r="BU57" s="3447">
        <f t="shared" ca="1" si="27"/>
        <v>15.83202055580195</v>
      </c>
      <c r="BV57" s="3447">
        <f t="shared" ca="1" si="27"/>
        <v>15.479960928250058</v>
      </c>
      <c r="BW57" s="3476" t="str">
        <f t="shared" si="27"/>
        <v/>
      </c>
      <c r="BX57" s="556" t="str">
        <f ca="1">IF(ROUND(BX8,2)=0,"ok","!")</f>
        <v>ok</v>
      </c>
      <c r="BY57" s="3447">
        <f t="shared" ca="1" si="28"/>
        <v>19.981935870961575</v>
      </c>
      <c r="BZ57" s="3447">
        <f t="shared" ca="1" si="28"/>
        <v>11.868955010272163</v>
      </c>
      <c r="CA57" s="3447">
        <f t="shared" ca="1" si="28"/>
        <v>23.142836582295125</v>
      </c>
      <c r="CB57" s="3447">
        <f t="shared" ca="1" si="28"/>
        <v>13.650956393579182</v>
      </c>
      <c r="CC57" s="3476" t="str">
        <f t="shared" si="28"/>
        <v/>
      </c>
      <c r="CD57" s="556" t="str">
        <f ca="1">IF(ROUND(CD8,2)=0,"ok","!")</f>
        <v>ok</v>
      </c>
      <c r="CE57" s="3447">
        <f t="shared" ca="1" si="29"/>
        <v>12.550462121244088</v>
      </c>
      <c r="CF57" s="3447">
        <f t="shared" ca="1" si="30"/>
        <v>7.3791210775286054</v>
      </c>
      <c r="CG57" s="3447">
        <f t="shared" ca="1" si="31"/>
        <v>11.988434676455629</v>
      </c>
      <c r="CH57" s="3447">
        <f t="shared" ca="1" si="32"/>
        <v>21.158053203125892</v>
      </c>
      <c r="CI57" s="3476" t="str">
        <f t="shared" si="33"/>
        <v/>
      </c>
      <c r="CJ57" s="556" t="str">
        <f ca="1">IF(ROUND(CJ8,2)=0,"ok","!")</f>
        <v>ok</v>
      </c>
      <c r="CK57" s="3447">
        <f t="shared" ca="1" si="34"/>
        <v>-17.202677687065517</v>
      </c>
      <c r="CL57" s="3447">
        <f t="shared" ca="1" si="35"/>
        <v>-19.904110148422681</v>
      </c>
      <c r="CM57" s="3447">
        <f t="shared" ca="1" si="36"/>
        <v>-19.88210698458429</v>
      </c>
      <c r="CN57" s="3447">
        <f t="shared" ca="1" si="37"/>
        <v>-1.5629399186070536</v>
      </c>
      <c r="CO57" s="3476" t="str">
        <f t="shared" si="38"/>
        <v/>
      </c>
      <c r="CP57" s="556" t="str">
        <f ca="1">IF(ROUND(CP8,2)=0,"ok","!")</f>
        <v>ok</v>
      </c>
      <c r="CQ57" s="3447">
        <f t="shared" ca="1" si="39"/>
        <v>3.7422902376754941</v>
      </c>
      <c r="CR57" s="3447">
        <f t="shared" ca="1" si="40"/>
        <v>-7.0634701662628085</v>
      </c>
      <c r="CS57" s="3447">
        <f t="shared" ca="1" si="41"/>
        <v>8.9558223092766944</v>
      </c>
      <c r="CT57" s="3447">
        <f t="shared" ca="1" si="42"/>
        <v>-8.3642595437891547</v>
      </c>
      <c r="CU57" s="3476" t="str">
        <f t="shared" si="43"/>
        <v/>
      </c>
      <c r="CV57" s="556" t="str">
        <f ca="1">IF(ROUND(CV8,2)=0,"ok","!")</f>
        <v>ok</v>
      </c>
      <c r="CW57" s="3447">
        <f t="shared" ca="1" si="44"/>
        <v>11.703051398764375</v>
      </c>
      <c r="CX57" s="3447">
        <f t="shared" ca="1" si="45"/>
        <v>6.5038158085803266</v>
      </c>
      <c r="CY57" s="3447">
        <f t="shared" ca="1" si="46"/>
        <v>13.910758707831894</v>
      </c>
      <c r="CZ57" s="3447">
        <f t="shared" ca="1" si="47"/>
        <v>5.4748300723562959</v>
      </c>
      <c r="DA57" s="3476" t="str">
        <f t="shared" si="48"/>
        <v/>
      </c>
      <c r="DB57" s="556" t="str">
        <f ca="1">IF(ROUND(DB8,2)=0,"ok","!")</f>
        <v>ok</v>
      </c>
      <c r="DC57" s="3447">
        <f t="shared" ca="1" si="49"/>
        <v>7.1204038627758592</v>
      </c>
      <c r="DD57" s="3447">
        <f t="shared" ca="1" si="50"/>
        <v>12.635964247841237</v>
      </c>
      <c r="DE57" s="3447">
        <f t="shared" ca="1" si="51"/>
        <v>7.0042035235262201</v>
      </c>
      <c r="DF57" s="3447">
        <f t="shared" ca="1" si="52"/>
        <v>3.2583415058854648</v>
      </c>
      <c r="DG57" s="3476" t="str">
        <f t="shared" si="53"/>
        <v/>
      </c>
      <c r="DH57" s="556" t="str">
        <f ca="1">IF(ROUND(DH8,2)=0,"ok","!")</f>
        <v>ok</v>
      </c>
      <c r="DI57" s="3447">
        <f t="shared" ca="1" si="54"/>
        <v>5.0552010812470183</v>
      </c>
      <c r="DJ57" s="3447">
        <f t="shared" ca="1" si="55"/>
        <v>4.3144006133071455</v>
      </c>
      <c r="DK57" s="3447">
        <f t="shared" ca="1" si="56"/>
        <v>5.4587322934162463</v>
      </c>
      <c r="DL57" s="3447">
        <f t="shared" ca="1" si="57"/>
        <v>3.5832709634022519</v>
      </c>
      <c r="DM57" s="3476" t="str">
        <f t="shared" si="58"/>
        <v/>
      </c>
      <c r="DN57" s="556" t="str">
        <f ca="1">IF(ROUND(DN8,2)=0,"ok","!")</f>
        <v>ok</v>
      </c>
      <c r="DO57" s="3447">
        <f t="shared" ca="1" si="59"/>
        <v>4.3470701241524079</v>
      </c>
      <c r="DP57" s="3447">
        <f t="shared" ca="1" si="60"/>
        <v>3.6965502302768849</v>
      </c>
      <c r="DQ57" s="3447">
        <f t="shared" ca="1" si="61"/>
        <v>4.5283616170166185</v>
      </c>
      <c r="DR57" s="3447">
        <f t="shared" ca="1" si="62"/>
        <v>3.9527508283010215</v>
      </c>
      <c r="DS57" s="3476" t="str">
        <f t="shared" si="63"/>
        <v/>
      </c>
      <c r="DT57" s="556" t="str">
        <f ca="1">IF(ROUND(DT8,2)=0,"ok","!")</f>
        <v>ok</v>
      </c>
      <c r="DU57" s="3447">
        <f t="shared" ca="1" si="64"/>
        <v>1.9399008155095654</v>
      </c>
      <c r="DV57" s="3447">
        <f t="shared" ca="1" si="65"/>
        <v>6.1748841789575293</v>
      </c>
      <c r="DW57" s="3447">
        <f t="shared" ca="1" si="66"/>
        <v>0.93081214737402718</v>
      </c>
      <c r="DX57" s="3447">
        <f t="shared" ca="1" si="67"/>
        <v>3.6317604722982511</v>
      </c>
      <c r="DY57" s="3476" t="str">
        <f t="shared" si="68"/>
        <v/>
      </c>
      <c r="DZ57" s="556" t="str">
        <f ca="1">IF(ROUND(DZ8,2)=0,"ok","!")</f>
        <v>ok</v>
      </c>
      <c r="EA57" s="3447">
        <f t="shared" ca="1" si="69"/>
        <v>3.204530520644977</v>
      </c>
      <c r="EB57" s="3447">
        <f t="shared" ca="1" si="70"/>
        <v>0.10188308038223681</v>
      </c>
      <c r="EC57" s="3447">
        <f t="shared" ca="1" si="71"/>
        <v>3.393782634858411</v>
      </c>
      <c r="ED57" s="3447">
        <f t="shared" ca="1" si="72"/>
        <v>5.0227215322866448</v>
      </c>
      <c r="EE57" s="3476" t="str">
        <f t="shared" si="73"/>
        <v/>
      </c>
      <c r="EF57" s="556" t="str">
        <f ca="1">IF(ROUND(EF8,2)=0,"ok","!")</f>
        <v>ok</v>
      </c>
      <c r="EG57" s="3447">
        <f t="shared" ca="1" si="74"/>
        <v>7.8268876165280332</v>
      </c>
      <c r="EH57" s="3447">
        <f t="shared" ca="1" si="75"/>
        <v>0.78441839516136813</v>
      </c>
      <c r="EI57" s="3447">
        <f t="shared" ca="1" si="76"/>
        <v>9.879529186306435</v>
      </c>
      <c r="EJ57" s="3447">
        <f t="shared" ca="1" si="77"/>
        <v>4.8687574797672495</v>
      </c>
      <c r="EK57" s="3476" t="str">
        <f t="shared" si="78"/>
        <v/>
      </c>
      <c r="EL57" s="556" t="str">
        <f ca="1">IF(ROUND(EL8,2)=0,"ok","!")</f>
        <v>!</v>
      </c>
      <c r="EM57" s="3447">
        <f t="shared" ca="1" si="79"/>
        <v>5.7073020077313297</v>
      </c>
      <c r="EN57" s="3447">
        <f t="shared" ca="1" si="80"/>
        <v>0.82910307920138759</v>
      </c>
      <c r="EO57" s="3447">
        <f t="shared" ca="1" si="81"/>
        <v>6.4147863776365943</v>
      </c>
      <c r="EP57" s="3447">
        <f t="shared" ca="1" si="82"/>
        <v>4.3489669712849954</v>
      </c>
      <c r="EQ57" s="3476" t="str">
        <f t="shared" si="83"/>
        <v/>
      </c>
      <c r="ER57" s="556" t="str">
        <f ca="1">IF(ROUND(ER8,2)=0,"ok","!")</f>
        <v>ok</v>
      </c>
      <c r="ES57" s="3447">
        <f t="shared" ca="1" si="84"/>
        <v>5.543336509875485</v>
      </c>
      <c r="ET57" s="3447">
        <f t="shared" ca="1" si="85"/>
        <v>0.81205148386076509</v>
      </c>
      <c r="EU57" s="3447">
        <f t="shared" ca="1" si="86"/>
        <v>6.4197867978606604</v>
      </c>
      <c r="EV57" s="3447">
        <f t="shared" ca="1" si="87"/>
        <v>4.4993071474207724</v>
      </c>
      <c r="EW57" s="3476" t="str">
        <f t="shared" si="88"/>
        <v/>
      </c>
      <c r="EX57" s="556" t="str">
        <f ca="1">IF(ROUND(EX8,2)=0,"ok","!")</f>
        <v>ok</v>
      </c>
    </row>
    <row r="58" spans="1:154">
      <c r="B58" s="600" t="s">
        <v>401</v>
      </c>
      <c r="C58" s="3779" t="s">
        <v>1374</v>
      </c>
      <c r="D58" s="3779"/>
      <c r="E58" s="3477"/>
      <c r="F58" s="603"/>
      <c r="G58" s="3478"/>
      <c r="H58" s="3478"/>
      <c r="I58" s="602"/>
      <c r="J58" s="604"/>
      <c r="K58" s="3477">
        <f t="shared" ca="1" si="13"/>
        <v>55.702247191011267</v>
      </c>
      <c r="L58" s="603">
        <f t="shared" ca="1" si="13"/>
        <v>267.99037304452469</v>
      </c>
      <c r="M58" s="3478">
        <f t="shared" ca="1" si="13"/>
        <v>-16.448445171849425</v>
      </c>
      <c r="N58" s="3478">
        <f t="shared" ca="1" si="13"/>
        <v>55.438596491228068</v>
      </c>
      <c r="O58" s="602" t="str">
        <f t="shared" si="13"/>
        <v/>
      </c>
      <c r="P58" s="604"/>
      <c r="Q58" s="3477">
        <f t="shared" ca="1" si="14"/>
        <v>32.292982139635541</v>
      </c>
      <c r="R58" s="603">
        <f t="shared" ca="1" si="14"/>
        <v>-58.567691301504254</v>
      </c>
      <c r="S58" s="3478">
        <f t="shared" ca="1" si="14"/>
        <v>168.31537708129284</v>
      </c>
      <c r="T58" s="3478">
        <f t="shared" ca="1" si="14"/>
        <v>32.505643340857794</v>
      </c>
      <c r="U58" s="602" t="str">
        <f t="shared" si="14"/>
        <v/>
      </c>
      <c r="V58" s="604"/>
      <c r="W58" s="3477">
        <f t="shared" ca="1" si="15"/>
        <v>5.2093276967134949</v>
      </c>
      <c r="X58" s="603">
        <f t="shared" ca="1" si="15"/>
        <v>-5.9984214680347314</v>
      </c>
      <c r="Y58" s="3478">
        <f t="shared" ca="1" si="15"/>
        <v>7.8116444606679991</v>
      </c>
      <c r="Z58" s="3478">
        <f t="shared" ca="1" si="15"/>
        <v>5.110732538330498</v>
      </c>
      <c r="AA58" s="602" t="str">
        <f t="shared" si="15"/>
        <v/>
      </c>
      <c r="AB58" s="604"/>
      <c r="AC58" s="3477">
        <f t="shared" ca="1" si="16"/>
        <v>15.463383020090738</v>
      </c>
      <c r="AD58" s="603">
        <f t="shared" ca="1" si="16"/>
        <v>-2.3509655751469238</v>
      </c>
      <c r="AE58" s="3478">
        <f t="shared" ca="1" si="16"/>
        <v>20.230235314034207</v>
      </c>
      <c r="AF58" s="3478">
        <f t="shared" ca="1" si="16"/>
        <v>4.2139384116693712</v>
      </c>
      <c r="AG58" s="602" t="str">
        <f t="shared" si="16"/>
        <v/>
      </c>
      <c r="AH58" s="604"/>
      <c r="AI58" s="3477">
        <f t="shared" ca="1" si="17"/>
        <v>-6.6120341266277531</v>
      </c>
      <c r="AJ58" s="603">
        <f t="shared" ca="1" si="17"/>
        <v>36.285468615649165</v>
      </c>
      <c r="AK58" s="3478">
        <f t="shared" ca="1" si="17"/>
        <v>-13.897493663756688</v>
      </c>
      <c r="AL58" s="3478">
        <f t="shared" ca="1" si="17"/>
        <v>-3.7325038880248851</v>
      </c>
      <c r="AM58" s="602" t="str">
        <f t="shared" si="17"/>
        <v/>
      </c>
      <c r="AN58" s="604"/>
      <c r="AO58" s="3477">
        <f t="shared" ca="1" si="18"/>
        <v>12.369275153263626</v>
      </c>
      <c r="AP58" s="603">
        <f t="shared" ca="1" si="18"/>
        <v>31.419558359621448</v>
      </c>
      <c r="AQ58" s="3478">
        <f t="shared" ca="1" si="18"/>
        <v>7.4407195421095862</v>
      </c>
      <c r="AR58" s="3478">
        <f t="shared" ca="1" si="18"/>
        <v>12.277867528271402</v>
      </c>
      <c r="AS58" s="602" t="str">
        <f t="shared" si="18"/>
        <v/>
      </c>
      <c r="AT58" s="604"/>
      <c r="AU58" s="3477">
        <f t="shared" ca="1" si="19"/>
        <v>10.676080445014978</v>
      </c>
      <c r="AV58" s="603">
        <f t="shared" ca="1" si="19"/>
        <v>71.915506481036999</v>
      </c>
      <c r="AW58" s="3478">
        <f t="shared" ca="1" si="19"/>
        <v>-8.6301369863013839</v>
      </c>
      <c r="AX58" s="3478">
        <f t="shared" ca="1" si="19"/>
        <v>9.6402877697841625</v>
      </c>
      <c r="AY58" s="602" t="str">
        <f t="shared" si="19"/>
        <v/>
      </c>
      <c r="AZ58" s="604"/>
      <c r="BA58" s="3477">
        <f t="shared" ca="1" si="20"/>
        <v>-1.9137831045815012</v>
      </c>
      <c r="BB58" s="603">
        <f t="shared" ca="1" si="20"/>
        <v>-56.380899190170354</v>
      </c>
      <c r="BC58" s="3478">
        <f t="shared" ca="1" si="20"/>
        <v>30.251540896218554</v>
      </c>
      <c r="BD58" s="3478">
        <f t="shared" ca="1" si="20"/>
        <v>0.65616797900263091</v>
      </c>
      <c r="BE58" s="602" t="str">
        <f t="shared" si="20"/>
        <v/>
      </c>
      <c r="BF58" s="604"/>
      <c r="BG58" s="3477">
        <f t="shared" ca="1" si="21"/>
        <v>27.887268427276336</v>
      </c>
      <c r="BH58" s="603">
        <f t="shared" ca="1" si="22"/>
        <v>27.528809218950066</v>
      </c>
      <c r="BI58" s="3478">
        <f t="shared" ca="1" si="23"/>
        <v>28.29006266786034</v>
      </c>
      <c r="BJ58" s="3478">
        <f t="shared" ca="1" si="24"/>
        <v>24.511082138200813</v>
      </c>
      <c r="BK58" s="602" t="str">
        <f t="shared" si="25"/>
        <v/>
      </c>
      <c r="BL58" s="604"/>
      <c r="BM58" s="3477">
        <f t="shared" ca="1" si="26"/>
        <v>5.0315919247957863</v>
      </c>
      <c r="BN58" s="603">
        <f t="shared" ca="1" si="26"/>
        <v>13.403614457831313</v>
      </c>
      <c r="BO58" s="3478">
        <f t="shared" ca="1" si="26"/>
        <v>9.2313827135878768</v>
      </c>
      <c r="BP58" s="3478">
        <f t="shared" ca="1" si="26"/>
        <v>-56.544502617801051</v>
      </c>
      <c r="BQ58" s="602" t="str">
        <f t="shared" si="26"/>
        <v/>
      </c>
      <c r="BR58" s="604"/>
      <c r="BS58" s="3477">
        <f t="shared" ca="1" si="27"/>
        <v>18.58997872496515</v>
      </c>
      <c r="BT58" s="603">
        <f t="shared" ca="1" si="27"/>
        <v>-6.8614431164231942</v>
      </c>
      <c r="BU58" s="3478">
        <f t="shared" ca="1" si="27"/>
        <v>25.043351282285297</v>
      </c>
      <c r="BV58" s="3478">
        <f t="shared" ca="1" si="27"/>
        <v>-13.253012048192769</v>
      </c>
      <c r="BW58" s="602" t="str">
        <f t="shared" si="27"/>
        <v/>
      </c>
      <c r="BX58" s="604"/>
      <c r="BY58" s="3477">
        <f t="shared" ca="1" si="28"/>
        <v>14.735539746365633</v>
      </c>
      <c r="BZ58" s="603">
        <f t="shared" ca="1" si="28"/>
        <v>16.730038022813677</v>
      </c>
      <c r="CA58" s="3478">
        <f t="shared" ca="1" si="28"/>
        <v>14.787241807167373</v>
      </c>
      <c r="CB58" s="3478">
        <f t="shared" ca="1" si="28"/>
        <v>1.1111111111111072</v>
      </c>
      <c r="CC58" s="602" t="str">
        <f t="shared" si="28"/>
        <v/>
      </c>
      <c r="CD58" s="604"/>
      <c r="CE58" s="3477">
        <f t="shared" ca="1" si="29"/>
        <v>-0.31271903811940227</v>
      </c>
      <c r="CF58" s="603">
        <f t="shared" ca="1" si="30"/>
        <v>17.38599348534202</v>
      </c>
      <c r="CG58" s="3478">
        <f t="shared" ca="1" si="31"/>
        <v>-2.8486043110574455</v>
      </c>
      <c r="CH58" s="3478">
        <f t="shared" ca="1" si="32"/>
        <v>-10.164835164835173</v>
      </c>
      <c r="CI58" s="602" t="str">
        <f t="shared" si="33"/>
        <v/>
      </c>
      <c r="CJ58" s="604"/>
      <c r="CK58" s="3477">
        <f t="shared" ca="1" si="34"/>
        <v>-3.8455297744604766</v>
      </c>
      <c r="CL58" s="603">
        <f t="shared" ca="1" si="35"/>
        <v>-23.864030523759961</v>
      </c>
      <c r="CM58" s="3478">
        <f t="shared" ca="1" si="36"/>
        <v>0.37960599515676208</v>
      </c>
      <c r="CN58" s="3478">
        <f t="shared" ca="1" si="37"/>
        <v>-24.770642201834857</v>
      </c>
      <c r="CO58" s="602" t="str">
        <f t="shared" si="38"/>
        <v/>
      </c>
      <c r="CP58" s="604"/>
      <c r="CQ58" s="3477">
        <f t="shared" ca="1" si="39"/>
        <v>1.6087298908763703</v>
      </c>
      <c r="CR58" s="603">
        <f t="shared" ca="1" si="40"/>
        <v>34.123006833712985</v>
      </c>
      <c r="CS58" s="3478">
        <f t="shared" ca="1" si="41"/>
        <v>-2.8623590011084388</v>
      </c>
      <c r="CT58" s="3478">
        <f t="shared" ca="1" si="42"/>
        <v>-9.7560975609755971</v>
      </c>
      <c r="CU58" s="602" t="str">
        <f t="shared" si="43"/>
        <v/>
      </c>
      <c r="CV58" s="604"/>
      <c r="CW58" s="3477">
        <f t="shared" ca="1" si="44"/>
        <v>4.0688662533215014</v>
      </c>
      <c r="CX58" s="603">
        <f t="shared" ca="1" si="45"/>
        <v>-19.327445652173914</v>
      </c>
      <c r="CY58" s="3478">
        <f t="shared" ca="1" si="46"/>
        <v>8.3501141092763973</v>
      </c>
      <c r="CZ58" s="3478">
        <f t="shared" ca="1" si="47"/>
        <v>27.027027027027039</v>
      </c>
      <c r="DA58" s="602" t="str">
        <f t="shared" si="48"/>
        <v/>
      </c>
      <c r="DB58" s="604"/>
      <c r="DC58" s="3477">
        <f t="shared" ca="1" si="49"/>
        <v>3.8619075482738463</v>
      </c>
      <c r="DD58" s="603">
        <f t="shared" ca="1" si="50"/>
        <v>-6.7789473684210506</v>
      </c>
      <c r="DE58" s="3478">
        <f t="shared" ca="1" si="51"/>
        <v>4.9374303060339519</v>
      </c>
      <c r="DF58" s="3478">
        <f t="shared" ca="1" si="52"/>
        <v>31.914893617021267</v>
      </c>
      <c r="DG58" s="602" t="str">
        <f t="shared" si="53"/>
        <v/>
      </c>
      <c r="DH58" s="604"/>
      <c r="DI58" s="3477">
        <f t="shared" ca="1" si="54"/>
        <v>6.0281690140845168</v>
      </c>
      <c r="DJ58" s="603">
        <f t="shared" ca="1" si="55"/>
        <v>-9.033423667569318E-2</v>
      </c>
      <c r="DK58" s="3478">
        <f t="shared" ca="1" si="56"/>
        <v>6.5824428832870874</v>
      </c>
      <c r="DL58" s="3478">
        <f t="shared" ca="1" si="57"/>
        <v>17.204301075268823</v>
      </c>
      <c r="DM58" s="602" t="str">
        <f t="shared" si="58"/>
        <v/>
      </c>
      <c r="DN58" s="604"/>
      <c r="DO58" s="3477">
        <f t="shared" ca="1" si="59"/>
        <v>9.2937880398029193</v>
      </c>
      <c r="DP58" s="603">
        <f t="shared" ca="1" si="60"/>
        <v>-19.620253164556967</v>
      </c>
      <c r="DQ58" s="3478">
        <f t="shared" ca="1" si="61"/>
        <v>12.678630774343658</v>
      </c>
      <c r="DR58" s="3478">
        <f t="shared" ca="1" si="62"/>
        <v>15.825688073394485</v>
      </c>
      <c r="DS58" s="602" t="str">
        <f t="shared" si="63"/>
        <v/>
      </c>
      <c r="DT58" s="604"/>
      <c r="DU58" s="3477">
        <f t="shared" ca="1" si="64"/>
        <v>7.235039335278004</v>
      </c>
      <c r="DV58" s="603">
        <f t="shared" ca="1" si="65"/>
        <v>36.895388076490441</v>
      </c>
      <c r="DW58" s="3478">
        <f t="shared" ca="1" si="66"/>
        <v>6.0168116796932569</v>
      </c>
      <c r="DX58" s="3478">
        <f t="shared" ca="1" si="67"/>
        <v>-48.118811881188115</v>
      </c>
      <c r="DY58" s="602" t="str">
        <f t="shared" si="68"/>
        <v/>
      </c>
      <c r="DZ58" s="604"/>
      <c r="EA58" s="3477">
        <f t="shared" ca="1" si="69"/>
        <v>-9.4547253019000017</v>
      </c>
      <c r="EB58" s="603">
        <f t="shared" ca="1" si="70"/>
        <v>0.90386195562859317</v>
      </c>
      <c r="EC58" s="3478">
        <f t="shared" ca="1" si="71"/>
        <v>-10.775722168127222</v>
      </c>
      <c r="ED58" s="3478">
        <f t="shared" ca="1" si="72"/>
        <v>3.0534351145038219</v>
      </c>
      <c r="EE58" s="602" t="str">
        <f t="shared" si="73"/>
        <v/>
      </c>
      <c r="EF58" s="604"/>
      <c r="EG58" s="3477">
        <f t="shared" ca="1" si="74"/>
        <v>5.2235877827848443</v>
      </c>
      <c r="EH58" s="603">
        <f t="shared" ca="1" si="75"/>
        <v>7.0000000000000062</v>
      </c>
      <c r="EI58" s="3478">
        <f t="shared" ca="1" si="76"/>
        <v>5.0000000000000044</v>
      </c>
      <c r="EJ58" s="3478">
        <f t="shared" ca="1" si="77"/>
        <v>5.0000000000000044</v>
      </c>
      <c r="EK58" s="602" t="str">
        <f t="shared" si="78"/>
        <v/>
      </c>
      <c r="EL58" s="604"/>
      <c r="EM58" s="3477">
        <f t="shared" ca="1" si="79"/>
        <v>5.2273624503981431</v>
      </c>
      <c r="EN58" s="603">
        <f t="shared" ca="1" si="80"/>
        <v>7.0000000000000062</v>
      </c>
      <c r="EO58" s="3478">
        <f t="shared" ca="1" si="81"/>
        <v>5.0000000000000044</v>
      </c>
      <c r="EP58" s="3478">
        <f t="shared" ca="1" si="82"/>
        <v>5.0000000000000044</v>
      </c>
      <c r="EQ58" s="602" t="str">
        <f t="shared" si="83"/>
        <v/>
      </c>
      <c r="ER58" s="604"/>
      <c r="ES58" s="3477">
        <f t="shared" ca="1" si="84"/>
        <v>5.2311925494100464</v>
      </c>
      <c r="ET58" s="603">
        <f t="shared" ca="1" si="85"/>
        <v>7.0000000000000062</v>
      </c>
      <c r="EU58" s="3478">
        <f t="shared" ca="1" si="86"/>
        <v>5.0000000000000044</v>
      </c>
      <c r="EV58" s="3478">
        <f t="shared" ca="1" si="87"/>
        <v>5.0000000000000044</v>
      </c>
      <c r="EW58" s="602" t="str">
        <f t="shared" si="88"/>
        <v/>
      </c>
      <c r="EX58" s="604"/>
    </row>
    <row r="59" spans="1:154">
      <c r="B59" s="600" t="s">
        <v>1767</v>
      </c>
      <c r="C59" s="3779" t="s">
        <v>1375</v>
      </c>
      <c r="D59" s="3779"/>
      <c r="E59" s="601"/>
      <c r="F59" s="603"/>
      <c r="G59" s="603"/>
      <c r="H59" s="603"/>
      <c r="I59" s="602"/>
      <c r="J59" s="604"/>
      <c r="K59" s="601">
        <f t="shared" ca="1" si="13"/>
        <v>174.25944841675184</v>
      </c>
      <c r="L59" s="603" t="str">
        <f t="shared" ca="1" si="13"/>
        <v>N</v>
      </c>
      <c r="M59" s="603">
        <f t="shared" ca="1" si="13"/>
        <v>174.25944841675184</v>
      </c>
      <c r="N59" s="603" t="str">
        <f t="shared" ca="1" si="13"/>
        <v>N</v>
      </c>
      <c r="O59" s="602" t="str">
        <f t="shared" si="13"/>
        <v/>
      </c>
      <c r="P59" s="604"/>
      <c r="Q59" s="601">
        <f t="shared" ca="1" si="14"/>
        <v>41.52700186219738</v>
      </c>
      <c r="R59" s="603" t="str">
        <f t="shared" ca="1" si="14"/>
        <v>N</v>
      </c>
      <c r="S59" s="603">
        <f t="shared" ca="1" si="14"/>
        <v>41.52700186219738</v>
      </c>
      <c r="T59" s="603" t="str">
        <f t="shared" ca="1" si="14"/>
        <v>N</v>
      </c>
      <c r="U59" s="602" t="str">
        <f t="shared" si="14"/>
        <v/>
      </c>
      <c r="V59" s="604"/>
      <c r="W59" s="601">
        <f t="shared" ca="1" si="15"/>
        <v>-27.44736842105263</v>
      </c>
      <c r="X59" s="603" t="str">
        <f t="shared" ca="1" si="15"/>
        <v>N</v>
      </c>
      <c r="Y59" s="603">
        <f t="shared" ca="1" si="15"/>
        <v>-27.44736842105263</v>
      </c>
      <c r="Z59" s="603" t="str">
        <f t="shared" ca="1" si="15"/>
        <v>N</v>
      </c>
      <c r="AA59" s="602" t="str">
        <f t="shared" si="15"/>
        <v/>
      </c>
      <c r="AB59" s="604"/>
      <c r="AC59" s="601">
        <f t="shared" ca="1" si="16"/>
        <v>-40.986579615524121</v>
      </c>
      <c r="AD59" s="603" t="str">
        <f t="shared" ca="1" si="16"/>
        <v>N</v>
      </c>
      <c r="AE59" s="603">
        <f t="shared" ca="1" si="16"/>
        <v>-40.986579615524121</v>
      </c>
      <c r="AF59" s="603" t="str">
        <f t="shared" ca="1" si="16"/>
        <v>N</v>
      </c>
      <c r="AG59" s="602" t="str">
        <f t="shared" si="16"/>
        <v/>
      </c>
      <c r="AH59" s="604"/>
      <c r="AI59" s="601">
        <f t="shared" ca="1" si="17"/>
        <v>-84.449907805777499</v>
      </c>
      <c r="AJ59" s="603" t="str">
        <f t="shared" ca="1" si="17"/>
        <v>N</v>
      </c>
      <c r="AK59" s="603">
        <f t="shared" ca="1" si="17"/>
        <v>-84.449907805777499</v>
      </c>
      <c r="AL59" s="603" t="str">
        <f t="shared" ca="1" si="17"/>
        <v>N</v>
      </c>
      <c r="AM59" s="602" t="str">
        <f t="shared" si="17"/>
        <v/>
      </c>
      <c r="AN59" s="604"/>
      <c r="AO59" s="601">
        <f t="shared" ca="1" si="18"/>
        <v>1616.205533596838</v>
      </c>
      <c r="AP59" s="603" t="str">
        <f t="shared" ca="1" si="18"/>
        <v>N</v>
      </c>
      <c r="AQ59" s="603">
        <f t="shared" ca="1" si="18"/>
        <v>1148.2213438735175</v>
      </c>
      <c r="AR59" s="603" t="str">
        <f t="shared" ca="1" si="18"/>
        <v>N</v>
      </c>
      <c r="AS59" s="602" t="str">
        <f t="shared" si="18"/>
        <v/>
      </c>
      <c r="AT59" s="604"/>
      <c r="AU59" s="601">
        <f t="shared" ca="1" si="19"/>
        <v>-58.314140948871483</v>
      </c>
      <c r="AV59" s="603">
        <f t="shared" ca="1" si="19"/>
        <v>-100</v>
      </c>
      <c r="AW59" s="603">
        <f t="shared" ca="1" si="19"/>
        <v>-42.685243825205823</v>
      </c>
      <c r="AX59" s="603" t="str">
        <f t="shared" ca="1" si="19"/>
        <v>N</v>
      </c>
      <c r="AY59" s="602" t="str">
        <f t="shared" si="19"/>
        <v/>
      </c>
      <c r="AZ59" s="604"/>
      <c r="BA59" s="601">
        <f t="shared" ca="1" si="20"/>
        <v>19.889502762430933</v>
      </c>
      <c r="BB59" s="603" t="str">
        <f t="shared" ca="1" si="20"/>
        <v>N</v>
      </c>
      <c r="BC59" s="603">
        <f t="shared" ca="1" si="20"/>
        <v>-21.823204419889507</v>
      </c>
      <c r="BD59" s="603" t="str">
        <f t="shared" ca="1" si="20"/>
        <v>N</v>
      </c>
      <c r="BE59" s="602" t="str">
        <f t="shared" si="20"/>
        <v/>
      </c>
      <c r="BF59" s="604"/>
      <c r="BG59" s="601">
        <f t="shared" ca="1" si="21"/>
        <v>165.94470046082947</v>
      </c>
      <c r="BH59" s="603">
        <f t="shared" ca="1" si="22"/>
        <v>371.12582781456956</v>
      </c>
      <c r="BI59" s="603">
        <f t="shared" ca="1" si="23"/>
        <v>56.466431095406342</v>
      </c>
      <c r="BJ59" s="603" t="str">
        <f t="shared" ca="1" si="24"/>
        <v>N</v>
      </c>
      <c r="BK59" s="602" t="str">
        <f t="shared" si="25"/>
        <v/>
      </c>
      <c r="BL59" s="604"/>
      <c r="BM59" s="601">
        <f t="shared" ca="1" si="26"/>
        <v>100.12129613585171</v>
      </c>
      <c r="BN59" s="603">
        <f t="shared" ca="1" si="26"/>
        <v>161.40005622715776</v>
      </c>
      <c r="BO59" s="603">
        <f t="shared" ca="1" si="26"/>
        <v>1.6711833785004515</v>
      </c>
      <c r="BP59" s="603" t="str">
        <f t="shared" ca="1" si="26"/>
        <v>N</v>
      </c>
      <c r="BQ59" s="602" t="str">
        <f t="shared" si="26"/>
        <v/>
      </c>
      <c r="BR59" s="604"/>
      <c r="BS59" s="601">
        <f t="shared" ca="1" si="27"/>
        <v>12.165555459347122</v>
      </c>
      <c r="BT59" s="603">
        <f t="shared" ca="1" si="27"/>
        <v>-31.953108195310818</v>
      </c>
      <c r="BU59" s="603">
        <f t="shared" ca="1" si="27"/>
        <v>194.40248778320745</v>
      </c>
      <c r="BV59" s="603" t="str">
        <f t="shared" ca="1" si="27"/>
        <v>N</v>
      </c>
      <c r="BW59" s="602" t="str">
        <f t="shared" si="27"/>
        <v/>
      </c>
      <c r="BX59" s="604"/>
      <c r="BY59" s="601">
        <f t="shared" ca="1" si="28"/>
        <v>10.236220472440971</v>
      </c>
      <c r="BZ59" s="603">
        <f t="shared" ca="1" si="28"/>
        <v>12.849691797060213</v>
      </c>
      <c r="CA59" s="603">
        <f t="shared" ca="1" si="28"/>
        <v>7.7410593028519825</v>
      </c>
      <c r="CB59" s="603" t="str">
        <f t="shared" ca="1" si="28"/>
        <v>N</v>
      </c>
      <c r="CC59" s="602" t="str">
        <f t="shared" si="28"/>
        <v/>
      </c>
      <c r="CD59" s="604"/>
      <c r="CE59" s="601">
        <f t="shared" ca="1" si="29"/>
        <v>-48.564425770308141</v>
      </c>
      <c r="CF59" s="603">
        <f t="shared" ca="1" si="30"/>
        <v>-48.123249299719895</v>
      </c>
      <c r="CG59" s="603">
        <f t="shared" ca="1" si="31"/>
        <v>-49.005602240896366</v>
      </c>
      <c r="CH59" s="603" t="str">
        <f t="shared" ca="1" si="32"/>
        <v>N</v>
      </c>
      <c r="CI59" s="602" t="str">
        <f t="shared" si="33"/>
        <v/>
      </c>
      <c r="CJ59" s="604"/>
      <c r="CK59" s="601">
        <f t="shared" ca="1" si="34"/>
        <v>11.953710006807361</v>
      </c>
      <c r="CL59" s="603">
        <f t="shared" ca="1" si="35"/>
        <v>70.761339092872589</v>
      </c>
      <c r="CM59" s="603">
        <f t="shared" ca="1" si="36"/>
        <v>-47.871463883548472</v>
      </c>
      <c r="CN59" s="603" t="str">
        <f t="shared" ca="1" si="37"/>
        <v>N</v>
      </c>
      <c r="CO59" s="602" t="str">
        <f t="shared" si="38"/>
        <v/>
      </c>
      <c r="CP59" s="604"/>
      <c r="CQ59" s="601">
        <f t="shared" ca="1" si="39"/>
        <v>-17.317280797762379</v>
      </c>
      <c r="CR59" s="603">
        <f t="shared" ca="1" si="40"/>
        <v>-64.679841897233203</v>
      </c>
      <c r="CS59" s="603">
        <f t="shared" ca="1" si="41"/>
        <v>140.5163329820864</v>
      </c>
      <c r="CT59" s="603" t="str">
        <f t="shared" ca="1" si="42"/>
        <v>N</v>
      </c>
      <c r="CU59" s="602" t="str">
        <f t="shared" si="43"/>
        <v/>
      </c>
      <c r="CV59" s="604"/>
      <c r="CW59" s="601">
        <f t="shared" ca="1" si="44"/>
        <v>-13.781438446830396</v>
      </c>
      <c r="CX59" s="603">
        <f t="shared" ca="1" si="45"/>
        <v>42.032229185317838</v>
      </c>
      <c r="CY59" s="603">
        <f t="shared" ca="1" si="46"/>
        <v>-41.095290251916751</v>
      </c>
      <c r="CZ59" s="603" t="str">
        <f t="shared" ca="1" si="47"/>
        <v>N</v>
      </c>
      <c r="DA59" s="602" t="str">
        <f t="shared" si="48"/>
        <v/>
      </c>
      <c r="DB59" s="604"/>
      <c r="DC59" s="601">
        <f t="shared" ca="1" si="49"/>
        <v>3.667690208120078</v>
      </c>
      <c r="DD59" s="603">
        <f t="shared" ca="1" si="50"/>
        <v>10.463283958398971</v>
      </c>
      <c r="DE59" s="603">
        <f t="shared" ca="1" si="51"/>
        <v>-4.351059873558949</v>
      </c>
      <c r="DF59" s="603" t="str">
        <f t="shared" ca="1" si="52"/>
        <v>N</v>
      </c>
      <c r="DG59" s="602" t="str">
        <f t="shared" si="53"/>
        <v/>
      </c>
      <c r="DH59" s="604"/>
      <c r="DI59" s="601">
        <f t="shared" ca="1" si="54"/>
        <v>6.9113049201908971</v>
      </c>
      <c r="DJ59" s="603">
        <f t="shared" ca="1" si="55"/>
        <v>-54.52211126961484</v>
      </c>
      <c r="DK59" s="603">
        <f t="shared" ca="1" si="56"/>
        <v>90.629860031104229</v>
      </c>
      <c r="DL59" s="603" t="str">
        <f t="shared" ca="1" si="57"/>
        <v>N</v>
      </c>
      <c r="DM59" s="602" t="str">
        <f t="shared" si="58"/>
        <v/>
      </c>
      <c r="DN59" s="604"/>
      <c r="DO59" s="601">
        <f t="shared" ca="1" si="59"/>
        <v>1.5391719255042347E-2</v>
      </c>
      <c r="DP59" s="603">
        <f t="shared" ca="1" si="60"/>
        <v>10.727728983688834</v>
      </c>
      <c r="DQ59" s="603">
        <f t="shared" ca="1" si="61"/>
        <v>-3.4672649398327704</v>
      </c>
      <c r="DR59" s="603" t="str">
        <f t="shared" ca="1" si="62"/>
        <v>N</v>
      </c>
      <c r="DS59" s="602" t="str">
        <f t="shared" si="63"/>
        <v/>
      </c>
      <c r="DT59" s="604"/>
      <c r="DU59" s="601">
        <f t="shared" ca="1" si="64"/>
        <v>46.722068328716524</v>
      </c>
      <c r="DV59" s="603">
        <f t="shared" ca="1" si="65"/>
        <v>94.730878186968837</v>
      </c>
      <c r="DW59" s="603">
        <f t="shared" ca="1" si="66"/>
        <v>28.818930910627504</v>
      </c>
      <c r="DX59" s="603" t="str">
        <f t="shared" ca="1" si="67"/>
        <v>N</v>
      </c>
      <c r="DY59" s="602" t="str">
        <f t="shared" si="68"/>
        <v/>
      </c>
      <c r="DZ59" s="604"/>
      <c r="EA59" s="601">
        <f t="shared" ca="1" si="69"/>
        <v>-4.0381791483112934</v>
      </c>
      <c r="EB59" s="603">
        <f t="shared" ca="1" si="70"/>
        <v>-45.824847250509158</v>
      </c>
      <c r="EC59" s="603">
        <f t="shared" ca="1" si="71"/>
        <v>19.517795637198642</v>
      </c>
      <c r="ED59" s="603" t="str">
        <f t="shared" ca="1" si="72"/>
        <v>N</v>
      </c>
      <c r="EE59" s="602" t="str">
        <f t="shared" si="73"/>
        <v/>
      </c>
      <c r="EF59" s="604"/>
      <c r="EG59" s="601">
        <f t="shared" ca="1" si="74"/>
        <v>0</v>
      </c>
      <c r="EH59" s="603">
        <f t="shared" ca="1" si="75"/>
        <v>0</v>
      </c>
      <c r="EI59" s="603">
        <f t="shared" ca="1" si="76"/>
        <v>0</v>
      </c>
      <c r="EJ59" s="603" t="str">
        <f t="shared" ca="1" si="77"/>
        <v>N</v>
      </c>
      <c r="EK59" s="602" t="str">
        <f t="shared" si="78"/>
        <v/>
      </c>
      <c r="EL59" s="604"/>
      <c r="EM59" s="601">
        <f t="shared" ca="1" si="79"/>
        <v>0</v>
      </c>
      <c r="EN59" s="603">
        <f t="shared" ca="1" si="80"/>
        <v>0</v>
      </c>
      <c r="EO59" s="603">
        <f t="shared" ca="1" si="81"/>
        <v>0</v>
      </c>
      <c r="EP59" s="603" t="str">
        <f t="shared" ca="1" si="82"/>
        <v>N</v>
      </c>
      <c r="EQ59" s="602" t="str">
        <f t="shared" si="83"/>
        <v/>
      </c>
      <c r="ER59" s="604"/>
      <c r="ES59" s="601">
        <f t="shared" ca="1" si="84"/>
        <v>0</v>
      </c>
      <c r="ET59" s="603">
        <f t="shared" ca="1" si="85"/>
        <v>0</v>
      </c>
      <c r="EU59" s="603">
        <f t="shared" ca="1" si="86"/>
        <v>0</v>
      </c>
      <c r="EV59" s="603" t="str">
        <f t="shared" ca="1" si="87"/>
        <v>N</v>
      </c>
      <c r="EW59" s="602" t="str">
        <f t="shared" si="88"/>
        <v/>
      </c>
      <c r="EX59" s="604"/>
    </row>
    <row r="60" spans="1:154">
      <c r="B60" s="600" t="s">
        <v>401</v>
      </c>
      <c r="C60" s="3779" t="s">
        <v>1376</v>
      </c>
      <c r="D60" s="3780"/>
      <c r="E60" s="601"/>
      <c r="F60" s="602"/>
      <c r="G60" s="603"/>
      <c r="H60" s="603"/>
      <c r="I60" s="603"/>
      <c r="J60" s="604"/>
      <c r="K60" s="601">
        <f t="shared" ca="1" si="13"/>
        <v>27.177838426442811</v>
      </c>
      <c r="L60" s="602">
        <f t="shared" ca="1" si="13"/>
        <v>6.6135050113395266</v>
      </c>
      <c r="M60" s="603">
        <f t="shared" ca="1" si="13"/>
        <v>25.408763249481936</v>
      </c>
      <c r="N60" s="603">
        <f t="shared" ca="1" si="13"/>
        <v>35.703879926758518</v>
      </c>
      <c r="O60" s="603">
        <f t="shared" ca="1" si="13"/>
        <v>6199.9999999999991</v>
      </c>
      <c r="P60" s="604"/>
      <c r="Q60" s="601">
        <f t="shared" ca="1" si="14"/>
        <v>22.916288458672597</v>
      </c>
      <c r="R60" s="602">
        <f t="shared" ca="1" si="14"/>
        <v>29.945790159884723</v>
      </c>
      <c r="S60" s="603">
        <f t="shared" ca="1" si="14"/>
        <v>20.520088394470193</v>
      </c>
      <c r="T60" s="603">
        <f t="shared" ca="1" si="14"/>
        <v>27.877086718865417</v>
      </c>
      <c r="U60" s="603">
        <f t="shared" ca="1" si="14"/>
        <v>77.777777777777814</v>
      </c>
      <c r="V60" s="604"/>
      <c r="W60" s="601">
        <f t="shared" ca="1" si="15"/>
        <v>19.376114592816783</v>
      </c>
      <c r="X60" s="602">
        <f t="shared" ca="1" si="15"/>
        <v>32.148703596134531</v>
      </c>
      <c r="Y60" s="603">
        <f t="shared" ca="1" si="15"/>
        <v>15.400309646268507</v>
      </c>
      <c r="Z60" s="603">
        <f t="shared" ca="1" si="15"/>
        <v>26.848428835489834</v>
      </c>
      <c r="AA60" s="603">
        <f t="shared" ca="1" si="15"/>
        <v>7.5892857142856984</v>
      </c>
      <c r="AB60" s="604"/>
      <c r="AC60" s="601">
        <f t="shared" ca="1" si="16"/>
        <v>0.70890554512232917</v>
      </c>
      <c r="AD60" s="602">
        <f t="shared" ca="1" si="16"/>
        <v>-31.228771228771222</v>
      </c>
      <c r="AE60" s="603">
        <f t="shared" ca="1" si="16"/>
        <v>1.9189116976584319</v>
      </c>
      <c r="AF60" s="603">
        <f t="shared" ca="1" si="16"/>
        <v>2.9769277474195555</v>
      </c>
      <c r="AG60" s="603">
        <f t="shared" ca="1" si="16"/>
        <v>-27.800829875518673</v>
      </c>
      <c r="AH60" s="604"/>
      <c r="AI60" s="601">
        <f t="shared" ca="1" si="17"/>
        <v>-4.234494240691788</v>
      </c>
      <c r="AJ60" s="602">
        <f t="shared" ca="1" si="17"/>
        <v>41.789657176060444</v>
      </c>
      <c r="AK60" s="603">
        <f t="shared" ca="1" si="17"/>
        <v>-5.9796689582084284</v>
      </c>
      <c r="AL60" s="603">
        <f t="shared" ca="1" si="17"/>
        <v>-5.2151200155657556</v>
      </c>
      <c r="AM60" s="603">
        <f t="shared" ca="1" si="17"/>
        <v>-125.2873563218391</v>
      </c>
      <c r="AN60" s="604"/>
      <c r="AO60" s="601">
        <f t="shared" ca="1" si="18"/>
        <v>2.7272518399951151</v>
      </c>
      <c r="AP60" s="602">
        <f t="shared" ca="1" si="18"/>
        <v>21.383493156298638</v>
      </c>
      <c r="AQ60" s="603">
        <f t="shared" ca="1" si="18"/>
        <v>1.4365634010037986</v>
      </c>
      <c r="AR60" s="603">
        <f t="shared" ca="1" si="18"/>
        <v>2.6020477985543522</v>
      </c>
      <c r="AS60" s="603">
        <f t="shared" ca="1" si="18"/>
        <v>334.09090909090901</v>
      </c>
      <c r="AT60" s="604"/>
      <c r="AU60" s="601">
        <f t="shared" ca="1" si="19"/>
        <v>8.2946276801956209</v>
      </c>
      <c r="AV60" s="602">
        <f t="shared" ca="1" si="19"/>
        <v>9.3045239702903579</v>
      </c>
      <c r="AW60" s="603">
        <f t="shared" ca="1" si="19"/>
        <v>10.318831934075501</v>
      </c>
      <c r="AX60" s="603">
        <f t="shared" ca="1" si="19"/>
        <v>3.9165519791925618</v>
      </c>
      <c r="AY60" s="603">
        <f t="shared" ca="1" si="19"/>
        <v>21.465968586387451</v>
      </c>
      <c r="AZ60" s="604"/>
      <c r="BA60" s="601">
        <f t="shared" ca="1" si="20"/>
        <v>10.889780407585835</v>
      </c>
      <c r="BB60" s="602">
        <f t="shared" ca="1" si="20"/>
        <v>10.739436619718301</v>
      </c>
      <c r="BC60" s="603">
        <f t="shared" ca="1" si="20"/>
        <v>13.928016667815314</v>
      </c>
      <c r="BD60" s="603">
        <f t="shared" ca="1" si="20"/>
        <v>4.2310138213895954</v>
      </c>
      <c r="BE60" s="603">
        <f t="shared" ca="1" si="20"/>
        <v>-30.172413793103448</v>
      </c>
      <c r="BF60" s="604"/>
      <c r="BG60" s="601">
        <f t="shared" ca="1" si="21"/>
        <v>13.457156870048937</v>
      </c>
      <c r="BH60" s="602">
        <f t="shared" ca="1" si="22"/>
        <v>9.1400998521741883</v>
      </c>
      <c r="BI60" s="603">
        <f t="shared" ca="1" si="23"/>
        <v>15.173174374938924</v>
      </c>
      <c r="BJ60" s="603">
        <f t="shared" ca="1" si="24"/>
        <v>10.195182840478489</v>
      </c>
      <c r="BK60" s="603">
        <f t="shared" ca="1" si="25"/>
        <v>208.02469135802463</v>
      </c>
      <c r="BL60" s="604"/>
      <c r="BM60" s="601">
        <f t="shared" ca="1" si="26"/>
        <v>16.551506205805943</v>
      </c>
      <c r="BN60" s="602">
        <f t="shared" ca="1" si="26"/>
        <v>14.814720163557361</v>
      </c>
      <c r="BO60" s="603">
        <f t="shared" ca="1" si="26"/>
        <v>19.545990804263337</v>
      </c>
      <c r="BP60" s="603">
        <f t="shared" ca="1" si="26"/>
        <v>9.3672377798208917</v>
      </c>
      <c r="BQ60" s="603">
        <f t="shared" ca="1" si="26"/>
        <v>28.009619238476958</v>
      </c>
      <c r="BR60" s="604"/>
      <c r="BS60" s="601">
        <f t="shared" ca="1" si="27"/>
        <v>20.625303696470198</v>
      </c>
      <c r="BT60" s="602">
        <f t="shared" ca="1" si="27"/>
        <v>20.215015469539498</v>
      </c>
      <c r="BU60" s="603">
        <f t="shared" ca="1" si="27"/>
        <v>22.220400934827399</v>
      </c>
      <c r="BV60" s="603">
        <f t="shared" ca="1" si="27"/>
        <v>16.326843405725743</v>
      </c>
      <c r="BW60" s="603">
        <f t="shared" ca="1" si="27"/>
        <v>9.1891891891892072</v>
      </c>
      <c r="BX60" s="604"/>
      <c r="BY60" s="601">
        <f t="shared" ca="1" si="28"/>
        <v>19.933153649304746</v>
      </c>
      <c r="BZ60" s="602">
        <f t="shared" ca="1" si="28"/>
        <v>35.30522690662665</v>
      </c>
      <c r="CA60" s="603">
        <f t="shared" ca="1" si="28"/>
        <v>21.127118878411611</v>
      </c>
      <c r="CB60" s="603">
        <f t="shared" ca="1" si="28"/>
        <v>13.170513572971455</v>
      </c>
      <c r="CC60" s="603">
        <f t="shared" ca="1" si="28"/>
        <v>-21.287128712871294</v>
      </c>
      <c r="CD60" s="604"/>
      <c r="CE60" s="601">
        <f t="shared" ca="1" si="29"/>
        <v>16.462746300672837</v>
      </c>
      <c r="CF60" s="602">
        <f t="shared" ca="1" si="30"/>
        <v>4.1230482915281197</v>
      </c>
      <c r="CG60" s="603">
        <f t="shared" ca="1" si="31"/>
        <v>15.498068634255047</v>
      </c>
      <c r="CH60" s="603">
        <f t="shared" ca="1" si="32"/>
        <v>22.625666788970111</v>
      </c>
      <c r="CI60" s="603">
        <f t="shared" ca="1" si="33"/>
        <v>-40.25157232704403</v>
      </c>
      <c r="CJ60" s="604"/>
      <c r="CK60" s="601">
        <f t="shared" ca="1" si="34"/>
        <v>-16.557286032043038</v>
      </c>
      <c r="CL60" s="602">
        <f t="shared" ca="1" si="35"/>
        <v>-27.249310027598906</v>
      </c>
      <c r="CM60" s="603">
        <f t="shared" ca="1" si="36"/>
        <v>-20.793171232125328</v>
      </c>
      <c r="CN60" s="603">
        <f t="shared" ca="1" si="37"/>
        <v>-1.8856090684159055</v>
      </c>
      <c r="CO60" s="603">
        <f t="shared" ca="1" si="38"/>
        <v>-82.10526315789474</v>
      </c>
      <c r="CP60" s="604"/>
      <c r="CQ60" s="601">
        <f t="shared" ca="1" si="39"/>
        <v>-4.2435211792029808</v>
      </c>
      <c r="CR60" s="602">
        <f t="shared" ca="1" si="40"/>
        <v>-16.744345689717456</v>
      </c>
      <c r="CS60" s="603">
        <f t="shared" ca="1" si="41"/>
        <v>-0.80092932257276317</v>
      </c>
      <c r="CT60" s="603">
        <f t="shared" ca="1" si="42"/>
        <v>-10.304786145337896</v>
      </c>
      <c r="CU60" s="603">
        <f t="shared" ca="1" si="43"/>
        <v>905.88235294117646</v>
      </c>
      <c r="CV60" s="604"/>
      <c r="CW60" s="601">
        <f t="shared" ca="1" si="44"/>
        <v>7.2025534526711343</v>
      </c>
      <c r="CX60" s="602">
        <f t="shared" ca="1" si="45"/>
        <v>2.3716015362249543</v>
      </c>
      <c r="CY60" s="603">
        <f t="shared" ca="1" si="46"/>
        <v>8.5118078047859989</v>
      </c>
      <c r="CZ60" s="603">
        <f t="shared" ca="1" si="47"/>
        <v>4.5275333132821505</v>
      </c>
      <c r="DA60" s="603">
        <f t="shared" ca="1" si="48"/>
        <v>-19.883040935672515</v>
      </c>
      <c r="DB60" s="604"/>
      <c r="DC60" s="601">
        <f t="shared" ca="1" si="49"/>
        <v>5.5380206228158757</v>
      </c>
      <c r="DD60" s="602">
        <f t="shared" ca="1" si="50"/>
        <v>-2.5222551928783421</v>
      </c>
      <c r="DE60" s="603">
        <f t="shared" ca="1" si="51"/>
        <v>7.5180596641227337</v>
      </c>
      <c r="DF60" s="603">
        <f t="shared" ca="1" si="52"/>
        <v>1.3849055305520608</v>
      </c>
      <c r="DG60" s="603">
        <f t="shared" ca="1" si="53"/>
        <v>-84.671532846715323</v>
      </c>
      <c r="DH60" s="604"/>
      <c r="DI60" s="601">
        <f t="shared" ca="1" si="54"/>
        <v>5.8994147360147409</v>
      </c>
      <c r="DJ60" s="602">
        <f t="shared" ca="1" si="55"/>
        <v>5.201130680582744</v>
      </c>
      <c r="DK60" s="603">
        <f t="shared" ca="1" si="56"/>
        <v>6.9517246435248037</v>
      </c>
      <c r="DL60" s="603">
        <f t="shared" ca="1" si="57"/>
        <v>2.9874044070693273</v>
      </c>
      <c r="DM60" s="603">
        <f t="shared" ca="1" si="58"/>
        <v>76.190476190476161</v>
      </c>
      <c r="DN60" s="604"/>
      <c r="DO60" s="601">
        <f t="shared" ca="1" si="59"/>
        <v>6.4129692882434197</v>
      </c>
      <c r="DP60" s="602">
        <f t="shared" ca="1" si="60"/>
        <v>1.990409656483827</v>
      </c>
      <c r="DQ60" s="603">
        <f t="shared" ca="1" si="61"/>
        <v>7.5398549446339835</v>
      </c>
      <c r="DR60" s="603">
        <f t="shared" ca="1" si="62"/>
        <v>3.7053123455495829</v>
      </c>
      <c r="DS60" s="603">
        <f t="shared" ca="1" si="63"/>
        <v>-148.64864864864865</v>
      </c>
      <c r="DT60" s="604"/>
      <c r="DU60" s="601">
        <f t="shared" ca="1" si="64"/>
        <v>6.9293958600731953</v>
      </c>
      <c r="DV60" s="602">
        <f t="shared" ca="1" si="65"/>
        <v>2.6405917519505717</v>
      </c>
      <c r="DW60" s="603">
        <f t="shared" ca="1" si="66"/>
        <v>8.034622101116117</v>
      </c>
      <c r="DX60" s="603">
        <f t="shared" ca="1" si="67"/>
        <v>4.1350028161691199</v>
      </c>
      <c r="DY60" s="603">
        <f t="shared" ca="1" si="68"/>
        <v>-94.444444444444443</v>
      </c>
      <c r="DZ60" s="604"/>
      <c r="EA60" s="601">
        <f t="shared" ca="1" si="69"/>
        <v>8.260963543531874</v>
      </c>
      <c r="EB60" s="602">
        <f t="shared" ca="1" si="70"/>
        <v>-3.3861159374506511</v>
      </c>
      <c r="EC60" s="603">
        <f t="shared" ca="1" si="71"/>
        <v>9.6473121750138233</v>
      </c>
      <c r="ED60" s="603">
        <f t="shared" ca="1" si="72"/>
        <v>5.4652720570491864</v>
      </c>
      <c r="EE60" s="603">
        <f t="shared" ca="1" si="73"/>
        <v>4600</v>
      </c>
      <c r="EF60" s="604"/>
      <c r="EG60" s="601">
        <f t="shared" ca="1" si="74"/>
        <v>8.981946438877042</v>
      </c>
      <c r="EH60" s="602">
        <f t="shared" ca="1" si="75"/>
        <v>6.4999999999999947</v>
      </c>
      <c r="EI60" s="603">
        <f t="shared" ca="1" si="76"/>
        <v>10.200905798379868</v>
      </c>
      <c r="EJ60" s="603">
        <f t="shared" ca="1" si="77"/>
        <v>5.2500506456830021</v>
      </c>
      <c r="EK60" s="603">
        <f t="shared" ca="1" si="78"/>
        <v>-100</v>
      </c>
      <c r="EL60" s="604"/>
      <c r="EM60" s="601">
        <f t="shared" ca="1" si="79"/>
        <v>5.961773666944703</v>
      </c>
      <c r="EN60" s="602">
        <f t="shared" ca="1" si="80"/>
        <v>6.4999999999999947</v>
      </c>
      <c r="EO60" s="603">
        <f t="shared" ca="1" si="81"/>
        <v>6.2055024258300451</v>
      </c>
      <c r="EP60" s="603">
        <f t="shared" ca="1" si="82"/>
        <v>5.0435315257880697</v>
      </c>
      <c r="EQ60" s="603" t="str">
        <f t="shared" ca="1" si="83"/>
        <v>N</v>
      </c>
      <c r="ER60" s="604"/>
      <c r="ES60" s="601">
        <f t="shared" ca="1" si="84"/>
        <v>5.8131671142300778</v>
      </c>
      <c r="ET60" s="602">
        <f t="shared" ca="1" si="85"/>
        <v>6.0000000000000053</v>
      </c>
      <c r="EU60" s="603">
        <f t="shared" ca="1" si="86"/>
        <v>5.8939288213777807</v>
      </c>
      <c r="EV60" s="603">
        <f t="shared" ca="1" si="87"/>
        <v>5.5043480270370093</v>
      </c>
      <c r="EW60" s="603" t="str">
        <f t="shared" ca="1" si="88"/>
        <v>N</v>
      </c>
      <c r="EX60" s="604"/>
    </row>
    <row r="61" spans="1:154" ht="13.5" thickBot="1">
      <c r="B61" s="600" t="s">
        <v>1769</v>
      </c>
      <c r="C61" s="3777" t="s">
        <v>1377</v>
      </c>
      <c r="D61" s="3778"/>
      <c r="E61" s="3455"/>
      <c r="F61" s="3455"/>
      <c r="G61" s="3455"/>
      <c r="H61" s="3455"/>
      <c r="I61" s="3455"/>
      <c r="J61" s="604"/>
      <c r="K61" s="3455">
        <f t="shared" ca="1" si="13"/>
        <v>25.112023712101596</v>
      </c>
      <c r="L61" s="3455">
        <f t="shared" ca="1" si="13"/>
        <v>25.031642775144981</v>
      </c>
      <c r="M61" s="3455">
        <f t="shared" ca="1" si="13"/>
        <v>27.608025084762989</v>
      </c>
      <c r="N61" s="3455">
        <f t="shared" ca="1" si="13"/>
        <v>11.437025971041169</v>
      </c>
      <c r="O61" s="3455" t="str">
        <f t="shared" si="13"/>
        <v/>
      </c>
      <c r="P61" s="604"/>
      <c r="Q61" s="3455">
        <f t="shared" ca="1" si="14"/>
        <v>13.7365168438496</v>
      </c>
      <c r="R61" s="3455">
        <f t="shared" ca="1" si="14"/>
        <v>12.952421310356188</v>
      </c>
      <c r="S61" s="3455">
        <f t="shared" ca="1" si="14"/>
        <v>14.996963449521395</v>
      </c>
      <c r="T61" s="3455">
        <f t="shared" ca="1" si="14"/>
        <v>9.8997138363968507</v>
      </c>
      <c r="U61" s="3455" t="str">
        <f t="shared" si="14"/>
        <v/>
      </c>
      <c r="V61" s="604"/>
      <c r="W61" s="3455">
        <f t="shared" ca="1" si="15"/>
        <v>4.2911095447994541</v>
      </c>
      <c r="X61" s="3455">
        <f t="shared" ca="1" si="15"/>
        <v>7.372005969303097</v>
      </c>
      <c r="Y61" s="3455">
        <f t="shared" ca="1" si="15"/>
        <v>1.8963306800453994</v>
      </c>
      <c r="Z61" s="3455">
        <f t="shared" ca="1" si="15"/>
        <v>3.1222876445611947</v>
      </c>
      <c r="AA61" s="3455" t="str">
        <f t="shared" si="15"/>
        <v/>
      </c>
      <c r="AB61" s="604"/>
      <c r="AC61" s="3455">
        <f t="shared" ca="1" si="16"/>
        <v>-5.060892780288329</v>
      </c>
      <c r="AD61" s="3455">
        <f t="shared" ca="1" si="16"/>
        <v>-2.4683689275911247</v>
      </c>
      <c r="AE61" s="3455">
        <f t="shared" ca="1" si="16"/>
        <v>-8.2440832387128733</v>
      </c>
      <c r="AF61" s="3455">
        <f t="shared" ca="1" si="16"/>
        <v>0.98498635122843403</v>
      </c>
      <c r="AG61" s="3455" t="str">
        <f t="shared" si="16"/>
        <v/>
      </c>
      <c r="AH61" s="604"/>
      <c r="AI61" s="3455">
        <f t="shared" ca="1" si="17"/>
        <v>16.473146536382167</v>
      </c>
      <c r="AJ61" s="3455">
        <f t="shared" ca="1" si="17"/>
        <v>0.19066877370919055</v>
      </c>
      <c r="AK61" s="3455">
        <f t="shared" ca="1" si="17"/>
        <v>34.17664131044711</v>
      </c>
      <c r="AL61" s="3455">
        <f t="shared" ca="1" si="17"/>
        <v>1.3020070731872391</v>
      </c>
      <c r="AM61" s="3455" t="str">
        <f t="shared" si="17"/>
        <v/>
      </c>
      <c r="AN61" s="604"/>
      <c r="AO61" s="3455">
        <f t="shared" ca="1" si="18"/>
        <v>9.7573657636235378</v>
      </c>
      <c r="AP61" s="3455">
        <f t="shared" ca="1" si="18"/>
        <v>-5.1529598728645265</v>
      </c>
      <c r="AQ61" s="3455">
        <f t="shared" ca="1" si="18"/>
        <v>21.417295357107214</v>
      </c>
      <c r="AR61" s="3455">
        <f t="shared" ca="1" si="18"/>
        <v>-0.40915256498633701</v>
      </c>
      <c r="AS61" s="3455" t="str">
        <f t="shared" si="18"/>
        <v/>
      </c>
      <c r="AT61" s="604"/>
      <c r="AU61" s="3455">
        <f t="shared" ca="1" si="19"/>
        <v>5.6667179190959649</v>
      </c>
      <c r="AV61" s="3455">
        <f t="shared" ca="1" si="19"/>
        <v>-1.7136514053533225</v>
      </c>
      <c r="AW61" s="3455">
        <f t="shared" ca="1" si="19"/>
        <v>10.36110940034083</v>
      </c>
      <c r="AX61" s="3455">
        <f t="shared" ca="1" si="19"/>
        <v>-0.9467032844351686</v>
      </c>
      <c r="AY61" s="3455" t="str">
        <f t="shared" si="19"/>
        <v/>
      </c>
      <c r="AZ61" s="604"/>
      <c r="BA61" s="3455">
        <f t="shared" ca="1" si="20"/>
        <v>10.303398153707333</v>
      </c>
      <c r="BB61" s="3455">
        <f t="shared" ca="1" si="20"/>
        <v>3.8527269550245213</v>
      </c>
      <c r="BC61" s="3455">
        <f t="shared" ca="1" si="20"/>
        <v>13.795569444961187</v>
      </c>
      <c r="BD61" s="3455">
        <f t="shared" ca="1" si="20"/>
        <v>6.3431237743163393</v>
      </c>
      <c r="BE61" s="3455" t="str">
        <f t="shared" si="20"/>
        <v/>
      </c>
      <c r="BF61" s="604"/>
      <c r="BG61" s="3455">
        <f t="shared" ca="1" si="21"/>
        <v>8.3572709564630578</v>
      </c>
      <c r="BH61" s="3455">
        <f t="shared" ca="1" si="22"/>
        <v>4.637248183060505</v>
      </c>
      <c r="BI61" s="3455">
        <f t="shared" ca="1" si="23"/>
        <v>10.282290289301187</v>
      </c>
      <c r="BJ61" s="3455">
        <f t="shared" ca="1" si="24"/>
        <v>5.108421476567071</v>
      </c>
      <c r="BK61" s="3455" t="str">
        <f t="shared" si="25"/>
        <v/>
      </c>
      <c r="BL61" s="604"/>
      <c r="BM61" s="3455">
        <f t="shared" ca="1" si="26"/>
        <v>14.822598034753231</v>
      </c>
      <c r="BN61" s="3455">
        <f t="shared" ca="1" si="26"/>
        <v>11.833131355915594</v>
      </c>
      <c r="BO61" s="3455">
        <f t="shared" ca="1" si="26"/>
        <v>16.470925377853995</v>
      </c>
      <c r="BP61" s="3455">
        <f t="shared" ca="1" si="26"/>
        <v>10.006654970052487</v>
      </c>
      <c r="BQ61" s="3455" t="str">
        <f t="shared" si="26"/>
        <v/>
      </c>
      <c r="BR61" s="604"/>
      <c r="BS61" s="3455">
        <f t="shared" ca="1" si="27"/>
        <v>9.1261043455501891</v>
      </c>
      <c r="BT61" s="3455">
        <f t="shared" ca="1" si="27"/>
        <v>4.0788915346605892</v>
      </c>
      <c r="BU61" s="3455">
        <f t="shared" ca="1" si="27"/>
        <v>10.911965293479597</v>
      </c>
      <c r="BV61" s="3455">
        <f t="shared" ca="1" si="27"/>
        <v>12.355863535536882</v>
      </c>
      <c r="BW61" s="3455" t="str">
        <f t="shared" si="27"/>
        <v/>
      </c>
      <c r="BX61" s="604"/>
      <c r="BY61" s="3455">
        <f t="shared" ca="1" si="28"/>
        <v>19.989548566341742</v>
      </c>
      <c r="BZ61" s="3455">
        <f t="shared" ca="1" si="28"/>
        <v>7.5904199041720855</v>
      </c>
      <c r="CA61" s="3455">
        <f t="shared" ca="1" si="28"/>
        <v>25.017370960853235</v>
      </c>
      <c r="CB61" s="3455">
        <f t="shared" ca="1" si="28"/>
        <v>15.687970108828697</v>
      </c>
      <c r="CC61" s="3455" t="str">
        <f t="shared" si="28"/>
        <v/>
      </c>
      <c r="CD61" s="604"/>
      <c r="CE61" s="3455">
        <f t="shared" ca="1" si="29"/>
        <v>8.5700029107239182</v>
      </c>
      <c r="CF61" s="3455">
        <f t="shared" ca="1" si="30"/>
        <v>6.8062597671847636</v>
      </c>
      <c r="CG61" s="3455">
        <f t="shared" ca="1" si="31"/>
        <v>8.6467192885842934</v>
      </c>
      <c r="CH61" s="3455">
        <f t="shared" ca="1" si="32"/>
        <v>15.451878596412127</v>
      </c>
      <c r="CI61" s="3455" t="str">
        <f t="shared" si="33"/>
        <v/>
      </c>
      <c r="CJ61" s="604"/>
      <c r="CK61" s="3455">
        <f t="shared" ca="1" si="34"/>
        <v>-17.847232021071456</v>
      </c>
      <c r="CL61" s="3455">
        <f t="shared" ca="1" si="35"/>
        <v>-17.247142580679199</v>
      </c>
      <c r="CM61" s="3455">
        <f t="shared" ca="1" si="36"/>
        <v>-19.40306072643444</v>
      </c>
      <c r="CN61" s="3455">
        <f t="shared" ca="1" si="37"/>
        <v>-0.10017102369905828</v>
      </c>
      <c r="CO61" s="3455" t="str">
        <f t="shared" si="38"/>
        <v/>
      </c>
      <c r="CP61" s="604"/>
      <c r="CQ61" s="3455">
        <f t="shared" ca="1" si="39"/>
        <v>11.455316503837931</v>
      </c>
      <c r="CR61" s="3455">
        <f t="shared" ca="1" si="40"/>
        <v>-6.7762258080518389</v>
      </c>
      <c r="CS61" s="3455">
        <f t="shared" ca="1" si="41"/>
        <v>18.564404288572533</v>
      </c>
      <c r="CT61" s="3455">
        <f t="shared" ca="1" si="42"/>
        <v>-0.26779818533098076</v>
      </c>
      <c r="CU61" s="3455" t="str">
        <f t="shared" si="43"/>
        <v/>
      </c>
      <c r="CV61" s="604"/>
      <c r="CW61" s="3455">
        <f t="shared" ca="1" si="44"/>
        <v>15.465167305832384</v>
      </c>
      <c r="CX61" s="3455">
        <f t="shared" ca="1" si="45"/>
        <v>7.8183794631658365</v>
      </c>
      <c r="CY61" s="3455">
        <f t="shared" ca="1" si="46"/>
        <v>17.961648550475594</v>
      </c>
      <c r="CZ61" s="3455">
        <f t="shared" ca="1" si="47"/>
        <v>8.9689672507019544</v>
      </c>
      <c r="DA61" s="3455" t="str">
        <f t="shared" si="48"/>
        <v/>
      </c>
      <c r="DB61" s="604"/>
      <c r="DC61" s="3455">
        <f t="shared" ca="1" si="49"/>
        <v>8.3830539066769951</v>
      </c>
      <c r="DD61" s="3455">
        <f t="shared" ca="1" si="50"/>
        <v>15.29534526277201</v>
      </c>
      <c r="DE61" s="3455">
        <f t="shared" ca="1" si="51"/>
        <v>6.6374223718854708</v>
      </c>
      <c r="DF61" s="3455">
        <f t="shared" ca="1" si="52"/>
        <v>9.9072844701487028</v>
      </c>
      <c r="DG61" s="3455" t="str">
        <f t="shared" si="53"/>
        <v/>
      </c>
      <c r="DH61" s="604"/>
      <c r="DI61" s="3455">
        <f t="shared" ca="1" si="54"/>
        <v>4.4082670913658362</v>
      </c>
      <c r="DJ61" s="3455">
        <f t="shared" ca="1" si="55"/>
        <v>3.5889878185998425</v>
      </c>
      <c r="DK61" s="3455">
        <f t="shared" ca="1" si="56"/>
        <v>4.533556973609798</v>
      </c>
      <c r="DL61" s="3455">
        <f t="shared" ca="1" si="57"/>
        <v>5.5088606558216124</v>
      </c>
      <c r="DM61" s="3455" t="str">
        <f t="shared" si="58"/>
        <v/>
      </c>
      <c r="DN61" s="604"/>
      <c r="DO61" s="3455">
        <f t="shared" ca="1" si="59"/>
        <v>2.6792418708695642</v>
      </c>
      <c r="DP61" s="3455">
        <f t="shared" ca="1" si="60"/>
        <v>4.1255158001617165</v>
      </c>
      <c r="DQ61" s="3455">
        <f t="shared" ca="1" si="61"/>
        <v>2.1574887613674987</v>
      </c>
      <c r="DR61" s="3455">
        <f t="shared" ca="1" si="62"/>
        <v>4.7040558897729179</v>
      </c>
      <c r="DS61" s="3455" t="str">
        <f t="shared" ca="1" si="63"/>
        <v>N</v>
      </c>
      <c r="DT61" s="604"/>
      <c r="DU61" s="3455">
        <f t="shared" ca="1" si="64"/>
        <v>-1.9575046246510852</v>
      </c>
      <c r="DV61" s="3455">
        <f t="shared" ca="1" si="65"/>
        <v>6.957488002131762</v>
      </c>
      <c r="DW61" s="3455">
        <f t="shared" ca="1" si="66"/>
        <v>-4.5899728569255611</v>
      </c>
      <c r="DX61" s="3455">
        <f t="shared" ca="1" si="67"/>
        <v>2.2593320235757552</v>
      </c>
      <c r="DY61" s="3455" t="str">
        <f t="shared" si="68"/>
        <v/>
      </c>
      <c r="DZ61" s="604"/>
      <c r="EA61" s="3455">
        <f t="shared" ca="1" si="69"/>
        <v>-1.0738326923141694</v>
      </c>
      <c r="EB61" s="3455">
        <f t="shared" ca="1" si="70"/>
        <v>0.14656189125794583</v>
      </c>
      <c r="EC61" s="3455">
        <f t="shared" ca="1" si="71"/>
        <v>-1.8205130759804122</v>
      </c>
      <c r="ED61" s="3455">
        <f t="shared" ca="1" si="72"/>
        <v>3.5814619469667797</v>
      </c>
      <c r="EE61" s="3455" t="str">
        <f t="shared" si="73"/>
        <v/>
      </c>
      <c r="EF61" s="604"/>
      <c r="EG61" s="3455">
        <f t="shared" ca="1" si="74"/>
        <v>6.7160076493935739</v>
      </c>
      <c r="EH61" s="3455">
        <f t="shared" ca="1" si="75"/>
        <v>-2.2204460492503131E-14</v>
      </c>
      <c r="EI61" s="3455">
        <f t="shared" ca="1" si="76"/>
        <v>9.5795927224925581</v>
      </c>
      <c r="EJ61" s="3455">
        <f t="shared" ca="1" si="77"/>
        <v>3.6000000000000032</v>
      </c>
      <c r="EK61" s="3455" t="str">
        <f t="shared" si="78"/>
        <v/>
      </c>
      <c r="EL61" s="604"/>
      <c r="EM61" s="3455">
        <f t="shared" ca="1" si="79"/>
        <v>5.4374649643860407</v>
      </c>
      <c r="EN61" s="3455">
        <f t="shared" ca="1" si="80"/>
        <v>0</v>
      </c>
      <c r="EO61" s="3455">
        <f t="shared" ca="1" si="81"/>
        <v>6.6094783254695422</v>
      </c>
      <c r="EP61" s="3455">
        <f t="shared" ca="1" si="82"/>
        <v>1.9999999999999796</v>
      </c>
      <c r="EQ61" s="3455" t="str">
        <f t="shared" si="83"/>
        <v/>
      </c>
      <c r="ER61" s="604"/>
      <c r="ES61" s="3455">
        <f t="shared" ca="1" si="84"/>
        <v>5.2573339981000444</v>
      </c>
      <c r="ET61" s="3455">
        <f t="shared" ca="1" si="85"/>
        <v>2.2204460492503131E-14</v>
      </c>
      <c r="EU61" s="3455">
        <f t="shared" ca="1" si="86"/>
        <v>6.9283740021131468</v>
      </c>
      <c r="EV61" s="3455">
        <f t="shared" ca="1" si="87"/>
        <v>1.0000000000000453</v>
      </c>
      <c r="EW61" s="3455" t="str">
        <f t="shared" si="88"/>
        <v/>
      </c>
      <c r="EX61" s="604"/>
    </row>
    <row r="62" spans="1:154">
      <c r="B62" s="600" t="s">
        <v>1767</v>
      </c>
      <c r="C62" s="3779" t="s">
        <v>1378</v>
      </c>
      <c r="D62" s="3780"/>
      <c r="E62" s="3477"/>
      <c r="F62" s="3479"/>
      <c r="G62" s="3480"/>
      <c r="H62" s="602"/>
      <c r="I62" s="603"/>
      <c r="J62" s="556"/>
      <c r="K62" s="3477">
        <f t="shared" ref="K62:N66" ca="1" si="89">IF(K13="","",IF(E13=0,"N",(K13/E13-1)*100))</f>
        <v>25.940720317077371</v>
      </c>
      <c r="L62" s="3479">
        <f t="shared" ca="1" si="89"/>
        <v>25.940720317077371</v>
      </c>
      <c r="M62" s="3480" t="str">
        <f t="shared" si="89"/>
        <v/>
      </c>
      <c r="N62" s="602" t="str">
        <f t="shared" si="89"/>
        <v/>
      </c>
      <c r="O62" s="603"/>
      <c r="P62" s="556" t="str">
        <f ca="1">IF(ROUND(P13,2)=0,"ok","!")</f>
        <v>ok</v>
      </c>
      <c r="Q62" s="3477">
        <f t="shared" ref="Q62:T66" ca="1" si="90">IF(Q13="","",IF(K13=0,"N",(Q13/K13-1)*100))</f>
        <v>22.371154051398801</v>
      </c>
      <c r="R62" s="3479">
        <f t="shared" ca="1" si="90"/>
        <v>22.371154051398801</v>
      </c>
      <c r="S62" s="3480" t="str">
        <f t="shared" si="90"/>
        <v/>
      </c>
      <c r="T62" s="602" t="str">
        <f t="shared" si="90"/>
        <v/>
      </c>
      <c r="U62" s="603"/>
      <c r="V62" s="556" t="str">
        <f ca="1">IF(ROUND(V13,2)=0,"ok","!")</f>
        <v>ok</v>
      </c>
      <c r="W62" s="3477">
        <f t="shared" ref="W62:Z66" ca="1" si="91">IF(W13="","",IF(Q13=0,"N",(W13/Q13-1)*100))</f>
        <v>19.53797815124172</v>
      </c>
      <c r="X62" s="3479">
        <f t="shared" ca="1" si="91"/>
        <v>19.53797815124172</v>
      </c>
      <c r="Y62" s="3480" t="str">
        <f t="shared" si="91"/>
        <v/>
      </c>
      <c r="Z62" s="602" t="str">
        <f t="shared" si="91"/>
        <v/>
      </c>
      <c r="AA62" s="603"/>
      <c r="AB62" s="556" t="str">
        <f ca="1">IF(ROUND(AB13,2)=0,"ok","!")</f>
        <v>ok</v>
      </c>
      <c r="AC62" s="3477">
        <f t="shared" ref="AC62:AF66" ca="1" si="92">IF(AC13="","",IF(W13=0,"N",(AC13/W13-1)*100))</f>
        <v>1.0831905292854271</v>
      </c>
      <c r="AD62" s="3479">
        <f t="shared" ca="1" si="92"/>
        <v>1.0831905292854271</v>
      </c>
      <c r="AE62" s="3480" t="str">
        <f t="shared" si="92"/>
        <v/>
      </c>
      <c r="AF62" s="602" t="str">
        <f t="shared" si="92"/>
        <v/>
      </c>
      <c r="AG62" s="603"/>
      <c r="AH62" s="556" t="str">
        <f ca="1">IF(ROUND(AH13,2)=0,"ok","!")</f>
        <v>ok</v>
      </c>
      <c r="AI62" s="3477">
        <f t="shared" ref="AI62:AL66" ca="1" si="93">IF(AI13="","",IF(AC13=0,"N",(AI13/AC13-1)*100))</f>
        <v>-3.1057406509451768</v>
      </c>
      <c r="AJ62" s="3479">
        <f t="shared" ca="1" si="93"/>
        <v>-3.1057406509451768</v>
      </c>
      <c r="AK62" s="3480" t="str">
        <f t="shared" si="93"/>
        <v/>
      </c>
      <c r="AL62" s="602" t="str">
        <f t="shared" si="93"/>
        <v/>
      </c>
      <c r="AM62" s="603"/>
      <c r="AN62" s="556" t="str">
        <f ca="1">IF(ROUND(AN13,2)=0,"ok","!")</f>
        <v>ok</v>
      </c>
      <c r="AO62" s="3477">
        <f t="shared" ref="AO62:AR66" ca="1" si="94">IF(AO13="","",IF(AI13=0,"N",(AO13/AI13-1)*100))</f>
        <v>3.5416519432097893</v>
      </c>
      <c r="AP62" s="3479">
        <f t="shared" ca="1" si="94"/>
        <v>3.5416519432097893</v>
      </c>
      <c r="AQ62" s="3480" t="str">
        <f t="shared" si="94"/>
        <v/>
      </c>
      <c r="AR62" s="602" t="str">
        <f t="shared" si="94"/>
        <v/>
      </c>
      <c r="AS62" s="603"/>
      <c r="AT62" s="556" t="str">
        <f ca="1">IF(ROUND(AT13,2)=0,"ok","!")</f>
        <v>ok</v>
      </c>
      <c r="AU62" s="3477">
        <f t="shared" ref="AU62:AX66" ca="1" si="95">IF(AU13="","",IF(AO13=0,"N",(AU13/AO13-1)*100))</f>
        <v>8.2256776176341972</v>
      </c>
      <c r="AV62" s="3479">
        <f t="shared" ca="1" si="95"/>
        <v>8.2256776176341972</v>
      </c>
      <c r="AW62" s="3480" t="str">
        <f t="shared" si="95"/>
        <v/>
      </c>
      <c r="AX62" s="602" t="str">
        <f t="shared" si="95"/>
        <v/>
      </c>
      <c r="AY62" s="603"/>
      <c r="AZ62" s="556" t="str">
        <f ca="1">IF(ROUND(AZ13,2)=0,"ok","!")</f>
        <v>!</v>
      </c>
      <c r="BA62" s="3477">
        <f t="shared" ref="BA62:BD66" ca="1" si="96">IF(BA13="","",IF(AU13=0,"N",(BA13/AU13-1)*100))</f>
        <v>10.511818338324774</v>
      </c>
      <c r="BB62" s="3479">
        <f t="shared" ca="1" si="96"/>
        <v>10.511818338324774</v>
      </c>
      <c r="BC62" s="3480" t="str">
        <f t="shared" si="96"/>
        <v/>
      </c>
      <c r="BD62" s="602" t="str">
        <f t="shared" si="96"/>
        <v/>
      </c>
      <c r="BE62" s="603"/>
      <c r="BF62" s="556" t="str">
        <f ca="1">IF(ROUND(BF13,2)=0,"ok","!")</f>
        <v>!</v>
      </c>
      <c r="BG62" s="3477">
        <f t="shared" ca="1" si="21"/>
        <v>14.976948929810296</v>
      </c>
      <c r="BH62" s="3479">
        <f t="shared" ca="1" si="22"/>
        <v>14.976948929810296</v>
      </c>
      <c r="BI62" s="3480" t="str">
        <f t="shared" si="23"/>
        <v/>
      </c>
      <c r="BJ62" s="602" t="str">
        <f t="shared" si="24"/>
        <v/>
      </c>
      <c r="BK62" s="603"/>
      <c r="BL62" s="556" t="str">
        <f ca="1">IF(ROUND(BL13,2)=0,"ok","!")</f>
        <v>ok</v>
      </c>
      <c r="BM62" s="3477">
        <f t="shared" ref="BM62:BP66" ca="1" si="97">IF(BM13="","",IF(BG13=0,"N",(BM13/BG13-1)*100))</f>
        <v>16.783666132310238</v>
      </c>
      <c r="BN62" s="3479">
        <f t="shared" ca="1" si="97"/>
        <v>16.783666132310238</v>
      </c>
      <c r="BO62" s="3480" t="str">
        <f t="shared" si="97"/>
        <v/>
      </c>
      <c r="BP62" s="602" t="str">
        <f t="shared" si="97"/>
        <v/>
      </c>
      <c r="BQ62" s="603"/>
      <c r="BR62" s="556" t="str">
        <f ca="1">IF(ROUND(BR13,2)=0,"ok","!")</f>
        <v>ok</v>
      </c>
      <c r="BS62" s="3477">
        <f t="shared" ref="BS62:BV66" ca="1" si="98">IF(BS13="","",IF(BM13=0,"N",(BS13/BM13-1)*100))</f>
        <v>20.379113166497831</v>
      </c>
      <c r="BT62" s="3479">
        <f t="shared" ca="1" si="98"/>
        <v>20.379113166497831</v>
      </c>
      <c r="BU62" s="3480" t="str">
        <f t="shared" si="98"/>
        <v/>
      </c>
      <c r="BV62" s="602" t="str">
        <f t="shared" si="98"/>
        <v/>
      </c>
      <c r="BW62" s="603"/>
      <c r="BX62" s="556" t="str">
        <f ca="1">IF(ROUND(BX13,2)=0,"ok","!")</f>
        <v>ok</v>
      </c>
      <c r="BY62" s="3477">
        <f t="shared" ref="BY62:CB66" ca="1" si="99">IF(BY13="","",IF(BS13=0,"N",(BY13/BS13-1)*100))</f>
        <v>19.135757702987675</v>
      </c>
      <c r="BZ62" s="3479">
        <f t="shared" ca="1" si="99"/>
        <v>19.135757702987675</v>
      </c>
      <c r="CA62" s="3480" t="str">
        <f t="shared" si="99"/>
        <v/>
      </c>
      <c r="CB62" s="602" t="str">
        <f t="shared" si="99"/>
        <v/>
      </c>
      <c r="CC62" s="603"/>
      <c r="CD62" s="556" t="str">
        <f ca="1">IF(ROUND(CD13,2)=0,"ok","!")</f>
        <v>ok</v>
      </c>
      <c r="CE62" s="3477">
        <f t="shared" ca="1" si="29"/>
        <v>15.992461395891254</v>
      </c>
      <c r="CF62" s="3479">
        <f t="shared" ca="1" si="30"/>
        <v>15.992461395891254</v>
      </c>
      <c r="CG62" s="3480" t="str">
        <f t="shared" si="31"/>
        <v/>
      </c>
      <c r="CH62" s="602" t="str">
        <f t="shared" si="32"/>
        <v/>
      </c>
      <c r="CI62" s="603"/>
      <c r="CJ62" s="556" t="str">
        <f ca="1">IF(ROUND(CJ13,2)=0,"ok","!")</f>
        <v>!</v>
      </c>
      <c r="CK62" s="3477">
        <f t="shared" ca="1" si="34"/>
        <v>-16.976274950385783</v>
      </c>
      <c r="CL62" s="3479">
        <f t="shared" ca="1" si="35"/>
        <v>-16.976274950385783</v>
      </c>
      <c r="CM62" s="3480" t="str">
        <f t="shared" si="36"/>
        <v/>
      </c>
      <c r="CN62" s="602" t="str">
        <f t="shared" si="37"/>
        <v/>
      </c>
      <c r="CO62" s="603"/>
      <c r="CP62" s="556" t="str">
        <f ca="1">IF(ROUND(CP13,2)=0,"ok","!")</f>
        <v>!</v>
      </c>
      <c r="CQ62" s="3477">
        <f t="shared" ca="1" si="39"/>
        <v>-2.8323385964562298</v>
      </c>
      <c r="CR62" s="3479">
        <f t="shared" ca="1" si="40"/>
        <v>-2.8323385964562298</v>
      </c>
      <c r="CS62" s="3480" t="str">
        <f t="shared" si="41"/>
        <v/>
      </c>
      <c r="CT62" s="602" t="str">
        <f t="shared" si="42"/>
        <v/>
      </c>
      <c r="CU62" s="603"/>
      <c r="CV62" s="556" t="str">
        <f ca="1">IF(ROUND(CV13,2)=0,"ok","!")</f>
        <v>!</v>
      </c>
      <c r="CW62" s="3477">
        <f t="shared" ca="1" si="44"/>
        <v>6.7430243247731392</v>
      </c>
      <c r="CX62" s="3479">
        <f t="shared" ca="1" si="45"/>
        <v>6.7430243247731392</v>
      </c>
      <c r="CY62" s="3480" t="str">
        <f t="shared" si="46"/>
        <v/>
      </c>
      <c r="CZ62" s="602" t="str">
        <f t="shared" si="47"/>
        <v/>
      </c>
      <c r="DA62" s="603"/>
      <c r="DB62" s="556" t="str">
        <f ca="1">IF(ROUND(DB13,2)=0,"ok","!")</f>
        <v>!</v>
      </c>
      <c r="DC62" s="3477">
        <f t="shared" ca="1" si="49"/>
        <v>4.3726359226687439</v>
      </c>
      <c r="DD62" s="3479">
        <f t="shared" ca="1" si="50"/>
        <v>4.3726359226687439</v>
      </c>
      <c r="DE62" s="3480" t="str">
        <f t="shared" si="51"/>
        <v/>
      </c>
      <c r="DF62" s="602" t="str">
        <f t="shared" si="52"/>
        <v/>
      </c>
      <c r="DG62" s="603"/>
      <c r="DH62" s="556" t="str">
        <f ca="1">IF(ROUND(DH13,2)=0,"ok","!")</f>
        <v>!</v>
      </c>
      <c r="DI62" s="3477">
        <f t="shared" ca="1" si="54"/>
        <v>6.026828930991579</v>
      </c>
      <c r="DJ62" s="3479">
        <f t="shared" ca="1" si="55"/>
        <v>6.026828930991579</v>
      </c>
      <c r="DK62" s="3480" t="str">
        <f t="shared" si="56"/>
        <v/>
      </c>
      <c r="DL62" s="602" t="str">
        <f t="shared" si="57"/>
        <v/>
      </c>
      <c r="DM62" s="603"/>
      <c r="DN62" s="556" t="str">
        <f ca="1">IF(ROUND(DN13,2)=0,"ok","!")</f>
        <v>!</v>
      </c>
      <c r="DO62" s="3477">
        <f t="shared" ca="1" si="59"/>
        <v>5.9541718115047271</v>
      </c>
      <c r="DP62" s="3479">
        <f t="shared" ca="1" si="60"/>
        <v>5.9541718115047271</v>
      </c>
      <c r="DQ62" s="3480" t="str">
        <f t="shared" si="61"/>
        <v/>
      </c>
      <c r="DR62" s="602" t="str">
        <f t="shared" si="62"/>
        <v/>
      </c>
      <c r="DS62" s="603"/>
      <c r="DT62" s="556" t="str">
        <f ca="1">IF(ROUND(DT13,2)=0,"ok","!")</f>
        <v>!</v>
      </c>
      <c r="DU62" s="3477">
        <f t="shared" ca="1" si="64"/>
        <v>7.0465389999815331</v>
      </c>
      <c r="DV62" s="3479">
        <f t="shared" ca="1" si="65"/>
        <v>7.0465389999815331</v>
      </c>
      <c r="DW62" s="3480" t="str">
        <f t="shared" si="66"/>
        <v/>
      </c>
      <c r="DX62" s="602" t="str">
        <f t="shared" si="67"/>
        <v/>
      </c>
      <c r="DY62" s="603"/>
      <c r="DZ62" s="556" t="str">
        <f ca="1">IF(ROUND(DZ13,2)=0,"ok","!")</f>
        <v>!</v>
      </c>
      <c r="EA62" s="3477">
        <f t="shared" ca="1" si="69"/>
        <v>7.9213430384218908</v>
      </c>
      <c r="EB62" s="3479">
        <f t="shared" ca="1" si="70"/>
        <v>7.9213430384218908</v>
      </c>
      <c r="EC62" s="3480" t="str">
        <f t="shared" si="71"/>
        <v/>
      </c>
      <c r="ED62" s="602" t="str">
        <f t="shared" si="72"/>
        <v/>
      </c>
      <c r="EE62" s="603"/>
      <c r="EF62" s="556" t="str">
        <f ca="1">IF(ROUND(EF13,2)=0,"ok","!")</f>
        <v>!</v>
      </c>
      <c r="EG62" s="3477">
        <f t="shared" ca="1" si="74"/>
        <v>9.2202053736235143</v>
      </c>
      <c r="EH62" s="3479">
        <f t="shared" ca="1" si="75"/>
        <v>9.2202053736235143</v>
      </c>
      <c r="EI62" s="3480" t="str">
        <f t="shared" si="76"/>
        <v/>
      </c>
      <c r="EJ62" s="602" t="str">
        <f t="shared" si="77"/>
        <v/>
      </c>
      <c r="EK62" s="603"/>
      <c r="EL62" s="556" t="str">
        <f ca="1">IF(ROUND(EL13,2)=0,"ok","!")</f>
        <v>ok</v>
      </c>
      <c r="EM62" s="3477">
        <f t="shared" ca="1" si="79"/>
        <v>5.961773666944703</v>
      </c>
      <c r="EN62" s="3479">
        <f t="shared" ca="1" si="80"/>
        <v>5.961773666944703</v>
      </c>
      <c r="EO62" s="3480" t="str">
        <f t="shared" si="81"/>
        <v/>
      </c>
      <c r="EP62" s="602" t="str">
        <f t="shared" si="82"/>
        <v/>
      </c>
      <c r="EQ62" s="603"/>
      <c r="ER62" s="556" t="str">
        <f ca="1">IF(ROUND(ER13,2)=0,"ok","!")</f>
        <v>ok</v>
      </c>
      <c r="ES62" s="3477">
        <f t="shared" ca="1" si="84"/>
        <v>5.8131671142300778</v>
      </c>
      <c r="ET62" s="3479">
        <f t="shared" ca="1" si="85"/>
        <v>5.8131671142300778</v>
      </c>
      <c r="EU62" s="3480" t="str">
        <f t="shared" si="86"/>
        <v/>
      </c>
      <c r="EV62" s="602" t="str">
        <f t="shared" si="87"/>
        <v/>
      </c>
      <c r="EW62" s="603"/>
      <c r="EX62" s="556" t="str">
        <f ca="1">IF(ROUND(EX13,2)=0,"ok","!")</f>
        <v>ok</v>
      </c>
    </row>
    <row r="63" spans="1:154" s="558" customFormat="1">
      <c r="B63" s="564"/>
      <c r="C63" s="565"/>
      <c r="D63" s="566" t="s">
        <v>1379</v>
      </c>
      <c r="E63" s="594"/>
      <c r="F63" s="577"/>
      <c r="G63" s="595"/>
      <c r="H63" s="596"/>
      <c r="I63" s="596"/>
      <c r="J63" s="3441"/>
      <c r="K63" s="594" t="str">
        <f t="shared" si="89"/>
        <v/>
      </c>
      <c r="L63" s="577">
        <f t="shared" ca="1" si="89"/>
        <v>24.284969193780249</v>
      </c>
      <c r="M63" s="595" t="str">
        <f t="shared" si="89"/>
        <v/>
      </c>
      <c r="N63" s="596" t="str">
        <f t="shared" si="89"/>
        <v/>
      </c>
      <c r="O63" s="596" t="str">
        <f>IF(O14="","",IF(I14=0,"N",(O14/I14-1)*100))</f>
        <v/>
      </c>
      <c r="P63" s="3441"/>
      <c r="Q63" s="594" t="str">
        <f t="shared" si="90"/>
        <v/>
      </c>
      <c r="R63" s="577">
        <f t="shared" ca="1" si="90"/>
        <v>20.155578300921185</v>
      </c>
      <c r="S63" s="595" t="str">
        <f t="shared" si="90"/>
        <v/>
      </c>
      <c r="T63" s="596" t="str">
        <f t="shared" si="90"/>
        <v/>
      </c>
      <c r="U63" s="596" t="str">
        <f>IF(U14="","",IF(O14=0,"N",(U14/O14-1)*100))</f>
        <v/>
      </c>
      <c r="V63" s="3441"/>
      <c r="W63" s="594" t="str">
        <f t="shared" si="91"/>
        <v/>
      </c>
      <c r="X63" s="577">
        <f t="shared" ca="1" si="91"/>
        <v>19.576291399754652</v>
      </c>
      <c r="Y63" s="595" t="str">
        <f t="shared" si="91"/>
        <v/>
      </c>
      <c r="Z63" s="596" t="str">
        <f t="shared" si="91"/>
        <v/>
      </c>
      <c r="AA63" s="596" t="str">
        <f>IF(AA14="","",IF(U14=0,"N",(AA14/U14-1)*100))</f>
        <v/>
      </c>
      <c r="AB63" s="3441"/>
      <c r="AC63" s="594" t="str">
        <f t="shared" si="92"/>
        <v/>
      </c>
      <c r="AD63" s="577">
        <f t="shared" ca="1" si="92"/>
        <v>1.5966983204272589</v>
      </c>
      <c r="AE63" s="595" t="str">
        <f t="shared" si="92"/>
        <v/>
      </c>
      <c r="AF63" s="596" t="str">
        <f t="shared" si="92"/>
        <v/>
      </c>
      <c r="AG63" s="596" t="str">
        <f>IF(AG14="","",IF(AA14=0,"N",(AG14/AA14-1)*100))</f>
        <v/>
      </c>
      <c r="AH63" s="3441"/>
      <c r="AI63" s="594" t="str">
        <f t="shared" si="93"/>
        <v/>
      </c>
      <c r="AJ63" s="577">
        <f t="shared" ca="1" si="93"/>
        <v>-3.9991305221775297</v>
      </c>
      <c r="AK63" s="595" t="str">
        <f t="shared" si="93"/>
        <v/>
      </c>
      <c r="AL63" s="596" t="str">
        <f t="shared" si="93"/>
        <v/>
      </c>
      <c r="AM63" s="596" t="str">
        <f>IF(AM14="","",IF(AG14=0,"N",(AM14/AG14-1)*100))</f>
        <v/>
      </c>
      <c r="AN63" s="3441"/>
      <c r="AO63" s="594" t="str">
        <f t="shared" si="94"/>
        <v/>
      </c>
      <c r="AP63" s="577">
        <f t="shared" ca="1" si="94"/>
        <v>4.3249507587654223</v>
      </c>
      <c r="AQ63" s="595" t="str">
        <f t="shared" si="94"/>
        <v/>
      </c>
      <c r="AR63" s="596" t="str">
        <f t="shared" si="94"/>
        <v/>
      </c>
      <c r="AS63" s="596" t="str">
        <f>IF(AS14="","",IF(AM14=0,"N",(AS14/AM14-1)*100))</f>
        <v/>
      </c>
      <c r="AT63" s="3441"/>
      <c r="AU63" s="594" t="str">
        <f t="shared" si="95"/>
        <v/>
      </c>
      <c r="AV63" s="577">
        <f t="shared" ca="1" si="95"/>
        <v>9.4444068453221277</v>
      </c>
      <c r="AW63" s="595" t="str">
        <f t="shared" si="95"/>
        <v/>
      </c>
      <c r="AX63" s="596" t="str">
        <f t="shared" si="95"/>
        <v/>
      </c>
      <c r="AY63" s="596" t="str">
        <f>IF(AY14="","",IF(AS14=0,"N",(AY14/AS14-1)*100))</f>
        <v/>
      </c>
      <c r="AZ63" s="3441"/>
      <c r="BA63" s="594" t="str">
        <f t="shared" si="96"/>
        <v/>
      </c>
      <c r="BB63" s="577">
        <f t="shared" ca="1" si="96"/>
        <v>11.112745913349809</v>
      </c>
      <c r="BC63" s="595" t="str">
        <f t="shared" si="96"/>
        <v/>
      </c>
      <c r="BD63" s="596" t="str">
        <f t="shared" si="96"/>
        <v/>
      </c>
      <c r="BE63" s="596" t="str">
        <f>IF(BE14="","",IF(AY14=0,"N",(BE14/AY14-1)*100))</f>
        <v/>
      </c>
      <c r="BF63" s="3441"/>
      <c r="BG63" s="594" t="str">
        <f t="shared" si="21"/>
        <v/>
      </c>
      <c r="BH63" s="577">
        <f t="shared" ca="1" si="22"/>
        <v>14.724198349200979</v>
      </c>
      <c r="BI63" s="595" t="str">
        <f t="shared" si="23"/>
        <v/>
      </c>
      <c r="BJ63" s="596" t="str">
        <f t="shared" si="24"/>
        <v/>
      </c>
      <c r="BK63" s="596" t="str">
        <f>IF(BK14="","",IF(BE14=0,"N",(BK14/BE14-1)*100))</f>
        <v/>
      </c>
      <c r="BL63" s="3441"/>
      <c r="BM63" s="594" t="str">
        <f t="shared" si="97"/>
        <v/>
      </c>
      <c r="BN63" s="577">
        <f t="shared" ca="1" si="97"/>
        <v>16.145204297046199</v>
      </c>
      <c r="BO63" s="595" t="str">
        <f t="shared" si="97"/>
        <v/>
      </c>
      <c r="BP63" s="596" t="str">
        <f t="shared" si="97"/>
        <v/>
      </c>
      <c r="BQ63" s="596" t="str">
        <f>IF(BQ14="","",IF(BK14=0,"N",(BQ14/BK14-1)*100))</f>
        <v/>
      </c>
      <c r="BR63" s="3441"/>
      <c r="BS63" s="594" t="str">
        <f t="shared" si="98"/>
        <v/>
      </c>
      <c r="BT63" s="577">
        <f t="shared" ca="1" si="98"/>
        <v>20.076102908876692</v>
      </c>
      <c r="BU63" s="595" t="str">
        <f t="shared" si="98"/>
        <v/>
      </c>
      <c r="BV63" s="596" t="str">
        <f t="shared" si="98"/>
        <v/>
      </c>
      <c r="BW63" s="596" t="str">
        <f>IF(BW14="","",IF(BQ14=0,"N",(BW14/BQ14-1)*100))</f>
        <v/>
      </c>
      <c r="BX63" s="3441"/>
      <c r="BY63" s="594" t="str">
        <f t="shared" si="99"/>
        <v/>
      </c>
      <c r="BZ63" s="577">
        <f t="shared" ca="1" si="99"/>
        <v>17.830532219604777</v>
      </c>
      <c r="CA63" s="595" t="str">
        <f t="shared" si="99"/>
        <v/>
      </c>
      <c r="CB63" s="596" t="str">
        <f t="shared" si="99"/>
        <v/>
      </c>
      <c r="CC63" s="596" t="str">
        <f>IF(CC14="","",IF(BW14=0,"N",(CC14/BW14-1)*100))</f>
        <v/>
      </c>
      <c r="CD63" s="3441"/>
      <c r="CE63" s="594" t="str">
        <f t="shared" si="29"/>
        <v/>
      </c>
      <c r="CF63" s="577">
        <f t="shared" ca="1" si="30"/>
        <v>14.987194260422743</v>
      </c>
      <c r="CG63" s="595" t="str">
        <f t="shared" si="31"/>
        <v/>
      </c>
      <c r="CH63" s="596" t="str">
        <f t="shared" si="32"/>
        <v/>
      </c>
      <c r="CI63" s="596" t="str">
        <f>IF(CI14="","",IF(CC14=0,"N",(CI14/CC14-1)*100))</f>
        <v/>
      </c>
      <c r="CJ63" s="3441"/>
      <c r="CK63" s="594" t="str">
        <f t="shared" si="34"/>
        <v/>
      </c>
      <c r="CL63" s="577">
        <f t="shared" ca="1" si="35"/>
        <v>-17.158167212876752</v>
      </c>
      <c r="CM63" s="595" t="str">
        <f t="shared" si="36"/>
        <v/>
      </c>
      <c r="CN63" s="596" t="str">
        <f t="shared" si="37"/>
        <v/>
      </c>
      <c r="CO63" s="596" t="str">
        <f t="shared" ref="CO63:CO68" si="100">IF(CO14="","",IF(CI14=0,"N",(CO14/CI14-1)*100))</f>
        <v/>
      </c>
      <c r="CP63" s="3441"/>
      <c r="CQ63" s="594" t="str">
        <f t="shared" si="39"/>
        <v/>
      </c>
      <c r="CR63" s="577">
        <f t="shared" ca="1" si="40"/>
        <v>-1.3451836590320454</v>
      </c>
      <c r="CS63" s="595" t="str">
        <f t="shared" si="41"/>
        <v/>
      </c>
      <c r="CT63" s="596" t="str">
        <f t="shared" si="42"/>
        <v/>
      </c>
      <c r="CU63" s="596" t="str">
        <f t="shared" ref="CU63:CU68" si="101">IF(CU14="","",IF(CO14=0,"N",(CU14/CO14-1)*100))</f>
        <v/>
      </c>
      <c r="CV63" s="3441"/>
      <c r="CW63" s="594" t="str">
        <f t="shared" si="44"/>
        <v/>
      </c>
      <c r="CX63" s="577">
        <f t="shared" ca="1" si="45"/>
        <v>6.5841994378218915</v>
      </c>
      <c r="CY63" s="595" t="str">
        <f t="shared" si="46"/>
        <v/>
      </c>
      <c r="CZ63" s="596" t="str">
        <f t="shared" si="47"/>
        <v/>
      </c>
      <c r="DA63" s="596" t="str">
        <f t="shared" ref="DA63:DA68" si="102">IF(DA14="","",IF(CU14=0,"N",(DA14/CU14-1)*100))</f>
        <v/>
      </c>
      <c r="DB63" s="3441"/>
      <c r="DC63" s="594" t="str">
        <f t="shared" si="49"/>
        <v/>
      </c>
      <c r="DD63" s="577">
        <f t="shared" ca="1" si="50"/>
        <v>4.6283461045956154</v>
      </c>
      <c r="DE63" s="595" t="str">
        <f t="shared" si="51"/>
        <v/>
      </c>
      <c r="DF63" s="596" t="str">
        <f t="shared" si="52"/>
        <v/>
      </c>
      <c r="DG63" s="596" t="str">
        <f t="shared" ref="DG63:DG68" si="103">IF(DG14="","",IF(DA14=0,"N",(DG14/DA14-1)*100))</f>
        <v/>
      </c>
      <c r="DH63" s="3441"/>
      <c r="DI63" s="594" t="str">
        <f t="shared" si="54"/>
        <v/>
      </c>
      <c r="DJ63" s="577">
        <f t="shared" ca="1" si="55"/>
        <v>5.7540295399224339</v>
      </c>
      <c r="DK63" s="595" t="str">
        <f t="shared" si="56"/>
        <v/>
      </c>
      <c r="DL63" s="596" t="str">
        <f t="shared" si="57"/>
        <v/>
      </c>
      <c r="DM63" s="596" t="str">
        <f t="shared" ref="DM63:DM68" si="104">IF(DM14="","",IF(DG14=0,"N",(DM14/DG14-1)*100))</f>
        <v/>
      </c>
      <c r="DN63" s="3441"/>
      <c r="DO63" s="594" t="str">
        <f t="shared" si="59"/>
        <v/>
      </c>
      <c r="DP63" s="577">
        <f t="shared" ca="1" si="60"/>
        <v>5.7910781153990731</v>
      </c>
      <c r="DQ63" s="595" t="str">
        <f t="shared" si="61"/>
        <v/>
      </c>
      <c r="DR63" s="596" t="str">
        <f t="shared" si="62"/>
        <v/>
      </c>
      <c r="DS63" s="596" t="str">
        <f t="shared" ref="DS63:DS68" si="105">IF(DS14="","",IF(DM14=0,"N",(DS14/DM14-1)*100))</f>
        <v/>
      </c>
      <c r="DT63" s="3441"/>
      <c r="DU63" s="594" t="str">
        <f t="shared" si="64"/>
        <v/>
      </c>
      <c r="DV63" s="577">
        <f t="shared" ca="1" si="65"/>
        <v>6.9928078540594907</v>
      </c>
      <c r="DW63" s="595" t="str">
        <f t="shared" si="66"/>
        <v/>
      </c>
      <c r="DX63" s="596" t="str">
        <f t="shared" si="67"/>
        <v/>
      </c>
      <c r="DY63" s="596" t="str">
        <f t="shared" ref="DY63:DY68" si="106">IF(DY14="","",IF(DS14=0,"N",(DY14/DS14-1)*100))</f>
        <v/>
      </c>
      <c r="DZ63" s="3441"/>
      <c r="EA63" s="594" t="str">
        <f t="shared" si="69"/>
        <v/>
      </c>
      <c r="EB63" s="577">
        <f t="shared" ca="1" si="70"/>
        <v>7.5805205638630468</v>
      </c>
      <c r="EC63" s="595" t="str">
        <f t="shared" si="71"/>
        <v/>
      </c>
      <c r="ED63" s="596" t="str">
        <f t="shared" si="72"/>
        <v/>
      </c>
      <c r="EE63" s="596" t="str">
        <f t="shared" ref="EE63:EE68" si="107">IF(EE14="","",IF(DY14=0,"N",(EE14/DY14-1)*100))</f>
        <v/>
      </c>
      <c r="EF63" s="3441"/>
      <c r="EG63" s="594" t="str">
        <f t="shared" si="74"/>
        <v/>
      </c>
      <c r="EH63" s="577">
        <f t="shared" ca="1" si="75"/>
        <v>8.3309017487464452</v>
      </c>
      <c r="EI63" s="595" t="str">
        <f t="shared" si="76"/>
        <v/>
      </c>
      <c r="EJ63" s="596" t="str">
        <f t="shared" si="77"/>
        <v/>
      </c>
      <c r="EK63" s="596" t="str">
        <f t="shared" ref="EK63:EK68" si="108">IF(EK14="","",IF(EE14=0,"N",(EK14/EE14-1)*100))</f>
        <v/>
      </c>
      <c r="EL63" s="3441"/>
      <c r="EM63" s="594" t="str">
        <f t="shared" si="79"/>
        <v/>
      </c>
      <c r="EN63" s="577">
        <f t="shared" ca="1" si="80"/>
        <v>5.6769355518296205</v>
      </c>
      <c r="EO63" s="595" t="str">
        <f t="shared" si="81"/>
        <v/>
      </c>
      <c r="EP63" s="596" t="str">
        <f t="shared" si="82"/>
        <v/>
      </c>
      <c r="EQ63" s="596" t="str">
        <f t="shared" ref="EQ63:EQ68" si="109">IF(EQ14="","",IF(EK14=0,"N",(EQ14/EK14-1)*100))</f>
        <v/>
      </c>
      <c r="ER63" s="3441"/>
      <c r="ES63" s="594" t="str">
        <f t="shared" si="84"/>
        <v/>
      </c>
      <c r="ET63" s="577">
        <f t="shared" ca="1" si="85"/>
        <v>5.7307971892340381</v>
      </c>
      <c r="EU63" s="595" t="str">
        <f t="shared" si="86"/>
        <v/>
      </c>
      <c r="EV63" s="596" t="str">
        <f t="shared" si="87"/>
        <v/>
      </c>
      <c r="EW63" s="596" t="str">
        <f t="shared" ref="EW63:EW68" si="110">IF(EW14="","",IF(EQ14=0,"N",(EW14/EQ14-1)*100))</f>
        <v/>
      </c>
      <c r="EX63" s="3441"/>
    </row>
    <row r="64" spans="1:154" s="558" customFormat="1" ht="13.5" thickBot="1">
      <c r="B64" s="564"/>
      <c r="C64" s="565"/>
      <c r="D64" s="566" t="s">
        <v>1380</v>
      </c>
      <c r="E64" s="594"/>
      <c r="F64" s="597"/>
      <c r="G64" s="595"/>
      <c r="H64" s="596"/>
      <c r="I64" s="596"/>
      <c r="J64" s="3441"/>
      <c r="K64" s="594" t="str">
        <f t="shared" si="89"/>
        <v/>
      </c>
      <c r="L64" s="597">
        <f t="shared" ca="1" si="89"/>
        <v>33.128992470683507</v>
      </c>
      <c r="M64" s="595" t="str">
        <f t="shared" si="89"/>
        <v/>
      </c>
      <c r="N64" s="596" t="str">
        <f t="shared" si="89"/>
        <v/>
      </c>
      <c r="O64" s="596" t="str">
        <f>IF(O15="","",IF(I15=0,"N",(O15/I15-1)*100))</f>
        <v/>
      </c>
      <c r="P64" s="3441"/>
      <c r="Q64" s="594" t="str">
        <f t="shared" si="90"/>
        <v/>
      </c>
      <c r="R64" s="597">
        <f t="shared" ca="1" si="90"/>
        <v>31.350858027849515</v>
      </c>
      <c r="S64" s="595" t="str">
        <f t="shared" si="90"/>
        <v/>
      </c>
      <c r="T64" s="596" t="str">
        <f t="shared" si="90"/>
        <v/>
      </c>
      <c r="U64" s="596" t="str">
        <f>IF(U15="","",IF(O15=0,"N",(U15/O15-1)*100))</f>
        <v/>
      </c>
      <c r="V64" s="3441"/>
      <c r="W64" s="594" t="str">
        <f t="shared" si="91"/>
        <v/>
      </c>
      <c r="X64" s="597">
        <f t="shared" ca="1" si="91"/>
        <v>19.395930055059154</v>
      </c>
      <c r="Y64" s="595" t="str">
        <f t="shared" si="91"/>
        <v/>
      </c>
      <c r="Z64" s="596" t="str">
        <f t="shared" si="91"/>
        <v/>
      </c>
      <c r="AA64" s="596" t="str">
        <f>IF(AA15="","",IF(U15=0,"N",(AA15/U15-1)*100))</f>
        <v/>
      </c>
      <c r="AB64" s="3441"/>
      <c r="AC64" s="594" t="str">
        <f t="shared" si="92"/>
        <v/>
      </c>
      <c r="AD64" s="597">
        <f t="shared" ca="1" si="92"/>
        <v>-0.82353874776267544</v>
      </c>
      <c r="AE64" s="595" t="str">
        <f t="shared" si="92"/>
        <v/>
      </c>
      <c r="AF64" s="596" t="str">
        <f t="shared" si="92"/>
        <v/>
      </c>
      <c r="AG64" s="596" t="str">
        <f>IF(AG15="","",IF(AA15=0,"N",(AG15/AA15-1)*100))</f>
        <v/>
      </c>
      <c r="AH64" s="3441"/>
      <c r="AI64" s="594" t="str">
        <f t="shared" si="93"/>
        <v/>
      </c>
      <c r="AJ64" s="597">
        <f t="shared" ca="1" si="93"/>
        <v>0.2924990442660258</v>
      </c>
      <c r="AK64" s="595" t="str">
        <f t="shared" si="93"/>
        <v/>
      </c>
      <c r="AL64" s="596" t="str">
        <f t="shared" si="93"/>
        <v/>
      </c>
      <c r="AM64" s="596" t="str">
        <f>IF(AM15="","",IF(AG15=0,"N",(AM15/AG15-1)*100))</f>
        <v/>
      </c>
      <c r="AN64" s="3441"/>
      <c r="AO64" s="594" t="str">
        <f t="shared" si="94"/>
        <v/>
      </c>
      <c r="AP64" s="597">
        <f t="shared" ca="1" si="94"/>
        <v>0.68966739947515787</v>
      </c>
      <c r="AQ64" s="595" t="str">
        <f t="shared" si="94"/>
        <v/>
      </c>
      <c r="AR64" s="596" t="str">
        <f t="shared" si="94"/>
        <v/>
      </c>
      <c r="AS64" s="596" t="str">
        <f>IF(AS15="","",IF(AM15=0,"N",(AS15/AM15-1)*100))</f>
        <v/>
      </c>
      <c r="AT64" s="3441"/>
      <c r="AU64" s="594" t="str">
        <f t="shared" si="95"/>
        <v/>
      </c>
      <c r="AV64" s="597">
        <f t="shared" ca="1" si="95"/>
        <v>3.6280879685877121</v>
      </c>
      <c r="AW64" s="595" t="str">
        <f t="shared" si="95"/>
        <v/>
      </c>
      <c r="AX64" s="596" t="str">
        <f t="shared" si="95"/>
        <v/>
      </c>
      <c r="AY64" s="596" t="str">
        <f>IF(AY15="","",IF(AS15=0,"N",(AY15/AS15-1)*100))</f>
        <v/>
      </c>
      <c r="AZ64" s="3441"/>
      <c r="BA64" s="594" t="str">
        <f t="shared" si="96"/>
        <v/>
      </c>
      <c r="BB64" s="597">
        <f t="shared" ca="1" si="96"/>
        <v>8.1176140756284987</v>
      </c>
      <c r="BC64" s="595" t="str">
        <f t="shared" si="96"/>
        <v/>
      </c>
      <c r="BD64" s="596" t="str">
        <f t="shared" si="96"/>
        <v/>
      </c>
      <c r="BE64" s="596" t="str">
        <f>IF(BE15="","",IF(AY15=0,"N",(BE15/AY15-1)*100))</f>
        <v/>
      </c>
      <c r="BF64" s="3441"/>
      <c r="BG64" s="594" t="str">
        <f t="shared" si="21"/>
        <v/>
      </c>
      <c r="BH64" s="597">
        <f t="shared" ca="1" si="22"/>
        <v>16.011849570178029</v>
      </c>
      <c r="BI64" s="595" t="str">
        <f t="shared" si="23"/>
        <v/>
      </c>
      <c r="BJ64" s="596" t="str">
        <f t="shared" si="24"/>
        <v/>
      </c>
      <c r="BK64" s="596" t="str">
        <f>IF(BK15="","",IF(BE15=0,"N",(BK15/BE15-1)*100))</f>
        <v/>
      </c>
      <c r="BL64" s="3441"/>
      <c r="BM64" s="594" t="str">
        <f t="shared" si="97"/>
        <v/>
      </c>
      <c r="BN64" s="597">
        <f t="shared" ca="1" si="97"/>
        <v>19.36886595005387</v>
      </c>
      <c r="BO64" s="595" t="str">
        <f t="shared" si="97"/>
        <v/>
      </c>
      <c r="BP64" s="596" t="str">
        <f t="shared" si="97"/>
        <v/>
      </c>
      <c r="BQ64" s="596" t="str">
        <f>IF(BQ15="","",IF(BK15=0,"N",(BQ15/BK15-1)*100))</f>
        <v/>
      </c>
      <c r="BR64" s="3441"/>
      <c r="BS64" s="594" t="str">
        <f t="shared" si="98"/>
        <v/>
      </c>
      <c r="BT64" s="597">
        <f t="shared" ca="1" si="98"/>
        <v>21.572899821261537</v>
      </c>
      <c r="BU64" s="595" t="str">
        <f t="shared" si="98"/>
        <v/>
      </c>
      <c r="BV64" s="596" t="str">
        <f t="shared" si="98"/>
        <v/>
      </c>
      <c r="BW64" s="596" t="str">
        <f>IF(BW15="","",IF(BQ15=0,"N",(BW15/BQ15-1)*100))</f>
        <v/>
      </c>
      <c r="BX64" s="3441"/>
      <c r="BY64" s="594" t="str">
        <f t="shared" si="99"/>
        <v/>
      </c>
      <c r="BZ64" s="597">
        <f t="shared" ca="1" si="99"/>
        <v>24.214717111465745</v>
      </c>
      <c r="CA64" s="595" t="str">
        <f t="shared" si="99"/>
        <v/>
      </c>
      <c r="CB64" s="596" t="str">
        <f t="shared" si="99"/>
        <v/>
      </c>
      <c r="CC64" s="596" t="str">
        <f>IF(CC15="","",IF(BW15=0,"N",(CC15/BW15-1)*100))</f>
        <v/>
      </c>
      <c r="CD64" s="3441"/>
      <c r="CE64" s="594" t="str">
        <f t="shared" si="29"/>
        <v/>
      </c>
      <c r="CF64" s="597">
        <f t="shared" ca="1" si="30"/>
        <v>19.703158171604617</v>
      </c>
      <c r="CG64" s="595" t="str">
        <f t="shared" si="31"/>
        <v/>
      </c>
      <c r="CH64" s="596" t="str">
        <f t="shared" si="32"/>
        <v/>
      </c>
      <c r="CI64" s="596" t="str">
        <f>IF(CI15="","",IF(CC15=0,"N",(CI15/CC15-1)*100))</f>
        <v/>
      </c>
      <c r="CJ64" s="3441"/>
      <c r="CK64" s="594" t="str">
        <f t="shared" si="34"/>
        <v/>
      </c>
      <c r="CL64" s="597">
        <f t="shared" ca="1" si="35"/>
        <v>-16.331315997639408</v>
      </c>
      <c r="CM64" s="595" t="str">
        <f t="shared" si="36"/>
        <v/>
      </c>
      <c r="CN64" s="596" t="str">
        <f t="shared" si="37"/>
        <v/>
      </c>
      <c r="CO64" s="596" t="str">
        <f t="shared" si="100"/>
        <v/>
      </c>
      <c r="CP64" s="3441"/>
      <c r="CQ64" s="594" t="str">
        <f t="shared" si="39"/>
        <v/>
      </c>
      <c r="CR64" s="597">
        <f t="shared" ca="1" si="40"/>
        <v>-8.0534243748711773</v>
      </c>
      <c r="CS64" s="595" t="str">
        <f t="shared" si="41"/>
        <v/>
      </c>
      <c r="CT64" s="596" t="str">
        <f t="shared" si="42"/>
        <v/>
      </c>
      <c r="CU64" s="596" t="str">
        <f t="shared" si="101"/>
        <v/>
      </c>
      <c r="CV64" s="3441"/>
      <c r="CW64" s="594" t="str">
        <f t="shared" si="44"/>
        <v/>
      </c>
      <c r="CX64" s="597">
        <f t="shared" ca="1" si="45"/>
        <v>7.341306272671444</v>
      </c>
      <c r="CY64" s="595" t="str">
        <f t="shared" si="46"/>
        <v/>
      </c>
      <c r="CZ64" s="596" t="str">
        <f t="shared" si="47"/>
        <v/>
      </c>
      <c r="DA64" s="596" t="str">
        <f t="shared" si="102"/>
        <v/>
      </c>
      <c r="DB64" s="3441"/>
      <c r="DC64" s="594" t="str">
        <f t="shared" si="49"/>
        <v/>
      </c>
      <c r="DD64" s="597">
        <f t="shared" ca="1" si="50"/>
        <v>3.416188025285849</v>
      </c>
      <c r="DE64" s="595" t="str">
        <f t="shared" si="51"/>
        <v/>
      </c>
      <c r="DF64" s="596" t="str">
        <f t="shared" si="52"/>
        <v/>
      </c>
      <c r="DG64" s="596" t="str">
        <f t="shared" si="103"/>
        <v/>
      </c>
      <c r="DH64" s="3441"/>
      <c r="DI64" s="594" t="str">
        <f t="shared" si="54"/>
        <v/>
      </c>
      <c r="DJ64" s="597">
        <f t="shared" ca="1" si="55"/>
        <v>7.0591565033926607</v>
      </c>
      <c r="DK64" s="595" t="str">
        <f t="shared" si="56"/>
        <v/>
      </c>
      <c r="DL64" s="596" t="str">
        <f t="shared" si="57"/>
        <v/>
      </c>
      <c r="DM64" s="596" t="str">
        <f t="shared" si="104"/>
        <v/>
      </c>
      <c r="DN64" s="3441"/>
      <c r="DO64" s="594" t="str">
        <f t="shared" si="59"/>
        <v/>
      </c>
      <c r="DP64" s="597">
        <f t="shared" ca="1" si="60"/>
        <v>6.5638271939792991</v>
      </c>
      <c r="DQ64" s="595" t="str">
        <f t="shared" si="61"/>
        <v/>
      </c>
      <c r="DR64" s="596" t="str">
        <f t="shared" si="62"/>
        <v/>
      </c>
      <c r="DS64" s="596" t="str">
        <f t="shared" si="105"/>
        <v/>
      </c>
      <c r="DT64" s="3441"/>
      <c r="DU64" s="594" t="str">
        <f t="shared" si="64"/>
        <v/>
      </c>
      <c r="DV64" s="597">
        <f t="shared" ca="1" si="65"/>
        <v>7.2459332240053964</v>
      </c>
      <c r="DW64" s="595" t="str">
        <f t="shared" si="66"/>
        <v/>
      </c>
      <c r="DX64" s="596" t="str">
        <f t="shared" si="67"/>
        <v/>
      </c>
      <c r="DY64" s="596" t="str">
        <f t="shared" si="106"/>
        <v/>
      </c>
      <c r="DZ64" s="3441"/>
      <c r="EA64" s="594" t="str">
        <f t="shared" si="69"/>
        <v/>
      </c>
      <c r="EB64" s="597">
        <f t="shared" ca="1" si="70"/>
        <v>9.1831370110342156</v>
      </c>
      <c r="EC64" s="595" t="str">
        <f t="shared" si="71"/>
        <v/>
      </c>
      <c r="ED64" s="596" t="str">
        <f t="shared" si="72"/>
        <v/>
      </c>
      <c r="EE64" s="596" t="str">
        <f t="shared" si="107"/>
        <v/>
      </c>
      <c r="EF64" s="3441"/>
      <c r="EG64" s="594" t="str">
        <f t="shared" si="74"/>
        <v/>
      </c>
      <c r="EH64" s="597">
        <f t="shared" ca="1" si="75"/>
        <v>12.464261496580509</v>
      </c>
      <c r="EI64" s="595" t="str">
        <f t="shared" si="76"/>
        <v/>
      </c>
      <c r="EJ64" s="596" t="str">
        <f t="shared" si="77"/>
        <v/>
      </c>
      <c r="EK64" s="596" t="str">
        <f t="shared" si="108"/>
        <v/>
      </c>
      <c r="EL64" s="3441"/>
      <c r="EM64" s="594" t="str">
        <f t="shared" si="79"/>
        <v/>
      </c>
      <c r="EN64" s="597">
        <f t="shared" ca="1" si="80"/>
        <v>6.9626357166128416</v>
      </c>
      <c r="EO64" s="595" t="str">
        <f t="shared" si="81"/>
        <v/>
      </c>
      <c r="EP64" s="596" t="str">
        <f t="shared" si="82"/>
        <v/>
      </c>
      <c r="EQ64" s="596" t="str">
        <f t="shared" si="109"/>
        <v/>
      </c>
      <c r="ER64" s="3441"/>
      <c r="ES64" s="594" t="str">
        <f t="shared" si="84"/>
        <v/>
      </c>
      <c r="ET64" s="597">
        <f t="shared" ca="1" si="85"/>
        <v>6.0991189601488305</v>
      </c>
      <c r="EU64" s="595" t="str">
        <f t="shared" si="86"/>
        <v/>
      </c>
      <c r="EV64" s="596" t="str">
        <f t="shared" si="87"/>
        <v/>
      </c>
      <c r="EW64" s="596" t="str">
        <f t="shared" si="110"/>
        <v/>
      </c>
      <c r="EX64" s="3441"/>
    </row>
    <row r="65" spans="2:154" ht="13.5" thickBot="1">
      <c r="B65" s="600" t="s">
        <v>1767</v>
      </c>
      <c r="C65" s="3779" t="s">
        <v>1381</v>
      </c>
      <c r="D65" s="3780"/>
      <c r="E65" s="601"/>
      <c r="F65" s="602"/>
      <c r="G65" s="602"/>
      <c r="H65" s="3481"/>
      <c r="I65" s="3479"/>
      <c r="J65" s="556"/>
      <c r="K65" s="601">
        <f t="shared" ca="1" si="89"/>
        <v>20.294602522105908</v>
      </c>
      <c r="L65" s="602" t="str">
        <f t="shared" si="89"/>
        <v/>
      </c>
      <c r="M65" s="602" t="str">
        <f t="shared" si="89"/>
        <v/>
      </c>
      <c r="N65" s="3481">
        <f t="shared" ca="1" si="89"/>
        <v>20.294602522105908</v>
      </c>
      <c r="O65" s="3479" t="str">
        <f ca="1">IF(O16="","",IF(I16=0,"N",(O16/I16-1)*100))</f>
        <v>N</v>
      </c>
      <c r="P65" s="556" t="str">
        <f ca="1">IF(ROUND(P16,2)=0,"ok","!")</f>
        <v>ok</v>
      </c>
      <c r="Q65" s="601">
        <f t="shared" ca="1" si="90"/>
        <v>41.103655714946782</v>
      </c>
      <c r="R65" s="602" t="str">
        <f t="shared" si="90"/>
        <v/>
      </c>
      <c r="S65" s="602" t="str">
        <f t="shared" si="90"/>
        <v/>
      </c>
      <c r="T65" s="3481">
        <f t="shared" ca="1" si="90"/>
        <v>41.103655714946782</v>
      </c>
      <c r="U65" s="3479" t="str">
        <f ca="1">IF(U16="","",IF(O16=0,"N",(U16/O16-1)*100))</f>
        <v>N</v>
      </c>
      <c r="V65" s="556" t="str">
        <f ca="1">IF(ROUND(V16,2)=0,"ok","!")</f>
        <v>ok</v>
      </c>
      <c r="W65" s="601">
        <f t="shared" ca="1" si="91"/>
        <v>13.207535270337601</v>
      </c>
      <c r="X65" s="602" t="str">
        <f t="shared" si="91"/>
        <v/>
      </c>
      <c r="Y65" s="602" t="str">
        <f t="shared" si="91"/>
        <v/>
      </c>
      <c r="Z65" s="3481">
        <f t="shared" ca="1" si="91"/>
        <v>13.207535270337601</v>
      </c>
      <c r="AA65" s="3479" t="str">
        <f ca="1">IF(AA16="","",IF(U16=0,"N",(AA16/U16-1)*100))</f>
        <v>N</v>
      </c>
      <c r="AB65" s="556" t="str">
        <f ca="1">IF(ROUND(AB16,2)=0,"ok","!")</f>
        <v>ok</v>
      </c>
      <c r="AC65" s="601">
        <f t="shared" ca="1" si="92"/>
        <v>-2.8673615482749493</v>
      </c>
      <c r="AD65" s="602" t="str">
        <f t="shared" si="92"/>
        <v/>
      </c>
      <c r="AE65" s="602" t="str">
        <f t="shared" si="92"/>
        <v/>
      </c>
      <c r="AF65" s="3481">
        <f t="shared" ca="1" si="92"/>
        <v>-2.8673615482749493</v>
      </c>
      <c r="AG65" s="3479" t="str">
        <f ca="1">IF(AG16="","",IF(AA16=0,"N",(AG16/AA16-1)*100))</f>
        <v>N</v>
      </c>
      <c r="AH65" s="556" t="str">
        <f ca="1">IF(ROUND(AH16,2)=0,"ok","!")</f>
        <v>ok</v>
      </c>
      <c r="AI65" s="601">
        <f t="shared" ca="1" si="93"/>
        <v>-4.069260593268953</v>
      </c>
      <c r="AJ65" s="602" t="str">
        <f t="shared" si="93"/>
        <v/>
      </c>
      <c r="AK65" s="602" t="str">
        <f t="shared" si="93"/>
        <v/>
      </c>
      <c r="AL65" s="3481">
        <f t="shared" ca="1" si="93"/>
        <v>-4.069260593268953</v>
      </c>
      <c r="AM65" s="3479" t="str">
        <f ca="1">IF(AM16="","",IF(AG16=0,"N",(AM16/AG16-1)*100))</f>
        <v>N</v>
      </c>
      <c r="AN65" s="556" t="str">
        <f ca="1">IF(ROUND(AN16,2)=0,"ok","!")</f>
        <v>ok</v>
      </c>
      <c r="AO65" s="601">
        <f t="shared" ca="1" si="94"/>
        <v>3.3911073113278123</v>
      </c>
      <c r="AP65" s="602" t="str">
        <f t="shared" si="94"/>
        <v/>
      </c>
      <c r="AQ65" s="602" t="str">
        <f t="shared" si="94"/>
        <v/>
      </c>
      <c r="AR65" s="3481">
        <f t="shared" ca="1" si="94"/>
        <v>3.3911073113278123</v>
      </c>
      <c r="AS65" s="3479" t="str">
        <f ca="1">IF(AS16="","",IF(AM16=0,"N",(AS16/AM16-1)*100))</f>
        <v>N</v>
      </c>
      <c r="AT65" s="556" t="str">
        <f ca="1">IF(ROUND(AT16,2)=0,"ok","!")</f>
        <v>ok</v>
      </c>
      <c r="AU65" s="601">
        <f t="shared" ca="1" si="95"/>
        <v>8.9103872598058196</v>
      </c>
      <c r="AV65" s="602" t="str">
        <f t="shared" si="95"/>
        <v/>
      </c>
      <c r="AW65" s="602" t="str">
        <f t="shared" si="95"/>
        <v/>
      </c>
      <c r="AX65" s="3481">
        <f t="shared" ca="1" si="95"/>
        <v>8.9103872598058196</v>
      </c>
      <c r="AY65" s="3479" t="str">
        <f ca="1">IF(AY16="","",IF(AS16=0,"N",(AY16/AS16-1)*100))</f>
        <v>N</v>
      </c>
      <c r="AZ65" s="556" t="str">
        <f ca="1">IF(ROUND(AZ16,2)=0,"ok","!")</f>
        <v>ok</v>
      </c>
      <c r="BA65" s="601">
        <f t="shared" ca="1" si="96"/>
        <v>3.0407450276624504</v>
      </c>
      <c r="BB65" s="602" t="str">
        <f t="shared" si="96"/>
        <v/>
      </c>
      <c r="BC65" s="602" t="str">
        <f t="shared" si="96"/>
        <v/>
      </c>
      <c r="BD65" s="3481">
        <f t="shared" ca="1" si="96"/>
        <v>3.0407450276624504</v>
      </c>
      <c r="BE65" s="3479" t="str">
        <f ca="1">IF(BE16="","",IF(AY16=0,"N",(BE16/AY16-1)*100))</f>
        <v>N</v>
      </c>
      <c r="BF65" s="556" t="str">
        <f ca="1">IF(ROUND(BF16,2)=0,"ok","!")</f>
        <v>ok</v>
      </c>
      <c r="BG65" s="601">
        <f t="shared" ca="1" si="21"/>
        <v>5.0523267497642799</v>
      </c>
      <c r="BH65" s="602" t="str">
        <f t="shared" si="22"/>
        <v/>
      </c>
      <c r="BI65" s="602" t="str">
        <f t="shared" si="23"/>
        <v/>
      </c>
      <c r="BJ65" s="3481">
        <f t="shared" ca="1" si="24"/>
        <v>5.0523267497642799</v>
      </c>
      <c r="BK65" s="3479" t="str">
        <f ca="1">IF(BK16="","",IF(BE16=0,"N",(BK16/BE16-1)*100))</f>
        <v>N</v>
      </c>
      <c r="BL65" s="556" t="str">
        <f ca="1">IF(ROUND(BL16,2)=0,"ok","!")</f>
        <v>!</v>
      </c>
      <c r="BM65" s="601">
        <f t="shared" ca="1" si="97"/>
        <v>15.490940482847225</v>
      </c>
      <c r="BN65" s="602" t="str">
        <f t="shared" si="97"/>
        <v/>
      </c>
      <c r="BO65" s="602" t="str">
        <f t="shared" si="97"/>
        <v/>
      </c>
      <c r="BP65" s="3481">
        <f t="shared" ca="1" si="97"/>
        <v>15.490940482847225</v>
      </c>
      <c r="BQ65" s="3479" t="e">
        <f ca="1">IF(BQ16="","",IF(BK16=0,"N",(BQ16/BK16-1)*100))</f>
        <v>#VALUE!</v>
      </c>
      <c r="BR65" s="556" t="e">
        <f ca="1">IF(ROUND(BR16,2)=0,"ok","!")</f>
        <v>#VALUE!</v>
      </c>
      <c r="BS65" s="601">
        <f t="shared" ca="1" si="98"/>
        <v>15.667895487904326</v>
      </c>
      <c r="BT65" s="602" t="str">
        <f t="shared" si="98"/>
        <v/>
      </c>
      <c r="BU65" s="602" t="str">
        <f t="shared" si="98"/>
        <v/>
      </c>
      <c r="BV65" s="3481">
        <f t="shared" ca="1" si="98"/>
        <v>15.667895487904326</v>
      </c>
      <c r="BW65" s="3479" t="e">
        <f ca="1">IF(BW16="","",IF(BQ16=0,"N",(BW16/BQ16-1)*100))</f>
        <v>#VALUE!</v>
      </c>
      <c r="BX65" s="556" t="e">
        <f ca="1">IF(ROUND(BX16,2)=0,"ok","!")</f>
        <v>#VALUE!</v>
      </c>
      <c r="BY65" s="601">
        <f t="shared" ca="1" si="99"/>
        <v>24.009076655883852</v>
      </c>
      <c r="BZ65" s="602" t="str">
        <f t="shared" si="99"/>
        <v/>
      </c>
      <c r="CA65" s="602" t="str">
        <f t="shared" si="99"/>
        <v/>
      </c>
      <c r="CB65" s="3481">
        <f t="shared" ca="1" si="99"/>
        <v>24.009076655883852</v>
      </c>
      <c r="CC65" s="3479" t="e">
        <f ca="1">IF(CC16="","",IF(BW16=0,"N",(CC16/BW16-1)*100))</f>
        <v>#VALUE!</v>
      </c>
      <c r="CD65" s="556" t="e">
        <f ca="1">IF(ROUND(CD16,2)=0,"ok","!")</f>
        <v>#VALUE!</v>
      </c>
      <c r="CE65" s="601">
        <f t="shared" ca="1" si="29"/>
        <v>12.240069877270642</v>
      </c>
      <c r="CF65" s="602" t="str">
        <f t="shared" si="30"/>
        <v/>
      </c>
      <c r="CG65" s="602" t="str">
        <f t="shared" si="31"/>
        <v/>
      </c>
      <c r="CH65" s="3481">
        <f t="shared" ca="1" si="32"/>
        <v>12.240069877270642</v>
      </c>
      <c r="CI65" s="3479" t="e">
        <f ca="1">IF(CI16="","",IF(CC16=0,"N",(CI16/CC16-1)*100))</f>
        <v>#VALUE!</v>
      </c>
      <c r="CJ65" s="556" t="str">
        <f ca="1">IF(ROUND(CJ16,2)=0,"ok","!")</f>
        <v>!</v>
      </c>
      <c r="CK65" s="601">
        <f t="shared" ca="1" si="34"/>
        <v>-17.840843740272348</v>
      </c>
      <c r="CL65" s="602" t="str">
        <f t="shared" si="35"/>
        <v/>
      </c>
      <c r="CM65" s="602" t="str">
        <f t="shared" si="36"/>
        <v/>
      </c>
      <c r="CN65" s="3481">
        <f t="shared" ca="1" si="37"/>
        <v>-17.840843740272348</v>
      </c>
      <c r="CO65" s="3479">
        <f t="shared" ca="1" si="100"/>
        <v>-33.050847457627121</v>
      </c>
      <c r="CP65" s="556" t="str">
        <f ca="1">IF(ROUND(CP16,2)=0,"ok","!")</f>
        <v>!</v>
      </c>
      <c r="CQ65" s="601">
        <f t="shared" ca="1" si="39"/>
        <v>6.5764631843927113</v>
      </c>
      <c r="CR65" s="602" t="str">
        <f t="shared" si="40"/>
        <v/>
      </c>
      <c r="CS65" s="602" t="str">
        <f t="shared" si="41"/>
        <v/>
      </c>
      <c r="CT65" s="3481">
        <f t="shared" ca="1" si="42"/>
        <v>6.5764631843927113</v>
      </c>
      <c r="CU65" s="3479">
        <f t="shared" ca="1" si="101"/>
        <v>11.392405063291132</v>
      </c>
      <c r="CV65" s="556" t="str">
        <f ca="1">IF(ROUND(CV16,2)=0,"ok","!")</f>
        <v>!</v>
      </c>
      <c r="CW65" s="601">
        <f t="shared" ca="1" si="44"/>
        <v>9.3195471279742925</v>
      </c>
      <c r="CX65" s="602" t="str">
        <f t="shared" si="45"/>
        <v/>
      </c>
      <c r="CY65" s="602" t="str">
        <f t="shared" si="46"/>
        <v/>
      </c>
      <c r="CZ65" s="3481">
        <f t="shared" ca="1" si="47"/>
        <v>9.3195471279742925</v>
      </c>
      <c r="DA65" s="3479">
        <f t="shared" ca="1" si="102"/>
        <v>4.5454545454545414</v>
      </c>
      <c r="DB65" s="556" t="str">
        <f ca="1">IF(ROUND(DB16,2)=0,"ok","!")</f>
        <v>!</v>
      </c>
      <c r="DC65" s="601">
        <f t="shared" ca="1" si="49"/>
        <v>2.6310422752576779</v>
      </c>
      <c r="DD65" s="602" t="str">
        <f t="shared" si="50"/>
        <v/>
      </c>
      <c r="DE65" s="602" t="str">
        <f t="shared" si="51"/>
        <v/>
      </c>
      <c r="DF65" s="3481">
        <f t="shared" ca="1" si="52"/>
        <v>2.6310422752576779</v>
      </c>
      <c r="DG65" s="3479">
        <f t="shared" ca="1" si="103"/>
        <v>-5.4347826086956541</v>
      </c>
      <c r="DH65" s="556" t="str">
        <f ca="1">IF(ROUND(DH16,2)=0,"ok","!")</f>
        <v>!</v>
      </c>
      <c r="DI65" s="601">
        <f t="shared" ca="1" si="54"/>
        <v>3.1489741062869392</v>
      </c>
      <c r="DJ65" s="602" t="str">
        <f t="shared" si="55"/>
        <v/>
      </c>
      <c r="DK65" s="602" t="str">
        <f t="shared" si="56"/>
        <v/>
      </c>
      <c r="DL65" s="3481">
        <f t="shared" ca="1" si="57"/>
        <v>3.1489741062869392</v>
      </c>
      <c r="DM65" s="3479">
        <f t="shared" ca="1" si="104"/>
        <v>14.942528735632198</v>
      </c>
      <c r="DN65" s="556" t="str">
        <f ca="1">IF(ROUND(DN16,2)=0,"ok","!")</f>
        <v>!</v>
      </c>
      <c r="DO65" s="601">
        <f t="shared" ca="1" si="59"/>
        <v>6.2009611229414618</v>
      </c>
      <c r="DP65" s="602" t="str">
        <f t="shared" si="60"/>
        <v/>
      </c>
      <c r="DQ65" s="602" t="str">
        <f t="shared" si="61"/>
        <v/>
      </c>
      <c r="DR65" s="3481">
        <f t="shared" ca="1" si="62"/>
        <v>6.2009611229414618</v>
      </c>
      <c r="DS65" s="3479">
        <f t="shared" ca="1" si="105"/>
        <v>2.9999999999999805</v>
      </c>
      <c r="DT65" s="556" t="str">
        <f ca="1">IF(ROUND(DT16,2)=0,"ok","!")</f>
        <v>!</v>
      </c>
      <c r="DU65" s="601">
        <f t="shared" ca="1" si="64"/>
        <v>6.4735239757423679</v>
      </c>
      <c r="DV65" s="602" t="str">
        <f t="shared" si="65"/>
        <v/>
      </c>
      <c r="DW65" s="602" t="str">
        <f t="shared" si="66"/>
        <v/>
      </c>
      <c r="DX65" s="3481">
        <f t="shared" ca="1" si="67"/>
        <v>6.4735239757423679</v>
      </c>
      <c r="DY65" s="3479">
        <f t="shared" ca="1" si="106"/>
        <v>19.417475728155352</v>
      </c>
      <c r="DZ65" s="556" t="str">
        <f ca="1">IF(ROUND(DZ16,2)=0,"ok","!")</f>
        <v>!</v>
      </c>
      <c r="EA65" s="601">
        <f t="shared" ca="1" si="69"/>
        <v>4.3541922309220826</v>
      </c>
      <c r="EB65" s="602" t="str">
        <f t="shared" si="70"/>
        <v/>
      </c>
      <c r="EC65" s="602" t="str">
        <f t="shared" si="71"/>
        <v/>
      </c>
      <c r="ED65" s="3481">
        <f t="shared" ca="1" si="72"/>
        <v>4.3541922309220826</v>
      </c>
      <c r="EE65" s="3479">
        <f t="shared" ca="1" si="107"/>
        <v>-8.9430894308943021</v>
      </c>
      <c r="EF65" s="556" t="str">
        <f ca="1">IF(ROUND(EF16,2)=0,"ok","!")</f>
        <v>!</v>
      </c>
      <c r="EG65" s="601">
        <f t="shared" ca="1" si="74"/>
        <v>8.7193167077012532</v>
      </c>
      <c r="EH65" s="602" t="str">
        <f t="shared" si="75"/>
        <v/>
      </c>
      <c r="EI65" s="602" t="str">
        <f t="shared" si="76"/>
        <v/>
      </c>
      <c r="EJ65" s="3481">
        <f t="shared" ca="1" si="77"/>
        <v>8.7193167077012532</v>
      </c>
      <c r="EK65" s="3479">
        <f t="shared" ca="1" si="108"/>
        <v>4.0000000000000036</v>
      </c>
      <c r="EL65" s="556" t="str">
        <f ca="1">IF(ROUND(EL16,2)=0,"ok","!")</f>
        <v>ok</v>
      </c>
      <c r="EM65" s="601">
        <f t="shared" ca="1" si="79"/>
        <v>6.4550558054423002</v>
      </c>
      <c r="EN65" s="602" t="str">
        <f t="shared" si="80"/>
        <v/>
      </c>
      <c r="EO65" s="602" t="str">
        <f t="shared" si="81"/>
        <v/>
      </c>
      <c r="EP65" s="3481">
        <f t="shared" ca="1" si="82"/>
        <v>6.4550558054423002</v>
      </c>
      <c r="EQ65" s="3479">
        <f t="shared" ca="1" si="109"/>
        <v>4.0000000000000036</v>
      </c>
      <c r="ER65" s="556" t="str">
        <f ca="1">IF(ROUND(ER16,2)=0,"ok","!")</f>
        <v>ok</v>
      </c>
      <c r="ES65" s="601">
        <f t="shared" ca="1" si="84"/>
        <v>5.6198453453997654</v>
      </c>
      <c r="ET65" s="602" t="str">
        <f t="shared" si="85"/>
        <v/>
      </c>
      <c r="EU65" s="602" t="str">
        <f t="shared" si="86"/>
        <v/>
      </c>
      <c r="EV65" s="3481">
        <f t="shared" ca="1" si="87"/>
        <v>5.6198453453997654</v>
      </c>
      <c r="EW65" s="3479">
        <f t="shared" ca="1" si="110"/>
        <v>4.0000000000000036</v>
      </c>
      <c r="EX65" s="556" t="str">
        <f ca="1">IF(ROUND(EX16,2)=0,"ok","!")</f>
        <v>ok</v>
      </c>
    </row>
    <row r="66" spans="2:154" ht="13.5" thickBot="1">
      <c r="B66" s="600" t="s">
        <v>401</v>
      </c>
      <c r="C66" s="3779" t="s">
        <v>1488</v>
      </c>
      <c r="D66" s="3780"/>
      <c r="E66" s="601"/>
      <c r="F66" s="602"/>
      <c r="G66" s="602"/>
      <c r="H66" s="3481"/>
      <c r="I66" s="3479"/>
      <c r="J66" s="556"/>
      <c r="K66" s="601">
        <f t="shared" ca="1" si="89"/>
        <v>44.143126177024449</v>
      </c>
      <c r="L66" s="602" t="str">
        <f t="shared" si="89"/>
        <v/>
      </c>
      <c r="M66" s="602" t="str">
        <f t="shared" si="89"/>
        <v/>
      </c>
      <c r="N66" s="3481">
        <f t="shared" ca="1" si="89"/>
        <v>44.143126177024449</v>
      </c>
      <c r="O66" s="3479" t="str">
        <f ca="1">IF(O17="","",IF(I17=0,"N",(O17/I17-1)*100))</f>
        <v>N</v>
      </c>
      <c r="P66" s="556" t="str">
        <f ca="1">IF(ROUND(P17,2)=0,"ok","!")</f>
        <v>ok</v>
      </c>
      <c r="Q66" s="601">
        <f t="shared" ca="1" si="90"/>
        <v>-11.932758470516502</v>
      </c>
      <c r="R66" s="602" t="str">
        <f t="shared" si="90"/>
        <v/>
      </c>
      <c r="S66" s="602" t="str">
        <f t="shared" si="90"/>
        <v/>
      </c>
      <c r="T66" s="3481">
        <f t="shared" ca="1" si="90"/>
        <v>-11.932758470516502</v>
      </c>
      <c r="U66" s="3479" t="str">
        <f ca="1">IF(U17="","",IF(O17=0,"N",(U17/O17-1)*100))</f>
        <v>N</v>
      </c>
      <c r="V66" s="556" t="str">
        <f ca="1">IF(ROUND(V17,2)=0,"ok","!")</f>
        <v>ok</v>
      </c>
      <c r="W66" s="601">
        <f t="shared" ca="1" si="91"/>
        <v>35.110275937098208</v>
      </c>
      <c r="X66" s="602" t="str">
        <f t="shared" si="91"/>
        <v/>
      </c>
      <c r="Y66" s="602" t="str">
        <f t="shared" si="91"/>
        <v/>
      </c>
      <c r="Z66" s="3481">
        <f t="shared" ca="1" si="91"/>
        <v>35.110275937098208</v>
      </c>
      <c r="AA66" s="3479" t="str">
        <f ca="1">IF(AA17="","",IF(U17=0,"N",(AA17/U17-1)*100))</f>
        <v>N</v>
      </c>
      <c r="AB66" s="556" t="str">
        <f ca="1">IF(ROUND(AB17,2)=0,"ok","!")</f>
        <v>ok</v>
      </c>
      <c r="AC66" s="601">
        <f t="shared" ca="1" si="92"/>
        <v>-3.0890857184686538</v>
      </c>
      <c r="AD66" s="602" t="str">
        <f t="shared" si="92"/>
        <v/>
      </c>
      <c r="AE66" s="602" t="str">
        <f t="shared" si="92"/>
        <v/>
      </c>
      <c r="AF66" s="3481">
        <f t="shared" ca="1" si="92"/>
        <v>-3.0890857184686538</v>
      </c>
      <c r="AG66" s="3479" t="str">
        <f ca="1">IF(AG17="","",IF(AA17=0,"N",(AG17/AA17-1)*100))</f>
        <v>N</v>
      </c>
      <c r="AH66" s="556" t="str">
        <f ca="1">IF(ROUND(AH17,2)=0,"ok","!")</f>
        <v>ok</v>
      </c>
      <c r="AI66" s="601">
        <f t="shared" ca="1" si="93"/>
        <v>-20.960797643326522</v>
      </c>
      <c r="AJ66" s="602" t="str">
        <f t="shared" si="93"/>
        <v/>
      </c>
      <c r="AK66" s="602" t="str">
        <f t="shared" si="93"/>
        <v/>
      </c>
      <c r="AL66" s="3481">
        <f t="shared" ca="1" si="93"/>
        <v>-20.960797643326522</v>
      </c>
      <c r="AM66" s="3479" t="str">
        <f ca="1">IF(AM17="","",IF(AG17=0,"N",(AM17/AG17-1)*100))</f>
        <v>N</v>
      </c>
      <c r="AN66" s="556" t="str">
        <f ca="1">IF(ROUND(AN17,2)=0,"ok","!")</f>
        <v>ok</v>
      </c>
      <c r="AO66" s="601">
        <f t="shared" ca="1" si="94"/>
        <v>13.97171253822631</v>
      </c>
      <c r="AP66" s="602" t="str">
        <f t="shared" si="94"/>
        <v/>
      </c>
      <c r="AQ66" s="602" t="str">
        <f t="shared" si="94"/>
        <v/>
      </c>
      <c r="AR66" s="3481">
        <f t="shared" ca="1" si="94"/>
        <v>13.97171253822631</v>
      </c>
      <c r="AS66" s="3479" t="str">
        <f ca="1">IF(AS17="","",IF(AM17=0,"N",(AS17/AM17-1)*100))</f>
        <v>N</v>
      </c>
      <c r="AT66" s="556" t="str">
        <f ca="1">IF(ROUND(AT17,2)=0,"ok","!")</f>
        <v>ok</v>
      </c>
      <c r="AU66" s="601">
        <f t="shared" ca="1" si="95"/>
        <v>0.46956230085526407</v>
      </c>
      <c r="AV66" s="602" t="str">
        <f t="shared" si="95"/>
        <v/>
      </c>
      <c r="AW66" s="602" t="str">
        <f t="shared" si="95"/>
        <v/>
      </c>
      <c r="AX66" s="3481">
        <f t="shared" ca="1" si="95"/>
        <v>0.46956230085526407</v>
      </c>
      <c r="AY66" s="3479" t="str">
        <f ca="1">IF(AY17="","",IF(AS17=0,"N",(AY17/AS17-1)*100))</f>
        <v>N</v>
      </c>
      <c r="AZ66" s="556" t="str">
        <f ca="1">IF(ROUND(AZ17,2)=0,"ok","!")</f>
        <v>ok</v>
      </c>
      <c r="BA66" s="601">
        <f t="shared" ca="1" si="96"/>
        <v>8.0787848439325636</v>
      </c>
      <c r="BB66" s="602" t="str">
        <f t="shared" si="96"/>
        <v/>
      </c>
      <c r="BC66" s="602" t="str">
        <f t="shared" si="96"/>
        <v/>
      </c>
      <c r="BD66" s="3481">
        <f t="shared" ca="1" si="96"/>
        <v>8.0787848439325636</v>
      </c>
      <c r="BE66" s="3479" t="str">
        <f ca="1">IF(BE17="","",IF(AY17=0,"N",(BE17/AY17-1)*100))</f>
        <v>N</v>
      </c>
      <c r="BF66" s="556" t="str">
        <f ca="1">IF(ROUND(BF17,2)=0,"ok","!")</f>
        <v>ok</v>
      </c>
      <c r="BG66" s="601">
        <f t="shared" ca="1" si="21"/>
        <v>-3.0038610038610081</v>
      </c>
      <c r="BH66" s="602" t="str">
        <f t="shared" si="22"/>
        <v/>
      </c>
      <c r="BI66" s="602" t="str">
        <f t="shared" si="23"/>
        <v/>
      </c>
      <c r="BJ66" s="3481">
        <f t="shared" ca="1" si="24"/>
        <v>-3.0038610038610081</v>
      </c>
      <c r="BK66" s="3479" t="str">
        <f ca="1">IF(BK17="","",IF(BE17=0,"N",(BK17/BE17-1)*100))</f>
        <v>N</v>
      </c>
      <c r="BL66" s="556" t="str">
        <f ca="1">IF(ROUND(BL17,2)=0,"ok","!")</f>
        <v>ok</v>
      </c>
      <c r="BM66" s="601">
        <f t="shared" ca="1" si="97"/>
        <v>12.857256587851285</v>
      </c>
      <c r="BN66" s="602" t="str">
        <f t="shared" si="97"/>
        <v/>
      </c>
      <c r="BO66" s="602" t="str">
        <f t="shared" si="97"/>
        <v/>
      </c>
      <c r="BP66" s="3481">
        <f t="shared" ca="1" si="97"/>
        <v>12.857256587851285</v>
      </c>
      <c r="BQ66" s="3479">
        <f ca="1">IF(BQ17="","",IF(BK17=0,"N",(BQ17/BK17-1)*100))</f>
        <v>100.93491686460806</v>
      </c>
      <c r="BR66" s="556" t="str">
        <f ca="1">IF(ROUND(BR17,2)=0,"ok","!")</f>
        <v>ok</v>
      </c>
      <c r="BS66" s="601">
        <f t="shared" ca="1" si="98"/>
        <v>14.207110609480832</v>
      </c>
      <c r="BT66" s="602" t="str">
        <f t="shared" si="98"/>
        <v/>
      </c>
      <c r="BU66" s="602" t="str">
        <f t="shared" si="98"/>
        <v/>
      </c>
      <c r="BV66" s="3481">
        <f t="shared" ca="1" si="98"/>
        <v>14.207110609480832</v>
      </c>
      <c r="BW66" s="3479">
        <f ca="1">IF(BW17="","",IF(BQ17=0,"N",(BW17/BQ17-1)*100))</f>
        <v>-4.081632653061229</v>
      </c>
      <c r="BX66" s="556" t="str">
        <f ca="1">IF(ROUND(BX17,2)=0,"ok","!")</f>
        <v>ok</v>
      </c>
      <c r="BY66" s="601">
        <f t="shared" ca="1" si="99"/>
        <v>57.8567016676961</v>
      </c>
      <c r="BZ66" s="602" t="str">
        <f t="shared" si="99"/>
        <v/>
      </c>
      <c r="CA66" s="602" t="str">
        <f t="shared" si="99"/>
        <v/>
      </c>
      <c r="CB66" s="3481">
        <f t="shared" ca="1" si="99"/>
        <v>57.8567016676961</v>
      </c>
      <c r="CC66" s="3479">
        <f ca="1">IF(CC17="","",IF(BW17=0,"N",(CC17/BW17-1)*100))</f>
        <v>-19.574468085106378</v>
      </c>
      <c r="CD66" s="556" t="str">
        <f ca="1">IF(ROUND(CD17,2)=0,"ok","!")</f>
        <v>ok</v>
      </c>
      <c r="CE66" s="601">
        <f t="shared" ca="1" si="29"/>
        <v>-13.589231912978839</v>
      </c>
      <c r="CF66" s="602" t="str">
        <f t="shared" si="30"/>
        <v/>
      </c>
      <c r="CG66" s="602" t="str">
        <f t="shared" si="31"/>
        <v/>
      </c>
      <c r="CH66" s="3481">
        <f t="shared" ca="1" si="32"/>
        <v>-13.589231912978839</v>
      </c>
      <c r="CI66" s="3479">
        <f ca="1">IF(CI17="","",IF(CC17=0,"N",(CI17/CC17-1)*100))</f>
        <v>9.5238095238095113</v>
      </c>
      <c r="CJ66" s="556" t="str">
        <f ca="1">IF(ROUND(CJ17,2)=0,"ok","!")</f>
        <v>ok</v>
      </c>
      <c r="CK66" s="601">
        <f t="shared" ca="1" si="34"/>
        <v>-22.821952544828839</v>
      </c>
      <c r="CL66" s="602" t="str">
        <f t="shared" si="35"/>
        <v/>
      </c>
      <c r="CM66" s="602" t="str">
        <f t="shared" si="36"/>
        <v/>
      </c>
      <c r="CN66" s="3481">
        <f t="shared" ca="1" si="37"/>
        <v>-22.821952544828839</v>
      </c>
      <c r="CO66" s="3479">
        <f t="shared" ca="1" si="100"/>
        <v>31.884057971014499</v>
      </c>
      <c r="CP66" s="556" t="str">
        <f ca="1">IF(ROUND(CP17,2)=0,"ok","!")</f>
        <v>ok</v>
      </c>
      <c r="CQ66" s="601">
        <f t="shared" ca="1" si="39"/>
        <v>-19.038957991081908</v>
      </c>
      <c r="CR66" s="602" t="str">
        <f t="shared" si="40"/>
        <v/>
      </c>
      <c r="CS66" s="602" t="str">
        <f t="shared" si="41"/>
        <v/>
      </c>
      <c r="CT66" s="3481">
        <f t="shared" ca="1" si="42"/>
        <v>-19.038957991081908</v>
      </c>
      <c r="CU66" s="3479">
        <f t="shared" ca="1" si="101"/>
        <v>11.721611721611701</v>
      </c>
      <c r="CV66" s="556" t="str">
        <f ca="1">IF(ROUND(CV17,2)=0,"ok","!")</f>
        <v>ok</v>
      </c>
      <c r="CW66" s="601">
        <f t="shared" ca="1" si="44"/>
        <v>-11.174722806000437</v>
      </c>
      <c r="CX66" s="602" t="str">
        <f t="shared" si="45"/>
        <v/>
      </c>
      <c r="CY66" s="602" t="str">
        <f t="shared" si="46"/>
        <v/>
      </c>
      <c r="CZ66" s="3481">
        <f t="shared" ca="1" si="47"/>
        <v>-11.174722806000437</v>
      </c>
      <c r="DA66" s="3479">
        <f t="shared" ca="1" si="102"/>
        <v>5.9016393442623105</v>
      </c>
      <c r="DB66" s="556" t="str">
        <f ca="1">IF(ROUND(DB17,2)=0,"ok","!")</f>
        <v>ok</v>
      </c>
      <c r="DC66" s="601">
        <f t="shared" ca="1" si="49"/>
        <v>-14.481520763645261</v>
      </c>
      <c r="DD66" s="602" t="str">
        <f t="shared" si="50"/>
        <v/>
      </c>
      <c r="DE66" s="602" t="str">
        <f t="shared" si="51"/>
        <v/>
      </c>
      <c r="DF66" s="3481">
        <f t="shared" ca="1" si="52"/>
        <v>-14.481520763645261</v>
      </c>
      <c r="DG66" s="3479">
        <f t="shared" ca="1" si="103"/>
        <v>13.31269349845201</v>
      </c>
      <c r="DH66" s="556" t="str">
        <f ca="1">IF(ROUND(DH17,2)=0,"ok","!")</f>
        <v>ok</v>
      </c>
      <c r="DI66" s="601">
        <f t="shared" ca="1" si="54"/>
        <v>10.312917382178966</v>
      </c>
      <c r="DJ66" s="602" t="str">
        <f t="shared" si="55"/>
        <v/>
      </c>
      <c r="DK66" s="602" t="str">
        <f t="shared" si="56"/>
        <v/>
      </c>
      <c r="DL66" s="3481">
        <f t="shared" ca="1" si="57"/>
        <v>10.312917382178966</v>
      </c>
      <c r="DM66" s="3479">
        <f t="shared" ca="1" si="104"/>
        <v>6.2841530054644767</v>
      </c>
      <c r="DN66" s="556" t="str">
        <f ca="1">IF(ROUND(DN17,2)=0,"ok","!")</f>
        <v>ok</v>
      </c>
      <c r="DO66" s="601">
        <f t="shared" ca="1" si="59"/>
        <v>2.6896134221222834</v>
      </c>
      <c r="DP66" s="602" t="str">
        <f t="shared" si="60"/>
        <v/>
      </c>
      <c r="DQ66" s="602" t="str">
        <f t="shared" si="61"/>
        <v/>
      </c>
      <c r="DR66" s="3481">
        <f t="shared" ca="1" si="62"/>
        <v>2.6896134221222834</v>
      </c>
      <c r="DS66" s="3479">
        <f t="shared" ca="1" si="105"/>
        <v>-0.77120822622107621</v>
      </c>
      <c r="DT66" s="556" t="str">
        <f ca="1">IF(ROUND(DT17,2)=0,"ok","!")</f>
        <v>ok</v>
      </c>
      <c r="DU66" s="601">
        <f t="shared" ca="1" si="64"/>
        <v>24.279939363314806</v>
      </c>
      <c r="DV66" s="602" t="str">
        <f t="shared" si="65"/>
        <v/>
      </c>
      <c r="DW66" s="602" t="str">
        <f t="shared" si="66"/>
        <v/>
      </c>
      <c r="DX66" s="3481">
        <f t="shared" ca="1" si="67"/>
        <v>24.279939363314806</v>
      </c>
      <c r="DY66" s="3479">
        <f t="shared" ca="1" si="106"/>
        <v>14.248704663212441</v>
      </c>
      <c r="DZ66" s="556" t="str">
        <f ca="1">IF(ROUND(DZ17,2)=0,"ok","!")</f>
        <v>ok</v>
      </c>
      <c r="EA66" s="601">
        <f t="shared" ca="1" si="69"/>
        <v>10.069797384292212</v>
      </c>
      <c r="EB66" s="602" t="str">
        <f t="shared" si="70"/>
        <v/>
      </c>
      <c r="EC66" s="602" t="str">
        <f t="shared" si="71"/>
        <v/>
      </c>
      <c r="ED66" s="3481">
        <f t="shared" ca="1" si="72"/>
        <v>10.069797384292212</v>
      </c>
      <c r="EE66" s="3479">
        <f t="shared" ca="1" si="107"/>
        <v>5.8956916099773382</v>
      </c>
      <c r="EF66" s="556" t="str">
        <f ca="1">IF(ROUND(EF17,2)=0,"ok","!")</f>
        <v>ok</v>
      </c>
      <c r="EG66" s="601">
        <f t="shared" ca="1" si="74"/>
        <v>-2.225574093455629</v>
      </c>
      <c r="EH66" s="602" t="str">
        <f t="shared" si="75"/>
        <v/>
      </c>
      <c r="EI66" s="602" t="str">
        <f t="shared" si="76"/>
        <v/>
      </c>
      <c r="EJ66" s="3481">
        <f t="shared" ca="1" si="77"/>
        <v>-2.225574093455629</v>
      </c>
      <c r="EK66" s="3479">
        <f t="shared" ca="1" si="108"/>
        <v>2.4999999999999911</v>
      </c>
      <c r="EL66" s="556" t="str">
        <f ca="1">IF(ROUND(EL17,2)=0,"ok","!")</f>
        <v>ok</v>
      </c>
      <c r="EM66" s="601">
        <f t="shared" ca="1" si="79"/>
        <v>4.8415609356799338</v>
      </c>
      <c r="EN66" s="602" t="str">
        <f t="shared" si="80"/>
        <v/>
      </c>
      <c r="EO66" s="602" t="str">
        <f t="shared" si="81"/>
        <v/>
      </c>
      <c r="EP66" s="3481">
        <f t="shared" ca="1" si="82"/>
        <v>4.8415609356799338</v>
      </c>
      <c r="EQ66" s="3479">
        <f t="shared" ca="1" si="109"/>
        <v>2.4999999999999911</v>
      </c>
      <c r="ER66" s="556" t="str">
        <f ca="1">IF(ROUND(ER17,2)=0,"ok","!")</f>
        <v>ok</v>
      </c>
      <c r="ES66" s="601">
        <f t="shared" ca="1" si="84"/>
        <v>4.8632843931043945</v>
      </c>
      <c r="ET66" s="602" t="str">
        <f t="shared" si="85"/>
        <v/>
      </c>
      <c r="EU66" s="602" t="str">
        <f t="shared" si="86"/>
        <v/>
      </c>
      <c r="EV66" s="3481">
        <f t="shared" ca="1" si="87"/>
        <v>4.8632843931043945</v>
      </c>
      <c r="EW66" s="3479">
        <f t="shared" ca="1" si="110"/>
        <v>2.4999999999999911</v>
      </c>
      <c r="EX66" s="556" t="str">
        <f ca="1">IF(ROUND(EX17,2)=0,"ok","!")</f>
        <v>ok</v>
      </c>
    </row>
    <row r="67" spans="2:154">
      <c r="B67" s="600" t="s">
        <v>1767</v>
      </c>
      <c r="C67" s="3779" t="s">
        <v>1489</v>
      </c>
      <c r="D67" s="3780"/>
      <c r="E67" s="601"/>
      <c r="F67" s="603"/>
      <c r="G67" s="3481"/>
      <c r="H67" s="3479"/>
      <c r="I67" s="3478"/>
      <c r="J67" s="556"/>
      <c r="K67" s="601">
        <f ca="1">IF(K18="","",IF(E18=0,"N",(K18/E18-1)*100))</f>
        <v>404.94117647058658</v>
      </c>
      <c r="L67" s="603">
        <f t="shared" ref="L67:O68" ca="1" si="111">IF(L18="","",IF(F18=0,"N",(L18/F18-1)*100))</f>
        <v>18.456266953937206</v>
      </c>
      <c r="M67" s="3481">
        <f t="shared" ca="1" si="111"/>
        <v>18.125813117012335</v>
      </c>
      <c r="N67" s="3479">
        <f t="shared" ca="1" si="111"/>
        <v>-6465.0000000000373</v>
      </c>
      <c r="O67" s="3478">
        <f t="shared" ca="1" si="111"/>
        <v>825.92592592592632</v>
      </c>
      <c r="P67" s="556" t="str">
        <f ca="1">IF(ROUND(P18,2)=0,"ok","!")</f>
        <v>!</v>
      </c>
      <c r="Q67" s="601">
        <f ca="1">IF(Q18="","",IF(K18=0,"N",(Q18/K18-1)*100))</f>
        <v>144.29947188567826</v>
      </c>
      <c r="R67" s="603">
        <f t="shared" ref="R67:U68" ca="1" si="112">IF(R18="","",IF(L18=0,"N",(R18/L18-1)*100))</f>
        <v>29.029112384542067</v>
      </c>
      <c r="S67" s="3481">
        <f t="shared" ca="1" si="112"/>
        <v>40.749138889788682</v>
      </c>
      <c r="T67" s="3479">
        <f t="shared" ca="1" si="112"/>
        <v>-38.393558523173596</v>
      </c>
      <c r="U67" s="3478">
        <f t="shared" ca="1" si="112"/>
        <v>108.80000000000001</v>
      </c>
      <c r="V67" s="556" t="str">
        <f ca="1">IF(ROUND(V18,2)=0,"ok","!")</f>
        <v>!</v>
      </c>
      <c r="W67" s="601">
        <f ca="1">IF(W18="","",IF(Q18=0,"N",(W18/Q18-1)*100))</f>
        <v>40.653611393692678</v>
      </c>
      <c r="X67" s="603">
        <f t="shared" ref="X67:AA68" ca="1" si="113">IF(X18="","",IF(R18=0,"N",(X18/R18-1)*100))</f>
        <v>18.242032591435198</v>
      </c>
      <c r="Y67" s="3481">
        <f t="shared" ca="1" si="113"/>
        <v>24.166871240947586</v>
      </c>
      <c r="Z67" s="3479">
        <f t="shared" ca="1" si="113"/>
        <v>-115.58814153649986</v>
      </c>
      <c r="AA67" s="3478">
        <f t="shared" ca="1" si="113"/>
        <v>47.701149425287362</v>
      </c>
      <c r="AB67" s="556" t="str">
        <f ca="1">IF(ROUND(AB18,2)=0,"ok","!")</f>
        <v>ok</v>
      </c>
      <c r="AC67" s="601">
        <f ca="1">IF(AC18="","",IF(W18=0,"N",(AC18/W18-1)*100))</f>
        <v>14.017719916825101</v>
      </c>
      <c r="AD67" s="603">
        <f t="shared" ref="AD67:AG68" ca="1" si="114">IF(AD18="","",IF(X18=0,"N",(AD18/X18-1)*100))</f>
        <v>-4.0791996725149655</v>
      </c>
      <c r="AE67" s="3481">
        <f t="shared" ca="1" si="114"/>
        <v>-4.1333547518133447</v>
      </c>
      <c r="AF67" s="3479">
        <f t="shared" ca="1" si="114"/>
        <v>-840.69529652351673</v>
      </c>
      <c r="AG67" s="3478">
        <f t="shared" ca="1" si="114"/>
        <v>9.0791180285343831</v>
      </c>
      <c r="AH67" s="556" t="str">
        <f ca="1">IF(ROUND(AH18,2)=0,"ok","!")</f>
        <v>!</v>
      </c>
      <c r="AI67" s="601">
        <f ca="1">IF(AI18="","",IF(AC18=0,"N",(AI18/AC18-1)*100))</f>
        <v>8.7221979938845173E-2</v>
      </c>
      <c r="AJ67" s="603">
        <f t="shared" ref="AJ67:AM68" ca="1" si="115">IF(AJ18="","",IF(AD18=0,"N",(AJ18/AD18-1)*100))</f>
        <v>68.324311373658901</v>
      </c>
      <c r="AK67" s="3481">
        <f t="shared" ca="1" si="115"/>
        <v>57.364465984377809</v>
      </c>
      <c r="AL67" s="3479">
        <f t="shared" ca="1" si="115"/>
        <v>62.644947542793993</v>
      </c>
      <c r="AM67" s="3478">
        <f t="shared" ca="1" si="115"/>
        <v>0.23781212841853527</v>
      </c>
      <c r="AN67" s="556" t="str">
        <f ca="1">IF(ROUND(AN18,2)=0,"ok","!")</f>
        <v>!</v>
      </c>
      <c r="AO67" s="601">
        <f ca="1">IF(AO18="","",IF(AI18=0,"N",(AO18/AI18-1)*100))</f>
        <v>-2.1271538918597122</v>
      </c>
      <c r="AP67" s="603">
        <f t="shared" ref="AP67:AS68" ca="1" si="116">IF(AP18="","",IF(AJ18=0,"N",(AP18/AJ18-1)*100))</f>
        <v>9.0672941343925331</v>
      </c>
      <c r="AQ67" s="3481">
        <f t="shared" ca="1" si="116"/>
        <v>10.490103328377831</v>
      </c>
      <c r="AR67" s="3479">
        <f t="shared" ca="1" si="116"/>
        <v>-97.878119164827709</v>
      </c>
      <c r="AS67" s="3478">
        <f t="shared" ca="1" si="116"/>
        <v>-1.1862396204033065</v>
      </c>
      <c r="AT67" s="556" t="str">
        <f ca="1">IF(ROUND(AT18,2)=0,"ok","!")</f>
        <v>!</v>
      </c>
      <c r="AU67" s="601">
        <f ca="1">IF(AU18="","",IF(AO18=0,"N",(AU18/AO18-1)*100))</f>
        <v>-12.137769143597389</v>
      </c>
      <c r="AV67" s="603">
        <f t="shared" ref="AV67:AY68" ca="1" si="117">IF(AV18="","",IF(AP18=0,"N",(AV18/AP18-1)*100))</f>
        <v>15.994029461183379</v>
      </c>
      <c r="AW67" s="3481">
        <f t="shared" ca="1" si="117"/>
        <v>12.320460214910289</v>
      </c>
      <c r="AX67" s="3479">
        <f t="shared" ca="1" si="117"/>
        <v>2383.9999999999973</v>
      </c>
      <c r="AY67" s="3478">
        <f t="shared" ca="1" si="117"/>
        <v>-11.164465786314537</v>
      </c>
      <c r="AZ67" s="556" t="str">
        <f ca="1">IF(ROUND(AZ18,2)=0,"ok","!")</f>
        <v>ok</v>
      </c>
      <c r="BA67" s="601">
        <f ca="1">IF(BA18="","",IF(AU18=0,"N",(BA18/AU18-1)*100))</f>
        <v>108.79358791284743</v>
      </c>
      <c r="BB67" s="603">
        <f t="shared" ref="BB67:BE68" ca="1" si="118">IF(BB18="","",IF(AV18=0,"N",(BB18/AV18-1)*100))</f>
        <v>0.55410622244411734</v>
      </c>
      <c r="BC67" s="3481">
        <f t="shared" ca="1" si="118"/>
        <v>7.6663388620118456</v>
      </c>
      <c r="BD67" s="3479">
        <f t="shared" ca="1" si="118"/>
        <v>63.220611916264133</v>
      </c>
      <c r="BE67" s="3478">
        <f t="shared" ca="1" si="118"/>
        <v>111.35135135135137</v>
      </c>
      <c r="BF67" s="556" t="str">
        <f ca="1">IF(ROUND(BF18,2)=0,"ok","!")</f>
        <v>ok</v>
      </c>
      <c r="BG67" s="601">
        <f ca="1">IF(BG18="","",IF(BA18=0,"N",(BG18/BA18-1)*100))</f>
        <v>32.894301409756046</v>
      </c>
      <c r="BH67" s="603">
        <f t="shared" ref="BH67:BK68" ca="1" si="119">IF(BH18="","",IF(BB18=0,"N",(BH18/BB18-1)*100))</f>
        <v>30.832033790446079</v>
      </c>
      <c r="BI67" s="3481">
        <f t="shared" ca="1" si="119"/>
        <v>32.536926410774349</v>
      </c>
      <c r="BJ67" s="3479">
        <f t="shared" ca="1" si="119"/>
        <v>-60.477505919494888</v>
      </c>
      <c r="BK67" s="3478">
        <f t="shared" ca="1" si="119"/>
        <v>29.092071611253225</v>
      </c>
      <c r="BL67" s="556" t="str">
        <f ca="1">IF(ROUND(BL18,2)=0,"ok","!")</f>
        <v>!</v>
      </c>
      <c r="BM67" s="601">
        <f ca="1">IF(BM18="","",IF(BG18=0,"N",(BM18/BG18-1)*100))</f>
        <v>10.515131895678476</v>
      </c>
      <c r="BN67" s="603">
        <f t="shared" ref="BN67:BQ68" ca="1" si="120">IF(BN18="","",IF(BH18=0,"N",(BN18/BH18-1)*100))</f>
        <v>-8.4345109400096767</v>
      </c>
      <c r="BO67" s="3481">
        <f t="shared" ca="1" si="120"/>
        <v>-5.3569405033637274</v>
      </c>
      <c r="BP67" s="3479">
        <f t="shared" ca="1" si="120"/>
        <v>-102.9455816275587</v>
      </c>
      <c r="BQ67" s="3478">
        <f t="shared" ca="1" si="120"/>
        <v>13.896225854383349</v>
      </c>
      <c r="BR67" s="556" t="str">
        <f ca="1">IF(ROUND(BR18,2)=0,"ok","!")</f>
        <v>ok</v>
      </c>
      <c r="BS67" s="601">
        <f ca="1">IF(BS18="","",IF(BM18=0,"N",(BS18/BM18-1)*100))</f>
        <v>27.058328701686829</v>
      </c>
      <c r="BT67" s="603">
        <f t="shared" ref="BT67:BW68" ca="1" si="121">IF(BT18="","",IF(BN18=0,"N",(BT18/BN18-1)*100))</f>
        <v>18.531479757280025</v>
      </c>
      <c r="BU67" s="3481">
        <f t="shared" ca="1" si="121"/>
        <v>19.316207571466638</v>
      </c>
      <c r="BV67" s="3479">
        <f t="shared" ca="1" si="121"/>
        <v>-4159.3220338982555</v>
      </c>
      <c r="BW67" s="3478">
        <f t="shared" ca="1" si="121"/>
        <v>26.876876876876878</v>
      </c>
      <c r="BX67" s="556" t="str">
        <f ca="1">IF(ROUND(BX18,2)=0,"ok","!")</f>
        <v>ok</v>
      </c>
      <c r="BY67" s="601">
        <f ca="1">IF(BY18="","",IF(BS18=0,"N",(BY18/BS18-1)*100))</f>
        <v>61.673602572590781</v>
      </c>
      <c r="BZ67" s="603">
        <f t="shared" ref="BZ67:CC68" ca="1" si="122">IF(BZ18="","",IF(BT18=0,"N",(BZ18/BT18-1)*100))</f>
        <v>-21.843150484229625</v>
      </c>
      <c r="CA67" s="3481">
        <f t="shared" ca="1" si="122"/>
        <v>-7.4055187610844175</v>
      </c>
      <c r="CB67" s="3479">
        <f t="shared" ca="1" si="122"/>
        <v>-15.866388308977031</v>
      </c>
      <c r="CC67" s="3478">
        <f t="shared" ca="1" si="122"/>
        <v>61.77514792899408</v>
      </c>
      <c r="CD67" s="556" t="str">
        <f ca="1">IF(ROUND(CD18,2)=0,"ok","!")</f>
        <v>ok</v>
      </c>
      <c r="CE67" s="601">
        <f ca="1">IF(CE18="","",IF(BY18=0,"N",(CE18/BY18-1)*100))</f>
        <v>-1.0720292504570295</v>
      </c>
      <c r="CF67" s="603">
        <f t="shared" ref="CF67:CI68" ca="1" si="123">IF(CF18="","",IF(BZ18=0,"N",(CF18/BZ18-1)*100))</f>
        <v>18.116142935457248</v>
      </c>
      <c r="CG67" s="3481">
        <f t="shared" ca="1" si="123"/>
        <v>12.493337196469213</v>
      </c>
      <c r="CH67" s="3479">
        <f t="shared" ca="1" si="123"/>
        <v>-22.431761786600479</v>
      </c>
      <c r="CI67" s="3478">
        <f t="shared" ca="1" si="123"/>
        <v>-1.0241404535479171</v>
      </c>
      <c r="CJ67" s="556" t="str">
        <f ca="1">IF(ROUND(CJ18,2)=0,"ok","!")</f>
        <v>ok</v>
      </c>
      <c r="CK67" s="601">
        <f t="shared" ca="1" si="34"/>
        <v>-118.01986931196591</v>
      </c>
      <c r="CL67" s="603">
        <f t="shared" ca="1" si="35"/>
        <v>0.20672013827576219</v>
      </c>
      <c r="CM67" s="3481">
        <f t="shared" ca="1" si="36"/>
        <v>-34.188516467960618</v>
      </c>
      <c r="CN67" s="3479">
        <f t="shared" ca="1" si="37"/>
        <v>959.94881637875869</v>
      </c>
      <c r="CO67" s="3478">
        <f t="shared" ca="1" si="100"/>
        <v>-117.96008869179602</v>
      </c>
      <c r="CP67" s="556" t="str">
        <f ca="1">IF(ROUND(CP18,2)=0,"ok","!")</f>
        <v>ok</v>
      </c>
      <c r="CQ67" s="601">
        <f t="shared" ca="1" si="39"/>
        <v>-504.28665189925471</v>
      </c>
      <c r="CR67" s="603">
        <f t="shared" ca="1" si="40"/>
        <v>17.360079642672723</v>
      </c>
      <c r="CS67" s="3481">
        <f t="shared" ca="1" si="41"/>
        <v>51.671630822177718</v>
      </c>
      <c r="CT67" s="3479">
        <f t="shared" ca="1" si="42"/>
        <v>91.69433210599378</v>
      </c>
      <c r="CU67" s="3478">
        <f t="shared" ca="1" si="101"/>
        <v>-505.76131687242798</v>
      </c>
      <c r="CV67" s="556" t="str">
        <f ca="1">IF(ROUND(CV18,2)=0,"ok","!")</f>
        <v>ok</v>
      </c>
      <c r="CW67" s="601">
        <f t="shared" ca="1" si="44"/>
        <v>60.702943474334312</v>
      </c>
      <c r="CX67" s="603">
        <f t="shared" ca="1" si="45"/>
        <v>11.926622151255639</v>
      </c>
      <c r="CY67" s="3481">
        <f t="shared" ca="1" si="46"/>
        <v>20.45381577521934</v>
      </c>
      <c r="CZ67" s="3479">
        <f t="shared" ca="1" si="47"/>
        <v>26.9790289061024</v>
      </c>
      <c r="DA67" s="3478">
        <f t="shared" ca="1" si="102"/>
        <v>60.547667342799194</v>
      </c>
      <c r="DB67" s="556" t="str">
        <f ca="1">IF(ROUND(DB18,2)=0,"ok","!")</f>
        <v>ok</v>
      </c>
      <c r="DC67" s="601">
        <f t="shared" ca="1" si="49"/>
        <v>-14.99330740478838</v>
      </c>
      <c r="DD67" s="603">
        <f t="shared" ca="1" si="50"/>
        <v>3.1375131717597649</v>
      </c>
      <c r="DE67" s="3481">
        <f t="shared" ca="1" si="51"/>
        <v>-2.2049324817100424</v>
      </c>
      <c r="DF67" s="3479">
        <f t="shared" ca="1" si="52"/>
        <v>12.944502306204475</v>
      </c>
      <c r="DG67" s="3478">
        <f t="shared" ca="1" si="103"/>
        <v>-14.908401768793434</v>
      </c>
      <c r="DH67" s="556" t="str">
        <f ca="1">IF(ROUND(DH18,2)=0,"ok","!")</f>
        <v>ok</v>
      </c>
      <c r="DI67" s="601">
        <f t="shared" ca="1" si="54"/>
        <v>-4.8263107466743111</v>
      </c>
      <c r="DJ67" s="603">
        <f t="shared" ca="1" si="55"/>
        <v>-2.2202006825655651E-2</v>
      </c>
      <c r="DK67" s="3481">
        <f t="shared" ca="1" si="56"/>
        <v>-1.6284482672133227</v>
      </c>
      <c r="DL67" s="3479">
        <f t="shared" ca="1" si="57"/>
        <v>6.8677820225705899</v>
      </c>
      <c r="DM67" s="3478">
        <f t="shared" ca="1" si="104"/>
        <v>-4.8997772828507813</v>
      </c>
      <c r="DN67" s="556" t="str">
        <f ca="1">IF(ROUND(DN18,2)=0,"ok","!")</f>
        <v>ok</v>
      </c>
      <c r="DO67" s="601">
        <f t="shared" ca="1" si="59"/>
        <v>-39.774775829372878</v>
      </c>
      <c r="DP67" s="603">
        <f t="shared" ca="1" si="60"/>
        <v>-7.2380858799253041</v>
      </c>
      <c r="DQ67" s="3481">
        <f t="shared" ca="1" si="61"/>
        <v>-14.288263940236101</v>
      </c>
      <c r="DR67" s="3479">
        <f t="shared" ca="1" si="62"/>
        <v>-7.6796647080577207</v>
      </c>
      <c r="DS67" s="3478">
        <f t="shared" ca="1" si="105"/>
        <v>-39.734582357533178</v>
      </c>
      <c r="DT67" s="556" t="str">
        <f ca="1">IF(ROUND(DT18,2)=0,"ok","!")</f>
        <v>ok</v>
      </c>
      <c r="DU67" s="601">
        <f t="shared" ca="1" si="64"/>
        <v>142.34955683408535</v>
      </c>
      <c r="DV67" s="603">
        <f t="shared" ca="1" si="65"/>
        <v>-1.3904101317955719</v>
      </c>
      <c r="DW67" s="3481">
        <f t="shared" ca="1" si="66"/>
        <v>21.063945821062767</v>
      </c>
      <c r="DX67" s="3479">
        <f t="shared" ca="1" si="67"/>
        <v>-6.5092576108242595</v>
      </c>
      <c r="DY67" s="3478">
        <f t="shared" ca="1" si="106"/>
        <v>142.35751295336786</v>
      </c>
      <c r="DZ67" s="556" t="str">
        <f ca="1">IF(ROUND(DZ18,2)=0,"ok","!")</f>
        <v>ok</v>
      </c>
      <c r="EA67" s="601">
        <f t="shared" ca="1" si="69"/>
        <v>-1.0148321623732359</v>
      </c>
      <c r="EB67" s="603">
        <f t="shared" ca="1" si="70"/>
        <v>5.4855883262865168</v>
      </c>
      <c r="EC67" s="3481">
        <f t="shared" ca="1" si="71"/>
        <v>5.371917748754651</v>
      </c>
      <c r="ED67" s="3479">
        <f t="shared" ca="1" si="72"/>
        <v>-21.801432958034827</v>
      </c>
      <c r="EE67" s="3478">
        <f t="shared" ca="1" si="107"/>
        <v>-1.0689470871191875</v>
      </c>
      <c r="EF67" s="556" t="str">
        <f ca="1">IF(ROUND(EF18,2)=0,"ok","!")</f>
        <v>ok</v>
      </c>
      <c r="EG67" s="601">
        <f t="shared" ca="1" si="74"/>
        <v>1.4846484594443154</v>
      </c>
      <c r="EH67" s="603">
        <f t="shared" ca="1" si="75"/>
        <v>5.6274529571945342</v>
      </c>
      <c r="EI67" s="3481">
        <f t="shared" ca="1" si="76"/>
        <v>5.4999999999999938</v>
      </c>
      <c r="EJ67" s="3479">
        <f t="shared" ca="1" si="77"/>
        <v>-15.222513089005229</v>
      </c>
      <c r="EK67" s="3478">
        <f t="shared" ca="1" si="108"/>
        <v>1.4999999999999902</v>
      </c>
      <c r="EL67" s="556" t="str">
        <f ca="1">IF(ROUND(EL18,2)=0,"ok","!")</f>
        <v>ok</v>
      </c>
      <c r="EM67" s="601">
        <f t="shared" ca="1" si="79"/>
        <v>2.000000000000024</v>
      </c>
      <c r="EN67" s="603">
        <f t="shared" ca="1" si="80"/>
        <v>3.9340874014154759</v>
      </c>
      <c r="EO67" s="3481">
        <f t="shared" ca="1" si="81"/>
        <v>5.4999999999999938</v>
      </c>
      <c r="EP67" s="3479">
        <f t="shared" ca="1" si="82"/>
        <v>-47.269192240162859</v>
      </c>
      <c r="EQ67" s="3478">
        <f t="shared" ca="1" si="109"/>
        <v>2.0000000000000018</v>
      </c>
      <c r="ER67" s="556" t="str">
        <f ca="1">IF(ROUND(ER18,2)=0,"ok","!")</f>
        <v>ok</v>
      </c>
      <c r="ES67" s="601">
        <f t="shared" ca="1" si="84"/>
        <v>2.000000000000024</v>
      </c>
      <c r="ET67" s="603">
        <f t="shared" ca="1" si="85"/>
        <v>6.6262175568289505</v>
      </c>
      <c r="EU67" s="3481">
        <f t="shared" ca="1" si="86"/>
        <v>5.4999999999999938</v>
      </c>
      <c r="EV67" s="3479">
        <f t="shared" ca="1" si="87"/>
        <v>1.1650913686469755</v>
      </c>
      <c r="EW67" s="3478">
        <f t="shared" ca="1" si="110"/>
        <v>2.0000000000000018</v>
      </c>
      <c r="EX67" s="556" t="str">
        <f ca="1">IF(ROUND(EX18,2)=0,"ok","!")</f>
        <v>ok</v>
      </c>
    </row>
    <row r="68" spans="2:154">
      <c r="B68" s="564"/>
      <c r="C68" s="571"/>
      <c r="D68" s="572" t="s">
        <v>985</v>
      </c>
      <c r="E68" s="598"/>
      <c r="F68" s="602"/>
      <c r="G68" s="3482"/>
      <c r="H68" s="577"/>
      <c r="I68" s="3480"/>
      <c r="J68" s="604"/>
      <c r="K68" s="598" t="str">
        <f>IF(K19="","",IF(E19=0,"N",(K19/E19-1)*100))</f>
        <v/>
      </c>
      <c r="L68" s="602" t="str">
        <f t="shared" si="111"/>
        <v/>
      </c>
      <c r="M68" s="3482" t="str">
        <f t="shared" si="111"/>
        <v/>
      </c>
      <c r="N68" s="577">
        <f t="shared" ca="1" si="111"/>
        <v>8.3273251622206335</v>
      </c>
      <c r="O68" s="3480" t="str">
        <f t="shared" si="111"/>
        <v/>
      </c>
      <c r="P68" s="604"/>
      <c r="Q68" s="598" t="str">
        <f>IF(Q19="","",IF(K19=0,"N",(Q19/K19-1)*100))</f>
        <v/>
      </c>
      <c r="R68" s="602" t="str">
        <f t="shared" si="112"/>
        <v/>
      </c>
      <c r="S68" s="3482" t="str">
        <f t="shared" si="112"/>
        <v/>
      </c>
      <c r="T68" s="577">
        <f t="shared" ca="1" si="112"/>
        <v>81.264559068219626</v>
      </c>
      <c r="U68" s="3480" t="str">
        <f t="shared" si="112"/>
        <v/>
      </c>
      <c r="V68" s="604"/>
      <c r="W68" s="598" t="str">
        <f>IF(W19="","",IF(Q19=0,"N",(W19/Q19-1)*100))</f>
        <v/>
      </c>
      <c r="X68" s="602" t="str">
        <f t="shared" si="113"/>
        <v/>
      </c>
      <c r="Y68" s="3482" t="str">
        <f t="shared" si="113"/>
        <v/>
      </c>
      <c r="Z68" s="577">
        <f t="shared" ca="1" si="113"/>
        <v>179.82375619607126</v>
      </c>
      <c r="AA68" s="3480" t="str">
        <f t="shared" si="113"/>
        <v/>
      </c>
      <c r="AB68" s="604"/>
      <c r="AC68" s="598" t="str">
        <f>IF(AC19="","",IF(W19=0,"N",(AC19/W19-1)*100))</f>
        <v/>
      </c>
      <c r="AD68" s="602" t="str">
        <f t="shared" si="114"/>
        <v/>
      </c>
      <c r="AE68" s="3482" t="str">
        <f t="shared" si="114"/>
        <v/>
      </c>
      <c r="AF68" s="577">
        <f t="shared" ca="1" si="114"/>
        <v>-1.115339194331455</v>
      </c>
      <c r="AG68" s="3480" t="str">
        <f t="shared" si="114"/>
        <v/>
      </c>
      <c r="AH68" s="604"/>
      <c r="AI68" s="598" t="str">
        <f>IF(AI19="","",IF(AC19=0,"N",(AI19/AC19-1)*100))</f>
        <v/>
      </c>
      <c r="AJ68" s="602" t="str">
        <f t="shared" si="115"/>
        <v/>
      </c>
      <c r="AK68" s="3482" t="str">
        <f t="shared" si="115"/>
        <v/>
      </c>
      <c r="AL68" s="577">
        <f t="shared" ca="1" si="115"/>
        <v>14.643046709129525</v>
      </c>
      <c r="AM68" s="3480" t="str">
        <f t="shared" si="115"/>
        <v/>
      </c>
      <c r="AN68" s="604"/>
      <c r="AO68" s="598" t="str">
        <f>IF(AO19="","",IF(AI19=0,"N",(AO19/AI19-1)*100))</f>
        <v/>
      </c>
      <c r="AP68" s="602" t="str">
        <f t="shared" si="116"/>
        <v/>
      </c>
      <c r="AQ68" s="3482" t="str">
        <f t="shared" si="116"/>
        <v/>
      </c>
      <c r="AR68" s="577">
        <f t="shared" ca="1" si="116"/>
        <v>22.848544475953481</v>
      </c>
      <c r="AS68" s="3480" t="str">
        <f t="shared" si="116"/>
        <v/>
      </c>
      <c r="AT68" s="604"/>
      <c r="AU68" s="598" t="str">
        <f>IF(AU19="","",IF(AO19=0,"N",(AU19/AO19-1)*100))</f>
        <v/>
      </c>
      <c r="AV68" s="602" t="str">
        <f t="shared" si="117"/>
        <v/>
      </c>
      <c r="AW68" s="3482" t="str">
        <f t="shared" si="117"/>
        <v/>
      </c>
      <c r="AX68" s="577">
        <f t="shared" ca="1" si="117"/>
        <v>-21.157017006642487</v>
      </c>
      <c r="AY68" s="3480" t="str">
        <f t="shared" si="117"/>
        <v/>
      </c>
      <c r="AZ68" s="604"/>
      <c r="BA68" s="598" t="str">
        <f>IF(BA19="","",IF(AU19=0,"N",(BA19/AU19-1)*100))</f>
        <v/>
      </c>
      <c r="BB68" s="602" t="str">
        <f t="shared" si="118"/>
        <v/>
      </c>
      <c r="BC68" s="3482" t="str">
        <f t="shared" si="118"/>
        <v/>
      </c>
      <c r="BD68" s="577">
        <f t="shared" ca="1" si="118"/>
        <v>-7.3076003824091851</v>
      </c>
      <c r="BE68" s="3480" t="str">
        <f t="shared" si="118"/>
        <v/>
      </c>
      <c r="BF68" s="604"/>
      <c r="BG68" s="598" t="str">
        <f>IF(BG19="","",IF(BA19=0,"N",(BG19/BA19-1)*100))</f>
        <v/>
      </c>
      <c r="BH68" s="602" t="str">
        <f t="shared" si="119"/>
        <v/>
      </c>
      <c r="BI68" s="3482" t="str">
        <f t="shared" si="119"/>
        <v/>
      </c>
      <c r="BJ68" s="577">
        <f t="shared" ca="1" si="119"/>
        <v>-7.3744601302133788</v>
      </c>
      <c r="BK68" s="3480" t="str">
        <f t="shared" si="119"/>
        <v/>
      </c>
      <c r="BL68" s="604"/>
      <c r="BM68" s="598" t="str">
        <f>IF(BM19="","",IF(BG19=0,"N",(BM19/BG19-1)*100))</f>
        <v/>
      </c>
      <c r="BN68" s="602" t="str">
        <f t="shared" si="120"/>
        <v/>
      </c>
      <c r="BO68" s="3482" t="str">
        <f t="shared" si="120"/>
        <v/>
      </c>
      <c r="BP68" s="577">
        <f t="shared" ca="1" si="120"/>
        <v>12.269468995754762</v>
      </c>
      <c r="BQ68" s="3480" t="str">
        <f t="shared" si="120"/>
        <v/>
      </c>
      <c r="BR68" s="604"/>
      <c r="BS68" s="598" t="str">
        <f>IF(BS19="","",IF(BM19=0,"N",(BS19/BM19-1)*100))</f>
        <v/>
      </c>
      <c r="BT68" s="602" t="str">
        <f t="shared" si="121"/>
        <v/>
      </c>
      <c r="BU68" s="3482" t="str">
        <f t="shared" si="121"/>
        <v/>
      </c>
      <c r="BV68" s="577">
        <f t="shared" ca="1" si="121"/>
        <v>-10.693032482023302</v>
      </c>
      <c r="BW68" s="3480" t="str">
        <f t="shared" si="121"/>
        <v/>
      </c>
      <c r="BX68" s="604"/>
      <c r="BY68" s="598" t="str">
        <f>IF(BY19="","",IF(BS19=0,"N",(BY19/BS19-1)*100))</f>
        <v/>
      </c>
      <c r="BZ68" s="602" t="str">
        <f t="shared" si="122"/>
        <v/>
      </c>
      <c r="CA68" s="3482" t="str">
        <f t="shared" si="122"/>
        <v/>
      </c>
      <c r="CB68" s="577">
        <f t="shared" ca="1" si="122"/>
        <v>19.504407579648774</v>
      </c>
      <c r="CC68" s="3480" t="str">
        <f t="shared" si="122"/>
        <v/>
      </c>
      <c r="CD68" s="604"/>
      <c r="CE68" s="598" t="str">
        <f>IF(CE19="","",IF(BY19=0,"N",(CE19/BY19-1)*100))</f>
        <v/>
      </c>
      <c r="CF68" s="602" t="str">
        <f t="shared" si="123"/>
        <v/>
      </c>
      <c r="CG68" s="3482" t="str">
        <f t="shared" si="123"/>
        <v/>
      </c>
      <c r="CH68" s="577">
        <f t="shared" ca="1" si="123"/>
        <v>15.287216123598778</v>
      </c>
      <c r="CI68" s="3480" t="str">
        <f t="shared" si="123"/>
        <v/>
      </c>
      <c r="CJ68" s="604"/>
      <c r="CK68" s="598" t="str">
        <f t="shared" si="34"/>
        <v/>
      </c>
      <c r="CL68" s="602" t="str">
        <f t="shared" si="35"/>
        <v/>
      </c>
      <c r="CM68" s="3482" t="str">
        <f t="shared" si="36"/>
        <v/>
      </c>
      <c r="CN68" s="577">
        <f t="shared" ca="1" si="37"/>
        <v>-15.587687037130326</v>
      </c>
      <c r="CO68" s="3480" t="str">
        <f t="shared" si="100"/>
        <v/>
      </c>
      <c r="CP68" s="604"/>
      <c r="CQ68" s="598" t="str">
        <f t="shared" si="39"/>
        <v/>
      </c>
      <c r="CR68" s="602" t="str">
        <f t="shared" si="40"/>
        <v/>
      </c>
      <c r="CS68" s="3482" t="str">
        <f t="shared" si="41"/>
        <v/>
      </c>
      <c r="CT68" s="577">
        <f t="shared" ca="1" si="42"/>
        <v>14.771709937332144</v>
      </c>
      <c r="CU68" s="3480" t="str">
        <f t="shared" si="101"/>
        <v/>
      </c>
      <c r="CV68" s="604"/>
      <c r="CW68" s="598" t="str">
        <f t="shared" si="44"/>
        <v/>
      </c>
      <c r="CX68" s="602" t="str">
        <f t="shared" si="45"/>
        <v/>
      </c>
      <c r="CY68" s="3482" t="str">
        <f t="shared" si="46"/>
        <v/>
      </c>
      <c r="CZ68" s="577">
        <f t="shared" ca="1" si="47"/>
        <v>-10.343213728549138</v>
      </c>
      <c r="DA68" s="3480" t="str">
        <f t="shared" si="102"/>
        <v/>
      </c>
      <c r="DB68" s="604"/>
      <c r="DC68" s="598" t="str">
        <f t="shared" si="49"/>
        <v/>
      </c>
      <c r="DD68" s="602" t="str">
        <f t="shared" si="50"/>
        <v/>
      </c>
      <c r="DE68" s="3482" t="str">
        <f t="shared" si="51"/>
        <v/>
      </c>
      <c r="DF68" s="577">
        <f t="shared" ca="1" si="52"/>
        <v>17.812191868221095</v>
      </c>
      <c r="DG68" s="3480" t="str">
        <f t="shared" si="103"/>
        <v/>
      </c>
      <c r="DH68" s="604"/>
      <c r="DI68" s="598" t="str">
        <f t="shared" si="54"/>
        <v/>
      </c>
      <c r="DJ68" s="602" t="str">
        <f t="shared" si="55"/>
        <v/>
      </c>
      <c r="DK68" s="3482" t="str">
        <f t="shared" si="56"/>
        <v/>
      </c>
      <c r="DL68" s="577">
        <f t="shared" ca="1" si="57"/>
        <v>-36.943678613627405</v>
      </c>
      <c r="DM68" s="3480" t="str">
        <f t="shared" si="104"/>
        <v/>
      </c>
      <c r="DN68" s="604"/>
      <c r="DO68" s="598" t="str">
        <f t="shared" si="59"/>
        <v/>
      </c>
      <c r="DP68" s="602" t="str">
        <f t="shared" si="60"/>
        <v/>
      </c>
      <c r="DQ68" s="3482" t="str">
        <f t="shared" si="61"/>
        <v/>
      </c>
      <c r="DR68" s="577">
        <f t="shared" ca="1" si="62"/>
        <v>7.2845096814490917</v>
      </c>
      <c r="DS68" s="3480" t="str">
        <f t="shared" si="105"/>
        <v/>
      </c>
      <c r="DT68" s="604"/>
      <c r="DU68" s="598" t="str">
        <f t="shared" si="64"/>
        <v/>
      </c>
      <c r="DV68" s="602" t="str">
        <f t="shared" si="65"/>
        <v/>
      </c>
      <c r="DW68" s="3482" t="str">
        <f t="shared" si="66"/>
        <v/>
      </c>
      <c r="DX68" s="577">
        <f t="shared" ca="1" si="67"/>
        <v>8.128957135579661</v>
      </c>
      <c r="DY68" s="3480" t="str">
        <f t="shared" si="106"/>
        <v/>
      </c>
      <c r="DZ68" s="604"/>
      <c r="EA68" s="598" t="str">
        <f t="shared" si="69"/>
        <v/>
      </c>
      <c r="EB68" s="602" t="str">
        <f t="shared" si="70"/>
        <v/>
      </c>
      <c r="EC68" s="3482" t="str">
        <f t="shared" si="71"/>
        <v/>
      </c>
      <c r="ED68" s="577">
        <f t="shared" ca="1" si="72"/>
        <v>26.706151568178726</v>
      </c>
      <c r="EE68" s="3480" t="str">
        <f t="shared" si="107"/>
        <v/>
      </c>
      <c r="EF68" s="604"/>
      <c r="EG68" s="598" t="str">
        <f t="shared" si="74"/>
        <v/>
      </c>
      <c r="EH68" s="602" t="str">
        <f t="shared" si="75"/>
        <v/>
      </c>
      <c r="EI68" s="3482" t="str">
        <f t="shared" si="76"/>
        <v/>
      </c>
      <c r="EJ68" s="577">
        <f t="shared" ca="1" si="77"/>
        <v>14.999999999999991</v>
      </c>
      <c r="EK68" s="3480" t="str">
        <f t="shared" si="108"/>
        <v/>
      </c>
      <c r="EL68" s="604"/>
      <c r="EM68" s="598" t="str">
        <f t="shared" si="79"/>
        <v/>
      </c>
      <c r="EN68" s="602" t="str">
        <f t="shared" si="80"/>
        <v/>
      </c>
      <c r="EO68" s="3482" t="str">
        <f t="shared" si="81"/>
        <v/>
      </c>
      <c r="EP68" s="577">
        <f t="shared" ca="1" si="82"/>
        <v>10.000000000000009</v>
      </c>
      <c r="EQ68" s="3480" t="str">
        <f t="shared" si="109"/>
        <v/>
      </c>
      <c r="ER68" s="604"/>
      <c r="ES68" s="598" t="str">
        <f t="shared" si="84"/>
        <v/>
      </c>
      <c r="ET68" s="602" t="str">
        <f t="shared" si="85"/>
        <v/>
      </c>
      <c r="EU68" s="3482" t="str">
        <f t="shared" si="86"/>
        <v/>
      </c>
      <c r="EV68" s="577">
        <f t="shared" ca="1" si="87"/>
        <v>6.0000000000000053</v>
      </c>
      <c r="EW68" s="3480" t="str">
        <f t="shared" si="110"/>
        <v/>
      </c>
      <c r="EX68" s="604"/>
    </row>
    <row r="69" spans="2:154">
      <c r="B69" s="564"/>
      <c r="C69" s="571"/>
      <c r="D69" s="572" t="s">
        <v>986</v>
      </c>
      <c r="E69" s="598"/>
      <c r="F69" s="602"/>
      <c r="G69" s="3482"/>
      <c r="H69" s="577"/>
      <c r="I69" s="3480"/>
      <c r="J69" s="604"/>
      <c r="K69" s="598"/>
      <c r="L69" s="602"/>
      <c r="M69" s="3482"/>
      <c r="N69" s="577" t="str">
        <f ca="1">IF(N20="","",IF(H20=0,"N",(N20/H20-1)*100))</f>
        <v>N</v>
      </c>
      <c r="O69" s="3480"/>
      <c r="P69" s="604"/>
      <c r="Q69" s="598"/>
      <c r="R69" s="602"/>
      <c r="S69" s="3482"/>
      <c r="T69" s="577" t="str">
        <f t="shared" ref="T69:T91" ca="1" si="124">IF(T20="","",IF(N20=0,"N",(T20/N20-1)*100))</f>
        <v>N</v>
      </c>
      <c r="U69" s="3480"/>
      <c r="V69" s="604"/>
      <c r="W69" s="598"/>
      <c r="X69" s="602"/>
      <c r="Y69" s="3482"/>
      <c r="Z69" s="577" t="str">
        <f t="shared" ref="Z69:Z91" ca="1" si="125">IF(Z20="","",IF(T20=0,"N",(Z20/T20-1)*100))</f>
        <v>N</v>
      </c>
      <c r="AA69" s="3480"/>
      <c r="AB69" s="604"/>
      <c r="AC69" s="598"/>
      <c r="AD69" s="602"/>
      <c r="AE69" s="3482"/>
      <c r="AF69" s="577" t="str">
        <f t="shared" ref="AF69:AF91" ca="1" si="126">IF(AF20="","",IF(Z20=0,"N",(AF20/Z20-1)*100))</f>
        <v>N</v>
      </c>
      <c r="AG69" s="3480"/>
      <c r="AH69" s="604"/>
      <c r="AI69" s="598"/>
      <c r="AJ69" s="602"/>
      <c r="AK69" s="3482"/>
      <c r="AL69" s="577" t="str">
        <f t="shared" ref="AL69:AL91" ca="1" si="127">IF(AL20="","",IF(AF20=0,"N",(AL20/AF20-1)*100))</f>
        <v>N</v>
      </c>
      <c r="AM69" s="3480"/>
      <c r="AN69" s="604"/>
      <c r="AO69" s="598"/>
      <c r="AP69" s="602"/>
      <c r="AQ69" s="3482"/>
      <c r="AR69" s="577" t="str">
        <f t="shared" ref="AR69:AR91" ca="1" si="128">IF(AR20="","",IF(AL20=0,"N",(AR20/AL20-1)*100))</f>
        <v>N</v>
      </c>
      <c r="AS69" s="3480"/>
      <c r="AT69" s="604"/>
      <c r="AU69" s="598"/>
      <c r="AV69" s="602"/>
      <c r="AW69" s="3482"/>
      <c r="AX69" s="577" t="str">
        <f t="shared" ref="AX69:AX91" ca="1" si="129">IF(AX20="","",IF(AR20=0,"N",(AX20/AR20-1)*100))</f>
        <v>N</v>
      </c>
      <c r="AY69" s="3480"/>
      <c r="AZ69" s="604"/>
      <c r="BA69" s="598"/>
      <c r="BB69" s="602"/>
      <c r="BC69" s="3482"/>
      <c r="BD69" s="577" t="str">
        <f t="shared" ref="BD69:BD91" ca="1" si="130">IF(BD20="","",IF(AX20=0,"N",(BD20/AX20-1)*100))</f>
        <v>N</v>
      </c>
      <c r="BE69" s="3480"/>
      <c r="BF69" s="604"/>
      <c r="BG69" s="598"/>
      <c r="BH69" s="602"/>
      <c r="BI69" s="3482"/>
      <c r="BJ69" s="577" t="str">
        <f t="shared" ref="BJ69:BJ91" ca="1" si="131">IF(BJ20="","",IF(BD20=0,"N",(BJ20/BD20-1)*100))</f>
        <v>N</v>
      </c>
      <c r="BK69" s="3480"/>
      <c r="BL69" s="604"/>
      <c r="BM69" s="598"/>
      <c r="BN69" s="602"/>
      <c r="BO69" s="3482"/>
      <c r="BP69" s="577">
        <f t="shared" ref="BP69:BP91" ca="1" si="132">IF(BP20="","",IF(BJ20=0,"N",(BP20/BJ20-1)*100))</f>
        <v>0</v>
      </c>
      <c r="BQ69" s="3480"/>
      <c r="BR69" s="604"/>
      <c r="BS69" s="598"/>
      <c r="BT69" s="602"/>
      <c r="BU69" s="3482"/>
      <c r="BV69" s="577">
        <f t="shared" ref="BV69:BV91" ca="1" si="133">IF(BV20="","",IF(BP20=0,"N",(BV20/BP20-1)*100))</f>
        <v>2.8421709430404007E-10</v>
      </c>
      <c r="BW69" s="3480"/>
      <c r="BX69" s="604"/>
      <c r="BY69" s="598"/>
      <c r="BZ69" s="602"/>
      <c r="CA69" s="3482"/>
      <c r="CB69" s="577">
        <f t="shared" ref="CB69:CB91" ca="1" si="134">IF(CB20="","",IF(BV20=0,"N",(CB20/BV20-1)*100))</f>
        <v>-2.8421709430404007E-10</v>
      </c>
      <c r="CC69" s="3480"/>
      <c r="CD69" s="604"/>
      <c r="CE69" s="598"/>
      <c r="CF69" s="602"/>
      <c r="CG69" s="3482"/>
      <c r="CH69" s="577">
        <f t="shared" ref="CH69:CH91" ca="1" si="135">IF(CH20="","",IF(CB20=0,"N",(CH20/CB20-1)*100))</f>
        <v>100.00000000028422</v>
      </c>
      <c r="CI69" s="3480"/>
      <c r="CJ69" s="604"/>
      <c r="CK69" s="598"/>
      <c r="CL69" s="602"/>
      <c r="CM69" s="3482"/>
      <c r="CN69" s="577">
        <f t="shared" ref="CN69:CN91" ca="1" si="136">IF(CN20="","",IF(CH20=0,"N",(CN20/CH20-1)*100))</f>
        <v>1.4210854715202004E-10</v>
      </c>
      <c r="CO69" s="3480"/>
      <c r="CP69" s="604"/>
      <c r="CQ69" s="598"/>
      <c r="CR69" s="602"/>
      <c r="CS69" s="3482"/>
      <c r="CT69" s="577">
        <f t="shared" ca="1" si="42"/>
        <v>-2.8421709430404007E-10</v>
      </c>
      <c r="CU69" s="3480"/>
      <c r="CV69" s="604"/>
      <c r="CW69" s="598"/>
      <c r="CX69" s="602"/>
      <c r="CY69" s="3482"/>
      <c r="CZ69" s="577">
        <f t="shared" ca="1" si="47"/>
        <v>0</v>
      </c>
      <c r="DA69" s="3480"/>
      <c r="DB69" s="604"/>
      <c r="DC69" s="598"/>
      <c r="DD69" s="602"/>
      <c r="DE69" s="3482"/>
      <c r="DF69" s="577">
        <f t="shared" ca="1" si="52"/>
        <v>-50</v>
      </c>
      <c r="DG69" s="3480"/>
      <c r="DH69" s="604"/>
      <c r="DI69" s="598"/>
      <c r="DJ69" s="602"/>
      <c r="DK69" s="3482"/>
      <c r="DL69" s="577">
        <f t="shared" ca="1" si="57"/>
        <v>1.1368683772161603E-9</v>
      </c>
      <c r="DM69" s="3480"/>
      <c r="DN69" s="604"/>
      <c r="DO69" s="598"/>
      <c r="DP69" s="602"/>
      <c r="DQ69" s="3482"/>
      <c r="DR69" s="577">
        <f t="shared" ca="1" si="62"/>
        <v>-1.1368683772161603E-9</v>
      </c>
      <c r="DS69" s="3480"/>
      <c r="DT69" s="604"/>
      <c r="DU69" s="598"/>
      <c r="DV69" s="602"/>
      <c r="DW69" s="3482"/>
      <c r="DX69" s="577">
        <f t="shared" ca="1" si="67"/>
        <v>1.1368683772161603E-9</v>
      </c>
      <c r="DY69" s="3480"/>
      <c r="DZ69" s="604"/>
      <c r="EA69" s="598"/>
      <c r="EB69" s="602"/>
      <c r="EC69" s="3482"/>
      <c r="ED69" s="577">
        <f t="shared" ca="1" si="72"/>
        <v>-1.1368683772161603E-9</v>
      </c>
      <c r="EE69" s="3480"/>
      <c r="EF69" s="604"/>
      <c r="EG69" s="598"/>
      <c r="EH69" s="602"/>
      <c r="EI69" s="3482"/>
      <c r="EJ69" s="577">
        <f t="shared" ca="1" si="77"/>
        <v>0</v>
      </c>
      <c r="EK69" s="3480"/>
      <c r="EL69" s="604"/>
      <c r="EM69" s="598"/>
      <c r="EN69" s="602"/>
      <c r="EO69" s="3482"/>
      <c r="EP69" s="577">
        <f t="shared" ca="1" si="82"/>
        <v>0</v>
      </c>
      <c r="EQ69" s="3480"/>
      <c r="ER69" s="604"/>
      <c r="ES69" s="598"/>
      <c r="ET69" s="602"/>
      <c r="EU69" s="3482"/>
      <c r="EV69" s="577">
        <f t="shared" ca="1" si="87"/>
        <v>0</v>
      </c>
      <c r="EW69" s="3480"/>
      <c r="EX69" s="604"/>
    </row>
    <row r="70" spans="2:154" ht="13.5" thickBot="1">
      <c r="B70" s="564"/>
      <c r="C70" s="571"/>
      <c r="D70" s="572" t="s">
        <v>1490</v>
      </c>
      <c r="E70" s="598"/>
      <c r="F70" s="602"/>
      <c r="G70" s="3482"/>
      <c r="H70" s="580"/>
      <c r="I70" s="3480"/>
      <c r="J70" s="604"/>
      <c r="K70" s="598" t="str">
        <f t="shared" ref="K70:O83" si="137">IF(K21="","",IF(E21=0,"N",(K21/E21-1)*100))</f>
        <v/>
      </c>
      <c r="L70" s="602" t="str">
        <f t="shared" si="137"/>
        <v/>
      </c>
      <c r="M70" s="3482" t="str">
        <f t="shared" si="137"/>
        <v/>
      </c>
      <c r="N70" s="580">
        <f t="shared" ca="1" si="137"/>
        <v>200.55679287305122</v>
      </c>
      <c r="O70" s="3480" t="str">
        <f t="shared" si="137"/>
        <v/>
      </c>
      <c r="P70" s="604"/>
      <c r="Q70" s="598" t="str">
        <f t="shared" ref="Q70:Q90" si="138">IF(Q21="","",IF(K21=0,"N",(Q21/K21-1)*100))</f>
        <v/>
      </c>
      <c r="R70" s="602" t="str">
        <f t="shared" ref="R70:R90" si="139">IF(R21="","",IF(L21=0,"N",(R21/L21-1)*100))</f>
        <v/>
      </c>
      <c r="S70" s="3482" t="str">
        <f t="shared" ref="S70:S90" si="140">IF(S21="","",IF(M21=0,"N",(S21/M21-1)*100))</f>
        <v/>
      </c>
      <c r="T70" s="580">
        <f t="shared" ca="1" si="124"/>
        <v>6.0145732987526346</v>
      </c>
      <c r="U70" s="3480" t="str">
        <f t="shared" ref="U70:U90" si="141">IF(U21="","",IF(O21=0,"N",(U21/O21-1)*100))</f>
        <v/>
      </c>
      <c r="V70" s="604"/>
      <c r="W70" s="598" t="str">
        <f t="shared" ref="W70:W90" si="142">IF(W21="","",IF(Q21=0,"N",(W21/Q21-1)*100))</f>
        <v/>
      </c>
      <c r="X70" s="602" t="str">
        <f t="shared" ref="X70:X90" si="143">IF(X21="","",IF(R21=0,"N",(X21/R21-1)*100))</f>
        <v/>
      </c>
      <c r="Y70" s="3482" t="str">
        <f t="shared" ref="Y70:Y90" si="144">IF(Y21="","",IF(S21=0,"N",(Y21/S21-1)*100))</f>
        <v/>
      </c>
      <c r="Z70" s="580">
        <f t="shared" ca="1" si="125"/>
        <v>71.866262814538672</v>
      </c>
      <c r="AA70" s="3480" t="str">
        <f t="shared" ref="AA70:AA90" si="145">IF(AA21="","",IF(U21=0,"N",(AA21/U21-1)*100))</f>
        <v/>
      </c>
      <c r="AB70" s="604"/>
      <c r="AC70" s="598" t="str">
        <f t="shared" ref="AC70:AC90" si="146">IF(AC21="","",IF(W21=0,"N",(AC21/W21-1)*100))</f>
        <v/>
      </c>
      <c r="AD70" s="602" t="str">
        <f t="shared" ref="AD70:AD90" si="147">IF(AD21="","",IF(X21=0,"N",(AD21/X21-1)*100))</f>
        <v/>
      </c>
      <c r="AE70" s="3482" t="str">
        <f t="shared" ref="AE70:AE90" si="148">IF(AE21="","",IF(Y21=0,"N",(AE21/Y21-1)*100))</f>
        <v/>
      </c>
      <c r="AF70" s="580">
        <f t="shared" ca="1" si="126"/>
        <v>26.713210872364932</v>
      </c>
      <c r="AG70" s="3480" t="str">
        <f t="shared" ref="AG70:AG90" si="149">IF(AG21="","",IF(AA21=0,"N",(AG21/AA21-1)*100))</f>
        <v/>
      </c>
      <c r="AH70" s="604"/>
      <c r="AI70" s="598" t="str">
        <f t="shared" ref="AI70:AI90" si="150">IF(AI21="","",IF(AC21=0,"N",(AI21/AC21-1)*100))</f>
        <v/>
      </c>
      <c r="AJ70" s="602" t="str">
        <f t="shared" ref="AJ70:AJ90" si="151">IF(AJ21="","",IF(AD21=0,"N",(AJ21/AD21-1)*100))</f>
        <v/>
      </c>
      <c r="AK70" s="3482" t="str">
        <f t="shared" ref="AK70:AK90" si="152">IF(AK21="","",IF(AE21=0,"N",(AK21/AE21-1)*100))</f>
        <v/>
      </c>
      <c r="AL70" s="580">
        <f t="shared" ca="1" si="127"/>
        <v>23.943511287043972</v>
      </c>
      <c r="AM70" s="3480" t="str">
        <f t="shared" ref="AM70:AM90" si="153">IF(AM21="","",IF(AG21=0,"N",(AM21/AG21-1)*100))</f>
        <v/>
      </c>
      <c r="AN70" s="604"/>
      <c r="AO70" s="598" t="str">
        <f t="shared" ref="AO70:AO90" si="154">IF(AO21="","",IF(AI21=0,"N",(AO21/AI21-1)*100))</f>
        <v/>
      </c>
      <c r="AP70" s="602" t="str">
        <f t="shared" ref="AP70:AP90" si="155">IF(AP21="","",IF(AJ21=0,"N",(AP21/AJ21-1)*100))</f>
        <v/>
      </c>
      <c r="AQ70" s="3482" t="str">
        <f t="shared" ref="AQ70:AQ90" si="156">IF(AQ21="","",IF(AK21=0,"N",(AQ21/AK21-1)*100))</f>
        <v/>
      </c>
      <c r="AR70" s="580">
        <f t="shared" ca="1" si="128"/>
        <v>-7.8463530427276496</v>
      </c>
      <c r="AS70" s="3480" t="str">
        <f t="shared" ref="AS70:AS90" si="157">IF(AS21="","",IF(AM21=0,"N",(AS21/AM21-1)*100))</f>
        <v/>
      </c>
      <c r="AT70" s="604"/>
      <c r="AU70" s="598" t="str">
        <f t="shared" ref="AU70:AU90" si="158">IF(AU21="","",IF(AO21=0,"N",(AU21/AO21-1)*100))</f>
        <v/>
      </c>
      <c r="AV70" s="602" t="str">
        <f t="shared" ref="AV70:AV90" si="159">IF(AV21="","",IF(AP21=0,"N",(AV21/AP21-1)*100))</f>
        <v/>
      </c>
      <c r="AW70" s="3482" t="str">
        <f t="shared" ref="AW70:AW90" si="160">IF(AW21="","",IF(AQ21=0,"N",(AW21/AQ21-1)*100))</f>
        <v/>
      </c>
      <c r="AX70" s="580">
        <f t="shared" ca="1" si="129"/>
        <v>-7.0766204571000468</v>
      </c>
      <c r="AY70" s="3480" t="str">
        <f t="shared" ref="AY70:AY90" si="161">IF(AY21="","",IF(AS21=0,"N",(AY21/AS21-1)*100))</f>
        <v/>
      </c>
      <c r="AZ70" s="604"/>
      <c r="BA70" s="598" t="str">
        <f t="shared" ref="BA70:BA90" si="162">IF(BA21="","",IF(AU21=0,"N",(BA21/AU21-1)*100))</f>
        <v/>
      </c>
      <c r="BB70" s="602" t="str">
        <f t="shared" ref="BB70:BB90" si="163">IF(BB21="","",IF(AV21=0,"N",(BB21/AV21-1)*100))</f>
        <v/>
      </c>
      <c r="BC70" s="3482" t="str">
        <f t="shared" ref="BC70:BC90" si="164">IF(BC21="","",IF(AW21=0,"N",(BC21/AW21-1)*100))</f>
        <v/>
      </c>
      <c r="BD70" s="580">
        <f t="shared" ca="1" si="130"/>
        <v>3.7296507232498222</v>
      </c>
      <c r="BE70" s="3480" t="str">
        <f t="shared" ref="BE70:BE90" si="165">IF(BE21="","",IF(AY21=0,"N",(BE21/AY21-1)*100))</f>
        <v/>
      </c>
      <c r="BF70" s="604"/>
      <c r="BG70" s="598" t="str">
        <f t="shared" ref="BG70:BG90" si="166">IF(BG21="","",IF(BA21=0,"N",(BG21/BA21-1)*100))</f>
        <v/>
      </c>
      <c r="BH70" s="602" t="str">
        <f t="shared" ref="BH70:BH90" si="167">IF(BH21="","",IF(BB21=0,"N",(BH21/BB21-1)*100))</f>
        <v/>
      </c>
      <c r="BI70" s="3482" t="str">
        <f t="shared" ref="BI70:BI90" si="168">IF(BI21="","",IF(BC21=0,"N",(BI21/BC21-1)*100))</f>
        <v/>
      </c>
      <c r="BJ70" s="580">
        <f t="shared" ca="1" si="131"/>
        <v>-20.455760167144454</v>
      </c>
      <c r="BK70" s="3480" t="str">
        <f t="shared" ref="BK70:BK90" si="169">IF(BK21="","",IF(BE21=0,"N",(BK21/BE21-1)*100))</f>
        <v/>
      </c>
      <c r="BL70" s="604"/>
      <c r="BM70" s="598" t="str">
        <f t="shared" ref="BM70:BM90" si="170">IF(BM21="","",IF(BG21=0,"N",(BM21/BG21-1)*100))</f>
        <v/>
      </c>
      <c r="BN70" s="602" t="str">
        <f t="shared" ref="BN70:BN90" si="171">IF(BN21="","",IF(BH21=0,"N",(BN21/BH21-1)*100))</f>
        <v/>
      </c>
      <c r="BO70" s="3482" t="str">
        <f t="shared" ref="BO70:BO90" si="172">IF(BO21="","",IF(BI21=0,"N",(BO21/BI21-1)*100))</f>
        <v/>
      </c>
      <c r="BP70" s="580">
        <f t="shared" ca="1" si="132"/>
        <v>-1.8264003420682906</v>
      </c>
      <c r="BQ70" s="3480" t="str">
        <f t="shared" ref="BQ70:BQ90" si="173">IF(BQ21="","",IF(BK21=0,"N",(BQ21/BK21-1)*100))</f>
        <v/>
      </c>
      <c r="BR70" s="604"/>
      <c r="BS70" s="598" t="str">
        <f t="shared" ref="BS70:BS90" si="174">IF(BS21="","",IF(BM21=0,"N",(BS21/BM21-1)*100))</f>
        <v/>
      </c>
      <c r="BT70" s="602" t="str">
        <f t="shared" ref="BT70:BT90" si="175">IF(BT21="","",IF(BN21=0,"N",(BT21/BN21-1)*100))</f>
        <v/>
      </c>
      <c r="BU70" s="3482" t="str">
        <f t="shared" ref="BU70:BU90" si="176">IF(BU21="","",IF(BO21=0,"N",(BU21/BO21-1)*100))</f>
        <v/>
      </c>
      <c r="BV70" s="580">
        <f t="shared" ca="1" si="133"/>
        <v>4.5358387257341981</v>
      </c>
      <c r="BW70" s="3480" t="str">
        <f t="shared" ref="BW70:BW90" si="177">IF(BW21="","",IF(BQ21=0,"N",(BW21/BQ21-1)*100))</f>
        <v/>
      </c>
      <c r="BX70" s="604"/>
      <c r="BY70" s="598" t="str">
        <f t="shared" ref="BY70:BY90" si="178">IF(BY21="","",IF(BS21=0,"N",(BY21/BS21-1)*100))</f>
        <v/>
      </c>
      <c r="BZ70" s="602" t="str">
        <f t="shared" ref="BZ70:BZ90" si="179">IF(BZ21="","",IF(BT21=0,"N",(BZ21/BT21-1)*100))</f>
        <v/>
      </c>
      <c r="CA70" s="3482" t="str">
        <f t="shared" ref="CA70:CA90" si="180">IF(CA21="","",IF(BU21=0,"N",(CA21/BU21-1)*100))</f>
        <v/>
      </c>
      <c r="CB70" s="580">
        <f t="shared" ca="1" si="134"/>
        <v>14.463424796143087</v>
      </c>
      <c r="CC70" s="3480" t="str">
        <f t="shared" ref="CC70:CC90" si="181">IF(CC21="","",IF(BW21=0,"N",(CC21/BW21-1)*100))</f>
        <v/>
      </c>
      <c r="CD70" s="604"/>
      <c r="CE70" s="598" t="str">
        <f t="shared" ref="CE70:CE90" si="182">IF(CE21="","",IF(BY21=0,"N",(CE21/BY21-1)*100))</f>
        <v/>
      </c>
      <c r="CF70" s="602" t="str">
        <f t="shared" ref="CF70:CF90" si="183">IF(CF21="","",IF(BZ21=0,"N",(CF21/BZ21-1)*100))</f>
        <v/>
      </c>
      <c r="CG70" s="3482" t="str">
        <f t="shared" ref="CG70:CG90" si="184">IF(CG21="","",IF(CA21=0,"N",(CG21/CA21-1)*100))</f>
        <v/>
      </c>
      <c r="CH70" s="580">
        <f t="shared" ca="1" si="135"/>
        <v>11.330664032031601</v>
      </c>
      <c r="CI70" s="3480" t="str">
        <f t="shared" ref="CI70:CI90" si="185">IF(CI21="","",IF(CC21=0,"N",(CI21/CC21-1)*100))</f>
        <v/>
      </c>
      <c r="CJ70" s="604"/>
      <c r="CK70" s="598" t="str">
        <f t="shared" ref="CK70:CK90" si="186">IF(CK21="","",IF(CE21=0,"N",(CK21/CE21-1)*100))</f>
        <v/>
      </c>
      <c r="CL70" s="602" t="str">
        <f t="shared" ref="CL70:CL90" si="187">IF(CL21="","",IF(CF21=0,"N",(CL21/CF21-1)*100))</f>
        <v/>
      </c>
      <c r="CM70" s="3482" t="str">
        <f t="shared" ref="CM70:CM90" si="188">IF(CM21="","",IF(CG21=0,"N",(CM21/CG21-1)*100))</f>
        <v/>
      </c>
      <c r="CN70" s="580">
        <f t="shared" ca="1" si="136"/>
        <v>55.628211116300804</v>
      </c>
      <c r="CO70" s="3480" t="str">
        <f t="shared" ref="CO70:CO90" si="189">IF(CO21="","",IF(CI21=0,"N",(CO21/CI21-1)*100))</f>
        <v/>
      </c>
      <c r="CP70" s="604"/>
      <c r="CQ70" s="598" t="str">
        <f t="shared" ref="CQ70:CQ90" si="190">IF(CQ21="","",IF(CK21=0,"N",(CQ21/CK21-1)*100))</f>
        <v/>
      </c>
      <c r="CR70" s="602" t="str">
        <f t="shared" ref="CR70:CR90" si="191">IF(CR21="","",IF(CL21=0,"N",(CR21/CL21-1)*100))</f>
        <v/>
      </c>
      <c r="CS70" s="3482" t="str">
        <f t="shared" ref="CS70:CS90" si="192">IF(CS21="","",IF(CM21=0,"N",(CS21/CM21-1)*100))</f>
        <v/>
      </c>
      <c r="CT70" s="580">
        <f t="shared" ca="1" si="42"/>
        <v>53.019207683073219</v>
      </c>
      <c r="CU70" s="3480" t="str">
        <f t="shared" ref="CU70:CU90" si="193">IF(CU21="","",IF(CO21=0,"N",(CU21/CO21-1)*100))</f>
        <v/>
      </c>
      <c r="CV70" s="604"/>
      <c r="CW70" s="598" t="str">
        <f t="shared" ref="CW70:CW90" si="194">IF(CW21="","",IF(CQ21=0,"N",(CW21/CQ21-1)*100))</f>
        <v/>
      </c>
      <c r="CX70" s="602" t="str">
        <f t="shared" ref="CX70:CX90" si="195">IF(CX21="","",IF(CR21=0,"N",(CX21/CR21-1)*100))</f>
        <v/>
      </c>
      <c r="CY70" s="3482" t="str">
        <f t="shared" ref="CY70:CY90" si="196">IF(CY21="","",IF(CS21=0,"N",(CY21/CS21-1)*100))</f>
        <v/>
      </c>
      <c r="CZ70" s="580">
        <f t="shared" ca="1" si="47"/>
        <v>12.903542148825164</v>
      </c>
      <c r="DA70" s="3480" t="str">
        <f t="shared" ref="DA70:DA90" si="197">IF(DA21="","",IF(CU21=0,"N",(DA21/CU21-1)*100))</f>
        <v/>
      </c>
      <c r="DB70" s="604"/>
      <c r="DC70" s="598" t="str">
        <f t="shared" ref="DC70:DC90" si="198">IF(DC21="","",IF(CW21=0,"N",(DC21/CW21-1)*100))</f>
        <v/>
      </c>
      <c r="DD70" s="602" t="str">
        <f t="shared" ref="DD70:DD90" si="199">IF(DD21="","",IF(CX21=0,"N",(DD21/CX21-1)*100))</f>
        <v/>
      </c>
      <c r="DE70" s="3482" t="str">
        <f t="shared" ref="DE70:DE90" si="200">IF(DE21="","",IF(CY21=0,"N",(DE21/CY21-1)*100))</f>
        <v/>
      </c>
      <c r="DF70" s="580">
        <f t="shared" ca="1" si="52"/>
        <v>14.404586120038232</v>
      </c>
      <c r="DG70" s="3480" t="str">
        <f t="shared" ref="DG70:DG90" si="201">IF(DG21="","",IF(DA21=0,"N",(DG21/DA21-1)*100))</f>
        <v/>
      </c>
      <c r="DH70" s="604"/>
      <c r="DI70" s="598" t="str">
        <f t="shared" ref="DI70:DI90" si="202">IF(DI21="","",IF(DC21=0,"N",(DI21/DC21-1)*100))</f>
        <v/>
      </c>
      <c r="DJ70" s="602" t="str">
        <f t="shared" ref="DJ70:DJ90" si="203">IF(DJ21="","",IF(DD21=0,"N",(DJ21/DD21-1)*100))</f>
        <v/>
      </c>
      <c r="DK70" s="3482" t="str">
        <f t="shared" ref="DK70:DK90" si="204">IF(DK21="","",IF(DE21=0,"N",(DK21/DE21-1)*100))</f>
        <v/>
      </c>
      <c r="DL70" s="580">
        <f t="shared" ca="1" si="57"/>
        <v>-6.6446998800431478</v>
      </c>
      <c r="DM70" s="3480" t="str">
        <f t="shared" ref="DM70:DM90" si="205">IF(DM21="","",IF(DG21=0,"N",(DM21/DG21-1)*100))</f>
        <v/>
      </c>
      <c r="DN70" s="604"/>
      <c r="DO70" s="598" t="str">
        <f t="shared" ref="DO70:DO90" si="206">IF(DO21="","",IF(DI21=0,"N",(DO21/DI21-1)*100))</f>
        <v/>
      </c>
      <c r="DP70" s="602" t="str">
        <f t="shared" ref="DP70:DP90" si="207">IF(DP21="","",IF(DJ21=0,"N",(DP21/DJ21-1)*100))</f>
        <v/>
      </c>
      <c r="DQ70" s="3482" t="str">
        <f t="shared" ref="DQ70:DQ90" si="208">IF(DQ21="","",IF(DK21=0,"N",(DQ21/DK21-1)*100))</f>
        <v/>
      </c>
      <c r="DR70" s="580">
        <f t="shared" ca="1" si="62"/>
        <v>-4.5623851271124449</v>
      </c>
      <c r="DS70" s="3480" t="str">
        <f t="shared" ref="DS70:DS90" si="209">IF(DS21="","",IF(DM21=0,"N",(DS21/DM21-1)*100))</f>
        <v/>
      </c>
      <c r="DT70" s="604"/>
      <c r="DU70" s="598" t="str">
        <f t="shared" ref="DU70:DU90" si="210">IF(DU21="","",IF(DO21=0,"N",(DU21/DO21-1)*100))</f>
        <v/>
      </c>
      <c r="DV70" s="602" t="str">
        <f t="shared" ref="DV70:DV90" si="211">IF(DV21="","",IF(DP21=0,"N",(DV21/DP21-1)*100))</f>
        <v/>
      </c>
      <c r="DW70" s="3482" t="str">
        <f t="shared" ref="DW70:DW90" si="212">IF(DW21="","",IF(DQ21=0,"N",(DW21/DQ21-1)*100))</f>
        <v/>
      </c>
      <c r="DX70" s="580">
        <f t="shared" ca="1" si="67"/>
        <v>-3.0813279705501406</v>
      </c>
      <c r="DY70" s="3480" t="str">
        <f t="shared" ref="DY70:DY90" si="213">IF(DY21="","",IF(DS21=0,"N",(DY21/DS21-1)*100))</f>
        <v/>
      </c>
      <c r="DZ70" s="604"/>
      <c r="EA70" s="598" t="str">
        <f t="shared" ref="EA70:EA90" si="214">IF(EA21="","",IF(DU21=0,"N",(EA21/DU21-1)*100))</f>
        <v/>
      </c>
      <c r="EB70" s="602" t="str">
        <f t="shared" ref="EB70:EB90" si="215">IF(EB21="","",IF(DV21=0,"N",(EB21/DV21-1)*100))</f>
        <v/>
      </c>
      <c r="EC70" s="3482" t="str">
        <f t="shared" ref="EC70:EC90" si="216">IF(EC21="","",IF(DW21=0,"N",(EC21/DW21-1)*100))</f>
        <v/>
      </c>
      <c r="ED70" s="580">
        <f t="shared" ca="1" si="72"/>
        <v>-9.1281564324400382</v>
      </c>
      <c r="EE70" s="3480" t="str">
        <f t="shared" ref="EE70:EE90" si="217">IF(EE21="","",IF(DY21=0,"N",(EE21/DY21-1)*100))</f>
        <v/>
      </c>
      <c r="EF70" s="604"/>
      <c r="EG70" s="598" t="str">
        <f t="shared" ref="EG70:EG90" si="218">IF(EG21="","",IF(EA21=0,"N",(EG21/EA21-1)*100))</f>
        <v/>
      </c>
      <c r="EH70" s="602" t="str">
        <f t="shared" ref="EH70:EH90" si="219">IF(EH21="","",IF(EB21=0,"N",(EH21/EB21-1)*100))</f>
        <v/>
      </c>
      <c r="EI70" s="3482" t="str">
        <f t="shared" ref="EI70:EI90" si="220">IF(EI21="","",IF(EC21=0,"N",(EI21/EC21-1)*100))</f>
        <v/>
      </c>
      <c r="EJ70" s="580">
        <f t="shared" ca="1" si="77"/>
        <v>-4.212705845927589</v>
      </c>
      <c r="EK70" s="3480" t="str">
        <f t="shared" ref="EK70:EK90" si="221">IF(EK21="","",IF(EE21=0,"N",(EK21/EE21-1)*100))</f>
        <v/>
      </c>
      <c r="EL70" s="604"/>
      <c r="EM70" s="598" t="str">
        <f t="shared" ref="EM70:EM90" si="222">IF(EM21="","",IF(EG21=0,"N",(EM21/EG21-1)*100))</f>
        <v/>
      </c>
      <c r="EN70" s="602" t="str">
        <f t="shared" ref="EN70:EN90" si="223">IF(EN21="","",IF(EH21=0,"N",(EN21/EH21-1)*100))</f>
        <v/>
      </c>
      <c r="EO70" s="3482" t="str">
        <f t="shared" ref="EO70:EO90" si="224">IF(EO21="","",IF(EI21=0,"N",(EO21/EI21-1)*100))</f>
        <v/>
      </c>
      <c r="EP70" s="580">
        <f t="shared" ca="1" si="82"/>
        <v>-22.222222222222211</v>
      </c>
      <c r="EQ70" s="3480" t="str">
        <f t="shared" ref="EQ70:EQ90" si="225">IF(EQ21="","",IF(EK21=0,"N",(EQ21/EK21-1)*100))</f>
        <v/>
      </c>
      <c r="ER70" s="604"/>
      <c r="ES70" s="598" t="str">
        <f t="shared" ref="ES70:ES90" si="226">IF(ES21="","",IF(EM21=0,"N",(ES21/EM21-1)*100))</f>
        <v/>
      </c>
      <c r="ET70" s="602" t="str">
        <f t="shared" ref="ET70:ET90" si="227">IF(ET21="","",IF(EN21=0,"N",(ET21/EN21-1)*100))</f>
        <v/>
      </c>
      <c r="EU70" s="3482" t="str">
        <f t="shared" ref="EU70:EU90" si="228">IF(EU21="","",IF(EO21=0,"N",(EU21/EO21-1)*100))</f>
        <v/>
      </c>
      <c r="EV70" s="580">
        <f t="shared" ca="1" si="87"/>
        <v>4.1558441558441572</v>
      </c>
      <c r="EW70" s="3480" t="str">
        <f t="shared" ref="EW70:EW90" si="229">IF(EW21="","",IF(EQ21=0,"N",(EW21/EQ21-1)*100))</f>
        <v/>
      </c>
      <c r="EX70" s="604"/>
    </row>
    <row r="71" spans="2:154">
      <c r="B71" s="600" t="s">
        <v>1769</v>
      </c>
      <c r="C71" s="3777" t="s">
        <v>1491</v>
      </c>
      <c r="D71" s="3778"/>
      <c r="E71" s="3455"/>
      <c r="F71" s="3455"/>
      <c r="G71" s="3455"/>
      <c r="H71" s="3455"/>
      <c r="I71" s="3455"/>
      <c r="J71" s="604"/>
      <c r="K71" s="3455">
        <f t="shared" ca="1" si="137"/>
        <v>24.02119896998185</v>
      </c>
      <c r="L71" s="3455">
        <f t="shared" ca="1" si="137"/>
        <v>24.579471271473309</v>
      </c>
      <c r="M71" s="3455">
        <f t="shared" ca="1" si="137"/>
        <v>33.922519599432512</v>
      </c>
      <c r="N71" s="3455">
        <f t="shared" ca="1" si="137"/>
        <v>11.842575433989566</v>
      </c>
      <c r="O71" s="3455" t="str">
        <f t="shared" si="137"/>
        <v/>
      </c>
      <c r="P71" s="604"/>
      <c r="Q71" s="3455">
        <f t="shared" ca="1" si="138"/>
        <v>19.650004993092928</v>
      </c>
      <c r="R71" s="3455">
        <f t="shared" ca="1" si="139"/>
        <v>20.289536654664907</v>
      </c>
      <c r="S71" s="3455">
        <f t="shared" ca="1" si="140"/>
        <v>-0.12938333618728315</v>
      </c>
      <c r="T71" s="3455">
        <f t="shared" ca="1" si="124"/>
        <v>39.6424644099028</v>
      </c>
      <c r="U71" s="3455" t="str">
        <f t="shared" si="141"/>
        <v/>
      </c>
      <c r="V71" s="604"/>
      <c r="W71" s="3455">
        <f t="shared" ca="1" si="142"/>
        <v>10.679525555345926</v>
      </c>
      <c r="X71" s="3455">
        <f t="shared" ca="1" si="143"/>
        <v>15.72202480057654</v>
      </c>
      <c r="Y71" s="3455">
        <f t="shared" ca="1" si="144"/>
        <v>-16.539338401061876</v>
      </c>
      <c r="Z71" s="3455">
        <f t="shared" ca="1" si="125"/>
        <v>11.891434591522909</v>
      </c>
      <c r="AA71" s="3455" t="str">
        <f t="shared" si="145"/>
        <v/>
      </c>
      <c r="AB71" s="604"/>
      <c r="AC71" s="3455">
        <f t="shared" ca="1" si="146"/>
        <v>-2.5245312897661298</v>
      </c>
      <c r="AD71" s="3455">
        <f t="shared" ca="1" si="147"/>
        <v>-0.67085125526920031</v>
      </c>
      <c r="AE71" s="3455">
        <f t="shared" ca="1" si="148"/>
        <v>-13.30665104281592</v>
      </c>
      <c r="AF71" s="3455">
        <f t="shared" ca="1" si="126"/>
        <v>-3.9958914076208663</v>
      </c>
      <c r="AG71" s="3455" t="str">
        <f t="shared" si="149"/>
        <v/>
      </c>
      <c r="AH71" s="604"/>
      <c r="AI71" s="3455">
        <f t="shared" ca="1" si="150"/>
        <v>5.7942879890791277</v>
      </c>
      <c r="AJ71" s="3455">
        <f t="shared" ca="1" si="151"/>
        <v>8.1022066660468859</v>
      </c>
      <c r="AK71" s="3455">
        <f t="shared" ca="1" si="152"/>
        <v>2.5979725281959354</v>
      </c>
      <c r="AL71" s="3455">
        <f t="shared" ca="1" si="127"/>
        <v>-2.9773934062450214</v>
      </c>
      <c r="AM71" s="3455" t="str">
        <f t="shared" si="153"/>
        <v/>
      </c>
      <c r="AN71" s="604"/>
      <c r="AO71" s="3455">
        <f t="shared" ca="1" si="154"/>
        <v>6.6623909228294087</v>
      </c>
      <c r="AP71" s="3455">
        <f t="shared" ca="1" si="155"/>
        <v>2.5955442673439633</v>
      </c>
      <c r="AQ71" s="3455">
        <f t="shared" ca="1" si="156"/>
        <v>44.242268702681798</v>
      </c>
      <c r="AR71" s="3455">
        <f t="shared" ca="1" si="128"/>
        <v>4.9990555297456662</v>
      </c>
      <c r="AS71" s="3455" t="str">
        <f t="shared" si="157"/>
        <v/>
      </c>
      <c r="AT71" s="604"/>
      <c r="AU71" s="3455">
        <f t="shared" ca="1" si="158"/>
        <v>7.4162785349975779</v>
      </c>
      <c r="AV71" s="3455">
        <f t="shared" ca="1" si="159"/>
        <v>7.7695593737725721</v>
      </c>
      <c r="AW71" s="3455">
        <f t="shared" ca="1" si="160"/>
        <v>7.226057457357804</v>
      </c>
      <c r="AX71" s="3455">
        <f t="shared" ca="1" si="129"/>
        <v>5.8098206341257397</v>
      </c>
      <c r="AY71" s="3455" t="str">
        <f t="shared" si="161"/>
        <v/>
      </c>
      <c r="AZ71" s="604"/>
      <c r="BA71" s="3455">
        <f t="shared" ca="1" si="162"/>
        <v>8.071745599502167</v>
      </c>
      <c r="BB71" s="3455">
        <f t="shared" ca="1" si="163"/>
        <v>6.5373769821674976</v>
      </c>
      <c r="BC71" s="3455">
        <f t="shared" ca="1" si="164"/>
        <v>24.068563463793492</v>
      </c>
      <c r="BD71" s="3455">
        <f t="shared" ca="1" si="130"/>
        <v>2.5779117536232965</v>
      </c>
      <c r="BE71" s="3455" t="str">
        <f t="shared" si="165"/>
        <v/>
      </c>
      <c r="BF71" s="604"/>
      <c r="BG71" s="3455">
        <f t="shared" ca="1" si="166"/>
        <v>10.009295263967633</v>
      </c>
      <c r="BH71" s="3455">
        <f t="shared" ca="1" si="167"/>
        <v>16.687407684080036</v>
      </c>
      <c r="BI71" s="3455">
        <f t="shared" ca="1" si="168"/>
        <v>-22.0867456344095</v>
      </c>
      <c r="BJ71" s="3455">
        <f t="shared" ca="1" si="131"/>
        <v>7.019280735391642</v>
      </c>
      <c r="BK71" s="3455" t="str">
        <f t="shared" si="169"/>
        <v/>
      </c>
      <c r="BL71" s="604"/>
      <c r="BM71" s="3455">
        <f t="shared" ca="1" si="170"/>
        <v>15.875043198271399</v>
      </c>
      <c r="BN71" s="3455">
        <f t="shared" ca="1" si="171"/>
        <v>9.0007936848583761</v>
      </c>
      <c r="BO71" s="3455">
        <f t="shared" ca="1" si="172"/>
        <v>70.477432939668788</v>
      </c>
      <c r="BP71" s="3455">
        <f t="shared" ca="1" si="132"/>
        <v>15.484078912669407</v>
      </c>
      <c r="BQ71" s="3455" t="str">
        <f t="shared" si="173"/>
        <v/>
      </c>
      <c r="BR71" s="604"/>
      <c r="BS71" s="3455">
        <f t="shared" ca="1" si="174"/>
        <v>13.986170912007513</v>
      </c>
      <c r="BT71" s="3455">
        <f t="shared" ca="1" si="175"/>
        <v>16.854476262175268</v>
      </c>
      <c r="BU71" s="3455">
        <f t="shared" ca="1" si="176"/>
        <v>-0.63200644425065455</v>
      </c>
      <c r="BV71" s="3455">
        <f t="shared" ca="1" si="133"/>
        <v>14.195253146204267</v>
      </c>
      <c r="BW71" s="3455" t="str">
        <f t="shared" si="177"/>
        <v/>
      </c>
      <c r="BX71" s="604"/>
      <c r="BY71" s="3455">
        <f t="shared" ca="1" si="178"/>
        <v>18.321959348323368</v>
      </c>
      <c r="BZ71" s="3455">
        <f t="shared" ca="1" si="179"/>
        <v>7.6737673635999704</v>
      </c>
      <c r="CA71" s="3455">
        <f t="shared" ca="1" si="180"/>
        <v>78.493668448981268</v>
      </c>
      <c r="CB71" s="3455">
        <f t="shared" ca="1" si="134"/>
        <v>20.954067754109662</v>
      </c>
      <c r="CC71" s="3455" t="str">
        <f t="shared" si="181"/>
        <v/>
      </c>
      <c r="CD71" s="604"/>
      <c r="CE71" s="3455">
        <f t="shared" ca="1" si="182"/>
        <v>13.003841518745297</v>
      </c>
      <c r="CF71" s="3455">
        <f t="shared" ca="1" si="183"/>
        <v>14.794098083086427</v>
      </c>
      <c r="CG71" s="3455">
        <f t="shared" ca="1" si="184"/>
        <v>5.3555444958112375</v>
      </c>
      <c r="CH71" s="3455">
        <f t="shared" ca="1" si="135"/>
        <v>14.753311097523557</v>
      </c>
      <c r="CI71" s="3455" t="str">
        <f t="shared" si="185"/>
        <v/>
      </c>
      <c r="CJ71" s="604"/>
      <c r="CK71" s="3455">
        <f t="shared" ca="1" si="186"/>
        <v>-13.1212893624432</v>
      </c>
      <c r="CL71" s="3455">
        <f t="shared" ca="1" si="187"/>
        <v>-14.042249987177236</v>
      </c>
      <c r="CM71" s="3455">
        <f t="shared" ca="1" si="188"/>
        <v>-5.8955282858908165</v>
      </c>
      <c r="CN71" s="3455">
        <f t="shared" ca="1" si="136"/>
        <v>-17.763162408212473</v>
      </c>
      <c r="CO71" s="3455" t="str">
        <f t="shared" si="189"/>
        <v/>
      </c>
      <c r="CP71" s="604"/>
      <c r="CQ71" s="3455">
        <f t="shared" ca="1" si="190"/>
        <v>0.24779864128054996</v>
      </c>
      <c r="CR71" s="3455">
        <f t="shared" ca="1" si="191"/>
        <v>0.64723248978080239</v>
      </c>
      <c r="CS71" s="3455">
        <f t="shared" ca="1" si="192"/>
        <v>-2.5877947247773148</v>
      </c>
      <c r="CT71" s="3455">
        <f t="shared" ca="1" si="42"/>
        <v>2.3127768616644229</v>
      </c>
      <c r="CU71" s="3455" t="str">
        <f t="shared" si="193"/>
        <v/>
      </c>
      <c r="CV71" s="604"/>
      <c r="CW71" s="3455">
        <f t="shared" ca="1" si="194"/>
        <v>9.5315534042353498</v>
      </c>
      <c r="CX71" s="3455">
        <f t="shared" ca="1" si="195"/>
        <v>8.1148104865329316</v>
      </c>
      <c r="CY71" s="3455">
        <f t="shared" ca="1" si="196"/>
        <v>15.482509507938659</v>
      </c>
      <c r="CZ71" s="3455">
        <f t="shared" ca="1" si="47"/>
        <v>8.4861712074101767</v>
      </c>
      <c r="DA71" s="3455" t="str">
        <f t="shared" si="197"/>
        <v/>
      </c>
      <c r="DB71" s="604"/>
      <c r="DC71" s="3455">
        <f t="shared" ca="1" si="198"/>
        <v>7.3521689630335008</v>
      </c>
      <c r="DD71" s="3455">
        <f t="shared" ca="1" si="199"/>
        <v>5.602215987657333</v>
      </c>
      <c r="DE71" s="3455">
        <f t="shared" ca="1" si="200"/>
        <v>15.812209440428848</v>
      </c>
      <c r="DF71" s="3455">
        <f t="shared" ca="1" si="52"/>
        <v>3.7346768516175244</v>
      </c>
      <c r="DG71" s="3455" t="str">
        <f t="shared" si="201"/>
        <v/>
      </c>
      <c r="DH71" s="604"/>
      <c r="DI71" s="3455">
        <f t="shared" ca="1" si="202"/>
        <v>5.2799258927392678</v>
      </c>
      <c r="DJ71" s="3455">
        <f t="shared" ca="1" si="203"/>
        <v>4.2135592316426163</v>
      </c>
      <c r="DK71" s="3455">
        <f t="shared" ca="1" si="204"/>
        <v>9.9325494378631021</v>
      </c>
      <c r="DL71" s="3455">
        <f t="shared" ca="1" si="57"/>
        <v>3.115264045133781</v>
      </c>
      <c r="DM71" s="3455" t="str">
        <f t="shared" si="205"/>
        <v/>
      </c>
      <c r="DN71" s="604"/>
      <c r="DO71" s="3455">
        <f t="shared" ca="1" si="206"/>
        <v>6.0015342161929164</v>
      </c>
      <c r="DP71" s="3455">
        <f t="shared" ca="1" si="207"/>
        <v>2.6626499101302326</v>
      </c>
      <c r="DQ71" s="3455">
        <f t="shared" ca="1" si="208"/>
        <v>15.051487864003278</v>
      </c>
      <c r="DR71" s="3455">
        <f t="shared" ca="1" si="62"/>
        <v>7.5171504390371791</v>
      </c>
      <c r="DS71" s="3455" t="str">
        <f t="shared" si="209"/>
        <v/>
      </c>
      <c r="DT71" s="604"/>
      <c r="DU71" s="3455">
        <f t="shared" ca="1" si="210"/>
        <v>-0.52871044853527449</v>
      </c>
      <c r="DV71" s="3455">
        <f t="shared" ca="1" si="211"/>
        <v>5.2914691539027725</v>
      </c>
      <c r="DW71" s="3455">
        <f t="shared" ca="1" si="212"/>
        <v>-19.574244798815688</v>
      </c>
      <c r="DX71" s="3455">
        <f t="shared" ca="1" si="67"/>
        <v>6.2931868285074799</v>
      </c>
      <c r="DY71" s="3455" t="str">
        <f t="shared" si="213"/>
        <v/>
      </c>
      <c r="DZ71" s="604"/>
      <c r="EA71" s="3455">
        <f t="shared" ca="1" si="214"/>
        <v>3.4555387972754037</v>
      </c>
      <c r="EB71" s="3455">
        <f t="shared" ca="1" si="215"/>
        <v>6.2322726181666122</v>
      </c>
      <c r="EC71" s="3455">
        <f t="shared" ca="1" si="216"/>
        <v>-8.1443010919942651</v>
      </c>
      <c r="ED71" s="3455">
        <f t="shared" ca="1" si="72"/>
        <v>6.2585435534214362</v>
      </c>
      <c r="EE71" s="3455" t="str">
        <f t="shared" si="217"/>
        <v/>
      </c>
      <c r="EF71" s="604"/>
      <c r="EG71" s="3455">
        <f t="shared" ca="1" si="218"/>
        <v>8.6076943124032024</v>
      </c>
      <c r="EH71" s="3455">
        <f t="shared" ca="1" si="219"/>
        <v>7.1686507137604938</v>
      </c>
      <c r="EI71" s="3455">
        <f t="shared" ca="1" si="220"/>
        <v>13.694283434047616</v>
      </c>
      <c r="EJ71" s="3455">
        <f t="shared" ca="1" si="77"/>
        <v>9.4506620325991886</v>
      </c>
      <c r="EK71" s="3455" t="str">
        <f t="shared" si="221"/>
        <v/>
      </c>
      <c r="EL71" s="604"/>
      <c r="EM71" s="3455">
        <f t="shared" ca="1" si="222"/>
        <v>5.7616120018395334</v>
      </c>
      <c r="EN71" s="3455">
        <f t="shared" ca="1" si="223"/>
        <v>4.7564406281384919</v>
      </c>
      <c r="EO71" s="3455">
        <f t="shared" ca="1" si="224"/>
        <v>7.6478504982178563</v>
      </c>
      <c r="EP71" s="3455">
        <f t="shared" ca="1" si="82"/>
        <v>8.2073133187321226</v>
      </c>
      <c r="EQ71" s="3455" t="str">
        <f t="shared" si="225"/>
        <v/>
      </c>
      <c r="ER71" s="604"/>
      <c r="ES71" s="3455">
        <f t="shared" ca="1" si="226"/>
        <v>5.7044441220774011</v>
      </c>
      <c r="ET71" s="3455">
        <f t="shared" ca="1" si="227"/>
        <v>5.2008926752777906</v>
      </c>
      <c r="EU71" s="3455">
        <f t="shared" ca="1" si="228"/>
        <v>8.238530734747096</v>
      </c>
      <c r="EV71" s="3455">
        <f t="shared" ca="1" si="87"/>
        <v>4.8382042699019356</v>
      </c>
      <c r="EW71" s="3455" t="str">
        <f t="shared" si="229"/>
        <v/>
      </c>
      <c r="EX71" s="604"/>
    </row>
    <row r="72" spans="2:154" s="599" customFormat="1" ht="13.5" thickBot="1">
      <c r="B72" s="600" t="s">
        <v>1767</v>
      </c>
      <c r="C72" s="3779" t="s">
        <v>614</v>
      </c>
      <c r="D72" s="3780"/>
      <c r="E72" s="601"/>
      <c r="F72" s="602"/>
      <c r="G72" s="602"/>
      <c r="H72" s="603"/>
      <c r="I72" s="603"/>
      <c r="J72" s="604"/>
      <c r="K72" s="601">
        <f t="shared" ca="1" si="137"/>
        <v>19.081829600808796</v>
      </c>
      <c r="L72" s="602" t="str">
        <f t="shared" si="137"/>
        <v/>
      </c>
      <c r="M72" s="602" t="str">
        <f t="shared" si="137"/>
        <v/>
      </c>
      <c r="N72" s="603">
        <f t="shared" ca="1" si="137"/>
        <v>19.081829600808796</v>
      </c>
      <c r="O72" s="603" t="str">
        <f t="shared" si="137"/>
        <v/>
      </c>
      <c r="P72" s="604"/>
      <c r="Q72" s="601">
        <f t="shared" ca="1" si="138"/>
        <v>31.87846512046719</v>
      </c>
      <c r="R72" s="602" t="str">
        <f t="shared" si="139"/>
        <v/>
      </c>
      <c r="S72" s="602" t="str">
        <f t="shared" si="140"/>
        <v/>
      </c>
      <c r="T72" s="603">
        <f t="shared" ca="1" si="124"/>
        <v>31.87846512046719</v>
      </c>
      <c r="U72" s="603" t="str">
        <f t="shared" si="141"/>
        <v/>
      </c>
      <c r="V72" s="604"/>
      <c r="W72" s="601">
        <f t="shared" ca="1" si="142"/>
        <v>14.161001160737818</v>
      </c>
      <c r="X72" s="602" t="str">
        <f t="shared" si="143"/>
        <v/>
      </c>
      <c r="Y72" s="602" t="str">
        <f t="shared" si="144"/>
        <v/>
      </c>
      <c r="Z72" s="603">
        <f t="shared" ca="1" si="125"/>
        <v>14.161001160737818</v>
      </c>
      <c r="AA72" s="603" t="str">
        <f t="shared" si="145"/>
        <v/>
      </c>
      <c r="AB72" s="604"/>
      <c r="AC72" s="601">
        <f t="shared" ca="1" si="146"/>
        <v>-0.92106050120047689</v>
      </c>
      <c r="AD72" s="602" t="str">
        <f t="shared" si="147"/>
        <v/>
      </c>
      <c r="AE72" s="602" t="str">
        <f t="shared" si="148"/>
        <v/>
      </c>
      <c r="AF72" s="603">
        <f t="shared" ca="1" si="126"/>
        <v>-0.92106050120047689</v>
      </c>
      <c r="AG72" s="603" t="str">
        <f t="shared" si="149"/>
        <v/>
      </c>
      <c r="AH72" s="604"/>
      <c r="AI72" s="601">
        <f t="shared" ca="1" si="150"/>
        <v>-3.5451574236165406</v>
      </c>
      <c r="AJ72" s="602" t="str">
        <f t="shared" si="151"/>
        <v/>
      </c>
      <c r="AK72" s="602" t="str">
        <f t="shared" si="152"/>
        <v/>
      </c>
      <c r="AL72" s="603">
        <f t="shared" ca="1" si="127"/>
        <v>-3.5451574236165406</v>
      </c>
      <c r="AM72" s="603" t="str">
        <f t="shared" si="153"/>
        <v/>
      </c>
      <c r="AN72" s="604"/>
      <c r="AO72" s="601">
        <f t="shared" ca="1" si="154"/>
        <v>-1.5225748770675063</v>
      </c>
      <c r="AP72" s="602" t="str">
        <f t="shared" si="155"/>
        <v/>
      </c>
      <c r="AQ72" s="602" t="str">
        <f t="shared" si="156"/>
        <v/>
      </c>
      <c r="AR72" s="603">
        <f t="shared" ca="1" si="128"/>
        <v>-1.5225748770675063</v>
      </c>
      <c r="AS72" s="603" t="str">
        <f t="shared" si="157"/>
        <v/>
      </c>
      <c r="AT72" s="604"/>
      <c r="AU72" s="601">
        <f t="shared" ca="1" si="158"/>
        <v>2.4222175819586633</v>
      </c>
      <c r="AV72" s="602" t="str">
        <f t="shared" si="159"/>
        <v/>
      </c>
      <c r="AW72" s="602" t="str">
        <f t="shared" si="160"/>
        <v/>
      </c>
      <c r="AX72" s="603">
        <f t="shared" ca="1" si="129"/>
        <v>2.4222175819586633</v>
      </c>
      <c r="AY72" s="603" t="str">
        <f t="shared" si="161"/>
        <v/>
      </c>
      <c r="AZ72" s="604"/>
      <c r="BA72" s="601">
        <f t="shared" ca="1" si="162"/>
        <v>16.45259938837922</v>
      </c>
      <c r="BB72" s="602" t="str">
        <f t="shared" si="163"/>
        <v/>
      </c>
      <c r="BC72" s="602" t="str">
        <f t="shared" si="164"/>
        <v/>
      </c>
      <c r="BD72" s="603">
        <f t="shared" ca="1" si="130"/>
        <v>16.45259938837922</v>
      </c>
      <c r="BE72" s="603" t="str">
        <f t="shared" si="165"/>
        <v/>
      </c>
      <c r="BF72" s="604"/>
      <c r="BG72" s="601">
        <f t="shared" ca="1" si="166"/>
        <v>20.187096577761544</v>
      </c>
      <c r="BH72" s="602" t="str">
        <f t="shared" si="167"/>
        <v/>
      </c>
      <c r="BI72" s="602" t="str">
        <f t="shared" si="168"/>
        <v/>
      </c>
      <c r="BJ72" s="603">
        <f t="shared" ca="1" si="131"/>
        <v>20.187096577761544</v>
      </c>
      <c r="BK72" s="603" t="str">
        <f t="shared" si="169"/>
        <v/>
      </c>
      <c r="BL72" s="604"/>
      <c r="BM72" s="601">
        <f t="shared" ca="1" si="170"/>
        <v>18.96869478204146</v>
      </c>
      <c r="BN72" s="602" t="str">
        <f t="shared" si="171"/>
        <v/>
      </c>
      <c r="BO72" s="602" t="str">
        <f t="shared" si="172"/>
        <v/>
      </c>
      <c r="BP72" s="603">
        <f t="shared" ca="1" si="132"/>
        <v>18.96869478204146</v>
      </c>
      <c r="BQ72" s="603" t="str">
        <f t="shared" si="173"/>
        <v/>
      </c>
      <c r="BR72" s="604"/>
      <c r="BS72" s="601">
        <f t="shared" ca="1" si="174"/>
        <v>22.41120480388399</v>
      </c>
      <c r="BT72" s="602" t="str">
        <f t="shared" si="175"/>
        <v/>
      </c>
      <c r="BU72" s="602" t="str">
        <f t="shared" si="176"/>
        <v/>
      </c>
      <c r="BV72" s="603">
        <f t="shared" ca="1" si="133"/>
        <v>22.41120480388399</v>
      </c>
      <c r="BW72" s="603" t="str">
        <f t="shared" si="177"/>
        <v/>
      </c>
      <c r="BX72" s="604"/>
      <c r="BY72" s="601">
        <f t="shared" ca="1" si="178"/>
        <v>14.534653637577355</v>
      </c>
      <c r="BZ72" s="602" t="str">
        <f t="shared" si="179"/>
        <v/>
      </c>
      <c r="CA72" s="602" t="str">
        <f t="shared" si="180"/>
        <v/>
      </c>
      <c r="CB72" s="603">
        <f t="shared" ca="1" si="134"/>
        <v>14.534653637577355</v>
      </c>
      <c r="CC72" s="603" t="str">
        <f t="shared" si="181"/>
        <v/>
      </c>
      <c r="CD72" s="604"/>
      <c r="CE72" s="601">
        <f t="shared" ca="1" si="182"/>
        <v>14.538916880878162</v>
      </c>
      <c r="CF72" s="602" t="str">
        <f t="shared" si="183"/>
        <v/>
      </c>
      <c r="CG72" s="602" t="str">
        <f t="shared" si="184"/>
        <v/>
      </c>
      <c r="CH72" s="603">
        <f t="shared" ca="1" si="135"/>
        <v>14.538916880878162</v>
      </c>
      <c r="CI72" s="603" t="str">
        <f t="shared" si="185"/>
        <v/>
      </c>
      <c r="CJ72" s="604"/>
      <c r="CK72" s="601">
        <f t="shared" ca="1" si="186"/>
        <v>-47.016177153086261</v>
      </c>
      <c r="CL72" s="602" t="str">
        <f t="shared" si="187"/>
        <v/>
      </c>
      <c r="CM72" s="602" t="str">
        <f t="shared" si="188"/>
        <v/>
      </c>
      <c r="CN72" s="603">
        <f t="shared" ca="1" si="136"/>
        <v>-47.016177153086261</v>
      </c>
      <c r="CO72" s="603" t="str">
        <f t="shared" si="189"/>
        <v/>
      </c>
      <c r="CP72" s="604"/>
      <c r="CQ72" s="601">
        <f t="shared" ca="1" si="190"/>
        <v>-19.036357152242054</v>
      </c>
      <c r="CR72" s="602" t="str">
        <f t="shared" si="191"/>
        <v/>
      </c>
      <c r="CS72" s="602" t="str">
        <f t="shared" si="192"/>
        <v/>
      </c>
      <c r="CT72" s="603">
        <f t="shared" ca="1" si="42"/>
        <v>-19.036357152242054</v>
      </c>
      <c r="CU72" s="603" t="str">
        <f t="shared" si="193"/>
        <v/>
      </c>
      <c r="CV72" s="604"/>
      <c r="CW72" s="601">
        <f t="shared" ca="1" si="194"/>
        <v>5.0253081411073763</v>
      </c>
      <c r="CX72" s="602" t="str">
        <f t="shared" si="195"/>
        <v/>
      </c>
      <c r="CY72" s="602" t="str">
        <f t="shared" si="196"/>
        <v/>
      </c>
      <c r="CZ72" s="603">
        <f t="shared" ca="1" si="47"/>
        <v>5.0253081411073763</v>
      </c>
      <c r="DA72" s="603" t="str">
        <f t="shared" si="197"/>
        <v/>
      </c>
      <c r="DB72" s="604"/>
      <c r="DC72" s="601">
        <f t="shared" ca="1" si="198"/>
        <v>18.282220325514341</v>
      </c>
      <c r="DD72" s="602" t="str">
        <f t="shared" si="199"/>
        <v/>
      </c>
      <c r="DE72" s="602" t="str">
        <f t="shared" si="200"/>
        <v/>
      </c>
      <c r="DF72" s="603">
        <f t="shared" ca="1" si="52"/>
        <v>18.282220325514341</v>
      </c>
      <c r="DG72" s="603" t="str">
        <f t="shared" si="201"/>
        <v/>
      </c>
      <c r="DH72" s="604"/>
      <c r="DI72" s="601">
        <f t="shared" ca="1" si="202"/>
        <v>8.0022394326770616</v>
      </c>
      <c r="DJ72" s="602" t="str">
        <f t="shared" si="203"/>
        <v/>
      </c>
      <c r="DK72" s="602" t="str">
        <f t="shared" si="204"/>
        <v/>
      </c>
      <c r="DL72" s="603">
        <f t="shared" ca="1" si="57"/>
        <v>8.0022394326770616</v>
      </c>
      <c r="DM72" s="603" t="str">
        <f t="shared" si="205"/>
        <v/>
      </c>
      <c r="DN72" s="604"/>
      <c r="DO72" s="601">
        <f t="shared" ca="1" si="206"/>
        <v>5.7908408641911269</v>
      </c>
      <c r="DP72" s="602" t="str">
        <f t="shared" si="207"/>
        <v/>
      </c>
      <c r="DQ72" s="602" t="str">
        <f t="shared" si="208"/>
        <v/>
      </c>
      <c r="DR72" s="603">
        <f t="shared" ca="1" si="62"/>
        <v>5.7908408641911269</v>
      </c>
      <c r="DS72" s="603" t="str">
        <f t="shared" si="209"/>
        <v/>
      </c>
      <c r="DT72" s="604"/>
      <c r="DU72" s="601">
        <f t="shared" ca="1" si="210"/>
        <v>10.64173830666455</v>
      </c>
      <c r="DV72" s="602" t="str">
        <f t="shared" si="211"/>
        <v/>
      </c>
      <c r="DW72" s="602" t="str">
        <f t="shared" si="212"/>
        <v/>
      </c>
      <c r="DX72" s="603">
        <f t="shared" ca="1" si="67"/>
        <v>10.64173830666455</v>
      </c>
      <c r="DY72" s="603" t="str">
        <f t="shared" si="213"/>
        <v/>
      </c>
      <c r="DZ72" s="604"/>
      <c r="EA72" s="601">
        <f t="shared" ca="1" si="214"/>
        <v>7.9869500391203774</v>
      </c>
      <c r="EB72" s="602" t="str">
        <f t="shared" si="215"/>
        <v/>
      </c>
      <c r="EC72" s="602" t="str">
        <f t="shared" si="216"/>
        <v/>
      </c>
      <c r="ED72" s="603">
        <f t="shared" ca="1" si="72"/>
        <v>7.9869500391203774</v>
      </c>
      <c r="EE72" s="603" t="str">
        <f t="shared" si="217"/>
        <v/>
      </c>
      <c r="EF72" s="604"/>
      <c r="EG72" s="601">
        <f t="shared" ca="1" si="218"/>
        <v>5.5073768056504768</v>
      </c>
      <c r="EH72" s="602" t="str">
        <f t="shared" si="219"/>
        <v/>
      </c>
      <c r="EI72" s="602" t="str">
        <f t="shared" si="220"/>
        <v/>
      </c>
      <c r="EJ72" s="603">
        <f t="shared" ca="1" si="77"/>
        <v>5.5073768056504768</v>
      </c>
      <c r="EK72" s="603" t="str">
        <f t="shared" si="221"/>
        <v/>
      </c>
      <c r="EL72" s="604"/>
      <c r="EM72" s="601">
        <f t="shared" ca="1" si="222"/>
        <v>3.4210166063792125</v>
      </c>
      <c r="EN72" s="602" t="str">
        <f t="shared" si="223"/>
        <v/>
      </c>
      <c r="EO72" s="602" t="str">
        <f t="shared" si="224"/>
        <v/>
      </c>
      <c r="EP72" s="603">
        <f t="shared" ca="1" si="82"/>
        <v>3.4210166063792125</v>
      </c>
      <c r="EQ72" s="603" t="str">
        <f t="shared" si="225"/>
        <v/>
      </c>
      <c r="ER72" s="604"/>
      <c r="ES72" s="601">
        <f t="shared" ca="1" si="226"/>
        <v>5.4761301046916788</v>
      </c>
      <c r="ET72" s="602" t="str">
        <f t="shared" si="227"/>
        <v/>
      </c>
      <c r="EU72" s="602" t="str">
        <f t="shared" si="228"/>
        <v/>
      </c>
      <c r="EV72" s="603">
        <f t="shared" ca="1" si="87"/>
        <v>5.4761301046916788</v>
      </c>
      <c r="EW72" s="603" t="str">
        <f t="shared" si="229"/>
        <v/>
      </c>
      <c r="EX72" s="604"/>
    </row>
    <row r="73" spans="2:154">
      <c r="B73" s="600" t="s">
        <v>1767</v>
      </c>
      <c r="C73" s="3779" t="s">
        <v>567</v>
      </c>
      <c r="D73" s="3780"/>
      <c r="E73" s="601"/>
      <c r="F73" s="603"/>
      <c r="G73" s="3481"/>
      <c r="H73" s="3479"/>
      <c r="I73" s="3478"/>
      <c r="J73" s="604"/>
      <c r="K73" s="601" t="e">
        <f t="shared" ca="1" si="137"/>
        <v>#VALUE!</v>
      </c>
      <c r="L73" s="603">
        <f t="shared" ca="1" si="137"/>
        <v>-21.42857142857142</v>
      </c>
      <c r="M73" s="3481">
        <f t="shared" ca="1" si="137"/>
        <v>-6.7567567567567766</v>
      </c>
      <c r="N73" s="3479">
        <f t="shared" ca="1" si="137"/>
        <v>33.514738419812986</v>
      </c>
      <c r="O73" s="3478" t="e">
        <f t="shared" ca="1" si="137"/>
        <v>#VALUE!</v>
      </c>
      <c r="P73" s="604"/>
      <c r="Q73" s="601">
        <f t="shared" ca="1" si="138"/>
        <v>40.907218686472731</v>
      </c>
      <c r="R73" s="603">
        <f t="shared" ca="1" si="139"/>
        <v>49.999999999999979</v>
      </c>
      <c r="S73" s="3481">
        <f t="shared" ca="1" si="140"/>
        <v>38.164251207729464</v>
      </c>
      <c r="T73" s="3479">
        <f t="shared" ca="1" si="124"/>
        <v>40.91972149090568</v>
      </c>
      <c r="U73" s="3478" t="e">
        <f t="shared" ca="1" si="141"/>
        <v>#VALUE!</v>
      </c>
      <c r="V73" s="604"/>
      <c r="W73" s="601">
        <f t="shared" ca="1" si="142"/>
        <v>23.585821915870664</v>
      </c>
      <c r="X73" s="603">
        <f t="shared" ca="1" si="143"/>
        <v>48.484848484848506</v>
      </c>
      <c r="Y73" s="3481">
        <f t="shared" ca="1" si="144"/>
        <v>23.951048951048961</v>
      </c>
      <c r="Z73" s="3479">
        <f t="shared" ca="1" si="125"/>
        <v>23.576048403922378</v>
      </c>
      <c r="AA73" s="3478" t="e">
        <f t="shared" ca="1" si="145"/>
        <v>#VALUE!</v>
      </c>
      <c r="AB73" s="604"/>
      <c r="AC73" s="601">
        <f t="shared" ca="1" si="146"/>
        <v>-1.1688945858511879</v>
      </c>
      <c r="AD73" s="603">
        <f t="shared" ca="1" si="147"/>
        <v>-28.571428571428569</v>
      </c>
      <c r="AE73" s="3481">
        <f t="shared" ca="1" si="148"/>
        <v>9.1678420310296271</v>
      </c>
      <c r="AF73" s="3479">
        <f t="shared" ca="1" si="126"/>
        <v>-1.2148327782297019</v>
      </c>
      <c r="AG73" s="3478" t="e">
        <f t="shared" ca="1" si="149"/>
        <v>#VALUE!</v>
      </c>
      <c r="AH73" s="604"/>
      <c r="AI73" s="601">
        <f t="shared" ca="1" si="150"/>
        <v>5.8827162400024724</v>
      </c>
      <c r="AJ73" s="603">
        <f t="shared" ca="1" si="151"/>
        <v>31.428571428571406</v>
      </c>
      <c r="AK73" s="3481">
        <f t="shared" ca="1" si="152"/>
        <v>-20.284237726098198</v>
      </c>
      <c r="AL73" s="3479">
        <f t="shared" ca="1" si="127"/>
        <v>6.0331098560474805</v>
      </c>
      <c r="AM73" s="3478" t="e">
        <f t="shared" ca="1" si="153"/>
        <v>#VALUE!</v>
      </c>
      <c r="AN73" s="604"/>
      <c r="AO73" s="601">
        <f t="shared" ca="1" si="154"/>
        <v>0.91795963602427921</v>
      </c>
      <c r="AP73" s="603">
        <f t="shared" ca="1" si="155"/>
        <v>-13.043478260869568</v>
      </c>
      <c r="AQ73" s="3481">
        <f t="shared" ca="1" si="156"/>
        <v>-25.445705024311181</v>
      </c>
      <c r="AR73" s="3479">
        <f t="shared" ca="1" si="128"/>
        <v>1.0418421997377081</v>
      </c>
      <c r="AS73" s="3478" t="e">
        <f t="shared" ca="1" si="157"/>
        <v>#VALUE!</v>
      </c>
      <c r="AT73" s="604"/>
      <c r="AU73" s="601">
        <f t="shared" ca="1" si="158"/>
        <v>3.3118755012246259</v>
      </c>
      <c r="AV73" s="603">
        <f t="shared" ca="1" si="159"/>
        <v>-7.4999999999999956</v>
      </c>
      <c r="AW73" s="3481">
        <f t="shared" ca="1" si="160"/>
        <v>-5.0000000000000044</v>
      </c>
      <c r="AX73" s="3479">
        <f t="shared" ca="1" si="129"/>
        <v>3.342735532336083</v>
      </c>
      <c r="AY73" s="3478" t="e">
        <f t="shared" ca="1" si="161"/>
        <v>#VALUE!</v>
      </c>
      <c r="AZ73" s="604"/>
      <c r="BA73" s="601">
        <f t="shared" ca="1" si="162"/>
        <v>7.787684884086854</v>
      </c>
      <c r="BB73" s="603">
        <f t="shared" ca="1" si="163"/>
        <v>13.513513513513509</v>
      </c>
      <c r="BC73" s="3481">
        <f t="shared" ca="1" si="164"/>
        <v>21.052631578947391</v>
      </c>
      <c r="BD73" s="3479">
        <f t="shared" ca="1" si="130"/>
        <v>7.7455252208446401</v>
      </c>
      <c r="BE73" s="3478" t="e">
        <f t="shared" ca="1" si="165"/>
        <v>#VALUE!</v>
      </c>
      <c r="BF73" s="604"/>
      <c r="BG73" s="601">
        <f t="shared" ca="1" si="166"/>
        <v>15.030071822021519</v>
      </c>
      <c r="BH73" s="603">
        <f t="shared" ca="1" si="167"/>
        <v>4.7619047619047672</v>
      </c>
      <c r="BI73" s="3481">
        <f t="shared" ca="1" si="168"/>
        <v>962.94896030245741</v>
      </c>
      <c r="BJ73" s="3479">
        <f t="shared" ca="1" si="131"/>
        <v>11.76738734045324</v>
      </c>
      <c r="BK73" s="3478" t="e">
        <f t="shared" ca="1" si="169"/>
        <v>#VALUE!</v>
      </c>
      <c r="BL73" s="604"/>
      <c r="BM73" s="601">
        <f t="shared" ca="1" si="170"/>
        <v>18.815321184227596</v>
      </c>
      <c r="BN73" s="603">
        <f t="shared" ca="1" si="171"/>
        <v>27.27272727272727</v>
      </c>
      <c r="BO73" s="3481">
        <f t="shared" ca="1" si="172"/>
        <v>219.9893295393918</v>
      </c>
      <c r="BP73" s="3479">
        <f t="shared" ca="1" si="132"/>
        <v>12.222222222222246</v>
      </c>
      <c r="BQ73" s="3478" t="e">
        <f t="shared" ca="1" si="173"/>
        <v>#VALUE!</v>
      </c>
      <c r="BR73" s="604"/>
      <c r="BS73" s="601">
        <f t="shared" ca="1" si="174"/>
        <v>20.411001822877097</v>
      </c>
      <c r="BT73" s="603">
        <f t="shared" ca="1" si="175"/>
        <v>21.42857142857142</v>
      </c>
      <c r="BU73" s="3481">
        <f t="shared" ca="1" si="176"/>
        <v>47.824153837603504</v>
      </c>
      <c r="BV73" s="3479">
        <f t="shared" ca="1" si="133"/>
        <v>17.849818542420557</v>
      </c>
      <c r="BW73" s="3478" t="e">
        <f t="shared" ca="1" si="177"/>
        <v>#VALUE!</v>
      </c>
      <c r="BX73" s="604"/>
      <c r="BY73" s="601">
        <f t="shared" ca="1" si="178"/>
        <v>23.310585721438358</v>
      </c>
      <c r="BZ73" s="603">
        <f t="shared" ca="1" si="179"/>
        <v>25</v>
      </c>
      <c r="CA73" s="3481">
        <f t="shared" ca="1" si="180"/>
        <v>46.695240243627346</v>
      </c>
      <c r="CB73" s="3479">
        <f t="shared" ca="1" si="134"/>
        <v>20.569900478882055</v>
      </c>
      <c r="CC73" s="3478" t="e">
        <f t="shared" ca="1" si="181"/>
        <v>#VALUE!</v>
      </c>
      <c r="CD73" s="604"/>
      <c r="CE73" s="601">
        <f t="shared" ca="1" si="182"/>
        <v>18.38059217151935</v>
      </c>
      <c r="CF73" s="603">
        <f t="shared" ca="1" si="183"/>
        <v>2.3529411764706021</v>
      </c>
      <c r="CG73" s="3481">
        <f t="shared" ca="1" si="184"/>
        <v>21.836075657388875</v>
      </c>
      <c r="CH73" s="3479">
        <f t="shared" ca="1" si="135"/>
        <v>17.89292526253481</v>
      </c>
      <c r="CI73" s="3478" t="e">
        <f t="shared" ca="1" si="185"/>
        <v>#VALUE!</v>
      </c>
      <c r="CJ73" s="604"/>
      <c r="CK73" s="601">
        <f t="shared" ca="1" si="186"/>
        <v>1.8032689482326614</v>
      </c>
      <c r="CL73" s="603">
        <f t="shared" ca="1" si="187"/>
        <v>-6.8965517241379342</v>
      </c>
      <c r="CM73" s="3481">
        <f t="shared" ca="1" si="188"/>
        <v>-47.967941436324622</v>
      </c>
      <c r="CN73" s="3479">
        <f t="shared" ca="1" si="136"/>
        <v>9.1387801529225534</v>
      </c>
      <c r="CO73" s="3478">
        <f t="shared" ca="1" si="189"/>
        <v>-42.105263157894733</v>
      </c>
      <c r="CP73" s="604"/>
      <c r="CQ73" s="601">
        <f t="shared" ca="1" si="190"/>
        <v>-4.1493676863448403</v>
      </c>
      <c r="CR73" s="603">
        <f t="shared" ca="1" si="191"/>
        <v>-3.703703703703709</v>
      </c>
      <c r="CS73" s="3481">
        <f t="shared" ca="1" si="192"/>
        <v>-13.555690317364066</v>
      </c>
      <c r="CT73" s="3479">
        <f t="shared" ca="1" si="42"/>
        <v>-3.4887386300062828</v>
      </c>
      <c r="CU73" s="3478">
        <f t="shared" ca="1" si="193"/>
        <v>190.90909090909091</v>
      </c>
      <c r="CV73" s="604"/>
      <c r="CW73" s="601">
        <f t="shared" ca="1" si="194"/>
        <v>6.1376996911222559</v>
      </c>
      <c r="CX73" s="603">
        <f t="shared" ca="1" si="195"/>
        <v>11.538461538461565</v>
      </c>
      <c r="CY73" s="3481">
        <f t="shared" ca="1" si="196"/>
        <v>17.19203068001125</v>
      </c>
      <c r="CZ73" s="3479">
        <f t="shared" ca="1" si="47"/>
        <v>5.4409618417645467</v>
      </c>
      <c r="DA73" s="3478">
        <f t="shared" ca="1" si="197"/>
        <v>-18.75</v>
      </c>
      <c r="DB73" s="604"/>
      <c r="DC73" s="601">
        <f t="shared" ca="1" si="198"/>
        <v>2.6838147093490194</v>
      </c>
      <c r="DD73" s="603">
        <f t="shared" ca="1" si="199"/>
        <v>-2.298850574712652</v>
      </c>
      <c r="DE73" s="3481">
        <f t="shared" ca="1" si="200"/>
        <v>-15.623752893287579</v>
      </c>
      <c r="DF73" s="3479">
        <f t="shared" ca="1" si="52"/>
        <v>3.9652396194664874</v>
      </c>
      <c r="DG73" s="3478">
        <f t="shared" ca="1" si="201"/>
        <v>-96.15384615384616</v>
      </c>
      <c r="DH73" s="604"/>
      <c r="DI73" s="601">
        <f t="shared" ca="1" si="202"/>
        <v>6.251777660395752</v>
      </c>
      <c r="DJ73" s="603">
        <f t="shared" ca="1" si="203"/>
        <v>3.529411764705892</v>
      </c>
      <c r="DK73" s="3481">
        <f t="shared" ca="1" si="204"/>
        <v>37.307856027999819</v>
      </c>
      <c r="DL73" s="3479">
        <f t="shared" ca="1" si="57"/>
        <v>4.4898912354917941</v>
      </c>
      <c r="DM73" s="3478">
        <f t="shared" ca="1" si="205"/>
        <v>200</v>
      </c>
      <c r="DN73" s="604"/>
      <c r="DO73" s="601">
        <f t="shared" ca="1" si="206"/>
        <v>6.4463161517612555</v>
      </c>
      <c r="DP73" s="603">
        <f t="shared" ca="1" si="207"/>
        <v>13.636363636363624</v>
      </c>
      <c r="DQ73" s="3481">
        <f t="shared" ca="1" si="208"/>
        <v>-3.9233922358857809</v>
      </c>
      <c r="DR73" s="3479">
        <f t="shared" ca="1" si="62"/>
        <v>7.2180335238584581</v>
      </c>
      <c r="DS73" s="3478">
        <f t="shared" ca="1" si="209"/>
        <v>-200</v>
      </c>
      <c r="DT73" s="604"/>
      <c r="DU73" s="601">
        <f t="shared" ca="1" si="210"/>
        <v>6.8638083369820579</v>
      </c>
      <c r="DV73" s="603">
        <f t="shared" ca="1" si="211"/>
        <v>-10.000000000000009</v>
      </c>
      <c r="DW73" s="3481">
        <f t="shared" ca="1" si="212"/>
        <v>8.3106267029972933</v>
      </c>
      <c r="DX73" s="3479">
        <f t="shared" ca="1" si="67"/>
        <v>6.7711615269794967</v>
      </c>
      <c r="DY73" s="3478">
        <f t="shared" ca="1" si="213"/>
        <v>-133.33333333333331</v>
      </c>
      <c r="DZ73" s="604"/>
      <c r="EA73" s="601">
        <f t="shared" ca="1" si="214"/>
        <v>8.4994978295309664</v>
      </c>
      <c r="EB73" s="603">
        <f t="shared" ca="1" si="215"/>
        <v>4.4444444444444509</v>
      </c>
      <c r="EC73" s="3481">
        <f t="shared" ca="1" si="216"/>
        <v>5.53459119496853</v>
      </c>
      <c r="ED73" s="3479">
        <f t="shared" ca="1" si="72"/>
        <v>8.7013109412656942</v>
      </c>
      <c r="EE73" s="3478">
        <f t="shared" ca="1" si="217"/>
        <v>-600</v>
      </c>
      <c r="EF73" s="604"/>
      <c r="EG73" s="601">
        <f t="shared" ca="1" si="218"/>
        <v>11.992430677451239</v>
      </c>
      <c r="EH73" s="603">
        <f t="shared" ca="1" si="219"/>
        <v>4.0000000000000036</v>
      </c>
      <c r="EI73" s="3481">
        <f t="shared" ca="1" si="220"/>
        <v>6.0000000000000053</v>
      </c>
      <c r="EJ73" s="3479">
        <f t="shared" ca="1" si="77"/>
        <v>12.388380313796855</v>
      </c>
      <c r="EK73" s="3478">
        <f t="shared" ca="1" si="221"/>
        <v>0</v>
      </c>
      <c r="EL73" s="604"/>
      <c r="EM73" s="601">
        <f t="shared" ca="1" si="222"/>
        <v>6.6586376471575948</v>
      </c>
      <c r="EN73" s="603">
        <f t="shared" ca="1" si="223"/>
        <v>4.0000000000000036</v>
      </c>
      <c r="EO73" s="3481">
        <f t="shared" ca="1" si="224"/>
        <v>6.0000000000000053</v>
      </c>
      <c r="EP73" s="3479">
        <f t="shared" ca="1" si="82"/>
        <v>6.6999999999999948</v>
      </c>
      <c r="EQ73" s="3478">
        <f t="shared" ca="1" si="225"/>
        <v>0</v>
      </c>
      <c r="ER73" s="604"/>
      <c r="ES73" s="601">
        <f t="shared" ca="1" si="226"/>
        <v>5.7482394727325303</v>
      </c>
      <c r="ET73" s="603">
        <f t="shared" ca="1" si="227"/>
        <v>4.0000000000000036</v>
      </c>
      <c r="EU73" s="3481">
        <f t="shared" ca="1" si="228"/>
        <v>6.0000000000000053</v>
      </c>
      <c r="EV73" s="3479">
        <f t="shared" ca="1" si="87"/>
        <v>5.7330199408850646</v>
      </c>
      <c r="EW73" s="3478">
        <f t="shared" ca="1" si="229"/>
        <v>0</v>
      </c>
      <c r="EX73" s="604"/>
    </row>
    <row r="74" spans="2:154">
      <c r="B74" s="564"/>
      <c r="C74" s="565"/>
      <c r="D74" s="566" t="s">
        <v>1461</v>
      </c>
      <c r="E74" s="598"/>
      <c r="F74" s="605"/>
      <c r="G74" s="606"/>
      <c r="H74" s="577"/>
      <c r="I74" s="607"/>
      <c r="J74" s="579"/>
      <c r="K74" s="598" t="str">
        <f t="shared" si="137"/>
        <v/>
      </c>
      <c r="L74" s="605" t="str">
        <f t="shared" si="137"/>
        <v/>
      </c>
      <c r="M74" s="606" t="str">
        <f t="shared" si="137"/>
        <v/>
      </c>
      <c r="N74" s="577">
        <f t="shared" ca="1" si="137"/>
        <v>33.508583690987123</v>
      </c>
      <c r="O74" s="607" t="str">
        <f t="shared" si="137"/>
        <v/>
      </c>
      <c r="P74" s="579"/>
      <c r="Q74" s="598" t="str">
        <f t="shared" si="138"/>
        <v/>
      </c>
      <c r="R74" s="605" t="str">
        <f t="shared" si="139"/>
        <v/>
      </c>
      <c r="S74" s="606" t="str">
        <f t="shared" si="140"/>
        <v/>
      </c>
      <c r="T74" s="577">
        <f t="shared" ca="1" si="124"/>
        <v>40.953414235580922</v>
      </c>
      <c r="U74" s="607" t="str">
        <f t="shared" si="141"/>
        <v/>
      </c>
      <c r="V74" s="579"/>
      <c r="W74" s="598" t="str">
        <f t="shared" si="142"/>
        <v/>
      </c>
      <c r="X74" s="605" t="str">
        <f t="shared" si="143"/>
        <v/>
      </c>
      <c r="Y74" s="606" t="str">
        <f t="shared" si="144"/>
        <v/>
      </c>
      <c r="Z74" s="577">
        <f t="shared" ca="1" si="125"/>
        <v>23.56960269117101</v>
      </c>
      <c r="AA74" s="607" t="str">
        <f t="shared" si="145"/>
        <v/>
      </c>
      <c r="AB74" s="579"/>
      <c r="AC74" s="598" t="str">
        <f t="shared" si="146"/>
        <v/>
      </c>
      <c r="AD74" s="605" t="str">
        <f t="shared" si="147"/>
        <v/>
      </c>
      <c r="AE74" s="606" t="str">
        <f t="shared" si="148"/>
        <v/>
      </c>
      <c r="AF74" s="577">
        <f t="shared" ca="1" si="126"/>
        <v>-1.2250453720508148</v>
      </c>
      <c r="AG74" s="607" t="str">
        <f t="shared" si="149"/>
        <v/>
      </c>
      <c r="AH74" s="579"/>
      <c r="AI74" s="598" t="str">
        <f t="shared" si="150"/>
        <v/>
      </c>
      <c r="AJ74" s="605" t="str">
        <f t="shared" si="151"/>
        <v/>
      </c>
      <c r="AK74" s="606" t="str">
        <f t="shared" si="152"/>
        <v/>
      </c>
      <c r="AL74" s="577">
        <f t="shared" ca="1" si="127"/>
        <v>6.0610543198150069</v>
      </c>
      <c r="AM74" s="607" t="str">
        <f t="shared" si="153"/>
        <v/>
      </c>
      <c r="AN74" s="579"/>
      <c r="AO74" s="598" t="str">
        <f t="shared" si="154"/>
        <v/>
      </c>
      <c r="AP74" s="605" t="str">
        <f t="shared" si="155"/>
        <v/>
      </c>
      <c r="AQ74" s="606" t="str">
        <f t="shared" si="156"/>
        <v/>
      </c>
      <c r="AR74" s="577">
        <f t="shared" ca="1" si="128"/>
        <v>1.0386998267610359</v>
      </c>
      <c r="AS74" s="607" t="str">
        <f t="shared" si="157"/>
        <v/>
      </c>
      <c r="AT74" s="579"/>
      <c r="AU74" s="598" t="str">
        <f t="shared" si="158"/>
        <v/>
      </c>
      <c r="AV74" s="605" t="str">
        <f t="shared" si="159"/>
        <v/>
      </c>
      <c r="AW74" s="606" t="str">
        <f t="shared" si="160"/>
        <v/>
      </c>
      <c r="AX74" s="577">
        <f t="shared" ca="1" si="129"/>
        <v>3.3419788874116341</v>
      </c>
      <c r="AY74" s="607" t="str">
        <f t="shared" si="161"/>
        <v/>
      </c>
      <c r="AZ74" s="579"/>
      <c r="BA74" s="598" t="str">
        <f t="shared" si="162"/>
        <v/>
      </c>
      <c r="BB74" s="605" t="str">
        <f t="shared" si="163"/>
        <v/>
      </c>
      <c r="BC74" s="606" t="str">
        <f t="shared" si="164"/>
        <v/>
      </c>
      <c r="BD74" s="577">
        <f t="shared" ca="1" si="130"/>
        <v>7.7529298454053874</v>
      </c>
      <c r="BE74" s="607" t="str">
        <f t="shared" si="165"/>
        <v/>
      </c>
      <c r="BF74" s="579"/>
      <c r="BG74" s="598" t="str">
        <f t="shared" si="166"/>
        <v/>
      </c>
      <c r="BH74" s="605" t="str">
        <f t="shared" si="167"/>
        <v/>
      </c>
      <c r="BI74" s="606" t="str">
        <f t="shared" si="168"/>
        <v/>
      </c>
      <c r="BJ74" s="577">
        <f t="shared" ca="1" si="131"/>
        <v>8.5821844967410641</v>
      </c>
      <c r="BK74" s="607" t="str">
        <f t="shared" si="169"/>
        <v/>
      </c>
      <c r="BL74" s="579"/>
      <c r="BM74" s="598" t="str">
        <f t="shared" si="170"/>
        <v/>
      </c>
      <c r="BN74" s="605" t="str">
        <f t="shared" si="171"/>
        <v/>
      </c>
      <c r="BO74" s="606" t="str">
        <f t="shared" si="172"/>
        <v/>
      </c>
      <c r="BP74" s="577">
        <f t="shared" ca="1" si="132"/>
        <v>12.091933303289771</v>
      </c>
      <c r="BQ74" s="607" t="str">
        <f t="shared" si="173"/>
        <v/>
      </c>
      <c r="BR74" s="579"/>
      <c r="BS74" s="598" t="str">
        <f t="shared" si="174"/>
        <v/>
      </c>
      <c r="BT74" s="605" t="str">
        <f t="shared" si="175"/>
        <v/>
      </c>
      <c r="BU74" s="606" t="str">
        <f t="shared" si="176"/>
        <v/>
      </c>
      <c r="BV74" s="577">
        <f t="shared" ca="1" si="133"/>
        <v>17.810870066309658</v>
      </c>
      <c r="BW74" s="607" t="str">
        <f t="shared" si="177"/>
        <v/>
      </c>
      <c r="BX74" s="579"/>
      <c r="BY74" s="598" t="str">
        <f t="shared" si="178"/>
        <v/>
      </c>
      <c r="BZ74" s="605" t="str">
        <f t="shared" si="179"/>
        <v/>
      </c>
      <c r="CA74" s="606" t="str">
        <f t="shared" si="180"/>
        <v/>
      </c>
      <c r="CB74" s="577">
        <f t="shared" ca="1" si="134"/>
        <v>20.387214196337155</v>
      </c>
      <c r="CC74" s="607" t="str">
        <f t="shared" si="181"/>
        <v/>
      </c>
      <c r="CD74" s="579"/>
      <c r="CE74" s="598" t="str">
        <f t="shared" si="182"/>
        <v/>
      </c>
      <c r="CF74" s="605" t="str">
        <f t="shared" si="183"/>
        <v/>
      </c>
      <c r="CG74" s="606" t="str">
        <f t="shared" si="184"/>
        <v/>
      </c>
      <c r="CH74" s="577">
        <f t="shared" ca="1" si="135"/>
        <v>17.725384664809638</v>
      </c>
      <c r="CI74" s="607" t="str">
        <f t="shared" si="185"/>
        <v/>
      </c>
      <c r="CJ74" s="579"/>
      <c r="CK74" s="598" t="str">
        <f t="shared" si="186"/>
        <v/>
      </c>
      <c r="CL74" s="605" t="str">
        <f t="shared" si="187"/>
        <v/>
      </c>
      <c r="CM74" s="606" t="str">
        <f t="shared" si="188"/>
        <v/>
      </c>
      <c r="CN74" s="577">
        <f t="shared" ca="1" si="136"/>
        <v>9.2532722912298979</v>
      </c>
      <c r="CO74" s="607" t="str">
        <f t="shared" si="189"/>
        <v/>
      </c>
      <c r="CP74" s="579"/>
      <c r="CQ74" s="598" t="str">
        <f t="shared" si="190"/>
        <v/>
      </c>
      <c r="CR74" s="605" t="str">
        <f t="shared" si="191"/>
        <v/>
      </c>
      <c r="CS74" s="606" t="str">
        <f t="shared" si="192"/>
        <v/>
      </c>
      <c r="CT74" s="577">
        <f t="shared" ca="1" si="42"/>
        <v>-3.1577926600274475</v>
      </c>
      <c r="CU74" s="607" t="str">
        <f t="shared" si="193"/>
        <v/>
      </c>
      <c r="CV74" s="579"/>
      <c r="CW74" s="598" t="str">
        <f t="shared" si="194"/>
        <v/>
      </c>
      <c r="CX74" s="605" t="str">
        <f t="shared" si="195"/>
        <v/>
      </c>
      <c r="CY74" s="606" t="str">
        <f t="shared" si="196"/>
        <v/>
      </c>
      <c r="CZ74" s="577">
        <f t="shared" ca="1" si="47"/>
        <v>5.4640348348530487</v>
      </c>
      <c r="DA74" s="607" t="str">
        <f t="shared" si="197"/>
        <v/>
      </c>
      <c r="DB74" s="579"/>
      <c r="DC74" s="598" t="str">
        <f t="shared" si="198"/>
        <v/>
      </c>
      <c r="DD74" s="605" t="str">
        <f t="shared" si="199"/>
        <v/>
      </c>
      <c r="DE74" s="606" t="str">
        <f t="shared" si="200"/>
        <v/>
      </c>
      <c r="DF74" s="577">
        <f t="shared" ca="1" si="52"/>
        <v>3.9241919427325245</v>
      </c>
      <c r="DG74" s="607" t="str">
        <f t="shared" si="201"/>
        <v/>
      </c>
      <c r="DH74" s="579"/>
      <c r="DI74" s="598" t="str">
        <f t="shared" si="202"/>
        <v/>
      </c>
      <c r="DJ74" s="605" t="str">
        <f t="shared" si="203"/>
        <v/>
      </c>
      <c r="DK74" s="606" t="str">
        <f t="shared" si="204"/>
        <v/>
      </c>
      <c r="DL74" s="577">
        <f t="shared" ca="1" si="57"/>
        <v>5.0451133856218355</v>
      </c>
      <c r="DM74" s="607" t="str">
        <f t="shared" si="205"/>
        <v/>
      </c>
      <c r="DN74" s="579"/>
      <c r="DO74" s="598" t="str">
        <f t="shared" si="206"/>
        <v/>
      </c>
      <c r="DP74" s="605" t="str">
        <f t="shared" si="207"/>
        <v/>
      </c>
      <c r="DQ74" s="606" t="str">
        <f t="shared" si="208"/>
        <v/>
      </c>
      <c r="DR74" s="577">
        <f t="shared" ca="1" si="62"/>
        <v>7.1260647718647263</v>
      </c>
      <c r="DS74" s="607" t="str">
        <f t="shared" si="209"/>
        <v/>
      </c>
      <c r="DT74" s="579"/>
      <c r="DU74" s="598" t="str">
        <f t="shared" si="210"/>
        <v/>
      </c>
      <c r="DV74" s="605" t="str">
        <f t="shared" si="211"/>
        <v/>
      </c>
      <c r="DW74" s="606" t="str">
        <f t="shared" si="212"/>
        <v/>
      </c>
      <c r="DX74" s="577">
        <f t="shared" ca="1" si="67"/>
        <v>6.7775093366661876</v>
      </c>
      <c r="DY74" s="607" t="str">
        <f t="shared" si="213"/>
        <v/>
      </c>
      <c r="DZ74" s="579"/>
      <c r="EA74" s="598" t="str">
        <f t="shared" si="214"/>
        <v/>
      </c>
      <c r="EB74" s="605" t="str">
        <f t="shared" si="215"/>
        <v/>
      </c>
      <c r="EC74" s="606" t="str">
        <f t="shared" si="216"/>
        <v/>
      </c>
      <c r="ED74" s="577">
        <f t="shared" ca="1" si="72"/>
        <v>8.6562521600884743</v>
      </c>
      <c r="EE74" s="607" t="str">
        <f t="shared" si="217"/>
        <v/>
      </c>
      <c r="EF74" s="579"/>
      <c r="EG74" s="598" t="str">
        <f t="shared" si="218"/>
        <v/>
      </c>
      <c r="EH74" s="605" t="str">
        <f t="shared" si="219"/>
        <v/>
      </c>
      <c r="EI74" s="606" t="str">
        <f t="shared" si="220"/>
        <v/>
      </c>
      <c r="EJ74" s="577">
        <f t="shared" ca="1" si="77"/>
        <v>12.388380313796832</v>
      </c>
      <c r="EK74" s="607" t="str">
        <f t="shared" si="221"/>
        <v/>
      </c>
      <c r="EL74" s="579"/>
      <c r="EM74" s="598" t="str">
        <f t="shared" si="222"/>
        <v/>
      </c>
      <c r="EN74" s="605" t="str">
        <f t="shared" si="223"/>
        <v/>
      </c>
      <c r="EO74" s="606" t="str">
        <f t="shared" si="224"/>
        <v/>
      </c>
      <c r="EP74" s="577">
        <f t="shared" ca="1" si="82"/>
        <v>6.6999999999999948</v>
      </c>
      <c r="EQ74" s="607" t="str">
        <f t="shared" si="225"/>
        <v/>
      </c>
      <c r="ER74" s="579"/>
      <c r="ES74" s="598" t="str">
        <f t="shared" si="226"/>
        <v/>
      </c>
      <c r="ET74" s="605" t="str">
        <f t="shared" si="227"/>
        <v/>
      </c>
      <c r="EU74" s="606" t="str">
        <f t="shared" si="228"/>
        <v/>
      </c>
      <c r="EV74" s="577">
        <f t="shared" ca="1" si="87"/>
        <v>5.7330199408850868</v>
      </c>
      <c r="EW74" s="607" t="str">
        <f t="shared" si="229"/>
        <v/>
      </c>
      <c r="EX74" s="579"/>
    </row>
    <row r="75" spans="2:154" ht="13.5" thickBot="1">
      <c r="B75" s="564"/>
      <c r="C75" s="565"/>
      <c r="D75" s="566" t="s">
        <v>1334</v>
      </c>
      <c r="E75" s="598"/>
      <c r="F75" s="605"/>
      <c r="G75" s="606"/>
      <c r="H75" s="580"/>
      <c r="I75" s="607"/>
      <c r="J75" s="579"/>
      <c r="K75" s="598" t="str">
        <f t="shared" si="137"/>
        <v/>
      </c>
      <c r="L75" s="605" t="str">
        <f t="shared" si="137"/>
        <v/>
      </c>
      <c r="M75" s="606" t="str">
        <f t="shared" si="137"/>
        <v/>
      </c>
      <c r="N75" s="580">
        <f t="shared" ca="1" si="137"/>
        <v>36.290322580645153</v>
      </c>
      <c r="O75" s="607" t="str">
        <f t="shared" si="137"/>
        <v/>
      </c>
      <c r="P75" s="579"/>
      <c r="Q75" s="598" t="str">
        <f t="shared" si="138"/>
        <v/>
      </c>
      <c r="R75" s="605" t="str">
        <f t="shared" si="139"/>
        <v/>
      </c>
      <c r="S75" s="606" t="str">
        <f t="shared" si="140"/>
        <v/>
      </c>
      <c r="T75" s="580">
        <f t="shared" ca="1" si="124"/>
        <v>26.035502958579883</v>
      </c>
      <c r="U75" s="607" t="str">
        <f t="shared" si="141"/>
        <v/>
      </c>
      <c r="V75" s="579"/>
      <c r="W75" s="598" t="str">
        <f t="shared" si="142"/>
        <v/>
      </c>
      <c r="X75" s="605" t="str">
        <f t="shared" si="143"/>
        <v/>
      </c>
      <c r="Y75" s="606" t="str">
        <f t="shared" si="144"/>
        <v/>
      </c>
      <c r="Z75" s="580">
        <f t="shared" ca="1" si="125"/>
        <v>26.760563380281699</v>
      </c>
      <c r="AA75" s="607" t="str">
        <f t="shared" si="145"/>
        <v/>
      </c>
      <c r="AB75" s="579"/>
      <c r="AC75" s="598" t="str">
        <f t="shared" si="146"/>
        <v/>
      </c>
      <c r="AD75" s="605" t="str">
        <f t="shared" si="147"/>
        <v/>
      </c>
      <c r="AE75" s="606" t="str">
        <f t="shared" si="148"/>
        <v/>
      </c>
      <c r="AF75" s="580">
        <f t="shared" ca="1" si="126"/>
        <v>3.7037037037036979</v>
      </c>
      <c r="AG75" s="607" t="str">
        <f t="shared" si="149"/>
        <v/>
      </c>
      <c r="AH75" s="579"/>
      <c r="AI75" s="598" t="str">
        <f t="shared" si="150"/>
        <v/>
      </c>
      <c r="AJ75" s="605" t="str">
        <f t="shared" si="151"/>
        <v/>
      </c>
      <c r="AK75" s="606" t="str">
        <f t="shared" si="152"/>
        <v/>
      </c>
      <c r="AL75" s="580">
        <f t="shared" ca="1" si="127"/>
        <v>-6.7857142857142723</v>
      </c>
      <c r="AM75" s="607" t="str">
        <f t="shared" si="153"/>
        <v/>
      </c>
      <c r="AN75" s="579"/>
      <c r="AO75" s="598" t="str">
        <f t="shared" si="154"/>
        <v/>
      </c>
      <c r="AP75" s="605" t="str">
        <f t="shared" si="155"/>
        <v/>
      </c>
      <c r="AQ75" s="606" t="str">
        <f t="shared" si="156"/>
        <v/>
      </c>
      <c r="AR75" s="580">
        <f t="shared" ca="1" si="128"/>
        <v>2.6819923371647514</v>
      </c>
      <c r="AS75" s="607" t="str">
        <f t="shared" si="157"/>
        <v/>
      </c>
      <c r="AT75" s="579"/>
      <c r="AU75" s="598" t="str">
        <f t="shared" si="158"/>
        <v/>
      </c>
      <c r="AV75" s="605" t="str">
        <f t="shared" si="159"/>
        <v/>
      </c>
      <c r="AW75" s="606" t="str">
        <f t="shared" si="160"/>
        <v/>
      </c>
      <c r="AX75" s="580">
        <f t="shared" ca="1" si="129"/>
        <v>3.7313432835820892</v>
      </c>
      <c r="AY75" s="607" t="str">
        <f t="shared" si="161"/>
        <v/>
      </c>
      <c r="AZ75" s="579"/>
      <c r="BA75" s="598" t="str">
        <f t="shared" si="162"/>
        <v/>
      </c>
      <c r="BB75" s="605" t="str">
        <f t="shared" si="163"/>
        <v/>
      </c>
      <c r="BC75" s="606" t="str">
        <f t="shared" si="164"/>
        <v/>
      </c>
      <c r="BD75" s="580">
        <f t="shared" ca="1" si="130"/>
        <v>3.9568345323740983</v>
      </c>
      <c r="BE75" s="607" t="str">
        <f t="shared" si="165"/>
        <v/>
      </c>
      <c r="BF75" s="579"/>
      <c r="BG75" s="598" t="str">
        <f t="shared" si="166"/>
        <v/>
      </c>
      <c r="BH75" s="605" t="str">
        <f t="shared" si="167"/>
        <v/>
      </c>
      <c r="BI75" s="606" t="str">
        <f t="shared" si="168"/>
        <v/>
      </c>
      <c r="BJ75" s="580">
        <f t="shared" ca="1" si="131"/>
        <v>1701.0380622837367</v>
      </c>
      <c r="BK75" s="607" t="str">
        <f t="shared" si="169"/>
        <v/>
      </c>
      <c r="BL75" s="579"/>
      <c r="BM75" s="598" t="str">
        <f t="shared" si="170"/>
        <v/>
      </c>
      <c r="BN75" s="605" t="str">
        <f t="shared" si="171"/>
        <v/>
      </c>
      <c r="BO75" s="606" t="str">
        <f t="shared" si="172"/>
        <v/>
      </c>
      <c r="BP75" s="580">
        <f t="shared" ca="1" si="132"/>
        <v>16.388088376560983</v>
      </c>
      <c r="BQ75" s="607" t="str">
        <f t="shared" si="173"/>
        <v/>
      </c>
      <c r="BR75" s="579"/>
      <c r="BS75" s="598" t="str">
        <f t="shared" si="174"/>
        <v/>
      </c>
      <c r="BT75" s="605" t="str">
        <f t="shared" si="175"/>
        <v/>
      </c>
      <c r="BU75" s="606" t="str">
        <f t="shared" si="176"/>
        <v/>
      </c>
      <c r="BV75" s="580">
        <f t="shared" ca="1" si="133"/>
        <v>19.049191152195455</v>
      </c>
      <c r="BW75" s="607" t="str">
        <f t="shared" si="177"/>
        <v/>
      </c>
      <c r="BX75" s="579"/>
      <c r="BY75" s="598" t="str">
        <f t="shared" si="178"/>
        <v/>
      </c>
      <c r="BZ75" s="605" t="str">
        <f t="shared" si="179"/>
        <v/>
      </c>
      <c r="CA75" s="606" t="str">
        <f t="shared" si="180"/>
        <v/>
      </c>
      <c r="CB75" s="580">
        <f t="shared" ca="1" si="134"/>
        <v>26.136993899057103</v>
      </c>
      <c r="CC75" s="607" t="str">
        <f t="shared" si="181"/>
        <v/>
      </c>
      <c r="CD75" s="579"/>
      <c r="CE75" s="598" t="str">
        <f t="shared" si="182"/>
        <v/>
      </c>
      <c r="CF75" s="605" t="str">
        <f t="shared" si="183"/>
        <v/>
      </c>
      <c r="CG75" s="606" t="str">
        <f t="shared" si="184"/>
        <v/>
      </c>
      <c r="CH75" s="580">
        <f t="shared" ca="1" si="135"/>
        <v>22.765746949543807</v>
      </c>
      <c r="CI75" s="607" t="str">
        <f t="shared" si="185"/>
        <v/>
      </c>
      <c r="CJ75" s="579"/>
      <c r="CK75" s="598" t="str">
        <f t="shared" si="186"/>
        <v/>
      </c>
      <c r="CL75" s="605" t="str">
        <f t="shared" si="187"/>
        <v/>
      </c>
      <c r="CM75" s="606" t="str">
        <f t="shared" si="188"/>
        <v/>
      </c>
      <c r="CN75" s="580">
        <f t="shared" ca="1" si="136"/>
        <v>5.9455587392550191</v>
      </c>
      <c r="CO75" s="607" t="str">
        <f t="shared" si="189"/>
        <v/>
      </c>
      <c r="CP75" s="579"/>
      <c r="CQ75" s="598" t="str">
        <f t="shared" si="190"/>
        <v/>
      </c>
      <c r="CR75" s="605" t="str">
        <f t="shared" si="191"/>
        <v/>
      </c>
      <c r="CS75" s="606" t="str">
        <f t="shared" si="192"/>
        <v/>
      </c>
      <c r="CT75" s="580">
        <f t="shared" ca="1" si="42"/>
        <v>-13.007099391480725</v>
      </c>
      <c r="CU75" s="607" t="str">
        <f t="shared" si="193"/>
        <v/>
      </c>
      <c r="CV75" s="579"/>
      <c r="CW75" s="598" t="str">
        <f t="shared" si="194"/>
        <v/>
      </c>
      <c r="CX75" s="605" t="str">
        <f t="shared" si="195"/>
        <v/>
      </c>
      <c r="CY75" s="606" t="str">
        <f t="shared" si="196"/>
        <v/>
      </c>
      <c r="CZ75" s="580">
        <f t="shared" ca="1" si="47"/>
        <v>4.7022248129796829</v>
      </c>
      <c r="DA75" s="607" t="str">
        <f t="shared" si="197"/>
        <v/>
      </c>
      <c r="DB75" s="579"/>
      <c r="DC75" s="598" t="str">
        <f t="shared" si="198"/>
        <v/>
      </c>
      <c r="DD75" s="605" t="str">
        <f t="shared" si="199"/>
        <v/>
      </c>
      <c r="DE75" s="606" t="str">
        <f t="shared" si="200"/>
        <v/>
      </c>
      <c r="DF75" s="580">
        <f t="shared" ca="1" si="52"/>
        <v>5.2890414772200245</v>
      </c>
      <c r="DG75" s="607" t="str">
        <f t="shared" si="201"/>
        <v/>
      </c>
      <c r="DH75" s="579"/>
      <c r="DI75" s="598" t="str">
        <f t="shared" si="202"/>
        <v/>
      </c>
      <c r="DJ75" s="605" t="str">
        <f t="shared" si="203"/>
        <v/>
      </c>
      <c r="DK75" s="606" t="str">
        <f t="shared" si="204"/>
        <v/>
      </c>
      <c r="DL75" s="580">
        <f t="shared" ca="1" si="57"/>
        <v>-13.184101524632064</v>
      </c>
      <c r="DM75" s="607" t="str">
        <f t="shared" si="205"/>
        <v/>
      </c>
      <c r="DN75" s="579"/>
      <c r="DO75" s="598" t="str">
        <f t="shared" si="206"/>
        <v/>
      </c>
      <c r="DP75" s="605" t="str">
        <f t="shared" si="207"/>
        <v/>
      </c>
      <c r="DQ75" s="606" t="str">
        <f t="shared" si="208"/>
        <v/>
      </c>
      <c r="DR75" s="580">
        <f t="shared" ca="1" si="62"/>
        <v>10.760328900619221</v>
      </c>
      <c r="DS75" s="607" t="str">
        <f t="shared" si="209"/>
        <v/>
      </c>
      <c r="DT75" s="579"/>
      <c r="DU75" s="598" t="str">
        <f t="shared" si="210"/>
        <v/>
      </c>
      <c r="DV75" s="605" t="str">
        <f t="shared" si="211"/>
        <v/>
      </c>
      <c r="DW75" s="606" t="str">
        <f t="shared" si="212"/>
        <v/>
      </c>
      <c r="DX75" s="580">
        <f t="shared" ca="1" si="67"/>
        <v>6.534689762624879</v>
      </c>
      <c r="DY75" s="607" t="str">
        <f t="shared" si="213"/>
        <v/>
      </c>
      <c r="DZ75" s="579"/>
      <c r="EA75" s="598" t="str">
        <f t="shared" si="214"/>
        <v/>
      </c>
      <c r="EB75" s="605" t="str">
        <f t="shared" si="215"/>
        <v/>
      </c>
      <c r="EC75" s="606" t="str">
        <f t="shared" si="216"/>
        <v/>
      </c>
      <c r="ED75" s="580">
        <f t="shared" ca="1" si="72"/>
        <v>10.383688919476963</v>
      </c>
      <c r="EE75" s="607" t="str">
        <f t="shared" si="217"/>
        <v/>
      </c>
      <c r="EF75" s="579"/>
      <c r="EG75" s="598" t="str">
        <f t="shared" si="218"/>
        <v/>
      </c>
      <c r="EH75" s="605" t="str">
        <f t="shared" si="219"/>
        <v/>
      </c>
      <c r="EI75" s="606" t="str">
        <f t="shared" si="220"/>
        <v/>
      </c>
      <c r="EJ75" s="580">
        <f t="shared" ca="1" si="77"/>
        <v>12.388380313796832</v>
      </c>
      <c r="EK75" s="607" t="str">
        <f t="shared" si="221"/>
        <v/>
      </c>
      <c r="EL75" s="579"/>
      <c r="EM75" s="598" t="str">
        <f t="shared" si="222"/>
        <v/>
      </c>
      <c r="EN75" s="605" t="str">
        <f t="shared" si="223"/>
        <v/>
      </c>
      <c r="EO75" s="606" t="str">
        <f t="shared" si="224"/>
        <v/>
      </c>
      <c r="EP75" s="580">
        <f t="shared" ca="1" si="82"/>
        <v>6.6999999999999948</v>
      </c>
      <c r="EQ75" s="607" t="str">
        <f t="shared" si="225"/>
        <v/>
      </c>
      <c r="ER75" s="579"/>
      <c r="ES75" s="598" t="str">
        <f t="shared" si="226"/>
        <v/>
      </c>
      <c r="ET75" s="605" t="str">
        <f t="shared" si="227"/>
        <v/>
      </c>
      <c r="EU75" s="606" t="str">
        <f t="shared" si="228"/>
        <v/>
      </c>
      <c r="EV75" s="580">
        <f t="shared" ca="1" si="87"/>
        <v>5.7330199408850868</v>
      </c>
      <c r="EW75" s="607" t="str">
        <f t="shared" si="229"/>
        <v/>
      </c>
      <c r="EX75" s="579"/>
    </row>
    <row r="76" spans="2:154">
      <c r="B76" s="600" t="s">
        <v>1767</v>
      </c>
      <c r="C76" s="3779" t="s">
        <v>1335</v>
      </c>
      <c r="D76" s="3780"/>
      <c r="E76" s="601"/>
      <c r="F76" s="603"/>
      <c r="G76" s="602"/>
      <c r="H76" s="602"/>
      <c r="I76" s="602"/>
      <c r="J76" s="604"/>
      <c r="K76" s="601">
        <f t="shared" ca="1" si="137"/>
        <v>31.068841996589967</v>
      </c>
      <c r="L76" s="603">
        <f t="shared" ca="1" si="137"/>
        <v>31.068841996589967</v>
      </c>
      <c r="M76" s="602" t="str">
        <f t="shared" si="137"/>
        <v/>
      </c>
      <c r="N76" s="602" t="str">
        <f t="shared" si="137"/>
        <v/>
      </c>
      <c r="O76" s="602" t="str">
        <f t="shared" si="137"/>
        <v/>
      </c>
      <c r="P76" s="604"/>
      <c r="Q76" s="601">
        <f t="shared" ca="1" si="138"/>
        <v>35.674475779021634</v>
      </c>
      <c r="R76" s="603">
        <f t="shared" ca="1" si="139"/>
        <v>35.674475779021634</v>
      </c>
      <c r="S76" s="602" t="str">
        <f t="shared" si="140"/>
        <v/>
      </c>
      <c r="T76" s="602" t="str">
        <f t="shared" si="124"/>
        <v/>
      </c>
      <c r="U76" s="602" t="str">
        <f t="shared" si="141"/>
        <v/>
      </c>
      <c r="V76" s="604"/>
      <c r="W76" s="601">
        <f t="shared" ca="1" si="142"/>
        <v>24.827810666502458</v>
      </c>
      <c r="X76" s="603">
        <f t="shared" ca="1" si="143"/>
        <v>24.827810666502458</v>
      </c>
      <c r="Y76" s="602" t="str">
        <f t="shared" si="144"/>
        <v/>
      </c>
      <c r="Z76" s="602" t="str">
        <f t="shared" si="125"/>
        <v/>
      </c>
      <c r="AA76" s="602" t="str">
        <f t="shared" si="145"/>
        <v/>
      </c>
      <c r="AB76" s="604"/>
      <c r="AC76" s="601">
        <f t="shared" ca="1" si="146"/>
        <v>11.62866082250471</v>
      </c>
      <c r="AD76" s="603">
        <f t="shared" ca="1" si="147"/>
        <v>11.62866082250471</v>
      </c>
      <c r="AE76" s="602" t="str">
        <f t="shared" si="148"/>
        <v/>
      </c>
      <c r="AF76" s="602" t="str">
        <f t="shared" si="126"/>
        <v/>
      </c>
      <c r="AG76" s="602" t="str">
        <f t="shared" si="149"/>
        <v/>
      </c>
      <c r="AH76" s="604"/>
      <c r="AI76" s="601">
        <f t="shared" ca="1" si="150"/>
        <v>-1.0378132693642961</v>
      </c>
      <c r="AJ76" s="603">
        <f t="shared" ca="1" si="151"/>
        <v>-1.0378132693642961</v>
      </c>
      <c r="AK76" s="602" t="str">
        <f t="shared" si="152"/>
        <v/>
      </c>
      <c r="AL76" s="602" t="str">
        <f t="shared" si="127"/>
        <v/>
      </c>
      <c r="AM76" s="602" t="str">
        <f t="shared" si="153"/>
        <v/>
      </c>
      <c r="AN76" s="604"/>
      <c r="AO76" s="601">
        <f t="shared" ca="1" si="154"/>
        <v>4.0168148705714168</v>
      </c>
      <c r="AP76" s="603">
        <f t="shared" ca="1" si="155"/>
        <v>4.0168148705714168</v>
      </c>
      <c r="AQ76" s="602" t="str">
        <f t="shared" si="156"/>
        <v/>
      </c>
      <c r="AR76" s="602" t="str">
        <f t="shared" si="128"/>
        <v/>
      </c>
      <c r="AS76" s="602" t="str">
        <f t="shared" si="157"/>
        <v/>
      </c>
      <c r="AT76" s="604"/>
      <c r="AU76" s="601">
        <f t="shared" ca="1" si="158"/>
        <v>-5.0385433850720247</v>
      </c>
      <c r="AV76" s="603">
        <f t="shared" ca="1" si="159"/>
        <v>-5.0385433850720247</v>
      </c>
      <c r="AW76" s="602" t="str">
        <f t="shared" si="160"/>
        <v/>
      </c>
      <c r="AX76" s="602" t="str">
        <f t="shared" si="129"/>
        <v/>
      </c>
      <c r="AY76" s="602" t="str">
        <f t="shared" si="161"/>
        <v/>
      </c>
      <c r="AZ76" s="604"/>
      <c r="BA76" s="601">
        <f t="shared" ca="1" si="162"/>
        <v>7.212926307903933</v>
      </c>
      <c r="BB76" s="603">
        <f t="shared" ca="1" si="163"/>
        <v>7.212926307903933</v>
      </c>
      <c r="BC76" s="602" t="str">
        <f t="shared" si="164"/>
        <v/>
      </c>
      <c r="BD76" s="602" t="str">
        <f t="shared" si="130"/>
        <v/>
      </c>
      <c r="BE76" s="602" t="str">
        <f t="shared" si="165"/>
        <v/>
      </c>
      <c r="BF76" s="604"/>
      <c r="BG76" s="601">
        <f t="shared" ca="1" si="166"/>
        <v>9.0370807632999206</v>
      </c>
      <c r="BH76" s="603">
        <f t="shared" ca="1" si="167"/>
        <v>9.0370807632999206</v>
      </c>
      <c r="BI76" s="602" t="str">
        <f t="shared" si="168"/>
        <v/>
      </c>
      <c r="BJ76" s="602" t="str">
        <f t="shared" si="131"/>
        <v/>
      </c>
      <c r="BK76" s="602" t="str">
        <f t="shared" si="169"/>
        <v/>
      </c>
      <c r="BL76" s="604"/>
      <c r="BM76" s="601">
        <f t="shared" ca="1" si="170"/>
        <v>14.821648556228894</v>
      </c>
      <c r="BN76" s="603">
        <f t="shared" ca="1" si="171"/>
        <v>14.821648556228894</v>
      </c>
      <c r="BO76" s="602" t="str">
        <f t="shared" si="172"/>
        <v/>
      </c>
      <c r="BP76" s="602" t="str">
        <f t="shared" si="132"/>
        <v/>
      </c>
      <c r="BQ76" s="602" t="str">
        <f t="shared" si="173"/>
        <v/>
      </c>
      <c r="BR76" s="604"/>
      <c r="BS76" s="601">
        <f t="shared" ca="1" si="174"/>
        <v>13.033981399958638</v>
      </c>
      <c r="BT76" s="603">
        <f t="shared" ca="1" si="175"/>
        <v>13.033981399958638</v>
      </c>
      <c r="BU76" s="602" t="str">
        <f t="shared" si="176"/>
        <v/>
      </c>
      <c r="BV76" s="602" t="str">
        <f t="shared" si="133"/>
        <v/>
      </c>
      <c r="BW76" s="602" t="str">
        <f t="shared" si="177"/>
        <v/>
      </c>
      <c r="BX76" s="604"/>
      <c r="BY76" s="601">
        <f t="shared" ca="1" si="178"/>
        <v>26.632757299736088</v>
      </c>
      <c r="BZ76" s="603">
        <f t="shared" ca="1" si="179"/>
        <v>26.632757299736088</v>
      </c>
      <c r="CA76" s="602" t="str">
        <f t="shared" si="180"/>
        <v/>
      </c>
      <c r="CB76" s="602" t="str">
        <f t="shared" si="134"/>
        <v/>
      </c>
      <c r="CC76" s="602" t="str">
        <f t="shared" si="181"/>
        <v/>
      </c>
      <c r="CD76" s="604"/>
      <c r="CE76" s="601">
        <f t="shared" ca="1" si="182"/>
        <v>33.085163237661796</v>
      </c>
      <c r="CF76" s="603">
        <f t="shared" ca="1" si="183"/>
        <v>33.085163237661796</v>
      </c>
      <c r="CG76" s="602" t="str">
        <f t="shared" si="184"/>
        <v/>
      </c>
      <c r="CH76" s="602" t="str">
        <f t="shared" si="135"/>
        <v/>
      </c>
      <c r="CI76" s="602" t="str">
        <f t="shared" si="185"/>
        <v/>
      </c>
      <c r="CJ76" s="604"/>
      <c r="CK76" s="601">
        <f t="shared" ca="1" si="186"/>
        <v>13.844669561022682</v>
      </c>
      <c r="CL76" s="603">
        <f t="shared" ca="1" si="187"/>
        <v>13.844669561022682</v>
      </c>
      <c r="CM76" s="602" t="str">
        <f t="shared" si="188"/>
        <v/>
      </c>
      <c r="CN76" s="602" t="str">
        <f t="shared" si="136"/>
        <v/>
      </c>
      <c r="CO76" s="602" t="str">
        <f t="shared" si="189"/>
        <v/>
      </c>
      <c r="CP76" s="604"/>
      <c r="CQ76" s="601">
        <f t="shared" ca="1" si="190"/>
        <v>-7.7293903629425902</v>
      </c>
      <c r="CR76" s="603">
        <f t="shared" ca="1" si="191"/>
        <v>-7.7293903629425902</v>
      </c>
      <c r="CS76" s="602" t="str">
        <f t="shared" si="192"/>
        <v/>
      </c>
      <c r="CT76" s="602" t="str">
        <f t="shared" si="42"/>
        <v/>
      </c>
      <c r="CU76" s="602" t="str">
        <f t="shared" si="193"/>
        <v/>
      </c>
      <c r="CV76" s="604"/>
      <c r="CW76" s="601">
        <f t="shared" ca="1" si="194"/>
        <v>-1.852283737939342</v>
      </c>
      <c r="CX76" s="603">
        <f t="shared" ca="1" si="195"/>
        <v>-1.852283737939342</v>
      </c>
      <c r="CY76" s="602" t="str">
        <f t="shared" si="196"/>
        <v/>
      </c>
      <c r="CZ76" s="602" t="str">
        <f t="shared" si="47"/>
        <v/>
      </c>
      <c r="DA76" s="602" t="str">
        <f t="shared" si="197"/>
        <v/>
      </c>
      <c r="DB76" s="604"/>
      <c r="DC76" s="601">
        <f t="shared" ca="1" si="198"/>
        <v>1.4845118381245248</v>
      </c>
      <c r="DD76" s="603">
        <f t="shared" ca="1" si="199"/>
        <v>1.4845118381245248</v>
      </c>
      <c r="DE76" s="602" t="str">
        <f t="shared" si="200"/>
        <v/>
      </c>
      <c r="DF76" s="602" t="str">
        <f t="shared" si="52"/>
        <v/>
      </c>
      <c r="DG76" s="602" t="str">
        <f t="shared" si="201"/>
        <v/>
      </c>
      <c r="DH76" s="604"/>
      <c r="DI76" s="601">
        <f t="shared" ca="1" si="202"/>
        <v>-0.78836521634180201</v>
      </c>
      <c r="DJ76" s="603">
        <f t="shared" ca="1" si="203"/>
        <v>-0.78836521634180201</v>
      </c>
      <c r="DK76" s="602" t="str">
        <f t="shared" si="204"/>
        <v/>
      </c>
      <c r="DL76" s="602" t="str">
        <f t="shared" si="57"/>
        <v/>
      </c>
      <c r="DM76" s="602" t="str">
        <f t="shared" si="205"/>
        <v/>
      </c>
      <c r="DN76" s="604"/>
      <c r="DO76" s="601">
        <f t="shared" ca="1" si="206"/>
        <v>0.54086406867002168</v>
      </c>
      <c r="DP76" s="603">
        <f t="shared" ca="1" si="207"/>
        <v>0.54086406867002168</v>
      </c>
      <c r="DQ76" s="602" t="str">
        <f t="shared" si="208"/>
        <v/>
      </c>
      <c r="DR76" s="602" t="str">
        <f t="shared" si="62"/>
        <v/>
      </c>
      <c r="DS76" s="602" t="str">
        <f t="shared" si="209"/>
        <v/>
      </c>
      <c r="DT76" s="604"/>
      <c r="DU76" s="601">
        <f t="shared" ca="1" si="210"/>
        <v>2.5295717659813421</v>
      </c>
      <c r="DV76" s="603">
        <f t="shared" ca="1" si="211"/>
        <v>2.5295717659813421</v>
      </c>
      <c r="DW76" s="602" t="str">
        <f t="shared" si="212"/>
        <v/>
      </c>
      <c r="DX76" s="602" t="str">
        <f t="shared" si="67"/>
        <v/>
      </c>
      <c r="DY76" s="602" t="str">
        <f t="shared" si="213"/>
        <v/>
      </c>
      <c r="DZ76" s="604"/>
      <c r="EA76" s="601">
        <f t="shared" ca="1" si="214"/>
        <v>5.1755431511618211</v>
      </c>
      <c r="EB76" s="603">
        <f t="shared" ca="1" si="215"/>
        <v>5.1755431511618211</v>
      </c>
      <c r="EC76" s="602" t="str">
        <f t="shared" si="216"/>
        <v/>
      </c>
      <c r="ED76" s="602" t="str">
        <f t="shared" si="72"/>
        <v/>
      </c>
      <c r="EE76" s="602" t="str">
        <f t="shared" si="217"/>
        <v/>
      </c>
      <c r="EF76" s="604"/>
      <c r="EG76" s="601">
        <f t="shared" ca="1" si="218"/>
        <v>11.656976344945068</v>
      </c>
      <c r="EH76" s="603">
        <f t="shared" ca="1" si="219"/>
        <v>11.656976344945068</v>
      </c>
      <c r="EI76" s="602" t="str">
        <f t="shared" si="220"/>
        <v/>
      </c>
      <c r="EJ76" s="602" t="str">
        <f t="shared" si="77"/>
        <v/>
      </c>
      <c r="EK76" s="602" t="str">
        <f t="shared" si="221"/>
        <v/>
      </c>
      <c r="EL76" s="604"/>
      <c r="EM76" s="601">
        <f t="shared" ca="1" si="222"/>
        <v>11.68588141609268</v>
      </c>
      <c r="EN76" s="603">
        <f t="shared" ca="1" si="223"/>
        <v>11.68588141609268</v>
      </c>
      <c r="EO76" s="602" t="str">
        <f t="shared" si="224"/>
        <v/>
      </c>
      <c r="EP76" s="602" t="str">
        <f t="shared" si="82"/>
        <v/>
      </c>
      <c r="EQ76" s="602" t="str">
        <f t="shared" si="225"/>
        <v/>
      </c>
      <c r="ER76" s="604"/>
      <c r="ES76" s="601">
        <f t="shared" ca="1" si="226"/>
        <v>5.9367827339498191</v>
      </c>
      <c r="ET76" s="603">
        <f t="shared" ca="1" si="227"/>
        <v>5.9367827339498191</v>
      </c>
      <c r="EU76" s="602" t="str">
        <f t="shared" si="228"/>
        <v/>
      </c>
      <c r="EV76" s="602" t="str">
        <f t="shared" si="87"/>
        <v/>
      </c>
      <c r="EW76" s="602" t="str">
        <f t="shared" si="229"/>
        <v/>
      </c>
      <c r="EX76" s="604"/>
    </row>
    <row r="77" spans="2:154">
      <c r="B77" s="600" t="s">
        <v>1767</v>
      </c>
      <c r="C77" s="3779" t="s">
        <v>1336</v>
      </c>
      <c r="D77" s="3780"/>
      <c r="E77" s="601"/>
      <c r="F77" s="603"/>
      <c r="G77" s="603"/>
      <c r="H77" s="603"/>
      <c r="I77" s="603"/>
      <c r="J77" s="604"/>
      <c r="K77" s="601">
        <f t="shared" ca="1" si="137"/>
        <v>74.25419552330203</v>
      </c>
      <c r="L77" s="603">
        <f t="shared" ca="1" si="137"/>
        <v>-21.107719145224589</v>
      </c>
      <c r="M77" s="603">
        <f t="shared" ca="1" si="137"/>
        <v>-16.253443526170809</v>
      </c>
      <c r="N77" s="603">
        <f t="shared" ca="1" si="137"/>
        <v>45.90382351118545</v>
      </c>
      <c r="O77" s="603">
        <f t="shared" ca="1" si="137"/>
        <v>31.578947368421041</v>
      </c>
      <c r="P77" s="604"/>
      <c r="Q77" s="601">
        <f t="shared" ca="1" si="138"/>
        <v>52.596707960937231</v>
      </c>
      <c r="R77" s="603">
        <f t="shared" ca="1" si="139"/>
        <v>65.273631840796014</v>
      </c>
      <c r="S77" s="603">
        <f t="shared" ca="1" si="140"/>
        <v>524.61622807017557</v>
      </c>
      <c r="T77" s="603">
        <f t="shared" ca="1" si="124"/>
        <v>31.87793327528723</v>
      </c>
      <c r="U77" s="603">
        <f t="shared" ca="1" si="141"/>
        <v>59.999999999999943</v>
      </c>
      <c r="V77" s="604"/>
      <c r="W77" s="601">
        <f t="shared" ca="1" si="142"/>
        <v>-22.037041224757481</v>
      </c>
      <c r="X77" s="603">
        <f t="shared" ca="1" si="143"/>
        <v>23.071777376413106</v>
      </c>
      <c r="Y77" s="603">
        <f t="shared" ca="1" si="144"/>
        <v>14.17537084174494</v>
      </c>
      <c r="Z77" s="603">
        <f t="shared" ca="1" si="125"/>
        <v>-39.539452495974238</v>
      </c>
      <c r="AA77" s="603">
        <f t="shared" ca="1" si="145"/>
        <v>2.1739130434782927</v>
      </c>
      <c r="AB77" s="604"/>
      <c r="AC77" s="601">
        <f t="shared" ca="1" si="146"/>
        <v>-17.64270797076226</v>
      </c>
      <c r="AD77" s="603">
        <f t="shared" ca="1" si="147"/>
        <v>-3.9515164691814153</v>
      </c>
      <c r="AE77" s="603">
        <f t="shared" ca="1" si="148"/>
        <v>21.2792127921279</v>
      </c>
      <c r="AF77" s="603">
        <f t="shared" ca="1" si="126"/>
        <v>-37.836254194854305</v>
      </c>
      <c r="AG77" s="603">
        <f t="shared" ca="1" si="149"/>
        <v>-30.638297872340438</v>
      </c>
      <c r="AH77" s="604"/>
      <c r="AI77" s="601">
        <f t="shared" ca="1" si="150"/>
        <v>-1.3048761160124767</v>
      </c>
      <c r="AJ77" s="603">
        <f t="shared" ca="1" si="151"/>
        <v>-27.802614453058684</v>
      </c>
      <c r="AK77" s="603">
        <f t="shared" ca="1" si="152"/>
        <v>-24.093559837728186</v>
      </c>
      <c r="AL77" s="603">
        <f t="shared" ca="1" si="127"/>
        <v>34.160239931448167</v>
      </c>
      <c r="AM77" s="603">
        <f t="shared" ca="1" si="153"/>
        <v>34.815950920245385</v>
      </c>
      <c r="AN77" s="604"/>
      <c r="AO77" s="601">
        <f t="shared" ca="1" si="154"/>
        <v>8.7196231666845101</v>
      </c>
      <c r="AP77" s="603">
        <f t="shared" ca="1" si="155"/>
        <v>98.385326853738817</v>
      </c>
      <c r="AQ77" s="603">
        <f t="shared" ca="1" si="156"/>
        <v>5.4864300626304763</v>
      </c>
      <c r="AR77" s="603">
        <f t="shared" ca="1" si="128"/>
        <v>-26.576821128604735</v>
      </c>
      <c r="AS77" s="603">
        <f t="shared" ca="1" si="157"/>
        <v>7.7360637087599438</v>
      </c>
      <c r="AT77" s="604"/>
      <c r="AU77" s="601">
        <f t="shared" ca="1" si="158"/>
        <v>-2.4830551589450467</v>
      </c>
      <c r="AV77" s="603">
        <f t="shared" ca="1" si="159"/>
        <v>-21.232714342157244</v>
      </c>
      <c r="AW77" s="603">
        <f t="shared" ca="1" si="160"/>
        <v>55.066497783407243</v>
      </c>
      <c r="AX77" s="603">
        <f t="shared" ca="1" si="129"/>
        <v>-13.461789395850554</v>
      </c>
      <c r="AY77" s="603">
        <f t="shared" ca="1" si="161"/>
        <v>-23.653643083421315</v>
      </c>
      <c r="AZ77" s="604"/>
      <c r="BA77" s="601">
        <f t="shared" ca="1" si="162"/>
        <v>-14.153483675530133</v>
      </c>
      <c r="BB77" s="603">
        <f t="shared" ca="1" si="163"/>
        <v>6.1145666131621201</v>
      </c>
      <c r="BC77" s="603">
        <f t="shared" ca="1" si="164"/>
        <v>-24.377169695732093</v>
      </c>
      <c r="BD77" s="603">
        <f t="shared" ca="1" si="130"/>
        <v>-24.396863691194216</v>
      </c>
      <c r="BE77" s="603">
        <f t="shared" ca="1" si="165"/>
        <v>7.3305670816044222</v>
      </c>
      <c r="BF77" s="604"/>
      <c r="BG77" s="601">
        <f t="shared" ca="1" si="166"/>
        <v>33.805136247794529</v>
      </c>
      <c r="BH77" s="603">
        <f t="shared" ca="1" si="167"/>
        <v>68.00756322382415</v>
      </c>
      <c r="BI77" s="603">
        <f t="shared" ca="1" si="168"/>
        <v>24.978059812327015</v>
      </c>
      <c r="BJ77" s="603">
        <f t="shared" ca="1" si="131"/>
        <v>-5.6043079377742222</v>
      </c>
      <c r="BK77" s="603">
        <f t="shared" ca="1" si="169"/>
        <v>16.365979381443307</v>
      </c>
      <c r="BL77" s="604"/>
      <c r="BM77" s="601">
        <f t="shared" ca="1" si="170"/>
        <v>57.14829900079117</v>
      </c>
      <c r="BN77" s="603">
        <f t="shared" ca="1" si="171"/>
        <v>78.144167463845562</v>
      </c>
      <c r="BO77" s="603">
        <f t="shared" ca="1" si="172"/>
        <v>6.8330362448009607</v>
      </c>
      <c r="BP77" s="603">
        <f t="shared" ca="1" si="132"/>
        <v>70.195084160856382</v>
      </c>
      <c r="BQ77" s="603">
        <f t="shared" ca="1" si="173"/>
        <v>10.887264673311181</v>
      </c>
      <c r="BR77" s="604"/>
      <c r="BS77" s="601">
        <f t="shared" ca="1" si="174"/>
        <v>11.543911989558087</v>
      </c>
      <c r="BT77" s="603">
        <f t="shared" ca="1" si="175"/>
        <v>-0.32219344241580794</v>
      </c>
      <c r="BU77" s="603">
        <f t="shared" ca="1" si="176"/>
        <v>79.664273435129914</v>
      </c>
      <c r="BV77" s="603">
        <f t="shared" ca="1" si="133"/>
        <v>-13.117603244227416</v>
      </c>
      <c r="BW77" s="603">
        <f t="shared" ca="1" si="177"/>
        <v>53.793103448275879</v>
      </c>
      <c r="BX77" s="604"/>
      <c r="BY77" s="601">
        <f t="shared" ca="1" si="178"/>
        <v>22.611624680296206</v>
      </c>
      <c r="BZ77" s="603">
        <f t="shared" ca="1" si="179"/>
        <v>31.648497908480167</v>
      </c>
      <c r="CA77" s="603">
        <f t="shared" ca="1" si="180"/>
        <v>9.5514155456745584</v>
      </c>
      <c r="CB77" s="603">
        <f t="shared" ca="1" si="134"/>
        <v>17.550962088016764</v>
      </c>
      <c r="CC77" s="603">
        <f t="shared" ca="1" si="181"/>
        <v>22.197309417040366</v>
      </c>
      <c r="CD77" s="604"/>
      <c r="CE77" s="601">
        <f t="shared" ca="1" si="182"/>
        <v>34.88803299362624</v>
      </c>
      <c r="CF77" s="603">
        <f t="shared" ca="1" si="183"/>
        <v>47.160773174782754</v>
      </c>
      <c r="CG77" s="603">
        <f t="shared" ca="1" si="184"/>
        <v>19.746711878339497</v>
      </c>
      <c r="CH77" s="603">
        <f t="shared" ca="1" si="135"/>
        <v>17.45472225598639</v>
      </c>
      <c r="CI77" s="603">
        <f t="shared" ca="1" si="185"/>
        <v>8.2568807339449499</v>
      </c>
      <c r="CJ77" s="604"/>
      <c r="CK77" s="601">
        <f t="shared" ca="1" si="186"/>
        <v>-10.404095535542822</v>
      </c>
      <c r="CL77" s="603">
        <f t="shared" ca="1" si="187"/>
        <v>-11.458248139363715</v>
      </c>
      <c r="CM77" s="603">
        <f t="shared" ca="1" si="188"/>
        <v>-10.155529336050616</v>
      </c>
      <c r="CN77" s="603">
        <f t="shared" ca="1" si="136"/>
        <v>-6.3575839111387094</v>
      </c>
      <c r="CO77" s="603">
        <f t="shared" ca="1" si="189"/>
        <v>-14.915254237288133</v>
      </c>
      <c r="CP77" s="604"/>
      <c r="CQ77" s="601">
        <f t="shared" ca="1" si="190"/>
        <v>17.633554631755288</v>
      </c>
      <c r="CR77" s="603">
        <f t="shared" ca="1" si="191"/>
        <v>18.45187511546278</v>
      </c>
      <c r="CS77" s="603">
        <f t="shared" ca="1" si="192"/>
        <v>-4.0591198872997332</v>
      </c>
      <c r="CT77" s="603">
        <f t="shared" ca="1" si="42"/>
        <v>47.837618802033454</v>
      </c>
      <c r="CU77" s="603">
        <f t="shared" ca="1" si="193"/>
        <v>95.617529880478088</v>
      </c>
      <c r="CV77" s="604"/>
      <c r="CW77" s="601">
        <f t="shared" ca="1" si="194"/>
        <v>1.8796541819908086</v>
      </c>
      <c r="CX77" s="603">
        <f t="shared" ca="1" si="195"/>
        <v>-7.9291306653357712</v>
      </c>
      <c r="CY77" s="603">
        <f t="shared" ca="1" si="196"/>
        <v>10.318309648838998</v>
      </c>
      <c r="CZ77" s="603">
        <f t="shared" ca="1" si="47"/>
        <v>24.773248280673755</v>
      </c>
      <c r="DA77" s="603">
        <f t="shared" ca="1" si="197"/>
        <v>-21.486761710794291</v>
      </c>
      <c r="DB77" s="604"/>
      <c r="DC77" s="601">
        <f t="shared" ca="1" si="198"/>
        <v>-20.675486776894513</v>
      </c>
      <c r="DD77" s="603">
        <f t="shared" ca="1" si="199"/>
        <v>-31.505573059592784</v>
      </c>
      <c r="DE77" s="603">
        <f t="shared" ca="1" si="200"/>
        <v>-9.817943916800143</v>
      </c>
      <c r="DF77" s="603">
        <f t="shared" ca="1" si="52"/>
        <v>-4.7509685665215411</v>
      </c>
      <c r="DG77" s="603">
        <f t="shared" ca="1" si="201"/>
        <v>-49.156939040207526</v>
      </c>
      <c r="DH77" s="604"/>
      <c r="DI77" s="601">
        <f t="shared" ca="1" si="202"/>
        <v>41.293461492820697</v>
      </c>
      <c r="DJ77" s="603">
        <f t="shared" ca="1" si="203"/>
        <v>83.19525163843204</v>
      </c>
      <c r="DK77" s="603">
        <f t="shared" ca="1" si="204"/>
        <v>8.6228893058161393</v>
      </c>
      <c r="DL77" s="603">
        <f t="shared" ca="1" si="57"/>
        <v>-2.371317748191637</v>
      </c>
      <c r="DM77" s="603">
        <f t="shared" ca="1" si="205"/>
        <v>148.97959183673467</v>
      </c>
      <c r="DN77" s="604"/>
      <c r="DO77" s="601">
        <f t="shared" ca="1" si="206"/>
        <v>6.6567003728961627</v>
      </c>
      <c r="DP77" s="603">
        <f t="shared" ca="1" si="207"/>
        <v>9.0604117448531909</v>
      </c>
      <c r="DQ77" s="603">
        <f t="shared" ca="1" si="208"/>
        <v>6.8237299064989987</v>
      </c>
      <c r="DR77" s="603">
        <f t="shared" ca="1" si="62"/>
        <v>-1.1468086934112165</v>
      </c>
      <c r="DS77" s="603">
        <f t="shared" ca="1" si="209"/>
        <v>18.75</v>
      </c>
      <c r="DT77" s="604"/>
      <c r="DU77" s="601">
        <f t="shared" ca="1" si="210"/>
        <v>-4.6592752413499809</v>
      </c>
      <c r="DV77" s="603">
        <f t="shared" ca="1" si="211"/>
        <v>-13.5499124234866</v>
      </c>
      <c r="DW77" s="603">
        <f t="shared" ca="1" si="212"/>
        <v>7.6490244691171716</v>
      </c>
      <c r="DX77" s="603">
        <f t="shared" ca="1" si="67"/>
        <v>14.145122746035188</v>
      </c>
      <c r="DY77" s="603">
        <f t="shared" ca="1" si="213"/>
        <v>-19.154443485763583</v>
      </c>
      <c r="DZ77" s="604"/>
      <c r="EA77" s="601">
        <f t="shared" ca="1" si="214"/>
        <v>-0.3501903747202384</v>
      </c>
      <c r="EB77" s="603">
        <f t="shared" ca="1" si="215"/>
        <v>4.7121993127147599</v>
      </c>
      <c r="EC77" s="603">
        <f t="shared" ca="1" si="216"/>
        <v>-1.0834518254460912</v>
      </c>
      <c r="ED77" s="603">
        <f t="shared" ca="1" si="72"/>
        <v>-13.111665175767484</v>
      </c>
      <c r="EE77" s="603">
        <f t="shared" ca="1" si="217"/>
        <v>-18.134471718249767</v>
      </c>
      <c r="EF77" s="604"/>
      <c r="EG77" s="601">
        <f t="shared" ca="1" si="218"/>
        <v>5.480535419757504</v>
      </c>
      <c r="EH77" s="603">
        <f t="shared" ca="1" si="219"/>
        <v>5.0000000000000044</v>
      </c>
      <c r="EI77" s="603">
        <f t="shared" ca="1" si="220"/>
        <v>5.0000000000000044</v>
      </c>
      <c r="EJ77" s="603">
        <f t="shared" ca="1" si="77"/>
        <v>7.5399999999999912</v>
      </c>
      <c r="EK77" s="603">
        <f t="shared" ca="1" si="221"/>
        <v>3.7047515252646601</v>
      </c>
      <c r="EL77" s="604"/>
      <c r="EM77" s="601">
        <f t="shared" ca="1" si="222"/>
        <v>5.6750834152681229</v>
      </c>
      <c r="EN77" s="603">
        <f t="shared" ca="1" si="223"/>
        <v>5.0000000000000044</v>
      </c>
      <c r="EO77" s="603">
        <f t="shared" ca="1" si="224"/>
        <v>5.0000000000000044</v>
      </c>
      <c r="EP77" s="603">
        <f t="shared" ca="1" si="82"/>
        <v>8.4999999999999964</v>
      </c>
      <c r="EQ77" s="603">
        <f t="shared" ca="1" si="225"/>
        <v>4.6394386599450943</v>
      </c>
      <c r="ER77" s="604"/>
      <c r="ES77" s="601">
        <f t="shared" ca="1" si="226"/>
        <v>5.6931298106362327</v>
      </c>
      <c r="ET77" s="603">
        <f t="shared" ca="1" si="227"/>
        <v>5.0000000000000044</v>
      </c>
      <c r="EU77" s="603">
        <f t="shared" ca="1" si="228"/>
        <v>5.0000000000000044</v>
      </c>
      <c r="EV77" s="603">
        <f t="shared" ca="1" si="87"/>
        <v>8.4999999999999964</v>
      </c>
      <c r="EW77" s="603">
        <f t="shared" ca="1" si="229"/>
        <v>4.1792342246264713</v>
      </c>
      <c r="EX77" s="604"/>
    </row>
    <row r="78" spans="2:154">
      <c r="B78" s="600" t="s">
        <v>1769</v>
      </c>
      <c r="C78" s="3777" t="s">
        <v>1337</v>
      </c>
      <c r="D78" s="3778"/>
      <c r="E78" s="3455"/>
      <c r="F78" s="3455"/>
      <c r="G78" s="3455"/>
      <c r="H78" s="3455"/>
      <c r="I78" s="3455"/>
      <c r="J78" s="604"/>
      <c r="K78" s="3455">
        <f t="shared" ca="1" si="137"/>
        <v>24.762509237407304</v>
      </c>
      <c r="L78" s="3455">
        <f t="shared" ca="1" si="137"/>
        <v>24.399494517407771</v>
      </c>
      <c r="M78" s="3455">
        <f t="shared" ca="1" si="137"/>
        <v>32.864442690374233</v>
      </c>
      <c r="N78" s="3455">
        <f t="shared" ca="1" si="137"/>
        <v>22.014550790875266</v>
      </c>
      <c r="O78" s="3455" t="str">
        <f t="shared" si="137"/>
        <v/>
      </c>
      <c r="P78" s="604"/>
      <c r="Q78" s="3455">
        <f t="shared" ca="1" si="138"/>
        <v>24.269731442051047</v>
      </c>
      <c r="R78" s="3455">
        <f t="shared" ca="1" si="139"/>
        <v>22.516330304609244</v>
      </c>
      <c r="S78" s="3455">
        <f t="shared" ca="1" si="140"/>
        <v>5.9552620552940416</v>
      </c>
      <c r="T78" s="3455">
        <f t="shared" ca="1" si="124"/>
        <v>37.028748545220139</v>
      </c>
      <c r="U78" s="3455" t="str">
        <f t="shared" si="141"/>
        <v/>
      </c>
      <c r="V78" s="604"/>
      <c r="W78" s="3455">
        <f t="shared" ca="1" si="142"/>
        <v>10.961762441012567</v>
      </c>
      <c r="X78" s="3455">
        <f t="shared" ca="1" si="143"/>
        <v>16.949817083295372</v>
      </c>
      <c r="Y78" s="3455">
        <f t="shared" ca="1" si="144"/>
        <v>-14.337315265121164</v>
      </c>
      <c r="Z78" s="3455">
        <f t="shared" ca="1" si="125"/>
        <v>8.1162160568897015</v>
      </c>
      <c r="AA78" s="3455" t="str">
        <f t="shared" si="145"/>
        <v/>
      </c>
      <c r="AB78" s="604"/>
      <c r="AC78" s="3455">
        <f t="shared" ca="1" si="146"/>
        <v>-1.7558577184819457</v>
      </c>
      <c r="AD78" s="3455">
        <f t="shared" ca="1" si="147"/>
        <v>0.87138605617431697</v>
      </c>
      <c r="AE78" s="3455">
        <f t="shared" ca="1" si="148"/>
        <v>-10.097147581645293</v>
      </c>
      <c r="AF78" s="3455">
        <f t="shared" ca="1" si="126"/>
        <v>-5.1031741864607572</v>
      </c>
      <c r="AG78" s="3455" t="str">
        <f t="shared" si="149"/>
        <v/>
      </c>
      <c r="AH78" s="604"/>
      <c r="AI78" s="3455">
        <f t="shared" ca="1" si="150"/>
        <v>4.2916187466171873</v>
      </c>
      <c r="AJ78" s="3455">
        <f t="shared" ca="1" si="151"/>
        <v>6.2120081146217476</v>
      </c>
      <c r="AK78" s="3455">
        <f t="shared" ca="1" si="152"/>
        <v>-0.76483887036820075</v>
      </c>
      <c r="AL78" s="3455">
        <f t="shared" ca="1" si="127"/>
        <v>1.1953301894823243</v>
      </c>
      <c r="AM78" s="3455" t="str">
        <f t="shared" si="153"/>
        <v/>
      </c>
      <c r="AN78" s="604"/>
      <c r="AO78" s="3455">
        <f t="shared" ca="1" si="154"/>
        <v>5.5338360439208811</v>
      </c>
      <c r="AP78" s="3455">
        <f t="shared" ca="1" si="155"/>
        <v>3.8302711113771037</v>
      </c>
      <c r="AQ78" s="3455">
        <f t="shared" ca="1" si="156"/>
        <v>40.326055897503132</v>
      </c>
      <c r="AR78" s="3455">
        <f t="shared" ca="1" si="128"/>
        <v>0.25003732685071611</v>
      </c>
      <c r="AS78" s="3455" t="str">
        <f t="shared" si="157"/>
        <v/>
      </c>
      <c r="AT78" s="604"/>
      <c r="AU78" s="3455">
        <f t="shared" ca="1" si="158"/>
        <v>5.4127608588399045</v>
      </c>
      <c r="AV78" s="3455">
        <f t="shared" ca="1" si="159"/>
        <v>5.4448589050007046</v>
      </c>
      <c r="AW78" s="3455">
        <f t="shared" ca="1" si="160"/>
        <v>10.520957161097266</v>
      </c>
      <c r="AX78" s="3455">
        <f t="shared" ca="1" si="129"/>
        <v>3.3839712366640295</v>
      </c>
      <c r="AY78" s="3455" t="str">
        <f t="shared" si="161"/>
        <v/>
      </c>
      <c r="AZ78" s="604"/>
      <c r="BA78" s="3455">
        <f t="shared" ca="1" si="162"/>
        <v>7.7937925008547904</v>
      </c>
      <c r="BB78" s="3455">
        <f t="shared" ca="1" si="163"/>
        <v>6.6126848223503343</v>
      </c>
      <c r="BC78" s="3455">
        <f t="shared" ca="1" si="164"/>
        <v>19.33662316192035</v>
      </c>
      <c r="BD78" s="3455">
        <f t="shared" ca="1" si="130"/>
        <v>6.1592776706908881</v>
      </c>
      <c r="BE78" s="3455" t="str">
        <f t="shared" si="165"/>
        <v/>
      </c>
      <c r="BF78" s="604"/>
      <c r="BG78" s="3455">
        <f t="shared" ca="1" si="166"/>
        <v>11.495790595519306</v>
      </c>
      <c r="BH78" s="3455">
        <f t="shared" ca="1" si="167"/>
        <v>16.551973179669677</v>
      </c>
      <c r="BI78" s="3455">
        <f t="shared" ca="1" si="168"/>
        <v>-17.003333987056411</v>
      </c>
      <c r="BJ78" s="3455">
        <f t="shared" ca="1" si="131"/>
        <v>11.356330011505978</v>
      </c>
      <c r="BK78" s="3455" t="str">
        <f t="shared" si="169"/>
        <v/>
      </c>
      <c r="BL78" s="604"/>
      <c r="BM78" s="3455">
        <f t="shared" ca="1" si="170"/>
        <v>17.407521200236211</v>
      </c>
      <c r="BN78" s="3455">
        <f t="shared" ca="1" si="171"/>
        <v>11.207913997307696</v>
      </c>
      <c r="BO78" s="3455">
        <f t="shared" ca="1" si="172"/>
        <v>68.780416683425344</v>
      </c>
      <c r="BP78" s="3455">
        <f t="shared" ca="1" si="132"/>
        <v>16.800915858110631</v>
      </c>
      <c r="BQ78" s="3455" t="str">
        <f t="shared" si="173"/>
        <v/>
      </c>
      <c r="BR78" s="604"/>
      <c r="BS78" s="3455">
        <f t="shared" ca="1" si="174"/>
        <v>14.875041595366723</v>
      </c>
      <c r="BT78" s="3455">
        <f t="shared" ca="1" si="175"/>
        <v>15.791273133745531</v>
      </c>
      <c r="BU78" s="3455">
        <f t="shared" ca="1" si="176"/>
        <v>6.6956399998807203</v>
      </c>
      <c r="BV78" s="3455">
        <f t="shared" ca="1" si="133"/>
        <v>16.527628583898224</v>
      </c>
      <c r="BW78" s="3455" t="str">
        <f t="shared" si="177"/>
        <v/>
      </c>
      <c r="BX78" s="604"/>
      <c r="BY78" s="3455">
        <f t="shared" ca="1" si="178"/>
        <v>19.215749506820167</v>
      </c>
      <c r="BZ78" s="3455">
        <f t="shared" ca="1" si="179"/>
        <v>10.586676987243916</v>
      </c>
      <c r="CA78" s="3455">
        <f t="shared" ca="1" si="180"/>
        <v>69.29302686570513</v>
      </c>
      <c r="CB78" s="3455">
        <f t="shared" ca="1" si="134"/>
        <v>18.892508143322484</v>
      </c>
      <c r="CC78" s="3455" t="str">
        <f t="shared" si="181"/>
        <v/>
      </c>
      <c r="CD78" s="604"/>
      <c r="CE78" s="3455">
        <f t="shared" ca="1" si="182"/>
        <v>15.958102102076911</v>
      </c>
      <c r="CF78" s="3455">
        <f t="shared" ca="1" si="183"/>
        <v>18.382055695308708</v>
      </c>
      <c r="CG78" s="3455">
        <f t="shared" ca="1" si="184"/>
        <v>7.3398429061212855</v>
      </c>
      <c r="CH78" s="3455">
        <f t="shared" ca="1" si="135"/>
        <v>15.675518007626298</v>
      </c>
      <c r="CI78" s="3455" t="str">
        <f t="shared" si="185"/>
        <v/>
      </c>
      <c r="CJ78" s="604"/>
      <c r="CK78" s="3455">
        <f t="shared" ca="1" si="186"/>
        <v>-11.64836719825656</v>
      </c>
      <c r="CL78" s="3455">
        <f t="shared" ca="1" si="187"/>
        <v>-9.8079382825725592</v>
      </c>
      <c r="CM78" s="3455">
        <f t="shared" ca="1" si="188"/>
        <v>-9.2733566140264951</v>
      </c>
      <c r="CN78" s="3455">
        <f t="shared" ca="1" si="136"/>
        <v>-17.59260872395776</v>
      </c>
      <c r="CO78" s="3455" t="str">
        <f t="shared" si="189"/>
        <v/>
      </c>
      <c r="CP78" s="604"/>
      <c r="CQ78" s="3455">
        <f t="shared" ca="1" si="190"/>
        <v>-1.0962273578661863</v>
      </c>
      <c r="CR78" s="3455">
        <f t="shared" ca="1" si="191"/>
        <v>-0.11689191507234797</v>
      </c>
      <c r="CS78" s="3455">
        <f t="shared" ca="1" si="192"/>
        <v>-3.1515383456075519</v>
      </c>
      <c r="CT78" s="3455">
        <f t="shared" ca="1" si="42"/>
        <v>-2.382051826985232</v>
      </c>
      <c r="CU78" s="3455" t="str">
        <f t="shared" si="193"/>
        <v/>
      </c>
      <c r="CV78" s="604"/>
      <c r="CW78" s="3455">
        <f t="shared" ca="1" si="194"/>
        <v>7.4259003450827255</v>
      </c>
      <c r="CX78" s="3455">
        <f t="shared" ca="1" si="195"/>
        <v>5.5480217057638503</v>
      </c>
      <c r="CY78" s="3455">
        <f t="shared" ca="1" si="196"/>
        <v>15.183607669523846</v>
      </c>
      <c r="CZ78" s="3455">
        <f t="shared" ca="1" si="47"/>
        <v>7.5410942274878101</v>
      </c>
      <c r="DA78" s="3455" t="str">
        <f t="shared" si="197"/>
        <v/>
      </c>
      <c r="DB78" s="604"/>
      <c r="DC78" s="3455">
        <f t="shared" ca="1" si="198"/>
        <v>5.2680284125962151</v>
      </c>
      <c r="DD78" s="3455">
        <f t="shared" ca="1" si="199"/>
        <v>3.225162698989914</v>
      </c>
      <c r="DE78" s="3455">
        <f t="shared" ca="1" si="200"/>
        <v>12.891850659946957</v>
      </c>
      <c r="DF78" s="3455">
        <f t="shared" ca="1" si="52"/>
        <v>5.4674648532229808</v>
      </c>
      <c r="DG78" s="3455" t="str">
        <f t="shared" si="201"/>
        <v/>
      </c>
      <c r="DH78" s="604"/>
      <c r="DI78" s="3455">
        <f t="shared" ca="1" si="202"/>
        <v>6.2809599373406799</v>
      </c>
      <c r="DJ78" s="3455">
        <f t="shared" ca="1" si="203"/>
        <v>5.8524879511734351</v>
      </c>
      <c r="DK78" s="3455">
        <f t="shared" ca="1" si="204"/>
        <v>10.640426413084958</v>
      </c>
      <c r="DL78" s="3455">
        <f t="shared" ca="1" si="57"/>
        <v>4.1564494862600609</v>
      </c>
      <c r="DM78" s="3455" t="str">
        <f t="shared" si="205"/>
        <v/>
      </c>
      <c r="DN78" s="604"/>
      <c r="DO78" s="3455">
        <f t="shared" ca="1" si="206"/>
        <v>5.5842316031711414</v>
      </c>
      <c r="DP78" s="3455">
        <f t="shared" ca="1" si="207"/>
        <v>2.6901789254426545</v>
      </c>
      <c r="DQ78" s="3455">
        <f t="shared" ca="1" si="208"/>
        <v>13.947818731587812</v>
      </c>
      <c r="DR78" s="3455">
        <f t="shared" ca="1" si="62"/>
        <v>6.7263596146331261</v>
      </c>
      <c r="DS78" s="3455" t="str">
        <f t="shared" si="209"/>
        <v/>
      </c>
      <c r="DT78" s="604"/>
      <c r="DU78" s="3455">
        <f t="shared" ca="1" si="210"/>
        <v>0.60443093065360998</v>
      </c>
      <c r="DV78" s="3455">
        <f t="shared" ca="1" si="211"/>
        <v>3.8284167654359713</v>
      </c>
      <c r="DW78" s="3455">
        <f t="shared" ca="1" si="212"/>
        <v>-17.397903134632376</v>
      </c>
      <c r="DX78" s="3455">
        <f t="shared" ca="1" si="67"/>
        <v>7.5223663084200254</v>
      </c>
      <c r="DY78" s="3455" t="str">
        <f t="shared" si="213"/>
        <v/>
      </c>
      <c r="DZ78" s="604"/>
      <c r="EA78" s="3455">
        <f t="shared" ca="1" si="214"/>
        <v>4.0894729494330262</v>
      </c>
      <c r="EB78" s="3455">
        <f t="shared" ca="1" si="215"/>
        <v>6.0100900132022739</v>
      </c>
      <c r="EC78" s="3455">
        <f t="shared" ca="1" si="216"/>
        <v>-7.1554833053356637</v>
      </c>
      <c r="ED78" s="3455">
        <f t="shared" ca="1" si="72"/>
        <v>6.6134436470800972</v>
      </c>
      <c r="EE78" s="3455" t="str">
        <f t="shared" si="217"/>
        <v/>
      </c>
      <c r="EF78" s="604"/>
      <c r="EG78" s="3455">
        <f t="shared" ca="1" si="218"/>
        <v>8.9331053105052849</v>
      </c>
      <c r="EH78" s="3455">
        <f t="shared" ca="1" si="219"/>
        <v>7.70279225025714</v>
      </c>
      <c r="EI78" s="3455">
        <f t="shared" ca="1" si="220"/>
        <v>12.755912924239166</v>
      </c>
      <c r="EJ78" s="3455">
        <f t="shared" ca="1" si="77"/>
        <v>9.8217061696860064</v>
      </c>
      <c r="EK78" s="3455" t="str">
        <f t="shared" si="221"/>
        <v/>
      </c>
      <c r="EL78" s="604"/>
      <c r="EM78" s="3455">
        <f t="shared" ca="1" si="222"/>
        <v>6.2802827645611181</v>
      </c>
      <c r="EN78" s="3455">
        <f t="shared" ca="1" si="223"/>
        <v>5.7836899865890246</v>
      </c>
      <c r="EO78" s="3455">
        <f t="shared" ca="1" si="224"/>
        <v>7.409793008471155</v>
      </c>
      <c r="EP78" s="3455">
        <f t="shared" ca="1" si="82"/>
        <v>6.8325179910608824</v>
      </c>
      <c r="EQ78" s="3455" t="str">
        <f t="shared" si="225"/>
        <v/>
      </c>
      <c r="ER78" s="604"/>
      <c r="ES78" s="3455">
        <f t="shared" ca="1" si="226"/>
        <v>5.7209908234911788</v>
      </c>
      <c r="ET78" s="3455">
        <f t="shared" ca="1" si="227"/>
        <v>5.3057767508145615</v>
      </c>
      <c r="EU78" s="3455">
        <f t="shared" ca="1" si="228"/>
        <v>7.94394143377255</v>
      </c>
      <c r="EV78" s="3455">
        <f t="shared" ca="1" si="87"/>
        <v>5.4213996252084229</v>
      </c>
      <c r="EW78" s="3455" t="str">
        <f t="shared" si="229"/>
        <v/>
      </c>
      <c r="EX78" s="604"/>
    </row>
    <row r="79" spans="2:154">
      <c r="B79" s="600" t="s">
        <v>401</v>
      </c>
      <c r="C79" s="3780" t="s">
        <v>1338</v>
      </c>
      <c r="D79" s="3780"/>
      <c r="E79" s="601"/>
      <c r="F79" s="603"/>
      <c r="G79" s="603"/>
      <c r="H79" s="603"/>
      <c r="I79" s="603"/>
      <c r="J79" s="556"/>
      <c r="K79" s="601">
        <f t="shared" ca="1" si="137"/>
        <v>19.080005514452438</v>
      </c>
      <c r="L79" s="603">
        <f t="shared" ca="1" si="137"/>
        <v>34.942934176650638</v>
      </c>
      <c r="M79" s="603">
        <f t="shared" ca="1" si="137"/>
        <v>-29.967406293092623</v>
      </c>
      <c r="N79" s="603" t="str">
        <f t="shared" ca="1" si="137"/>
        <v>N</v>
      </c>
      <c r="O79" s="603" t="str">
        <f t="shared" ca="1" si="137"/>
        <v>N</v>
      </c>
      <c r="P79" s="556" t="str">
        <f ca="1">IF(ROUND(P30,2)=0,"ok","!")</f>
        <v>ok</v>
      </c>
      <c r="Q79" s="601">
        <f t="shared" ca="1" si="138"/>
        <v>31.878465120467215</v>
      </c>
      <c r="R79" s="603">
        <f t="shared" ca="1" si="139"/>
        <v>26.998768139891261</v>
      </c>
      <c r="S79" s="603">
        <f t="shared" ca="1" si="140"/>
        <v>60.950505683343771</v>
      </c>
      <c r="T79" s="603" t="str">
        <f t="shared" ca="1" si="124"/>
        <v>N</v>
      </c>
      <c r="U79" s="603" t="str">
        <f t="shared" ca="1" si="141"/>
        <v>N</v>
      </c>
      <c r="V79" s="556" t="str">
        <f ca="1">IF(ROUND(V30,2)=0,"ok","!")</f>
        <v>ok</v>
      </c>
      <c r="W79" s="601">
        <f t="shared" ca="1" si="142"/>
        <v>14.161001160737818</v>
      </c>
      <c r="X79" s="603">
        <f t="shared" ca="1" si="143"/>
        <v>18.566798362866411</v>
      </c>
      <c r="Y79" s="603">
        <f t="shared" ca="1" si="144"/>
        <v>-6.550631151643227</v>
      </c>
      <c r="Z79" s="603" t="str">
        <f t="shared" ca="1" si="125"/>
        <v>N</v>
      </c>
      <c r="AA79" s="603" t="str">
        <f t="shared" ca="1" si="145"/>
        <v>N</v>
      </c>
      <c r="AB79" s="556" t="str">
        <f ca="1">IF(ROUND(AB30,2)=0,"ok","!")</f>
        <v>ok</v>
      </c>
      <c r="AC79" s="601">
        <f t="shared" ca="1" si="146"/>
        <v>-0.92191491724981089</v>
      </c>
      <c r="AD79" s="603">
        <f t="shared" ca="1" si="147"/>
        <v>5.2636829818225372</v>
      </c>
      <c r="AE79" s="603">
        <f t="shared" ca="1" si="148"/>
        <v>-37.816126152930686</v>
      </c>
      <c r="AF79" s="603" t="str">
        <f t="shared" ca="1" si="126"/>
        <v>N</v>
      </c>
      <c r="AG79" s="603" t="str">
        <f t="shared" ca="1" si="149"/>
        <v>N</v>
      </c>
      <c r="AH79" s="556" t="str">
        <f ca="1">IF(ROUND(AH30,2)=0,"ok","!")</f>
        <v>ok</v>
      </c>
      <c r="AI79" s="601">
        <f t="shared" ca="1" si="150"/>
        <v>-3.5443256295274117</v>
      </c>
      <c r="AJ79" s="603">
        <f t="shared" ca="1" si="151"/>
        <v>-2.5466780399962086</v>
      </c>
      <c r="AK79" s="603">
        <f t="shared" ca="1" si="152"/>
        <v>-13.617224880382784</v>
      </c>
      <c r="AL79" s="603" t="str">
        <f t="shared" ca="1" si="127"/>
        <v>N</v>
      </c>
      <c r="AM79" s="603" t="str">
        <f t="shared" ca="1" si="153"/>
        <v>N</v>
      </c>
      <c r="AN79" s="556" t="str">
        <f ca="1">IF(ROUND(AN30,2)=0,"ok","!")</f>
        <v>ok</v>
      </c>
      <c r="AO79" s="601">
        <f t="shared" ca="1" si="154"/>
        <v>-1.5216808225301581</v>
      </c>
      <c r="AP79" s="603">
        <f t="shared" ca="1" si="155"/>
        <v>-0.17797574472635525</v>
      </c>
      <c r="AQ79" s="603">
        <f t="shared" ca="1" si="156"/>
        <v>-16.82729589010745</v>
      </c>
      <c r="AR79" s="603" t="str">
        <f t="shared" ca="1" si="128"/>
        <v>N</v>
      </c>
      <c r="AS79" s="603" t="str">
        <f t="shared" ca="1" si="157"/>
        <v>N</v>
      </c>
      <c r="AT79" s="556" t="str">
        <f ca="1">IF(ROUND(AT30,2)=0,"ok","!")</f>
        <v>ok</v>
      </c>
      <c r="AU79" s="601">
        <f t="shared" ca="1" si="158"/>
        <v>2.4212877219740525</v>
      </c>
      <c r="AV79" s="603">
        <f t="shared" ca="1" si="159"/>
        <v>1.2305144193296647</v>
      </c>
      <c r="AW79" s="603">
        <f t="shared" ca="1" si="160"/>
        <v>18.660095897709116</v>
      </c>
      <c r="AX79" s="603" t="str">
        <f t="shared" ca="1" si="129"/>
        <v>N</v>
      </c>
      <c r="AY79" s="603" t="str">
        <f t="shared" ca="1" si="161"/>
        <v>N</v>
      </c>
      <c r="AZ79" s="556" t="str">
        <f ca="1">IF(ROUND(AZ30,2)=0,"ok","!")</f>
        <v>ok</v>
      </c>
      <c r="BA79" s="601">
        <f t="shared" ca="1" si="162"/>
        <v>16.4517129814298</v>
      </c>
      <c r="BB79" s="603">
        <f t="shared" ca="1" si="163"/>
        <v>4.5629096368728694</v>
      </c>
      <c r="BC79" s="603">
        <f t="shared" ca="1" si="164"/>
        <v>154.97811202155125</v>
      </c>
      <c r="BD79" s="603">
        <f t="shared" ca="1" si="130"/>
        <v>400</v>
      </c>
      <c r="BE79" s="603" t="str">
        <f t="shared" ca="1" si="165"/>
        <v>N</v>
      </c>
      <c r="BF79" s="556" t="str">
        <f ca="1">IF(ROUND(BF30,2)=0,"ok","!")</f>
        <v>ok</v>
      </c>
      <c r="BG79" s="601">
        <f t="shared" ca="1" si="166"/>
        <v>20.1674595623216</v>
      </c>
      <c r="BH79" s="603">
        <f t="shared" ca="1" si="167"/>
        <v>14.197746769264752</v>
      </c>
      <c r="BI79" s="603">
        <f t="shared" ca="1" si="168"/>
        <v>48.657334037682688</v>
      </c>
      <c r="BJ79" s="603">
        <f t="shared" ca="1" si="131"/>
        <v>113.33333333333333</v>
      </c>
      <c r="BK79" s="603" t="str">
        <f t="shared" ca="1" si="169"/>
        <v>N</v>
      </c>
      <c r="BL79" s="556" t="str">
        <f ca="1">IF(ROUND(BL30,2)=0,"ok","!")</f>
        <v>ok</v>
      </c>
      <c r="BM79" s="601">
        <f t="shared" ca="1" si="170"/>
        <v>18.955469690251459</v>
      </c>
      <c r="BN79" s="603">
        <f t="shared" ca="1" si="171"/>
        <v>16.168422410110495</v>
      </c>
      <c r="BO79" s="603">
        <f t="shared" ca="1" si="172"/>
        <v>29.236874056086947</v>
      </c>
      <c r="BP79" s="603">
        <f t="shared" ca="1" si="132"/>
        <v>-25</v>
      </c>
      <c r="BQ79" s="603" t="e">
        <f t="shared" ca="1" si="173"/>
        <v>#VALUE!</v>
      </c>
      <c r="BR79" s="556" t="e">
        <f ca="1">IF(ROUND(BR30,2)=0,"ok","!")</f>
        <v>#VALUE!</v>
      </c>
      <c r="BS79" s="601">
        <f t="shared" ca="1" si="174"/>
        <v>22.417529753188315</v>
      </c>
      <c r="BT79" s="603">
        <f t="shared" ca="1" si="175"/>
        <v>13.489304720077167</v>
      </c>
      <c r="BU79" s="603">
        <f t="shared" ca="1" si="176"/>
        <v>51.755189954630843</v>
      </c>
      <c r="BV79" s="603">
        <f t="shared" ca="1" si="133"/>
        <v>291.66666666666669</v>
      </c>
      <c r="BW79" s="603" t="e">
        <f t="shared" ca="1" si="177"/>
        <v>#VALUE!</v>
      </c>
      <c r="BX79" s="556" t="e">
        <f ca="1">IF(ROUND(BX30,2)=0,"ok","!")</f>
        <v>#VALUE!</v>
      </c>
      <c r="BY79" s="601">
        <f t="shared" ca="1" si="178"/>
        <v>14.532349691597002</v>
      </c>
      <c r="BZ79" s="603">
        <f t="shared" ca="1" si="179"/>
        <v>16.076810681600051</v>
      </c>
      <c r="CA79" s="603">
        <f t="shared" ca="1" si="180"/>
        <v>10.740008153527913</v>
      </c>
      <c r="CB79" s="603">
        <f t="shared" ca="1" si="134"/>
        <v>-1.0638297872340496</v>
      </c>
      <c r="CC79" s="603" t="e">
        <f t="shared" ca="1" si="181"/>
        <v>#VALUE!</v>
      </c>
      <c r="CD79" s="556" t="e">
        <f ca="1">IF(ROUND(CD30,2)=0,"ok","!")</f>
        <v>#VALUE!</v>
      </c>
      <c r="CE79" s="601">
        <f t="shared" ca="1" si="182"/>
        <v>14.90526123895286</v>
      </c>
      <c r="CF79" s="603">
        <f t="shared" ca="1" si="183"/>
        <v>12.589272547243358</v>
      </c>
      <c r="CG79" s="603">
        <f t="shared" ca="1" si="184"/>
        <v>20.816176270077193</v>
      </c>
      <c r="CH79" s="603">
        <f t="shared" ca="1" si="135"/>
        <v>81.720430107526852</v>
      </c>
      <c r="CI79" s="603" t="e">
        <f t="shared" ca="1" si="185"/>
        <v>#VALUE!</v>
      </c>
      <c r="CJ79" s="556" t="str">
        <f ca="1">IF(ROUND(CJ30,2)=0,"ok","!")</f>
        <v>ok</v>
      </c>
      <c r="CK79" s="601">
        <f t="shared" ca="1" si="186"/>
        <v>-47.270690036985755</v>
      </c>
      <c r="CL79" s="603">
        <f t="shared" ca="1" si="187"/>
        <v>-48.260053983000503</v>
      </c>
      <c r="CM79" s="603">
        <f t="shared" ca="1" si="188"/>
        <v>-44.864517148370943</v>
      </c>
      <c r="CN79" s="603">
        <f t="shared" ca="1" si="136"/>
        <v>-57.396449704142007</v>
      </c>
      <c r="CO79" s="603">
        <f t="shared" ca="1" si="189"/>
        <v>-133.33333333333334</v>
      </c>
      <c r="CP79" s="556" t="str">
        <f ca="1">IF(ROUND(CP30,2)=0,"ok","!")</f>
        <v>ok</v>
      </c>
      <c r="CQ79" s="601">
        <f t="shared" ca="1" si="190"/>
        <v>-17.507459318506633</v>
      </c>
      <c r="CR79" s="603">
        <f t="shared" ca="1" si="191"/>
        <v>-5.9924958184530475</v>
      </c>
      <c r="CS79" s="603">
        <f t="shared" ca="1" si="192"/>
        <v>-43.516528502712113</v>
      </c>
      <c r="CT79" s="603">
        <f t="shared" ca="1" si="42"/>
        <v>-58.333333333333329</v>
      </c>
      <c r="CU79" s="603">
        <f t="shared" ca="1" si="193"/>
        <v>-833.33333333333326</v>
      </c>
      <c r="CV79" s="556" t="str">
        <f ca="1">IF(ROUND(CV30,2)=0,"ok","!")</f>
        <v>ok</v>
      </c>
      <c r="CW79" s="601">
        <f t="shared" ca="1" si="194"/>
        <v>4.5652801629154416</v>
      </c>
      <c r="CX79" s="603">
        <f t="shared" ca="1" si="195"/>
        <v>8.0267751521970965</v>
      </c>
      <c r="CY79" s="603">
        <f t="shared" ca="1" si="196"/>
        <v>-8.6936039137524794</v>
      </c>
      <c r="CZ79" s="603">
        <f t="shared" ca="1" si="47"/>
        <v>203.33333333333331</v>
      </c>
      <c r="DA79" s="603">
        <f t="shared" ca="1" si="197"/>
        <v>-22.72727272727272</v>
      </c>
      <c r="DB79" s="556" t="str">
        <f ca="1">IF(ROUND(DB30,2)=0,"ok","!")</f>
        <v>ok</v>
      </c>
      <c r="DC79" s="601">
        <f t="shared" ca="1" si="198"/>
        <v>17.085240898190545</v>
      </c>
      <c r="DD79" s="603">
        <f t="shared" ca="1" si="199"/>
        <v>4.9028248889363635</v>
      </c>
      <c r="DE79" s="603">
        <f t="shared" ca="1" si="200"/>
        <v>70.741387521828841</v>
      </c>
      <c r="DF79" s="603">
        <f t="shared" ca="1" si="52"/>
        <v>197.80219780219781</v>
      </c>
      <c r="DG79" s="603">
        <f t="shared" ca="1" si="201"/>
        <v>-76.470588235294116</v>
      </c>
      <c r="DH79" s="556" t="str">
        <f ca="1">IF(ROUND(DH30,2)=0,"ok","!")</f>
        <v>ok</v>
      </c>
      <c r="DI79" s="601">
        <f t="shared" ca="1" si="202"/>
        <v>8.1522582407011157</v>
      </c>
      <c r="DJ79" s="603">
        <f t="shared" ca="1" si="203"/>
        <v>7.4335907663583445</v>
      </c>
      <c r="DK79" s="603">
        <f t="shared" ca="1" si="204"/>
        <v>10.471873547187371</v>
      </c>
      <c r="DL79" s="603">
        <f t="shared" ca="1" si="57"/>
        <v>-47.601476014760159</v>
      </c>
      <c r="DM79" s="603">
        <f t="shared" ca="1" si="205"/>
        <v>50</v>
      </c>
      <c r="DN79" s="556" t="str">
        <f ca="1">IF(ROUND(DN30,2)=0,"ok","!")</f>
        <v>ok</v>
      </c>
      <c r="DO79" s="601">
        <f t="shared" ca="1" si="206"/>
        <v>5.2250711596731225</v>
      </c>
      <c r="DP79" s="603">
        <f t="shared" ca="1" si="207"/>
        <v>5.3677649716799891</v>
      </c>
      <c r="DQ79" s="603">
        <f t="shared" ca="1" si="208"/>
        <v>4.8963703314045093</v>
      </c>
      <c r="DR79" s="603">
        <f t="shared" ca="1" si="62"/>
        <v>-11.971830985915478</v>
      </c>
      <c r="DS79" s="603">
        <f t="shared" ca="1" si="209"/>
        <v>-150</v>
      </c>
      <c r="DT79" s="556" t="str">
        <f ca="1">IF(ROUND(DT30,2)=0,"ok","!")</f>
        <v>ok</v>
      </c>
      <c r="DU79" s="601">
        <f t="shared" ca="1" si="210"/>
        <v>10.756922137204761</v>
      </c>
      <c r="DV79" s="603">
        <f t="shared" ca="1" si="211"/>
        <v>9.2312421279913792</v>
      </c>
      <c r="DW79" s="603">
        <f t="shared" ca="1" si="212"/>
        <v>14.87202118270079</v>
      </c>
      <c r="DX79" s="603">
        <f t="shared" ca="1" si="67"/>
        <v>-2.4000000000000021</v>
      </c>
      <c r="DY79" s="603">
        <f t="shared" ca="1" si="213"/>
        <v>-66.666666666666671</v>
      </c>
      <c r="DZ79" s="556" t="str">
        <f ca="1">IF(ROUND(DZ30,2)=0,"ok","!")</f>
        <v>ok</v>
      </c>
      <c r="EA79" s="601">
        <f t="shared" ca="1" si="214"/>
        <v>7.5909102100105708</v>
      </c>
      <c r="EB79" s="603">
        <f t="shared" ca="1" si="215"/>
        <v>6.8903271858720361</v>
      </c>
      <c r="EC79" s="603">
        <f t="shared" ca="1" si="216"/>
        <v>9.2375929871127518</v>
      </c>
      <c r="ED79" s="603">
        <f t="shared" ca="1" si="72"/>
        <v>71.311475409836063</v>
      </c>
      <c r="EE79" s="603">
        <f t="shared" ca="1" si="217"/>
        <v>800</v>
      </c>
      <c r="EF79" s="556" t="str">
        <f ca="1">IF(ROUND(EF30,2)=0,"ok","!")</f>
        <v>ok</v>
      </c>
      <c r="EG79" s="601">
        <f t="shared" ca="1" si="218"/>
        <v>5.5537221339948095</v>
      </c>
      <c r="EH79" s="603">
        <f t="shared" ca="1" si="219"/>
        <v>7.4400000000000022</v>
      </c>
      <c r="EI79" s="603">
        <f t="shared" ca="1" si="220"/>
        <v>0.86962081974550909</v>
      </c>
      <c r="EJ79" s="603">
        <f t="shared" ca="1" si="77"/>
        <v>2.0000000000000018</v>
      </c>
      <c r="EK79" s="603">
        <f t="shared" ca="1" si="221"/>
        <v>0</v>
      </c>
      <c r="EL79" s="556" t="str">
        <f ca="1">IF(ROUND(EL30,2)=0,"ok","!")</f>
        <v>ok</v>
      </c>
      <c r="EM79" s="601">
        <f t="shared" ca="1" si="222"/>
        <v>3.4343662819202425</v>
      </c>
      <c r="EN79" s="603">
        <f t="shared" ca="1" si="223"/>
        <v>3.6000000000000032</v>
      </c>
      <c r="EO79" s="603">
        <f t="shared" ca="1" si="224"/>
        <v>3.0000000000000027</v>
      </c>
      <c r="EP79" s="603">
        <f t="shared" ca="1" si="82"/>
        <v>2.0000000000000018</v>
      </c>
      <c r="EQ79" s="603">
        <f t="shared" ca="1" si="225"/>
        <v>0</v>
      </c>
      <c r="ER79" s="556" t="str">
        <f ca="1">IF(ROUND(ER30,2)=0,"ok","!")</f>
        <v>ok</v>
      </c>
      <c r="ES79" s="601">
        <f t="shared" ca="1" si="226"/>
        <v>5.4967898245324998</v>
      </c>
      <c r="ET79" s="603">
        <f t="shared" ca="1" si="227"/>
        <v>5.3500000000000103</v>
      </c>
      <c r="EU79" s="603">
        <f t="shared" ca="1" si="228"/>
        <v>5.8999999999999941</v>
      </c>
      <c r="EV79" s="603">
        <f t="shared" ca="1" si="87"/>
        <v>2.0000000000000018</v>
      </c>
      <c r="EW79" s="603">
        <f t="shared" ca="1" si="229"/>
        <v>0</v>
      </c>
      <c r="EX79" s="556" t="str">
        <f ca="1">IF(ROUND(EX30,2)=0,"ok","!")</f>
        <v>ok</v>
      </c>
    </row>
    <row r="80" spans="2:154">
      <c r="B80" s="600" t="s">
        <v>401</v>
      </c>
      <c r="C80" s="3780" t="s">
        <v>1339</v>
      </c>
      <c r="D80" s="3780"/>
      <c r="E80" s="601"/>
      <c r="F80" s="603"/>
      <c r="G80" s="602"/>
      <c r="H80" s="602"/>
      <c r="I80" s="602"/>
      <c r="J80" s="556"/>
      <c r="K80" s="601">
        <f t="shared" ca="1" si="137"/>
        <v>33.167011695596017</v>
      </c>
      <c r="L80" s="603">
        <f t="shared" ca="1" si="137"/>
        <v>33.167011695596017</v>
      </c>
      <c r="M80" s="602" t="str">
        <f t="shared" si="137"/>
        <v/>
      </c>
      <c r="N80" s="602" t="str">
        <f t="shared" si="137"/>
        <v/>
      </c>
      <c r="O80" s="602" t="str">
        <f t="shared" si="137"/>
        <v/>
      </c>
      <c r="P80" s="556" t="e">
        <f ca="1">IF(ROUND(P31,2)=0,"ok","!")</f>
        <v>#VALUE!</v>
      </c>
      <c r="Q80" s="601">
        <f t="shared" ca="1" si="138"/>
        <v>40.909090909090921</v>
      </c>
      <c r="R80" s="603">
        <f t="shared" ca="1" si="139"/>
        <v>40.909090909090921</v>
      </c>
      <c r="S80" s="602" t="str">
        <f t="shared" si="140"/>
        <v/>
      </c>
      <c r="T80" s="602" t="str">
        <f t="shared" si="124"/>
        <v/>
      </c>
      <c r="U80" s="602" t="str">
        <f t="shared" si="141"/>
        <v/>
      </c>
      <c r="V80" s="556" t="e">
        <f ca="1">IF(ROUND(V31,2)=0,"ok","!")</f>
        <v>#VALUE!</v>
      </c>
      <c r="W80" s="601">
        <f t="shared" ca="1" si="142"/>
        <v>23.586764858417176</v>
      </c>
      <c r="X80" s="603">
        <f t="shared" ca="1" si="143"/>
        <v>23.586764858417176</v>
      </c>
      <c r="Y80" s="602" t="str">
        <f t="shared" si="144"/>
        <v/>
      </c>
      <c r="Z80" s="602" t="str">
        <f t="shared" si="125"/>
        <v/>
      </c>
      <c r="AA80" s="602" t="str">
        <f t="shared" si="145"/>
        <v/>
      </c>
      <c r="AB80" s="556" t="e">
        <f ca="1">IF(ROUND(AB31,2)=0,"ok","!")</f>
        <v>#VALUE!</v>
      </c>
      <c r="AC80" s="601">
        <f t="shared" ca="1" si="146"/>
        <v>-1.1978789150421609</v>
      </c>
      <c r="AD80" s="603">
        <f t="shared" ca="1" si="147"/>
        <v>-1.1978789150421609</v>
      </c>
      <c r="AE80" s="602" t="str">
        <f t="shared" si="148"/>
        <v/>
      </c>
      <c r="AF80" s="602" t="str">
        <f t="shared" si="126"/>
        <v/>
      </c>
      <c r="AG80" s="602" t="str">
        <f t="shared" si="149"/>
        <v/>
      </c>
      <c r="AH80" s="556" t="e">
        <f ca="1">IF(ROUND(AH31,2)=0,"ok","!")</f>
        <v>#VALUE!</v>
      </c>
      <c r="AI80" s="601">
        <f t="shared" ca="1" si="150"/>
        <v>5.8859415421444794</v>
      </c>
      <c r="AJ80" s="603">
        <f t="shared" ca="1" si="151"/>
        <v>5.8859415421444794</v>
      </c>
      <c r="AK80" s="602" t="str">
        <f t="shared" si="152"/>
        <v/>
      </c>
      <c r="AL80" s="602" t="str">
        <f t="shared" si="127"/>
        <v/>
      </c>
      <c r="AM80" s="602" t="str">
        <f t="shared" si="153"/>
        <v/>
      </c>
      <c r="AN80" s="556" t="e">
        <f ca="1">IF(ROUND(AN31,2)=0,"ok","!")</f>
        <v>#VALUE!</v>
      </c>
      <c r="AO80" s="601">
        <f t="shared" ca="1" si="154"/>
        <v>0.91308882195497709</v>
      </c>
      <c r="AP80" s="603">
        <f t="shared" ca="1" si="155"/>
        <v>0.91308882195497709</v>
      </c>
      <c r="AQ80" s="602" t="str">
        <f t="shared" si="156"/>
        <v/>
      </c>
      <c r="AR80" s="602" t="str">
        <f t="shared" si="128"/>
        <v/>
      </c>
      <c r="AS80" s="602" t="str">
        <f t="shared" si="157"/>
        <v/>
      </c>
      <c r="AT80" s="556" t="e">
        <f ca="1">IF(ROUND(AT31,2)=0,"ok","!")</f>
        <v>#VALUE!</v>
      </c>
      <c r="AU80" s="601">
        <f t="shared" ca="1" si="158"/>
        <v>3.2868633870303254</v>
      </c>
      <c r="AV80" s="603">
        <f t="shared" ca="1" si="159"/>
        <v>3.2868633870303254</v>
      </c>
      <c r="AW80" s="602" t="str">
        <f t="shared" si="160"/>
        <v/>
      </c>
      <c r="AX80" s="602" t="str">
        <f t="shared" si="129"/>
        <v/>
      </c>
      <c r="AY80" s="602" t="str">
        <f t="shared" si="161"/>
        <v/>
      </c>
      <c r="AZ80" s="556" t="e">
        <f ca="1">IF(ROUND(AZ31,2)=0,"ok","!")</f>
        <v>#VALUE!</v>
      </c>
      <c r="BA80" s="601">
        <f t="shared" ca="1" si="162"/>
        <v>7.7814395768173172</v>
      </c>
      <c r="BB80" s="603">
        <f t="shared" ca="1" si="163"/>
        <v>7.7814395768173172</v>
      </c>
      <c r="BC80" s="602" t="str">
        <f t="shared" si="164"/>
        <v/>
      </c>
      <c r="BD80" s="602" t="str">
        <f t="shared" si="130"/>
        <v/>
      </c>
      <c r="BE80" s="602" t="str">
        <f t="shared" si="165"/>
        <v/>
      </c>
      <c r="BF80" s="556" t="e">
        <f ca="1">IF(ROUND(BF31,2)=0,"ok","!")</f>
        <v>#VALUE!</v>
      </c>
      <c r="BG80" s="601">
        <f t="shared" ca="1" si="166"/>
        <v>15.081343564574979</v>
      </c>
      <c r="BH80" s="603">
        <f t="shared" ca="1" si="167"/>
        <v>15.081343564574979</v>
      </c>
      <c r="BI80" s="602" t="str">
        <f t="shared" si="168"/>
        <v/>
      </c>
      <c r="BJ80" s="602" t="str">
        <f t="shared" si="131"/>
        <v/>
      </c>
      <c r="BK80" s="602" t="str">
        <f t="shared" si="169"/>
        <v/>
      </c>
      <c r="BL80" s="556" t="e">
        <f ca="1">IF(ROUND(BL31,2)=0,"ok","!")</f>
        <v>#VALUE!</v>
      </c>
      <c r="BM80" s="601">
        <f t="shared" ca="1" si="170"/>
        <v>18.804190241948682</v>
      </c>
      <c r="BN80" s="603">
        <f t="shared" ca="1" si="171"/>
        <v>18.804190241948682</v>
      </c>
      <c r="BO80" s="602" t="str">
        <f t="shared" si="172"/>
        <v/>
      </c>
      <c r="BP80" s="602" t="str">
        <f t="shared" si="132"/>
        <v/>
      </c>
      <c r="BQ80" s="602" t="str">
        <f t="shared" si="173"/>
        <v/>
      </c>
      <c r="BR80" s="556" t="e">
        <f ca="1">IF(ROUND(BR31,2)=0,"ok","!")</f>
        <v>#VALUE!</v>
      </c>
      <c r="BS80" s="601">
        <f t="shared" ca="1" si="174"/>
        <v>20.417088075668445</v>
      </c>
      <c r="BT80" s="603">
        <f t="shared" ca="1" si="175"/>
        <v>20.417088075668445</v>
      </c>
      <c r="BU80" s="602" t="str">
        <f t="shared" si="176"/>
        <v/>
      </c>
      <c r="BV80" s="602" t="str">
        <f t="shared" si="133"/>
        <v/>
      </c>
      <c r="BW80" s="602" t="str">
        <f t="shared" si="177"/>
        <v/>
      </c>
      <c r="BX80" s="556" t="e">
        <f ca="1">IF(ROUND(BX31,2)=0,"ok","!")</f>
        <v>#VALUE!</v>
      </c>
      <c r="BY80" s="601">
        <f t="shared" ca="1" si="178"/>
        <v>23.308964440343516</v>
      </c>
      <c r="BZ80" s="603">
        <f t="shared" ca="1" si="179"/>
        <v>23.308964440343516</v>
      </c>
      <c r="CA80" s="602" t="str">
        <f t="shared" si="180"/>
        <v/>
      </c>
      <c r="CB80" s="602" t="str">
        <f t="shared" si="134"/>
        <v/>
      </c>
      <c r="CC80" s="602" t="str">
        <f t="shared" si="181"/>
        <v/>
      </c>
      <c r="CD80" s="556" t="e">
        <f ca="1">IF(ROUND(CD31,2)=0,"ok","!")</f>
        <v>#VALUE!</v>
      </c>
      <c r="CE80" s="601">
        <f t="shared" ca="1" si="182"/>
        <v>19.014498871173036</v>
      </c>
      <c r="CF80" s="603">
        <f t="shared" ca="1" si="183"/>
        <v>19.014498871173036</v>
      </c>
      <c r="CG80" s="602" t="str">
        <f t="shared" si="184"/>
        <v/>
      </c>
      <c r="CH80" s="602" t="str">
        <f t="shared" si="135"/>
        <v/>
      </c>
      <c r="CI80" s="602" t="str">
        <f t="shared" si="185"/>
        <v/>
      </c>
      <c r="CJ80" s="556" t="str">
        <f ca="1">IF(ROUND(CJ31,2)=0,"ok","!")</f>
        <v>ok</v>
      </c>
      <c r="CK80" s="601">
        <f t="shared" ca="1" si="186"/>
        <v>1.488547054477074</v>
      </c>
      <c r="CL80" s="603">
        <f t="shared" ca="1" si="187"/>
        <v>1.488547054477074</v>
      </c>
      <c r="CM80" s="602" t="str">
        <f t="shared" si="188"/>
        <v/>
      </c>
      <c r="CN80" s="602" t="str">
        <f t="shared" si="136"/>
        <v/>
      </c>
      <c r="CO80" s="602" t="str">
        <f t="shared" si="189"/>
        <v/>
      </c>
      <c r="CP80" s="556" t="str">
        <f ca="1">IF(ROUND(CP31,2)=0,"ok","!")</f>
        <v>ok</v>
      </c>
      <c r="CQ80" s="601">
        <f t="shared" ca="1" si="190"/>
        <v>-3.501052380763281</v>
      </c>
      <c r="CR80" s="603">
        <f t="shared" ca="1" si="191"/>
        <v>-3.501052380763281</v>
      </c>
      <c r="CS80" s="602" t="str">
        <f t="shared" si="192"/>
        <v/>
      </c>
      <c r="CT80" s="602" t="str">
        <f t="shared" si="42"/>
        <v/>
      </c>
      <c r="CU80" s="602" t="str">
        <f t="shared" si="193"/>
        <v/>
      </c>
      <c r="CV80" s="556" t="str">
        <f ca="1">IF(ROUND(CV31,2)=0,"ok","!")</f>
        <v>ok</v>
      </c>
      <c r="CW80" s="601">
        <f t="shared" ca="1" si="194"/>
        <v>5.9266209590908892</v>
      </c>
      <c r="CX80" s="603">
        <f t="shared" ca="1" si="195"/>
        <v>5.9266209590908892</v>
      </c>
      <c r="CY80" s="602" t="str">
        <f t="shared" si="196"/>
        <v/>
      </c>
      <c r="CZ80" s="602" t="str">
        <f t="shared" si="47"/>
        <v/>
      </c>
      <c r="DA80" s="602" t="str">
        <f t="shared" si="197"/>
        <v/>
      </c>
      <c r="DB80" s="556" t="str">
        <f ca="1">IF(ROUND(DB31,2)=0,"ok","!")</f>
        <v>ok</v>
      </c>
      <c r="DC80" s="601">
        <f t="shared" ca="1" si="198"/>
        <v>2.0287858106725842</v>
      </c>
      <c r="DD80" s="603">
        <f t="shared" ca="1" si="199"/>
        <v>2.0287858106725842</v>
      </c>
      <c r="DE80" s="602" t="str">
        <f t="shared" si="200"/>
        <v/>
      </c>
      <c r="DF80" s="602" t="str">
        <f t="shared" si="52"/>
        <v/>
      </c>
      <c r="DG80" s="602" t="str">
        <f t="shared" si="201"/>
        <v/>
      </c>
      <c r="DH80" s="556" t="str">
        <f ca="1">IF(ROUND(DH31,2)=0,"ok","!")</f>
        <v>ok</v>
      </c>
      <c r="DI80" s="601">
        <f t="shared" ca="1" si="202"/>
        <v>6.3027065997167009</v>
      </c>
      <c r="DJ80" s="603">
        <f t="shared" ca="1" si="203"/>
        <v>6.3027065997167009</v>
      </c>
      <c r="DK80" s="602" t="str">
        <f t="shared" si="204"/>
        <v/>
      </c>
      <c r="DL80" s="602" t="str">
        <f t="shared" si="57"/>
        <v/>
      </c>
      <c r="DM80" s="602" t="str">
        <f t="shared" si="205"/>
        <v/>
      </c>
      <c r="DN80" s="556" t="str">
        <f ca="1">IF(ROUND(DN31,2)=0,"ok","!")</f>
        <v>ok</v>
      </c>
      <c r="DO80" s="601">
        <f t="shared" ca="1" si="206"/>
        <v>6.2731341073756663</v>
      </c>
      <c r="DP80" s="603">
        <f t="shared" ca="1" si="207"/>
        <v>6.2731341073756663</v>
      </c>
      <c r="DQ80" s="602" t="str">
        <f t="shared" si="208"/>
        <v/>
      </c>
      <c r="DR80" s="602" t="str">
        <f t="shared" si="62"/>
        <v/>
      </c>
      <c r="DS80" s="602" t="str">
        <f t="shared" si="209"/>
        <v/>
      </c>
      <c r="DT80" s="556" t="str">
        <f ca="1">IF(ROUND(DT31,2)=0,"ok","!")</f>
        <v>ok</v>
      </c>
      <c r="DU80" s="601">
        <f t="shared" ca="1" si="210"/>
        <v>6.9625614855861606</v>
      </c>
      <c r="DV80" s="603">
        <f t="shared" ca="1" si="211"/>
        <v>6.9625614855861606</v>
      </c>
      <c r="DW80" s="602" t="str">
        <f t="shared" si="212"/>
        <v/>
      </c>
      <c r="DX80" s="602" t="str">
        <f t="shared" si="67"/>
        <v/>
      </c>
      <c r="DY80" s="602" t="str">
        <f t="shared" si="213"/>
        <v/>
      </c>
      <c r="DZ80" s="556" t="str">
        <f ca="1">IF(ROUND(DZ31,2)=0,"ok","!")</f>
        <v>ok</v>
      </c>
      <c r="EA80" s="601">
        <f t="shared" ca="1" si="214"/>
        <v>8.3658257844406059</v>
      </c>
      <c r="EB80" s="603">
        <f t="shared" ca="1" si="215"/>
        <v>8.3658257844406059</v>
      </c>
      <c r="EC80" s="602" t="str">
        <f t="shared" si="216"/>
        <v/>
      </c>
      <c r="ED80" s="602" t="str">
        <f t="shared" si="72"/>
        <v/>
      </c>
      <c r="EE80" s="602" t="str">
        <f t="shared" si="217"/>
        <v/>
      </c>
      <c r="EF80" s="556" t="str">
        <f ca="1">IF(ROUND(EF31,2)=0,"ok","!")</f>
        <v>ok</v>
      </c>
      <c r="EG80" s="601">
        <f t="shared" ca="1" si="218"/>
        <v>12.016213302456858</v>
      </c>
      <c r="EH80" s="603">
        <f t="shared" ca="1" si="219"/>
        <v>12.016213302456858</v>
      </c>
      <c r="EI80" s="602" t="str">
        <f t="shared" si="220"/>
        <v/>
      </c>
      <c r="EJ80" s="602" t="str">
        <f t="shared" si="77"/>
        <v/>
      </c>
      <c r="EK80" s="602" t="str">
        <f t="shared" si="221"/>
        <v/>
      </c>
      <c r="EL80" s="556" t="str">
        <f ca="1">IF(ROUND(EL31,2)=0,"ok","!")</f>
        <v>ok</v>
      </c>
      <c r="EM80" s="601">
        <f t="shared" ca="1" si="222"/>
        <v>6.6643995761564545</v>
      </c>
      <c r="EN80" s="603">
        <f t="shared" ca="1" si="223"/>
        <v>6.6643995761564545</v>
      </c>
      <c r="EO80" s="602" t="str">
        <f t="shared" si="224"/>
        <v/>
      </c>
      <c r="EP80" s="602" t="str">
        <f t="shared" si="82"/>
        <v/>
      </c>
      <c r="EQ80" s="602" t="str">
        <f t="shared" si="225"/>
        <v/>
      </c>
      <c r="ER80" s="556" t="str">
        <f ca="1">IF(ROUND(ER31,2)=0,"ok","!")</f>
        <v>ok</v>
      </c>
      <c r="ES80" s="601">
        <f t="shared" ca="1" si="226"/>
        <v>5.7529028213170852</v>
      </c>
      <c r="ET80" s="603">
        <f t="shared" ca="1" si="227"/>
        <v>5.7529028213170852</v>
      </c>
      <c r="EU80" s="602" t="str">
        <f t="shared" si="228"/>
        <v/>
      </c>
      <c r="EV80" s="602" t="str">
        <f t="shared" si="87"/>
        <v/>
      </c>
      <c r="EW80" s="602" t="str">
        <f t="shared" si="229"/>
        <v/>
      </c>
      <c r="EX80" s="556" t="str">
        <f ca="1">IF(ROUND(EX31,2)=0,"ok","!")</f>
        <v>ok</v>
      </c>
    </row>
    <row r="81" spans="2:154">
      <c r="B81" s="600" t="s">
        <v>401</v>
      </c>
      <c r="C81" s="3780" t="s">
        <v>1340</v>
      </c>
      <c r="D81" s="3780"/>
      <c r="E81" s="601"/>
      <c r="F81" s="603"/>
      <c r="G81" s="603"/>
      <c r="H81" s="603"/>
      <c r="I81" s="602"/>
      <c r="J81" s="556"/>
      <c r="K81" s="601">
        <f t="shared" ca="1" si="137"/>
        <v>31.072456513577794</v>
      </c>
      <c r="L81" s="603">
        <f t="shared" ca="1" si="137"/>
        <v>-21.42857142857142</v>
      </c>
      <c r="M81" s="603">
        <f t="shared" ca="1" si="137"/>
        <v>-6.7567567567567766</v>
      </c>
      <c r="N81" s="603">
        <f t="shared" ca="1" si="137"/>
        <v>31.360312657589517</v>
      </c>
      <c r="O81" s="602" t="str">
        <f t="shared" ca="1" si="137"/>
        <v>N</v>
      </c>
      <c r="P81" s="556" t="str">
        <f ca="1">IF(ROUND(P32,2)=0,"ok","!")</f>
        <v>ok</v>
      </c>
      <c r="Q81" s="601">
        <f t="shared" ca="1" si="138"/>
        <v>35.672856597288494</v>
      </c>
      <c r="R81" s="603">
        <f t="shared" ca="1" si="139"/>
        <v>49.999999999999979</v>
      </c>
      <c r="S81" s="603">
        <f t="shared" ca="1" si="140"/>
        <v>38.164251207729464</v>
      </c>
      <c r="T81" s="603">
        <f t="shared" ca="1" si="124"/>
        <v>35.656701377225389</v>
      </c>
      <c r="U81" s="602" t="str">
        <f t="shared" ca="1" si="141"/>
        <v>N</v>
      </c>
      <c r="V81" s="556" t="str">
        <f ca="1">IF(ROUND(V32,2)=0,"ok","!")</f>
        <v>ok</v>
      </c>
      <c r="W81" s="601">
        <f t="shared" ca="1" si="142"/>
        <v>24.826931027506326</v>
      </c>
      <c r="X81" s="603">
        <f t="shared" ca="1" si="143"/>
        <v>48.484848484848506</v>
      </c>
      <c r="Y81" s="603">
        <f t="shared" ca="1" si="144"/>
        <v>23.951048951048961</v>
      </c>
      <c r="Z81" s="603">
        <f t="shared" ca="1" si="125"/>
        <v>24.824457454146696</v>
      </c>
      <c r="AA81" s="602" t="str">
        <f t="shared" ca="1" si="145"/>
        <v>N</v>
      </c>
      <c r="AB81" s="556" t="str">
        <f ca="1">IF(ROUND(AB32,2)=0,"ok","!")</f>
        <v>ok</v>
      </c>
      <c r="AC81" s="601">
        <f t="shared" ca="1" si="146"/>
        <v>9.8860521327348128</v>
      </c>
      <c r="AD81" s="603">
        <f t="shared" ca="1" si="147"/>
        <v>-28.571428571428569</v>
      </c>
      <c r="AE81" s="603">
        <f t="shared" ca="1" si="148"/>
        <v>9.1678420310296271</v>
      </c>
      <c r="AF81" s="603">
        <f t="shared" ca="1" si="126"/>
        <v>9.9030102940863998</v>
      </c>
      <c r="AG81" s="602" t="str">
        <f t="shared" ca="1" si="149"/>
        <v>N</v>
      </c>
      <c r="AH81" s="556" t="str">
        <f ca="1">IF(ROUND(AH32,2)=0,"ok","!")</f>
        <v>!</v>
      </c>
      <c r="AI81" s="601">
        <f t="shared" ca="1" si="150"/>
        <v>0.54929084282955287</v>
      </c>
      <c r="AJ81" s="603">
        <f t="shared" ca="1" si="151"/>
        <v>31.428571428571406</v>
      </c>
      <c r="AK81" s="603">
        <f t="shared" ca="1" si="152"/>
        <v>-20.284237726098198</v>
      </c>
      <c r="AL81" s="603">
        <f t="shared" ca="1" si="127"/>
        <v>-1.0526858638405967</v>
      </c>
      <c r="AM81" s="602" t="str">
        <f t="shared" ca="1" si="153"/>
        <v>N</v>
      </c>
      <c r="AN81" s="556" t="str">
        <f ca="1">IF(ROUND(AN32,2)=0,"ok","!")</f>
        <v>ok</v>
      </c>
      <c r="AO81" s="601">
        <f t="shared" ca="1" si="154"/>
        <v>3.9857635414453307</v>
      </c>
      <c r="AP81" s="603">
        <f t="shared" ca="1" si="155"/>
        <v>-13.043478260869568</v>
      </c>
      <c r="AQ81" s="603">
        <f t="shared" ca="1" si="156"/>
        <v>-25.445705024311181</v>
      </c>
      <c r="AR81" s="603">
        <f t="shared" ca="1" si="128"/>
        <v>4.3662944479914589</v>
      </c>
      <c r="AS81" s="602">
        <f t="shared" ca="1" si="157"/>
        <v>-10.989010989010994</v>
      </c>
      <c r="AT81" s="556" t="str">
        <f ca="1">IF(ROUND(AT32,2)=0,"ok","!")</f>
        <v>ok</v>
      </c>
      <c r="AU81" s="601">
        <f t="shared" ca="1" si="158"/>
        <v>-4.8984297232151031</v>
      </c>
      <c r="AV81" s="603">
        <f t="shared" ca="1" si="159"/>
        <v>-7.4999999999999956</v>
      </c>
      <c r="AW81" s="603">
        <f t="shared" ca="1" si="160"/>
        <v>-5.0000000000000044</v>
      </c>
      <c r="AX81" s="603">
        <f t="shared" ca="1" si="129"/>
        <v>-5.204249794002358</v>
      </c>
      <c r="AY81" s="602">
        <f t="shared" ca="1" si="161"/>
        <v>16.049382716049386</v>
      </c>
      <c r="AZ81" s="556" t="str">
        <f ca="1">IF(ROUND(AZ32,2)=0,"ok","!")</f>
        <v>ok</v>
      </c>
      <c r="BA81" s="601">
        <f t="shared" ca="1" si="162"/>
        <v>7.0814857100908402</v>
      </c>
      <c r="BB81" s="603">
        <f t="shared" ca="1" si="163"/>
        <v>13.513513513513509</v>
      </c>
      <c r="BC81" s="603">
        <f t="shared" ca="1" si="164"/>
        <v>21.052631578947391</v>
      </c>
      <c r="BD81" s="603">
        <f t="shared" ca="1" si="130"/>
        <v>7.2810962801019619</v>
      </c>
      <c r="BE81" s="602">
        <f t="shared" ca="1" si="165"/>
        <v>-6.3829787234042428</v>
      </c>
      <c r="BF81" s="556" t="str">
        <f ca="1">IF(ROUND(BF32,2)=0,"ok","!")</f>
        <v>ok</v>
      </c>
      <c r="BG81" s="601">
        <f t="shared" ca="1" si="166"/>
        <v>9.0239653013330035</v>
      </c>
      <c r="BH81" s="603">
        <f t="shared" ca="1" si="167"/>
        <v>4.7619047619047672</v>
      </c>
      <c r="BI81" s="603">
        <f t="shared" ca="1" si="168"/>
        <v>15.122873345935716</v>
      </c>
      <c r="BJ81" s="603">
        <f t="shared" ca="1" si="131"/>
        <v>9.1464312897443953</v>
      </c>
      <c r="BK81" s="602">
        <f t="shared" ca="1" si="169"/>
        <v>0</v>
      </c>
      <c r="BL81" s="556" t="str">
        <f ca="1">IF(ROUND(BL32,2)=0,"ok","!")</f>
        <v>ok</v>
      </c>
      <c r="BM81" s="601">
        <f t="shared" ca="1" si="170"/>
        <v>14.795350050965306</v>
      </c>
      <c r="BN81" s="603">
        <f t="shared" ca="1" si="171"/>
        <v>27.27272727272727</v>
      </c>
      <c r="BO81" s="603">
        <f t="shared" ca="1" si="172"/>
        <v>1388.6699507389162</v>
      </c>
      <c r="BP81" s="603">
        <f t="shared" ca="1" si="132"/>
        <v>10.101396379423777</v>
      </c>
      <c r="BQ81" s="602">
        <f t="shared" ca="1" si="173"/>
        <v>13.785454545454545</v>
      </c>
      <c r="BR81" s="556" t="str">
        <f ca="1">IF(ROUND(BR32,2)=0,"ok","!")</f>
        <v>ok</v>
      </c>
      <c r="BS81" s="601">
        <f t="shared" ca="1" si="174"/>
        <v>13.064422211635174</v>
      </c>
      <c r="BT81" s="603">
        <f t="shared" ca="1" si="175"/>
        <v>21.42857142857142</v>
      </c>
      <c r="BU81" s="603">
        <f t="shared" ca="1" si="176"/>
        <v>23.891462607544668</v>
      </c>
      <c r="BV81" s="603">
        <f t="shared" ca="1" si="133"/>
        <v>12.805254904765073</v>
      </c>
      <c r="BW81" s="602">
        <f t="shared" ca="1" si="177"/>
        <v>-3.4482758620689724</v>
      </c>
      <c r="BX81" s="556" t="str">
        <f ca="1">IF(ROUND(BX32,2)=0,"ok","!")</f>
        <v>ok</v>
      </c>
      <c r="BY81" s="601">
        <f t="shared" ca="1" si="178"/>
        <v>26.626629608978991</v>
      </c>
      <c r="BZ81" s="603">
        <f t="shared" ca="1" si="179"/>
        <v>25</v>
      </c>
      <c r="CA81" s="603">
        <f t="shared" ca="1" si="180"/>
        <v>28.303062678062709</v>
      </c>
      <c r="CB81" s="603">
        <f t="shared" ca="1" si="134"/>
        <v>27.015290990676899</v>
      </c>
      <c r="CC81" s="602">
        <f t="shared" ca="1" si="181"/>
        <v>-10.71428571428571</v>
      </c>
      <c r="CD81" s="556" t="str">
        <f ca="1">IF(ROUND(CD32,2)=0,"ok","!")</f>
        <v>ok</v>
      </c>
      <c r="CE81" s="601">
        <f t="shared" ca="1" si="182"/>
        <v>33.07003509149331</v>
      </c>
      <c r="CF81" s="603">
        <f t="shared" ca="1" si="183"/>
        <v>2.3529411764706021</v>
      </c>
      <c r="CG81" s="603">
        <f t="shared" ca="1" si="184"/>
        <v>17.007841232391897</v>
      </c>
      <c r="CH81" s="603">
        <f t="shared" ca="1" si="135"/>
        <v>33.914057152635159</v>
      </c>
      <c r="CI81" s="602">
        <f t="shared" ca="1" si="185"/>
        <v>32.000000000000007</v>
      </c>
      <c r="CJ81" s="556" t="str">
        <f ca="1">IF(ROUND(CJ32,2)=0,"ok","!")</f>
        <v>ok</v>
      </c>
      <c r="CK81" s="601">
        <f t="shared" ca="1" si="186"/>
        <v>13.863306844761492</v>
      </c>
      <c r="CL81" s="603">
        <f t="shared" ca="1" si="187"/>
        <v>-6.8965517241379342</v>
      </c>
      <c r="CM81" s="603">
        <f t="shared" ca="1" si="188"/>
        <v>-25.744277072707867</v>
      </c>
      <c r="CN81" s="603">
        <f t="shared" ca="1" si="136"/>
        <v>15.92753796802835</v>
      </c>
      <c r="CO81" s="602">
        <f t="shared" ca="1" si="189"/>
        <v>-18.181818181818187</v>
      </c>
      <c r="CP81" s="556" t="str">
        <f ca="1">IF(ROUND(CP32,2)=0,"ok","!")</f>
        <v>ok</v>
      </c>
      <c r="CQ81" s="601">
        <f t="shared" ca="1" si="190"/>
        <v>-7.7357368815692107</v>
      </c>
      <c r="CR81" s="603">
        <f t="shared" ca="1" si="191"/>
        <v>-3.703703703703709</v>
      </c>
      <c r="CS81" s="603">
        <f t="shared" ca="1" si="192"/>
        <v>-5.5107419535180835</v>
      </c>
      <c r="CT81" s="603">
        <f t="shared" ca="1" si="42"/>
        <v>-7.9402768464852391</v>
      </c>
      <c r="CU81" s="602">
        <f t="shared" ca="1" si="193"/>
        <v>14.814814814814813</v>
      </c>
      <c r="CV81" s="556" t="str">
        <f ca="1">IF(ROUND(CV32,2)=0,"ok","!")</f>
        <v>ok</v>
      </c>
      <c r="CW81" s="601">
        <f t="shared" ca="1" si="194"/>
        <v>-1.8597907705328542</v>
      </c>
      <c r="CX81" s="603">
        <f t="shared" ca="1" si="195"/>
        <v>11.538461538461565</v>
      </c>
      <c r="CY81" s="603">
        <f t="shared" ca="1" si="196"/>
        <v>33.234722339616262</v>
      </c>
      <c r="CZ81" s="603">
        <f t="shared" ca="1" si="47"/>
        <v>-2.6380775159766445</v>
      </c>
      <c r="DA81" s="602">
        <f t="shared" ca="1" si="197"/>
        <v>-35.483870967741936</v>
      </c>
      <c r="DB81" s="556" t="str">
        <f ca="1">IF(ROUND(DB32,2)=0,"ok","!")</f>
        <v>ok</v>
      </c>
      <c r="DC81" s="601">
        <f t="shared" ca="1" si="198"/>
        <v>1.5059827719687169</v>
      </c>
      <c r="DD81" s="603">
        <f t="shared" ca="1" si="199"/>
        <v>-2.298850574712652</v>
      </c>
      <c r="DE81" s="603">
        <f t="shared" ca="1" si="200"/>
        <v>-13.138361986931423</v>
      </c>
      <c r="DF81" s="603">
        <f t="shared" ca="1" si="52"/>
        <v>2.1828131645154514</v>
      </c>
      <c r="DG81" s="602">
        <f t="shared" ca="1" si="201"/>
        <v>-14.999999999999991</v>
      </c>
      <c r="DH81" s="556" t="str">
        <f ca="1">IF(ROUND(DH32,2)=0,"ok","!")</f>
        <v>ok</v>
      </c>
      <c r="DI81" s="601">
        <f t="shared" ca="1" si="202"/>
        <v>-0.78876421308221589</v>
      </c>
      <c r="DJ81" s="603">
        <f t="shared" ca="1" si="203"/>
        <v>3.529411764705892</v>
      </c>
      <c r="DK81" s="603">
        <f t="shared" ca="1" si="204"/>
        <v>9.7575226409582392</v>
      </c>
      <c r="DL81" s="603">
        <f t="shared" ca="1" si="57"/>
        <v>-0.85422297551411841</v>
      </c>
      <c r="DM81" s="602">
        <f t="shared" ca="1" si="205"/>
        <v>-70.588235294117638</v>
      </c>
      <c r="DN81" s="556" t="str">
        <f ca="1">IF(ROUND(DN32,2)=0,"ok","!")</f>
        <v>ok</v>
      </c>
      <c r="DO81" s="601">
        <f t="shared" ca="1" si="206"/>
        <v>0.51842715380816529</v>
      </c>
      <c r="DP81" s="603">
        <f t="shared" ca="1" si="207"/>
        <v>13.636363636363624</v>
      </c>
      <c r="DQ81" s="603">
        <f t="shared" ca="1" si="208"/>
        <v>5.8823529411764719</v>
      </c>
      <c r="DR81" s="603">
        <f t="shared" ca="1" si="62"/>
        <v>0.33760289301654201</v>
      </c>
      <c r="DS81" s="602">
        <f t="shared" ca="1" si="209"/>
        <v>-19.999999999999996</v>
      </c>
      <c r="DT81" s="556" t="str">
        <f ca="1">IF(ROUND(DT32,2)=0,"ok","!")</f>
        <v>ok</v>
      </c>
      <c r="DU81" s="601">
        <f t="shared" ca="1" si="210"/>
        <v>2.5535962360413</v>
      </c>
      <c r="DV81" s="603">
        <f t="shared" ca="1" si="211"/>
        <v>-10.000000000000009</v>
      </c>
      <c r="DW81" s="603">
        <f t="shared" ca="1" si="212"/>
        <v>8.9617898441427748</v>
      </c>
      <c r="DX81" s="603">
        <f t="shared" ca="1" si="67"/>
        <v>2.1763238148045483</v>
      </c>
      <c r="DY81" s="602">
        <f t="shared" ca="1" si="213"/>
        <v>125</v>
      </c>
      <c r="DZ81" s="556" t="str">
        <f ca="1">IF(ROUND(DZ32,2)=0,"ok","!")</f>
        <v>ok</v>
      </c>
      <c r="EA81" s="601">
        <f t="shared" ca="1" si="214"/>
        <v>5.1574930439687083</v>
      </c>
      <c r="EB81" s="603">
        <f t="shared" ca="1" si="215"/>
        <v>4.4444444444444509</v>
      </c>
      <c r="EC81" s="603">
        <f t="shared" ca="1" si="216"/>
        <v>8.2939208674587483</v>
      </c>
      <c r="ED81" s="603">
        <f t="shared" ca="1" si="72"/>
        <v>5.0842984176317607</v>
      </c>
      <c r="EE81" s="602">
        <f t="shared" ca="1" si="217"/>
        <v>-22.222222222222211</v>
      </c>
      <c r="EF81" s="556" t="str">
        <f ca="1">IF(ROUND(EF32,2)=0,"ok","!")</f>
        <v>ok</v>
      </c>
      <c r="EG81" s="601">
        <f t="shared" ca="1" si="218"/>
        <v>11.663491529151448</v>
      </c>
      <c r="EH81" s="603">
        <f t="shared" ca="1" si="219"/>
        <v>4.2999999999999927</v>
      </c>
      <c r="EI81" s="603">
        <f t="shared" ca="1" si="220"/>
        <v>4.4999999999999929</v>
      </c>
      <c r="EJ81" s="603">
        <f t="shared" ca="1" si="77"/>
        <v>12.000000000000011</v>
      </c>
      <c r="EK81" s="602">
        <f t="shared" ca="1" si="221"/>
        <v>0</v>
      </c>
      <c r="EL81" s="556" t="str">
        <f ca="1">IF(ROUND(EL32,2)=0,"ok","!")</f>
        <v>ok</v>
      </c>
      <c r="EM81" s="601">
        <f t="shared" ca="1" si="222"/>
        <v>11.68588141609268</v>
      </c>
      <c r="EN81" s="603">
        <f t="shared" ca="1" si="223"/>
        <v>4.4999999999999929</v>
      </c>
      <c r="EO81" s="603">
        <f t="shared" ca="1" si="224"/>
        <v>4.4999999999999929</v>
      </c>
      <c r="EP81" s="603">
        <f t="shared" ca="1" si="82"/>
        <v>12.000000000000011</v>
      </c>
      <c r="EQ81" s="602">
        <f t="shared" ca="1" si="225"/>
        <v>0</v>
      </c>
      <c r="ER81" s="556" t="str">
        <f ca="1">IF(ROUND(ER32,2)=0,"ok","!")</f>
        <v>ok</v>
      </c>
      <c r="ES81" s="601">
        <f t="shared" ca="1" si="226"/>
        <v>5.9367827339498191</v>
      </c>
      <c r="ET81" s="603">
        <f t="shared" ca="1" si="227"/>
        <v>4.2999999999999927</v>
      </c>
      <c r="EU81" s="603">
        <f t="shared" ca="1" si="228"/>
        <v>4.4999999999999929</v>
      </c>
      <c r="EV81" s="603">
        <f t="shared" ca="1" si="87"/>
        <v>6.0000000000000053</v>
      </c>
      <c r="EW81" s="602">
        <f t="shared" ca="1" si="229"/>
        <v>0</v>
      </c>
      <c r="EX81" s="556" t="str">
        <f ca="1">IF(ROUND(EX32,2)=0,"ok","!")</f>
        <v>ok</v>
      </c>
    </row>
    <row r="82" spans="2:154">
      <c r="B82" s="600" t="s">
        <v>401</v>
      </c>
      <c r="C82" s="3780" t="s">
        <v>1341</v>
      </c>
      <c r="D82" s="3780"/>
      <c r="E82" s="601"/>
      <c r="F82" s="603"/>
      <c r="G82" s="603"/>
      <c r="H82" s="603"/>
      <c r="I82" s="603"/>
      <c r="J82" s="556"/>
      <c r="K82" s="601">
        <f t="shared" ca="1" si="137"/>
        <v>24.213533834586464</v>
      </c>
      <c r="L82" s="603">
        <f t="shared" ca="1" si="137"/>
        <v>29.790794979079504</v>
      </c>
      <c r="M82" s="603">
        <f t="shared" ca="1" si="137"/>
        <v>24.060899749115027</v>
      </c>
      <c r="N82" s="603">
        <f t="shared" ca="1" si="137"/>
        <v>-3.169014084507038</v>
      </c>
      <c r="O82" s="603" t="str">
        <f t="shared" si="137"/>
        <v/>
      </c>
      <c r="P82" s="556" t="str">
        <f ca="1">IF(ROUND(P33,2)=0,"ok","!")</f>
        <v>ok</v>
      </c>
      <c r="Q82" s="601">
        <f t="shared" ca="1" si="138"/>
        <v>49.613810803612466</v>
      </c>
      <c r="R82" s="603">
        <f t="shared" ca="1" si="139"/>
        <v>-57.683215130023633</v>
      </c>
      <c r="S82" s="603">
        <f t="shared" ca="1" si="140"/>
        <v>2.2438916283450405</v>
      </c>
      <c r="T82" s="603">
        <f t="shared" ca="1" si="124"/>
        <v>4066.3636363636365</v>
      </c>
      <c r="U82" s="603" t="str">
        <f t="shared" si="141"/>
        <v/>
      </c>
      <c r="V82" s="556" t="str">
        <f ca="1">IF(ROUND(V33,2)=0,"ok","!")</f>
        <v>ok</v>
      </c>
      <c r="W82" s="601">
        <f t="shared" ca="1" si="142"/>
        <v>-32.470222682547892</v>
      </c>
      <c r="X82" s="603">
        <f t="shared" ca="1" si="143"/>
        <v>29.812087353986772</v>
      </c>
      <c r="Y82" s="603">
        <f t="shared" ca="1" si="144"/>
        <v>-16.316245800368467</v>
      </c>
      <c r="Z82" s="603">
        <f t="shared" ca="1" si="125"/>
        <v>-63.840279293039494</v>
      </c>
      <c r="AA82" s="603" t="str">
        <f t="shared" si="145"/>
        <v/>
      </c>
      <c r="AB82" s="556" t="str">
        <f ca="1">IF(ROUND(AB33,2)=0,"ok","!")</f>
        <v>ok</v>
      </c>
      <c r="AC82" s="601">
        <f t="shared" ca="1" si="146"/>
        <v>-9.1185774539877187</v>
      </c>
      <c r="AD82" s="603">
        <f t="shared" ca="1" si="147"/>
        <v>53.59937402190922</v>
      </c>
      <c r="AE82" s="603">
        <f t="shared" ca="1" si="148"/>
        <v>-10.658550799715083</v>
      </c>
      <c r="AF82" s="603">
        <f t="shared" ca="1" si="126"/>
        <v>-22.725078445570844</v>
      </c>
      <c r="AG82" s="603" t="str">
        <f t="shared" si="149"/>
        <v/>
      </c>
      <c r="AH82" s="556" t="str">
        <f ca="1">IF(ROUND(AH33,2)=0,"ok","!")</f>
        <v>ok</v>
      </c>
      <c r="AI82" s="601">
        <f t="shared" ca="1" si="150"/>
        <v>-20.248925454209864</v>
      </c>
      <c r="AJ82" s="603">
        <f t="shared" ca="1" si="151"/>
        <v>-6.2149770759042262</v>
      </c>
      <c r="AK82" s="603">
        <f t="shared" ca="1" si="152"/>
        <v>-8.5417119663695136</v>
      </c>
      <c r="AL82" s="603">
        <f t="shared" ca="1" si="127"/>
        <v>-79.306575042948623</v>
      </c>
      <c r="AM82" s="603" t="str">
        <f t="shared" si="153"/>
        <v/>
      </c>
      <c r="AN82" s="556" t="str">
        <f ca="1">IF(ROUND(AN33,2)=0,"ok","!")</f>
        <v>ok</v>
      </c>
      <c r="AO82" s="601">
        <f t="shared" ca="1" si="154"/>
        <v>12.260283031345075</v>
      </c>
      <c r="AP82" s="603">
        <f t="shared" ca="1" si="155"/>
        <v>13.498098859315588</v>
      </c>
      <c r="AQ82" s="603">
        <f t="shared" ca="1" si="156"/>
        <v>-2.7776677101081559</v>
      </c>
      <c r="AR82" s="603">
        <f t="shared" ca="1" si="128"/>
        <v>295.24528301886789</v>
      </c>
      <c r="AS82" s="603" t="str">
        <f t="shared" si="157"/>
        <v/>
      </c>
      <c r="AT82" s="556" t="str">
        <f ca="1">IF(ROUND(AT33,2)=0,"ok","!")</f>
        <v>ok</v>
      </c>
      <c r="AU82" s="601">
        <f t="shared" ca="1" si="158"/>
        <v>14.05219132893496</v>
      </c>
      <c r="AV82" s="603">
        <f t="shared" ca="1" si="159"/>
        <v>116.48719789423305</v>
      </c>
      <c r="AW82" s="603">
        <f t="shared" ca="1" si="160"/>
        <v>13.575970003260519</v>
      </c>
      <c r="AX82" s="603">
        <f t="shared" ca="1" si="129"/>
        <v>-65.457322894787097</v>
      </c>
      <c r="AY82" s="603" t="str">
        <f t="shared" si="161"/>
        <v/>
      </c>
      <c r="AZ82" s="556" t="str">
        <f ca="1">IF(ROUND(AZ33,2)=0,"ok","!")</f>
        <v>ok</v>
      </c>
      <c r="BA82" s="601">
        <f t="shared" ca="1" si="162"/>
        <v>-25.421584071482073</v>
      </c>
      <c r="BB82" s="603">
        <f t="shared" ca="1" si="163"/>
        <v>-16.46954791643639</v>
      </c>
      <c r="BC82" s="603">
        <f t="shared" ca="1" si="164"/>
        <v>-33.193382854272087</v>
      </c>
      <c r="BD82" s="603">
        <f t="shared" ca="1" si="130"/>
        <v>49.530127142067457</v>
      </c>
      <c r="BE82" s="603" t="str">
        <f t="shared" si="165"/>
        <v/>
      </c>
      <c r="BF82" s="556" t="str">
        <f ca="1">IF(ROUND(BF33,2)=0,"ok","!")</f>
        <v>ok</v>
      </c>
      <c r="BG82" s="601">
        <f t="shared" ca="1" si="166"/>
        <v>45.150455348176877</v>
      </c>
      <c r="BH82" s="603">
        <f t="shared" ca="1" si="167"/>
        <v>-25.817123197035851</v>
      </c>
      <c r="BI82" s="603">
        <f t="shared" ca="1" si="168"/>
        <v>24.386313584358387</v>
      </c>
      <c r="BJ82" s="603">
        <f t="shared" ca="1" si="131"/>
        <v>386.32162661737522</v>
      </c>
      <c r="BK82" s="603" t="str">
        <f t="shared" si="169"/>
        <v/>
      </c>
      <c r="BL82" s="556" t="str">
        <f ca="1">IF(ROUND(BL33,2)=0,"ok","!")</f>
        <v>ok</v>
      </c>
      <c r="BM82" s="601">
        <f t="shared" ca="1" si="170"/>
        <v>86.664440097332871</v>
      </c>
      <c r="BN82" s="603">
        <f t="shared" ca="1" si="171"/>
        <v>43.168034249018916</v>
      </c>
      <c r="BO82" s="603">
        <f t="shared" ca="1" si="172"/>
        <v>40.74361963984974</v>
      </c>
      <c r="BP82" s="603">
        <f t="shared" ca="1" si="132"/>
        <v>186.03572786012919</v>
      </c>
      <c r="BQ82" s="603" t="str">
        <f t="shared" si="173"/>
        <v/>
      </c>
      <c r="BR82" s="556" t="str">
        <f ca="1">IF(ROUND(BR33,2)=0,"ok","!")</f>
        <v>ok</v>
      </c>
      <c r="BS82" s="601">
        <f t="shared" ca="1" si="174"/>
        <v>-4.0014825038979573</v>
      </c>
      <c r="BT82" s="603">
        <f t="shared" ca="1" si="175"/>
        <v>49.439322202840728</v>
      </c>
      <c r="BU82" s="603">
        <f t="shared" ca="1" si="176"/>
        <v>1.224226804123707</v>
      </c>
      <c r="BV82" s="603">
        <f t="shared" ca="1" si="133"/>
        <v>-19.926650366748156</v>
      </c>
      <c r="BW82" s="603" t="str">
        <f t="shared" si="177"/>
        <v/>
      </c>
      <c r="BX82" s="556" t="str">
        <f ca="1">IF(ROUND(BX33,2)=0,"ok","!")</f>
        <v>ok</v>
      </c>
      <c r="BY82" s="601">
        <f t="shared" ca="1" si="178"/>
        <v>22.661252745789785</v>
      </c>
      <c r="BZ82" s="603">
        <f t="shared" ca="1" si="179"/>
        <v>14.740703685175927</v>
      </c>
      <c r="CA82" s="603">
        <f t="shared" ca="1" si="180"/>
        <v>22.196962808038535</v>
      </c>
      <c r="CB82" s="603">
        <f t="shared" ca="1" si="134"/>
        <v>26.322602057749744</v>
      </c>
      <c r="CC82" s="603" t="str">
        <f t="shared" si="181"/>
        <v/>
      </c>
      <c r="CD82" s="556" t="str">
        <f ca="1">IF(ROUND(CD33,2)=0,"ok","!")</f>
        <v>ok</v>
      </c>
      <c r="CE82" s="601">
        <f t="shared" ca="1" si="182"/>
        <v>50.678880362937818</v>
      </c>
      <c r="CF82" s="603">
        <f t="shared" ca="1" si="183"/>
        <v>-14.191251271617489</v>
      </c>
      <c r="CG82" s="603">
        <f t="shared" ca="1" si="184"/>
        <v>96.30153296621522</v>
      </c>
      <c r="CH82" s="603">
        <f t="shared" ca="1" si="135"/>
        <v>25.81119781403536</v>
      </c>
      <c r="CI82" s="603" t="str">
        <f t="shared" si="185"/>
        <v/>
      </c>
      <c r="CJ82" s="556" t="str">
        <f ca="1">IF(ROUND(CJ33,2)=0,"ok","!")</f>
        <v>ok</v>
      </c>
      <c r="CK82" s="601">
        <f t="shared" ca="1" si="186"/>
        <v>-8.4894584062637506</v>
      </c>
      <c r="CL82" s="603">
        <f t="shared" ca="1" si="187"/>
        <v>-7.6213057837242744</v>
      </c>
      <c r="CM82" s="603">
        <f t="shared" ca="1" si="188"/>
        <v>-9.850006949972844</v>
      </c>
      <c r="CN82" s="603">
        <f t="shared" ca="1" si="136"/>
        <v>-6.4550485538268809</v>
      </c>
      <c r="CO82" s="603" t="str">
        <f t="shared" si="189"/>
        <v/>
      </c>
      <c r="CP82" s="556" t="str">
        <f ca="1">IF(ROUND(CP33,2)=0,"ok","!")</f>
        <v>ok</v>
      </c>
      <c r="CQ82" s="601">
        <f t="shared" ca="1" si="190"/>
        <v>-13.17407217914911</v>
      </c>
      <c r="CR82" s="603">
        <f t="shared" ca="1" si="191"/>
        <v>3.9050325419378362</v>
      </c>
      <c r="CS82" s="603">
        <f t="shared" ca="1" si="192"/>
        <v>-9.8581480754674544</v>
      </c>
      <c r="CT82" s="603">
        <f t="shared" ca="1" si="42"/>
        <v>-22.614635888735101</v>
      </c>
      <c r="CU82" s="603" t="str">
        <f t="shared" si="193"/>
        <v/>
      </c>
      <c r="CV82" s="556" t="str">
        <f ca="1">IF(ROUND(CV33,2)=0,"ok","!")</f>
        <v>ok</v>
      </c>
      <c r="CW82" s="601">
        <f t="shared" ca="1" si="194"/>
        <v>22.737244805453827</v>
      </c>
      <c r="CX82" s="603">
        <f t="shared" ca="1" si="195"/>
        <v>21.490957212174688</v>
      </c>
      <c r="CY82" s="603">
        <f t="shared" ca="1" si="196"/>
        <v>11.606462548010366</v>
      </c>
      <c r="CZ82" s="603">
        <f t="shared" ca="1" si="47"/>
        <v>43.794714978075234</v>
      </c>
      <c r="DA82" s="603" t="str">
        <f t="shared" si="197"/>
        <v/>
      </c>
      <c r="DB82" s="556" t="str">
        <f ca="1">IF(ROUND(DB33,2)=0,"ok","!")</f>
        <v>ok</v>
      </c>
      <c r="DC82" s="601">
        <f t="shared" ca="1" si="198"/>
        <v>-4.4774686274364868</v>
      </c>
      <c r="DD82" s="603">
        <f t="shared" ca="1" si="199"/>
        <v>-8.713964127514684E-2</v>
      </c>
      <c r="DE82" s="603">
        <f t="shared" ca="1" si="200"/>
        <v>-3.8691429924902043</v>
      </c>
      <c r="DF82" s="603">
        <f t="shared" ca="1" si="52"/>
        <v>-6.5663557026782948</v>
      </c>
      <c r="DG82" s="603" t="str">
        <f t="shared" si="201"/>
        <v/>
      </c>
      <c r="DH82" s="556" t="str">
        <f ca="1">IF(ROUND(DH33,2)=0,"ok","!")</f>
        <v>ok</v>
      </c>
      <c r="DI82" s="601">
        <f t="shared" ca="1" si="202"/>
        <v>8.6872810781970955</v>
      </c>
      <c r="DJ82" s="603">
        <f t="shared" ca="1" si="203"/>
        <v>1.4535940111937151E-2</v>
      </c>
      <c r="DK82" s="603">
        <f t="shared" ca="1" si="204"/>
        <v>3.4422285349875459</v>
      </c>
      <c r="DL82" s="603">
        <f t="shared" ca="1" si="57"/>
        <v>19.020012024392319</v>
      </c>
      <c r="DM82" s="603" t="str">
        <f t="shared" si="205"/>
        <v/>
      </c>
      <c r="DN82" s="556" t="str">
        <f ca="1">IF(ROUND(DN33,2)=0,"ok","!")</f>
        <v>ok</v>
      </c>
      <c r="DO82" s="601">
        <f t="shared" ca="1" si="206"/>
        <v>-1.7686145615457893</v>
      </c>
      <c r="DP82" s="603">
        <f t="shared" ca="1" si="207"/>
        <v>2.0856042438776035</v>
      </c>
      <c r="DQ82" s="603">
        <f t="shared" ca="1" si="208"/>
        <v>1.5650614395202433</v>
      </c>
      <c r="DR82" s="603">
        <f t="shared" ca="1" si="62"/>
        <v>-7.0178603644235888</v>
      </c>
      <c r="DS82" s="603" t="str">
        <f t="shared" si="209"/>
        <v/>
      </c>
      <c r="DT82" s="556" t="str">
        <f ca="1">IF(ROUND(DT33,2)=0,"ok","!")</f>
        <v>ok</v>
      </c>
      <c r="DU82" s="601">
        <f t="shared" ca="1" si="210"/>
        <v>7.5226686752223548</v>
      </c>
      <c r="DV82" s="603">
        <f t="shared" ca="1" si="211"/>
        <v>8.0011389521640108</v>
      </c>
      <c r="DW82" s="603">
        <f t="shared" ca="1" si="212"/>
        <v>7.4412316521355493</v>
      </c>
      <c r="DX82" s="603">
        <f t="shared" ca="1" si="67"/>
        <v>7.506790842064448</v>
      </c>
      <c r="DY82" s="603" t="str">
        <f t="shared" si="213"/>
        <v/>
      </c>
      <c r="DZ82" s="556" t="str">
        <f ca="1">IF(ROUND(DZ33,2)=0,"ok","!")</f>
        <v>ok</v>
      </c>
      <c r="EA82" s="601">
        <f t="shared" ca="1" si="214"/>
        <v>10.868027724079399</v>
      </c>
      <c r="EB82" s="603">
        <f t="shared" ca="1" si="215"/>
        <v>12.958080674927498</v>
      </c>
      <c r="EC82" s="603">
        <f t="shared" ca="1" si="216"/>
        <v>6.8231427030636116</v>
      </c>
      <c r="ED82" s="603">
        <f t="shared" ca="1" si="72"/>
        <v>15.981158295583731</v>
      </c>
      <c r="EE82" s="603" t="str">
        <f t="shared" si="217"/>
        <v/>
      </c>
      <c r="EF82" s="556" t="str">
        <f ca="1">IF(ROUND(EF33,2)=0,"ok","!")</f>
        <v>ok</v>
      </c>
      <c r="EG82" s="601">
        <f t="shared" ca="1" si="218"/>
        <v>6.3081082394682797</v>
      </c>
      <c r="EH82" s="603">
        <f t="shared" ca="1" si="219"/>
        <v>3.0000000000000027</v>
      </c>
      <c r="EI82" s="603">
        <f t="shared" ca="1" si="220"/>
        <v>8.0000000000000071</v>
      </c>
      <c r="EJ82" s="603">
        <f t="shared" ca="1" si="77"/>
        <v>5.0000000000000044</v>
      </c>
      <c r="EK82" s="603" t="str">
        <f t="shared" si="221"/>
        <v/>
      </c>
      <c r="EL82" s="556" t="str">
        <f ca="1">IF(ROUND(EL33,2)=0,"ok","!")</f>
        <v>ok</v>
      </c>
      <c r="EM82" s="601">
        <f t="shared" ca="1" si="222"/>
        <v>6.1459080533420085</v>
      </c>
      <c r="EN82" s="603">
        <f t="shared" ca="1" si="223"/>
        <v>3.0000000000000027</v>
      </c>
      <c r="EO82" s="603">
        <f t="shared" ca="1" si="224"/>
        <v>8.0000000000000071</v>
      </c>
      <c r="EP82" s="603">
        <f t="shared" ca="1" si="82"/>
        <v>4.4999999999999929</v>
      </c>
      <c r="EQ82" s="603" t="str">
        <f t="shared" si="225"/>
        <v/>
      </c>
      <c r="ER82" s="556" t="str">
        <f ca="1">IF(ROUND(ER33,2)=0,"ok","!")</f>
        <v>ok</v>
      </c>
      <c r="ES82" s="601">
        <f t="shared" ca="1" si="226"/>
        <v>6.3716088547023153</v>
      </c>
      <c r="ET82" s="603">
        <f t="shared" ca="1" si="227"/>
        <v>3.0000000000000027</v>
      </c>
      <c r="EU82" s="603">
        <f t="shared" ca="1" si="228"/>
        <v>8.0000000000000071</v>
      </c>
      <c r="EV82" s="603">
        <f t="shared" ca="1" si="87"/>
        <v>5.0000000000000044</v>
      </c>
      <c r="EW82" s="603" t="str">
        <f t="shared" si="229"/>
        <v/>
      </c>
      <c r="EX82" s="556" t="str">
        <f ca="1">IF(ROUND(EX33,2)=0,"ok","!")</f>
        <v>ok</v>
      </c>
    </row>
    <row r="83" spans="2:154">
      <c r="B83" s="600" t="s">
        <v>1769</v>
      </c>
      <c r="C83" s="3777" t="s">
        <v>500</v>
      </c>
      <c r="D83" s="3778"/>
      <c r="E83" s="3455"/>
      <c r="F83" s="3455"/>
      <c r="G83" s="3455"/>
      <c r="H83" s="3455"/>
      <c r="I83" s="3455"/>
      <c r="J83" s="604"/>
      <c r="K83" s="3455">
        <f t="shared" ca="1" si="137"/>
        <v>24.141594672746038</v>
      </c>
      <c r="L83" s="3455">
        <f t="shared" ca="1" si="137"/>
        <v>22.344615078773412</v>
      </c>
      <c r="M83" s="3455">
        <f t="shared" ca="1" si="137"/>
        <v>49.911835426128604</v>
      </c>
      <c r="N83" s="3455">
        <f t="shared" ca="1" si="137"/>
        <v>19.257501917461028</v>
      </c>
      <c r="O83" s="3455" t="str">
        <f t="shared" si="137"/>
        <v/>
      </c>
      <c r="P83" s="604"/>
      <c r="Q83" s="3455">
        <f t="shared" ca="1" si="138"/>
        <v>20.337121734995954</v>
      </c>
      <c r="R83" s="3455">
        <f t="shared" ca="1" si="139"/>
        <v>20.387570195507475</v>
      </c>
      <c r="S83" s="3455">
        <f t="shared" ca="1" si="140"/>
        <v>1.5549258625607632</v>
      </c>
      <c r="T83" s="3455">
        <f t="shared" ca="1" si="124"/>
        <v>28.633002712343814</v>
      </c>
      <c r="U83" s="3455" t="str">
        <f t="shared" si="141"/>
        <v/>
      </c>
      <c r="V83" s="604"/>
      <c r="W83" s="3455">
        <f t="shared" ca="1" si="142"/>
        <v>10.486464623805801</v>
      </c>
      <c r="X83" s="3455">
        <f t="shared" ca="1" si="143"/>
        <v>15.779720175895573</v>
      </c>
      <c r="Y83" s="3455">
        <f t="shared" ca="1" si="144"/>
        <v>-15.117268730970823</v>
      </c>
      <c r="Z83" s="3455">
        <f t="shared" ca="1" si="125"/>
        <v>7.3695095895855989</v>
      </c>
      <c r="AA83" s="3455" t="str">
        <f t="shared" si="145"/>
        <v/>
      </c>
      <c r="AB83" s="604"/>
      <c r="AC83" s="3455">
        <f t="shared" ca="1" si="146"/>
        <v>-2.9214207270366721</v>
      </c>
      <c r="AD83" s="3455">
        <f t="shared" ca="1" si="147"/>
        <v>0.5188824966047445</v>
      </c>
      <c r="AE83" s="3455">
        <f t="shared" ca="1" si="148"/>
        <v>-5.2439528633450365</v>
      </c>
      <c r="AF83" s="3455">
        <f t="shared" ca="1" si="126"/>
        <v>-10.807035202040815</v>
      </c>
      <c r="AG83" s="3455" t="str">
        <f t="shared" si="149"/>
        <v/>
      </c>
      <c r="AH83" s="604"/>
      <c r="AI83" s="3455">
        <f t="shared" ca="1" si="150"/>
        <v>6.2562534411255699</v>
      </c>
      <c r="AJ83" s="3455">
        <f t="shared" ca="1" si="151"/>
        <v>7.3882930359429055</v>
      </c>
      <c r="AK83" s="3455">
        <f t="shared" ca="1" si="152"/>
        <v>3.2061701593813163</v>
      </c>
      <c r="AL83" s="3455">
        <f t="shared" ca="1" si="127"/>
        <v>3.9976392915280767</v>
      </c>
      <c r="AM83" s="3455" t="str">
        <f t="shared" si="153"/>
        <v/>
      </c>
      <c r="AN83" s="604"/>
      <c r="AO83" s="3455">
        <f t="shared" ca="1" si="154"/>
        <v>6.5914001422523683</v>
      </c>
      <c r="AP83" s="3455">
        <f t="shared" ca="1" si="155"/>
        <v>4.6697380670049027</v>
      </c>
      <c r="AQ83" s="3455">
        <f t="shared" ca="1" si="156"/>
        <v>57.706699363676606</v>
      </c>
      <c r="AR83" s="3455">
        <f t="shared" ca="1" si="128"/>
        <v>-2.9387920551277036</v>
      </c>
      <c r="AS83" s="3455" t="str">
        <f t="shared" si="157"/>
        <v/>
      </c>
      <c r="AT83" s="604"/>
      <c r="AU83" s="3455">
        <f t="shared" ca="1" si="158"/>
        <v>6.8371608610836354</v>
      </c>
      <c r="AV83" s="3455">
        <f t="shared" ca="1" si="159"/>
        <v>5.7209952104927853</v>
      </c>
      <c r="AW83" s="3455">
        <f t="shared" ca="1" si="160"/>
        <v>9.656836461126117</v>
      </c>
      <c r="AX83" s="3455">
        <f t="shared" ca="1" si="129"/>
        <v>8.9609200571823422</v>
      </c>
      <c r="AY83" s="3455" t="str">
        <f t="shared" si="161"/>
        <v/>
      </c>
      <c r="AZ83" s="604"/>
      <c r="BA83" s="3455">
        <f t="shared" ca="1" si="162"/>
        <v>8.0445871089936958</v>
      </c>
      <c r="BB83" s="3455">
        <f t="shared" ca="1" si="163"/>
        <v>6.8610745132484219</v>
      </c>
      <c r="BC83" s="3455">
        <f t="shared" ca="1" si="164"/>
        <v>20.893232604762659</v>
      </c>
      <c r="BD83" s="3455">
        <f t="shared" ca="1" si="130"/>
        <v>5.4222106911100187</v>
      </c>
      <c r="BE83" s="3455" t="str">
        <f t="shared" si="165"/>
        <v/>
      </c>
      <c r="BF83" s="604"/>
      <c r="BG83" s="3455">
        <f t="shared" ca="1" si="166"/>
        <v>10.112808903523106</v>
      </c>
      <c r="BH83" s="3455">
        <f t="shared" ca="1" si="167"/>
        <v>17.28532392287514</v>
      </c>
      <c r="BI83" s="3455">
        <f t="shared" ca="1" si="168"/>
        <v>-28.526070448099393</v>
      </c>
      <c r="BJ83" s="3455">
        <f t="shared" ca="1" si="131"/>
        <v>9.5223312917750214</v>
      </c>
      <c r="BK83" s="3455" t="str">
        <f t="shared" si="169"/>
        <v/>
      </c>
      <c r="BL83" s="604"/>
      <c r="BM83" s="3455">
        <f t="shared" ca="1" si="170"/>
        <v>15.794356831311408</v>
      </c>
      <c r="BN83" s="3455">
        <f t="shared" ca="1" si="171"/>
        <v>9.5400469390710896</v>
      </c>
      <c r="BO83" s="3455">
        <f t="shared" ca="1" si="172"/>
        <v>77.132893350027459</v>
      </c>
      <c r="BP83" s="3455">
        <f t="shared" ca="1" si="132"/>
        <v>14.161468161657108</v>
      </c>
      <c r="BQ83" s="3455" t="str">
        <f t="shared" si="173"/>
        <v/>
      </c>
      <c r="BR83" s="604"/>
      <c r="BS83" s="3455">
        <f t="shared" ca="1" si="174"/>
        <v>14.5026998101911</v>
      </c>
      <c r="BT83" s="3455">
        <f t="shared" ca="1" si="175"/>
        <v>15.14239020482211</v>
      </c>
      <c r="BU83" s="3455">
        <f t="shared" ca="1" si="176"/>
        <v>-1.0678444637018281</v>
      </c>
      <c r="BV83" s="3455">
        <f t="shared" ca="1" si="133"/>
        <v>21.211063841208897</v>
      </c>
      <c r="BW83" s="3455" t="str">
        <f t="shared" si="177"/>
        <v/>
      </c>
      <c r="BX83" s="604"/>
      <c r="BY83" s="3455">
        <f t="shared" ca="1" si="178"/>
        <v>18.366923425878202</v>
      </c>
      <c r="BZ83" s="3455">
        <f t="shared" ca="1" si="179"/>
        <v>8.0089717770564395</v>
      </c>
      <c r="CA83" s="3455">
        <f t="shared" ca="1" si="180"/>
        <v>93.076528738137853</v>
      </c>
      <c r="CB83" s="3455">
        <f t="shared" ca="1" si="134"/>
        <v>15.172501605438571</v>
      </c>
      <c r="CC83" s="3455" t="str">
        <f t="shared" si="181"/>
        <v/>
      </c>
      <c r="CD83" s="604"/>
      <c r="CE83" s="3455">
        <f t="shared" ca="1" si="182"/>
        <v>12.827419543732276</v>
      </c>
      <c r="CF83" s="3455">
        <f t="shared" ca="1" si="183"/>
        <v>19.154704479239726</v>
      </c>
      <c r="CG83" s="3455">
        <f t="shared" ca="1" si="184"/>
        <v>-2.5156693608071934</v>
      </c>
      <c r="CH83" s="3455">
        <f t="shared" ca="1" si="135"/>
        <v>6.8503466430818838</v>
      </c>
      <c r="CI83" s="3455" t="str">
        <f t="shared" si="185"/>
        <v/>
      </c>
      <c r="CJ83" s="604"/>
      <c r="CK83" s="3455">
        <f t="shared" ca="1" si="186"/>
        <v>-13.100240851526712</v>
      </c>
      <c r="CL83" s="3455">
        <f t="shared" ca="1" si="187"/>
        <v>-7.8940715550445129</v>
      </c>
      <c r="CM83" s="3455">
        <f t="shared" ca="1" si="188"/>
        <v>-1.8164700432564462</v>
      </c>
      <c r="CN83" s="3455">
        <f t="shared" ca="1" si="136"/>
        <v>-37.263602065726609</v>
      </c>
      <c r="CO83" s="3455" t="str">
        <f t="shared" si="189"/>
        <v/>
      </c>
      <c r="CP83" s="604"/>
      <c r="CQ83" s="3455">
        <f t="shared" ca="1" si="190"/>
        <v>1.7993953974244192</v>
      </c>
      <c r="CR83" s="3455">
        <f t="shared" ca="1" si="191"/>
        <v>0.86462686046331338</v>
      </c>
      <c r="CS83" s="3455">
        <f t="shared" ca="1" si="192"/>
        <v>2.2655241481894794</v>
      </c>
      <c r="CT83" s="3455">
        <f t="shared" ca="1" si="42"/>
        <v>5.579151917280778</v>
      </c>
      <c r="CU83" s="3455" t="str">
        <f t="shared" si="193"/>
        <v/>
      </c>
      <c r="CV83" s="604"/>
      <c r="CW83" s="3455">
        <f t="shared" ca="1" si="194"/>
        <v>8.4667939794810465</v>
      </c>
      <c r="CX83" s="3455">
        <f t="shared" ca="1" si="195"/>
        <v>5.250126509072528</v>
      </c>
      <c r="CY83" s="3455">
        <f t="shared" ca="1" si="196"/>
        <v>16.626120536277035</v>
      </c>
      <c r="CZ83" s="3455">
        <f t="shared" ca="1" si="47"/>
        <v>13.921230822170628</v>
      </c>
      <c r="DA83" s="3455" t="str">
        <f t="shared" si="197"/>
        <v/>
      </c>
      <c r="DB83" s="604"/>
      <c r="DC83" s="3455">
        <f t="shared" ca="1" si="198"/>
        <v>6.0579580779791753</v>
      </c>
      <c r="DD83" s="3455">
        <f t="shared" ca="1" si="199"/>
        <v>3.3819442229902741</v>
      </c>
      <c r="DE83" s="3455">
        <f t="shared" ca="1" si="200"/>
        <v>13.177042413187422</v>
      </c>
      <c r="DF83" s="3455">
        <f t="shared" ca="1" si="52"/>
        <v>9.1724395585177874</v>
      </c>
      <c r="DG83" s="3455" t="str">
        <f t="shared" si="201"/>
        <v/>
      </c>
      <c r="DH83" s="604"/>
      <c r="DI83" s="3455">
        <f t="shared" ca="1" si="202"/>
        <v>6.9458288442134863</v>
      </c>
      <c r="DJ83" s="3455">
        <f t="shared" ca="1" si="203"/>
        <v>5.7181255573077516</v>
      </c>
      <c r="DK83" s="3455">
        <f t="shared" ca="1" si="204"/>
        <v>11.475378003313974</v>
      </c>
      <c r="DL83" s="3455">
        <f t="shared" ca="1" si="57"/>
        <v>6.55968371100768</v>
      </c>
      <c r="DM83" s="3455" t="str">
        <f t="shared" si="205"/>
        <v/>
      </c>
      <c r="DN83" s="604"/>
      <c r="DO83" s="3455">
        <f t="shared" ca="1" si="206"/>
        <v>6.405797093172505</v>
      </c>
      <c r="DP83" s="3455">
        <f t="shared" ca="1" si="207"/>
        <v>1.8678264757332919</v>
      </c>
      <c r="DQ83" s="3455">
        <f t="shared" ca="1" si="208"/>
        <v>16.031064015096554</v>
      </c>
      <c r="DR83" s="3455">
        <f t="shared" ca="1" si="62"/>
        <v>12.347798458510951</v>
      </c>
      <c r="DS83" s="3455" t="str">
        <f t="shared" si="209"/>
        <v/>
      </c>
      <c r="DT83" s="604"/>
      <c r="DU83" s="3455">
        <f t="shared" ca="1" si="210"/>
        <v>-1.1135788130198776</v>
      </c>
      <c r="DV83" s="3455">
        <f t="shared" ca="1" si="211"/>
        <v>2.8710198106668194</v>
      </c>
      <c r="DW83" s="3455">
        <f t="shared" ca="1" si="212"/>
        <v>-22.187735351002924</v>
      </c>
      <c r="DX83" s="3455">
        <f t="shared" ca="1" si="67"/>
        <v>10.750608566610875</v>
      </c>
      <c r="DY83" s="3455" t="str">
        <f t="shared" si="213"/>
        <v/>
      </c>
      <c r="DZ83" s="604"/>
      <c r="EA83" s="3455">
        <f t="shared" ca="1" si="214"/>
        <v>2.941733598055607</v>
      </c>
      <c r="EB83" s="3455">
        <f t="shared" ca="1" si="215"/>
        <v>5.4297177194465807</v>
      </c>
      <c r="EC83" s="3455">
        <f t="shared" ca="1" si="216"/>
        <v>-10.845794820758792</v>
      </c>
      <c r="ED83" s="3455">
        <f t="shared" ca="1" si="72"/>
        <v>6.7410855863338393</v>
      </c>
      <c r="EE83" s="3455" t="str">
        <f t="shared" si="217"/>
        <v/>
      </c>
      <c r="EF83" s="604"/>
      <c r="EG83" s="3455">
        <f t="shared" ca="1" si="218"/>
        <v>8.5000302061520863</v>
      </c>
      <c r="EH83" s="3455">
        <f t="shared" ca="1" si="219"/>
        <v>6.8482848708877997</v>
      </c>
      <c r="EI83" s="3455">
        <f t="shared" ca="1" si="220"/>
        <v>15.089887362855393</v>
      </c>
      <c r="EJ83" s="3455">
        <f t="shared" ca="1" si="77"/>
        <v>9.0287897093461069</v>
      </c>
      <c r="EK83" s="3455" t="str">
        <f t="shared" si="221"/>
        <v/>
      </c>
      <c r="EL83" s="604"/>
      <c r="EM83" s="3455">
        <f t="shared" ca="1" si="222"/>
        <v>5.7369823645138984</v>
      </c>
      <c r="EN83" s="3455">
        <f t="shared" ca="1" si="223"/>
        <v>5.7478542323566639</v>
      </c>
      <c r="EO83" s="3455">
        <f t="shared" ca="1" si="224"/>
        <v>7.8521609209977861</v>
      </c>
      <c r="EP83" s="3455">
        <f t="shared" ca="1" si="82"/>
        <v>4.1108173710856732</v>
      </c>
      <c r="EQ83" s="3455" t="str">
        <f t="shared" si="225"/>
        <v/>
      </c>
      <c r="ER83" s="604"/>
      <c r="ES83" s="3455">
        <f t="shared" ca="1" si="226"/>
        <v>5.6725175225571078</v>
      </c>
      <c r="ET83" s="3455">
        <f t="shared" ca="1" si="227"/>
        <v>5.2190391268869041</v>
      </c>
      <c r="EU83" s="3455">
        <f t="shared" ca="1" si="228"/>
        <v>8.231624351495892</v>
      </c>
      <c r="EV83" s="3455">
        <f t="shared" ca="1" si="87"/>
        <v>5.1055602802656086</v>
      </c>
      <c r="EW83" s="3455" t="str">
        <f t="shared" si="229"/>
        <v/>
      </c>
      <c r="EX83" s="604"/>
    </row>
    <row r="84" spans="2:154" ht="13.5" thickBot="1">
      <c r="B84" s="600" t="s">
        <v>1767</v>
      </c>
      <c r="C84" s="3779" t="s">
        <v>1295</v>
      </c>
      <c r="D84" s="3780"/>
      <c r="E84" s="601"/>
      <c r="F84" s="603"/>
      <c r="G84" s="603"/>
      <c r="H84" s="603"/>
      <c r="I84" s="602"/>
      <c r="J84" s="556"/>
      <c r="K84" s="601" t="str">
        <f t="shared" ref="K84:O90" ca="1" si="230">IF(K35="","",IF(E35=0,"N",(K35/E35-1)*100))</f>
        <v>N</v>
      </c>
      <c r="L84" s="603" t="str">
        <f t="shared" ca="1" si="230"/>
        <v>N</v>
      </c>
      <c r="M84" s="603" t="str">
        <f t="shared" ca="1" si="230"/>
        <v>N</v>
      </c>
      <c r="N84" s="603" t="str">
        <f t="shared" ca="1" si="230"/>
        <v>N</v>
      </c>
      <c r="O84" s="602" t="str">
        <f t="shared" ca="1" si="230"/>
        <v>N</v>
      </c>
      <c r="P84" s="556" t="str">
        <f ca="1">IF(ROUND(P35,2)=0,"ok","!")</f>
        <v>ok</v>
      </c>
      <c r="Q84" s="601" t="str">
        <f t="shared" ca="1" si="138"/>
        <v>N</v>
      </c>
      <c r="R84" s="603" t="str">
        <f t="shared" ca="1" si="139"/>
        <v>N</v>
      </c>
      <c r="S84" s="603" t="str">
        <f t="shared" ca="1" si="140"/>
        <v>N</v>
      </c>
      <c r="T84" s="603" t="str">
        <f t="shared" ca="1" si="124"/>
        <v>N</v>
      </c>
      <c r="U84" s="602" t="str">
        <f t="shared" ca="1" si="141"/>
        <v>N</v>
      </c>
      <c r="V84" s="556" t="str">
        <f ca="1">IF(ROUND(V35,2)=0,"ok","!")</f>
        <v>ok</v>
      </c>
      <c r="W84" s="601" t="str">
        <f t="shared" ca="1" si="142"/>
        <v>N</v>
      </c>
      <c r="X84" s="603" t="str">
        <f t="shared" ca="1" si="143"/>
        <v>N</v>
      </c>
      <c r="Y84" s="603" t="str">
        <f t="shared" ca="1" si="144"/>
        <v>N</v>
      </c>
      <c r="Z84" s="603" t="str">
        <f t="shared" ca="1" si="125"/>
        <v>N</v>
      </c>
      <c r="AA84" s="602" t="str">
        <f t="shared" ca="1" si="145"/>
        <v>N</v>
      </c>
      <c r="AB84" s="556" t="str">
        <f ca="1">IF(ROUND(AB35,2)=0,"ok","!")</f>
        <v>ok</v>
      </c>
      <c r="AC84" s="601" t="str">
        <f t="shared" ca="1" si="146"/>
        <v>N</v>
      </c>
      <c r="AD84" s="603" t="str">
        <f t="shared" ca="1" si="147"/>
        <v>N</v>
      </c>
      <c r="AE84" s="603" t="str">
        <f t="shared" ca="1" si="148"/>
        <v>N</v>
      </c>
      <c r="AF84" s="603" t="str">
        <f t="shared" ca="1" si="126"/>
        <v>N</v>
      </c>
      <c r="AG84" s="602" t="str">
        <f t="shared" ca="1" si="149"/>
        <v>N</v>
      </c>
      <c r="AH84" s="556" t="str">
        <f ca="1">IF(ROUND(AH35,2)=0,"ok","!")</f>
        <v>ok</v>
      </c>
      <c r="AI84" s="601" t="str">
        <f t="shared" ca="1" si="150"/>
        <v>N</v>
      </c>
      <c r="AJ84" s="603" t="str">
        <f t="shared" ca="1" si="151"/>
        <v>N</v>
      </c>
      <c r="AK84" s="603" t="str">
        <f t="shared" ca="1" si="152"/>
        <v>N</v>
      </c>
      <c r="AL84" s="603" t="str">
        <f t="shared" ca="1" si="127"/>
        <v>N</v>
      </c>
      <c r="AM84" s="602" t="str">
        <f t="shared" ca="1" si="153"/>
        <v>N</v>
      </c>
      <c r="AN84" s="556" t="str">
        <f ca="1">IF(ROUND(AN35,2)=0,"ok","!")</f>
        <v>ok</v>
      </c>
      <c r="AO84" s="601" t="str">
        <f t="shared" ca="1" si="154"/>
        <v>N</v>
      </c>
      <c r="AP84" s="603" t="str">
        <f t="shared" ca="1" si="155"/>
        <v>N</v>
      </c>
      <c r="AQ84" s="603" t="str">
        <f t="shared" ca="1" si="156"/>
        <v>N</v>
      </c>
      <c r="AR84" s="603" t="str">
        <f t="shared" ca="1" si="128"/>
        <v>N</v>
      </c>
      <c r="AS84" s="602" t="str">
        <f t="shared" ca="1" si="157"/>
        <v>N</v>
      </c>
      <c r="AT84" s="556" t="str">
        <f ca="1">IF(ROUND(AT35,2)=0,"ok","!")</f>
        <v>ok</v>
      </c>
      <c r="AU84" s="601" t="str">
        <f t="shared" ca="1" si="158"/>
        <v>N</v>
      </c>
      <c r="AV84" s="603" t="str">
        <f t="shared" ca="1" si="159"/>
        <v>N</v>
      </c>
      <c r="AW84" s="603" t="str">
        <f t="shared" ca="1" si="160"/>
        <v>N</v>
      </c>
      <c r="AX84" s="603" t="str">
        <f t="shared" ca="1" si="129"/>
        <v>N</v>
      </c>
      <c r="AY84" s="602" t="str">
        <f t="shared" ca="1" si="161"/>
        <v>N</v>
      </c>
      <c r="AZ84" s="556" t="str">
        <f ca="1">IF(ROUND(AZ35,2)=0,"ok","!")</f>
        <v>ok</v>
      </c>
      <c r="BA84" s="601" t="str">
        <f t="shared" ca="1" si="162"/>
        <v>N</v>
      </c>
      <c r="BB84" s="603" t="str">
        <f t="shared" ca="1" si="163"/>
        <v>N</v>
      </c>
      <c r="BC84" s="603" t="str">
        <f t="shared" ca="1" si="164"/>
        <v>N</v>
      </c>
      <c r="BD84" s="603" t="str">
        <f t="shared" ca="1" si="130"/>
        <v>N</v>
      </c>
      <c r="BE84" s="602" t="str">
        <f t="shared" ca="1" si="165"/>
        <v>N</v>
      </c>
      <c r="BF84" s="556" t="str">
        <f ca="1">IF(ROUND(BF35,2)=0,"ok","!")</f>
        <v>ok</v>
      </c>
      <c r="BG84" s="601" t="str">
        <f t="shared" ca="1" si="166"/>
        <v>N</v>
      </c>
      <c r="BH84" s="603" t="str">
        <f t="shared" ca="1" si="167"/>
        <v>N</v>
      </c>
      <c r="BI84" s="603" t="str">
        <f t="shared" ca="1" si="168"/>
        <v>N</v>
      </c>
      <c r="BJ84" s="603" t="str">
        <f t="shared" ca="1" si="131"/>
        <v>N</v>
      </c>
      <c r="BK84" s="602" t="str">
        <f t="shared" ca="1" si="169"/>
        <v>N</v>
      </c>
      <c r="BL84" s="556" t="str">
        <f ca="1">IF(ROUND(BL35,2)=0,"ok","!")</f>
        <v>ok</v>
      </c>
      <c r="BM84" s="601" t="str">
        <f t="shared" ca="1" si="170"/>
        <v>N</v>
      </c>
      <c r="BN84" s="603">
        <f t="shared" ca="1" si="171"/>
        <v>78.04148384523333</v>
      </c>
      <c r="BO84" s="603">
        <f t="shared" ca="1" si="172"/>
        <v>78.04148384523333</v>
      </c>
      <c r="BP84" s="603" t="str">
        <f t="shared" ca="1" si="132"/>
        <v>N</v>
      </c>
      <c r="BQ84" s="602" t="str">
        <f t="shared" ca="1" si="173"/>
        <v>N</v>
      </c>
      <c r="BR84" s="556" t="str">
        <f ca="1">IF(ROUND(BR35,2)=0,"ok","!")</f>
        <v>ok</v>
      </c>
      <c r="BS84" s="601" t="str">
        <f t="shared" ca="1" si="174"/>
        <v>N</v>
      </c>
      <c r="BT84" s="603">
        <f t="shared" ca="1" si="175"/>
        <v>72.129494791083218</v>
      </c>
      <c r="BU84" s="603">
        <f t="shared" ca="1" si="176"/>
        <v>72.129494791083218</v>
      </c>
      <c r="BV84" s="603" t="str">
        <f t="shared" ca="1" si="133"/>
        <v>N</v>
      </c>
      <c r="BW84" s="602" t="str">
        <f t="shared" ca="1" si="177"/>
        <v>N</v>
      </c>
      <c r="BX84" s="556" t="str">
        <f ca="1">IF(ROUND(BX35,2)=0,"ok","!")</f>
        <v>ok</v>
      </c>
      <c r="BY84" s="601" t="str">
        <f t="shared" ca="1" si="178"/>
        <v>N</v>
      </c>
      <c r="BZ84" s="603">
        <f t="shared" ca="1" si="179"/>
        <v>60.13926851490303</v>
      </c>
      <c r="CA84" s="603">
        <f t="shared" ca="1" si="180"/>
        <v>60.13926851490303</v>
      </c>
      <c r="CB84" s="603" t="str">
        <f t="shared" ca="1" si="134"/>
        <v>N</v>
      </c>
      <c r="CC84" s="602" t="str">
        <f t="shared" ca="1" si="181"/>
        <v>N</v>
      </c>
      <c r="CD84" s="556" t="str">
        <f ca="1">IF(ROUND(CD35,2)=0,"ok","!")</f>
        <v>ok</v>
      </c>
      <c r="CE84" s="601" t="str">
        <f t="shared" ca="1" si="182"/>
        <v>N</v>
      </c>
      <c r="CF84" s="603">
        <f t="shared" ca="1" si="183"/>
        <v>24.663713577437306</v>
      </c>
      <c r="CG84" s="603">
        <f t="shared" ca="1" si="184"/>
        <v>24.663713577437306</v>
      </c>
      <c r="CH84" s="603" t="str">
        <f t="shared" ca="1" si="135"/>
        <v>N</v>
      </c>
      <c r="CI84" s="602" t="str">
        <f t="shared" ca="1" si="185"/>
        <v>N</v>
      </c>
      <c r="CJ84" s="556" t="str">
        <f ca="1">IF(ROUND(CJ35,2)=0,"ok","!")</f>
        <v>ok</v>
      </c>
      <c r="CK84" s="601" t="str">
        <f t="shared" ca="1" si="186"/>
        <v>N</v>
      </c>
      <c r="CL84" s="603">
        <f t="shared" ca="1" si="187"/>
        <v>-60.183857086973525</v>
      </c>
      <c r="CM84" s="603">
        <f t="shared" ca="1" si="188"/>
        <v>-60.183857086973525</v>
      </c>
      <c r="CN84" s="603" t="str">
        <f t="shared" ca="1" si="136"/>
        <v>N</v>
      </c>
      <c r="CO84" s="602" t="str">
        <f t="shared" ca="1" si="189"/>
        <v>N</v>
      </c>
      <c r="CP84" s="556" t="str">
        <f ca="1">IF(ROUND(CP35,2)=0,"ok","!")</f>
        <v>ok</v>
      </c>
      <c r="CQ84" s="601" t="str">
        <f t="shared" ca="1" si="190"/>
        <v>N</v>
      </c>
      <c r="CR84" s="603">
        <f t="shared" ca="1" si="191"/>
        <v>-21.802849189454708</v>
      </c>
      <c r="CS84" s="603">
        <f t="shared" ca="1" si="192"/>
        <v>-21.802849189454708</v>
      </c>
      <c r="CT84" s="603" t="str">
        <f t="shared" ca="1" si="42"/>
        <v>N</v>
      </c>
      <c r="CU84" s="602" t="str">
        <f t="shared" ca="1" si="193"/>
        <v>N</v>
      </c>
      <c r="CV84" s="556" t="str">
        <f ca="1">IF(ROUND(CV35,2)=0,"ok","!")</f>
        <v>ok</v>
      </c>
      <c r="CW84" s="601" t="str">
        <f t="shared" ca="1" si="194"/>
        <v>N</v>
      </c>
      <c r="CX84" s="603">
        <f t="shared" ca="1" si="195"/>
        <v>-2.6908177154224888</v>
      </c>
      <c r="CY84" s="603">
        <f t="shared" ca="1" si="196"/>
        <v>-2.6908177154224888</v>
      </c>
      <c r="CZ84" s="603" t="str">
        <f t="shared" ca="1" si="47"/>
        <v>N</v>
      </c>
      <c r="DA84" s="602" t="str">
        <f t="shared" ca="1" si="197"/>
        <v>N</v>
      </c>
      <c r="DB84" s="556" t="str">
        <f ca="1">IF(ROUND(DB35,2)=0,"ok","!")</f>
        <v>ok</v>
      </c>
      <c r="DC84" s="601" t="str">
        <f t="shared" ca="1" si="198"/>
        <v>N</v>
      </c>
      <c r="DD84" s="603">
        <f t="shared" ca="1" si="199"/>
        <v>-19.829997848074012</v>
      </c>
      <c r="DE84" s="603">
        <f t="shared" ca="1" si="200"/>
        <v>-19.829997848074012</v>
      </c>
      <c r="DF84" s="603" t="str">
        <f t="shared" ca="1" si="52"/>
        <v>N</v>
      </c>
      <c r="DG84" s="602" t="str">
        <f t="shared" ca="1" si="201"/>
        <v>N</v>
      </c>
      <c r="DH84" s="556" t="str">
        <f ca="1">IF(ROUND(DH35,2)=0,"ok","!")</f>
        <v>ok</v>
      </c>
      <c r="DI84" s="601" t="str">
        <f t="shared" ca="1" si="202"/>
        <v>N</v>
      </c>
      <c r="DJ84" s="603">
        <f t="shared" ca="1" si="203"/>
        <v>87.93450543551198</v>
      </c>
      <c r="DK84" s="603">
        <f t="shared" ca="1" si="204"/>
        <v>87.93450543551198</v>
      </c>
      <c r="DL84" s="603" t="str">
        <f t="shared" ca="1" si="57"/>
        <v>N</v>
      </c>
      <c r="DM84" s="602" t="str">
        <f t="shared" ca="1" si="205"/>
        <v>N</v>
      </c>
      <c r="DN84" s="556" t="str">
        <f ca="1">IF(ROUND(DN35,2)=0,"ok","!")</f>
        <v>ok</v>
      </c>
      <c r="DO84" s="601" t="str">
        <f t="shared" ca="1" si="206"/>
        <v>N</v>
      </c>
      <c r="DP84" s="603">
        <f t="shared" ca="1" si="207"/>
        <v>-14.446904234806812</v>
      </c>
      <c r="DQ84" s="603">
        <f t="shared" ca="1" si="208"/>
        <v>-14.446904234806812</v>
      </c>
      <c r="DR84" s="603" t="str">
        <f t="shared" ca="1" si="62"/>
        <v>N</v>
      </c>
      <c r="DS84" s="602" t="str">
        <f t="shared" ca="1" si="209"/>
        <v>N</v>
      </c>
      <c r="DT84" s="556" t="str">
        <f ca="1">IF(ROUND(DT35,2)=0,"ok","!")</f>
        <v>ok</v>
      </c>
      <c r="DU84" s="601" t="str">
        <f t="shared" ca="1" si="210"/>
        <v>N</v>
      </c>
      <c r="DV84" s="603">
        <f t="shared" ca="1" si="211"/>
        <v>7.4457429048413903</v>
      </c>
      <c r="DW84" s="603">
        <f t="shared" ca="1" si="212"/>
        <v>7.4457429048413903</v>
      </c>
      <c r="DX84" s="603" t="str">
        <f t="shared" ca="1" si="67"/>
        <v>N</v>
      </c>
      <c r="DY84" s="602" t="str">
        <f t="shared" ca="1" si="213"/>
        <v>N</v>
      </c>
      <c r="DZ84" s="556" t="str">
        <f ca="1">IF(ROUND(DZ35,2)=0,"ok","!")</f>
        <v>ok</v>
      </c>
      <c r="EA84" s="601" t="str">
        <f t="shared" ca="1" si="214"/>
        <v>N</v>
      </c>
      <c r="EB84" s="603">
        <f t="shared" ca="1" si="215"/>
        <v>1.8178993163455726</v>
      </c>
      <c r="EC84" s="603">
        <f t="shared" ca="1" si="216"/>
        <v>1.8178993163455726</v>
      </c>
      <c r="ED84" s="603" t="str">
        <f t="shared" ca="1" si="72"/>
        <v>N</v>
      </c>
      <c r="EE84" s="602" t="str">
        <f t="shared" ca="1" si="217"/>
        <v>N</v>
      </c>
      <c r="EF84" s="556" t="str">
        <f ca="1">IF(ROUND(EF35,2)=0,"ok","!")</f>
        <v>ok</v>
      </c>
      <c r="EG84" s="601" t="str">
        <f t="shared" ca="1" si="218"/>
        <v>N</v>
      </c>
      <c r="EH84" s="603">
        <f t="shared" ca="1" si="219"/>
        <v>0</v>
      </c>
      <c r="EI84" s="603">
        <f t="shared" ca="1" si="220"/>
        <v>0</v>
      </c>
      <c r="EJ84" s="603" t="str">
        <f t="shared" ca="1" si="77"/>
        <v>N</v>
      </c>
      <c r="EK84" s="602" t="str">
        <f t="shared" ca="1" si="221"/>
        <v>N</v>
      </c>
      <c r="EL84" s="556" t="str">
        <f ca="1">IF(ROUND(EL35,2)=0,"ok","!")</f>
        <v>ok</v>
      </c>
      <c r="EM84" s="601" t="str">
        <f t="shared" ca="1" si="222"/>
        <v>N</v>
      </c>
      <c r="EN84" s="603">
        <f t="shared" ca="1" si="223"/>
        <v>0</v>
      </c>
      <c r="EO84" s="603">
        <f t="shared" ca="1" si="224"/>
        <v>0</v>
      </c>
      <c r="EP84" s="603" t="str">
        <f t="shared" ca="1" si="82"/>
        <v>N</v>
      </c>
      <c r="EQ84" s="602" t="str">
        <f t="shared" ca="1" si="225"/>
        <v>N</v>
      </c>
      <c r="ER84" s="556" t="str">
        <f ca="1">IF(ROUND(ER35,2)=0,"ok","!")</f>
        <v>ok</v>
      </c>
      <c r="ES84" s="601" t="str">
        <f t="shared" ca="1" si="226"/>
        <v>N</v>
      </c>
      <c r="ET84" s="603">
        <f t="shared" ca="1" si="227"/>
        <v>0</v>
      </c>
      <c r="EU84" s="603">
        <f t="shared" ca="1" si="228"/>
        <v>0</v>
      </c>
      <c r="EV84" s="603" t="str">
        <f t="shared" ca="1" si="87"/>
        <v>N</v>
      </c>
      <c r="EW84" s="602" t="str">
        <f t="shared" ca="1" si="229"/>
        <v>N</v>
      </c>
      <c r="EX84" s="556" t="str">
        <f ca="1">IF(ROUND(EX35,2)=0,"ok","!")</f>
        <v>ok</v>
      </c>
    </row>
    <row r="85" spans="2:154">
      <c r="B85" s="600" t="s">
        <v>401</v>
      </c>
      <c r="C85" s="3779" t="s">
        <v>821</v>
      </c>
      <c r="D85" s="3780"/>
      <c r="E85" s="601"/>
      <c r="F85" s="603"/>
      <c r="G85" s="3482"/>
      <c r="H85" s="3479"/>
      <c r="I85" s="3480"/>
      <c r="J85" s="604"/>
      <c r="K85" s="601">
        <f t="shared" ca="1" si="230"/>
        <v>25.606130102007164</v>
      </c>
      <c r="L85" s="603">
        <f t="shared" ca="1" si="230"/>
        <v>25.622229970634393</v>
      </c>
      <c r="M85" s="3482" t="str">
        <f t="shared" si="230"/>
        <v/>
      </c>
      <c r="N85" s="3479">
        <f t="shared" ca="1" si="230"/>
        <v>25.563239621142152</v>
      </c>
      <c r="O85" s="3480" t="str">
        <f t="shared" si="230"/>
        <v/>
      </c>
      <c r="P85" s="604"/>
      <c r="Q85" s="601">
        <f t="shared" ca="1" si="138"/>
        <v>16.952539841799474</v>
      </c>
      <c r="R85" s="603">
        <f t="shared" ca="1" si="139"/>
        <v>15.393575341015197</v>
      </c>
      <c r="S85" s="3482" t="str">
        <f t="shared" si="140"/>
        <v/>
      </c>
      <c r="T85" s="3479">
        <f t="shared" ca="1" si="124"/>
        <v>21.107614152419906</v>
      </c>
      <c r="U85" s="3480" t="str">
        <f t="shared" si="141"/>
        <v/>
      </c>
      <c r="V85" s="604"/>
      <c r="W85" s="601">
        <f t="shared" ca="1" si="142"/>
        <v>13.101041750835707</v>
      </c>
      <c r="X85" s="603">
        <f t="shared" ca="1" si="143"/>
        <v>10.775243593166062</v>
      </c>
      <c r="Y85" s="3482" t="str">
        <f t="shared" si="144"/>
        <v/>
      </c>
      <c r="Z85" s="3479">
        <f t="shared" ca="1" si="125"/>
        <v>19.007467824797409</v>
      </c>
      <c r="AA85" s="3480" t="str">
        <f t="shared" si="145"/>
        <v/>
      </c>
      <c r="AB85" s="604"/>
      <c r="AC85" s="601">
        <f t="shared" ca="1" si="146"/>
        <v>-0.61458239620102439</v>
      </c>
      <c r="AD85" s="603">
        <f t="shared" ca="1" si="147"/>
        <v>3.6730088323411403</v>
      </c>
      <c r="AE85" s="3482" t="str">
        <f t="shared" si="148"/>
        <v/>
      </c>
      <c r="AF85" s="3479">
        <f t="shared" ca="1" si="126"/>
        <v>-10.749836076274244</v>
      </c>
      <c r="AG85" s="3480" t="str">
        <f t="shared" si="149"/>
        <v/>
      </c>
      <c r="AH85" s="604"/>
      <c r="AI85" s="601">
        <f t="shared" ca="1" si="150"/>
        <v>3.7177518836361001</v>
      </c>
      <c r="AJ85" s="603">
        <f t="shared" ca="1" si="151"/>
        <v>5.2293294753600117</v>
      </c>
      <c r="AK85" s="3482" t="str">
        <f t="shared" si="152"/>
        <v/>
      </c>
      <c r="AL85" s="3479">
        <f t="shared" ca="1" si="127"/>
        <v>-0.4328241610291883</v>
      </c>
      <c r="AM85" s="3480" t="str">
        <f t="shared" si="153"/>
        <v/>
      </c>
      <c r="AN85" s="604"/>
      <c r="AO85" s="601">
        <f t="shared" ca="1" si="154"/>
        <v>4.992290592469284</v>
      </c>
      <c r="AP85" s="603">
        <f t="shared" ca="1" si="155"/>
        <v>6.639982788553489</v>
      </c>
      <c r="AQ85" s="3482" t="str">
        <f t="shared" si="156"/>
        <v/>
      </c>
      <c r="AR85" s="3479">
        <f t="shared" ca="1" si="128"/>
        <v>0.21067532961842605</v>
      </c>
      <c r="AS85" s="3480" t="str">
        <f t="shared" si="157"/>
        <v/>
      </c>
      <c r="AT85" s="604"/>
      <c r="AU85" s="601">
        <f t="shared" ca="1" si="158"/>
        <v>5.3614083242125021</v>
      </c>
      <c r="AV85" s="603">
        <f t="shared" ca="1" si="159"/>
        <v>5.75453957965395</v>
      </c>
      <c r="AW85" s="3482" t="str">
        <f t="shared" si="160"/>
        <v/>
      </c>
      <c r="AX85" s="3479">
        <f t="shared" ca="1" si="129"/>
        <v>4.147342608881055</v>
      </c>
      <c r="AY85" s="3480" t="str">
        <f t="shared" si="161"/>
        <v/>
      </c>
      <c r="AZ85" s="604"/>
      <c r="BA85" s="601">
        <f t="shared" ca="1" si="162"/>
        <v>8.2821924547157764</v>
      </c>
      <c r="BB85" s="603">
        <f t="shared" ca="1" si="163"/>
        <v>9.5645769105996195</v>
      </c>
      <c r="BC85" s="3482" t="str">
        <f t="shared" si="164"/>
        <v/>
      </c>
      <c r="BD85" s="3479">
        <f t="shared" ca="1" si="130"/>
        <v>4.2608256129395672</v>
      </c>
      <c r="BE85" s="3480" t="str">
        <f t="shared" si="165"/>
        <v/>
      </c>
      <c r="BF85" s="604"/>
      <c r="BG85" s="601">
        <f t="shared" ca="1" si="166"/>
        <v>9.8969290146716737</v>
      </c>
      <c r="BH85" s="603">
        <f t="shared" ca="1" si="167"/>
        <v>10.699275045204937</v>
      </c>
      <c r="BI85" s="3482" t="str">
        <f t="shared" si="168"/>
        <v/>
      </c>
      <c r="BJ85" s="3479">
        <f t="shared" ca="1" si="131"/>
        <v>7.2529003316856411</v>
      </c>
      <c r="BK85" s="3480" t="str">
        <f t="shared" si="169"/>
        <v/>
      </c>
      <c r="BL85" s="604"/>
      <c r="BM85" s="601">
        <f t="shared" ca="1" si="170"/>
        <v>13.55201997845894</v>
      </c>
      <c r="BN85" s="603">
        <f t="shared" ca="1" si="171"/>
        <v>14.248369091637048</v>
      </c>
      <c r="BO85" s="3482" t="str">
        <f t="shared" si="172"/>
        <v/>
      </c>
      <c r="BP85" s="3479">
        <f t="shared" ca="1" si="132"/>
        <v>11.183553664865297</v>
      </c>
      <c r="BQ85" s="3480" t="str">
        <f t="shared" si="173"/>
        <v/>
      </c>
      <c r="BR85" s="604"/>
      <c r="BS85" s="601">
        <f t="shared" ca="1" si="174"/>
        <v>15.145605280978437</v>
      </c>
      <c r="BT85" s="603">
        <f t="shared" ca="1" si="175"/>
        <v>14.18500075093425</v>
      </c>
      <c r="BU85" s="3482" t="str">
        <f t="shared" si="176"/>
        <v/>
      </c>
      <c r="BV85" s="3479">
        <f t="shared" ca="1" si="133"/>
        <v>18.502937157942689</v>
      </c>
      <c r="BW85" s="3480" t="str">
        <f t="shared" si="177"/>
        <v/>
      </c>
      <c r="BX85" s="604"/>
      <c r="BY85" s="601">
        <f t="shared" ca="1" si="178"/>
        <v>16.962618100107619</v>
      </c>
      <c r="BZ85" s="603">
        <f t="shared" ca="1" si="179"/>
        <v>19.025147906103477</v>
      </c>
      <c r="CA85" s="3482" t="str">
        <f t="shared" si="180"/>
        <v/>
      </c>
      <c r="CB85" s="3479">
        <f t="shared" ca="1" si="134"/>
        <v>10.016697390734119</v>
      </c>
      <c r="CC85" s="3480" t="str">
        <f t="shared" si="181"/>
        <v/>
      </c>
      <c r="CD85" s="604"/>
      <c r="CE85" s="601">
        <f t="shared" ca="1" si="182"/>
        <v>16.296673161210929</v>
      </c>
      <c r="CF85" s="603">
        <f t="shared" ca="1" si="183"/>
        <v>15.168621188573962</v>
      </c>
      <c r="CG85" s="3482" t="str">
        <f t="shared" si="184"/>
        <v/>
      </c>
      <c r="CH85" s="3479">
        <f t="shared" ca="1" si="135"/>
        <v>20.406644785793084</v>
      </c>
      <c r="CI85" s="3480" t="str">
        <f t="shared" si="185"/>
        <v/>
      </c>
      <c r="CJ85" s="604"/>
      <c r="CK85" s="601">
        <f t="shared" ca="1" si="186"/>
        <v>-12.084111948008957</v>
      </c>
      <c r="CL85" s="603">
        <f t="shared" ca="1" si="187"/>
        <v>-13.759763847413298</v>
      </c>
      <c r="CM85" s="3482" t="str">
        <f t="shared" si="188"/>
        <v/>
      </c>
      <c r="CN85" s="3479">
        <f t="shared" ca="1" si="136"/>
        <v>-6.2445908733280824</v>
      </c>
      <c r="CO85" s="3480" t="str">
        <f t="shared" si="189"/>
        <v/>
      </c>
      <c r="CP85" s="604"/>
      <c r="CQ85" s="601">
        <f t="shared" ca="1" si="190"/>
        <v>-2.2710247505530856</v>
      </c>
      <c r="CR85" s="603">
        <f t="shared" ca="1" si="191"/>
        <v>-2.1262160226752647</v>
      </c>
      <c r="CS85" s="3482" t="str">
        <f t="shared" si="192"/>
        <v/>
      </c>
      <c r="CT85" s="3479">
        <f t="shared" ca="1" si="42"/>
        <v>-2.7352211516775804</v>
      </c>
      <c r="CU85" s="3480" t="str">
        <f t="shared" si="193"/>
        <v/>
      </c>
      <c r="CV85" s="604"/>
      <c r="CW85" s="601">
        <f t="shared" ca="1" si="194"/>
        <v>7.5386278910302806</v>
      </c>
      <c r="CX85" s="603">
        <f t="shared" ca="1" si="195"/>
        <v>8.9064469500499612</v>
      </c>
      <c r="CY85" s="3482" t="str">
        <f t="shared" si="196"/>
        <v/>
      </c>
      <c r="CZ85" s="3479">
        <f t="shared" ca="1" si="47"/>
        <v>3.1265166140008516</v>
      </c>
      <c r="DA85" s="3480" t="str">
        <f t="shared" si="197"/>
        <v/>
      </c>
      <c r="DB85" s="604"/>
      <c r="DC85" s="601">
        <f t="shared" ca="1" si="198"/>
        <v>5.2196555776492959</v>
      </c>
      <c r="DD85" s="603">
        <f t="shared" ca="1" si="199"/>
        <v>6.2742499558684717</v>
      </c>
      <c r="DE85" s="3482" t="str">
        <f t="shared" si="200"/>
        <v/>
      </c>
      <c r="DF85" s="3479">
        <f t="shared" ca="1" si="52"/>
        <v>1.6272405931689216</v>
      </c>
      <c r="DG85" s="3480" t="str">
        <f t="shared" si="201"/>
        <v/>
      </c>
      <c r="DH85" s="604"/>
      <c r="DI85" s="601">
        <f t="shared" ca="1" si="202"/>
        <v>4.2025491001008719</v>
      </c>
      <c r="DJ85" s="603">
        <f t="shared" ca="1" si="203"/>
        <v>5.3520737522436024</v>
      </c>
      <c r="DK85" s="3482" t="str">
        <f t="shared" si="204"/>
        <v/>
      </c>
      <c r="DL85" s="3479">
        <f t="shared" ca="1" si="57"/>
        <v>0.10770613376140936</v>
      </c>
      <c r="DM85" s="3480" t="str">
        <f t="shared" si="205"/>
        <v/>
      </c>
      <c r="DN85" s="604"/>
      <c r="DO85" s="601">
        <f t="shared" ca="1" si="206"/>
        <v>4.082014036026993</v>
      </c>
      <c r="DP85" s="603">
        <f t="shared" ca="1" si="207"/>
        <v>4.0906766427303953</v>
      </c>
      <c r="DQ85" s="3482" t="str">
        <f t="shared" si="208"/>
        <v/>
      </c>
      <c r="DR85" s="3479">
        <f t="shared" ca="1" si="62"/>
        <v>4.0495394863079515</v>
      </c>
      <c r="DS85" s="3480" t="str">
        <f t="shared" si="209"/>
        <v/>
      </c>
      <c r="DT85" s="604"/>
      <c r="DU85" s="601">
        <f t="shared" ca="1" si="210"/>
        <v>3.6472947281036783</v>
      </c>
      <c r="DV85" s="603">
        <f t="shared" ca="1" si="211"/>
        <v>3.0593383975462629</v>
      </c>
      <c r="DW85" s="3482" t="str">
        <f t="shared" si="212"/>
        <v/>
      </c>
      <c r="DX85" s="3479">
        <f t="shared" ca="1" si="67"/>
        <v>5.8523083711901069</v>
      </c>
      <c r="DY85" s="3480" t="str">
        <f t="shared" si="213"/>
        <v/>
      </c>
      <c r="DZ85" s="604"/>
      <c r="EA85" s="601">
        <f t="shared" ca="1" si="214"/>
        <v>5.3434172507892397</v>
      </c>
      <c r="EB85" s="603">
        <f t="shared" ca="1" si="215"/>
        <v>5.9202577870326012</v>
      </c>
      <c r="EC85" s="3482" t="str">
        <f t="shared" si="216"/>
        <v/>
      </c>
      <c r="ED85" s="3479">
        <f t="shared" ca="1" si="72"/>
        <v>3.2371717096298491</v>
      </c>
      <c r="EE85" s="3480" t="str">
        <f t="shared" si="217"/>
        <v/>
      </c>
      <c r="EF85" s="604"/>
      <c r="EG85" s="601">
        <f t="shared" ca="1" si="218"/>
        <v>7.0102072335390675</v>
      </c>
      <c r="EH85" s="603">
        <f t="shared" ca="1" si="219"/>
        <v>7.790787561124124</v>
      </c>
      <c r="EI85" s="3482" t="str">
        <f t="shared" si="220"/>
        <v/>
      </c>
      <c r="EJ85" s="3479">
        <f t="shared" ca="1" si="77"/>
        <v>4.0859622080890556</v>
      </c>
      <c r="EK85" s="3480" t="str">
        <f t="shared" si="221"/>
        <v/>
      </c>
      <c r="EL85" s="604"/>
      <c r="EM85" s="601">
        <f t="shared" ca="1" si="222"/>
        <v>6.0790266191137698</v>
      </c>
      <c r="EN85" s="603">
        <f t="shared" ca="1" si="223"/>
        <v>6.190999999999991</v>
      </c>
      <c r="EO85" s="3482" t="str">
        <f t="shared" si="224"/>
        <v/>
      </c>
      <c r="EP85" s="3479">
        <f t="shared" ca="1" si="82"/>
        <v>5.6446159999999912</v>
      </c>
      <c r="EQ85" s="3480" t="str">
        <f t="shared" si="225"/>
        <v/>
      </c>
      <c r="ER85" s="604"/>
      <c r="ES85" s="601">
        <f t="shared" ca="1" si="226"/>
        <v>5.4831887733969964</v>
      </c>
      <c r="ET85" s="603">
        <f t="shared" ca="1" si="227"/>
        <v>5.5725999999999942</v>
      </c>
      <c r="EU85" s="3482" t="str">
        <f t="shared" si="228"/>
        <v/>
      </c>
      <c r="EV85" s="3479">
        <f t="shared" ca="1" si="87"/>
        <v>5.1345160000000334</v>
      </c>
      <c r="EW85" s="3480" t="str">
        <f t="shared" si="229"/>
        <v/>
      </c>
      <c r="EX85" s="604"/>
    </row>
    <row r="86" spans="2:154">
      <c r="B86" s="600"/>
      <c r="C86" s="582"/>
      <c r="D86" s="583" t="s">
        <v>1644</v>
      </c>
      <c r="E86" s="598"/>
      <c r="F86" s="602"/>
      <c r="G86" s="3482"/>
      <c r="H86" s="577"/>
      <c r="I86" s="3480"/>
      <c r="J86" s="584"/>
      <c r="K86" s="598" t="str">
        <f t="shared" si="230"/>
        <v/>
      </c>
      <c r="L86" s="602" t="str">
        <f t="shared" si="230"/>
        <v/>
      </c>
      <c r="M86" s="3482" t="str">
        <f t="shared" si="230"/>
        <v/>
      </c>
      <c r="N86" s="577">
        <f t="shared" ca="1" si="230"/>
        <v>29.255023730182785</v>
      </c>
      <c r="O86" s="3480" t="str">
        <f t="shared" si="230"/>
        <v/>
      </c>
      <c r="P86" s="584"/>
      <c r="Q86" s="598" t="str">
        <f t="shared" si="138"/>
        <v/>
      </c>
      <c r="R86" s="602" t="str">
        <f t="shared" si="139"/>
        <v/>
      </c>
      <c r="S86" s="3482" t="str">
        <f t="shared" si="140"/>
        <v/>
      </c>
      <c r="T86" s="577">
        <f t="shared" ca="1" si="124"/>
        <v>32.124686282360514</v>
      </c>
      <c r="U86" s="3480" t="str">
        <f t="shared" si="141"/>
        <v/>
      </c>
      <c r="V86" s="584"/>
      <c r="W86" s="598" t="str">
        <f t="shared" si="142"/>
        <v/>
      </c>
      <c r="X86" s="602" t="str">
        <f t="shared" si="143"/>
        <v/>
      </c>
      <c r="Y86" s="3482" t="str">
        <f t="shared" si="144"/>
        <v/>
      </c>
      <c r="Z86" s="577">
        <f t="shared" ca="1" si="125"/>
        <v>22.856382624891893</v>
      </c>
      <c r="AA86" s="3480" t="str">
        <f t="shared" si="145"/>
        <v/>
      </c>
      <c r="AB86" s="584"/>
      <c r="AC86" s="598" t="str">
        <f t="shared" si="146"/>
        <v/>
      </c>
      <c r="AD86" s="602" t="str">
        <f t="shared" si="147"/>
        <v/>
      </c>
      <c r="AE86" s="3482" t="str">
        <f t="shared" si="148"/>
        <v/>
      </c>
      <c r="AF86" s="577">
        <f t="shared" ca="1" si="126"/>
        <v>4.2648040861263059</v>
      </c>
      <c r="AG86" s="3480" t="str">
        <f t="shared" si="149"/>
        <v/>
      </c>
      <c r="AH86" s="584"/>
      <c r="AI86" s="598" t="str">
        <f t="shared" si="150"/>
        <v/>
      </c>
      <c r="AJ86" s="602" t="str">
        <f t="shared" si="151"/>
        <v/>
      </c>
      <c r="AK86" s="3482" t="str">
        <f t="shared" si="152"/>
        <v/>
      </c>
      <c r="AL86" s="577">
        <f t="shared" ca="1" si="127"/>
        <v>-15.558248225722693</v>
      </c>
      <c r="AM86" s="3480" t="str">
        <f t="shared" si="153"/>
        <v/>
      </c>
      <c r="AN86" s="584"/>
      <c r="AO86" s="598" t="str">
        <f t="shared" si="154"/>
        <v/>
      </c>
      <c r="AP86" s="602" t="str">
        <f t="shared" si="155"/>
        <v/>
      </c>
      <c r="AQ86" s="3482" t="str">
        <f t="shared" si="156"/>
        <v/>
      </c>
      <c r="AR86" s="577">
        <f t="shared" ca="1" si="128"/>
        <v>3.8648135241140746</v>
      </c>
      <c r="AS86" s="3480" t="str">
        <f t="shared" si="157"/>
        <v/>
      </c>
      <c r="AT86" s="584"/>
      <c r="AU86" s="598" t="str">
        <f t="shared" si="158"/>
        <v/>
      </c>
      <c r="AV86" s="602" t="str">
        <f t="shared" si="159"/>
        <v/>
      </c>
      <c r="AW86" s="3482" t="str">
        <f t="shared" si="160"/>
        <v/>
      </c>
      <c r="AX86" s="577">
        <f t="shared" ca="1" si="129"/>
        <v>8.3742319180010849</v>
      </c>
      <c r="AY86" s="3480" t="str">
        <f t="shared" si="161"/>
        <v/>
      </c>
      <c r="AZ86" s="584"/>
      <c r="BA86" s="598" t="str">
        <f t="shared" si="162"/>
        <v/>
      </c>
      <c r="BB86" s="602" t="str">
        <f t="shared" si="163"/>
        <v/>
      </c>
      <c r="BC86" s="3482" t="str">
        <f t="shared" si="164"/>
        <v/>
      </c>
      <c r="BD86" s="577">
        <f t="shared" ca="1" si="130"/>
        <v>4.1073022078418786</v>
      </c>
      <c r="BE86" s="3480" t="str">
        <f t="shared" si="165"/>
        <v/>
      </c>
      <c r="BF86" s="584"/>
      <c r="BG86" s="598" t="str">
        <f t="shared" si="166"/>
        <v/>
      </c>
      <c r="BH86" s="602" t="str">
        <f t="shared" si="167"/>
        <v/>
      </c>
      <c r="BI86" s="3482" t="str">
        <f t="shared" si="168"/>
        <v/>
      </c>
      <c r="BJ86" s="577">
        <f t="shared" ca="1" si="131"/>
        <v>7.4642705120206099</v>
      </c>
      <c r="BK86" s="3480" t="str">
        <f t="shared" si="169"/>
        <v/>
      </c>
      <c r="BL86" s="584"/>
      <c r="BM86" s="598" t="str">
        <f t="shared" si="170"/>
        <v/>
      </c>
      <c r="BN86" s="602" t="str">
        <f t="shared" si="171"/>
        <v/>
      </c>
      <c r="BO86" s="3482" t="str">
        <f t="shared" si="172"/>
        <v/>
      </c>
      <c r="BP86" s="577">
        <f t="shared" ca="1" si="132"/>
        <v>15.21557477563511</v>
      </c>
      <c r="BQ86" s="3480" t="str">
        <f t="shared" si="173"/>
        <v/>
      </c>
      <c r="BR86" s="584"/>
      <c r="BS86" s="598" t="str">
        <f t="shared" si="174"/>
        <v/>
      </c>
      <c r="BT86" s="602" t="str">
        <f t="shared" si="175"/>
        <v/>
      </c>
      <c r="BU86" s="3482" t="str">
        <f t="shared" si="176"/>
        <v/>
      </c>
      <c r="BV86" s="577">
        <f t="shared" ca="1" si="133"/>
        <v>15.013186399171129</v>
      </c>
      <c r="BW86" s="3480" t="str">
        <f t="shared" si="177"/>
        <v/>
      </c>
      <c r="BX86" s="584"/>
      <c r="BY86" s="598" t="str">
        <f t="shared" si="178"/>
        <v/>
      </c>
      <c r="BZ86" s="602" t="str">
        <f t="shared" si="179"/>
        <v/>
      </c>
      <c r="CA86" s="3482" t="str">
        <f t="shared" si="180"/>
        <v/>
      </c>
      <c r="CB86" s="577">
        <f t="shared" ca="1" si="134"/>
        <v>11.853295607630866</v>
      </c>
      <c r="CC86" s="3480" t="str">
        <f t="shared" si="181"/>
        <v/>
      </c>
      <c r="CD86" s="584"/>
      <c r="CE86" s="598" t="str">
        <f t="shared" si="182"/>
        <v/>
      </c>
      <c r="CF86" s="602" t="str">
        <f t="shared" si="183"/>
        <v/>
      </c>
      <c r="CG86" s="3482" t="str">
        <f t="shared" si="184"/>
        <v/>
      </c>
      <c r="CH86" s="577">
        <f t="shared" ca="1" si="135"/>
        <v>23.591795495063451</v>
      </c>
      <c r="CI86" s="3480" t="str">
        <f t="shared" si="185"/>
        <v/>
      </c>
      <c r="CJ86" s="584"/>
      <c r="CK86" s="598" t="str">
        <f t="shared" si="186"/>
        <v/>
      </c>
      <c r="CL86" s="602" t="str">
        <f t="shared" si="187"/>
        <v/>
      </c>
      <c r="CM86" s="3482" t="str">
        <f t="shared" si="188"/>
        <v/>
      </c>
      <c r="CN86" s="577">
        <f t="shared" ca="1" si="136"/>
        <v>0.38594599718020373</v>
      </c>
      <c r="CO86" s="3480" t="str">
        <f t="shared" si="189"/>
        <v/>
      </c>
      <c r="CP86" s="584"/>
      <c r="CQ86" s="598" t="str">
        <f t="shared" si="190"/>
        <v/>
      </c>
      <c r="CR86" s="602" t="str">
        <f t="shared" si="191"/>
        <v/>
      </c>
      <c r="CS86" s="3482" t="str">
        <f t="shared" si="192"/>
        <v/>
      </c>
      <c r="CT86" s="577">
        <f t="shared" ca="1" si="42"/>
        <v>-5.7949633388902688</v>
      </c>
      <c r="CU86" s="3480" t="str">
        <f t="shared" si="193"/>
        <v/>
      </c>
      <c r="CV86" s="584"/>
      <c r="CW86" s="598" t="str">
        <f t="shared" si="194"/>
        <v/>
      </c>
      <c r="CX86" s="602" t="str">
        <f t="shared" si="195"/>
        <v/>
      </c>
      <c r="CY86" s="3482" t="str">
        <f t="shared" si="196"/>
        <v/>
      </c>
      <c r="CZ86" s="577">
        <f t="shared" ca="1" si="47"/>
        <v>4.4065460809646684</v>
      </c>
      <c r="DA86" s="3480" t="str">
        <f t="shared" si="197"/>
        <v/>
      </c>
      <c r="DB86" s="584"/>
      <c r="DC86" s="598" t="str">
        <f t="shared" si="198"/>
        <v/>
      </c>
      <c r="DD86" s="602" t="str">
        <f t="shared" si="199"/>
        <v/>
      </c>
      <c r="DE86" s="3482" t="str">
        <f t="shared" si="200"/>
        <v/>
      </c>
      <c r="DF86" s="577">
        <f t="shared" ca="1" si="52"/>
        <v>-1.0931650187193998</v>
      </c>
      <c r="DG86" s="3480" t="str">
        <f t="shared" si="201"/>
        <v/>
      </c>
      <c r="DH86" s="584"/>
      <c r="DI86" s="598" t="str">
        <f t="shared" si="202"/>
        <v/>
      </c>
      <c r="DJ86" s="602" t="str">
        <f t="shared" si="203"/>
        <v/>
      </c>
      <c r="DK86" s="3482" t="str">
        <f t="shared" si="204"/>
        <v/>
      </c>
      <c r="DL86" s="577">
        <f t="shared" ca="1" si="57"/>
        <v>0.39278131634818969</v>
      </c>
      <c r="DM86" s="3480" t="str">
        <f t="shared" si="205"/>
        <v/>
      </c>
      <c r="DN86" s="584"/>
      <c r="DO86" s="598" t="str">
        <f t="shared" si="206"/>
        <v/>
      </c>
      <c r="DP86" s="602" t="str">
        <f t="shared" si="207"/>
        <v/>
      </c>
      <c r="DQ86" s="3482" t="str">
        <f t="shared" si="208"/>
        <v/>
      </c>
      <c r="DR86" s="577">
        <f t="shared" ca="1" si="62"/>
        <v>2.4909741839000743</v>
      </c>
      <c r="DS86" s="3480" t="str">
        <f t="shared" si="209"/>
        <v/>
      </c>
      <c r="DT86" s="584"/>
      <c r="DU86" s="598" t="str">
        <f t="shared" si="210"/>
        <v/>
      </c>
      <c r="DV86" s="602" t="str">
        <f t="shared" si="211"/>
        <v/>
      </c>
      <c r="DW86" s="3482" t="str">
        <f t="shared" si="212"/>
        <v/>
      </c>
      <c r="DX86" s="577">
        <f t="shared" ca="1" si="67"/>
        <v>7.2535667963683492</v>
      </c>
      <c r="DY86" s="3480" t="str">
        <f t="shared" si="213"/>
        <v/>
      </c>
      <c r="DZ86" s="584"/>
      <c r="EA86" s="598" t="str">
        <f t="shared" si="214"/>
        <v/>
      </c>
      <c r="EB86" s="602" t="str">
        <f t="shared" si="215"/>
        <v/>
      </c>
      <c r="EC86" s="3482" t="str">
        <f t="shared" si="216"/>
        <v/>
      </c>
      <c r="ED86" s="577">
        <f t="shared" ca="1" si="72"/>
        <v>3.7941772228436754</v>
      </c>
      <c r="EE86" s="3480" t="str">
        <f t="shared" si="217"/>
        <v/>
      </c>
      <c r="EF86" s="584"/>
      <c r="EG86" s="598" t="str">
        <f t="shared" si="218"/>
        <v/>
      </c>
      <c r="EH86" s="602" t="str">
        <f t="shared" si="219"/>
        <v/>
      </c>
      <c r="EI86" s="3482" t="str">
        <f t="shared" si="220"/>
        <v/>
      </c>
      <c r="EJ86" s="577">
        <f t="shared" ca="1" si="77"/>
        <v>3.8215076313643292</v>
      </c>
      <c r="EK86" s="3480" t="str">
        <f t="shared" si="221"/>
        <v/>
      </c>
      <c r="EL86" s="584"/>
      <c r="EM86" s="598" t="str">
        <f t="shared" si="222"/>
        <v/>
      </c>
      <c r="EN86" s="602" t="str">
        <f t="shared" si="223"/>
        <v/>
      </c>
      <c r="EO86" s="3482" t="str">
        <f t="shared" si="224"/>
        <v/>
      </c>
      <c r="EP86" s="577">
        <f t="shared" ca="1" si="82"/>
        <v>6.1357361072627237</v>
      </c>
      <c r="EQ86" s="3480" t="str">
        <f t="shared" si="225"/>
        <v/>
      </c>
      <c r="ER86" s="584"/>
      <c r="ES86" s="598" t="str">
        <f t="shared" si="226"/>
        <v/>
      </c>
      <c r="ET86" s="602" t="str">
        <f t="shared" si="227"/>
        <v/>
      </c>
      <c r="EU86" s="3482" t="str">
        <f t="shared" si="228"/>
        <v/>
      </c>
      <c r="EV86" s="577">
        <f t="shared" ca="1" si="87"/>
        <v>5.23590439347561</v>
      </c>
      <c r="EW86" s="3480" t="str">
        <f t="shared" si="229"/>
        <v/>
      </c>
      <c r="EX86" s="584"/>
    </row>
    <row r="87" spans="2:154" ht="13.5" thickBot="1">
      <c r="B87" s="564"/>
      <c r="C87" s="582"/>
      <c r="D87" s="583" t="s">
        <v>1645</v>
      </c>
      <c r="E87" s="598"/>
      <c r="F87" s="602"/>
      <c r="G87" s="3482"/>
      <c r="H87" s="580"/>
      <c r="I87" s="3480"/>
      <c r="J87" s="584"/>
      <c r="K87" s="598" t="str">
        <f t="shared" si="230"/>
        <v/>
      </c>
      <c r="L87" s="602" t="str">
        <f t="shared" si="230"/>
        <v/>
      </c>
      <c r="M87" s="3482" t="str">
        <f t="shared" si="230"/>
        <v/>
      </c>
      <c r="N87" s="580">
        <f t="shared" ca="1" si="230"/>
        <v>22.830312091197904</v>
      </c>
      <c r="O87" s="3480" t="str">
        <f t="shared" si="230"/>
        <v/>
      </c>
      <c r="P87" s="584"/>
      <c r="Q87" s="598" t="str">
        <f t="shared" si="138"/>
        <v/>
      </c>
      <c r="R87" s="602" t="str">
        <f t="shared" si="139"/>
        <v/>
      </c>
      <c r="S87" s="3482" t="str">
        <f t="shared" si="140"/>
        <v/>
      </c>
      <c r="T87" s="580">
        <f t="shared" ca="1" si="124"/>
        <v>12.525389302640511</v>
      </c>
      <c r="U87" s="3480" t="str">
        <f t="shared" si="141"/>
        <v/>
      </c>
      <c r="V87" s="584"/>
      <c r="W87" s="598" t="str">
        <f t="shared" si="142"/>
        <v/>
      </c>
      <c r="X87" s="602" t="str">
        <f t="shared" si="143"/>
        <v/>
      </c>
      <c r="Y87" s="3482" t="str">
        <f t="shared" si="144"/>
        <v/>
      </c>
      <c r="Z87" s="580">
        <f t="shared" ca="1" si="125"/>
        <v>15.486958990792177</v>
      </c>
      <c r="AA87" s="3480" t="str">
        <f t="shared" si="145"/>
        <v/>
      </c>
      <c r="AB87" s="584"/>
      <c r="AC87" s="598" t="str">
        <f t="shared" si="146"/>
        <v/>
      </c>
      <c r="AD87" s="602" t="str">
        <f t="shared" si="147"/>
        <v/>
      </c>
      <c r="AE87" s="3482" t="str">
        <f t="shared" si="148"/>
        <v/>
      </c>
      <c r="AF87" s="580">
        <f t="shared" ca="1" si="126"/>
        <v>-25.359722758830618</v>
      </c>
      <c r="AG87" s="3480" t="str">
        <f t="shared" si="149"/>
        <v/>
      </c>
      <c r="AH87" s="584"/>
      <c r="AI87" s="598" t="str">
        <f t="shared" si="150"/>
        <v/>
      </c>
      <c r="AJ87" s="602" t="str">
        <f t="shared" si="151"/>
        <v/>
      </c>
      <c r="AK87" s="3482" t="str">
        <f t="shared" si="152"/>
        <v/>
      </c>
      <c r="AL87" s="580">
        <f t="shared" ca="1" si="127"/>
        <v>20.126269558056542</v>
      </c>
      <c r="AM87" s="3480" t="str">
        <f t="shared" si="153"/>
        <v/>
      </c>
      <c r="AN87" s="584"/>
      <c r="AO87" s="598" t="str">
        <f t="shared" si="154"/>
        <v/>
      </c>
      <c r="AP87" s="602" t="str">
        <f t="shared" si="155"/>
        <v/>
      </c>
      <c r="AQ87" s="3482" t="str">
        <f t="shared" si="156"/>
        <v/>
      </c>
      <c r="AR87" s="580">
        <f t="shared" ca="1" si="128"/>
        <v>-3.2807327949231802</v>
      </c>
      <c r="AS87" s="3480" t="str">
        <f t="shared" si="157"/>
        <v/>
      </c>
      <c r="AT87" s="584"/>
      <c r="AU87" s="598" t="str">
        <f t="shared" si="158"/>
        <v/>
      </c>
      <c r="AV87" s="602" t="str">
        <f t="shared" si="159"/>
        <v/>
      </c>
      <c r="AW87" s="3482" t="str">
        <f t="shared" si="160"/>
        <v/>
      </c>
      <c r="AX87" s="580">
        <f t="shared" ca="1" si="129"/>
        <v>-0.18968287183919186</v>
      </c>
      <c r="AY87" s="3480" t="str">
        <f t="shared" si="161"/>
        <v/>
      </c>
      <c r="AZ87" s="584"/>
      <c r="BA87" s="598" t="str">
        <f t="shared" si="162"/>
        <v/>
      </c>
      <c r="BB87" s="602" t="str">
        <f t="shared" si="163"/>
        <v/>
      </c>
      <c r="BC87" s="3482" t="str">
        <f t="shared" si="164"/>
        <v/>
      </c>
      <c r="BD87" s="580">
        <f t="shared" ca="1" si="130"/>
        <v>4.4318650624573186</v>
      </c>
      <c r="BE87" s="3480" t="str">
        <f t="shared" si="165"/>
        <v/>
      </c>
      <c r="BF87" s="584"/>
      <c r="BG87" s="598" t="str">
        <f t="shared" si="166"/>
        <v/>
      </c>
      <c r="BH87" s="602" t="str">
        <f t="shared" si="167"/>
        <v/>
      </c>
      <c r="BI87" s="3482" t="str">
        <f t="shared" si="168"/>
        <v/>
      </c>
      <c r="BJ87" s="580">
        <f t="shared" ca="1" si="131"/>
        <v>7.0181460230289927</v>
      </c>
      <c r="BK87" s="3480" t="str">
        <f t="shared" si="169"/>
        <v/>
      </c>
      <c r="BL87" s="584"/>
      <c r="BM87" s="598" t="str">
        <f t="shared" si="170"/>
        <v/>
      </c>
      <c r="BN87" s="602" t="str">
        <f t="shared" si="171"/>
        <v/>
      </c>
      <c r="BO87" s="3482" t="str">
        <f t="shared" si="172"/>
        <v/>
      </c>
      <c r="BP87" s="580">
        <f t="shared" ca="1" si="132"/>
        <v>6.6867976593182554</v>
      </c>
      <c r="BQ87" s="3480" t="str">
        <f t="shared" si="173"/>
        <v/>
      </c>
      <c r="BR87" s="584"/>
      <c r="BS87" s="598" t="str">
        <f t="shared" si="174"/>
        <v/>
      </c>
      <c r="BT87" s="602" t="str">
        <f t="shared" si="175"/>
        <v/>
      </c>
      <c r="BU87" s="3482" t="str">
        <f t="shared" si="176"/>
        <v/>
      </c>
      <c r="BV87" s="580">
        <f t="shared" ca="1" si="133"/>
        <v>22.706053851084242</v>
      </c>
      <c r="BW87" s="3480" t="str">
        <f t="shared" si="177"/>
        <v/>
      </c>
      <c r="BX87" s="584"/>
      <c r="BY87" s="598" t="str">
        <f t="shared" si="178"/>
        <v/>
      </c>
      <c r="BZ87" s="602" t="str">
        <f t="shared" si="179"/>
        <v/>
      </c>
      <c r="CA87" s="3482" t="str">
        <f t="shared" si="180"/>
        <v/>
      </c>
      <c r="CB87" s="580">
        <f t="shared" ca="1" si="134"/>
        <v>7.9433463380359504</v>
      </c>
      <c r="CC87" s="3480" t="str">
        <f t="shared" si="181"/>
        <v/>
      </c>
      <c r="CD87" s="584"/>
      <c r="CE87" s="598" t="str">
        <f t="shared" si="182"/>
        <v/>
      </c>
      <c r="CF87" s="602" t="str">
        <f t="shared" si="183"/>
        <v/>
      </c>
      <c r="CG87" s="3482" t="str">
        <f t="shared" si="184"/>
        <v/>
      </c>
      <c r="CH87" s="580">
        <f t="shared" ca="1" si="135"/>
        <v>16.680655715240068</v>
      </c>
      <c r="CI87" s="3480" t="str">
        <f t="shared" si="185"/>
        <v/>
      </c>
      <c r="CJ87" s="584"/>
      <c r="CK87" s="598" t="str">
        <f t="shared" si="186"/>
        <v/>
      </c>
      <c r="CL87" s="602" t="str">
        <f t="shared" si="187"/>
        <v/>
      </c>
      <c r="CM87" s="3482" t="str">
        <f t="shared" si="188"/>
        <v/>
      </c>
      <c r="CN87" s="580">
        <f t="shared" ca="1" si="136"/>
        <v>-14.460413699957432</v>
      </c>
      <c r="CO87" s="3480" t="str">
        <f t="shared" si="189"/>
        <v/>
      </c>
      <c r="CP87" s="584"/>
      <c r="CQ87" s="598" t="str">
        <f t="shared" si="190"/>
        <v/>
      </c>
      <c r="CR87" s="602" t="str">
        <f t="shared" si="191"/>
        <v/>
      </c>
      <c r="CS87" s="3482" t="str">
        <f t="shared" si="192"/>
        <v/>
      </c>
      <c r="CT87" s="580">
        <f t="shared" ca="1" si="42"/>
        <v>1.7140920246451863</v>
      </c>
      <c r="CU87" s="3480" t="str">
        <f t="shared" si="193"/>
        <v/>
      </c>
      <c r="CV87" s="584"/>
      <c r="CW87" s="598" t="str">
        <f t="shared" si="194"/>
        <v/>
      </c>
      <c r="CX87" s="602" t="str">
        <f t="shared" si="195"/>
        <v/>
      </c>
      <c r="CY87" s="3482" t="str">
        <f t="shared" si="196"/>
        <v/>
      </c>
      <c r="CZ87" s="580">
        <f t="shared" ca="1" si="47"/>
        <v>1.4025807485773756</v>
      </c>
      <c r="DA87" s="3480" t="str">
        <f t="shared" si="197"/>
        <v/>
      </c>
      <c r="DB87" s="584"/>
      <c r="DC87" s="598" t="str">
        <f t="shared" si="198"/>
        <v/>
      </c>
      <c r="DD87" s="602" t="str">
        <f t="shared" si="199"/>
        <v/>
      </c>
      <c r="DE87" s="3482" t="str">
        <f t="shared" si="200"/>
        <v/>
      </c>
      <c r="DF87" s="580">
        <f t="shared" ca="1" si="52"/>
        <v>5.3996039735760393</v>
      </c>
      <c r="DG87" s="3480" t="str">
        <f t="shared" si="201"/>
        <v/>
      </c>
      <c r="DH87" s="584"/>
      <c r="DI87" s="598" t="str">
        <f t="shared" si="202"/>
        <v/>
      </c>
      <c r="DJ87" s="602" t="str">
        <f t="shared" si="203"/>
        <v/>
      </c>
      <c r="DK87" s="3482" t="str">
        <f t="shared" si="204"/>
        <v/>
      </c>
      <c r="DL87" s="580">
        <f t="shared" ca="1" si="57"/>
        <v>-0.26325344952794483</v>
      </c>
      <c r="DM87" s="3480" t="str">
        <f t="shared" si="205"/>
        <v/>
      </c>
      <c r="DN87" s="584"/>
      <c r="DO87" s="598" t="str">
        <f t="shared" si="206"/>
        <v/>
      </c>
      <c r="DP87" s="602" t="str">
        <f t="shared" si="207"/>
        <v/>
      </c>
      <c r="DQ87" s="3482" t="str">
        <f t="shared" si="208"/>
        <v/>
      </c>
      <c r="DR87" s="580">
        <f t="shared" ca="1" si="62"/>
        <v>6.090992912572557</v>
      </c>
      <c r="DS87" s="3480" t="str">
        <f t="shared" si="209"/>
        <v/>
      </c>
      <c r="DT87" s="584"/>
      <c r="DU87" s="598" t="str">
        <f t="shared" si="210"/>
        <v/>
      </c>
      <c r="DV87" s="602" t="str">
        <f t="shared" si="211"/>
        <v/>
      </c>
      <c r="DW87" s="3482" t="str">
        <f t="shared" si="212"/>
        <v/>
      </c>
      <c r="DX87" s="580">
        <f t="shared" ca="1" si="67"/>
        <v>4.0791814780691826</v>
      </c>
      <c r="DY87" s="3480" t="str">
        <f t="shared" si="213"/>
        <v/>
      </c>
      <c r="DZ87" s="584"/>
      <c r="EA87" s="598" t="str">
        <f t="shared" si="214"/>
        <v/>
      </c>
      <c r="EB87" s="602" t="str">
        <f t="shared" si="215"/>
        <v/>
      </c>
      <c r="EC87" s="3482" t="str">
        <f t="shared" si="216"/>
        <v/>
      </c>
      <c r="ED87" s="580">
        <f t="shared" ca="1" si="72"/>
        <v>2.5108501266893235</v>
      </c>
      <c r="EE87" s="3480" t="str">
        <f t="shared" si="217"/>
        <v/>
      </c>
      <c r="EF87" s="584"/>
      <c r="EG87" s="598" t="str">
        <f t="shared" si="218"/>
        <v/>
      </c>
      <c r="EH87" s="602" t="str">
        <f t="shared" si="219"/>
        <v/>
      </c>
      <c r="EI87" s="3482" t="str">
        <f t="shared" si="220"/>
        <v/>
      </c>
      <c r="EJ87" s="580">
        <f t="shared" ca="1" si="77"/>
        <v>4.4351215760309204</v>
      </c>
      <c r="EK87" s="3480" t="str">
        <f t="shared" si="221"/>
        <v/>
      </c>
      <c r="EL87" s="584"/>
      <c r="EM87" s="598" t="str">
        <f t="shared" si="222"/>
        <v/>
      </c>
      <c r="EN87" s="602" t="str">
        <f t="shared" si="223"/>
        <v/>
      </c>
      <c r="EO87" s="3482" t="str">
        <f t="shared" si="224"/>
        <v/>
      </c>
      <c r="EP87" s="580">
        <f t="shared" ca="1" si="82"/>
        <v>5.0000000000000044</v>
      </c>
      <c r="EQ87" s="3480" t="str">
        <f t="shared" si="225"/>
        <v/>
      </c>
      <c r="ER87" s="584"/>
      <c r="ES87" s="598" t="str">
        <f t="shared" si="226"/>
        <v/>
      </c>
      <c r="ET87" s="602" t="str">
        <f t="shared" si="227"/>
        <v/>
      </c>
      <c r="EU87" s="3482" t="str">
        <f t="shared" si="228"/>
        <v/>
      </c>
      <c r="EV87" s="580">
        <f t="shared" ca="1" si="87"/>
        <v>5.0000000000000044</v>
      </c>
      <c r="EW87" s="3480" t="str">
        <f t="shared" si="229"/>
        <v/>
      </c>
      <c r="EX87" s="584"/>
    </row>
    <row r="88" spans="2:154" ht="13.5" thickBot="1">
      <c r="B88" s="600" t="s">
        <v>1769</v>
      </c>
      <c r="C88" s="3777" t="s">
        <v>1323</v>
      </c>
      <c r="D88" s="3778"/>
      <c r="E88" s="3455"/>
      <c r="F88" s="3455"/>
      <c r="G88" s="3455"/>
      <c r="H88" s="3455"/>
      <c r="I88" s="3455"/>
      <c r="J88" s="604"/>
      <c r="K88" s="3455">
        <f t="shared" ca="1" si="230"/>
        <v>14.65913942786643</v>
      </c>
      <c r="L88" s="3455">
        <f t="shared" ca="1" si="230"/>
        <v>-214.50626274395495</v>
      </c>
      <c r="M88" s="3455">
        <f t="shared" ca="1" si="230"/>
        <v>49.911835426128604</v>
      </c>
      <c r="N88" s="3455">
        <f t="shared" ca="1" si="230"/>
        <v>-30.360387004098342</v>
      </c>
      <c r="O88" s="3455" t="str">
        <f t="shared" si="230"/>
        <v/>
      </c>
      <c r="P88" s="604"/>
      <c r="Q88" s="3455">
        <f t="shared" ca="1" si="138"/>
        <v>44.343580619802459</v>
      </c>
      <c r="R88" s="3455">
        <f t="shared" ca="1" si="139"/>
        <v>-375.52785550750451</v>
      </c>
      <c r="S88" s="3455">
        <f t="shared" ca="1" si="140"/>
        <v>1.5549258625607632</v>
      </c>
      <c r="T88" s="3455">
        <f t="shared" ca="1" si="124"/>
        <v>135.40010920342257</v>
      </c>
      <c r="U88" s="3455" t="str">
        <f t="shared" si="141"/>
        <v/>
      </c>
      <c r="V88" s="604"/>
      <c r="W88" s="3455">
        <f t="shared" ca="1" si="142"/>
        <v>-4.5393047147314958</v>
      </c>
      <c r="X88" s="3455">
        <f t="shared" ca="1" si="143"/>
        <v>181.94072569476396</v>
      </c>
      <c r="Y88" s="3455">
        <f t="shared" ca="1" si="144"/>
        <v>-15.117268730970823</v>
      </c>
      <c r="Z88" s="3455">
        <f t="shared" ca="1" si="125"/>
        <v>-77.577897476869211</v>
      </c>
      <c r="AA88" s="3455" t="str">
        <f t="shared" si="145"/>
        <v/>
      </c>
      <c r="AB88" s="604"/>
      <c r="AC88" s="3455">
        <f t="shared" ca="1" si="146"/>
        <v>-18.62846367272406</v>
      </c>
      <c r="AD88" s="3455">
        <f t="shared" ca="1" si="147"/>
        <v>-40.627763041555852</v>
      </c>
      <c r="AE88" s="3455">
        <f t="shared" ca="1" si="148"/>
        <v>-5.2439528633450365</v>
      </c>
      <c r="AF88" s="3455">
        <f t="shared" ca="1" si="126"/>
        <v>-13.022988505747236</v>
      </c>
      <c r="AG88" s="3455" t="str">
        <f t="shared" si="149"/>
        <v/>
      </c>
      <c r="AH88" s="604"/>
      <c r="AI88" s="3455">
        <f t="shared" ca="1" si="150"/>
        <v>27.36706151518511</v>
      </c>
      <c r="AJ88" s="3455">
        <f t="shared" ca="1" si="151"/>
        <v>56.567662226634411</v>
      </c>
      <c r="AK88" s="3455">
        <f t="shared" ca="1" si="152"/>
        <v>3.2061701593813163</v>
      </c>
      <c r="AL88" s="3455">
        <f t="shared" ca="1" si="127"/>
        <v>180.12422360248621</v>
      </c>
      <c r="AM88" s="3455" t="str">
        <f t="shared" si="153"/>
        <v/>
      </c>
      <c r="AN88" s="604"/>
      <c r="AO88" s="3455">
        <f t="shared" ca="1" si="154"/>
        <v>17.420730576673236</v>
      </c>
      <c r="AP88" s="3455">
        <f t="shared" ca="1" si="155"/>
        <v>-25.494513236926451</v>
      </c>
      <c r="AQ88" s="3455">
        <f t="shared" ca="1" si="156"/>
        <v>57.706699363676606</v>
      </c>
      <c r="AR88" s="3455">
        <f t="shared" ca="1" si="128"/>
        <v>-47.440675567297461</v>
      </c>
      <c r="AS88" s="3455" t="str">
        <f t="shared" si="157"/>
        <v/>
      </c>
      <c r="AT88" s="604"/>
      <c r="AU88" s="3455">
        <f t="shared" ca="1" si="158"/>
        <v>15.773292538492289</v>
      </c>
      <c r="AV88" s="3455">
        <f t="shared" ca="1" si="159"/>
        <v>4.9859334736056748</v>
      </c>
      <c r="AW88" s="3455">
        <f t="shared" ca="1" si="160"/>
        <v>9.656836461126117</v>
      </c>
      <c r="AX88" s="3455">
        <f t="shared" ca="1" si="129"/>
        <v>138.64105556054304</v>
      </c>
      <c r="AY88" s="3455" t="str">
        <f t="shared" si="161"/>
        <v/>
      </c>
      <c r="AZ88" s="604"/>
      <c r="BA88" s="3455">
        <f t="shared" ca="1" si="162"/>
        <v>6.7352079896676464</v>
      </c>
      <c r="BB88" s="3455">
        <f t="shared" ca="1" si="163"/>
        <v>-52.81480814267703</v>
      </c>
      <c r="BC88" s="3455">
        <f t="shared" ca="1" si="164"/>
        <v>20.893232604762659</v>
      </c>
      <c r="BD88" s="3455">
        <f t="shared" ca="1" si="130"/>
        <v>19.076992515138969</v>
      </c>
      <c r="BE88" s="3455" t="str">
        <f t="shared" si="165"/>
        <v/>
      </c>
      <c r="BF88" s="604"/>
      <c r="BG88" s="3455">
        <f t="shared" ca="1" si="166"/>
        <v>11.31970735291743</v>
      </c>
      <c r="BH88" s="3455">
        <f t="shared" ca="1" si="167"/>
        <v>378.78209411090762</v>
      </c>
      <c r="BI88" s="3455">
        <f t="shared" ca="1" si="168"/>
        <v>-31.061069512768668</v>
      </c>
      <c r="BJ88" s="3455">
        <f t="shared" ca="1" si="131"/>
        <v>32.884803689314033</v>
      </c>
      <c r="BK88" s="3455" t="str">
        <f t="shared" si="169"/>
        <v/>
      </c>
      <c r="BL88" s="604"/>
      <c r="BM88" s="3455">
        <f t="shared" ca="1" si="170"/>
        <v>28.17014590186875</v>
      </c>
      <c r="BN88" s="3455">
        <f t="shared" ca="1" si="171"/>
        <v>-42.833220366014338</v>
      </c>
      <c r="BO88" s="3455">
        <f t="shared" ca="1" si="172"/>
        <v>77.099482967254858</v>
      </c>
      <c r="BP88" s="3455">
        <f t="shared" ca="1" si="132"/>
        <v>38.904207273591474</v>
      </c>
      <c r="BQ88" s="3455" t="str">
        <f t="shared" si="173"/>
        <v/>
      </c>
      <c r="BR88" s="604"/>
      <c r="BS88" s="3455">
        <f t="shared" ca="1" si="174"/>
        <v>11.359100743688888</v>
      </c>
      <c r="BT88" s="3455">
        <f t="shared" ca="1" si="175"/>
        <v>46.687125122053708</v>
      </c>
      <c r="BU88" s="3455">
        <f t="shared" ca="1" si="176"/>
        <v>-3.773748985440184</v>
      </c>
      <c r="BV88" s="3455">
        <f t="shared" ca="1" si="133"/>
        <v>39.221725961291384</v>
      </c>
      <c r="BW88" s="3455" t="str">
        <f t="shared" si="177"/>
        <v/>
      </c>
      <c r="BX88" s="604"/>
      <c r="BY88" s="3455">
        <f t="shared" ca="1" si="178"/>
        <v>25.467003136813695</v>
      </c>
      <c r="BZ88" s="3455">
        <f t="shared" ca="1" si="179"/>
        <v>-185.56366489159336</v>
      </c>
      <c r="CA88" s="3455">
        <f t="shared" ca="1" si="180"/>
        <v>95.254571353568494</v>
      </c>
      <c r="CB88" s="3455">
        <f t="shared" ca="1" si="134"/>
        <v>44.358813623904794</v>
      </c>
      <c r="CC88" s="3455" t="str">
        <f t="shared" si="181"/>
        <v/>
      </c>
      <c r="CD88" s="604"/>
      <c r="CE88" s="3455">
        <f t="shared" ca="1" si="182"/>
        <v>-3.5239934452239274</v>
      </c>
      <c r="CF88" s="3455">
        <f t="shared" ca="1" si="183"/>
        <v>-84.954780989956362</v>
      </c>
      <c r="CG88" s="3455">
        <f t="shared" ca="1" si="184"/>
        <v>-3.9897292353129554</v>
      </c>
      <c r="CH88" s="3455">
        <f t="shared" ca="1" si="135"/>
        <v>-51.63394240757421</v>
      </c>
      <c r="CI88" s="3455" t="str">
        <f t="shared" si="185"/>
        <v/>
      </c>
      <c r="CJ88" s="604"/>
      <c r="CK88" s="3455">
        <f t="shared" ca="1" si="186"/>
        <v>-18.873433045327282</v>
      </c>
      <c r="CL88" s="3455">
        <f t="shared" ca="1" si="187"/>
        <v>-1011.3019390582067</v>
      </c>
      <c r="CM88" s="3455">
        <f t="shared" ca="1" si="188"/>
        <v>2.2937791112753514</v>
      </c>
      <c r="CN88" s="3455">
        <f t="shared" ca="1" si="136"/>
        <v>-370.41053446940208</v>
      </c>
      <c r="CO88" s="3455" t="str">
        <f t="shared" si="189"/>
        <v/>
      </c>
      <c r="CP88" s="604"/>
      <c r="CQ88" s="3455">
        <f t="shared" ca="1" si="190"/>
        <v>26.861106489716711</v>
      </c>
      <c r="CR88" s="3455">
        <f t="shared" ca="1" si="191"/>
        <v>53.623320566598686</v>
      </c>
      <c r="CS88" s="3455">
        <f t="shared" ca="1" si="192"/>
        <v>2.9252364762512917</v>
      </c>
      <c r="CT88" s="3455">
        <f t="shared" ca="1" si="42"/>
        <v>-25.381500481758344</v>
      </c>
      <c r="CU88" s="3455" t="str">
        <f t="shared" si="193"/>
        <v/>
      </c>
      <c r="CV88" s="604"/>
      <c r="CW88" s="3455">
        <f t="shared" ca="1" si="194"/>
        <v>12.869219594867598</v>
      </c>
      <c r="CX88" s="3455">
        <f t="shared" ca="1" si="195"/>
        <v>-38.526682364114606</v>
      </c>
      <c r="CY88" s="3455">
        <f t="shared" ca="1" si="196"/>
        <v>17.028388278388462</v>
      </c>
      <c r="CZ88" s="3455">
        <f t="shared" ca="1" si="47"/>
        <v>-38.475095317448805</v>
      </c>
      <c r="DA88" s="3455" t="str">
        <f t="shared" si="197"/>
        <v/>
      </c>
      <c r="DB88" s="604"/>
      <c r="DC88" s="3455">
        <f t="shared" ca="1" si="198"/>
        <v>9.8463601018901947</v>
      </c>
      <c r="DD88" s="3455">
        <f t="shared" ca="1" si="199"/>
        <v>-59.581133856916168</v>
      </c>
      <c r="DE88" s="3455">
        <f t="shared" ca="1" si="200"/>
        <v>13.748581712899499</v>
      </c>
      <c r="DF88" s="3455">
        <f t="shared" ca="1" si="52"/>
        <v>-52.215037295442215</v>
      </c>
      <c r="DG88" s="3455" t="str">
        <f t="shared" si="201"/>
        <v/>
      </c>
      <c r="DH88" s="604"/>
      <c r="DI88" s="3455">
        <f t="shared" ca="1" si="202"/>
        <v>18.820910386846123</v>
      </c>
      <c r="DJ88" s="3455">
        <f t="shared" ca="1" si="203"/>
        <v>42.161286897432014</v>
      </c>
      <c r="DK88" s="3455">
        <f t="shared" ca="1" si="204"/>
        <v>10.542263890731496</v>
      </c>
      <c r="DL88" s="3455">
        <f t="shared" ca="1" si="57"/>
        <v>-105.08057097071017</v>
      </c>
      <c r="DM88" s="3455" t="str">
        <f t="shared" si="205"/>
        <v/>
      </c>
      <c r="DN88" s="604"/>
      <c r="DO88" s="3455">
        <f t="shared" ca="1" si="206"/>
        <v>15.227400967453875</v>
      </c>
      <c r="DP88" s="3455">
        <f t="shared" ca="1" si="207"/>
        <v>-93.220054149938647</v>
      </c>
      <c r="DQ88" s="3455">
        <f t="shared" ca="1" si="208"/>
        <v>16.663431605119051</v>
      </c>
      <c r="DR88" s="3455">
        <f t="shared" ca="1" si="62"/>
        <v>2841.5887850463791</v>
      </c>
      <c r="DS88" s="3455" t="str">
        <f t="shared" si="209"/>
        <v/>
      </c>
      <c r="DT88" s="604"/>
      <c r="DU88" s="3455">
        <f t="shared" ca="1" si="210"/>
        <v>-17.438779864241805</v>
      </c>
      <c r="DV88" s="3455">
        <f t="shared" ca="1" si="211"/>
        <v>-100.16524373450213</v>
      </c>
      <c r="DW88" s="3455">
        <f t="shared" ca="1" si="212"/>
        <v>-22.638621821331572</v>
      </c>
      <c r="DX88" s="3455">
        <f t="shared" ca="1" si="67"/>
        <v>69.823272438443468</v>
      </c>
      <c r="DY88" s="3455" t="str">
        <f t="shared" si="213"/>
        <v/>
      </c>
      <c r="DZ88" s="604"/>
      <c r="EA88" s="3455">
        <f t="shared" ca="1" si="214"/>
        <v>-7.3970528110010374</v>
      </c>
      <c r="EB88" s="3455">
        <f t="shared" ca="1" si="215"/>
        <v>199666.66667422804</v>
      </c>
      <c r="EC88" s="3455">
        <f t="shared" ca="1" si="216"/>
        <v>-11.113409542759879</v>
      </c>
      <c r="ED88" s="3455">
        <f t="shared" ca="1" si="72"/>
        <v>33.079990178080656</v>
      </c>
      <c r="EE88" s="3455" t="str">
        <f t="shared" si="217"/>
        <v/>
      </c>
      <c r="EF88" s="604"/>
      <c r="EG88" s="3455">
        <f t="shared" ca="1" si="218"/>
        <v>15.795798310444154</v>
      </c>
      <c r="EH88" s="3455">
        <f t="shared" ca="1" si="219"/>
        <v>209.8459576010662</v>
      </c>
      <c r="EI88" s="3455">
        <f t="shared" ca="1" si="220"/>
        <v>15.455165325127762</v>
      </c>
      <c r="EJ88" s="3455">
        <f t="shared" ca="1" si="77"/>
        <v>37.852048322757305</v>
      </c>
      <c r="EK88" s="3455" t="str">
        <f t="shared" si="221"/>
        <v/>
      </c>
      <c r="EL88" s="604"/>
      <c r="EM88" s="3455">
        <f t="shared" ca="1" si="222"/>
        <v>4.189053286277189</v>
      </c>
      <c r="EN88" s="3455">
        <f t="shared" ca="1" si="223"/>
        <v>39.755465742006102</v>
      </c>
      <c r="EO88" s="3455">
        <f t="shared" ca="1" si="224"/>
        <v>8.0167925582575794</v>
      </c>
      <c r="EP88" s="3455">
        <f t="shared" ca="1" si="82"/>
        <v>-2.6424649686899282</v>
      </c>
      <c r="EQ88" s="3455" t="str">
        <f t="shared" si="225"/>
        <v/>
      </c>
      <c r="ER88" s="604"/>
      <c r="ES88" s="3455">
        <f t="shared" ca="1" si="226"/>
        <v>6.5448715261892332</v>
      </c>
      <c r="ET88" s="3455">
        <f t="shared" ca="1" si="227"/>
        <v>25.923616743624468</v>
      </c>
      <c r="EU88" s="3455">
        <f t="shared" ca="1" si="228"/>
        <v>8.3914028633514945</v>
      </c>
      <c r="EV88" s="3455">
        <f t="shared" ca="1" si="87"/>
        <v>4.9672167909018183</v>
      </c>
      <c r="EW88" s="3455" t="str">
        <f t="shared" si="229"/>
        <v/>
      </c>
      <c r="EX88" s="604"/>
    </row>
    <row r="89" spans="2:154">
      <c r="B89" s="600" t="s">
        <v>1767</v>
      </c>
      <c r="C89" s="3779" t="s">
        <v>1324</v>
      </c>
      <c r="D89" s="3780"/>
      <c r="E89" s="601"/>
      <c r="F89" s="603"/>
      <c r="G89" s="3481"/>
      <c r="H89" s="3479"/>
      <c r="I89" s="3478"/>
      <c r="J89" s="556"/>
      <c r="K89" s="601">
        <f t="shared" ca="1" si="230"/>
        <v>-114.10228027451852</v>
      </c>
      <c r="L89" s="603">
        <f t="shared" ca="1" si="230"/>
        <v>69.385474860335194</v>
      </c>
      <c r="M89" s="3481">
        <f t="shared" ca="1" si="230"/>
        <v>571.95158850226937</v>
      </c>
      <c r="N89" s="3479">
        <f t="shared" ca="1" si="230"/>
        <v>155.9612983770287</v>
      </c>
      <c r="O89" s="3478">
        <f t="shared" ca="1" si="230"/>
        <v>-114.10228027451848</v>
      </c>
      <c r="P89" s="556" t="str">
        <f ca="1">IF(ROUND(P40,2)=0,"ok","!")</f>
        <v>ok</v>
      </c>
      <c r="Q89" s="601">
        <f t="shared" ca="1" si="138"/>
        <v>-25.117739403454785</v>
      </c>
      <c r="R89" s="603">
        <f t="shared" ca="1" si="139"/>
        <v>4751.9129287598953</v>
      </c>
      <c r="S89" s="3481">
        <f t="shared" ca="1" si="140"/>
        <v>-85.766390489913547</v>
      </c>
      <c r="T89" s="3479">
        <f t="shared" ca="1" si="124"/>
        <v>508.84444986383778</v>
      </c>
      <c r="U89" s="3478">
        <f t="shared" ca="1" si="141"/>
        <v>-25.117739403453687</v>
      </c>
      <c r="V89" s="556" t="str">
        <f ca="1">IF(ROUND(V40,2)=0,"ok","!")</f>
        <v>ok</v>
      </c>
      <c r="W89" s="601">
        <f t="shared" ca="1" si="142"/>
        <v>-141.71907756813508</v>
      </c>
      <c r="X89" s="603">
        <f t="shared" ca="1" si="143"/>
        <v>-96.623614981986279</v>
      </c>
      <c r="Y89" s="3481">
        <f t="shared" ca="1" si="144"/>
        <v>216.73521037646316</v>
      </c>
      <c r="Z89" s="3479">
        <f t="shared" ca="1" si="125"/>
        <v>-89.867417920610976</v>
      </c>
      <c r="AA89" s="3478">
        <f t="shared" ca="1" si="145"/>
        <v>-141.50943396226415</v>
      </c>
      <c r="AB89" s="556" t="str">
        <f ca="1">IF(ROUND(AB40,2)=0,"ok","!")</f>
        <v>ok</v>
      </c>
      <c r="AC89" s="601">
        <f t="shared" ca="1" si="146"/>
        <v>91.457286432159307</v>
      </c>
      <c r="AD89" s="603">
        <f t="shared" ca="1" si="147"/>
        <v>3.764847996778764</v>
      </c>
      <c r="AE89" s="3481">
        <f t="shared" ca="1" si="148"/>
        <v>-46.064722333200159</v>
      </c>
      <c r="AF89" s="3479">
        <f t="shared" ca="1" si="126"/>
        <v>-27.954934774015015</v>
      </c>
      <c r="AG89" s="3478">
        <f t="shared" ca="1" si="149"/>
        <v>92.424242424242436</v>
      </c>
      <c r="AH89" s="556" t="str">
        <f ca="1">IF(ROUND(AH40,2)=0,"ok","!")</f>
        <v>ok</v>
      </c>
      <c r="AI89" s="601">
        <f t="shared" ca="1" si="150"/>
        <v>-165.09186351705978</v>
      </c>
      <c r="AJ89" s="603">
        <f t="shared" ca="1" si="151"/>
        <v>278.09468374078386</v>
      </c>
      <c r="AK89" s="3481">
        <f t="shared" ca="1" si="152"/>
        <v>133.0185185185185</v>
      </c>
      <c r="AL89" s="3479">
        <f t="shared" ca="1" si="127"/>
        <v>191.01051668952903</v>
      </c>
      <c r="AM89" s="3478">
        <f t="shared" ca="1" si="153"/>
        <v>-165.35433070866142</v>
      </c>
      <c r="AN89" s="556" t="str">
        <f ca="1">IF(ROUND(AN40,2)=0,"ok","!")</f>
        <v>ok</v>
      </c>
      <c r="AO89" s="601">
        <f t="shared" ca="1" si="154"/>
        <v>-35.483870967741858</v>
      </c>
      <c r="AP89" s="603">
        <f t="shared" ca="1" si="155"/>
        <v>-85.415918304510697</v>
      </c>
      <c r="AQ89" s="3481">
        <f t="shared" ca="1" si="156"/>
        <v>108.32869744893902</v>
      </c>
      <c r="AR89" s="3479">
        <f t="shared" ca="1" si="128"/>
        <v>-9.1948966124065112</v>
      </c>
      <c r="AS89" s="3478">
        <f t="shared" ca="1" si="157"/>
        <v>-35.341365461847388</v>
      </c>
      <c r="AT89" s="556" t="str">
        <f ca="1">IF(ROUND(AT40,2)=0,"ok","!")</f>
        <v>ok</v>
      </c>
      <c r="AU89" s="601">
        <f t="shared" ca="1" si="158"/>
        <v>3588.7500000000218</v>
      </c>
      <c r="AV89" s="603">
        <f t="shared" ca="1" si="159"/>
        <v>-14.109781843771984</v>
      </c>
      <c r="AW89" s="3481">
        <f t="shared" ca="1" si="160"/>
        <v>-53.562981612878602</v>
      </c>
      <c r="AX89" s="3479">
        <f t="shared" ca="1" si="129"/>
        <v>-69.850498338870423</v>
      </c>
      <c r="AY89" s="3478">
        <f t="shared" ca="1" si="161"/>
        <v>3565.8385093167703</v>
      </c>
      <c r="AZ89" s="556" t="str">
        <f ca="1">IF(ROUND(AZ40,2)=0,"ok","!")</f>
        <v>ok</v>
      </c>
      <c r="BA89" s="601">
        <f t="shared" ca="1" si="162"/>
        <v>0.57607590647237306</v>
      </c>
      <c r="BB89" s="603">
        <f t="shared" ca="1" si="163"/>
        <v>40.06554690700532</v>
      </c>
      <c r="BC89" s="3481">
        <f t="shared" ca="1" si="164"/>
        <v>-64.215887620142936</v>
      </c>
      <c r="BD89" s="3479">
        <f t="shared" ca="1" si="130"/>
        <v>-78.891184573002747</v>
      </c>
      <c r="BE89" s="3478">
        <f t="shared" ca="1" si="165"/>
        <v>0.57607590647237306</v>
      </c>
      <c r="BF89" s="556" t="str">
        <f ca="1">IF(ROUND(BF40,2)=0,"ok","!")</f>
        <v>ok</v>
      </c>
      <c r="BG89" s="601">
        <f t="shared" ca="1" si="166"/>
        <v>118.44676549865238</v>
      </c>
      <c r="BH89" s="603">
        <f t="shared" ca="1" si="167"/>
        <v>150.39485229599302</v>
      </c>
      <c r="BI89" s="3481">
        <f t="shared" ca="1" si="168"/>
        <v>74.08172635445365</v>
      </c>
      <c r="BJ89" s="3479">
        <f t="shared" ca="1" si="131"/>
        <v>72.756933115823742</v>
      </c>
      <c r="BK89" s="3478">
        <f t="shared" ca="1" si="169"/>
        <v>118.44676549865225</v>
      </c>
      <c r="BL89" s="556" t="str">
        <f ca="1">IF(ROUND(BL40,2)=0,"ok","!")</f>
        <v>ok</v>
      </c>
      <c r="BM89" s="601">
        <f t="shared" ca="1" si="170"/>
        <v>57.299298218554817</v>
      </c>
      <c r="BN89" s="603">
        <f t="shared" ca="1" si="171"/>
        <v>-15.687419693961003</v>
      </c>
      <c r="BO89" s="3481">
        <f t="shared" ca="1" si="172"/>
        <v>-27.337465383093761</v>
      </c>
      <c r="BP89" s="3479">
        <f t="shared" ca="1" si="132"/>
        <v>-341.39124960654715</v>
      </c>
      <c r="BQ89" s="3478">
        <f t="shared" ca="1" si="173"/>
        <v>57.299298218554817</v>
      </c>
      <c r="BR89" s="556" t="str">
        <f ca="1">IF(ROUND(BR40,2)=0,"ok","!")</f>
        <v>ok</v>
      </c>
      <c r="BS89" s="601">
        <f t="shared" ca="1" si="174"/>
        <v>75.795460116683785</v>
      </c>
      <c r="BT89" s="603">
        <f t="shared" ca="1" si="175"/>
        <v>8.6311997783319772</v>
      </c>
      <c r="BU89" s="3481">
        <f t="shared" ca="1" si="176"/>
        <v>161.27041742286755</v>
      </c>
      <c r="BV89" s="3479">
        <f t="shared" ca="1" si="133"/>
        <v>77.598122310601056</v>
      </c>
      <c r="BW89" s="3478">
        <f t="shared" ca="1" si="177"/>
        <v>75.795460116683813</v>
      </c>
      <c r="BX89" s="556" t="str">
        <f ca="1">IF(ROUND(BX40,2)=0,"ok","!")</f>
        <v>ok</v>
      </c>
      <c r="BY89" s="601">
        <f t="shared" ca="1" si="178"/>
        <v>70.513428340351993</v>
      </c>
      <c r="BZ89" s="603">
        <f t="shared" ca="1" si="179"/>
        <v>134.45989032011224</v>
      </c>
      <c r="CA89" s="3481">
        <f t="shared" ca="1" si="180"/>
        <v>88.61489302584053</v>
      </c>
      <c r="CB89" s="3479">
        <f t="shared" ca="1" si="134"/>
        <v>14.566813509544851</v>
      </c>
      <c r="CC89" s="3478">
        <f t="shared" ca="1" si="181"/>
        <v>70.516217196084426</v>
      </c>
      <c r="CD89" s="556" t="str">
        <f ca="1">IF(ROUND(CD40,2)=0,"ok","!")</f>
        <v>ok</v>
      </c>
      <c r="CE89" s="601">
        <f t="shared" ca="1" si="182"/>
        <v>1.2528417919235757</v>
      </c>
      <c r="CF89" s="603">
        <f t="shared" ca="1" si="183"/>
        <v>-75.815926892950387</v>
      </c>
      <c r="CG89" s="3481">
        <f t="shared" ca="1" si="184"/>
        <v>33.101314771848386</v>
      </c>
      <c r="CH89" s="3479">
        <f t="shared" ca="1" si="135"/>
        <v>36.631632914637265</v>
      </c>
      <c r="CI89" s="3478">
        <f t="shared" ca="1" si="185"/>
        <v>1.2511857642864221</v>
      </c>
      <c r="CJ89" s="556" t="str">
        <f ca="1">IF(ROUND(CJ40,2)=0,"ok","!")</f>
        <v>ok</v>
      </c>
      <c r="CK89" s="601">
        <f t="shared" ca="1" si="186"/>
        <v>87.090312888687848</v>
      </c>
      <c r="CL89" s="603">
        <f t="shared" ca="1" si="187"/>
        <v>-30.926675663517766</v>
      </c>
      <c r="CM89" s="3481">
        <f t="shared" ca="1" si="188"/>
        <v>133.49658282836666</v>
      </c>
      <c r="CN89" s="3479">
        <f t="shared" ca="1" si="136"/>
        <v>33.034709193245718</v>
      </c>
      <c r="CO89" s="3478">
        <f t="shared" ca="1" si="189"/>
        <v>87.090312888687876</v>
      </c>
      <c r="CP89" s="556" t="str">
        <f ca="1">IF(ROUND(CP40,2)=0,"ok","!")</f>
        <v>ok</v>
      </c>
      <c r="CQ89" s="601">
        <f t="shared" ca="1" si="190"/>
        <v>-8.6693374315760519</v>
      </c>
      <c r="CR89" s="603">
        <f t="shared" ca="1" si="191"/>
        <v>28.069032888309977</v>
      </c>
      <c r="CS89" s="3481">
        <f t="shared" ca="1" si="192"/>
        <v>-48.768782291321045</v>
      </c>
      <c r="CT89" s="3479">
        <f t="shared" ca="1" si="42"/>
        <v>106.66008532242711</v>
      </c>
      <c r="CU89" s="3478">
        <f t="shared" ca="1" si="193"/>
        <v>-8.6702008254045175</v>
      </c>
      <c r="CV89" s="556" t="str">
        <f ca="1">IF(ROUND(CV40,2)=0,"ok","!")</f>
        <v>ok</v>
      </c>
      <c r="CW89" s="601">
        <f t="shared" ca="1" si="194"/>
        <v>-5.1048865108100578</v>
      </c>
      <c r="CX89" s="603">
        <f t="shared" ca="1" si="195"/>
        <v>3043.7833714721592</v>
      </c>
      <c r="CY89" s="3481">
        <f t="shared" ca="1" si="196"/>
        <v>9.5713922235329374</v>
      </c>
      <c r="CZ89" s="3479">
        <f t="shared" ca="1" si="47"/>
        <v>-220.50669623816432</v>
      </c>
      <c r="DA89" s="3478">
        <f t="shared" ca="1" si="197"/>
        <v>-5.1039894119871416</v>
      </c>
      <c r="DB89" s="556" t="str">
        <f ca="1">IF(ROUND(DB40,2)=0,"ok","!")</f>
        <v>ok</v>
      </c>
      <c r="DC89" s="601">
        <f t="shared" ca="1" si="198"/>
        <v>-3.9569241191062199</v>
      </c>
      <c r="DD89" s="603">
        <f t="shared" ca="1" si="199"/>
        <v>-96.863601439605318</v>
      </c>
      <c r="DE89" s="3481">
        <f t="shared" ca="1" si="200"/>
        <v>-19.617487492347628</v>
      </c>
      <c r="DF89" s="3479">
        <f t="shared" ca="1" si="52"/>
        <v>-177.0906774262051</v>
      </c>
      <c r="DG89" s="3478">
        <f t="shared" ca="1" si="201"/>
        <v>-3.9569241191061977</v>
      </c>
      <c r="DH89" s="556" t="str">
        <f ca="1">IF(ROUND(DH40,2)=0,"ok","!")</f>
        <v>ok</v>
      </c>
      <c r="DI89" s="601">
        <f t="shared" ca="1" si="202"/>
        <v>12.940700557001939</v>
      </c>
      <c r="DJ89" s="603">
        <f t="shared" ca="1" si="203"/>
        <v>88.421866941722556</v>
      </c>
      <c r="DK89" s="3481">
        <f t="shared" ca="1" si="204"/>
        <v>95.459320342454944</v>
      </c>
      <c r="DL89" s="3479">
        <f t="shared" ca="1" si="57"/>
        <v>-50.13865168126641</v>
      </c>
      <c r="DM89" s="3478">
        <f t="shared" ca="1" si="205"/>
        <v>12.940700557001916</v>
      </c>
      <c r="DN89" s="556" t="str">
        <f ca="1">IF(ROUND(DN40,2)=0,"ok","!")</f>
        <v>ok</v>
      </c>
      <c r="DO89" s="601">
        <f t="shared" ca="1" si="206"/>
        <v>-10.388024062083845</v>
      </c>
      <c r="DP89" s="603">
        <f t="shared" ca="1" si="207"/>
        <v>443.34200082113051</v>
      </c>
      <c r="DQ89" s="3481">
        <f t="shared" ca="1" si="208"/>
        <v>-87.781315920297757</v>
      </c>
      <c r="DR89" s="3479">
        <f t="shared" ca="1" si="62"/>
        <v>79.654524695223031</v>
      </c>
      <c r="DS89" s="3478">
        <f t="shared" ca="1" si="209"/>
        <v>-10.388024062083845</v>
      </c>
      <c r="DT89" s="556" t="str">
        <f ca="1">IF(ROUND(DT40,2)=0,"ok","!")</f>
        <v>ok</v>
      </c>
      <c r="DU89" s="601">
        <f t="shared" ca="1" si="210"/>
        <v>14.503863734191501</v>
      </c>
      <c r="DV89" s="603">
        <f t="shared" ca="1" si="211"/>
        <v>-69.691703188756236</v>
      </c>
      <c r="DW89" s="3481">
        <f t="shared" ca="1" si="212"/>
        <v>529.85484935122122</v>
      </c>
      <c r="DX89" s="3479">
        <f t="shared" ca="1" si="67"/>
        <v>-13.04686539013491</v>
      </c>
      <c r="DY89" s="3478">
        <f t="shared" ca="1" si="213"/>
        <v>14.50386373419148</v>
      </c>
      <c r="DZ89" s="556" t="str">
        <f ca="1">IF(ROUND(DZ40,2)=0,"ok","!")</f>
        <v>ok</v>
      </c>
      <c r="EA89" s="601">
        <f t="shared" ca="1" si="214"/>
        <v>-49.096897767753255</v>
      </c>
      <c r="EB89" s="603">
        <f t="shared" ca="1" si="215"/>
        <v>-54.242499792238007</v>
      </c>
      <c r="EC89" s="3481">
        <f t="shared" ca="1" si="216"/>
        <v>-32.95972345885928</v>
      </c>
      <c r="ED89" s="3479">
        <f t="shared" ca="1" si="72"/>
        <v>-69.429905219974529</v>
      </c>
      <c r="EE89" s="3478">
        <f t="shared" ca="1" si="217"/>
        <v>-49.096897767753248</v>
      </c>
      <c r="EF89" s="556" t="str">
        <f ca="1">IF(ROUND(EF40,2)=0,"ok","!")</f>
        <v>ok</v>
      </c>
      <c r="EG89" s="601">
        <f t="shared" ca="1" si="218"/>
        <v>-20.778520185680115</v>
      </c>
      <c r="EH89" s="603">
        <f t="shared" ca="1" si="219"/>
        <v>-7.0000000000000062</v>
      </c>
      <c r="EI89" s="3481">
        <f t="shared" ca="1" si="220"/>
        <v>-7.0000000000000062</v>
      </c>
      <c r="EJ89" s="3479">
        <f t="shared" ca="1" si="77"/>
        <v>-67.435909301249424</v>
      </c>
      <c r="EK89" s="3478">
        <f t="shared" ca="1" si="221"/>
        <v>-20.778520185680126</v>
      </c>
      <c r="EL89" s="556" t="str">
        <f ca="1">IF(ROUND(EL40,2)=0,"ok","!")</f>
        <v>ok</v>
      </c>
      <c r="EM89" s="601">
        <f t="shared" ca="1" si="222"/>
        <v>21.468040725480297</v>
      </c>
      <c r="EN89" s="603">
        <f t="shared" ca="1" si="223"/>
        <v>-7.0000000000000062</v>
      </c>
      <c r="EO89" s="3481">
        <f t="shared" ca="1" si="224"/>
        <v>-7.0000000000000062</v>
      </c>
      <c r="EP89" s="3479">
        <f t="shared" ca="1" si="82"/>
        <v>296.77641831625692</v>
      </c>
      <c r="EQ89" s="3478">
        <f t="shared" ca="1" si="225"/>
        <v>21.468040725480343</v>
      </c>
      <c r="ER89" s="556" t="str">
        <f ca="1">IF(ROUND(ER40,2)=0,"ok","!")</f>
        <v>ok</v>
      </c>
      <c r="ES89" s="601">
        <f t="shared" ca="1" si="226"/>
        <v>-3.5016352279790275</v>
      </c>
      <c r="ET89" s="603">
        <f t="shared" ca="1" si="227"/>
        <v>-7.0000000000000062</v>
      </c>
      <c r="EU89" s="3481">
        <f t="shared" ca="1" si="228"/>
        <v>-6.9999999999999947</v>
      </c>
      <c r="EV89" s="3479">
        <f t="shared" ca="1" si="87"/>
        <v>4.4281976671307399</v>
      </c>
      <c r="EW89" s="3478">
        <f t="shared" ca="1" si="229"/>
        <v>-3.5016352279790275</v>
      </c>
      <c r="EX89" s="556" t="str">
        <f ca="1">IF(ROUND(EX40,2)=0,"ok","!")</f>
        <v>ok</v>
      </c>
    </row>
    <row r="90" spans="2:154">
      <c r="B90" s="564"/>
      <c r="C90" s="582"/>
      <c r="D90" s="583" t="s">
        <v>1813</v>
      </c>
      <c r="E90" s="601"/>
      <c r="F90" s="602"/>
      <c r="G90" s="3482"/>
      <c r="H90" s="577"/>
      <c r="I90" s="3480"/>
      <c r="J90" s="584"/>
      <c r="K90" s="601" t="str">
        <f t="shared" si="230"/>
        <v/>
      </c>
      <c r="L90" s="602" t="str">
        <f t="shared" si="230"/>
        <v/>
      </c>
      <c r="M90" s="3482" t="str">
        <f t="shared" si="230"/>
        <v/>
      </c>
      <c r="N90" s="577" t="str">
        <f t="shared" ca="1" si="230"/>
        <v>N</v>
      </c>
      <c r="O90" s="3480" t="str">
        <f t="shared" si="230"/>
        <v/>
      </c>
      <c r="P90" s="584"/>
      <c r="Q90" s="601" t="str">
        <f t="shared" si="138"/>
        <v/>
      </c>
      <c r="R90" s="602" t="str">
        <f t="shared" si="139"/>
        <v/>
      </c>
      <c r="S90" s="3482" t="str">
        <f t="shared" si="140"/>
        <v/>
      </c>
      <c r="T90" s="577" t="str">
        <f t="shared" ca="1" si="124"/>
        <v>N</v>
      </c>
      <c r="U90" s="3480" t="str">
        <f t="shared" si="141"/>
        <v/>
      </c>
      <c r="V90" s="584"/>
      <c r="W90" s="601" t="str">
        <f t="shared" si="142"/>
        <v/>
      </c>
      <c r="X90" s="602" t="str">
        <f t="shared" si="143"/>
        <v/>
      </c>
      <c r="Y90" s="3482" t="str">
        <f t="shared" si="144"/>
        <v/>
      </c>
      <c r="Z90" s="577">
        <f t="shared" ca="1" si="125"/>
        <v>566.66666666666674</v>
      </c>
      <c r="AA90" s="3480" t="str">
        <f t="shared" si="145"/>
        <v/>
      </c>
      <c r="AB90" s="584"/>
      <c r="AC90" s="601" t="str">
        <f t="shared" si="146"/>
        <v/>
      </c>
      <c r="AD90" s="602" t="str">
        <f t="shared" si="147"/>
        <v/>
      </c>
      <c r="AE90" s="3482" t="str">
        <f t="shared" si="148"/>
        <v/>
      </c>
      <c r="AF90" s="577">
        <f t="shared" ca="1" si="126"/>
        <v>209.99999999999997</v>
      </c>
      <c r="AG90" s="3480" t="str">
        <f t="shared" si="149"/>
        <v/>
      </c>
      <c r="AH90" s="584"/>
      <c r="AI90" s="601" t="str">
        <f t="shared" si="150"/>
        <v/>
      </c>
      <c r="AJ90" s="602" t="str">
        <f t="shared" si="151"/>
        <v/>
      </c>
      <c r="AK90" s="3482" t="str">
        <f t="shared" si="152"/>
        <v/>
      </c>
      <c r="AL90" s="577">
        <f t="shared" ca="1" si="127"/>
        <v>-14.516129032258062</v>
      </c>
      <c r="AM90" s="3480" t="str">
        <f t="shared" si="153"/>
        <v/>
      </c>
      <c r="AN90" s="584"/>
      <c r="AO90" s="601" t="str">
        <f t="shared" si="154"/>
        <v/>
      </c>
      <c r="AP90" s="602" t="str">
        <f t="shared" si="155"/>
        <v/>
      </c>
      <c r="AQ90" s="3482" t="str">
        <f t="shared" si="156"/>
        <v/>
      </c>
      <c r="AR90" s="577">
        <f t="shared" ca="1" si="128"/>
        <v>22.641509433962259</v>
      </c>
      <c r="AS90" s="3480" t="str">
        <f t="shared" si="157"/>
        <v/>
      </c>
      <c r="AT90" s="584"/>
      <c r="AU90" s="601" t="str">
        <f t="shared" si="158"/>
        <v/>
      </c>
      <c r="AV90" s="602" t="str">
        <f t="shared" si="159"/>
        <v/>
      </c>
      <c r="AW90" s="3482" t="str">
        <f t="shared" si="160"/>
        <v/>
      </c>
      <c r="AX90" s="577">
        <f t="shared" ca="1" si="129"/>
        <v>1.538461538461533</v>
      </c>
      <c r="AY90" s="3480" t="str">
        <f t="shared" si="161"/>
        <v/>
      </c>
      <c r="AZ90" s="584"/>
      <c r="BA90" s="601" t="str">
        <f t="shared" si="162"/>
        <v/>
      </c>
      <c r="BB90" s="602" t="str">
        <f t="shared" si="163"/>
        <v/>
      </c>
      <c r="BC90" s="3482" t="str">
        <f t="shared" si="164"/>
        <v/>
      </c>
      <c r="BD90" s="577">
        <f t="shared" ca="1" si="130"/>
        <v>-51.515151515151516</v>
      </c>
      <c r="BE90" s="3480" t="str">
        <f t="shared" si="165"/>
        <v/>
      </c>
      <c r="BF90" s="584"/>
      <c r="BG90" s="601" t="str">
        <f t="shared" si="166"/>
        <v/>
      </c>
      <c r="BH90" s="602" t="str">
        <f t="shared" si="167"/>
        <v/>
      </c>
      <c r="BI90" s="3482" t="str">
        <f t="shared" si="168"/>
        <v/>
      </c>
      <c r="BJ90" s="577">
        <f t="shared" ca="1" si="131"/>
        <v>56.25</v>
      </c>
      <c r="BK90" s="3480" t="str">
        <f t="shared" si="169"/>
        <v/>
      </c>
      <c r="BL90" s="584"/>
      <c r="BM90" s="601" t="str">
        <f t="shared" si="170"/>
        <v/>
      </c>
      <c r="BN90" s="602" t="str">
        <f t="shared" si="171"/>
        <v/>
      </c>
      <c r="BO90" s="3482" t="str">
        <f t="shared" si="172"/>
        <v/>
      </c>
      <c r="BP90" s="577">
        <f t="shared" ca="1" si="132"/>
        <v>34.000000000000007</v>
      </c>
      <c r="BQ90" s="3480" t="str">
        <f t="shared" si="173"/>
        <v/>
      </c>
      <c r="BR90" s="584"/>
      <c r="BS90" s="601" t="str">
        <f t="shared" si="174"/>
        <v/>
      </c>
      <c r="BT90" s="602" t="str">
        <f t="shared" si="175"/>
        <v/>
      </c>
      <c r="BU90" s="3482" t="str">
        <f t="shared" si="176"/>
        <v/>
      </c>
      <c r="BV90" s="577">
        <f t="shared" ca="1" si="133"/>
        <v>80.597014925373117</v>
      </c>
      <c r="BW90" s="3480" t="str">
        <f t="shared" si="177"/>
        <v/>
      </c>
      <c r="BX90" s="584"/>
      <c r="BY90" s="601" t="str">
        <f t="shared" si="178"/>
        <v/>
      </c>
      <c r="BZ90" s="602" t="str">
        <f t="shared" si="179"/>
        <v/>
      </c>
      <c r="CA90" s="3482" t="str">
        <f t="shared" si="180"/>
        <v/>
      </c>
      <c r="CB90" s="577">
        <f t="shared" ca="1" si="134"/>
        <v>50.41322314049588</v>
      </c>
      <c r="CC90" s="3480" t="str">
        <f t="shared" si="181"/>
        <v/>
      </c>
      <c r="CD90" s="584"/>
      <c r="CE90" s="601" t="str">
        <f t="shared" si="182"/>
        <v/>
      </c>
      <c r="CF90" s="602" t="str">
        <f t="shared" si="183"/>
        <v/>
      </c>
      <c r="CG90" s="3482" t="str">
        <f t="shared" si="184"/>
        <v/>
      </c>
      <c r="CH90" s="577">
        <f t="shared" ca="1" si="135"/>
        <v>-3.2967032967032961</v>
      </c>
      <c r="CI90" s="3480" t="str">
        <f t="shared" si="185"/>
        <v/>
      </c>
      <c r="CJ90" s="584"/>
      <c r="CK90" s="601" t="str">
        <f t="shared" si="186"/>
        <v/>
      </c>
      <c r="CL90" s="602" t="str">
        <f t="shared" si="187"/>
        <v/>
      </c>
      <c r="CM90" s="3482" t="str">
        <f t="shared" si="188"/>
        <v/>
      </c>
      <c r="CN90" s="577">
        <f t="shared" ca="1" si="136"/>
        <v>1.1363636363636465</v>
      </c>
      <c r="CO90" s="3480" t="str">
        <f t="shared" si="189"/>
        <v/>
      </c>
      <c r="CP90" s="584"/>
      <c r="CQ90" s="601" t="str">
        <f t="shared" si="190"/>
        <v/>
      </c>
      <c r="CR90" s="602" t="str">
        <f t="shared" si="191"/>
        <v/>
      </c>
      <c r="CS90" s="3482" t="str">
        <f t="shared" si="192"/>
        <v/>
      </c>
      <c r="CT90" s="577">
        <f t="shared" ca="1" si="42"/>
        <v>-38.202247191011239</v>
      </c>
      <c r="CU90" s="3480" t="str">
        <f t="shared" si="193"/>
        <v/>
      </c>
      <c r="CV90" s="584"/>
      <c r="CW90" s="601" t="str">
        <f t="shared" si="194"/>
        <v/>
      </c>
      <c r="CX90" s="602" t="str">
        <f t="shared" si="195"/>
        <v/>
      </c>
      <c r="CY90" s="3482" t="str">
        <f t="shared" si="196"/>
        <v/>
      </c>
      <c r="CZ90" s="577">
        <f t="shared" ca="1" si="47"/>
        <v>-9.0909090909090935</v>
      </c>
      <c r="DA90" s="3480" t="str">
        <f t="shared" si="197"/>
        <v/>
      </c>
      <c r="DB90" s="584"/>
      <c r="DC90" s="601" t="str">
        <f t="shared" si="198"/>
        <v/>
      </c>
      <c r="DD90" s="602" t="str">
        <f t="shared" si="199"/>
        <v/>
      </c>
      <c r="DE90" s="3482" t="str">
        <f t="shared" si="200"/>
        <v/>
      </c>
      <c r="DF90" s="577">
        <f t="shared" ca="1" si="52"/>
        <v>19.999999999999996</v>
      </c>
      <c r="DG90" s="3480" t="str">
        <f t="shared" si="201"/>
        <v/>
      </c>
      <c r="DH90" s="584"/>
      <c r="DI90" s="601" t="str">
        <f t="shared" si="202"/>
        <v/>
      </c>
      <c r="DJ90" s="602" t="str">
        <f t="shared" si="203"/>
        <v/>
      </c>
      <c r="DK90" s="3482" t="str">
        <f t="shared" si="204"/>
        <v/>
      </c>
      <c r="DL90" s="577">
        <f t="shared" ca="1" si="57"/>
        <v>6.6666666666666874</v>
      </c>
      <c r="DM90" s="3480" t="str">
        <f t="shared" si="205"/>
        <v/>
      </c>
      <c r="DN90" s="584"/>
      <c r="DO90" s="601" t="str">
        <f t="shared" si="206"/>
        <v/>
      </c>
      <c r="DP90" s="602" t="str">
        <f t="shared" si="207"/>
        <v/>
      </c>
      <c r="DQ90" s="3482" t="str">
        <f t="shared" si="208"/>
        <v/>
      </c>
      <c r="DR90" s="577">
        <f t="shared" ca="1" si="62"/>
        <v>3.90625</v>
      </c>
      <c r="DS90" s="3480" t="str">
        <f t="shared" si="209"/>
        <v/>
      </c>
      <c r="DT90" s="584"/>
      <c r="DU90" s="601" t="str">
        <f t="shared" si="210"/>
        <v/>
      </c>
      <c r="DV90" s="602" t="str">
        <f t="shared" si="211"/>
        <v/>
      </c>
      <c r="DW90" s="3482" t="str">
        <f t="shared" si="212"/>
        <v/>
      </c>
      <c r="DX90" s="577">
        <f t="shared" ca="1" si="67"/>
        <v>7.5187969924812137</v>
      </c>
      <c r="DY90" s="3480" t="str">
        <f t="shared" si="213"/>
        <v/>
      </c>
      <c r="DZ90" s="584"/>
      <c r="EA90" s="601" t="str">
        <f t="shared" si="214"/>
        <v/>
      </c>
      <c r="EB90" s="602" t="str">
        <f t="shared" si="215"/>
        <v/>
      </c>
      <c r="EC90" s="3482" t="str">
        <f t="shared" si="216"/>
        <v/>
      </c>
      <c r="ED90" s="577">
        <f t="shared" ca="1" si="72"/>
        <v>2.7972027972027913</v>
      </c>
      <c r="EE90" s="3480" t="str">
        <f t="shared" si="217"/>
        <v/>
      </c>
      <c r="EF90" s="584"/>
      <c r="EG90" s="601" t="str">
        <f t="shared" si="218"/>
        <v/>
      </c>
      <c r="EH90" s="602" t="str">
        <f t="shared" si="219"/>
        <v/>
      </c>
      <c r="EI90" s="3482" t="str">
        <f t="shared" si="220"/>
        <v/>
      </c>
      <c r="EJ90" s="577">
        <f t="shared" ca="1" si="77"/>
        <v>0</v>
      </c>
      <c r="EK90" s="3480" t="str">
        <f t="shared" si="221"/>
        <v/>
      </c>
      <c r="EL90" s="584"/>
      <c r="EM90" s="601" t="str">
        <f t="shared" si="222"/>
        <v/>
      </c>
      <c r="EN90" s="602" t="str">
        <f t="shared" si="223"/>
        <v/>
      </c>
      <c r="EO90" s="3482" t="str">
        <f t="shared" si="224"/>
        <v/>
      </c>
      <c r="EP90" s="577">
        <f t="shared" ca="1" si="82"/>
        <v>0</v>
      </c>
      <c r="EQ90" s="3480" t="str">
        <f t="shared" si="225"/>
        <v/>
      </c>
      <c r="ER90" s="584"/>
      <c r="ES90" s="601" t="str">
        <f t="shared" si="226"/>
        <v/>
      </c>
      <c r="ET90" s="602" t="str">
        <f t="shared" si="227"/>
        <v/>
      </c>
      <c r="EU90" s="3482" t="str">
        <f t="shared" si="228"/>
        <v/>
      </c>
      <c r="EV90" s="577">
        <f t="shared" ca="1" si="87"/>
        <v>0</v>
      </c>
      <c r="EW90" s="3480" t="str">
        <f t="shared" si="229"/>
        <v/>
      </c>
      <c r="EX90" s="584"/>
    </row>
    <row r="91" spans="2:154">
      <c r="B91" s="564"/>
      <c r="C91" s="582"/>
      <c r="D91" s="583" t="s">
        <v>1156</v>
      </c>
      <c r="E91" s="601"/>
      <c r="F91" s="602"/>
      <c r="G91" s="3482"/>
      <c r="H91" s="577"/>
      <c r="I91" s="3480"/>
      <c r="J91" s="584"/>
      <c r="K91" s="601"/>
      <c r="L91" s="602"/>
      <c r="M91" s="3482"/>
      <c r="N91" s="577" t="str">
        <f ca="1">IF(N42="","",IF(H42=0,"N",(N42/H42-1)*100))</f>
        <v>N</v>
      </c>
      <c r="O91" s="3480"/>
      <c r="P91" s="584"/>
      <c r="Q91" s="601"/>
      <c r="R91" s="602"/>
      <c r="S91" s="3482"/>
      <c r="T91" s="577" t="str">
        <f t="shared" ca="1" si="124"/>
        <v>N</v>
      </c>
      <c r="U91" s="3480"/>
      <c r="V91" s="584"/>
      <c r="W91" s="601"/>
      <c r="X91" s="602"/>
      <c r="Y91" s="3482"/>
      <c r="Z91" s="577" t="str">
        <f t="shared" ca="1" si="125"/>
        <v>N</v>
      </c>
      <c r="AA91" s="3480"/>
      <c r="AB91" s="584"/>
      <c r="AC91" s="601"/>
      <c r="AD91" s="602"/>
      <c r="AE91" s="3482"/>
      <c r="AF91" s="577" t="str">
        <f t="shared" ca="1" si="126"/>
        <v>N</v>
      </c>
      <c r="AG91" s="3480"/>
      <c r="AH91" s="584"/>
      <c r="AI91" s="601"/>
      <c r="AJ91" s="602"/>
      <c r="AK91" s="3482"/>
      <c r="AL91" s="577" t="str">
        <f t="shared" ca="1" si="127"/>
        <v>N</v>
      </c>
      <c r="AM91" s="3480"/>
      <c r="AN91" s="584"/>
      <c r="AO91" s="601"/>
      <c r="AP91" s="602"/>
      <c r="AQ91" s="3482"/>
      <c r="AR91" s="577">
        <f t="shared" ca="1" si="128"/>
        <v>18.618540638795132</v>
      </c>
      <c r="AS91" s="3480"/>
      <c r="AT91" s="584"/>
      <c r="AU91" s="601"/>
      <c r="AV91" s="602"/>
      <c r="AW91" s="3482"/>
      <c r="AX91" s="577">
        <f t="shared" ca="1" si="129"/>
        <v>-41.462346760070048</v>
      </c>
      <c r="AY91" s="3480"/>
      <c r="AZ91" s="584"/>
      <c r="BA91" s="601"/>
      <c r="BB91" s="602"/>
      <c r="BC91" s="3482"/>
      <c r="BD91" s="577">
        <f t="shared" ca="1" si="130"/>
        <v>-46.447270007479425</v>
      </c>
      <c r="BE91" s="3480"/>
      <c r="BF91" s="584"/>
      <c r="BG91" s="601"/>
      <c r="BH91" s="602"/>
      <c r="BI91" s="3482"/>
      <c r="BJ91" s="577">
        <f t="shared" ca="1" si="131"/>
        <v>-16.270949720670391</v>
      </c>
      <c r="BK91" s="3480"/>
      <c r="BL91" s="584"/>
      <c r="BM91" s="601"/>
      <c r="BN91" s="602"/>
      <c r="BO91" s="3482"/>
      <c r="BP91" s="577">
        <f t="shared" ca="1" si="132"/>
        <v>-18.265221017514587</v>
      </c>
      <c r="BQ91" s="3480"/>
      <c r="BR91" s="584"/>
      <c r="BS91" s="601"/>
      <c r="BT91" s="602"/>
      <c r="BU91" s="3482"/>
      <c r="BV91" s="577">
        <f t="shared" ca="1" si="133"/>
        <v>52.857142857142847</v>
      </c>
      <c r="BW91" s="3480"/>
      <c r="BX91" s="584"/>
      <c r="BY91" s="601"/>
      <c r="BZ91" s="602"/>
      <c r="CA91" s="3482"/>
      <c r="CB91" s="577">
        <f t="shared" ca="1" si="134"/>
        <v>-40.587449933244322</v>
      </c>
      <c r="CC91" s="3480"/>
      <c r="CD91" s="584"/>
      <c r="CE91" s="601"/>
      <c r="CF91" s="602"/>
      <c r="CG91" s="3482"/>
      <c r="CH91" s="577">
        <f t="shared" ca="1" si="135"/>
        <v>109.77528089887643</v>
      </c>
      <c r="CI91" s="3480"/>
      <c r="CJ91" s="584"/>
      <c r="CK91" s="601"/>
      <c r="CL91" s="602"/>
      <c r="CM91" s="3482"/>
      <c r="CN91" s="577">
        <f t="shared" ca="1" si="136"/>
        <v>153.07980717728972</v>
      </c>
      <c r="CO91" s="3480"/>
      <c r="CP91" s="584"/>
      <c r="CQ91" s="601"/>
      <c r="CR91" s="602"/>
      <c r="CS91" s="3482"/>
      <c r="CT91" s="577">
        <f t="shared" ca="1" si="42"/>
        <v>-32.380952380952387</v>
      </c>
      <c r="CU91" s="3480"/>
      <c r="CV91" s="584"/>
      <c r="CW91" s="601"/>
      <c r="CX91" s="602"/>
      <c r="CY91" s="3482"/>
      <c r="CZ91" s="577">
        <f t="shared" ca="1" si="47"/>
        <v>-50.10954616588419</v>
      </c>
      <c r="DA91" s="3480"/>
      <c r="DB91" s="584"/>
      <c r="DC91" s="601"/>
      <c r="DD91" s="602"/>
      <c r="DE91" s="3482"/>
      <c r="DF91" s="577">
        <f t="shared" ca="1" si="52"/>
        <v>-11.417816813048942</v>
      </c>
      <c r="DG91" s="3480"/>
      <c r="DH91" s="584"/>
      <c r="DI91" s="601"/>
      <c r="DJ91" s="602"/>
      <c r="DK91" s="3482"/>
      <c r="DL91" s="577">
        <f t="shared" ca="1" si="57"/>
        <v>23.300283286118994</v>
      </c>
      <c r="DM91" s="3480"/>
      <c r="DN91" s="584"/>
      <c r="DO91" s="601"/>
      <c r="DP91" s="602"/>
      <c r="DQ91" s="3482"/>
      <c r="DR91" s="577">
        <f t="shared" ca="1" si="62"/>
        <v>-13.038483630097652</v>
      </c>
      <c r="DS91" s="3480"/>
      <c r="DT91" s="584"/>
      <c r="DU91" s="601"/>
      <c r="DV91" s="602"/>
      <c r="DW91" s="3482"/>
      <c r="DX91" s="577">
        <f t="shared" ca="1" si="67"/>
        <v>16.446499339498022</v>
      </c>
      <c r="DY91" s="3480"/>
      <c r="DZ91" s="584"/>
      <c r="EA91" s="601"/>
      <c r="EB91" s="602"/>
      <c r="EC91" s="3482"/>
      <c r="ED91" s="577">
        <f t="shared" ca="1" si="72"/>
        <v>-19.398752127056152</v>
      </c>
      <c r="EE91" s="3480"/>
      <c r="EF91" s="584"/>
      <c r="EG91" s="601"/>
      <c r="EH91" s="602"/>
      <c r="EI91" s="3482"/>
      <c r="EJ91" s="577">
        <f t="shared" ca="1" si="77"/>
        <v>0</v>
      </c>
      <c r="EK91" s="3480"/>
      <c r="EL91" s="584"/>
      <c r="EM91" s="601"/>
      <c r="EN91" s="602"/>
      <c r="EO91" s="3482"/>
      <c r="EP91" s="577">
        <f t="shared" ca="1" si="82"/>
        <v>0</v>
      </c>
      <c r="EQ91" s="3480"/>
      <c r="ER91" s="584"/>
      <c r="ES91" s="601"/>
      <c r="ET91" s="602"/>
      <c r="EU91" s="3482"/>
      <c r="EV91" s="577">
        <f t="shared" ca="1" si="87"/>
        <v>0</v>
      </c>
      <c r="EW91" s="3480"/>
      <c r="EX91" s="584"/>
    </row>
    <row r="92" spans="2:154">
      <c r="B92" s="564"/>
      <c r="C92" s="582"/>
      <c r="D92" s="583" t="s">
        <v>2083</v>
      </c>
      <c r="E92" s="601"/>
      <c r="F92" s="602"/>
      <c r="G92" s="3482"/>
      <c r="H92" s="577"/>
      <c r="I92" s="3480"/>
      <c r="J92" s="584"/>
      <c r="K92" s="601" t="str">
        <f t="shared" ref="K92:O97" si="231">IF(K43="","",IF(E43=0,"N",(K43/E43-1)*100))</f>
        <v/>
      </c>
      <c r="L92" s="602" t="str">
        <f t="shared" si="231"/>
        <v/>
      </c>
      <c r="M92" s="3482" t="str">
        <f t="shared" si="231"/>
        <v/>
      </c>
      <c r="N92" s="577" t="str">
        <f t="shared" ca="1" si="231"/>
        <v>N</v>
      </c>
      <c r="O92" s="3480" t="str">
        <f t="shared" si="231"/>
        <v/>
      </c>
      <c r="P92" s="584"/>
      <c r="Q92" s="601" t="str">
        <f t="shared" ref="Q92:Q97" si="232">IF(Q43="","",IF(K43=0,"N",(Q43/K43-1)*100))</f>
        <v/>
      </c>
      <c r="R92" s="602" t="str">
        <f t="shared" ref="R92:R97" si="233">IF(R43="","",IF(L43=0,"N",(R43/L43-1)*100))</f>
        <v/>
      </c>
      <c r="S92" s="3482" t="str">
        <f t="shared" ref="S92:T97" si="234">IF(S43="","",IF(M43=0,"N",(S43/M43-1)*100))</f>
        <v/>
      </c>
      <c r="T92" s="577" t="str">
        <f t="shared" ca="1" si="234"/>
        <v>N</v>
      </c>
      <c r="U92" s="3480" t="str">
        <f t="shared" ref="U92:U97" si="235">IF(U43="","",IF(O43=0,"N",(U43/O43-1)*100))</f>
        <v/>
      </c>
      <c r="V92" s="584"/>
      <c r="W92" s="601" t="str">
        <f t="shared" ref="W92:W97" si="236">IF(W43="","",IF(Q43=0,"N",(W43/Q43-1)*100))</f>
        <v/>
      </c>
      <c r="X92" s="602" t="str">
        <f t="shared" ref="X92:X97" si="237">IF(X43="","",IF(R43=0,"N",(X43/R43-1)*100))</f>
        <v/>
      </c>
      <c r="Y92" s="3482" t="str">
        <f t="shared" ref="Y92:Z97" si="238">IF(Y43="","",IF(S43=0,"N",(Y43/S43-1)*100))</f>
        <v/>
      </c>
      <c r="Z92" s="577">
        <f t="shared" ca="1" si="238"/>
        <v>-88.105726872246692</v>
      </c>
      <c r="AA92" s="3480" t="str">
        <f t="shared" ref="AA92:AA97" si="239">IF(AA43="","",IF(U43=0,"N",(AA43/U43-1)*100))</f>
        <v/>
      </c>
      <c r="AB92" s="584"/>
      <c r="AC92" s="601" t="str">
        <f t="shared" ref="AC92:AC97" si="240">IF(AC43="","",IF(W43=0,"N",(AC43/W43-1)*100))</f>
        <v/>
      </c>
      <c r="AD92" s="602" t="str">
        <f t="shared" ref="AD92:AD97" si="241">IF(AD43="","",IF(X43=0,"N",(AD43/X43-1)*100))</f>
        <v/>
      </c>
      <c r="AE92" s="3482" t="str">
        <f t="shared" ref="AE92:AF97" si="242">IF(AE43="","",IF(Y43=0,"N",(AE43/Y43-1)*100))</f>
        <v/>
      </c>
      <c r="AF92" s="577">
        <f t="shared" ca="1" si="242"/>
        <v>4074.0740740740735</v>
      </c>
      <c r="AG92" s="3480" t="str">
        <f t="shared" ref="AG92:AG97" si="243">IF(AG43="","",IF(AA43=0,"N",(AG43/AA43-1)*100))</f>
        <v/>
      </c>
      <c r="AH92" s="584"/>
      <c r="AI92" s="601" t="str">
        <f t="shared" ref="AI92:AI97" si="244">IF(AI43="","",IF(AC43=0,"N",(AI43/AC43-1)*100))</f>
        <v/>
      </c>
      <c r="AJ92" s="602" t="str">
        <f t="shared" ref="AJ92:AJ97" si="245">IF(AJ43="","",IF(AD43=0,"N",(AJ43/AD43-1)*100))</f>
        <v/>
      </c>
      <c r="AK92" s="3482" t="str">
        <f t="shared" ref="AK92:AL97" si="246">IF(AK43="","",IF(AE43=0,"N",(AK43/AE43-1)*100))</f>
        <v/>
      </c>
      <c r="AL92" s="577">
        <f t="shared" ca="1" si="246"/>
        <v>-10.115350488021324</v>
      </c>
      <c r="AM92" s="3480" t="str">
        <f t="shared" ref="AM92:AM97" si="247">IF(AM43="","",IF(AG43=0,"N",(AM43/AG43-1)*100))</f>
        <v/>
      </c>
      <c r="AN92" s="584"/>
      <c r="AO92" s="601" t="str">
        <f t="shared" ref="AO92:AO97" si="248">IF(AO43="","",IF(AI43=0,"N",(AO43/AI43-1)*100))</f>
        <v/>
      </c>
      <c r="AP92" s="602" t="str">
        <f t="shared" ref="AP92:AP97" si="249">IF(AP43="","",IF(AJ43=0,"N",(AP43/AJ43-1)*100))</f>
        <v/>
      </c>
      <c r="AQ92" s="3482" t="str">
        <f t="shared" ref="AQ92:AR97" si="250">IF(AQ43="","",IF(AK43=0,"N",(AQ43/AK43-1)*100))</f>
        <v/>
      </c>
      <c r="AR92" s="577">
        <f t="shared" ca="1" si="250"/>
        <v>53.800592300098728</v>
      </c>
      <c r="AS92" s="3480" t="str">
        <f t="shared" ref="AS92:AS97" si="251">IF(AS43="","",IF(AM43=0,"N",(AS43/AM43-1)*100))</f>
        <v/>
      </c>
      <c r="AT92" s="584"/>
      <c r="AU92" s="601" t="str">
        <f t="shared" ref="AU92:AU97" si="252">IF(AU43="","",IF(AO43=0,"N",(AU43/AO43-1)*100))</f>
        <v/>
      </c>
      <c r="AV92" s="602" t="str">
        <f t="shared" ref="AV92:AV97" si="253">IF(AV43="","",IF(AP43=0,"N",(AV43/AP43-1)*100))</f>
        <v/>
      </c>
      <c r="AW92" s="3482" t="str">
        <f t="shared" ref="AW92:AX97" si="254">IF(AW43="","",IF(AQ43=0,"N",(AW43/AQ43-1)*100))</f>
        <v/>
      </c>
      <c r="AX92" s="577">
        <f t="shared" ca="1" si="254"/>
        <v>362.00256739409502</v>
      </c>
      <c r="AY92" s="3480" t="str">
        <f t="shared" ref="AY92:AY97" si="255">IF(AY43="","",IF(AS43=0,"N",(AY43/AS43-1)*100))</f>
        <v/>
      </c>
      <c r="AZ92" s="584"/>
      <c r="BA92" s="601" t="str">
        <f t="shared" ref="BA92:BA97" si="256">IF(BA43="","",IF(AU43=0,"N",(BA43/AU43-1)*100))</f>
        <v/>
      </c>
      <c r="BB92" s="602" t="str">
        <f t="shared" ref="BB92:BB97" si="257">IF(BB43="","",IF(AV43=0,"N",(BB43/AV43-1)*100))</f>
        <v/>
      </c>
      <c r="BC92" s="3482" t="str">
        <f t="shared" ref="BC92:BD97" si="258">IF(BC43="","",IF(AW43=0,"N",(BC43/AW43-1)*100))</f>
        <v/>
      </c>
      <c r="BD92" s="577">
        <f t="shared" ca="1" si="258"/>
        <v>-6.3628785773825918</v>
      </c>
      <c r="BE92" s="3480" t="str">
        <f t="shared" ref="BE92:BE97" si="259">IF(BE43="","",IF(AY43=0,"N",(BE43/AY43-1)*100))</f>
        <v/>
      </c>
      <c r="BF92" s="584"/>
      <c r="BG92" s="601" t="str">
        <f t="shared" ref="BG92:BG97" si="260">IF(BG43="","",IF(BA43=0,"N",(BG43/BA43-1)*100))</f>
        <v/>
      </c>
      <c r="BH92" s="602" t="str">
        <f t="shared" ref="BH92:BH97" si="261">IF(BH43="","",IF(BB43=0,"N",(BH43/BB43-1)*100))</f>
        <v/>
      </c>
      <c r="BI92" s="3482" t="str">
        <f t="shared" ref="BI92:BJ97" si="262">IF(BI43="","",IF(BC43=0,"N",(BI43/BC43-1)*100))</f>
        <v/>
      </c>
      <c r="BJ92" s="577">
        <f t="shared" ca="1" si="262"/>
        <v>24.154302670623153</v>
      </c>
      <c r="BK92" s="3480" t="str">
        <f t="shared" ref="BK92:BK97" si="263">IF(BK43="","",IF(BE43=0,"N",(BK43/BE43-1)*100))</f>
        <v/>
      </c>
      <c r="BL92" s="584"/>
      <c r="BM92" s="601" t="str">
        <f t="shared" ref="BM92:BM97" si="264">IF(BM43="","",IF(BG43=0,"N",(BM43/BG43-1)*100))</f>
        <v/>
      </c>
      <c r="BN92" s="602" t="str">
        <f t="shared" ref="BN92:BN97" si="265">IF(BN43="","",IF(BH43=0,"N",(BN43/BH43-1)*100))</f>
        <v/>
      </c>
      <c r="BO92" s="3482" t="str">
        <f t="shared" ref="BO92:BP97" si="266">IF(BO43="","",IF(BI43=0,"N",(BO43/BI43-1)*100))</f>
        <v/>
      </c>
      <c r="BP92" s="577">
        <f t="shared" ca="1" si="266"/>
        <v>101.76864244741877</v>
      </c>
      <c r="BQ92" s="3480" t="str">
        <f t="shared" ref="BQ92:BQ97" si="267">IF(BQ43="","",IF(BK43=0,"N",(BQ43/BK43-1)*100))</f>
        <v/>
      </c>
      <c r="BR92" s="584"/>
      <c r="BS92" s="601" t="str">
        <f t="shared" ref="BS92:BS97" si="268">IF(BS43="","",IF(BM43=0,"N",(BS43/BM43-1)*100))</f>
        <v/>
      </c>
      <c r="BT92" s="602" t="str">
        <f t="shared" ref="BT92:BT97" si="269">IF(BT43="","",IF(BN43=0,"N",(BT43/BN43-1)*100))</f>
        <v/>
      </c>
      <c r="BU92" s="3482" t="str">
        <f t="shared" ref="BU92:BV97" si="270">IF(BU43="","",IF(BO43=0,"N",(BU43/BO43-1)*100))</f>
        <v/>
      </c>
      <c r="BV92" s="577">
        <f t="shared" ca="1" si="270"/>
        <v>45.403932717365535</v>
      </c>
      <c r="BW92" s="3480" t="str">
        <f t="shared" ref="BW92:BW97" si="271">IF(BW43="","",IF(BQ43=0,"N",(BW43/BQ43-1)*100))</f>
        <v/>
      </c>
      <c r="BX92" s="584"/>
      <c r="BY92" s="601" t="str">
        <f t="shared" ref="BY92:BY97" si="272">IF(BY43="","",IF(BS43=0,"N",(BY43/BS43-1)*100))</f>
        <v/>
      </c>
      <c r="BZ92" s="602" t="str">
        <f t="shared" ref="BZ92:BZ97" si="273">IF(BZ43="","",IF(BT43=0,"N",(BZ43/BT43-1)*100))</f>
        <v/>
      </c>
      <c r="CA92" s="3482" t="str">
        <f t="shared" ref="CA92:CB97" si="274">IF(CA43="","",IF(BU43=0,"N",(CA43/BU43-1)*100))</f>
        <v/>
      </c>
      <c r="CB92" s="577">
        <f t="shared" ca="1" si="274"/>
        <v>71.213849287169054</v>
      </c>
      <c r="CC92" s="3480" t="str">
        <f t="shared" ref="CC92:CC97" si="275">IF(CC43="","",IF(BW43=0,"N",(CC43/BW43-1)*100))</f>
        <v/>
      </c>
      <c r="CD92" s="584"/>
      <c r="CE92" s="601" t="str">
        <f t="shared" ref="CE92:CE97" si="276">IF(CE43="","",IF(BY43=0,"N",(CE43/BY43-1)*100))</f>
        <v/>
      </c>
      <c r="CF92" s="602" t="str">
        <f t="shared" ref="CF92:CF97" si="277">IF(CF43="","",IF(BZ43=0,"N",(CF43/BZ43-1)*100))</f>
        <v/>
      </c>
      <c r="CG92" s="3482" t="str">
        <f t="shared" ref="CG92:CH97" si="278">IF(CG43="","",IF(CA43=0,"N",(CG43/CA43-1)*100))</f>
        <v/>
      </c>
      <c r="CH92" s="577">
        <f t="shared" ca="1" si="278"/>
        <v>-14.438655342231099</v>
      </c>
      <c r="CI92" s="3480" t="str">
        <f t="shared" ref="CI92:CI97" si="279">IF(CI43="","",IF(CC43=0,"N",(CI43/CC43-1)*100))</f>
        <v/>
      </c>
      <c r="CJ92" s="584"/>
      <c r="CK92" s="601" t="str">
        <f t="shared" ref="CK92:CK97" si="280">IF(CK43="","",IF(CE43=0,"N",(CK43/CE43-1)*100))</f>
        <v/>
      </c>
      <c r="CL92" s="602" t="str">
        <f t="shared" ref="CL92:CL97" si="281">IF(CL43="","",IF(CF43=0,"N",(CL43/CF43-1)*100))</f>
        <v/>
      </c>
      <c r="CM92" s="3482" t="str">
        <f t="shared" ref="CM92:CN97" si="282">IF(CM43="","",IF(CG43=0,"N",(CM43/CG43-1)*100))</f>
        <v/>
      </c>
      <c r="CN92" s="577">
        <f t="shared" ca="1" si="282"/>
        <v>22.313980647313958</v>
      </c>
      <c r="CO92" s="3480" t="str">
        <f t="shared" ref="CO92:CO97" si="283">IF(CO43="","",IF(CI43=0,"N",(CO43/CI43-1)*100))</f>
        <v/>
      </c>
      <c r="CP92" s="584"/>
      <c r="CQ92" s="601" t="str">
        <f t="shared" ref="CQ92:CQ97" si="284">IF(CQ43="","",IF(CK43=0,"N",(CQ43/CK43-1)*100))</f>
        <v/>
      </c>
      <c r="CR92" s="602" t="str">
        <f t="shared" ref="CR92:CR97" si="285">IF(CR43="","",IF(CL43=0,"N",(CR43/CL43-1)*100))</f>
        <v/>
      </c>
      <c r="CS92" s="3482" t="str">
        <f t="shared" ref="CS92:CS97" si="286">IF(CS43="","",IF(CM43=0,"N",(CS43/CM43-1)*100))</f>
        <v/>
      </c>
      <c r="CT92" s="577">
        <f t="shared" ca="1" si="42"/>
        <v>67.894246288844954</v>
      </c>
      <c r="CU92" s="3480" t="str">
        <f t="shared" ref="CU92:CU97" si="287">IF(CU43="","",IF(CO43=0,"N",(CU43/CO43-1)*100))</f>
        <v/>
      </c>
      <c r="CV92" s="584"/>
      <c r="CW92" s="601" t="str">
        <f t="shared" ref="CW92:CW97" si="288">IF(CW43="","",IF(CQ43=0,"N",(CW43/CQ43-1)*100))</f>
        <v/>
      </c>
      <c r="CX92" s="602" t="str">
        <f t="shared" ref="CX92:CX97" si="289">IF(CX43="","",IF(CR43=0,"N",(CX43/CR43-1)*100))</f>
        <v/>
      </c>
      <c r="CY92" s="3482" t="str">
        <f t="shared" ref="CY92:CY97" si="290">IF(CY43="","",IF(CS43=0,"N",(CY43/CS43-1)*100))</f>
        <v/>
      </c>
      <c r="CZ92" s="577">
        <f t="shared" ca="1" si="47"/>
        <v>-4.9150362196195392</v>
      </c>
      <c r="DA92" s="3480" t="str">
        <f t="shared" ref="DA92:DA97" si="291">IF(DA43="","",IF(CU43=0,"N",(DA43/CU43-1)*100))</f>
        <v/>
      </c>
      <c r="DB92" s="584"/>
      <c r="DC92" s="601" t="str">
        <f t="shared" ref="DC92:DC97" si="292">IF(DC43="","",IF(CW43=0,"N",(DC43/CW43-1)*100))</f>
        <v/>
      </c>
      <c r="DD92" s="602" t="str">
        <f t="shared" ref="DD92:DD97" si="293">IF(DD43="","",IF(CX43=0,"N",(DD43/CX43-1)*100))</f>
        <v/>
      </c>
      <c r="DE92" s="3482" t="str">
        <f t="shared" ref="DE92:DE97" si="294">IF(DE43="","",IF(CY43=0,"N",(DE43/CY43-1)*100))</f>
        <v/>
      </c>
      <c r="DF92" s="577">
        <f t="shared" ca="1" si="52"/>
        <v>-7.6354574581701478</v>
      </c>
      <c r="DG92" s="3480" t="str">
        <f t="shared" ref="DG92:DG97" si="295">IF(DG43="","",IF(DA43=0,"N",(DG43/DA43-1)*100))</f>
        <v/>
      </c>
      <c r="DH92" s="584"/>
      <c r="DI92" s="601" t="str">
        <f t="shared" ref="DI92:DI97" si="296">IF(DI43="","",IF(DC43=0,"N",(DI43/DC43-1)*100))</f>
        <v/>
      </c>
      <c r="DJ92" s="602" t="str">
        <f t="shared" ref="DJ92:DJ97" si="297">IF(DJ43="","",IF(DD43=0,"N",(DJ43/DD43-1)*100))</f>
        <v/>
      </c>
      <c r="DK92" s="3482" t="str">
        <f t="shared" ref="DK92:DK97" si="298">IF(DK43="","",IF(DE43=0,"N",(DK43/DE43-1)*100))</f>
        <v/>
      </c>
      <c r="DL92" s="577">
        <f t="shared" ca="1" si="57"/>
        <v>13.846106408892588</v>
      </c>
      <c r="DM92" s="3480" t="str">
        <f t="shared" ref="DM92:DM97" si="299">IF(DM43="","",IF(DG43=0,"N",(DM43/DG43-1)*100))</f>
        <v/>
      </c>
      <c r="DN92" s="584"/>
      <c r="DO92" s="601" t="str">
        <f t="shared" ref="DO92:DO97" si="300">IF(DO43="","",IF(DI43=0,"N",(DO43/DI43-1)*100))</f>
        <v/>
      </c>
      <c r="DP92" s="602" t="str">
        <f t="shared" ref="DP92:DP97" si="301">IF(DP43="","",IF(DJ43=0,"N",(DP43/DJ43-1)*100))</f>
        <v/>
      </c>
      <c r="DQ92" s="3482" t="str">
        <f t="shared" ref="DQ92:DQ97" si="302">IF(DQ43="","",IF(DK43=0,"N",(DQ43/DK43-1)*100))</f>
        <v/>
      </c>
      <c r="DR92" s="577">
        <f t="shared" ca="1" si="62"/>
        <v>36.338768214072914</v>
      </c>
      <c r="DS92" s="3480" t="str">
        <f t="shared" ref="DS92:DS97" si="303">IF(DS43="","",IF(DM43=0,"N",(DS43/DM43-1)*100))</f>
        <v/>
      </c>
      <c r="DT92" s="584"/>
      <c r="DU92" s="601" t="str">
        <f t="shared" ref="DU92:DU97" si="304">IF(DU43="","",IF(DO43=0,"N",(DU43/DO43-1)*100))</f>
        <v/>
      </c>
      <c r="DV92" s="602" t="str">
        <f t="shared" ref="DV92:DV97" si="305">IF(DV43="","",IF(DP43=0,"N",(DV43/DP43-1)*100))</f>
        <v/>
      </c>
      <c r="DW92" s="3482" t="str">
        <f t="shared" ref="DW92:DW97" si="306">IF(DW43="","",IF(DQ43=0,"N",(DW43/DQ43-1)*100))</f>
        <v/>
      </c>
      <c r="DX92" s="577">
        <f t="shared" ca="1" si="67"/>
        <v>-29.726454637557374</v>
      </c>
      <c r="DY92" s="3480" t="str">
        <f t="shared" ref="DY92:DY97" si="307">IF(DY43="","",IF(DS43=0,"N",(DY43/DS43-1)*100))</f>
        <v/>
      </c>
      <c r="DZ92" s="584"/>
      <c r="EA92" s="601" t="str">
        <f t="shared" ref="EA92:EA97" si="308">IF(EA43="","",IF(DU43=0,"N",(EA43/DU43-1)*100))</f>
        <v/>
      </c>
      <c r="EB92" s="602" t="str">
        <f t="shared" ref="EB92:EB97" si="309">IF(EB43="","",IF(DV43=0,"N",(EB43/DV43-1)*100))</f>
        <v/>
      </c>
      <c r="EC92" s="3482" t="str">
        <f t="shared" ref="EC92:EC97" si="310">IF(EC43="","",IF(DW43=0,"N",(EC43/DW43-1)*100))</f>
        <v/>
      </c>
      <c r="ED92" s="577">
        <f t="shared" ca="1" si="72"/>
        <v>-53.881272084805651</v>
      </c>
      <c r="EE92" s="3480" t="str">
        <f t="shared" ref="EE92:EE97" si="311">IF(EE43="","",IF(DY43=0,"N",(EE43/DY43-1)*100))</f>
        <v/>
      </c>
      <c r="EF92" s="584"/>
      <c r="EG92" s="601" t="str">
        <f t="shared" ref="EG92:EG97" si="312">IF(EG43="","",IF(EA43=0,"N",(EG43/EA43-1)*100))</f>
        <v/>
      </c>
      <c r="EH92" s="602" t="str">
        <f t="shared" ref="EH92:EH97" si="313">IF(EH43="","",IF(EB43=0,"N",(EH43/EB43-1)*100))</f>
        <v/>
      </c>
      <c r="EI92" s="3482" t="str">
        <f t="shared" ref="EI92:EI97" si="314">IF(EI43="","",IF(EC43=0,"N",(EI43/EC43-1)*100))</f>
        <v/>
      </c>
      <c r="EJ92" s="577">
        <f t="shared" ca="1" si="77"/>
        <v>-2.0000000000000129</v>
      </c>
      <c r="EK92" s="3480" t="str">
        <f t="shared" ref="EK92:EK97" si="315">IF(EK43="","",IF(EE43=0,"N",(EK43/EE43-1)*100))</f>
        <v/>
      </c>
      <c r="EL92" s="584"/>
      <c r="EM92" s="601" t="str">
        <f t="shared" ref="EM92:EM97" si="316">IF(EM43="","",IF(EG43=0,"N",(EM43/EG43-1)*100))</f>
        <v/>
      </c>
      <c r="EN92" s="602" t="str">
        <f t="shared" ref="EN92:EN97" si="317">IF(EN43="","",IF(EH43=0,"N",(EN43/EH43-1)*100))</f>
        <v/>
      </c>
      <c r="EO92" s="3482" t="str">
        <f t="shared" ref="EO92:EO97" si="318">IF(EO43="","",IF(EI43=0,"N",(EO43/EI43-1)*100))</f>
        <v/>
      </c>
      <c r="EP92" s="577">
        <f t="shared" ca="1" si="82"/>
        <v>15.999999999999993</v>
      </c>
      <c r="EQ92" s="3480" t="str">
        <f t="shared" ref="EQ92:EQ97" si="319">IF(EQ43="","",IF(EK43=0,"N",(EQ43/EK43-1)*100))</f>
        <v/>
      </c>
      <c r="ER92" s="584"/>
      <c r="ES92" s="601" t="str">
        <f t="shared" ref="ES92:ES97" si="320">IF(ES43="","",IF(EM43=0,"N",(ES43/EM43-1)*100))</f>
        <v/>
      </c>
      <c r="ET92" s="602" t="str">
        <f t="shared" ref="ET92:ET97" si="321">IF(ET43="","",IF(EN43=0,"N",(ET43/EN43-1)*100))</f>
        <v/>
      </c>
      <c r="EU92" s="3482" t="str">
        <f t="shared" ref="EU92:EU97" si="322">IF(EU43="","",IF(EO43=0,"N",(EU43/EO43-1)*100))</f>
        <v/>
      </c>
      <c r="EV92" s="577">
        <f t="shared" ca="1" si="87"/>
        <v>2.0000000000000018</v>
      </c>
      <c r="EW92" s="3480" t="str">
        <f t="shared" ref="EW92:EW97" si="323">IF(EW43="","",IF(EQ43=0,"N",(EW43/EQ43-1)*100))</f>
        <v/>
      </c>
      <c r="EX92" s="584"/>
    </row>
    <row r="93" spans="2:154" ht="13.5" thickBot="1">
      <c r="B93" s="564"/>
      <c r="C93" s="582"/>
      <c r="D93" s="583" t="s">
        <v>374</v>
      </c>
      <c r="E93" s="601"/>
      <c r="F93" s="602"/>
      <c r="G93" s="3482"/>
      <c r="H93" s="580"/>
      <c r="I93" s="3480"/>
      <c r="J93" s="584"/>
      <c r="K93" s="601" t="str">
        <f t="shared" si="231"/>
        <v/>
      </c>
      <c r="L93" s="602" t="str">
        <f t="shared" si="231"/>
        <v/>
      </c>
      <c r="M93" s="3482" t="str">
        <f t="shared" si="231"/>
        <v/>
      </c>
      <c r="N93" s="580">
        <f t="shared" ca="1" si="231"/>
        <v>155.9612983770287</v>
      </c>
      <c r="O93" s="3480" t="str">
        <f t="shared" si="231"/>
        <v/>
      </c>
      <c r="P93" s="584"/>
      <c r="Q93" s="601" t="str">
        <f t="shared" si="232"/>
        <v/>
      </c>
      <c r="R93" s="602" t="str">
        <f t="shared" si="233"/>
        <v/>
      </c>
      <c r="S93" s="3482" t="str">
        <f t="shared" si="234"/>
        <v/>
      </c>
      <c r="T93" s="580">
        <f t="shared" ca="1" si="234"/>
        <v>509.7792952079015</v>
      </c>
      <c r="U93" s="3480" t="str">
        <f t="shared" si="235"/>
        <v/>
      </c>
      <c r="V93" s="584"/>
      <c r="W93" s="601" t="str">
        <f t="shared" si="236"/>
        <v/>
      </c>
      <c r="X93" s="602" t="str">
        <f t="shared" si="237"/>
        <v/>
      </c>
      <c r="Y93" s="3482" t="str">
        <f t="shared" si="238"/>
        <v/>
      </c>
      <c r="Z93" s="580">
        <f t="shared" ca="1" si="238"/>
        <v>-89.851623740201575</v>
      </c>
      <c r="AA93" s="3480" t="str">
        <f t="shared" si="239"/>
        <v/>
      </c>
      <c r="AB93" s="584"/>
      <c r="AC93" s="601" t="str">
        <f t="shared" si="240"/>
        <v/>
      </c>
      <c r="AD93" s="602" t="str">
        <f t="shared" si="241"/>
        <v/>
      </c>
      <c r="AE93" s="3482" t="str">
        <f t="shared" si="242"/>
        <v/>
      </c>
      <c r="AF93" s="580">
        <f t="shared" ca="1" si="242"/>
        <v>-20.367816091954015</v>
      </c>
      <c r="AG93" s="3480" t="str">
        <f t="shared" si="243"/>
        <v/>
      </c>
      <c r="AH93" s="584"/>
      <c r="AI93" s="601" t="str">
        <f t="shared" si="244"/>
        <v/>
      </c>
      <c r="AJ93" s="602" t="str">
        <f t="shared" si="245"/>
        <v/>
      </c>
      <c r="AK93" s="3482" t="str">
        <f t="shared" si="246"/>
        <v/>
      </c>
      <c r="AL93" s="580">
        <f t="shared" ca="1" si="246"/>
        <v>139.50016496205873</v>
      </c>
      <c r="AM93" s="3480" t="str">
        <f t="shared" si="247"/>
        <v/>
      </c>
      <c r="AN93" s="584"/>
      <c r="AO93" s="601" t="str">
        <f t="shared" si="248"/>
        <v/>
      </c>
      <c r="AP93" s="602" t="str">
        <f t="shared" si="249"/>
        <v/>
      </c>
      <c r="AQ93" s="3482" t="str">
        <f t="shared" si="250"/>
        <v/>
      </c>
      <c r="AR93" s="580">
        <f t="shared" ca="1" si="250"/>
        <v>-10.627819678341421</v>
      </c>
      <c r="AS93" s="3480" t="str">
        <f t="shared" si="251"/>
        <v/>
      </c>
      <c r="AT93" s="584"/>
      <c r="AU93" s="601" t="str">
        <f t="shared" si="252"/>
        <v/>
      </c>
      <c r="AV93" s="602" t="str">
        <f t="shared" si="253"/>
        <v/>
      </c>
      <c r="AW93" s="3482" t="str">
        <f t="shared" si="254"/>
        <v/>
      </c>
      <c r="AX93" s="580">
        <f t="shared" ca="1" si="254"/>
        <v>-48.741859658587337</v>
      </c>
      <c r="AY93" s="3480" t="str">
        <f t="shared" si="255"/>
        <v/>
      </c>
      <c r="AZ93" s="584"/>
      <c r="BA93" s="601" t="str">
        <f t="shared" si="256"/>
        <v/>
      </c>
      <c r="BB93" s="602" t="str">
        <f t="shared" si="257"/>
        <v/>
      </c>
      <c r="BC93" s="3482" t="str">
        <f t="shared" si="258"/>
        <v/>
      </c>
      <c r="BD93" s="580">
        <f t="shared" ca="1" si="258"/>
        <v>-46.030672079386562</v>
      </c>
      <c r="BE93" s="3480" t="str">
        <f t="shared" si="259"/>
        <v/>
      </c>
      <c r="BF93" s="584"/>
      <c r="BG93" s="601" t="str">
        <f t="shared" si="260"/>
        <v/>
      </c>
      <c r="BH93" s="602" t="str">
        <f t="shared" si="261"/>
        <v/>
      </c>
      <c r="BI93" s="3482" t="str">
        <f t="shared" si="262"/>
        <v/>
      </c>
      <c r="BJ93" s="580">
        <f t="shared" ca="1" si="262"/>
        <v>44.811255049449763</v>
      </c>
      <c r="BK93" s="3480" t="str">
        <f t="shared" si="263"/>
        <v/>
      </c>
      <c r="BL93" s="584"/>
      <c r="BM93" s="601" t="str">
        <f t="shared" si="264"/>
        <v/>
      </c>
      <c r="BN93" s="602" t="str">
        <f t="shared" si="265"/>
        <v/>
      </c>
      <c r="BO93" s="3482" t="str">
        <f t="shared" si="266"/>
        <v/>
      </c>
      <c r="BP93" s="580">
        <f t="shared" ca="1" si="266"/>
        <v>-20.142362447095042</v>
      </c>
      <c r="BQ93" s="3480" t="str">
        <f t="shared" si="267"/>
        <v/>
      </c>
      <c r="BR93" s="584"/>
      <c r="BS93" s="601" t="str">
        <f t="shared" si="268"/>
        <v/>
      </c>
      <c r="BT93" s="602" t="str">
        <f t="shared" si="269"/>
        <v/>
      </c>
      <c r="BU93" s="3482" t="str">
        <f t="shared" si="270"/>
        <v/>
      </c>
      <c r="BV93" s="580">
        <f t="shared" ca="1" si="270"/>
        <v>15.068658154661541</v>
      </c>
      <c r="BW93" s="3480" t="str">
        <f t="shared" si="271"/>
        <v/>
      </c>
      <c r="BX93" s="584"/>
      <c r="BY93" s="601" t="str">
        <f t="shared" si="272"/>
        <v/>
      </c>
      <c r="BZ93" s="602" t="str">
        <f t="shared" si="273"/>
        <v/>
      </c>
      <c r="CA93" s="3482" t="str">
        <f t="shared" si="274"/>
        <v/>
      </c>
      <c r="CB93" s="580">
        <f t="shared" ca="1" si="274"/>
        <v>169.24526326808328</v>
      </c>
      <c r="CC93" s="3480" t="str">
        <f t="shared" si="275"/>
        <v/>
      </c>
      <c r="CD93" s="584"/>
      <c r="CE93" s="601" t="str">
        <f t="shared" si="276"/>
        <v/>
      </c>
      <c r="CF93" s="602" t="str">
        <f t="shared" si="277"/>
        <v/>
      </c>
      <c r="CG93" s="3482" t="str">
        <f t="shared" si="278"/>
        <v/>
      </c>
      <c r="CH93" s="580">
        <f t="shared" ca="1" si="278"/>
        <v>-49.640371680727803</v>
      </c>
      <c r="CI93" s="3480" t="str">
        <f t="shared" si="279"/>
        <v/>
      </c>
      <c r="CJ93" s="584"/>
      <c r="CK93" s="601" t="str">
        <f t="shared" si="280"/>
        <v/>
      </c>
      <c r="CL93" s="602" t="str">
        <f t="shared" si="281"/>
        <v/>
      </c>
      <c r="CM93" s="3482" t="str">
        <f t="shared" si="282"/>
        <v/>
      </c>
      <c r="CN93" s="580">
        <f t="shared" ca="1" si="282"/>
        <v>-14.467690882421069</v>
      </c>
      <c r="CO93" s="3480" t="str">
        <f t="shared" si="283"/>
        <v/>
      </c>
      <c r="CP93" s="584"/>
      <c r="CQ93" s="601" t="str">
        <f t="shared" si="284"/>
        <v/>
      </c>
      <c r="CR93" s="602" t="str">
        <f t="shared" si="285"/>
        <v/>
      </c>
      <c r="CS93" s="3482" t="str">
        <f t="shared" si="286"/>
        <v/>
      </c>
      <c r="CT93" s="580">
        <f t="shared" ca="1" si="42"/>
        <v>9.7120678761621004</v>
      </c>
      <c r="CU93" s="3480" t="str">
        <f t="shared" si="287"/>
        <v/>
      </c>
      <c r="CV93" s="584"/>
      <c r="CW93" s="601" t="str">
        <f t="shared" si="288"/>
        <v/>
      </c>
      <c r="CX93" s="602" t="str">
        <f t="shared" si="289"/>
        <v/>
      </c>
      <c r="CY93" s="3482" t="str">
        <f t="shared" si="290"/>
        <v/>
      </c>
      <c r="CZ93" s="580">
        <f t="shared" ca="1" si="47"/>
        <v>1046.5734265734268</v>
      </c>
      <c r="DA93" s="3480" t="str">
        <f t="shared" si="291"/>
        <v/>
      </c>
      <c r="DB93" s="584"/>
      <c r="DC93" s="601" t="str">
        <f t="shared" si="292"/>
        <v/>
      </c>
      <c r="DD93" s="602" t="str">
        <f t="shared" si="293"/>
        <v/>
      </c>
      <c r="DE93" s="3482" t="str">
        <f t="shared" si="294"/>
        <v/>
      </c>
      <c r="DF93" s="580">
        <f t="shared" ca="1" si="52"/>
        <v>-93.457514745346785</v>
      </c>
      <c r="DG93" s="3480" t="str">
        <f t="shared" si="295"/>
        <v/>
      </c>
      <c r="DH93" s="584"/>
      <c r="DI93" s="601" t="str">
        <f t="shared" si="296"/>
        <v/>
      </c>
      <c r="DJ93" s="602" t="str">
        <f t="shared" si="297"/>
        <v/>
      </c>
      <c r="DK93" s="3482" t="str">
        <f t="shared" si="298"/>
        <v/>
      </c>
      <c r="DL93" s="580">
        <f t="shared" ca="1" si="57"/>
        <v>394.40666812897564</v>
      </c>
      <c r="DM93" s="3480" t="str">
        <f t="shared" si="299"/>
        <v/>
      </c>
      <c r="DN93" s="584"/>
      <c r="DO93" s="601" t="str">
        <f t="shared" si="300"/>
        <v/>
      </c>
      <c r="DP93" s="602" t="str">
        <f t="shared" si="301"/>
        <v/>
      </c>
      <c r="DQ93" s="3482" t="str">
        <f t="shared" si="302"/>
        <v/>
      </c>
      <c r="DR93" s="580">
        <f t="shared" ca="1" si="62"/>
        <v>12.065217391304351</v>
      </c>
      <c r="DS93" s="3480" t="str">
        <f t="shared" si="303"/>
        <v/>
      </c>
      <c r="DT93" s="584"/>
      <c r="DU93" s="601" t="str">
        <f t="shared" si="304"/>
        <v/>
      </c>
      <c r="DV93" s="602" t="str">
        <f t="shared" si="305"/>
        <v/>
      </c>
      <c r="DW93" s="3482" t="str">
        <f t="shared" si="306"/>
        <v/>
      </c>
      <c r="DX93" s="580">
        <f t="shared" ca="1" si="67"/>
        <v>-47.116926304954575</v>
      </c>
      <c r="DY93" s="3480" t="str">
        <f t="shared" si="307"/>
        <v/>
      </c>
      <c r="DZ93" s="584"/>
      <c r="EA93" s="601" t="str">
        <f t="shared" si="308"/>
        <v/>
      </c>
      <c r="EB93" s="602" t="str">
        <f t="shared" si="309"/>
        <v/>
      </c>
      <c r="EC93" s="3482" t="str">
        <f t="shared" si="310"/>
        <v/>
      </c>
      <c r="ED93" s="580">
        <f t="shared" ca="1" si="72"/>
        <v>-31.168588111992811</v>
      </c>
      <c r="EE93" s="3480" t="str">
        <f t="shared" si="311"/>
        <v/>
      </c>
      <c r="EF93" s="584"/>
      <c r="EG93" s="601" t="str">
        <f t="shared" si="312"/>
        <v/>
      </c>
      <c r="EH93" s="602" t="str">
        <f t="shared" si="313"/>
        <v/>
      </c>
      <c r="EI93" s="3482" t="str">
        <f t="shared" si="314"/>
        <v/>
      </c>
      <c r="EJ93" s="580">
        <f t="shared" ca="1" si="77"/>
        <v>43.999999999999993</v>
      </c>
      <c r="EK93" s="3480" t="str">
        <f t="shared" si="315"/>
        <v/>
      </c>
      <c r="EL93" s="584"/>
      <c r="EM93" s="601" t="str">
        <f t="shared" si="316"/>
        <v/>
      </c>
      <c r="EN93" s="602" t="str">
        <f t="shared" si="317"/>
        <v/>
      </c>
      <c r="EO93" s="3482" t="str">
        <f t="shared" si="318"/>
        <v/>
      </c>
      <c r="EP93" s="580">
        <f t="shared" ca="1" si="82"/>
        <v>-28.000000000000004</v>
      </c>
      <c r="EQ93" s="3480" t="str">
        <f t="shared" si="319"/>
        <v/>
      </c>
      <c r="ER93" s="584"/>
      <c r="ES93" s="601" t="str">
        <f t="shared" si="320"/>
        <v/>
      </c>
      <c r="ET93" s="602" t="str">
        <f t="shared" si="321"/>
        <v/>
      </c>
      <c r="EU93" s="3482" t="str">
        <f t="shared" si="322"/>
        <v/>
      </c>
      <c r="EV93" s="580">
        <f t="shared" ca="1" si="87"/>
        <v>0</v>
      </c>
      <c r="EW93" s="3480" t="str">
        <f t="shared" si="323"/>
        <v/>
      </c>
      <c r="EX93" s="584"/>
    </row>
    <row r="94" spans="2:154">
      <c r="B94" s="600" t="s">
        <v>401</v>
      </c>
      <c r="C94" s="3779" t="s">
        <v>375</v>
      </c>
      <c r="D94" s="3780"/>
      <c r="E94" s="601"/>
      <c r="F94" s="603"/>
      <c r="G94" s="603"/>
      <c r="H94" s="603"/>
      <c r="I94" s="603"/>
      <c r="J94" s="556"/>
      <c r="K94" s="601" t="str">
        <f t="shared" ca="1" si="231"/>
        <v>N</v>
      </c>
      <c r="L94" s="603" t="str">
        <f t="shared" ca="1" si="231"/>
        <v>N</v>
      </c>
      <c r="M94" s="603" t="str">
        <f t="shared" ca="1" si="231"/>
        <v>N</v>
      </c>
      <c r="N94" s="603" t="str">
        <f t="shared" ca="1" si="231"/>
        <v>N</v>
      </c>
      <c r="O94" s="603" t="e">
        <f t="shared" ca="1" si="231"/>
        <v>#VALUE!</v>
      </c>
      <c r="P94" s="556" t="e">
        <f ca="1">IF(ROUND(P45,2)=0,"ok","!")</f>
        <v>#VALUE!</v>
      </c>
      <c r="Q94" s="601" t="str">
        <f t="shared" ca="1" si="232"/>
        <v>N</v>
      </c>
      <c r="R94" s="603" t="str">
        <f t="shared" ca="1" si="233"/>
        <v>N</v>
      </c>
      <c r="S94" s="603" t="str">
        <f t="shared" ca="1" si="234"/>
        <v>N</v>
      </c>
      <c r="T94" s="603" t="str">
        <f ca="1">IF(T45="","",IF(N45=0,"N",(T45/N45-1)*100))</f>
        <v>N</v>
      </c>
      <c r="U94" s="603" t="e">
        <f t="shared" ca="1" si="235"/>
        <v>#VALUE!</v>
      </c>
      <c r="V94" s="556" t="e">
        <f ca="1">IF(ROUND(V45,2)=0,"ok","!")</f>
        <v>#VALUE!</v>
      </c>
      <c r="W94" s="601" t="str">
        <f t="shared" ca="1" si="236"/>
        <v>N</v>
      </c>
      <c r="X94" s="603">
        <f t="shared" ca="1" si="237"/>
        <v>-83.800623052959494</v>
      </c>
      <c r="Y94" s="603">
        <f t="shared" ca="1" si="238"/>
        <v>-78.81619937694704</v>
      </c>
      <c r="Z94" s="603" t="str">
        <f ca="1">IF(Z45="","",IF(T45=0,"N",(Z45/T45-1)*100))</f>
        <v>N</v>
      </c>
      <c r="AA94" s="603" t="e">
        <f t="shared" ca="1" si="239"/>
        <v>#VALUE!</v>
      </c>
      <c r="AB94" s="556" t="e">
        <f ca="1">IF(ROUND(AB45,2)=0,"ok","!")</f>
        <v>#VALUE!</v>
      </c>
      <c r="AC94" s="601" t="str">
        <f t="shared" ca="1" si="240"/>
        <v>N</v>
      </c>
      <c r="AD94" s="603">
        <f t="shared" ca="1" si="241"/>
        <v>189.42307692307688</v>
      </c>
      <c r="AE94" s="603">
        <f t="shared" ca="1" si="242"/>
        <v>213.97058823529406</v>
      </c>
      <c r="AF94" s="603">
        <f ca="1">IF(AF45="","",IF(Z45=0,"N",(AF45/Z45-1)*100))</f>
        <v>293.75</v>
      </c>
      <c r="AG94" s="603" t="e">
        <f t="shared" ca="1" si="243"/>
        <v>#VALUE!</v>
      </c>
      <c r="AH94" s="556" t="e">
        <f ca="1">IF(ROUND(AH45,2)=0,"ok","!")</f>
        <v>#VALUE!</v>
      </c>
      <c r="AI94" s="601" t="str">
        <f t="shared" ca="1" si="244"/>
        <v>N</v>
      </c>
      <c r="AJ94" s="603">
        <f t="shared" ca="1" si="245"/>
        <v>-44.850498338870416</v>
      </c>
      <c r="AK94" s="603">
        <f t="shared" ca="1" si="246"/>
        <v>52.927400468384093</v>
      </c>
      <c r="AL94" s="603">
        <f ca="1">IF(AL45="","",IF(AF45=0,"N",(AL45/AF45-1)*100))</f>
        <v>286.50793650793651</v>
      </c>
      <c r="AM94" s="603" t="e">
        <f t="shared" ca="1" si="247"/>
        <v>#VALUE!</v>
      </c>
      <c r="AN94" s="556" t="e">
        <f ca="1">IF(ROUND(AN45,2)=0,"ok","!")</f>
        <v>#VALUE!</v>
      </c>
      <c r="AO94" s="601" t="str">
        <f t="shared" ca="1" si="248"/>
        <v>N</v>
      </c>
      <c r="AP94" s="603">
        <f t="shared" ca="1" si="249"/>
        <v>766.8674698795179</v>
      </c>
      <c r="AQ94" s="603">
        <f t="shared" ca="1" si="250"/>
        <v>162.63399693721286</v>
      </c>
      <c r="AR94" s="603">
        <f ca="1">IF(AR45="","",IF(AL45=0,"N",(AR45/AL45-1)*100))</f>
        <v>-43.32648870636551</v>
      </c>
      <c r="AS94" s="603" t="e">
        <f t="shared" ca="1" si="251"/>
        <v>#VALUE!</v>
      </c>
      <c r="AT94" s="556" t="e">
        <f ca="1">IF(ROUND(AT45,2)=0,"ok","!")</f>
        <v>#VALUE!</v>
      </c>
      <c r="AU94" s="601" t="str">
        <f t="shared" ca="1" si="252"/>
        <v>N</v>
      </c>
      <c r="AV94" s="603">
        <f t="shared" ca="1" si="253"/>
        <v>12.50868658790829</v>
      </c>
      <c r="AW94" s="603">
        <f t="shared" ca="1" si="254"/>
        <v>15.97667638483966</v>
      </c>
      <c r="AX94" s="603">
        <f ca="1">IF(AX45="","",IF(AR45=0,"N",(AX45/AR45-1)*100))</f>
        <v>34.057971014492772</v>
      </c>
      <c r="AY94" s="603" t="e">
        <f t="shared" ca="1" si="255"/>
        <v>#VALUE!</v>
      </c>
      <c r="AZ94" s="556" t="e">
        <f ca="1">IF(ROUND(AZ45,2)=0,"ok","!")</f>
        <v>#VALUE!</v>
      </c>
      <c r="BA94" s="601" t="str">
        <f t="shared" ca="1" si="256"/>
        <v>N</v>
      </c>
      <c r="BB94" s="603">
        <f t="shared" ca="1" si="257"/>
        <v>4.2618900555898565</v>
      </c>
      <c r="BC94" s="603">
        <f t="shared" ca="1" si="258"/>
        <v>18.903971845148291</v>
      </c>
      <c r="BD94" s="603">
        <f ca="1">IF(BD45="","",IF(AX45=0,"N",(BD45/AX45-1)*100))</f>
        <v>82.972972972972968</v>
      </c>
      <c r="BE94" s="603" t="e">
        <f t="shared" ca="1" si="259"/>
        <v>#VALUE!</v>
      </c>
      <c r="BF94" s="556" t="e">
        <f ca="1">IF(ROUND(BF45,2)=0,"ok","!")</f>
        <v>#VALUE!</v>
      </c>
      <c r="BG94" s="601" t="str">
        <f t="shared" ca="1" si="260"/>
        <v>N</v>
      </c>
      <c r="BH94" s="603">
        <f t="shared" ca="1" si="261"/>
        <v>170.61611374407582</v>
      </c>
      <c r="BI94" s="603">
        <f t="shared" ca="1" si="262"/>
        <v>188.49894291754759</v>
      </c>
      <c r="BJ94" s="603">
        <f ca="1">IF(BJ45="","",IF(BD45=0,"N",(BJ45/BD45-1)*100))</f>
        <v>233.08714918759233</v>
      </c>
      <c r="BK94" s="603" t="e">
        <f t="shared" ca="1" si="263"/>
        <v>#VALUE!</v>
      </c>
      <c r="BL94" s="556" t="e">
        <f ca="1">IF(ROUND(BL45,2)=0,"ok","!")</f>
        <v>#VALUE!</v>
      </c>
      <c r="BM94" s="601" t="str">
        <f t="shared" ca="1" si="264"/>
        <v>N</v>
      </c>
      <c r="BN94" s="603">
        <f t="shared" ca="1" si="265"/>
        <v>225.65674255691772</v>
      </c>
      <c r="BO94" s="603">
        <f t="shared" ca="1" si="266"/>
        <v>167.74146269969225</v>
      </c>
      <c r="BP94" s="603">
        <f ca="1">IF(BP45="","",IF(BJ45=0,"N",(BP45/BJ45-1)*100))</f>
        <v>50.421286031042122</v>
      </c>
      <c r="BQ94" s="603" t="e">
        <f t="shared" ca="1" si="267"/>
        <v>#VALUE!</v>
      </c>
      <c r="BR94" s="556" t="e">
        <f ca="1">IF(ROUND(BR45,2)=0,"ok","!")</f>
        <v>#VALUE!</v>
      </c>
      <c r="BS94" s="601" t="str">
        <f t="shared" ca="1" si="268"/>
        <v>N</v>
      </c>
      <c r="BT94" s="603">
        <f t="shared" ca="1" si="269"/>
        <v>50.887335305189588</v>
      </c>
      <c r="BU94" s="603">
        <f t="shared" ca="1" si="270"/>
        <v>42.620976571053191</v>
      </c>
      <c r="BV94" s="603">
        <f ca="1">IF(BV45="","",IF(BP45=0,"N",(BV45/BP45-1)*100))</f>
        <v>6.3384433962264231</v>
      </c>
      <c r="BW94" s="603" t="e">
        <f t="shared" ca="1" si="271"/>
        <v>#VALUE!</v>
      </c>
      <c r="BX94" s="556" t="e">
        <f ca="1">IF(ROUND(BX45,2)=0,"ok","!")</f>
        <v>#VALUE!</v>
      </c>
      <c r="BY94" s="601">
        <f t="shared" ca="1" si="272"/>
        <v>-200.00000000069389</v>
      </c>
      <c r="BZ94" s="603">
        <f t="shared" ca="1" si="273"/>
        <v>70.293147999643594</v>
      </c>
      <c r="CA94" s="603">
        <f t="shared" ca="1" si="274"/>
        <v>56.620864358639736</v>
      </c>
      <c r="CB94" s="603">
        <f ca="1">IF(CB45="","",IF(BV45=0,"N",(CB45/BV45-1)*100))</f>
        <v>-28.389243138342113</v>
      </c>
      <c r="CC94" s="603" t="e">
        <f t="shared" ca="1" si="275"/>
        <v>#VALUE!</v>
      </c>
      <c r="CD94" s="556" t="e">
        <f ca="1">IF(ROUND(CD45,2)=0,"ok","!")</f>
        <v>#VALUE!</v>
      </c>
      <c r="CE94" s="601">
        <f t="shared" ca="1" si="276"/>
        <v>-100</v>
      </c>
      <c r="CF94" s="603">
        <f t="shared" ca="1" si="277"/>
        <v>-56.985140226036002</v>
      </c>
      <c r="CG94" s="603">
        <f t="shared" ca="1" si="278"/>
        <v>-58.665392344263104</v>
      </c>
      <c r="CH94" s="603">
        <f ca="1">IF(CH45="","",IF(CB45=0,"N",(CH45/CB45-1)*100))</f>
        <v>-83.546264034068912</v>
      </c>
      <c r="CI94" s="603" t="e">
        <f t="shared" ca="1" si="279"/>
        <v>#VALUE!</v>
      </c>
      <c r="CJ94" s="556" t="str">
        <f ca="1">IF(ROUND(CJ45,2)=0,"ok","!")</f>
        <v>ok</v>
      </c>
      <c r="CK94" s="601" t="str">
        <f t="shared" ca="1" si="280"/>
        <v>N</v>
      </c>
      <c r="CL94" s="603">
        <f t="shared" ca="1" si="281"/>
        <v>-113.21007176742488</v>
      </c>
      <c r="CM94" s="603">
        <f t="shared" ca="1" si="282"/>
        <v>-114.56690579237565</v>
      </c>
      <c r="CN94" s="603">
        <f ca="1">IF(CN45="","",IF(CH45=0,"N",(CN45/CH45-1)*100))</f>
        <v>-167.05882352941174</v>
      </c>
      <c r="CO94" s="603" t="str">
        <f t="shared" ca="1" si="283"/>
        <v>N</v>
      </c>
      <c r="CP94" s="556" t="str">
        <f ca="1">IF(ROUND(CP45,2)=0,"ok","!")</f>
        <v>ok</v>
      </c>
      <c r="CQ94" s="601" t="str">
        <f t="shared" ca="1" si="284"/>
        <v>N</v>
      </c>
      <c r="CR94" s="603">
        <f t="shared" ca="1" si="285"/>
        <v>71.040515653775287</v>
      </c>
      <c r="CS94" s="603">
        <f t="shared" ca="1" si="286"/>
        <v>-31.868131868131876</v>
      </c>
      <c r="CT94" s="603">
        <f ca="1">IF(CT45="","",IF(CN45=0,"N",(CT45/CN45-1)*100))</f>
        <v>-815.78947368421041</v>
      </c>
      <c r="CU94" s="603" t="str">
        <f t="shared" ca="1" si="287"/>
        <v>N</v>
      </c>
      <c r="CV94" s="556" t="str">
        <f ca="1">IF(ROUND(CV45,2)=0,"ok","!")</f>
        <v>ok</v>
      </c>
      <c r="CW94" s="601">
        <f t="shared" ca="1" si="288"/>
        <v>-100</v>
      </c>
      <c r="CX94" s="603">
        <f t="shared" ca="1" si="289"/>
        <v>-161.66890982503367</v>
      </c>
      <c r="CY94" s="603">
        <f t="shared" ca="1" si="290"/>
        <v>-830.94384707287929</v>
      </c>
      <c r="CZ94" s="603">
        <f ca="1">IF(CZ45="","",IF(CT45=0,"N",(CZ45/CT45-1)*100))</f>
        <v>387.5</v>
      </c>
      <c r="DA94" s="603">
        <f t="shared" ca="1" si="291"/>
        <v>-100</v>
      </c>
      <c r="DB94" s="556" t="str">
        <f ca="1">IF(ROUND(DB45,2)=0,"ok","!")</f>
        <v>ok</v>
      </c>
      <c r="DC94" s="601" t="str">
        <f t="shared" ca="1" si="292"/>
        <v>N</v>
      </c>
      <c r="DD94" s="603">
        <f t="shared" ca="1" si="293"/>
        <v>84.199039720646013</v>
      </c>
      <c r="DE94" s="603">
        <f t="shared" ca="1" si="294"/>
        <v>-3.3180778032036562</v>
      </c>
      <c r="DF94" s="603">
        <f ca="1">IF(DF45="","",IF(CZ45=0,"N",(DF45/CZ45-1)*100))</f>
        <v>-23.46907993966818</v>
      </c>
      <c r="DG94" s="603" t="str">
        <f t="shared" ca="1" si="295"/>
        <v>N</v>
      </c>
      <c r="DH94" s="556" t="str">
        <f ca="1">IF(ROUND(DH45,2)=0,"ok","!")</f>
        <v>ok</v>
      </c>
      <c r="DI94" s="601">
        <f t="shared" ca="1" si="296"/>
        <v>-100</v>
      </c>
      <c r="DJ94" s="603">
        <f t="shared" ca="1" si="297"/>
        <v>-154.95260663507108</v>
      </c>
      <c r="DK94" s="603">
        <f t="shared" ca="1" si="298"/>
        <v>-19.822485207100605</v>
      </c>
      <c r="DL94" s="603">
        <f ca="1">IF(DL45="","",IF(DF45=0,"N",(DL45/DF45-1)*100))</f>
        <v>55.091315201681802</v>
      </c>
      <c r="DM94" s="603">
        <f t="shared" ca="1" si="299"/>
        <v>-100</v>
      </c>
      <c r="DN94" s="556" t="str">
        <f ca="1">IF(ROUND(DN45,2)=0,"ok","!")</f>
        <v>ok</v>
      </c>
      <c r="DO94" s="601" t="str">
        <f t="shared" ca="1" si="300"/>
        <v>N</v>
      </c>
      <c r="DP94" s="603">
        <f t="shared" ca="1" si="301"/>
        <v>78.395860284605419</v>
      </c>
      <c r="DQ94" s="603">
        <f t="shared" ca="1" si="302"/>
        <v>-60.906694781233526</v>
      </c>
      <c r="DR94" s="603">
        <f ca="1">IF(DR45="","",IF(DL45=0,"N",(DR45/DL45-1)*100))</f>
        <v>-33.547949847509329</v>
      </c>
      <c r="DS94" s="603" t="str">
        <f t="shared" ca="1" si="303"/>
        <v>N</v>
      </c>
      <c r="DT94" s="556" t="str">
        <f ca="1">IF(ROUND(DT45,2)=0,"ok","!")</f>
        <v>ok</v>
      </c>
      <c r="DU94" s="601">
        <f t="shared" ca="1" si="304"/>
        <v>-100</v>
      </c>
      <c r="DV94" s="603">
        <f t="shared" ca="1" si="305"/>
        <v>-183.6113125453227</v>
      </c>
      <c r="DW94" s="603">
        <f t="shared" ca="1" si="306"/>
        <v>132.55124056094934</v>
      </c>
      <c r="DX94" s="603">
        <f ca="1">IF(DX45="","",IF(DR45=0,"N",(DX45/DR45-1)*100))</f>
        <v>-34.16624171341153</v>
      </c>
      <c r="DY94" s="603">
        <f t="shared" ca="1" si="307"/>
        <v>-100</v>
      </c>
      <c r="DZ94" s="556" t="str">
        <f ca="1">IF(ROUND(DZ45,2)=0,"ok","!")</f>
        <v>ok</v>
      </c>
      <c r="EA94" s="601" t="str">
        <f t="shared" ca="1" si="308"/>
        <v>N</v>
      </c>
      <c r="EB94" s="603">
        <f t="shared" ca="1" si="309"/>
        <v>124.3712055507372</v>
      </c>
      <c r="EC94" s="603">
        <f t="shared" ca="1" si="310"/>
        <v>22.382001623564875</v>
      </c>
      <c r="ED94" s="603">
        <f ca="1">IF(ED45="","",IF(DX45=0,"N",(ED45/DX45-1)*100))</f>
        <v>-45.933384972889236</v>
      </c>
      <c r="EE94" s="603" t="str">
        <f t="shared" ca="1" si="311"/>
        <v>N</v>
      </c>
      <c r="EF94" s="556" t="str">
        <f ca="1">IF(ROUND(EF45,2)=0,"ok","!")</f>
        <v>ok</v>
      </c>
      <c r="EG94" s="601" t="str">
        <f t="shared" ca="1" si="312"/>
        <v>N</v>
      </c>
      <c r="EH94" s="603">
        <f t="shared" ca="1" si="313"/>
        <v>0</v>
      </c>
      <c r="EI94" s="603">
        <f t="shared" ca="1" si="314"/>
        <v>0</v>
      </c>
      <c r="EJ94" s="603">
        <f ca="1">IF(EJ45="","",IF(ED45=0,"N",(EJ45/ED45-1)*100))</f>
        <v>-100</v>
      </c>
      <c r="EK94" s="603" t="str">
        <f t="shared" ca="1" si="315"/>
        <v>N</v>
      </c>
      <c r="EL94" s="556" t="str">
        <f ca="1">IF(ROUND(EL45,2)=0,"ok","!")</f>
        <v>ok</v>
      </c>
      <c r="EM94" s="601">
        <f t="shared" ca="1" si="316"/>
        <v>0</v>
      </c>
      <c r="EN94" s="603">
        <f t="shared" ca="1" si="317"/>
        <v>0</v>
      </c>
      <c r="EO94" s="603">
        <f t="shared" ca="1" si="318"/>
        <v>0</v>
      </c>
      <c r="EP94" s="603" t="str">
        <f ca="1">IF(EP45="","",IF(EJ45=0,"N",(EP45/EJ45-1)*100))</f>
        <v>N</v>
      </c>
      <c r="EQ94" s="603">
        <f t="shared" ca="1" si="319"/>
        <v>0</v>
      </c>
      <c r="ER94" s="556" t="str">
        <f ca="1">IF(ROUND(ER45,2)=0,"ok","!")</f>
        <v>ok</v>
      </c>
      <c r="ES94" s="601">
        <f t="shared" ca="1" si="320"/>
        <v>0</v>
      </c>
      <c r="ET94" s="603">
        <f t="shared" ca="1" si="321"/>
        <v>0</v>
      </c>
      <c r="EU94" s="603">
        <f t="shared" ca="1" si="322"/>
        <v>0</v>
      </c>
      <c r="EV94" s="603" t="str">
        <f ca="1">IF(EV45="","",IF(EP45=0,"N",(EV45/EP45-1)*100))</f>
        <v>N</v>
      </c>
      <c r="EW94" s="603">
        <f t="shared" ca="1" si="323"/>
        <v>0</v>
      </c>
      <c r="EX94" s="556" t="str">
        <f ca="1">IF(ROUND(EX45,2)=0,"ok","!")</f>
        <v>ok</v>
      </c>
    </row>
    <row r="95" spans="2:154">
      <c r="B95" s="600" t="s">
        <v>401</v>
      </c>
      <c r="C95" s="3779" t="s">
        <v>376</v>
      </c>
      <c r="D95" s="3780"/>
      <c r="E95" s="601"/>
      <c r="F95" s="603"/>
      <c r="G95" s="603"/>
      <c r="H95" s="603"/>
      <c r="I95" s="602"/>
      <c r="J95" s="604"/>
      <c r="K95" s="601">
        <f t="shared" ca="1" si="231"/>
        <v>26.410452622325664</v>
      </c>
      <c r="L95" s="603">
        <f t="shared" ca="1" si="231"/>
        <v>5.2791912158542953</v>
      </c>
      <c r="M95" s="603">
        <f t="shared" ca="1" si="231"/>
        <v>40.876966776861124</v>
      </c>
      <c r="N95" s="603">
        <f t="shared" ca="1" si="231"/>
        <v>-7.8887605083867829</v>
      </c>
      <c r="O95" s="602" t="str">
        <f t="shared" si="231"/>
        <v/>
      </c>
      <c r="P95" s="604"/>
      <c r="Q95" s="601">
        <f t="shared" ca="1" si="232"/>
        <v>31.212603309919771</v>
      </c>
      <c r="R95" s="603">
        <f t="shared" ca="1" si="233"/>
        <v>35.575058030462039</v>
      </c>
      <c r="S95" s="603">
        <f t="shared" ca="1" si="234"/>
        <v>32.87456302127778</v>
      </c>
      <c r="T95" s="603">
        <f ca="1">IF(T46="","",IF(N46=0,"N",(T46/N46-1)*100))</f>
        <v>14.827630952895898</v>
      </c>
      <c r="U95" s="602" t="str">
        <f t="shared" si="235"/>
        <v/>
      </c>
      <c r="V95" s="604"/>
      <c r="W95" s="601">
        <f t="shared" ca="1" si="236"/>
        <v>18.583689514361001</v>
      </c>
      <c r="X95" s="603">
        <f t="shared" ca="1" si="237"/>
        <v>37.021835494992629</v>
      </c>
      <c r="Y95" s="603">
        <f t="shared" ca="1" si="238"/>
        <v>13.750725058004631</v>
      </c>
      <c r="Z95" s="603">
        <f ca="1">IF(Z46="","",IF(T46=0,"N",(Z46/T46-1)*100))</f>
        <v>24.127020002260124</v>
      </c>
      <c r="AA95" s="602" t="str">
        <f t="shared" si="239"/>
        <v/>
      </c>
      <c r="AB95" s="604"/>
      <c r="AC95" s="601">
        <f t="shared" ca="1" si="240"/>
        <v>-10.282849913026137</v>
      </c>
      <c r="AD95" s="603">
        <f t="shared" ca="1" si="241"/>
        <v>-25.685529423847186</v>
      </c>
      <c r="AE95" s="603">
        <f t="shared" ca="1" si="242"/>
        <v>-7.5747021248503295</v>
      </c>
      <c r="AF95" s="603">
        <f ca="1">IF(AF46="","",IF(Z46=0,"N",(AF46/Z46-1)*100))</f>
        <v>-1.0257344015537684</v>
      </c>
      <c r="AG95" s="602" t="str">
        <f t="shared" si="243"/>
        <v/>
      </c>
      <c r="AH95" s="604"/>
      <c r="AI95" s="601">
        <f t="shared" ca="1" si="244"/>
        <v>-8.3728747957223622</v>
      </c>
      <c r="AJ95" s="603">
        <f t="shared" ca="1" si="245"/>
        <v>11.293071678643818</v>
      </c>
      <c r="AK95" s="603">
        <f t="shared" ca="1" si="246"/>
        <v>-13.816612644210402</v>
      </c>
      <c r="AL95" s="603">
        <f ca="1">IF(AL46="","",IF(AF46=0,"N",(AL46/AF46-1)*100))</f>
        <v>-0.66842460293126127</v>
      </c>
      <c r="AM95" s="602" t="str">
        <f t="shared" si="247"/>
        <v/>
      </c>
      <c r="AN95" s="604"/>
      <c r="AO95" s="601">
        <f t="shared" ca="1" si="248"/>
        <v>13.898830128017092</v>
      </c>
      <c r="AP95" s="603">
        <f t="shared" ca="1" si="249"/>
        <v>10.79906455017694</v>
      </c>
      <c r="AQ95" s="603">
        <f t="shared" ca="1" si="250"/>
        <v>17.358848611635057</v>
      </c>
      <c r="AR95" s="603">
        <f ca="1">IF(AR46="","",IF(AL46=0,"N",(AR46/AL46-1)*100))</f>
        <v>-0.16360044449931221</v>
      </c>
      <c r="AS95" s="602" t="str">
        <f t="shared" si="251"/>
        <v/>
      </c>
      <c r="AT95" s="604"/>
      <c r="AU95" s="601">
        <f t="shared" ca="1" si="252"/>
        <v>8.0307962802708808</v>
      </c>
      <c r="AV95" s="603">
        <f t="shared" ca="1" si="253"/>
        <v>0.32687673945122064</v>
      </c>
      <c r="AW95" s="603">
        <f t="shared" ca="1" si="254"/>
        <v>5.0583468079717919</v>
      </c>
      <c r="AX95" s="603">
        <f ca="1">IF(AX46="","",IF(AR46=0,"N",(AX46/AR46-1)*100))</f>
        <v>39.653093405064467</v>
      </c>
      <c r="AY95" s="602" t="str">
        <f t="shared" si="255"/>
        <v/>
      </c>
      <c r="AZ95" s="604"/>
      <c r="BA95" s="601">
        <f t="shared" ca="1" si="256"/>
        <v>14.125687402651078</v>
      </c>
      <c r="BB95" s="603">
        <f t="shared" ca="1" si="257"/>
        <v>28.440571939231461</v>
      </c>
      <c r="BC95" s="603">
        <f t="shared" ca="1" si="258"/>
        <v>10.676834639098809</v>
      </c>
      <c r="BD95" s="603">
        <f ca="1">IF(BD46="","",IF(AX46=0,"N",(BD46/AX46-1)*100))</f>
        <v>13.573769040028338</v>
      </c>
      <c r="BE95" s="602" t="str">
        <f t="shared" si="259"/>
        <v/>
      </c>
      <c r="BF95" s="604"/>
      <c r="BG95" s="601">
        <f t="shared" ca="1" si="260"/>
        <v>16.314047929409405</v>
      </c>
      <c r="BH95" s="603">
        <f t="shared" ca="1" si="261"/>
        <v>14.982315765060594</v>
      </c>
      <c r="BI95" s="603">
        <f t="shared" ca="1" si="262"/>
        <v>14.140009466325409</v>
      </c>
      <c r="BJ95" s="603">
        <f ca="1">IF(BJ46="","",IF(BD46=0,"N",(BJ46/BD46-1)*100))</f>
        <v>28.222772373730454</v>
      </c>
      <c r="BK95" s="602" t="str">
        <f t="shared" si="263"/>
        <v/>
      </c>
      <c r="BL95" s="604"/>
      <c r="BM95" s="601">
        <f t="shared" ca="1" si="264"/>
        <v>17.609674329501914</v>
      </c>
      <c r="BN95" s="603">
        <f t="shared" ca="1" si="265"/>
        <v>5.8506883162724899</v>
      </c>
      <c r="BO95" s="603">
        <f t="shared" ca="1" si="266"/>
        <v>21.62429953871392</v>
      </c>
      <c r="BP95" s="603">
        <f ca="1">IF(BP46="","",IF(BJ46=0,"N",(BP46/BJ46-1)*100))</f>
        <v>15.158794107362761</v>
      </c>
      <c r="BQ95" s="602" t="str">
        <f t="shared" si="267"/>
        <v/>
      </c>
      <c r="BR95" s="604"/>
      <c r="BS95" s="601">
        <f t="shared" ca="1" si="268"/>
        <v>27.110913836844208</v>
      </c>
      <c r="BT95" s="603">
        <f t="shared" ca="1" si="269"/>
        <v>4.5280771750134008</v>
      </c>
      <c r="BU95" s="603">
        <f t="shared" ca="1" si="270"/>
        <v>30.825978728219038</v>
      </c>
      <c r="BV95" s="603">
        <f ca="1">IF(BV46="","",IF(BP46=0,"N",(BV46/BP46-1)*100))</f>
        <v>35.888736336272878</v>
      </c>
      <c r="BW95" s="602" t="str">
        <f t="shared" si="271"/>
        <v/>
      </c>
      <c r="BX95" s="604"/>
      <c r="BY95" s="601">
        <f t="shared" ca="1" si="272"/>
        <v>32.929728171202477</v>
      </c>
      <c r="BZ95" s="603">
        <f t="shared" ca="1" si="273"/>
        <v>23.340207595109774</v>
      </c>
      <c r="CA95" s="603">
        <f t="shared" ca="1" si="274"/>
        <v>30.164441061832626</v>
      </c>
      <c r="CB95" s="603">
        <f ca="1">IF(CB46="","",IF(BV46=0,"N",(CB46/BV46-1)*100))</f>
        <v>52.75567602226694</v>
      </c>
      <c r="CC95" s="602" t="str">
        <f t="shared" si="275"/>
        <v/>
      </c>
      <c r="CD95" s="604"/>
      <c r="CE95" s="601">
        <f t="shared" ca="1" si="276"/>
        <v>2.5865590510286696</v>
      </c>
      <c r="CF95" s="603">
        <f t="shared" ca="1" si="277"/>
        <v>18.167793666629727</v>
      </c>
      <c r="CG95" s="603">
        <f t="shared" ca="1" si="278"/>
        <v>-2.9912470321414864</v>
      </c>
      <c r="CH95" s="603">
        <f ca="1">IF(CH46="","",IF(CB46=0,"N",(CH46/CB46-1)*100))</f>
        <v>11.879595003688713</v>
      </c>
      <c r="CI95" s="602" t="str">
        <f t="shared" si="279"/>
        <v/>
      </c>
      <c r="CJ95" s="604"/>
      <c r="CK95" s="601">
        <f t="shared" ca="1" si="280"/>
        <v>-43.49419497916206</v>
      </c>
      <c r="CL95" s="603">
        <f t="shared" ca="1" si="281"/>
        <v>-25.174524503787556</v>
      </c>
      <c r="CM95" s="603">
        <f t="shared" ca="1" si="282"/>
        <v>-51.339182974184382</v>
      </c>
      <c r="CN95" s="603">
        <f ca="1">IF(CN46="","",IF(CH46=0,"N",(CN46/CH46-1)*100))</f>
        <v>-32.399170053719132</v>
      </c>
      <c r="CO95" s="602" t="str">
        <f t="shared" si="283"/>
        <v/>
      </c>
      <c r="CP95" s="604"/>
      <c r="CQ95" s="601">
        <f t="shared" ca="1" si="284"/>
        <v>-1.750746281067328</v>
      </c>
      <c r="CR95" s="603">
        <f t="shared" ca="1" si="285"/>
        <v>-3.6524718960257441</v>
      </c>
      <c r="CS95" s="603">
        <f t="shared" ca="1" si="286"/>
        <v>-9.4213207115161559</v>
      </c>
      <c r="CT95" s="603">
        <f ca="1">IF(CT46="","",IF(CN46=0,"N",(CT46/CN46-1)*100))</f>
        <v>16.963504877228374</v>
      </c>
      <c r="CU95" s="602" t="str">
        <f t="shared" si="287"/>
        <v/>
      </c>
      <c r="CV95" s="604"/>
      <c r="CW95" s="601">
        <f t="shared" ca="1" si="288"/>
        <v>22.317880794701985</v>
      </c>
      <c r="CX95" s="603">
        <f t="shared" ca="1" si="289"/>
        <v>13.18043808284537</v>
      </c>
      <c r="CY95" s="603">
        <f t="shared" ca="1" si="290"/>
        <v>35.014524463672259</v>
      </c>
      <c r="CZ95" s="603">
        <f ca="1">IF(CZ46="","",IF(CT46=0,"N",(CZ46/CT46-1)*100))</f>
        <v>6.3482705815533613</v>
      </c>
      <c r="DA95" s="602" t="str">
        <f t="shared" si="291"/>
        <v/>
      </c>
      <c r="DB95" s="604"/>
      <c r="DC95" s="601">
        <f t="shared" ca="1" si="292"/>
        <v>0.11970019598313009</v>
      </c>
      <c r="DD95" s="603">
        <f t="shared" ca="1" si="293"/>
        <v>-3.9051497005987978</v>
      </c>
      <c r="DE95" s="603">
        <f t="shared" ca="1" si="294"/>
        <v>6.156292106208161</v>
      </c>
      <c r="DF95" s="603">
        <f ca="1">IF(DF46="","",IF(CZ46=0,"N",(DF46/CZ46-1)*100))</f>
        <v>-10.336458833311923</v>
      </c>
      <c r="DG95" s="602" t="str">
        <f t="shared" si="295"/>
        <v/>
      </c>
      <c r="DH95" s="604"/>
      <c r="DI95" s="601">
        <f t="shared" ca="1" si="296"/>
        <v>11.521191147938081</v>
      </c>
      <c r="DJ95" s="603">
        <f t="shared" ca="1" si="297"/>
        <v>23.765939839878737</v>
      </c>
      <c r="DK95" s="603">
        <f t="shared" ca="1" si="298"/>
        <v>12.87532056749483</v>
      </c>
      <c r="DL95" s="603">
        <f ca="1">IF(DL46="","",IF(DF46=0,"N",(DL46/DF46-1)*100))</f>
        <v>-1.2704228962626241</v>
      </c>
      <c r="DM95" s="602" t="str">
        <f t="shared" si="299"/>
        <v/>
      </c>
      <c r="DN95" s="604"/>
      <c r="DO95" s="601">
        <f t="shared" ca="1" si="300"/>
        <v>6.9809198621817892</v>
      </c>
      <c r="DP95" s="603">
        <f t="shared" ca="1" si="301"/>
        <v>10.500580009022386</v>
      </c>
      <c r="DQ95" s="603">
        <f t="shared" ca="1" si="302"/>
        <v>8.8823600228481894</v>
      </c>
      <c r="DR95" s="603">
        <f ca="1">IF(DR46="","",IF(DL46=0,"N",(DR46/DL46-1)*100))</f>
        <v>-2.0237040657360095</v>
      </c>
      <c r="DS95" s="602" t="str">
        <f t="shared" si="303"/>
        <v/>
      </c>
      <c r="DT95" s="604"/>
      <c r="DU95" s="601">
        <f t="shared" ca="1" si="304"/>
        <v>6.0782073393778058</v>
      </c>
      <c r="DV95" s="603">
        <f t="shared" ca="1" si="305"/>
        <v>13.982547331433025</v>
      </c>
      <c r="DW95" s="603">
        <f t="shared" ca="1" si="306"/>
        <v>3.2088077538345638</v>
      </c>
      <c r="DX95" s="603">
        <f ca="1">IF(DX46="","",IF(DR46=0,"N",(DX46/DR46-1)*100))</f>
        <v>7.1341720057989999</v>
      </c>
      <c r="DY95" s="602" t="str">
        <f t="shared" si="307"/>
        <v/>
      </c>
      <c r="DZ95" s="604"/>
      <c r="EA95" s="601">
        <f t="shared" ca="1" si="308"/>
        <v>-0.15043916769735821</v>
      </c>
      <c r="EB95" s="603">
        <f t="shared" ca="1" si="309"/>
        <v>11.433889134063758</v>
      </c>
      <c r="EC95" s="603">
        <f t="shared" ca="1" si="310"/>
        <v>0.7095641867250313</v>
      </c>
      <c r="ED95" s="603">
        <f ca="1">IF(ED46="","",IF(DX46=0,"N",(ED46/DX46-1)*100))</f>
        <v>-16.072636794203021</v>
      </c>
      <c r="EE95" s="602" t="str">
        <f t="shared" si="311"/>
        <v/>
      </c>
      <c r="EF95" s="604"/>
      <c r="EG95" s="601">
        <f t="shared" ca="1" si="312"/>
        <v>7.7409696207377587</v>
      </c>
      <c r="EH95" s="603">
        <f t="shared" ca="1" si="313"/>
        <v>3.499999999999992</v>
      </c>
      <c r="EI95" s="603">
        <f t="shared" ca="1" si="314"/>
        <v>9.5487966987452424</v>
      </c>
      <c r="EJ95" s="603">
        <f ca="1">IF(EJ46="","",IF(ED46=0,"N",(EJ46/ED46-1)*100))</f>
        <v>7.2229999999999794</v>
      </c>
      <c r="EK95" s="602" t="str">
        <f t="shared" si="315"/>
        <v/>
      </c>
      <c r="EL95" s="604"/>
      <c r="EM95" s="601">
        <f t="shared" ca="1" si="316"/>
        <v>9.2905093903981495</v>
      </c>
      <c r="EN95" s="603">
        <f t="shared" ca="1" si="317"/>
        <v>3.499999999999992</v>
      </c>
      <c r="EO95" s="603">
        <f t="shared" ca="1" si="318"/>
        <v>11.38655538393305</v>
      </c>
      <c r="EP95" s="603">
        <f ca="1">IF(EP46="","",IF(EJ46=0,"N",(EP46/EJ46-1)*100))</f>
        <v>9.5302000000000007</v>
      </c>
      <c r="EQ95" s="602" t="str">
        <f t="shared" si="319"/>
        <v/>
      </c>
      <c r="ER95" s="604"/>
      <c r="ES95" s="601">
        <f t="shared" ca="1" si="320"/>
        <v>6.6401309849669188</v>
      </c>
      <c r="ET95" s="603">
        <f t="shared" ca="1" si="321"/>
        <v>3.499999999999992</v>
      </c>
      <c r="EU95" s="603">
        <f t="shared" ca="1" si="322"/>
        <v>7.4771783832577432</v>
      </c>
      <c r="EV95" s="603">
        <f ca="1">IF(EV46="","",IF(EP46=0,"N",(EV46/EP46-1)*100))</f>
        <v>7.6349999999999918</v>
      </c>
      <c r="EW95" s="602" t="str">
        <f t="shared" si="323"/>
        <v/>
      </c>
      <c r="EX95" s="604"/>
    </row>
    <row r="96" spans="2:154">
      <c r="B96" s="600" t="s">
        <v>401</v>
      </c>
      <c r="C96" s="3786" t="s">
        <v>377</v>
      </c>
      <c r="D96" s="3787"/>
      <c r="E96" s="601"/>
      <c r="F96" s="3483"/>
      <c r="G96" s="3483"/>
      <c r="H96" s="3483"/>
      <c r="I96" s="602"/>
      <c r="J96" s="556"/>
      <c r="K96" s="601">
        <f t="shared" ca="1" si="231"/>
        <v>-74.693700531280498</v>
      </c>
      <c r="L96" s="3483">
        <f t="shared" ca="1" si="231"/>
        <v>-84.012298232129126</v>
      </c>
      <c r="M96" s="3483">
        <f t="shared" ca="1" si="231"/>
        <v>-74.442040185471399</v>
      </c>
      <c r="N96" s="3483">
        <f t="shared" ca="1" si="231"/>
        <v>-66.35706914344685</v>
      </c>
      <c r="O96" s="602" t="str">
        <f t="shared" si="231"/>
        <v/>
      </c>
      <c r="P96" s="556" t="str">
        <f ca="1">IF(ROUND(P47,2)=0,"ok","!")</f>
        <v>ok</v>
      </c>
      <c r="Q96" s="601">
        <f t="shared" ca="1" si="232"/>
        <v>453.68466152527844</v>
      </c>
      <c r="R96" s="3483">
        <f t="shared" ca="1" si="233"/>
        <v>2635.5769230769229</v>
      </c>
      <c r="S96" s="3483">
        <f t="shared" ca="1" si="234"/>
        <v>381.25302370585388</v>
      </c>
      <c r="T96" s="3483">
        <f ca="1">IF(T47="","",IF(N47=0,"N",(T47/N47-1)*100))</f>
        <v>-19.93865030674845</v>
      </c>
      <c r="U96" s="602" t="str">
        <f t="shared" si="235"/>
        <v/>
      </c>
      <c r="V96" s="556" t="str">
        <f ca="1">IF(ROUND(V47,2)=0,"ok","!")</f>
        <v>ok</v>
      </c>
      <c r="W96" s="601">
        <f t="shared" ca="1" si="236"/>
        <v>-77.234388299930359</v>
      </c>
      <c r="X96" s="3483">
        <f t="shared" ca="1" si="237"/>
        <v>-52.847100175746917</v>
      </c>
      <c r="Y96" s="3483">
        <f t="shared" ca="1" si="238"/>
        <v>-84.362905252576027</v>
      </c>
      <c r="Z96" s="3483">
        <f ca="1">IF(Z47="","",IF(T47=0,"N",(Z47/T47-1)*100))</f>
        <v>-65.517241379310349</v>
      </c>
      <c r="AA96" s="602" t="str">
        <f t="shared" si="239"/>
        <v/>
      </c>
      <c r="AB96" s="556" t="str">
        <f ca="1">IF(ROUND(AB47,2)=0,"ok","!")</f>
        <v>ok</v>
      </c>
      <c r="AC96" s="601">
        <f t="shared" ca="1" si="240"/>
        <v>-231.13528212100613</v>
      </c>
      <c r="AD96" s="3483">
        <f t="shared" ca="1" si="241"/>
        <v>-235.92992918374952</v>
      </c>
      <c r="AE96" s="3483">
        <f t="shared" ca="1" si="242"/>
        <v>-231.37254901960787</v>
      </c>
      <c r="AF96" s="3483">
        <f ca="1">IF(AF47="","",IF(Z47=0,"N",(AF47/Z47-1)*100))</f>
        <v>-81.111111111111114</v>
      </c>
      <c r="AG96" s="602" t="str">
        <f t="shared" si="243"/>
        <v/>
      </c>
      <c r="AH96" s="556" t="str">
        <f ca="1">IF(ROUND(AH47,2)=0,"ok","!")</f>
        <v>ok</v>
      </c>
      <c r="AI96" s="601">
        <f t="shared" ca="1" si="244"/>
        <v>-36.521513737687918</v>
      </c>
      <c r="AJ96" s="3483">
        <f t="shared" ca="1" si="245"/>
        <v>-99.533863449410475</v>
      </c>
      <c r="AK96" s="3483">
        <f t="shared" ca="1" si="246"/>
        <v>20.430633716662584</v>
      </c>
      <c r="AL96" s="3483">
        <f ca="1">IF(AL47="","",IF(AF47=0,"N",(AL47/AF47-1)*100))</f>
        <v>141.17647058823533</v>
      </c>
      <c r="AM96" s="602" t="str">
        <f t="shared" si="247"/>
        <v/>
      </c>
      <c r="AN96" s="556" t="str">
        <f ca="1">IF(ROUND(AN47,2)=0,"ok","!")</f>
        <v>ok</v>
      </c>
      <c r="AO96" s="601">
        <f t="shared" ca="1" si="248"/>
        <v>333.38097182523489</v>
      </c>
      <c r="AP96" s="3483">
        <f t="shared" ca="1" si="249"/>
        <v>61252.941176470464</v>
      </c>
      <c r="AQ96" s="3483">
        <f t="shared" ca="1" si="250"/>
        <v>124.19748069890288</v>
      </c>
      <c r="AR96" s="3483">
        <f ca="1">IF(AR47="","",IF(AL47=0,"N",(AR47/AL47-1)*100))</f>
        <v>480.48780487804868</v>
      </c>
      <c r="AS96" s="602" t="str">
        <f t="shared" si="251"/>
        <v/>
      </c>
      <c r="AT96" s="556" t="str">
        <f ca="1">IF(ROUND(AT47,2)=0,"ok","!")</f>
        <v>ok</v>
      </c>
      <c r="AU96" s="601">
        <f t="shared" ca="1" si="252"/>
        <v>-95.647053281198467</v>
      </c>
      <c r="AV96" s="3483">
        <f t="shared" ca="1" si="253"/>
        <v>-98.22627037392138</v>
      </c>
      <c r="AW96" s="3483">
        <f t="shared" ca="1" si="254"/>
        <v>-81.712732215677391</v>
      </c>
      <c r="AX96" s="3483">
        <f ca="1">IF(AX47="","",IF(AR47=0,"N",(AX47/AR47-1)*100))</f>
        <v>437.81512605042019</v>
      </c>
      <c r="AY96" s="602" t="str">
        <f t="shared" si="255"/>
        <v/>
      </c>
      <c r="AZ96" s="556" t="str">
        <f ca="1">IF(ROUND(AZ47,2)=0,"ok","!")</f>
        <v>ok</v>
      </c>
      <c r="BA96" s="601">
        <f t="shared" ca="1" si="256"/>
        <v>-572.1861471861472</v>
      </c>
      <c r="BB96" s="3483">
        <f t="shared" ca="1" si="257"/>
        <v>-568.10810810810801</v>
      </c>
      <c r="BC96" s="3483">
        <f t="shared" ca="1" si="258"/>
        <v>-259.81169474727454</v>
      </c>
      <c r="BD96" s="3483">
        <f ca="1">IF(BD47="","",IF(AX47=0,"N",(BD47/AX47-1)*100))</f>
        <v>-78.671875</v>
      </c>
      <c r="BE96" s="602" t="str">
        <f t="shared" si="259"/>
        <v/>
      </c>
      <c r="BF96" s="556" t="str">
        <f ca="1">IF(ROUND(BF47,2)=0,"ok","!")</f>
        <v>ok</v>
      </c>
      <c r="BG96" s="601">
        <f t="shared" ca="1" si="260"/>
        <v>-190.32775613110243</v>
      </c>
      <c r="BH96" s="3483">
        <f t="shared" ca="1" si="261"/>
        <v>66.859122401847571</v>
      </c>
      <c r="BI96" s="3483">
        <f t="shared" ca="1" si="262"/>
        <v>-290.66666666666669</v>
      </c>
      <c r="BJ96" s="3483">
        <f ca="1">IF(BJ47="","",IF(BD47=0,"N",(BJ47/BD47-1)*100))</f>
        <v>179.4871794871795</v>
      </c>
      <c r="BK96" s="602" t="str">
        <f t="shared" si="263"/>
        <v/>
      </c>
      <c r="BL96" s="556" t="str">
        <f ca="1">IF(ROUND(BL47,2)=0,"ok","!")</f>
        <v>ok</v>
      </c>
      <c r="BM96" s="601">
        <f t="shared" ca="1" si="264"/>
        <v>-456.40700329865524</v>
      </c>
      <c r="BN96" s="3483">
        <f t="shared" ca="1" si="265"/>
        <v>-374.60207612456753</v>
      </c>
      <c r="BO96" s="3483">
        <f t="shared" ca="1" si="266"/>
        <v>-377.39469832493086</v>
      </c>
      <c r="BP96" s="3483">
        <f ca="1">IF(BP47="","",IF(BJ47=0,"N",(BP47/BJ47-1)*100))</f>
        <v>25.425950196592417</v>
      </c>
      <c r="BQ96" s="602" t="str">
        <f t="shared" si="267"/>
        <v/>
      </c>
      <c r="BR96" s="556" t="str">
        <f ca="1">IF(ROUND(BR47,2)=0,"ok","!")</f>
        <v>ok</v>
      </c>
      <c r="BS96" s="601">
        <f t="shared" ca="1" si="268"/>
        <v>36.935782429161335</v>
      </c>
      <c r="BT96" s="3483">
        <f t="shared" ca="1" si="269"/>
        <v>-112.1975806451613</v>
      </c>
      <c r="BU96" s="3483">
        <f t="shared" ca="1" si="270"/>
        <v>-2.9899747904086227</v>
      </c>
      <c r="BV96" s="3483">
        <f ca="1">IF(BV47="","",IF(BP47=0,"N",(BV47/BP47-1)*100))</f>
        <v>130.19853709508885</v>
      </c>
      <c r="BW96" s="602" t="str">
        <f t="shared" si="271"/>
        <v/>
      </c>
      <c r="BX96" s="556" t="str">
        <f ca="1">IF(ROUND(BX47,2)=0,"ok","!")</f>
        <v>ok</v>
      </c>
      <c r="BY96" s="601">
        <f t="shared" ca="1" si="272"/>
        <v>433.47197670791297</v>
      </c>
      <c r="BZ96" s="3483">
        <f t="shared" ca="1" si="273"/>
        <v>853.92561983471114</v>
      </c>
      <c r="CA96" s="3483">
        <f t="shared" ca="1" si="274"/>
        <v>479.67607421284828</v>
      </c>
      <c r="CB96" s="3483">
        <f ca="1">IF(CB47="","",IF(BV47=0,"N",(CB47/BV47-1)*100))</f>
        <v>-5.9010440308669976</v>
      </c>
      <c r="CC96" s="602" t="str">
        <f t="shared" si="275"/>
        <v/>
      </c>
      <c r="CD96" s="556" t="str">
        <f ca="1">IF(ROUND(CD47,2)=0,"ok","!")</f>
        <v>ok</v>
      </c>
      <c r="CE96" s="601">
        <f t="shared" ca="1" si="276"/>
        <v>-41.063075003898319</v>
      </c>
      <c r="CF96" s="3483">
        <f t="shared" ca="1" si="277"/>
        <v>193.54559237600176</v>
      </c>
      <c r="CG96" s="3483">
        <f t="shared" ca="1" si="278"/>
        <v>-54.663830940689536</v>
      </c>
      <c r="CH96" s="3483">
        <f ca="1">IF(CH47="","",IF(CB47=0,"N",(CH47/CB47-1)*100))</f>
        <v>65.750120598166887</v>
      </c>
      <c r="CI96" s="602" t="str">
        <f t="shared" si="279"/>
        <v/>
      </c>
      <c r="CJ96" s="556" t="str">
        <f ca="1">IF(ROUND(CJ47,2)=0,"ok","!")</f>
        <v>ok</v>
      </c>
      <c r="CK96" s="601">
        <f t="shared" ca="1" si="280"/>
        <v>-344.46373648179377</v>
      </c>
      <c r="CL96" s="3483">
        <f t="shared" ca="1" si="281"/>
        <v>-141.9316756437689</v>
      </c>
      <c r="CM96" s="3483">
        <f t="shared" ca="1" si="282"/>
        <v>-428.76787931748146</v>
      </c>
      <c r="CN96" s="3483">
        <f ca="1">IF(CN47="","",IF(CH47=0,"N",(CN47/CH47-1)*100))</f>
        <v>-76.309662398137363</v>
      </c>
      <c r="CO96" s="602" t="str">
        <f t="shared" si="283"/>
        <v/>
      </c>
      <c r="CP96" s="556" t="str">
        <f ca="1">IF(ROUND(CP47,2)=0,"ok","!")</f>
        <v>ok</v>
      </c>
      <c r="CQ96" s="601">
        <f t="shared" ca="1" si="284"/>
        <v>-121.5541440911274</v>
      </c>
      <c r="CR96" s="3483">
        <f t="shared" ca="1" si="285"/>
        <v>-52.243533345064222</v>
      </c>
      <c r="CS96" s="3483">
        <f t="shared" ca="1" si="286"/>
        <v>-123.93822393822393</v>
      </c>
      <c r="CT96" s="3483">
        <f ca="1">IF(CT47="","",IF(CN47=0,"N",(CT47/CN47-1)*100))</f>
        <v>-56.388206388206399</v>
      </c>
      <c r="CU96" s="602" t="str">
        <f t="shared" si="287"/>
        <v/>
      </c>
      <c r="CV96" s="556" t="str">
        <f ca="1">IF(ROUND(CV47,2)=0,"ok","!")</f>
        <v>ok</v>
      </c>
      <c r="CW96" s="601">
        <f t="shared" ca="1" si="288"/>
        <v>217.18186097599252</v>
      </c>
      <c r="CX96" s="3483">
        <f t="shared" ca="1" si="289"/>
        <v>-338.83566691230646</v>
      </c>
      <c r="CY96" s="3483">
        <f t="shared" ca="1" si="290"/>
        <v>175.02921926133715</v>
      </c>
      <c r="CZ96" s="3483">
        <f ca="1">IF(CZ47="","",IF(CT47=0,"N",(CZ47/CT47-1)*100))</f>
        <v>30.140845070422539</v>
      </c>
      <c r="DA96" s="602" t="str">
        <f t="shared" si="291"/>
        <v/>
      </c>
      <c r="DB96" s="556" t="str">
        <f ca="1">IF(ROUND(DB47,2)=0,"ok","!")</f>
        <v>ok</v>
      </c>
      <c r="DC96" s="601">
        <f t="shared" ca="1" si="292"/>
        <v>-33.430295834570103</v>
      </c>
      <c r="DD96" s="3483">
        <f t="shared" ca="1" si="293"/>
        <v>36.31595186670782</v>
      </c>
      <c r="DE96" s="3483">
        <f t="shared" ca="1" si="294"/>
        <v>-38.577013790026136</v>
      </c>
      <c r="DF96" s="3483">
        <f ca="1">IF(DF47="","",IF(CZ47=0,"N",(DF47/CZ47-1)*100))</f>
        <v>36.580086580086579</v>
      </c>
      <c r="DG96" s="602" t="str">
        <f t="shared" si="295"/>
        <v/>
      </c>
      <c r="DH96" s="556" t="str">
        <f ca="1">IF(ROUND(DH47,2)=0,"ok","!")</f>
        <v>ok</v>
      </c>
      <c r="DI96" s="601">
        <f t="shared" ca="1" si="296"/>
        <v>-48.151065663921997</v>
      </c>
      <c r="DJ96" s="3483">
        <f t="shared" ca="1" si="297"/>
        <v>16.976007243096426</v>
      </c>
      <c r="DK96" s="3483">
        <f t="shared" ca="1" si="298"/>
        <v>-59.199169765631751</v>
      </c>
      <c r="DL96" s="3483">
        <f ca="1">IF(DL47="","",IF(DF47=0,"N",(DL47/DF47-1)*100))</f>
        <v>52.139461172741683</v>
      </c>
      <c r="DM96" s="602" t="str">
        <f t="shared" si="299"/>
        <v/>
      </c>
      <c r="DN96" s="556" t="str">
        <f ca="1">IF(ROUND(DN47,2)=0,"ok","!")</f>
        <v>ok</v>
      </c>
      <c r="DO96" s="601">
        <f t="shared" ca="1" si="300"/>
        <v>-84.772824996416801</v>
      </c>
      <c r="DP96" s="3483">
        <f t="shared" ca="1" si="301"/>
        <v>-87.451625386996895</v>
      </c>
      <c r="DQ96" s="3483">
        <f t="shared" ca="1" si="302"/>
        <v>-88.320827504345246</v>
      </c>
      <c r="DR96" s="3483">
        <f ca="1">IF(DR47="","",IF(DL47=0,"N",(DR47/DL47-1)*100))</f>
        <v>31.250000000000021</v>
      </c>
      <c r="DS96" s="602" t="str">
        <f t="shared" si="303"/>
        <v/>
      </c>
      <c r="DT96" s="556" t="str">
        <f ca="1">IF(ROUND(DT47,2)=0,"ok","!")</f>
        <v>ok</v>
      </c>
      <c r="DU96" s="601">
        <f t="shared" ca="1" si="304"/>
        <v>612.48117469879526</v>
      </c>
      <c r="DV96" s="3483">
        <f t="shared" ca="1" si="305"/>
        <v>123.20740169622204</v>
      </c>
      <c r="DW96" s="3483">
        <f t="shared" ca="1" si="306"/>
        <v>994.04718693284974</v>
      </c>
      <c r="DX96" s="3483">
        <f ca="1">IF(DX47="","",IF(DR47=0,"N",(DX47/DR47-1)*100))</f>
        <v>281.82539682539681</v>
      </c>
      <c r="DY96" s="602" t="str">
        <f t="shared" si="307"/>
        <v/>
      </c>
      <c r="DZ96" s="556" t="str">
        <f ca="1">IF(ROUND(DZ47,2)=0,"ok","!")</f>
        <v>ok</v>
      </c>
      <c r="EA96" s="601">
        <f t="shared" ca="1" si="308"/>
        <v>-270.68195629772504</v>
      </c>
      <c r="EB96" s="3483">
        <f t="shared" ca="1" si="309"/>
        <v>-114.88773747841105</v>
      </c>
      <c r="EC96" s="3483">
        <f t="shared" ca="1" si="310"/>
        <v>-325.87837165322975</v>
      </c>
      <c r="ED96" s="3483">
        <f ca="1">IF(ED47="","",IF(DX47=0,"N",(ED47/DX47-1)*100))</f>
        <v>-18.623986697152361</v>
      </c>
      <c r="EE96" s="602" t="str">
        <f t="shared" si="311"/>
        <v/>
      </c>
      <c r="EF96" s="556" t="str">
        <f ca="1">IF(ROUND(EF47,2)=0,"ok","!")</f>
        <v>ok</v>
      </c>
      <c r="EG96" s="601">
        <f t="shared" ca="1" si="312"/>
        <v>0</v>
      </c>
      <c r="EH96" s="3483">
        <f t="shared" ca="1" si="313"/>
        <v>0</v>
      </c>
      <c r="EI96" s="3483">
        <f t="shared" ca="1" si="314"/>
        <v>0</v>
      </c>
      <c r="EJ96" s="3483">
        <f ca="1">IF(EJ47="","",IF(ED47=0,"N",(EJ47/ED47-1)*100))</f>
        <v>0</v>
      </c>
      <c r="EK96" s="602" t="str">
        <f t="shared" si="315"/>
        <v/>
      </c>
      <c r="EL96" s="556" t="str">
        <f ca="1">IF(ROUND(EL47,2)=0,"ok","!")</f>
        <v>ok</v>
      </c>
      <c r="EM96" s="601">
        <f t="shared" ca="1" si="316"/>
        <v>0</v>
      </c>
      <c r="EN96" s="3483">
        <f t="shared" ca="1" si="317"/>
        <v>0</v>
      </c>
      <c r="EO96" s="3483">
        <f t="shared" ca="1" si="318"/>
        <v>0</v>
      </c>
      <c r="EP96" s="3483">
        <f ca="1">IF(EP47="","",IF(EJ47=0,"N",(EP47/EJ47-1)*100))</f>
        <v>0</v>
      </c>
      <c r="EQ96" s="602" t="str">
        <f t="shared" si="319"/>
        <v/>
      </c>
      <c r="ER96" s="556" t="str">
        <f ca="1">IF(ROUND(ER47,2)=0,"ok","!")</f>
        <v>ok</v>
      </c>
      <c r="ES96" s="601">
        <f t="shared" ca="1" si="320"/>
        <v>0</v>
      </c>
      <c r="ET96" s="3483">
        <f t="shared" ca="1" si="321"/>
        <v>0</v>
      </c>
      <c r="EU96" s="3483">
        <f t="shared" ca="1" si="322"/>
        <v>0</v>
      </c>
      <c r="EV96" s="3483">
        <f ca="1">IF(EV47="","",IF(EP47=0,"N",(EV47/EP47-1)*100))</f>
        <v>0</v>
      </c>
      <c r="EW96" s="602" t="str">
        <f t="shared" si="323"/>
        <v/>
      </c>
      <c r="EX96" s="556" t="str">
        <f ca="1">IF(ROUND(EX47,2)=0,"ok","!")</f>
        <v>ok</v>
      </c>
    </row>
    <row r="97" spans="2:154">
      <c r="B97" s="608" t="s">
        <v>1769</v>
      </c>
      <c r="C97" s="3783" t="s">
        <v>378</v>
      </c>
      <c r="D97" s="3783"/>
      <c r="E97" s="3484"/>
      <c r="F97" s="3484"/>
      <c r="G97" s="3484"/>
      <c r="H97" s="3484"/>
      <c r="I97" s="3484"/>
      <c r="J97" s="556"/>
      <c r="K97" s="3484">
        <f t="shared" ca="1" si="231"/>
        <v>9.7488472869960532</v>
      </c>
      <c r="L97" s="3484">
        <f t="shared" ca="1" si="231"/>
        <v>62.042012701514636</v>
      </c>
      <c r="M97" s="3484">
        <f t="shared" ca="1" si="231"/>
        <v>-63.51400597653096</v>
      </c>
      <c r="N97" s="3484">
        <f t="shared" ca="1" si="231"/>
        <v>162.80076596453216</v>
      </c>
      <c r="O97" s="3484" t="e">
        <f t="shared" ca="1" si="231"/>
        <v>#VALUE!</v>
      </c>
      <c r="P97" s="556" t="e">
        <f ca="1">IF(ROUND(P48,2)=0,"ok","!")</f>
        <v>#VALUE!</v>
      </c>
      <c r="Q97" s="3484">
        <f t="shared" ca="1" si="232"/>
        <v>36.282653184061317</v>
      </c>
      <c r="R97" s="3484">
        <f t="shared" ca="1" si="233"/>
        <v>-431.86340340395225</v>
      </c>
      <c r="S97" s="3484">
        <f t="shared" ca="1" si="234"/>
        <v>542.52896524170637</v>
      </c>
      <c r="T97" s="3484">
        <f ca="1">IF(T48="","",IF(N48=0,"N",(T48/N48-1)*100))</f>
        <v>336.5626485030881</v>
      </c>
      <c r="U97" s="3484" t="e">
        <f t="shared" ca="1" si="235"/>
        <v>#VALUE!</v>
      </c>
      <c r="V97" s="556" t="e">
        <f ca="1">IF(ROUND(V48,2)=0,"ok","!")</f>
        <v>#VALUE!</v>
      </c>
      <c r="W97" s="3484">
        <f t="shared" ca="1" si="236"/>
        <v>33.011218090275143</v>
      </c>
      <c r="X97" s="3484">
        <f t="shared" ca="1" si="237"/>
        <v>-95.837703469406534</v>
      </c>
      <c r="Y97" s="3484">
        <f t="shared" ca="1" si="238"/>
        <v>20.352349862687326</v>
      </c>
      <c r="Z97" s="3484">
        <f ca="1">IF(Z48="","",IF(T48=0,"N",(Z48/T48-1)*100))</f>
        <v>-71.344184730154339</v>
      </c>
      <c r="AA97" s="3484" t="e">
        <f t="shared" ca="1" si="239"/>
        <v>#VALUE!</v>
      </c>
      <c r="AB97" s="556" t="e">
        <f ca="1">IF(ROUND(AB48,2)=0,"ok","!")</f>
        <v>#VALUE!</v>
      </c>
      <c r="AC97" s="3484">
        <f t="shared" ca="1" si="240"/>
        <v>-9.5496141637116274</v>
      </c>
      <c r="AD97" s="3484">
        <f t="shared" ca="1" si="241"/>
        <v>-61.369047619045233</v>
      </c>
      <c r="AE97" s="3484">
        <f t="shared" ca="1" si="242"/>
        <v>-11.933628394785345</v>
      </c>
      <c r="AF97" s="3484">
        <f ca="1">IF(AF48="","",IF(Z48=0,"N",(AF48/Z48-1)*100))</f>
        <v>-9.1546799027552357</v>
      </c>
      <c r="AG97" s="3484" t="e">
        <f t="shared" ca="1" si="243"/>
        <v>#VALUE!</v>
      </c>
      <c r="AH97" s="556" t="e">
        <f ca="1">IF(ROUND(AH48,2)=0,"ok","!")</f>
        <v>#VALUE!</v>
      </c>
      <c r="AI97" s="3484">
        <f t="shared" ca="1" si="244"/>
        <v>-42.771031262389734</v>
      </c>
      <c r="AJ97" s="3484">
        <f t="shared" ca="1" si="245"/>
        <v>1344.4786851566403</v>
      </c>
      <c r="AK97" s="3484">
        <f t="shared" ca="1" si="246"/>
        <v>-37.916401857736595</v>
      </c>
      <c r="AL97" s="3484">
        <f ca="1">IF(AL48="","",IF(AF48=0,"N",(AL48/AF48-1)*100))</f>
        <v>18.682574638307138</v>
      </c>
      <c r="AM97" s="3484" t="e">
        <f t="shared" ca="1" si="247"/>
        <v>#VALUE!</v>
      </c>
      <c r="AN97" s="556" t="e">
        <f ca="1">IF(ROUND(AN48,2)=0,"ok","!")</f>
        <v>#VALUE!</v>
      </c>
      <c r="AO97" s="3484">
        <f t="shared" ca="1" si="248"/>
        <v>-13.817080836978423</v>
      </c>
      <c r="AP97" s="3484">
        <f t="shared" ca="1" si="249"/>
        <v>-87.651116484142733</v>
      </c>
      <c r="AQ97" s="3484">
        <f t="shared" ca="1" si="250"/>
        <v>-67.572760488849653</v>
      </c>
      <c r="AR97" s="3484">
        <f ca="1">IF(AR48="","",IF(AL48=0,"N",(AR48/AL48-1)*100))</f>
        <v>17.580739870816387</v>
      </c>
      <c r="AS97" s="3484" t="e">
        <f t="shared" ca="1" si="251"/>
        <v>#VALUE!</v>
      </c>
      <c r="AT97" s="556" t="e">
        <f ca="1">IF(ROUND(AT48,2)=0,"ok","!")</f>
        <v>#VALUE!</v>
      </c>
      <c r="AU97" s="3484">
        <f t="shared" ca="1" si="252"/>
        <v>8.907810709021291</v>
      </c>
      <c r="AV97" s="3484">
        <f t="shared" ca="1" si="253"/>
        <v>-245.66657068817523</v>
      </c>
      <c r="AW97" s="3484">
        <f t="shared" ca="1" si="254"/>
        <v>93.783389995142556</v>
      </c>
      <c r="AX97" s="3484">
        <f ca="1">IF(AX48="","",IF(AR48=0,"N",(AX48/AR48-1)*100))</f>
        <v>-43.661606072712878</v>
      </c>
      <c r="AY97" s="3484" t="e">
        <f t="shared" ca="1" si="255"/>
        <v>#VALUE!</v>
      </c>
      <c r="AZ97" s="556" t="e">
        <f ca="1">IF(ROUND(AZ48,2)=0,"ok","!")</f>
        <v>#VALUE!</v>
      </c>
      <c r="BA97" s="3484">
        <f t="shared" ca="1" si="256"/>
        <v>46.322494225065512</v>
      </c>
      <c r="BB97" s="3484">
        <f t="shared" ca="1" si="257"/>
        <v>765.64538446335371</v>
      </c>
      <c r="BC97" s="3484">
        <f t="shared" ca="1" si="258"/>
        <v>5.7243107769421542</v>
      </c>
      <c r="BD97" s="3484">
        <f ca="1">IF(BD48="","",IF(AX48=0,"N",(BD48/AX48-1)*100))</f>
        <v>-25.273907031166942</v>
      </c>
      <c r="BE97" s="3484" t="e">
        <f t="shared" ca="1" si="259"/>
        <v>#VALUE!</v>
      </c>
      <c r="BF97" s="556" t="e">
        <f ca="1">IF(ROUND(BF48,2)=0,"ok","!")</f>
        <v>#VALUE!</v>
      </c>
      <c r="BG97" s="3484">
        <f t="shared" ca="1" si="260"/>
        <v>13.911126472429602</v>
      </c>
      <c r="BH97" s="3484">
        <f t="shared" ca="1" si="261"/>
        <v>-174.63293220377648</v>
      </c>
      <c r="BI97" s="3484">
        <f t="shared" ca="1" si="262"/>
        <v>206.36023136734508</v>
      </c>
      <c r="BJ97" s="3484">
        <f ca="1">IF(BJ48="","",IF(BD48=0,"N",(BJ48/BD48-1)*100))</f>
        <v>20.483985765124778</v>
      </c>
      <c r="BK97" s="3484" t="e">
        <f t="shared" ca="1" si="263"/>
        <v>#VALUE!</v>
      </c>
      <c r="BL97" s="556" t="e">
        <f ca="1">IF(ROUND(BL48,2)=0,"ok","!")</f>
        <v>#VALUE!</v>
      </c>
      <c r="BM97" s="3484">
        <f t="shared" ca="1" si="264"/>
        <v>4.5685279187816841</v>
      </c>
      <c r="BN97" s="3484">
        <f t="shared" ca="1" si="265"/>
        <v>-101.68584016644331</v>
      </c>
      <c r="BO97" s="3484">
        <f t="shared" ca="1" si="266"/>
        <v>-7.334700352071966</v>
      </c>
      <c r="BP97" s="3484">
        <f ca="1">IF(BP48="","",IF(BJ48=0,"N",(BP48/BJ48-1)*100))</f>
        <v>-71.617044738500041</v>
      </c>
      <c r="BQ97" s="3484" t="e">
        <f t="shared" ca="1" si="267"/>
        <v>#VALUE!</v>
      </c>
      <c r="BR97" s="556" t="e">
        <f ca="1">IF(ROUND(BR48,2)=0,"ok","!")</f>
        <v>#VALUE!</v>
      </c>
      <c r="BS97" s="3484">
        <f t="shared" ca="1" si="268"/>
        <v>64.540364195304221</v>
      </c>
      <c r="BT97" s="3484">
        <f t="shared" ca="1" si="269"/>
        <v>-4848.4573502693593</v>
      </c>
      <c r="BU97" s="3484">
        <f t="shared" ca="1" si="270"/>
        <v>91.576204950065559</v>
      </c>
      <c r="BV97" s="3484">
        <f ca="1">IF(BV48="","",IF(BP48=0,"N",(BV48/BP48-1)*100))</f>
        <v>-9.0883862911037454</v>
      </c>
      <c r="BW97" s="3484" t="e">
        <f t="shared" ca="1" si="271"/>
        <v>#VALUE!</v>
      </c>
      <c r="BX97" s="556" t="e">
        <f ca="1">IF(ROUND(BX48,2)=0,"ok","!")</f>
        <v>#VALUE!</v>
      </c>
      <c r="BY97" s="3484">
        <f t="shared" ca="1" si="272"/>
        <v>77.375459935560471</v>
      </c>
      <c r="BZ97" s="3484">
        <f t="shared" ca="1" si="273"/>
        <v>-590.15441064057723</v>
      </c>
      <c r="CA97" s="3484">
        <f t="shared" ca="1" si="274"/>
        <v>-4.0043761768604913</v>
      </c>
      <c r="CB97" s="3484">
        <f ca="1">IF(CB48="","",IF(BV48=0,"N",(CB48/BV48-1)*100))</f>
        <v>261.35531135530118</v>
      </c>
      <c r="CC97" s="3484" t="e">
        <f t="shared" ca="1" si="275"/>
        <v>#VALUE!</v>
      </c>
      <c r="CD97" s="556" t="e">
        <f ca="1">IF(ROUND(CD48,2)=0,"ok","!")</f>
        <v>#VALUE!</v>
      </c>
      <c r="CE97" s="3484">
        <f t="shared" ca="1" si="276"/>
        <v>-1.0326342518574227</v>
      </c>
      <c r="CF97" s="3484">
        <f t="shared" ca="1" si="277"/>
        <v>2.4718505349179631</v>
      </c>
      <c r="CG97" s="3484">
        <f t="shared" ca="1" si="278"/>
        <v>-38.204298097049993</v>
      </c>
      <c r="CH97" s="3484">
        <f ca="1">IF(CH48="","",IF(CB48=0,"N",(CH48/CB48-1)*100))</f>
        <v>325.75603987159656</v>
      </c>
      <c r="CI97" s="3484" t="e">
        <f t="shared" ca="1" si="279"/>
        <v>#VALUE!</v>
      </c>
      <c r="CJ97" s="556" t="str">
        <f ca="1">IF(ROUND(CJ48,2)=0,"ok","!")</f>
        <v>!</v>
      </c>
      <c r="CK97" s="3484">
        <f t="shared" ca="1" si="280"/>
        <v>-147.05304198614235</v>
      </c>
      <c r="CL97" s="3484">
        <f t="shared" ca="1" si="281"/>
        <v>-107.27471958847646</v>
      </c>
      <c r="CM97" s="3484">
        <f t="shared" ca="1" si="282"/>
        <v>-400.52168673813549</v>
      </c>
      <c r="CN97" s="3484">
        <f ca="1">IF(CN48="","",IF(CH48=0,"N",(CN48/CH48-1)*100))</f>
        <v>143.30866451062568</v>
      </c>
      <c r="CO97" s="3484">
        <f t="shared" ca="1" si="283"/>
        <v>-144.95753474126286</v>
      </c>
      <c r="CP97" s="556" t="str">
        <f ca="1">IF(ROUND(CP48,2)=0,"ok","!")</f>
        <v>!</v>
      </c>
      <c r="CQ97" s="3484">
        <f t="shared" ca="1" si="284"/>
        <v>-44.071620639116148</v>
      </c>
      <c r="CR97" s="3484">
        <f t="shared" ca="1" si="285"/>
        <v>551.97698744766546</v>
      </c>
      <c r="CS97" s="3484">
        <f t="shared" ca="1" si="286"/>
        <v>-44.252948036801968</v>
      </c>
      <c r="CT97" s="3484">
        <f ca="1">IF(CT48="","",IF(CN48=0,"N",(CT48/CN48-1)*100))</f>
        <v>-21.140830139443889</v>
      </c>
      <c r="CU97" s="3484">
        <f t="shared" ca="1" si="287"/>
        <v>-46.891418303414632</v>
      </c>
      <c r="CV97" s="556" t="str">
        <f ca="1">IF(ROUND(CV48,2)=0,"ok","!")</f>
        <v>!</v>
      </c>
      <c r="CW97" s="3484">
        <f t="shared" ca="1" si="288"/>
        <v>-119.98968274438944</v>
      </c>
      <c r="CX97" s="3484">
        <f t="shared" ca="1" si="289"/>
        <v>73.728120136695409</v>
      </c>
      <c r="CY97" s="3484">
        <f t="shared" ca="1" si="290"/>
        <v>-33.363595694849892</v>
      </c>
      <c r="CZ97" s="3484">
        <f ca="1">IF(CZ48="","",IF(CT48=0,"N",(CZ48/CT48-1)*100))</f>
        <v>44.559743549971408</v>
      </c>
      <c r="DA97" s="3484">
        <f t="shared" ca="1" si="291"/>
        <v>-129.22427121378476</v>
      </c>
      <c r="DB97" s="556" t="str">
        <f ca="1">IF(ROUND(DB48,2)=0,"ok","!")</f>
        <v>!</v>
      </c>
      <c r="DC97" s="3484">
        <f t="shared" ca="1" si="292"/>
        <v>-434.62193548388262</v>
      </c>
      <c r="DD97" s="3484">
        <f t="shared" ca="1" si="293"/>
        <v>-158.5179575741345</v>
      </c>
      <c r="DE97" s="3484">
        <f t="shared" ca="1" si="294"/>
        <v>53.417579886135201</v>
      </c>
      <c r="DF97" s="3484">
        <f ca="1">IF(DF48="","",IF(CZ48=0,"N",(DF48/CZ48-1)*100))</f>
        <v>-62.482250986254996</v>
      </c>
      <c r="DG97" s="3484">
        <f t="shared" ca="1" si="295"/>
        <v>-333.06881349434531</v>
      </c>
      <c r="DH97" s="556" t="str">
        <f ca="1">IF(ROUND(DH48,2)=0,"ok","!")</f>
        <v>!</v>
      </c>
      <c r="DI97" s="3484">
        <f t="shared" ca="1" si="296"/>
        <v>144.7457313405221</v>
      </c>
      <c r="DJ97" s="3484">
        <f t="shared" ca="1" si="297"/>
        <v>19.827980746467965</v>
      </c>
      <c r="DK97" s="3484">
        <f t="shared" ca="1" si="298"/>
        <v>39.791501319204528</v>
      </c>
      <c r="DL97" s="3484">
        <f ca="1">IF(DL48="","",IF(DF48=0,"N",(DL48/DF48-1)*100))</f>
        <v>-13.018484799374752</v>
      </c>
      <c r="DM97" s="3484">
        <f t="shared" ca="1" si="299"/>
        <v>153.8160405289816</v>
      </c>
      <c r="DN97" s="556" t="str">
        <f ca="1">IF(ROUND(DN48,2)=0,"ok","!")</f>
        <v>!</v>
      </c>
      <c r="DO97" s="3484">
        <f t="shared" ca="1" si="300"/>
        <v>53.180695253220357</v>
      </c>
      <c r="DP97" s="3484">
        <f t="shared" ca="1" si="301"/>
        <v>30.743194299938324</v>
      </c>
      <c r="DQ97" s="3484">
        <f t="shared" ca="1" si="302"/>
        <v>11.987834781354522</v>
      </c>
      <c r="DR97" s="3484">
        <f ca="1">IF(DR48="","",IF(DL48=0,"N",(DR48/DL48-1)*100))</f>
        <v>-75.256737650836698</v>
      </c>
      <c r="DS97" s="3484">
        <f t="shared" ca="1" si="303"/>
        <v>55.352861123712252</v>
      </c>
      <c r="DT97" s="556" t="str">
        <f ca="1">IF(ROUND(DT48,2)=0,"ok","!")</f>
        <v>!</v>
      </c>
      <c r="DU97" s="3484">
        <f t="shared" ca="1" si="304"/>
        <v>-85.195074487474159</v>
      </c>
      <c r="DV97" s="3484">
        <f t="shared" ca="1" si="305"/>
        <v>44.814247723426881</v>
      </c>
      <c r="DW97" s="3484">
        <f t="shared" ca="1" si="306"/>
        <v>-48.232024970609054</v>
      </c>
      <c r="DX97" s="3484">
        <f ca="1">IF(DX48="","",IF(DR48=0,"N",(DX48/DR48-1)*100))</f>
        <v>-59.421509567682826</v>
      </c>
      <c r="DY97" s="3484">
        <f t="shared" ca="1" si="307"/>
        <v>-86.243821044947396</v>
      </c>
      <c r="DZ97" s="556" t="str">
        <f ca="1">IF(ROUND(DZ48,2)=0,"ok","!")</f>
        <v>!</v>
      </c>
      <c r="EA97" s="3484">
        <f t="shared" ca="1" si="308"/>
        <v>-7.4725580102831035</v>
      </c>
      <c r="EB97" s="3484">
        <f t="shared" ca="1" si="309"/>
        <v>20.002782415136465</v>
      </c>
      <c r="EC97" s="3484">
        <f t="shared" ca="1" si="310"/>
        <v>3.4980360602626881</v>
      </c>
      <c r="ED97" s="3484">
        <f ca="1">IF(ED48="","",IF(DX48=0,"N",(ED48/DX48-1)*100))</f>
        <v>-212.41130880908256</v>
      </c>
      <c r="EE97" s="3484">
        <f t="shared" ca="1" si="311"/>
        <v>-4.8730933681046302</v>
      </c>
      <c r="EF97" s="556" t="str">
        <f ca="1">IF(ROUND(EF48,2)=0,"ok","!")</f>
        <v>!</v>
      </c>
      <c r="EG97" s="3484">
        <f t="shared" ca="1" si="312"/>
        <v>91.235225852953519</v>
      </c>
      <c r="EH97" s="3484">
        <f t="shared" ca="1" si="313"/>
        <v>18.337740544682024</v>
      </c>
      <c r="EI97" s="3484">
        <f t="shared" ca="1" si="314"/>
        <v>19.844774329220982</v>
      </c>
      <c r="EJ97" s="3484">
        <f ca="1">IF(EJ48="","",IF(ED48=0,"N",(EJ48/ED48-1)*100))</f>
        <v>225.4108536420961</v>
      </c>
      <c r="EK97" s="3484">
        <f t="shared" ca="1" si="315"/>
        <v>80.327321644882076</v>
      </c>
      <c r="EL97" s="556" t="str">
        <f ca="1">IF(ROUND(EL48,2)=0,"ok","!")</f>
        <v>!</v>
      </c>
      <c r="EM97" s="3484">
        <f t="shared" ca="1" si="316"/>
        <v>-50.787397514596776</v>
      </c>
      <c r="EN97" s="3484">
        <f t="shared" ca="1" si="317"/>
        <v>10.499205342527107</v>
      </c>
      <c r="EO97" s="3484">
        <f t="shared" ca="1" si="318"/>
        <v>-3.2011768796571749</v>
      </c>
      <c r="EP97" s="3484">
        <f ca="1">IF(EP48="","",IF(EJ48=0,"N",(EP48/EJ48-1)*100))</f>
        <v>-10.15570065593373</v>
      </c>
      <c r="EQ97" s="3484">
        <f t="shared" ca="1" si="319"/>
        <v>-43.372895130339316</v>
      </c>
      <c r="ER97" s="556" t="str">
        <f ca="1">IF(ROUND(ER48,2)=0,"ok","!")</f>
        <v>!</v>
      </c>
      <c r="ES97" s="3484">
        <f t="shared" ca="1" si="320"/>
        <v>-26.528576361491229</v>
      </c>
      <c r="ET97" s="3484">
        <f t="shared" ca="1" si="321"/>
        <v>9.0079609911443157</v>
      </c>
      <c r="EU97" s="3484">
        <f t="shared" ca="1" si="322"/>
        <v>6.1823573854423497</v>
      </c>
      <c r="EV97" s="3484">
        <f ca="1">IF(EV48="","",IF(EP48=0,"N",(EV48/EP48-1)*100))</f>
        <v>-6.6914264421039205</v>
      </c>
      <c r="EW97" s="3484">
        <f t="shared" ca="1" si="323"/>
        <v>-25.806323878184589</v>
      </c>
      <c r="EX97" s="556" t="str">
        <f ca="1">IF(ROUND(EX48,2)=0,"ok","!")</f>
        <v>!</v>
      </c>
    </row>
    <row r="98" spans="2:154">
      <c r="B98" s="3465"/>
      <c r="C98" s="3784"/>
      <c r="D98" s="3785"/>
      <c r="E98" s="592"/>
      <c r="F98" s="3485"/>
      <c r="G98" s="3485"/>
      <c r="H98" s="3485"/>
      <c r="I98" s="3485"/>
      <c r="J98" s="592"/>
      <c r="K98" s="592"/>
      <c r="L98" s="3485"/>
      <c r="M98" s="3485"/>
      <c r="N98" s="3485"/>
      <c r="O98" s="3485"/>
      <c r="P98" s="592"/>
      <c r="Q98" s="592"/>
      <c r="R98" s="3485"/>
      <c r="S98" s="3485"/>
      <c r="T98" s="3485"/>
      <c r="U98" s="3485"/>
      <c r="V98" s="592"/>
      <c r="W98" s="592"/>
      <c r="X98" s="3485"/>
      <c r="Y98" s="3485"/>
      <c r="Z98" s="3485"/>
      <c r="AA98" s="3485"/>
      <c r="AB98" s="592"/>
      <c r="AC98" s="592"/>
      <c r="AD98" s="3485"/>
      <c r="AE98" s="3485"/>
      <c r="AF98" s="3485"/>
      <c r="AG98" s="3485"/>
      <c r="AH98" s="592"/>
      <c r="AI98" s="592"/>
      <c r="AJ98" s="3485"/>
      <c r="AK98" s="3485"/>
      <c r="AL98" s="3485"/>
      <c r="AM98" s="3485"/>
      <c r="AN98" s="592"/>
      <c r="AO98" s="592"/>
      <c r="AP98" s="3485"/>
      <c r="AQ98" s="3485"/>
      <c r="AR98" s="3485"/>
      <c r="AS98" s="3485"/>
      <c r="AT98" s="592"/>
      <c r="AU98" s="592"/>
      <c r="AV98" s="3485"/>
      <c r="AW98" s="3485"/>
      <c r="AX98" s="3485"/>
      <c r="AY98" s="3485"/>
      <c r="AZ98" s="592"/>
      <c r="BA98" s="592"/>
      <c r="BB98" s="3485"/>
      <c r="BC98" s="3485"/>
      <c r="BD98" s="3485"/>
      <c r="BE98" s="3485"/>
      <c r="BF98" s="592"/>
      <c r="BG98" s="592"/>
      <c r="BH98" s="3485"/>
      <c r="BI98" s="3485"/>
      <c r="BJ98" s="3485"/>
      <c r="BK98" s="3485"/>
      <c r="BL98" s="592"/>
      <c r="BM98" s="592"/>
      <c r="BN98" s="3485"/>
      <c r="BO98" s="3485"/>
      <c r="BP98" s="3485"/>
      <c r="BQ98" s="3485"/>
      <c r="BR98" s="592"/>
      <c r="BS98" s="592"/>
      <c r="BT98" s="3485"/>
      <c r="BU98" s="3485"/>
      <c r="BV98" s="3485"/>
      <c r="BW98" s="3485"/>
      <c r="BX98" s="592"/>
      <c r="BY98" s="592"/>
      <c r="BZ98" s="3485"/>
      <c r="CA98" s="3485"/>
      <c r="CB98" s="3485"/>
      <c r="CC98" s="3485"/>
      <c r="CD98" s="592"/>
      <c r="CE98" s="592"/>
      <c r="CF98" s="3485"/>
      <c r="CG98" s="3485"/>
      <c r="CH98" s="3485"/>
      <c r="CI98" s="3485"/>
      <c r="CJ98" s="592"/>
      <c r="CK98" s="592"/>
      <c r="CL98" s="3485"/>
      <c r="CM98" s="3485"/>
      <c r="CN98" s="3485"/>
      <c r="CO98" s="3485"/>
      <c r="CP98" s="592"/>
      <c r="CQ98" s="592"/>
      <c r="CR98" s="3485"/>
      <c r="CS98" s="3485"/>
      <c r="CT98" s="3485"/>
      <c r="CU98" s="3485"/>
      <c r="CV98" s="592"/>
      <c r="CW98" s="592"/>
      <c r="CX98" s="3485"/>
      <c r="CY98" s="3485"/>
      <c r="CZ98" s="3485"/>
      <c r="DA98" s="3485"/>
      <c r="DB98" s="592"/>
      <c r="DC98" s="592"/>
      <c r="DD98" s="3485"/>
      <c r="DE98" s="3485"/>
      <c r="DF98" s="3485"/>
      <c r="DG98" s="3485"/>
      <c r="DH98" s="592"/>
      <c r="DI98" s="592"/>
      <c r="DJ98" s="3485"/>
      <c r="DK98" s="3485"/>
      <c r="DL98" s="3485"/>
      <c r="DM98" s="3485"/>
      <c r="DN98" s="592"/>
      <c r="DO98" s="592"/>
      <c r="DP98" s="3485"/>
      <c r="DQ98" s="3485"/>
      <c r="DR98" s="3485"/>
      <c r="DS98" s="3485"/>
      <c r="DT98" s="592"/>
      <c r="DU98" s="592"/>
      <c r="DV98" s="3485"/>
      <c r="DW98" s="3485"/>
      <c r="DX98" s="3485"/>
      <c r="DY98" s="3485"/>
      <c r="DZ98" s="592"/>
      <c r="EA98" s="592"/>
      <c r="EB98" s="3485"/>
      <c r="EC98" s="3485"/>
      <c r="ED98" s="3485"/>
      <c r="EE98" s="3485"/>
      <c r="EF98" s="592"/>
      <c r="EG98" s="592"/>
      <c r="EH98" s="3485"/>
      <c r="EI98" s="3485"/>
      <c r="EJ98" s="3485"/>
      <c r="EK98" s="3485"/>
      <c r="EL98" s="592"/>
      <c r="EM98" s="592"/>
      <c r="EN98" s="3485"/>
      <c r="EO98" s="3485"/>
      <c r="EP98" s="3485"/>
      <c r="EQ98" s="3485"/>
      <c r="ER98" s="592"/>
      <c r="ES98" s="592"/>
      <c r="ET98" s="3485"/>
      <c r="EU98" s="3485"/>
      <c r="EV98" s="3485"/>
      <c r="EW98" s="3485"/>
      <c r="EX98" s="592"/>
    </row>
    <row r="99" spans="2:154" ht="60" customHeight="1">
      <c r="C99" s="593"/>
      <c r="J99"/>
    </row>
    <row r="100" spans="2:154">
      <c r="C100" s="3751" t="s">
        <v>1904</v>
      </c>
      <c r="D100" s="3751"/>
      <c r="E100" s="3751" t="s">
        <v>1905</v>
      </c>
      <c r="F100" s="3751"/>
      <c r="G100" s="3751"/>
      <c r="H100" s="3751"/>
      <c r="I100" s="3751"/>
      <c r="J100" s="3751"/>
      <c r="K100" s="3751" t="s">
        <v>1906</v>
      </c>
      <c r="L100" s="3751"/>
      <c r="M100" s="3751"/>
      <c r="N100" s="3751"/>
      <c r="O100" s="3751"/>
      <c r="P100" s="3751"/>
    </row>
    <row r="101" spans="2:154">
      <c r="C101" s="3751"/>
      <c r="D101" s="3751"/>
      <c r="E101" s="3751"/>
      <c r="F101" s="3751"/>
      <c r="G101" s="3751"/>
      <c r="H101" s="3751"/>
      <c r="I101" s="3751"/>
      <c r="J101" s="3751"/>
      <c r="K101" s="3751"/>
      <c r="L101" s="3751"/>
      <c r="M101" s="3751"/>
      <c r="N101" s="3751"/>
      <c r="O101" s="3751"/>
      <c r="P101" s="3751"/>
    </row>
    <row r="102" spans="2:154">
      <c r="C102" s="3751"/>
      <c r="D102" s="3751"/>
      <c r="E102" s="550" t="s">
        <v>684</v>
      </c>
      <c r="F102" s="550" t="s">
        <v>685</v>
      </c>
      <c r="G102" s="550" t="s">
        <v>686</v>
      </c>
      <c r="H102" s="550" t="s">
        <v>687</v>
      </c>
      <c r="I102" s="550" t="s">
        <v>688</v>
      </c>
      <c r="J102" s="550" t="s">
        <v>689</v>
      </c>
      <c r="K102" s="550" t="s">
        <v>684</v>
      </c>
      <c r="L102" s="550" t="s">
        <v>685</v>
      </c>
      <c r="M102" s="550" t="s">
        <v>686</v>
      </c>
      <c r="N102" s="550" t="s">
        <v>687</v>
      </c>
      <c r="O102" s="550" t="s">
        <v>688</v>
      </c>
      <c r="P102" s="550" t="s">
        <v>689</v>
      </c>
    </row>
    <row r="103" spans="2:154" ht="12.75" customHeight="1">
      <c r="B103" s="552"/>
      <c r="C103" s="3751" t="s">
        <v>1765</v>
      </c>
      <c r="D103" s="3751"/>
      <c r="E103" s="609">
        <v>47</v>
      </c>
      <c r="F103" s="610"/>
      <c r="G103" s="610"/>
      <c r="H103" s="610"/>
      <c r="I103" s="610"/>
      <c r="J103" s="611"/>
      <c r="K103" s="612" t="s">
        <v>1907</v>
      </c>
      <c r="L103" s="613"/>
      <c r="M103" s="613"/>
      <c r="N103" s="613"/>
      <c r="O103" s="613"/>
      <c r="P103" s="611"/>
    </row>
    <row r="104" spans="2:154" ht="12.75" customHeight="1">
      <c r="B104" s="554" t="s">
        <v>401</v>
      </c>
      <c r="C104" s="3751" t="s">
        <v>1902</v>
      </c>
      <c r="D104" s="3751"/>
      <c r="E104" s="614">
        <v>50</v>
      </c>
      <c r="F104" s="615"/>
      <c r="G104" s="615"/>
      <c r="H104" s="615"/>
      <c r="I104" s="615"/>
      <c r="J104" s="611"/>
      <c r="K104" s="616" t="s">
        <v>1494</v>
      </c>
      <c r="L104" s="617"/>
      <c r="M104" s="617"/>
      <c r="N104" s="617"/>
      <c r="O104" s="617"/>
      <c r="P104" s="611"/>
    </row>
    <row r="105" spans="2:154" ht="12.75" customHeight="1">
      <c r="B105" s="554" t="s">
        <v>1767</v>
      </c>
      <c r="C105" s="3751" t="s">
        <v>1903</v>
      </c>
      <c r="D105" s="3751"/>
      <c r="E105" s="618">
        <v>51</v>
      </c>
      <c r="F105" s="615"/>
      <c r="G105" s="615"/>
      <c r="H105" s="615"/>
      <c r="I105" s="615"/>
      <c r="J105" s="611"/>
      <c r="K105" s="619" t="s">
        <v>888</v>
      </c>
      <c r="L105" s="617"/>
      <c r="M105" s="617"/>
      <c r="N105" s="617"/>
      <c r="O105" s="617"/>
      <c r="P105" s="611"/>
    </row>
    <row r="106" spans="2:154" ht="12.75" customHeight="1">
      <c r="B106" s="554" t="s">
        <v>1769</v>
      </c>
      <c r="C106" s="3751" t="s">
        <v>1373</v>
      </c>
      <c r="D106" s="3751"/>
      <c r="E106" s="620">
        <v>57</v>
      </c>
      <c r="F106" s="621"/>
      <c r="G106" s="621">
        <v>100</v>
      </c>
      <c r="H106" s="621"/>
      <c r="I106" s="622"/>
      <c r="J106" s="611"/>
      <c r="K106" s="623" t="s">
        <v>1908</v>
      </c>
      <c r="L106" s="624" t="s">
        <v>1215</v>
      </c>
      <c r="M106" s="624" t="s">
        <v>1551</v>
      </c>
      <c r="N106" s="624" t="s">
        <v>1027</v>
      </c>
      <c r="O106" s="625"/>
      <c r="P106" s="611"/>
    </row>
    <row r="107" spans="2:154" ht="12.75" customHeight="1">
      <c r="B107" s="554" t="s">
        <v>401</v>
      </c>
      <c r="C107" s="3751" t="s">
        <v>1374</v>
      </c>
      <c r="D107" s="3751"/>
      <c r="E107" s="626"/>
      <c r="F107" s="627"/>
      <c r="G107" s="627">
        <v>102</v>
      </c>
      <c r="H107" s="615"/>
      <c r="I107" s="615"/>
      <c r="J107" s="611"/>
      <c r="K107" s="628"/>
      <c r="L107" s="629" t="s">
        <v>1217</v>
      </c>
      <c r="M107" s="629" t="s">
        <v>1059</v>
      </c>
      <c r="N107" s="617">
        <v>0</v>
      </c>
      <c r="O107" s="617"/>
      <c r="P107" s="611"/>
    </row>
    <row r="108" spans="2:154" ht="12.75" customHeight="1">
      <c r="B108" s="554" t="s">
        <v>1767</v>
      </c>
      <c r="C108" s="3751" t="s">
        <v>1375</v>
      </c>
      <c r="D108" s="3751"/>
      <c r="E108" s="626"/>
      <c r="F108" s="627"/>
      <c r="G108" s="627">
        <v>101</v>
      </c>
      <c r="H108" s="615"/>
      <c r="I108" s="615"/>
      <c r="J108" s="611"/>
      <c r="K108" s="628"/>
      <c r="L108" s="629" t="s">
        <v>394</v>
      </c>
      <c r="M108" s="629" t="s">
        <v>383</v>
      </c>
      <c r="N108" s="617">
        <v>0</v>
      </c>
      <c r="O108" s="617"/>
      <c r="P108" s="611"/>
    </row>
    <row r="109" spans="2:154" ht="12.75" customHeight="1">
      <c r="B109" s="554" t="s">
        <v>401</v>
      </c>
      <c r="C109" s="3751" t="s">
        <v>1376</v>
      </c>
      <c r="D109" s="3751"/>
      <c r="E109" s="626"/>
      <c r="F109" s="627"/>
      <c r="G109" s="627">
        <v>103</v>
      </c>
      <c r="H109" s="627">
        <v>120</v>
      </c>
      <c r="I109" s="630" t="s">
        <v>1909</v>
      </c>
      <c r="J109" s="611"/>
      <c r="K109" s="628"/>
      <c r="L109" s="629" t="s">
        <v>1910</v>
      </c>
      <c r="M109" s="629" t="s">
        <v>1911</v>
      </c>
      <c r="N109" s="629" t="s">
        <v>1912</v>
      </c>
      <c r="O109" s="631" t="s">
        <v>882</v>
      </c>
      <c r="P109" s="611"/>
    </row>
    <row r="110" spans="2:154" ht="12.75" customHeight="1">
      <c r="B110" s="554" t="s">
        <v>1769</v>
      </c>
      <c r="C110" s="3751" t="s">
        <v>1377</v>
      </c>
      <c r="D110" s="3751"/>
      <c r="E110" s="632"/>
      <c r="F110" s="632">
        <v>89</v>
      </c>
      <c r="G110" s="632">
        <v>104</v>
      </c>
      <c r="H110" s="632" t="s">
        <v>1913</v>
      </c>
      <c r="I110" s="632"/>
      <c r="J110" s="611"/>
      <c r="K110" s="633"/>
      <c r="L110" s="633" t="s">
        <v>124</v>
      </c>
      <c r="M110" s="633" t="s">
        <v>1160</v>
      </c>
      <c r="N110" s="633" t="s">
        <v>1914</v>
      </c>
      <c r="O110" s="633"/>
      <c r="P110" s="611"/>
    </row>
    <row r="111" spans="2:154" ht="12.75" customHeight="1">
      <c r="B111" s="554" t="s">
        <v>1767</v>
      </c>
      <c r="C111" s="3751" t="s">
        <v>1378</v>
      </c>
      <c r="D111" s="3751"/>
      <c r="E111" s="626"/>
      <c r="F111" s="626">
        <v>87</v>
      </c>
      <c r="G111" s="615"/>
      <c r="H111" s="615"/>
      <c r="I111" s="627" t="s">
        <v>1909</v>
      </c>
      <c r="J111" s="611"/>
      <c r="K111" s="628"/>
      <c r="L111" s="628" t="s">
        <v>343</v>
      </c>
      <c r="M111" s="617"/>
      <c r="N111" s="617"/>
      <c r="O111" s="629" t="s">
        <v>883</v>
      </c>
      <c r="P111" s="611"/>
    </row>
    <row r="112" spans="2:154">
      <c r="B112" s="559"/>
      <c r="C112" s="560"/>
      <c r="D112" s="561" t="s">
        <v>1379</v>
      </c>
      <c r="E112" s="634"/>
      <c r="F112" s="635">
        <v>88</v>
      </c>
      <c r="G112" s="636"/>
      <c r="H112" s="636"/>
      <c r="I112" s="636"/>
      <c r="J112" s="611"/>
      <c r="K112" s="628"/>
      <c r="L112" s="629" t="s">
        <v>334</v>
      </c>
      <c r="M112" s="617"/>
      <c r="N112" s="617"/>
      <c r="O112" s="617"/>
      <c r="P112" s="611"/>
    </row>
    <row r="113" spans="2:16">
      <c r="B113" s="559"/>
      <c r="C113" s="560"/>
      <c r="D113" s="561" t="s">
        <v>1380</v>
      </c>
      <c r="E113" s="634"/>
      <c r="F113" s="635"/>
      <c r="G113" s="636"/>
      <c r="H113" s="636"/>
      <c r="I113" s="636"/>
      <c r="J113" s="611"/>
      <c r="K113" s="628"/>
      <c r="L113" s="629" t="s">
        <v>1915</v>
      </c>
      <c r="M113" s="617"/>
      <c r="N113" s="617"/>
      <c r="O113" s="617"/>
      <c r="P113" s="611"/>
    </row>
    <row r="114" spans="2:16" ht="12.75" customHeight="1">
      <c r="B114" s="554" t="s">
        <v>1767</v>
      </c>
      <c r="C114" s="3751" t="s">
        <v>1381</v>
      </c>
      <c r="D114" s="3751"/>
      <c r="E114" s="626"/>
      <c r="F114" s="615"/>
      <c r="G114" s="615"/>
      <c r="H114" s="627">
        <v>113</v>
      </c>
      <c r="I114" s="627" t="s">
        <v>1916</v>
      </c>
      <c r="J114" s="611"/>
      <c r="K114" s="628"/>
      <c r="L114" s="617"/>
      <c r="M114" s="617"/>
      <c r="N114" s="629" t="s">
        <v>1801</v>
      </c>
      <c r="O114" s="629" t="s">
        <v>2084</v>
      </c>
      <c r="P114" s="611"/>
    </row>
    <row r="115" spans="2:16" ht="12.75" customHeight="1" thickBot="1">
      <c r="B115" s="554" t="s">
        <v>401</v>
      </c>
      <c r="C115" s="3751" t="s">
        <v>1488</v>
      </c>
      <c r="D115" s="3751"/>
      <c r="E115" s="626"/>
      <c r="F115" s="615"/>
      <c r="G115" s="615"/>
      <c r="H115" s="627">
        <v>123</v>
      </c>
      <c r="I115" s="627" t="s">
        <v>2085</v>
      </c>
      <c r="J115" s="611"/>
      <c r="K115" s="628"/>
      <c r="L115" s="617"/>
      <c r="M115" s="617"/>
      <c r="N115" s="629" t="s">
        <v>2086</v>
      </c>
      <c r="O115" s="629" t="s">
        <v>2087</v>
      </c>
      <c r="P115" s="611"/>
    </row>
    <row r="116" spans="2:16" ht="12.75" customHeight="1">
      <c r="B116" s="554" t="s">
        <v>1767</v>
      </c>
      <c r="C116" s="3751" t="s">
        <v>1489</v>
      </c>
      <c r="D116" s="3751"/>
      <c r="E116" s="626"/>
      <c r="F116" s="627">
        <v>90</v>
      </c>
      <c r="G116" s="627">
        <v>105</v>
      </c>
      <c r="H116" s="637"/>
      <c r="I116" s="627" t="s">
        <v>1909</v>
      </c>
      <c r="J116" s="611"/>
      <c r="K116" s="628"/>
      <c r="L116" s="629" t="s">
        <v>2088</v>
      </c>
      <c r="M116" s="629" t="s">
        <v>1162</v>
      </c>
      <c r="N116" s="638"/>
      <c r="O116" s="629" t="s">
        <v>885</v>
      </c>
      <c r="P116" s="611"/>
    </row>
    <row r="117" spans="2:16">
      <c r="B117" s="564"/>
      <c r="C117" s="571"/>
      <c r="D117" s="572" t="s">
        <v>985</v>
      </c>
      <c r="E117" s="643"/>
      <c r="F117" s="615"/>
      <c r="G117" s="615"/>
      <c r="H117" s="639" t="s">
        <v>1913</v>
      </c>
      <c r="I117" s="615"/>
      <c r="J117" s="611"/>
      <c r="K117" s="628"/>
      <c r="L117" s="617"/>
      <c r="M117" s="617"/>
      <c r="N117" s="640" t="s">
        <v>387</v>
      </c>
      <c r="O117" s="617"/>
      <c r="P117" s="611"/>
    </row>
    <row r="118" spans="2:16">
      <c r="B118" s="564"/>
      <c r="C118" s="571"/>
      <c r="D118" s="572" t="s">
        <v>986</v>
      </c>
      <c r="E118" s="643"/>
      <c r="F118" s="615"/>
      <c r="G118" s="615"/>
      <c r="H118" s="639" t="s">
        <v>1695</v>
      </c>
      <c r="I118" s="615"/>
      <c r="J118" s="611"/>
      <c r="K118" s="628"/>
      <c r="L118" s="617"/>
      <c r="M118" s="617"/>
      <c r="N118" s="640"/>
      <c r="O118" s="617"/>
      <c r="P118" s="611"/>
    </row>
    <row r="119" spans="2:16" ht="13.5" thickBot="1">
      <c r="B119" s="564"/>
      <c r="C119" s="571"/>
      <c r="D119" s="572" t="s">
        <v>1490</v>
      </c>
      <c r="E119" s="643"/>
      <c r="F119" s="615"/>
      <c r="G119" s="615"/>
      <c r="H119" s="641">
        <v>122</v>
      </c>
      <c r="I119" s="615"/>
      <c r="J119" s="611"/>
      <c r="K119" s="628"/>
      <c r="L119" s="617"/>
      <c r="M119" s="617"/>
      <c r="N119" s="642" t="s">
        <v>2069</v>
      </c>
      <c r="O119" s="617"/>
      <c r="P119" s="611"/>
    </row>
    <row r="120" spans="2:16" ht="12.75" customHeight="1">
      <c r="B120" s="554" t="s">
        <v>1769</v>
      </c>
      <c r="C120" s="3751" t="s">
        <v>1491</v>
      </c>
      <c r="D120" s="3751"/>
      <c r="E120" s="632"/>
      <c r="F120" s="632"/>
      <c r="G120" s="632"/>
      <c r="H120" s="632"/>
      <c r="I120" s="632"/>
      <c r="J120" s="611"/>
      <c r="K120" s="633"/>
      <c r="L120" s="633" t="s">
        <v>2070</v>
      </c>
      <c r="M120" s="633" t="s">
        <v>2071</v>
      </c>
      <c r="N120" s="633" t="s">
        <v>2072</v>
      </c>
      <c r="O120" s="633"/>
      <c r="P120" s="611"/>
    </row>
    <row r="121" spans="2:16" ht="13.5" customHeight="1" thickBot="1">
      <c r="B121" s="554" t="s">
        <v>1767</v>
      </c>
      <c r="C121" s="3751" t="s">
        <v>614</v>
      </c>
      <c r="D121" s="3751"/>
      <c r="E121" s="626"/>
      <c r="F121" s="615"/>
      <c r="G121" s="615"/>
      <c r="H121" s="627">
        <v>114</v>
      </c>
      <c r="I121" s="644" t="s">
        <v>988</v>
      </c>
      <c r="J121" s="611"/>
      <c r="K121" s="628"/>
      <c r="L121" s="617"/>
      <c r="M121" s="617"/>
      <c r="N121" s="629" t="s">
        <v>989</v>
      </c>
      <c r="O121" s="645" t="s">
        <v>990</v>
      </c>
      <c r="P121" s="611"/>
    </row>
    <row r="122" spans="2:16" ht="12.75" customHeight="1">
      <c r="B122" s="554" t="s">
        <v>1767</v>
      </c>
      <c r="C122" s="3751" t="s">
        <v>567</v>
      </c>
      <c r="D122" s="3751"/>
      <c r="E122" s="626"/>
      <c r="F122" s="627" t="s">
        <v>991</v>
      </c>
      <c r="G122" s="627" t="s">
        <v>992</v>
      </c>
      <c r="H122" s="637">
        <v>115</v>
      </c>
      <c r="I122" s="627" t="s">
        <v>988</v>
      </c>
      <c r="J122" s="611"/>
      <c r="K122" s="628"/>
      <c r="L122" s="629" t="s">
        <v>993</v>
      </c>
      <c r="M122" s="629" t="s">
        <v>994</v>
      </c>
      <c r="N122" s="638" t="s">
        <v>995</v>
      </c>
      <c r="O122" s="629" t="s">
        <v>996</v>
      </c>
      <c r="P122" s="611"/>
    </row>
    <row r="123" spans="2:16">
      <c r="B123" s="564"/>
      <c r="C123" s="565"/>
      <c r="D123" s="566" t="s">
        <v>1461</v>
      </c>
      <c r="E123" s="643"/>
      <c r="F123" s="646"/>
      <c r="G123" s="646"/>
      <c r="H123" s="639"/>
      <c r="I123" s="646"/>
      <c r="J123" s="611"/>
      <c r="K123" s="628"/>
      <c r="L123" s="647"/>
      <c r="M123" s="647"/>
      <c r="N123" s="640" t="s">
        <v>2006</v>
      </c>
      <c r="O123" s="647"/>
      <c r="P123" s="611"/>
    </row>
    <row r="124" spans="2:16" ht="13.5" thickBot="1">
      <c r="B124" s="564"/>
      <c r="C124" s="565"/>
      <c r="D124" s="566" t="s">
        <v>1334</v>
      </c>
      <c r="E124" s="643"/>
      <c r="F124" s="646"/>
      <c r="G124" s="646"/>
      <c r="H124" s="641">
        <v>116</v>
      </c>
      <c r="I124" s="646"/>
      <c r="J124" s="611"/>
      <c r="K124" s="628"/>
      <c r="L124" s="647"/>
      <c r="M124" s="647"/>
      <c r="N124" s="642" t="s">
        <v>385</v>
      </c>
      <c r="O124" s="647"/>
      <c r="P124" s="611"/>
    </row>
    <row r="125" spans="2:16" ht="12.75" customHeight="1">
      <c r="B125" s="554" t="s">
        <v>1767</v>
      </c>
      <c r="C125" s="3751" t="s">
        <v>1335</v>
      </c>
      <c r="D125" s="3751"/>
      <c r="E125" s="626"/>
      <c r="F125" s="627" t="s">
        <v>997</v>
      </c>
      <c r="G125" s="615"/>
      <c r="H125" s="615"/>
      <c r="I125" s="627" t="s">
        <v>988</v>
      </c>
      <c r="J125" s="611"/>
      <c r="K125" s="628"/>
      <c r="L125" s="629" t="s">
        <v>993</v>
      </c>
      <c r="M125" s="617"/>
      <c r="N125" s="617"/>
      <c r="O125" s="629" t="s">
        <v>996</v>
      </c>
      <c r="P125" s="611"/>
    </row>
    <row r="126" spans="2:16" ht="12.75" customHeight="1">
      <c r="B126" s="554" t="s">
        <v>1767</v>
      </c>
      <c r="C126" s="3751" t="s">
        <v>1336</v>
      </c>
      <c r="D126" s="3751"/>
      <c r="E126" s="626"/>
      <c r="F126" s="627" t="s">
        <v>997</v>
      </c>
      <c r="G126" s="627" t="s">
        <v>992</v>
      </c>
      <c r="H126" s="627" t="s">
        <v>1913</v>
      </c>
      <c r="I126" s="627" t="s">
        <v>988</v>
      </c>
      <c r="J126" s="611"/>
      <c r="K126" s="628"/>
      <c r="L126" s="629" t="s">
        <v>13</v>
      </c>
      <c r="M126" s="629" t="s">
        <v>1553</v>
      </c>
      <c r="N126" s="629" t="s">
        <v>317</v>
      </c>
      <c r="O126" s="629" t="s">
        <v>895</v>
      </c>
      <c r="P126" s="611"/>
    </row>
    <row r="127" spans="2:16" ht="12.75" customHeight="1">
      <c r="B127" s="554" t="s">
        <v>1769</v>
      </c>
      <c r="C127" s="3751" t="s">
        <v>1337</v>
      </c>
      <c r="D127" s="3751"/>
      <c r="E127" s="632"/>
      <c r="F127" s="632"/>
      <c r="G127" s="632"/>
      <c r="H127" s="632"/>
      <c r="I127" s="632"/>
      <c r="J127" s="611"/>
      <c r="K127" s="633"/>
      <c r="L127" s="633" t="s">
        <v>998</v>
      </c>
      <c r="M127" s="633" t="s">
        <v>999</v>
      </c>
      <c r="N127" s="633" t="s">
        <v>1000</v>
      </c>
      <c r="O127" s="633"/>
      <c r="P127" s="611"/>
    </row>
    <row r="128" spans="2:16" ht="12.75" customHeight="1">
      <c r="B128" s="554" t="s">
        <v>401</v>
      </c>
      <c r="C128" s="3751" t="s">
        <v>1338</v>
      </c>
      <c r="D128" s="3751"/>
      <c r="E128" s="626"/>
      <c r="F128" s="627">
        <v>92</v>
      </c>
      <c r="G128" s="627">
        <v>107</v>
      </c>
      <c r="H128" s="627" t="s">
        <v>1695</v>
      </c>
      <c r="I128" s="627" t="s">
        <v>988</v>
      </c>
      <c r="J128" s="611"/>
      <c r="K128" s="628"/>
      <c r="L128" s="629" t="s">
        <v>1438</v>
      </c>
      <c r="M128" s="629" t="s">
        <v>1966</v>
      </c>
      <c r="N128" s="629" t="s">
        <v>384</v>
      </c>
      <c r="O128" s="629" t="s">
        <v>893</v>
      </c>
      <c r="P128" s="611"/>
    </row>
    <row r="129" spans="2:16" ht="12.75" customHeight="1">
      <c r="B129" s="554" t="s">
        <v>401</v>
      </c>
      <c r="C129" s="3751" t="s">
        <v>1339</v>
      </c>
      <c r="D129" s="3751"/>
      <c r="E129" s="626"/>
      <c r="F129" s="627" t="s">
        <v>997</v>
      </c>
      <c r="G129" s="615"/>
      <c r="H129" s="615"/>
      <c r="I129" s="627" t="s">
        <v>988</v>
      </c>
      <c r="J129" s="611"/>
      <c r="K129" s="628"/>
      <c r="L129" s="629" t="s">
        <v>1696</v>
      </c>
      <c r="M129" s="617"/>
      <c r="N129" s="617"/>
      <c r="O129" s="629" t="s">
        <v>1697</v>
      </c>
      <c r="P129" s="611"/>
    </row>
    <row r="130" spans="2:16" ht="12.75" customHeight="1">
      <c r="B130" s="554" t="s">
        <v>401</v>
      </c>
      <c r="C130" s="3751" t="s">
        <v>1340</v>
      </c>
      <c r="D130" s="3751"/>
      <c r="E130" s="626"/>
      <c r="F130" s="627" t="s">
        <v>991</v>
      </c>
      <c r="G130" s="627" t="s">
        <v>992</v>
      </c>
      <c r="H130" s="627">
        <v>121</v>
      </c>
      <c r="I130" s="627" t="s">
        <v>988</v>
      </c>
      <c r="J130" s="611"/>
      <c r="K130" s="628"/>
      <c r="L130" s="629" t="s">
        <v>1696</v>
      </c>
      <c r="M130" s="629" t="s">
        <v>1556</v>
      </c>
      <c r="N130" s="629" t="s">
        <v>1698</v>
      </c>
      <c r="O130" s="629" t="s">
        <v>1697</v>
      </c>
      <c r="P130" s="611"/>
    </row>
    <row r="131" spans="2:16" ht="12.75" customHeight="1">
      <c r="B131" s="554" t="s">
        <v>401</v>
      </c>
      <c r="C131" s="3751" t="s">
        <v>1341</v>
      </c>
      <c r="D131" s="3751"/>
      <c r="E131" s="626"/>
      <c r="F131" s="627" t="s">
        <v>991</v>
      </c>
      <c r="G131" s="627" t="s">
        <v>992</v>
      </c>
      <c r="H131" s="627" t="s">
        <v>1695</v>
      </c>
      <c r="I131" s="627" t="s">
        <v>988</v>
      </c>
      <c r="J131" s="611"/>
      <c r="K131" s="628"/>
      <c r="L131" s="629" t="s">
        <v>15</v>
      </c>
      <c r="M131" s="629" t="s">
        <v>1554</v>
      </c>
      <c r="N131" s="629" t="s">
        <v>318</v>
      </c>
      <c r="O131" s="629" t="s">
        <v>894</v>
      </c>
      <c r="P131" s="611"/>
    </row>
    <row r="132" spans="2:16" ht="12.75" customHeight="1">
      <c r="B132" s="554" t="s">
        <v>1769</v>
      </c>
      <c r="C132" s="3751" t="s">
        <v>500</v>
      </c>
      <c r="D132" s="3751"/>
      <c r="E132" s="632"/>
      <c r="F132" s="632"/>
      <c r="G132" s="632"/>
      <c r="H132" s="632"/>
      <c r="I132" s="632"/>
      <c r="J132" s="611"/>
      <c r="K132" s="633"/>
      <c r="L132" s="633" t="s">
        <v>1699</v>
      </c>
      <c r="M132" s="633" t="s">
        <v>1462</v>
      </c>
      <c r="N132" s="633" t="s">
        <v>1463</v>
      </c>
      <c r="O132" s="633"/>
      <c r="P132" s="611"/>
    </row>
    <row r="133" spans="2:16" ht="13.5" customHeight="1" thickBot="1">
      <c r="B133" s="554" t="s">
        <v>1767</v>
      </c>
      <c r="C133" s="3751" t="s">
        <v>1295</v>
      </c>
      <c r="D133" s="3751"/>
      <c r="E133" s="626"/>
      <c r="F133" s="627">
        <v>94</v>
      </c>
      <c r="G133" s="627">
        <v>108</v>
      </c>
      <c r="H133" s="627" t="s">
        <v>1464</v>
      </c>
      <c r="I133" s="615"/>
      <c r="J133" s="611"/>
      <c r="K133" s="628"/>
      <c r="L133" s="629" t="s">
        <v>16</v>
      </c>
      <c r="M133" s="629" t="s">
        <v>1552</v>
      </c>
      <c r="N133" s="629" t="s">
        <v>1464</v>
      </c>
      <c r="O133" s="617"/>
      <c r="P133" s="611"/>
    </row>
    <row r="134" spans="2:16" ht="12.75" customHeight="1">
      <c r="B134" s="554" t="s">
        <v>401</v>
      </c>
      <c r="C134" s="3751" t="s">
        <v>821</v>
      </c>
      <c r="D134" s="3751"/>
      <c r="E134" s="626"/>
      <c r="F134" s="648">
        <v>95</v>
      </c>
      <c r="G134" s="649"/>
      <c r="H134" s="637"/>
      <c r="I134" s="650"/>
      <c r="J134" s="611"/>
      <c r="K134" s="628"/>
      <c r="L134" s="651" t="s">
        <v>1895</v>
      </c>
      <c r="M134" s="652"/>
      <c r="N134" s="638" t="s">
        <v>1897</v>
      </c>
      <c r="O134" s="653"/>
      <c r="P134" s="611"/>
    </row>
    <row r="135" spans="2:16">
      <c r="B135" s="554"/>
      <c r="C135" s="582"/>
      <c r="D135" s="583" t="s">
        <v>1644</v>
      </c>
      <c r="E135" s="643"/>
      <c r="F135" s="615"/>
      <c r="G135" s="649"/>
      <c r="H135" s="654">
        <v>119</v>
      </c>
      <c r="I135" s="650"/>
      <c r="J135" s="611"/>
      <c r="K135" s="628"/>
      <c r="L135" s="617"/>
      <c r="M135" s="652"/>
      <c r="N135" s="655" t="s">
        <v>744</v>
      </c>
      <c r="O135" s="653"/>
      <c r="P135" s="611"/>
    </row>
    <row r="136" spans="2:16" ht="13.5" thickBot="1">
      <c r="B136" s="564"/>
      <c r="C136" s="582"/>
      <c r="D136" s="583" t="s">
        <v>1645</v>
      </c>
      <c r="E136" s="643"/>
      <c r="F136" s="615"/>
      <c r="G136" s="649"/>
      <c r="H136" s="656">
        <v>118</v>
      </c>
      <c r="I136" s="650"/>
      <c r="J136" s="611"/>
      <c r="K136" s="628"/>
      <c r="L136" s="617"/>
      <c r="M136" s="652"/>
      <c r="N136" s="657" t="s">
        <v>745</v>
      </c>
      <c r="O136" s="653"/>
      <c r="P136" s="611"/>
    </row>
    <row r="137" spans="2:16" ht="12.75" customHeight="1">
      <c r="B137" s="554" t="s">
        <v>1769</v>
      </c>
      <c r="C137" s="3751" t="s">
        <v>1323</v>
      </c>
      <c r="D137" s="3751"/>
      <c r="E137" s="632"/>
      <c r="F137" s="632"/>
      <c r="G137" s="632"/>
      <c r="H137" s="632"/>
      <c r="I137" s="632"/>
      <c r="J137" s="611"/>
      <c r="K137" s="633"/>
      <c r="L137" s="633" t="s">
        <v>1465</v>
      </c>
      <c r="M137" s="633" t="s">
        <v>1466</v>
      </c>
      <c r="N137" s="633" t="s">
        <v>1467</v>
      </c>
      <c r="O137" s="633"/>
      <c r="P137" s="611"/>
    </row>
    <row r="138" spans="2:16" ht="12.75" customHeight="1">
      <c r="B138" s="554" t="s">
        <v>1767</v>
      </c>
      <c r="C138" s="3751" t="s">
        <v>1324</v>
      </c>
      <c r="D138" s="3751"/>
      <c r="E138" s="626"/>
      <c r="F138" s="627" t="s">
        <v>1468</v>
      </c>
      <c r="G138" s="627" t="s">
        <v>669</v>
      </c>
      <c r="H138" s="626"/>
      <c r="I138" s="627">
        <v>142</v>
      </c>
      <c r="J138" s="611"/>
      <c r="K138" s="628"/>
      <c r="L138" s="629" t="s">
        <v>1064</v>
      </c>
      <c r="M138" s="629" t="s">
        <v>114</v>
      </c>
      <c r="N138" s="628" t="s">
        <v>670</v>
      </c>
      <c r="O138" s="629" t="s">
        <v>886</v>
      </c>
      <c r="P138" s="611"/>
    </row>
    <row r="139" spans="2:16">
      <c r="B139" s="564"/>
      <c r="C139" s="582"/>
      <c r="D139" s="583" t="s">
        <v>1813</v>
      </c>
      <c r="E139" s="626"/>
      <c r="F139" s="615"/>
      <c r="G139" s="615"/>
      <c r="H139" s="658">
        <v>130</v>
      </c>
      <c r="I139" s="615"/>
      <c r="J139" s="611"/>
      <c r="K139" s="628"/>
      <c r="L139" s="617"/>
      <c r="M139" s="617"/>
      <c r="N139" s="629" t="s">
        <v>319</v>
      </c>
      <c r="O139" s="617"/>
      <c r="P139" s="611"/>
    </row>
    <row r="140" spans="2:16">
      <c r="B140" s="564"/>
      <c r="C140" s="582"/>
      <c r="D140" s="583" t="s">
        <v>1156</v>
      </c>
      <c r="E140" s="626"/>
      <c r="F140" s="615"/>
      <c r="G140" s="615"/>
      <c r="H140" s="658">
        <v>148</v>
      </c>
      <c r="I140" s="615"/>
      <c r="J140" s="611"/>
      <c r="K140" s="628"/>
      <c r="L140" s="617"/>
      <c r="M140" s="617"/>
      <c r="N140" s="629"/>
      <c r="O140" s="617"/>
      <c r="P140" s="611"/>
    </row>
    <row r="141" spans="2:16">
      <c r="B141" s="564"/>
      <c r="C141" s="582"/>
      <c r="D141" s="583" t="s">
        <v>2083</v>
      </c>
      <c r="E141" s="626"/>
      <c r="F141" s="615"/>
      <c r="G141" s="615"/>
      <c r="H141" s="658" t="s">
        <v>671</v>
      </c>
      <c r="I141" s="615"/>
      <c r="J141" s="611"/>
      <c r="K141" s="628"/>
      <c r="L141" s="617"/>
      <c r="M141" s="617"/>
      <c r="N141" s="629" t="s">
        <v>320</v>
      </c>
      <c r="O141" s="617"/>
      <c r="P141" s="611"/>
    </row>
    <row r="142" spans="2:16">
      <c r="B142" s="564"/>
      <c r="C142" s="582"/>
      <c r="D142" s="583" t="s">
        <v>374</v>
      </c>
      <c r="E142" s="626"/>
      <c r="F142" s="615"/>
      <c r="G142" s="615"/>
      <c r="H142" s="658" t="s">
        <v>672</v>
      </c>
      <c r="I142" s="615"/>
      <c r="J142" s="611"/>
      <c r="K142" s="628"/>
      <c r="L142" s="617"/>
      <c r="M142" s="617"/>
      <c r="N142" s="629" t="s">
        <v>1175</v>
      </c>
      <c r="O142" s="617"/>
      <c r="P142" s="611"/>
    </row>
    <row r="143" spans="2:16" ht="12.75" customHeight="1">
      <c r="B143" s="554" t="s">
        <v>401</v>
      </c>
      <c r="C143" s="3751" t="s">
        <v>375</v>
      </c>
      <c r="D143" s="3751"/>
      <c r="E143" s="626"/>
      <c r="F143" s="627" t="s">
        <v>1468</v>
      </c>
      <c r="G143" s="627" t="s">
        <v>669</v>
      </c>
      <c r="H143" s="627" t="s">
        <v>672</v>
      </c>
      <c r="I143" s="627"/>
      <c r="J143" s="611"/>
      <c r="K143" s="628"/>
      <c r="L143" s="629" t="s">
        <v>19</v>
      </c>
      <c r="M143" s="629" t="s">
        <v>1557</v>
      </c>
      <c r="N143" s="629" t="s">
        <v>673</v>
      </c>
      <c r="O143" s="629" t="s">
        <v>674</v>
      </c>
      <c r="P143" s="611"/>
    </row>
    <row r="144" spans="2:16" ht="12.75" customHeight="1">
      <c r="B144" s="554" t="s">
        <v>401</v>
      </c>
      <c r="C144" s="3751" t="s">
        <v>376</v>
      </c>
      <c r="D144" s="3751"/>
      <c r="E144" s="648"/>
      <c r="F144" s="648" t="s">
        <v>675</v>
      </c>
      <c r="G144" s="648" t="s">
        <v>676</v>
      </c>
      <c r="H144" s="648">
        <v>126</v>
      </c>
      <c r="I144" s="615"/>
      <c r="J144" s="611"/>
      <c r="K144" s="651"/>
      <c r="L144" s="651" t="s">
        <v>428</v>
      </c>
      <c r="M144" s="651" t="s">
        <v>1558</v>
      </c>
      <c r="N144" s="651" t="s">
        <v>1176</v>
      </c>
      <c r="O144" s="617"/>
      <c r="P144" s="611"/>
    </row>
    <row r="145" spans="2:16" ht="12.75" customHeight="1">
      <c r="B145" s="554" t="s">
        <v>401</v>
      </c>
      <c r="C145" s="3751" t="s">
        <v>377</v>
      </c>
      <c r="D145" s="3751"/>
      <c r="E145" s="648"/>
      <c r="F145" s="627" t="s">
        <v>675</v>
      </c>
      <c r="G145" s="627" t="s">
        <v>676</v>
      </c>
      <c r="H145" s="627" t="s">
        <v>672</v>
      </c>
      <c r="I145" s="615"/>
      <c r="J145" s="611"/>
      <c r="K145" s="651"/>
      <c r="L145" s="629" t="s">
        <v>677</v>
      </c>
      <c r="M145" s="629" t="s">
        <v>503</v>
      </c>
      <c r="N145" s="629" t="s">
        <v>504</v>
      </c>
      <c r="O145" s="617"/>
      <c r="P145" s="611"/>
    </row>
    <row r="146" spans="2:16" ht="12.75" customHeight="1">
      <c r="B146" s="608" t="s">
        <v>1769</v>
      </c>
      <c r="C146" s="3751" t="s">
        <v>378</v>
      </c>
      <c r="D146" s="3751"/>
      <c r="E146" s="659"/>
      <c r="F146" s="659"/>
      <c r="G146" s="659"/>
      <c r="H146" s="659"/>
      <c r="I146" s="659"/>
      <c r="J146" s="611"/>
      <c r="K146" s="660"/>
      <c r="L146" s="660" t="s">
        <v>505</v>
      </c>
      <c r="M146" s="660" t="s">
        <v>506</v>
      </c>
      <c r="N146" s="660" t="s">
        <v>507</v>
      </c>
      <c r="O146" s="660" t="s">
        <v>508</v>
      </c>
      <c r="P146" s="611"/>
    </row>
    <row r="147" spans="2:16" ht="12.75" customHeight="1">
      <c r="B147" s="591"/>
      <c r="C147" s="3751"/>
      <c r="D147" s="3751"/>
      <c r="E147" s="661"/>
      <c r="F147" s="662"/>
      <c r="G147" s="662"/>
      <c r="H147" s="662"/>
      <c r="I147" s="662"/>
      <c r="J147" s="662"/>
      <c r="K147" s="661"/>
      <c r="L147" s="662"/>
      <c r="M147" s="662"/>
      <c r="N147" s="662"/>
      <c r="O147" s="662"/>
      <c r="P147" s="662"/>
    </row>
  </sheetData>
  <mergeCells count="149">
    <mergeCell ref="ES2:EX3"/>
    <mergeCell ref="ES51:EX52"/>
    <mergeCell ref="C120:D120"/>
    <mergeCell ref="C121:D121"/>
    <mergeCell ref="C122:D122"/>
    <mergeCell ref="C115:D115"/>
    <mergeCell ref="C100:D102"/>
    <mergeCell ref="C146:D146"/>
    <mergeCell ref="C147:D147"/>
    <mergeCell ref="C138:D138"/>
    <mergeCell ref="C143:D143"/>
    <mergeCell ref="C144:D144"/>
    <mergeCell ref="C145:D145"/>
    <mergeCell ref="C126:D126"/>
    <mergeCell ref="C127:D127"/>
    <mergeCell ref="C125:D125"/>
    <mergeCell ref="C134:D134"/>
    <mergeCell ref="C137:D137"/>
    <mergeCell ref="C132:D132"/>
    <mergeCell ref="C133:D133"/>
    <mergeCell ref="C128:D128"/>
    <mergeCell ref="C129:D129"/>
    <mergeCell ref="C130:D130"/>
    <mergeCell ref="C131:D131"/>
    <mergeCell ref="C109:D109"/>
    <mergeCell ref="C105:D105"/>
    <mergeCell ref="C106:D106"/>
    <mergeCell ref="C107:D107"/>
    <mergeCell ref="C108:D108"/>
    <mergeCell ref="C116:D116"/>
    <mergeCell ref="E100:J101"/>
    <mergeCell ref="K100:P101"/>
    <mergeCell ref="C103:D103"/>
    <mergeCell ref="C110:D110"/>
    <mergeCell ref="C111:D111"/>
    <mergeCell ref="C114:D114"/>
    <mergeCell ref="C97:D97"/>
    <mergeCell ref="C98:D98"/>
    <mergeCell ref="C95:D95"/>
    <mergeCell ref="C96:D96"/>
    <mergeCell ref="C104:D104"/>
    <mergeCell ref="C89:D89"/>
    <mergeCell ref="C79:D79"/>
    <mergeCell ref="C80:D80"/>
    <mergeCell ref="C81:D81"/>
    <mergeCell ref="C82:D82"/>
    <mergeCell ref="C83:D83"/>
    <mergeCell ref="C84:D84"/>
    <mergeCell ref="C85:D85"/>
    <mergeCell ref="C88:D88"/>
    <mergeCell ref="C78:D78"/>
    <mergeCell ref="C71:D71"/>
    <mergeCell ref="C72:D72"/>
    <mergeCell ref="C66:D66"/>
    <mergeCell ref="C67:D67"/>
    <mergeCell ref="C73:D73"/>
    <mergeCell ref="C65:D65"/>
    <mergeCell ref="C58:D58"/>
    <mergeCell ref="C94:D94"/>
    <mergeCell ref="C59:D59"/>
    <mergeCell ref="AC2:AH3"/>
    <mergeCell ref="AI2:AN3"/>
    <mergeCell ref="C10:D10"/>
    <mergeCell ref="C55:D55"/>
    <mergeCell ref="C54:D54"/>
    <mergeCell ref="C77:D77"/>
    <mergeCell ref="C61:D61"/>
    <mergeCell ref="C62:D62"/>
    <mergeCell ref="C76:D76"/>
    <mergeCell ref="C60:D60"/>
    <mergeCell ref="C56:D56"/>
    <mergeCell ref="C57:D57"/>
    <mergeCell ref="C40:D40"/>
    <mergeCell ref="C45:D45"/>
    <mergeCell ref="E2:J3"/>
    <mergeCell ref="E51:J52"/>
    <mergeCell ref="C9:D9"/>
    <mergeCell ref="C17:D17"/>
    <mergeCell ref="C22:D22"/>
    <mergeCell ref="C36:D36"/>
    <mergeCell ref="C30:D30"/>
    <mergeCell ref="BS51:BX52"/>
    <mergeCell ref="C48:D48"/>
    <mergeCell ref="C49:D49"/>
    <mergeCell ref="C46:D46"/>
    <mergeCell ref="C47:D47"/>
    <mergeCell ref="C34:D34"/>
    <mergeCell ref="C35:D35"/>
    <mergeCell ref="K2:P3"/>
    <mergeCell ref="BM51:BR52"/>
    <mergeCell ref="BG51:BL52"/>
    <mergeCell ref="K51:P52"/>
    <mergeCell ref="W51:AB52"/>
    <mergeCell ref="BA51:BF52"/>
    <mergeCell ref="AI51:AN52"/>
    <mergeCell ref="AO51:AT52"/>
    <mergeCell ref="AU51:AZ52"/>
    <mergeCell ref="AC51:AH52"/>
    <mergeCell ref="Q51:V52"/>
    <mergeCell ref="BA2:BF3"/>
    <mergeCell ref="AO2:AT3"/>
    <mergeCell ref="C31:D31"/>
    <mergeCell ref="C18:D18"/>
    <mergeCell ref="C24:D24"/>
    <mergeCell ref="C11:D11"/>
    <mergeCell ref="BG2:BL3"/>
    <mergeCell ref="BM2:BR3"/>
    <mergeCell ref="BS2:BX3"/>
    <mergeCell ref="BY51:CD52"/>
    <mergeCell ref="Q2:V3"/>
    <mergeCell ref="W2:AB3"/>
    <mergeCell ref="C39:D39"/>
    <mergeCell ref="CE2:CJ3"/>
    <mergeCell ref="BY2:CD3"/>
    <mergeCell ref="C6:D6"/>
    <mergeCell ref="C7:D7"/>
    <mergeCell ref="C8:D8"/>
    <mergeCell ref="C12:D12"/>
    <mergeCell ref="C28:D28"/>
    <mergeCell ref="C33:D33"/>
    <mergeCell ref="C23:D23"/>
    <mergeCell ref="C29:D29"/>
    <mergeCell ref="C5:D5"/>
    <mergeCell ref="AU2:AZ3"/>
    <mergeCell ref="CE51:CJ52"/>
    <mergeCell ref="C13:D13"/>
    <mergeCell ref="C16:D16"/>
    <mergeCell ref="C27:D27"/>
    <mergeCell ref="C32:D32"/>
    <mergeCell ref="DC51:DH52"/>
    <mergeCell ref="CW2:DB3"/>
    <mergeCell ref="CW51:DB52"/>
    <mergeCell ref="CK2:CP3"/>
    <mergeCell ref="DC2:DH3"/>
    <mergeCell ref="CQ2:CV3"/>
    <mergeCell ref="EM2:ER3"/>
    <mergeCell ref="EM51:ER52"/>
    <mergeCell ref="DO2:DT3"/>
    <mergeCell ref="DO51:DT52"/>
    <mergeCell ref="EG2:EL3"/>
    <mergeCell ref="EG51:EL52"/>
    <mergeCell ref="EA2:EF3"/>
    <mergeCell ref="EA51:EF52"/>
    <mergeCell ref="DU2:DZ3"/>
    <mergeCell ref="DU51:DZ52"/>
    <mergeCell ref="DI2:DN3"/>
    <mergeCell ref="DI51:DN52"/>
    <mergeCell ref="CQ51:CV52"/>
    <mergeCell ref="CK51:CP52"/>
  </mergeCells>
  <phoneticPr fontId="60" type="noConversion"/>
  <conditionalFormatting sqref="J103:J146 P103:P146">
    <cfRule type="cellIs" dxfId="24" priority="28" stopIfTrue="1" operator="notBetween">
      <formula>-0.05</formula>
      <formula>0.05</formula>
    </cfRule>
  </conditionalFormatting>
  <conditionalFormatting sqref="CD89 CD94 CD79:CD82 CD84 V89 V94 V79:V82 V84 AB89 AB94 AB79:AB82 AB84 AB96:AB97 AH89 AH94 AH79:AH82 AH84 AH96:AH97 AN89 AN94 AN79:AN82 AN84 AN96:AN97 AT89 AT94 AT79:AT82 AT84 AT96:AT97 AZ89 AZ94 AZ79:AZ82 AZ84 AZ96:AZ97 BX89 BX94 BX79:BX82 BX84 BF89 J96:J97 BF94 BF79:BF82 BF84 BF96:BF97 BR89 CD96:CD97 BR94 BR79:BR82 BR84 BR96:BR97 J89 V96:V97 J94 J79:J82 J84 P89 BX96:BX97 P94 P79:P82 P84 P96:P97 BL89 BL94 BL79:BL82 BL84 BL96:BL97 CJ89 CJ94 CJ79:CJ82 CJ84 CJ96:CJ97 CP89 CP94 CP79:CP82 CP84 CP96:CP97 CD57 J57 CD62 CD65:CD67 V57 AB57 V62 V65:V67 AH57 AB62 AB65:AB67 AN57 AH62 AH65:AH67 AT57 AN62 AN65:AN67 AZ57 AT62 AT65:AT67 BF57 AZ62 AZ65:AZ67 BX57 BR57 BX62 BX65:BX67 BF62 BF65:BF67 BR62 BR65:BR67 P57 J62 J65:J67 P62 P65:P67 BL57 BL62 BL65:BL67 CJ57 CJ62 CJ65:CJ67 CP57 CP62 CP65:CP67 CV89 CV94 CV79:CV82 CV84 CV96:CV97 CV57 CV62 CV65:CV67 DB89 DB94 DB79:DB82 DB84 DB96:DB97 DB57 DB62 DB65:DB67 DH89 DH94 DH79:DH82 DH84 DH96:DH97 DH57 DH62 DH65:DH67 DN89 DN94 DN79:DN82 DN84 DN96:DN97 DN57 DN62 DN65:DN67">
    <cfRule type="cellIs" dxfId="23" priority="14" stopIfTrue="1" operator="equal">
      <formula>"!"</formula>
    </cfRule>
  </conditionalFormatting>
  <conditionalFormatting sqref="CD90:CD93 CD68:CD78 CD83 CD95 V90:V93 V68:V78 V83 V95 V85:V88 CD85:CD88 AB90:AB93 AB68:AB78 AB83 AB95 AB85:AB88 AH90:AH93 AH68:AH78 AH83 AH95 AH85:AH88 AN90:AN93 AN68:AN78 AN83 AN95 AN85:AN88 AT90:AT93 AT68:AT78 AT83 AT95 AZ90:AZ93 AZ68:AZ78 AZ83 AZ95 BX90:BX93 BX68:BX78 BX83 BX95 BX85:BX88 BF90:BF93 BF68:BF78 BF83 BF95 BR90:BR93 BR68:BR78 BR83 BR95 BR85:BR88 P90:P93 P68:P78 P83 P95 P85:P88 J90:J93 J68:J78 J83 J95 J85:J88 BF85:BF88 AZ85:AZ88 AT85:AT88 BL90:BL93 BL68:BL78 BL83 BL95 BL85:BL88 CJ90:CJ93 CJ68:CJ78 CJ83 CJ95 CJ85:CJ88 CP90:CP93 CP68:CP78 CP83 CP95 CP85:CP88 CD58:CD61 CD54:CD56 CD63:CD64 AN58:AN61 BR58:BR61 V58:V61 V54:V56 V63:V64 AH58:AH61 AB58:AB61 BX58:BX61 P58:P61 J58:J61 AB54:AB56 AB63:AB64 AH54:AH56 AH63:AH64 AN54:AN56 AN63:AN64 AT58:AT61 AT54:AT56 AT63:AT64 AZ58:AZ61 AZ54:AZ56 AZ63:AZ64 BX54:BX56 BX63:BX64 BF58:BF61 BF54:BF56 BF63:BF64 BR54:BR56 BR63:BR64 P54:P56 P63:P64 J54:J56 J63:J64 BL58:BL61 BL54:BL56 BL63:BL64 CJ58:CJ61 CJ54:CJ56 CJ63:CJ64 CP58:CP61 CP54:CP56 CP63:CP64 CV90:CV93 CV68:CV78 CV83 CV95 CV85:CV88 CV58:CV61 CV54:CV56 CV63:CV64 DB90:DB93 DB68:DB78 DB83 DB95 DB85:DB88 DB58:DB61 DB54:DB56 DB63:DB64 DH90:DH93 DH68:DH78 DH83 DH95 DH85:DH88 DH58:DH61 DH54:DH56 DH63:DH64 DN90:DN93 DN68:DN78 DN83 DN95 DN85:DN88 DN58:DN61 DN54:DN56 DN63:DN64">
    <cfRule type="cellIs" dxfId="22" priority="15" stopIfTrue="1" operator="notBetween">
      <formula>-0.0005</formula>
      <formula>0.0005</formula>
    </cfRule>
  </conditionalFormatting>
  <conditionalFormatting sqref="DT89 DT94 DT79:DT82 DT84 DT96:DT97 DT57 DT62 DT65:DT67">
    <cfRule type="cellIs" dxfId="21" priority="12" stopIfTrue="1" operator="equal">
      <formula>"!"</formula>
    </cfRule>
  </conditionalFormatting>
  <conditionalFormatting sqref="DT90:DT93 DT68:DT78 DT83 DT95 DT85:DT88 DT58:DT61 DT54:DT56 DT63:DT64">
    <cfRule type="cellIs" dxfId="20" priority="13" stopIfTrue="1" operator="notBetween">
      <formula>-0.0005</formula>
      <formula>0.0005</formula>
    </cfRule>
  </conditionalFormatting>
  <conditionalFormatting sqref="DZ89 DZ94 DZ79:DZ82 DZ84 DZ96:DZ97 DZ57 DZ62 DZ65:DZ67 EF89 EF94 EF79:EF82 EF84 EF96:EF97 EF57 EF62 EF65:EF67 EL89 EL94 EL79:EL82 EL84 EL96:EL97 EL57 EL62 EL65:EL67">
    <cfRule type="cellIs" dxfId="19" priority="10" stopIfTrue="1" operator="equal">
      <formula>"!"</formula>
    </cfRule>
  </conditionalFormatting>
  <conditionalFormatting sqref="DZ90:DZ93 DZ68:DZ78 DZ83 DZ95 DZ85:DZ88 DZ58:DZ61 DZ54:DZ56 DZ63:DZ64 EF90:EF93 EF68:EF78 EF83 EF95 EF85:EF88 EF58:EF61 EF54:EF56 EF63:EF64 EL90:EL93 EL68:EL78 EL83 EL95 EL85:EL88 EL58:EL61 EL54:EL56 EL63:EL64">
    <cfRule type="cellIs" dxfId="18" priority="11" stopIfTrue="1" operator="notBetween">
      <formula>-0.0005</formula>
      <formula>0.0005</formula>
    </cfRule>
  </conditionalFormatting>
  <conditionalFormatting sqref="CJ5:CJ48 CD5:CD48 J5:J48 BR5:BR48 P5:P48 V5:V48 AB5:AB48 AH5:AH48 AN5:AN48 AT5:AT48 AZ5:AZ48 BF5:BF48 BL5:BL48 BX5:BX48 CP5:CP48 CV5:CV48 DB5:DB48 DH5:DH48 DN5:DN48">
    <cfRule type="cellIs" dxfId="17" priority="9" stopIfTrue="1" operator="notBetween">
      <formula>-0.005</formula>
      <formula>0.005</formula>
    </cfRule>
  </conditionalFormatting>
  <conditionalFormatting sqref="DT5:DT48">
    <cfRule type="cellIs" dxfId="16" priority="8" stopIfTrue="1" operator="notBetween">
      <formula>-0.005</formula>
      <formula>0.005</formula>
    </cfRule>
  </conditionalFormatting>
  <conditionalFormatting sqref="DZ5:DZ48 EF5:EF48 EL5:EL48">
    <cfRule type="cellIs" dxfId="15" priority="7" stopIfTrue="1" operator="notBetween">
      <formula>-0.005</formula>
      <formula>0.005</formula>
    </cfRule>
  </conditionalFormatting>
  <conditionalFormatting sqref="ER89 ER94 ER79:ER82 ER84 ER96:ER97 ER57 ER62 ER65:ER67">
    <cfRule type="cellIs" dxfId="14" priority="5" stopIfTrue="1" operator="equal">
      <formula>"!"</formula>
    </cfRule>
  </conditionalFormatting>
  <conditionalFormatting sqref="ER90:ER93 ER68:ER78 ER83 ER95 ER85:ER88 ER58:ER61 ER54:ER56 ER63:ER64">
    <cfRule type="cellIs" dxfId="13" priority="6" stopIfTrue="1" operator="notBetween">
      <formula>-0.0005</formula>
      <formula>0.0005</formula>
    </cfRule>
  </conditionalFormatting>
  <conditionalFormatting sqref="ER5:ER48">
    <cfRule type="cellIs" dxfId="12" priority="4" stopIfTrue="1" operator="notBetween">
      <formula>-0.005</formula>
      <formula>0.005</formula>
    </cfRule>
  </conditionalFormatting>
  <conditionalFormatting sqref="EX89 EX94 EX79:EX82 EX84 EX96:EX97 EX57 EX62 EX65:EX67">
    <cfRule type="cellIs" dxfId="11" priority="2" stopIfTrue="1" operator="equal">
      <formula>"!"</formula>
    </cfRule>
  </conditionalFormatting>
  <conditionalFormatting sqref="EX90:EX93 EX68:EX78 EX83 EX95 EX85:EX88 EX58:EX61 EX54:EX56 EX63:EX64">
    <cfRule type="cellIs" dxfId="10" priority="3" stopIfTrue="1" operator="notBetween">
      <formula>-0.0005</formula>
      <formula>0.0005</formula>
    </cfRule>
  </conditionalFormatting>
  <conditionalFormatting sqref="EX5:EX48">
    <cfRule type="cellIs" dxfId="9" priority="1" stopIfTrue="1" operator="notBetween">
      <formula>-0.005</formula>
      <formula>0.005</formula>
    </cfRule>
  </conditionalFormatting>
  <pageMargins left="0.25" right="0.25" top="0.75" bottom="0.75" header="0.3" footer="0.3"/>
  <pageSetup paperSize="9" scale="54" fitToHeight="0"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indexed="42"/>
  </sheetPr>
  <dimension ref="A1:N423"/>
  <sheetViews>
    <sheetView showGridLines="0" topLeftCell="A377" zoomScale="110" zoomScaleNormal="108" zoomScaleSheetLayoutView="85" workbookViewId="0">
      <selection activeCell="A398" sqref="A398"/>
    </sheetView>
  </sheetViews>
  <sheetFormatPr defaultRowHeight="12.75"/>
  <sheetData>
    <row r="1" spans="1:14">
      <c r="A1" s="1503"/>
      <c r="B1" s="1503"/>
      <c r="C1" s="1503"/>
      <c r="D1" s="1503"/>
      <c r="E1" s="1503"/>
      <c r="F1" s="1503"/>
      <c r="G1" s="1503"/>
      <c r="H1" s="1503"/>
      <c r="I1" s="1503"/>
      <c r="J1" s="1503"/>
      <c r="K1" s="1503"/>
      <c r="L1" s="1503"/>
      <c r="M1" s="1503"/>
      <c r="N1" s="1503"/>
    </row>
    <row r="2" spans="1:14" ht="18">
      <c r="A2" s="1504" t="s">
        <v>1202</v>
      </c>
      <c r="B2" s="1503"/>
      <c r="C2" s="1503"/>
      <c r="D2" s="1503"/>
      <c r="E2" s="1503"/>
      <c r="F2" s="1503"/>
      <c r="G2" s="1503"/>
      <c r="H2" s="1503"/>
      <c r="I2" s="1503"/>
      <c r="J2" s="1503"/>
      <c r="K2" s="1503"/>
      <c r="L2" s="1503"/>
      <c r="M2" s="1503"/>
      <c r="N2" s="1503"/>
    </row>
    <row r="3" spans="1:14">
      <c r="A3" s="1503"/>
      <c r="B3" s="1503"/>
      <c r="C3" s="1503"/>
      <c r="D3" s="1503"/>
      <c r="E3" s="1503"/>
      <c r="F3" s="1503"/>
      <c r="G3" s="1503"/>
      <c r="H3" s="1503"/>
      <c r="I3" s="1503"/>
      <c r="J3" s="1503"/>
      <c r="K3" s="1503"/>
      <c r="L3" s="1503"/>
      <c r="M3" s="1503"/>
      <c r="N3" s="1503"/>
    </row>
    <row r="67" spans="1:14">
      <c r="A67" s="1503"/>
      <c r="B67" s="1503"/>
      <c r="C67" s="1503"/>
      <c r="D67" s="1503"/>
      <c r="E67" s="1503"/>
      <c r="F67" s="1503"/>
      <c r="G67" s="1503"/>
      <c r="H67" s="1503"/>
      <c r="I67" s="1503"/>
      <c r="J67" s="1503"/>
      <c r="K67" s="1503"/>
      <c r="L67" s="1503"/>
      <c r="M67" s="1503"/>
      <c r="N67" s="1503"/>
    </row>
    <row r="68" spans="1:14" ht="18">
      <c r="A68" s="1504" t="s">
        <v>2026</v>
      </c>
      <c r="B68" s="1503"/>
      <c r="C68" s="1503"/>
      <c r="D68" s="1503"/>
      <c r="E68" s="1503"/>
      <c r="F68" s="1503"/>
      <c r="G68" s="1503"/>
      <c r="H68" s="1503"/>
      <c r="I68" s="1503"/>
      <c r="J68" s="1503"/>
      <c r="K68" s="1503"/>
      <c r="L68" s="1503"/>
      <c r="M68" s="1503"/>
      <c r="N68" s="1503"/>
    </row>
    <row r="69" spans="1:14">
      <c r="A69" s="1503"/>
      <c r="B69" s="1503"/>
      <c r="C69" s="1503"/>
      <c r="D69" s="1503"/>
      <c r="E69" s="1503"/>
      <c r="F69" s="1503"/>
      <c r="G69" s="1503"/>
      <c r="H69" s="1503"/>
      <c r="I69" s="1503"/>
      <c r="J69" s="1503"/>
      <c r="K69" s="1503"/>
      <c r="L69" s="1503"/>
      <c r="M69" s="1503"/>
      <c r="N69" s="1503"/>
    </row>
    <row r="91" spans="1:14">
      <c r="A91" s="1503"/>
      <c r="B91" s="1503"/>
      <c r="C91" s="1503"/>
      <c r="D91" s="1503"/>
      <c r="E91" s="1503"/>
      <c r="F91" s="1503"/>
      <c r="G91" s="1503"/>
      <c r="H91" s="1503"/>
      <c r="I91" s="1503"/>
      <c r="J91" s="1503"/>
      <c r="K91" s="1503"/>
      <c r="L91" s="1503"/>
      <c r="M91" s="1503"/>
      <c r="N91" s="1503"/>
    </row>
    <row r="92" spans="1:14" ht="18">
      <c r="A92" s="1504" t="s">
        <v>2027</v>
      </c>
      <c r="B92" s="1503"/>
      <c r="C92" s="1503"/>
      <c r="D92" s="1503"/>
      <c r="E92" s="1503"/>
      <c r="F92" s="1503"/>
      <c r="G92" s="1503"/>
      <c r="H92" s="1503"/>
      <c r="I92" s="1503"/>
      <c r="J92" s="1503"/>
      <c r="K92" s="1503"/>
      <c r="L92" s="1503"/>
      <c r="M92" s="1503"/>
      <c r="N92" s="1503"/>
    </row>
    <row r="93" spans="1:14">
      <c r="A93" s="1503"/>
      <c r="B93" s="1503"/>
      <c r="C93" s="1503"/>
      <c r="D93" s="1503"/>
      <c r="E93" s="1503"/>
      <c r="F93" s="1503"/>
      <c r="G93" s="1503"/>
      <c r="H93" s="1503"/>
      <c r="I93" s="1503"/>
      <c r="J93" s="1503"/>
      <c r="K93" s="1503"/>
      <c r="L93" s="1503"/>
      <c r="M93" s="1503"/>
      <c r="N93" s="1503"/>
    </row>
    <row r="136" spans="1:14">
      <c r="A136" s="1503"/>
      <c r="B136" s="1503"/>
      <c r="C136" s="1503"/>
      <c r="D136" s="1503"/>
      <c r="E136" s="1503"/>
      <c r="F136" s="1503"/>
      <c r="G136" s="1503"/>
      <c r="H136" s="1503"/>
      <c r="I136" s="1503"/>
      <c r="J136" s="1503"/>
      <c r="K136" s="1503"/>
      <c r="L136" s="1503"/>
      <c r="M136" s="1503"/>
      <c r="N136" s="1503"/>
    </row>
    <row r="137" spans="1:14" ht="18">
      <c r="A137" s="1504" t="s">
        <v>1203</v>
      </c>
      <c r="B137" s="1503"/>
      <c r="C137" s="1503"/>
      <c r="D137" s="1503"/>
      <c r="E137" s="1503"/>
      <c r="F137" s="1503"/>
      <c r="G137" s="1503"/>
      <c r="H137" s="1503"/>
      <c r="I137" s="1503"/>
      <c r="J137" s="1503"/>
      <c r="K137" s="1503"/>
      <c r="L137" s="1503"/>
      <c r="M137" s="1503"/>
      <c r="N137" s="1503"/>
    </row>
    <row r="138" spans="1:14">
      <c r="A138" s="1503"/>
      <c r="B138" s="1503"/>
      <c r="C138" s="1503"/>
      <c r="D138" s="1503"/>
      <c r="E138" s="1503"/>
      <c r="F138" s="1503"/>
      <c r="G138" s="1503"/>
      <c r="H138" s="1503"/>
      <c r="I138" s="1503"/>
      <c r="J138" s="1503"/>
      <c r="K138" s="1503"/>
      <c r="L138" s="1503"/>
      <c r="M138" s="1503"/>
      <c r="N138" s="1503"/>
    </row>
    <row r="265" spans="1:14">
      <c r="A265" s="1503"/>
      <c r="B265" s="1503"/>
      <c r="C265" s="1503"/>
      <c r="D265" s="1503"/>
      <c r="E265" s="1503"/>
      <c r="F265" s="1503"/>
      <c r="G265" s="1503"/>
      <c r="H265" s="1503"/>
      <c r="I265" s="1503"/>
      <c r="J265" s="1503"/>
      <c r="K265" s="1503"/>
      <c r="L265" s="1503"/>
      <c r="M265" s="1503"/>
      <c r="N265" s="1503"/>
    </row>
    <row r="266" spans="1:14" ht="18">
      <c r="A266" s="1504" t="s">
        <v>831</v>
      </c>
      <c r="B266" s="1503"/>
      <c r="C266" s="1503"/>
      <c r="D266" s="1503"/>
      <c r="E266" s="1503"/>
      <c r="F266" s="1503"/>
      <c r="G266" s="1503"/>
      <c r="H266" s="1503"/>
      <c r="I266" s="1503"/>
      <c r="J266" s="1503"/>
      <c r="K266" s="1503"/>
      <c r="L266" s="1503"/>
      <c r="M266" s="1503"/>
      <c r="N266" s="1503"/>
    </row>
    <row r="267" spans="1:14">
      <c r="A267" s="1503"/>
      <c r="B267" s="1503"/>
      <c r="C267" s="1503"/>
      <c r="D267" s="1503"/>
      <c r="E267" s="1503"/>
      <c r="F267" s="1503"/>
      <c r="G267" s="1503"/>
      <c r="H267" s="1503"/>
      <c r="I267" s="1503"/>
      <c r="J267" s="1503"/>
      <c r="K267" s="1503"/>
      <c r="L267" s="1503"/>
      <c r="M267" s="1503"/>
      <c r="N267" s="1503"/>
    </row>
    <row r="331" spans="1:14">
      <c r="A331" s="1503"/>
      <c r="B331" s="1503"/>
      <c r="C331" s="1503"/>
      <c r="D331" s="1503"/>
      <c r="E331" s="1503"/>
      <c r="F331" s="1503"/>
      <c r="G331" s="1503"/>
      <c r="H331" s="1503"/>
      <c r="I331" s="1503"/>
      <c r="J331" s="1503"/>
      <c r="K331" s="1503"/>
      <c r="L331" s="1503"/>
      <c r="M331" s="1503"/>
      <c r="N331" s="1503"/>
    </row>
    <row r="332" spans="1:14" ht="18">
      <c r="A332" s="1504" t="s">
        <v>1194</v>
      </c>
      <c r="B332" s="1503"/>
      <c r="C332" s="1503"/>
      <c r="D332" s="1503"/>
      <c r="E332" s="1503"/>
      <c r="F332" s="1503"/>
      <c r="G332" s="1503"/>
      <c r="H332" s="1503"/>
      <c r="I332" s="1503"/>
      <c r="J332" s="1503"/>
      <c r="K332" s="1503"/>
      <c r="L332" s="1503"/>
      <c r="M332" s="1503"/>
      <c r="N332" s="1503"/>
    </row>
    <row r="333" spans="1:14">
      <c r="A333" s="1503"/>
      <c r="B333" s="1503"/>
      <c r="C333" s="1503"/>
      <c r="D333" s="1503"/>
      <c r="E333" s="1503"/>
      <c r="F333" s="1503"/>
      <c r="G333" s="1503"/>
      <c r="H333" s="1503"/>
      <c r="I333" s="1503"/>
      <c r="J333" s="1503"/>
      <c r="K333" s="1503"/>
      <c r="L333" s="1503"/>
      <c r="M333" s="1503"/>
      <c r="N333" s="1503"/>
    </row>
    <row r="397" spans="1:14">
      <c r="A397" s="1503"/>
      <c r="B397" s="1503"/>
      <c r="C397" s="1503"/>
      <c r="D397" s="1503"/>
      <c r="E397" s="1503"/>
      <c r="F397" s="1503"/>
      <c r="G397" s="1503"/>
      <c r="H397" s="1503"/>
      <c r="I397" s="1503"/>
      <c r="J397" s="1503"/>
      <c r="K397" s="1503"/>
      <c r="L397" s="1503"/>
      <c r="M397" s="1503"/>
      <c r="N397" s="1503"/>
    </row>
    <row r="398" spans="1:14" ht="18">
      <c r="A398" s="1504" t="s">
        <v>92</v>
      </c>
      <c r="B398" s="1503"/>
      <c r="C398" s="1503"/>
      <c r="D398" s="1503"/>
      <c r="E398" s="1503"/>
      <c r="F398" s="1503"/>
      <c r="G398" s="1503"/>
      <c r="H398" s="1503"/>
      <c r="I398" s="1503"/>
      <c r="J398" s="1503"/>
      <c r="K398" s="1503"/>
      <c r="L398" s="1503"/>
      <c r="M398" s="1503"/>
      <c r="N398" s="1503"/>
    </row>
    <row r="399" spans="1:14">
      <c r="A399" s="1503"/>
      <c r="B399" s="1503"/>
      <c r="C399" s="1503"/>
      <c r="D399" s="1503"/>
      <c r="E399" s="1503"/>
      <c r="F399" s="1503"/>
      <c r="G399" s="1503"/>
      <c r="H399" s="1503"/>
      <c r="I399" s="1503"/>
      <c r="J399" s="1503"/>
      <c r="K399" s="1503"/>
      <c r="L399" s="1503"/>
      <c r="M399" s="1503"/>
      <c r="N399" s="1503"/>
    </row>
    <row r="421" spans="1:14">
      <c r="A421" s="1503"/>
      <c r="B421" s="1503"/>
      <c r="C421" s="1503"/>
      <c r="D421" s="1503"/>
      <c r="E421" s="1503"/>
      <c r="F421" s="1503"/>
      <c r="G421" s="1503"/>
      <c r="H421" s="1503"/>
      <c r="I421" s="1503"/>
      <c r="J421" s="1503"/>
      <c r="K421" s="1503"/>
      <c r="L421" s="1503"/>
      <c r="M421" s="1503"/>
      <c r="N421" s="1503"/>
    </row>
    <row r="422" spans="1:14" ht="18">
      <c r="A422" s="1504" t="s">
        <v>832</v>
      </c>
      <c r="B422" s="1503"/>
      <c r="C422" s="1503"/>
      <c r="D422" s="1503"/>
      <c r="E422" s="1503"/>
      <c r="F422" s="1503"/>
      <c r="G422" s="1503"/>
      <c r="H422" s="1503"/>
      <c r="I422" s="1503"/>
      <c r="J422" s="1503"/>
      <c r="K422" s="1503"/>
      <c r="L422" s="1503"/>
      <c r="M422" s="1503"/>
      <c r="N422" s="1503"/>
    </row>
    <row r="423" spans="1:14">
      <c r="A423" s="1503"/>
      <c r="B423" s="1503"/>
      <c r="C423" s="1503"/>
      <c r="D423" s="1503"/>
      <c r="E423" s="1503"/>
      <c r="F423" s="1503"/>
      <c r="G423" s="1503"/>
      <c r="H423" s="1503"/>
      <c r="I423" s="1503"/>
      <c r="J423" s="1503"/>
      <c r="K423" s="1503"/>
      <c r="L423" s="1503"/>
      <c r="M423" s="1503"/>
      <c r="N423" s="1503"/>
    </row>
  </sheetData>
  <phoneticPr fontId="60" type="noConversion"/>
  <printOptions horizontalCentered="1"/>
  <pageMargins left="0.74803149606299213" right="0.55118110236220474" top="0.5" bottom="0.44" header="0.35433070866141736" footer="0.31496062992125984"/>
  <pageSetup paperSize="9" scale="65" fitToHeight="13" orientation="portrait" r:id="rId1"/>
  <headerFooter alignWithMargins="0"/>
  <rowBreaks count="6" manualBreakCount="6">
    <brk id="90" max="13" man="1"/>
    <brk id="180" max="13" man="1"/>
    <brk id="264" max="13" man="1"/>
    <brk id="330" max="13" man="1"/>
    <brk id="420" max="13" man="1"/>
    <brk id="489" max="14" man="1"/>
  </rowBreaks>
  <colBreaks count="1" manualBreakCount="1">
    <brk id="14" max="1048575" man="1"/>
  </colBreaks>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tabColor indexed="44"/>
    <pageSetUpPr autoPageBreaks="0" fitToPage="1"/>
  </sheetPr>
  <dimension ref="A1:IV2316"/>
  <sheetViews>
    <sheetView showGridLines="0" topLeftCell="A91" workbookViewId="0">
      <selection activeCell="T112" sqref="T112"/>
    </sheetView>
  </sheetViews>
  <sheetFormatPr defaultRowHeight="12.75"/>
  <cols>
    <col min="1" max="1" width="5" style="15" bestFit="1" customWidth="1"/>
    <col min="2" max="2" width="63.42578125" style="16" bestFit="1" customWidth="1"/>
    <col min="3" max="7" width="10" style="16" customWidth="1"/>
    <col min="8" max="8" width="10.140625" style="16" customWidth="1"/>
    <col min="9" max="11" width="10.140625" style="17" customWidth="1"/>
    <col min="12" max="27" width="8.42578125" style="16" customWidth="1"/>
    <col min="28" max="28" width="41.140625" style="16" customWidth="1"/>
    <col min="29" max="44" width="8.42578125" style="16" customWidth="1"/>
    <col min="45" max="45" width="41.140625" style="16" customWidth="1"/>
    <col min="46" max="52" width="8.42578125" style="16" customWidth="1"/>
    <col min="53" max="59" width="9.140625" style="16"/>
    <col min="60" max="77" width="9.140625" style="16" hidden="1" customWidth="1"/>
    <col min="78" max="78" width="9.140625" style="16"/>
    <col min="79" max="143" width="9.140625" style="16" hidden="1" customWidth="1"/>
    <col min="144" max="149" width="9.140625" style="16"/>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spans="1:256" hidden="1"/>
    <row r="82" spans="1:256" hidden="1"/>
    <row r="83" spans="1:256" hidden="1"/>
    <row r="84" spans="1:256" hidden="1"/>
    <row r="85" spans="1:256" hidden="1"/>
    <row r="86" spans="1:256" hidden="1"/>
    <row r="87" spans="1:256" hidden="1"/>
    <row r="88" spans="1:256" hidden="1"/>
    <row r="89" spans="1:256" hidden="1"/>
    <row r="90" spans="1:256" hidden="1"/>
    <row r="91" spans="1:256" s="1028" customFormat="1" ht="15.75" customHeight="1">
      <c r="A91" s="1030"/>
      <c r="I91" s="1029"/>
      <c r="J91" s="1029"/>
      <c r="K91" s="1029"/>
      <c r="Z91" s="2066"/>
      <c r="AR91" s="1979"/>
      <c r="BZ91" s="2066"/>
      <c r="EN91" s="1979"/>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s="1028" customFormat="1" ht="15.75">
      <c r="A92" s="1030"/>
      <c r="B92" s="2005" t="s">
        <v>1129</v>
      </c>
      <c r="I92" s="1029"/>
      <c r="J92" s="1029"/>
      <c r="K92" s="1029"/>
      <c r="Z92" s="2066" t="s">
        <v>1025</v>
      </c>
      <c r="AR92" s="1979" t="s">
        <v>179</v>
      </c>
      <c r="BZ92" s="2066" t="s">
        <v>1025</v>
      </c>
      <c r="EN92" s="1979" t="s">
        <v>179</v>
      </c>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s="1629" customFormat="1" ht="15.75">
      <c r="B93" s="1980" t="s">
        <v>920</v>
      </c>
      <c r="C93" s="1631" t="s">
        <v>68</v>
      </c>
      <c r="D93" s="1632"/>
      <c r="E93" s="1633"/>
      <c r="F93" s="1632"/>
      <c r="G93" s="1632"/>
      <c r="H93" s="1634"/>
      <c r="I93" s="1630"/>
      <c r="J93" s="1630"/>
      <c r="K93" s="1630"/>
      <c r="Z93" s="2067" t="s">
        <v>1024</v>
      </c>
      <c r="AR93" s="1979" t="s">
        <v>180</v>
      </c>
      <c r="BZ93" s="2067" t="s">
        <v>1024</v>
      </c>
      <c r="EN93" s="1979" t="s">
        <v>919</v>
      </c>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s="1629" customFormat="1" ht="15.75">
      <c r="B94" s="1980" t="s">
        <v>921</v>
      </c>
      <c r="C94" s="1638" t="s">
        <v>914</v>
      </c>
      <c r="D94" s="1639"/>
      <c r="E94" s="1640" t="s">
        <v>1950</v>
      </c>
      <c r="F94" s="1638" t="s">
        <v>652</v>
      </c>
      <c r="G94" s="1639"/>
      <c r="H94" s="1640" t="s">
        <v>2420</v>
      </c>
      <c r="I94" s="1630"/>
      <c r="J94" s="1630"/>
      <c r="K94" s="1630"/>
      <c r="AR94" s="1032" t="s">
        <v>1753</v>
      </c>
      <c r="EN94" s="1032" t="s">
        <v>918</v>
      </c>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s="1629" customFormat="1" ht="15.75">
      <c r="B95" s="2071" t="s">
        <v>922</v>
      </c>
      <c r="C95" s="1635" t="s">
        <v>528</v>
      </c>
      <c r="D95" s="1636"/>
      <c r="E95" s="1637" t="s">
        <v>1236</v>
      </c>
      <c r="F95" s="1635" t="s">
        <v>521</v>
      </c>
      <c r="G95" s="1636"/>
      <c r="H95" s="1637">
        <v>2019</v>
      </c>
      <c r="I95" s="1630"/>
      <c r="J95" s="1630"/>
      <c r="K95" s="1630"/>
      <c r="AR95" s="1032" t="s">
        <v>1754</v>
      </c>
      <c r="EN95" s="1032" t="s">
        <v>923</v>
      </c>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s="1028" customFormat="1">
      <c r="A96" s="1034"/>
      <c r="I96" s="1029"/>
      <c r="J96" s="1029"/>
      <c r="K96" s="1029"/>
      <c r="L96" s="1029"/>
      <c r="M96" s="1029"/>
      <c r="N96" s="1029"/>
      <c r="O96" s="1029"/>
      <c r="P96" s="1029"/>
      <c r="Q96" s="1029"/>
      <c r="R96" s="1029"/>
      <c r="S96" s="1029"/>
      <c r="T96" s="1029"/>
      <c r="U96" s="1029"/>
      <c r="V96" s="1029"/>
      <c r="W96" s="1029"/>
      <c r="X96" s="1029"/>
      <c r="Y96" s="1029"/>
      <c r="AA96" s="1029"/>
      <c r="AB96" s="1029"/>
      <c r="AC96" s="1029"/>
      <c r="AD96" s="1029"/>
      <c r="AE96" s="1029"/>
      <c r="AF96" s="1029"/>
      <c r="AG96" s="1029"/>
      <c r="AH96" s="1029"/>
      <c r="AI96" s="1029"/>
      <c r="AJ96" s="1029"/>
      <c r="AK96" s="1029"/>
      <c r="AL96" s="1029"/>
      <c r="AM96" s="1029"/>
      <c r="AN96" s="1029"/>
      <c r="AO96" s="1029"/>
      <c r="AP96" s="1029"/>
      <c r="AQ96" s="1029"/>
      <c r="AR96" s="1029"/>
      <c r="AS96" s="1029"/>
      <c r="AT96" s="1029"/>
      <c r="AU96" s="1029"/>
      <c r="AV96" s="1029"/>
      <c r="AW96" s="1029"/>
      <c r="AX96" s="1029"/>
      <c r="AY96" s="1029"/>
      <c r="AZ96" s="1029"/>
      <c r="EN96" s="1029"/>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s="1028" customFormat="1" hidden="1">
      <c r="A97" s="1034"/>
      <c r="G97" s="1027"/>
      <c r="I97" s="1029"/>
      <c r="J97" s="1029"/>
      <c r="K97" s="1029"/>
      <c r="L97" s="1029"/>
      <c r="M97" s="1029"/>
      <c r="N97" s="1029"/>
      <c r="O97" s="1029"/>
      <c r="P97" s="1029"/>
      <c r="Q97" s="1029"/>
      <c r="R97" s="1029"/>
      <c r="S97" s="1029"/>
      <c r="T97" s="1029"/>
      <c r="U97" s="1029"/>
      <c r="V97" s="1029"/>
      <c r="W97" s="1029"/>
      <c r="X97" s="1029"/>
      <c r="Y97" s="1029"/>
      <c r="AA97" s="1029"/>
      <c r="AB97" s="1029"/>
      <c r="AC97" s="1029"/>
      <c r="AD97" s="1029"/>
      <c r="AE97" s="1029"/>
      <c r="AF97" s="1029"/>
      <c r="AG97" s="1029"/>
      <c r="AH97" s="1029"/>
      <c r="AI97" s="1029"/>
      <c r="AJ97" s="1029"/>
      <c r="AK97" s="1029"/>
      <c r="AL97" s="1029"/>
      <c r="AM97" s="1029"/>
      <c r="AN97" s="1029"/>
      <c r="AO97" s="1029"/>
      <c r="AP97" s="1029"/>
      <c r="AQ97" s="1029"/>
      <c r="AR97" s="1029"/>
      <c r="AS97" s="1029"/>
      <c r="AT97" s="1029"/>
      <c r="AU97" s="1029"/>
      <c r="AV97" s="1029"/>
      <c r="AW97" s="1029"/>
      <c r="AX97" s="1029"/>
      <c r="AY97" s="1029"/>
      <c r="AZ97" s="1029"/>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s="1032" customFormat="1">
      <c r="B98" s="1031"/>
      <c r="C98" s="1033">
        <v>1</v>
      </c>
      <c r="D98" s="1033">
        <f t="shared" ref="D98:O98" si="0">C98+1</f>
        <v>2</v>
      </c>
      <c r="E98" s="1033">
        <f t="shared" si="0"/>
        <v>3</v>
      </c>
      <c r="F98" s="1033">
        <f t="shared" si="0"/>
        <v>4</v>
      </c>
      <c r="G98" s="1033">
        <f t="shared" si="0"/>
        <v>5</v>
      </c>
      <c r="H98" s="1033">
        <f t="shared" si="0"/>
        <v>6</v>
      </c>
      <c r="I98" s="1033">
        <f t="shared" si="0"/>
        <v>7</v>
      </c>
      <c r="J98" s="1033">
        <f t="shared" si="0"/>
        <v>8</v>
      </c>
      <c r="K98" s="1033">
        <f t="shared" si="0"/>
        <v>9</v>
      </c>
      <c r="L98" s="1033">
        <f t="shared" si="0"/>
        <v>10</v>
      </c>
      <c r="M98" s="1033">
        <f t="shared" si="0"/>
        <v>11</v>
      </c>
      <c r="N98" s="1033">
        <f t="shared" si="0"/>
        <v>12</v>
      </c>
      <c r="O98" s="1033">
        <f t="shared" si="0"/>
        <v>13</v>
      </c>
      <c r="P98" s="1033"/>
      <c r="Q98" s="1033"/>
      <c r="R98" s="1033"/>
      <c r="S98" s="1033"/>
      <c r="T98" s="1033"/>
      <c r="U98" s="1033"/>
      <c r="V98" s="1033"/>
      <c r="W98" s="1033"/>
      <c r="X98" s="1033"/>
      <c r="Y98" s="1033"/>
      <c r="AB98" s="1031"/>
      <c r="AC98" s="1033">
        <v>1</v>
      </c>
      <c r="AD98" s="1033">
        <f t="shared" ref="AD98:AO98" si="1">AC98+1</f>
        <v>2</v>
      </c>
      <c r="AE98" s="1033">
        <f t="shared" si="1"/>
        <v>3</v>
      </c>
      <c r="AF98" s="1033">
        <f t="shared" si="1"/>
        <v>4</v>
      </c>
      <c r="AG98" s="1033">
        <f t="shared" si="1"/>
        <v>5</v>
      </c>
      <c r="AH98" s="1033">
        <f t="shared" si="1"/>
        <v>6</v>
      </c>
      <c r="AI98" s="1033">
        <f t="shared" si="1"/>
        <v>7</v>
      </c>
      <c r="AJ98" s="1033">
        <f t="shared" si="1"/>
        <v>8</v>
      </c>
      <c r="AK98" s="1033">
        <f t="shared" si="1"/>
        <v>9</v>
      </c>
      <c r="AL98" s="1033">
        <f t="shared" si="1"/>
        <v>10</v>
      </c>
      <c r="AM98" s="1033">
        <f t="shared" si="1"/>
        <v>11</v>
      </c>
      <c r="AN98" s="1033">
        <f t="shared" si="1"/>
        <v>12</v>
      </c>
      <c r="AO98" s="1033">
        <f t="shared" si="1"/>
        <v>13</v>
      </c>
      <c r="AP98" s="1033"/>
      <c r="AQ98" s="1033"/>
      <c r="AR98" s="1033" t="s">
        <v>1755</v>
      </c>
      <c r="AS98" s="1033"/>
      <c r="AT98" s="1033"/>
      <c r="AU98" s="1033"/>
      <c r="AV98" s="1033"/>
      <c r="AW98" s="1033"/>
      <c r="AX98" s="1033"/>
      <c r="AY98" s="1033"/>
      <c r="AZ98" s="1033"/>
      <c r="BH98" s="2080"/>
      <c r="BI98" s="2080"/>
      <c r="BJ98" s="2080"/>
      <c r="BK98" s="2080"/>
      <c r="BL98" s="2080"/>
      <c r="BM98" s="2080"/>
      <c r="BN98" s="2080"/>
      <c r="BO98" s="2080"/>
      <c r="BP98" s="2080"/>
      <c r="BQ98" s="2080"/>
      <c r="BR98" s="2080"/>
      <c r="BS98" s="2080"/>
      <c r="BT98" s="2080"/>
      <c r="BU98" s="2080"/>
      <c r="BV98" s="2080"/>
      <c r="BW98" s="2080"/>
      <c r="BX98" s="2080"/>
      <c r="BY98" s="2080"/>
      <c r="CA98" s="2080" t="s">
        <v>2361</v>
      </c>
      <c r="CB98" s="2080"/>
      <c r="CC98" s="2080"/>
      <c r="CD98" s="2080"/>
      <c r="CE98" s="2080"/>
      <c r="CF98" s="2080"/>
      <c r="CG98" s="2080"/>
      <c r="CH98" s="2080"/>
      <c r="CI98" s="2080"/>
      <c r="CJ98" s="2080"/>
      <c r="CK98" s="2080"/>
      <c r="CL98" s="2080"/>
      <c r="CM98" s="2080"/>
      <c r="CN98" s="2080" t="s">
        <v>2357</v>
      </c>
      <c r="CO98" s="2080"/>
      <c r="CP98" s="2080"/>
      <c r="CQ98" s="2080"/>
      <c r="CR98" s="2080"/>
      <c r="CS98" s="2080"/>
      <c r="CT98" s="2080"/>
      <c r="CU98" s="2080"/>
      <c r="CV98" s="2080"/>
      <c r="CW98" s="2080"/>
      <c r="CX98" s="2080"/>
      <c r="CY98" s="2080"/>
      <c r="CZ98" s="2080"/>
      <c r="DA98" s="2080" t="s">
        <v>2358</v>
      </c>
      <c r="DB98" s="2080"/>
      <c r="DC98" s="2080"/>
      <c r="DD98" s="2080"/>
      <c r="DE98" s="2080"/>
      <c r="DF98" s="2080"/>
      <c r="DG98" s="2080"/>
      <c r="DH98" s="2080"/>
      <c r="DI98" s="2080"/>
      <c r="DJ98" s="2080"/>
      <c r="DK98" s="2080"/>
      <c r="DL98" s="2080"/>
      <c r="DM98" s="2080"/>
      <c r="DN98" s="2080" t="s">
        <v>2359</v>
      </c>
      <c r="DO98" s="2080"/>
      <c r="DP98" s="2080"/>
      <c r="DQ98" s="2080"/>
      <c r="DR98" s="2080"/>
      <c r="DS98" s="2080"/>
      <c r="DT98" s="2080"/>
      <c r="DU98" s="2080"/>
      <c r="DV98" s="2080"/>
      <c r="DW98" s="2080"/>
      <c r="DX98" s="2080"/>
      <c r="DY98" s="2080"/>
      <c r="DZ98" s="2080"/>
      <c r="EA98" s="2080" t="s">
        <v>2360</v>
      </c>
      <c r="EB98" s="2080"/>
      <c r="EC98" s="2080"/>
      <c r="ED98" s="2080"/>
      <c r="EE98" s="2080"/>
      <c r="EF98" s="2080"/>
      <c r="EG98" s="2080"/>
      <c r="EH98" s="2080"/>
      <c r="EI98" s="2080"/>
      <c r="EJ98" s="2080"/>
      <c r="EK98" s="2080"/>
      <c r="EL98" s="2080"/>
      <c r="EM98" s="2080"/>
      <c r="EN98" s="2080"/>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c r="D99" s="18" t="str">
        <f>Last_forecast_year-2 &amp; "Q1"</f>
        <v>2017Q1</v>
      </c>
      <c r="E99" s="18" t="str">
        <f>Last_forecast_year-2 &amp; "Q2"</f>
        <v>2017Q2</v>
      </c>
      <c r="F99" s="18" t="str">
        <f>Last_forecast_year-2 &amp; "Q3"</f>
        <v>2017Q3</v>
      </c>
      <c r="G99" s="18" t="str">
        <f>Last_forecast_year-2 &amp; "Q4"</f>
        <v>2017Q4</v>
      </c>
      <c r="H99" s="18" t="str">
        <f>Last_forecast_year-1 &amp; "Q1"</f>
        <v>2018Q1</v>
      </c>
      <c r="I99" s="18" t="str">
        <f>Last_forecast_year-1 &amp; "Q2"</f>
        <v>2018Q2</v>
      </c>
      <c r="J99" s="18" t="str">
        <f>Last_forecast_year-1 &amp; "Q3"</f>
        <v>2018Q3</v>
      </c>
      <c r="K99" s="18" t="str">
        <f>Last_forecast_year-1 &amp; "Q4"</f>
        <v>2018Q4</v>
      </c>
      <c r="L99" s="18" t="str">
        <f>Last_forecast_year &amp; "Q1"</f>
        <v>2019Q1</v>
      </c>
      <c r="M99" s="18" t="str">
        <f>Last_forecast_year &amp; "Q2"</f>
        <v>2019Q2</v>
      </c>
      <c r="N99" s="18" t="str">
        <f>Last_forecast_year &amp; "Q3"</f>
        <v>2019Q3</v>
      </c>
      <c r="O99" s="18" t="str">
        <f>Last_forecast_year &amp; "Q4"</f>
        <v>2019Q4</v>
      </c>
      <c r="P99" s="18"/>
      <c r="Q99" s="18"/>
      <c r="R99" s="18"/>
      <c r="S99" s="18"/>
      <c r="T99" s="18"/>
      <c r="U99" s="18"/>
      <c r="V99" s="18"/>
      <c r="W99" s="18"/>
      <c r="X99" s="18"/>
      <c r="Y99" s="18"/>
      <c r="Z99" s="18"/>
      <c r="AA99" s="15"/>
      <c r="AD99" s="18" t="str">
        <f>Last_forecast_year-2 &amp; "Q1"</f>
        <v>2017Q1</v>
      </c>
      <c r="AE99" s="18" t="str">
        <f>Last_forecast_year-2 &amp; "Q2"</f>
        <v>2017Q2</v>
      </c>
      <c r="AF99" s="18" t="str">
        <f>Last_forecast_year-2 &amp; "Q3"</f>
        <v>2017Q3</v>
      </c>
      <c r="AG99" s="18" t="str">
        <f>Last_forecast_year-2 &amp; "Q4"</f>
        <v>2017Q4</v>
      </c>
      <c r="AH99" s="18" t="str">
        <f>Last_forecast_year-1 &amp; "Q1"</f>
        <v>2018Q1</v>
      </c>
      <c r="AI99" s="18" t="str">
        <f>Last_forecast_year-1 &amp; "Q2"</f>
        <v>2018Q2</v>
      </c>
      <c r="AJ99" s="18" t="str">
        <f>Last_forecast_year-1 &amp; "Q3"</f>
        <v>2018Q3</v>
      </c>
      <c r="AK99" s="18" t="str">
        <f>Last_forecast_year-1 &amp; "Q4"</f>
        <v>2018Q4</v>
      </c>
      <c r="AL99" s="18" t="str">
        <f>Last_forecast_year &amp; "Q1"</f>
        <v>2019Q1</v>
      </c>
      <c r="AM99" s="18" t="str">
        <f>Last_forecast_year &amp; "Q2"</f>
        <v>2019Q2</v>
      </c>
      <c r="AN99" s="18" t="str">
        <f>Last_forecast_year &amp; "Q3"</f>
        <v>2019Q3</v>
      </c>
      <c r="AO99" s="18" t="str">
        <f>Last_forecast_year &amp; "Q4"</f>
        <v>2019Q4</v>
      </c>
      <c r="AP99" s="18"/>
      <c r="AQ99" s="18"/>
      <c r="AR99" s="15"/>
      <c r="AU99" s="18" t="s">
        <v>1756</v>
      </c>
      <c r="AV99" s="18" t="s">
        <v>1757</v>
      </c>
      <c r="AW99" s="18" t="s">
        <v>1758</v>
      </c>
      <c r="AX99" s="18" t="s">
        <v>1759</v>
      </c>
      <c r="AY99" s="18" t="s">
        <v>1760</v>
      </c>
      <c r="AZ99" s="18" t="s">
        <v>27</v>
      </c>
      <c r="BA99" s="18" t="s">
        <v>28</v>
      </c>
      <c r="BB99" s="18" t="s">
        <v>29</v>
      </c>
      <c r="BC99" s="18" t="s">
        <v>30</v>
      </c>
      <c r="BD99" s="18" t="s">
        <v>31</v>
      </c>
      <c r="BE99" s="18" t="s">
        <v>32</v>
      </c>
      <c r="BF99" s="18" t="s">
        <v>33</v>
      </c>
    </row>
    <row r="100" spans="1:256">
      <c r="C100" s="19">
        <f>Last_forecast_year-4</f>
        <v>2015</v>
      </c>
      <c r="D100" s="19">
        <f>C100+1</f>
        <v>2016</v>
      </c>
      <c r="E100" s="19">
        <f>D100+1</f>
        <v>2017</v>
      </c>
      <c r="F100" s="19">
        <f>E100+1</f>
        <v>2018</v>
      </c>
      <c r="G100" s="19">
        <f>F100+1</f>
        <v>2019</v>
      </c>
      <c r="H100" s="19"/>
      <c r="I100" s="19"/>
      <c r="J100" s="19"/>
      <c r="K100" s="19"/>
      <c r="L100" s="20"/>
      <c r="M100" s="20"/>
      <c r="N100" s="20"/>
      <c r="O100" s="20"/>
      <c r="P100"/>
      <c r="Q100"/>
      <c r="AA100" s="15"/>
      <c r="AC100" s="19">
        <f>Last_forecast_year-4</f>
        <v>2015</v>
      </c>
      <c r="AD100" s="19">
        <f>AC100+1</f>
        <v>2016</v>
      </c>
      <c r="AE100" s="19">
        <f>AD100+1</f>
        <v>2017</v>
      </c>
      <c r="AF100" s="19">
        <f>AE100+1</f>
        <v>2018</v>
      </c>
      <c r="AG100" s="19">
        <f>AF100+1</f>
        <v>2019</v>
      </c>
      <c r="AH100" s="19"/>
      <c r="AI100" s="19"/>
      <c r="AJ100" s="19"/>
      <c r="AK100" s="19"/>
      <c r="AL100" s="20"/>
      <c r="AM100" s="20"/>
      <c r="AN100" s="20"/>
      <c r="AO100" s="20"/>
      <c r="AR100" s="15"/>
      <c r="AT100" s="19">
        <v>2004</v>
      </c>
      <c r="AU100" s="19">
        <v>2005</v>
      </c>
      <c r="AV100" s="19">
        <v>2006</v>
      </c>
      <c r="AW100" s="19">
        <v>2007</v>
      </c>
      <c r="AX100" s="19">
        <v>2008</v>
      </c>
      <c r="AY100" s="19"/>
      <c r="AZ100" s="19"/>
      <c r="BA100" s="19"/>
      <c r="BB100" s="19"/>
      <c r="BC100" s="20"/>
      <c r="BD100" s="20"/>
      <c r="BE100" s="20"/>
      <c r="BF100" s="20"/>
    </row>
    <row r="101" spans="1:256">
      <c r="A101" s="22">
        <v>1</v>
      </c>
      <c r="B101" s="23" t="s">
        <v>1016</v>
      </c>
      <c r="C101" s="24">
        <f ca="1">OFFSET('VVP2'!F165,0,Last_forecast_year - 3-InputY!$G$3)</f>
        <v>23.682538042559482</v>
      </c>
      <c r="D101" s="24">
        <f ca="1">OFFSET('VVP2'!G165,0,Last_forecast_year - 3-InputY!$G$3)</f>
        <v>24.632151881878773</v>
      </c>
      <c r="E101" s="24">
        <f ca="1">OFFSET('VVP2'!H165,0,Last_forecast_year - 3-InputY!$G$3)</f>
        <v>25.830766377612981</v>
      </c>
      <c r="F101" s="24">
        <f ca="1">OFFSET('VVP2'!I165,0,Last_forecast_year - 3-InputY!$G$3)</f>
        <v>27.738403649999995</v>
      </c>
      <c r="G101" s="24">
        <f ca="1">OFFSET('VVP2'!J165,0,Last_forecast_year - 3-InputY!$G$3)</f>
        <v>29.398769015681694</v>
      </c>
      <c r="H101" s="25">
        <v>-9999</v>
      </c>
      <c r="I101" s="25">
        <v>-9999</v>
      </c>
      <c r="J101" s="25">
        <v>-9999</v>
      </c>
      <c r="K101" s="25">
        <v>-9999</v>
      </c>
      <c r="L101" s="25">
        <v>-9999</v>
      </c>
      <c r="M101" s="25">
        <v>-9999</v>
      </c>
      <c r="N101" s="25">
        <v>-9999</v>
      </c>
      <c r="O101" s="25">
        <v>-9999</v>
      </c>
      <c r="P101" s="26"/>
      <c r="Q101"/>
      <c r="AA101" s="22">
        <v>1</v>
      </c>
      <c r="AB101" s="1040" t="str">
        <f>+B101</f>
        <v>VOL. PRIVATE CONSUMPTION EXPEND.</v>
      </c>
      <c r="AC101" s="1040">
        <f>CHOOSE(Tables!$U$2,Transfer!CA101,Transfer!CN101,Transfer!DA101,Transfer!DN101,Transfer!EA101)</f>
        <v>64.48019539260666</v>
      </c>
      <c r="AD101" s="1040">
        <f>CHOOSE(Tables!$U$2,Transfer!CB101,Transfer!CO101,Transfer!DB101,Transfer!DO101,Transfer!EB101)</f>
        <v>69.787772268699513</v>
      </c>
      <c r="AE101" s="1040">
        <f>CHOOSE(Tables!$U$2,Transfer!CC101,Transfer!CP101,Transfer!DC101,Transfer!DP101,Transfer!EC101)</f>
        <v>75.001867919999995</v>
      </c>
      <c r="AF101" s="1040">
        <f>CHOOSE(Tables!$U$2,Transfer!CD101,Transfer!CQ101,Transfer!DD101,Transfer!DQ101,Transfer!ED101)</f>
        <v>79.000328832762378</v>
      </c>
      <c r="AG101" s="1040">
        <f>CHOOSE(Tables!$U$2,Transfer!CE101,Transfer!CR101,Transfer!DE101,Transfer!DR101,Transfer!EE101)</f>
        <v>84.103319799586345</v>
      </c>
      <c r="AH101" s="1040">
        <f>CHOOSE(Tables!$U$2,Transfer!CF101,Transfer!CS101,Transfer!DF101,Transfer!DS101,Transfer!EF101)</f>
        <v>-9999</v>
      </c>
      <c r="AI101" s="1040">
        <f>CHOOSE(Tables!$U$2,Transfer!CG101,Transfer!CT101,Transfer!DG101,Transfer!DT101,Transfer!EG101)</f>
        <v>-9999</v>
      </c>
      <c r="AJ101" s="1040">
        <f>CHOOSE(Tables!$U$2,Transfer!CH101,Transfer!CU101,Transfer!DH101,Transfer!DU101,Transfer!EH101)</f>
        <v>-9999</v>
      </c>
      <c r="AK101" s="1040">
        <f>CHOOSE(Tables!$U$2,Transfer!CI101,Transfer!CV101,Transfer!DI101,Transfer!DV101,Transfer!EI101)</f>
        <v>-9999</v>
      </c>
      <c r="AL101" s="1040">
        <f>CHOOSE(Tables!$U$2,Transfer!CJ101,Transfer!CW101,Transfer!DJ101,Transfer!DW101,Transfer!EJ101)</f>
        <v>-9999</v>
      </c>
      <c r="AM101" s="1040">
        <f>CHOOSE(Tables!$U$2,Transfer!CK101,Transfer!CX101,Transfer!DK101,Transfer!DX101,Transfer!EK101)</f>
        <v>-9999</v>
      </c>
      <c r="AN101" s="1040">
        <f>CHOOSE(Tables!$U$2,Transfer!CL101,Transfer!CY101,Transfer!DL101,Transfer!DY101,Transfer!EL101)</f>
        <v>-9999</v>
      </c>
      <c r="AO101" s="1040">
        <f>CHOOSE(Tables!$U$2,Transfer!CM101,Transfer!CZ101,Transfer!DM101,Transfer!DZ101,Transfer!EM101)</f>
        <v>-9999</v>
      </c>
      <c r="AR101" s="22">
        <v>1</v>
      </c>
      <c r="AS101" s="23" t="s">
        <v>1016</v>
      </c>
      <c r="AT101" s="24">
        <f t="shared" ref="AT101:BF120" ca="1" si="2">C101-AC101</f>
        <v>-40.797657350047174</v>
      </c>
      <c r="AU101" s="24">
        <f t="shared" ca="1" si="2"/>
        <v>-45.155620386820743</v>
      </c>
      <c r="AV101" s="24">
        <f t="shared" ca="1" si="2"/>
        <v>-49.171101542387014</v>
      </c>
      <c r="AW101" s="24">
        <f t="shared" ca="1" si="2"/>
        <v>-51.261925182762383</v>
      </c>
      <c r="AX101" s="24">
        <f t="shared" ca="1" si="2"/>
        <v>-54.704550783904651</v>
      </c>
      <c r="AY101" s="25">
        <f t="shared" si="2"/>
        <v>0</v>
      </c>
      <c r="AZ101" s="25">
        <f t="shared" si="2"/>
        <v>0</v>
      </c>
      <c r="BA101" s="25">
        <f t="shared" si="2"/>
        <v>0</v>
      </c>
      <c r="BB101" s="25">
        <f t="shared" si="2"/>
        <v>0</v>
      </c>
      <c r="BC101" s="25">
        <f t="shared" si="2"/>
        <v>0</v>
      </c>
      <c r="BD101" s="25">
        <f t="shared" si="2"/>
        <v>0</v>
      </c>
      <c r="BE101" s="25">
        <f t="shared" si="2"/>
        <v>0</v>
      </c>
      <c r="BF101" s="25">
        <f t="shared" si="2"/>
        <v>0</v>
      </c>
      <c r="CA101" s="16">
        <v>21.758690455530537</v>
      </c>
      <c r="CB101" s="16">
        <v>22.876526345462672</v>
      </c>
      <c r="CC101" s="16">
        <v>24.023379779999999</v>
      </c>
      <c r="CD101" s="16">
        <v>24.784440451430399</v>
      </c>
      <c r="CE101" s="16">
        <v>25.926913932255719</v>
      </c>
      <c r="CF101" s="16">
        <v>-9999</v>
      </c>
      <c r="CG101" s="16">
        <v>-9999</v>
      </c>
      <c r="CH101" s="16">
        <v>-9999</v>
      </c>
      <c r="CI101" s="16">
        <v>-9999</v>
      </c>
      <c r="CJ101" s="16">
        <v>-9999</v>
      </c>
      <c r="CK101" s="16">
        <v>-9999</v>
      </c>
      <c r="CL101" s="16">
        <v>-9999</v>
      </c>
      <c r="CM101" s="16">
        <v>-9999</v>
      </c>
      <c r="CN101" s="16">
        <v>20.239270003819197</v>
      </c>
      <c r="CO101" s="16">
        <v>21.74451999080506</v>
      </c>
      <c r="CP101" s="16">
        <v>23.181144127999996</v>
      </c>
      <c r="CQ101" s="16">
        <v>24.129566692161124</v>
      </c>
      <c r="CR101" s="16">
        <v>24.978397663517772</v>
      </c>
      <c r="CS101" s="16">
        <v>-9999</v>
      </c>
      <c r="CT101" s="16">
        <v>-9999</v>
      </c>
      <c r="CU101" s="16">
        <v>-9999</v>
      </c>
      <c r="CV101" s="16">
        <v>-9999</v>
      </c>
      <c r="CW101" s="16">
        <v>-9999</v>
      </c>
      <c r="CX101" s="16">
        <v>-9999</v>
      </c>
      <c r="CY101" s="16">
        <v>-9999</v>
      </c>
      <c r="CZ101" s="16">
        <v>-9999</v>
      </c>
      <c r="DA101" s="16">
        <v>21.74451999080506</v>
      </c>
      <c r="DB101" s="16">
        <v>23.18850000670248</v>
      </c>
      <c r="DC101" s="16">
        <v>24.420360040000002</v>
      </c>
      <c r="DD101" s="16">
        <v>25.191555010063205</v>
      </c>
      <c r="DE101" s="16">
        <v>26.56459552433169</v>
      </c>
      <c r="DF101" s="16">
        <v>-9999</v>
      </c>
      <c r="DG101" s="16">
        <v>-9999</v>
      </c>
      <c r="DH101" s="16">
        <v>-9999</v>
      </c>
      <c r="DI101" s="16">
        <v>-9999</v>
      </c>
      <c r="DJ101" s="16">
        <v>-9999</v>
      </c>
      <c r="DK101" s="16">
        <v>-9999</v>
      </c>
      <c r="DL101" s="16">
        <v>-9999</v>
      </c>
      <c r="DM101" s="16">
        <v>-9999</v>
      </c>
      <c r="DN101" s="16">
        <v>20.239270003819197</v>
      </c>
      <c r="DO101" s="16">
        <v>21.74451999080506</v>
      </c>
      <c r="DP101" s="16">
        <v>23.181144127999996</v>
      </c>
      <c r="DQ101" s="16">
        <v>24.129566692161124</v>
      </c>
      <c r="DR101" s="16">
        <v>25.064805081303842</v>
      </c>
      <c r="DS101" s="16">
        <v>-9999</v>
      </c>
      <c r="DT101" s="16">
        <v>-9999</v>
      </c>
      <c r="DU101" s="16">
        <v>-9999</v>
      </c>
      <c r="DV101" s="16">
        <v>-9999</v>
      </c>
      <c r="DW101" s="16">
        <v>-9999</v>
      </c>
      <c r="DX101" s="16">
        <v>-9999</v>
      </c>
      <c r="DY101" s="16">
        <v>-9999</v>
      </c>
      <c r="DZ101" s="16">
        <v>-9999</v>
      </c>
      <c r="EA101" s="2196">
        <v>64.48019539260666</v>
      </c>
      <c r="EB101" s="2196">
        <v>69.787772268699513</v>
      </c>
      <c r="EC101" s="2196">
        <v>75.001867919999995</v>
      </c>
      <c r="ED101" s="2196">
        <v>79.000328832762378</v>
      </c>
      <c r="EE101" s="2196">
        <v>84.103319799586345</v>
      </c>
      <c r="EF101" s="2197">
        <v>-9999</v>
      </c>
      <c r="EG101" s="2197">
        <v>-9999</v>
      </c>
      <c r="EH101" s="2197">
        <v>-9999</v>
      </c>
      <c r="EI101" s="2197">
        <v>-9999</v>
      </c>
      <c r="EJ101" s="2197">
        <v>-9999</v>
      </c>
      <c r="EK101" s="2197">
        <v>-9999</v>
      </c>
      <c r="EL101" s="2197">
        <v>-9999</v>
      </c>
      <c r="EM101" s="2197">
        <v>-9999</v>
      </c>
    </row>
    <row r="102" spans="1:256">
      <c r="A102" s="22">
        <v>2</v>
      </c>
      <c r="B102" s="1" t="s">
        <v>532</v>
      </c>
      <c r="C102" s="24">
        <f ca="1">OFFSET('VVP2'!F166,0,Last_forecast_year - 3-InputY!$G$3)</f>
        <v>6.0833100473935326</v>
      </c>
      <c r="D102" s="24">
        <f ca="1">OFFSET('VVP2'!G166,0,Last_forecast_year - 3-InputY!$G$3)</f>
        <v>6.5118543082355504</v>
      </c>
      <c r="E102" s="24">
        <f ca="1">OFFSET('VVP2'!H166,0,Last_forecast_year - 3-InputY!$G$3)</f>
        <v>6.7137872911684973</v>
      </c>
      <c r="F102" s="24">
        <f ca="1">OFFSET('VVP2'!I166,0,Last_forecast_year - 3-InputY!$G$3)</f>
        <v>7.0213420200000005</v>
      </c>
      <c r="G102" s="24">
        <f ca="1">OFFSET('VVP2'!J166,0,Last_forecast_year - 3-InputY!$G$3)</f>
        <v>7.4103718321800569</v>
      </c>
      <c r="H102" s="25">
        <v>-9999</v>
      </c>
      <c r="I102" s="25">
        <v>-9999</v>
      </c>
      <c r="J102" s="25">
        <v>-9999</v>
      </c>
      <c r="K102" s="25">
        <v>-9999</v>
      </c>
      <c r="L102" s="25">
        <v>-9999</v>
      </c>
      <c r="M102" s="25">
        <v>-9999</v>
      </c>
      <c r="N102" s="25">
        <v>-9999</v>
      </c>
      <c r="O102" s="25">
        <v>-9999</v>
      </c>
      <c r="P102" s="26"/>
      <c r="Q102"/>
      <c r="AA102" s="22">
        <v>2</v>
      </c>
      <c r="AB102" s="1040" t="str">
        <f t="shared" ref="AB102:AB165" si="3">+B102</f>
        <v xml:space="preserve">VOL. GOVERNMENT CONSUMPTION EXPEND. </v>
      </c>
      <c r="AC102" s="1040">
        <f>CHOOSE(Tables!$U$2,Transfer!CA102,Transfer!CN102,Transfer!DA102,Transfer!DN102,Transfer!EA102)</f>
        <v>19.532933501793412</v>
      </c>
      <c r="AD102" s="1040">
        <f>CHOOSE(Tables!$U$2,Transfer!CB102,Transfer!CO102,Transfer!DB102,Transfer!DO102,Transfer!EB102)</f>
        <v>20.056978444279622</v>
      </c>
      <c r="AE102" s="1040">
        <f>CHOOSE(Tables!$U$2,Transfer!CC102,Transfer!CP102,Transfer!DC102,Transfer!DP102,Transfer!EC102)</f>
        <v>20.276866739999999</v>
      </c>
      <c r="AF102" s="1040">
        <f>CHOOSE(Tables!$U$2,Transfer!CD102,Transfer!CQ102,Transfer!DD102,Transfer!DQ102,Transfer!ED102)</f>
        <v>20.910316056957598</v>
      </c>
      <c r="AG102" s="1040">
        <f>CHOOSE(Tables!$U$2,Transfer!CE102,Transfer!CR102,Transfer!DE102,Transfer!DR102,Transfer!EE102)</f>
        <v>21.648533855032429</v>
      </c>
      <c r="AH102" s="1040">
        <f>CHOOSE(Tables!$U$2,Transfer!CF102,Transfer!CS102,Transfer!DF102,Transfer!DS102,Transfer!EF102)</f>
        <v>-9999</v>
      </c>
      <c r="AI102" s="1040">
        <f>CHOOSE(Tables!$U$2,Transfer!CG102,Transfer!CT102,Transfer!DG102,Transfer!DT102,Transfer!EG102)</f>
        <v>-9999</v>
      </c>
      <c r="AJ102" s="1040">
        <f>CHOOSE(Tables!$U$2,Transfer!CH102,Transfer!CU102,Transfer!DH102,Transfer!DU102,Transfer!EH102)</f>
        <v>-9999</v>
      </c>
      <c r="AK102" s="1040">
        <f>CHOOSE(Tables!$U$2,Transfer!CI102,Transfer!CV102,Transfer!DI102,Transfer!DV102,Transfer!EI102)</f>
        <v>-9999</v>
      </c>
      <c r="AL102" s="1040">
        <f>CHOOSE(Tables!$U$2,Transfer!CJ102,Transfer!CW102,Transfer!DJ102,Transfer!DW102,Transfer!EJ102)</f>
        <v>-9999</v>
      </c>
      <c r="AM102" s="1040">
        <f>CHOOSE(Tables!$U$2,Transfer!CK102,Transfer!CX102,Transfer!DK102,Transfer!DX102,Transfer!EK102)</f>
        <v>-9999</v>
      </c>
      <c r="AN102" s="1040">
        <f>CHOOSE(Tables!$U$2,Transfer!CL102,Transfer!CY102,Transfer!DL102,Transfer!DY102,Transfer!EL102)</f>
        <v>-9999</v>
      </c>
      <c r="AO102" s="1040">
        <f>CHOOSE(Tables!$U$2,Transfer!CM102,Transfer!CZ102,Transfer!DM102,Transfer!DZ102,Transfer!EM102)</f>
        <v>-9999</v>
      </c>
      <c r="AR102" s="22">
        <v>2</v>
      </c>
      <c r="AS102" s="1" t="s">
        <v>532</v>
      </c>
      <c r="AT102" s="24">
        <f t="shared" ca="1" si="2"/>
        <v>-13.44962345439988</v>
      </c>
      <c r="AU102" s="24">
        <f t="shared" ca="1" si="2"/>
        <v>-13.545124136044072</v>
      </c>
      <c r="AV102" s="24">
        <f t="shared" ca="1" si="2"/>
        <v>-13.563079448831502</v>
      </c>
      <c r="AW102" s="24">
        <f t="shared" ca="1" si="2"/>
        <v>-13.888974036957597</v>
      </c>
      <c r="AX102" s="24">
        <f t="shared" ca="1" si="2"/>
        <v>-14.238162022852372</v>
      </c>
      <c r="AY102" s="25">
        <f t="shared" si="2"/>
        <v>0</v>
      </c>
      <c r="AZ102" s="25">
        <f t="shared" si="2"/>
        <v>0</v>
      </c>
      <c r="BA102" s="25">
        <f t="shared" si="2"/>
        <v>0</v>
      </c>
      <c r="BB102" s="25">
        <f t="shared" si="2"/>
        <v>0</v>
      </c>
      <c r="BC102" s="25">
        <f t="shared" si="2"/>
        <v>0</v>
      </c>
      <c r="BD102" s="25">
        <f t="shared" si="2"/>
        <v>0</v>
      </c>
      <c r="BE102" s="25">
        <f t="shared" si="2"/>
        <v>0</v>
      </c>
      <c r="BF102" s="25">
        <f t="shared" si="2"/>
        <v>0</v>
      </c>
      <c r="CA102" s="16">
        <v>5.8239671806804774</v>
      </c>
      <c r="CB102" s="16">
        <v>5.9363390825987317</v>
      </c>
      <c r="CC102" s="16">
        <v>6.2571961949999997</v>
      </c>
      <c r="CD102" s="16">
        <v>6.5161064591567088</v>
      </c>
      <c r="CE102" s="16">
        <v>6.8358518031075288</v>
      </c>
      <c r="CF102" s="16">
        <v>-9999</v>
      </c>
      <c r="CG102" s="16">
        <v>-9999</v>
      </c>
      <c r="CH102" s="16">
        <v>-9999</v>
      </c>
      <c r="CI102" s="16">
        <v>-9999</v>
      </c>
      <c r="CJ102" s="16">
        <v>-9999</v>
      </c>
      <c r="CK102" s="16">
        <v>-9999</v>
      </c>
      <c r="CL102" s="16">
        <v>-9999</v>
      </c>
      <c r="CM102" s="16">
        <v>-9999</v>
      </c>
      <c r="CN102" s="16">
        <v>5.7434300032177719</v>
      </c>
      <c r="CO102" s="16">
        <v>5.8748599933119268</v>
      </c>
      <c r="CP102" s="16">
        <v>5.9609510999999999</v>
      </c>
      <c r="CQ102" s="16">
        <v>6.274896511583699</v>
      </c>
      <c r="CR102" s="16">
        <v>6.5797043158062607</v>
      </c>
      <c r="CS102" s="16">
        <v>-9999</v>
      </c>
      <c r="CT102" s="16">
        <v>-9999</v>
      </c>
      <c r="CU102" s="16">
        <v>-9999</v>
      </c>
      <c r="CV102" s="16">
        <v>-9999</v>
      </c>
      <c r="CW102" s="16">
        <v>-9999</v>
      </c>
      <c r="CX102" s="16">
        <v>-9999</v>
      </c>
      <c r="CY102" s="16">
        <v>-9999</v>
      </c>
      <c r="CZ102" s="16">
        <v>-9999</v>
      </c>
      <c r="DA102" s="16">
        <v>5.8748599933119268</v>
      </c>
      <c r="DB102" s="16">
        <v>5.9692800070294796</v>
      </c>
      <c r="DC102" s="16">
        <v>6.2972461999999991</v>
      </c>
      <c r="DD102" s="16">
        <v>6.4429140990983989</v>
      </c>
      <c r="DE102" s="16">
        <v>6.6179680751709018</v>
      </c>
      <c r="DF102" s="16">
        <v>-9999</v>
      </c>
      <c r="DG102" s="16">
        <v>-9999</v>
      </c>
      <c r="DH102" s="16">
        <v>-9999</v>
      </c>
      <c r="DI102" s="16">
        <v>-9999</v>
      </c>
      <c r="DJ102" s="16">
        <v>-9999</v>
      </c>
      <c r="DK102" s="16">
        <v>-9999</v>
      </c>
      <c r="DL102" s="16">
        <v>-9999</v>
      </c>
      <c r="DM102" s="16">
        <v>-9999</v>
      </c>
      <c r="DN102" s="16">
        <v>5.7434300032177719</v>
      </c>
      <c r="DO102" s="16">
        <v>5.8748599933119268</v>
      </c>
      <c r="DP102" s="16">
        <v>5.9581470958041702</v>
      </c>
      <c r="DQ102" s="16">
        <v>6.2719448288988877</v>
      </c>
      <c r="DR102" s="16">
        <v>6.5766092529212727</v>
      </c>
      <c r="DS102" s="16">
        <v>-9999</v>
      </c>
      <c r="DT102" s="16">
        <v>-9999</v>
      </c>
      <c r="DU102" s="16">
        <v>-9999</v>
      </c>
      <c r="DV102" s="16">
        <v>-9999</v>
      </c>
      <c r="DW102" s="16">
        <v>-9999</v>
      </c>
      <c r="DX102" s="16">
        <v>-9999</v>
      </c>
      <c r="DY102" s="16">
        <v>-9999</v>
      </c>
      <c r="DZ102" s="16">
        <v>-9999</v>
      </c>
      <c r="EA102" s="2196">
        <v>19.532933501793412</v>
      </c>
      <c r="EB102" s="2196">
        <v>20.056978444279622</v>
      </c>
      <c r="EC102" s="2196">
        <v>20.276866739999999</v>
      </c>
      <c r="ED102" s="2196">
        <v>20.910316056957598</v>
      </c>
      <c r="EE102" s="2196">
        <v>21.648533855032429</v>
      </c>
      <c r="EF102" s="2197">
        <v>-9999</v>
      </c>
      <c r="EG102" s="2197">
        <v>-9999</v>
      </c>
      <c r="EH102" s="2197">
        <v>-9999</v>
      </c>
      <c r="EI102" s="2197">
        <v>-9999</v>
      </c>
      <c r="EJ102" s="2197">
        <v>-9999</v>
      </c>
      <c r="EK102" s="2197">
        <v>-9999</v>
      </c>
      <c r="EL102" s="2197">
        <v>-9999</v>
      </c>
      <c r="EM102" s="2197">
        <v>-9999</v>
      </c>
    </row>
    <row r="103" spans="1:256">
      <c r="A103" s="22">
        <v>3</v>
      </c>
      <c r="B103" s="27" t="s">
        <v>534</v>
      </c>
      <c r="C103" s="24">
        <f ca="1">OFFSET('VVP2'!F167,0,Last_forecast_year - 3-InputY!$G$3)</f>
        <v>7.238783406852999</v>
      </c>
      <c r="D103" s="24">
        <f ca="1">OFFSET('VVP2'!G167,0,Last_forecast_year - 3-InputY!$G$3)</f>
        <v>7.2907280162839356</v>
      </c>
      <c r="E103" s="24">
        <f ca="1">OFFSET('VVP2'!H167,0,Last_forecast_year - 3-InputY!$G$3)</f>
        <v>7.8484123706606796</v>
      </c>
      <c r="F103" s="24">
        <f ca="1">OFFSET('VVP2'!I167,0,Last_forecast_year - 3-InputY!$G$3)</f>
        <v>8.4064658956084077</v>
      </c>
      <c r="G103" s="24">
        <f ca="1">OFFSET('VVP2'!J167,0,Last_forecast_year - 3-InputY!$G$3)</f>
        <v>8.9639536658038441</v>
      </c>
      <c r="H103" s="25">
        <v>-9999</v>
      </c>
      <c r="I103" s="25">
        <v>-9999</v>
      </c>
      <c r="J103" s="25">
        <v>-9999</v>
      </c>
      <c r="K103" s="25">
        <v>-9999</v>
      </c>
      <c r="L103" s="25">
        <v>-9999</v>
      </c>
      <c r="M103" s="25">
        <v>-9999</v>
      </c>
      <c r="N103" s="25">
        <v>-9999</v>
      </c>
      <c r="O103" s="25">
        <v>-9999</v>
      </c>
      <c r="P103" s="26"/>
      <c r="Q103"/>
      <c r="AA103" s="22">
        <v>3</v>
      </c>
      <c r="AB103" s="1040" t="str">
        <f t="shared" si="3"/>
        <v>VOL. G.F.C.F. TOTAL</v>
      </c>
      <c r="AC103" s="1040">
        <f>CHOOSE(Tables!$U$2,Transfer!CA103,Transfer!CN103,Transfer!DA103,Transfer!DN103,Transfer!EA103)</f>
        <v>18.815569180762058</v>
      </c>
      <c r="AD103" s="1040">
        <f>CHOOSE(Tables!$U$2,Transfer!CB103,Transfer!CO103,Transfer!DB103,Transfer!DO103,Transfer!EB103)</f>
        <v>18.575091931641602</v>
      </c>
      <c r="AE103" s="1040">
        <f>CHOOSE(Tables!$U$2,Transfer!CC103,Transfer!CP103,Transfer!DC103,Transfer!DP103,Transfer!EC103)</f>
        <v>19.856651069999995</v>
      </c>
      <c r="AF103" s="1040">
        <f>CHOOSE(Tables!$U$2,Transfer!CD103,Transfer!CQ103,Transfer!DD103,Transfer!DQ103,Transfer!ED103)</f>
        <v>21.704633039194501</v>
      </c>
      <c r="AG103" s="1040">
        <f>CHOOSE(Tables!$U$2,Transfer!CE103,Transfer!CR103,Transfer!DE103,Transfer!DR103,Transfer!EE103)</f>
        <v>24.017499721665029</v>
      </c>
      <c r="AH103" s="1040">
        <f>CHOOSE(Tables!$U$2,Transfer!CF103,Transfer!CS103,Transfer!DF103,Transfer!DS103,Transfer!EF103)</f>
        <v>-9999</v>
      </c>
      <c r="AI103" s="1040">
        <f>CHOOSE(Tables!$U$2,Transfer!CG103,Transfer!CT103,Transfer!DG103,Transfer!DT103,Transfer!EG103)</f>
        <v>-9999</v>
      </c>
      <c r="AJ103" s="1040">
        <f>CHOOSE(Tables!$U$2,Transfer!CH103,Transfer!CU103,Transfer!DH103,Transfer!DU103,Transfer!EH103)</f>
        <v>-9999</v>
      </c>
      <c r="AK103" s="1040">
        <f>CHOOSE(Tables!$U$2,Transfer!CI103,Transfer!CV103,Transfer!DI103,Transfer!DV103,Transfer!EI103)</f>
        <v>-9999</v>
      </c>
      <c r="AL103" s="1040">
        <f>CHOOSE(Tables!$U$2,Transfer!CJ103,Transfer!CW103,Transfer!DJ103,Transfer!DW103,Transfer!EJ103)</f>
        <v>-9999</v>
      </c>
      <c r="AM103" s="1040">
        <f>CHOOSE(Tables!$U$2,Transfer!CK103,Transfer!CX103,Transfer!DK103,Transfer!DX103,Transfer!EK103)</f>
        <v>-9999</v>
      </c>
      <c r="AN103" s="1040">
        <f>CHOOSE(Tables!$U$2,Transfer!CL103,Transfer!CY103,Transfer!DL103,Transfer!DY103,Transfer!EL103)</f>
        <v>-9999</v>
      </c>
      <c r="AO103" s="1040">
        <f>CHOOSE(Tables!$U$2,Transfer!CM103,Transfer!CZ103,Transfer!DM103,Transfer!DZ103,Transfer!EM103)</f>
        <v>-9999</v>
      </c>
      <c r="AR103" s="22">
        <v>3</v>
      </c>
      <c r="AS103" s="27" t="s">
        <v>534</v>
      </c>
      <c r="AT103" s="24">
        <f t="shared" ca="1" si="2"/>
        <v>-11.576785773909059</v>
      </c>
      <c r="AU103" s="24">
        <f t="shared" ca="1" si="2"/>
        <v>-11.284363915357666</v>
      </c>
      <c r="AV103" s="24">
        <f t="shared" ca="1" si="2"/>
        <v>-12.008238699339316</v>
      </c>
      <c r="AW103" s="24">
        <f t="shared" ca="1" si="2"/>
        <v>-13.298167143586094</v>
      </c>
      <c r="AX103" s="24">
        <f t="shared" ca="1" si="2"/>
        <v>-15.053546055861185</v>
      </c>
      <c r="AY103" s="25">
        <f t="shared" si="2"/>
        <v>0</v>
      </c>
      <c r="AZ103" s="25">
        <f t="shared" si="2"/>
        <v>0</v>
      </c>
      <c r="BA103" s="25">
        <f t="shared" si="2"/>
        <v>0</v>
      </c>
      <c r="BB103" s="25">
        <f t="shared" si="2"/>
        <v>0</v>
      </c>
      <c r="BC103" s="25">
        <f t="shared" si="2"/>
        <v>0</v>
      </c>
      <c r="BD103" s="25">
        <f t="shared" si="2"/>
        <v>0</v>
      </c>
      <c r="BE103" s="25">
        <f t="shared" si="2"/>
        <v>0</v>
      </c>
      <c r="BF103" s="25">
        <f t="shared" si="2"/>
        <v>0</v>
      </c>
      <c r="CA103" s="16">
        <v>6.2707783367488359</v>
      </c>
      <c r="CB103" s="16">
        <v>6.8088743858871039</v>
      </c>
      <c r="CC103" s="16">
        <v>7.4167988820735697</v>
      </c>
      <c r="CD103" s="16">
        <v>7.7064919009955943</v>
      </c>
      <c r="CE103" s="16">
        <v>8.3274433139767083</v>
      </c>
      <c r="CF103" s="16">
        <v>-9999</v>
      </c>
      <c r="CG103" s="16">
        <v>-9999</v>
      </c>
      <c r="CH103" s="16">
        <v>-9999</v>
      </c>
      <c r="CI103" s="16">
        <v>-9999</v>
      </c>
      <c r="CJ103" s="16">
        <v>-9999</v>
      </c>
      <c r="CK103" s="16">
        <v>-9999</v>
      </c>
      <c r="CL103" s="16">
        <v>-9999</v>
      </c>
      <c r="CM103" s="16">
        <v>-9999</v>
      </c>
      <c r="CN103" s="16">
        <v>5.6703700014335752</v>
      </c>
      <c r="CO103" s="16">
        <v>6.178979994934223</v>
      </c>
      <c r="CP103" s="16">
        <v>6.8531803339492594</v>
      </c>
      <c r="CQ103" s="16">
        <v>7.3131251957945764</v>
      </c>
      <c r="CR103" s="16">
        <v>7.9409501449564086</v>
      </c>
      <c r="CS103" s="16">
        <v>-9999</v>
      </c>
      <c r="CT103" s="16">
        <v>-9999</v>
      </c>
      <c r="CU103" s="16">
        <v>-9999</v>
      </c>
      <c r="CV103" s="16">
        <v>-9999</v>
      </c>
      <c r="CW103" s="16">
        <v>-9999</v>
      </c>
      <c r="CX103" s="16">
        <v>-9999</v>
      </c>
      <c r="CY103" s="16">
        <v>-9999</v>
      </c>
      <c r="CZ103" s="16">
        <v>-9999</v>
      </c>
      <c r="DA103" s="16">
        <v>6.178979994934223</v>
      </c>
      <c r="DB103" s="16">
        <v>6.8671800007155115</v>
      </c>
      <c r="DC103" s="16">
        <v>7.5171449499999996</v>
      </c>
      <c r="DD103" s="16">
        <v>7.9595117869211505</v>
      </c>
      <c r="DE103" s="16">
        <v>8.4032928457593599</v>
      </c>
      <c r="DF103" s="16">
        <v>-9999</v>
      </c>
      <c r="DG103" s="16">
        <v>-9999</v>
      </c>
      <c r="DH103" s="16">
        <v>-9999</v>
      </c>
      <c r="DI103" s="16">
        <v>-9999</v>
      </c>
      <c r="DJ103" s="16">
        <v>-9999</v>
      </c>
      <c r="DK103" s="16">
        <v>-9999</v>
      </c>
      <c r="DL103" s="16">
        <v>-9999</v>
      </c>
      <c r="DM103" s="16">
        <v>-9999</v>
      </c>
      <c r="DN103" s="16">
        <v>5.6703700014335752</v>
      </c>
      <c r="DO103" s="16">
        <v>6.178979994934223</v>
      </c>
      <c r="DP103" s="16">
        <v>6.8531803339492594</v>
      </c>
      <c r="DQ103" s="16">
        <v>7.3062136463520062</v>
      </c>
      <c r="DR103" s="16">
        <v>7.9164187314002685</v>
      </c>
      <c r="DS103" s="16">
        <v>-9999</v>
      </c>
      <c r="DT103" s="16">
        <v>-9999</v>
      </c>
      <c r="DU103" s="16">
        <v>-9999</v>
      </c>
      <c r="DV103" s="16">
        <v>-9999</v>
      </c>
      <c r="DW103" s="16">
        <v>-9999</v>
      </c>
      <c r="DX103" s="16">
        <v>-9999</v>
      </c>
      <c r="DY103" s="16">
        <v>-9999</v>
      </c>
      <c r="DZ103" s="16">
        <v>-9999</v>
      </c>
      <c r="EA103" s="2196">
        <v>18.815569180762058</v>
      </c>
      <c r="EB103" s="2196">
        <v>18.575091931641602</v>
      </c>
      <c r="EC103" s="2196">
        <v>19.856651069999995</v>
      </c>
      <c r="ED103" s="2196">
        <v>21.704633039194501</v>
      </c>
      <c r="EE103" s="2196">
        <v>24.017499721665029</v>
      </c>
      <c r="EF103" s="2197">
        <v>-9999</v>
      </c>
      <c r="EG103" s="2197">
        <v>-9999</v>
      </c>
      <c r="EH103" s="2197">
        <v>-9999</v>
      </c>
      <c r="EI103" s="2197">
        <v>-9999</v>
      </c>
      <c r="EJ103" s="2197">
        <v>-9999</v>
      </c>
      <c r="EK103" s="2197">
        <v>-9999</v>
      </c>
      <c r="EL103" s="2197">
        <v>-9999</v>
      </c>
      <c r="EM103" s="2197">
        <v>-9999</v>
      </c>
    </row>
    <row r="104" spans="1:256">
      <c r="A104" s="22">
        <v>4</v>
      </c>
      <c r="B104" s="1" t="s">
        <v>1305</v>
      </c>
      <c r="C104" s="24">
        <f ca="1">OFFSET('VVP2'!F168,0,Last_forecast_year - 3-InputY!$G$3)</f>
        <v>4.0795361517932864</v>
      </c>
      <c r="D104" s="24">
        <f ca="1">OFFSET('VVP2'!G168,0,Last_forecast_year - 3-InputY!$G$3)</f>
        <v>3.8266968006577176</v>
      </c>
      <c r="E104" s="24">
        <f ca="1">OFFSET('VVP2'!H168,0,Last_forecast_year - 3-InputY!$G$3)</f>
        <v>3.9568473536919488</v>
      </c>
      <c r="F104" s="24">
        <f ca="1">OFFSET('VVP2'!I168,0,Last_forecast_year - 3-InputY!$G$3)</f>
        <v>4.3305056999999998</v>
      </c>
      <c r="G104" s="24">
        <f ca="1">OFFSET('VVP2'!J168,0,Last_forecast_year - 3-InputY!$G$3)</f>
        <v>4.6552906650010488</v>
      </c>
      <c r="H104" s="25">
        <v>-9999</v>
      </c>
      <c r="I104" s="25">
        <v>-9999</v>
      </c>
      <c r="J104" s="25">
        <v>-9999</v>
      </c>
      <c r="K104" s="25">
        <v>-9999</v>
      </c>
      <c r="L104" s="25">
        <v>-9999</v>
      </c>
      <c r="M104" s="25">
        <v>-9999</v>
      </c>
      <c r="N104" s="25">
        <v>-9999</v>
      </c>
      <c r="O104" s="25">
        <v>-9999</v>
      </c>
      <c r="P104" s="26"/>
      <c r="Q104"/>
      <c r="AA104" s="22">
        <v>4</v>
      </c>
      <c r="AB104" s="1040" t="str">
        <f t="shared" si="3"/>
        <v>VOL. G.F.C.F. CONSTRUCTION</v>
      </c>
      <c r="AC104" s="1040">
        <f>CHOOSE(Tables!$U$2,Transfer!CA104,Transfer!CN104,Transfer!DA104,Transfer!DN104,Transfer!EA104)</f>
        <v>10.903777646258522</v>
      </c>
      <c r="AD104" s="1040">
        <f>CHOOSE(Tables!$U$2,Transfer!CB104,Transfer!CO104,Transfer!DB104,Transfer!DO104,Transfer!EB104)</f>
        <v>10.86541847090302</v>
      </c>
      <c r="AE104" s="1040">
        <f>CHOOSE(Tables!$U$2,Transfer!CC104,Transfer!CP104,Transfer!DC104,Transfer!DP104,Transfer!EC104)</f>
        <v>11.463546899999999</v>
      </c>
      <c r="AF104" s="1040">
        <f>CHOOSE(Tables!$U$2,Transfer!CD104,Transfer!CQ104,Transfer!DD104,Transfer!DQ104,Transfer!ED104)</f>
        <v>12.316550049749999</v>
      </c>
      <c r="AG104" s="1040">
        <f>CHOOSE(Tables!$U$2,Transfer!CE104,Transfer!CR104,Transfer!DE104,Transfer!DR104,Transfer!EE104)</f>
        <v>13.350900296782161</v>
      </c>
      <c r="AH104" s="1040">
        <f>CHOOSE(Tables!$U$2,Transfer!CF104,Transfer!CS104,Transfer!DF104,Transfer!DS104,Transfer!EF104)</f>
        <v>-9999</v>
      </c>
      <c r="AI104" s="1040">
        <f>CHOOSE(Tables!$U$2,Transfer!CG104,Transfer!CT104,Transfer!DG104,Transfer!DT104,Transfer!EG104)</f>
        <v>-9999</v>
      </c>
      <c r="AJ104" s="1040">
        <f>CHOOSE(Tables!$U$2,Transfer!CH104,Transfer!CU104,Transfer!DH104,Transfer!DU104,Transfer!EH104)</f>
        <v>-9999</v>
      </c>
      <c r="AK104" s="1040">
        <f>CHOOSE(Tables!$U$2,Transfer!CI104,Transfer!CV104,Transfer!DI104,Transfer!DV104,Transfer!EI104)</f>
        <v>-9999</v>
      </c>
      <c r="AL104" s="1040">
        <f>CHOOSE(Tables!$U$2,Transfer!CJ104,Transfer!CW104,Transfer!DJ104,Transfer!DW104,Transfer!EJ104)</f>
        <v>-9999</v>
      </c>
      <c r="AM104" s="1040">
        <f>CHOOSE(Tables!$U$2,Transfer!CK104,Transfer!CX104,Transfer!DK104,Transfer!DX104,Transfer!EK104)</f>
        <v>-9999</v>
      </c>
      <c r="AN104" s="1040">
        <f>CHOOSE(Tables!$U$2,Transfer!CL104,Transfer!CY104,Transfer!DL104,Transfer!DY104,Transfer!EL104)</f>
        <v>-9999</v>
      </c>
      <c r="AO104" s="1040">
        <f>CHOOSE(Tables!$U$2,Transfer!CM104,Transfer!CZ104,Transfer!DM104,Transfer!DZ104,Transfer!EM104)</f>
        <v>-9999</v>
      </c>
      <c r="AR104" s="22">
        <v>4</v>
      </c>
      <c r="AS104" s="1" t="s">
        <v>1305</v>
      </c>
      <c r="AT104" s="24">
        <f t="shared" ca="1" si="2"/>
        <v>-6.8242414944652356</v>
      </c>
      <c r="AU104" s="24">
        <f t="shared" ca="1" si="2"/>
        <v>-7.0387216702453017</v>
      </c>
      <c r="AV104" s="24">
        <f t="shared" ca="1" si="2"/>
        <v>-7.5066995463080506</v>
      </c>
      <c r="AW104" s="24">
        <f t="shared" ca="1" si="2"/>
        <v>-7.9860443497499993</v>
      </c>
      <c r="AX104" s="24">
        <f t="shared" ca="1" si="2"/>
        <v>-8.695609631781112</v>
      </c>
      <c r="AY104" s="25">
        <f t="shared" si="2"/>
        <v>0</v>
      </c>
      <c r="AZ104" s="25">
        <f t="shared" si="2"/>
        <v>0</v>
      </c>
      <c r="BA104" s="25">
        <f t="shared" si="2"/>
        <v>0</v>
      </c>
      <c r="BB104" s="25">
        <f t="shared" si="2"/>
        <v>0</v>
      </c>
      <c r="BC104" s="25">
        <f t="shared" si="2"/>
        <v>0</v>
      </c>
      <c r="BD104" s="25">
        <f t="shared" si="2"/>
        <v>0</v>
      </c>
      <c r="BE104" s="25">
        <f t="shared" si="2"/>
        <v>0</v>
      </c>
      <c r="BF104" s="25">
        <f t="shared" si="2"/>
        <v>0</v>
      </c>
      <c r="CA104" s="16">
        <v>3.527430054263589</v>
      </c>
      <c r="CB104" s="16">
        <v>3.9638289439217069</v>
      </c>
      <c r="CC104" s="16">
        <v>4.389876000000001</v>
      </c>
      <c r="CD104" s="16">
        <v>4.8121820712000005</v>
      </c>
      <c r="CE104" s="16">
        <v>5.1043988351764815</v>
      </c>
      <c r="CF104" s="16">
        <v>-9999</v>
      </c>
      <c r="CG104" s="16">
        <v>-9999</v>
      </c>
      <c r="CH104" s="16">
        <v>-9999</v>
      </c>
      <c r="CI104" s="16">
        <v>-9999</v>
      </c>
      <c r="CJ104" s="16">
        <v>-9999</v>
      </c>
      <c r="CK104" s="16">
        <v>-9999</v>
      </c>
      <c r="CL104" s="16">
        <v>-9999</v>
      </c>
      <c r="CM104" s="16">
        <v>-9999</v>
      </c>
      <c r="CN104" s="16">
        <v>3.143359997165152</v>
      </c>
      <c r="CO104" s="16">
        <v>3.5304800095348714</v>
      </c>
      <c r="CP104" s="16">
        <v>4.0241466199999998</v>
      </c>
      <c r="CQ104" s="16">
        <v>4.3351248344459998</v>
      </c>
      <c r="CR104" s="16">
        <v>4.6664347437603126</v>
      </c>
      <c r="CS104" s="16">
        <v>-9999</v>
      </c>
      <c r="CT104" s="16">
        <v>-9999</v>
      </c>
      <c r="CU104" s="16">
        <v>-9999</v>
      </c>
      <c r="CV104" s="16">
        <v>-9999</v>
      </c>
      <c r="CW104" s="16">
        <v>-9999</v>
      </c>
      <c r="CX104" s="16">
        <v>-9999</v>
      </c>
      <c r="CY104" s="16">
        <v>-9999</v>
      </c>
      <c r="CZ104" s="16">
        <v>-9999</v>
      </c>
      <c r="DA104" s="16">
        <v>3.5304800095348714</v>
      </c>
      <c r="DB104" s="16">
        <v>4.0661799831156538</v>
      </c>
      <c r="DC104" s="16">
        <v>4.4941863999999994</v>
      </c>
      <c r="DD104" s="16">
        <v>4.7451408820452992</v>
      </c>
      <c r="DE104" s="16">
        <v>4.9857671742039473</v>
      </c>
      <c r="DF104" s="16">
        <v>-9999</v>
      </c>
      <c r="DG104" s="16">
        <v>-9999</v>
      </c>
      <c r="DH104" s="16">
        <v>-9999</v>
      </c>
      <c r="DI104" s="16">
        <v>-9999</v>
      </c>
      <c r="DJ104" s="16">
        <v>-9999</v>
      </c>
      <c r="DK104" s="16">
        <v>-9999</v>
      </c>
      <c r="DL104" s="16">
        <v>-9999</v>
      </c>
      <c r="DM104" s="16">
        <v>-9999</v>
      </c>
      <c r="DN104" s="16">
        <v>3.143359997165152</v>
      </c>
      <c r="DO104" s="16">
        <v>3.5304800095348714</v>
      </c>
      <c r="DP104" s="16">
        <v>4.0241466199999998</v>
      </c>
      <c r="DQ104" s="16">
        <v>4.3351248344459998</v>
      </c>
      <c r="DR104" s="16">
        <v>4.6664347437603126</v>
      </c>
      <c r="DS104" s="16">
        <v>-9999</v>
      </c>
      <c r="DT104" s="16">
        <v>-9999</v>
      </c>
      <c r="DU104" s="16">
        <v>-9999</v>
      </c>
      <c r="DV104" s="16">
        <v>-9999</v>
      </c>
      <c r="DW104" s="16">
        <v>-9999</v>
      </c>
      <c r="DX104" s="16">
        <v>-9999</v>
      </c>
      <c r="DY104" s="16">
        <v>-9999</v>
      </c>
      <c r="DZ104" s="16">
        <v>-9999</v>
      </c>
      <c r="EA104" s="2196">
        <v>10.903777646258522</v>
      </c>
      <c r="EB104" s="2196">
        <v>10.86541847090302</v>
      </c>
      <c r="EC104" s="2196">
        <v>11.463546899999999</v>
      </c>
      <c r="ED104" s="2196">
        <v>12.316550049749999</v>
      </c>
      <c r="EE104" s="2196">
        <v>13.350900296782161</v>
      </c>
      <c r="EF104" s="2197">
        <v>-9999</v>
      </c>
      <c r="EG104" s="2197">
        <v>-9999</v>
      </c>
      <c r="EH104" s="2197">
        <v>-9999</v>
      </c>
      <c r="EI104" s="2197">
        <v>-9999</v>
      </c>
      <c r="EJ104" s="2197">
        <v>-9999</v>
      </c>
      <c r="EK104" s="2197">
        <v>-9999</v>
      </c>
      <c r="EL104" s="2197">
        <v>-9999</v>
      </c>
      <c r="EM104" s="2197">
        <v>-9999</v>
      </c>
    </row>
    <row r="105" spans="1:256">
      <c r="A105" s="22">
        <v>5</v>
      </c>
      <c r="B105" s="1" t="s">
        <v>1307</v>
      </c>
      <c r="C105" s="24">
        <f ca="1">OFFSET('VVP2'!F169,0,Last_forecast_year - 3-InputY!$G$3)</f>
        <v>2.4625906209394719</v>
      </c>
      <c r="D105" s="24">
        <f ca="1">OFFSET('VVP2'!G169,0,Last_forecast_year - 3-InputY!$G$3)</f>
        <v>2.696198733506189</v>
      </c>
      <c r="E105" s="24">
        <f ca="1">OFFSET('VVP2'!H169,0,Last_forecast_year - 3-InputY!$G$3)</f>
        <v>2.9204492360154943</v>
      </c>
      <c r="F105" s="24">
        <f ca="1">OFFSET('VVP2'!I169,0,Last_forecast_year - 3-InputY!$G$3)</f>
        <v>3.1030891499999997</v>
      </c>
      <c r="G105" s="24">
        <f ca="1">OFFSET('VVP2'!J169,0,Last_forecast_year - 3-InputY!$G$3)</f>
        <v>3.2819201777144995</v>
      </c>
      <c r="H105" s="25">
        <v>-9999</v>
      </c>
      <c r="I105" s="25">
        <v>-9999</v>
      </c>
      <c r="J105" s="25">
        <v>-9999</v>
      </c>
      <c r="K105" s="25">
        <v>-9999</v>
      </c>
      <c r="L105" s="25">
        <v>-9999</v>
      </c>
      <c r="M105" s="25">
        <v>-9999</v>
      </c>
      <c r="N105" s="25">
        <v>-9999</v>
      </c>
      <c r="O105" s="25">
        <v>-9999</v>
      </c>
      <c r="P105" s="26"/>
      <c r="Q105"/>
      <c r="AA105" s="22">
        <v>5</v>
      </c>
      <c r="AB105" s="1040" t="str">
        <f t="shared" si="3"/>
        <v>VOL. G.F.C.F. EQUIPMENT</v>
      </c>
      <c r="AC105" s="1040">
        <f>CHOOSE(Tables!$U$2,Transfer!CA105,Transfer!CN105,Transfer!DA105,Transfer!DN105,Transfer!EA105)</f>
        <v>6.2574168427783858</v>
      </c>
      <c r="AD105" s="1040">
        <f>CHOOSE(Tables!$U$2,Transfer!CB105,Transfer!CO105,Transfer!DB105,Transfer!DO105,Transfer!EB105)</f>
        <v>6.0409486759651987</v>
      </c>
      <c r="AE105" s="1040">
        <f>CHOOSE(Tables!$U$2,Transfer!CC105,Transfer!CP105,Transfer!DC105,Transfer!DP105,Transfer!EC105)</f>
        <v>6.7210666900000007</v>
      </c>
      <c r="AF105" s="1040">
        <f>CHOOSE(Tables!$U$2,Transfer!CD105,Transfer!CQ105,Transfer!DD105,Transfer!DQ105,Transfer!ED105)</f>
        <v>7.5642245062605005</v>
      </c>
      <c r="AG105" s="1040">
        <f>CHOOSE(Tables!$U$2,Transfer!CE105,Transfer!CR105,Transfer!DE105,Transfer!DR105,Transfer!EE105)</f>
        <v>8.637739248188991</v>
      </c>
      <c r="AH105" s="1040">
        <f>CHOOSE(Tables!$U$2,Transfer!CF105,Transfer!CS105,Transfer!DF105,Transfer!DS105,Transfer!EF105)</f>
        <v>-9999</v>
      </c>
      <c r="AI105" s="1040">
        <f>CHOOSE(Tables!$U$2,Transfer!CG105,Transfer!CT105,Transfer!DG105,Transfer!DT105,Transfer!EG105)</f>
        <v>-9999</v>
      </c>
      <c r="AJ105" s="1040">
        <f>CHOOSE(Tables!$U$2,Transfer!CH105,Transfer!CU105,Transfer!DH105,Transfer!DU105,Transfer!EH105)</f>
        <v>-9999</v>
      </c>
      <c r="AK105" s="1040">
        <f>CHOOSE(Tables!$U$2,Transfer!CI105,Transfer!CV105,Transfer!DI105,Transfer!DV105,Transfer!EI105)</f>
        <v>-9999</v>
      </c>
      <c r="AL105" s="1040">
        <f>CHOOSE(Tables!$U$2,Transfer!CJ105,Transfer!CW105,Transfer!DJ105,Transfer!DW105,Transfer!EJ105)</f>
        <v>-9999</v>
      </c>
      <c r="AM105" s="1040">
        <f>CHOOSE(Tables!$U$2,Transfer!CK105,Transfer!CX105,Transfer!DK105,Transfer!DX105,Transfer!EK105)</f>
        <v>-9999</v>
      </c>
      <c r="AN105" s="1040">
        <f>CHOOSE(Tables!$U$2,Transfer!CL105,Transfer!CY105,Transfer!DL105,Transfer!DY105,Transfer!EL105)</f>
        <v>-9999</v>
      </c>
      <c r="AO105" s="1040">
        <f>CHOOSE(Tables!$U$2,Transfer!CM105,Transfer!CZ105,Transfer!DM105,Transfer!DZ105,Transfer!EM105)</f>
        <v>-9999</v>
      </c>
      <c r="AR105" s="22">
        <v>5</v>
      </c>
      <c r="AS105" s="1" t="s">
        <v>1307</v>
      </c>
      <c r="AT105" s="24">
        <f t="shared" ca="1" si="2"/>
        <v>-3.7948262218389139</v>
      </c>
      <c r="AU105" s="24">
        <f t="shared" ca="1" si="2"/>
        <v>-3.3447499424590097</v>
      </c>
      <c r="AV105" s="24">
        <f t="shared" ca="1" si="2"/>
        <v>-3.8006174539845063</v>
      </c>
      <c r="AW105" s="24">
        <f t="shared" ca="1" si="2"/>
        <v>-4.4611353562605007</v>
      </c>
      <c r="AX105" s="24">
        <f t="shared" ca="1" si="2"/>
        <v>-5.3558190704744915</v>
      </c>
      <c r="AY105" s="25">
        <f t="shared" si="2"/>
        <v>0</v>
      </c>
      <c r="AZ105" s="25">
        <f t="shared" si="2"/>
        <v>0</v>
      </c>
      <c r="BA105" s="25">
        <f t="shared" si="2"/>
        <v>0</v>
      </c>
      <c r="BB105" s="25">
        <f t="shared" si="2"/>
        <v>0</v>
      </c>
      <c r="BC105" s="25">
        <f t="shared" si="2"/>
        <v>0</v>
      </c>
      <c r="BD105" s="25">
        <f t="shared" si="2"/>
        <v>0</v>
      </c>
      <c r="BE105" s="25">
        <f t="shared" si="2"/>
        <v>0</v>
      </c>
      <c r="BF105" s="25">
        <f t="shared" si="2"/>
        <v>0</v>
      </c>
      <c r="CA105" s="16">
        <v>2.1862754348714613</v>
      </c>
      <c r="CB105" s="16">
        <v>2.2572558888143548</v>
      </c>
      <c r="CC105" s="16">
        <v>2.4102713000000002</v>
      </c>
      <c r="CD105" s="16">
        <v>2.2433720638315</v>
      </c>
      <c r="CE105" s="16">
        <v>2.5195760323304346</v>
      </c>
      <c r="CF105" s="16">
        <v>-9999</v>
      </c>
      <c r="CG105" s="16">
        <v>-9999</v>
      </c>
      <c r="CH105" s="16">
        <v>-9999</v>
      </c>
      <c r="CI105" s="16">
        <v>-9999</v>
      </c>
      <c r="CJ105" s="16">
        <v>-9999</v>
      </c>
      <c r="CK105" s="16">
        <v>-9999</v>
      </c>
      <c r="CL105" s="16">
        <v>-9999</v>
      </c>
      <c r="CM105" s="16">
        <v>-9999</v>
      </c>
      <c r="CN105" s="16">
        <v>1.9205200041694843</v>
      </c>
      <c r="CO105" s="16">
        <v>2.1401699989895153</v>
      </c>
      <c r="CP105" s="16">
        <v>2.2586798400000001</v>
      </c>
      <c r="CQ105" s="16">
        <v>2.3729690399040004</v>
      </c>
      <c r="CR105" s="16">
        <v>2.6166255009213431</v>
      </c>
      <c r="CS105" s="16">
        <v>-9999</v>
      </c>
      <c r="CT105" s="16">
        <v>-9999</v>
      </c>
      <c r="CU105" s="16">
        <v>-9999</v>
      </c>
      <c r="CV105" s="16">
        <v>-9999</v>
      </c>
      <c r="CW105" s="16">
        <v>-9999</v>
      </c>
      <c r="CX105" s="16">
        <v>-9999</v>
      </c>
      <c r="CY105" s="16">
        <v>-9999</v>
      </c>
      <c r="CZ105" s="16">
        <v>-9999</v>
      </c>
      <c r="DA105" s="16">
        <v>2.1401699989895153</v>
      </c>
      <c r="DB105" s="16">
        <v>2.1627700002348882</v>
      </c>
      <c r="DC105" s="16">
        <v>2.3440180499999999</v>
      </c>
      <c r="DD105" s="16">
        <v>2.4908403085978494</v>
      </c>
      <c r="DE105" s="16">
        <v>2.6465676446913871</v>
      </c>
      <c r="DF105" s="16">
        <v>-9999</v>
      </c>
      <c r="DG105" s="16">
        <v>-9999</v>
      </c>
      <c r="DH105" s="16">
        <v>-9999</v>
      </c>
      <c r="DI105" s="16">
        <v>-9999</v>
      </c>
      <c r="DJ105" s="16">
        <v>-9999</v>
      </c>
      <c r="DK105" s="16">
        <v>-9999</v>
      </c>
      <c r="DL105" s="16">
        <v>-9999</v>
      </c>
      <c r="DM105" s="16">
        <v>-9999</v>
      </c>
      <c r="DN105" s="16">
        <v>1.9205200041694843</v>
      </c>
      <c r="DO105" s="16">
        <v>2.1401699989895153</v>
      </c>
      <c r="DP105" s="16">
        <v>2.2586798400000001</v>
      </c>
      <c r="DQ105" s="16">
        <v>2.3660574795936</v>
      </c>
      <c r="DR105" s="16">
        <v>2.5920940487916151</v>
      </c>
      <c r="DS105" s="16">
        <v>-9999</v>
      </c>
      <c r="DT105" s="16">
        <v>-9999</v>
      </c>
      <c r="DU105" s="16">
        <v>-9999</v>
      </c>
      <c r="DV105" s="16">
        <v>-9999</v>
      </c>
      <c r="DW105" s="16">
        <v>-9999</v>
      </c>
      <c r="DX105" s="16">
        <v>-9999</v>
      </c>
      <c r="DY105" s="16">
        <v>-9999</v>
      </c>
      <c r="DZ105" s="16">
        <v>-9999</v>
      </c>
      <c r="EA105" s="2196">
        <v>6.2574168427783858</v>
      </c>
      <c r="EB105" s="2196">
        <v>6.0409486759651987</v>
      </c>
      <c r="EC105" s="2196">
        <v>6.7210666900000007</v>
      </c>
      <c r="ED105" s="2196">
        <v>7.5642245062605005</v>
      </c>
      <c r="EE105" s="2196">
        <v>8.637739248188991</v>
      </c>
      <c r="EF105" s="2197">
        <v>-9999</v>
      </c>
      <c r="EG105" s="2197">
        <v>-9999</v>
      </c>
      <c r="EH105" s="2197">
        <v>-9999</v>
      </c>
      <c r="EI105" s="2197">
        <v>-9999</v>
      </c>
      <c r="EJ105" s="2197">
        <v>-9999</v>
      </c>
      <c r="EK105" s="2197">
        <v>-9999</v>
      </c>
      <c r="EL105" s="2197">
        <v>-9999</v>
      </c>
      <c r="EM105" s="2197">
        <v>-9999</v>
      </c>
    </row>
    <row r="106" spans="1:256">
      <c r="A106" s="22">
        <v>6</v>
      </c>
      <c r="B106" s="1" t="s">
        <v>1308</v>
      </c>
      <c r="C106" s="24">
        <f ca="1">OFFSET('VVP2'!F170,0,Last_forecast_year - 3-InputY!$G$3)</f>
        <v>0.69705232509745307</v>
      </c>
      <c r="D106" s="24">
        <f ca="1">OFFSET('VVP2'!G170,0,Last_forecast_year - 3-InputY!$G$3)</f>
        <v>0.76834599745659626</v>
      </c>
      <c r="E106" s="24">
        <f ca="1">OFFSET('VVP2'!H170,0,Last_forecast_year - 3-InputY!$G$3)</f>
        <v>0.9774669050103677</v>
      </c>
      <c r="F106" s="24">
        <f ca="1">OFFSET('VVP2'!I170,0,Last_forecast_year - 3-InputY!$G$3)</f>
        <v>0.97967375999999995</v>
      </c>
      <c r="G106" s="24">
        <f ca="1">OFFSET('VVP2'!J170,0,Last_forecast_year - 3-InputY!$G$3)</f>
        <v>1.0339966699919998</v>
      </c>
      <c r="H106" s="25">
        <v>-9999</v>
      </c>
      <c r="I106" s="25">
        <v>-9999</v>
      </c>
      <c r="J106" s="25">
        <v>-9999</v>
      </c>
      <c r="K106" s="25">
        <v>-9999</v>
      </c>
      <c r="L106" s="25">
        <v>-9999</v>
      </c>
      <c r="M106" s="25">
        <v>-9999</v>
      </c>
      <c r="N106" s="25">
        <v>-9999</v>
      </c>
      <c r="O106" s="25">
        <v>-9999</v>
      </c>
      <c r="P106" s="26"/>
      <c r="Q106"/>
      <c r="AA106" s="22">
        <v>6</v>
      </c>
      <c r="AB106" s="1040" t="str">
        <f t="shared" si="3"/>
        <v>VOL. G.F.C.F. OTHER</v>
      </c>
      <c r="AC106" s="1040">
        <f>CHOOSE(Tables!$U$2,Transfer!CA106,Transfer!CN106,Transfer!DA106,Transfer!DN106,Transfer!EA106)</f>
        <v>1.6220086774140245</v>
      </c>
      <c r="AD106" s="1040">
        <f>CHOOSE(Tables!$U$2,Transfer!CB106,Transfer!CO106,Transfer!DB106,Transfer!DO106,Transfer!EB106)</f>
        <v>1.6592757072501798</v>
      </c>
      <c r="AE106" s="1040">
        <f>CHOOSE(Tables!$U$2,Transfer!CC106,Transfer!CP106,Transfer!DC106,Transfer!DP106,Transfer!EC106)</f>
        <v>1.6720374800000002</v>
      </c>
      <c r="AF106" s="1040">
        <f>CHOOSE(Tables!$U$2,Transfer!CD106,Transfer!CQ106,Transfer!DD106,Transfer!DQ106,Transfer!ED106)</f>
        <v>1.8238584831840003</v>
      </c>
      <c r="AG106" s="1040">
        <f>CHOOSE(Tables!$U$2,Transfer!CE106,Transfer!CR106,Transfer!DE106,Transfer!DR106,Transfer!EE106)</f>
        <v>2.0288601766938821</v>
      </c>
      <c r="AH106" s="1040">
        <f>CHOOSE(Tables!$U$2,Transfer!CF106,Transfer!CS106,Transfer!DF106,Transfer!DS106,Transfer!EF106)</f>
        <v>-9999</v>
      </c>
      <c r="AI106" s="1040">
        <f>CHOOSE(Tables!$U$2,Transfer!CG106,Transfer!CT106,Transfer!DG106,Transfer!DT106,Transfer!EG106)</f>
        <v>-9999</v>
      </c>
      <c r="AJ106" s="1040">
        <f>CHOOSE(Tables!$U$2,Transfer!CH106,Transfer!CU106,Transfer!DH106,Transfer!DU106,Transfer!EH106)</f>
        <v>-9999</v>
      </c>
      <c r="AK106" s="1040">
        <f>CHOOSE(Tables!$U$2,Transfer!CI106,Transfer!CV106,Transfer!DI106,Transfer!DV106,Transfer!EI106)</f>
        <v>-9999</v>
      </c>
      <c r="AL106" s="1040">
        <f>CHOOSE(Tables!$U$2,Transfer!CJ106,Transfer!CW106,Transfer!DJ106,Transfer!DW106,Transfer!EJ106)</f>
        <v>-9999</v>
      </c>
      <c r="AM106" s="1040">
        <f>CHOOSE(Tables!$U$2,Transfer!CK106,Transfer!CX106,Transfer!DK106,Transfer!DX106,Transfer!EK106)</f>
        <v>-9999</v>
      </c>
      <c r="AN106" s="1040">
        <f>CHOOSE(Tables!$U$2,Transfer!CL106,Transfer!CY106,Transfer!DL106,Transfer!DY106,Transfer!EL106)</f>
        <v>-9999</v>
      </c>
      <c r="AO106" s="1040">
        <f>CHOOSE(Tables!$U$2,Transfer!CM106,Transfer!CZ106,Transfer!DM106,Transfer!DZ106,Transfer!EM106)</f>
        <v>-9999</v>
      </c>
      <c r="AR106" s="22">
        <v>6</v>
      </c>
      <c r="AS106" s="1" t="s">
        <v>1308</v>
      </c>
      <c r="AT106" s="24">
        <f t="shared" ca="1" si="2"/>
        <v>-0.92495635231657147</v>
      </c>
      <c r="AU106" s="24">
        <f t="shared" ca="1" si="2"/>
        <v>-0.89092970979358355</v>
      </c>
      <c r="AV106" s="24">
        <f t="shared" ca="1" si="2"/>
        <v>-0.69457057498963248</v>
      </c>
      <c r="AW106" s="24">
        <f t="shared" ca="1" si="2"/>
        <v>-0.8441847231840004</v>
      </c>
      <c r="AX106" s="24">
        <f t="shared" ca="1" si="2"/>
        <v>-0.99486350670188228</v>
      </c>
      <c r="AY106" s="25">
        <f t="shared" si="2"/>
        <v>0</v>
      </c>
      <c r="AZ106" s="25">
        <f t="shared" si="2"/>
        <v>0</v>
      </c>
      <c r="BA106" s="25">
        <f t="shared" si="2"/>
        <v>0</v>
      </c>
      <c r="BB106" s="25">
        <f t="shared" si="2"/>
        <v>0</v>
      </c>
      <c r="BC106" s="25">
        <f t="shared" si="2"/>
        <v>0</v>
      </c>
      <c r="BD106" s="25">
        <f t="shared" si="2"/>
        <v>0</v>
      </c>
      <c r="BE106" s="25">
        <f t="shared" si="2"/>
        <v>0</v>
      </c>
      <c r="BF106" s="25">
        <f t="shared" si="2"/>
        <v>0</v>
      </c>
      <c r="CA106" s="16">
        <v>0.55486229443407609</v>
      </c>
      <c r="CB106" s="16">
        <v>0.58821841911824768</v>
      </c>
      <c r="CC106" s="16">
        <v>0.61667310000000009</v>
      </c>
      <c r="CD106" s="16">
        <v>0.65096012436000006</v>
      </c>
      <c r="CE106" s="16">
        <v>0.70349260639585209</v>
      </c>
      <c r="CF106" s="16">
        <v>-9999</v>
      </c>
      <c r="CG106" s="16">
        <v>-9999</v>
      </c>
      <c r="CH106" s="16">
        <v>-9999</v>
      </c>
      <c r="CI106" s="16">
        <v>-9999</v>
      </c>
      <c r="CJ106" s="16">
        <v>-9999</v>
      </c>
      <c r="CK106" s="16">
        <v>-9999</v>
      </c>
      <c r="CL106" s="16">
        <v>-9999</v>
      </c>
      <c r="CM106" s="16">
        <v>-9999</v>
      </c>
      <c r="CN106" s="16">
        <v>0.60660169277173215</v>
      </c>
      <c r="CO106" s="16">
        <v>0.51156529957654762</v>
      </c>
      <c r="CP106" s="16">
        <v>0.57036464999999992</v>
      </c>
      <c r="CQ106" s="16">
        <v>0.60504282071999993</v>
      </c>
      <c r="CR106" s="16">
        <v>0.65790238675220258</v>
      </c>
      <c r="CS106" s="16">
        <v>-9999</v>
      </c>
      <c r="CT106" s="16">
        <v>-9999</v>
      </c>
      <c r="CU106" s="16">
        <v>-9999</v>
      </c>
      <c r="CV106" s="16">
        <v>-9999</v>
      </c>
      <c r="CW106" s="16">
        <v>-9999</v>
      </c>
      <c r="CX106" s="16">
        <v>-9999</v>
      </c>
      <c r="CY106" s="16">
        <v>-9999</v>
      </c>
      <c r="CZ106" s="16">
        <v>-9999</v>
      </c>
      <c r="DA106" s="16">
        <v>0.51156529957654762</v>
      </c>
      <c r="DB106" s="16">
        <v>0.63827147841331233</v>
      </c>
      <c r="DC106" s="16">
        <v>0.67894049999999995</v>
      </c>
      <c r="DD106" s="16">
        <v>0.72353059627799998</v>
      </c>
      <c r="DE106" s="16">
        <v>0.77095802686402282</v>
      </c>
      <c r="DF106" s="16">
        <v>-9999</v>
      </c>
      <c r="DG106" s="16">
        <v>-9999</v>
      </c>
      <c r="DH106" s="16">
        <v>-9999</v>
      </c>
      <c r="DI106" s="16">
        <v>-9999</v>
      </c>
      <c r="DJ106" s="16">
        <v>-9999</v>
      </c>
      <c r="DK106" s="16">
        <v>-9999</v>
      </c>
      <c r="DL106" s="16">
        <v>-9999</v>
      </c>
      <c r="DM106" s="16">
        <v>-9999</v>
      </c>
      <c r="DN106" s="16">
        <v>0.60660169277173215</v>
      </c>
      <c r="DO106" s="16">
        <v>0.51156529957654762</v>
      </c>
      <c r="DP106" s="16">
        <v>0.57036464999999992</v>
      </c>
      <c r="DQ106" s="16">
        <v>0.60504282071999993</v>
      </c>
      <c r="DR106" s="16">
        <v>0.65790238675220258</v>
      </c>
      <c r="DS106" s="16">
        <v>-9999</v>
      </c>
      <c r="DT106" s="16">
        <v>-9999</v>
      </c>
      <c r="DU106" s="16">
        <v>-9999</v>
      </c>
      <c r="DV106" s="16">
        <v>-9999</v>
      </c>
      <c r="DW106" s="16">
        <v>-9999</v>
      </c>
      <c r="DX106" s="16">
        <v>-9999</v>
      </c>
      <c r="DY106" s="16">
        <v>-9999</v>
      </c>
      <c r="DZ106" s="16">
        <v>-9999</v>
      </c>
      <c r="EA106" s="2196">
        <v>1.6220086774140245</v>
      </c>
      <c r="EB106" s="2196">
        <v>1.6592757072501798</v>
      </c>
      <c r="EC106" s="2196">
        <v>1.6720374800000002</v>
      </c>
      <c r="ED106" s="2196">
        <v>1.8238584831840003</v>
      </c>
      <c r="EE106" s="2196">
        <v>2.0288601766938821</v>
      </c>
      <c r="EF106" s="2197">
        <v>-9999</v>
      </c>
      <c r="EG106" s="2197">
        <v>-9999</v>
      </c>
      <c r="EH106" s="2197">
        <v>-9999</v>
      </c>
      <c r="EI106" s="2197">
        <v>-9999</v>
      </c>
      <c r="EJ106" s="2197">
        <v>-9999</v>
      </c>
      <c r="EK106" s="2197">
        <v>-9999</v>
      </c>
      <c r="EL106" s="2197">
        <v>-9999</v>
      </c>
      <c r="EM106" s="2197">
        <v>-9999</v>
      </c>
    </row>
    <row r="107" spans="1:256">
      <c r="A107" s="22">
        <v>7</v>
      </c>
      <c r="B107" s="1" t="s">
        <v>984</v>
      </c>
      <c r="C107" s="24">
        <f ca="1">OFFSET('VVP2'!F171,0,Last_forecast_year - 3-InputY!$G$3)</f>
        <v>1.4475648188729195</v>
      </c>
      <c r="D107" s="24">
        <f ca="1">OFFSET('VVP2'!G171,0,Last_forecast_year - 3-InputY!$G$3)</f>
        <v>7.6073624423784736E-2</v>
      </c>
      <c r="E107" s="24">
        <f ca="1">OFFSET('VVP2'!H171,0,Last_forecast_year - 3-InputY!$G$3)</f>
        <v>-0.64598</v>
      </c>
      <c r="F107" s="24">
        <f ca="1">OFFSET('VVP2'!I171,0,Last_forecast_year - 3-InputY!$G$3)</f>
        <v>-0.64598</v>
      </c>
      <c r="G107" s="24">
        <f ca="1">OFFSET('VVP2'!J171,0,Last_forecast_year - 3-InputY!$G$3)</f>
        <v>-0.64598</v>
      </c>
      <c r="H107" s="25">
        <v>-9999</v>
      </c>
      <c r="I107" s="25">
        <v>-9999</v>
      </c>
      <c r="J107" s="25">
        <v>-9999</v>
      </c>
      <c r="K107" s="25">
        <v>-9999</v>
      </c>
      <c r="L107" s="25">
        <v>-9999</v>
      </c>
      <c r="M107" s="25">
        <v>-9999</v>
      </c>
      <c r="N107" s="25">
        <v>-9999</v>
      </c>
      <c r="O107" s="25">
        <v>-9999</v>
      </c>
      <c r="P107" s="26"/>
      <c r="Q107"/>
      <c r="AA107" s="22">
        <v>7</v>
      </c>
      <c r="AB107" s="1040" t="str">
        <f t="shared" si="3"/>
        <v>VOL. CHANGE IN INVENTORIES</v>
      </c>
      <c r="AC107" s="1040">
        <f>CHOOSE(Tables!$U$2,Transfer!CA107,Transfer!CN107,Transfer!DA107,Transfer!DN107,Transfer!EA107)</f>
        <v>0.48506247271525638</v>
      </c>
      <c r="AD107" s="1040">
        <f>CHOOSE(Tables!$U$2,Transfer!CB107,Transfer!CO107,Transfer!DB107,Transfer!DO107,Transfer!EB107)</f>
        <v>0.81334558316311245</v>
      </c>
      <c r="AE107" s="1040">
        <f>CHOOSE(Tables!$U$2,Transfer!CC107,Transfer!CP107,Transfer!DC107,Transfer!DP107,Transfer!EC107)</f>
        <v>1.89377</v>
      </c>
      <c r="AF107" s="1040">
        <f>CHOOSE(Tables!$U$2,Transfer!CD107,Transfer!CQ107,Transfer!DD107,Transfer!DQ107,Transfer!ED107)</f>
        <v>1.89377</v>
      </c>
      <c r="AG107" s="1040">
        <f>CHOOSE(Tables!$U$2,Transfer!CE107,Transfer!CR107,Transfer!DE107,Transfer!DR107,Transfer!EE107)</f>
        <v>1.89377</v>
      </c>
      <c r="AH107" s="1040">
        <f>CHOOSE(Tables!$U$2,Transfer!CF107,Transfer!CS107,Transfer!DF107,Transfer!DS107,Transfer!EF107)</f>
        <v>-9999</v>
      </c>
      <c r="AI107" s="1040">
        <f>CHOOSE(Tables!$U$2,Transfer!CG107,Transfer!CT107,Transfer!DG107,Transfer!DT107,Transfer!EG107)</f>
        <v>-9999</v>
      </c>
      <c r="AJ107" s="1040">
        <f>CHOOSE(Tables!$U$2,Transfer!CH107,Transfer!CU107,Transfer!DH107,Transfer!DU107,Transfer!EH107)</f>
        <v>-9999</v>
      </c>
      <c r="AK107" s="1040">
        <f>CHOOSE(Tables!$U$2,Transfer!CI107,Transfer!CV107,Transfer!DI107,Transfer!DV107,Transfer!EI107)</f>
        <v>-9999</v>
      </c>
      <c r="AL107" s="1040">
        <f>CHOOSE(Tables!$U$2,Transfer!CJ107,Transfer!CW107,Transfer!DJ107,Transfer!DW107,Transfer!EJ107)</f>
        <v>-9999</v>
      </c>
      <c r="AM107" s="1040">
        <f>CHOOSE(Tables!$U$2,Transfer!CK107,Transfer!CX107,Transfer!DK107,Transfer!DX107,Transfer!EK107)</f>
        <v>-9999</v>
      </c>
      <c r="AN107" s="1040">
        <f>CHOOSE(Tables!$U$2,Transfer!CL107,Transfer!CY107,Transfer!DL107,Transfer!DY107,Transfer!EL107)</f>
        <v>-9999</v>
      </c>
      <c r="AO107" s="1040">
        <f>CHOOSE(Tables!$U$2,Transfer!CM107,Transfer!CZ107,Transfer!DM107,Transfer!DZ107,Transfer!EM107)</f>
        <v>-9999</v>
      </c>
      <c r="AR107" s="22">
        <v>7</v>
      </c>
      <c r="AS107" s="1" t="s">
        <v>984</v>
      </c>
      <c r="AT107" s="24">
        <f t="shared" ca="1" si="2"/>
        <v>0.96250234615766317</v>
      </c>
      <c r="AU107" s="24">
        <f t="shared" ca="1" si="2"/>
        <v>-0.73727195873932772</v>
      </c>
      <c r="AV107" s="24">
        <f t="shared" ca="1" si="2"/>
        <v>-2.5397499999999997</v>
      </c>
      <c r="AW107" s="24">
        <f t="shared" ca="1" si="2"/>
        <v>-2.5397499999999997</v>
      </c>
      <c r="AX107" s="24">
        <f t="shared" ca="1" si="2"/>
        <v>-2.5397499999999997</v>
      </c>
      <c r="AY107" s="25">
        <f t="shared" si="2"/>
        <v>0</v>
      </c>
      <c r="AZ107" s="25">
        <f t="shared" si="2"/>
        <v>0</v>
      </c>
      <c r="BA107" s="25">
        <f t="shared" si="2"/>
        <v>0</v>
      </c>
      <c r="BB107" s="25">
        <f t="shared" si="2"/>
        <v>0</v>
      </c>
      <c r="BC107" s="25">
        <f t="shared" si="2"/>
        <v>0</v>
      </c>
      <c r="BD107" s="25">
        <f t="shared" si="2"/>
        <v>0</v>
      </c>
      <c r="BE107" s="25">
        <f t="shared" si="2"/>
        <v>0</v>
      </c>
      <c r="BF107" s="25">
        <f t="shared" si="2"/>
        <v>0</v>
      </c>
      <c r="CA107" s="16">
        <v>0.26022865332234346</v>
      </c>
      <c r="CB107" s="16">
        <v>-9.2459463725006685E-2</v>
      </c>
      <c r="CC107" s="16">
        <v>-0.21288084999999998</v>
      </c>
      <c r="CD107" s="16">
        <v>-1.2985731849999997</v>
      </c>
      <c r="CE107" s="16">
        <v>-1.7530737997499997</v>
      </c>
      <c r="CF107" s="16">
        <v>-9999</v>
      </c>
      <c r="CG107" s="16">
        <v>-9999</v>
      </c>
      <c r="CH107" s="16">
        <v>-9999</v>
      </c>
      <c r="CI107" s="16">
        <v>-9999</v>
      </c>
      <c r="CJ107" s="16">
        <v>-9999</v>
      </c>
      <c r="CK107" s="16">
        <v>-9999</v>
      </c>
      <c r="CL107" s="16">
        <v>-9999</v>
      </c>
      <c r="CM107" s="16">
        <v>-9999</v>
      </c>
      <c r="CN107" s="16">
        <v>0.32621000248973786</v>
      </c>
      <c r="CO107" s="16">
        <v>0.18032013692660342</v>
      </c>
      <c r="CP107" s="16">
        <v>0.16306999999999999</v>
      </c>
      <c r="CQ107" s="16">
        <v>0.16470070000000001</v>
      </c>
      <c r="CR107" s="16">
        <v>0.16470070000000001</v>
      </c>
      <c r="CS107" s="16">
        <v>-9999</v>
      </c>
      <c r="CT107" s="16">
        <v>-9999</v>
      </c>
      <c r="CU107" s="16">
        <v>-9999</v>
      </c>
      <c r="CV107" s="16">
        <v>-9999</v>
      </c>
      <c r="CW107" s="16">
        <v>-9999</v>
      </c>
      <c r="CX107" s="16">
        <v>-9999</v>
      </c>
      <c r="CY107" s="16">
        <v>-9999</v>
      </c>
      <c r="CZ107" s="16">
        <v>-9999</v>
      </c>
      <c r="DA107" s="16">
        <v>0.18032013692660342</v>
      </c>
      <c r="DB107" s="16">
        <v>0.1502000000876933</v>
      </c>
      <c r="DC107" s="16">
        <v>-0.10718000000000001</v>
      </c>
      <c r="DD107" s="16">
        <v>-0.10718000000000001</v>
      </c>
      <c r="DE107" s="16">
        <v>-0.10718000000000001</v>
      </c>
      <c r="DF107" s="16">
        <v>-9999</v>
      </c>
      <c r="DG107" s="16">
        <v>-9999</v>
      </c>
      <c r="DH107" s="16">
        <v>-9999</v>
      </c>
      <c r="DI107" s="16">
        <v>-9999</v>
      </c>
      <c r="DJ107" s="16">
        <v>-9999</v>
      </c>
      <c r="DK107" s="16">
        <v>-9999</v>
      </c>
      <c r="DL107" s="16">
        <v>-9999</v>
      </c>
      <c r="DM107" s="16">
        <v>-9999</v>
      </c>
      <c r="DN107" s="16">
        <v>0.32621000248973786</v>
      </c>
      <c r="DO107" s="16">
        <v>0.18032013692660342</v>
      </c>
      <c r="DP107" s="16">
        <v>0.14391063646373825</v>
      </c>
      <c r="DQ107" s="16">
        <v>0.14534974282837562</v>
      </c>
      <c r="DR107" s="16">
        <v>0.14534974282837562</v>
      </c>
      <c r="DS107" s="16">
        <v>-9999</v>
      </c>
      <c r="DT107" s="16">
        <v>-9999</v>
      </c>
      <c r="DU107" s="16">
        <v>-9999</v>
      </c>
      <c r="DV107" s="16">
        <v>-9999</v>
      </c>
      <c r="DW107" s="16">
        <v>-9999</v>
      </c>
      <c r="DX107" s="16">
        <v>-9999</v>
      </c>
      <c r="DY107" s="16">
        <v>-9999</v>
      </c>
      <c r="DZ107" s="16">
        <v>-9999</v>
      </c>
      <c r="EA107" s="2196">
        <v>0.48506247271525638</v>
      </c>
      <c r="EB107" s="2196">
        <v>0.81334558316311245</v>
      </c>
      <c r="EC107" s="2196">
        <v>1.89377</v>
      </c>
      <c r="ED107" s="2196">
        <v>1.89377</v>
      </c>
      <c r="EE107" s="2196">
        <v>1.89377</v>
      </c>
      <c r="EF107" s="2197">
        <v>-9999</v>
      </c>
      <c r="EG107" s="2197">
        <v>-9999</v>
      </c>
      <c r="EH107" s="2197">
        <v>-9999</v>
      </c>
      <c r="EI107" s="2197">
        <v>-9999</v>
      </c>
      <c r="EJ107" s="2197">
        <v>-9999</v>
      </c>
      <c r="EK107" s="2197">
        <v>-9999</v>
      </c>
      <c r="EL107" s="2197">
        <v>-9999</v>
      </c>
      <c r="EM107" s="2197">
        <v>-9999</v>
      </c>
    </row>
    <row r="108" spans="1:256">
      <c r="A108" s="22">
        <v>8</v>
      </c>
      <c r="B108" s="29" t="s">
        <v>1993</v>
      </c>
      <c r="C108" s="24">
        <f ca="1">OFFSET('VVP2'!F172,0,Last_forecast_year - 3-InputY!$G$3)</f>
        <v>23.563546467906711</v>
      </c>
      <c r="D108" s="24">
        <f ca="1">OFFSET('VVP2'!G172,0,Last_forecast_year - 3-InputY!$G$3)</f>
        <v>22.614434177780485</v>
      </c>
      <c r="E108" s="24">
        <f ca="1">OFFSET('VVP2'!H172,0,Last_forecast_year - 3-InputY!$G$3)</f>
        <v>24.59864798352611</v>
      </c>
      <c r="F108" s="24">
        <f ca="1">OFFSET('VVP2'!I172,0,Last_forecast_year - 3-InputY!$G$3)</f>
        <v>27.092071839999999</v>
      </c>
      <c r="G108" s="24">
        <f ca="1">OFFSET('VVP2'!J172,0,Last_forecast_year - 3-InputY!$G$3)</f>
        <v>28.934657829982079</v>
      </c>
      <c r="H108" s="25">
        <v>-9999</v>
      </c>
      <c r="I108" s="25">
        <v>-9999</v>
      </c>
      <c r="J108" s="25">
        <v>-9999</v>
      </c>
      <c r="K108" s="25">
        <v>-9999</v>
      </c>
      <c r="L108" s="25">
        <v>-9999</v>
      </c>
      <c r="M108" s="25">
        <v>-9999</v>
      </c>
      <c r="N108" s="25">
        <v>-9999</v>
      </c>
      <c r="O108" s="25">
        <v>-9999</v>
      </c>
      <c r="P108" s="26"/>
      <c r="Q108"/>
      <c r="AA108" s="22">
        <v>8</v>
      </c>
      <c r="AB108" s="1040" t="str">
        <f t="shared" si="3"/>
        <v>VOL. EXPORTS OF GOODS (FOB)</v>
      </c>
      <c r="AC108" s="1040">
        <f>CHOOSE(Tables!$U$2,Transfer!CA108,Transfer!CN108,Transfer!DA108,Transfer!DN108,Transfer!EA108)</f>
        <v>61.319722802671919</v>
      </c>
      <c r="AD108" s="1040">
        <f>CHOOSE(Tables!$U$2,Transfer!CB108,Transfer!CO108,Transfer!DB108,Transfer!DO108,Transfer!EB108)</f>
        <v>76.791236214334702</v>
      </c>
      <c r="AE108" s="1040">
        <f>CHOOSE(Tables!$U$2,Transfer!CC108,Transfer!CP108,Transfer!DC108,Transfer!DP108,Transfer!EC108)</f>
        <v>84.353210000000004</v>
      </c>
      <c r="AF108" s="1040">
        <f>CHOOSE(Tables!$U$2,Transfer!CD108,Transfer!CQ108,Transfer!DD108,Transfer!DQ108,Transfer!ED108)</f>
        <v>90.353928652980002</v>
      </c>
      <c r="AG108" s="1040">
        <f>CHOOSE(Tables!$U$2,Transfer!CE108,Transfer!CR108,Transfer!DE108,Transfer!DR108,Transfer!EE108)</f>
        <v>98.220593451151686</v>
      </c>
      <c r="AH108" s="1040">
        <f>CHOOSE(Tables!$U$2,Transfer!CF108,Transfer!CS108,Transfer!DF108,Transfer!DS108,Transfer!EF108)</f>
        <v>-9999</v>
      </c>
      <c r="AI108" s="1040">
        <f>CHOOSE(Tables!$U$2,Transfer!CG108,Transfer!CT108,Transfer!DG108,Transfer!DT108,Transfer!EG108)</f>
        <v>-9999</v>
      </c>
      <c r="AJ108" s="1040">
        <f>CHOOSE(Tables!$U$2,Transfer!CH108,Transfer!CU108,Transfer!DH108,Transfer!DU108,Transfer!EH108)</f>
        <v>-9999</v>
      </c>
      <c r="AK108" s="1040">
        <f>CHOOSE(Tables!$U$2,Transfer!CI108,Transfer!CV108,Transfer!DI108,Transfer!DV108,Transfer!EI108)</f>
        <v>-9999</v>
      </c>
      <c r="AL108" s="1040">
        <f>CHOOSE(Tables!$U$2,Transfer!CJ108,Transfer!CW108,Transfer!DJ108,Transfer!DW108,Transfer!EJ108)</f>
        <v>-9999</v>
      </c>
      <c r="AM108" s="1040">
        <f>CHOOSE(Tables!$U$2,Transfer!CK108,Transfer!CX108,Transfer!DK108,Transfer!DX108,Transfer!EK108)</f>
        <v>-9999</v>
      </c>
      <c r="AN108" s="1040">
        <f>CHOOSE(Tables!$U$2,Transfer!CL108,Transfer!CY108,Transfer!DL108,Transfer!DY108,Transfer!EL108)</f>
        <v>-9999</v>
      </c>
      <c r="AO108" s="1040">
        <f>CHOOSE(Tables!$U$2,Transfer!CM108,Transfer!CZ108,Transfer!DM108,Transfer!DZ108,Transfer!EM108)</f>
        <v>-9999</v>
      </c>
      <c r="AR108" s="22">
        <v>8</v>
      </c>
      <c r="AS108" s="29" t="s">
        <v>1993</v>
      </c>
      <c r="AT108" s="24">
        <f t="shared" ca="1" si="2"/>
        <v>-37.756176334765208</v>
      </c>
      <c r="AU108" s="24">
        <f t="shared" ca="1" si="2"/>
        <v>-54.176802036554221</v>
      </c>
      <c r="AV108" s="24">
        <f t="shared" ca="1" si="2"/>
        <v>-59.754562016473898</v>
      </c>
      <c r="AW108" s="24">
        <f t="shared" ca="1" si="2"/>
        <v>-63.26185681298</v>
      </c>
      <c r="AX108" s="24">
        <f t="shared" ca="1" si="2"/>
        <v>-69.285935621169614</v>
      </c>
      <c r="AY108" s="25">
        <f t="shared" si="2"/>
        <v>0</v>
      </c>
      <c r="AZ108" s="25">
        <f t="shared" si="2"/>
        <v>0</v>
      </c>
      <c r="BA108" s="25">
        <f t="shared" si="2"/>
        <v>0</v>
      </c>
      <c r="BB108" s="25">
        <f t="shared" si="2"/>
        <v>0</v>
      </c>
      <c r="BC108" s="25">
        <f t="shared" si="2"/>
        <v>0</v>
      </c>
      <c r="BD108" s="25">
        <f t="shared" si="2"/>
        <v>0</v>
      </c>
      <c r="BE108" s="25">
        <f t="shared" si="2"/>
        <v>0</v>
      </c>
      <c r="BF108" s="25">
        <f t="shared" si="2"/>
        <v>0</v>
      </c>
      <c r="CA108" s="16">
        <v>24.45499054729466</v>
      </c>
      <c r="CB108" s="16">
        <v>24.540706231930947</v>
      </c>
      <c r="CC108" s="16">
        <v>24.319590399999999</v>
      </c>
      <c r="CD108" s="16">
        <v>23.773615595519995</v>
      </c>
      <c r="CE108" s="16">
        <v>24.749284779560131</v>
      </c>
      <c r="CF108" s="16">
        <v>-9999</v>
      </c>
      <c r="CG108" s="16">
        <v>-9999</v>
      </c>
      <c r="CH108" s="16">
        <v>-9999</v>
      </c>
      <c r="CI108" s="16">
        <v>-9999</v>
      </c>
      <c r="CJ108" s="16">
        <v>-9999</v>
      </c>
      <c r="CK108" s="16">
        <v>-9999</v>
      </c>
      <c r="CL108" s="16">
        <v>-9999</v>
      </c>
      <c r="CM108" s="16">
        <v>-9999</v>
      </c>
      <c r="CN108" s="16">
        <v>21.645350004722463</v>
      </c>
      <c r="CO108" s="16">
        <v>24.469999992089058</v>
      </c>
      <c r="CP108" s="16">
        <v>24.501610859999996</v>
      </c>
      <c r="CQ108" s="16">
        <v>24.261166751986476</v>
      </c>
      <c r="CR108" s="16">
        <v>25.467250004144603</v>
      </c>
      <c r="CS108" s="16">
        <v>-9999</v>
      </c>
      <c r="CT108" s="16">
        <v>-9999</v>
      </c>
      <c r="CU108" s="16">
        <v>-9999</v>
      </c>
      <c r="CV108" s="16">
        <v>-9999</v>
      </c>
      <c r="CW108" s="16">
        <v>-9999</v>
      </c>
      <c r="CX108" s="16">
        <v>-9999</v>
      </c>
      <c r="CY108" s="16">
        <v>-9999</v>
      </c>
      <c r="CZ108" s="16">
        <v>-9999</v>
      </c>
      <c r="DA108" s="16">
        <v>24.469999992089058</v>
      </c>
      <c r="DB108" s="16">
        <v>24.612280004774561</v>
      </c>
      <c r="DC108" s="16">
        <v>24.051457469999999</v>
      </c>
      <c r="DD108" s="16">
        <v>23.635246998481644</v>
      </c>
      <c r="DE108" s="16">
        <v>24.874206646142053</v>
      </c>
      <c r="DF108" s="16">
        <v>-9999</v>
      </c>
      <c r="DG108" s="16">
        <v>-9999</v>
      </c>
      <c r="DH108" s="16">
        <v>-9999</v>
      </c>
      <c r="DI108" s="16">
        <v>-9999</v>
      </c>
      <c r="DJ108" s="16">
        <v>-9999</v>
      </c>
      <c r="DK108" s="16">
        <v>-9999</v>
      </c>
      <c r="DL108" s="16">
        <v>-9999</v>
      </c>
      <c r="DM108" s="16">
        <v>-9999</v>
      </c>
      <c r="DN108" s="16">
        <v>21.645350004722463</v>
      </c>
      <c r="DO108" s="16">
        <v>24.469999992089058</v>
      </c>
      <c r="DP108" s="16">
        <v>24.501610859999996</v>
      </c>
      <c r="DQ108" s="16">
        <v>24.22109681758603</v>
      </c>
      <c r="DR108" s="16">
        <v>25.425188093130274</v>
      </c>
      <c r="DS108" s="16">
        <v>-9999</v>
      </c>
      <c r="DT108" s="16">
        <v>-9999</v>
      </c>
      <c r="DU108" s="16">
        <v>-9999</v>
      </c>
      <c r="DV108" s="16">
        <v>-9999</v>
      </c>
      <c r="DW108" s="16">
        <v>-9999</v>
      </c>
      <c r="DX108" s="16">
        <v>-9999</v>
      </c>
      <c r="DY108" s="16">
        <v>-9999</v>
      </c>
      <c r="DZ108" s="16">
        <v>-9999</v>
      </c>
      <c r="EA108" s="2196">
        <v>61.319722802671919</v>
      </c>
      <c r="EB108" s="2196">
        <v>76.791236214334702</v>
      </c>
      <c r="EC108" s="2196">
        <v>84.353210000000004</v>
      </c>
      <c r="ED108" s="2196">
        <v>90.353928652980002</v>
      </c>
      <c r="EE108" s="2196">
        <v>98.220593451151686</v>
      </c>
      <c r="EF108" s="2197">
        <v>-9999</v>
      </c>
      <c r="EG108" s="2197">
        <v>-9999</v>
      </c>
      <c r="EH108" s="2197">
        <v>-9999</v>
      </c>
      <c r="EI108" s="2197">
        <v>-9999</v>
      </c>
      <c r="EJ108" s="2197">
        <v>-9999</v>
      </c>
      <c r="EK108" s="2197">
        <v>-9999</v>
      </c>
      <c r="EL108" s="2197">
        <v>-9999</v>
      </c>
      <c r="EM108" s="2197">
        <v>-9999</v>
      </c>
    </row>
    <row r="109" spans="1:256">
      <c r="A109" s="22">
        <v>9</v>
      </c>
      <c r="B109" s="29" t="s">
        <v>1994</v>
      </c>
      <c r="C109" s="24">
        <f ca="1">OFFSET('VVP2'!F173,0,Last_forecast_year - 3-InputY!$G$3)</f>
        <v>5.9869669199016124</v>
      </c>
      <c r="D109" s="24">
        <f ca="1">OFFSET('VVP2'!G173,0,Last_forecast_year - 3-InputY!$G$3)</f>
        <v>6.7492574056871453</v>
      </c>
      <c r="E109" s="24">
        <f ca="1">OFFSET('VVP2'!H173,0,Last_forecast_year - 3-InputY!$G$3)</f>
        <v>8.0017304798635713</v>
      </c>
      <c r="F109" s="24">
        <f ca="1">OFFSET('VVP2'!I173,0,Last_forecast_year - 3-InputY!$G$3)</f>
        <v>8.8183810499999993</v>
      </c>
      <c r="G109" s="24">
        <f ca="1">OFFSET('VVP2'!J173,0,Last_forecast_year - 3-InputY!$G$3)</f>
        <v>9.4455884021812491</v>
      </c>
      <c r="H109" s="25">
        <v>-9999</v>
      </c>
      <c r="I109" s="25">
        <v>-9999</v>
      </c>
      <c r="J109" s="25">
        <v>-9999</v>
      </c>
      <c r="K109" s="25">
        <v>-9999</v>
      </c>
      <c r="L109" s="25">
        <v>-9999</v>
      </c>
      <c r="M109" s="25">
        <v>-9999</v>
      </c>
      <c r="N109" s="25">
        <v>-9999</v>
      </c>
      <c r="O109" s="25">
        <v>-9999</v>
      </c>
      <c r="P109" s="26"/>
      <c r="Q109"/>
      <c r="AA109" s="22">
        <v>9</v>
      </c>
      <c r="AB109" s="1040" t="str">
        <f t="shared" si="3"/>
        <v>VOL. EXPORTS OF SERVICES</v>
      </c>
      <c r="AC109" s="1040">
        <f>CHOOSE(Tables!$U$2,Transfer!CA109,Transfer!CN109,Transfer!DA109,Transfer!DN109,Transfer!EA109)</f>
        <v>12.613894431165829</v>
      </c>
      <c r="AD109" s="1040">
        <f>CHOOSE(Tables!$U$2,Transfer!CB109,Transfer!CO109,Transfer!DB109,Transfer!DO109,Transfer!EB109)</f>
        <v>15.480490707952432</v>
      </c>
      <c r="AE109" s="1040">
        <f>CHOOSE(Tables!$U$2,Transfer!CC109,Transfer!CP109,Transfer!DC109,Transfer!DP109,Transfer!EC109)</f>
        <v>16.780072319999999</v>
      </c>
      <c r="AF109" s="1040">
        <f>CHOOSE(Tables!$U$2,Transfer!CD109,Transfer!CQ109,Transfer!DD109,Transfer!DQ109,Transfer!ED109)</f>
        <v>17.859836413647361</v>
      </c>
      <c r="AG109" s="1040">
        <f>CHOOSE(Tables!$U$2,Transfer!CE109,Transfer!CR109,Transfer!DE109,Transfer!DR109,Transfer!EE109)</f>
        <v>19.32966523081771</v>
      </c>
      <c r="AH109" s="1040">
        <f>CHOOSE(Tables!$U$2,Transfer!CF109,Transfer!CS109,Transfer!DF109,Transfer!DS109,Transfer!EF109)</f>
        <v>-9999</v>
      </c>
      <c r="AI109" s="1040">
        <f>CHOOSE(Tables!$U$2,Transfer!CG109,Transfer!CT109,Transfer!DG109,Transfer!DT109,Transfer!EG109)</f>
        <v>-9999</v>
      </c>
      <c r="AJ109" s="1040">
        <f>CHOOSE(Tables!$U$2,Transfer!CH109,Transfer!CU109,Transfer!DH109,Transfer!DU109,Transfer!EH109)</f>
        <v>-9999</v>
      </c>
      <c r="AK109" s="1040">
        <f>CHOOSE(Tables!$U$2,Transfer!CI109,Transfer!CV109,Transfer!DI109,Transfer!DV109,Transfer!EI109)</f>
        <v>-9999</v>
      </c>
      <c r="AL109" s="1040">
        <f>CHOOSE(Tables!$U$2,Transfer!CJ109,Transfer!CW109,Transfer!DJ109,Transfer!DW109,Transfer!EJ109)</f>
        <v>-9999</v>
      </c>
      <c r="AM109" s="1040">
        <f>CHOOSE(Tables!$U$2,Transfer!CK109,Transfer!CX109,Transfer!DK109,Transfer!DX109,Transfer!EK109)</f>
        <v>-9999</v>
      </c>
      <c r="AN109" s="1040">
        <f>CHOOSE(Tables!$U$2,Transfer!CL109,Transfer!CY109,Transfer!DL109,Transfer!DY109,Transfer!EL109)</f>
        <v>-9999</v>
      </c>
      <c r="AO109" s="1040">
        <f>CHOOSE(Tables!$U$2,Transfer!CM109,Transfer!CZ109,Transfer!DM109,Transfer!DZ109,Transfer!EM109)</f>
        <v>-9999</v>
      </c>
      <c r="AR109" s="22">
        <v>9</v>
      </c>
      <c r="AS109" s="29" t="s">
        <v>1994</v>
      </c>
      <c r="AT109" s="24">
        <f t="shared" ca="1" si="2"/>
        <v>-6.6269275112642161</v>
      </c>
      <c r="AU109" s="24">
        <f t="shared" ca="1" si="2"/>
        <v>-8.7312333022652879</v>
      </c>
      <c r="AV109" s="24">
        <f t="shared" ca="1" si="2"/>
        <v>-8.7783418401364273</v>
      </c>
      <c r="AW109" s="24">
        <f t="shared" ca="1" si="2"/>
        <v>-9.041455363647362</v>
      </c>
      <c r="AX109" s="24">
        <f t="shared" ca="1" si="2"/>
        <v>-9.8840768286364611</v>
      </c>
      <c r="AY109" s="25">
        <f t="shared" si="2"/>
        <v>0</v>
      </c>
      <c r="AZ109" s="25">
        <f t="shared" si="2"/>
        <v>0</v>
      </c>
      <c r="BA109" s="25">
        <f t="shared" si="2"/>
        <v>0</v>
      </c>
      <c r="BB109" s="25">
        <f t="shared" si="2"/>
        <v>0</v>
      </c>
      <c r="BC109" s="25">
        <f t="shared" si="2"/>
        <v>0</v>
      </c>
      <c r="BD109" s="25">
        <f t="shared" si="2"/>
        <v>0</v>
      </c>
      <c r="BE109" s="25">
        <f t="shared" si="2"/>
        <v>0</v>
      </c>
      <c r="BF109" s="25">
        <f t="shared" si="2"/>
        <v>0</v>
      </c>
      <c r="CA109" s="16">
        <v>5.391364322360368</v>
      </c>
      <c r="CB109" s="16">
        <v>5.7422267712220814</v>
      </c>
      <c r="CC109" s="16">
        <v>5.9844374699999996</v>
      </c>
      <c r="CD109" s="16">
        <v>6.1953888908174992</v>
      </c>
      <c r="CE109" s="16">
        <v>6.4958342750776925</v>
      </c>
      <c r="CF109" s="16">
        <v>-9999</v>
      </c>
      <c r="CG109" s="16">
        <v>-9999</v>
      </c>
      <c r="CH109" s="16">
        <v>-9999</v>
      </c>
      <c r="CI109" s="16">
        <v>-9999</v>
      </c>
      <c r="CJ109" s="16">
        <v>-9999</v>
      </c>
      <c r="CK109" s="16">
        <v>-9999</v>
      </c>
      <c r="CL109" s="16">
        <v>-9999</v>
      </c>
      <c r="CM109" s="16">
        <v>-9999</v>
      </c>
      <c r="CN109" s="16">
        <v>4.6695599988994596</v>
      </c>
      <c r="CO109" s="16">
        <v>5.3182300006065955</v>
      </c>
      <c r="CP109" s="16">
        <v>5.8489572393028562</v>
      </c>
      <c r="CQ109" s="16">
        <v>6.15371832604818</v>
      </c>
      <c r="CR109" s="16">
        <v>6.5976475660892966</v>
      </c>
      <c r="CS109" s="16">
        <v>-9999</v>
      </c>
      <c r="CT109" s="16">
        <v>-9999</v>
      </c>
      <c r="CU109" s="16">
        <v>-9999</v>
      </c>
      <c r="CV109" s="16">
        <v>-9999</v>
      </c>
      <c r="CW109" s="16">
        <v>-9999</v>
      </c>
      <c r="CX109" s="16">
        <v>-9999</v>
      </c>
      <c r="CY109" s="16">
        <v>-9999</v>
      </c>
      <c r="CZ109" s="16">
        <v>-9999</v>
      </c>
      <c r="DA109" s="16">
        <v>5.3182300006065955</v>
      </c>
      <c r="DB109" s="16">
        <v>5.7867900008464037</v>
      </c>
      <c r="DC109" s="16">
        <v>6.1207123200000009</v>
      </c>
      <c r="DD109" s="16">
        <v>6.3666119374559997</v>
      </c>
      <c r="DE109" s="16">
        <v>6.6622073631001433</v>
      </c>
      <c r="DF109" s="16">
        <v>-9999</v>
      </c>
      <c r="DG109" s="16">
        <v>-9999</v>
      </c>
      <c r="DH109" s="16">
        <v>-9999</v>
      </c>
      <c r="DI109" s="16">
        <v>-9999</v>
      </c>
      <c r="DJ109" s="16">
        <v>-9999</v>
      </c>
      <c r="DK109" s="16">
        <v>-9999</v>
      </c>
      <c r="DL109" s="16">
        <v>-9999</v>
      </c>
      <c r="DM109" s="16">
        <v>-9999</v>
      </c>
      <c r="DN109" s="16">
        <v>4.6695599988994596</v>
      </c>
      <c r="DO109" s="16">
        <v>5.3182300006065955</v>
      </c>
      <c r="DP109" s="16">
        <v>5.8489572393028562</v>
      </c>
      <c r="DQ109" s="16">
        <v>6.15371832604818</v>
      </c>
      <c r="DR109" s="16">
        <v>6.5976475660892966</v>
      </c>
      <c r="DS109" s="16">
        <v>-9999</v>
      </c>
      <c r="DT109" s="16">
        <v>-9999</v>
      </c>
      <c r="DU109" s="16">
        <v>-9999</v>
      </c>
      <c r="DV109" s="16">
        <v>-9999</v>
      </c>
      <c r="DW109" s="16">
        <v>-9999</v>
      </c>
      <c r="DX109" s="16">
        <v>-9999</v>
      </c>
      <c r="DY109" s="16">
        <v>-9999</v>
      </c>
      <c r="DZ109" s="16">
        <v>-9999</v>
      </c>
      <c r="EA109" s="2196">
        <v>12.613894431165829</v>
      </c>
      <c r="EB109" s="2196">
        <v>15.480490707952432</v>
      </c>
      <c r="EC109" s="2196">
        <v>16.780072319999999</v>
      </c>
      <c r="ED109" s="2196">
        <v>17.859836413647361</v>
      </c>
      <c r="EE109" s="2196">
        <v>19.32966523081771</v>
      </c>
      <c r="EF109" s="2197">
        <v>-9999</v>
      </c>
      <c r="EG109" s="2197">
        <v>-9999</v>
      </c>
      <c r="EH109" s="2197">
        <v>-9999</v>
      </c>
      <c r="EI109" s="2197">
        <v>-9999</v>
      </c>
      <c r="EJ109" s="2197">
        <v>-9999</v>
      </c>
      <c r="EK109" s="2197">
        <v>-9999</v>
      </c>
      <c r="EL109" s="2197">
        <v>-9999</v>
      </c>
      <c r="EM109" s="2197">
        <v>-9999</v>
      </c>
    </row>
    <row r="110" spans="1:256">
      <c r="A110" s="22">
        <v>10</v>
      </c>
      <c r="B110" s="29" t="s">
        <v>1701</v>
      </c>
      <c r="C110" s="24">
        <f ca="1">OFFSET('VVP2'!F174,0,Last_forecast_year - 3-InputY!$G$3)</f>
        <v>26.487065169064213</v>
      </c>
      <c r="D110" s="24">
        <f ca="1">OFFSET('VVP2'!G174,0,Last_forecast_year - 3-InputY!$G$3)</f>
        <v>25.022739903926134</v>
      </c>
      <c r="E110" s="24">
        <f ca="1">OFFSET('VVP2'!H174,0,Last_forecast_year - 3-InputY!$G$3)</f>
        <v>26.710417898364799</v>
      </c>
      <c r="F110" s="24">
        <f ca="1">OFFSET('VVP2'!I174,0,Last_forecast_year - 3-InputY!$G$3)</f>
        <v>29.621771549999995</v>
      </c>
      <c r="G110" s="24">
        <f ca="1">OFFSET('VVP2'!J174,0,Last_forecast_year - 3-InputY!$G$3)</f>
        <v>31.941156262364995</v>
      </c>
      <c r="H110" s="25">
        <v>-9999</v>
      </c>
      <c r="I110" s="25">
        <v>-9999</v>
      </c>
      <c r="J110" s="25">
        <v>-9999</v>
      </c>
      <c r="K110" s="25">
        <v>-9999</v>
      </c>
      <c r="L110" s="25">
        <v>-9999</v>
      </c>
      <c r="M110" s="25">
        <v>-9999</v>
      </c>
      <c r="N110" s="25">
        <v>-9999</v>
      </c>
      <c r="O110" s="25">
        <v>-9999</v>
      </c>
      <c r="P110" s="26"/>
      <c r="Q110"/>
      <c r="AA110" s="22">
        <v>10</v>
      </c>
      <c r="AB110" s="1040" t="str">
        <f t="shared" si="3"/>
        <v>VOL. IMPORTS OF GOODS (FOB)</v>
      </c>
      <c r="AC110" s="1040">
        <f>CHOOSE(Tables!$U$2,Transfer!CA110,Transfer!CN110,Transfer!DA110,Transfer!DN110,Transfer!EA110)</f>
        <v>66.393769181957367</v>
      </c>
      <c r="AD110" s="1040">
        <f>CHOOSE(Tables!$U$2,Transfer!CB110,Transfer!CO110,Transfer!DB110,Transfer!DO110,Transfer!EB110)</f>
        <v>79.068140453008553</v>
      </c>
      <c r="AE110" s="1040">
        <f>CHOOSE(Tables!$U$2,Transfer!CC110,Transfer!CP110,Transfer!DC110,Transfer!DP110,Transfer!EC110)</f>
        <v>87.857380259999999</v>
      </c>
      <c r="AF110" s="1040">
        <f>CHOOSE(Tables!$U$2,Transfer!CD110,Transfer!CQ110,Transfer!DD110,Transfer!DQ110,Transfer!ED110)</f>
        <v>94.08242708094204</v>
      </c>
      <c r="AG110" s="1040">
        <f>CHOOSE(Tables!$U$2,Transfer!CE110,Transfer!CR110,Transfer!DE110,Transfer!DR110,Transfer!EE110)</f>
        <v>102.44748383756277</v>
      </c>
      <c r="AH110" s="1040">
        <f>CHOOSE(Tables!$U$2,Transfer!CF110,Transfer!CS110,Transfer!DF110,Transfer!DS110,Transfer!EF110)</f>
        <v>-9999</v>
      </c>
      <c r="AI110" s="1040">
        <f>CHOOSE(Tables!$U$2,Transfer!CG110,Transfer!CT110,Transfer!DG110,Transfer!DT110,Transfer!EG110)</f>
        <v>-9999</v>
      </c>
      <c r="AJ110" s="1040">
        <f>CHOOSE(Tables!$U$2,Transfer!CH110,Transfer!CU110,Transfer!DH110,Transfer!DU110,Transfer!EH110)</f>
        <v>-9999</v>
      </c>
      <c r="AK110" s="1040">
        <f>CHOOSE(Tables!$U$2,Transfer!CI110,Transfer!CV110,Transfer!DI110,Transfer!DV110,Transfer!EI110)</f>
        <v>-9999</v>
      </c>
      <c r="AL110" s="1040">
        <f>CHOOSE(Tables!$U$2,Transfer!CJ110,Transfer!CW110,Transfer!DJ110,Transfer!DW110,Transfer!EJ110)</f>
        <v>-9999</v>
      </c>
      <c r="AM110" s="1040">
        <f>CHOOSE(Tables!$U$2,Transfer!CK110,Transfer!CX110,Transfer!DK110,Transfer!DX110,Transfer!EK110)</f>
        <v>-9999</v>
      </c>
      <c r="AN110" s="1040">
        <f>CHOOSE(Tables!$U$2,Transfer!CL110,Transfer!CY110,Transfer!DL110,Transfer!DY110,Transfer!EL110)</f>
        <v>-9999</v>
      </c>
      <c r="AO110" s="1040">
        <f>CHOOSE(Tables!$U$2,Transfer!CM110,Transfer!CZ110,Transfer!DM110,Transfer!DZ110,Transfer!EM110)</f>
        <v>-9999</v>
      </c>
      <c r="AR110" s="22">
        <v>10</v>
      </c>
      <c r="AS110" s="29" t="s">
        <v>1701</v>
      </c>
      <c r="AT110" s="24">
        <f t="shared" ca="1" si="2"/>
        <v>-39.906704012893158</v>
      </c>
      <c r="AU110" s="24">
        <f t="shared" ca="1" si="2"/>
        <v>-54.045400549082416</v>
      </c>
      <c r="AV110" s="24">
        <f t="shared" ca="1" si="2"/>
        <v>-61.146962361635204</v>
      </c>
      <c r="AW110" s="24">
        <f t="shared" ca="1" si="2"/>
        <v>-64.460655530942049</v>
      </c>
      <c r="AX110" s="24">
        <f t="shared" ca="1" si="2"/>
        <v>-70.506327575197773</v>
      </c>
      <c r="AY110" s="25">
        <f t="shared" si="2"/>
        <v>0</v>
      </c>
      <c r="AZ110" s="25">
        <f t="shared" si="2"/>
        <v>0</v>
      </c>
      <c r="BA110" s="25">
        <f t="shared" si="2"/>
        <v>0</v>
      </c>
      <c r="BB110" s="25">
        <f t="shared" si="2"/>
        <v>0</v>
      </c>
      <c r="BC110" s="25">
        <f t="shared" si="2"/>
        <v>0</v>
      </c>
      <c r="BD110" s="25">
        <f t="shared" si="2"/>
        <v>0</v>
      </c>
      <c r="BE110" s="25">
        <f t="shared" si="2"/>
        <v>0</v>
      </c>
      <c r="BF110" s="25">
        <f t="shared" si="2"/>
        <v>0</v>
      </c>
      <c r="CA110" s="16">
        <v>25.397042409428202</v>
      </c>
      <c r="CB110" s="16">
        <v>25.670766081224244</v>
      </c>
      <c r="CC110" s="16">
        <v>26.488485739999998</v>
      </c>
      <c r="CD110" s="16">
        <v>25.30158967096208</v>
      </c>
      <c r="CE110" s="16">
        <v>26.401196758062095</v>
      </c>
      <c r="CF110" s="16">
        <v>-9999</v>
      </c>
      <c r="CG110" s="16">
        <v>-9999</v>
      </c>
      <c r="CH110" s="16">
        <v>-9999</v>
      </c>
      <c r="CI110" s="16">
        <v>-9999</v>
      </c>
      <c r="CJ110" s="16">
        <v>-9999</v>
      </c>
      <c r="CK110" s="16">
        <v>-9999</v>
      </c>
      <c r="CL110" s="16">
        <v>-9999</v>
      </c>
      <c r="CM110" s="16">
        <v>-9999</v>
      </c>
      <c r="CN110" s="16">
        <v>22.494960002627856</v>
      </c>
      <c r="CO110" s="16">
        <v>25.408749996030078</v>
      </c>
      <c r="CP110" s="16">
        <v>26.163469500000001</v>
      </c>
      <c r="CQ110" s="16">
        <v>25.903927882560001</v>
      </c>
      <c r="CR110" s="16">
        <v>26.813388091415526</v>
      </c>
      <c r="CS110" s="16">
        <v>-9999</v>
      </c>
      <c r="CT110" s="16">
        <v>-9999</v>
      </c>
      <c r="CU110" s="16">
        <v>-9999</v>
      </c>
      <c r="CV110" s="16">
        <v>-9999</v>
      </c>
      <c r="CW110" s="16">
        <v>-9999</v>
      </c>
      <c r="CX110" s="16">
        <v>-9999</v>
      </c>
      <c r="CY110" s="16">
        <v>-9999</v>
      </c>
      <c r="CZ110" s="16">
        <v>-9999</v>
      </c>
      <c r="DA110" s="16">
        <v>25.408749996030078</v>
      </c>
      <c r="DB110" s="16">
        <v>26.340340005486475</v>
      </c>
      <c r="DC110" s="16">
        <v>26.919168080000002</v>
      </c>
      <c r="DD110" s="16">
        <v>26.273242641920397</v>
      </c>
      <c r="DE110" s="16">
        <v>27.757549484975687</v>
      </c>
      <c r="DF110" s="16">
        <v>-9999</v>
      </c>
      <c r="DG110" s="16">
        <v>-9999</v>
      </c>
      <c r="DH110" s="16">
        <v>-9999</v>
      </c>
      <c r="DI110" s="16">
        <v>-9999</v>
      </c>
      <c r="DJ110" s="16">
        <v>-9999</v>
      </c>
      <c r="DK110" s="16">
        <v>-9999</v>
      </c>
      <c r="DL110" s="16">
        <v>-9999</v>
      </c>
      <c r="DM110" s="16">
        <v>-9999</v>
      </c>
      <c r="DN110" s="16">
        <v>22.494960002627856</v>
      </c>
      <c r="DO110" s="16">
        <v>25.408749996030078</v>
      </c>
      <c r="DP110" s="16">
        <v>26.138518969519996</v>
      </c>
      <c r="DQ110" s="16">
        <v>25.879224861342358</v>
      </c>
      <c r="DR110" s="16">
        <v>26.808419582514414</v>
      </c>
      <c r="DS110" s="16">
        <v>-9999</v>
      </c>
      <c r="DT110" s="16">
        <v>-9999</v>
      </c>
      <c r="DU110" s="16">
        <v>-9999</v>
      </c>
      <c r="DV110" s="16">
        <v>-9999</v>
      </c>
      <c r="DW110" s="16">
        <v>-9999</v>
      </c>
      <c r="DX110" s="16">
        <v>-9999</v>
      </c>
      <c r="DY110" s="16">
        <v>-9999</v>
      </c>
      <c r="DZ110" s="16">
        <v>-9999</v>
      </c>
      <c r="EA110" s="2196">
        <v>66.393769181957367</v>
      </c>
      <c r="EB110" s="2196">
        <v>79.068140453008553</v>
      </c>
      <c r="EC110" s="2196">
        <v>87.857380259999999</v>
      </c>
      <c r="ED110" s="2196">
        <v>94.08242708094204</v>
      </c>
      <c r="EE110" s="2196">
        <v>102.44748383756277</v>
      </c>
      <c r="EF110" s="2197">
        <v>-9999</v>
      </c>
      <c r="EG110" s="2197">
        <v>-9999</v>
      </c>
      <c r="EH110" s="2197">
        <v>-9999</v>
      </c>
      <c r="EI110" s="2197">
        <v>-9999</v>
      </c>
      <c r="EJ110" s="2197">
        <v>-9999</v>
      </c>
      <c r="EK110" s="2197">
        <v>-9999</v>
      </c>
      <c r="EL110" s="2197">
        <v>-9999</v>
      </c>
      <c r="EM110" s="2197">
        <v>-9999</v>
      </c>
    </row>
    <row r="111" spans="1:256">
      <c r="A111" s="22">
        <v>11</v>
      </c>
      <c r="B111" s="29" t="s">
        <v>1702</v>
      </c>
      <c r="C111" s="24">
        <f ca="1">OFFSET('VVP2'!F175,0,Last_forecast_year - 3-InputY!$G$3)</f>
        <v>4.2033260633151137</v>
      </c>
      <c r="D111" s="24">
        <f ca="1">OFFSET('VVP2'!G175,0,Last_forecast_year - 3-InputY!$G$3)</f>
        <v>4.5475389925779508</v>
      </c>
      <c r="E111" s="24">
        <f ca="1">OFFSET('VVP2'!H175,0,Last_forecast_year - 3-InputY!$G$3)</f>
        <v>5.2033230788250053</v>
      </c>
      <c r="F111" s="24">
        <f ca="1">OFFSET('VVP2'!I175,0,Last_forecast_year - 3-InputY!$G$3)</f>
        <v>5.72553585</v>
      </c>
      <c r="G111" s="24">
        <f ca="1">OFFSET('VVP2'!J175,0,Last_forecast_year - 3-InputY!$G$3)</f>
        <v>6.1862697198494994</v>
      </c>
      <c r="H111" s="25">
        <v>-9999</v>
      </c>
      <c r="I111" s="25">
        <v>-9999</v>
      </c>
      <c r="J111" s="25">
        <v>-9999</v>
      </c>
      <c r="K111" s="25">
        <v>-9999</v>
      </c>
      <c r="L111" s="25">
        <v>-9999</v>
      </c>
      <c r="M111" s="25">
        <v>-9999</v>
      </c>
      <c r="N111" s="25">
        <v>-9999</v>
      </c>
      <c r="O111" s="25">
        <v>-9999</v>
      </c>
      <c r="P111" s="26"/>
      <c r="Q111"/>
      <c r="AA111" s="22">
        <v>11</v>
      </c>
      <c r="AB111" s="1040" t="str">
        <f t="shared" si="3"/>
        <v>VOL. IMPORTS OF SERVICES</v>
      </c>
      <c r="AC111" s="1040">
        <f>CHOOSE(Tables!$U$2,Transfer!CA111,Transfer!CN111,Transfer!DA111,Transfer!DN111,Transfer!EA111)</f>
        <v>9.3903058973018005</v>
      </c>
      <c r="AD111" s="1040">
        <f>CHOOSE(Tables!$U$2,Transfer!CB111,Transfer!CO111,Transfer!DB111,Transfer!DO111,Transfer!EB111)</f>
        <v>11.631825466660667</v>
      </c>
      <c r="AE111" s="1040">
        <f>CHOOSE(Tables!$U$2,Transfer!CC111,Transfer!CP111,Transfer!DC111,Transfer!DP111,Transfer!EC111)</f>
        <v>12.493985479999999</v>
      </c>
      <c r="AF111" s="1040">
        <f>CHOOSE(Tables!$U$2,Transfer!CD111,Transfer!CQ111,Transfer!DD111,Transfer!DQ111,Transfer!ED111)</f>
        <v>13.257592884566638</v>
      </c>
      <c r="AG111" s="1040">
        <f>CHOOSE(Tables!$U$2,Transfer!CE111,Transfer!CR111,Transfer!DE111,Transfer!DR111,Transfer!EE111)</f>
        <v>14.334109426793448</v>
      </c>
      <c r="AH111" s="1040">
        <f>CHOOSE(Tables!$U$2,Transfer!CF111,Transfer!CS111,Transfer!DF111,Transfer!DS111,Transfer!EF111)</f>
        <v>-9999</v>
      </c>
      <c r="AI111" s="1040">
        <f>CHOOSE(Tables!$U$2,Transfer!CG111,Transfer!CT111,Transfer!DG111,Transfer!DT111,Transfer!EG111)</f>
        <v>-9999</v>
      </c>
      <c r="AJ111" s="1040">
        <f>CHOOSE(Tables!$U$2,Transfer!CH111,Transfer!CU111,Transfer!DH111,Transfer!DU111,Transfer!EH111)</f>
        <v>-9999</v>
      </c>
      <c r="AK111" s="1040">
        <f>CHOOSE(Tables!$U$2,Transfer!CI111,Transfer!CV111,Transfer!DI111,Transfer!DV111,Transfer!EI111)</f>
        <v>-9999</v>
      </c>
      <c r="AL111" s="1040">
        <f>CHOOSE(Tables!$U$2,Transfer!CJ111,Transfer!CW111,Transfer!DJ111,Transfer!DW111,Transfer!EJ111)</f>
        <v>-9999</v>
      </c>
      <c r="AM111" s="1040">
        <f>CHOOSE(Tables!$U$2,Transfer!CK111,Transfer!CX111,Transfer!DK111,Transfer!DX111,Transfer!EK111)</f>
        <v>-9999</v>
      </c>
      <c r="AN111" s="1040">
        <f>CHOOSE(Tables!$U$2,Transfer!CL111,Transfer!CY111,Transfer!DL111,Transfer!DY111,Transfer!EL111)</f>
        <v>-9999</v>
      </c>
      <c r="AO111" s="1040">
        <f>CHOOSE(Tables!$U$2,Transfer!CM111,Transfer!CZ111,Transfer!DM111,Transfer!DZ111,Transfer!EM111)</f>
        <v>-9999</v>
      </c>
      <c r="AR111" s="22">
        <v>11</v>
      </c>
      <c r="AS111" s="29" t="s">
        <v>1702</v>
      </c>
      <c r="AT111" s="24">
        <f t="shared" ca="1" si="2"/>
        <v>-5.1869798339866868</v>
      </c>
      <c r="AU111" s="24">
        <f t="shared" ca="1" si="2"/>
        <v>-7.0842864740827158</v>
      </c>
      <c r="AV111" s="24">
        <f t="shared" ca="1" si="2"/>
        <v>-7.2906624011749939</v>
      </c>
      <c r="AW111" s="24">
        <f t="shared" ca="1" si="2"/>
        <v>-7.5320570345666376</v>
      </c>
      <c r="AX111" s="24">
        <f t="shared" ca="1" si="2"/>
        <v>-8.1478397069439481</v>
      </c>
      <c r="AY111" s="25">
        <f t="shared" si="2"/>
        <v>0</v>
      </c>
      <c r="AZ111" s="25">
        <f t="shared" si="2"/>
        <v>0</v>
      </c>
      <c r="BA111" s="25">
        <f t="shared" si="2"/>
        <v>0</v>
      </c>
      <c r="BB111" s="25">
        <f t="shared" si="2"/>
        <v>0</v>
      </c>
      <c r="BC111" s="25">
        <f t="shared" si="2"/>
        <v>0</v>
      </c>
      <c r="BD111" s="25">
        <f t="shared" si="2"/>
        <v>0</v>
      </c>
      <c r="BE111" s="25">
        <f t="shared" si="2"/>
        <v>0</v>
      </c>
      <c r="BF111" s="25">
        <f t="shared" si="2"/>
        <v>0</v>
      </c>
      <c r="CA111" s="16">
        <v>4.0467798034506419</v>
      </c>
      <c r="CB111" s="16">
        <v>4.1193293062676828</v>
      </c>
      <c r="CC111" s="16">
        <v>4.2288680800000007</v>
      </c>
      <c r="CD111" s="16">
        <v>4.3137626067059998</v>
      </c>
      <c r="CE111" s="16">
        <v>4.4529030195853014</v>
      </c>
      <c r="CF111" s="16">
        <v>-9999</v>
      </c>
      <c r="CG111" s="16">
        <v>-9999</v>
      </c>
      <c r="CH111" s="16">
        <v>-9999</v>
      </c>
      <c r="CI111" s="16">
        <v>-9999</v>
      </c>
      <c r="CJ111" s="16">
        <v>-9999</v>
      </c>
      <c r="CK111" s="16">
        <v>-9999</v>
      </c>
      <c r="CL111" s="16">
        <v>-9999</v>
      </c>
      <c r="CM111" s="16">
        <v>-9999</v>
      </c>
      <c r="CN111" s="16">
        <v>3.3525800014575053</v>
      </c>
      <c r="CO111" s="16">
        <v>3.9591299955177996</v>
      </c>
      <c r="CP111" s="16">
        <v>4.3637384600000004</v>
      </c>
      <c r="CQ111" s="16">
        <v>4.6502981826866643</v>
      </c>
      <c r="CR111" s="16">
        <v>5.0607102487996745</v>
      </c>
      <c r="CS111" s="16">
        <v>-9999</v>
      </c>
      <c r="CT111" s="16">
        <v>-9999</v>
      </c>
      <c r="CU111" s="16">
        <v>-9999</v>
      </c>
      <c r="CV111" s="16">
        <v>-9999</v>
      </c>
      <c r="CW111" s="16">
        <v>-9999</v>
      </c>
      <c r="CX111" s="16">
        <v>-9999</v>
      </c>
      <c r="CY111" s="16">
        <v>-9999</v>
      </c>
      <c r="CZ111" s="16">
        <v>-9999</v>
      </c>
      <c r="DA111" s="16">
        <v>3.9591299955177996</v>
      </c>
      <c r="DB111" s="16">
        <v>4.2471400023697941</v>
      </c>
      <c r="DC111" s="16">
        <v>4.4382904999999999</v>
      </c>
      <c r="DD111" s="16">
        <v>4.5318940466449993</v>
      </c>
      <c r="DE111" s="16">
        <v>4.6596707992901543</v>
      </c>
      <c r="DF111" s="16">
        <v>-9999</v>
      </c>
      <c r="DG111" s="16">
        <v>-9999</v>
      </c>
      <c r="DH111" s="16">
        <v>-9999</v>
      </c>
      <c r="DI111" s="16">
        <v>-9999</v>
      </c>
      <c r="DJ111" s="16">
        <v>-9999</v>
      </c>
      <c r="DK111" s="16">
        <v>-9999</v>
      </c>
      <c r="DL111" s="16">
        <v>-9999</v>
      </c>
      <c r="DM111" s="16">
        <v>-9999</v>
      </c>
      <c r="DN111" s="16">
        <v>3.3525800014575053</v>
      </c>
      <c r="DO111" s="16">
        <v>3.9591299955177996</v>
      </c>
      <c r="DP111" s="16">
        <v>4.3637384600000004</v>
      </c>
      <c r="DQ111" s="16">
        <v>4.6502981826866643</v>
      </c>
      <c r="DR111" s="16">
        <v>5.0607102487996745</v>
      </c>
      <c r="DS111" s="16">
        <v>-9999</v>
      </c>
      <c r="DT111" s="16">
        <v>-9999</v>
      </c>
      <c r="DU111" s="16">
        <v>-9999</v>
      </c>
      <c r="DV111" s="16">
        <v>-9999</v>
      </c>
      <c r="DW111" s="16">
        <v>-9999</v>
      </c>
      <c r="DX111" s="16">
        <v>-9999</v>
      </c>
      <c r="DY111" s="16">
        <v>-9999</v>
      </c>
      <c r="DZ111" s="16">
        <v>-9999</v>
      </c>
      <c r="EA111" s="2196">
        <v>9.3903058973018005</v>
      </c>
      <c r="EB111" s="2196">
        <v>11.631825466660667</v>
      </c>
      <c r="EC111" s="2196">
        <v>12.493985479999999</v>
      </c>
      <c r="ED111" s="2196">
        <v>13.257592884566638</v>
      </c>
      <c r="EE111" s="2196">
        <v>14.334109426793448</v>
      </c>
      <c r="EF111" s="2197">
        <v>-9999</v>
      </c>
      <c r="EG111" s="2197">
        <v>-9999</v>
      </c>
      <c r="EH111" s="2197">
        <v>-9999</v>
      </c>
      <c r="EI111" s="2197">
        <v>-9999</v>
      </c>
      <c r="EJ111" s="2197">
        <v>-9999</v>
      </c>
      <c r="EK111" s="2197">
        <v>-9999</v>
      </c>
      <c r="EL111" s="2197">
        <v>-9999</v>
      </c>
      <c r="EM111" s="2197">
        <v>-9999</v>
      </c>
    </row>
    <row r="112" spans="1:256">
      <c r="A112" s="22">
        <v>12</v>
      </c>
      <c r="B112" s="1" t="s">
        <v>1704</v>
      </c>
      <c r="C112" s="24">
        <f ca="1">OFFSET('VVP2'!F176,0,Last_forecast_year - 3-InputY!$G$3)</f>
        <v>37.312322960551342</v>
      </c>
      <c r="D112" s="24">
        <f ca="1">OFFSET('VVP2'!G176,0,Last_forecast_year - 3-InputY!$G$3)</f>
        <v>38.304220191653336</v>
      </c>
      <c r="E112" s="24">
        <f ca="1">OFFSET('VVP2'!H176,0,Last_forecast_year - 3-InputY!$G$3)</f>
        <v>40.433610411171614</v>
      </c>
      <c r="F112" s="24">
        <f ca="1">OFFSET('VVP2'!I176,0,Last_forecast_year - 3-InputY!$G$3)</f>
        <v>43.083363642323164</v>
      </c>
      <c r="G112" s="24">
        <f ca="1">OFFSET('VVP2'!J176,0,Last_forecast_year - 3-InputY!$G$3)</f>
        <v>45.379921147033215</v>
      </c>
      <c r="H112" s="25">
        <v>-9999</v>
      </c>
      <c r="I112" s="25">
        <v>-9999</v>
      </c>
      <c r="J112" s="25">
        <v>-9999</v>
      </c>
      <c r="K112" s="25">
        <v>-9999</v>
      </c>
      <c r="L112" s="25">
        <v>-9999</v>
      </c>
      <c r="M112" s="25">
        <v>-9999</v>
      </c>
      <c r="N112" s="25">
        <v>-9999</v>
      </c>
      <c r="O112" s="25">
        <v>-9999</v>
      </c>
      <c r="P112" s="26"/>
      <c r="Q112"/>
      <c r="AA112" s="22">
        <v>12</v>
      </c>
      <c r="AB112" s="1040" t="str">
        <f t="shared" si="3"/>
        <v>VOL. GROSS DOMESTIC PRODUCT</v>
      </c>
      <c r="AC112" s="1040">
        <f>CHOOSE(Tables!$U$2,Transfer!CA112,Transfer!CN112,Transfer!DA112,Transfer!DN112,Transfer!EA112)</f>
        <v>101.46330940455422</v>
      </c>
      <c r="AD112" s="1040">
        <f>CHOOSE(Tables!$U$2,Transfer!CB112,Transfer!CO112,Transfer!DB112,Transfer!DO112,Transfer!EB112)</f>
        <v>110.8049598330383</v>
      </c>
      <c r="AE112" s="1040">
        <f>CHOOSE(Tables!$U$2,Transfer!CC112,Transfer!CP112,Transfer!DC112,Transfer!DP112,Transfer!EC112)</f>
        <v>117.81106231000001</v>
      </c>
      <c r="AF112" s="1040">
        <f>CHOOSE(Tables!$U$2,Transfer!CD112,Transfer!CQ112,Transfer!DD112,Transfer!DQ112,Transfer!ED112)</f>
        <v>124.38278303003321</v>
      </c>
      <c r="AG112" s="1040">
        <f>CHOOSE(Tables!$U$2,Transfer!CE112,Transfer!CR112,Transfer!DE112,Transfer!DR112,Transfer!EE112)</f>
        <v>132.43177879389697</v>
      </c>
      <c r="AH112" s="1040">
        <f>CHOOSE(Tables!$U$2,Transfer!CF112,Transfer!CS112,Transfer!DF112,Transfer!DS112,Transfer!EF112)</f>
        <v>-9999</v>
      </c>
      <c r="AI112" s="1040">
        <f>CHOOSE(Tables!$U$2,Transfer!CG112,Transfer!CT112,Transfer!DG112,Transfer!DT112,Transfer!EG112)</f>
        <v>-9999</v>
      </c>
      <c r="AJ112" s="1040">
        <f>CHOOSE(Tables!$U$2,Transfer!CH112,Transfer!CU112,Transfer!DH112,Transfer!DU112,Transfer!EH112)</f>
        <v>-9999</v>
      </c>
      <c r="AK112" s="1040">
        <f>CHOOSE(Tables!$U$2,Transfer!CI112,Transfer!CV112,Transfer!DI112,Transfer!DV112,Transfer!EI112)</f>
        <v>-9999</v>
      </c>
      <c r="AL112" s="1040">
        <f>CHOOSE(Tables!$U$2,Transfer!CJ112,Transfer!CW112,Transfer!DJ112,Transfer!DW112,Transfer!EJ112)</f>
        <v>-9999</v>
      </c>
      <c r="AM112" s="1040">
        <f>CHOOSE(Tables!$U$2,Transfer!CK112,Transfer!CX112,Transfer!DK112,Transfer!DX112,Transfer!EK112)</f>
        <v>-9999</v>
      </c>
      <c r="AN112" s="1040">
        <f>CHOOSE(Tables!$U$2,Transfer!CL112,Transfer!CY112,Transfer!DL112,Transfer!DY112,Transfer!EL112)</f>
        <v>-9999</v>
      </c>
      <c r="AO112" s="1040">
        <f>CHOOSE(Tables!$U$2,Transfer!CM112,Transfer!CZ112,Transfer!DM112,Transfer!DZ112,Transfer!EM112)</f>
        <v>-9999</v>
      </c>
      <c r="AR112" s="22">
        <v>12</v>
      </c>
      <c r="AS112" s="1" t="s">
        <v>1704</v>
      </c>
      <c r="AT112" s="24">
        <f t="shared" ca="1" si="2"/>
        <v>-64.150986444002882</v>
      </c>
      <c r="AU112" s="24">
        <f t="shared" ca="1" si="2"/>
        <v>-72.500739641384968</v>
      </c>
      <c r="AV112" s="24">
        <f t="shared" ca="1" si="2"/>
        <v>-77.377451898828397</v>
      </c>
      <c r="AW112" s="24">
        <f t="shared" ca="1" si="2"/>
        <v>-81.299419387710046</v>
      </c>
      <c r="AX112" s="24">
        <f t="shared" ca="1" si="2"/>
        <v>-87.051857646863752</v>
      </c>
      <c r="AY112" s="25">
        <f t="shared" si="2"/>
        <v>0</v>
      </c>
      <c r="AZ112" s="25">
        <f t="shared" si="2"/>
        <v>0</v>
      </c>
      <c r="BA112" s="25">
        <f t="shared" si="2"/>
        <v>0</v>
      </c>
      <c r="BB112" s="25">
        <f t="shared" si="2"/>
        <v>0</v>
      </c>
      <c r="BC112" s="25">
        <f t="shared" si="2"/>
        <v>0</v>
      </c>
      <c r="BD112" s="25">
        <f t="shared" si="2"/>
        <v>0</v>
      </c>
      <c r="BE112" s="25">
        <f t="shared" si="2"/>
        <v>0</v>
      </c>
      <c r="BF112" s="25">
        <f t="shared" si="2"/>
        <v>0</v>
      </c>
      <c r="CA112" s="16">
        <v>34.516365100000264</v>
      </c>
      <c r="CB112" s="16">
        <v>36.022445765523742</v>
      </c>
      <c r="CC112" s="16">
        <v>37.071428057073582</v>
      </c>
      <c r="CD112" s="16">
        <v>38.062377835252114</v>
      </c>
      <c r="CE112" s="16">
        <v>39.728417126580389</v>
      </c>
      <c r="CF112" s="16">
        <v>-9999</v>
      </c>
      <c r="CG112" s="16">
        <v>-9999</v>
      </c>
      <c r="CH112" s="16">
        <v>-9999</v>
      </c>
      <c r="CI112" s="16">
        <v>-9999</v>
      </c>
      <c r="CJ112" s="16">
        <v>-9999</v>
      </c>
      <c r="CK112" s="16">
        <v>-9999</v>
      </c>
      <c r="CL112" s="16">
        <v>-9999</v>
      </c>
      <c r="CM112" s="16">
        <v>-9999</v>
      </c>
      <c r="CN112" s="16">
        <v>32.446640002298629</v>
      </c>
      <c r="CO112" s="16">
        <v>34.399029997037168</v>
      </c>
      <c r="CP112" s="16">
        <v>35.981705701252103</v>
      </c>
      <c r="CQ112" s="16">
        <v>37.742948112327383</v>
      </c>
      <c r="CR112" s="16">
        <v>39.854552054299134</v>
      </c>
      <c r="CS112" s="16">
        <v>-9999</v>
      </c>
      <c r="CT112" s="16">
        <v>-9999</v>
      </c>
      <c r="CU112" s="16">
        <v>-9999</v>
      </c>
      <c r="CV112" s="16">
        <v>-9999</v>
      </c>
      <c r="CW112" s="16">
        <v>-9999</v>
      </c>
      <c r="CX112" s="16">
        <v>-9999</v>
      </c>
      <c r="CY112" s="16">
        <v>-9999</v>
      </c>
      <c r="CZ112" s="16">
        <v>-9999</v>
      </c>
      <c r="DA112" s="16">
        <v>34.399029997037168</v>
      </c>
      <c r="DB112" s="16">
        <v>35.986750000237564</v>
      </c>
      <c r="DC112" s="16">
        <v>36.942292399999999</v>
      </c>
      <c r="DD112" s="16">
        <v>38.683533143454994</v>
      </c>
      <c r="DE112" s="16">
        <v>40.597880270238313</v>
      </c>
      <c r="DF112" s="16">
        <v>-9999</v>
      </c>
      <c r="DG112" s="16">
        <v>-9999</v>
      </c>
      <c r="DH112" s="16">
        <v>-9999</v>
      </c>
      <c r="DI112" s="16">
        <v>-9999</v>
      </c>
      <c r="DJ112" s="16">
        <v>-9999</v>
      </c>
      <c r="DK112" s="16">
        <v>-9999</v>
      </c>
      <c r="DL112" s="16">
        <v>-9999</v>
      </c>
      <c r="DM112" s="16">
        <v>-9999</v>
      </c>
      <c r="DN112" s="16">
        <v>32.446640002298629</v>
      </c>
      <c r="DO112" s="16">
        <v>34.399029997037168</v>
      </c>
      <c r="DP112" s="16">
        <v>35.984692864000017</v>
      </c>
      <c r="DQ112" s="16">
        <v>37.698367009845583</v>
      </c>
      <c r="DR112" s="16">
        <v>39.856888636359244</v>
      </c>
      <c r="DS112" s="16">
        <v>-9999</v>
      </c>
      <c r="DT112" s="16">
        <v>-9999</v>
      </c>
      <c r="DU112" s="16">
        <v>-9999</v>
      </c>
      <c r="DV112" s="16">
        <v>-9999</v>
      </c>
      <c r="DW112" s="16">
        <v>-9999</v>
      </c>
      <c r="DX112" s="16">
        <v>-9999</v>
      </c>
      <c r="DY112" s="16">
        <v>-9999</v>
      </c>
      <c r="DZ112" s="16">
        <v>-9999</v>
      </c>
      <c r="EA112" s="2196">
        <v>101.46330940455422</v>
      </c>
      <c r="EB112" s="2196">
        <v>110.8049598330383</v>
      </c>
      <c r="EC112" s="2196">
        <v>117.81106231000001</v>
      </c>
      <c r="ED112" s="2196">
        <v>124.38278303003321</v>
      </c>
      <c r="EE112" s="2196">
        <v>132.43177879389697</v>
      </c>
      <c r="EF112" s="2197">
        <v>-9999</v>
      </c>
      <c r="EG112" s="2197">
        <v>-9999</v>
      </c>
      <c r="EH112" s="2197">
        <v>-9999</v>
      </c>
      <c r="EI112" s="2197">
        <v>-9999</v>
      </c>
      <c r="EJ112" s="2197">
        <v>-9999</v>
      </c>
      <c r="EK112" s="2197">
        <v>-9999</v>
      </c>
      <c r="EL112" s="2197">
        <v>-9999</v>
      </c>
      <c r="EM112" s="2197">
        <v>-9999</v>
      </c>
    </row>
    <row r="113" spans="1:143">
      <c r="A113" s="22">
        <v>13</v>
      </c>
      <c r="B113" s="30" t="s">
        <v>1705</v>
      </c>
      <c r="C113" s="25">
        <v>-9999</v>
      </c>
      <c r="D113" s="25">
        <v>-9999</v>
      </c>
      <c r="E113" s="25">
        <v>-9999</v>
      </c>
      <c r="F113" s="25">
        <v>-9999</v>
      </c>
      <c r="G113" s="25">
        <v>-9999</v>
      </c>
      <c r="H113" s="25">
        <v>-9999</v>
      </c>
      <c r="I113" s="25">
        <v>-9999</v>
      </c>
      <c r="J113" s="25">
        <v>-9999</v>
      </c>
      <c r="K113" s="25">
        <v>-9999</v>
      </c>
      <c r="L113" s="25">
        <v>-9999</v>
      </c>
      <c r="M113" s="25">
        <v>-9999</v>
      </c>
      <c r="N113" s="25">
        <v>-9999</v>
      </c>
      <c r="O113" s="25">
        <v>-9999</v>
      </c>
      <c r="P113" s="26"/>
      <c r="Q113"/>
      <c r="AA113" s="22">
        <v>13</v>
      </c>
      <c r="AB113" s="1040" t="str">
        <f t="shared" si="3"/>
        <v>FOR FUTURE USE</v>
      </c>
      <c r="AC113" s="1040">
        <f>CHOOSE(Tables!$U$2,Transfer!CA113,Transfer!CN113,Transfer!DA113,Transfer!DN113,Transfer!EA113)</f>
        <v>-9999</v>
      </c>
      <c r="AD113" s="1040">
        <f>CHOOSE(Tables!$U$2,Transfer!CB113,Transfer!CO113,Transfer!DB113,Transfer!DO113,Transfer!EB113)</f>
        <v>-9999</v>
      </c>
      <c r="AE113" s="1040">
        <f>CHOOSE(Tables!$U$2,Transfer!CC113,Transfer!CP113,Transfer!DC113,Transfer!DP113,Transfer!EC113)</f>
        <v>-9999</v>
      </c>
      <c r="AF113" s="1040">
        <f>CHOOSE(Tables!$U$2,Transfer!CD113,Transfer!CQ113,Transfer!DD113,Transfer!DQ113,Transfer!ED113)</f>
        <v>-9999</v>
      </c>
      <c r="AG113" s="1040">
        <f>CHOOSE(Tables!$U$2,Transfer!CE113,Transfer!CR113,Transfer!DE113,Transfer!DR113,Transfer!EE113)</f>
        <v>-9999</v>
      </c>
      <c r="AH113" s="1040">
        <f>CHOOSE(Tables!$U$2,Transfer!CF113,Transfer!CS113,Transfer!DF113,Transfer!DS113,Transfer!EF113)</f>
        <v>-9999</v>
      </c>
      <c r="AI113" s="1040">
        <f>CHOOSE(Tables!$U$2,Transfer!CG113,Transfer!CT113,Transfer!DG113,Transfer!DT113,Transfer!EG113)</f>
        <v>-9999</v>
      </c>
      <c r="AJ113" s="1040">
        <f>CHOOSE(Tables!$U$2,Transfer!CH113,Transfer!CU113,Transfer!DH113,Transfer!DU113,Transfer!EH113)</f>
        <v>-9999</v>
      </c>
      <c r="AK113" s="1040">
        <f>CHOOSE(Tables!$U$2,Transfer!CI113,Transfer!CV113,Transfer!DI113,Transfer!DV113,Transfer!EI113)</f>
        <v>-9999</v>
      </c>
      <c r="AL113" s="1040">
        <f>CHOOSE(Tables!$U$2,Transfer!CJ113,Transfer!CW113,Transfer!DJ113,Transfer!DW113,Transfer!EJ113)</f>
        <v>-9999</v>
      </c>
      <c r="AM113" s="1040">
        <f>CHOOSE(Tables!$U$2,Transfer!CK113,Transfer!CX113,Transfer!DK113,Transfer!DX113,Transfer!EK113)</f>
        <v>-9999</v>
      </c>
      <c r="AN113" s="1040">
        <f>CHOOSE(Tables!$U$2,Transfer!CL113,Transfer!CY113,Transfer!DL113,Transfer!DY113,Transfer!EL113)</f>
        <v>-9999</v>
      </c>
      <c r="AO113" s="1040">
        <f>CHOOSE(Tables!$U$2,Transfer!CM113,Transfer!CZ113,Transfer!DM113,Transfer!DZ113,Transfer!EM113)</f>
        <v>-9999</v>
      </c>
      <c r="AR113" s="22">
        <v>13</v>
      </c>
      <c r="AS113" s="30" t="s">
        <v>1705</v>
      </c>
      <c r="AT113" s="25">
        <f t="shared" si="2"/>
        <v>0</v>
      </c>
      <c r="AU113" s="25">
        <f t="shared" si="2"/>
        <v>0</v>
      </c>
      <c r="AV113" s="25">
        <f t="shared" si="2"/>
        <v>0</v>
      </c>
      <c r="AW113" s="25">
        <f t="shared" si="2"/>
        <v>0</v>
      </c>
      <c r="AX113" s="25">
        <f t="shared" si="2"/>
        <v>0</v>
      </c>
      <c r="AY113" s="25">
        <f t="shared" si="2"/>
        <v>0</v>
      </c>
      <c r="AZ113" s="25">
        <f t="shared" si="2"/>
        <v>0</v>
      </c>
      <c r="BA113" s="25">
        <f t="shared" si="2"/>
        <v>0</v>
      </c>
      <c r="BB113" s="25">
        <f t="shared" si="2"/>
        <v>0</v>
      </c>
      <c r="BC113" s="25">
        <f t="shared" si="2"/>
        <v>0</v>
      </c>
      <c r="BD113" s="25">
        <f t="shared" si="2"/>
        <v>0</v>
      </c>
      <c r="BE113" s="25">
        <f t="shared" si="2"/>
        <v>0</v>
      </c>
      <c r="BF113" s="25">
        <f t="shared" si="2"/>
        <v>0</v>
      </c>
      <c r="CA113" s="16">
        <v>-9999</v>
      </c>
      <c r="CB113" s="16">
        <v>-9999</v>
      </c>
      <c r="CC113" s="16">
        <v>-9999</v>
      </c>
      <c r="CD113" s="16">
        <v>-9999</v>
      </c>
      <c r="CE113" s="16">
        <v>-9999</v>
      </c>
      <c r="CF113" s="16">
        <v>-9999</v>
      </c>
      <c r="CG113" s="16">
        <v>-9999</v>
      </c>
      <c r="CH113" s="16">
        <v>-9999</v>
      </c>
      <c r="CI113" s="16">
        <v>-9999</v>
      </c>
      <c r="CJ113" s="16">
        <v>-9999</v>
      </c>
      <c r="CK113" s="16">
        <v>-9999</v>
      </c>
      <c r="CL113" s="16">
        <v>-9999</v>
      </c>
      <c r="CM113" s="16">
        <v>-9999</v>
      </c>
      <c r="CN113" s="16">
        <v>-9999</v>
      </c>
      <c r="CO113" s="16">
        <v>-9999</v>
      </c>
      <c r="CP113" s="16">
        <v>-9999</v>
      </c>
      <c r="CQ113" s="16">
        <v>-9999</v>
      </c>
      <c r="CR113" s="16">
        <v>-9999</v>
      </c>
      <c r="CS113" s="16">
        <v>-9999</v>
      </c>
      <c r="CT113" s="16">
        <v>-9999</v>
      </c>
      <c r="CU113" s="16">
        <v>-9999</v>
      </c>
      <c r="CV113" s="16">
        <v>-9999</v>
      </c>
      <c r="CW113" s="16">
        <v>-9999</v>
      </c>
      <c r="CX113" s="16">
        <v>-9999</v>
      </c>
      <c r="CY113" s="16">
        <v>-9999</v>
      </c>
      <c r="CZ113" s="16">
        <v>-9999</v>
      </c>
      <c r="DA113" s="16">
        <v>-9999</v>
      </c>
      <c r="DB113" s="16">
        <v>-9999</v>
      </c>
      <c r="DC113" s="16">
        <v>-9999</v>
      </c>
      <c r="DD113" s="16">
        <v>-9999</v>
      </c>
      <c r="DE113" s="16">
        <v>-9999</v>
      </c>
      <c r="DF113" s="16">
        <v>-9999</v>
      </c>
      <c r="DG113" s="16">
        <v>-9999</v>
      </c>
      <c r="DH113" s="16">
        <v>-9999</v>
      </c>
      <c r="DI113" s="16">
        <v>-9999</v>
      </c>
      <c r="DJ113" s="16">
        <v>-9999</v>
      </c>
      <c r="DK113" s="16">
        <v>-9999</v>
      </c>
      <c r="DL113" s="16">
        <v>-9999</v>
      </c>
      <c r="DM113" s="16">
        <v>-9999</v>
      </c>
      <c r="DN113" s="16">
        <v>-9999</v>
      </c>
      <c r="DO113" s="16">
        <v>-9999</v>
      </c>
      <c r="DP113" s="16">
        <v>-9999</v>
      </c>
      <c r="DQ113" s="16">
        <v>-9999</v>
      </c>
      <c r="DR113" s="16">
        <v>-9999</v>
      </c>
      <c r="DS113" s="16">
        <v>-9999</v>
      </c>
      <c r="DT113" s="16">
        <v>-9999</v>
      </c>
      <c r="DU113" s="16">
        <v>-9999</v>
      </c>
      <c r="DV113" s="16">
        <v>-9999</v>
      </c>
      <c r="DW113" s="16">
        <v>-9999</v>
      </c>
      <c r="DX113" s="16">
        <v>-9999</v>
      </c>
      <c r="DY113" s="16">
        <v>-9999</v>
      </c>
      <c r="DZ113" s="16">
        <v>-9999</v>
      </c>
      <c r="EA113" s="2197">
        <v>-9999</v>
      </c>
      <c r="EB113" s="2197">
        <v>-9999</v>
      </c>
      <c r="EC113" s="2197">
        <v>-9999</v>
      </c>
      <c r="ED113" s="2197">
        <v>-9999</v>
      </c>
      <c r="EE113" s="2197">
        <v>-9999</v>
      </c>
      <c r="EF113" s="2197">
        <v>-9999</v>
      </c>
      <c r="EG113" s="2197">
        <v>-9999</v>
      </c>
      <c r="EH113" s="2197">
        <v>-9999</v>
      </c>
      <c r="EI113" s="2197">
        <v>-9999</v>
      </c>
      <c r="EJ113" s="2197">
        <v>-9999</v>
      </c>
      <c r="EK113" s="2197">
        <v>-9999</v>
      </c>
      <c r="EL113" s="2197">
        <v>-9999</v>
      </c>
      <c r="EM113" s="2197">
        <v>-9999</v>
      </c>
    </row>
    <row r="114" spans="1:143">
      <c r="A114" s="22">
        <v>14</v>
      </c>
      <c r="B114" s="30" t="s">
        <v>1705</v>
      </c>
      <c r="C114" s="25">
        <v>-9999</v>
      </c>
      <c r="D114" s="25">
        <v>-9999</v>
      </c>
      <c r="E114" s="25">
        <v>-9999</v>
      </c>
      <c r="F114" s="25">
        <v>-9999</v>
      </c>
      <c r="G114" s="25">
        <v>-9999</v>
      </c>
      <c r="H114" s="25">
        <v>-9999</v>
      </c>
      <c r="I114" s="25">
        <v>-9999</v>
      </c>
      <c r="J114" s="25">
        <v>-9999</v>
      </c>
      <c r="K114" s="25">
        <v>-9999</v>
      </c>
      <c r="L114" s="25">
        <v>-9999</v>
      </c>
      <c r="M114" s="25">
        <v>-9999</v>
      </c>
      <c r="N114" s="25">
        <v>-9999</v>
      </c>
      <c r="O114" s="25">
        <v>-9999</v>
      </c>
      <c r="P114" s="26"/>
      <c r="Q114"/>
      <c r="AA114" s="22">
        <v>14</v>
      </c>
      <c r="AB114" s="1040" t="str">
        <f t="shared" si="3"/>
        <v>FOR FUTURE USE</v>
      </c>
      <c r="AC114" s="1040">
        <f>CHOOSE(Tables!$U$2,Transfer!CA114,Transfer!CN114,Transfer!DA114,Transfer!DN114,Transfer!EA114)</f>
        <v>-9999</v>
      </c>
      <c r="AD114" s="1040">
        <f>CHOOSE(Tables!$U$2,Transfer!CB114,Transfer!CO114,Transfer!DB114,Transfer!DO114,Transfer!EB114)</f>
        <v>-9999</v>
      </c>
      <c r="AE114" s="1040">
        <f>CHOOSE(Tables!$U$2,Transfer!CC114,Transfer!CP114,Transfer!DC114,Transfer!DP114,Transfer!EC114)</f>
        <v>-9999</v>
      </c>
      <c r="AF114" s="1040">
        <f>CHOOSE(Tables!$U$2,Transfer!CD114,Transfer!CQ114,Transfer!DD114,Transfer!DQ114,Transfer!ED114)</f>
        <v>-9999</v>
      </c>
      <c r="AG114" s="1040">
        <f>CHOOSE(Tables!$U$2,Transfer!CE114,Transfer!CR114,Transfer!DE114,Transfer!DR114,Transfer!EE114)</f>
        <v>-9999</v>
      </c>
      <c r="AH114" s="1040">
        <f>CHOOSE(Tables!$U$2,Transfer!CF114,Transfer!CS114,Transfer!DF114,Transfer!DS114,Transfer!EF114)</f>
        <v>-9999</v>
      </c>
      <c r="AI114" s="1040">
        <f>CHOOSE(Tables!$U$2,Transfer!CG114,Transfer!CT114,Transfer!DG114,Transfer!DT114,Transfer!EG114)</f>
        <v>-9999</v>
      </c>
      <c r="AJ114" s="1040">
        <f>CHOOSE(Tables!$U$2,Transfer!CH114,Transfer!CU114,Transfer!DH114,Transfer!DU114,Transfer!EH114)</f>
        <v>-9999</v>
      </c>
      <c r="AK114" s="1040">
        <f>CHOOSE(Tables!$U$2,Transfer!CI114,Transfer!CV114,Transfer!DI114,Transfer!DV114,Transfer!EI114)</f>
        <v>-9999</v>
      </c>
      <c r="AL114" s="1040">
        <f>CHOOSE(Tables!$U$2,Transfer!CJ114,Transfer!CW114,Transfer!DJ114,Transfer!DW114,Transfer!EJ114)</f>
        <v>-9999</v>
      </c>
      <c r="AM114" s="1040">
        <f>CHOOSE(Tables!$U$2,Transfer!CK114,Transfer!CX114,Transfer!DK114,Transfer!DX114,Transfer!EK114)</f>
        <v>-9999</v>
      </c>
      <c r="AN114" s="1040">
        <f>CHOOSE(Tables!$U$2,Transfer!CL114,Transfer!CY114,Transfer!DL114,Transfer!DY114,Transfer!EL114)</f>
        <v>-9999</v>
      </c>
      <c r="AO114" s="1040">
        <f>CHOOSE(Tables!$U$2,Transfer!CM114,Transfer!CZ114,Transfer!DM114,Transfer!DZ114,Transfer!EM114)</f>
        <v>-9999</v>
      </c>
      <c r="AR114" s="22">
        <v>14</v>
      </c>
      <c r="AS114" s="30" t="s">
        <v>1705</v>
      </c>
      <c r="AT114" s="25">
        <f t="shared" si="2"/>
        <v>0</v>
      </c>
      <c r="AU114" s="25">
        <f t="shared" si="2"/>
        <v>0</v>
      </c>
      <c r="AV114" s="25">
        <f t="shared" si="2"/>
        <v>0</v>
      </c>
      <c r="AW114" s="25">
        <f t="shared" si="2"/>
        <v>0</v>
      </c>
      <c r="AX114" s="25">
        <f t="shared" si="2"/>
        <v>0</v>
      </c>
      <c r="AY114" s="25">
        <f t="shared" si="2"/>
        <v>0</v>
      </c>
      <c r="AZ114" s="25">
        <f t="shared" si="2"/>
        <v>0</v>
      </c>
      <c r="BA114" s="25">
        <f t="shared" si="2"/>
        <v>0</v>
      </c>
      <c r="BB114" s="25">
        <f t="shared" si="2"/>
        <v>0</v>
      </c>
      <c r="BC114" s="25">
        <f t="shared" si="2"/>
        <v>0</v>
      </c>
      <c r="BD114" s="25">
        <f t="shared" si="2"/>
        <v>0</v>
      </c>
      <c r="BE114" s="25">
        <f t="shared" si="2"/>
        <v>0</v>
      </c>
      <c r="BF114" s="25">
        <f t="shared" si="2"/>
        <v>0</v>
      </c>
      <c r="CA114" s="16">
        <v>-9999</v>
      </c>
      <c r="CB114" s="16">
        <v>-9999</v>
      </c>
      <c r="CC114" s="16">
        <v>-9999</v>
      </c>
      <c r="CD114" s="16">
        <v>-9999</v>
      </c>
      <c r="CE114" s="16">
        <v>-9999</v>
      </c>
      <c r="CF114" s="16">
        <v>-9999</v>
      </c>
      <c r="CG114" s="16">
        <v>-9999</v>
      </c>
      <c r="CH114" s="16">
        <v>-9999</v>
      </c>
      <c r="CI114" s="16">
        <v>-9999</v>
      </c>
      <c r="CJ114" s="16">
        <v>-9999</v>
      </c>
      <c r="CK114" s="16">
        <v>-9999</v>
      </c>
      <c r="CL114" s="16">
        <v>-9999</v>
      </c>
      <c r="CM114" s="16">
        <v>-9999</v>
      </c>
      <c r="CN114" s="16">
        <v>-9999</v>
      </c>
      <c r="CO114" s="16">
        <v>-9999</v>
      </c>
      <c r="CP114" s="16">
        <v>-9999</v>
      </c>
      <c r="CQ114" s="16">
        <v>-9999</v>
      </c>
      <c r="CR114" s="16">
        <v>-9999</v>
      </c>
      <c r="CS114" s="16">
        <v>-9999</v>
      </c>
      <c r="CT114" s="16">
        <v>-9999</v>
      </c>
      <c r="CU114" s="16">
        <v>-9999</v>
      </c>
      <c r="CV114" s="16">
        <v>-9999</v>
      </c>
      <c r="CW114" s="16">
        <v>-9999</v>
      </c>
      <c r="CX114" s="16">
        <v>-9999</v>
      </c>
      <c r="CY114" s="16">
        <v>-9999</v>
      </c>
      <c r="CZ114" s="16">
        <v>-9999</v>
      </c>
      <c r="DA114" s="16">
        <v>-9999</v>
      </c>
      <c r="DB114" s="16">
        <v>-9999</v>
      </c>
      <c r="DC114" s="16">
        <v>-9999</v>
      </c>
      <c r="DD114" s="16">
        <v>-9999</v>
      </c>
      <c r="DE114" s="16">
        <v>-9999</v>
      </c>
      <c r="DF114" s="16">
        <v>-9999</v>
      </c>
      <c r="DG114" s="16">
        <v>-9999</v>
      </c>
      <c r="DH114" s="16">
        <v>-9999</v>
      </c>
      <c r="DI114" s="16">
        <v>-9999</v>
      </c>
      <c r="DJ114" s="16">
        <v>-9999</v>
      </c>
      <c r="DK114" s="16">
        <v>-9999</v>
      </c>
      <c r="DL114" s="16">
        <v>-9999</v>
      </c>
      <c r="DM114" s="16">
        <v>-9999</v>
      </c>
      <c r="DN114" s="16">
        <v>-9999</v>
      </c>
      <c r="DO114" s="16">
        <v>-9999</v>
      </c>
      <c r="DP114" s="16">
        <v>-9999</v>
      </c>
      <c r="DQ114" s="16">
        <v>-9999</v>
      </c>
      <c r="DR114" s="16">
        <v>-9999</v>
      </c>
      <c r="DS114" s="16">
        <v>-9999</v>
      </c>
      <c r="DT114" s="16">
        <v>-9999</v>
      </c>
      <c r="DU114" s="16">
        <v>-9999</v>
      </c>
      <c r="DV114" s="16">
        <v>-9999</v>
      </c>
      <c r="DW114" s="16">
        <v>-9999</v>
      </c>
      <c r="DX114" s="16">
        <v>-9999</v>
      </c>
      <c r="DY114" s="16">
        <v>-9999</v>
      </c>
      <c r="DZ114" s="16">
        <v>-9999</v>
      </c>
      <c r="EA114" s="2197">
        <v>-9999</v>
      </c>
      <c r="EB114" s="2197">
        <v>-9999</v>
      </c>
      <c r="EC114" s="2197">
        <v>-9999</v>
      </c>
      <c r="ED114" s="2197">
        <v>-9999</v>
      </c>
      <c r="EE114" s="2197">
        <v>-9999</v>
      </c>
      <c r="EF114" s="2197">
        <v>-9999</v>
      </c>
      <c r="EG114" s="2197">
        <v>-9999</v>
      </c>
      <c r="EH114" s="2197">
        <v>-9999</v>
      </c>
      <c r="EI114" s="2197">
        <v>-9999</v>
      </c>
      <c r="EJ114" s="2197">
        <v>-9999</v>
      </c>
      <c r="EK114" s="2197">
        <v>-9999</v>
      </c>
      <c r="EL114" s="2197">
        <v>-9999</v>
      </c>
      <c r="EM114" s="2197">
        <v>-9999</v>
      </c>
    </row>
    <row r="115" spans="1:143">
      <c r="A115" s="22">
        <v>15</v>
      </c>
      <c r="B115" s="27" t="s">
        <v>441</v>
      </c>
      <c r="C115" s="25">
        <v>-9999</v>
      </c>
      <c r="D115" s="3126">
        <f ca="1">OFFSET('Q1'!G6,0,(Last_forecast_year - 3-InputY!$G$3)*4+4)</f>
        <v>0.71497153830328841</v>
      </c>
      <c r="E115" s="3126">
        <f ca="1">OFFSET('Q1'!H6,0,(Last_forecast_year - 3-InputY!$G$3)*4+4)</f>
        <v>1.1508145928738056</v>
      </c>
      <c r="F115" s="3126">
        <f ca="1">OFFSET('Q1'!I6,0,(Last_forecast_year - 3-InputY!$G$3)*4+4)</f>
        <v>-2.1879260144408441E-2</v>
      </c>
      <c r="G115" s="3126">
        <f ca="1">OFFSET('Q1'!J6,0,(Last_forecast_year - 3-InputY!$G$3)*4+4)</f>
        <v>1.7574574102754204</v>
      </c>
      <c r="H115" s="3126">
        <f ca="1">OFFSET('Q1'!K6,0,(Last_forecast_year - 3-InputY!$G$3)*4+4)</f>
        <v>0.75</v>
      </c>
      <c r="I115" s="3126">
        <f ca="1">OFFSET('Q1'!L6,0,(Last_forecast_year - 3-InputY!$G$3)*4+4)</f>
        <v>0.75</v>
      </c>
      <c r="J115" s="3126">
        <f ca="1">OFFSET('Q1'!M6,0,(Last_forecast_year - 3-InputY!$G$3)*4+4)</f>
        <v>0.75</v>
      </c>
      <c r="K115" s="3126">
        <f ca="1">OFFSET('Q1'!N6,0,(Last_forecast_year - 3-InputY!$G$3)*4+4)</f>
        <v>0.75</v>
      </c>
      <c r="L115" s="3126">
        <f ca="1">OFFSET('Q1'!O6,0,(Last_forecast_year - 3-InputY!$G$3)*4+4)</f>
        <v>0.84</v>
      </c>
      <c r="M115" s="3126">
        <f ca="1">OFFSET('Q1'!P6,0,(Last_forecast_year - 3-InputY!$G$3)*4+4)</f>
        <v>0.84</v>
      </c>
      <c r="N115" s="3126">
        <f ca="1">OFFSET('Q1'!Q6,0,(Last_forecast_year - 3-InputY!$G$3)*4+4)</f>
        <v>0.84</v>
      </c>
      <c r="O115" s="3126">
        <f ca="1">OFFSET('Q1'!R6,0,(Last_forecast_year - 3-InputY!$G$3)*4+4)</f>
        <v>0.84</v>
      </c>
      <c r="P115" s="26"/>
      <c r="Q115"/>
      <c r="AA115" s="22">
        <v>15</v>
      </c>
      <c r="AB115" s="1040" t="str">
        <f t="shared" si="3"/>
        <v>QUART. VOL. PRIV. CONS. EXP. (cols 2-13)</v>
      </c>
      <c r="AC115" s="1040">
        <f>CHOOSE(Tables!$U$2,Transfer!CA115,Transfer!CN115,Transfer!DA115,Transfer!DN115,Transfer!EA115)</f>
        <v>-9999</v>
      </c>
      <c r="AD115" s="1040">
        <f>CHOOSE(Tables!$U$2,Transfer!CB115,Transfer!CO115,Transfer!DB115,Transfer!DO115,Transfer!EB115)</f>
        <v>-9999</v>
      </c>
      <c r="AE115" s="1040">
        <f>CHOOSE(Tables!$U$2,Transfer!CC115,Transfer!CP115,Transfer!DC115,Transfer!DP115,Transfer!EC115)</f>
        <v>-9999</v>
      </c>
      <c r="AF115" s="1040">
        <f>CHOOSE(Tables!$U$2,Transfer!CD115,Transfer!CQ115,Transfer!DD115,Transfer!DQ115,Transfer!ED115)</f>
        <v>-9999</v>
      </c>
      <c r="AG115" s="1040">
        <f>CHOOSE(Tables!$U$2,Transfer!CE115,Transfer!CR115,Transfer!DE115,Transfer!DR115,Transfer!EE115)</f>
        <v>-9999</v>
      </c>
      <c r="AH115" s="1040">
        <f>CHOOSE(Tables!$U$2,Transfer!CF115,Transfer!CS115,Transfer!DF115,Transfer!DS115,Transfer!EF115)</f>
        <v>-9999</v>
      </c>
      <c r="AI115" s="1040">
        <f>CHOOSE(Tables!$U$2,Transfer!CG115,Transfer!CT115,Transfer!DG115,Transfer!DT115,Transfer!EG115)</f>
        <v>-9999</v>
      </c>
      <c r="AJ115" s="1040">
        <f>CHOOSE(Tables!$U$2,Transfer!CH115,Transfer!CU115,Transfer!DH115,Transfer!DU115,Transfer!EH115)</f>
        <v>-9999</v>
      </c>
      <c r="AK115" s="1040">
        <f>CHOOSE(Tables!$U$2,Transfer!CI115,Transfer!CV115,Transfer!DI115,Transfer!DV115,Transfer!EI115)</f>
        <v>-9999</v>
      </c>
      <c r="AL115" s="1040">
        <f>CHOOSE(Tables!$U$2,Transfer!CJ115,Transfer!CW115,Transfer!DJ115,Transfer!DW115,Transfer!EJ115)</f>
        <v>-9999</v>
      </c>
      <c r="AM115" s="1040">
        <f>CHOOSE(Tables!$U$2,Transfer!CK115,Transfer!CX115,Transfer!DK115,Transfer!DX115,Transfer!EK115)</f>
        <v>-9999</v>
      </c>
      <c r="AN115" s="1040">
        <f>CHOOSE(Tables!$U$2,Transfer!CL115,Transfer!CY115,Transfer!DL115,Transfer!DY115,Transfer!EL115)</f>
        <v>-9999</v>
      </c>
      <c r="AO115" s="1040">
        <f>CHOOSE(Tables!$U$2,Transfer!CM115,Transfer!CZ115,Transfer!DM115,Transfer!DZ115,Transfer!EM115)</f>
        <v>-9999</v>
      </c>
      <c r="AR115" s="22">
        <v>15</v>
      </c>
      <c r="AS115" s="27" t="s">
        <v>441</v>
      </c>
      <c r="AT115" s="25">
        <f t="shared" si="2"/>
        <v>0</v>
      </c>
      <c r="AU115" s="1040">
        <f t="shared" ca="1" si="2"/>
        <v>9999.7149715383039</v>
      </c>
      <c r="AV115" s="1040">
        <f t="shared" ca="1" si="2"/>
        <v>10000.150814592875</v>
      </c>
      <c r="AW115" s="1040">
        <f t="shared" ca="1" si="2"/>
        <v>9998.9781207398555</v>
      </c>
      <c r="AX115" s="1040">
        <f t="shared" ca="1" si="2"/>
        <v>10000.757457410275</v>
      </c>
      <c r="AY115" s="1040">
        <f t="shared" ca="1" si="2"/>
        <v>9999.75</v>
      </c>
      <c r="AZ115" s="1040">
        <f t="shared" ca="1" si="2"/>
        <v>9999.75</v>
      </c>
      <c r="BA115" s="1040">
        <f t="shared" ca="1" si="2"/>
        <v>9999.75</v>
      </c>
      <c r="BB115" s="1040">
        <f t="shared" ca="1" si="2"/>
        <v>9999.75</v>
      </c>
      <c r="BC115" s="1040">
        <f t="shared" ca="1" si="2"/>
        <v>9999.84</v>
      </c>
      <c r="BD115" s="1040">
        <f t="shared" ca="1" si="2"/>
        <v>9999.84</v>
      </c>
      <c r="BE115" s="1040">
        <f t="shared" ca="1" si="2"/>
        <v>9999.84</v>
      </c>
      <c r="BF115" s="1040">
        <f t="shared" ca="1" si="2"/>
        <v>9999.84</v>
      </c>
      <c r="CA115" s="16">
        <v>-9999</v>
      </c>
      <c r="CB115" s="16">
        <v>-9999</v>
      </c>
      <c r="CC115" s="16">
        <v>-9999</v>
      </c>
      <c r="CD115" s="16">
        <v>-9999</v>
      </c>
      <c r="CE115" s="16">
        <v>-9999</v>
      </c>
      <c r="CF115" s="16">
        <v>-9999</v>
      </c>
      <c r="CG115" s="16">
        <v>-9999</v>
      </c>
      <c r="CH115" s="16">
        <v>-9999</v>
      </c>
      <c r="CI115" s="16">
        <v>-9999</v>
      </c>
      <c r="CJ115" s="16">
        <v>-9999</v>
      </c>
      <c r="CK115" s="16">
        <v>-9999</v>
      </c>
      <c r="CL115" s="16">
        <v>-9999</v>
      </c>
      <c r="CM115" s="16">
        <v>-9999</v>
      </c>
      <c r="CN115" s="16">
        <v>-9999</v>
      </c>
      <c r="CO115" s="16">
        <v>-9999</v>
      </c>
      <c r="CP115" s="16">
        <v>-9999</v>
      </c>
      <c r="CQ115" s="16">
        <v>-9999</v>
      </c>
      <c r="CR115" s="16">
        <v>-9999</v>
      </c>
      <c r="CS115" s="16">
        <v>-9999</v>
      </c>
      <c r="CT115" s="16">
        <v>-9999</v>
      </c>
      <c r="CU115" s="16">
        <v>-9999</v>
      </c>
      <c r="CV115" s="16">
        <v>-9999</v>
      </c>
      <c r="CW115" s="16">
        <v>-9999</v>
      </c>
      <c r="CX115" s="16">
        <v>-9999</v>
      </c>
      <c r="CY115" s="16">
        <v>-9999</v>
      </c>
      <c r="CZ115" s="16">
        <v>-9999</v>
      </c>
      <c r="DA115" s="16">
        <v>-9999</v>
      </c>
      <c r="DB115" s="16">
        <v>-9999</v>
      </c>
      <c r="DC115" s="16">
        <v>-9999</v>
      </c>
      <c r="DD115" s="16">
        <v>-9999</v>
      </c>
      <c r="DE115" s="16">
        <v>-9999</v>
      </c>
      <c r="DF115" s="16">
        <v>-9999</v>
      </c>
      <c r="DG115" s="16">
        <v>-9999</v>
      </c>
      <c r="DH115" s="16">
        <v>-9999</v>
      </c>
      <c r="DI115" s="16">
        <v>-9999</v>
      </c>
      <c r="DJ115" s="16">
        <v>-9999</v>
      </c>
      <c r="DK115" s="16">
        <v>-9999</v>
      </c>
      <c r="DL115" s="16">
        <v>-9999</v>
      </c>
      <c r="DM115" s="16">
        <v>-9999</v>
      </c>
      <c r="DN115" s="16">
        <v>-9999</v>
      </c>
      <c r="DO115" s="16">
        <v>-9999</v>
      </c>
      <c r="DP115" s="16">
        <v>-9999</v>
      </c>
      <c r="DQ115" s="16">
        <v>-9999</v>
      </c>
      <c r="DR115" s="16">
        <v>-9999</v>
      </c>
      <c r="DS115" s="16">
        <v>-9999</v>
      </c>
      <c r="DT115" s="16">
        <v>-9999</v>
      </c>
      <c r="DU115" s="16">
        <v>-9999</v>
      </c>
      <c r="DV115" s="16">
        <v>-9999</v>
      </c>
      <c r="DW115" s="16">
        <v>-9999</v>
      </c>
      <c r="DX115" s="16">
        <v>-9999</v>
      </c>
      <c r="DY115" s="16">
        <v>-9999</v>
      </c>
      <c r="DZ115" s="16">
        <v>-9999</v>
      </c>
      <c r="EA115" s="2197">
        <v>-9999</v>
      </c>
      <c r="EB115" s="2196">
        <v>-9999</v>
      </c>
      <c r="EC115" s="2196">
        <v>-9999</v>
      </c>
      <c r="ED115" s="2196">
        <v>-9999</v>
      </c>
      <c r="EE115" s="2196">
        <v>-9999</v>
      </c>
      <c r="EF115" s="2196">
        <v>-9999</v>
      </c>
      <c r="EG115" s="2196">
        <v>-9999</v>
      </c>
      <c r="EH115" s="2196">
        <v>-9999</v>
      </c>
      <c r="EI115" s="2196">
        <v>-9999</v>
      </c>
      <c r="EJ115" s="2196">
        <v>-9999</v>
      </c>
      <c r="EK115" s="2196">
        <v>-9999</v>
      </c>
      <c r="EL115" s="2196">
        <v>-9999</v>
      </c>
      <c r="EM115" s="2196">
        <v>-9999</v>
      </c>
    </row>
    <row r="116" spans="1:143" ht="12" customHeight="1">
      <c r="A116" s="22">
        <v>16</v>
      </c>
      <c r="B116" s="27" t="s">
        <v>442</v>
      </c>
      <c r="C116" s="25">
        <v>-9999</v>
      </c>
      <c r="D116" s="3126">
        <f ca="1">OFFSET('Q1'!G7,0,(Last_forecast_year - 3-InputY!$G$3)*4+4)</f>
        <v>8.9630446773303341E-2</v>
      </c>
      <c r="E116" s="3126">
        <f ca="1">OFFSET('Q1'!H7,0,(Last_forecast_year - 3-InputY!$G$3)*4+4)</f>
        <v>0.22731969415168418</v>
      </c>
      <c r="F116" s="3126">
        <f ca="1">OFFSET('Q1'!I7,0,(Last_forecast_year - 3-InputY!$G$3)*4+4)</f>
        <v>9.6219931271490644E-2</v>
      </c>
      <c r="G116" s="3126">
        <f ca="1">OFFSET('Q1'!J7,0,(Last_forecast_year - 3-InputY!$G$3)*4+4)</f>
        <v>0.15105740181267091</v>
      </c>
      <c r="H116" s="3126">
        <f ca="1">OFFSET('Q1'!K7,0,(Last_forecast_year - 3-InputY!$G$3)*4+4)</f>
        <v>0.5</v>
      </c>
      <c r="I116" s="3126">
        <f ca="1">OFFSET('Q1'!L7,0,(Last_forecast_year - 3-InputY!$G$3)*4+4)</f>
        <v>0.6</v>
      </c>
      <c r="J116" s="3126">
        <f ca="1">OFFSET('Q1'!M7,0,(Last_forecast_year - 3-InputY!$G$3)*4+4)</f>
        <v>0.6</v>
      </c>
      <c r="K116" s="3126">
        <f ca="1">OFFSET('Q1'!N7,0,(Last_forecast_year - 3-InputY!$G$3)*4+4)</f>
        <v>0.6</v>
      </c>
      <c r="L116" s="3126">
        <f ca="1">OFFSET('Q1'!O7,0,(Last_forecast_year - 3-InputY!$G$3)*4+4)</f>
        <v>0.3</v>
      </c>
      <c r="M116" s="3126">
        <f ca="1">OFFSET('Q1'!P7,0,(Last_forecast_year - 3-InputY!$G$3)*4+4)</f>
        <v>0.25</v>
      </c>
      <c r="N116" s="3126">
        <f ca="1">OFFSET('Q1'!Q7,0,(Last_forecast_year - 3-InputY!$G$3)*4+4)</f>
        <v>0.2</v>
      </c>
      <c r="O116" s="3126">
        <f ca="1">OFFSET('Q1'!R7,0,(Last_forecast_year - 3-InputY!$G$3)*4+4)</f>
        <v>0.18</v>
      </c>
      <c r="P116" s="26"/>
      <c r="Q116"/>
      <c r="AA116" s="22">
        <v>16</v>
      </c>
      <c r="AB116" s="1040" t="str">
        <f t="shared" si="3"/>
        <v>QUART. VOL. GVMNT CONS. EXP. (cols 2-13)</v>
      </c>
      <c r="AC116" s="1040">
        <f>CHOOSE(Tables!$U$2,Transfer!CA116,Transfer!CN116,Transfer!DA116,Transfer!DN116,Transfer!EA116)</f>
        <v>-9999</v>
      </c>
      <c r="AD116" s="1040">
        <f>CHOOSE(Tables!$U$2,Transfer!CB116,Transfer!CO116,Transfer!DB116,Transfer!DO116,Transfer!EB116)</f>
        <v>-9999</v>
      </c>
      <c r="AE116" s="1040">
        <f>CHOOSE(Tables!$U$2,Transfer!CC116,Transfer!CP116,Transfer!DC116,Transfer!DP116,Transfer!EC116)</f>
        <v>-9999</v>
      </c>
      <c r="AF116" s="1040">
        <f>CHOOSE(Tables!$U$2,Transfer!CD116,Transfer!CQ116,Transfer!DD116,Transfer!DQ116,Transfer!ED116)</f>
        <v>-9999</v>
      </c>
      <c r="AG116" s="1040">
        <f>CHOOSE(Tables!$U$2,Transfer!CE116,Transfer!CR116,Transfer!DE116,Transfer!DR116,Transfer!EE116)</f>
        <v>-9999</v>
      </c>
      <c r="AH116" s="1040">
        <f>CHOOSE(Tables!$U$2,Transfer!CF116,Transfer!CS116,Transfer!DF116,Transfer!DS116,Transfer!EF116)</f>
        <v>-9999</v>
      </c>
      <c r="AI116" s="1040">
        <f>CHOOSE(Tables!$U$2,Transfer!CG116,Transfer!CT116,Transfer!DG116,Transfer!DT116,Transfer!EG116)</f>
        <v>-9999</v>
      </c>
      <c r="AJ116" s="1040">
        <f>CHOOSE(Tables!$U$2,Transfer!CH116,Transfer!CU116,Transfer!DH116,Transfer!DU116,Transfer!EH116)</f>
        <v>-9999</v>
      </c>
      <c r="AK116" s="1040">
        <f>CHOOSE(Tables!$U$2,Transfer!CI116,Transfer!CV116,Transfer!DI116,Transfer!DV116,Transfer!EI116)</f>
        <v>-9999</v>
      </c>
      <c r="AL116" s="1040">
        <f>CHOOSE(Tables!$U$2,Transfer!CJ116,Transfer!CW116,Transfer!DJ116,Transfer!DW116,Transfer!EJ116)</f>
        <v>-9999</v>
      </c>
      <c r="AM116" s="1040">
        <f>CHOOSE(Tables!$U$2,Transfer!CK116,Transfer!CX116,Transfer!DK116,Transfer!DX116,Transfer!EK116)</f>
        <v>-9999</v>
      </c>
      <c r="AN116" s="1040">
        <f>CHOOSE(Tables!$U$2,Transfer!CL116,Transfer!CY116,Transfer!DL116,Transfer!DY116,Transfer!EL116)</f>
        <v>-9999</v>
      </c>
      <c r="AO116" s="1040">
        <f>CHOOSE(Tables!$U$2,Transfer!CM116,Transfer!CZ116,Transfer!DM116,Transfer!DZ116,Transfer!EM116)</f>
        <v>-9999</v>
      </c>
      <c r="AR116" s="22">
        <v>16</v>
      </c>
      <c r="AS116" s="27" t="s">
        <v>442</v>
      </c>
      <c r="AT116" s="25">
        <f t="shared" si="2"/>
        <v>0</v>
      </c>
      <c r="AU116" s="1040">
        <f t="shared" ca="1" si="2"/>
        <v>9999.0896304467733</v>
      </c>
      <c r="AV116" s="1040">
        <f t="shared" ca="1" si="2"/>
        <v>9999.2273196941514</v>
      </c>
      <c r="AW116" s="1040">
        <f t="shared" ca="1" si="2"/>
        <v>9999.0962199312708</v>
      </c>
      <c r="AX116" s="1040">
        <f t="shared" ca="1" si="2"/>
        <v>9999.1510574018121</v>
      </c>
      <c r="AY116" s="1040">
        <f t="shared" ca="1" si="2"/>
        <v>9999.5</v>
      </c>
      <c r="AZ116" s="1040">
        <f t="shared" ca="1" si="2"/>
        <v>9999.6</v>
      </c>
      <c r="BA116" s="1040">
        <f t="shared" ca="1" si="2"/>
        <v>9999.6</v>
      </c>
      <c r="BB116" s="1040">
        <f t="shared" ca="1" si="2"/>
        <v>9999.6</v>
      </c>
      <c r="BC116" s="1040">
        <f t="shared" ca="1" si="2"/>
        <v>9999.2999999999993</v>
      </c>
      <c r="BD116" s="1040">
        <f t="shared" ca="1" si="2"/>
        <v>9999.25</v>
      </c>
      <c r="BE116" s="1040">
        <f t="shared" ca="1" si="2"/>
        <v>9999.2000000000007</v>
      </c>
      <c r="BF116" s="1040">
        <f t="shared" ca="1" si="2"/>
        <v>9999.18</v>
      </c>
      <c r="CA116" s="16">
        <v>-9999</v>
      </c>
      <c r="CB116" s="16">
        <v>-9999</v>
      </c>
      <c r="CC116" s="16">
        <v>-9999</v>
      </c>
      <c r="CD116" s="16">
        <v>-9999</v>
      </c>
      <c r="CE116" s="16">
        <v>-9999</v>
      </c>
      <c r="CF116" s="16">
        <v>-9999</v>
      </c>
      <c r="CG116" s="16">
        <v>-9999</v>
      </c>
      <c r="CH116" s="16">
        <v>-9999</v>
      </c>
      <c r="CI116" s="16">
        <v>-9999</v>
      </c>
      <c r="CJ116" s="16">
        <v>-9999</v>
      </c>
      <c r="CK116" s="16">
        <v>-9999</v>
      </c>
      <c r="CL116" s="16">
        <v>-9999</v>
      </c>
      <c r="CM116" s="16">
        <v>-9999</v>
      </c>
      <c r="CN116" s="16">
        <v>-9999</v>
      </c>
      <c r="CO116" s="16">
        <v>-9999</v>
      </c>
      <c r="CP116" s="16">
        <v>-9999</v>
      </c>
      <c r="CQ116" s="16">
        <v>-9999</v>
      </c>
      <c r="CR116" s="16">
        <v>-9999</v>
      </c>
      <c r="CS116" s="16">
        <v>-9999</v>
      </c>
      <c r="CT116" s="16">
        <v>-9999</v>
      </c>
      <c r="CU116" s="16">
        <v>-9999</v>
      </c>
      <c r="CV116" s="16">
        <v>-9999</v>
      </c>
      <c r="CW116" s="16">
        <v>-9999</v>
      </c>
      <c r="CX116" s="16">
        <v>-9999</v>
      </c>
      <c r="CY116" s="16">
        <v>-9999</v>
      </c>
      <c r="CZ116" s="16">
        <v>-9999</v>
      </c>
      <c r="DA116" s="16">
        <v>-9999</v>
      </c>
      <c r="DB116" s="16">
        <v>-9999</v>
      </c>
      <c r="DC116" s="16">
        <v>-9999</v>
      </c>
      <c r="DD116" s="16">
        <v>-9999</v>
      </c>
      <c r="DE116" s="16">
        <v>-9999</v>
      </c>
      <c r="DF116" s="16">
        <v>-9999</v>
      </c>
      <c r="DG116" s="16">
        <v>-9999</v>
      </c>
      <c r="DH116" s="16">
        <v>-9999</v>
      </c>
      <c r="DI116" s="16">
        <v>-9999</v>
      </c>
      <c r="DJ116" s="16">
        <v>-9999</v>
      </c>
      <c r="DK116" s="16">
        <v>-9999</v>
      </c>
      <c r="DL116" s="16">
        <v>-9999</v>
      </c>
      <c r="DM116" s="16">
        <v>-9999</v>
      </c>
      <c r="DN116" s="16">
        <v>-9999</v>
      </c>
      <c r="DO116" s="16">
        <v>-9999</v>
      </c>
      <c r="DP116" s="16">
        <v>-9999</v>
      </c>
      <c r="DQ116" s="16">
        <v>-9999</v>
      </c>
      <c r="DR116" s="16">
        <v>-9999</v>
      </c>
      <c r="DS116" s="16">
        <v>-9999</v>
      </c>
      <c r="DT116" s="16">
        <v>-9999</v>
      </c>
      <c r="DU116" s="16">
        <v>-9999</v>
      </c>
      <c r="DV116" s="16">
        <v>-9999</v>
      </c>
      <c r="DW116" s="16">
        <v>-9999</v>
      </c>
      <c r="DX116" s="16">
        <v>-9999</v>
      </c>
      <c r="DY116" s="16">
        <v>-9999</v>
      </c>
      <c r="DZ116" s="16">
        <v>-9999</v>
      </c>
      <c r="EA116" s="2197">
        <v>-9999</v>
      </c>
      <c r="EB116" s="2196">
        <v>-9999</v>
      </c>
      <c r="EC116" s="2196">
        <v>-9999</v>
      </c>
      <c r="ED116" s="2196">
        <v>-9999</v>
      </c>
      <c r="EE116" s="2196">
        <v>-9999</v>
      </c>
      <c r="EF116" s="2196">
        <v>-9999</v>
      </c>
      <c r="EG116" s="2196">
        <v>-9999</v>
      </c>
      <c r="EH116" s="2196">
        <v>-9999</v>
      </c>
      <c r="EI116" s="2196">
        <v>-9999</v>
      </c>
      <c r="EJ116" s="2196">
        <v>-9999</v>
      </c>
      <c r="EK116" s="2196">
        <v>-9999</v>
      </c>
      <c r="EL116" s="2196">
        <v>-9999</v>
      </c>
      <c r="EM116" s="2196">
        <v>-9999</v>
      </c>
    </row>
    <row r="117" spans="1:143">
      <c r="A117" s="22">
        <v>17</v>
      </c>
      <c r="B117" s="31" t="s">
        <v>397</v>
      </c>
      <c r="C117" s="25">
        <v>-9999</v>
      </c>
      <c r="D117" s="3126">
        <f ca="1">OFFSET('Q1'!G8,0,(Last_forecast_year - 3-InputY!$G$3)*4+4)</f>
        <v>-0.68142108328480555</v>
      </c>
      <c r="E117" s="3126">
        <f ca="1">OFFSET('Q1'!H8,0,(Last_forecast_year - 3-InputY!$G$3)*4+4)</f>
        <v>2.738521081334655</v>
      </c>
      <c r="F117" s="3126">
        <f ca="1">OFFSET('Q1'!I8,0,(Last_forecast_year - 3-InputY!$G$3)*4+4)</f>
        <v>1.2557077625570789</v>
      </c>
      <c r="G117" s="3126">
        <f ca="1">OFFSET('Q1'!J8,0,(Last_forecast_year - 3-InputY!$G$3)*4+4)</f>
        <v>7.5479143179256081</v>
      </c>
      <c r="H117" s="3126">
        <f ca="1">OFFSET('Q1'!K8,0,(Last_forecast_year - 3-InputY!$G$3)*4+4)</f>
        <v>-1.5</v>
      </c>
      <c r="I117" s="3126">
        <f ca="1">OFFSET('Q1'!L8,0,(Last_forecast_year - 3-InputY!$G$3)*4+4)</f>
        <v>0.8</v>
      </c>
      <c r="J117" s="3126">
        <f ca="1">OFFSET('Q1'!M8,0,(Last_forecast_year - 3-InputY!$G$3)*4+4)</f>
        <v>1</v>
      </c>
      <c r="K117" s="3126">
        <f ca="1">OFFSET('Q1'!N8,0,(Last_forecast_year - 3-InputY!$G$3)*4+4)</f>
        <v>1.1499999999999999</v>
      </c>
      <c r="L117" s="3126">
        <f ca="1">OFFSET('Q1'!O8,0,(Last_forecast_year - 3-InputY!$G$3)*4+4)</f>
        <v>1.03</v>
      </c>
      <c r="M117" s="3126">
        <f ca="1">OFFSET('Q1'!P8,0,(Last_forecast_year - 3-InputY!$G$3)*4+4)</f>
        <v>1</v>
      </c>
      <c r="N117" s="3126">
        <f ca="1">OFFSET('Q1'!Q8,0,(Last_forecast_year - 3-InputY!$G$3)*4+4)</f>
        <v>1</v>
      </c>
      <c r="O117" s="3126">
        <f ca="1">OFFSET('Q1'!R8,0,(Last_forecast_year - 3-InputY!$G$3)*4+4)</f>
        <v>1</v>
      </c>
      <c r="P117" s="26"/>
      <c r="Q117"/>
      <c r="AA117" s="22">
        <v>17</v>
      </c>
      <c r="AB117" s="1040" t="str">
        <f t="shared" si="3"/>
        <v>QUART. VOL. G.F.C.F. TOTAL (cols 2-13)</v>
      </c>
      <c r="AC117" s="1040">
        <f>CHOOSE(Tables!$U$2,Transfer!CA117,Transfer!CN117,Transfer!DA117,Transfer!DN117,Transfer!EA117)</f>
        <v>-9999</v>
      </c>
      <c r="AD117" s="1040">
        <f>CHOOSE(Tables!$U$2,Transfer!CB117,Transfer!CO117,Transfer!DB117,Transfer!DO117,Transfer!EB117)</f>
        <v>-9999</v>
      </c>
      <c r="AE117" s="1040">
        <f>CHOOSE(Tables!$U$2,Transfer!CC117,Transfer!CP117,Transfer!DC117,Transfer!DP117,Transfer!EC117)</f>
        <v>-9999</v>
      </c>
      <c r="AF117" s="1040">
        <f>CHOOSE(Tables!$U$2,Transfer!CD117,Transfer!CQ117,Transfer!DD117,Transfer!DQ117,Transfer!ED117)</f>
        <v>-9999</v>
      </c>
      <c r="AG117" s="1040">
        <f>CHOOSE(Tables!$U$2,Transfer!CE117,Transfer!CR117,Transfer!DE117,Transfer!DR117,Transfer!EE117)</f>
        <v>-9999</v>
      </c>
      <c r="AH117" s="1040">
        <f>CHOOSE(Tables!$U$2,Transfer!CF117,Transfer!CS117,Transfer!DF117,Transfer!DS117,Transfer!EF117)</f>
        <v>-9999</v>
      </c>
      <c r="AI117" s="1040">
        <f>CHOOSE(Tables!$U$2,Transfer!CG117,Transfer!CT117,Transfer!DG117,Transfer!DT117,Transfer!EG117)</f>
        <v>-9999</v>
      </c>
      <c r="AJ117" s="1040">
        <f>CHOOSE(Tables!$U$2,Transfer!CH117,Transfer!CU117,Transfer!DH117,Transfer!DU117,Transfer!EH117)</f>
        <v>-9999</v>
      </c>
      <c r="AK117" s="1040">
        <f>CHOOSE(Tables!$U$2,Transfer!CI117,Transfer!CV117,Transfer!DI117,Transfer!DV117,Transfer!EI117)</f>
        <v>-9999</v>
      </c>
      <c r="AL117" s="1040">
        <f>CHOOSE(Tables!$U$2,Transfer!CJ117,Transfer!CW117,Transfer!DJ117,Transfer!DW117,Transfer!EJ117)</f>
        <v>-9999</v>
      </c>
      <c r="AM117" s="1040">
        <f>CHOOSE(Tables!$U$2,Transfer!CK117,Transfer!CX117,Transfer!DK117,Transfer!DX117,Transfer!EK117)</f>
        <v>-9999</v>
      </c>
      <c r="AN117" s="1040">
        <f>CHOOSE(Tables!$U$2,Transfer!CL117,Transfer!CY117,Transfer!DL117,Transfer!DY117,Transfer!EL117)</f>
        <v>-9999</v>
      </c>
      <c r="AO117" s="1040">
        <f>CHOOSE(Tables!$U$2,Transfer!CM117,Transfer!CZ117,Transfer!DM117,Transfer!DZ117,Transfer!EM117)</f>
        <v>-9999</v>
      </c>
      <c r="AR117" s="22">
        <v>17</v>
      </c>
      <c r="AS117" s="31" t="s">
        <v>397</v>
      </c>
      <c r="AT117" s="25">
        <f t="shared" si="2"/>
        <v>0</v>
      </c>
      <c r="AU117" s="1040">
        <f t="shared" ca="1" si="2"/>
        <v>9998.3185789167146</v>
      </c>
      <c r="AV117" s="1040">
        <f t="shared" ca="1" si="2"/>
        <v>10001.738521081335</v>
      </c>
      <c r="AW117" s="1040">
        <f t="shared" ca="1" si="2"/>
        <v>10000.255707762557</v>
      </c>
      <c r="AX117" s="1040">
        <f t="shared" ca="1" si="2"/>
        <v>10006.547914317925</v>
      </c>
      <c r="AY117" s="1040">
        <f t="shared" ca="1" si="2"/>
        <v>9997.5</v>
      </c>
      <c r="AZ117" s="1040">
        <f t="shared" ca="1" si="2"/>
        <v>9999.7999999999993</v>
      </c>
      <c r="BA117" s="1040">
        <f t="shared" ca="1" si="2"/>
        <v>10000</v>
      </c>
      <c r="BB117" s="1040">
        <f t="shared" ca="1" si="2"/>
        <v>10000.15</v>
      </c>
      <c r="BC117" s="1040">
        <f t="shared" ca="1" si="2"/>
        <v>10000.030000000001</v>
      </c>
      <c r="BD117" s="1040">
        <f t="shared" ca="1" si="2"/>
        <v>10000</v>
      </c>
      <c r="BE117" s="1040">
        <f t="shared" ca="1" si="2"/>
        <v>10000</v>
      </c>
      <c r="BF117" s="1040">
        <f t="shared" ca="1" si="2"/>
        <v>10000</v>
      </c>
      <c r="CA117" s="16">
        <v>-9999</v>
      </c>
      <c r="CB117" s="16">
        <v>-9999</v>
      </c>
      <c r="CC117" s="16">
        <v>-9999</v>
      </c>
      <c r="CD117" s="16">
        <v>-9999</v>
      </c>
      <c r="CE117" s="16">
        <v>-9999</v>
      </c>
      <c r="CF117" s="16">
        <v>-9999</v>
      </c>
      <c r="CG117" s="16">
        <v>-9999</v>
      </c>
      <c r="CH117" s="16">
        <v>-9999</v>
      </c>
      <c r="CI117" s="16">
        <v>-9999</v>
      </c>
      <c r="CJ117" s="16">
        <v>-9999</v>
      </c>
      <c r="CK117" s="16">
        <v>-9999</v>
      </c>
      <c r="CL117" s="16">
        <v>-9999</v>
      </c>
      <c r="CM117" s="16">
        <v>-9999</v>
      </c>
      <c r="CN117" s="16">
        <v>-9999</v>
      </c>
      <c r="CO117" s="16">
        <v>-9999</v>
      </c>
      <c r="CP117" s="16">
        <v>-9999</v>
      </c>
      <c r="CQ117" s="16">
        <v>-9999</v>
      </c>
      <c r="CR117" s="16">
        <v>-9999</v>
      </c>
      <c r="CS117" s="16">
        <v>-9999</v>
      </c>
      <c r="CT117" s="16">
        <v>-9999</v>
      </c>
      <c r="CU117" s="16">
        <v>-9999</v>
      </c>
      <c r="CV117" s="16">
        <v>-9999</v>
      </c>
      <c r="CW117" s="16">
        <v>-9999</v>
      </c>
      <c r="CX117" s="16">
        <v>-9999</v>
      </c>
      <c r="CY117" s="16">
        <v>-9999</v>
      </c>
      <c r="CZ117" s="16">
        <v>-9999</v>
      </c>
      <c r="DA117" s="16">
        <v>-9999</v>
      </c>
      <c r="DB117" s="16">
        <v>-9999</v>
      </c>
      <c r="DC117" s="16">
        <v>-9999</v>
      </c>
      <c r="DD117" s="16">
        <v>-9999</v>
      </c>
      <c r="DE117" s="16">
        <v>-9999</v>
      </c>
      <c r="DF117" s="16">
        <v>-9999</v>
      </c>
      <c r="DG117" s="16">
        <v>-9999</v>
      </c>
      <c r="DH117" s="16">
        <v>-9999</v>
      </c>
      <c r="DI117" s="16">
        <v>-9999</v>
      </c>
      <c r="DJ117" s="16">
        <v>-9999</v>
      </c>
      <c r="DK117" s="16">
        <v>-9999</v>
      </c>
      <c r="DL117" s="16">
        <v>-9999</v>
      </c>
      <c r="DM117" s="16">
        <v>-9999</v>
      </c>
      <c r="DN117" s="16">
        <v>-9999</v>
      </c>
      <c r="DO117" s="16">
        <v>-9999</v>
      </c>
      <c r="DP117" s="16">
        <v>-9999</v>
      </c>
      <c r="DQ117" s="16">
        <v>-9999</v>
      </c>
      <c r="DR117" s="16">
        <v>-9999</v>
      </c>
      <c r="DS117" s="16">
        <v>-9999</v>
      </c>
      <c r="DT117" s="16">
        <v>-9999</v>
      </c>
      <c r="DU117" s="16">
        <v>-9999</v>
      </c>
      <c r="DV117" s="16">
        <v>-9999</v>
      </c>
      <c r="DW117" s="16">
        <v>-9999</v>
      </c>
      <c r="DX117" s="16">
        <v>-9999</v>
      </c>
      <c r="DY117" s="16">
        <v>-9999</v>
      </c>
      <c r="DZ117" s="16">
        <v>-9999</v>
      </c>
      <c r="EA117" s="2197">
        <v>-9999</v>
      </c>
      <c r="EB117" s="2196">
        <v>-9999</v>
      </c>
      <c r="EC117" s="2196">
        <v>-9999</v>
      </c>
      <c r="ED117" s="2196">
        <v>-9999</v>
      </c>
      <c r="EE117" s="2196">
        <v>-9999</v>
      </c>
      <c r="EF117" s="2196">
        <v>-9999</v>
      </c>
      <c r="EG117" s="2196">
        <v>-9999</v>
      </c>
      <c r="EH117" s="2196">
        <v>-9999</v>
      </c>
      <c r="EI117" s="2196">
        <v>-9999</v>
      </c>
      <c r="EJ117" s="2196">
        <v>-9999</v>
      </c>
      <c r="EK117" s="2196">
        <v>-9999</v>
      </c>
      <c r="EL117" s="2196">
        <v>-9999</v>
      </c>
      <c r="EM117" s="2196">
        <v>-9999</v>
      </c>
    </row>
    <row r="118" spans="1:143">
      <c r="A118" s="22">
        <v>18</v>
      </c>
      <c r="B118" s="31" t="s">
        <v>488</v>
      </c>
      <c r="C118" s="25">
        <v>-9999</v>
      </c>
      <c r="D118" s="3126">
        <f ca="1">OFFSET('Q1'!G9,0,(Last_forecast_year - 3-InputY!$G$3)*4+4)</f>
        <v>0.34778550634460004</v>
      </c>
      <c r="E118" s="3126">
        <f ca="1">OFFSET('Q1'!H9,0,(Last_forecast_year - 3-InputY!$G$3)*4+4)</f>
        <v>1.3021669564062144</v>
      </c>
      <c r="F118" s="3126">
        <f ca="1">OFFSET('Q1'!I9,0,(Last_forecast_year - 3-InputY!$G$3)*4+4)</f>
        <v>0.24156437526641206</v>
      </c>
      <c r="G118" s="3126">
        <f ca="1">OFFSET('Q1'!J9,0,(Last_forecast_year - 3-InputY!$G$3)*4+4)</f>
        <v>2.6224538753434778</v>
      </c>
      <c r="H118" s="3126">
        <f ca="1">OFFSET('Q1'!K9,0,(Last_forecast_year - 3-InputY!$G$3)*4+4)</f>
        <v>0.25512415925536319</v>
      </c>
      <c r="I118" s="3126">
        <f ca="1">OFFSET('Q1'!L9,0,(Last_forecast_year - 3-InputY!$G$3)*4+4)</f>
        <v>0.73665440050966002</v>
      </c>
      <c r="J118" s="3126">
        <f ca="1">OFFSET('Q1'!M9,0,(Last_forecast_year - 3-InputY!$G$3)*4+4)</f>
        <v>0.77655240047236962</v>
      </c>
      <c r="K118" s="3126">
        <f ca="1">OFFSET('Q1'!N9,0,(Last_forecast_year - 3-InputY!$G$3)*4+4)</f>
        <v>0.80666502587561029</v>
      </c>
      <c r="L118" s="3126">
        <f ca="1">OFFSET('Q1'!O9,0,(Last_forecast_year - 3-InputY!$G$3)*4+4)</f>
        <v>0.79461665962858952</v>
      </c>
      <c r="M118" s="3126">
        <f ca="1">OFFSET('Q1'!P9,0,(Last_forecast_year - 3-InputY!$G$3)*4+4)</f>
        <v>0.7813982376775449</v>
      </c>
      <c r="N118" s="3126">
        <f ca="1">OFFSET('Q1'!Q9,0,(Last_forecast_year - 3-InputY!$G$3)*4+4)</f>
        <v>0.77429678563838522</v>
      </c>
      <c r="O118" s="3126">
        <f ca="1">OFFSET('Q1'!R9,0,(Last_forecast_year - 3-InputY!$G$3)*4+4)</f>
        <v>0.77188451507112787</v>
      </c>
      <c r="P118" s="26"/>
      <c r="Q118"/>
      <c r="AA118" s="22">
        <v>18</v>
      </c>
      <c r="AB118" s="1040" t="str">
        <f t="shared" si="3"/>
        <v>QUART. VOL. FINAL DOM. DEMAND (cols 2-13)</v>
      </c>
      <c r="AC118" s="1040">
        <f>CHOOSE(Tables!$U$2,Transfer!CA118,Transfer!CN118,Transfer!DA118,Transfer!DN118,Transfer!EA118)</f>
        <v>-9999</v>
      </c>
      <c r="AD118" s="1040">
        <f>CHOOSE(Tables!$U$2,Transfer!CB118,Transfer!CO118,Transfer!DB118,Transfer!DO118,Transfer!EB118)</f>
        <v>-9999</v>
      </c>
      <c r="AE118" s="1040">
        <f>CHOOSE(Tables!$U$2,Transfer!CC118,Transfer!CP118,Transfer!DC118,Transfer!DP118,Transfer!EC118)</f>
        <v>-9999</v>
      </c>
      <c r="AF118" s="1040">
        <f>CHOOSE(Tables!$U$2,Transfer!CD118,Transfer!CQ118,Transfer!DD118,Transfer!DQ118,Transfer!ED118)</f>
        <v>-9999</v>
      </c>
      <c r="AG118" s="1040">
        <f>CHOOSE(Tables!$U$2,Transfer!CE118,Transfer!CR118,Transfer!DE118,Transfer!DR118,Transfer!EE118)</f>
        <v>-9999</v>
      </c>
      <c r="AH118" s="1040">
        <f>CHOOSE(Tables!$U$2,Transfer!CF118,Transfer!CS118,Transfer!DF118,Transfer!DS118,Transfer!EF118)</f>
        <v>-9999</v>
      </c>
      <c r="AI118" s="1040">
        <f>CHOOSE(Tables!$U$2,Transfer!CG118,Transfer!CT118,Transfer!DG118,Transfer!DT118,Transfer!EG118)</f>
        <v>-9999</v>
      </c>
      <c r="AJ118" s="1040">
        <f>CHOOSE(Tables!$U$2,Transfer!CH118,Transfer!CU118,Transfer!DH118,Transfer!DU118,Transfer!EH118)</f>
        <v>-9999</v>
      </c>
      <c r="AK118" s="1040">
        <f>CHOOSE(Tables!$U$2,Transfer!CI118,Transfer!CV118,Transfer!DI118,Transfer!DV118,Transfer!EI118)</f>
        <v>-9999</v>
      </c>
      <c r="AL118" s="1040">
        <f>CHOOSE(Tables!$U$2,Transfer!CJ118,Transfer!CW118,Transfer!DJ118,Transfer!DW118,Transfer!EJ118)</f>
        <v>-9999</v>
      </c>
      <c r="AM118" s="1040">
        <f>CHOOSE(Tables!$U$2,Transfer!CK118,Transfer!CX118,Transfer!DK118,Transfer!DX118,Transfer!EK118)</f>
        <v>-9999</v>
      </c>
      <c r="AN118" s="1040">
        <f>CHOOSE(Tables!$U$2,Transfer!CL118,Transfer!CY118,Transfer!DL118,Transfer!DY118,Transfer!EL118)</f>
        <v>-9999</v>
      </c>
      <c r="AO118" s="1040">
        <f>CHOOSE(Tables!$U$2,Transfer!CM118,Transfer!CZ118,Transfer!DM118,Transfer!DZ118,Transfer!EM118)</f>
        <v>-9999</v>
      </c>
      <c r="AR118" s="22">
        <v>18</v>
      </c>
      <c r="AS118" s="31" t="s">
        <v>488</v>
      </c>
      <c r="AT118" s="25">
        <f t="shared" si="2"/>
        <v>0</v>
      </c>
      <c r="AU118" s="1040">
        <f t="shared" ca="1" si="2"/>
        <v>9999.3477855063447</v>
      </c>
      <c r="AV118" s="1040">
        <f t="shared" ca="1" si="2"/>
        <v>10000.302166956406</v>
      </c>
      <c r="AW118" s="1040">
        <f t="shared" ca="1" si="2"/>
        <v>9999.2415643752665</v>
      </c>
      <c r="AX118" s="1040">
        <f t="shared" ca="1" si="2"/>
        <v>10001.622453875343</v>
      </c>
      <c r="AY118" s="1040">
        <f t="shared" ca="1" si="2"/>
        <v>9999.2551241592555</v>
      </c>
      <c r="AZ118" s="1040">
        <f t="shared" ca="1" si="2"/>
        <v>9999.736654400509</v>
      </c>
      <c r="BA118" s="1040">
        <f t="shared" ca="1" si="2"/>
        <v>9999.7765524004717</v>
      </c>
      <c r="BB118" s="1040">
        <f t="shared" ca="1" si="2"/>
        <v>9999.8066650258752</v>
      </c>
      <c r="BC118" s="1040">
        <f t="shared" ca="1" si="2"/>
        <v>9999.7946166596284</v>
      </c>
      <c r="BD118" s="1040">
        <f t="shared" ca="1" si="2"/>
        <v>9999.7813982376774</v>
      </c>
      <c r="BE118" s="1040">
        <f t="shared" ca="1" si="2"/>
        <v>9999.7742967856375</v>
      </c>
      <c r="BF118" s="1040">
        <f t="shared" ca="1" si="2"/>
        <v>9999.7718845150703</v>
      </c>
      <c r="CA118" s="16">
        <v>-9999</v>
      </c>
      <c r="CB118" s="16">
        <v>-9999</v>
      </c>
      <c r="CC118" s="16">
        <v>-9999</v>
      </c>
      <c r="CD118" s="16">
        <v>-9999</v>
      </c>
      <c r="CE118" s="16">
        <v>-9999</v>
      </c>
      <c r="CF118" s="16">
        <v>-9999</v>
      </c>
      <c r="CG118" s="16">
        <v>-9999</v>
      </c>
      <c r="CH118" s="16">
        <v>-9999</v>
      </c>
      <c r="CI118" s="16">
        <v>-9999</v>
      </c>
      <c r="CJ118" s="16">
        <v>-9999</v>
      </c>
      <c r="CK118" s="16">
        <v>-9999</v>
      </c>
      <c r="CL118" s="16">
        <v>-9999</v>
      </c>
      <c r="CM118" s="16">
        <v>-9999</v>
      </c>
      <c r="CN118" s="16">
        <v>-9999</v>
      </c>
      <c r="CO118" s="16">
        <v>-9999</v>
      </c>
      <c r="CP118" s="16">
        <v>-9999</v>
      </c>
      <c r="CQ118" s="16">
        <v>-9999</v>
      </c>
      <c r="CR118" s="16">
        <v>-9999</v>
      </c>
      <c r="CS118" s="16">
        <v>-9999</v>
      </c>
      <c r="CT118" s="16">
        <v>-9999</v>
      </c>
      <c r="CU118" s="16">
        <v>-9999</v>
      </c>
      <c r="CV118" s="16">
        <v>-9999</v>
      </c>
      <c r="CW118" s="16">
        <v>-9999</v>
      </c>
      <c r="CX118" s="16">
        <v>-9999</v>
      </c>
      <c r="CY118" s="16">
        <v>-9999</v>
      </c>
      <c r="CZ118" s="16">
        <v>-9999</v>
      </c>
      <c r="DA118" s="16">
        <v>-9999</v>
      </c>
      <c r="DB118" s="16">
        <v>-9999</v>
      </c>
      <c r="DC118" s="16">
        <v>-9999</v>
      </c>
      <c r="DD118" s="16">
        <v>-9999</v>
      </c>
      <c r="DE118" s="16">
        <v>-9999</v>
      </c>
      <c r="DF118" s="16">
        <v>-9999</v>
      </c>
      <c r="DG118" s="16">
        <v>-9999</v>
      </c>
      <c r="DH118" s="16">
        <v>-9999</v>
      </c>
      <c r="DI118" s="16">
        <v>-9999</v>
      </c>
      <c r="DJ118" s="16">
        <v>-9999</v>
      </c>
      <c r="DK118" s="16">
        <v>-9999</v>
      </c>
      <c r="DL118" s="16">
        <v>-9999</v>
      </c>
      <c r="DM118" s="16">
        <v>-9999</v>
      </c>
      <c r="DN118" s="16">
        <v>-9999</v>
      </c>
      <c r="DO118" s="16">
        <v>-9999</v>
      </c>
      <c r="DP118" s="16">
        <v>-9999</v>
      </c>
      <c r="DQ118" s="16">
        <v>-9999</v>
      </c>
      <c r="DR118" s="16">
        <v>-9999</v>
      </c>
      <c r="DS118" s="16">
        <v>-9999</v>
      </c>
      <c r="DT118" s="16">
        <v>-9999</v>
      </c>
      <c r="DU118" s="16">
        <v>-9999</v>
      </c>
      <c r="DV118" s="16">
        <v>-9999</v>
      </c>
      <c r="DW118" s="16">
        <v>-9999</v>
      </c>
      <c r="DX118" s="16">
        <v>-9999</v>
      </c>
      <c r="DY118" s="16">
        <v>-9999</v>
      </c>
      <c r="DZ118" s="16">
        <v>-9999</v>
      </c>
      <c r="EA118" s="2197">
        <v>-9999</v>
      </c>
      <c r="EB118" s="2196">
        <v>-9999</v>
      </c>
      <c r="EC118" s="2196">
        <v>-9999</v>
      </c>
      <c r="ED118" s="2196">
        <v>-9999</v>
      </c>
      <c r="EE118" s="2196">
        <v>-9999</v>
      </c>
      <c r="EF118" s="2196">
        <v>-9999</v>
      </c>
      <c r="EG118" s="2196">
        <v>-9999</v>
      </c>
      <c r="EH118" s="2196">
        <v>-9999</v>
      </c>
      <c r="EI118" s="2196">
        <v>-9999</v>
      </c>
      <c r="EJ118" s="2196">
        <v>-9999</v>
      </c>
      <c r="EK118" s="2196">
        <v>-9999</v>
      </c>
      <c r="EL118" s="2196">
        <v>-9999</v>
      </c>
      <c r="EM118" s="2196">
        <v>-9999</v>
      </c>
    </row>
    <row r="119" spans="1:143">
      <c r="A119" s="22">
        <v>19</v>
      </c>
      <c r="B119" s="31" t="s">
        <v>2080</v>
      </c>
      <c r="C119" s="25">
        <v>-9999</v>
      </c>
      <c r="D119" s="3126">
        <f ca="1">OFFSET('Q1'!G10,0,(Last_forecast_year - 3-InputY!$G$3)*4+4)</f>
        <v>-3.4982790723917051E-2</v>
      </c>
      <c r="E119" s="3126">
        <f ca="1">OFFSET('Q1'!H10,0,(Last_forecast_year - 3-InputY!$G$3)*4+4)</f>
        <v>-1.8397552968594193</v>
      </c>
      <c r="F119" s="3126">
        <f ca="1">OFFSET('Q1'!I10,0,(Last_forecast_year - 3-InputY!$G$3)*4+4)</f>
        <v>-9.1375083574772059E-2</v>
      </c>
      <c r="G119" s="3126">
        <f ca="1">OFFSET('Q1'!J10,0,(Last_forecast_year - 3-InputY!$G$3)*4+4)</f>
        <v>-1.8988037646230984</v>
      </c>
      <c r="H119" s="3126">
        <f ca="1">OFFSET('Q1'!K10,0,(Last_forecast_year - 3-InputY!$G$3)*4+4)</f>
        <v>-1.1408173679182696</v>
      </c>
      <c r="I119" s="3126">
        <f ca="1">OFFSET('Q1'!L10,0,(Last_forecast_year - 3-InputY!$G$3)*4+4)</f>
        <v>-0.87782655901667106</v>
      </c>
      <c r="J119" s="3126">
        <f ca="1">OFFSET('Q1'!M10,0,(Last_forecast_year - 3-InputY!$G$3)*4+4)</f>
        <v>-0.78985290792442342</v>
      </c>
      <c r="K119" s="3126">
        <f ca="1">OFFSET('Q1'!N10,0,(Last_forecast_year - 3-InputY!$G$3)*4+4)</f>
        <v>-1.0063826224170245</v>
      </c>
      <c r="L119" s="3126">
        <f ca="1">OFFSET('Q1'!O10,0,(Last_forecast_year - 3-InputY!$G$3)*4+4)</f>
        <v>-0.99440241878043356</v>
      </c>
      <c r="M119" s="3126">
        <f ca="1">OFFSET('Q1'!P10,0,(Last_forecast_year - 3-InputY!$G$3)*4+4)</f>
        <v>-0.83737945049919571</v>
      </c>
      <c r="N119" s="3126">
        <f ca="1">OFFSET('Q1'!Q10,0,(Last_forecast_year - 3-InputY!$G$3)*4+4)</f>
        <v>-0.66858942834525592</v>
      </c>
      <c r="O119" s="3126">
        <f ca="1">OFFSET('Q1'!R10,0,(Last_forecast_year - 3-InputY!$G$3)*4+4)</f>
        <v>-0.51741238415788593</v>
      </c>
      <c r="P119" s="26"/>
      <c r="Q119"/>
      <c r="AA119" s="22">
        <v>19</v>
      </c>
      <c r="AB119" s="1040" t="str">
        <f t="shared" si="3"/>
        <v>QUART. VOL. CHANGE IN INVENTORIES (cols 2-13)</v>
      </c>
      <c r="AC119" s="1040">
        <f>CHOOSE(Tables!$U$2,Transfer!CA119,Transfer!CN119,Transfer!DA119,Transfer!DN119,Transfer!EA119)</f>
        <v>-9999</v>
      </c>
      <c r="AD119" s="1040">
        <f>CHOOSE(Tables!$U$2,Transfer!CB119,Transfer!CO119,Transfer!DB119,Transfer!DO119,Transfer!EB119)</f>
        <v>-9999</v>
      </c>
      <c r="AE119" s="1040">
        <f>CHOOSE(Tables!$U$2,Transfer!CC119,Transfer!CP119,Transfer!DC119,Transfer!DP119,Transfer!EC119)</f>
        <v>-9999</v>
      </c>
      <c r="AF119" s="1040">
        <f>CHOOSE(Tables!$U$2,Transfer!CD119,Transfer!CQ119,Transfer!DD119,Transfer!DQ119,Transfer!ED119)</f>
        <v>-9999</v>
      </c>
      <c r="AG119" s="1040">
        <f>CHOOSE(Tables!$U$2,Transfer!CE119,Transfer!CR119,Transfer!DE119,Transfer!DR119,Transfer!EE119)</f>
        <v>-9999</v>
      </c>
      <c r="AH119" s="1040">
        <f>CHOOSE(Tables!$U$2,Transfer!CF119,Transfer!CS119,Transfer!DF119,Transfer!DS119,Transfer!EF119)</f>
        <v>-9999</v>
      </c>
      <c r="AI119" s="1040">
        <f>CHOOSE(Tables!$U$2,Transfer!CG119,Transfer!CT119,Transfer!DG119,Transfer!DT119,Transfer!EG119)</f>
        <v>-9999</v>
      </c>
      <c r="AJ119" s="1040">
        <f>CHOOSE(Tables!$U$2,Transfer!CH119,Transfer!CU119,Transfer!DH119,Transfer!DU119,Transfer!EH119)</f>
        <v>-9999</v>
      </c>
      <c r="AK119" s="1040">
        <f>CHOOSE(Tables!$U$2,Transfer!CI119,Transfer!CV119,Transfer!DI119,Transfer!DV119,Transfer!EI119)</f>
        <v>-9999</v>
      </c>
      <c r="AL119" s="1040">
        <f>CHOOSE(Tables!$U$2,Transfer!CJ119,Transfer!CW119,Transfer!DJ119,Transfer!DW119,Transfer!EJ119)</f>
        <v>-9999</v>
      </c>
      <c r="AM119" s="1040">
        <f>CHOOSE(Tables!$U$2,Transfer!CK119,Transfer!CX119,Transfer!DK119,Transfer!DX119,Transfer!EK119)</f>
        <v>-9999</v>
      </c>
      <c r="AN119" s="1040">
        <f>CHOOSE(Tables!$U$2,Transfer!CL119,Transfer!CY119,Transfer!DL119,Transfer!DY119,Transfer!EL119)</f>
        <v>-9999</v>
      </c>
      <c r="AO119" s="1040">
        <f>CHOOSE(Tables!$U$2,Transfer!CM119,Transfer!CZ119,Transfer!DM119,Transfer!DZ119,Transfer!EM119)</f>
        <v>-9999</v>
      </c>
      <c r="AR119" s="22">
        <v>19</v>
      </c>
      <c r="AS119" s="31" t="s">
        <v>2080</v>
      </c>
      <c r="AT119" s="25">
        <f t="shared" si="2"/>
        <v>0</v>
      </c>
      <c r="AU119" s="1040">
        <f t="shared" ca="1" si="2"/>
        <v>9998.9650172092752</v>
      </c>
      <c r="AV119" s="1040">
        <f t="shared" ca="1" si="2"/>
        <v>9997.1602447031401</v>
      </c>
      <c r="AW119" s="1040">
        <f t="shared" ca="1" si="2"/>
        <v>9998.9086249164247</v>
      </c>
      <c r="AX119" s="1040">
        <f t="shared" ca="1" si="2"/>
        <v>9997.1011962353768</v>
      </c>
      <c r="AY119" s="1040">
        <f t="shared" ca="1" si="2"/>
        <v>9997.8591826320826</v>
      </c>
      <c r="AZ119" s="1040">
        <f t="shared" ca="1" si="2"/>
        <v>9998.1221734409828</v>
      </c>
      <c r="BA119" s="1040">
        <f t="shared" ca="1" si="2"/>
        <v>9998.2101470920752</v>
      </c>
      <c r="BB119" s="1040">
        <f t="shared" ca="1" si="2"/>
        <v>9997.9936173775823</v>
      </c>
      <c r="BC119" s="1040">
        <f t="shared" ca="1" si="2"/>
        <v>9998.0055975812193</v>
      </c>
      <c r="BD119" s="1040">
        <f t="shared" ca="1" si="2"/>
        <v>9998.1626205495013</v>
      </c>
      <c r="BE119" s="1040">
        <f t="shared" ca="1" si="2"/>
        <v>9998.3314105716545</v>
      </c>
      <c r="BF119" s="1040">
        <f t="shared" ca="1" si="2"/>
        <v>9998.4825876158429</v>
      </c>
      <c r="CA119" s="16">
        <v>-9999</v>
      </c>
      <c r="CB119" s="16">
        <v>-9999</v>
      </c>
      <c r="CC119" s="16">
        <v>-9999</v>
      </c>
      <c r="CD119" s="16">
        <v>-9999</v>
      </c>
      <c r="CE119" s="16">
        <v>-9999</v>
      </c>
      <c r="CF119" s="16">
        <v>-9999</v>
      </c>
      <c r="CG119" s="16">
        <v>-9999</v>
      </c>
      <c r="CH119" s="16">
        <v>-9999</v>
      </c>
      <c r="CI119" s="16">
        <v>-9999</v>
      </c>
      <c r="CJ119" s="16">
        <v>-9999</v>
      </c>
      <c r="CK119" s="16">
        <v>-9999</v>
      </c>
      <c r="CL119" s="16">
        <v>-9999</v>
      </c>
      <c r="CM119" s="16">
        <v>-9999</v>
      </c>
      <c r="CN119" s="16">
        <v>-9999</v>
      </c>
      <c r="CO119" s="16">
        <v>-9999</v>
      </c>
      <c r="CP119" s="16">
        <v>-9999</v>
      </c>
      <c r="CQ119" s="16">
        <v>-9999</v>
      </c>
      <c r="CR119" s="16">
        <v>-9999</v>
      </c>
      <c r="CS119" s="16">
        <v>-9999</v>
      </c>
      <c r="CT119" s="16">
        <v>-9999</v>
      </c>
      <c r="CU119" s="16">
        <v>-9999</v>
      </c>
      <c r="CV119" s="16">
        <v>-9999</v>
      </c>
      <c r="CW119" s="16">
        <v>-9999</v>
      </c>
      <c r="CX119" s="16">
        <v>-9999</v>
      </c>
      <c r="CY119" s="16">
        <v>-9999</v>
      </c>
      <c r="CZ119" s="16">
        <v>-9999</v>
      </c>
      <c r="DA119" s="16">
        <v>-9999</v>
      </c>
      <c r="DB119" s="16">
        <v>-9999</v>
      </c>
      <c r="DC119" s="16">
        <v>-9999</v>
      </c>
      <c r="DD119" s="16">
        <v>-9999</v>
      </c>
      <c r="DE119" s="16">
        <v>-9999</v>
      </c>
      <c r="DF119" s="16">
        <v>-9999</v>
      </c>
      <c r="DG119" s="16">
        <v>-9999</v>
      </c>
      <c r="DH119" s="16">
        <v>-9999</v>
      </c>
      <c r="DI119" s="16">
        <v>-9999</v>
      </c>
      <c r="DJ119" s="16">
        <v>-9999</v>
      </c>
      <c r="DK119" s="16">
        <v>-9999</v>
      </c>
      <c r="DL119" s="16">
        <v>-9999</v>
      </c>
      <c r="DM119" s="16">
        <v>-9999</v>
      </c>
      <c r="DN119" s="16">
        <v>-9999</v>
      </c>
      <c r="DO119" s="16">
        <v>-9999</v>
      </c>
      <c r="DP119" s="16">
        <v>-9999</v>
      </c>
      <c r="DQ119" s="16">
        <v>-9999</v>
      </c>
      <c r="DR119" s="16">
        <v>-9999</v>
      </c>
      <c r="DS119" s="16">
        <v>-9999</v>
      </c>
      <c r="DT119" s="16">
        <v>-9999</v>
      </c>
      <c r="DU119" s="16">
        <v>-9999</v>
      </c>
      <c r="DV119" s="16">
        <v>-9999</v>
      </c>
      <c r="DW119" s="16">
        <v>-9999</v>
      </c>
      <c r="DX119" s="16">
        <v>-9999</v>
      </c>
      <c r="DY119" s="16">
        <v>-9999</v>
      </c>
      <c r="DZ119" s="16">
        <v>-9999</v>
      </c>
      <c r="EA119" s="2197">
        <v>-9999</v>
      </c>
      <c r="EB119" s="2196">
        <v>-9999</v>
      </c>
      <c r="EC119" s="2196">
        <v>-9999</v>
      </c>
      <c r="ED119" s="2196">
        <v>-9999</v>
      </c>
      <c r="EE119" s="2196">
        <v>-9999</v>
      </c>
      <c r="EF119" s="2196">
        <v>-9999</v>
      </c>
      <c r="EG119" s="2196">
        <v>-9999</v>
      </c>
      <c r="EH119" s="2196">
        <v>-9999</v>
      </c>
      <c r="EI119" s="2196">
        <v>-9999</v>
      </c>
      <c r="EJ119" s="2196">
        <v>-9999</v>
      </c>
      <c r="EK119" s="2196">
        <v>-9999</v>
      </c>
      <c r="EL119" s="2196">
        <v>-9999</v>
      </c>
      <c r="EM119" s="2196">
        <v>-9999</v>
      </c>
    </row>
    <row r="120" spans="1:143">
      <c r="A120" s="22">
        <v>20</v>
      </c>
      <c r="B120" s="31" t="s">
        <v>2081</v>
      </c>
      <c r="C120" s="25">
        <v>-9999</v>
      </c>
      <c r="D120" s="3126">
        <f ca="1">OFFSET('Q1'!G11,0,(Last_forecast_year - 3-InputY!$G$3)*4+4)</f>
        <v>0.96963227363200399</v>
      </c>
      <c r="E120" s="3126">
        <f ca="1">OFFSET('Q1'!H11,0,(Last_forecast_year - 3-InputY!$G$3)*4+4)</f>
        <v>-0.78411506227766825</v>
      </c>
      <c r="F120" s="3126">
        <f ca="1">OFFSET('Q1'!I11,0,(Last_forecast_year - 3-InputY!$G$3)*4+4)</f>
        <v>2.0301694952880922</v>
      </c>
      <c r="G120" s="3126">
        <f ca="1">OFFSET('Q1'!J11,0,(Last_forecast_year - 3-InputY!$G$3)*4+4)</f>
        <v>0.52436901653614143</v>
      </c>
      <c r="H120" s="3126">
        <f ca="1">OFFSET('Q1'!K11,0,(Last_forecast_year - 3-InputY!$G$3)*4+4)</f>
        <v>0.99892643016384974</v>
      </c>
      <c r="I120" s="3126">
        <f ca="1">OFFSET('Q1'!L11,0,(Last_forecast_year - 3-InputY!$G$3)*4+4)</f>
        <v>0.99737581391350105</v>
      </c>
      <c r="J120" s="3126">
        <f ca="1">OFFSET('Q1'!M11,0,(Last_forecast_year - 3-InputY!$G$3)*4+4)</f>
        <v>0.86426948405353454</v>
      </c>
      <c r="K120" s="3126">
        <f ca="1">OFFSET('Q1'!N11,0,(Last_forecast_year - 3-InputY!$G$3)*4+4)</f>
        <v>0.59457503831887559</v>
      </c>
      <c r="L120" s="3126">
        <f ca="1">OFFSET('Q1'!O11,0,(Last_forecast_year - 3-InputY!$G$3)*4+4)</f>
        <v>0.8079110092352495</v>
      </c>
      <c r="M120" s="3126">
        <f ca="1">OFFSET('Q1'!P11,0,(Last_forecast_year - 3-InputY!$G$3)*4+4)</f>
        <v>0.93684187936210372</v>
      </c>
      <c r="N120" s="3126">
        <f ca="1">OFFSET('Q1'!Q11,0,(Last_forecast_year - 3-InputY!$G$3)*4+4)</f>
        <v>0.94052166190287134</v>
      </c>
      <c r="O120" s="3126">
        <f ca="1">OFFSET('Q1'!R11,0,(Last_forecast_year - 3-InputY!$G$3)*4+4)</f>
        <v>0.92032399104302232</v>
      </c>
      <c r="P120" s="26"/>
      <c r="Q120"/>
      <c r="AA120" s="22">
        <v>20</v>
      </c>
      <c r="AB120" s="1040" t="str">
        <f t="shared" si="3"/>
        <v>QUART. VOL. DOMESTIC DEMAND (cols 2-13)</v>
      </c>
      <c r="AC120" s="1040">
        <f>CHOOSE(Tables!$U$2,Transfer!CA120,Transfer!CN120,Transfer!DA120,Transfer!DN120,Transfer!EA120)</f>
        <v>-9999</v>
      </c>
      <c r="AD120" s="1040">
        <f>CHOOSE(Tables!$U$2,Transfer!CB120,Transfer!CO120,Transfer!DB120,Transfer!DO120,Transfer!EB120)</f>
        <v>-9999</v>
      </c>
      <c r="AE120" s="1040">
        <f>CHOOSE(Tables!$U$2,Transfer!CC120,Transfer!CP120,Transfer!DC120,Transfer!DP120,Transfer!EC120)</f>
        <v>-9999</v>
      </c>
      <c r="AF120" s="1040">
        <f>CHOOSE(Tables!$U$2,Transfer!CD120,Transfer!CQ120,Transfer!DD120,Transfer!DQ120,Transfer!ED120)</f>
        <v>-9999</v>
      </c>
      <c r="AG120" s="1040">
        <f>CHOOSE(Tables!$U$2,Transfer!CE120,Transfer!CR120,Transfer!DE120,Transfer!DR120,Transfer!EE120)</f>
        <v>-9999</v>
      </c>
      <c r="AH120" s="1040">
        <f>CHOOSE(Tables!$U$2,Transfer!CF120,Transfer!CS120,Transfer!DF120,Transfer!DS120,Transfer!EF120)</f>
        <v>-9999</v>
      </c>
      <c r="AI120" s="1040">
        <f>CHOOSE(Tables!$U$2,Transfer!CG120,Transfer!CT120,Transfer!DG120,Transfer!DT120,Transfer!EG120)</f>
        <v>-9999</v>
      </c>
      <c r="AJ120" s="1040">
        <f>CHOOSE(Tables!$U$2,Transfer!CH120,Transfer!CU120,Transfer!DH120,Transfer!DU120,Transfer!EH120)</f>
        <v>-9999</v>
      </c>
      <c r="AK120" s="1040">
        <f>CHOOSE(Tables!$U$2,Transfer!CI120,Transfer!CV120,Transfer!DI120,Transfer!DV120,Transfer!EI120)</f>
        <v>-9999</v>
      </c>
      <c r="AL120" s="1040">
        <f>CHOOSE(Tables!$U$2,Transfer!CJ120,Transfer!CW120,Transfer!DJ120,Transfer!DW120,Transfer!EJ120)</f>
        <v>-9999</v>
      </c>
      <c r="AM120" s="1040">
        <f>CHOOSE(Tables!$U$2,Transfer!CK120,Transfer!CX120,Transfer!DK120,Transfer!DX120,Transfer!EK120)</f>
        <v>-9999</v>
      </c>
      <c r="AN120" s="1040">
        <f>CHOOSE(Tables!$U$2,Transfer!CL120,Transfer!CY120,Transfer!DL120,Transfer!DY120,Transfer!EL120)</f>
        <v>-9999</v>
      </c>
      <c r="AO120" s="1040">
        <f>CHOOSE(Tables!$U$2,Transfer!CM120,Transfer!CZ120,Transfer!DM120,Transfer!DZ120,Transfer!EM120)</f>
        <v>-9999</v>
      </c>
      <c r="AR120" s="22">
        <v>20</v>
      </c>
      <c r="AS120" s="31" t="s">
        <v>2081</v>
      </c>
      <c r="AT120" s="25">
        <f t="shared" si="2"/>
        <v>0</v>
      </c>
      <c r="AU120" s="1040">
        <f t="shared" ca="1" si="2"/>
        <v>9999.9696322736327</v>
      </c>
      <c r="AV120" s="1040">
        <f t="shared" ca="1" si="2"/>
        <v>9998.2158849377229</v>
      </c>
      <c r="AW120" s="1040">
        <f t="shared" ca="1" si="2"/>
        <v>10001.030169495289</v>
      </c>
      <c r="AX120" s="1040">
        <f t="shared" ca="1" si="2"/>
        <v>9999.5243690165353</v>
      </c>
      <c r="AY120" s="1040">
        <f t="shared" ca="1" si="2"/>
        <v>9999.9989264301639</v>
      </c>
      <c r="AZ120" s="1040">
        <f t="shared" ca="1" si="2"/>
        <v>9999.9973758139131</v>
      </c>
      <c r="BA120" s="1040">
        <f t="shared" ca="1" si="2"/>
        <v>9999.8642694840528</v>
      </c>
      <c r="BB120" s="1040">
        <f t="shared" ref="BB120:BF134" ca="1" si="4">K120-AK120</f>
        <v>9999.594575038318</v>
      </c>
      <c r="BC120" s="1040">
        <f t="shared" ca="1" si="4"/>
        <v>9999.8079110092349</v>
      </c>
      <c r="BD120" s="1040">
        <f t="shared" ca="1" si="4"/>
        <v>9999.936841879362</v>
      </c>
      <c r="BE120" s="1040">
        <f t="shared" ca="1" si="4"/>
        <v>9999.9405216619034</v>
      </c>
      <c r="BF120" s="1040">
        <f t="shared" ca="1" si="4"/>
        <v>9999.9203239910439</v>
      </c>
      <c r="CA120" s="16">
        <v>-9999</v>
      </c>
      <c r="CB120" s="16">
        <v>-9999</v>
      </c>
      <c r="CC120" s="16">
        <v>-9999</v>
      </c>
      <c r="CD120" s="16">
        <v>-9999</v>
      </c>
      <c r="CE120" s="16">
        <v>-9999</v>
      </c>
      <c r="CF120" s="16">
        <v>-9999</v>
      </c>
      <c r="CG120" s="16">
        <v>-9999</v>
      </c>
      <c r="CH120" s="16">
        <v>-9999</v>
      </c>
      <c r="CI120" s="16">
        <v>-9999</v>
      </c>
      <c r="CJ120" s="16">
        <v>-9999</v>
      </c>
      <c r="CK120" s="16">
        <v>-9999</v>
      </c>
      <c r="CL120" s="16">
        <v>-9999</v>
      </c>
      <c r="CM120" s="16">
        <v>-9999</v>
      </c>
      <c r="CN120" s="16">
        <v>-9999</v>
      </c>
      <c r="CO120" s="16">
        <v>-9999</v>
      </c>
      <c r="CP120" s="16">
        <v>-9999</v>
      </c>
      <c r="CQ120" s="16">
        <v>-9999</v>
      </c>
      <c r="CR120" s="16">
        <v>-9999</v>
      </c>
      <c r="CS120" s="16">
        <v>-9999</v>
      </c>
      <c r="CT120" s="16">
        <v>-9999</v>
      </c>
      <c r="CU120" s="16">
        <v>-9999</v>
      </c>
      <c r="CV120" s="16">
        <v>-9999</v>
      </c>
      <c r="CW120" s="16">
        <v>-9999</v>
      </c>
      <c r="CX120" s="16">
        <v>-9999</v>
      </c>
      <c r="CY120" s="16">
        <v>-9999</v>
      </c>
      <c r="CZ120" s="16">
        <v>-9999</v>
      </c>
      <c r="DA120" s="16">
        <v>-9999</v>
      </c>
      <c r="DB120" s="16">
        <v>-9999</v>
      </c>
      <c r="DC120" s="16">
        <v>-9999</v>
      </c>
      <c r="DD120" s="16">
        <v>-9999</v>
      </c>
      <c r="DE120" s="16">
        <v>-9999</v>
      </c>
      <c r="DF120" s="16">
        <v>-9999</v>
      </c>
      <c r="DG120" s="16">
        <v>-9999</v>
      </c>
      <c r="DH120" s="16">
        <v>-9999</v>
      </c>
      <c r="DI120" s="16">
        <v>-9999</v>
      </c>
      <c r="DJ120" s="16">
        <v>-9999</v>
      </c>
      <c r="DK120" s="16">
        <v>-9999</v>
      </c>
      <c r="DL120" s="16">
        <v>-9999</v>
      </c>
      <c r="DM120" s="16">
        <v>-9999</v>
      </c>
      <c r="DN120" s="16">
        <v>-9999</v>
      </c>
      <c r="DO120" s="16">
        <v>-9999</v>
      </c>
      <c r="DP120" s="16">
        <v>-9999</v>
      </c>
      <c r="DQ120" s="16">
        <v>-9999</v>
      </c>
      <c r="DR120" s="16">
        <v>-9999</v>
      </c>
      <c r="DS120" s="16">
        <v>-9999</v>
      </c>
      <c r="DT120" s="16">
        <v>-9999</v>
      </c>
      <c r="DU120" s="16">
        <v>-9999</v>
      </c>
      <c r="DV120" s="16">
        <v>-9999</v>
      </c>
      <c r="DW120" s="16">
        <v>-9999</v>
      </c>
      <c r="DX120" s="16">
        <v>-9999</v>
      </c>
      <c r="DY120" s="16">
        <v>-9999</v>
      </c>
      <c r="DZ120" s="16">
        <v>-9999</v>
      </c>
      <c r="EA120" s="2197">
        <v>-9999</v>
      </c>
      <c r="EB120" s="2196">
        <v>-9999</v>
      </c>
      <c r="EC120" s="2196">
        <v>-9999</v>
      </c>
      <c r="ED120" s="2196">
        <v>-9999</v>
      </c>
      <c r="EE120" s="2196">
        <v>-9999</v>
      </c>
      <c r="EF120" s="2196">
        <v>-9999</v>
      </c>
      <c r="EG120" s="2196">
        <v>-9999</v>
      </c>
      <c r="EH120" s="2196">
        <v>-9999</v>
      </c>
      <c r="EI120" s="2196">
        <v>-9999</v>
      </c>
      <c r="EJ120" s="2196">
        <v>-9999</v>
      </c>
      <c r="EK120" s="2196">
        <v>-9999</v>
      </c>
      <c r="EL120" s="2196">
        <v>-9999</v>
      </c>
      <c r="EM120" s="2196">
        <v>-9999</v>
      </c>
    </row>
    <row r="121" spans="1:143">
      <c r="A121" s="22">
        <v>21</v>
      </c>
      <c r="B121" s="31" t="s">
        <v>2082</v>
      </c>
      <c r="C121" s="25">
        <v>-9999</v>
      </c>
      <c r="D121" s="3126">
        <f ca="1">OFFSET('Q1'!G12,0,(Last_forecast_year - 3-InputY!$G$3)*4+4)</f>
        <v>4.7914073535376023</v>
      </c>
      <c r="E121" s="3126">
        <f ca="1">OFFSET('Q1'!H12,0,(Last_forecast_year - 3-InputY!$G$3)*4+4)</f>
        <v>3.7902547745198856</v>
      </c>
      <c r="F121" s="3126">
        <f ca="1">OFFSET('Q1'!I12,0,(Last_forecast_year - 3-InputY!$G$3)*4+4)</f>
        <v>2.7967442039887436</v>
      </c>
      <c r="G121" s="3126">
        <f ca="1">OFFSET('Q1'!J12,0,(Last_forecast_year - 3-InputY!$G$3)*4+4)</f>
        <v>2.593065145601936</v>
      </c>
      <c r="H121" s="3126">
        <f ca="1">OFFSET('Q1'!K12,0,(Last_forecast_year - 3-InputY!$G$3)*4+4)</f>
        <v>0.4</v>
      </c>
      <c r="I121" s="3126">
        <f ca="1">OFFSET('Q1'!L12,0,(Last_forecast_year - 3-InputY!$G$3)*4+4)</f>
        <v>0.4</v>
      </c>
      <c r="J121" s="3126">
        <f ca="1">OFFSET('Q1'!M12,0,(Last_forecast_year - 3-InputY!$G$3)*4+4)</f>
        <v>0.55000000000000004</v>
      </c>
      <c r="K121" s="3126">
        <f ca="1">OFFSET('Q1'!N12,0,(Last_forecast_year - 3-InputY!$G$3)*4+4)</f>
        <v>0.9</v>
      </c>
      <c r="L121" s="3126">
        <f ca="1">OFFSET('Q1'!O12,0,(Last_forecast_year - 3-InputY!$G$3)*4+4)</f>
        <v>1.34</v>
      </c>
      <c r="M121" s="3126">
        <f ca="1">OFFSET('Q1'!P12,0,(Last_forecast_year - 3-InputY!$G$3)*4+4)</f>
        <v>1.3</v>
      </c>
      <c r="N121" s="3126">
        <f ca="1">OFFSET('Q1'!Q12,0,(Last_forecast_year - 3-InputY!$G$3)*4+4)</f>
        <v>1.3</v>
      </c>
      <c r="O121" s="3126">
        <f ca="1">OFFSET('Q1'!R12,0,(Last_forecast_year - 3-InputY!$G$3)*4+4)</f>
        <v>1.3</v>
      </c>
      <c r="P121" s="26"/>
      <c r="Q121"/>
      <c r="AA121" s="22">
        <v>21</v>
      </c>
      <c r="AB121" s="1040" t="str">
        <f t="shared" si="3"/>
        <v>QUART. VOL. EXPORTS G AND S (cols 2-13)</v>
      </c>
      <c r="AC121" s="1040">
        <f>CHOOSE(Tables!$U$2,Transfer!CA121,Transfer!CN121,Transfer!DA121,Transfer!DN121,Transfer!EA121)</f>
        <v>-9999</v>
      </c>
      <c r="AD121" s="1040">
        <f>CHOOSE(Tables!$U$2,Transfer!CB121,Transfer!CO121,Transfer!DB121,Transfer!DO121,Transfer!EB121)</f>
        <v>-9999</v>
      </c>
      <c r="AE121" s="1040">
        <f>CHOOSE(Tables!$U$2,Transfer!CC121,Transfer!CP121,Transfer!DC121,Transfer!DP121,Transfer!EC121)</f>
        <v>-9999</v>
      </c>
      <c r="AF121" s="1040">
        <f>CHOOSE(Tables!$U$2,Transfer!CD121,Transfer!CQ121,Transfer!DD121,Transfer!DQ121,Transfer!ED121)</f>
        <v>-9999</v>
      </c>
      <c r="AG121" s="1040">
        <f>CHOOSE(Tables!$U$2,Transfer!CE121,Transfer!CR121,Transfer!DE121,Transfer!DR121,Transfer!EE121)</f>
        <v>-9999</v>
      </c>
      <c r="AH121" s="1040">
        <f>CHOOSE(Tables!$U$2,Transfer!CF121,Transfer!CS121,Transfer!DF121,Transfer!DS121,Transfer!EF121)</f>
        <v>-9999</v>
      </c>
      <c r="AI121" s="1040">
        <f>CHOOSE(Tables!$U$2,Transfer!CG121,Transfer!CT121,Transfer!DG121,Transfer!DT121,Transfer!EG121)</f>
        <v>-9999</v>
      </c>
      <c r="AJ121" s="1040">
        <f>CHOOSE(Tables!$U$2,Transfer!CH121,Transfer!CU121,Transfer!DH121,Transfer!DU121,Transfer!EH121)</f>
        <v>-9999</v>
      </c>
      <c r="AK121" s="1040">
        <f>CHOOSE(Tables!$U$2,Transfer!CI121,Transfer!CV121,Transfer!DI121,Transfer!DV121,Transfer!EI121)</f>
        <v>-9999</v>
      </c>
      <c r="AL121" s="1040">
        <f>CHOOSE(Tables!$U$2,Transfer!CJ121,Transfer!CW121,Transfer!DJ121,Transfer!DW121,Transfer!EJ121)</f>
        <v>-9999</v>
      </c>
      <c r="AM121" s="1040">
        <f>CHOOSE(Tables!$U$2,Transfer!CK121,Transfer!CX121,Transfer!DK121,Transfer!DX121,Transfer!EK121)</f>
        <v>-9999</v>
      </c>
      <c r="AN121" s="1040">
        <f>CHOOSE(Tables!$U$2,Transfer!CL121,Transfer!CY121,Transfer!DL121,Transfer!DY121,Transfer!EL121)</f>
        <v>-9999</v>
      </c>
      <c r="AO121" s="1040">
        <f>CHOOSE(Tables!$U$2,Transfer!CM121,Transfer!CZ121,Transfer!DM121,Transfer!DZ121,Transfer!EM121)</f>
        <v>-9999</v>
      </c>
      <c r="AR121" s="22">
        <v>21</v>
      </c>
      <c r="AS121" s="31" t="s">
        <v>2082</v>
      </c>
      <c r="AT121" s="25">
        <f t="shared" ref="AT121:BF145" si="5">C121-AC121</f>
        <v>0</v>
      </c>
      <c r="AU121" s="1040">
        <f t="shared" ca="1" si="5"/>
        <v>10003.791407353538</v>
      </c>
      <c r="AV121" s="1040">
        <f t="shared" ca="1" si="5"/>
        <v>10002.79025477452</v>
      </c>
      <c r="AW121" s="1040">
        <f t="shared" ca="1" si="5"/>
        <v>10001.796744203988</v>
      </c>
      <c r="AX121" s="1040">
        <f t="shared" ca="1" si="5"/>
        <v>10001.593065145602</v>
      </c>
      <c r="AY121" s="1040">
        <f t="shared" ca="1" si="5"/>
        <v>9999.4</v>
      </c>
      <c r="AZ121" s="1040">
        <f t="shared" ca="1" si="5"/>
        <v>9999.4</v>
      </c>
      <c r="BA121" s="1040">
        <f t="shared" ca="1" si="5"/>
        <v>9999.5499999999993</v>
      </c>
      <c r="BB121" s="1040">
        <f t="shared" ca="1" si="4"/>
        <v>9999.9</v>
      </c>
      <c r="BC121" s="1040">
        <f t="shared" ca="1" si="4"/>
        <v>10000.34</v>
      </c>
      <c r="BD121" s="1040">
        <f t="shared" ca="1" si="4"/>
        <v>10000.299999999999</v>
      </c>
      <c r="BE121" s="1040">
        <f t="shared" ca="1" si="4"/>
        <v>10000.299999999999</v>
      </c>
      <c r="BF121" s="1040">
        <f t="shared" ca="1" si="4"/>
        <v>10000.299999999999</v>
      </c>
      <c r="CA121" s="16">
        <v>-9999</v>
      </c>
      <c r="CB121" s="16">
        <v>-9999</v>
      </c>
      <c r="CC121" s="16">
        <v>-9999</v>
      </c>
      <c r="CD121" s="16">
        <v>-9999</v>
      </c>
      <c r="CE121" s="16">
        <v>-9999</v>
      </c>
      <c r="CF121" s="16">
        <v>-9999</v>
      </c>
      <c r="CG121" s="16">
        <v>-9999</v>
      </c>
      <c r="CH121" s="16">
        <v>-9999</v>
      </c>
      <c r="CI121" s="16">
        <v>-9999</v>
      </c>
      <c r="CJ121" s="16">
        <v>-9999</v>
      </c>
      <c r="CK121" s="16">
        <v>-9999</v>
      </c>
      <c r="CL121" s="16">
        <v>-9999</v>
      </c>
      <c r="CM121" s="16">
        <v>-9999</v>
      </c>
      <c r="CN121" s="16">
        <v>-9999</v>
      </c>
      <c r="CO121" s="16">
        <v>-9999</v>
      </c>
      <c r="CP121" s="16">
        <v>-9999</v>
      </c>
      <c r="CQ121" s="16">
        <v>-9999</v>
      </c>
      <c r="CR121" s="16">
        <v>-9999</v>
      </c>
      <c r="CS121" s="16">
        <v>-9999</v>
      </c>
      <c r="CT121" s="16">
        <v>-9999</v>
      </c>
      <c r="CU121" s="16">
        <v>-9999</v>
      </c>
      <c r="CV121" s="16">
        <v>-9999</v>
      </c>
      <c r="CW121" s="16">
        <v>-9999</v>
      </c>
      <c r="CX121" s="16">
        <v>-9999</v>
      </c>
      <c r="CY121" s="16">
        <v>-9999</v>
      </c>
      <c r="CZ121" s="16">
        <v>-9999</v>
      </c>
      <c r="DA121" s="16">
        <v>-9999</v>
      </c>
      <c r="DB121" s="16">
        <v>-9999</v>
      </c>
      <c r="DC121" s="16">
        <v>-9999</v>
      </c>
      <c r="DD121" s="16">
        <v>-9999</v>
      </c>
      <c r="DE121" s="16">
        <v>-9999</v>
      </c>
      <c r="DF121" s="16">
        <v>-9999</v>
      </c>
      <c r="DG121" s="16">
        <v>-9999</v>
      </c>
      <c r="DH121" s="16">
        <v>-9999</v>
      </c>
      <c r="DI121" s="16">
        <v>-9999</v>
      </c>
      <c r="DJ121" s="16">
        <v>-9999</v>
      </c>
      <c r="DK121" s="16">
        <v>-9999</v>
      </c>
      <c r="DL121" s="16">
        <v>-9999</v>
      </c>
      <c r="DM121" s="16">
        <v>-9999</v>
      </c>
      <c r="DN121" s="16">
        <v>-9999</v>
      </c>
      <c r="DO121" s="16">
        <v>-9999</v>
      </c>
      <c r="DP121" s="16">
        <v>-9999</v>
      </c>
      <c r="DQ121" s="16">
        <v>-9999</v>
      </c>
      <c r="DR121" s="16">
        <v>-9999</v>
      </c>
      <c r="DS121" s="16">
        <v>-9999</v>
      </c>
      <c r="DT121" s="16">
        <v>-9999</v>
      </c>
      <c r="DU121" s="16">
        <v>-9999</v>
      </c>
      <c r="DV121" s="16">
        <v>-9999</v>
      </c>
      <c r="DW121" s="16">
        <v>-9999</v>
      </c>
      <c r="DX121" s="16">
        <v>-9999</v>
      </c>
      <c r="DY121" s="16">
        <v>-9999</v>
      </c>
      <c r="DZ121" s="16">
        <v>-9999</v>
      </c>
      <c r="EA121" s="2197">
        <v>-9999</v>
      </c>
      <c r="EB121" s="2196">
        <v>-9999</v>
      </c>
      <c r="EC121" s="2196">
        <v>-9999</v>
      </c>
      <c r="ED121" s="2196">
        <v>-9999</v>
      </c>
      <c r="EE121" s="2196">
        <v>-9999</v>
      </c>
      <c r="EF121" s="2196">
        <v>-9999</v>
      </c>
      <c r="EG121" s="2196">
        <v>-9999</v>
      </c>
      <c r="EH121" s="2196">
        <v>-9999</v>
      </c>
      <c r="EI121" s="2196">
        <v>-9999</v>
      </c>
      <c r="EJ121" s="2196">
        <v>-9999</v>
      </c>
      <c r="EK121" s="2196">
        <v>-9999</v>
      </c>
      <c r="EL121" s="2196">
        <v>-9999</v>
      </c>
      <c r="EM121" s="2196">
        <v>-9999</v>
      </c>
    </row>
    <row r="122" spans="1:143">
      <c r="A122" s="22">
        <v>22</v>
      </c>
      <c r="B122" s="31" t="s">
        <v>722</v>
      </c>
      <c r="C122" s="25">
        <v>-9999</v>
      </c>
      <c r="D122" s="3126">
        <f ca="1">OFFSET('Q1'!G13,0,(Last_forecast_year - 3-InputY!$G$3)*4+4)</f>
        <v>2.6623883444627463</v>
      </c>
      <c r="E122" s="3126">
        <f ca="1">OFFSET('Q1'!H13,0,(Last_forecast_year - 3-InputY!$G$3)*4+4)</f>
        <v>1.2840006757898377</v>
      </c>
      <c r="F122" s="3126">
        <f ca="1">OFFSET('Q1'!I13,0,(Last_forecast_year - 3-InputY!$G$3)*4+4)</f>
        <v>2.385321100917432</v>
      </c>
      <c r="G122" s="3126">
        <f ca="1">OFFSET('Q1'!J13,0,(Last_forecast_year - 3-InputY!$G$3)*4+4)</f>
        <v>1.4866405995438448</v>
      </c>
      <c r="H122" s="3126">
        <f ca="1">OFFSET('Q1'!K13,0,(Last_forecast_year - 3-InputY!$G$3)*4+4)</f>
        <v>0.7172934141349282</v>
      </c>
      <c r="I122" s="3126">
        <f ca="1">OFFSET('Q1'!L13,0,(Last_forecast_year - 3-InputY!$G$3)*4+4)</f>
        <v>0.71735688560220434</v>
      </c>
      <c r="J122" s="3126">
        <f ca="1">OFFSET('Q1'!M13,0,(Last_forecast_year - 3-InputY!$G$3)*4+4)</f>
        <v>0.71742036040082702</v>
      </c>
      <c r="K122" s="3126">
        <f ca="1">OFFSET('Q1'!N13,0,(Last_forecast_year - 3-InputY!$G$3)*4+4)</f>
        <v>0.73705413590036328</v>
      </c>
      <c r="L122" s="3126">
        <f ca="1">OFFSET('Q1'!O13,0,(Last_forecast_year - 3-InputY!$G$3)*4+4)</f>
        <v>1.0565291535579697</v>
      </c>
      <c r="M122" s="3126">
        <f ca="1">OFFSET('Q1'!P13,0,(Last_forecast_year - 3-InputY!$G$3)*4+4)</f>
        <v>1.107003192825434</v>
      </c>
      <c r="N122" s="3126">
        <f ca="1">OFFSET('Q1'!Q13,0,(Last_forecast_year - 3-InputY!$G$3)*4+4)</f>
        <v>1.1092802960500661</v>
      </c>
      <c r="O122" s="3126">
        <f ca="1">OFFSET('Q1'!R13,0,(Last_forecast_year - 3-InputY!$G$3)*4+4)</f>
        <v>1.0989007179173624</v>
      </c>
      <c r="P122" s="26"/>
      <c r="Q122"/>
      <c r="AA122" s="22">
        <v>22</v>
      </c>
      <c r="AB122" s="1040" t="str">
        <f t="shared" si="3"/>
        <v>QUART. VOL. FINAL DEMAND (cols 2-13)</v>
      </c>
      <c r="AC122" s="1040">
        <f>CHOOSE(Tables!$U$2,Transfer!CA122,Transfer!CN122,Transfer!DA122,Transfer!DN122,Transfer!EA122)</f>
        <v>-9999</v>
      </c>
      <c r="AD122" s="1040">
        <f>CHOOSE(Tables!$U$2,Transfer!CB122,Transfer!CO122,Transfer!DB122,Transfer!DO122,Transfer!EB122)</f>
        <v>-9999</v>
      </c>
      <c r="AE122" s="1040">
        <f>CHOOSE(Tables!$U$2,Transfer!CC122,Transfer!CP122,Transfer!DC122,Transfer!DP122,Transfer!EC122)</f>
        <v>-9999</v>
      </c>
      <c r="AF122" s="1040">
        <f>CHOOSE(Tables!$U$2,Transfer!CD122,Transfer!CQ122,Transfer!DD122,Transfer!DQ122,Transfer!ED122)</f>
        <v>-9999</v>
      </c>
      <c r="AG122" s="1040">
        <f>CHOOSE(Tables!$U$2,Transfer!CE122,Transfer!CR122,Transfer!DE122,Transfer!DR122,Transfer!EE122)</f>
        <v>-9999</v>
      </c>
      <c r="AH122" s="1040">
        <f>CHOOSE(Tables!$U$2,Transfer!CF122,Transfer!CS122,Transfer!DF122,Transfer!DS122,Transfer!EF122)</f>
        <v>-9999</v>
      </c>
      <c r="AI122" s="1040">
        <f>CHOOSE(Tables!$U$2,Transfer!CG122,Transfer!CT122,Transfer!DG122,Transfer!DT122,Transfer!EG122)</f>
        <v>-9999</v>
      </c>
      <c r="AJ122" s="1040">
        <f>CHOOSE(Tables!$U$2,Transfer!CH122,Transfer!CU122,Transfer!DH122,Transfer!DU122,Transfer!EH122)</f>
        <v>-9999</v>
      </c>
      <c r="AK122" s="1040">
        <f>CHOOSE(Tables!$U$2,Transfer!CI122,Transfer!CV122,Transfer!DI122,Transfer!DV122,Transfer!EI122)</f>
        <v>-9999</v>
      </c>
      <c r="AL122" s="1040">
        <f>CHOOSE(Tables!$U$2,Transfer!CJ122,Transfer!CW122,Transfer!DJ122,Transfer!DW122,Transfer!EJ122)</f>
        <v>-9999</v>
      </c>
      <c r="AM122" s="1040">
        <f>CHOOSE(Tables!$U$2,Transfer!CK122,Transfer!CX122,Transfer!DK122,Transfer!DX122,Transfer!EK122)</f>
        <v>-9999</v>
      </c>
      <c r="AN122" s="1040">
        <f>CHOOSE(Tables!$U$2,Transfer!CL122,Transfer!CY122,Transfer!DL122,Transfer!DY122,Transfer!EL122)</f>
        <v>-9999</v>
      </c>
      <c r="AO122" s="1040">
        <f>CHOOSE(Tables!$U$2,Transfer!CM122,Transfer!CZ122,Transfer!DM122,Transfer!DZ122,Transfer!EM122)</f>
        <v>-9999</v>
      </c>
      <c r="AR122" s="22">
        <v>22</v>
      </c>
      <c r="AS122" s="31" t="s">
        <v>722</v>
      </c>
      <c r="AT122" s="25">
        <f t="shared" si="5"/>
        <v>0</v>
      </c>
      <c r="AU122" s="1040">
        <f t="shared" ca="1" si="5"/>
        <v>10001.662388344463</v>
      </c>
      <c r="AV122" s="1040">
        <f t="shared" ca="1" si="5"/>
        <v>10000.284000675791</v>
      </c>
      <c r="AW122" s="1040">
        <f t="shared" ca="1" si="5"/>
        <v>10001.385321100917</v>
      </c>
      <c r="AX122" s="1040">
        <f t="shared" ca="1" si="5"/>
        <v>10000.486640599544</v>
      </c>
      <c r="AY122" s="1040">
        <f t="shared" ca="1" si="5"/>
        <v>9999.7172934141345</v>
      </c>
      <c r="AZ122" s="1040">
        <f t="shared" ca="1" si="5"/>
        <v>9999.7173568856015</v>
      </c>
      <c r="BA122" s="1040">
        <f t="shared" ca="1" si="5"/>
        <v>9999.7174203604009</v>
      </c>
      <c r="BB122" s="1040">
        <f t="shared" ca="1" si="4"/>
        <v>9999.7370541358996</v>
      </c>
      <c r="BC122" s="1040">
        <f t="shared" ca="1" si="4"/>
        <v>10000.056529153559</v>
      </c>
      <c r="BD122" s="1040">
        <f t="shared" ca="1" si="4"/>
        <v>10000.107003192825</v>
      </c>
      <c r="BE122" s="1040">
        <f t="shared" ca="1" si="4"/>
        <v>10000.10928029605</v>
      </c>
      <c r="BF122" s="1040">
        <f t="shared" ca="1" si="4"/>
        <v>10000.098900717918</v>
      </c>
      <c r="CA122" s="16">
        <v>-9999</v>
      </c>
      <c r="CB122" s="16">
        <v>-9999</v>
      </c>
      <c r="CC122" s="16">
        <v>-9999</v>
      </c>
      <c r="CD122" s="16">
        <v>-9999</v>
      </c>
      <c r="CE122" s="16">
        <v>-9999</v>
      </c>
      <c r="CF122" s="16">
        <v>-9999</v>
      </c>
      <c r="CG122" s="16">
        <v>-9999</v>
      </c>
      <c r="CH122" s="16">
        <v>-9999</v>
      </c>
      <c r="CI122" s="16">
        <v>-9999</v>
      </c>
      <c r="CJ122" s="16">
        <v>-9999</v>
      </c>
      <c r="CK122" s="16">
        <v>-9999</v>
      </c>
      <c r="CL122" s="16">
        <v>-9999</v>
      </c>
      <c r="CM122" s="16">
        <v>-9999</v>
      </c>
      <c r="CN122" s="16">
        <v>-9999</v>
      </c>
      <c r="CO122" s="16">
        <v>-9999</v>
      </c>
      <c r="CP122" s="16">
        <v>-9999</v>
      </c>
      <c r="CQ122" s="16">
        <v>-9999</v>
      </c>
      <c r="CR122" s="16">
        <v>-9999</v>
      </c>
      <c r="CS122" s="16">
        <v>-9999</v>
      </c>
      <c r="CT122" s="16">
        <v>-9999</v>
      </c>
      <c r="CU122" s="16">
        <v>-9999</v>
      </c>
      <c r="CV122" s="16">
        <v>-9999</v>
      </c>
      <c r="CW122" s="16">
        <v>-9999</v>
      </c>
      <c r="CX122" s="16">
        <v>-9999</v>
      </c>
      <c r="CY122" s="16">
        <v>-9999</v>
      </c>
      <c r="CZ122" s="16">
        <v>-9999</v>
      </c>
      <c r="DA122" s="16">
        <v>-9999</v>
      </c>
      <c r="DB122" s="16">
        <v>-9999</v>
      </c>
      <c r="DC122" s="16">
        <v>-9999</v>
      </c>
      <c r="DD122" s="16">
        <v>-9999</v>
      </c>
      <c r="DE122" s="16">
        <v>-9999</v>
      </c>
      <c r="DF122" s="16">
        <v>-9999</v>
      </c>
      <c r="DG122" s="16">
        <v>-9999</v>
      </c>
      <c r="DH122" s="16">
        <v>-9999</v>
      </c>
      <c r="DI122" s="16">
        <v>-9999</v>
      </c>
      <c r="DJ122" s="16">
        <v>-9999</v>
      </c>
      <c r="DK122" s="16">
        <v>-9999</v>
      </c>
      <c r="DL122" s="16">
        <v>-9999</v>
      </c>
      <c r="DM122" s="16">
        <v>-9999</v>
      </c>
      <c r="DN122" s="16">
        <v>-9999</v>
      </c>
      <c r="DO122" s="16">
        <v>-9999</v>
      </c>
      <c r="DP122" s="16">
        <v>-9999</v>
      </c>
      <c r="DQ122" s="16">
        <v>-9999</v>
      </c>
      <c r="DR122" s="16">
        <v>-9999</v>
      </c>
      <c r="DS122" s="16">
        <v>-9999</v>
      </c>
      <c r="DT122" s="16">
        <v>-9999</v>
      </c>
      <c r="DU122" s="16">
        <v>-9999</v>
      </c>
      <c r="DV122" s="16">
        <v>-9999</v>
      </c>
      <c r="DW122" s="16">
        <v>-9999</v>
      </c>
      <c r="DX122" s="16">
        <v>-9999</v>
      </c>
      <c r="DY122" s="16">
        <v>-9999</v>
      </c>
      <c r="DZ122" s="16">
        <v>-9999</v>
      </c>
      <c r="EA122" s="2197">
        <v>-9999</v>
      </c>
      <c r="EB122" s="2196">
        <v>-9999</v>
      </c>
      <c r="EC122" s="2196">
        <v>-9999</v>
      </c>
      <c r="ED122" s="2196">
        <v>-9999</v>
      </c>
      <c r="EE122" s="2196">
        <v>-9999</v>
      </c>
      <c r="EF122" s="2196">
        <v>-9999</v>
      </c>
      <c r="EG122" s="2196">
        <v>-9999</v>
      </c>
      <c r="EH122" s="2196">
        <v>-9999</v>
      </c>
      <c r="EI122" s="2196">
        <v>-9999</v>
      </c>
      <c r="EJ122" s="2196">
        <v>-9999</v>
      </c>
      <c r="EK122" s="2196">
        <v>-9999</v>
      </c>
      <c r="EL122" s="2196">
        <v>-9999</v>
      </c>
      <c r="EM122" s="2196">
        <v>-9999</v>
      </c>
    </row>
    <row r="123" spans="1:143">
      <c r="A123" s="22">
        <v>23</v>
      </c>
      <c r="B123" s="31" t="s">
        <v>723</v>
      </c>
      <c r="C123" s="25">
        <v>-9999</v>
      </c>
      <c r="D123" s="3126">
        <f ca="1">OFFSET('Q1'!G14,0,(Last_forecast_year - 3-InputY!$G$3)*4+4)</f>
        <v>6.1610076670317593</v>
      </c>
      <c r="E123" s="3126">
        <f ca="1">OFFSET('Q1'!H14,0,(Last_forecast_year - 3-InputY!$G$3)*4+4)</f>
        <v>2.1382512251741037</v>
      </c>
      <c r="F123" s="3126">
        <f ca="1">OFFSET('Q1'!I14,0,(Last_forecast_year - 3-InputY!$G$3)*4+4)</f>
        <v>3.3043763731407383</v>
      </c>
      <c r="G123" s="3126">
        <f ca="1">OFFSET('Q1'!J14,0,(Last_forecast_year - 3-InputY!$G$3)*4+4)</f>
        <v>2.9872272810609335</v>
      </c>
      <c r="H123" s="3126">
        <f ca="1">OFFSET('Q1'!K14,0,(Last_forecast_year - 3-InputY!$G$3)*4+4)</f>
        <v>0.8</v>
      </c>
      <c r="I123" s="3126">
        <f ca="1">OFFSET('Q1'!L14,0,(Last_forecast_year - 3-InputY!$G$3)*4+4)</f>
        <v>0.8</v>
      </c>
      <c r="J123" s="3126">
        <f ca="1">OFFSET('Q1'!M14,0,(Last_forecast_year - 3-InputY!$G$3)*4+4)</f>
        <v>0.8</v>
      </c>
      <c r="K123" s="3126">
        <f ca="1">OFFSET('Q1'!N14,0,(Last_forecast_year - 3-InputY!$G$3)*4+4)</f>
        <v>0.75</v>
      </c>
      <c r="L123" s="3126">
        <f ca="1">OFFSET('Q1'!O14,0,(Last_forecast_year - 3-InputY!$G$3)*4+4)</f>
        <v>1.5</v>
      </c>
      <c r="M123" s="3126">
        <f ca="1">OFFSET('Q1'!P14,0,(Last_forecast_year - 3-InputY!$G$3)*4+4)</f>
        <v>1.6</v>
      </c>
      <c r="N123" s="3126">
        <f ca="1">OFFSET('Q1'!Q14,0,(Last_forecast_year - 3-InputY!$G$3)*4+4)</f>
        <v>1.6</v>
      </c>
      <c r="O123" s="3126">
        <f ca="1">OFFSET('Q1'!R14,0,(Last_forecast_year - 3-InputY!$G$3)*4+4)</f>
        <v>1.6</v>
      </c>
      <c r="P123" s="26"/>
      <c r="Q123"/>
      <c r="AA123" s="22">
        <v>23</v>
      </c>
      <c r="AB123" s="1040" t="str">
        <f t="shared" si="3"/>
        <v>QUART. VOL. IMPORTS G AND S (cols 2-13)</v>
      </c>
      <c r="AC123" s="1040">
        <f>CHOOSE(Tables!$U$2,Transfer!CA123,Transfer!CN123,Transfer!DA123,Transfer!DN123,Transfer!EA123)</f>
        <v>-9999</v>
      </c>
      <c r="AD123" s="1040">
        <f>CHOOSE(Tables!$U$2,Transfer!CB123,Transfer!CO123,Transfer!DB123,Transfer!DO123,Transfer!EB123)</f>
        <v>-9999</v>
      </c>
      <c r="AE123" s="1040">
        <f>CHOOSE(Tables!$U$2,Transfer!CC123,Transfer!CP123,Transfer!DC123,Transfer!DP123,Transfer!EC123)</f>
        <v>-9999</v>
      </c>
      <c r="AF123" s="1040">
        <f>CHOOSE(Tables!$U$2,Transfer!CD123,Transfer!CQ123,Transfer!DD123,Transfer!DQ123,Transfer!ED123)</f>
        <v>-9999</v>
      </c>
      <c r="AG123" s="1040">
        <f>CHOOSE(Tables!$U$2,Transfer!CE123,Transfer!CR123,Transfer!DE123,Transfer!DR123,Transfer!EE123)</f>
        <v>-9999</v>
      </c>
      <c r="AH123" s="1040">
        <f>CHOOSE(Tables!$U$2,Transfer!CF123,Transfer!CS123,Transfer!DF123,Transfer!DS123,Transfer!EF123)</f>
        <v>-9999</v>
      </c>
      <c r="AI123" s="1040">
        <f>CHOOSE(Tables!$U$2,Transfer!CG123,Transfer!CT123,Transfer!DG123,Transfer!DT123,Transfer!EG123)</f>
        <v>-9999</v>
      </c>
      <c r="AJ123" s="1040">
        <f>CHOOSE(Tables!$U$2,Transfer!CH123,Transfer!CU123,Transfer!DH123,Transfer!DU123,Transfer!EH123)</f>
        <v>-9999</v>
      </c>
      <c r="AK123" s="1040">
        <f>CHOOSE(Tables!$U$2,Transfer!CI123,Transfer!CV123,Transfer!DI123,Transfer!DV123,Transfer!EI123)</f>
        <v>-9999</v>
      </c>
      <c r="AL123" s="1040">
        <f>CHOOSE(Tables!$U$2,Transfer!CJ123,Transfer!CW123,Transfer!DJ123,Transfer!DW123,Transfer!EJ123)</f>
        <v>-9999</v>
      </c>
      <c r="AM123" s="1040">
        <f>CHOOSE(Tables!$U$2,Transfer!CK123,Transfer!CX123,Transfer!DK123,Transfer!DX123,Transfer!EK123)</f>
        <v>-9999</v>
      </c>
      <c r="AN123" s="1040">
        <f>CHOOSE(Tables!$U$2,Transfer!CL123,Transfer!CY123,Transfer!DL123,Transfer!DY123,Transfer!EL123)</f>
        <v>-9999</v>
      </c>
      <c r="AO123" s="1040">
        <f>CHOOSE(Tables!$U$2,Transfer!CM123,Transfer!CZ123,Transfer!DM123,Transfer!DZ123,Transfer!EM123)</f>
        <v>-9999</v>
      </c>
      <c r="AR123" s="22">
        <v>23</v>
      </c>
      <c r="AS123" s="31" t="s">
        <v>723</v>
      </c>
      <c r="AT123" s="25">
        <f t="shared" si="5"/>
        <v>0</v>
      </c>
      <c r="AU123" s="1040">
        <f t="shared" ca="1" si="5"/>
        <v>10005.161007667031</v>
      </c>
      <c r="AV123" s="1040">
        <f t="shared" ca="1" si="5"/>
        <v>10001.138251225175</v>
      </c>
      <c r="AW123" s="1040">
        <f t="shared" ca="1" si="5"/>
        <v>10002.30437637314</v>
      </c>
      <c r="AX123" s="1040">
        <f t="shared" ca="1" si="5"/>
        <v>10001.987227281061</v>
      </c>
      <c r="AY123" s="1040">
        <f t="shared" ca="1" si="5"/>
        <v>9999.7999999999993</v>
      </c>
      <c r="AZ123" s="1040">
        <f t="shared" ca="1" si="5"/>
        <v>9999.7999999999993</v>
      </c>
      <c r="BA123" s="1040">
        <f t="shared" ca="1" si="5"/>
        <v>9999.7999999999993</v>
      </c>
      <c r="BB123" s="1040">
        <f t="shared" ca="1" si="4"/>
        <v>9999.75</v>
      </c>
      <c r="BC123" s="1040">
        <f t="shared" ca="1" si="4"/>
        <v>10000.5</v>
      </c>
      <c r="BD123" s="1040">
        <f t="shared" ca="1" si="4"/>
        <v>10000.6</v>
      </c>
      <c r="BE123" s="1040">
        <f t="shared" ca="1" si="4"/>
        <v>10000.6</v>
      </c>
      <c r="BF123" s="1040">
        <f t="shared" ca="1" si="4"/>
        <v>10000.6</v>
      </c>
      <c r="CA123" s="16">
        <v>-9999</v>
      </c>
      <c r="CB123" s="16">
        <v>-9999</v>
      </c>
      <c r="CC123" s="16">
        <v>-9999</v>
      </c>
      <c r="CD123" s="16">
        <v>-9999</v>
      </c>
      <c r="CE123" s="16">
        <v>-9999</v>
      </c>
      <c r="CF123" s="16">
        <v>-9999</v>
      </c>
      <c r="CG123" s="16">
        <v>-9999</v>
      </c>
      <c r="CH123" s="16">
        <v>-9999</v>
      </c>
      <c r="CI123" s="16">
        <v>-9999</v>
      </c>
      <c r="CJ123" s="16">
        <v>-9999</v>
      </c>
      <c r="CK123" s="16">
        <v>-9999</v>
      </c>
      <c r="CL123" s="16">
        <v>-9999</v>
      </c>
      <c r="CM123" s="16">
        <v>-9999</v>
      </c>
      <c r="CN123" s="16">
        <v>-9999</v>
      </c>
      <c r="CO123" s="16">
        <v>-9999</v>
      </c>
      <c r="CP123" s="16">
        <v>-9999</v>
      </c>
      <c r="CQ123" s="16">
        <v>-9999</v>
      </c>
      <c r="CR123" s="16">
        <v>-9999</v>
      </c>
      <c r="CS123" s="16">
        <v>-9999</v>
      </c>
      <c r="CT123" s="16">
        <v>-9999</v>
      </c>
      <c r="CU123" s="16">
        <v>-9999</v>
      </c>
      <c r="CV123" s="16">
        <v>-9999</v>
      </c>
      <c r="CW123" s="16">
        <v>-9999</v>
      </c>
      <c r="CX123" s="16">
        <v>-9999</v>
      </c>
      <c r="CY123" s="16">
        <v>-9999</v>
      </c>
      <c r="CZ123" s="16">
        <v>-9999</v>
      </c>
      <c r="DA123" s="16">
        <v>-9999</v>
      </c>
      <c r="DB123" s="16">
        <v>-9999</v>
      </c>
      <c r="DC123" s="16">
        <v>-9999</v>
      </c>
      <c r="DD123" s="16">
        <v>-9999</v>
      </c>
      <c r="DE123" s="16">
        <v>-9999</v>
      </c>
      <c r="DF123" s="16">
        <v>-9999</v>
      </c>
      <c r="DG123" s="16">
        <v>-9999</v>
      </c>
      <c r="DH123" s="16">
        <v>-9999</v>
      </c>
      <c r="DI123" s="16">
        <v>-9999</v>
      </c>
      <c r="DJ123" s="16">
        <v>-9999</v>
      </c>
      <c r="DK123" s="16">
        <v>-9999</v>
      </c>
      <c r="DL123" s="16">
        <v>-9999</v>
      </c>
      <c r="DM123" s="16">
        <v>-9999</v>
      </c>
      <c r="DN123" s="16">
        <v>-9999</v>
      </c>
      <c r="DO123" s="16">
        <v>-9999</v>
      </c>
      <c r="DP123" s="16">
        <v>-9999</v>
      </c>
      <c r="DQ123" s="16">
        <v>-9999</v>
      </c>
      <c r="DR123" s="16">
        <v>-9999</v>
      </c>
      <c r="DS123" s="16">
        <v>-9999</v>
      </c>
      <c r="DT123" s="16">
        <v>-9999</v>
      </c>
      <c r="DU123" s="16">
        <v>-9999</v>
      </c>
      <c r="DV123" s="16">
        <v>-9999</v>
      </c>
      <c r="DW123" s="16">
        <v>-9999</v>
      </c>
      <c r="DX123" s="16">
        <v>-9999</v>
      </c>
      <c r="DY123" s="16">
        <v>-9999</v>
      </c>
      <c r="DZ123" s="16">
        <v>-9999</v>
      </c>
      <c r="EA123" s="2197">
        <v>-9999</v>
      </c>
      <c r="EB123" s="2196">
        <v>-9999</v>
      </c>
      <c r="EC123" s="2196">
        <v>-9999</v>
      </c>
      <c r="ED123" s="2196">
        <v>-9999</v>
      </c>
      <c r="EE123" s="2196">
        <v>-9999</v>
      </c>
      <c r="EF123" s="2196">
        <v>-9999</v>
      </c>
      <c r="EG123" s="2196">
        <v>-9999</v>
      </c>
      <c r="EH123" s="2196">
        <v>-9999</v>
      </c>
      <c r="EI123" s="2196">
        <v>-9999</v>
      </c>
      <c r="EJ123" s="2196">
        <v>-9999</v>
      </c>
      <c r="EK123" s="2196">
        <v>-9999</v>
      </c>
      <c r="EL123" s="2196">
        <v>-9999</v>
      </c>
      <c r="EM123" s="2196">
        <v>-9999</v>
      </c>
    </row>
    <row r="124" spans="1:143">
      <c r="A124" s="22">
        <v>24</v>
      </c>
      <c r="B124" s="31" t="s">
        <v>761</v>
      </c>
      <c r="C124" s="25">
        <v>-9999</v>
      </c>
      <c r="D124" s="3126">
        <f ca="1">OFFSET('Q1'!G15,0,(Last_forecast_year - 3-InputY!$G$3)*4+4)</f>
        <v>1.0859769800257935</v>
      </c>
      <c r="E124" s="3126">
        <f ca="1">OFFSET('Q1'!H15,0,(Last_forecast_year - 3-InputY!$G$3)*4+4)</f>
        <v>0.71771144840040435</v>
      </c>
      <c r="F124" s="3126">
        <f ca="1">OFFSET('Q1'!I15,0,(Last_forecast_year - 3-InputY!$G$3)*4+4)</f>
        <v>0.54789302080648916</v>
      </c>
      <c r="G124" s="3126">
        <f ca="1">OFFSET('Q1'!J15,0,(Last_forecast_year - 3-InputY!$G$3)*4+4)</f>
        <v>1.3505683084466202</v>
      </c>
      <c r="H124" s="3126">
        <f ca="1">OFFSET('Q1'!K15,0,(Last_forecast_year - 3-InputY!$G$3)*4+4)</f>
        <v>0.64000000000000046</v>
      </c>
      <c r="I124" s="3126">
        <f ca="1">OFFSET('Q1'!L15,0,(Last_forecast_year - 3-InputY!$G$3)*4+4)</f>
        <v>0.64000000000000268</v>
      </c>
      <c r="J124" s="3126">
        <f ca="1">OFFSET('Q1'!M15,0,(Last_forecast_year - 3-InputY!$G$3)*4+4)</f>
        <v>0.63999999999999979</v>
      </c>
      <c r="K124" s="3126">
        <f ca="1">OFFSET('Q1'!N15,0,(Last_forecast_year - 3-InputY!$G$3)*4+4)</f>
        <v>0.72489778708730856</v>
      </c>
      <c r="L124" s="3126">
        <f ca="1">OFFSET('Q1'!O15,0,(Last_forecast_year - 3-InputY!$G$3)*4+4)</f>
        <v>0.64000000000000046</v>
      </c>
      <c r="M124" s="3126">
        <f ca="1">OFFSET('Q1'!P15,0,(Last_forecast_year - 3-InputY!$G$3)*4+4)</f>
        <v>0.64000000000000123</v>
      </c>
      <c r="N124" s="3126">
        <f ca="1">OFFSET('Q1'!Q15,0,(Last_forecast_year - 3-InputY!$G$3)*4+4)</f>
        <v>0.64000000000000123</v>
      </c>
      <c r="O124" s="3126">
        <f ca="1">OFFSET('Q1'!R15,0,(Last_forecast_year - 3-InputY!$G$3)*4+4)</f>
        <v>0.61512319845919095</v>
      </c>
      <c r="P124" s="26"/>
      <c r="Q124"/>
      <c r="AA124" s="22">
        <v>24</v>
      </c>
      <c r="AB124" s="1040" t="str">
        <f t="shared" si="3"/>
        <v>QUART. VOL. GROSS DOM. PRODUCT (cols 2-13)</v>
      </c>
      <c r="AC124" s="1040">
        <f>CHOOSE(Tables!$U$2,Transfer!CA124,Transfer!CN124,Transfer!DA124,Transfer!DN124,Transfer!EA124)</f>
        <v>-9999</v>
      </c>
      <c r="AD124" s="1040">
        <f>CHOOSE(Tables!$U$2,Transfer!CB124,Transfer!CO124,Transfer!DB124,Transfer!DO124,Transfer!EB124)</f>
        <v>1.3274296767201044</v>
      </c>
      <c r="AE124" s="1040">
        <f>CHOOSE(Tables!$U$2,Transfer!CC124,Transfer!CP124,Transfer!DC124,Transfer!DP124,Transfer!EC124)</f>
        <v>0.65827731385639243</v>
      </c>
      <c r="AF124" s="1040">
        <f>CHOOSE(Tables!$U$2,Transfer!CD124,Transfer!CQ124,Transfer!DD124,Transfer!DQ124,Transfer!ED124)</f>
        <v>0.55097498174093107</v>
      </c>
      <c r="AG124" s="1040">
        <f>CHOOSE(Tables!$U$2,Transfer!CE124,Transfer!CR124,Transfer!DE124,Transfer!DR124,Transfer!EE124)</f>
        <v>0.65245996286750474</v>
      </c>
      <c r="AH124" s="1040">
        <f>CHOOSE(Tables!$U$2,Transfer!CF124,Transfer!CS124,Transfer!DF124,Transfer!DS124,Transfer!EF124)</f>
        <v>0.9048774582723097</v>
      </c>
      <c r="AI124" s="1040">
        <f>CHOOSE(Tables!$U$2,Transfer!CG124,Transfer!CT124,Transfer!DG124,Transfer!DT124,Transfer!EG124)</f>
        <v>1.0254289488434061</v>
      </c>
      <c r="AJ124" s="1040">
        <f>CHOOSE(Tables!$U$2,Transfer!CH124,Transfer!CU124,Transfer!DH124,Transfer!DU124,Transfer!EH124)</f>
        <v>1.0384112999085053</v>
      </c>
      <c r="AK124" s="1040">
        <f>CHOOSE(Tables!$U$2,Transfer!CI124,Transfer!CV124,Transfer!DI124,Transfer!DV124,Transfer!EI124)</f>
        <v>1.0282209125557213</v>
      </c>
      <c r="AL124" s="1040">
        <f>CHOOSE(Tables!$U$2,Transfer!CJ124,Transfer!CW124,Transfer!DJ124,Transfer!DW124,Transfer!EJ124)</f>
        <v>0.85916693003306777</v>
      </c>
      <c r="AM124" s="1040">
        <f>CHOOSE(Tables!$U$2,Transfer!CK124,Transfer!CX124,Transfer!DK124,Transfer!DX124,Transfer!EK124)</f>
        <v>0.85487385952160422</v>
      </c>
      <c r="AN124" s="1040">
        <f>CHOOSE(Tables!$U$2,Transfer!CL124,Transfer!CY124,Transfer!DL124,Transfer!DY124,Transfer!EL124)</f>
        <v>0.90795138538825038</v>
      </c>
      <c r="AO124" s="1040">
        <f>CHOOSE(Tables!$U$2,Transfer!CM124,Transfer!CZ124,Transfer!DM124,Transfer!DZ124,Transfer!EM124)</f>
        <v>0.86473203465440174</v>
      </c>
      <c r="AR124" s="22">
        <v>24</v>
      </c>
      <c r="AS124" s="31" t="s">
        <v>761</v>
      </c>
      <c r="AT124" s="25">
        <f t="shared" si="5"/>
        <v>0</v>
      </c>
      <c r="AU124" s="1040">
        <f t="shared" ca="1" si="5"/>
        <v>-0.24145269669431091</v>
      </c>
      <c r="AV124" s="1040">
        <f t="shared" ca="1" si="5"/>
        <v>5.9434134544011918E-2</v>
      </c>
      <c r="AW124" s="1040">
        <f t="shared" ca="1" si="5"/>
        <v>-3.0819609344419074E-3</v>
      </c>
      <c r="AX124" s="1040">
        <f t="shared" ca="1" si="5"/>
        <v>0.6981083455791155</v>
      </c>
      <c r="AY124" s="1040">
        <f t="shared" ca="1" si="5"/>
        <v>-0.26487745827230924</v>
      </c>
      <c r="AZ124" s="1040">
        <f t="shared" ca="1" si="5"/>
        <v>-0.3854289488434034</v>
      </c>
      <c r="BA124" s="1040">
        <f t="shared" ca="1" si="5"/>
        <v>-0.39841129990850555</v>
      </c>
      <c r="BB124" s="1040">
        <f t="shared" ca="1" si="4"/>
        <v>-0.30332312546841278</v>
      </c>
      <c r="BC124" s="1040">
        <f t="shared" ca="1" si="4"/>
        <v>-0.21916693003306731</v>
      </c>
      <c r="BD124" s="1040">
        <f t="shared" ca="1" si="4"/>
        <v>-0.21487385952160298</v>
      </c>
      <c r="BE124" s="1040">
        <f t="shared" ca="1" si="4"/>
        <v>-0.26795138538824914</v>
      </c>
      <c r="BF124" s="1040">
        <f t="shared" ca="1" si="4"/>
        <v>-0.24960883619521079</v>
      </c>
      <c r="CA124" s="16">
        <v>-9999</v>
      </c>
      <c r="CB124" s="16">
        <v>0.73809235244213234</v>
      </c>
      <c r="CC124" s="16">
        <v>0.40423970452001523</v>
      </c>
      <c r="CD124" s="16">
        <v>0.33949700346331568</v>
      </c>
      <c r="CE124" s="16">
        <v>0.59299820546671844</v>
      </c>
      <c r="CF124" s="16">
        <v>0.90209415980541363</v>
      </c>
      <c r="CG124" s="16">
        <v>0.97994940127625696</v>
      </c>
      <c r="CH124" s="16">
        <v>0.81905243830568286</v>
      </c>
      <c r="CI124" s="16">
        <v>0.89491973822490667</v>
      </c>
      <c r="CJ124" s="16">
        <v>0.84892698128252098</v>
      </c>
      <c r="CK124" s="16">
        <v>0.86680642263061569</v>
      </c>
      <c r="CL124" s="16">
        <v>0.77068560262208052</v>
      </c>
      <c r="CM124" s="16">
        <v>0.79007982869892779</v>
      </c>
      <c r="CN124" s="16">
        <v>-9999</v>
      </c>
      <c r="CO124" s="16">
        <v>0.52535715613268863</v>
      </c>
      <c r="CP124" s="16">
        <v>0.82582490046958501</v>
      </c>
      <c r="CQ124" s="16">
        <v>0.53055586117529696</v>
      </c>
      <c r="CR124" s="16">
        <v>-0.83064143977848215</v>
      </c>
      <c r="CS124" s="16">
        <v>4.2307897218544275</v>
      </c>
      <c r="CT124" s="16">
        <v>0.72706860187469691</v>
      </c>
      <c r="CU124" s="16">
        <v>0.85446119317478464</v>
      </c>
      <c r="CV124" s="16">
        <v>0.87466932282965937</v>
      </c>
      <c r="CW124" s="16">
        <v>0.82719223359040728</v>
      </c>
      <c r="CX124" s="16">
        <v>0.81966969196670647</v>
      </c>
      <c r="CY124" s="16">
        <v>0.86179906740096468</v>
      </c>
      <c r="CZ124" s="16">
        <v>0.42856241496656661</v>
      </c>
      <c r="DA124" s="16">
        <v>-9999</v>
      </c>
      <c r="DB124" s="16">
        <v>0.1727092761096769</v>
      </c>
      <c r="DC124" s="16">
        <v>2.089117813176312</v>
      </c>
      <c r="DD124" s="16">
        <v>2.0524122697649956</v>
      </c>
      <c r="DE124" s="16">
        <v>1.8264628861644636</v>
      </c>
      <c r="DF124" s="16">
        <v>0.82338739836205421</v>
      </c>
      <c r="DG124" s="16">
        <v>0.55613654818367153</v>
      </c>
      <c r="DH124" s="16">
        <v>0.42257009836839071</v>
      </c>
      <c r="DI124" s="16">
        <v>0.20034361780776333</v>
      </c>
      <c r="DJ124" s="16">
        <v>-0.10513573825334668</v>
      </c>
      <c r="DK124" s="16">
        <v>-0.25324136824279581</v>
      </c>
      <c r="DL124" s="16">
        <v>-0.52407959037063201</v>
      </c>
      <c r="DM124" s="16">
        <v>-0.747665711997617</v>
      </c>
      <c r="DN124" s="16">
        <v>-9999</v>
      </c>
      <c r="DO124" s="16">
        <v>0.52535715613268863</v>
      </c>
      <c r="DP124" s="16">
        <v>0.82582490046958501</v>
      </c>
      <c r="DQ124" s="16">
        <v>0.53055586117529696</v>
      </c>
      <c r="DR124" s="16">
        <v>0.63598224600229791</v>
      </c>
      <c r="DS124" s="16">
        <v>5.3499972469528742E-2</v>
      </c>
      <c r="DT124" s="16">
        <v>0.84682781953798336</v>
      </c>
      <c r="DU124" s="16">
        <v>1.7002150633546809</v>
      </c>
      <c r="DV124" s="16">
        <v>1.880200983655232</v>
      </c>
      <c r="DW124" s="16">
        <v>0.36635356848135592</v>
      </c>
      <c r="DX124" s="16">
        <v>0.38010552205704323</v>
      </c>
      <c r="DY124" s="16">
        <v>0.46808635777084828</v>
      </c>
      <c r="DZ124" s="16">
        <v>0.47703057190630277</v>
      </c>
      <c r="EA124" s="2197">
        <v>-9999</v>
      </c>
      <c r="EB124" s="2196">
        <v>1.3274296767201044</v>
      </c>
      <c r="EC124" s="2196">
        <v>0.65827731385639243</v>
      </c>
      <c r="ED124" s="2196">
        <v>0.55097498174093107</v>
      </c>
      <c r="EE124" s="2196">
        <v>0.65245996286750474</v>
      </c>
      <c r="EF124" s="2196">
        <v>0.9048774582723097</v>
      </c>
      <c r="EG124" s="2196">
        <v>1.0254289488434061</v>
      </c>
      <c r="EH124" s="2196">
        <v>1.0384112999085053</v>
      </c>
      <c r="EI124" s="2196">
        <v>1.0282209125557213</v>
      </c>
      <c r="EJ124" s="2196">
        <v>0.85916693003306777</v>
      </c>
      <c r="EK124" s="2196">
        <v>0.85487385952160422</v>
      </c>
      <c r="EL124" s="2196">
        <v>0.90795138538825038</v>
      </c>
      <c r="EM124" s="2196">
        <v>0.86473203465440174</v>
      </c>
    </row>
    <row r="125" spans="1:143">
      <c r="A125" s="22">
        <v>25</v>
      </c>
      <c r="B125" s="16" t="s">
        <v>1853</v>
      </c>
      <c r="C125" s="25">
        <v>-9999</v>
      </c>
      <c r="D125" s="3126">
        <f ca="1">OFFSET('Q1'!G317,0,(Last_forecast_year - 3-InputY!$G$3)*4+4)</f>
        <v>2.9554663441353313</v>
      </c>
      <c r="E125" s="3126">
        <f ca="1">OFFSET('Q1'!H317,0,(Last_forecast_year - 3-InputY!$G$3)*4+4)</f>
        <v>3.4071082454399431</v>
      </c>
      <c r="F125" s="3126">
        <f ca="1">OFFSET('Q1'!I317,0,(Last_forecast_year - 3-InputY!$G$3)*4+4)</f>
        <v>4.4491285396125306</v>
      </c>
      <c r="G125" s="3126">
        <f ca="1">OFFSET('Q1'!J317,0,(Last_forecast_year - 3-InputY!$G$3)*4+4)</f>
        <v>4.0591318491850217</v>
      </c>
      <c r="H125" s="3126">
        <f ca="1">OFFSET('Q1'!K317,0,(Last_forecast_year - 3-InputY!$G$3)*4+4)</f>
        <v>3.2003427940795461</v>
      </c>
      <c r="I125" s="3126">
        <f ca="1">OFFSET('Q1'!L317,0,(Last_forecast_year - 3-InputY!$G$3)*4+4)</f>
        <v>2.7000996405354982</v>
      </c>
      <c r="J125" s="3126">
        <f ca="1">OFFSET('Q1'!M317,0,(Last_forecast_year - 3-InputY!$G$3)*4+4)</f>
        <v>2.6728413706528471</v>
      </c>
      <c r="K125" s="3126">
        <f ca="1">OFFSET('Q1'!N317,0,(Last_forecast_year - 3-InputY!$G$3)*4+4)</f>
        <v>2.6731374763846674</v>
      </c>
      <c r="L125" s="3126">
        <f ca="1">OFFSET('Q1'!O317,0,(Last_forecast_year - 3-InputY!$G$3)*4+4)</f>
        <v>2.7085884536913909</v>
      </c>
      <c r="M125" s="3126">
        <f ca="1">OFFSET('Q1'!P317,0,(Last_forecast_year - 3-InputY!$G$3)*4+4)</f>
        <v>2.5208338919720461</v>
      </c>
      <c r="N125" s="3126">
        <f ca="1">OFFSET('Q1'!Q317,0,(Last_forecast_year - 3-InputY!$G$3)*4+4)</f>
        <v>2.2255013487630464</v>
      </c>
      <c r="O125" s="3126">
        <f ca="1">OFFSET('Q1'!R317,0,(Last_forecast_year - 3-InputY!$G$3)*4+4)</f>
        <v>1.939395359138814</v>
      </c>
      <c r="P125" s="26"/>
      <c r="Q125"/>
      <c r="AA125" s="22">
        <v>25</v>
      </c>
      <c r="AB125" s="1040" t="str">
        <f t="shared" si="3"/>
        <v>QUART. HICP (cols 2-13)</v>
      </c>
      <c r="AC125" s="1040">
        <f>CHOOSE(Tables!$U$2,Transfer!CA125,Transfer!CN125,Transfer!DA125,Transfer!DN125,Transfer!EA125)</f>
        <v>-9999</v>
      </c>
      <c r="AD125" s="1040">
        <f>CHOOSE(Tables!$U$2,Transfer!CB125,Transfer!CO125,Transfer!DB125,Transfer!DO125,Transfer!EB125)</f>
        <v>2.2134737160631772</v>
      </c>
      <c r="AE125" s="1040">
        <f>CHOOSE(Tables!$U$2,Transfer!CC125,Transfer!CP125,Transfer!DC125,Transfer!DP125,Transfer!EC125)</f>
        <v>1.39533830231791</v>
      </c>
      <c r="AF125" s="1040">
        <f>CHOOSE(Tables!$U$2,Transfer!CD125,Transfer!CQ125,Transfer!DD125,Transfer!DQ125,Transfer!ED125)</f>
        <v>0.49804025579864231</v>
      </c>
      <c r="AG125" s="1040">
        <f>CHOOSE(Tables!$U$2,Transfer!CE125,Transfer!CR125,Transfer!DE125,Transfer!DR125,Transfer!EE125)</f>
        <v>1.4179761867012246</v>
      </c>
      <c r="AH125" s="1040">
        <f>CHOOSE(Tables!$U$2,Transfer!CF125,Transfer!CS125,Transfer!DF125,Transfer!DS125,Transfer!EF125)</f>
        <v>1.9671138069317493</v>
      </c>
      <c r="AI125" s="1040">
        <f>CHOOSE(Tables!$U$2,Transfer!CG125,Transfer!CT125,Transfer!DG125,Transfer!DT125,Transfer!EG125)</f>
        <v>1.9129540310224797</v>
      </c>
      <c r="AJ125" s="1040">
        <f>CHOOSE(Tables!$U$2,Transfer!CH125,Transfer!CU125,Transfer!DH125,Transfer!DU125,Transfer!EH125)</f>
        <v>2.2710103148114484</v>
      </c>
      <c r="AK125" s="1040">
        <f>CHOOSE(Tables!$U$2,Transfer!CI125,Transfer!CV125,Transfer!DI125,Transfer!DV125,Transfer!EI125)</f>
        <v>1.5486865442106108</v>
      </c>
      <c r="AL125" s="1040">
        <f>CHOOSE(Tables!$U$2,Transfer!CJ125,Transfer!CW125,Transfer!DJ125,Transfer!DW125,Transfer!EJ125)</f>
        <v>2.0402918476092395</v>
      </c>
      <c r="AM125" s="1040">
        <f>CHOOSE(Tables!$U$2,Transfer!CK125,Transfer!CX125,Transfer!DK125,Transfer!DX125,Transfer!EK125)</f>
        <v>2.2687971222933783</v>
      </c>
      <c r="AN125" s="1040">
        <f>CHOOSE(Tables!$U$2,Transfer!CL125,Transfer!CY125,Transfer!DL125,Transfer!DY125,Transfer!EL125)</f>
        <v>2.5171582254108102</v>
      </c>
      <c r="AO125" s="1040">
        <f>CHOOSE(Tables!$U$2,Transfer!CM125,Transfer!CZ125,Transfer!DM125,Transfer!DZ125,Transfer!EM125)</f>
        <v>2.640625269942646</v>
      </c>
      <c r="AR125" s="22">
        <v>25</v>
      </c>
      <c r="AS125" s="16" t="s">
        <v>1853</v>
      </c>
      <c r="AT125" s="25">
        <f t="shared" si="5"/>
        <v>0</v>
      </c>
      <c r="AU125" s="1040">
        <f t="shared" ca="1" si="5"/>
        <v>0.74199262807215405</v>
      </c>
      <c r="AV125" s="1040">
        <f t="shared" ca="1" si="5"/>
        <v>2.0117699431220331</v>
      </c>
      <c r="AW125" s="1040">
        <f t="shared" ca="1" si="5"/>
        <v>3.9510882838138883</v>
      </c>
      <c r="AX125" s="1040">
        <f t="shared" ca="1" si="5"/>
        <v>2.6411556624837971</v>
      </c>
      <c r="AY125" s="1040">
        <f t="shared" ca="1" si="5"/>
        <v>1.2332289871477968</v>
      </c>
      <c r="AZ125" s="1040">
        <f t="shared" ca="1" si="5"/>
        <v>0.78714560951301848</v>
      </c>
      <c r="BA125" s="1040">
        <f t="shared" ca="1" si="5"/>
        <v>0.40183105584139867</v>
      </c>
      <c r="BB125" s="1040">
        <f t="shared" ca="1" si="4"/>
        <v>1.1244509321740566</v>
      </c>
      <c r="BC125" s="1040">
        <f t="shared" ca="1" si="4"/>
        <v>0.66829660608215136</v>
      </c>
      <c r="BD125" s="1040">
        <f t="shared" ca="1" si="4"/>
        <v>0.25203676967866784</v>
      </c>
      <c r="BE125" s="1040">
        <f t="shared" ca="1" si="4"/>
        <v>-0.29165687664776385</v>
      </c>
      <c r="BF125" s="1040">
        <f t="shared" ca="1" si="4"/>
        <v>-0.70122991080383201</v>
      </c>
      <c r="CA125" s="16">
        <v>-9999</v>
      </c>
      <c r="CB125" s="16">
        <v>-1.3311545375982519</v>
      </c>
      <c r="CC125" s="16">
        <v>-0.31460660266289153</v>
      </c>
      <c r="CD125" s="16">
        <v>-0.8800967408956808</v>
      </c>
      <c r="CE125" s="16">
        <v>-0.82293600000001277</v>
      </c>
      <c r="CF125" s="16">
        <v>0.11208240905527589</v>
      </c>
      <c r="CG125" s="16">
        <v>0.89217693440126311</v>
      </c>
      <c r="CH125" s="16">
        <v>0.99534203608790506</v>
      </c>
      <c r="CI125" s="16">
        <v>1.1230359999999848</v>
      </c>
      <c r="CJ125" s="16">
        <v>1.7332528915916043</v>
      </c>
      <c r="CK125" s="16">
        <v>2.047945948784033</v>
      </c>
      <c r="CL125" s="16">
        <v>2.3639903325679086</v>
      </c>
      <c r="CM125" s="16">
        <v>2.6466150000000113</v>
      </c>
      <c r="CN125" s="16">
        <v>-9999</v>
      </c>
      <c r="CO125" s="16">
        <v>0.30681302814632261</v>
      </c>
      <c r="CP125" s="16">
        <v>0.21254853824754605</v>
      </c>
      <c r="CQ125" s="16">
        <v>0.2396072687970161</v>
      </c>
      <c r="CR125" s="16">
        <v>0.17098698776030119</v>
      </c>
      <c r="CS125" s="16">
        <v>-1.6124507826172589</v>
      </c>
      <c r="CT125" s="16">
        <v>-1.4970452400515484</v>
      </c>
      <c r="CU125" s="16">
        <v>-0.29492794547681456</v>
      </c>
      <c r="CV125" s="16">
        <v>0.44352413674629076</v>
      </c>
      <c r="CW125" s="16">
        <v>2.4377844223446061</v>
      </c>
      <c r="CX125" s="16">
        <v>2.329253619191519</v>
      </c>
      <c r="CY125" s="16">
        <v>1.4163462955581849</v>
      </c>
      <c r="CZ125" s="16">
        <v>0.96514881286789489</v>
      </c>
      <c r="DA125" s="16">
        <v>-9999</v>
      </c>
      <c r="DB125" s="16">
        <v>-1.3311545375982519</v>
      </c>
      <c r="DC125" s="16">
        <v>-0.80942240873278593</v>
      </c>
      <c r="DD125" s="16">
        <v>0.14194454198536732</v>
      </c>
      <c r="DE125" s="16">
        <v>0.52555348437270766</v>
      </c>
      <c r="DF125" s="16">
        <v>1.8763925829364183</v>
      </c>
      <c r="DG125" s="16">
        <v>1.5345131918145682</v>
      </c>
      <c r="DH125" s="16">
        <v>1.7903664346300872</v>
      </c>
      <c r="DI125" s="16">
        <v>1.7617964446503294</v>
      </c>
      <c r="DJ125" s="16">
        <v>1.7130935427649234</v>
      </c>
      <c r="DK125" s="16">
        <v>1.7032199573662439</v>
      </c>
      <c r="DL125" s="16">
        <v>1.6961972955199371</v>
      </c>
      <c r="DM125" s="16">
        <v>1.6856473319554368</v>
      </c>
      <c r="DN125" s="16">
        <v>-9999</v>
      </c>
      <c r="DO125" s="16">
        <v>0.30681302814632261</v>
      </c>
      <c r="DP125" s="16">
        <v>0.21254853824754605</v>
      </c>
      <c r="DQ125" s="16">
        <v>0.2396072687970161</v>
      </c>
      <c r="DR125" s="16">
        <v>0.17098698776030119</v>
      </c>
      <c r="DS125" s="16">
        <v>-1.538646864503022</v>
      </c>
      <c r="DT125" s="16">
        <v>-1.2272264791177179</v>
      </c>
      <c r="DU125" s="16">
        <v>0.19980205711679844</v>
      </c>
      <c r="DV125" s="16">
        <v>0.97842638308993912</v>
      </c>
      <c r="DW125" s="16">
        <v>2.4773739090308595</v>
      </c>
      <c r="DX125" s="16">
        <v>1.9061773838810865</v>
      </c>
      <c r="DY125" s="16">
        <v>1.6396830367627331</v>
      </c>
      <c r="DZ125" s="16">
        <v>1.214623051697572</v>
      </c>
      <c r="EA125" s="2197">
        <v>-9999</v>
      </c>
      <c r="EB125" s="2196">
        <v>2.2134737160631772</v>
      </c>
      <c r="EC125" s="2196">
        <v>1.39533830231791</v>
      </c>
      <c r="ED125" s="2196">
        <v>0.49804025579864231</v>
      </c>
      <c r="EE125" s="2196">
        <v>1.4179761867012246</v>
      </c>
      <c r="EF125" s="2196">
        <v>1.9671138069317493</v>
      </c>
      <c r="EG125" s="2196">
        <v>1.9129540310224797</v>
      </c>
      <c r="EH125" s="2196">
        <v>2.2710103148114484</v>
      </c>
      <c r="EI125" s="2196">
        <v>1.5486865442106108</v>
      </c>
      <c r="EJ125" s="2196">
        <v>2.0402918476092395</v>
      </c>
      <c r="EK125" s="2196">
        <v>2.2687971222933783</v>
      </c>
      <c r="EL125" s="2196">
        <v>2.5171582254108102</v>
      </c>
      <c r="EM125" s="2196">
        <v>2.640625269942646</v>
      </c>
    </row>
    <row r="126" spans="1:143">
      <c r="A126" s="22">
        <v>26</v>
      </c>
      <c r="B126" s="30" t="s">
        <v>1705</v>
      </c>
      <c r="C126" s="25">
        <v>-9999</v>
      </c>
      <c r="D126" s="25">
        <v>-9999</v>
      </c>
      <c r="E126" s="25">
        <v>-9999</v>
      </c>
      <c r="F126" s="25">
        <v>-9999</v>
      </c>
      <c r="G126" s="25">
        <v>-9999</v>
      </c>
      <c r="H126" s="25">
        <v>-9999</v>
      </c>
      <c r="I126" s="25">
        <v>-9999</v>
      </c>
      <c r="J126" s="25">
        <v>-9999</v>
      </c>
      <c r="K126" s="25">
        <v>-9999</v>
      </c>
      <c r="L126" s="25">
        <v>-9999</v>
      </c>
      <c r="M126" s="25">
        <v>-9999</v>
      </c>
      <c r="N126" s="25">
        <v>-9999</v>
      </c>
      <c r="O126" s="25">
        <v>-9999</v>
      </c>
      <c r="P126" s="26"/>
      <c r="Q126"/>
      <c r="AA126" s="22">
        <v>26</v>
      </c>
      <c r="AB126" s="1040" t="str">
        <f t="shared" si="3"/>
        <v>FOR FUTURE USE</v>
      </c>
      <c r="AC126" s="1040">
        <f>CHOOSE(Tables!$U$2,Transfer!CA126,Transfer!CN126,Transfer!DA126,Transfer!DN126,Transfer!EA126)</f>
        <v>-9999</v>
      </c>
      <c r="AD126" s="1040">
        <f>CHOOSE(Tables!$U$2,Transfer!CB126,Transfer!CO126,Transfer!DB126,Transfer!DO126,Transfer!EB126)</f>
        <v>-9999</v>
      </c>
      <c r="AE126" s="1040">
        <f>CHOOSE(Tables!$U$2,Transfer!CC126,Transfer!CP126,Transfer!DC126,Transfer!DP126,Transfer!EC126)</f>
        <v>-9999</v>
      </c>
      <c r="AF126" s="1040">
        <f>CHOOSE(Tables!$U$2,Transfer!CD126,Transfer!CQ126,Transfer!DD126,Transfer!DQ126,Transfer!ED126)</f>
        <v>-9999</v>
      </c>
      <c r="AG126" s="1040">
        <f>CHOOSE(Tables!$U$2,Transfer!CE126,Transfer!CR126,Transfer!DE126,Transfer!DR126,Transfer!EE126)</f>
        <v>-9999</v>
      </c>
      <c r="AH126" s="1040">
        <f>CHOOSE(Tables!$U$2,Transfer!CF126,Transfer!CS126,Transfer!DF126,Transfer!DS126,Transfer!EF126)</f>
        <v>-9999</v>
      </c>
      <c r="AI126" s="1040">
        <f>CHOOSE(Tables!$U$2,Transfer!CG126,Transfer!CT126,Transfer!DG126,Transfer!DT126,Transfer!EG126)</f>
        <v>-9999</v>
      </c>
      <c r="AJ126" s="1040">
        <f>CHOOSE(Tables!$U$2,Transfer!CH126,Transfer!CU126,Transfer!DH126,Transfer!DU126,Transfer!EH126)</f>
        <v>-9999</v>
      </c>
      <c r="AK126" s="1040">
        <f>CHOOSE(Tables!$U$2,Transfer!CI126,Transfer!CV126,Transfer!DI126,Transfer!DV126,Transfer!EI126)</f>
        <v>-9999</v>
      </c>
      <c r="AL126" s="1040">
        <f>CHOOSE(Tables!$U$2,Transfer!CJ126,Transfer!CW126,Transfer!DJ126,Transfer!DW126,Transfer!EJ126)</f>
        <v>-9999</v>
      </c>
      <c r="AM126" s="1040">
        <f>CHOOSE(Tables!$U$2,Transfer!CK126,Transfer!CX126,Transfer!DK126,Transfer!DX126,Transfer!EK126)</f>
        <v>-9999</v>
      </c>
      <c r="AN126" s="1040">
        <f>CHOOSE(Tables!$U$2,Transfer!CL126,Transfer!CY126,Transfer!DL126,Transfer!DY126,Transfer!EL126)</f>
        <v>-9999</v>
      </c>
      <c r="AO126" s="1040">
        <f>CHOOSE(Tables!$U$2,Transfer!CM126,Transfer!CZ126,Transfer!DM126,Transfer!DZ126,Transfer!EM126)</f>
        <v>-9999</v>
      </c>
      <c r="AR126" s="22">
        <v>26</v>
      </c>
      <c r="AS126" s="30" t="s">
        <v>1705</v>
      </c>
      <c r="AT126" s="25">
        <f t="shared" si="5"/>
        <v>0</v>
      </c>
      <c r="AU126" s="25">
        <f t="shared" si="5"/>
        <v>0</v>
      </c>
      <c r="AV126" s="25">
        <f t="shared" si="5"/>
        <v>0</v>
      </c>
      <c r="AW126" s="25">
        <f t="shared" si="5"/>
        <v>0</v>
      </c>
      <c r="AX126" s="25">
        <f t="shared" si="5"/>
        <v>0</v>
      </c>
      <c r="AY126" s="25">
        <f t="shared" si="5"/>
        <v>0</v>
      </c>
      <c r="AZ126" s="25">
        <f t="shared" si="5"/>
        <v>0</v>
      </c>
      <c r="BA126" s="25">
        <f t="shared" si="5"/>
        <v>0</v>
      </c>
      <c r="BB126" s="25">
        <f t="shared" si="4"/>
        <v>0</v>
      </c>
      <c r="BC126" s="25">
        <f t="shared" si="4"/>
        <v>0</v>
      </c>
      <c r="BD126" s="25">
        <f t="shared" si="4"/>
        <v>0</v>
      </c>
      <c r="BE126" s="25">
        <f t="shared" si="4"/>
        <v>0</v>
      </c>
      <c r="BF126" s="25">
        <f t="shared" si="4"/>
        <v>0</v>
      </c>
      <c r="CA126" s="16">
        <v>-9999</v>
      </c>
      <c r="CB126" s="16">
        <v>-9999</v>
      </c>
      <c r="CC126" s="16">
        <v>-9999</v>
      </c>
      <c r="CD126" s="16">
        <v>-9999</v>
      </c>
      <c r="CE126" s="16">
        <v>-9999</v>
      </c>
      <c r="CF126" s="16">
        <v>-9999</v>
      </c>
      <c r="CG126" s="16">
        <v>-9999</v>
      </c>
      <c r="CH126" s="16">
        <v>-9999</v>
      </c>
      <c r="CI126" s="16">
        <v>-9999</v>
      </c>
      <c r="CJ126" s="16">
        <v>-9999</v>
      </c>
      <c r="CK126" s="16">
        <v>-9999</v>
      </c>
      <c r="CL126" s="16">
        <v>-9999</v>
      </c>
      <c r="CM126" s="16">
        <v>-9999</v>
      </c>
      <c r="CN126" s="16">
        <v>-9999</v>
      </c>
      <c r="CO126" s="16">
        <v>-9999</v>
      </c>
      <c r="CP126" s="16">
        <v>-9999</v>
      </c>
      <c r="CQ126" s="16">
        <v>-9999</v>
      </c>
      <c r="CR126" s="16">
        <v>-9999</v>
      </c>
      <c r="CS126" s="16">
        <v>-9999</v>
      </c>
      <c r="CT126" s="16">
        <v>-9999</v>
      </c>
      <c r="CU126" s="16">
        <v>-9999</v>
      </c>
      <c r="CV126" s="16">
        <v>-9999</v>
      </c>
      <c r="CW126" s="16">
        <v>-9999</v>
      </c>
      <c r="CX126" s="16">
        <v>-9999</v>
      </c>
      <c r="CY126" s="16">
        <v>-9999</v>
      </c>
      <c r="CZ126" s="16">
        <v>-9999</v>
      </c>
      <c r="DA126" s="16">
        <v>-9999</v>
      </c>
      <c r="DB126" s="16">
        <v>-9999</v>
      </c>
      <c r="DC126" s="16">
        <v>-9999</v>
      </c>
      <c r="DD126" s="16">
        <v>-9999</v>
      </c>
      <c r="DE126" s="16">
        <v>-9999</v>
      </c>
      <c r="DF126" s="16">
        <v>-9999</v>
      </c>
      <c r="DG126" s="16">
        <v>-9999</v>
      </c>
      <c r="DH126" s="16">
        <v>-9999</v>
      </c>
      <c r="DI126" s="16">
        <v>-9999</v>
      </c>
      <c r="DJ126" s="16">
        <v>-9999</v>
      </c>
      <c r="DK126" s="16">
        <v>-9999</v>
      </c>
      <c r="DL126" s="16">
        <v>-9999</v>
      </c>
      <c r="DM126" s="16">
        <v>-9999</v>
      </c>
      <c r="DN126" s="16">
        <v>-9999</v>
      </c>
      <c r="DO126" s="16">
        <v>-9999</v>
      </c>
      <c r="DP126" s="16">
        <v>-9999</v>
      </c>
      <c r="DQ126" s="16">
        <v>-9999</v>
      </c>
      <c r="DR126" s="16">
        <v>-9999</v>
      </c>
      <c r="DS126" s="16">
        <v>-9999</v>
      </c>
      <c r="DT126" s="16">
        <v>-9999</v>
      </c>
      <c r="DU126" s="16">
        <v>-9999</v>
      </c>
      <c r="DV126" s="16">
        <v>-9999</v>
      </c>
      <c r="DW126" s="16">
        <v>-9999</v>
      </c>
      <c r="DX126" s="16">
        <v>-9999</v>
      </c>
      <c r="DY126" s="16">
        <v>-9999</v>
      </c>
      <c r="DZ126" s="16">
        <v>-9999</v>
      </c>
      <c r="EA126" s="2197">
        <v>-9999</v>
      </c>
      <c r="EB126" s="2197">
        <v>-9999</v>
      </c>
      <c r="EC126" s="2197">
        <v>-9999</v>
      </c>
      <c r="ED126" s="2197">
        <v>-9999</v>
      </c>
      <c r="EE126" s="2197">
        <v>-9999</v>
      </c>
      <c r="EF126" s="2197">
        <v>-9999</v>
      </c>
      <c r="EG126" s="2197">
        <v>-9999</v>
      </c>
      <c r="EH126" s="2197">
        <v>-9999</v>
      </c>
      <c r="EI126" s="2197">
        <v>-9999</v>
      </c>
      <c r="EJ126" s="2197">
        <v>-9999</v>
      </c>
      <c r="EK126" s="2197">
        <v>-9999</v>
      </c>
      <c r="EL126" s="2197">
        <v>-9999</v>
      </c>
      <c r="EM126" s="2197">
        <v>-9999</v>
      </c>
    </row>
    <row r="127" spans="1:143">
      <c r="A127" s="22">
        <v>27</v>
      </c>
      <c r="B127" s="30" t="s">
        <v>1705</v>
      </c>
      <c r="C127" s="25">
        <v>-9999</v>
      </c>
      <c r="D127" s="25">
        <v>-9999</v>
      </c>
      <c r="E127" s="25">
        <v>-9999</v>
      </c>
      <c r="F127" s="25">
        <v>-9999</v>
      </c>
      <c r="G127" s="25">
        <v>-9999</v>
      </c>
      <c r="H127" s="25">
        <v>-9999</v>
      </c>
      <c r="I127" s="25">
        <v>-9999</v>
      </c>
      <c r="J127" s="25">
        <v>-9999</v>
      </c>
      <c r="K127" s="25">
        <v>-9999</v>
      </c>
      <c r="L127" s="25">
        <v>-9999</v>
      </c>
      <c r="M127" s="25">
        <v>-9999</v>
      </c>
      <c r="N127" s="25">
        <v>-9999</v>
      </c>
      <c r="O127" s="25">
        <v>-9999</v>
      </c>
      <c r="P127" s="26"/>
      <c r="Q127"/>
      <c r="AA127" s="22">
        <v>27</v>
      </c>
      <c r="AB127" s="1040" t="str">
        <f t="shared" si="3"/>
        <v>FOR FUTURE USE</v>
      </c>
      <c r="AC127" s="1040">
        <f>CHOOSE(Tables!$U$2,Transfer!CA127,Transfer!CN127,Transfer!DA127,Transfer!DN127,Transfer!EA127)</f>
        <v>-9999</v>
      </c>
      <c r="AD127" s="1040">
        <f>CHOOSE(Tables!$U$2,Transfer!CB127,Transfer!CO127,Transfer!DB127,Transfer!DO127,Transfer!EB127)</f>
        <v>-9999</v>
      </c>
      <c r="AE127" s="1040">
        <f>CHOOSE(Tables!$U$2,Transfer!CC127,Transfer!CP127,Transfer!DC127,Transfer!DP127,Transfer!EC127)</f>
        <v>-9999</v>
      </c>
      <c r="AF127" s="1040">
        <f>CHOOSE(Tables!$U$2,Transfer!CD127,Transfer!CQ127,Transfer!DD127,Transfer!DQ127,Transfer!ED127)</f>
        <v>-9999</v>
      </c>
      <c r="AG127" s="1040">
        <f>CHOOSE(Tables!$U$2,Transfer!CE127,Transfer!CR127,Transfer!DE127,Transfer!DR127,Transfer!EE127)</f>
        <v>-9999</v>
      </c>
      <c r="AH127" s="1040">
        <f>CHOOSE(Tables!$U$2,Transfer!CF127,Transfer!CS127,Transfer!DF127,Transfer!DS127,Transfer!EF127)</f>
        <v>-9999</v>
      </c>
      <c r="AI127" s="1040">
        <f>CHOOSE(Tables!$U$2,Transfer!CG127,Transfer!CT127,Transfer!DG127,Transfer!DT127,Transfer!EG127)</f>
        <v>-9999</v>
      </c>
      <c r="AJ127" s="1040">
        <f>CHOOSE(Tables!$U$2,Transfer!CH127,Transfer!CU127,Transfer!DH127,Transfer!DU127,Transfer!EH127)</f>
        <v>-9999</v>
      </c>
      <c r="AK127" s="1040">
        <f>CHOOSE(Tables!$U$2,Transfer!CI127,Transfer!CV127,Transfer!DI127,Transfer!DV127,Transfer!EI127)</f>
        <v>-9999</v>
      </c>
      <c r="AL127" s="1040">
        <f>CHOOSE(Tables!$U$2,Transfer!CJ127,Transfer!CW127,Transfer!DJ127,Transfer!DW127,Transfer!EJ127)</f>
        <v>-9999</v>
      </c>
      <c r="AM127" s="1040">
        <f>CHOOSE(Tables!$U$2,Transfer!CK127,Transfer!CX127,Transfer!DK127,Transfer!DX127,Transfer!EK127)</f>
        <v>-9999</v>
      </c>
      <c r="AN127" s="1040">
        <f>CHOOSE(Tables!$U$2,Transfer!CL127,Transfer!CY127,Transfer!DL127,Transfer!DY127,Transfer!EL127)</f>
        <v>-9999</v>
      </c>
      <c r="AO127" s="1040">
        <f>CHOOSE(Tables!$U$2,Transfer!CM127,Transfer!CZ127,Transfer!DM127,Transfer!DZ127,Transfer!EM127)</f>
        <v>-9999</v>
      </c>
      <c r="AR127" s="22">
        <v>27</v>
      </c>
      <c r="AS127" s="30" t="s">
        <v>1705</v>
      </c>
      <c r="AT127" s="25">
        <f t="shared" si="5"/>
        <v>0</v>
      </c>
      <c r="AU127" s="25">
        <f t="shared" si="5"/>
        <v>0</v>
      </c>
      <c r="AV127" s="25">
        <f t="shared" si="5"/>
        <v>0</v>
      </c>
      <c r="AW127" s="25">
        <f t="shared" si="5"/>
        <v>0</v>
      </c>
      <c r="AX127" s="25">
        <f t="shared" si="5"/>
        <v>0</v>
      </c>
      <c r="AY127" s="25">
        <f t="shared" si="5"/>
        <v>0</v>
      </c>
      <c r="AZ127" s="25">
        <f t="shared" si="5"/>
        <v>0</v>
      </c>
      <c r="BA127" s="25">
        <f t="shared" si="5"/>
        <v>0</v>
      </c>
      <c r="BB127" s="25">
        <f t="shared" si="4"/>
        <v>0</v>
      </c>
      <c r="BC127" s="25">
        <f t="shared" si="4"/>
        <v>0</v>
      </c>
      <c r="BD127" s="25">
        <f t="shared" si="4"/>
        <v>0</v>
      </c>
      <c r="BE127" s="25">
        <f t="shared" si="4"/>
        <v>0</v>
      </c>
      <c r="BF127" s="25">
        <f t="shared" si="4"/>
        <v>0</v>
      </c>
      <c r="CA127" s="16">
        <v>-9999</v>
      </c>
      <c r="CB127" s="16">
        <v>-9999</v>
      </c>
      <c r="CC127" s="16">
        <v>-9999</v>
      </c>
      <c r="CD127" s="16">
        <v>-9999</v>
      </c>
      <c r="CE127" s="16">
        <v>-9999</v>
      </c>
      <c r="CF127" s="16">
        <v>-9999</v>
      </c>
      <c r="CG127" s="16">
        <v>-9999</v>
      </c>
      <c r="CH127" s="16">
        <v>-9999</v>
      </c>
      <c r="CI127" s="16">
        <v>-9999</v>
      </c>
      <c r="CJ127" s="16">
        <v>-9999</v>
      </c>
      <c r="CK127" s="16">
        <v>-9999</v>
      </c>
      <c r="CL127" s="16">
        <v>-9999</v>
      </c>
      <c r="CM127" s="16">
        <v>-9999</v>
      </c>
      <c r="CN127" s="16">
        <v>-9999</v>
      </c>
      <c r="CO127" s="16">
        <v>-9999</v>
      </c>
      <c r="CP127" s="16">
        <v>-9999</v>
      </c>
      <c r="CQ127" s="16">
        <v>-9999</v>
      </c>
      <c r="CR127" s="16">
        <v>-9999</v>
      </c>
      <c r="CS127" s="16">
        <v>-9999</v>
      </c>
      <c r="CT127" s="16">
        <v>-9999</v>
      </c>
      <c r="CU127" s="16">
        <v>-9999</v>
      </c>
      <c r="CV127" s="16">
        <v>-9999</v>
      </c>
      <c r="CW127" s="16">
        <v>-9999</v>
      </c>
      <c r="CX127" s="16">
        <v>-9999</v>
      </c>
      <c r="CY127" s="16">
        <v>-9999</v>
      </c>
      <c r="CZ127" s="16">
        <v>-9999</v>
      </c>
      <c r="DA127" s="16">
        <v>-9999</v>
      </c>
      <c r="DB127" s="16">
        <v>-9999</v>
      </c>
      <c r="DC127" s="16">
        <v>-9999</v>
      </c>
      <c r="DD127" s="16">
        <v>-9999</v>
      </c>
      <c r="DE127" s="16">
        <v>-9999</v>
      </c>
      <c r="DF127" s="16">
        <v>-9999</v>
      </c>
      <c r="DG127" s="16">
        <v>-9999</v>
      </c>
      <c r="DH127" s="16">
        <v>-9999</v>
      </c>
      <c r="DI127" s="16">
        <v>-9999</v>
      </c>
      <c r="DJ127" s="16">
        <v>-9999</v>
      </c>
      <c r="DK127" s="16">
        <v>-9999</v>
      </c>
      <c r="DL127" s="16">
        <v>-9999</v>
      </c>
      <c r="DM127" s="16">
        <v>-9999</v>
      </c>
      <c r="DN127" s="16">
        <v>-9999</v>
      </c>
      <c r="DO127" s="16">
        <v>-9999</v>
      </c>
      <c r="DP127" s="16">
        <v>-9999</v>
      </c>
      <c r="DQ127" s="16">
        <v>-9999</v>
      </c>
      <c r="DR127" s="16">
        <v>-9999</v>
      </c>
      <c r="DS127" s="16">
        <v>-9999</v>
      </c>
      <c r="DT127" s="16">
        <v>-9999</v>
      </c>
      <c r="DU127" s="16">
        <v>-9999</v>
      </c>
      <c r="DV127" s="16">
        <v>-9999</v>
      </c>
      <c r="DW127" s="16">
        <v>-9999</v>
      </c>
      <c r="DX127" s="16">
        <v>-9999</v>
      </c>
      <c r="DY127" s="16">
        <v>-9999</v>
      </c>
      <c r="DZ127" s="16">
        <v>-9999</v>
      </c>
      <c r="EA127" s="2197">
        <v>-9999</v>
      </c>
      <c r="EB127" s="2197">
        <v>-9999</v>
      </c>
      <c r="EC127" s="2197">
        <v>-9999</v>
      </c>
      <c r="ED127" s="2197">
        <v>-9999</v>
      </c>
      <c r="EE127" s="2197">
        <v>-9999</v>
      </c>
      <c r="EF127" s="2197">
        <v>-9999</v>
      </c>
      <c r="EG127" s="2197">
        <v>-9999</v>
      </c>
      <c r="EH127" s="2197">
        <v>-9999</v>
      </c>
      <c r="EI127" s="2197">
        <v>-9999</v>
      </c>
      <c r="EJ127" s="2197">
        <v>-9999</v>
      </c>
      <c r="EK127" s="2197">
        <v>-9999</v>
      </c>
      <c r="EL127" s="2197">
        <v>-9999</v>
      </c>
      <c r="EM127" s="2197">
        <v>-9999</v>
      </c>
    </row>
    <row r="128" spans="1:143">
      <c r="A128" s="22">
        <v>28</v>
      </c>
      <c r="B128" s="220" t="s">
        <v>1854</v>
      </c>
      <c r="C128" s="3163">
        <f ca="1">OFFSET('VVP2'!F177,0,Last_forecast_year - 3-InputY!$G$3)</f>
        <v>1.3409853658536586</v>
      </c>
      <c r="D128" s="3163">
        <f ca="1">OFFSET('VVP2'!G177,0,Last_forecast_year - 3-InputY!$G$3)</f>
        <v>1.1652424242424242</v>
      </c>
      <c r="E128" s="3163">
        <f ca="1">OFFSET('VVP2'!H177,0,Last_forecast_year - 3-InputY!$G$3)</f>
        <v>1.1881976999999999</v>
      </c>
      <c r="F128" s="3163">
        <f ca="1">OFFSET('VVP2'!I177,0,Last_forecast_year - 3-InputY!$G$3)</f>
        <v>1.3153341409813797</v>
      </c>
      <c r="G128" s="3163">
        <f ca="1">OFFSET('VVP2'!J177,0,Last_forecast_year - 3-InputY!$G$3)</f>
        <v>1.4157599026453078</v>
      </c>
      <c r="H128" s="25">
        <v>-9999</v>
      </c>
      <c r="I128" s="25">
        <v>-9999</v>
      </c>
      <c r="J128" s="25">
        <v>-9999</v>
      </c>
      <c r="K128" s="25">
        <v>-9999</v>
      </c>
      <c r="L128" s="25">
        <v>-9999</v>
      </c>
      <c r="M128" s="25">
        <v>-9999</v>
      </c>
      <c r="N128" s="25">
        <v>-9999</v>
      </c>
      <c r="O128" s="25">
        <v>-9999</v>
      </c>
      <c r="P128" s="32"/>
      <c r="Q128"/>
      <c r="AA128" s="22">
        <v>28</v>
      </c>
      <c r="AB128" s="1040" t="str">
        <f t="shared" si="3"/>
        <v xml:space="preserve">VOL. FIXED INVESTMENT GOVERNMENT  </v>
      </c>
      <c r="AC128" s="1040">
        <f>CHOOSE(Tables!$U$2,Transfer!CA128,Transfer!CN128,Transfer!DA128,Transfer!DN128,Transfer!EA128)</f>
        <v>4.5438731707317075</v>
      </c>
      <c r="AD128" s="1040">
        <f>CHOOSE(Tables!$U$2,Transfer!CB128,Transfer!CO128,Transfer!DB128,Transfer!DO128,Transfer!EB128)</f>
        <v>4.250299334701805</v>
      </c>
      <c r="AE128" s="1040">
        <f>CHOOSE(Tables!$U$2,Transfer!CC128,Transfer!CP128,Transfer!DC128,Transfer!DP128,Transfer!EC128)</f>
        <v>4.3462156784253363</v>
      </c>
      <c r="AF128" s="1040">
        <f>CHOOSE(Tables!$U$2,Transfer!CD128,Transfer!CQ128,Transfer!DD128,Transfer!DQ128,Transfer!ED128)</f>
        <v>4.4950301032546198</v>
      </c>
      <c r="AG128" s="1040">
        <f>CHOOSE(Tables!$U$2,Transfer!CE128,Transfer!CR128,Transfer!DE128,Transfer!DR128,Transfer!EE128)</f>
        <v>4.6761798164157806</v>
      </c>
      <c r="AH128" s="1040">
        <f>CHOOSE(Tables!$U$2,Transfer!CF128,Transfer!CS128,Transfer!DF128,Transfer!DS128,Transfer!EF128)</f>
        <v>-9999</v>
      </c>
      <c r="AI128" s="1040">
        <f>CHOOSE(Tables!$U$2,Transfer!CG128,Transfer!CT128,Transfer!DG128,Transfer!DT128,Transfer!EG128)</f>
        <v>-9999</v>
      </c>
      <c r="AJ128" s="1040">
        <f>CHOOSE(Tables!$U$2,Transfer!CH128,Transfer!CU128,Transfer!DH128,Transfer!DU128,Transfer!EH128)</f>
        <v>-9999</v>
      </c>
      <c r="AK128" s="1040">
        <f>CHOOSE(Tables!$U$2,Transfer!CI128,Transfer!CV128,Transfer!DI128,Transfer!DV128,Transfer!EI128)</f>
        <v>-9999</v>
      </c>
      <c r="AL128" s="1040">
        <f>CHOOSE(Tables!$U$2,Transfer!CJ128,Transfer!CW128,Transfer!DJ128,Transfer!DW128,Transfer!EJ128)</f>
        <v>-9999</v>
      </c>
      <c r="AM128" s="1040">
        <f>CHOOSE(Tables!$U$2,Transfer!CK128,Transfer!CX128,Transfer!DK128,Transfer!DX128,Transfer!EK128)</f>
        <v>-9999</v>
      </c>
      <c r="AN128" s="1040">
        <f>CHOOSE(Tables!$U$2,Transfer!CL128,Transfer!CY128,Transfer!DL128,Transfer!DY128,Transfer!EL128)</f>
        <v>-9999</v>
      </c>
      <c r="AO128" s="1040">
        <f>CHOOSE(Tables!$U$2,Transfer!CM128,Transfer!CZ128,Transfer!DM128,Transfer!DZ128,Transfer!EM128)</f>
        <v>-9999</v>
      </c>
      <c r="AR128" s="22">
        <v>28</v>
      </c>
      <c r="AS128" s="1" t="s">
        <v>1854</v>
      </c>
      <c r="AT128" s="24">
        <f t="shared" ca="1" si="5"/>
        <v>-3.2028878048780491</v>
      </c>
      <c r="AU128" s="24">
        <f t="shared" ca="1" si="5"/>
        <v>-3.0850569104593806</v>
      </c>
      <c r="AV128" s="24">
        <f t="shared" ca="1" si="5"/>
        <v>-3.1580179784253364</v>
      </c>
      <c r="AW128" s="24">
        <f t="shared" ca="1" si="5"/>
        <v>-3.1796959622732404</v>
      </c>
      <c r="AX128" s="24">
        <f t="shared" ca="1" si="5"/>
        <v>-3.2604199137704728</v>
      </c>
      <c r="AY128" s="25">
        <f t="shared" si="5"/>
        <v>0</v>
      </c>
      <c r="AZ128" s="25">
        <f t="shared" si="5"/>
        <v>0</v>
      </c>
      <c r="BA128" s="25">
        <f t="shared" si="5"/>
        <v>0</v>
      </c>
      <c r="BB128" s="25">
        <f t="shared" si="4"/>
        <v>0</v>
      </c>
      <c r="BC128" s="25">
        <f t="shared" si="4"/>
        <v>0</v>
      </c>
      <c r="BD128" s="25">
        <f t="shared" si="4"/>
        <v>0</v>
      </c>
      <c r="BE128" s="25">
        <f t="shared" si="4"/>
        <v>0</v>
      </c>
      <c r="BF128" s="25">
        <f t="shared" si="4"/>
        <v>0</v>
      </c>
      <c r="CA128" s="16">
        <v>1.3329616499999999</v>
      </c>
      <c r="CB128" s="16">
        <v>1.3236656</v>
      </c>
      <c r="CC128" s="16">
        <v>1.3104756</v>
      </c>
      <c r="CD128" s="16">
        <v>1.2370234426199997</v>
      </c>
      <c r="CE128" s="16">
        <v>1.3368512344394339</v>
      </c>
      <c r="CF128" s="16">
        <v>-9999</v>
      </c>
      <c r="CG128" s="16">
        <v>-9999</v>
      </c>
      <c r="CH128" s="16">
        <v>-9999</v>
      </c>
      <c r="CI128" s="16">
        <v>-9999</v>
      </c>
      <c r="CJ128" s="16">
        <v>-9999</v>
      </c>
      <c r="CK128" s="16">
        <v>-9999</v>
      </c>
      <c r="CL128" s="16">
        <v>-9999</v>
      </c>
      <c r="CM128" s="16">
        <v>-9999</v>
      </c>
      <c r="CN128" s="16">
        <v>1.3383280000741564</v>
      </c>
      <c r="CO128" s="16">
        <v>1.3194816352499998</v>
      </c>
      <c r="CP128" s="16">
        <v>1.2901808074000001</v>
      </c>
      <c r="CQ128" s="16">
        <v>1.3403017514058753</v>
      </c>
      <c r="CR128" s="16">
        <v>1.3942790536893683</v>
      </c>
      <c r="CS128" s="16">
        <v>-9999</v>
      </c>
      <c r="CT128" s="16">
        <v>-9999</v>
      </c>
      <c r="CU128" s="16">
        <v>-9999</v>
      </c>
      <c r="CV128" s="16">
        <v>-9999</v>
      </c>
      <c r="CW128" s="16">
        <v>-9999</v>
      </c>
      <c r="CX128" s="16">
        <v>-9999</v>
      </c>
      <c r="CY128" s="16">
        <v>-9999</v>
      </c>
      <c r="CZ128" s="16">
        <v>-9999</v>
      </c>
      <c r="DA128" s="16">
        <v>1.3194846</v>
      </c>
      <c r="DB128" s="16">
        <v>1.2901841000000003</v>
      </c>
      <c r="DC128" s="16">
        <v>1.2935742000000001</v>
      </c>
      <c r="DD128" s="16">
        <v>1.3405296498857999</v>
      </c>
      <c r="DE128" s="16">
        <v>1.3877833200442742</v>
      </c>
      <c r="DF128" s="16">
        <v>-9999</v>
      </c>
      <c r="DG128" s="16">
        <v>-9999</v>
      </c>
      <c r="DH128" s="16">
        <v>-9999</v>
      </c>
      <c r="DI128" s="16">
        <v>-9999</v>
      </c>
      <c r="DJ128" s="16">
        <v>-9999</v>
      </c>
      <c r="DK128" s="16">
        <v>-9999</v>
      </c>
      <c r="DL128" s="16">
        <v>-9999</v>
      </c>
      <c r="DM128" s="16">
        <v>-9999</v>
      </c>
      <c r="DN128" s="16">
        <v>1.3383304640316707</v>
      </c>
      <c r="DO128" s="16">
        <v>1.3194846</v>
      </c>
      <c r="DP128" s="16">
        <v>1.2901841000000003</v>
      </c>
      <c r="DQ128" s="16">
        <v>1.3403051719168002</v>
      </c>
      <c r="DR128" s="16">
        <v>1.3942826119528193</v>
      </c>
      <c r="DS128" s="16">
        <v>-9999</v>
      </c>
      <c r="DT128" s="16">
        <v>-9999</v>
      </c>
      <c r="DU128" s="16">
        <v>-9999</v>
      </c>
      <c r="DV128" s="16">
        <v>-9999</v>
      </c>
      <c r="DW128" s="16">
        <v>-9999</v>
      </c>
      <c r="DX128" s="16">
        <v>-9999</v>
      </c>
      <c r="DY128" s="16">
        <v>-9999</v>
      </c>
      <c r="DZ128" s="16">
        <v>-9999</v>
      </c>
      <c r="EA128" s="2196">
        <v>4.5438731707317075</v>
      </c>
      <c r="EB128" s="2196">
        <v>4.250299334701805</v>
      </c>
      <c r="EC128" s="2196">
        <v>4.3462156784253363</v>
      </c>
      <c r="ED128" s="2196">
        <v>4.4950301032546198</v>
      </c>
      <c r="EE128" s="2196">
        <v>4.6761798164157806</v>
      </c>
      <c r="EF128" s="2197">
        <v>-9999</v>
      </c>
      <c r="EG128" s="2197">
        <v>-9999</v>
      </c>
      <c r="EH128" s="2197">
        <v>-9999</v>
      </c>
      <c r="EI128" s="2197">
        <v>-9999</v>
      </c>
      <c r="EJ128" s="2197">
        <v>-9999</v>
      </c>
      <c r="EK128" s="2197">
        <v>-9999</v>
      </c>
      <c r="EL128" s="2197">
        <v>-9999</v>
      </c>
      <c r="EM128" s="2197">
        <v>-9999</v>
      </c>
    </row>
    <row r="129" spans="1:143">
      <c r="A129" s="22">
        <v>29</v>
      </c>
      <c r="B129" s="30" t="s">
        <v>1705</v>
      </c>
      <c r="C129" s="25">
        <v>-9999</v>
      </c>
      <c r="D129" s="25">
        <v>-9999</v>
      </c>
      <c r="E129" s="25">
        <v>-9999</v>
      </c>
      <c r="F129" s="25">
        <v>-9999</v>
      </c>
      <c r="G129" s="25">
        <v>-9999</v>
      </c>
      <c r="H129" s="25">
        <v>-9999</v>
      </c>
      <c r="I129" s="25">
        <v>-9999</v>
      </c>
      <c r="J129" s="25">
        <v>-9999</v>
      </c>
      <c r="K129" s="25">
        <v>-9999</v>
      </c>
      <c r="L129" s="25">
        <v>-9999</v>
      </c>
      <c r="M129" s="25">
        <v>-9999</v>
      </c>
      <c r="N129" s="25">
        <v>-9999</v>
      </c>
      <c r="O129" s="25">
        <v>-9999</v>
      </c>
      <c r="P129" s="32"/>
      <c r="Q129"/>
      <c r="AA129" s="22">
        <v>29</v>
      </c>
      <c r="AB129" s="1040" t="str">
        <f t="shared" si="3"/>
        <v>FOR FUTURE USE</v>
      </c>
      <c r="AC129" s="1040">
        <f>CHOOSE(Tables!$U$2,Transfer!CA129,Transfer!CN129,Transfer!DA129,Transfer!DN129,Transfer!EA129)</f>
        <v>-9999</v>
      </c>
      <c r="AD129" s="1040">
        <f>CHOOSE(Tables!$U$2,Transfer!CB129,Transfer!CO129,Transfer!DB129,Transfer!DO129,Transfer!EB129)</f>
        <v>-9999</v>
      </c>
      <c r="AE129" s="1040">
        <f>CHOOSE(Tables!$U$2,Transfer!CC129,Transfer!CP129,Transfer!DC129,Transfer!DP129,Transfer!EC129)</f>
        <v>-9999</v>
      </c>
      <c r="AF129" s="1040">
        <f>CHOOSE(Tables!$U$2,Transfer!CD129,Transfer!CQ129,Transfer!DD129,Transfer!DQ129,Transfer!ED129)</f>
        <v>-9999</v>
      </c>
      <c r="AG129" s="1040">
        <f>CHOOSE(Tables!$U$2,Transfer!CE129,Transfer!CR129,Transfer!DE129,Transfer!DR129,Transfer!EE129)</f>
        <v>-9999</v>
      </c>
      <c r="AH129" s="1040">
        <f>CHOOSE(Tables!$U$2,Transfer!CF129,Transfer!CS129,Transfer!DF129,Transfer!DS129,Transfer!EF129)</f>
        <v>-9999</v>
      </c>
      <c r="AI129" s="1040">
        <f>CHOOSE(Tables!$U$2,Transfer!CG129,Transfer!CT129,Transfer!DG129,Transfer!DT129,Transfer!EG129)</f>
        <v>-9999</v>
      </c>
      <c r="AJ129" s="1040">
        <f>CHOOSE(Tables!$U$2,Transfer!CH129,Transfer!CU129,Transfer!DH129,Transfer!DU129,Transfer!EH129)</f>
        <v>-9999</v>
      </c>
      <c r="AK129" s="1040">
        <f>CHOOSE(Tables!$U$2,Transfer!CI129,Transfer!CV129,Transfer!DI129,Transfer!DV129,Transfer!EI129)</f>
        <v>-9999</v>
      </c>
      <c r="AL129" s="1040">
        <f>CHOOSE(Tables!$U$2,Transfer!CJ129,Transfer!CW129,Transfer!DJ129,Transfer!DW129,Transfer!EJ129)</f>
        <v>-9999</v>
      </c>
      <c r="AM129" s="1040">
        <f>CHOOSE(Tables!$U$2,Transfer!CK129,Transfer!CX129,Transfer!DK129,Transfer!DX129,Transfer!EK129)</f>
        <v>-9999</v>
      </c>
      <c r="AN129" s="1040">
        <f>CHOOSE(Tables!$U$2,Transfer!CL129,Transfer!CY129,Transfer!DL129,Transfer!DY129,Transfer!EL129)</f>
        <v>-9999</v>
      </c>
      <c r="AO129" s="1040">
        <f>CHOOSE(Tables!$U$2,Transfer!CM129,Transfer!CZ129,Transfer!DM129,Transfer!DZ129,Transfer!EM129)</f>
        <v>-9999</v>
      </c>
      <c r="AR129" s="22">
        <v>29</v>
      </c>
      <c r="AS129" s="31" t="s">
        <v>1856</v>
      </c>
      <c r="AT129" s="24">
        <f t="shared" si="5"/>
        <v>0</v>
      </c>
      <c r="AU129" s="24">
        <f t="shared" si="5"/>
        <v>0</v>
      </c>
      <c r="AV129" s="24">
        <f t="shared" si="5"/>
        <v>0</v>
      </c>
      <c r="AW129" s="24">
        <f t="shared" si="5"/>
        <v>0</v>
      </c>
      <c r="AX129" s="24">
        <f t="shared" si="5"/>
        <v>0</v>
      </c>
      <c r="AY129" s="25">
        <f t="shared" si="5"/>
        <v>0</v>
      </c>
      <c r="AZ129" s="25">
        <f t="shared" si="5"/>
        <v>0</v>
      </c>
      <c r="BA129" s="25">
        <f t="shared" si="5"/>
        <v>0</v>
      </c>
      <c r="BB129" s="25">
        <f t="shared" si="4"/>
        <v>0</v>
      </c>
      <c r="BC129" s="25">
        <f t="shared" si="4"/>
        <v>0</v>
      </c>
      <c r="BD129" s="25">
        <f t="shared" si="4"/>
        <v>0</v>
      </c>
      <c r="BE129" s="25">
        <f t="shared" si="4"/>
        <v>0</v>
      </c>
      <c r="BF129" s="25">
        <f t="shared" si="4"/>
        <v>0</v>
      </c>
      <c r="CA129" s="16">
        <v>-9999</v>
      </c>
      <c r="CB129" s="16">
        <v>-9999</v>
      </c>
      <c r="CC129" s="16">
        <v>-9999</v>
      </c>
      <c r="CD129" s="16">
        <v>-9999</v>
      </c>
      <c r="CE129" s="16">
        <v>-9999</v>
      </c>
      <c r="CF129" s="16">
        <v>-9999</v>
      </c>
      <c r="CG129" s="16">
        <v>-9999</v>
      </c>
      <c r="CH129" s="16">
        <v>-9999</v>
      </c>
      <c r="CI129" s="16">
        <v>-9999</v>
      </c>
      <c r="CJ129" s="16">
        <v>-9999</v>
      </c>
      <c r="CK129" s="16">
        <v>-9999</v>
      </c>
      <c r="CL129" s="16">
        <v>-9999</v>
      </c>
      <c r="CM129" s="16">
        <v>-9999</v>
      </c>
      <c r="CN129" s="16">
        <v>-9999</v>
      </c>
      <c r="CO129" s="16">
        <v>-9999</v>
      </c>
      <c r="CP129" s="16">
        <v>-9999</v>
      </c>
      <c r="CQ129" s="16">
        <v>-9999</v>
      </c>
      <c r="CR129" s="16">
        <v>-9999</v>
      </c>
      <c r="CS129" s="16">
        <v>-9999</v>
      </c>
      <c r="CT129" s="16">
        <v>-9999</v>
      </c>
      <c r="CU129" s="16">
        <v>-9999</v>
      </c>
      <c r="CV129" s="16">
        <v>-9999</v>
      </c>
      <c r="CW129" s="16">
        <v>-9999</v>
      </c>
      <c r="CX129" s="16">
        <v>-9999</v>
      </c>
      <c r="CY129" s="16">
        <v>-9999</v>
      </c>
      <c r="CZ129" s="16">
        <v>-9999</v>
      </c>
      <c r="DA129" s="16">
        <v>-9999</v>
      </c>
      <c r="DB129" s="16">
        <v>-9999</v>
      </c>
      <c r="DC129" s="16">
        <v>-9999</v>
      </c>
      <c r="DD129" s="16">
        <v>-9999</v>
      </c>
      <c r="DE129" s="16">
        <v>-9999</v>
      </c>
      <c r="DF129" s="16">
        <v>-9999</v>
      </c>
      <c r="DG129" s="16">
        <v>-9999</v>
      </c>
      <c r="DH129" s="16">
        <v>-9999</v>
      </c>
      <c r="DI129" s="16">
        <v>-9999</v>
      </c>
      <c r="DJ129" s="16">
        <v>-9999</v>
      </c>
      <c r="DK129" s="16">
        <v>-9999</v>
      </c>
      <c r="DL129" s="16">
        <v>-9999</v>
      </c>
      <c r="DM129" s="16">
        <v>-9999</v>
      </c>
      <c r="DN129" s="16">
        <v>-9999</v>
      </c>
      <c r="DO129" s="16">
        <v>-9999</v>
      </c>
      <c r="DP129" s="16">
        <v>-9999</v>
      </c>
      <c r="DQ129" s="16">
        <v>-9999</v>
      </c>
      <c r="DR129" s="16">
        <v>-9999</v>
      </c>
      <c r="DS129" s="16">
        <v>-9999</v>
      </c>
      <c r="DT129" s="16">
        <v>-9999</v>
      </c>
      <c r="DU129" s="16">
        <v>-9999</v>
      </c>
      <c r="DV129" s="16">
        <v>-9999</v>
      </c>
      <c r="DW129" s="16">
        <v>-9999</v>
      </c>
      <c r="DX129" s="16">
        <v>-9999</v>
      </c>
      <c r="DY129" s="16">
        <v>-9999</v>
      </c>
      <c r="DZ129" s="16">
        <v>-9999</v>
      </c>
      <c r="EA129" s="2197">
        <v>-9999</v>
      </c>
      <c r="EB129" s="2197">
        <v>-9999</v>
      </c>
      <c r="EC129" s="2197">
        <v>-9999</v>
      </c>
      <c r="ED129" s="2197">
        <v>-9999</v>
      </c>
      <c r="EE129" s="2197">
        <v>-9999</v>
      </c>
      <c r="EF129" s="2197">
        <v>-9999</v>
      </c>
      <c r="EG129" s="2197">
        <v>-9999</v>
      </c>
      <c r="EH129" s="2197">
        <v>-9999</v>
      </c>
      <c r="EI129" s="2197">
        <v>-9999</v>
      </c>
      <c r="EJ129" s="2197">
        <v>-9999</v>
      </c>
      <c r="EK129" s="2197">
        <v>-9999</v>
      </c>
      <c r="EL129" s="2197">
        <v>-9999</v>
      </c>
      <c r="EM129" s="2197">
        <v>-9999</v>
      </c>
    </row>
    <row r="130" spans="1:143">
      <c r="A130" s="22">
        <v>30</v>
      </c>
      <c r="B130" s="30" t="s">
        <v>1705</v>
      </c>
      <c r="C130" s="25">
        <v>-9999</v>
      </c>
      <c r="D130" s="25">
        <v>-9999</v>
      </c>
      <c r="E130" s="25">
        <v>-9999</v>
      </c>
      <c r="F130" s="25">
        <v>-9999</v>
      </c>
      <c r="G130" s="25">
        <v>-9999</v>
      </c>
      <c r="H130" s="25">
        <v>-9999</v>
      </c>
      <c r="I130" s="25">
        <v>-9999</v>
      </c>
      <c r="J130" s="25">
        <v>-9999</v>
      </c>
      <c r="K130" s="25">
        <v>-9999</v>
      </c>
      <c r="L130" s="25">
        <v>-9999</v>
      </c>
      <c r="M130" s="25">
        <v>-9999</v>
      </c>
      <c r="N130" s="25">
        <v>-9999</v>
      </c>
      <c r="O130" s="25">
        <v>-9999</v>
      </c>
      <c r="P130" s="32"/>
      <c r="Q130"/>
      <c r="AA130" s="22">
        <v>30</v>
      </c>
      <c r="AB130" s="1040" t="str">
        <f t="shared" si="3"/>
        <v>FOR FUTURE USE</v>
      </c>
      <c r="AC130" s="1040">
        <f>CHOOSE(Tables!$U$2,Transfer!CA130,Transfer!CN130,Transfer!DA130,Transfer!DN130,Transfer!EA130)</f>
        <v>-9999</v>
      </c>
      <c r="AD130" s="1040">
        <f>CHOOSE(Tables!$U$2,Transfer!CB130,Transfer!CO130,Transfer!DB130,Transfer!DO130,Transfer!EB130)</f>
        <v>-9999</v>
      </c>
      <c r="AE130" s="1040">
        <f>CHOOSE(Tables!$U$2,Transfer!CC130,Transfer!CP130,Transfer!DC130,Transfer!DP130,Transfer!EC130)</f>
        <v>-9999</v>
      </c>
      <c r="AF130" s="1040">
        <f>CHOOSE(Tables!$U$2,Transfer!CD130,Transfer!CQ130,Transfer!DD130,Transfer!DQ130,Transfer!ED130)</f>
        <v>-9999</v>
      </c>
      <c r="AG130" s="1040">
        <f>CHOOSE(Tables!$U$2,Transfer!CE130,Transfer!CR130,Transfer!DE130,Transfer!DR130,Transfer!EE130)</f>
        <v>-9999</v>
      </c>
      <c r="AH130" s="1040">
        <f>CHOOSE(Tables!$U$2,Transfer!CF130,Transfer!CS130,Transfer!DF130,Transfer!DS130,Transfer!EF130)</f>
        <v>-9999</v>
      </c>
      <c r="AI130" s="1040">
        <f>CHOOSE(Tables!$U$2,Transfer!CG130,Transfer!CT130,Transfer!DG130,Transfer!DT130,Transfer!EG130)</f>
        <v>-9999</v>
      </c>
      <c r="AJ130" s="1040">
        <f>CHOOSE(Tables!$U$2,Transfer!CH130,Transfer!CU130,Transfer!DH130,Transfer!DU130,Transfer!EH130)</f>
        <v>-9999</v>
      </c>
      <c r="AK130" s="1040">
        <f>CHOOSE(Tables!$U$2,Transfer!CI130,Transfer!CV130,Transfer!DI130,Transfer!DV130,Transfer!EI130)</f>
        <v>-9999</v>
      </c>
      <c r="AL130" s="1040">
        <f>CHOOSE(Tables!$U$2,Transfer!CJ130,Transfer!CW130,Transfer!DJ130,Transfer!DW130,Transfer!EJ130)</f>
        <v>-9999</v>
      </c>
      <c r="AM130" s="1040">
        <f>CHOOSE(Tables!$U$2,Transfer!CK130,Transfer!CX130,Transfer!DK130,Transfer!DX130,Transfer!EK130)</f>
        <v>-9999</v>
      </c>
      <c r="AN130" s="1040">
        <f>CHOOSE(Tables!$U$2,Transfer!CL130,Transfer!CY130,Transfer!DL130,Transfer!DY130,Transfer!EL130)</f>
        <v>-9999</v>
      </c>
      <c r="AO130" s="1040">
        <f>CHOOSE(Tables!$U$2,Transfer!CM130,Transfer!CZ130,Transfer!DM130,Transfer!DZ130,Transfer!EM130)</f>
        <v>-9999</v>
      </c>
      <c r="AR130" s="22">
        <v>30</v>
      </c>
      <c r="AS130" s="31" t="s">
        <v>1857</v>
      </c>
      <c r="AT130" s="24">
        <f t="shared" si="5"/>
        <v>0</v>
      </c>
      <c r="AU130" s="24">
        <f t="shared" si="5"/>
        <v>0</v>
      </c>
      <c r="AV130" s="24">
        <f t="shared" si="5"/>
        <v>0</v>
      </c>
      <c r="AW130" s="24">
        <f t="shared" si="5"/>
        <v>0</v>
      </c>
      <c r="AX130" s="24">
        <f t="shared" si="5"/>
        <v>0</v>
      </c>
      <c r="AY130" s="25">
        <f t="shared" si="5"/>
        <v>0</v>
      </c>
      <c r="AZ130" s="25">
        <f t="shared" si="5"/>
        <v>0</v>
      </c>
      <c r="BA130" s="25">
        <f t="shared" si="5"/>
        <v>0</v>
      </c>
      <c r="BB130" s="25">
        <f t="shared" si="4"/>
        <v>0</v>
      </c>
      <c r="BC130" s="25">
        <f t="shared" si="4"/>
        <v>0</v>
      </c>
      <c r="BD130" s="25">
        <f t="shared" si="4"/>
        <v>0</v>
      </c>
      <c r="BE130" s="25">
        <f t="shared" si="4"/>
        <v>0</v>
      </c>
      <c r="BF130" s="25">
        <f t="shared" si="4"/>
        <v>0</v>
      </c>
      <c r="CA130" s="16">
        <v>-9999</v>
      </c>
      <c r="CB130" s="16">
        <v>-9999</v>
      </c>
      <c r="CC130" s="16">
        <v>-9999</v>
      </c>
      <c r="CD130" s="16">
        <v>-9999</v>
      </c>
      <c r="CE130" s="16">
        <v>-9999</v>
      </c>
      <c r="CF130" s="16">
        <v>-9999</v>
      </c>
      <c r="CG130" s="16">
        <v>-9999</v>
      </c>
      <c r="CH130" s="16">
        <v>-9999</v>
      </c>
      <c r="CI130" s="16">
        <v>-9999</v>
      </c>
      <c r="CJ130" s="16">
        <v>-9999</v>
      </c>
      <c r="CK130" s="16">
        <v>-9999</v>
      </c>
      <c r="CL130" s="16">
        <v>-9999</v>
      </c>
      <c r="CM130" s="16">
        <v>-9999</v>
      </c>
      <c r="CN130" s="16">
        <v>-9999</v>
      </c>
      <c r="CO130" s="16">
        <v>-9999</v>
      </c>
      <c r="CP130" s="16">
        <v>-9999</v>
      </c>
      <c r="CQ130" s="16">
        <v>-9999</v>
      </c>
      <c r="CR130" s="16">
        <v>-9999</v>
      </c>
      <c r="CS130" s="16">
        <v>-9999</v>
      </c>
      <c r="CT130" s="16">
        <v>-9999</v>
      </c>
      <c r="CU130" s="16">
        <v>-9999</v>
      </c>
      <c r="CV130" s="16">
        <v>-9999</v>
      </c>
      <c r="CW130" s="16">
        <v>-9999</v>
      </c>
      <c r="CX130" s="16">
        <v>-9999</v>
      </c>
      <c r="CY130" s="16">
        <v>-9999</v>
      </c>
      <c r="CZ130" s="16">
        <v>-9999</v>
      </c>
      <c r="DA130" s="16">
        <v>-9999</v>
      </c>
      <c r="DB130" s="16">
        <v>-9999</v>
      </c>
      <c r="DC130" s="16">
        <v>-9999</v>
      </c>
      <c r="DD130" s="16">
        <v>-9999</v>
      </c>
      <c r="DE130" s="16">
        <v>-9999</v>
      </c>
      <c r="DF130" s="16">
        <v>-9999</v>
      </c>
      <c r="DG130" s="16">
        <v>-9999</v>
      </c>
      <c r="DH130" s="16">
        <v>-9999</v>
      </c>
      <c r="DI130" s="16">
        <v>-9999</v>
      </c>
      <c r="DJ130" s="16">
        <v>-9999</v>
      </c>
      <c r="DK130" s="16">
        <v>-9999</v>
      </c>
      <c r="DL130" s="16">
        <v>-9999</v>
      </c>
      <c r="DM130" s="16">
        <v>-9999</v>
      </c>
      <c r="DN130" s="16">
        <v>-9999</v>
      </c>
      <c r="DO130" s="16">
        <v>-9999</v>
      </c>
      <c r="DP130" s="16">
        <v>-9999</v>
      </c>
      <c r="DQ130" s="16">
        <v>-9999</v>
      </c>
      <c r="DR130" s="16">
        <v>-9999</v>
      </c>
      <c r="DS130" s="16">
        <v>-9999</v>
      </c>
      <c r="DT130" s="16">
        <v>-9999</v>
      </c>
      <c r="DU130" s="16">
        <v>-9999</v>
      </c>
      <c r="DV130" s="16">
        <v>-9999</v>
      </c>
      <c r="DW130" s="16">
        <v>-9999</v>
      </c>
      <c r="DX130" s="16">
        <v>-9999</v>
      </c>
      <c r="DY130" s="16">
        <v>-9999</v>
      </c>
      <c r="DZ130" s="16">
        <v>-9999</v>
      </c>
      <c r="EA130" s="2197">
        <v>-9999</v>
      </c>
      <c r="EB130" s="2197">
        <v>-9999</v>
      </c>
      <c r="EC130" s="2197">
        <v>-9999</v>
      </c>
      <c r="ED130" s="2197">
        <v>-9999</v>
      </c>
      <c r="EE130" s="2197">
        <v>-9999</v>
      </c>
      <c r="EF130" s="2197">
        <v>-9999</v>
      </c>
      <c r="EG130" s="2197">
        <v>-9999</v>
      </c>
      <c r="EH130" s="2197">
        <v>-9999</v>
      </c>
      <c r="EI130" s="2197">
        <v>-9999</v>
      </c>
      <c r="EJ130" s="2197">
        <v>-9999</v>
      </c>
      <c r="EK130" s="2197">
        <v>-9999</v>
      </c>
      <c r="EL130" s="2197">
        <v>-9999</v>
      </c>
      <c r="EM130" s="2197">
        <v>-9999</v>
      </c>
    </row>
    <row r="131" spans="1:143">
      <c r="A131" s="22">
        <v>31</v>
      </c>
      <c r="B131" s="1" t="s">
        <v>1858</v>
      </c>
      <c r="C131" s="24">
        <f ca="1">OFFSET('VVP2'!F178,0,Last_forecast_year - 3-InputY!$G$3)</f>
        <v>1.0493143864612278</v>
      </c>
      <c r="D131" s="24">
        <f ca="1">OFFSET('VVP2'!G178,0,Last_forecast_year - 3-InputY!$G$3)</f>
        <v>1.1247678027438224</v>
      </c>
      <c r="E131" s="24">
        <f ca="1">OFFSET('VVP2'!H178,0,Last_forecast_year - 3-InputY!$G$3)</f>
        <v>1.1071820347568258</v>
      </c>
      <c r="F131" s="24">
        <f ca="1">OFFSET('VVP2'!I178,0,Last_forecast_year - 3-InputY!$G$3)</f>
        <v>1.16537895</v>
      </c>
      <c r="G131" s="24">
        <f ca="1">OFFSET('VVP2'!J178,0,Last_forecast_year - 3-InputY!$G$3)</f>
        <v>1.2255055115462998</v>
      </c>
      <c r="H131" s="25">
        <v>-9999</v>
      </c>
      <c r="I131" s="25">
        <v>-9999</v>
      </c>
      <c r="J131" s="25">
        <v>-9999</v>
      </c>
      <c r="K131" s="25">
        <v>-9999</v>
      </c>
      <c r="L131" s="25">
        <v>-9999</v>
      </c>
      <c r="M131" s="25">
        <v>-9999</v>
      </c>
      <c r="N131" s="25">
        <v>-9999</v>
      </c>
      <c r="O131" s="25">
        <v>-9999</v>
      </c>
      <c r="P131" s="32"/>
      <c r="Q131"/>
      <c r="AA131" s="22">
        <v>31</v>
      </c>
      <c r="AB131" s="1040" t="str">
        <f t="shared" si="3"/>
        <v>VOL. FIXED INVESTMENT HOUSING</v>
      </c>
      <c r="AC131" s="1040">
        <f>CHOOSE(Tables!$U$2,Transfer!CA131,Transfer!CN131,Transfer!DA131,Transfer!DN131,Transfer!EA131)</f>
        <v>1.8246111196951238</v>
      </c>
      <c r="AD131" s="1040">
        <f>CHOOSE(Tables!$U$2,Transfer!CB131,Transfer!CO131,Transfer!DB131,Transfer!DO131,Transfer!EB131)</f>
        <v>1.9365422861736739</v>
      </c>
      <c r="AE131" s="1040">
        <f>CHOOSE(Tables!$U$2,Transfer!CC131,Transfer!CP131,Transfer!DC131,Transfer!DP131,Transfer!EC131)</f>
        <v>2.0577855</v>
      </c>
      <c r="AF131" s="1040">
        <f>CHOOSE(Tables!$U$2,Transfer!CD131,Transfer!CQ131,Transfer!DD131,Transfer!DQ131,Transfer!ED131)</f>
        <v>2.1935993430000003</v>
      </c>
      <c r="AG131" s="1040">
        <f>CHOOSE(Tables!$U$2,Transfer!CE131,Transfer!CR131,Transfer!DE131,Transfer!DR131,Transfer!EE131)</f>
        <v>2.3497836162216008</v>
      </c>
      <c r="AH131" s="1040">
        <f>CHOOSE(Tables!$U$2,Transfer!CF131,Transfer!CS131,Transfer!DF131,Transfer!DS131,Transfer!EF131)</f>
        <v>-9999</v>
      </c>
      <c r="AI131" s="1040">
        <f>CHOOSE(Tables!$U$2,Transfer!CG131,Transfer!CT131,Transfer!DG131,Transfer!DT131,Transfer!EG131)</f>
        <v>-9999</v>
      </c>
      <c r="AJ131" s="1040">
        <f>CHOOSE(Tables!$U$2,Transfer!CH131,Transfer!CU131,Transfer!DH131,Transfer!DU131,Transfer!EH131)</f>
        <v>-9999</v>
      </c>
      <c r="AK131" s="1040">
        <f>CHOOSE(Tables!$U$2,Transfer!CI131,Transfer!CV131,Transfer!DI131,Transfer!DV131,Transfer!EI131)</f>
        <v>-9999</v>
      </c>
      <c r="AL131" s="1040">
        <f>CHOOSE(Tables!$U$2,Transfer!CJ131,Transfer!CW131,Transfer!DJ131,Transfer!DW131,Transfer!EJ131)</f>
        <v>-9999</v>
      </c>
      <c r="AM131" s="1040">
        <f>CHOOSE(Tables!$U$2,Transfer!CK131,Transfer!CX131,Transfer!DK131,Transfer!DX131,Transfer!EK131)</f>
        <v>-9999</v>
      </c>
      <c r="AN131" s="1040">
        <f>CHOOSE(Tables!$U$2,Transfer!CL131,Transfer!CY131,Transfer!DL131,Transfer!DY131,Transfer!EL131)</f>
        <v>-9999</v>
      </c>
      <c r="AO131" s="1040">
        <f>CHOOSE(Tables!$U$2,Transfer!CM131,Transfer!CZ131,Transfer!DM131,Transfer!DZ131,Transfer!EM131)</f>
        <v>-9999</v>
      </c>
      <c r="AR131" s="22">
        <v>31</v>
      </c>
      <c r="AS131" s="1" t="s">
        <v>1858</v>
      </c>
      <c r="AT131" s="24">
        <f t="shared" ca="1" si="5"/>
        <v>-0.77529673323389603</v>
      </c>
      <c r="AU131" s="24">
        <f t="shared" ca="1" si="5"/>
        <v>-0.81177448342985148</v>
      </c>
      <c r="AV131" s="24">
        <f t="shared" ca="1" si="5"/>
        <v>-0.95060346524317429</v>
      </c>
      <c r="AW131" s="24">
        <f t="shared" ca="1" si="5"/>
        <v>-1.0282203930000002</v>
      </c>
      <c r="AX131" s="24">
        <f t="shared" ca="1" si="5"/>
        <v>-1.124278104675301</v>
      </c>
      <c r="AY131" s="25">
        <f t="shared" si="5"/>
        <v>0</v>
      </c>
      <c r="AZ131" s="25">
        <f t="shared" si="5"/>
        <v>0</v>
      </c>
      <c r="BA131" s="25">
        <f t="shared" si="5"/>
        <v>0</v>
      </c>
      <c r="BB131" s="25">
        <f t="shared" si="4"/>
        <v>0</v>
      </c>
      <c r="BC131" s="25">
        <f t="shared" si="4"/>
        <v>0</v>
      </c>
      <c r="BD131" s="25">
        <f t="shared" si="4"/>
        <v>0</v>
      </c>
      <c r="BE131" s="25">
        <f t="shared" si="4"/>
        <v>0</v>
      </c>
      <c r="BF131" s="25">
        <f t="shared" si="4"/>
        <v>0</v>
      </c>
      <c r="CA131" s="16">
        <v>0.72428201103334722</v>
      </c>
      <c r="CB131" s="16">
        <v>0.88492680359700548</v>
      </c>
      <c r="CC131" s="16">
        <v>0.98636400000000002</v>
      </c>
      <c r="CD131" s="16">
        <v>1.0812522168000001</v>
      </c>
      <c r="CE131" s="16">
        <v>1.2231125076441602</v>
      </c>
      <c r="CF131" s="16">
        <v>-9999</v>
      </c>
      <c r="CG131" s="16">
        <v>-9999</v>
      </c>
      <c r="CH131" s="16">
        <v>-9999</v>
      </c>
      <c r="CI131" s="16">
        <v>-9999</v>
      </c>
      <c r="CJ131" s="16">
        <v>-9999</v>
      </c>
      <c r="CK131" s="16">
        <v>-9999</v>
      </c>
      <c r="CL131" s="16">
        <v>-9999</v>
      </c>
      <c r="CM131" s="16">
        <v>-9999</v>
      </c>
      <c r="CN131" s="16">
        <v>0.63016999859529177</v>
      </c>
      <c r="CO131" s="16">
        <v>0.72113000395517823</v>
      </c>
      <c r="CP131" s="16">
        <v>0.83576457999999998</v>
      </c>
      <c r="CQ131" s="16">
        <v>0.90362866389599994</v>
      </c>
      <c r="CR131" s="16">
        <v>0.96968391922679753</v>
      </c>
      <c r="CS131" s="16">
        <v>-9999</v>
      </c>
      <c r="CT131" s="16">
        <v>-9999</v>
      </c>
      <c r="CU131" s="16">
        <v>-9999</v>
      </c>
      <c r="CV131" s="16">
        <v>-9999</v>
      </c>
      <c r="CW131" s="16">
        <v>-9999</v>
      </c>
      <c r="CX131" s="16">
        <v>-9999</v>
      </c>
      <c r="CY131" s="16">
        <v>-9999</v>
      </c>
      <c r="CZ131" s="16">
        <v>-9999</v>
      </c>
      <c r="DA131" s="16">
        <v>0.72113000395517823</v>
      </c>
      <c r="DB131" s="16">
        <v>0.87951999205472797</v>
      </c>
      <c r="DC131" s="16">
        <v>1.02918321</v>
      </c>
      <c r="DD131" s="16">
        <v>1.0946907213165</v>
      </c>
      <c r="DE131" s="16">
        <v>1.1587082346990889</v>
      </c>
      <c r="DF131" s="16">
        <v>-9999</v>
      </c>
      <c r="DG131" s="16">
        <v>-9999</v>
      </c>
      <c r="DH131" s="16">
        <v>-9999</v>
      </c>
      <c r="DI131" s="16">
        <v>-9999</v>
      </c>
      <c r="DJ131" s="16">
        <v>-9999</v>
      </c>
      <c r="DK131" s="16">
        <v>-9999</v>
      </c>
      <c r="DL131" s="16">
        <v>-9999</v>
      </c>
      <c r="DM131" s="16">
        <v>-9999</v>
      </c>
      <c r="DN131" s="16">
        <v>0.63016999859529177</v>
      </c>
      <c r="DO131" s="16">
        <v>0.72113000395517823</v>
      </c>
      <c r="DP131" s="16">
        <v>0.83576457999999998</v>
      </c>
      <c r="DQ131" s="16">
        <v>0.90362866389599994</v>
      </c>
      <c r="DR131" s="16">
        <v>0.96968391922679753</v>
      </c>
      <c r="DS131" s="16">
        <v>-9999</v>
      </c>
      <c r="DT131" s="16">
        <v>-9999</v>
      </c>
      <c r="DU131" s="16">
        <v>-9999</v>
      </c>
      <c r="DV131" s="16">
        <v>-9999</v>
      </c>
      <c r="DW131" s="16">
        <v>-9999</v>
      </c>
      <c r="DX131" s="16">
        <v>-9999</v>
      </c>
      <c r="DY131" s="16">
        <v>-9999</v>
      </c>
      <c r="DZ131" s="16">
        <v>-9999</v>
      </c>
      <c r="EA131" s="2196">
        <v>1.8246111196951238</v>
      </c>
      <c r="EB131" s="2196">
        <v>1.9365422861736739</v>
      </c>
      <c r="EC131" s="2196">
        <v>2.0577855</v>
      </c>
      <c r="ED131" s="2196">
        <v>2.1935993430000003</v>
      </c>
      <c r="EE131" s="2196">
        <v>2.3497836162216008</v>
      </c>
      <c r="EF131" s="2197">
        <v>-9999</v>
      </c>
      <c r="EG131" s="2197">
        <v>-9999</v>
      </c>
      <c r="EH131" s="2197">
        <v>-9999</v>
      </c>
      <c r="EI131" s="2197">
        <v>-9999</v>
      </c>
      <c r="EJ131" s="2197">
        <v>-9999</v>
      </c>
      <c r="EK131" s="2197">
        <v>-9999</v>
      </c>
      <c r="EL131" s="2197">
        <v>-9999</v>
      </c>
      <c r="EM131" s="2197">
        <v>-9999</v>
      </c>
    </row>
    <row r="132" spans="1:143">
      <c r="A132" s="22">
        <v>32</v>
      </c>
      <c r="B132" s="30" t="s">
        <v>1705</v>
      </c>
      <c r="C132" s="25">
        <v>-9999</v>
      </c>
      <c r="D132" s="25">
        <v>-9999</v>
      </c>
      <c r="E132" s="25">
        <v>-9999</v>
      </c>
      <c r="F132" s="25">
        <v>-9999</v>
      </c>
      <c r="G132" s="25">
        <v>-9999</v>
      </c>
      <c r="H132" s="25">
        <v>-9999</v>
      </c>
      <c r="I132" s="25">
        <v>-9999</v>
      </c>
      <c r="J132" s="25">
        <v>-9999</v>
      </c>
      <c r="K132" s="25">
        <v>-9999</v>
      </c>
      <c r="L132" s="25">
        <v>-9999</v>
      </c>
      <c r="M132" s="25">
        <v>-9999</v>
      </c>
      <c r="N132" s="25">
        <v>-9999</v>
      </c>
      <c r="O132" s="25">
        <v>-9999</v>
      </c>
      <c r="P132" s="32"/>
      <c r="Q132"/>
      <c r="AA132" s="22">
        <v>32</v>
      </c>
      <c r="AB132" s="1040" t="str">
        <f t="shared" si="3"/>
        <v>FOR FUTURE USE</v>
      </c>
      <c r="AC132" s="1040">
        <f>CHOOSE(Tables!$U$2,Transfer!CA132,Transfer!CN132,Transfer!DA132,Transfer!DN132,Transfer!EA132)</f>
        <v>-9999</v>
      </c>
      <c r="AD132" s="1040">
        <f>CHOOSE(Tables!$U$2,Transfer!CB132,Transfer!CO132,Transfer!DB132,Transfer!DO132,Transfer!EB132)</f>
        <v>-9999</v>
      </c>
      <c r="AE132" s="1040">
        <f>CHOOSE(Tables!$U$2,Transfer!CC132,Transfer!CP132,Transfer!DC132,Transfer!DP132,Transfer!EC132)</f>
        <v>-9999</v>
      </c>
      <c r="AF132" s="1040">
        <f>CHOOSE(Tables!$U$2,Transfer!CD132,Transfer!CQ132,Transfer!DD132,Transfer!DQ132,Transfer!ED132)</f>
        <v>-9999</v>
      </c>
      <c r="AG132" s="1040">
        <f>CHOOSE(Tables!$U$2,Transfer!CE132,Transfer!CR132,Transfer!DE132,Transfer!DR132,Transfer!EE132)</f>
        <v>-9999</v>
      </c>
      <c r="AH132" s="1040">
        <f>CHOOSE(Tables!$U$2,Transfer!CF132,Transfer!CS132,Transfer!DF132,Transfer!DS132,Transfer!EF132)</f>
        <v>-9999</v>
      </c>
      <c r="AI132" s="1040">
        <f>CHOOSE(Tables!$U$2,Transfer!CG132,Transfer!CT132,Transfer!DG132,Transfer!DT132,Transfer!EG132)</f>
        <v>-9999</v>
      </c>
      <c r="AJ132" s="1040">
        <f>CHOOSE(Tables!$U$2,Transfer!CH132,Transfer!CU132,Transfer!DH132,Transfer!DU132,Transfer!EH132)</f>
        <v>-9999</v>
      </c>
      <c r="AK132" s="1040">
        <f>CHOOSE(Tables!$U$2,Transfer!CI132,Transfer!CV132,Transfer!DI132,Transfer!DV132,Transfer!EI132)</f>
        <v>-9999</v>
      </c>
      <c r="AL132" s="1040">
        <f>CHOOSE(Tables!$U$2,Transfer!CJ132,Transfer!CW132,Transfer!DJ132,Transfer!DW132,Transfer!EJ132)</f>
        <v>-9999</v>
      </c>
      <c r="AM132" s="1040">
        <f>CHOOSE(Tables!$U$2,Transfer!CK132,Transfer!CX132,Transfer!DK132,Transfer!DX132,Transfer!EK132)</f>
        <v>-9999</v>
      </c>
      <c r="AN132" s="1040">
        <f>CHOOSE(Tables!$U$2,Transfer!CL132,Transfer!CY132,Transfer!DL132,Transfer!DY132,Transfer!EL132)</f>
        <v>-9999</v>
      </c>
      <c r="AO132" s="1040">
        <f>CHOOSE(Tables!$U$2,Transfer!CM132,Transfer!CZ132,Transfer!DM132,Transfer!DZ132,Transfer!EM132)</f>
        <v>-9999</v>
      </c>
      <c r="AR132" s="22">
        <v>32</v>
      </c>
      <c r="AS132" s="1" t="s">
        <v>400</v>
      </c>
      <c r="AT132" s="24">
        <f t="shared" si="5"/>
        <v>0</v>
      </c>
      <c r="AU132" s="24">
        <f t="shared" si="5"/>
        <v>0</v>
      </c>
      <c r="AV132" s="24">
        <f t="shared" si="5"/>
        <v>0</v>
      </c>
      <c r="AW132" s="24">
        <f t="shared" si="5"/>
        <v>0</v>
      </c>
      <c r="AX132" s="24">
        <f t="shared" si="5"/>
        <v>0</v>
      </c>
      <c r="AY132" s="25">
        <f t="shared" si="5"/>
        <v>0</v>
      </c>
      <c r="AZ132" s="25">
        <f t="shared" si="5"/>
        <v>0</v>
      </c>
      <c r="BA132" s="25">
        <f t="shared" si="5"/>
        <v>0</v>
      </c>
      <c r="BB132" s="25">
        <f t="shared" si="4"/>
        <v>0</v>
      </c>
      <c r="BC132" s="25">
        <f t="shared" si="4"/>
        <v>0</v>
      </c>
      <c r="BD132" s="25">
        <f t="shared" si="4"/>
        <v>0</v>
      </c>
      <c r="BE132" s="25">
        <f t="shared" si="4"/>
        <v>0</v>
      </c>
      <c r="BF132" s="25">
        <f t="shared" si="4"/>
        <v>0</v>
      </c>
      <c r="CA132" s="16">
        <v>-9999</v>
      </c>
      <c r="CB132" s="16">
        <v>-9999</v>
      </c>
      <c r="CC132" s="16">
        <v>-9999</v>
      </c>
      <c r="CD132" s="16">
        <v>-9999</v>
      </c>
      <c r="CE132" s="16">
        <v>-9999</v>
      </c>
      <c r="CF132" s="16">
        <v>-9999</v>
      </c>
      <c r="CG132" s="16">
        <v>-9999</v>
      </c>
      <c r="CH132" s="16">
        <v>-9999</v>
      </c>
      <c r="CI132" s="16">
        <v>-9999</v>
      </c>
      <c r="CJ132" s="16">
        <v>-9999</v>
      </c>
      <c r="CK132" s="16">
        <v>-9999</v>
      </c>
      <c r="CL132" s="16">
        <v>-9999</v>
      </c>
      <c r="CM132" s="16">
        <v>-9999</v>
      </c>
      <c r="CN132" s="16">
        <v>-9999</v>
      </c>
      <c r="CO132" s="16">
        <v>-9999</v>
      </c>
      <c r="CP132" s="16">
        <v>-9999</v>
      </c>
      <c r="CQ132" s="16">
        <v>-9999</v>
      </c>
      <c r="CR132" s="16">
        <v>-9999</v>
      </c>
      <c r="CS132" s="16">
        <v>-9999</v>
      </c>
      <c r="CT132" s="16">
        <v>-9999</v>
      </c>
      <c r="CU132" s="16">
        <v>-9999</v>
      </c>
      <c r="CV132" s="16">
        <v>-9999</v>
      </c>
      <c r="CW132" s="16">
        <v>-9999</v>
      </c>
      <c r="CX132" s="16">
        <v>-9999</v>
      </c>
      <c r="CY132" s="16">
        <v>-9999</v>
      </c>
      <c r="CZ132" s="16">
        <v>-9999</v>
      </c>
      <c r="DA132" s="16">
        <v>-9999</v>
      </c>
      <c r="DB132" s="16">
        <v>-9999</v>
      </c>
      <c r="DC132" s="16">
        <v>-9999</v>
      </c>
      <c r="DD132" s="16">
        <v>-9999</v>
      </c>
      <c r="DE132" s="16">
        <v>-9999</v>
      </c>
      <c r="DF132" s="16">
        <v>-9999</v>
      </c>
      <c r="DG132" s="16">
        <v>-9999</v>
      </c>
      <c r="DH132" s="16">
        <v>-9999</v>
      </c>
      <c r="DI132" s="16">
        <v>-9999</v>
      </c>
      <c r="DJ132" s="16">
        <v>-9999</v>
      </c>
      <c r="DK132" s="16">
        <v>-9999</v>
      </c>
      <c r="DL132" s="16">
        <v>-9999</v>
      </c>
      <c r="DM132" s="16">
        <v>-9999</v>
      </c>
      <c r="DN132" s="16">
        <v>-9999</v>
      </c>
      <c r="DO132" s="16">
        <v>-9999</v>
      </c>
      <c r="DP132" s="16">
        <v>-9999</v>
      </c>
      <c r="DQ132" s="16">
        <v>-9999</v>
      </c>
      <c r="DR132" s="16">
        <v>-9999</v>
      </c>
      <c r="DS132" s="16">
        <v>-9999</v>
      </c>
      <c r="DT132" s="16">
        <v>-9999</v>
      </c>
      <c r="DU132" s="16">
        <v>-9999</v>
      </c>
      <c r="DV132" s="16">
        <v>-9999</v>
      </c>
      <c r="DW132" s="16">
        <v>-9999</v>
      </c>
      <c r="DX132" s="16">
        <v>-9999</v>
      </c>
      <c r="DY132" s="16">
        <v>-9999</v>
      </c>
      <c r="DZ132" s="16">
        <v>-9999</v>
      </c>
      <c r="EA132" s="2196">
        <v>-9999</v>
      </c>
      <c r="EB132" s="2196">
        <v>-9999</v>
      </c>
      <c r="EC132" s="2196">
        <v>-9999</v>
      </c>
      <c r="ED132" s="2196">
        <v>-9999</v>
      </c>
      <c r="EE132" s="2196">
        <v>-9999</v>
      </c>
      <c r="EF132" s="2197">
        <v>-9999</v>
      </c>
      <c r="EG132" s="2197">
        <v>-9999</v>
      </c>
      <c r="EH132" s="2197">
        <v>-9999</v>
      </c>
      <c r="EI132" s="2197">
        <v>-9999</v>
      </c>
      <c r="EJ132" s="2197">
        <v>-9999</v>
      </c>
      <c r="EK132" s="2197">
        <v>-9999</v>
      </c>
      <c r="EL132" s="2197">
        <v>-9999</v>
      </c>
      <c r="EM132" s="2197">
        <v>-9999</v>
      </c>
    </row>
    <row r="133" spans="1:143">
      <c r="A133" s="22">
        <v>33</v>
      </c>
      <c r="B133" s="1" t="s">
        <v>1058</v>
      </c>
      <c r="C133" s="24">
        <f ca="1">OFFSET('VVP2'!F205,0,Last_forecast_year - 3-InputY!$G$3)</f>
        <v>1.05339</v>
      </c>
      <c r="D133" s="24">
        <f ca="1">OFFSET('VVP2'!G205,0,Last_forecast_year - 3-InputY!$G$3)</f>
        <v>1.1606800000000002</v>
      </c>
      <c r="E133" s="24">
        <f ca="1">OFFSET('VVP2'!H205,0,Last_forecast_year - 3-InputY!$G$3)</f>
        <v>1.1259700000000001</v>
      </c>
      <c r="F133" s="24">
        <f ca="1">OFFSET('VVP2'!I205,0,Last_forecast_year - 3-InputY!$G$3)</f>
        <v>1.2038364553499998</v>
      </c>
      <c r="G133" s="24">
        <f ca="1">OFFSET('VVP2'!J205,0,Last_forecast_year - 3-InputY!$G$3)</f>
        <v>1.2659471934273276</v>
      </c>
      <c r="H133" s="25">
        <v>-9999</v>
      </c>
      <c r="I133" s="25">
        <v>-9999</v>
      </c>
      <c r="J133" s="25">
        <v>-9999</v>
      </c>
      <c r="K133" s="25">
        <v>-9999</v>
      </c>
      <c r="L133" s="25">
        <v>-9999</v>
      </c>
      <c r="M133" s="25">
        <v>-9999</v>
      </c>
      <c r="N133" s="25">
        <v>-9999</v>
      </c>
      <c r="O133" s="25">
        <v>-9999</v>
      </c>
      <c r="P133" s="32"/>
      <c r="Q133"/>
      <c r="AA133" s="22">
        <v>33</v>
      </c>
      <c r="AB133" s="1040" t="str">
        <f t="shared" si="3"/>
        <v xml:space="preserve">VAL. FIXED INVESTMENT HOUSING </v>
      </c>
      <c r="AC133" s="1040">
        <f>CHOOSE(Tables!$U$2,Transfer!CA133,Transfer!CN133,Transfer!DA133,Transfer!DN133,Transfer!EA133)</f>
        <v>1.8934800000000001</v>
      </c>
      <c r="AD133" s="1040">
        <f>CHOOSE(Tables!$U$2,Transfer!CB133,Transfer!CO133,Transfer!DB133,Transfer!DO133,Transfer!EB133)</f>
        <v>1.9978499999999999</v>
      </c>
      <c r="AE133" s="1040">
        <f>CHOOSE(Tables!$U$2,Transfer!CC133,Transfer!CP133,Transfer!DC133,Transfer!DP133,Transfer!EC133)</f>
        <v>2.1092301375</v>
      </c>
      <c r="AF133" s="1040">
        <f>CHOOSE(Tables!$U$2,Transfer!CD133,Transfer!CQ133,Transfer!DD133,Transfer!DQ133,Transfer!ED133)</f>
        <v>2.2594073232900005</v>
      </c>
      <c r="AG133" s="1040">
        <f>CHOOSE(Tables!$U$2,Transfer!CE133,Transfer!CR133,Transfer!DE133,Transfer!DR133,Transfer!EE133)</f>
        <v>2.4437749608704649</v>
      </c>
      <c r="AH133" s="1040">
        <f>CHOOSE(Tables!$U$2,Transfer!CF133,Transfer!CS133,Transfer!DF133,Transfer!DS133,Transfer!EF133)</f>
        <v>-9999</v>
      </c>
      <c r="AI133" s="1040">
        <f>CHOOSE(Tables!$U$2,Transfer!CG133,Transfer!CT133,Transfer!DG133,Transfer!DT133,Transfer!EG133)</f>
        <v>-9999</v>
      </c>
      <c r="AJ133" s="1040">
        <f>CHOOSE(Tables!$U$2,Transfer!CH133,Transfer!CU133,Transfer!DH133,Transfer!DU133,Transfer!EH133)</f>
        <v>-9999</v>
      </c>
      <c r="AK133" s="1040">
        <f>CHOOSE(Tables!$U$2,Transfer!CI133,Transfer!CV133,Transfer!DI133,Transfer!DV133,Transfer!EI133)</f>
        <v>-9999</v>
      </c>
      <c r="AL133" s="1040">
        <f>CHOOSE(Tables!$U$2,Transfer!CJ133,Transfer!CW133,Transfer!DJ133,Transfer!DW133,Transfer!EJ133)</f>
        <v>-9999</v>
      </c>
      <c r="AM133" s="1040">
        <f>CHOOSE(Tables!$U$2,Transfer!CK133,Transfer!CX133,Transfer!DK133,Transfer!DX133,Transfer!EK133)</f>
        <v>-9999</v>
      </c>
      <c r="AN133" s="1040">
        <f>CHOOSE(Tables!$U$2,Transfer!CL133,Transfer!CY133,Transfer!DL133,Transfer!DY133,Transfer!EL133)</f>
        <v>-9999</v>
      </c>
      <c r="AO133" s="1040">
        <f>CHOOSE(Tables!$U$2,Transfer!CM133,Transfer!CZ133,Transfer!DM133,Transfer!DZ133,Transfer!EM133)</f>
        <v>-9999</v>
      </c>
      <c r="AR133" s="22">
        <v>33</v>
      </c>
      <c r="AS133" s="1" t="s">
        <v>1058</v>
      </c>
      <c r="AT133" s="24">
        <f t="shared" ca="1" si="5"/>
        <v>-0.84009</v>
      </c>
      <c r="AU133" s="24">
        <f t="shared" ca="1" si="5"/>
        <v>-0.83716999999999975</v>
      </c>
      <c r="AV133" s="24">
        <f t="shared" ca="1" si="5"/>
        <v>-0.98326013749999985</v>
      </c>
      <c r="AW133" s="24">
        <f t="shared" ca="1" si="5"/>
        <v>-1.0555708679400007</v>
      </c>
      <c r="AX133" s="24">
        <f t="shared" ca="1" si="5"/>
        <v>-1.1778277674431372</v>
      </c>
      <c r="AY133" s="25">
        <f t="shared" si="5"/>
        <v>0</v>
      </c>
      <c r="AZ133" s="25">
        <f t="shared" si="5"/>
        <v>0</v>
      </c>
      <c r="BA133" s="25">
        <f t="shared" si="5"/>
        <v>0</v>
      </c>
      <c r="BB133" s="25">
        <f t="shared" si="4"/>
        <v>0</v>
      </c>
      <c r="BC133" s="25">
        <f t="shared" si="4"/>
        <v>0</v>
      </c>
      <c r="BD133" s="25">
        <f t="shared" si="4"/>
        <v>0</v>
      </c>
      <c r="BE133" s="25">
        <f t="shared" si="4"/>
        <v>0</v>
      </c>
      <c r="BF133" s="25">
        <f t="shared" si="4"/>
        <v>0</v>
      </c>
      <c r="CA133" s="16">
        <v>0.75691999999999993</v>
      </c>
      <c r="CB133" s="16">
        <v>0.9133</v>
      </c>
      <c r="CC133" s="16">
        <v>1.00115946</v>
      </c>
      <c r="CD133" s="16">
        <v>1.092064738968</v>
      </c>
      <c r="CE133" s="16">
        <v>1.2414591952588225</v>
      </c>
      <c r="CF133" s="16">
        <v>-9999</v>
      </c>
      <c r="CG133" s="16">
        <v>-9999</v>
      </c>
      <c r="CH133" s="16">
        <v>-9999</v>
      </c>
      <c r="CI133" s="16">
        <v>-9999</v>
      </c>
      <c r="CJ133" s="16">
        <v>-9999</v>
      </c>
      <c r="CK133" s="16">
        <v>-9999</v>
      </c>
      <c r="CL133" s="16">
        <v>-9999</v>
      </c>
      <c r="CM133" s="16">
        <v>-9999</v>
      </c>
      <c r="CN133" s="16">
        <v>0.64944000000000002</v>
      </c>
      <c r="CO133" s="16">
        <v>0.75361999999999996</v>
      </c>
      <c r="CP133" s="16">
        <v>0.85247987160000005</v>
      </c>
      <c r="CQ133" s="16">
        <v>0.92350849450171213</v>
      </c>
      <c r="CR133" s="16">
        <v>0.99344117524785436</v>
      </c>
      <c r="CS133" s="16">
        <v>-9999</v>
      </c>
      <c r="CT133" s="16">
        <v>-9999</v>
      </c>
      <c r="CU133" s="16">
        <v>-9999</v>
      </c>
      <c r="CV133" s="16">
        <v>-9999</v>
      </c>
      <c r="CW133" s="16">
        <v>-9999</v>
      </c>
      <c r="CX133" s="16">
        <v>-9999</v>
      </c>
      <c r="CY133" s="16">
        <v>-9999</v>
      </c>
      <c r="CZ133" s="16">
        <v>-9999</v>
      </c>
      <c r="DA133" s="16">
        <v>0.75361999999999996</v>
      </c>
      <c r="DB133" s="16">
        <v>0.90837000000000001</v>
      </c>
      <c r="DC133" s="16">
        <v>1.0425625917299999</v>
      </c>
      <c r="DD133" s="16">
        <v>1.105637628529665</v>
      </c>
      <c r="DE133" s="16">
        <v>1.1760888582195752</v>
      </c>
      <c r="DF133" s="16">
        <v>-9999</v>
      </c>
      <c r="DG133" s="16">
        <v>-9999</v>
      </c>
      <c r="DH133" s="16">
        <v>-9999</v>
      </c>
      <c r="DI133" s="16">
        <v>-9999</v>
      </c>
      <c r="DJ133" s="16">
        <v>-9999</v>
      </c>
      <c r="DK133" s="16">
        <v>-9999</v>
      </c>
      <c r="DL133" s="16">
        <v>-9999</v>
      </c>
      <c r="DM133" s="16">
        <v>-9999</v>
      </c>
      <c r="DN133" s="16">
        <v>0.64944000000000002</v>
      </c>
      <c r="DO133" s="16">
        <v>0.75361999999999996</v>
      </c>
      <c r="DP133" s="16">
        <v>0.85247987160000005</v>
      </c>
      <c r="DQ133" s="16">
        <v>0.92350849450171213</v>
      </c>
      <c r="DR133" s="16">
        <v>0.99344117524785436</v>
      </c>
      <c r="DS133" s="16">
        <v>-9999</v>
      </c>
      <c r="DT133" s="16">
        <v>-9999</v>
      </c>
      <c r="DU133" s="16">
        <v>-9999</v>
      </c>
      <c r="DV133" s="16">
        <v>-9999</v>
      </c>
      <c r="DW133" s="16">
        <v>-9999</v>
      </c>
      <c r="DX133" s="16">
        <v>-9999</v>
      </c>
      <c r="DY133" s="16">
        <v>-9999</v>
      </c>
      <c r="DZ133" s="16">
        <v>-9999</v>
      </c>
      <c r="EA133" s="2196">
        <v>1.8934800000000001</v>
      </c>
      <c r="EB133" s="2196">
        <v>1.9978499999999999</v>
      </c>
      <c r="EC133" s="2196">
        <v>2.1092301375</v>
      </c>
      <c r="ED133" s="2196">
        <v>2.2594073232900005</v>
      </c>
      <c r="EE133" s="2196">
        <v>2.4437749608704649</v>
      </c>
      <c r="EF133" s="2197">
        <v>-9999</v>
      </c>
      <c r="EG133" s="2197">
        <v>-9999</v>
      </c>
      <c r="EH133" s="2197">
        <v>-9999</v>
      </c>
      <c r="EI133" s="2197">
        <v>-9999</v>
      </c>
      <c r="EJ133" s="2197">
        <v>-9999</v>
      </c>
      <c r="EK133" s="2197">
        <v>-9999</v>
      </c>
      <c r="EL133" s="2197">
        <v>-9999</v>
      </c>
      <c r="EM133" s="2197">
        <v>-9999</v>
      </c>
    </row>
    <row r="134" spans="1:143">
      <c r="A134" s="22">
        <v>34</v>
      </c>
      <c r="B134" s="30" t="s">
        <v>1705</v>
      </c>
      <c r="C134" s="25">
        <v>-9999</v>
      </c>
      <c r="D134" s="25">
        <v>-9999</v>
      </c>
      <c r="E134" s="25">
        <v>-9999</v>
      </c>
      <c r="F134" s="25">
        <v>-9999</v>
      </c>
      <c r="G134" s="25">
        <v>-9999</v>
      </c>
      <c r="H134" s="25">
        <v>-9999</v>
      </c>
      <c r="I134" s="25">
        <v>-9999</v>
      </c>
      <c r="J134" s="25">
        <v>-9999</v>
      </c>
      <c r="K134" s="25">
        <v>-9999</v>
      </c>
      <c r="L134" s="25">
        <v>-9999</v>
      </c>
      <c r="M134" s="25">
        <v>-9999</v>
      </c>
      <c r="N134" s="25">
        <v>-9999</v>
      </c>
      <c r="O134" s="25">
        <v>-9999</v>
      </c>
      <c r="P134" s="32"/>
      <c r="Q134"/>
      <c r="AA134" s="22">
        <v>34</v>
      </c>
      <c r="AB134" s="1040" t="str">
        <f t="shared" si="3"/>
        <v>FOR FUTURE USE</v>
      </c>
      <c r="AC134" s="1040">
        <f>CHOOSE(Tables!$U$2,Transfer!CA134,Transfer!CN134,Transfer!DA134,Transfer!DN134,Transfer!EA134)</f>
        <v>-9999</v>
      </c>
      <c r="AD134" s="1040">
        <f>CHOOSE(Tables!$U$2,Transfer!CB134,Transfer!CO134,Transfer!DB134,Transfer!DO134,Transfer!EB134)</f>
        <v>-9999</v>
      </c>
      <c r="AE134" s="1040">
        <f>CHOOSE(Tables!$U$2,Transfer!CC134,Transfer!CP134,Transfer!DC134,Transfer!DP134,Transfer!EC134)</f>
        <v>-9999</v>
      </c>
      <c r="AF134" s="1040">
        <f>CHOOSE(Tables!$U$2,Transfer!CD134,Transfer!CQ134,Transfer!DD134,Transfer!DQ134,Transfer!ED134)</f>
        <v>-9999</v>
      </c>
      <c r="AG134" s="1040">
        <f>CHOOSE(Tables!$U$2,Transfer!CE134,Transfer!CR134,Transfer!DE134,Transfer!DR134,Transfer!EE134)</f>
        <v>-9999</v>
      </c>
      <c r="AH134" s="1040">
        <f>CHOOSE(Tables!$U$2,Transfer!CF134,Transfer!CS134,Transfer!DF134,Transfer!DS134,Transfer!EF134)</f>
        <v>-9999</v>
      </c>
      <c r="AI134" s="1040">
        <f>CHOOSE(Tables!$U$2,Transfer!CG134,Transfer!CT134,Transfer!DG134,Transfer!DT134,Transfer!EG134)</f>
        <v>-9999</v>
      </c>
      <c r="AJ134" s="1040">
        <f>CHOOSE(Tables!$U$2,Transfer!CH134,Transfer!CU134,Transfer!DH134,Transfer!DU134,Transfer!EH134)</f>
        <v>-9999</v>
      </c>
      <c r="AK134" s="1040">
        <f>CHOOSE(Tables!$U$2,Transfer!CI134,Transfer!CV134,Transfer!DI134,Transfer!DV134,Transfer!EI134)</f>
        <v>-9999</v>
      </c>
      <c r="AL134" s="1040">
        <f>CHOOSE(Tables!$U$2,Transfer!CJ134,Transfer!CW134,Transfer!DJ134,Transfer!DW134,Transfer!EJ134)</f>
        <v>-9999</v>
      </c>
      <c r="AM134" s="1040">
        <f>CHOOSE(Tables!$U$2,Transfer!CK134,Transfer!CX134,Transfer!DK134,Transfer!DX134,Transfer!EK134)</f>
        <v>-9999</v>
      </c>
      <c r="AN134" s="1040">
        <f>CHOOSE(Tables!$U$2,Transfer!CL134,Transfer!CY134,Transfer!DL134,Transfer!DY134,Transfer!EL134)</f>
        <v>-9999</v>
      </c>
      <c r="AO134" s="1040">
        <f>CHOOSE(Tables!$U$2,Transfer!CM134,Transfer!CZ134,Transfer!DM134,Transfer!DZ134,Transfer!EM134)</f>
        <v>-9999</v>
      </c>
      <c r="AR134" s="22">
        <v>34</v>
      </c>
      <c r="AS134" s="33" t="s">
        <v>223</v>
      </c>
      <c r="AT134" s="24">
        <f t="shared" si="5"/>
        <v>0</v>
      </c>
      <c r="AU134" s="24">
        <f t="shared" si="5"/>
        <v>0</v>
      </c>
      <c r="AV134" s="24">
        <f t="shared" si="5"/>
        <v>0</v>
      </c>
      <c r="AW134" s="24">
        <f t="shared" si="5"/>
        <v>0</v>
      </c>
      <c r="AX134" s="24">
        <f t="shared" si="5"/>
        <v>0</v>
      </c>
      <c r="AY134" s="25">
        <f t="shared" si="5"/>
        <v>0</v>
      </c>
      <c r="AZ134" s="25">
        <f t="shared" si="5"/>
        <v>0</v>
      </c>
      <c r="BA134" s="25">
        <f t="shared" si="5"/>
        <v>0</v>
      </c>
      <c r="BB134" s="25">
        <f t="shared" si="4"/>
        <v>0</v>
      </c>
      <c r="BC134" s="25">
        <f t="shared" si="4"/>
        <v>0</v>
      </c>
      <c r="BD134" s="25">
        <f t="shared" si="4"/>
        <v>0</v>
      </c>
      <c r="BE134" s="25">
        <f t="shared" si="4"/>
        <v>0</v>
      </c>
      <c r="BF134" s="25">
        <f t="shared" si="4"/>
        <v>0</v>
      </c>
      <c r="CA134" s="16">
        <v>-9999</v>
      </c>
      <c r="CB134" s="16">
        <v>-9999</v>
      </c>
      <c r="CC134" s="16">
        <v>-9999</v>
      </c>
      <c r="CD134" s="16">
        <v>-9999</v>
      </c>
      <c r="CE134" s="16">
        <v>-9999</v>
      </c>
      <c r="CF134" s="16">
        <v>-9999</v>
      </c>
      <c r="CG134" s="16">
        <v>-9999</v>
      </c>
      <c r="CH134" s="16">
        <v>-9999</v>
      </c>
      <c r="CI134" s="16">
        <v>-9999</v>
      </c>
      <c r="CJ134" s="16">
        <v>-9999</v>
      </c>
      <c r="CK134" s="16">
        <v>-9999</v>
      </c>
      <c r="CL134" s="16">
        <v>-9999</v>
      </c>
      <c r="CM134" s="16">
        <v>-9999</v>
      </c>
      <c r="CN134" s="16">
        <v>-9999</v>
      </c>
      <c r="CO134" s="16">
        <v>-9999</v>
      </c>
      <c r="CP134" s="16">
        <v>-9999</v>
      </c>
      <c r="CQ134" s="16">
        <v>-9999</v>
      </c>
      <c r="CR134" s="16">
        <v>-9999</v>
      </c>
      <c r="CS134" s="16">
        <v>-9999</v>
      </c>
      <c r="CT134" s="16">
        <v>-9999</v>
      </c>
      <c r="CU134" s="16">
        <v>-9999</v>
      </c>
      <c r="CV134" s="16">
        <v>-9999</v>
      </c>
      <c r="CW134" s="16">
        <v>-9999</v>
      </c>
      <c r="CX134" s="16">
        <v>-9999</v>
      </c>
      <c r="CY134" s="16">
        <v>-9999</v>
      </c>
      <c r="CZ134" s="16">
        <v>-9999</v>
      </c>
      <c r="DA134" s="16">
        <v>-9999</v>
      </c>
      <c r="DB134" s="16">
        <v>-9999</v>
      </c>
      <c r="DC134" s="16">
        <v>-9999</v>
      </c>
      <c r="DD134" s="16">
        <v>-9999</v>
      </c>
      <c r="DE134" s="16">
        <v>-9999</v>
      </c>
      <c r="DF134" s="16">
        <v>-9999</v>
      </c>
      <c r="DG134" s="16">
        <v>-9999</v>
      </c>
      <c r="DH134" s="16">
        <v>-9999</v>
      </c>
      <c r="DI134" s="16">
        <v>-9999</v>
      </c>
      <c r="DJ134" s="16">
        <v>-9999</v>
      </c>
      <c r="DK134" s="16">
        <v>-9999</v>
      </c>
      <c r="DL134" s="16">
        <v>-9999</v>
      </c>
      <c r="DM134" s="16">
        <v>-9999</v>
      </c>
      <c r="DN134" s="16">
        <v>-9999</v>
      </c>
      <c r="DO134" s="16">
        <v>-9999</v>
      </c>
      <c r="DP134" s="16">
        <v>-9999</v>
      </c>
      <c r="DQ134" s="16">
        <v>-9999</v>
      </c>
      <c r="DR134" s="16">
        <v>-9999</v>
      </c>
      <c r="DS134" s="16">
        <v>-9999</v>
      </c>
      <c r="DT134" s="16">
        <v>-9999</v>
      </c>
      <c r="DU134" s="16">
        <v>-9999</v>
      </c>
      <c r="DV134" s="16">
        <v>-9999</v>
      </c>
      <c r="DW134" s="16">
        <v>-9999</v>
      </c>
      <c r="DX134" s="16">
        <v>-9999</v>
      </c>
      <c r="DY134" s="16">
        <v>-9999</v>
      </c>
      <c r="DZ134" s="16">
        <v>-9999</v>
      </c>
      <c r="EA134" s="2196">
        <v>-9999</v>
      </c>
      <c r="EB134" s="2196">
        <v>-9999</v>
      </c>
      <c r="EC134" s="2196">
        <v>-9999</v>
      </c>
      <c r="ED134" s="2196">
        <v>-9999</v>
      </c>
      <c r="EE134" s="2196">
        <v>-9999</v>
      </c>
      <c r="EF134" s="2197">
        <v>-9999</v>
      </c>
      <c r="EG134" s="2197">
        <v>-9999</v>
      </c>
      <c r="EH134" s="2197">
        <v>-9999</v>
      </c>
      <c r="EI134" s="2197">
        <v>-9999</v>
      </c>
      <c r="EJ134" s="2197">
        <v>-9999</v>
      </c>
      <c r="EK134" s="2197">
        <v>-9999</v>
      </c>
      <c r="EL134" s="2197">
        <v>-9999</v>
      </c>
      <c r="EM134" s="2197">
        <v>-9999</v>
      </c>
    </row>
    <row r="135" spans="1:143">
      <c r="A135" s="22">
        <v>35</v>
      </c>
      <c r="B135" s="30" t="s">
        <v>1705</v>
      </c>
      <c r="C135" s="25">
        <v>-9999</v>
      </c>
      <c r="D135" s="25">
        <v>-9999</v>
      </c>
      <c r="E135" s="25">
        <v>-9999</v>
      </c>
      <c r="F135" s="25">
        <v>-9999</v>
      </c>
      <c r="G135" s="25">
        <v>-9999</v>
      </c>
      <c r="H135" s="25">
        <v>-9999</v>
      </c>
      <c r="I135" s="25">
        <v>-9999</v>
      </c>
      <c r="J135" s="25">
        <v>-9999</v>
      </c>
      <c r="K135" s="25">
        <v>-9999</v>
      </c>
      <c r="L135" s="25">
        <v>-9999</v>
      </c>
      <c r="M135" s="25">
        <v>-9999</v>
      </c>
      <c r="N135" s="25">
        <v>-9999</v>
      </c>
      <c r="O135" s="25">
        <v>-9999</v>
      </c>
      <c r="P135" s="32"/>
      <c r="Q135"/>
      <c r="AA135" s="22">
        <v>35</v>
      </c>
      <c r="AB135" s="1040" t="str">
        <f t="shared" si="3"/>
        <v>FOR FUTURE USE</v>
      </c>
      <c r="AC135" s="1040">
        <f>CHOOSE(Tables!$U$2,Transfer!CA135,Transfer!CN135,Transfer!DA135,Transfer!DN135,Transfer!EA135)</f>
        <v>-9999</v>
      </c>
      <c r="AD135" s="1040">
        <f>CHOOSE(Tables!$U$2,Transfer!CB135,Transfer!CO135,Transfer!DB135,Transfer!DO135,Transfer!EB135)</f>
        <v>-9999</v>
      </c>
      <c r="AE135" s="1040">
        <f>CHOOSE(Tables!$U$2,Transfer!CC135,Transfer!CP135,Transfer!DC135,Transfer!DP135,Transfer!EC135)</f>
        <v>-9999</v>
      </c>
      <c r="AF135" s="1040">
        <f>CHOOSE(Tables!$U$2,Transfer!CD135,Transfer!CQ135,Transfer!DD135,Transfer!DQ135,Transfer!ED135)</f>
        <v>-9999</v>
      </c>
      <c r="AG135" s="1040">
        <f>CHOOSE(Tables!$U$2,Transfer!CE135,Transfer!CR135,Transfer!DE135,Transfer!DR135,Transfer!EE135)</f>
        <v>-9999</v>
      </c>
      <c r="AH135" s="1040">
        <f>CHOOSE(Tables!$U$2,Transfer!CF135,Transfer!CS135,Transfer!DF135,Transfer!DS135,Transfer!EF135)</f>
        <v>-9999</v>
      </c>
      <c r="AI135" s="1040">
        <f>CHOOSE(Tables!$U$2,Transfer!CG135,Transfer!CT135,Transfer!DG135,Transfer!DT135,Transfer!EG135)</f>
        <v>-9999</v>
      </c>
      <c r="AJ135" s="1040">
        <f>CHOOSE(Tables!$U$2,Transfer!CH135,Transfer!CU135,Transfer!DH135,Transfer!DU135,Transfer!EH135)</f>
        <v>-9999</v>
      </c>
      <c r="AK135" s="1040">
        <f>CHOOSE(Tables!$U$2,Transfer!CI135,Transfer!CV135,Transfer!DI135,Transfer!DV135,Transfer!EI135)</f>
        <v>-9999</v>
      </c>
      <c r="AL135" s="1040">
        <f>CHOOSE(Tables!$U$2,Transfer!CJ135,Transfer!CW135,Transfer!DJ135,Transfer!DW135,Transfer!EJ135)</f>
        <v>-9999</v>
      </c>
      <c r="AM135" s="1040">
        <f>CHOOSE(Tables!$U$2,Transfer!CK135,Transfer!CX135,Transfer!DK135,Transfer!DX135,Transfer!EK135)</f>
        <v>-9999</v>
      </c>
      <c r="AN135" s="1040">
        <f>CHOOSE(Tables!$U$2,Transfer!CL135,Transfer!CY135,Transfer!DL135,Transfer!DY135,Transfer!EL135)</f>
        <v>-9999</v>
      </c>
      <c r="AO135" s="1040">
        <f>CHOOSE(Tables!$U$2,Transfer!CM135,Transfer!CZ135,Transfer!DM135,Transfer!DZ135,Transfer!EM135)</f>
        <v>-9999</v>
      </c>
      <c r="AR135" s="22">
        <v>35</v>
      </c>
      <c r="AS135" s="30" t="s">
        <v>1705</v>
      </c>
      <c r="AT135" s="25">
        <f t="shared" si="5"/>
        <v>0</v>
      </c>
      <c r="AU135" s="25">
        <f t="shared" si="5"/>
        <v>0</v>
      </c>
      <c r="AV135" s="25">
        <f t="shared" si="5"/>
        <v>0</v>
      </c>
      <c r="AW135" s="25">
        <f t="shared" si="5"/>
        <v>0</v>
      </c>
      <c r="AX135" s="25">
        <f t="shared" si="5"/>
        <v>0</v>
      </c>
      <c r="AY135" s="25">
        <f t="shared" si="5"/>
        <v>0</v>
      </c>
      <c r="AZ135" s="25">
        <f t="shared" si="5"/>
        <v>0</v>
      </c>
      <c r="BA135" s="25">
        <f t="shared" si="5"/>
        <v>0</v>
      </c>
      <c r="BB135" s="25">
        <f t="shared" si="5"/>
        <v>0</v>
      </c>
      <c r="BC135" s="25">
        <f t="shared" si="5"/>
        <v>0</v>
      </c>
      <c r="BD135" s="25">
        <f t="shared" si="5"/>
        <v>0</v>
      </c>
      <c r="BE135" s="25">
        <f t="shared" si="5"/>
        <v>0</v>
      </c>
      <c r="BF135" s="25">
        <f t="shared" si="5"/>
        <v>0</v>
      </c>
      <c r="CA135" s="16">
        <v>-9999</v>
      </c>
      <c r="CB135" s="16">
        <v>-9999</v>
      </c>
      <c r="CC135" s="16">
        <v>-9999</v>
      </c>
      <c r="CD135" s="16">
        <v>-9999</v>
      </c>
      <c r="CE135" s="16">
        <v>-9999</v>
      </c>
      <c r="CF135" s="16">
        <v>-9999</v>
      </c>
      <c r="CG135" s="16">
        <v>-9999</v>
      </c>
      <c r="CH135" s="16">
        <v>-9999</v>
      </c>
      <c r="CI135" s="16">
        <v>-9999</v>
      </c>
      <c r="CJ135" s="16">
        <v>-9999</v>
      </c>
      <c r="CK135" s="16">
        <v>-9999</v>
      </c>
      <c r="CL135" s="16">
        <v>-9999</v>
      </c>
      <c r="CM135" s="16">
        <v>-9999</v>
      </c>
      <c r="CN135" s="16">
        <v>-9999</v>
      </c>
      <c r="CO135" s="16">
        <v>-9999</v>
      </c>
      <c r="CP135" s="16">
        <v>-9999</v>
      </c>
      <c r="CQ135" s="16">
        <v>-9999</v>
      </c>
      <c r="CR135" s="16">
        <v>-9999</v>
      </c>
      <c r="CS135" s="16">
        <v>-9999</v>
      </c>
      <c r="CT135" s="16">
        <v>-9999</v>
      </c>
      <c r="CU135" s="16">
        <v>-9999</v>
      </c>
      <c r="CV135" s="16">
        <v>-9999</v>
      </c>
      <c r="CW135" s="16">
        <v>-9999</v>
      </c>
      <c r="CX135" s="16">
        <v>-9999</v>
      </c>
      <c r="CY135" s="16">
        <v>-9999</v>
      </c>
      <c r="CZ135" s="16">
        <v>-9999</v>
      </c>
      <c r="DA135" s="16">
        <v>-9999</v>
      </c>
      <c r="DB135" s="16">
        <v>-9999</v>
      </c>
      <c r="DC135" s="16">
        <v>-9999</v>
      </c>
      <c r="DD135" s="16">
        <v>-9999</v>
      </c>
      <c r="DE135" s="16">
        <v>-9999</v>
      </c>
      <c r="DF135" s="16">
        <v>-9999</v>
      </c>
      <c r="DG135" s="16">
        <v>-9999</v>
      </c>
      <c r="DH135" s="16">
        <v>-9999</v>
      </c>
      <c r="DI135" s="16">
        <v>-9999</v>
      </c>
      <c r="DJ135" s="16">
        <v>-9999</v>
      </c>
      <c r="DK135" s="16">
        <v>-9999</v>
      </c>
      <c r="DL135" s="16">
        <v>-9999</v>
      </c>
      <c r="DM135" s="16">
        <v>-9999</v>
      </c>
      <c r="DN135" s="16">
        <v>-9999</v>
      </c>
      <c r="DO135" s="16">
        <v>-9999</v>
      </c>
      <c r="DP135" s="16">
        <v>-9999</v>
      </c>
      <c r="DQ135" s="16">
        <v>-9999</v>
      </c>
      <c r="DR135" s="16">
        <v>-9999</v>
      </c>
      <c r="DS135" s="16">
        <v>-9999</v>
      </c>
      <c r="DT135" s="16">
        <v>-9999</v>
      </c>
      <c r="DU135" s="16">
        <v>-9999</v>
      </c>
      <c r="DV135" s="16">
        <v>-9999</v>
      </c>
      <c r="DW135" s="16">
        <v>-9999</v>
      </c>
      <c r="DX135" s="16">
        <v>-9999</v>
      </c>
      <c r="DY135" s="16">
        <v>-9999</v>
      </c>
      <c r="DZ135" s="16">
        <v>-9999</v>
      </c>
      <c r="EA135" s="2197">
        <v>-9999</v>
      </c>
      <c r="EB135" s="2197">
        <v>-9999</v>
      </c>
      <c r="EC135" s="2197">
        <v>-9999</v>
      </c>
      <c r="ED135" s="2197">
        <v>-9999</v>
      </c>
      <c r="EE135" s="2197">
        <v>-9999</v>
      </c>
      <c r="EF135" s="2197">
        <v>-9999</v>
      </c>
      <c r="EG135" s="2197">
        <v>-9999</v>
      </c>
      <c r="EH135" s="2197">
        <v>-9999</v>
      </c>
      <c r="EI135" s="2197">
        <v>-9999</v>
      </c>
      <c r="EJ135" s="2197">
        <v>-9999</v>
      </c>
      <c r="EK135" s="2197">
        <v>-9999</v>
      </c>
      <c r="EL135" s="2197">
        <v>-9999</v>
      </c>
      <c r="EM135" s="2197">
        <v>-9999</v>
      </c>
    </row>
    <row r="136" spans="1:143">
      <c r="A136" s="22">
        <v>36</v>
      </c>
      <c r="B136" s="1" t="s">
        <v>1894</v>
      </c>
      <c r="C136" s="24">
        <f ca="1">OFFSET('VVP2'!F185,0,Last_forecast_year - 3-InputY!$G$3)</f>
        <v>23.47364</v>
      </c>
      <c r="D136" s="24">
        <f ca="1">OFFSET('VVP2'!G185,0,Last_forecast_year - 3-InputY!$G$3)</f>
        <v>24.863340000000001</v>
      </c>
      <c r="E136" s="24">
        <f ca="1">OFFSET('VVP2'!H185,0,Last_forecast_year - 3-InputY!$G$3)</f>
        <v>26.80039</v>
      </c>
      <c r="F136" s="24">
        <f ca="1">OFFSET('VVP2'!I185,0,Last_forecast_year - 3-InputY!$G$3)</f>
        <v>28.459602144899996</v>
      </c>
      <c r="G136" s="24">
        <f ca="1">OFFSET('VVP2'!J185,0,Last_forecast_year - 3-InputY!$G$3)</f>
        <v>30.045541934026691</v>
      </c>
      <c r="H136" s="25">
        <v>-9999</v>
      </c>
      <c r="I136" s="25">
        <v>-9999</v>
      </c>
      <c r="J136" s="25">
        <v>-9999</v>
      </c>
      <c r="K136" s="25">
        <v>-9999</v>
      </c>
      <c r="L136" s="25">
        <v>-9999</v>
      </c>
      <c r="M136" s="25">
        <v>-9999</v>
      </c>
      <c r="N136" s="25">
        <v>-9999</v>
      </c>
      <c r="O136" s="25">
        <v>-9999</v>
      </c>
      <c r="P136" s="32"/>
      <c r="Q136"/>
      <c r="AA136" s="22">
        <v>36</v>
      </c>
      <c r="AB136" s="1040" t="str">
        <f t="shared" si="3"/>
        <v xml:space="preserve">VAL. PRIVATE CONSUMPTION EXPEND. </v>
      </c>
      <c r="AC136" s="1040">
        <f>CHOOSE(Tables!$U$2,Transfer!CA136,Transfer!CN136,Transfer!DA136,Transfer!DN136,Transfer!EA136)</f>
        <v>67.143799999999999</v>
      </c>
      <c r="AD136" s="1040">
        <f>CHOOSE(Tables!$U$2,Transfer!CB136,Transfer!CO136,Transfer!DB136,Transfer!DO136,Transfer!EB136)</f>
        <v>71.978759999999994</v>
      </c>
      <c r="AE136" s="1040">
        <f>CHOOSE(Tables!$U$2,Transfer!CC136,Transfer!CP136,Transfer!DC136,Transfer!DP136,Transfer!EC136)</f>
        <v>76.03496519033915</v>
      </c>
      <c r="AF136" s="1040">
        <f>CHOOSE(Tables!$U$2,Transfer!CD136,Transfer!CQ136,Transfer!DD136,Transfer!DQ136,Transfer!ED136)</f>
        <v>80.520172139383774</v>
      </c>
      <c r="AG136" s="1040">
        <f>CHOOSE(Tables!$U$2,Transfer!CE136,Transfer!CR136,Transfer!DE136,Transfer!DR136,Transfer!EE136)</f>
        <v>86.094320925131726</v>
      </c>
      <c r="AH136" s="1040">
        <f>CHOOSE(Tables!$U$2,Transfer!CF136,Transfer!CS136,Transfer!DF136,Transfer!DS136,Transfer!EF136)</f>
        <v>-9999</v>
      </c>
      <c r="AI136" s="1040">
        <f>CHOOSE(Tables!$U$2,Transfer!CG136,Transfer!CT136,Transfer!DG136,Transfer!DT136,Transfer!EG136)</f>
        <v>-9999</v>
      </c>
      <c r="AJ136" s="1040">
        <f>CHOOSE(Tables!$U$2,Transfer!CH136,Transfer!CU136,Transfer!DH136,Transfer!DU136,Transfer!EH136)</f>
        <v>-9999</v>
      </c>
      <c r="AK136" s="1040">
        <f>CHOOSE(Tables!$U$2,Transfer!CI136,Transfer!CV136,Transfer!DI136,Transfer!DV136,Transfer!EI136)</f>
        <v>-9999</v>
      </c>
      <c r="AL136" s="1040">
        <f>CHOOSE(Tables!$U$2,Transfer!CJ136,Transfer!CW136,Transfer!DJ136,Transfer!DW136,Transfer!EJ136)</f>
        <v>-9999</v>
      </c>
      <c r="AM136" s="1040">
        <f>CHOOSE(Tables!$U$2,Transfer!CK136,Transfer!CX136,Transfer!DK136,Transfer!DX136,Transfer!EK136)</f>
        <v>-9999</v>
      </c>
      <c r="AN136" s="1040">
        <f>CHOOSE(Tables!$U$2,Transfer!CL136,Transfer!CY136,Transfer!DL136,Transfer!DY136,Transfer!EL136)</f>
        <v>-9999</v>
      </c>
      <c r="AO136" s="1040">
        <f>CHOOSE(Tables!$U$2,Transfer!CM136,Transfer!CZ136,Transfer!DM136,Transfer!DZ136,Transfer!EM136)</f>
        <v>-9999</v>
      </c>
      <c r="AR136" s="22">
        <v>36</v>
      </c>
      <c r="AS136" s="1" t="s">
        <v>1894</v>
      </c>
      <c r="AT136" s="24">
        <f t="shared" ca="1" si="5"/>
        <v>-43.670159999999996</v>
      </c>
      <c r="AU136" s="24">
        <f t="shared" ca="1" si="5"/>
        <v>-47.115419999999993</v>
      </c>
      <c r="AV136" s="24">
        <f t="shared" ca="1" si="5"/>
        <v>-49.23457519033915</v>
      </c>
      <c r="AW136" s="24">
        <f t="shared" ca="1" si="5"/>
        <v>-52.060569994483778</v>
      </c>
      <c r="AX136" s="24">
        <f t="shared" ca="1" si="5"/>
        <v>-56.048778991105038</v>
      </c>
      <c r="AY136" s="25">
        <f t="shared" si="5"/>
        <v>0</v>
      </c>
      <c r="AZ136" s="25">
        <f t="shared" si="5"/>
        <v>0</v>
      </c>
      <c r="BA136" s="25">
        <f t="shared" si="5"/>
        <v>0</v>
      </c>
      <c r="BB136" s="25">
        <f t="shared" si="5"/>
        <v>0</v>
      </c>
      <c r="BC136" s="25">
        <f t="shared" si="5"/>
        <v>0</v>
      </c>
      <c r="BD136" s="25">
        <f t="shared" si="5"/>
        <v>0</v>
      </c>
      <c r="BE136" s="25">
        <f t="shared" si="5"/>
        <v>0</v>
      </c>
      <c r="BF136" s="25">
        <f t="shared" si="5"/>
        <v>0</v>
      </c>
      <c r="CA136" s="16">
        <v>21.97467</v>
      </c>
      <c r="CB136" s="16">
        <v>22.901220000000002</v>
      </c>
      <c r="CC136" s="16">
        <v>23.831192741759995</v>
      </c>
      <c r="CD136" s="16">
        <v>24.977759086951554</v>
      </c>
      <c r="CE136" s="16">
        <v>26.497306038765341</v>
      </c>
      <c r="CF136" s="16">
        <v>-9999</v>
      </c>
      <c r="CG136" s="16">
        <v>-9999</v>
      </c>
      <c r="CH136" s="16">
        <v>-9999</v>
      </c>
      <c r="CI136" s="16">
        <v>-9999</v>
      </c>
      <c r="CJ136" s="16">
        <v>-9999</v>
      </c>
      <c r="CK136" s="16">
        <v>-9999</v>
      </c>
      <c r="CL136" s="16">
        <v>-9999</v>
      </c>
      <c r="CM136" s="16">
        <v>-9999</v>
      </c>
      <c r="CN136" s="16">
        <v>20.86422</v>
      </c>
      <c r="CO136" s="16">
        <v>21.953919999999997</v>
      </c>
      <c r="CP136" s="16">
        <v>23.235018480655871</v>
      </c>
      <c r="CQ136" s="16">
        <v>23.950903886775119</v>
      </c>
      <c r="CR136" s="16">
        <v>25.423500634665771</v>
      </c>
      <c r="CS136" s="16">
        <v>-9999</v>
      </c>
      <c r="CT136" s="16">
        <v>-9999</v>
      </c>
      <c r="CU136" s="16">
        <v>-9999</v>
      </c>
      <c r="CV136" s="16">
        <v>-9999</v>
      </c>
      <c r="CW136" s="16">
        <v>-9999</v>
      </c>
      <c r="CX136" s="16">
        <v>-9999</v>
      </c>
      <c r="CY136" s="16">
        <v>-9999</v>
      </c>
      <c r="CZ136" s="16">
        <v>-9999</v>
      </c>
      <c r="DA136" s="16">
        <v>21.953919999999997</v>
      </c>
      <c r="DB136" s="16">
        <v>23.213270000000001</v>
      </c>
      <c r="DC136" s="16">
        <v>24.176156439600007</v>
      </c>
      <c r="DD136" s="16">
        <v>25.493853670183967</v>
      </c>
      <c r="DE136" s="16">
        <v>27.042758243769665</v>
      </c>
      <c r="DF136" s="16">
        <v>-9999</v>
      </c>
      <c r="DG136" s="16">
        <v>-9999</v>
      </c>
      <c r="DH136" s="16">
        <v>-9999</v>
      </c>
      <c r="DI136" s="16">
        <v>-9999</v>
      </c>
      <c r="DJ136" s="16">
        <v>-9999</v>
      </c>
      <c r="DK136" s="16">
        <v>-9999</v>
      </c>
      <c r="DL136" s="16">
        <v>-9999</v>
      </c>
      <c r="DM136" s="16">
        <v>-9999</v>
      </c>
      <c r="DN136" s="16">
        <v>20.86422</v>
      </c>
      <c r="DO136" s="16">
        <v>21.953919999999997</v>
      </c>
      <c r="DP136" s="16">
        <v>23.235018480655871</v>
      </c>
      <c r="DQ136" s="16">
        <v>24.033756909870398</v>
      </c>
      <c r="DR136" s="16">
        <v>25.517172250572916</v>
      </c>
      <c r="DS136" s="16">
        <v>-9999</v>
      </c>
      <c r="DT136" s="16">
        <v>-9999</v>
      </c>
      <c r="DU136" s="16">
        <v>-9999</v>
      </c>
      <c r="DV136" s="16">
        <v>-9999</v>
      </c>
      <c r="DW136" s="16">
        <v>-9999</v>
      </c>
      <c r="DX136" s="16">
        <v>-9999</v>
      </c>
      <c r="DY136" s="16">
        <v>-9999</v>
      </c>
      <c r="DZ136" s="16">
        <v>-9999</v>
      </c>
      <c r="EA136" s="2196">
        <v>67.143799999999999</v>
      </c>
      <c r="EB136" s="2196">
        <v>71.978759999999994</v>
      </c>
      <c r="EC136" s="2196">
        <v>76.03496519033915</v>
      </c>
      <c r="ED136" s="2196">
        <v>80.520172139383774</v>
      </c>
      <c r="EE136" s="2196">
        <v>86.094320925131726</v>
      </c>
      <c r="EF136" s="2197">
        <v>-9999</v>
      </c>
      <c r="EG136" s="2197">
        <v>-9999</v>
      </c>
      <c r="EH136" s="2197">
        <v>-9999</v>
      </c>
      <c r="EI136" s="2197">
        <v>-9999</v>
      </c>
      <c r="EJ136" s="2197">
        <v>-9999</v>
      </c>
      <c r="EK136" s="2197">
        <v>-9999</v>
      </c>
      <c r="EL136" s="2197">
        <v>-9999</v>
      </c>
      <c r="EM136" s="2197">
        <v>-9999</v>
      </c>
    </row>
    <row r="137" spans="1:143">
      <c r="A137" s="22">
        <v>37</v>
      </c>
      <c r="B137" s="1" t="s">
        <v>1896</v>
      </c>
      <c r="C137" s="24">
        <f ca="1">OFFSET('VVP2'!F193,0,Last_forecast_year - 3-InputY!$G$3)</f>
        <v>6.4287700000000001</v>
      </c>
      <c r="D137" s="24">
        <f ca="1">OFFSET('VVP2'!G193,0,Last_forecast_year - 3-InputY!$G$3)</f>
        <v>6.63687</v>
      </c>
      <c r="E137" s="24">
        <f ca="1">OFFSET('VVP2'!H193,0,Last_forecast_year - 3-InputY!$G$3)</f>
        <v>6.9080500000000002</v>
      </c>
      <c r="F137" s="24">
        <f ca="1">OFFSET('VVP2'!I193,0,Last_forecast_year - 3-InputY!$G$3)</f>
        <v>7.2979828955879995</v>
      </c>
      <c r="G137" s="24">
        <f ca="1">OFFSET('VVP2'!J193,0,Last_forecast_year - 3-InputY!$G$3)</f>
        <v>7.6726989950392293</v>
      </c>
      <c r="H137" s="25">
        <v>-9999</v>
      </c>
      <c r="I137" s="25">
        <v>-9999</v>
      </c>
      <c r="J137" s="25">
        <v>-9999</v>
      </c>
      <c r="K137" s="25">
        <v>-9999</v>
      </c>
      <c r="L137" s="25">
        <v>-9999</v>
      </c>
      <c r="M137" s="25">
        <v>-9999</v>
      </c>
      <c r="N137" s="25">
        <v>-9999</v>
      </c>
      <c r="O137" s="25">
        <v>-9999</v>
      </c>
      <c r="P137" s="32"/>
      <c r="Q137"/>
      <c r="AA137" s="22">
        <v>37</v>
      </c>
      <c r="AB137" s="1040" t="str">
        <f t="shared" si="3"/>
        <v xml:space="preserve">VAL. GOVERNMENT CONSUMPTION EXPEND. </v>
      </c>
      <c r="AC137" s="1040">
        <f>CHOOSE(Tables!$U$2,Transfer!CA137,Transfer!CN137,Transfer!DA137,Transfer!DN137,Transfer!EA137)</f>
        <v>19.938669999999998</v>
      </c>
      <c r="AD137" s="1040">
        <f>CHOOSE(Tables!$U$2,Transfer!CB137,Transfer!CO137,Transfer!DB137,Transfer!DO137,Transfer!EB137)</f>
        <v>19.99691</v>
      </c>
      <c r="AE137" s="1040">
        <f>CHOOSE(Tables!$U$2,Transfer!CC137,Transfer!CP137,Transfer!DC137,Transfer!DP137,Transfer!EC137)</f>
        <v>20.5810197411</v>
      </c>
      <c r="AF137" s="1040">
        <f>CHOOSE(Tables!$U$2,Transfer!CD137,Transfer!CQ137,Transfer!DD137,Transfer!DQ137,Transfer!ED137)</f>
        <v>21.307612062039794</v>
      </c>
      <c r="AG137" s="1040">
        <f>CHOOSE(Tables!$U$2,Transfer!CE137,Transfer!CR137,Transfer!DE137,Transfer!DR137,Transfer!EE137)</f>
        <v>22.059855998278046</v>
      </c>
      <c r="AH137" s="1040">
        <f>CHOOSE(Tables!$U$2,Transfer!CF137,Transfer!CS137,Transfer!DF137,Transfer!DS137,Transfer!EF137)</f>
        <v>-9999</v>
      </c>
      <c r="AI137" s="1040">
        <f>CHOOSE(Tables!$U$2,Transfer!CG137,Transfer!CT137,Transfer!DG137,Transfer!DT137,Transfer!EG137)</f>
        <v>-9999</v>
      </c>
      <c r="AJ137" s="1040">
        <f>CHOOSE(Tables!$U$2,Transfer!CH137,Transfer!CU137,Transfer!DH137,Transfer!DU137,Transfer!EH137)</f>
        <v>-9999</v>
      </c>
      <c r="AK137" s="1040">
        <f>CHOOSE(Tables!$U$2,Transfer!CI137,Transfer!CV137,Transfer!DI137,Transfer!DV137,Transfer!EI137)</f>
        <v>-9999</v>
      </c>
      <c r="AL137" s="1040">
        <f>CHOOSE(Tables!$U$2,Transfer!CJ137,Transfer!CW137,Transfer!DJ137,Transfer!DW137,Transfer!EJ137)</f>
        <v>-9999</v>
      </c>
      <c r="AM137" s="1040">
        <f>CHOOSE(Tables!$U$2,Transfer!CK137,Transfer!CX137,Transfer!DK137,Transfer!DX137,Transfer!EK137)</f>
        <v>-9999</v>
      </c>
      <c r="AN137" s="1040">
        <f>CHOOSE(Tables!$U$2,Transfer!CL137,Transfer!CY137,Transfer!DL137,Transfer!DY137,Transfer!EL137)</f>
        <v>-9999</v>
      </c>
      <c r="AO137" s="1040">
        <f>CHOOSE(Tables!$U$2,Transfer!CM137,Transfer!CZ137,Transfer!DM137,Transfer!DZ137,Transfer!EM137)</f>
        <v>-9999</v>
      </c>
      <c r="AR137" s="22">
        <v>37</v>
      </c>
      <c r="AS137" s="1" t="s">
        <v>1896</v>
      </c>
      <c r="AT137" s="24">
        <f t="shared" ca="1" si="5"/>
        <v>-13.509899999999998</v>
      </c>
      <c r="AU137" s="24">
        <f t="shared" ca="1" si="5"/>
        <v>-13.36004</v>
      </c>
      <c r="AV137" s="24">
        <f t="shared" ca="1" si="5"/>
        <v>-13.672969741100001</v>
      </c>
      <c r="AW137" s="24">
        <f t="shared" ca="1" si="5"/>
        <v>-14.009629166451795</v>
      </c>
      <c r="AX137" s="24">
        <f t="shared" ca="1" si="5"/>
        <v>-14.387157003238816</v>
      </c>
      <c r="AY137" s="25">
        <f t="shared" si="5"/>
        <v>0</v>
      </c>
      <c r="AZ137" s="25">
        <f t="shared" si="5"/>
        <v>0</v>
      </c>
      <c r="BA137" s="25">
        <f t="shared" si="5"/>
        <v>0</v>
      </c>
      <c r="BB137" s="25">
        <f t="shared" si="5"/>
        <v>0</v>
      </c>
      <c r="BC137" s="25">
        <f t="shared" si="5"/>
        <v>0</v>
      </c>
      <c r="BD137" s="25">
        <f t="shared" si="5"/>
        <v>0</v>
      </c>
      <c r="BE137" s="25">
        <f t="shared" si="5"/>
        <v>0</v>
      </c>
      <c r="BF137" s="25">
        <f t="shared" si="5"/>
        <v>0</v>
      </c>
      <c r="CA137" s="16">
        <v>5.8615600000000008</v>
      </c>
      <c r="CB137" s="16">
        <v>6.1616899999999992</v>
      </c>
      <c r="CC137" s="16">
        <v>6.4261404922649987</v>
      </c>
      <c r="CD137" s="16">
        <v>6.701815493242675</v>
      </c>
      <c r="CE137" s="16">
        <v>7.0340915053976465</v>
      </c>
      <c r="CF137" s="16">
        <v>-9999</v>
      </c>
      <c r="CG137" s="16">
        <v>-9999</v>
      </c>
      <c r="CH137" s="16">
        <v>-9999</v>
      </c>
      <c r="CI137" s="16">
        <v>-9999</v>
      </c>
      <c r="CJ137" s="16">
        <v>-9999</v>
      </c>
      <c r="CK137" s="16">
        <v>-9999</v>
      </c>
      <c r="CL137" s="16">
        <v>-9999</v>
      </c>
      <c r="CM137" s="16">
        <v>-9999</v>
      </c>
      <c r="CN137" s="16">
        <v>5.7698700000000001</v>
      </c>
      <c r="CO137" s="16">
        <v>5.8786499999999995</v>
      </c>
      <c r="CP137" s="16">
        <v>6.1338186818999993</v>
      </c>
      <c r="CQ137" s="16">
        <v>6.4286314761174985</v>
      </c>
      <c r="CR137" s="16">
        <v>6.7310375150698043</v>
      </c>
      <c r="CS137" s="16">
        <v>-9999</v>
      </c>
      <c r="CT137" s="16">
        <v>-9999</v>
      </c>
      <c r="CU137" s="16">
        <v>-9999</v>
      </c>
      <c r="CV137" s="16">
        <v>-9999</v>
      </c>
      <c r="CW137" s="16">
        <v>-9999</v>
      </c>
      <c r="CX137" s="16">
        <v>-9999</v>
      </c>
      <c r="CY137" s="16">
        <v>-9999</v>
      </c>
      <c r="CZ137" s="16">
        <v>-9999</v>
      </c>
      <c r="DA137" s="16">
        <v>5.8786499999999995</v>
      </c>
      <c r="DB137" s="16">
        <v>6.1858999999999993</v>
      </c>
      <c r="DC137" s="16">
        <v>6.3665159081999985</v>
      </c>
      <c r="DD137" s="16">
        <v>6.5524436387830711</v>
      </c>
      <c r="DE137" s="16">
        <v>6.7304735324488068</v>
      </c>
      <c r="DF137" s="16">
        <v>-9999</v>
      </c>
      <c r="DG137" s="16">
        <v>-9999</v>
      </c>
      <c r="DH137" s="16">
        <v>-9999</v>
      </c>
      <c r="DI137" s="16">
        <v>-9999</v>
      </c>
      <c r="DJ137" s="16">
        <v>-9999</v>
      </c>
      <c r="DK137" s="16">
        <v>-9999</v>
      </c>
      <c r="DL137" s="16">
        <v>-9999</v>
      </c>
      <c r="DM137" s="16">
        <v>-9999</v>
      </c>
      <c r="DN137" s="16">
        <v>5.7698700000000001</v>
      </c>
      <c r="DO137" s="16">
        <v>5.8786499999999995</v>
      </c>
      <c r="DP137" s="16">
        <v>6.1309333615824908</v>
      </c>
      <c r="DQ137" s="16">
        <v>6.4256074772069098</v>
      </c>
      <c r="DR137" s="16">
        <v>6.7278712657384618</v>
      </c>
      <c r="DS137" s="16">
        <v>-9999</v>
      </c>
      <c r="DT137" s="16">
        <v>-9999</v>
      </c>
      <c r="DU137" s="16">
        <v>-9999</v>
      </c>
      <c r="DV137" s="16">
        <v>-9999</v>
      </c>
      <c r="DW137" s="16">
        <v>-9999</v>
      </c>
      <c r="DX137" s="16">
        <v>-9999</v>
      </c>
      <c r="DY137" s="16">
        <v>-9999</v>
      </c>
      <c r="DZ137" s="16">
        <v>-9999</v>
      </c>
      <c r="EA137" s="2196">
        <v>19.938669999999998</v>
      </c>
      <c r="EB137" s="2196">
        <v>19.99691</v>
      </c>
      <c r="EC137" s="2196">
        <v>20.5810197411</v>
      </c>
      <c r="ED137" s="2196">
        <v>21.307612062039794</v>
      </c>
      <c r="EE137" s="2196">
        <v>22.059855998278046</v>
      </c>
      <c r="EF137" s="2197">
        <v>-9999</v>
      </c>
      <c r="EG137" s="2197">
        <v>-9999</v>
      </c>
      <c r="EH137" s="2197">
        <v>-9999</v>
      </c>
      <c r="EI137" s="2197">
        <v>-9999</v>
      </c>
      <c r="EJ137" s="2197">
        <v>-9999</v>
      </c>
      <c r="EK137" s="2197">
        <v>-9999</v>
      </c>
      <c r="EL137" s="2197">
        <v>-9999</v>
      </c>
      <c r="EM137" s="2197">
        <v>-9999</v>
      </c>
    </row>
    <row r="138" spans="1:143">
      <c r="A138" s="22">
        <v>38</v>
      </c>
      <c r="B138" s="31" t="s">
        <v>1898</v>
      </c>
      <c r="C138" s="24">
        <f ca="1">OFFSET('VVP2'!F212,0,Last_forecast_year - 3-InputY!$G$3)</f>
        <v>7.3252199999999998</v>
      </c>
      <c r="D138" s="24">
        <f ca="1">OFFSET('VVP2'!G212,0,Last_forecast_year - 3-InputY!$G$3)</f>
        <v>7.3141999999999996</v>
      </c>
      <c r="E138" s="24">
        <f ca="1">OFFSET('VVP2'!H212,0,Last_forecast_year - 3-InputY!$G$3)</f>
        <v>7.8803900000000002</v>
      </c>
      <c r="F138" s="24">
        <f ca="1">OFFSET('VVP2'!I212,0,Last_forecast_year - 3-InputY!$G$3)</f>
        <v>8.6125183729499977</v>
      </c>
      <c r="G138" s="24">
        <f ca="1">OFFSET('VVP2'!J212,0,Last_forecast_year - 3-InputY!$G$3)</f>
        <v>9.1844008740182197</v>
      </c>
      <c r="H138" s="25">
        <v>-9999</v>
      </c>
      <c r="I138" s="25">
        <v>-9999</v>
      </c>
      <c r="J138" s="25">
        <v>-9999</v>
      </c>
      <c r="K138" s="25">
        <v>-9999</v>
      </c>
      <c r="L138" s="25">
        <v>-9999</v>
      </c>
      <c r="M138" s="25">
        <v>-9999</v>
      </c>
      <c r="N138" s="25">
        <v>-9999</v>
      </c>
      <c r="O138" s="25">
        <v>-9999</v>
      </c>
      <c r="P138" s="32"/>
      <c r="Q138"/>
      <c r="AA138" s="22">
        <v>38</v>
      </c>
      <c r="AB138" s="1040" t="str">
        <f t="shared" si="3"/>
        <v>VAL. G.F.C.F. TOTAL</v>
      </c>
      <c r="AC138" s="1040">
        <f>CHOOSE(Tables!$U$2,Transfer!CA138,Transfer!CN138,Transfer!DA138,Transfer!DN138,Transfer!EA138)</f>
        <v>19.270209999999999</v>
      </c>
      <c r="AD138" s="1040">
        <f>CHOOSE(Tables!$U$2,Transfer!CB138,Transfer!CO138,Transfer!DB138,Transfer!DO138,Transfer!EB138)</f>
        <v>18.93384</v>
      </c>
      <c r="AE138" s="1040">
        <f>CHOOSE(Tables!$U$2,Transfer!CC138,Transfer!CP138,Transfer!DC138,Transfer!DP138,Transfer!EC138)</f>
        <v>20.327986784549996</v>
      </c>
      <c r="AF138" s="1040">
        <f>CHOOSE(Tables!$U$2,Transfer!CD138,Transfer!CQ138,Transfer!DD138,Transfer!DQ138,Transfer!ED138)</f>
        <v>22.482029028966686</v>
      </c>
      <c r="AG138" s="1040">
        <f>CHOOSE(Tables!$U$2,Transfer!CE138,Transfer!CR138,Transfer!DE138,Transfer!DR138,Transfer!EE138)</f>
        <v>25.119582686416322</v>
      </c>
      <c r="AH138" s="1040">
        <f>CHOOSE(Tables!$U$2,Transfer!CF138,Transfer!CS138,Transfer!DF138,Transfer!DS138,Transfer!EF138)</f>
        <v>-9999</v>
      </c>
      <c r="AI138" s="1040">
        <f>CHOOSE(Tables!$U$2,Transfer!CG138,Transfer!CT138,Transfer!DG138,Transfer!DT138,Transfer!EG138)</f>
        <v>-9999</v>
      </c>
      <c r="AJ138" s="1040">
        <f>CHOOSE(Tables!$U$2,Transfer!CH138,Transfer!CU138,Transfer!DH138,Transfer!DU138,Transfer!EH138)</f>
        <v>-9999</v>
      </c>
      <c r="AK138" s="1040">
        <f>CHOOSE(Tables!$U$2,Transfer!CI138,Transfer!CV138,Transfer!DI138,Transfer!DV138,Transfer!EI138)</f>
        <v>-9999</v>
      </c>
      <c r="AL138" s="1040">
        <f>CHOOSE(Tables!$U$2,Transfer!CJ138,Transfer!CW138,Transfer!DJ138,Transfer!DW138,Transfer!EJ138)</f>
        <v>-9999</v>
      </c>
      <c r="AM138" s="1040">
        <f>CHOOSE(Tables!$U$2,Transfer!CK138,Transfer!CX138,Transfer!DK138,Transfer!DX138,Transfer!EK138)</f>
        <v>-9999</v>
      </c>
      <c r="AN138" s="1040">
        <f>CHOOSE(Tables!$U$2,Transfer!CL138,Transfer!CY138,Transfer!DL138,Transfer!DY138,Transfer!EL138)</f>
        <v>-9999</v>
      </c>
      <c r="AO138" s="1040">
        <f>CHOOSE(Tables!$U$2,Transfer!CM138,Transfer!CZ138,Transfer!DM138,Transfer!DZ138,Transfer!EM138)</f>
        <v>-9999</v>
      </c>
      <c r="AR138" s="22">
        <v>38</v>
      </c>
      <c r="AS138" s="31" t="s">
        <v>1898</v>
      </c>
      <c r="AT138" s="24">
        <f t="shared" ca="1" si="5"/>
        <v>-11.944989999999999</v>
      </c>
      <c r="AU138" s="24">
        <f t="shared" ca="1" si="5"/>
        <v>-11.61964</v>
      </c>
      <c r="AV138" s="24">
        <f t="shared" ca="1" si="5"/>
        <v>-12.447596784549996</v>
      </c>
      <c r="AW138" s="24">
        <f t="shared" ca="1" si="5"/>
        <v>-13.869510656016688</v>
      </c>
      <c r="AX138" s="24">
        <f t="shared" ca="1" si="5"/>
        <v>-15.935181812398103</v>
      </c>
      <c r="AY138" s="25">
        <f t="shared" si="5"/>
        <v>0</v>
      </c>
      <c r="AZ138" s="25">
        <f t="shared" si="5"/>
        <v>0</v>
      </c>
      <c r="BA138" s="25">
        <f t="shared" si="5"/>
        <v>0</v>
      </c>
      <c r="BB138" s="25">
        <f t="shared" si="5"/>
        <v>0</v>
      </c>
      <c r="BC138" s="25">
        <f t="shared" si="5"/>
        <v>0</v>
      </c>
      <c r="BD138" s="25">
        <f t="shared" si="5"/>
        <v>0</v>
      </c>
      <c r="BE138" s="25">
        <f t="shared" si="5"/>
        <v>0</v>
      </c>
      <c r="BF138" s="25">
        <f t="shared" si="5"/>
        <v>0</v>
      </c>
      <c r="CA138" s="16">
        <v>6.4572200000000004</v>
      </c>
      <c r="CB138" s="16">
        <v>6.8936000000000002</v>
      </c>
      <c r="CC138" s="16">
        <v>7.5280508653046727</v>
      </c>
      <c r="CD138" s="16">
        <v>7.7835568200055505</v>
      </c>
      <c r="CE138" s="16">
        <v>8.4523549636863589</v>
      </c>
      <c r="CF138" s="16">
        <v>-9999</v>
      </c>
      <c r="CG138" s="16">
        <v>-9999</v>
      </c>
      <c r="CH138" s="16">
        <v>-9999</v>
      </c>
      <c r="CI138" s="16">
        <v>-9999</v>
      </c>
      <c r="CJ138" s="16">
        <v>-9999</v>
      </c>
      <c r="CK138" s="16">
        <v>-9999</v>
      </c>
      <c r="CL138" s="16">
        <v>-9999</v>
      </c>
      <c r="CM138" s="16">
        <v>-9999</v>
      </c>
      <c r="CN138" s="16">
        <v>5.7769300000000001</v>
      </c>
      <c r="CO138" s="16">
        <v>6.3596400000000006</v>
      </c>
      <c r="CP138" s="16">
        <v>7.0061858257609675</v>
      </c>
      <c r="CQ138" s="16">
        <v>7.4847619060233752</v>
      </c>
      <c r="CR138" s="16">
        <v>8.1468047696794539</v>
      </c>
      <c r="CS138" s="16">
        <v>-9999</v>
      </c>
      <c r="CT138" s="16">
        <v>-9999</v>
      </c>
      <c r="CU138" s="16">
        <v>-9999</v>
      </c>
      <c r="CV138" s="16">
        <v>-9999</v>
      </c>
      <c r="CW138" s="16">
        <v>-9999</v>
      </c>
      <c r="CX138" s="16">
        <v>-9999</v>
      </c>
      <c r="CY138" s="16">
        <v>-9999</v>
      </c>
      <c r="CZ138" s="16">
        <v>-9999</v>
      </c>
      <c r="DA138" s="16">
        <v>6.3596400000000006</v>
      </c>
      <c r="DB138" s="16">
        <v>6.9732200000000004</v>
      </c>
      <c r="DC138" s="16">
        <v>7.6148678343499983</v>
      </c>
      <c r="DD138" s="16">
        <v>8.0391069047903621</v>
      </c>
      <c r="DE138" s="16">
        <v>8.52934223844575</v>
      </c>
      <c r="DF138" s="16">
        <v>-9999</v>
      </c>
      <c r="DG138" s="16">
        <v>-9999</v>
      </c>
      <c r="DH138" s="16">
        <v>-9999</v>
      </c>
      <c r="DI138" s="16">
        <v>-9999</v>
      </c>
      <c r="DJ138" s="16">
        <v>-9999</v>
      </c>
      <c r="DK138" s="16">
        <v>-9999</v>
      </c>
      <c r="DL138" s="16">
        <v>-9999</v>
      </c>
      <c r="DM138" s="16">
        <v>-9999</v>
      </c>
      <c r="DN138" s="16">
        <v>5.7769300000000001</v>
      </c>
      <c r="DO138" s="16">
        <v>6.3596400000000006</v>
      </c>
      <c r="DP138" s="16">
        <v>7.0061858257609675</v>
      </c>
      <c r="DQ138" s="16">
        <v>7.477705214042512</v>
      </c>
      <c r="DR138" s="16">
        <v>8.1216846021979681</v>
      </c>
      <c r="DS138" s="16">
        <v>-9999</v>
      </c>
      <c r="DT138" s="16">
        <v>-9999</v>
      </c>
      <c r="DU138" s="16">
        <v>-9999</v>
      </c>
      <c r="DV138" s="16">
        <v>-9999</v>
      </c>
      <c r="DW138" s="16">
        <v>-9999</v>
      </c>
      <c r="DX138" s="16">
        <v>-9999</v>
      </c>
      <c r="DY138" s="16">
        <v>-9999</v>
      </c>
      <c r="DZ138" s="16">
        <v>-9999</v>
      </c>
      <c r="EA138" s="2196">
        <v>19.270209999999999</v>
      </c>
      <c r="EB138" s="2196">
        <v>18.93384</v>
      </c>
      <c r="EC138" s="2196">
        <v>20.327986784549996</v>
      </c>
      <c r="ED138" s="2196">
        <v>22.482029028966686</v>
      </c>
      <c r="EE138" s="2196">
        <v>25.119582686416322</v>
      </c>
      <c r="EF138" s="2197">
        <v>-9999</v>
      </c>
      <c r="EG138" s="2197">
        <v>-9999</v>
      </c>
      <c r="EH138" s="2197">
        <v>-9999</v>
      </c>
      <c r="EI138" s="2197">
        <v>-9999</v>
      </c>
      <c r="EJ138" s="2197">
        <v>-9999</v>
      </c>
      <c r="EK138" s="2197">
        <v>-9999</v>
      </c>
      <c r="EL138" s="2197">
        <v>-9999</v>
      </c>
      <c r="EM138" s="2197">
        <v>-9999</v>
      </c>
    </row>
    <row r="139" spans="1:143">
      <c r="A139" s="22">
        <v>39</v>
      </c>
      <c r="B139" s="1" t="s">
        <v>1899</v>
      </c>
      <c r="C139" s="24">
        <f ca="1">OFFSET('VVP2'!F206,0,Last_forecast_year - 3-InputY!$G$3)</f>
        <v>4.0977600000000001</v>
      </c>
      <c r="D139" s="24">
        <f ca="1">OFFSET('VVP2'!G206,0,Last_forecast_year - 3-InputY!$G$3)</f>
        <v>3.7851399999999997</v>
      </c>
      <c r="E139" s="24">
        <f ca="1">OFFSET('VVP2'!H206,0,Last_forecast_year - 3-InputY!$G$3)</f>
        <v>4.0979200000000002</v>
      </c>
      <c r="F139" s="24">
        <f ca="1">OFFSET('VVP2'!I206,0,Last_forecast_year - 3-InputY!$G$3)</f>
        <v>4.473412388099999</v>
      </c>
      <c r="G139" s="24">
        <f ca="1">OFFSET('VVP2'!J206,0,Last_forecast_year - 3-InputY!$G$3)</f>
        <v>4.8089152569460829</v>
      </c>
      <c r="H139" s="25">
        <v>-9999</v>
      </c>
      <c r="I139" s="25">
        <v>-9999</v>
      </c>
      <c r="J139" s="25">
        <v>-9999</v>
      </c>
      <c r="K139" s="25">
        <v>-9999</v>
      </c>
      <c r="L139" s="25">
        <v>-9999</v>
      </c>
      <c r="M139" s="25">
        <v>-9999</v>
      </c>
      <c r="N139" s="25">
        <v>-9999</v>
      </c>
      <c r="O139" s="25">
        <v>-9999</v>
      </c>
      <c r="P139" s="32"/>
      <c r="Q139"/>
      <c r="AA139" s="22">
        <v>39</v>
      </c>
      <c r="AB139" s="1040" t="str">
        <f t="shared" si="3"/>
        <v>VAL. G.F.C.F. CONSTRUCTION</v>
      </c>
      <c r="AC139" s="1040">
        <f>CHOOSE(Tables!$U$2,Transfer!CA139,Transfer!CN139,Transfer!DA139,Transfer!DN139,Transfer!EA139)</f>
        <v>11.324629999999999</v>
      </c>
      <c r="AD139" s="1040">
        <f>CHOOSE(Tables!$U$2,Transfer!CB139,Transfer!CO139,Transfer!DB139,Transfer!DO139,Transfer!EB139)</f>
        <v>11.2646</v>
      </c>
      <c r="AE139" s="1040">
        <f>CHOOSE(Tables!$U$2,Transfer!CC139,Transfer!CP139,Transfer!DC139,Transfer!DP139,Transfer!EC139)</f>
        <v>11.750135572500001</v>
      </c>
      <c r="AF139" s="1040">
        <f>CHOOSE(Tables!$U$2,Transfer!CD139,Transfer!CQ139,Transfer!DD139,Transfer!DQ139,Transfer!ED139)</f>
        <v>12.73666130477625</v>
      </c>
      <c r="AG139" s="1040">
        <f>CHOOSE(Tables!$U$2,Transfer!CE139,Transfer!CR139,Transfer!DE139,Transfer!DR139,Transfer!EE139)</f>
        <v>13.93994189205625</v>
      </c>
      <c r="AH139" s="1040">
        <f>CHOOSE(Tables!$U$2,Transfer!CF139,Transfer!CS139,Transfer!DF139,Transfer!DS139,Transfer!EF139)</f>
        <v>-9999</v>
      </c>
      <c r="AI139" s="1040">
        <f>CHOOSE(Tables!$U$2,Transfer!CG139,Transfer!CT139,Transfer!DG139,Transfer!DT139,Transfer!EG139)</f>
        <v>-9999</v>
      </c>
      <c r="AJ139" s="1040">
        <f>CHOOSE(Tables!$U$2,Transfer!CH139,Transfer!CU139,Transfer!DH139,Transfer!DU139,Transfer!EH139)</f>
        <v>-9999</v>
      </c>
      <c r="AK139" s="1040">
        <f>CHOOSE(Tables!$U$2,Transfer!CI139,Transfer!CV139,Transfer!DI139,Transfer!DV139,Transfer!EI139)</f>
        <v>-9999</v>
      </c>
      <c r="AL139" s="1040">
        <f>CHOOSE(Tables!$U$2,Transfer!CJ139,Transfer!CW139,Transfer!DJ139,Transfer!DW139,Transfer!EJ139)</f>
        <v>-9999</v>
      </c>
      <c r="AM139" s="1040">
        <f>CHOOSE(Tables!$U$2,Transfer!CK139,Transfer!CX139,Transfer!DK139,Transfer!DX139,Transfer!EK139)</f>
        <v>-9999</v>
      </c>
      <c r="AN139" s="1040">
        <f>CHOOSE(Tables!$U$2,Transfer!CL139,Transfer!CY139,Transfer!DL139,Transfer!DY139,Transfer!EL139)</f>
        <v>-9999</v>
      </c>
      <c r="AO139" s="1040">
        <f>CHOOSE(Tables!$U$2,Transfer!CM139,Transfer!CZ139,Transfer!DM139,Transfer!DZ139,Transfer!EM139)</f>
        <v>-9999</v>
      </c>
      <c r="AR139" s="22">
        <v>39</v>
      </c>
      <c r="AS139" s="1" t="s">
        <v>1899</v>
      </c>
      <c r="AT139" s="24">
        <f t="shared" ca="1" si="5"/>
        <v>-7.226869999999999</v>
      </c>
      <c r="AU139" s="24">
        <f t="shared" ca="1" si="5"/>
        <v>-7.4794599999999996</v>
      </c>
      <c r="AV139" s="24">
        <f t="shared" ca="1" si="5"/>
        <v>-7.6522155725000012</v>
      </c>
      <c r="AW139" s="24">
        <f t="shared" ca="1" si="5"/>
        <v>-8.2632489166762504</v>
      </c>
      <c r="AX139" s="24">
        <f t="shared" ca="1" si="5"/>
        <v>-9.1310266351101674</v>
      </c>
      <c r="AY139" s="25">
        <f t="shared" si="5"/>
        <v>0</v>
      </c>
      <c r="AZ139" s="25">
        <f t="shared" si="5"/>
        <v>0</v>
      </c>
      <c r="BA139" s="25">
        <f t="shared" si="5"/>
        <v>0</v>
      </c>
      <c r="BB139" s="25">
        <f t="shared" si="5"/>
        <v>0</v>
      </c>
      <c r="BC139" s="25">
        <f t="shared" si="5"/>
        <v>0</v>
      </c>
      <c r="BD139" s="25">
        <f t="shared" si="5"/>
        <v>0</v>
      </c>
      <c r="BE139" s="25">
        <f t="shared" si="5"/>
        <v>0</v>
      </c>
      <c r="BF139" s="25">
        <f t="shared" si="5"/>
        <v>0</v>
      </c>
      <c r="CA139" s="16">
        <v>3.6736200000000001</v>
      </c>
      <c r="CB139" s="16">
        <v>4.0647000000000002</v>
      </c>
      <c r="CC139" s="16">
        <v>4.4557241400000001</v>
      </c>
      <c r="CD139" s="16">
        <v>4.8603038919120012</v>
      </c>
      <c r="CE139" s="16">
        <v>5.1809648177041279</v>
      </c>
      <c r="CF139" s="16">
        <v>-9999</v>
      </c>
      <c r="CG139" s="16">
        <v>-9999</v>
      </c>
      <c r="CH139" s="16">
        <v>-9999</v>
      </c>
      <c r="CI139" s="16">
        <v>-9999</v>
      </c>
      <c r="CJ139" s="16">
        <v>-9999</v>
      </c>
      <c r="CK139" s="16">
        <v>-9999</v>
      </c>
      <c r="CL139" s="16">
        <v>-9999</v>
      </c>
      <c r="CM139" s="16">
        <v>-9999</v>
      </c>
      <c r="CN139" s="16">
        <v>3.25562</v>
      </c>
      <c r="CO139" s="16">
        <v>3.6760600000000001</v>
      </c>
      <c r="CP139" s="16">
        <v>4.1205714625999992</v>
      </c>
      <c r="CQ139" s="16">
        <v>4.4442235654860118</v>
      </c>
      <c r="CR139" s="16">
        <v>4.7937010228683077</v>
      </c>
      <c r="CS139" s="16">
        <v>-9999</v>
      </c>
      <c r="CT139" s="16">
        <v>-9999</v>
      </c>
      <c r="CU139" s="16">
        <v>-9999</v>
      </c>
      <c r="CV139" s="16">
        <v>-9999</v>
      </c>
      <c r="CW139" s="16">
        <v>-9999</v>
      </c>
      <c r="CX139" s="16">
        <v>-9999</v>
      </c>
      <c r="CY139" s="16">
        <v>-9999</v>
      </c>
      <c r="CZ139" s="16">
        <v>-9999</v>
      </c>
      <c r="DA139" s="16">
        <v>3.6760600000000001</v>
      </c>
      <c r="DB139" s="16">
        <v>4.1741599999999996</v>
      </c>
      <c r="DC139" s="16">
        <v>4.5526108231999984</v>
      </c>
      <c r="DD139" s="16">
        <v>4.792592290865751</v>
      </c>
      <c r="DE139" s="16">
        <v>5.0605536818170052</v>
      </c>
      <c r="DF139" s="16">
        <v>-9999</v>
      </c>
      <c r="DG139" s="16">
        <v>-9999</v>
      </c>
      <c r="DH139" s="16">
        <v>-9999</v>
      </c>
      <c r="DI139" s="16">
        <v>-9999</v>
      </c>
      <c r="DJ139" s="16">
        <v>-9999</v>
      </c>
      <c r="DK139" s="16">
        <v>-9999</v>
      </c>
      <c r="DL139" s="16">
        <v>-9999</v>
      </c>
      <c r="DM139" s="16">
        <v>-9999</v>
      </c>
      <c r="DN139" s="16">
        <v>3.25562</v>
      </c>
      <c r="DO139" s="16">
        <v>3.6760600000000001</v>
      </c>
      <c r="DP139" s="16">
        <v>4.1205714625999992</v>
      </c>
      <c r="DQ139" s="16">
        <v>4.4442235654860118</v>
      </c>
      <c r="DR139" s="16">
        <v>4.7937010228683077</v>
      </c>
      <c r="DS139" s="16">
        <v>-9999</v>
      </c>
      <c r="DT139" s="16">
        <v>-9999</v>
      </c>
      <c r="DU139" s="16">
        <v>-9999</v>
      </c>
      <c r="DV139" s="16">
        <v>-9999</v>
      </c>
      <c r="DW139" s="16">
        <v>-9999</v>
      </c>
      <c r="DX139" s="16">
        <v>-9999</v>
      </c>
      <c r="DY139" s="16">
        <v>-9999</v>
      </c>
      <c r="DZ139" s="16">
        <v>-9999</v>
      </c>
      <c r="EA139" s="2196">
        <v>11.324629999999999</v>
      </c>
      <c r="EB139" s="2196">
        <v>11.2646</v>
      </c>
      <c r="EC139" s="2196">
        <v>11.750135572500001</v>
      </c>
      <c r="ED139" s="2196">
        <v>12.73666130477625</v>
      </c>
      <c r="EE139" s="2196">
        <v>13.93994189205625</v>
      </c>
      <c r="EF139" s="2197">
        <v>-9999</v>
      </c>
      <c r="EG139" s="2197">
        <v>-9999</v>
      </c>
      <c r="EH139" s="2197">
        <v>-9999</v>
      </c>
      <c r="EI139" s="2197">
        <v>-9999</v>
      </c>
      <c r="EJ139" s="2197">
        <v>-9999</v>
      </c>
      <c r="EK139" s="2197">
        <v>-9999</v>
      </c>
      <c r="EL139" s="2197">
        <v>-9999</v>
      </c>
      <c r="EM139" s="2197">
        <v>-9999</v>
      </c>
    </row>
    <row r="140" spans="1:143">
      <c r="A140" s="22">
        <v>40</v>
      </c>
      <c r="B140" s="1" t="s">
        <v>1718</v>
      </c>
      <c r="C140" s="24">
        <f ca="1">OFFSET('VVP2'!F210,0,Last_forecast_year - 3-InputY!$G$3)</f>
        <v>2.4741399999999998</v>
      </c>
      <c r="D140" s="24">
        <f ca="1">OFFSET('VVP2'!G210,0,Last_forecast_year - 3-InputY!$G$3)</f>
        <v>2.6825300000000003</v>
      </c>
      <c r="E140" s="24">
        <f ca="1">OFFSET('VVP2'!H210,0,Last_forecast_year - 3-InputY!$G$3)</f>
        <v>2.8599899999999998</v>
      </c>
      <c r="F140" s="24">
        <f ca="1">OFFSET('VVP2'!I210,0,Last_forecast_year - 3-InputY!$G$3)</f>
        <v>3.149635487249999</v>
      </c>
      <c r="G140" s="24">
        <f ca="1">OFFSET('VVP2'!J210,0,Last_forecast_year - 3-InputY!$G$3)</f>
        <v>3.3311489803802168</v>
      </c>
      <c r="H140" s="25">
        <v>-9999</v>
      </c>
      <c r="I140" s="25">
        <v>-9999</v>
      </c>
      <c r="J140" s="25">
        <v>-9999</v>
      </c>
      <c r="K140" s="25">
        <v>-9999</v>
      </c>
      <c r="L140" s="25">
        <v>-9999</v>
      </c>
      <c r="M140" s="25">
        <v>-9999</v>
      </c>
      <c r="N140" s="25">
        <v>-9999</v>
      </c>
      <c r="O140" s="25">
        <v>-9999</v>
      </c>
      <c r="P140" s="32"/>
      <c r="Q140"/>
      <c r="AA140" s="22">
        <v>40</v>
      </c>
      <c r="AB140" s="1040" t="str">
        <f t="shared" si="3"/>
        <v>VAL. G.F.C.F. EQUIPMENT</v>
      </c>
      <c r="AC140" s="1040">
        <f>CHOOSE(Tables!$U$2,Transfer!CA140,Transfer!CN140,Transfer!DA140,Transfer!DN140,Transfer!EA140)</f>
        <v>6.3425500000000001</v>
      </c>
      <c r="AD140" s="1040">
        <f>CHOOSE(Tables!$U$2,Transfer!CB140,Transfer!CO140,Transfer!DB140,Transfer!DO140,Transfer!EB140)</f>
        <v>6.1267700000000005</v>
      </c>
      <c r="AE140" s="1040">
        <f>CHOOSE(Tables!$U$2,Transfer!CC140,Transfer!CP140,Transfer!DC140,Transfer!DP140,Transfer!EC140)</f>
        <v>6.8890933572500002</v>
      </c>
      <c r="AF140" s="1040">
        <f>CHOOSE(Tables!$U$2,Transfer!CD140,Transfer!CQ140,Transfer!DD140,Transfer!DQ140,Transfer!ED140)</f>
        <v>7.8667934865109208</v>
      </c>
      <c r="AG140" s="1040">
        <f>CHOOSE(Tables!$U$2,Transfer!CE140,Transfer!CR140,Transfer!DE140,Transfer!DR140,Transfer!EE140)</f>
        <v>9.0696262105984413</v>
      </c>
      <c r="AH140" s="1040">
        <f>CHOOSE(Tables!$U$2,Transfer!CF140,Transfer!CS140,Transfer!DF140,Transfer!DS140,Transfer!EF140)</f>
        <v>-9999</v>
      </c>
      <c r="AI140" s="1040">
        <f>CHOOSE(Tables!$U$2,Transfer!CG140,Transfer!CT140,Transfer!DG140,Transfer!DT140,Transfer!EG140)</f>
        <v>-9999</v>
      </c>
      <c r="AJ140" s="1040">
        <f>CHOOSE(Tables!$U$2,Transfer!CH140,Transfer!CU140,Transfer!DH140,Transfer!DU140,Transfer!EH140)</f>
        <v>-9999</v>
      </c>
      <c r="AK140" s="1040">
        <f>CHOOSE(Tables!$U$2,Transfer!CI140,Transfer!CV140,Transfer!DI140,Transfer!DV140,Transfer!EI140)</f>
        <v>-9999</v>
      </c>
      <c r="AL140" s="1040">
        <f>CHOOSE(Tables!$U$2,Transfer!CJ140,Transfer!CW140,Transfer!DJ140,Transfer!DW140,Transfer!EJ140)</f>
        <v>-9999</v>
      </c>
      <c r="AM140" s="1040">
        <f>CHOOSE(Tables!$U$2,Transfer!CK140,Transfer!CX140,Transfer!DK140,Transfer!DX140,Transfer!EK140)</f>
        <v>-9999</v>
      </c>
      <c r="AN140" s="1040">
        <f>CHOOSE(Tables!$U$2,Transfer!CL140,Transfer!CY140,Transfer!DL140,Transfer!DY140,Transfer!EL140)</f>
        <v>-9999</v>
      </c>
      <c r="AO140" s="1040">
        <f>CHOOSE(Tables!$U$2,Transfer!CM140,Transfer!CZ140,Transfer!DM140,Transfer!DZ140,Transfer!EM140)</f>
        <v>-9999</v>
      </c>
      <c r="AR140" s="22">
        <v>40</v>
      </c>
      <c r="AS140" s="1" t="s">
        <v>1718</v>
      </c>
      <c r="AT140" s="24">
        <f t="shared" ca="1" si="5"/>
        <v>-3.8684100000000003</v>
      </c>
      <c r="AU140" s="24">
        <f t="shared" ca="1" si="5"/>
        <v>-3.4442400000000002</v>
      </c>
      <c r="AV140" s="24">
        <f t="shared" ca="1" si="5"/>
        <v>-4.0291033572500004</v>
      </c>
      <c r="AW140" s="24">
        <f t="shared" ca="1" si="5"/>
        <v>-4.7171579992609214</v>
      </c>
      <c r="AX140" s="24">
        <f t="shared" ca="1" si="5"/>
        <v>-5.7384772302182245</v>
      </c>
      <c r="AY140" s="25">
        <f t="shared" si="5"/>
        <v>0</v>
      </c>
      <c r="AZ140" s="25">
        <f t="shared" si="5"/>
        <v>0</v>
      </c>
      <c r="BA140" s="25">
        <f t="shared" si="5"/>
        <v>0</v>
      </c>
      <c r="BB140" s="25">
        <f t="shared" si="5"/>
        <v>0</v>
      </c>
      <c r="BC140" s="25">
        <f t="shared" si="5"/>
        <v>0</v>
      </c>
      <c r="BD140" s="25">
        <f t="shared" si="5"/>
        <v>0</v>
      </c>
      <c r="BE140" s="25">
        <f t="shared" si="5"/>
        <v>0</v>
      </c>
      <c r="BF140" s="25">
        <f t="shared" si="5"/>
        <v>0</v>
      </c>
      <c r="CA140" s="16">
        <v>2.1916199999999999</v>
      </c>
      <c r="CB140" s="16">
        <v>2.2525900000000001</v>
      </c>
      <c r="CC140" s="16">
        <v>2.4464253695</v>
      </c>
      <c r="CD140" s="16">
        <v>2.2658057844698152</v>
      </c>
      <c r="CE140" s="16">
        <v>2.557369672815391</v>
      </c>
      <c r="CF140" s="16">
        <v>-9999</v>
      </c>
      <c r="CG140" s="16">
        <v>-9999</v>
      </c>
      <c r="CH140" s="16">
        <v>-9999</v>
      </c>
      <c r="CI140" s="16">
        <v>-9999</v>
      </c>
      <c r="CJ140" s="16">
        <v>-9999</v>
      </c>
      <c r="CK140" s="16">
        <v>-9999</v>
      </c>
      <c r="CL140" s="16">
        <v>-9999</v>
      </c>
      <c r="CM140" s="16">
        <v>-9999</v>
      </c>
      <c r="CN140" s="16">
        <v>1.9435799999999999</v>
      </c>
      <c r="CO140" s="16">
        <v>2.14296</v>
      </c>
      <c r="CP140" s="16">
        <v>2.3038534368000003</v>
      </c>
      <c r="CQ140" s="16">
        <v>2.4228013897419838</v>
      </c>
      <c r="CR140" s="16">
        <v>2.6794245129434549</v>
      </c>
      <c r="CS140" s="16">
        <v>-9999</v>
      </c>
      <c r="CT140" s="16">
        <v>-9999</v>
      </c>
      <c r="CU140" s="16">
        <v>-9999</v>
      </c>
      <c r="CV140" s="16">
        <v>-9999</v>
      </c>
      <c r="CW140" s="16">
        <v>-9999</v>
      </c>
      <c r="CX140" s="16">
        <v>-9999</v>
      </c>
      <c r="CY140" s="16">
        <v>-9999</v>
      </c>
      <c r="CZ140" s="16">
        <v>-9999</v>
      </c>
      <c r="DA140" s="16">
        <v>2.14296</v>
      </c>
      <c r="DB140" s="16">
        <v>2.15245</v>
      </c>
      <c r="DC140" s="16">
        <v>2.3744902846499998</v>
      </c>
      <c r="DD140" s="16">
        <v>2.5157487116838277</v>
      </c>
      <c r="DE140" s="16">
        <v>2.6862661593617574</v>
      </c>
      <c r="DF140" s="16">
        <v>-9999</v>
      </c>
      <c r="DG140" s="16">
        <v>-9999</v>
      </c>
      <c r="DH140" s="16">
        <v>-9999</v>
      </c>
      <c r="DI140" s="16">
        <v>-9999</v>
      </c>
      <c r="DJ140" s="16">
        <v>-9999</v>
      </c>
      <c r="DK140" s="16">
        <v>-9999</v>
      </c>
      <c r="DL140" s="16">
        <v>-9999</v>
      </c>
      <c r="DM140" s="16">
        <v>-9999</v>
      </c>
      <c r="DN140" s="16">
        <v>1.9435799999999999</v>
      </c>
      <c r="DO140" s="16">
        <v>2.14296</v>
      </c>
      <c r="DP140" s="16">
        <v>2.3038534368000003</v>
      </c>
      <c r="DQ140" s="16">
        <v>2.4157446866650654</v>
      </c>
      <c r="DR140" s="16">
        <v>2.6543043059626141</v>
      </c>
      <c r="DS140" s="16">
        <v>-9999</v>
      </c>
      <c r="DT140" s="16">
        <v>-9999</v>
      </c>
      <c r="DU140" s="16">
        <v>-9999</v>
      </c>
      <c r="DV140" s="16">
        <v>-9999</v>
      </c>
      <c r="DW140" s="16">
        <v>-9999</v>
      </c>
      <c r="DX140" s="16">
        <v>-9999</v>
      </c>
      <c r="DY140" s="16">
        <v>-9999</v>
      </c>
      <c r="DZ140" s="16">
        <v>-9999</v>
      </c>
      <c r="EA140" s="2196">
        <v>6.3425500000000001</v>
      </c>
      <c r="EB140" s="2196">
        <v>6.1267700000000005</v>
      </c>
      <c r="EC140" s="2196">
        <v>6.8890933572500002</v>
      </c>
      <c r="ED140" s="2196">
        <v>7.8667934865109208</v>
      </c>
      <c r="EE140" s="2196">
        <v>9.0696262105984413</v>
      </c>
      <c r="EF140" s="2197">
        <v>-9999</v>
      </c>
      <c r="EG140" s="2197">
        <v>-9999</v>
      </c>
      <c r="EH140" s="2197">
        <v>-9999</v>
      </c>
      <c r="EI140" s="2197">
        <v>-9999</v>
      </c>
      <c r="EJ140" s="2197">
        <v>-9999</v>
      </c>
      <c r="EK140" s="2197">
        <v>-9999</v>
      </c>
      <c r="EL140" s="2197">
        <v>-9999</v>
      </c>
      <c r="EM140" s="2197">
        <v>-9999</v>
      </c>
    </row>
    <row r="141" spans="1:143">
      <c r="A141" s="22">
        <v>41</v>
      </c>
      <c r="B141" s="1" t="s">
        <v>1533</v>
      </c>
      <c r="C141" s="24">
        <f ca="1">OFFSET('VVP2'!F211,0,Last_forecast_year - 3-InputY!$G$3)</f>
        <v>0.75331999999999999</v>
      </c>
      <c r="D141" s="24">
        <f ca="1">OFFSET('VVP2'!G211,0,Last_forecast_year - 3-InputY!$G$3)</f>
        <v>0.84651999999999994</v>
      </c>
      <c r="E141" s="24">
        <f ca="1">OFFSET('VVP2'!H211,0,Last_forecast_year - 3-InputY!$G$3)</f>
        <v>0.92247999999999986</v>
      </c>
      <c r="F141" s="24">
        <f ca="1">OFFSET('VVP2'!I211,0,Last_forecast_year - 3-InputY!$G$3)</f>
        <v>0.98947049759999994</v>
      </c>
      <c r="G141" s="24">
        <f ca="1">OFFSET('VVP2'!J211,0,Last_forecast_year - 3-InputY!$G$3)</f>
        <v>1.0443366366919198</v>
      </c>
      <c r="H141" s="25">
        <v>-9999</v>
      </c>
      <c r="I141" s="25">
        <v>-9999</v>
      </c>
      <c r="J141" s="25">
        <v>-9999</v>
      </c>
      <c r="K141" s="25">
        <v>-9999</v>
      </c>
      <c r="L141" s="25">
        <v>-9999</v>
      </c>
      <c r="M141" s="25">
        <v>-9999</v>
      </c>
      <c r="N141" s="25">
        <v>-9999</v>
      </c>
      <c r="O141" s="25">
        <v>-9999</v>
      </c>
      <c r="P141" s="32"/>
      <c r="Q141"/>
      <c r="AA141" s="22">
        <v>41</v>
      </c>
      <c r="AB141" s="1040" t="str">
        <f t="shared" si="3"/>
        <v>VAL. G.F.C.F. OTHER</v>
      </c>
      <c r="AC141" s="1040">
        <f>CHOOSE(Tables!$U$2,Transfer!CA141,Transfer!CN141,Transfer!DA141,Transfer!DN141,Transfer!EA141)</f>
        <v>1.60304</v>
      </c>
      <c r="AD141" s="1040">
        <f>CHOOSE(Tables!$U$2,Transfer!CB141,Transfer!CO141,Transfer!DB141,Transfer!DO141,Transfer!EB141)</f>
        <v>1.54247</v>
      </c>
      <c r="AE141" s="1040">
        <f>CHOOSE(Tables!$U$2,Transfer!CC141,Transfer!CP141,Transfer!DC141,Transfer!DP141,Transfer!EC141)</f>
        <v>1.6887578548</v>
      </c>
      <c r="AF141" s="1040">
        <f>CHOOSE(Tables!$U$2,Transfer!CD141,Transfer!CQ141,Transfer!DD141,Transfer!DQ141,Transfer!ED141)</f>
        <v>1.87857423767952</v>
      </c>
      <c r="AG141" s="1040">
        <f>CHOOSE(Tables!$U$2,Transfer!CE141,Transfer!CR141,Transfer!DE141,Transfer!DR141,Transfer!EE141)</f>
        <v>2.1100145837616369</v>
      </c>
      <c r="AH141" s="1040">
        <f>CHOOSE(Tables!$U$2,Transfer!CF141,Transfer!CS141,Transfer!DF141,Transfer!DS141,Transfer!EF141)</f>
        <v>-9999</v>
      </c>
      <c r="AI141" s="1040">
        <f>CHOOSE(Tables!$U$2,Transfer!CG141,Transfer!CT141,Transfer!DG141,Transfer!DT141,Transfer!EG141)</f>
        <v>-9999</v>
      </c>
      <c r="AJ141" s="1040">
        <f>CHOOSE(Tables!$U$2,Transfer!CH141,Transfer!CU141,Transfer!DH141,Transfer!DU141,Transfer!EH141)</f>
        <v>-9999</v>
      </c>
      <c r="AK141" s="1040">
        <f>CHOOSE(Tables!$U$2,Transfer!CI141,Transfer!CV141,Transfer!DI141,Transfer!DV141,Transfer!EI141)</f>
        <v>-9999</v>
      </c>
      <c r="AL141" s="1040">
        <f>CHOOSE(Tables!$U$2,Transfer!CJ141,Transfer!CW141,Transfer!DJ141,Transfer!DW141,Transfer!EJ141)</f>
        <v>-9999</v>
      </c>
      <c r="AM141" s="1040">
        <f>CHOOSE(Tables!$U$2,Transfer!CK141,Transfer!CX141,Transfer!DK141,Transfer!DX141,Transfer!EK141)</f>
        <v>-9999</v>
      </c>
      <c r="AN141" s="1040">
        <f>CHOOSE(Tables!$U$2,Transfer!CL141,Transfer!CY141,Transfer!DL141,Transfer!DY141,Transfer!EL141)</f>
        <v>-9999</v>
      </c>
      <c r="AO141" s="1040">
        <f>CHOOSE(Tables!$U$2,Transfer!CM141,Transfer!CZ141,Transfer!DM141,Transfer!DZ141,Transfer!EM141)</f>
        <v>-9999</v>
      </c>
      <c r="AR141" s="22">
        <v>41</v>
      </c>
      <c r="AS141" s="1" t="s">
        <v>1533</v>
      </c>
      <c r="AT141" s="24">
        <f t="shared" ca="1" si="5"/>
        <v>-0.84972000000000003</v>
      </c>
      <c r="AU141" s="24">
        <f t="shared" ca="1" si="5"/>
        <v>-0.69595000000000007</v>
      </c>
      <c r="AV141" s="24">
        <f t="shared" ca="1" si="5"/>
        <v>-0.7662778548000001</v>
      </c>
      <c r="AW141" s="24">
        <f t="shared" ca="1" si="5"/>
        <v>-0.88910374007952009</v>
      </c>
      <c r="AX141" s="24">
        <f t="shared" ca="1" si="5"/>
        <v>-1.0656779470697171</v>
      </c>
      <c r="AY141" s="25">
        <f t="shared" si="5"/>
        <v>0</v>
      </c>
      <c r="AZ141" s="25">
        <f t="shared" si="5"/>
        <v>0</v>
      </c>
      <c r="BA141" s="25">
        <f t="shared" si="5"/>
        <v>0</v>
      </c>
      <c r="BB141" s="25">
        <f t="shared" si="5"/>
        <v>0</v>
      </c>
      <c r="BC141" s="25">
        <f t="shared" si="5"/>
        <v>0</v>
      </c>
      <c r="BD141" s="25">
        <f t="shared" si="5"/>
        <v>0</v>
      </c>
      <c r="BE141" s="25">
        <f t="shared" si="5"/>
        <v>0</v>
      </c>
      <c r="BF141" s="25">
        <f t="shared" si="5"/>
        <v>0</v>
      </c>
      <c r="CA141" s="16">
        <v>0.59198000000000006</v>
      </c>
      <c r="CB141" s="16">
        <v>0.57633000000000001</v>
      </c>
      <c r="CC141" s="16">
        <v>0.62592319650000017</v>
      </c>
      <c r="CD141" s="16">
        <v>0.65746972560360017</v>
      </c>
      <c r="CE141" s="16">
        <v>0.7140449954917899</v>
      </c>
      <c r="CF141" s="16">
        <v>-9999</v>
      </c>
      <c r="CG141" s="16">
        <v>-9999</v>
      </c>
      <c r="CH141" s="16">
        <v>-9999</v>
      </c>
      <c r="CI141" s="16">
        <v>-9999</v>
      </c>
      <c r="CJ141" s="16">
        <v>-9999</v>
      </c>
      <c r="CK141" s="16">
        <v>-9999</v>
      </c>
      <c r="CL141" s="16">
        <v>-9999</v>
      </c>
      <c r="CM141" s="16">
        <v>-9999</v>
      </c>
      <c r="CN141" s="16">
        <v>0.57774000000000003</v>
      </c>
      <c r="CO141" s="16">
        <v>0.54062999999999994</v>
      </c>
      <c r="CP141" s="16">
        <v>0.5817719429999999</v>
      </c>
      <c r="CQ141" s="16">
        <v>0.61774871995511982</v>
      </c>
      <c r="CR141" s="16">
        <v>0.67369204403425542</v>
      </c>
      <c r="CS141" s="16">
        <v>-9999</v>
      </c>
      <c r="CT141" s="16">
        <v>-9999</v>
      </c>
      <c r="CU141" s="16">
        <v>-9999</v>
      </c>
      <c r="CV141" s="16">
        <v>-9999</v>
      </c>
      <c r="CW141" s="16">
        <v>-9999</v>
      </c>
      <c r="CX141" s="16">
        <v>-9999</v>
      </c>
      <c r="CY141" s="16">
        <v>-9999</v>
      </c>
      <c r="CZ141" s="16">
        <v>-9999</v>
      </c>
      <c r="DA141" s="16">
        <v>0.54062999999999994</v>
      </c>
      <c r="DB141" s="16">
        <v>0.64660999999999991</v>
      </c>
      <c r="DC141" s="16">
        <v>0.68776672649999993</v>
      </c>
      <c r="DD141" s="16">
        <v>0.73076590224077997</v>
      </c>
      <c r="DE141" s="16">
        <v>0.78252239726698314</v>
      </c>
      <c r="DF141" s="16">
        <v>-9999</v>
      </c>
      <c r="DG141" s="16">
        <v>-9999</v>
      </c>
      <c r="DH141" s="16">
        <v>-9999</v>
      </c>
      <c r="DI141" s="16">
        <v>-9999</v>
      </c>
      <c r="DJ141" s="16">
        <v>-9999</v>
      </c>
      <c r="DK141" s="16">
        <v>-9999</v>
      </c>
      <c r="DL141" s="16">
        <v>-9999</v>
      </c>
      <c r="DM141" s="16">
        <v>-9999</v>
      </c>
      <c r="DN141" s="16">
        <v>0.57774000000000003</v>
      </c>
      <c r="DO141" s="16">
        <v>0.54062999999999994</v>
      </c>
      <c r="DP141" s="16">
        <v>0.5817719429999999</v>
      </c>
      <c r="DQ141" s="16">
        <v>0.61774871995511982</v>
      </c>
      <c r="DR141" s="16">
        <v>0.67369204403425542</v>
      </c>
      <c r="DS141" s="16">
        <v>-9999</v>
      </c>
      <c r="DT141" s="16">
        <v>-9999</v>
      </c>
      <c r="DU141" s="16">
        <v>-9999</v>
      </c>
      <c r="DV141" s="16">
        <v>-9999</v>
      </c>
      <c r="DW141" s="16">
        <v>-9999</v>
      </c>
      <c r="DX141" s="16">
        <v>-9999</v>
      </c>
      <c r="DY141" s="16">
        <v>-9999</v>
      </c>
      <c r="DZ141" s="16">
        <v>-9999</v>
      </c>
      <c r="EA141" s="2196">
        <v>1.60304</v>
      </c>
      <c r="EB141" s="2196">
        <v>1.54247</v>
      </c>
      <c r="EC141" s="2196">
        <v>1.6887578548</v>
      </c>
      <c r="ED141" s="2196">
        <v>1.87857423767952</v>
      </c>
      <c r="EE141" s="2196">
        <v>2.1100145837616369</v>
      </c>
      <c r="EF141" s="2197">
        <v>-9999</v>
      </c>
      <c r="EG141" s="2197">
        <v>-9999</v>
      </c>
      <c r="EH141" s="2197">
        <v>-9999</v>
      </c>
      <c r="EI141" s="2197">
        <v>-9999</v>
      </c>
      <c r="EJ141" s="2197">
        <v>-9999</v>
      </c>
      <c r="EK141" s="2197">
        <v>-9999</v>
      </c>
      <c r="EL141" s="2197">
        <v>-9999</v>
      </c>
      <c r="EM141" s="2197">
        <v>-9999</v>
      </c>
    </row>
    <row r="142" spans="1:143">
      <c r="A142" s="22">
        <v>42</v>
      </c>
      <c r="B142" s="1" t="s">
        <v>1535</v>
      </c>
      <c r="C142" s="24">
        <f ca="1">OFFSET('VVP2'!F260,0,Last_forecast_year - 3-InputY!$G$3)</f>
        <v>0.37847000000000003</v>
      </c>
      <c r="D142" s="24">
        <f ca="1">OFFSET('VVP2'!G260,0,Last_forecast_year - 3-InputY!$G$3)</f>
        <v>-0.64598</v>
      </c>
      <c r="E142" s="24">
        <f ca="1">OFFSET('VVP2'!H260,0,Last_forecast_year - 3-InputY!$G$3)</f>
        <v>-0.64598</v>
      </c>
      <c r="F142" s="24">
        <f ca="1">OFFSET('VVP2'!I260,0,Last_forecast_year - 3-InputY!$G$3)</f>
        <v>-0.64598</v>
      </c>
      <c r="G142" s="24">
        <f ca="1">OFFSET('VVP2'!J260,0,Last_forecast_year - 3-InputY!$G$3)</f>
        <v>-0.64598</v>
      </c>
      <c r="H142" s="25">
        <v>-9999</v>
      </c>
      <c r="I142" s="25">
        <v>-9999</v>
      </c>
      <c r="J142" s="25">
        <v>-9999</v>
      </c>
      <c r="K142" s="25">
        <v>-9999</v>
      </c>
      <c r="L142" s="25">
        <v>-9999</v>
      </c>
      <c r="M142" s="25">
        <v>-9999</v>
      </c>
      <c r="N142" s="25">
        <v>-9999</v>
      </c>
      <c r="O142" s="25">
        <v>-9999</v>
      </c>
      <c r="P142" s="32"/>
      <c r="Q142"/>
      <c r="AA142" s="22">
        <v>42</v>
      </c>
      <c r="AB142" s="1040" t="str">
        <f t="shared" si="3"/>
        <v>VAL. CHANGE IN INVENTORIES</v>
      </c>
      <c r="AC142" s="1040">
        <f>CHOOSE(Tables!$U$2,Transfer!CA142,Transfer!CN142,Transfer!DA142,Transfer!DN142,Transfer!EA142)</f>
        <v>3.4495300000000002</v>
      </c>
      <c r="AD142" s="1040">
        <f>CHOOSE(Tables!$U$2,Transfer!CB142,Transfer!CO142,Transfer!DB142,Transfer!DO142,Transfer!EB142)</f>
        <v>1.89377</v>
      </c>
      <c r="AE142" s="1040">
        <f>CHOOSE(Tables!$U$2,Transfer!CC142,Transfer!CP142,Transfer!DC142,Transfer!DP142,Transfer!EC142)</f>
        <v>1.89377</v>
      </c>
      <c r="AF142" s="1040">
        <f>CHOOSE(Tables!$U$2,Transfer!CD142,Transfer!CQ142,Transfer!DD142,Transfer!DQ142,Transfer!ED142)</f>
        <v>1.89377</v>
      </c>
      <c r="AG142" s="1040">
        <f>CHOOSE(Tables!$U$2,Transfer!CE142,Transfer!CR142,Transfer!DE142,Transfer!DR142,Transfer!EE142)</f>
        <v>1.89377</v>
      </c>
      <c r="AH142" s="1040">
        <f>CHOOSE(Tables!$U$2,Transfer!CF142,Transfer!CS142,Transfer!DF142,Transfer!DS142,Transfer!EF142)</f>
        <v>-9999</v>
      </c>
      <c r="AI142" s="1040">
        <f>CHOOSE(Tables!$U$2,Transfer!CG142,Transfer!CT142,Transfer!DG142,Transfer!DT142,Transfer!EG142)</f>
        <v>-9999</v>
      </c>
      <c r="AJ142" s="1040">
        <f>CHOOSE(Tables!$U$2,Transfer!CH142,Transfer!CU142,Transfer!DH142,Transfer!DU142,Transfer!EH142)</f>
        <v>-9999</v>
      </c>
      <c r="AK142" s="1040">
        <f>CHOOSE(Tables!$U$2,Transfer!CI142,Transfer!CV142,Transfer!DI142,Transfer!DV142,Transfer!EI142)</f>
        <v>-9999</v>
      </c>
      <c r="AL142" s="1040">
        <f>CHOOSE(Tables!$U$2,Transfer!CJ142,Transfer!CW142,Transfer!DJ142,Transfer!DW142,Transfer!EJ142)</f>
        <v>-9999</v>
      </c>
      <c r="AM142" s="1040">
        <f>CHOOSE(Tables!$U$2,Transfer!CK142,Transfer!CX142,Transfer!DK142,Transfer!DX142,Transfer!EK142)</f>
        <v>-9999</v>
      </c>
      <c r="AN142" s="1040">
        <f>CHOOSE(Tables!$U$2,Transfer!CL142,Transfer!CY142,Transfer!DL142,Transfer!DY142,Transfer!EL142)</f>
        <v>-9999</v>
      </c>
      <c r="AO142" s="1040">
        <f>CHOOSE(Tables!$U$2,Transfer!CM142,Transfer!CZ142,Transfer!DM142,Transfer!DZ142,Transfer!EM142)</f>
        <v>-9999</v>
      </c>
      <c r="AR142" s="22">
        <v>42</v>
      </c>
      <c r="AS142" s="1" t="s">
        <v>1535</v>
      </c>
      <c r="AT142" s="24">
        <f t="shared" ca="1" si="5"/>
        <v>-3.0710600000000001</v>
      </c>
      <c r="AU142" s="24">
        <f t="shared" ca="1" si="5"/>
        <v>-2.5397499999999997</v>
      </c>
      <c r="AV142" s="24">
        <f t="shared" ca="1" si="5"/>
        <v>-2.5397499999999997</v>
      </c>
      <c r="AW142" s="24">
        <f t="shared" ca="1" si="5"/>
        <v>-2.5397499999999997</v>
      </c>
      <c r="AX142" s="24">
        <f t="shared" ca="1" si="5"/>
        <v>-2.5397499999999997</v>
      </c>
      <c r="AY142" s="25">
        <f t="shared" si="5"/>
        <v>0</v>
      </c>
      <c r="AZ142" s="25">
        <f t="shared" si="5"/>
        <v>0</v>
      </c>
      <c r="BA142" s="25">
        <f t="shared" si="5"/>
        <v>0</v>
      </c>
      <c r="BB142" s="25">
        <f t="shared" si="5"/>
        <v>0</v>
      </c>
      <c r="BC142" s="25">
        <f t="shared" si="5"/>
        <v>0</v>
      </c>
      <c r="BD142" s="25">
        <f t="shared" si="5"/>
        <v>0</v>
      </c>
      <c r="BE142" s="25">
        <f t="shared" si="5"/>
        <v>0</v>
      </c>
      <c r="BF142" s="25">
        <f t="shared" si="5"/>
        <v>0</v>
      </c>
      <c r="CA142" s="16">
        <v>0.23125000000000001</v>
      </c>
      <c r="CB142" s="16">
        <v>-0.2135</v>
      </c>
      <c r="CC142" s="16">
        <v>-1.2985731849999997</v>
      </c>
      <c r="CD142" s="16">
        <v>-1.7530737997499997</v>
      </c>
      <c r="CE142" s="16">
        <v>-1.1394979698374998</v>
      </c>
      <c r="CF142" s="16">
        <v>-9999</v>
      </c>
      <c r="CG142" s="16">
        <v>-9999</v>
      </c>
      <c r="CH142" s="16">
        <v>-9999</v>
      </c>
      <c r="CI142" s="16">
        <v>-9999</v>
      </c>
      <c r="CJ142" s="16">
        <v>-9999</v>
      </c>
      <c r="CK142" s="16">
        <v>-9999</v>
      </c>
      <c r="CL142" s="16">
        <v>-9999</v>
      </c>
      <c r="CM142" s="16">
        <v>-9999</v>
      </c>
      <c r="CN142" s="16">
        <v>0.61608000000000007</v>
      </c>
      <c r="CO142" s="16">
        <v>0.32613999999999999</v>
      </c>
      <c r="CP142" s="16">
        <v>0.16470070000000001</v>
      </c>
      <c r="CQ142" s="16">
        <v>0.16470070000000001</v>
      </c>
      <c r="CR142" s="16">
        <v>0.16634770700000001</v>
      </c>
      <c r="CS142" s="16">
        <v>-9999</v>
      </c>
      <c r="CT142" s="16">
        <v>-9999</v>
      </c>
      <c r="CU142" s="16">
        <v>-9999</v>
      </c>
      <c r="CV142" s="16">
        <v>-9999</v>
      </c>
      <c r="CW142" s="16">
        <v>-9999</v>
      </c>
      <c r="CX142" s="16">
        <v>-9999</v>
      </c>
      <c r="CY142" s="16">
        <v>-9999</v>
      </c>
      <c r="CZ142" s="16">
        <v>-9999</v>
      </c>
      <c r="DA142" s="16">
        <v>0.32613999999999999</v>
      </c>
      <c r="DB142" s="16">
        <v>-0.10718000000000001</v>
      </c>
      <c r="DC142" s="16">
        <v>-0.10718000000000001</v>
      </c>
      <c r="DD142" s="16">
        <v>-0.10718000000000001</v>
      </c>
      <c r="DE142" s="16">
        <v>-0.10718000000000001</v>
      </c>
      <c r="DF142" s="16">
        <v>-9999</v>
      </c>
      <c r="DG142" s="16">
        <v>-9999</v>
      </c>
      <c r="DH142" s="16">
        <v>-9999</v>
      </c>
      <c r="DI142" s="16">
        <v>-9999</v>
      </c>
      <c r="DJ142" s="16">
        <v>-9999</v>
      </c>
      <c r="DK142" s="16">
        <v>-9999</v>
      </c>
      <c r="DL142" s="16">
        <v>-9999</v>
      </c>
      <c r="DM142" s="16">
        <v>-9999</v>
      </c>
      <c r="DN142" s="16">
        <v>0.61608000000000007</v>
      </c>
      <c r="DO142" s="16">
        <v>0.32613999999999999</v>
      </c>
      <c r="DP142" s="16">
        <v>0.14534974282837562</v>
      </c>
      <c r="DQ142" s="16">
        <v>0.14534974282837562</v>
      </c>
      <c r="DR142" s="16">
        <v>0.14680324025665939</v>
      </c>
      <c r="DS142" s="16">
        <v>-9999</v>
      </c>
      <c r="DT142" s="16">
        <v>-9999</v>
      </c>
      <c r="DU142" s="16">
        <v>-9999</v>
      </c>
      <c r="DV142" s="16">
        <v>-9999</v>
      </c>
      <c r="DW142" s="16">
        <v>-9999</v>
      </c>
      <c r="DX142" s="16">
        <v>-9999</v>
      </c>
      <c r="DY142" s="16">
        <v>-9999</v>
      </c>
      <c r="DZ142" s="16">
        <v>-9999</v>
      </c>
      <c r="EA142" s="2196">
        <v>3.4495300000000002</v>
      </c>
      <c r="EB142" s="2196">
        <v>1.89377</v>
      </c>
      <c r="EC142" s="2196">
        <v>1.89377</v>
      </c>
      <c r="ED142" s="2196">
        <v>1.89377</v>
      </c>
      <c r="EE142" s="2196">
        <v>1.89377</v>
      </c>
      <c r="EF142" s="2197">
        <v>-9999</v>
      </c>
      <c r="EG142" s="2197">
        <v>-9999</v>
      </c>
      <c r="EH142" s="2197">
        <v>-9999</v>
      </c>
      <c r="EI142" s="2197">
        <v>-9999</v>
      </c>
      <c r="EJ142" s="2197">
        <v>-9999</v>
      </c>
      <c r="EK142" s="2197">
        <v>-9999</v>
      </c>
      <c r="EL142" s="2197">
        <v>-9999</v>
      </c>
      <c r="EM142" s="2197">
        <v>-9999</v>
      </c>
    </row>
    <row r="143" spans="1:143">
      <c r="A143" s="22">
        <v>43</v>
      </c>
      <c r="B143" s="29" t="s">
        <v>1537</v>
      </c>
      <c r="C143" s="24">
        <f ca="1">OFFSET('VVP2'!F278,0,Last_forecast_year - 3-InputY!$G$3)</f>
        <v>22.30939</v>
      </c>
      <c r="D143" s="24">
        <f ca="1">OFFSET('VVP2'!G278,0,Last_forecast_year - 3-InputY!$G$3)</f>
        <v>21.92191</v>
      </c>
      <c r="E143" s="24">
        <f ca="1">OFFSET('VVP2'!H278,0,Last_forecast_year - 3-InputY!$G$3)</f>
        <v>25.75292</v>
      </c>
      <c r="F143" s="24">
        <f ca="1">OFFSET('VVP2'!I278,0,Last_forecast_year - 3-InputY!$G$3)</f>
        <v>27.715189492319997</v>
      </c>
      <c r="G143" s="24">
        <f ca="1">OFFSET('VVP2'!J278,0,Last_forecast_year - 3-InputY!$G$3)</f>
        <v>29.51335098658172</v>
      </c>
      <c r="H143" s="25">
        <v>-9999</v>
      </c>
      <c r="I143" s="25">
        <v>-9999</v>
      </c>
      <c r="J143" s="25">
        <v>-9999</v>
      </c>
      <c r="K143" s="25">
        <v>-9999</v>
      </c>
      <c r="L143" s="25">
        <v>-9999</v>
      </c>
      <c r="M143" s="25">
        <v>-9999</v>
      </c>
      <c r="N143" s="25">
        <v>-9999</v>
      </c>
      <c r="O143" s="25">
        <v>-9999</v>
      </c>
      <c r="P143" s="32"/>
      <c r="Q143"/>
      <c r="AA143" s="22">
        <v>43</v>
      </c>
      <c r="AB143" s="1040" t="str">
        <f t="shared" si="3"/>
        <v>VAL. EXPORTS OF GOODS (FOB)</v>
      </c>
      <c r="AC143" s="1040">
        <f>CHOOSE(Tables!$U$2,Transfer!CA143,Transfer!CN143,Transfer!DA143,Transfer!DN143,Transfer!EA143)</f>
        <v>69.57683999999999</v>
      </c>
      <c r="AD143" s="1040">
        <f>CHOOSE(Tables!$U$2,Transfer!CB143,Transfer!CO143,Transfer!DB143,Transfer!DO143,Transfer!EB143)</f>
        <v>79.578500000000005</v>
      </c>
      <c r="AE143" s="1040">
        <f>CHOOSE(Tables!$U$2,Transfer!CC143,Transfer!CP143,Transfer!DC143,Transfer!DP143,Transfer!EC143)</f>
        <v>84.521916420000025</v>
      </c>
      <c r="AF143" s="1040">
        <f>CHOOSE(Tables!$U$2,Transfer!CD143,Transfer!CQ143,Transfer!DD143,Transfer!DQ143,Transfer!ED143)</f>
        <v>91.709237582774705</v>
      </c>
      <c r="AG143" s="1040">
        <f>CHOOSE(Tables!$U$2,Transfer!CE143,Transfer!CR143,Transfer!DE143,Transfer!DR143,Transfer!EE143)</f>
        <v>100.38144650707704</v>
      </c>
      <c r="AH143" s="1040">
        <f>CHOOSE(Tables!$U$2,Transfer!CF143,Transfer!CS143,Transfer!DF143,Transfer!DS143,Transfer!EF143)</f>
        <v>-9999</v>
      </c>
      <c r="AI143" s="1040">
        <f>CHOOSE(Tables!$U$2,Transfer!CG143,Transfer!CT143,Transfer!DG143,Transfer!DT143,Transfer!EG143)</f>
        <v>-9999</v>
      </c>
      <c r="AJ143" s="1040">
        <f>CHOOSE(Tables!$U$2,Transfer!CH143,Transfer!CU143,Transfer!DH143,Transfer!DU143,Transfer!EH143)</f>
        <v>-9999</v>
      </c>
      <c r="AK143" s="1040">
        <f>CHOOSE(Tables!$U$2,Transfer!CI143,Transfer!CV143,Transfer!DI143,Transfer!DV143,Transfer!EI143)</f>
        <v>-9999</v>
      </c>
      <c r="AL143" s="1040">
        <f>CHOOSE(Tables!$U$2,Transfer!CJ143,Transfer!CW143,Transfer!DJ143,Transfer!DW143,Transfer!EJ143)</f>
        <v>-9999</v>
      </c>
      <c r="AM143" s="1040">
        <f>CHOOSE(Tables!$U$2,Transfer!CK143,Transfer!CX143,Transfer!DK143,Transfer!DX143,Transfer!EK143)</f>
        <v>-9999</v>
      </c>
      <c r="AN143" s="1040">
        <f>CHOOSE(Tables!$U$2,Transfer!CL143,Transfer!CY143,Transfer!DL143,Transfer!DY143,Transfer!EL143)</f>
        <v>-9999</v>
      </c>
      <c r="AO143" s="1040">
        <f>CHOOSE(Tables!$U$2,Transfer!CM143,Transfer!CZ143,Transfer!DM143,Transfer!DZ143,Transfer!EM143)</f>
        <v>-9999</v>
      </c>
      <c r="AR143" s="22">
        <v>43</v>
      </c>
      <c r="AS143" s="29" t="s">
        <v>1537</v>
      </c>
      <c r="AT143" s="24">
        <f t="shared" ca="1" si="5"/>
        <v>-47.26744999999999</v>
      </c>
      <c r="AU143" s="24">
        <f t="shared" ca="1" si="5"/>
        <v>-57.656590000000008</v>
      </c>
      <c r="AV143" s="24">
        <f t="shared" ca="1" si="5"/>
        <v>-58.768996420000022</v>
      </c>
      <c r="AW143" s="24">
        <f t="shared" ca="1" si="5"/>
        <v>-63.994048090454712</v>
      </c>
      <c r="AX143" s="24">
        <f t="shared" ca="1" si="5"/>
        <v>-70.868095520495331</v>
      </c>
      <c r="AY143" s="25">
        <f t="shared" si="5"/>
        <v>0</v>
      </c>
      <c r="AZ143" s="25">
        <f t="shared" si="5"/>
        <v>0</v>
      </c>
      <c r="BA143" s="25">
        <f t="shared" si="5"/>
        <v>0</v>
      </c>
      <c r="BB143" s="25">
        <f t="shared" si="5"/>
        <v>0</v>
      </c>
      <c r="BC143" s="25">
        <f t="shared" si="5"/>
        <v>0</v>
      </c>
      <c r="BD143" s="25">
        <f t="shared" si="5"/>
        <v>0</v>
      </c>
      <c r="BE143" s="25">
        <f t="shared" si="5"/>
        <v>0</v>
      </c>
      <c r="BF143" s="25">
        <f t="shared" si="5"/>
        <v>0</v>
      </c>
      <c r="CA143" s="16">
        <v>23.99766</v>
      </c>
      <c r="CB143" s="16">
        <v>23.749599999999997</v>
      </c>
      <c r="CC143" s="16">
        <v>23.103610879999998</v>
      </c>
      <c r="CD143" s="16">
        <v>23.797389211115508</v>
      </c>
      <c r="CE143" s="16">
        <v>25.244270475151332</v>
      </c>
      <c r="CF143" s="16">
        <v>-9999</v>
      </c>
      <c r="CG143" s="16">
        <v>-9999</v>
      </c>
      <c r="CH143" s="16">
        <v>-9999</v>
      </c>
      <c r="CI143" s="16">
        <v>-9999</v>
      </c>
      <c r="CJ143" s="16">
        <v>-9999</v>
      </c>
      <c r="CK143" s="16">
        <v>-9999</v>
      </c>
      <c r="CL143" s="16">
        <v>-9999</v>
      </c>
      <c r="CM143" s="16">
        <v>-9999</v>
      </c>
      <c r="CN143" s="16">
        <v>22.427160000000001</v>
      </c>
      <c r="CO143" s="16">
        <v>23.99766</v>
      </c>
      <c r="CP143" s="16">
        <v>23.570549647319996</v>
      </c>
      <c r="CQ143" s="16">
        <v>23.957902167586646</v>
      </c>
      <c r="CR143" s="16">
        <v>25.56911900416118</v>
      </c>
      <c r="CS143" s="16">
        <v>-9999</v>
      </c>
      <c r="CT143" s="16">
        <v>-9999</v>
      </c>
      <c r="CU143" s="16">
        <v>-9999</v>
      </c>
      <c r="CV143" s="16">
        <v>-9999</v>
      </c>
      <c r="CW143" s="16">
        <v>-9999</v>
      </c>
      <c r="CX143" s="16">
        <v>-9999</v>
      </c>
      <c r="CY143" s="16">
        <v>-9999</v>
      </c>
      <c r="CZ143" s="16">
        <v>-9999</v>
      </c>
      <c r="DA143" s="16">
        <v>23.99766</v>
      </c>
      <c r="DB143" s="16">
        <v>23.789770000000001</v>
      </c>
      <c r="DC143" s="16">
        <v>22.969141883849996</v>
      </c>
      <c r="DD143" s="16">
        <v>23.87159946846646</v>
      </c>
      <c r="DE143" s="16">
        <v>25.172697125895759</v>
      </c>
      <c r="DF143" s="16">
        <v>-9999</v>
      </c>
      <c r="DG143" s="16">
        <v>-9999</v>
      </c>
      <c r="DH143" s="16">
        <v>-9999</v>
      </c>
      <c r="DI143" s="16">
        <v>-9999</v>
      </c>
      <c r="DJ143" s="16">
        <v>-9999</v>
      </c>
      <c r="DK143" s="16">
        <v>-9999</v>
      </c>
      <c r="DL143" s="16">
        <v>-9999</v>
      </c>
      <c r="DM143" s="16">
        <v>-9999</v>
      </c>
      <c r="DN143" s="16">
        <v>22.427160000000001</v>
      </c>
      <c r="DO143" s="16">
        <v>23.99766</v>
      </c>
      <c r="DP143" s="16">
        <v>23.570549647319996</v>
      </c>
      <c r="DQ143" s="16">
        <v>23.918333107366205</v>
      </c>
      <c r="DR143" s="16">
        <v>25.526888845502793</v>
      </c>
      <c r="DS143" s="16">
        <v>-9999</v>
      </c>
      <c r="DT143" s="16">
        <v>-9999</v>
      </c>
      <c r="DU143" s="16">
        <v>-9999</v>
      </c>
      <c r="DV143" s="16">
        <v>-9999</v>
      </c>
      <c r="DW143" s="16">
        <v>-9999</v>
      </c>
      <c r="DX143" s="16">
        <v>-9999</v>
      </c>
      <c r="DY143" s="16">
        <v>-9999</v>
      </c>
      <c r="DZ143" s="16">
        <v>-9999</v>
      </c>
      <c r="EA143" s="2196">
        <v>69.57683999999999</v>
      </c>
      <c r="EB143" s="2196">
        <v>79.578500000000005</v>
      </c>
      <c r="EC143" s="2196">
        <v>84.521916420000025</v>
      </c>
      <c r="ED143" s="2196">
        <v>91.709237582774705</v>
      </c>
      <c r="EE143" s="2196">
        <v>100.38144650707704</v>
      </c>
      <c r="EF143" s="2197">
        <v>-9999</v>
      </c>
      <c r="EG143" s="2197">
        <v>-9999</v>
      </c>
      <c r="EH143" s="2197">
        <v>-9999</v>
      </c>
      <c r="EI143" s="2197">
        <v>-9999</v>
      </c>
      <c r="EJ143" s="2197">
        <v>-9999</v>
      </c>
      <c r="EK143" s="2197">
        <v>-9999</v>
      </c>
      <c r="EL143" s="2197">
        <v>-9999</v>
      </c>
      <c r="EM143" s="2197">
        <v>-9999</v>
      </c>
    </row>
    <row r="144" spans="1:143">
      <c r="A144" s="22">
        <v>44</v>
      </c>
      <c r="B144" s="29" t="s">
        <v>1538</v>
      </c>
      <c r="C144" s="24">
        <f ca="1">OFFSET('VVP2'!F277,0,Last_forecast_year - 3-InputY!$G$3)</f>
        <v>6.0737700000000006</v>
      </c>
      <c r="D144" s="24">
        <f ca="1">OFFSET('VVP2'!G277,0,Last_forecast_year - 3-InputY!$G$3)</f>
        <v>6.8672200000000005</v>
      </c>
      <c r="E144" s="24">
        <f ca="1">OFFSET('VVP2'!H277,0,Last_forecast_year - 3-InputY!$G$3)</f>
        <v>8.28017</v>
      </c>
      <c r="F144" s="24">
        <f ca="1">OFFSET('VVP2'!I277,0,Last_forecast_year - 3-InputY!$G$3)</f>
        <v>9.0388405762499993</v>
      </c>
      <c r="G144" s="24">
        <f ca="1">OFFSET('VVP2'!J277,0,Last_forecast_year - 3-InputY!$G$3)</f>
        <v>9.6439457586270549</v>
      </c>
      <c r="H144" s="25">
        <v>-9999</v>
      </c>
      <c r="I144" s="25">
        <v>-9999</v>
      </c>
      <c r="J144" s="25">
        <v>-9999</v>
      </c>
      <c r="K144" s="25">
        <v>-9999</v>
      </c>
      <c r="L144" s="25">
        <v>-9999</v>
      </c>
      <c r="M144" s="25">
        <v>-9999</v>
      </c>
      <c r="N144" s="25">
        <v>-9999</v>
      </c>
      <c r="O144" s="25">
        <v>-9999</v>
      </c>
      <c r="P144" s="32"/>
      <c r="Q144"/>
      <c r="AA144" s="22">
        <v>44</v>
      </c>
      <c r="AB144" s="1040" t="str">
        <f t="shared" si="3"/>
        <v>VAL. EXPORTS OF SERVICES</v>
      </c>
      <c r="AC144" s="1040">
        <f>CHOOSE(Tables!$U$2,Transfer!CA144,Transfer!CN144,Transfer!DA144,Transfer!DN144,Transfer!EA144)</f>
        <v>12.97217</v>
      </c>
      <c r="AD144" s="1040">
        <f>CHOOSE(Tables!$U$2,Transfer!CB144,Transfer!CO144,Transfer!DB144,Transfer!DO144,Transfer!EB144)</f>
        <v>15.890219999999999</v>
      </c>
      <c r="AE144" s="1040">
        <f>CHOOSE(Tables!$U$2,Transfer!CC144,Transfer!CP144,Transfer!DC144,Transfer!DP144,Transfer!EC144)</f>
        <v>16.88075275392</v>
      </c>
      <c r="AF144" s="1040">
        <f>CHOOSE(Tables!$U$2,Transfer!CD144,Transfer!CQ144,Transfer!DD144,Transfer!DQ144,Transfer!ED144)</f>
        <v>18.252752814747602</v>
      </c>
      <c r="AG144" s="1040">
        <f>CHOOSE(Tables!$U$2,Transfer!CE144,Transfer!CR144,Transfer!DE144,Transfer!DR144,Transfer!EE144)</f>
        <v>19.870895857280608</v>
      </c>
      <c r="AH144" s="1040">
        <f>CHOOSE(Tables!$U$2,Transfer!CF144,Transfer!CS144,Transfer!DF144,Transfer!DS144,Transfer!EF144)</f>
        <v>-9999</v>
      </c>
      <c r="AI144" s="1040">
        <f>CHOOSE(Tables!$U$2,Transfer!CG144,Transfer!CT144,Transfer!DG144,Transfer!DT144,Transfer!EG144)</f>
        <v>-9999</v>
      </c>
      <c r="AJ144" s="1040">
        <f>CHOOSE(Tables!$U$2,Transfer!CH144,Transfer!CU144,Transfer!DH144,Transfer!DU144,Transfer!EH144)</f>
        <v>-9999</v>
      </c>
      <c r="AK144" s="1040">
        <f>CHOOSE(Tables!$U$2,Transfer!CI144,Transfer!CV144,Transfer!DI144,Transfer!DV144,Transfer!EI144)</f>
        <v>-9999</v>
      </c>
      <c r="AL144" s="1040">
        <f>CHOOSE(Tables!$U$2,Transfer!CJ144,Transfer!CW144,Transfer!DJ144,Transfer!DW144,Transfer!EJ144)</f>
        <v>-9999</v>
      </c>
      <c r="AM144" s="1040">
        <f>CHOOSE(Tables!$U$2,Transfer!CK144,Transfer!CX144,Transfer!DK144,Transfer!DX144,Transfer!EK144)</f>
        <v>-9999</v>
      </c>
      <c r="AN144" s="1040">
        <f>CHOOSE(Tables!$U$2,Transfer!CL144,Transfer!CY144,Transfer!DL144,Transfer!DY144,Transfer!EL144)</f>
        <v>-9999</v>
      </c>
      <c r="AO144" s="1040">
        <f>CHOOSE(Tables!$U$2,Transfer!CM144,Transfer!CZ144,Transfer!DM144,Transfer!DZ144,Transfer!EM144)</f>
        <v>-9999</v>
      </c>
      <c r="AR144" s="22">
        <v>44</v>
      </c>
      <c r="AS144" s="29" t="s">
        <v>1538</v>
      </c>
      <c r="AT144" s="24">
        <f t="shared" ca="1" si="5"/>
        <v>-6.8983999999999996</v>
      </c>
      <c r="AU144" s="24">
        <f t="shared" ca="1" si="5"/>
        <v>-9.0229999999999997</v>
      </c>
      <c r="AV144" s="24">
        <f t="shared" ca="1" si="5"/>
        <v>-8.6005827539199995</v>
      </c>
      <c r="AW144" s="24">
        <f t="shared" ca="1" si="5"/>
        <v>-9.2139122384976027</v>
      </c>
      <c r="AX144" s="24">
        <f t="shared" ca="1" si="5"/>
        <v>-10.226950098653553</v>
      </c>
      <c r="AY144" s="25">
        <f t="shared" si="5"/>
        <v>0</v>
      </c>
      <c r="AZ144" s="25">
        <f t="shared" si="5"/>
        <v>0</v>
      </c>
      <c r="BA144" s="25">
        <f t="shared" si="5"/>
        <v>0</v>
      </c>
      <c r="BB144" s="25">
        <f t="shared" si="5"/>
        <v>0</v>
      </c>
      <c r="BC144" s="25">
        <f t="shared" si="5"/>
        <v>0</v>
      </c>
      <c r="BD144" s="25">
        <f t="shared" si="5"/>
        <v>0</v>
      </c>
      <c r="BE144" s="25">
        <f t="shared" si="5"/>
        <v>0</v>
      </c>
      <c r="BF144" s="25">
        <f t="shared" si="5"/>
        <v>0</v>
      </c>
      <c r="CA144" s="16">
        <v>5.3902099999999997</v>
      </c>
      <c r="CB144" s="16">
        <v>5.8498900000000003</v>
      </c>
      <c r="CC144" s="16">
        <v>6.0442818446999995</v>
      </c>
      <c r="CD144" s="16">
        <v>6.288319724179761</v>
      </c>
      <c r="CE144" s="16">
        <v>6.5932717892038566</v>
      </c>
      <c r="CF144" s="16">
        <v>-9999</v>
      </c>
      <c r="CG144" s="16">
        <v>-9999</v>
      </c>
      <c r="CH144" s="16">
        <v>-9999</v>
      </c>
      <c r="CI144" s="16">
        <v>-9999</v>
      </c>
      <c r="CJ144" s="16">
        <v>-9999</v>
      </c>
      <c r="CK144" s="16">
        <v>-9999</v>
      </c>
      <c r="CL144" s="16">
        <v>-9999</v>
      </c>
      <c r="CM144" s="16">
        <v>-9999</v>
      </c>
      <c r="CN144" s="16">
        <v>4.79291</v>
      </c>
      <c r="CO144" s="16">
        <v>5.3902099999999997</v>
      </c>
      <c r="CP144" s="16">
        <v>5.8495421350267867</v>
      </c>
      <c r="CQ144" s="16">
        <v>6.1660257627002766</v>
      </c>
      <c r="CR144" s="16">
        <v>6.7493934601093502</v>
      </c>
      <c r="CS144" s="16">
        <v>-9999</v>
      </c>
      <c r="CT144" s="16">
        <v>-9999</v>
      </c>
      <c r="CU144" s="16">
        <v>-9999</v>
      </c>
      <c r="CV144" s="16">
        <v>-9999</v>
      </c>
      <c r="CW144" s="16">
        <v>-9999</v>
      </c>
      <c r="CX144" s="16">
        <v>-9999</v>
      </c>
      <c r="CY144" s="16">
        <v>-9999</v>
      </c>
      <c r="CZ144" s="16">
        <v>-9999</v>
      </c>
      <c r="DA144" s="16">
        <v>5.3902099999999997</v>
      </c>
      <c r="DB144" s="16">
        <v>5.8966400000000005</v>
      </c>
      <c r="DC144" s="16">
        <v>6.1513158816000013</v>
      </c>
      <c r="DD144" s="16">
        <v>6.4493778926429277</v>
      </c>
      <c r="DE144" s="16">
        <v>6.7821270956359481</v>
      </c>
      <c r="DF144" s="16">
        <v>-9999</v>
      </c>
      <c r="DG144" s="16">
        <v>-9999</v>
      </c>
      <c r="DH144" s="16">
        <v>-9999</v>
      </c>
      <c r="DI144" s="16">
        <v>-9999</v>
      </c>
      <c r="DJ144" s="16">
        <v>-9999</v>
      </c>
      <c r="DK144" s="16">
        <v>-9999</v>
      </c>
      <c r="DL144" s="16">
        <v>-9999</v>
      </c>
      <c r="DM144" s="16">
        <v>-9999</v>
      </c>
      <c r="DN144" s="16">
        <v>4.79291</v>
      </c>
      <c r="DO144" s="16">
        <v>5.3902099999999997</v>
      </c>
      <c r="DP144" s="16">
        <v>5.8495421350267867</v>
      </c>
      <c r="DQ144" s="16">
        <v>6.1660257627002766</v>
      </c>
      <c r="DR144" s="16">
        <v>6.7493934601093502</v>
      </c>
      <c r="DS144" s="16">
        <v>-9999</v>
      </c>
      <c r="DT144" s="16">
        <v>-9999</v>
      </c>
      <c r="DU144" s="16">
        <v>-9999</v>
      </c>
      <c r="DV144" s="16">
        <v>-9999</v>
      </c>
      <c r="DW144" s="16">
        <v>-9999</v>
      </c>
      <c r="DX144" s="16">
        <v>-9999</v>
      </c>
      <c r="DY144" s="16">
        <v>-9999</v>
      </c>
      <c r="DZ144" s="16">
        <v>-9999</v>
      </c>
      <c r="EA144" s="2196">
        <v>12.97217</v>
      </c>
      <c r="EB144" s="2196">
        <v>15.890219999999999</v>
      </c>
      <c r="EC144" s="2196">
        <v>16.88075275392</v>
      </c>
      <c r="ED144" s="2196">
        <v>18.252752814747602</v>
      </c>
      <c r="EE144" s="2196">
        <v>19.870895857280608</v>
      </c>
      <c r="EF144" s="2197">
        <v>-9999</v>
      </c>
      <c r="EG144" s="2197">
        <v>-9999</v>
      </c>
      <c r="EH144" s="2197">
        <v>-9999</v>
      </c>
      <c r="EI144" s="2197">
        <v>-9999</v>
      </c>
      <c r="EJ144" s="2197">
        <v>-9999</v>
      </c>
      <c r="EK144" s="2197">
        <v>-9999</v>
      </c>
      <c r="EL144" s="2197">
        <v>-9999</v>
      </c>
      <c r="EM144" s="2197">
        <v>-9999</v>
      </c>
    </row>
    <row r="145" spans="1:143">
      <c r="A145" s="22">
        <v>45</v>
      </c>
      <c r="B145" s="29" t="s">
        <v>1540</v>
      </c>
      <c r="C145" s="24">
        <f ca="1">OFFSET('VVP2'!F310,0,Last_forecast_year - 3-InputY!$G$3)</f>
        <v>24.296279999999999</v>
      </c>
      <c r="D145" s="24">
        <f ca="1">OFFSET('VVP2'!G310,0,Last_forecast_year - 3-InputY!$G$3)</f>
        <v>23.690349999999999</v>
      </c>
      <c r="E145" s="24">
        <f ca="1">OFFSET('VVP2'!H310,0,Last_forecast_year - 3-InputY!$G$3)</f>
        <v>27.813869999999998</v>
      </c>
      <c r="F145" s="24">
        <f ca="1">OFFSET('VVP2'!I310,0,Last_forecast_year - 3-InputY!$G$3)</f>
        <v>30.362315838749993</v>
      </c>
      <c r="G145" s="24">
        <f ca="1">OFFSET('VVP2'!J310,0,Last_forecast_year - 3-InputY!$G$3)</f>
        <v>32.420273606300469</v>
      </c>
      <c r="H145" s="25">
        <v>-9999</v>
      </c>
      <c r="I145" s="25">
        <v>-9999</v>
      </c>
      <c r="J145" s="25">
        <v>-9999</v>
      </c>
      <c r="K145" s="25">
        <v>-9999</v>
      </c>
      <c r="L145" s="25">
        <v>-9999</v>
      </c>
      <c r="M145" s="25">
        <v>-9999</v>
      </c>
      <c r="N145" s="25">
        <v>-9999</v>
      </c>
      <c r="O145" s="25">
        <v>-9999</v>
      </c>
      <c r="P145"/>
      <c r="Q145"/>
      <c r="AA145" s="22">
        <v>45</v>
      </c>
      <c r="AB145" s="1040" t="str">
        <f t="shared" si="3"/>
        <v>VAL. IMPORTS OF GOODS (FOB)</v>
      </c>
      <c r="AC145" s="1040">
        <f>CHOOSE(Tables!$U$2,Transfer!CA145,Transfer!CN145,Transfer!DA145,Transfer!DN145,Transfer!EA145)</f>
        <v>75.818669999999997</v>
      </c>
      <c r="AD145" s="1040">
        <f>CHOOSE(Tables!$U$2,Transfer!CB145,Transfer!CO145,Transfer!DB145,Transfer!DO145,Transfer!EB145)</f>
        <v>82.728229999999996</v>
      </c>
      <c r="AE145" s="1040">
        <f>CHOOSE(Tables!$U$2,Transfer!CC145,Transfer!CP145,Transfer!DC145,Transfer!DP145,Transfer!EC145)</f>
        <v>87.681665499480005</v>
      </c>
      <c r="AF145" s="1040">
        <f>CHOOSE(Tables!$U$2,Transfer!CD145,Transfer!CQ145,Transfer!DD145,Transfer!DQ145,Transfer!ED145)</f>
        <v>95.211416205913352</v>
      </c>
      <c r="AG145" s="1040">
        <f>CHOOSE(Tables!$U$2,Transfer!CE145,Transfer!CR145,Transfer!DE145,Transfer!DR145,Transfer!EE145)</f>
        <v>104.59888099815157</v>
      </c>
      <c r="AH145" s="1040">
        <f>CHOOSE(Tables!$U$2,Transfer!CF145,Transfer!CS145,Transfer!DF145,Transfer!DS145,Transfer!EF145)</f>
        <v>-9999</v>
      </c>
      <c r="AI145" s="1040">
        <f>CHOOSE(Tables!$U$2,Transfer!CG145,Transfer!CT145,Transfer!DG145,Transfer!DT145,Transfer!EG145)</f>
        <v>-9999</v>
      </c>
      <c r="AJ145" s="1040">
        <f>CHOOSE(Tables!$U$2,Transfer!CH145,Transfer!CU145,Transfer!DH145,Transfer!DU145,Transfer!EH145)</f>
        <v>-9999</v>
      </c>
      <c r="AK145" s="1040">
        <f>CHOOSE(Tables!$U$2,Transfer!CI145,Transfer!CV145,Transfer!DI145,Transfer!DV145,Transfer!EI145)</f>
        <v>-9999</v>
      </c>
      <c r="AL145" s="1040">
        <f>CHOOSE(Tables!$U$2,Transfer!CJ145,Transfer!CW145,Transfer!DJ145,Transfer!DW145,Transfer!EJ145)</f>
        <v>-9999</v>
      </c>
      <c r="AM145" s="1040">
        <f>CHOOSE(Tables!$U$2,Transfer!CK145,Transfer!CX145,Transfer!DK145,Transfer!DX145,Transfer!EK145)</f>
        <v>-9999</v>
      </c>
      <c r="AN145" s="1040">
        <f>CHOOSE(Tables!$U$2,Transfer!CL145,Transfer!CY145,Transfer!DL145,Transfer!DY145,Transfer!EL145)</f>
        <v>-9999</v>
      </c>
      <c r="AO145" s="1040">
        <f>CHOOSE(Tables!$U$2,Transfer!CM145,Transfer!CZ145,Transfer!DM145,Transfer!DZ145,Transfer!EM145)</f>
        <v>-9999</v>
      </c>
      <c r="AR145" s="22">
        <v>45</v>
      </c>
      <c r="AS145" s="29" t="s">
        <v>1540</v>
      </c>
      <c r="AT145" s="24">
        <f t="shared" ca="1" si="5"/>
        <v>-51.522390000000001</v>
      </c>
      <c r="AU145" s="24">
        <f t="shared" ca="1" si="5"/>
        <v>-59.037880000000001</v>
      </c>
      <c r="AV145" s="24">
        <f t="shared" ca="1" si="5"/>
        <v>-59.86779549948001</v>
      </c>
      <c r="AW145" s="24">
        <f t="shared" ca="1" si="5"/>
        <v>-64.849100367163359</v>
      </c>
      <c r="AX145" s="24">
        <f t="shared" ca="1" si="5"/>
        <v>-72.178607391851102</v>
      </c>
      <c r="AY145" s="25">
        <f t="shared" si="5"/>
        <v>0</v>
      </c>
      <c r="AZ145" s="25">
        <f t="shared" si="5"/>
        <v>0</v>
      </c>
      <c r="BA145" s="25">
        <f t="shared" si="5"/>
        <v>0</v>
      </c>
      <c r="BB145" s="25">
        <f t="shared" si="5"/>
        <v>0</v>
      </c>
      <c r="BC145" s="25">
        <f t="shared" si="5"/>
        <v>0</v>
      </c>
      <c r="BD145" s="25">
        <f t="shared" si="5"/>
        <v>0</v>
      </c>
      <c r="BE145" s="25">
        <f t="shared" si="5"/>
        <v>0</v>
      </c>
      <c r="BF145" s="25">
        <f t="shared" si="5"/>
        <v>0</v>
      </c>
      <c r="CA145" s="16">
        <v>24.917590000000001</v>
      </c>
      <c r="CB145" s="16">
        <v>24.68638</v>
      </c>
      <c r="CC145" s="16">
        <v>24.422383852279999</v>
      </c>
      <c r="CD145" s="16">
        <v>25.048573774252461</v>
      </c>
      <c r="CE145" s="16">
        <v>27.325238644594272</v>
      </c>
      <c r="CF145" s="16">
        <v>-9999</v>
      </c>
      <c r="CG145" s="16">
        <v>-9999</v>
      </c>
      <c r="CH145" s="16">
        <v>-9999</v>
      </c>
      <c r="CI145" s="16">
        <v>-9999</v>
      </c>
      <c r="CJ145" s="16">
        <v>-9999</v>
      </c>
      <c r="CK145" s="16">
        <v>-9999</v>
      </c>
      <c r="CL145" s="16">
        <v>-9999</v>
      </c>
      <c r="CM145" s="16">
        <v>-9999</v>
      </c>
      <c r="CN145" s="16">
        <v>23.529599999999999</v>
      </c>
      <c r="CO145" s="16">
        <v>24.917590000000001</v>
      </c>
      <c r="CP145" s="16">
        <v>24.907622964000002</v>
      </c>
      <c r="CQ145" s="16">
        <v>24.942686596665606</v>
      </c>
      <c r="CR145" s="16">
        <v>27.054708584238263</v>
      </c>
      <c r="CS145" s="16">
        <v>-9999</v>
      </c>
      <c r="CT145" s="16">
        <v>-9999</v>
      </c>
      <c r="CU145" s="16">
        <v>-9999</v>
      </c>
      <c r="CV145" s="16">
        <v>-9999</v>
      </c>
      <c r="CW145" s="16">
        <v>-9999</v>
      </c>
      <c r="CX145" s="16">
        <v>-9999</v>
      </c>
      <c r="CY145" s="16">
        <v>-9999</v>
      </c>
      <c r="CZ145" s="16">
        <v>-9999</v>
      </c>
      <c r="DA145" s="16">
        <v>24.917590000000001</v>
      </c>
      <c r="DB145" s="16">
        <v>25.299970000000002</v>
      </c>
      <c r="DC145" s="16">
        <v>25.384775499440003</v>
      </c>
      <c r="DD145" s="16">
        <v>26.562248310981527</v>
      </c>
      <c r="DE145" s="16">
        <v>28.201670276735307</v>
      </c>
      <c r="DF145" s="16">
        <v>-9999</v>
      </c>
      <c r="DG145" s="16">
        <v>-9999</v>
      </c>
      <c r="DH145" s="16">
        <v>-9999</v>
      </c>
      <c r="DI145" s="16">
        <v>-9999</v>
      </c>
      <c r="DJ145" s="16">
        <v>-9999</v>
      </c>
      <c r="DK145" s="16">
        <v>-9999</v>
      </c>
      <c r="DL145" s="16">
        <v>-9999</v>
      </c>
      <c r="DM145" s="16">
        <v>-9999</v>
      </c>
      <c r="DN145" s="16">
        <v>23.529599999999999</v>
      </c>
      <c r="DO145" s="16">
        <v>24.917590000000001</v>
      </c>
      <c r="DP145" s="16">
        <v>24.883870058983035</v>
      </c>
      <c r="DQ145" s="16">
        <v>24.918900253566754</v>
      </c>
      <c r="DR145" s="16">
        <v>27.049695358757038</v>
      </c>
      <c r="DS145" s="16">
        <v>-9999</v>
      </c>
      <c r="DT145" s="16">
        <v>-9999</v>
      </c>
      <c r="DU145" s="16">
        <v>-9999</v>
      </c>
      <c r="DV145" s="16">
        <v>-9999</v>
      </c>
      <c r="DW145" s="16">
        <v>-9999</v>
      </c>
      <c r="DX145" s="16">
        <v>-9999</v>
      </c>
      <c r="DY145" s="16">
        <v>-9999</v>
      </c>
      <c r="DZ145" s="16">
        <v>-9999</v>
      </c>
      <c r="EA145" s="2196">
        <v>75.818669999999997</v>
      </c>
      <c r="EB145" s="2196">
        <v>82.728229999999996</v>
      </c>
      <c r="EC145" s="2196">
        <v>87.681665499480005</v>
      </c>
      <c r="ED145" s="2196">
        <v>95.211416205913352</v>
      </c>
      <c r="EE145" s="2196">
        <v>104.59888099815157</v>
      </c>
      <c r="EF145" s="2197">
        <v>-9999</v>
      </c>
      <c r="EG145" s="2197">
        <v>-9999</v>
      </c>
      <c r="EH145" s="2197">
        <v>-9999</v>
      </c>
      <c r="EI145" s="2197">
        <v>-9999</v>
      </c>
      <c r="EJ145" s="2197">
        <v>-9999</v>
      </c>
      <c r="EK145" s="2197">
        <v>-9999</v>
      </c>
      <c r="EL145" s="2197">
        <v>-9999</v>
      </c>
      <c r="EM145" s="2197">
        <v>-9999</v>
      </c>
    </row>
    <row r="146" spans="1:143" ht="12" customHeight="1">
      <c r="A146" s="22">
        <v>46</v>
      </c>
      <c r="B146" s="29" t="s">
        <v>1541</v>
      </c>
      <c r="C146" s="24">
        <f ca="1">OFFSET('VVP2'!F309,0,Last_forecast_year - 3-InputY!$G$3)</f>
        <v>4.2663700000000002</v>
      </c>
      <c r="D146" s="24">
        <f ca="1">OFFSET('VVP2'!G309,0,Last_forecast_year - 3-InputY!$G$3)</f>
        <v>4.5988800000000003</v>
      </c>
      <c r="E146" s="24">
        <f ca="1">OFFSET('VVP2'!H309,0,Last_forecast_year - 3-InputY!$G$3)</f>
        <v>5.3760900000000005</v>
      </c>
      <c r="F146" s="24">
        <f ca="1">OFFSET('VVP2'!I309,0,Last_forecast_year - 3-InputY!$G$3)</f>
        <v>5.8973019254999999</v>
      </c>
      <c r="G146" s="24">
        <f ca="1">OFFSET('VVP2'!J309,0,Last_forecast_year - 3-InputY!$G$3)</f>
        <v>6.3099951142464894</v>
      </c>
      <c r="H146" s="25">
        <v>-9999</v>
      </c>
      <c r="I146" s="25">
        <v>-9999</v>
      </c>
      <c r="J146" s="25">
        <v>-9999</v>
      </c>
      <c r="K146" s="25">
        <v>-9999</v>
      </c>
      <c r="L146" s="25">
        <v>-9999</v>
      </c>
      <c r="M146" s="25">
        <v>-9999</v>
      </c>
      <c r="N146" s="25">
        <v>-9999</v>
      </c>
      <c r="O146" s="25">
        <v>-9999</v>
      </c>
      <c r="P146" s="32"/>
      <c r="Q146"/>
      <c r="AA146" s="22">
        <v>46</v>
      </c>
      <c r="AB146" s="1040" t="str">
        <f t="shared" si="3"/>
        <v>VAL. IMPORTS OF SERVICES</v>
      </c>
      <c r="AC146" s="1040">
        <f>CHOOSE(Tables!$U$2,Transfer!CA146,Transfer!CN146,Transfer!DA146,Transfer!DN146,Transfer!EA146)</f>
        <v>9.6391399999999994</v>
      </c>
      <c r="AD146" s="1040">
        <f>CHOOSE(Tables!$U$2,Transfer!CB146,Transfer!CO146,Transfer!DB146,Transfer!DO146,Transfer!EB146)</f>
        <v>11.809059999999999</v>
      </c>
      <c r="AE146" s="1040">
        <f>CHOOSE(Tables!$U$2,Transfer!CC146,Transfer!CP146,Transfer!DC146,Transfer!DP146,Transfer!EC146)</f>
        <v>12.518973450959999</v>
      </c>
      <c r="AF146" s="1040">
        <f>CHOOSE(Tables!$U$2,Transfer!CD146,Transfer!CQ146,Transfer!DD146,Transfer!DQ146,Transfer!ED146)</f>
        <v>13.52274474225797</v>
      </c>
      <c r="AG146" s="1040">
        <f>CHOOSE(Tables!$U$2,Transfer!CE146,Transfer!CR146,Transfer!DE146,Transfer!DR146,Transfer!EE146)</f>
        <v>14.72113038131687</v>
      </c>
      <c r="AH146" s="1040">
        <f>CHOOSE(Tables!$U$2,Transfer!CF146,Transfer!CS146,Transfer!DF146,Transfer!DS146,Transfer!EF146)</f>
        <v>-9999</v>
      </c>
      <c r="AI146" s="1040">
        <f>CHOOSE(Tables!$U$2,Transfer!CG146,Transfer!CT146,Transfer!DG146,Transfer!DT146,Transfer!EG146)</f>
        <v>-9999</v>
      </c>
      <c r="AJ146" s="1040">
        <f>CHOOSE(Tables!$U$2,Transfer!CH146,Transfer!CU146,Transfer!DH146,Transfer!DU146,Transfer!EH146)</f>
        <v>-9999</v>
      </c>
      <c r="AK146" s="1040">
        <f>CHOOSE(Tables!$U$2,Transfer!CI146,Transfer!CV146,Transfer!DI146,Transfer!DV146,Transfer!EI146)</f>
        <v>-9999</v>
      </c>
      <c r="AL146" s="1040">
        <f>CHOOSE(Tables!$U$2,Transfer!CJ146,Transfer!CW146,Transfer!DJ146,Transfer!DW146,Transfer!EJ146)</f>
        <v>-9999</v>
      </c>
      <c r="AM146" s="1040">
        <f>CHOOSE(Tables!$U$2,Transfer!CK146,Transfer!CX146,Transfer!DK146,Transfer!DX146,Transfer!EK146)</f>
        <v>-9999</v>
      </c>
      <c r="AN146" s="1040">
        <f>CHOOSE(Tables!$U$2,Transfer!CL146,Transfer!CY146,Transfer!DL146,Transfer!DY146,Transfer!EL146)</f>
        <v>-9999</v>
      </c>
      <c r="AO146" s="1040">
        <f>CHOOSE(Tables!$U$2,Transfer!CM146,Transfer!CZ146,Transfer!DM146,Transfer!DZ146,Transfer!EM146)</f>
        <v>-9999</v>
      </c>
      <c r="AR146" s="22">
        <v>46</v>
      </c>
      <c r="AS146" s="29" t="s">
        <v>1541</v>
      </c>
      <c r="AT146" s="24">
        <f t="shared" ref="AT146:BF165" ca="1" si="6">C146-AC146</f>
        <v>-5.3727699999999992</v>
      </c>
      <c r="AU146" s="24">
        <f t="shared" ca="1" si="6"/>
        <v>-7.2101799999999985</v>
      </c>
      <c r="AV146" s="24">
        <f t="shared" ca="1" si="6"/>
        <v>-7.1428834509599985</v>
      </c>
      <c r="AW146" s="24">
        <f t="shared" ca="1" si="6"/>
        <v>-7.6254428167579702</v>
      </c>
      <c r="AX146" s="24">
        <f t="shared" ca="1" si="6"/>
        <v>-8.4111352670703816</v>
      </c>
      <c r="AY146" s="25">
        <f t="shared" si="6"/>
        <v>0</v>
      </c>
      <c r="AZ146" s="25">
        <f t="shared" si="6"/>
        <v>0</v>
      </c>
      <c r="BA146" s="25">
        <f t="shared" si="6"/>
        <v>0</v>
      </c>
      <c r="BB146" s="25">
        <f t="shared" si="6"/>
        <v>0</v>
      </c>
      <c r="BC146" s="25">
        <f t="shared" si="6"/>
        <v>0</v>
      </c>
      <c r="BD146" s="25">
        <f t="shared" si="6"/>
        <v>0</v>
      </c>
      <c r="BE146" s="25">
        <f t="shared" si="6"/>
        <v>0</v>
      </c>
      <c r="BF146" s="25">
        <f t="shared" si="6"/>
        <v>0</v>
      </c>
      <c r="CA146" s="16">
        <v>4.0330300000000001</v>
      </c>
      <c r="CB146" s="16">
        <v>4.2120200000000008</v>
      </c>
      <c r="CC146" s="16">
        <v>4.2500124204</v>
      </c>
      <c r="CD146" s="16">
        <v>4.3784690458065896</v>
      </c>
      <c r="CE146" s="16">
        <v>4.5330552739378369</v>
      </c>
      <c r="CF146" s="16">
        <v>-9999</v>
      </c>
      <c r="CG146" s="16">
        <v>-9999</v>
      </c>
      <c r="CH146" s="16">
        <v>-9999</v>
      </c>
      <c r="CI146" s="16">
        <v>-9999</v>
      </c>
      <c r="CJ146" s="16">
        <v>-9999</v>
      </c>
      <c r="CK146" s="16">
        <v>-9999</v>
      </c>
      <c r="CL146" s="16">
        <v>-9999</v>
      </c>
      <c r="CM146" s="16">
        <v>-9999</v>
      </c>
      <c r="CN146" s="16">
        <v>3.4036</v>
      </c>
      <c r="CO146" s="16">
        <v>4.0330300000000001</v>
      </c>
      <c r="CP146" s="16">
        <v>4.3829389092240003</v>
      </c>
      <c r="CQ146" s="16">
        <v>4.6642490772347234</v>
      </c>
      <c r="CR146" s="16">
        <v>5.1619244537756677</v>
      </c>
      <c r="CS146" s="16">
        <v>-9999</v>
      </c>
      <c r="CT146" s="16">
        <v>-9999</v>
      </c>
      <c r="CU146" s="16">
        <v>-9999</v>
      </c>
      <c r="CV146" s="16">
        <v>-9999</v>
      </c>
      <c r="CW146" s="16">
        <v>-9999</v>
      </c>
      <c r="CX146" s="16">
        <v>-9999</v>
      </c>
      <c r="CY146" s="16">
        <v>-9999</v>
      </c>
      <c r="CZ146" s="16">
        <v>-9999</v>
      </c>
      <c r="DA146" s="16">
        <v>4.0330300000000001</v>
      </c>
      <c r="DB146" s="16">
        <v>4.3427499999999997</v>
      </c>
      <c r="DC146" s="16">
        <v>4.4649202429999999</v>
      </c>
      <c r="DD146" s="16">
        <v>4.5908086692513841</v>
      </c>
      <c r="DE146" s="16">
        <v>4.7435448736773775</v>
      </c>
      <c r="DF146" s="16">
        <v>-9999</v>
      </c>
      <c r="DG146" s="16">
        <v>-9999</v>
      </c>
      <c r="DH146" s="16">
        <v>-9999</v>
      </c>
      <c r="DI146" s="16">
        <v>-9999</v>
      </c>
      <c r="DJ146" s="16">
        <v>-9999</v>
      </c>
      <c r="DK146" s="16">
        <v>-9999</v>
      </c>
      <c r="DL146" s="16">
        <v>-9999</v>
      </c>
      <c r="DM146" s="16">
        <v>-9999</v>
      </c>
      <c r="DN146" s="16">
        <v>3.4036</v>
      </c>
      <c r="DO146" s="16">
        <v>4.0330300000000001</v>
      </c>
      <c r="DP146" s="16">
        <v>4.3829389092240003</v>
      </c>
      <c r="DQ146" s="16">
        <v>4.6642490772347234</v>
      </c>
      <c r="DR146" s="16">
        <v>5.1619244537756677</v>
      </c>
      <c r="DS146" s="16">
        <v>-9999</v>
      </c>
      <c r="DT146" s="16">
        <v>-9999</v>
      </c>
      <c r="DU146" s="16">
        <v>-9999</v>
      </c>
      <c r="DV146" s="16">
        <v>-9999</v>
      </c>
      <c r="DW146" s="16">
        <v>-9999</v>
      </c>
      <c r="DX146" s="16">
        <v>-9999</v>
      </c>
      <c r="DY146" s="16">
        <v>-9999</v>
      </c>
      <c r="DZ146" s="16">
        <v>-9999</v>
      </c>
      <c r="EA146" s="2196">
        <v>9.6391399999999994</v>
      </c>
      <c r="EB146" s="2196">
        <v>11.809059999999999</v>
      </c>
      <c r="EC146" s="2196">
        <v>12.518973450959999</v>
      </c>
      <c r="ED146" s="2196">
        <v>13.52274474225797</v>
      </c>
      <c r="EE146" s="2196">
        <v>14.72113038131687</v>
      </c>
      <c r="EF146" s="2197">
        <v>-9999</v>
      </c>
      <c r="EG146" s="2197">
        <v>-9999</v>
      </c>
      <c r="EH146" s="2197">
        <v>-9999</v>
      </c>
      <c r="EI146" s="2197">
        <v>-9999</v>
      </c>
      <c r="EJ146" s="2197">
        <v>-9999</v>
      </c>
      <c r="EK146" s="2197">
        <v>-9999</v>
      </c>
      <c r="EL146" s="2197">
        <v>-9999</v>
      </c>
      <c r="EM146" s="2197">
        <v>-9999</v>
      </c>
    </row>
    <row r="147" spans="1:143">
      <c r="A147" s="22">
        <v>47</v>
      </c>
      <c r="B147" s="1" t="s">
        <v>1492</v>
      </c>
      <c r="C147" s="1344">
        <f ca="1">OFFSET('VVP2'!F341,0,Last_forecast_year - 3-InputY!$G$3)</f>
        <v>37.426610000000004</v>
      </c>
      <c r="D147" s="1344">
        <f ca="1">OFFSET('VVP2'!G341,0,Last_forecast_year - 3-InputY!$G$3)</f>
        <v>38.668320000000001</v>
      </c>
      <c r="E147" s="1344">
        <f ca="1">OFFSET('VVP2'!H341,0,Last_forecast_year - 3-InputY!$G$3)</f>
        <v>41.779594892398123</v>
      </c>
      <c r="F147" s="1344">
        <f ca="1">OFFSET('VVP2'!I341,0,Last_forecast_year - 3-InputY!$G$3)</f>
        <v>44.211558409957277</v>
      </c>
      <c r="G147" s="1344">
        <f ca="1">OFFSET('VVP2'!J341,0,Last_forecast_year - 3-InputY!$G$3)</f>
        <v>46.676249894100508</v>
      </c>
      <c r="H147" s="25">
        <v>-9999</v>
      </c>
      <c r="I147" s="25">
        <v>-9999</v>
      </c>
      <c r="J147" s="25">
        <v>-9999</v>
      </c>
      <c r="K147" s="25">
        <v>-9999</v>
      </c>
      <c r="L147" s="25">
        <v>-9999</v>
      </c>
      <c r="M147" s="25">
        <v>-9999</v>
      </c>
      <c r="N147" s="25">
        <v>-9999</v>
      </c>
      <c r="O147" s="25">
        <v>-9999</v>
      </c>
      <c r="P147" s="32"/>
      <c r="Q147"/>
      <c r="AA147" s="22">
        <v>47</v>
      </c>
      <c r="AB147" s="1040" t="str">
        <f t="shared" si="3"/>
        <v>VAL. GROSS DOMESTIC PRODUCT</v>
      </c>
      <c r="AC147" s="1040">
        <f>CHOOSE(Tables!$U$2,Transfer!CA147,Transfer!CN147,Transfer!DA147,Transfer!DN147,Transfer!EA147)</f>
        <v>106.89341</v>
      </c>
      <c r="AD147" s="1040">
        <f>CHOOSE(Tables!$U$2,Transfer!CB147,Transfer!CO147,Transfer!DB147,Transfer!DO147,Transfer!EB147)</f>
        <v>113.7347</v>
      </c>
      <c r="AE147" s="1040">
        <f>CHOOSE(Tables!$U$2,Transfer!CC147,Transfer!CP147,Transfer!DC147,Transfer!DP147,Transfer!EC147)</f>
        <v>120.03976193946914</v>
      </c>
      <c r="AF147" s="1040">
        <f>CHOOSE(Tables!$U$2,Transfer!CD147,Transfer!CQ147,Transfer!DD147,Transfer!DQ147,Transfer!ED147)</f>
        <v>127.43140267974128</v>
      </c>
      <c r="AG147" s="1040">
        <f>CHOOSE(Tables!$U$2,Transfer!CE147,Transfer!CR147,Transfer!DE147,Transfer!DR147,Transfer!EE147)</f>
        <v>136.09985059471535</v>
      </c>
      <c r="AH147" s="1040">
        <f>CHOOSE(Tables!$U$2,Transfer!CF147,Transfer!CS147,Transfer!DF147,Transfer!DS147,Transfer!EF147)</f>
        <v>-9999</v>
      </c>
      <c r="AI147" s="1040">
        <f>CHOOSE(Tables!$U$2,Transfer!CG147,Transfer!CT147,Transfer!DG147,Transfer!DT147,Transfer!EG147)</f>
        <v>-9999</v>
      </c>
      <c r="AJ147" s="1040">
        <f>CHOOSE(Tables!$U$2,Transfer!CH147,Transfer!CU147,Transfer!DH147,Transfer!DU147,Transfer!EH147)</f>
        <v>-9999</v>
      </c>
      <c r="AK147" s="1040">
        <f>CHOOSE(Tables!$U$2,Transfer!CI147,Transfer!CV147,Transfer!DI147,Transfer!DV147,Transfer!EI147)</f>
        <v>-9999</v>
      </c>
      <c r="AL147" s="1040">
        <f>CHOOSE(Tables!$U$2,Transfer!CJ147,Transfer!CW147,Transfer!DJ147,Transfer!DW147,Transfer!EJ147)</f>
        <v>-9999</v>
      </c>
      <c r="AM147" s="1040">
        <f>CHOOSE(Tables!$U$2,Transfer!CK147,Transfer!CX147,Transfer!DK147,Transfer!DX147,Transfer!EK147)</f>
        <v>-9999</v>
      </c>
      <c r="AN147" s="1040">
        <f>CHOOSE(Tables!$U$2,Transfer!CL147,Transfer!CY147,Transfer!DL147,Transfer!DY147,Transfer!EL147)</f>
        <v>-9999</v>
      </c>
      <c r="AO147" s="1040">
        <f>CHOOSE(Tables!$U$2,Transfer!CM147,Transfer!CZ147,Transfer!DM147,Transfer!DZ147,Transfer!EM147)</f>
        <v>-9999</v>
      </c>
      <c r="AR147" s="22">
        <v>47</v>
      </c>
      <c r="AS147" s="1" t="s">
        <v>1492</v>
      </c>
      <c r="AT147" s="1344">
        <f t="shared" ca="1" si="6"/>
        <v>-69.466800000000006</v>
      </c>
      <c r="AU147" s="1344">
        <f t="shared" ca="1" si="6"/>
        <v>-75.066380000000009</v>
      </c>
      <c r="AV147" s="1344">
        <f t="shared" ca="1" si="6"/>
        <v>-78.260167047071022</v>
      </c>
      <c r="AW147" s="1344">
        <f t="shared" ca="1" si="6"/>
        <v>-83.219844269784005</v>
      </c>
      <c r="AX147" s="1344">
        <f t="shared" ca="1" si="6"/>
        <v>-89.423600700614841</v>
      </c>
      <c r="AY147" s="25">
        <f t="shared" si="6"/>
        <v>0</v>
      </c>
      <c r="AZ147" s="25">
        <f t="shared" si="6"/>
        <v>0</v>
      </c>
      <c r="BA147" s="25">
        <f t="shared" si="6"/>
        <v>0</v>
      </c>
      <c r="BB147" s="25">
        <f t="shared" si="6"/>
        <v>0</v>
      </c>
      <c r="BC147" s="25">
        <f t="shared" si="6"/>
        <v>0</v>
      </c>
      <c r="BD147" s="25">
        <f t="shared" si="6"/>
        <v>0</v>
      </c>
      <c r="BE147" s="25">
        <f t="shared" si="6"/>
        <v>0</v>
      </c>
      <c r="BF147" s="25">
        <f t="shared" si="6"/>
        <v>0</v>
      </c>
      <c r="CA147" s="16">
        <v>34.962230000000005</v>
      </c>
      <c r="CB147" s="16">
        <v>36.444360000000003</v>
      </c>
      <c r="CC147" s="16">
        <v>36.962567366349667</v>
      </c>
      <c r="CD147" s="16">
        <v>38.368983715686007</v>
      </c>
      <c r="CE147" s="16">
        <v>40.823768109834958</v>
      </c>
      <c r="CF147" s="16">
        <v>-9999</v>
      </c>
      <c r="CG147" s="16">
        <v>-9999</v>
      </c>
      <c r="CH147" s="16">
        <v>-9999</v>
      </c>
      <c r="CI147" s="16">
        <v>-9999</v>
      </c>
      <c r="CJ147" s="16">
        <v>-9999</v>
      </c>
      <c r="CK147" s="16">
        <v>-9999</v>
      </c>
      <c r="CL147" s="16">
        <v>-9999</v>
      </c>
      <c r="CM147" s="16">
        <v>-9999</v>
      </c>
      <c r="CN147" s="16">
        <v>33.313969999999998</v>
      </c>
      <c r="CO147" s="16">
        <v>34.955599999999997</v>
      </c>
      <c r="CP147" s="16">
        <v>36.669253597439621</v>
      </c>
      <c r="CQ147" s="16">
        <v>38.545990225302575</v>
      </c>
      <c r="CR147" s="16">
        <v>40.569570052671622</v>
      </c>
      <c r="CS147" s="16">
        <v>-9999</v>
      </c>
      <c r="CT147" s="16">
        <v>-9999</v>
      </c>
      <c r="CU147" s="16">
        <v>-9999</v>
      </c>
      <c r="CV147" s="16">
        <v>-9999</v>
      </c>
      <c r="CW147" s="16">
        <v>-9999</v>
      </c>
      <c r="CX147" s="16">
        <v>-9999</v>
      </c>
      <c r="CY147" s="16">
        <v>-9999</v>
      </c>
      <c r="CZ147" s="16">
        <v>-9999</v>
      </c>
      <c r="DA147" s="16">
        <v>34.955599999999997</v>
      </c>
      <c r="DB147" s="16">
        <v>36.308920000000001</v>
      </c>
      <c r="DC147" s="16">
        <v>37.321132205159998</v>
      </c>
      <c r="DD147" s="16">
        <v>39.146154594633884</v>
      </c>
      <c r="DE147" s="16">
        <v>41.205013286783242</v>
      </c>
      <c r="DF147" s="16">
        <v>-9999</v>
      </c>
      <c r="DG147" s="16">
        <v>-9999</v>
      </c>
      <c r="DH147" s="16">
        <v>-9999</v>
      </c>
      <c r="DI147" s="16">
        <v>-9999</v>
      </c>
      <c r="DJ147" s="16">
        <v>-9999</v>
      </c>
      <c r="DK147" s="16">
        <v>-9999</v>
      </c>
      <c r="DL147" s="16">
        <v>-9999</v>
      </c>
      <c r="DM147" s="16">
        <v>-9999</v>
      </c>
      <c r="DN147" s="16">
        <v>33.313969999999998</v>
      </c>
      <c r="DO147" s="16">
        <v>34.955599999999997</v>
      </c>
      <c r="DP147" s="16">
        <v>36.670770224967455</v>
      </c>
      <c r="DQ147" s="16">
        <v>38.583628883213208</v>
      </c>
      <c r="DR147" s="16">
        <v>40.578193851845448</v>
      </c>
      <c r="DS147" s="16">
        <v>-9999</v>
      </c>
      <c r="DT147" s="16">
        <v>-9999</v>
      </c>
      <c r="DU147" s="16">
        <v>-9999</v>
      </c>
      <c r="DV147" s="16">
        <v>-9999</v>
      </c>
      <c r="DW147" s="16">
        <v>-9999</v>
      </c>
      <c r="DX147" s="16">
        <v>-9999</v>
      </c>
      <c r="DY147" s="16">
        <v>-9999</v>
      </c>
      <c r="DZ147" s="16">
        <v>-9999</v>
      </c>
      <c r="EA147" s="2196">
        <v>106.89341</v>
      </c>
      <c r="EB147" s="2196">
        <v>113.7347</v>
      </c>
      <c r="EC147" s="2196">
        <v>120.03976193946914</v>
      </c>
      <c r="ED147" s="2196">
        <v>127.43140267974128</v>
      </c>
      <c r="EE147" s="2196">
        <v>136.09985059471535</v>
      </c>
      <c r="EF147" s="2197">
        <v>-9999</v>
      </c>
      <c r="EG147" s="2197">
        <v>-9999</v>
      </c>
      <c r="EH147" s="2197">
        <v>-9999</v>
      </c>
      <c r="EI147" s="2197">
        <v>-9999</v>
      </c>
      <c r="EJ147" s="2197">
        <v>-9999</v>
      </c>
      <c r="EK147" s="2197">
        <v>-9999</v>
      </c>
      <c r="EL147" s="2197">
        <v>-9999</v>
      </c>
      <c r="EM147" s="2197">
        <v>-9999</v>
      </c>
    </row>
    <row r="148" spans="1:143">
      <c r="A148" s="22">
        <v>48</v>
      </c>
      <c r="B148" s="30" t="s">
        <v>1705</v>
      </c>
      <c r="C148" s="25">
        <v>-9999</v>
      </c>
      <c r="D148" s="25">
        <v>-9999</v>
      </c>
      <c r="E148" s="25">
        <v>-9999</v>
      </c>
      <c r="F148" s="25">
        <v>-9999</v>
      </c>
      <c r="G148" s="25">
        <v>-9999</v>
      </c>
      <c r="H148" s="25">
        <v>-9999</v>
      </c>
      <c r="I148" s="25">
        <v>-9999</v>
      </c>
      <c r="J148" s="25">
        <v>-9999</v>
      </c>
      <c r="K148" s="25">
        <v>-9999</v>
      </c>
      <c r="L148" s="25">
        <v>-9999</v>
      </c>
      <c r="M148" s="25">
        <v>-9999</v>
      </c>
      <c r="N148" s="25">
        <v>-9999</v>
      </c>
      <c r="O148" s="25">
        <v>-9999</v>
      </c>
      <c r="P148" s="32"/>
      <c r="Q148"/>
      <c r="AA148" s="22">
        <v>48</v>
      </c>
      <c r="AB148" s="1040" t="str">
        <f t="shared" si="3"/>
        <v>FOR FUTURE USE</v>
      </c>
      <c r="AC148" s="1040">
        <f>CHOOSE(Tables!$U$2,Transfer!CA148,Transfer!CN148,Transfer!DA148,Transfer!DN148,Transfer!EA148)</f>
        <v>-9999</v>
      </c>
      <c r="AD148" s="1040">
        <f>CHOOSE(Tables!$U$2,Transfer!CB148,Transfer!CO148,Transfer!DB148,Transfer!DO148,Transfer!EB148)</f>
        <v>-9999</v>
      </c>
      <c r="AE148" s="1040">
        <f>CHOOSE(Tables!$U$2,Transfer!CC148,Transfer!CP148,Transfer!DC148,Transfer!DP148,Transfer!EC148)</f>
        <v>-9999</v>
      </c>
      <c r="AF148" s="1040">
        <f>CHOOSE(Tables!$U$2,Transfer!CD148,Transfer!CQ148,Transfer!DD148,Transfer!DQ148,Transfer!ED148)</f>
        <v>-9999</v>
      </c>
      <c r="AG148" s="1040">
        <f>CHOOSE(Tables!$U$2,Transfer!CE148,Transfer!CR148,Transfer!DE148,Transfer!DR148,Transfer!EE148)</f>
        <v>-9999</v>
      </c>
      <c r="AH148" s="1040">
        <f>CHOOSE(Tables!$U$2,Transfer!CF148,Transfer!CS148,Transfer!DF148,Transfer!DS148,Transfer!EF148)</f>
        <v>-9999</v>
      </c>
      <c r="AI148" s="1040">
        <f>CHOOSE(Tables!$U$2,Transfer!CG148,Transfer!CT148,Transfer!DG148,Transfer!DT148,Transfer!EG148)</f>
        <v>-9999</v>
      </c>
      <c r="AJ148" s="1040">
        <f>CHOOSE(Tables!$U$2,Transfer!CH148,Transfer!CU148,Transfer!DH148,Transfer!DU148,Transfer!EH148)</f>
        <v>-9999</v>
      </c>
      <c r="AK148" s="1040">
        <f>CHOOSE(Tables!$U$2,Transfer!CI148,Transfer!CV148,Transfer!DI148,Transfer!DV148,Transfer!EI148)</f>
        <v>-9999</v>
      </c>
      <c r="AL148" s="1040">
        <f>CHOOSE(Tables!$U$2,Transfer!CJ148,Transfer!CW148,Transfer!DJ148,Transfer!DW148,Transfer!EJ148)</f>
        <v>-9999</v>
      </c>
      <c r="AM148" s="1040">
        <f>CHOOSE(Tables!$U$2,Transfer!CK148,Transfer!CX148,Transfer!DK148,Transfer!DX148,Transfer!EK148)</f>
        <v>-9999</v>
      </c>
      <c r="AN148" s="1040">
        <f>CHOOSE(Tables!$U$2,Transfer!CL148,Transfer!CY148,Transfer!DL148,Transfer!DY148,Transfer!EL148)</f>
        <v>-9999</v>
      </c>
      <c r="AO148" s="1040">
        <f>CHOOSE(Tables!$U$2,Transfer!CM148,Transfer!CZ148,Transfer!DM148,Transfer!DZ148,Transfer!EM148)</f>
        <v>-9999</v>
      </c>
      <c r="AR148" s="22">
        <v>48</v>
      </c>
      <c r="AS148" s="30" t="s">
        <v>1705</v>
      </c>
      <c r="AT148" s="25">
        <f t="shared" si="6"/>
        <v>0</v>
      </c>
      <c r="AU148" s="25">
        <f t="shared" si="6"/>
        <v>0</v>
      </c>
      <c r="AV148" s="25">
        <f t="shared" si="6"/>
        <v>0</v>
      </c>
      <c r="AW148" s="25">
        <f t="shared" si="6"/>
        <v>0</v>
      </c>
      <c r="AX148" s="25">
        <f t="shared" si="6"/>
        <v>0</v>
      </c>
      <c r="AY148" s="25">
        <f t="shared" si="6"/>
        <v>0</v>
      </c>
      <c r="AZ148" s="25">
        <f t="shared" si="6"/>
        <v>0</v>
      </c>
      <c r="BA148" s="25">
        <f t="shared" si="6"/>
        <v>0</v>
      </c>
      <c r="BB148" s="25">
        <f t="shared" si="6"/>
        <v>0</v>
      </c>
      <c r="BC148" s="25">
        <f t="shared" si="6"/>
        <v>0</v>
      </c>
      <c r="BD148" s="25">
        <f t="shared" si="6"/>
        <v>0</v>
      </c>
      <c r="BE148" s="25">
        <f t="shared" si="6"/>
        <v>0</v>
      </c>
      <c r="BF148" s="25">
        <f t="shared" si="6"/>
        <v>0</v>
      </c>
      <c r="CA148" s="16">
        <v>-9999</v>
      </c>
      <c r="CB148" s="16">
        <v>-9999</v>
      </c>
      <c r="CC148" s="16">
        <v>-9999</v>
      </c>
      <c r="CD148" s="16">
        <v>-9999</v>
      </c>
      <c r="CE148" s="16">
        <v>-9999</v>
      </c>
      <c r="CF148" s="16">
        <v>-9999</v>
      </c>
      <c r="CG148" s="16">
        <v>-9999</v>
      </c>
      <c r="CH148" s="16">
        <v>-9999</v>
      </c>
      <c r="CI148" s="16">
        <v>-9999</v>
      </c>
      <c r="CJ148" s="16">
        <v>-9999</v>
      </c>
      <c r="CK148" s="16">
        <v>-9999</v>
      </c>
      <c r="CL148" s="16">
        <v>-9999</v>
      </c>
      <c r="CM148" s="16">
        <v>-9999</v>
      </c>
      <c r="CN148" s="16">
        <v>-9999</v>
      </c>
      <c r="CO148" s="16">
        <v>-9999</v>
      </c>
      <c r="CP148" s="16">
        <v>-9999</v>
      </c>
      <c r="CQ148" s="16">
        <v>-9999</v>
      </c>
      <c r="CR148" s="16">
        <v>-9999</v>
      </c>
      <c r="CS148" s="16">
        <v>-9999</v>
      </c>
      <c r="CT148" s="16">
        <v>-9999</v>
      </c>
      <c r="CU148" s="16">
        <v>-9999</v>
      </c>
      <c r="CV148" s="16">
        <v>-9999</v>
      </c>
      <c r="CW148" s="16">
        <v>-9999</v>
      </c>
      <c r="CX148" s="16">
        <v>-9999</v>
      </c>
      <c r="CY148" s="16">
        <v>-9999</v>
      </c>
      <c r="CZ148" s="16">
        <v>-9999</v>
      </c>
      <c r="DA148" s="16">
        <v>-9999</v>
      </c>
      <c r="DB148" s="16">
        <v>-9999</v>
      </c>
      <c r="DC148" s="16">
        <v>-9999</v>
      </c>
      <c r="DD148" s="16">
        <v>-9999</v>
      </c>
      <c r="DE148" s="16">
        <v>-9999</v>
      </c>
      <c r="DF148" s="16">
        <v>-9999</v>
      </c>
      <c r="DG148" s="16">
        <v>-9999</v>
      </c>
      <c r="DH148" s="16">
        <v>-9999</v>
      </c>
      <c r="DI148" s="16">
        <v>-9999</v>
      </c>
      <c r="DJ148" s="16">
        <v>-9999</v>
      </c>
      <c r="DK148" s="16">
        <v>-9999</v>
      </c>
      <c r="DL148" s="16">
        <v>-9999</v>
      </c>
      <c r="DM148" s="16">
        <v>-9999</v>
      </c>
      <c r="DN148" s="16">
        <v>-9999</v>
      </c>
      <c r="DO148" s="16">
        <v>-9999</v>
      </c>
      <c r="DP148" s="16">
        <v>-9999</v>
      </c>
      <c r="DQ148" s="16">
        <v>-9999</v>
      </c>
      <c r="DR148" s="16">
        <v>-9999</v>
      </c>
      <c r="DS148" s="16">
        <v>-9999</v>
      </c>
      <c r="DT148" s="16">
        <v>-9999</v>
      </c>
      <c r="DU148" s="16">
        <v>-9999</v>
      </c>
      <c r="DV148" s="16">
        <v>-9999</v>
      </c>
      <c r="DW148" s="16">
        <v>-9999</v>
      </c>
      <c r="DX148" s="16">
        <v>-9999</v>
      </c>
      <c r="DY148" s="16">
        <v>-9999</v>
      </c>
      <c r="DZ148" s="16">
        <v>-9999</v>
      </c>
      <c r="EA148" s="2197">
        <v>-9999</v>
      </c>
      <c r="EB148" s="2197">
        <v>-9999</v>
      </c>
      <c r="EC148" s="2197">
        <v>-9999</v>
      </c>
      <c r="ED148" s="2197">
        <v>-9999</v>
      </c>
      <c r="EE148" s="2197">
        <v>-9999</v>
      </c>
      <c r="EF148" s="2197">
        <v>-9999</v>
      </c>
      <c r="EG148" s="2197">
        <v>-9999</v>
      </c>
      <c r="EH148" s="2197">
        <v>-9999</v>
      </c>
      <c r="EI148" s="2197">
        <v>-9999</v>
      </c>
      <c r="EJ148" s="2197">
        <v>-9999</v>
      </c>
      <c r="EK148" s="2197">
        <v>-9999</v>
      </c>
      <c r="EL148" s="2197">
        <v>-9999</v>
      </c>
      <c r="EM148" s="2197">
        <v>-9999</v>
      </c>
    </row>
    <row r="149" spans="1:143">
      <c r="A149" s="22">
        <v>49</v>
      </c>
      <c r="B149" s="30" t="s">
        <v>1705</v>
      </c>
      <c r="C149" s="25">
        <v>-9999</v>
      </c>
      <c r="D149" s="25">
        <v>-9999</v>
      </c>
      <c r="E149" s="25">
        <v>-9999</v>
      </c>
      <c r="F149" s="25">
        <v>-9999</v>
      </c>
      <c r="G149" s="25">
        <v>-9999</v>
      </c>
      <c r="H149" s="25">
        <v>-9999</v>
      </c>
      <c r="I149" s="25">
        <v>-9999</v>
      </c>
      <c r="J149" s="25">
        <v>-9999</v>
      </c>
      <c r="K149" s="25">
        <v>-9999</v>
      </c>
      <c r="L149" s="25">
        <v>-9999</v>
      </c>
      <c r="M149" s="25">
        <v>-9999</v>
      </c>
      <c r="N149" s="25">
        <v>-9999</v>
      </c>
      <c r="O149" s="25">
        <v>-9999</v>
      </c>
      <c r="P149" s="32"/>
      <c r="Q149"/>
      <c r="AA149" s="22">
        <v>49</v>
      </c>
      <c r="AB149" s="1040" t="str">
        <f t="shared" si="3"/>
        <v>FOR FUTURE USE</v>
      </c>
      <c r="AC149" s="1040">
        <f>CHOOSE(Tables!$U$2,Transfer!CA149,Transfer!CN149,Transfer!DA149,Transfer!DN149,Transfer!EA149)</f>
        <v>-9999</v>
      </c>
      <c r="AD149" s="1040">
        <f>CHOOSE(Tables!$U$2,Transfer!CB149,Transfer!CO149,Transfer!DB149,Transfer!DO149,Transfer!EB149)</f>
        <v>-9999</v>
      </c>
      <c r="AE149" s="1040">
        <f>CHOOSE(Tables!$U$2,Transfer!CC149,Transfer!CP149,Transfer!DC149,Transfer!DP149,Transfer!EC149)</f>
        <v>-9999</v>
      </c>
      <c r="AF149" s="1040">
        <f>CHOOSE(Tables!$U$2,Transfer!CD149,Transfer!CQ149,Transfer!DD149,Transfer!DQ149,Transfer!ED149)</f>
        <v>-9999</v>
      </c>
      <c r="AG149" s="1040">
        <f>CHOOSE(Tables!$U$2,Transfer!CE149,Transfer!CR149,Transfer!DE149,Transfer!DR149,Transfer!EE149)</f>
        <v>-9999</v>
      </c>
      <c r="AH149" s="1040">
        <f>CHOOSE(Tables!$U$2,Transfer!CF149,Transfer!CS149,Transfer!DF149,Transfer!DS149,Transfer!EF149)</f>
        <v>-9999</v>
      </c>
      <c r="AI149" s="1040">
        <f>CHOOSE(Tables!$U$2,Transfer!CG149,Transfer!CT149,Transfer!DG149,Transfer!DT149,Transfer!EG149)</f>
        <v>-9999</v>
      </c>
      <c r="AJ149" s="1040">
        <f>CHOOSE(Tables!$U$2,Transfer!CH149,Transfer!CU149,Transfer!DH149,Transfer!DU149,Transfer!EH149)</f>
        <v>-9999</v>
      </c>
      <c r="AK149" s="1040">
        <f>CHOOSE(Tables!$U$2,Transfer!CI149,Transfer!CV149,Transfer!DI149,Transfer!DV149,Transfer!EI149)</f>
        <v>-9999</v>
      </c>
      <c r="AL149" s="1040">
        <f>CHOOSE(Tables!$U$2,Transfer!CJ149,Transfer!CW149,Transfer!DJ149,Transfer!DW149,Transfer!EJ149)</f>
        <v>-9999</v>
      </c>
      <c r="AM149" s="1040">
        <f>CHOOSE(Tables!$U$2,Transfer!CK149,Transfer!CX149,Transfer!DK149,Transfer!DX149,Transfer!EK149)</f>
        <v>-9999</v>
      </c>
      <c r="AN149" s="1040">
        <f>CHOOSE(Tables!$U$2,Transfer!CL149,Transfer!CY149,Transfer!DL149,Transfer!DY149,Transfer!EL149)</f>
        <v>-9999</v>
      </c>
      <c r="AO149" s="1040">
        <f>CHOOSE(Tables!$U$2,Transfer!CM149,Transfer!CZ149,Transfer!DM149,Transfer!DZ149,Transfer!EM149)</f>
        <v>-9999</v>
      </c>
      <c r="AR149" s="22">
        <v>49</v>
      </c>
      <c r="AS149" s="30" t="s">
        <v>1705</v>
      </c>
      <c r="AT149" s="25">
        <f t="shared" si="6"/>
        <v>0</v>
      </c>
      <c r="AU149" s="25">
        <f t="shared" si="6"/>
        <v>0</v>
      </c>
      <c r="AV149" s="25">
        <f t="shared" si="6"/>
        <v>0</v>
      </c>
      <c r="AW149" s="25">
        <f t="shared" si="6"/>
        <v>0</v>
      </c>
      <c r="AX149" s="25">
        <f t="shared" si="6"/>
        <v>0</v>
      </c>
      <c r="AY149" s="25">
        <f t="shared" si="6"/>
        <v>0</v>
      </c>
      <c r="AZ149" s="25">
        <f t="shared" si="6"/>
        <v>0</v>
      </c>
      <c r="BA149" s="25">
        <f t="shared" si="6"/>
        <v>0</v>
      </c>
      <c r="BB149" s="25">
        <f t="shared" si="6"/>
        <v>0</v>
      </c>
      <c r="BC149" s="25">
        <f t="shared" si="6"/>
        <v>0</v>
      </c>
      <c r="BD149" s="25">
        <f t="shared" si="6"/>
        <v>0</v>
      </c>
      <c r="BE149" s="25">
        <f t="shared" si="6"/>
        <v>0</v>
      </c>
      <c r="BF149" s="25">
        <f t="shared" si="6"/>
        <v>0</v>
      </c>
      <c r="CA149" s="16">
        <v>-9999</v>
      </c>
      <c r="CB149" s="16">
        <v>-9999</v>
      </c>
      <c r="CC149" s="16">
        <v>-9999</v>
      </c>
      <c r="CD149" s="16">
        <v>-9999</v>
      </c>
      <c r="CE149" s="16">
        <v>-9999</v>
      </c>
      <c r="CF149" s="16">
        <v>-9999</v>
      </c>
      <c r="CG149" s="16">
        <v>-9999</v>
      </c>
      <c r="CH149" s="16">
        <v>-9999</v>
      </c>
      <c r="CI149" s="16">
        <v>-9999</v>
      </c>
      <c r="CJ149" s="16">
        <v>-9999</v>
      </c>
      <c r="CK149" s="16">
        <v>-9999</v>
      </c>
      <c r="CL149" s="16">
        <v>-9999</v>
      </c>
      <c r="CM149" s="16">
        <v>-9999</v>
      </c>
      <c r="CN149" s="16">
        <v>-9999</v>
      </c>
      <c r="CO149" s="16">
        <v>-9999</v>
      </c>
      <c r="CP149" s="16">
        <v>-9999</v>
      </c>
      <c r="CQ149" s="16">
        <v>-9999</v>
      </c>
      <c r="CR149" s="16">
        <v>-9999</v>
      </c>
      <c r="CS149" s="16">
        <v>-9999</v>
      </c>
      <c r="CT149" s="16">
        <v>-9999</v>
      </c>
      <c r="CU149" s="16">
        <v>-9999</v>
      </c>
      <c r="CV149" s="16">
        <v>-9999</v>
      </c>
      <c r="CW149" s="16">
        <v>-9999</v>
      </c>
      <c r="CX149" s="16">
        <v>-9999</v>
      </c>
      <c r="CY149" s="16">
        <v>-9999</v>
      </c>
      <c r="CZ149" s="16">
        <v>-9999</v>
      </c>
      <c r="DA149" s="16">
        <v>-9999</v>
      </c>
      <c r="DB149" s="16">
        <v>-9999</v>
      </c>
      <c r="DC149" s="16">
        <v>-9999</v>
      </c>
      <c r="DD149" s="16">
        <v>-9999</v>
      </c>
      <c r="DE149" s="16">
        <v>-9999</v>
      </c>
      <c r="DF149" s="16">
        <v>-9999</v>
      </c>
      <c r="DG149" s="16">
        <v>-9999</v>
      </c>
      <c r="DH149" s="16">
        <v>-9999</v>
      </c>
      <c r="DI149" s="16">
        <v>-9999</v>
      </c>
      <c r="DJ149" s="16">
        <v>-9999</v>
      </c>
      <c r="DK149" s="16">
        <v>-9999</v>
      </c>
      <c r="DL149" s="16">
        <v>-9999</v>
      </c>
      <c r="DM149" s="16">
        <v>-9999</v>
      </c>
      <c r="DN149" s="16">
        <v>-9999</v>
      </c>
      <c r="DO149" s="16">
        <v>-9999</v>
      </c>
      <c r="DP149" s="16">
        <v>-9999</v>
      </c>
      <c r="DQ149" s="16">
        <v>-9999</v>
      </c>
      <c r="DR149" s="16">
        <v>-9999</v>
      </c>
      <c r="DS149" s="16">
        <v>-9999</v>
      </c>
      <c r="DT149" s="16">
        <v>-9999</v>
      </c>
      <c r="DU149" s="16">
        <v>-9999</v>
      </c>
      <c r="DV149" s="16">
        <v>-9999</v>
      </c>
      <c r="DW149" s="16">
        <v>-9999</v>
      </c>
      <c r="DX149" s="16">
        <v>-9999</v>
      </c>
      <c r="DY149" s="16">
        <v>-9999</v>
      </c>
      <c r="DZ149" s="16">
        <v>-9999</v>
      </c>
      <c r="EA149" s="2197">
        <v>-9999</v>
      </c>
      <c r="EB149" s="2197">
        <v>-9999</v>
      </c>
      <c r="EC149" s="2197">
        <v>-9999</v>
      </c>
      <c r="ED149" s="2197">
        <v>-9999</v>
      </c>
      <c r="EE149" s="2197">
        <v>-9999</v>
      </c>
      <c r="EF149" s="2197">
        <v>-9999</v>
      </c>
      <c r="EG149" s="2197">
        <v>-9999</v>
      </c>
      <c r="EH149" s="2197">
        <v>-9999</v>
      </c>
      <c r="EI149" s="2197">
        <v>-9999</v>
      </c>
      <c r="EJ149" s="2197">
        <v>-9999</v>
      </c>
      <c r="EK149" s="2197">
        <v>-9999</v>
      </c>
      <c r="EL149" s="2197">
        <v>-9999</v>
      </c>
      <c r="EM149" s="2197">
        <v>-9999</v>
      </c>
    </row>
    <row r="150" spans="1:143">
      <c r="A150" s="22">
        <v>50</v>
      </c>
      <c r="B150" s="1" t="s">
        <v>1493</v>
      </c>
      <c r="C150" s="24">
        <f ca="1">OFFSET(Sector1!F8,0,Last_forecast_year - 3-InputY!$G$3)</f>
        <v>4.2110900000000004</v>
      </c>
      <c r="D150" s="24">
        <f ca="1">OFFSET(Sector1!G8,0,Last_forecast_year - 3-InputY!$G$3)</f>
        <v>4.4171499999999995</v>
      </c>
      <c r="E150" s="24">
        <f ca="1">OFFSET(Sector1!H8,0,Last_forecast_year - 3-InputY!$G$3)</f>
        <v>4.8132999999999999</v>
      </c>
      <c r="F150" s="24">
        <f ca="1">OFFSET(Sector1!I8,0,Last_forecast_year - 3-InputY!$G$3)</f>
        <v>5.123979558019216</v>
      </c>
      <c r="G150" s="24">
        <f ca="1">OFFSET(Sector1!J8,0,Last_forecast_year - 3-InputY!$G$3)</f>
        <v>5.4109224132682927</v>
      </c>
      <c r="H150" s="25">
        <v>-9999</v>
      </c>
      <c r="I150" s="25">
        <v>-9999</v>
      </c>
      <c r="J150" s="25">
        <v>-9999</v>
      </c>
      <c r="K150" s="25">
        <v>-9999</v>
      </c>
      <c r="L150" s="25">
        <v>-9999</v>
      </c>
      <c r="M150" s="25">
        <v>-9999</v>
      </c>
      <c r="N150" s="25">
        <v>-9999</v>
      </c>
      <c r="O150" s="25">
        <v>-9999</v>
      </c>
      <c r="P150" s="32"/>
      <c r="Q150"/>
      <c r="AA150" s="22">
        <v>50</v>
      </c>
      <c r="AB150" s="1040" t="str">
        <f t="shared" si="3"/>
        <v>TAXES ON PRODUCTS</v>
      </c>
      <c r="AC150" s="1040">
        <f>CHOOSE(Tables!$U$2,Transfer!CA150,Transfer!CN150,Transfer!DA150,Transfer!DN150,Transfer!EA150)</f>
        <v>12.163110000000001</v>
      </c>
      <c r="AD150" s="1040">
        <f>CHOOSE(Tables!$U$2,Transfer!CB150,Transfer!CO150,Transfer!DB150,Transfer!DO150,Transfer!EB150)</f>
        <v>12.47255</v>
      </c>
      <c r="AE150" s="1040">
        <f>CHOOSE(Tables!$U$2,Transfer!CC150,Transfer!CP150,Transfer!DC150,Transfer!DP150,Transfer!EC150)</f>
        <v>12.771891200000001</v>
      </c>
      <c r="AF150" s="1040">
        <f>CHOOSE(Tables!$U$2,Transfer!CD150,Transfer!CQ150,Transfer!DD150,Transfer!DQ150,Transfer!ED150)</f>
        <v>13.282766848000001</v>
      </c>
      <c r="AG150" s="1040">
        <f>CHOOSE(Tables!$U$2,Transfer!CE150,Transfer!CR150,Transfer!DE150,Transfer!DR150,Transfer!EE150)</f>
        <v>14.013319024640001</v>
      </c>
      <c r="AH150" s="1040">
        <f>CHOOSE(Tables!$U$2,Transfer!CF150,Transfer!CS150,Transfer!DF150,Transfer!DS150,Transfer!EF150)</f>
        <v>-9999</v>
      </c>
      <c r="AI150" s="1040">
        <f>CHOOSE(Tables!$U$2,Transfer!CG150,Transfer!CT150,Transfer!DG150,Transfer!DT150,Transfer!EG150)</f>
        <v>-9999</v>
      </c>
      <c r="AJ150" s="1040">
        <f>CHOOSE(Tables!$U$2,Transfer!CH150,Transfer!CU150,Transfer!DH150,Transfer!DU150,Transfer!EH150)</f>
        <v>-9999</v>
      </c>
      <c r="AK150" s="1040">
        <f>CHOOSE(Tables!$U$2,Transfer!CI150,Transfer!CV150,Transfer!DI150,Transfer!DV150,Transfer!EI150)</f>
        <v>-9999</v>
      </c>
      <c r="AL150" s="1040">
        <f>CHOOSE(Tables!$U$2,Transfer!CJ150,Transfer!CW150,Transfer!DJ150,Transfer!DW150,Transfer!EJ150)</f>
        <v>-9999</v>
      </c>
      <c r="AM150" s="1040">
        <f>CHOOSE(Tables!$U$2,Transfer!CK150,Transfer!CX150,Transfer!DK150,Transfer!DX150,Transfer!EK150)</f>
        <v>-9999</v>
      </c>
      <c r="AN150" s="1040">
        <f>CHOOSE(Tables!$U$2,Transfer!CL150,Transfer!CY150,Transfer!DL150,Transfer!DY150,Transfer!EL150)</f>
        <v>-9999</v>
      </c>
      <c r="AO150" s="1040">
        <f>CHOOSE(Tables!$U$2,Transfer!CM150,Transfer!CZ150,Transfer!DM150,Transfer!DZ150,Transfer!EM150)</f>
        <v>-9999</v>
      </c>
      <c r="AR150" s="22">
        <v>50</v>
      </c>
      <c r="AS150" s="1" t="s">
        <v>1493</v>
      </c>
      <c r="AT150" s="24">
        <f t="shared" ca="1" si="6"/>
        <v>-7.952020000000001</v>
      </c>
      <c r="AU150" s="24">
        <f t="shared" ca="1" si="6"/>
        <v>-8.0554000000000006</v>
      </c>
      <c r="AV150" s="24">
        <f t="shared" ca="1" si="6"/>
        <v>-7.9585912000000008</v>
      </c>
      <c r="AW150" s="24">
        <f t="shared" ca="1" si="6"/>
        <v>-8.1587872899807863</v>
      </c>
      <c r="AX150" s="24">
        <f t="shared" ca="1" si="6"/>
        <v>-8.6023966113717094</v>
      </c>
      <c r="AY150" s="25">
        <f t="shared" si="6"/>
        <v>0</v>
      </c>
      <c r="AZ150" s="25">
        <f t="shared" si="6"/>
        <v>0</v>
      </c>
      <c r="BA150" s="25">
        <f t="shared" si="6"/>
        <v>0</v>
      </c>
      <c r="BB150" s="25">
        <f t="shared" si="6"/>
        <v>0</v>
      </c>
      <c r="BC150" s="25">
        <f t="shared" si="6"/>
        <v>0</v>
      </c>
      <c r="BD150" s="25">
        <f t="shared" si="6"/>
        <v>0</v>
      </c>
      <c r="BE150" s="25">
        <f t="shared" si="6"/>
        <v>0</v>
      </c>
      <c r="BF150" s="25">
        <f t="shared" si="6"/>
        <v>0</v>
      </c>
      <c r="CA150" s="16">
        <v>3.7482099999999998</v>
      </c>
      <c r="CB150" s="16">
        <v>3.9839099999999998</v>
      </c>
      <c r="CC150" s="16">
        <v>4.2667676099999996</v>
      </c>
      <c r="CD150" s="16">
        <v>4.458772152449999</v>
      </c>
      <c r="CE150" s="16">
        <v>4.7891248146321947</v>
      </c>
      <c r="CF150" s="16">
        <v>-9999</v>
      </c>
      <c r="CG150" s="16">
        <v>-9999</v>
      </c>
      <c r="CH150" s="16">
        <v>-9999</v>
      </c>
      <c r="CI150" s="16">
        <v>-9999</v>
      </c>
      <c r="CJ150" s="16">
        <v>-9999</v>
      </c>
      <c r="CK150" s="16">
        <v>-9999</v>
      </c>
      <c r="CL150" s="16">
        <v>-9999</v>
      </c>
      <c r="CM150" s="16">
        <v>-9999</v>
      </c>
      <c r="CN150" s="16">
        <v>3.59206</v>
      </c>
      <c r="CO150" s="16">
        <v>3.7465999999999999</v>
      </c>
      <c r="CP150" s="16">
        <v>4.0179499999999999</v>
      </c>
      <c r="CQ150" s="16">
        <v>4.2188474999999999</v>
      </c>
      <c r="CR150" s="16">
        <v>4.4843591650859738</v>
      </c>
      <c r="CS150" s="16">
        <v>-9999</v>
      </c>
      <c r="CT150" s="16">
        <v>-9999</v>
      </c>
      <c r="CU150" s="16">
        <v>-9999</v>
      </c>
      <c r="CV150" s="16">
        <v>-9999</v>
      </c>
      <c r="CW150" s="16">
        <v>-9999</v>
      </c>
      <c r="CX150" s="16">
        <v>-9999</v>
      </c>
      <c r="CY150" s="16">
        <v>-9999</v>
      </c>
      <c r="CZ150" s="16">
        <v>-9999</v>
      </c>
      <c r="DA150" s="16">
        <v>3.7465999999999999</v>
      </c>
      <c r="DB150" s="16">
        <v>3.9838899999999997</v>
      </c>
      <c r="DC150" s="16">
        <v>4.1755407516700558</v>
      </c>
      <c r="DD150" s="16">
        <v>4.4346874741919757</v>
      </c>
      <c r="DE150" s="16">
        <v>4.7099176282471626</v>
      </c>
      <c r="DF150" s="16">
        <v>-9999</v>
      </c>
      <c r="DG150" s="16">
        <v>-9999</v>
      </c>
      <c r="DH150" s="16">
        <v>-9999</v>
      </c>
      <c r="DI150" s="16">
        <v>-9999</v>
      </c>
      <c r="DJ150" s="16">
        <v>-9999</v>
      </c>
      <c r="DK150" s="16">
        <v>-9999</v>
      </c>
      <c r="DL150" s="16">
        <v>-9999</v>
      </c>
      <c r="DM150" s="16">
        <v>-9999</v>
      </c>
      <c r="DN150" s="16">
        <v>3.59206</v>
      </c>
      <c r="DO150" s="16">
        <v>3.7465999999999999</v>
      </c>
      <c r="DP150" s="16">
        <v>4.0179499999999999</v>
      </c>
      <c r="DQ150" s="16">
        <v>4.1549240727084911</v>
      </c>
      <c r="DR150" s="16">
        <v>4.4164127396609301</v>
      </c>
      <c r="DS150" s="16">
        <v>-9999</v>
      </c>
      <c r="DT150" s="16">
        <v>-9999</v>
      </c>
      <c r="DU150" s="16">
        <v>-9999</v>
      </c>
      <c r="DV150" s="16">
        <v>-9999</v>
      </c>
      <c r="DW150" s="16">
        <v>-9999</v>
      </c>
      <c r="DX150" s="16">
        <v>-9999</v>
      </c>
      <c r="DY150" s="16">
        <v>-9999</v>
      </c>
      <c r="DZ150" s="16">
        <v>-9999</v>
      </c>
      <c r="EA150" s="2196">
        <v>12.163110000000001</v>
      </c>
      <c r="EB150" s="2196">
        <v>12.47255</v>
      </c>
      <c r="EC150" s="2196">
        <v>12.771891200000001</v>
      </c>
      <c r="ED150" s="2196">
        <v>13.282766848000001</v>
      </c>
      <c r="EE150" s="2196">
        <v>14.013319024640001</v>
      </c>
      <c r="EF150" s="2197">
        <v>-9999</v>
      </c>
      <c r="EG150" s="2197">
        <v>-9999</v>
      </c>
      <c r="EH150" s="2197">
        <v>-9999</v>
      </c>
      <c r="EI150" s="2197">
        <v>-9999</v>
      </c>
      <c r="EJ150" s="2197">
        <v>-9999</v>
      </c>
      <c r="EK150" s="2197">
        <v>-9999</v>
      </c>
      <c r="EL150" s="2197">
        <v>-9999</v>
      </c>
      <c r="EM150" s="2197">
        <v>-9999</v>
      </c>
    </row>
    <row r="151" spans="1:143">
      <c r="A151" s="22">
        <v>51</v>
      </c>
      <c r="B151" s="1" t="s">
        <v>1495</v>
      </c>
      <c r="C151" s="24">
        <f ca="1">OFFSET(Sector1!F45,0,Last_forecast_year - 3-InputY!$G$3)</f>
        <v>0.49363000000000001</v>
      </c>
      <c r="D151" s="24">
        <f ca="1">OFFSET(Sector1!G45,0,Last_forecast_year - 3-InputY!$G$3)</f>
        <v>0.53820000000000001</v>
      </c>
      <c r="E151" s="24">
        <f ca="1">OFFSET(Sector1!H45,0,Last_forecast_year - 3-InputY!$G$3)</f>
        <v>0.54600000000000004</v>
      </c>
      <c r="F151" s="24">
        <f ca="1">OFFSET(Sector1!I45,0,Last_forecast_year - 3-InputY!$G$3)</f>
        <v>0.56565600000000005</v>
      </c>
      <c r="G151" s="24">
        <f ca="1">OFFSET(Sector1!J45,0,Last_forecast_year - 3-InputY!$G$3)</f>
        <v>0.58601961600000008</v>
      </c>
      <c r="H151" s="25">
        <v>-9999</v>
      </c>
      <c r="I151" s="25">
        <v>-9999</v>
      </c>
      <c r="J151" s="25">
        <v>-9999</v>
      </c>
      <c r="K151" s="25">
        <v>-9999</v>
      </c>
      <c r="L151" s="25">
        <v>-9999</v>
      </c>
      <c r="M151" s="25">
        <v>-9999</v>
      </c>
      <c r="N151" s="25">
        <v>-9999</v>
      </c>
      <c r="O151" s="25">
        <v>-9999</v>
      </c>
      <c r="P151" s="32"/>
      <c r="Q151"/>
      <c r="AA151" s="22">
        <v>51</v>
      </c>
      <c r="AB151" s="1040" t="str">
        <f t="shared" si="3"/>
        <v>SUBSIDIES ON PRODUCTS</v>
      </c>
      <c r="AC151" s="1040">
        <f>CHOOSE(Tables!$U$2,Transfer!CA151,Transfer!CN151,Transfer!DA151,Transfer!DN151,Transfer!EA151)</f>
        <v>1.3358299999999999</v>
      </c>
      <c r="AD151" s="1040">
        <f>CHOOSE(Tables!$U$2,Transfer!CB151,Transfer!CO151,Transfer!DB151,Transfer!DO151,Transfer!EB151)</f>
        <v>1.41571</v>
      </c>
      <c r="AE151" s="1040">
        <f>CHOOSE(Tables!$U$2,Transfer!CC151,Transfer!CP151,Transfer!DC151,Transfer!DP151,Transfer!EC151)</f>
        <v>1.6705378</v>
      </c>
      <c r="AF151" s="1040">
        <f>CHOOSE(Tables!$U$2,Transfer!CD151,Transfer!CQ151,Transfer!DD151,Transfer!DQ151,Transfer!ED151)</f>
        <v>1.720653934</v>
      </c>
      <c r="AG151" s="1040">
        <f>CHOOSE(Tables!$U$2,Transfer!CE151,Transfer!CR151,Transfer!DE151,Transfer!DR151,Transfer!EE151)</f>
        <v>1.7722735520200001</v>
      </c>
      <c r="AH151" s="1040">
        <f>CHOOSE(Tables!$U$2,Transfer!CF151,Transfer!CS151,Transfer!DF151,Transfer!DS151,Transfer!EF151)</f>
        <v>-9999</v>
      </c>
      <c r="AI151" s="1040">
        <f>CHOOSE(Tables!$U$2,Transfer!CG151,Transfer!CT151,Transfer!DG151,Transfer!DT151,Transfer!EG151)</f>
        <v>-9999</v>
      </c>
      <c r="AJ151" s="1040">
        <f>CHOOSE(Tables!$U$2,Transfer!CH151,Transfer!CU151,Transfer!DH151,Transfer!DU151,Transfer!EH151)</f>
        <v>-9999</v>
      </c>
      <c r="AK151" s="1040">
        <f>CHOOSE(Tables!$U$2,Transfer!CI151,Transfer!CV151,Transfer!DI151,Transfer!DV151,Transfer!EI151)</f>
        <v>-9999</v>
      </c>
      <c r="AL151" s="1040">
        <f>CHOOSE(Tables!$U$2,Transfer!CJ151,Transfer!CW151,Transfer!DJ151,Transfer!DW151,Transfer!EJ151)</f>
        <v>-9999</v>
      </c>
      <c r="AM151" s="1040">
        <f>CHOOSE(Tables!$U$2,Transfer!CK151,Transfer!CX151,Transfer!DK151,Transfer!DX151,Transfer!EK151)</f>
        <v>-9999</v>
      </c>
      <c r="AN151" s="1040">
        <f>CHOOSE(Tables!$U$2,Transfer!CL151,Transfer!CY151,Transfer!DL151,Transfer!DY151,Transfer!EL151)</f>
        <v>-9999</v>
      </c>
      <c r="AO151" s="1040">
        <f>CHOOSE(Tables!$U$2,Transfer!CM151,Transfer!CZ151,Transfer!DM151,Transfer!DZ151,Transfer!EM151)</f>
        <v>-9999</v>
      </c>
      <c r="AR151" s="22">
        <v>51</v>
      </c>
      <c r="AS151" s="1" t="s">
        <v>1495</v>
      </c>
      <c r="AT151" s="24">
        <f t="shared" ca="1" si="6"/>
        <v>-0.84219999999999984</v>
      </c>
      <c r="AU151" s="24">
        <f t="shared" ca="1" si="6"/>
        <v>-0.87751000000000001</v>
      </c>
      <c r="AV151" s="24">
        <f t="shared" ca="1" si="6"/>
        <v>-1.1245377999999999</v>
      </c>
      <c r="AW151" s="24">
        <f t="shared" ca="1" si="6"/>
        <v>-1.1549979339999998</v>
      </c>
      <c r="AX151" s="24">
        <f t="shared" ca="1" si="6"/>
        <v>-1.18625393602</v>
      </c>
      <c r="AY151" s="25">
        <f t="shared" si="6"/>
        <v>0</v>
      </c>
      <c r="AZ151" s="25">
        <f t="shared" si="6"/>
        <v>0</v>
      </c>
      <c r="BA151" s="25">
        <f t="shared" si="6"/>
        <v>0</v>
      </c>
      <c r="BB151" s="25">
        <f t="shared" si="6"/>
        <v>0</v>
      </c>
      <c r="BC151" s="25">
        <f t="shared" si="6"/>
        <v>0</v>
      </c>
      <c r="BD151" s="25">
        <f t="shared" si="6"/>
        <v>0</v>
      </c>
      <c r="BE151" s="25">
        <f t="shared" si="6"/>
        <v>0</v>
      </c>
      <c r="BF151" s="25">
        <f t="shared" si="6"/>
        <v>0</v>
      </c>
      <c r="CA151" s="16">
        <v>0.43957999999999997</v>
      </c>
      <c r="CB151" s="16">
        <v>0.45130000000000003</v>
      </c>
      <c r="CC151" s="16">
        <v>0.47386500000000004</v>
      </c>
      <c r="CD151" s="16">
        <v>0.50703555000000011</v>
      </c>
      <c r="CE151" s="16">
        <v>0.53745768300000019</v>
      </c>
      <c r="CF151" s="16">
        <v>-9999</v>
      </c>
      <c r="CG151" s="16">
        <v>-9999</v>
      </c>
      <c r="CH151" s="16">
        <v>-9999</v>
      </c>
      <c r="CI151" s="16">
        <v>-9999</v>
      </c>
      <c r="CJ151" s="16">
        <v>-9999</v>
      </c>
      <c r="CK151" s="16">
        <v>-9999</v>
      </c>
      <c r="CL151" s="16">
        <v>-9999</v>
      </c>
      <c r="CM151" s="16">
        <v>-9999</v>
      </c>
      <c r="CN151" s="16">
        <v>0.41048000000000001</v>
      </c>
      <c r="CO151" s="16">
        <v>0.43957999999999997</v>
      </c>
      <c r="CP151" s="16">
        <v>0.42462</v>
      </c>
      <c r="CQ151" s="16">
        <v>0.45009720000000003</v>
      </c>
      <c r="CR151" s="16">
        <v>0.46810108800000005</v>
      </c>
      <c r="CS151" s="16">
        <v>-9999</v>
      </c>
      <c r="CT151" s="16">
        <v>-9999</v>
      </c>
      <c r="CU151" s="16">
        <v>-9999</v>
      </c>
      <c r="CV151" s="16">
        <v>-9999</v>
      </c>
      <c r="CW151" s="16">
        <v>-9999</v>
      </c>
      <c r="CX151" s="16">
        <v>-9999</v>
      </c>
      <c r="CY151" s="16">
        <v>-9999</v>
      </c>
      <c r="CZ151" s="16">
        <v>-9999</v>
      </c>
      <c r="DA151" s="16">
        <v>0.43957999999999997</v>
      </c>
      <c r="DB151" s="16">
        <v>0.45130000000000003</v>
      </c>
      <c r="DC151" s="16">
        <v>0.47386500000000004</v>
      </c>
      <c r="DD151" s="16">
        <v>0.49281960000000008</v>
      </c>
      <c r="DE151" s="16">
        <v>0.51253238400000012</v>
      </c>
      <c r="DF151" s="16">
        <v>-9999</v>
      </c>
      <c r="DG151" s="16">
        <v>-9999</v>
      </c>
      <c r="DH151" s="16">
        <v>-9999</v>
      </c>
      <c r="DI151" s="16">
        <v>-9999</v>
      </c>
      <c r="DJ151" s="16">
        <v>-9999</v>
      </c>
      <c r="DK151" s="16">
        <v>-9999</v>
      </c>
      <c r="DL151" s="16">
        <v>-9999</v>
      </c>
      <c r="DM151" s="16">
        <v>-9999</v>
      </c>
      <c r="DN151" s="16">
        <v>0.41048000000000001</v>
      </c>
      <c r="DO151" s="16">
        <v>0.43957999999999997</v>
      </c>
      <c r="DP151" s="16">
        <v>0.42462</v>
      </c>
      <c r="DQ151" s="16">
        <v>0.45009720000000003</v>
      </c>
      <c r="DR151" s="16">
        <v>0.46810108800000005</v>
      </c>
      <c r="DS151" s="16">
        <v>-9999</v>
      </c>
      <c r="DT151" s="16">
        <v>-9999</v>
      </c>
      <c r="DU151" s="16">
        <v>-9999</v>
      </c>
      <c r="DV151" s="16">
        <v>-9999</v>
      </c>
      <c r="DW151" s="16">
        <v>-9999</v>
      </c>
      <c r="DX151" s="16">
        <v>-9999</v>
      </c>
      <c r="DY151" s="16">
        <v>-9999</v>
      </c>
      <c r="DZ151" s="16">
        <v>-9999</v>
      </c>
      <c r="EA151" s="2196">
        <v>1.3358299999999999</v>
      </c>
      <c r="EB151" s="2196">
        <v>1.41571</v>
      </c>
      <c r="EC151" s="2196">
        <v>1.6705378</v>
      </c>
      <c r="ED151" s="2196">
        <v>1.720653934</v>
      </c>
      <c r="EE151" s="2196">
        <v>1.7722735520200001</v>
      </c>
      <c r="EF151" s="2197">
        <v>-9999</v>
      </c>
      <c r="EG151" s="2197">
        <v>-9999</v>
      </c>
      <c r="EH151" s="2197">
        <v>-9999</v>
      </c>
      <c r="EI151" s="2197">
        <v>-9999</v>
      </c>
      <c r="EJ151" s="2197">
        <v>-9999</v>
      </c>
      <c r="EK151" s="2197">
        <v>-9999</v>
      </c>
      <c r="EL151" s="2197">
        <v>-9999</v>
      </c>
      <c r="EM151" s="2197">
        <v>-9999</v>
      </c>
    </row>
    <row r="152" spans="1:143">
      <c r="A152" s="22">
        <v>52</v>
      </c>
      <c r="B152" s="30" t="s">
        <v>1705</v>
      </c>
      <c r="C152" s="25">
        <v>-9999</v>
      </c>
      <c r="D152" s="25">
        <v>-9999</v>
      </c>
      <c r="E152" s="25">
        <v>-9999</v>
      </c>
      <c r="F152" s="25">
        <v>-9999</v>
      </c>
      <c r="G152" s="25">
        <v>-9999</v>
      </c>
      <c r="H152" s="25">
        <v>-9999</v>
      </c>
      <c r="I152" s="25">
        <v>-9999</v>
      </c>
      <c r="J152" s="25">
        <v>-9999</v>
      </c>
      <c r="K152" s="25">
        <v>-9999</v>
      </c>
      <c r="L152" s="25">
        <v>-9999</v>
      </c>
      <c r="M152" s="25">
        <v>-9999</v>
      </c>
      <c r="N152" s="25">
        <v>-9999</v>
      </c>
      <c r="O152" s="25">
        <v>-9999</v>
      </c>
      <c r="P152" s="32"/>
      <c r="Q152"/>
      <c r="AA152" s="22">
        <v>52</v>
      </c>
      <c r="AB152" s="1040" t="str">
        <f t="shared" si="3"/>
        <v>FOR FUTURE USE</v>
      </c>
      <c r="AC152" s="1040">
        <f>CHOOSE(Tables!$U$2,Transfer!CA152,Transfer!CN152,Transfer!DA152,Transfer!DN152,Transfer!EA152)</f>
        <v>-9999</v>
      </c>
      <c r="AD152" s="1040">
        <f>CHOOSE(Tables!$U$2,Transfer!CB152,Transfer!CO152,Transfer!DB152,Transfer!DO152,Transfer!EB152)</f>
        <v>-9999</v>
      </c>
      <c r="AE152" s="1040">
        <f>CHOOSE(Tables!$U$2,Transfer!CC152,Transfer!CP152,Transfer!DC152,Transfer!DP152,Transfer!EC152)</f>
        <v>-9999</v>
      </c>
      <c r="AF152" s="1040">
        <f>CHOOSE(Tables!$U$2,Transfer!CD152,Transfer!CQ152,Transfer!DD152,Transfer!DQ152,Transfer!ED152)</f>
        <v>-9999</v>
      </c>
      <c r="AG152" s="1040">
        <f>CHOOSE(Tables!$U$2,Transfer!CE152,Transfer!CR152,Transfer!DE152,Transfer!DR152,Transfer!EE152)</f>
        <v>-9999</v>
      </c>
      <c r="AH152" s="1040">
        <f>CHOOSE(Tables!$U$2,Transfer!CF152,Transfer!CS152,Transfer!DF152,Transfer!DS152,Transfer!EF152)</f>
        <v>-9999</v>
      </c>
      <c r="AI152" s="1040">
        <f>CHOOSE(Tables!$U$2,Transfer!CG152,Transfer!CT152,Transfer!DG152,Transfer!DT152,Transfer!EG152)</f>
        <v>-9999</v>
      </c>
      <c r="AJ152" s="1040">
        <f>CHOOSE(Tables!$U$2,Transfer!CH152,Transfer!CU152,Transfer!DH152,Transfer!DU152,Transfer!EH152)</f>
        <v>-9999</v>
      </c>
      <c r="AK152" s="1040">
        <f>CHOOSE(Tables!$U$2,Transfer!CI152,Transfer!CV152,Transfer!DI152,Transfer!DV152,Transfer!EI152)</f>
        <v>-9999</v>
      </c>
      <c r="AL152" s="1040">
        <f>CHOOSE(Tables!$U$2,Transfer!CJ152,Transfer!CW152,Transfer!DJ152,Transfer!DW152,Transfer!EJ152)</f>
        <v>-9999</v>
      </c>
      <c r="AM152" s="1040">
        <f>CHOOSE(Tables!$U$2,Transfer!CK152,Transfer!CX152,Transfer!DK152,Transfer!DX152,Transfer!EK152)</f>
        <v>-9999</v>
      </c>
      <c r="AN152" s="1040">
        <f>CHOOSE(Tables!$U$2,Transfer!CL152,Transfer!CY152,Transfer!DL152,Transfer!DY152,Transfer!EL152)</f>
        <v>-9999</v>
      </c>
      <c r="AO152" s="1040">
        <f>CHOOSE(Tables!$U$2,Transfer!CM152,Transfer!CZ152,Transfer!DM152,Transfer!DZ152,Transfer!EM152)</f>
        <v>-9999</v>
      </c>
      <c r="AR152" s="22">
        <v>52</v>
      </c>
      <c r="AS152" s="30" t="s">
        <v>1705</v>
      </c>
      <c r="AT152" s="25">
        <f t="shared" si="6"/>
        <v>0</v>
      </c>
      <c r="AU152" s="25">
        <f t="shared" si="6"/>
        <v>0</v>
      </c>
      <c r="AV152" s="25">
        <f t="shared" si="6"/>
        <v>0</v>
      </c>
      <c r="AW152" s="25">
        <f t="shared" si="6"/>
        <v>0</v>
      </c>
      <c r="AX152" s="25">
        <f t="shared" si="6"/>
        <v>0</v>
      </c>
      <c r="AY152" s="25">
        <f t="shared" si="6"/>
        <v>0</v>
      </c>
      <c r="AZ152" s="25">
        <f t="shared" si="6"/>
        <v>0</v>
      </c>
      <c r="BA152" s="25">
        <f t="shared" si="6"/>
        <v>0</v>
      </c>
      <c r="BB152" s="25">
        <f t="shared" si="6"/>
        <v>0</v>
      </c>
      <c r="BC152" s="25">
        <f t="shared" si="6"/>
        <v>0</v>
      </c>
      <c r="BD152" s="25">
        <f t="shared" si="6"/>
        <v>0</v>
      </c>
      <c r="BE152" s="25">
        <f t="shared" si="6"/>
        <v>0</v>
      </c>
      <c r="BF152" s="25">
        <f t="shared" si="6"/>
        <v>0</v>
      </c>
      <c r="CA152" s="16">
        <v>-9999</v>
      </c>
      <c r="CB152" s="16">
        <v>-9999</v>
      </c>
      <c r="CC152" s="16">
        <v>-9999</v>
      </c>
      <c r="CD152" s="16">
        <v>-9999</v>
      </c>
      <c r="CE152" s="16">
        <v>-9999</v>
      </c>
      <c r="CF152" s="16">
        <v>-9999</v>
      </c>
      <c r="CG152" s="16">
        <v>-9999</v>
      </c>
      <c r="CH152" s="16">
        <v>-9999</v>
      </c>
      <c r="CI152" s="16">
        <v>-9999</v>
      </c>
      <c r="CJ152" s="16">
        <v>-9999</v>
      </c>
      <c r="CK152" s="16">
        <v>-9999</v>
      </c>
      <c r="CL152" s="16">
        <v>-9999</v>
      </c>
      <c r="CM152" s="16">
        <v>-9999</v>
      </c>
      <c r="CN152" s="16">
        <v>-9999</v>
      </c>
      <c r="CO152" s="16">
        <v>-9999</v>
      </c>
      <c r="CP152" s="16">
        <v>-9999</v>
      </c>
      <c r="CQ152" s="16">
        <v>-9999</v>
      </c>
      <c r="CR152" s="16">
        <v>-9999</v>
      </c>
      <c r="CS152" s="16">
        <v>-9999</v>
      </c>
      <c r="CT152" s="16">
        <v>-9999</v>
      </c>
      <c r="CU152" s="16">
        <v>-9999</v>
      </c>
      <c r="CV152" s="16">
        <v>-9999</v>
      </c>
      <c r="CW152" s="16">
        <v>-9999</v>
      </c>
      <c r="CX152" s="16">
        <v>-9999</v>
      </c>
      <c r="CY152" s="16">
        <v>-9999</v>
      </c>
      <c r="CZ152" s="16">
        <v>-9999</v>
      </c>
      <c r="DA152" s="16">
        <v>-9999</v>
      </c>
      <c r="DB152" s="16">
        <v>-9999</v>
      </c>
      <c r="DC152" s="16">
        <v>-9999</v>
      </c>
      <c r="DD152" s="16">
        <v>-9999</v>
      </c>
      <c r="DE152" s="16">
        <v>-9999</v>
      </c>
      <c r="DF152" s="16">
        <v>-9999</v>
      </c>
      <c r="DG152" s="16">
        <v>-9999</v>
      </c>
      <c r="DH152" s="16">
        <v>-9999</v>
      </c>
      <c r="DI152" s="16">
        <v>-9999</v>
      </c>
      <c r="DJ152" s="16">
        <v>-9999</v>
      </c>
      <c r="DK152" s="16">
        <v>-9999</v>
      </c>
      <c r="DL152" s="16">
        <v>-9999</v>
      </c>
      <c r="DM152" s="16">
        <v>-9999</v>
      </c>
      <c r="DN152" s="16">
        <v>-9999</v>
      </c>
      <c r="DO152" s="16">
        <v>-9999</v>
      </c>
      <c r="DP152" s="16">
        <v>-9999</v>
      </c>
      <c r="DQ152" s="16">
        <v>-9999</v>
      </c>
      <c r="DR152" s="16">
        <v>-9999</v>
      </c>
      <c r="DS152" s="16">
        <v>-9999</v>
      </c>
      <c r="DT152" s="16">
        <v>-9999</v>
      </c>
      <c r="DU152" s="16">
        <v>-9999</v>
      </c>
      <c r="DV152" s="16">
        <v>-9999</v>
      </c>
      <c r="DW152" s="16">
        <v>-9999</v>
      </c>
      <c r="DX152" s="16">
        <v>-9999</v>
      </c>
      <c r="DY152" s="16">
        <v>-9999</v>
      </c>
      <c r="DZ152" s="16">
        <v>-9999</v>
      </c>
      <c r="EA152" s="2197">
        <v>-9999</v>
      </c>
      <c r="EB152" s="2197">
        <v>-9999</v>
      </c>
      <c r="EC152" s="2197">
        <v>-9999</v>
      </c>
      <c r="ED152" s="2197">
        <v>-9999</v>
      </c>
      <c r="EE152" s="2197">
        <v>-9999</v>
      </c>
      <c r="EF152" s="2197">
        <v>-9999</v>
      </c>
      <c r="EG152" s="2197">
        <v>-9999</v>
      </c>
      <c r="EH152" s="2197">
        <v>-9999</v>
      </c>
      <c r="EI152" s="2197">
        <v>-9999</v>
      </c>
      <c r="EJ152" s="2197">
        <v>-9999</v>
      </c>
      <c r="EK152" s="2197">
        <v>-9999</v>
      </c>
      <c r="EL152" s="2197">
        <v>-9999</v>
      </c>
      <c r="EM152" s="2197">
        <v>-9999</v>
      </c>
    </row>
    <row r="153" spans="1:143">
      <c r="A153" s="22">
        <v>53</v>
      </c>
      <c r="B153" s="30" t="s">
        <v>1705</v>
      </c>
      <c r="C153" s="25">
        <v>-9999</v>
      </c>
      <c r="D153" s="25">
        <v>-9999</v>
      </c>
      <c r="E153" s="25">
        <v>-9999</v>
      </c>
      <c r="F153" s="25">
        <v>-9999</v>
      </c>
      <c r="G153" s="25">
        <v>-9999</v>
      </c>
      <c r="H153" s="25">
        <v>-9999</v>
      </c>
      <c r="I153" s="25">
        <v>-9999</v>
      </c>
      <c r="J153" s="25">
        <v>-9999</v>
      </c>
      <c r="K153" s="25">
        <v>-9999</v>
      </c>
      <c r="L153" s="25">
        <v>-9999</v>
      </c>
      <c r="M153" s="25">
        <v>-9999</v>
      </c>
      <c r="N153" s="25">
        <v>-9999</v>
      </c>
      <c r="O153" s="25">
        <v>-9999</v>
      </c>
      <c r="P153" s="32"/>
      <c r="Q153"/>
      <c r="AA153" s="22">
        <v>53</v>
      </c>
      <c r="AB153" s="1040" t="str">
        <f t="shared" si="3"/>
        <v>FOR FUTURE USE</v>
      </c>
      <c r="AC153" s="1040">
        <f>CHOOSE(Tables!$U$2,Transfer!CA153,Transfer!CN153,Transfer!DA153,Transfer!DN153,Transfer!EA153)</f>
        <v>-9999</v>
      </c>
      <c r="AD153" s="1040">
        <f>CHOOSE(Tables!$U$2,Transfer!CB153,Transfer!CO153,Transfer!DB153,Transfer!DO153,Transfer!EB153)</f>
        <v>-9999</v>
      </c>
      <c r="AE153" s="1040">
        <f>CHOOSE(Tables!$U$2,Transfer!CC153,Transfer!CP153,Transfer!DC153,Transfer!DP153,Transfer!EC153)</f>
        <v>-9999</v>
      </c>
      <c r="AF153" s="1040">
        <f>CHOOSE(Tables!$U$2,Transfer!CD153,Transfer!CQ153,Transfer!DD153,Transfer!DQ153,Transfer!ED153)</f>
        <v>-9999</v>
      </c>
      <c r="AG153" s="1040">
        <f>CHOOSE(Tables!$U$2,Transfer!CE153,Transfer!CR153,Transfer!DE153,Transfer!DR153,Transfer!EE153)</f>
        <v>-9999</v>
      </c>
      <c r="AH153" s="1040">
        <f>CHOOSE(Tables!$U$2,Transfer!CF153,Transfer!CS153,Transfer!DF153,Transfer!DS153,Transfer!EF153)</f>
        <v>-9999</v>
      </c>
      <c r="AI153" s="1040">
        <f>CHOOSE(Tables!$U$2,Transfer!CG153,Transfer!CT153,Transfer!DG153,Transfer!DT153,Transfer!EG153)</f>
        <v>-9999</v>
      </c>
      <c r="AJ153" s="1040">
        <f>CHOOSE(Tables!$U$2,Transfer!CH153,Transfer!CU153,Transfer!DH153,Transfer!DU153,Transfer!EH153)</f>
        <v>-9999</v>
      </c>
      <c r="AK153" s="1040">
        <f>CHOOSE(Tables!$U$2,Transfer!CI153,Transfer!CV153,Transfer!DI153,Transfer!DV153,Transfer!EI153)</f>
        <v>-9999</v>
      </c>
      <c r="AL153" s="1040">
        <f>CHOOSE(Tables!$U$2,Transfer!CJ153,Transfer!CW153,Transfer!DJ153,Transfer!DW153,Transfer!EJ153)</f>
        <v>-9999</v>
      </c>
      <c r="AM153" s="1040">
        <f>CHOOSE(Tables!$U$2,Transfer!CK153,Transfer!CX153,Transfer!DK153,Transfer!DX153,Transfer!EK153)</f>
        <v>-9999</v>
      </c>
      <c r="AN153" s="1040">
        <f>CHOOSE(Tables!$U$2,Transfer!CL153,Transfer!CY153,Transfer!DL153,Transfer!DY153,Transfer!EL153)</f>
        <v>-9999</v>
      </c>
      <c r="AO153" s="1040">
        <f>CHOOSE(Tables!$U$2,Transfer!CM153,Transfer!CZ153,Transfer!DM153,Transfer!DZ153,Transfer!EM153)</f>
        <v>-9999</v>
      </c>
      <c r="AR153" s="22">
        <v>53</v>
      </c>
      <c r="AS153" s="30" t="s">
        <v>1705</v>
      </c>
      <c r="AT153" s="25">
        <f t="shared" si="6"/>
        <v>0</v>
      </c>
      <c r="AU153" s="25">
        <f t="shared" si="6"/>
        <v>0</v>
      </c>
      <c r="AV153" s="25">
        <f t="shared" si="6"/>
        <v>0</v>
      </c>
      <c r="AW153" s="25">
        <f t="shared" si="6"/>
        <v>0</v>
      </c>
      <c r="AX153" s="25">
        <f t="shared" si="6"/>
        <v>0</v>
      </c>
      <c r="AY153" s="25">
        <f t="shared" si="6"/>
        <v>0</v>
      </c>
      <c r="AZ153" s="25">
        <f t="shared" si="6"/>
        <v>0</v>
      </c>
      <c r="BA153" s="25">
        <f t="shared" si="6"/>
        <v>0</v>
      </c>
      <c r="BB153" s="25">
        <f t="shared" si="6"/>
        <v>0</v>
      </c>
      <c r="BC153" s="25">
        <f t="shared" si="6"/>
        <v>0</v>
      </c>
      <c r="BD153" s="25">
        <f t="shared" si="6"/>
        <v>0</v>
      </c>
      <c r="BE153" s="25">
        <f t="shared" si="6"/>
        <v>0</v>
      </c>
      <c r="BF153" s="25">
        <f t="shared" si="6"/>
        <v>0</v>
      </c>
      <c r="CA153" s="16">
        <v>-9999</v>
      </c>
      <c r="CB153" s="16">
        <v>-9999</v>
      </c>
      <c r="CC153" s="16">
        <v>-9999</v>
      </c>
      <c r="CD153" s="16">
        <v>-9999</v>
      </c>
      <c r="CE153" s="16">
        <v>-9999</v>
      </c>
      <c r="CF153" s="16">
        <v>-9999</v>
      </c>
      <c r="CG153" s="16">
        <v>-9999</v>
      </c>
      <c r="CH153" s="16">
        <v>-9999</v>
      </c>
      <c r="CI153" s="16">
        <v>-9999</v>
      </c>
      <c r="CJ153" s="16">
        <v>-9999</v>
      </c>
      <c r="CK153" s="16">
        <v>-9999</v>
      </c>
      <c r="CL153" s="16">
        <v>-9999</v>
      </c>
      <c r="CM153" s="16">
        <v>-9999</v>
      </c>
      <c r="CN153" s="16">
        <v>-9999</v>
      </c>
      <c r="CO153" s="16">
        <v>-9999</v>
      </c>
      <c r="CP153" s="16">
        <v>-9999</v>
      </c>
      <c r="CQ153" s="16">
        <v>-9999</v>
      </c>
      <c r="CR153" s="16">
        <v>-9999</v>
      </c>
      <c r="CS153" s="16">
        <v>-9999</v>
      </c>
      <c r="CT153" s="16">
        <v>-9999</v>
      </c>
      <c r="CU153" s="16">
        <v>-9999</v>
      </c>
      <c r="CV153" s="16">
        <v>-9999</v>
      </c>
      <c r="CW153" s="16">
        <v>-9999</v>
      </c>
      <c r="CX153" s="16">
        <v>-9999</v>
      </c>
      <c r="CY153" s="16">
        <v>-9999</v>
      </c>
      <c r="CZ153" s="16">
        <v>-9999</v>
      </c>
      <c r="DA153" s="16">
        <v>-9999</v>
      </c>
      <c r="DB153" s="16">
        <v>-9999</v>
      </c>
      <c r="DC153" s="16">
        <v>-9999</v>
      </c>
      <c r="DD153" s="16">
        <v>-9999</v>
      </c>
      <c r="DE153" s="16">
        <v>-9999</v>
      </c>
      <c r="DF153" s="16">
        <v>-9999</v>
      </c>
      <c r="DG153" s="16">
        <v>-9999</v>
      </c>
      <c r="DH153" s="16">
        <v>-9999</v>
      </c>
      <c r="DI153" s="16">
        <v>-9999</v>
      </c>
      <c r="DJ153" s="16">
        <v>-9999</v>
      </c>
      <c r="DK153" s="16">
        <v>-9999</v>
      </c>
      <c r="DL153" s="16">
        <v>-9999</v>
      </c>
      <c r="DM153" s="16">
        <v>-9999</v>
      </c>
      <c r="DN153" s="16">
        <v>-9999</v>
      </c>
      <c r="DO153" s="16">
        <v>-9999</v>
      </c>
      <c r="DP153" s="16">
        <v>-9999</v>
      </c>
      <c r="DQ153" s="16">
        <v>-9999</v>
      </c>
      <c r="DR153" s="16">
        <v>-9999</v>
      </c>
      <c r="DS153" s="16">
        <v>-9999</v>
      </c>
      <c r="DT153" s="16">
        <v>-9999</v>
      </c>
      <c r="DU153" s="16">
        <v>-9999</v>
      </c>
      <c r="DV153" s="16">
        <v>-9999</v>
      </c>
      <c r="DW153" s="16">
        <v>-9999</v>
      </c>
      <c r="DX153" s="16">
        <v>-9999</v>
      </c>
      <c r="DY153" s="16">
        <v>-9999</v>
      </c>
      <c r="DZ153" s="16">
        <v>-9999</v>
      </c>
      <c r="EA153" s="2197">
        <v>-9999</v>
      </c>
      <c r="EB153" s="2197">
        <v>-9999</v>
      </c>
      <c r="EC153" s="2197">
        <v>-9999</v>
      </c>
      <c r="ED153" s="2197">
        <v>-9999</v>
      </c>
      <c r="EE153" s="2197">
        <v>-9999</v>
      </c>
      <c r="EF153" s="2197">
        <v>-9999</v>
      </c>
      <c r="EG153" s="2197">
        <v>-9999</v>
      </c>
      <c r="EH153" s="2197">
        <v>-9999</v>
      </c>
      <c r="EI153" s="2197">
        <v>-9999</v>
      </c>
      <c r="EJ153" s="2197">
        <v>-9999</v>
      </c>
      <c r="EK153" s="2197">
        <v>-9999</v>
      </c>
      <c r="EL153" s="2197">
        <v>-9999</v>
      </c>
      <c r="EM153" s="2197">
        <v>-9999</v>
      </c>
    </row>
    <row r="154" spans="1:143">
      <c r="A154" s="22">
        <v>54</v>
      </c>
      <c r="B154" s="1" t="s">
        <v>598</v>
      </c>
      <c r="C154" s="24">
        <f ca="1">OFFSET('VVP2'!F363,0,Last_forecast_year - 3-InputY!$G$3)</f>
        <v>100</v>
      </c>
      <c r="D154" s="24">
        <f ca="1">OFFSET('VVP2'!G363,0,Last_forecast_year - 3-InputY!$G$3)</f>
        <v>100.678333333333</v>
      </c>
      <c r="E154" s="24">
        <f ca="1">OFFSET('VVP2'!H363,0,Last_forecast_year - 3-InputY!$G$3)</f>
        <v>104.42166666666699</v>
      </c>
      <c r="F154" s="24">
        <f ca="1">OFFSET('VVP2'!I363,0,Last_forecast_year - 3-InputY!$G$3)</f>
        <v>107.35539356801183</v>
      </c>
      <c r="G154" s="24">
        <f ca="1">OFFSET('VVP2'!J363,0,Last_forecast_year - 3-InputY!$G$3)</f>
        <v>109.87436434740141</v>
      </c>
      <c r="H154" s="25">
        <v>-9999</v>
      </c>
      <c r="I154" s="25">
        <v>-9999</v>
      </c>
      <c r="J154" s="25">
        <v>-9999</v>
      </c>
      <c r="K154" s="25">
        <v>-9999</v>
      </c>
      <c r="L154" s="25">
        <v>-9999</v>
      </c>
      <c r="M154" s="25">
        <v>-9999</v>
      </c>
      <c r="N154" s="25">
        <v>-9999</v>
      </c>
      <c r="O154" s="25">
        <v>-9999</v>
      </c>
      <c r="P154" s="32"/>
      <c r="Q154"/>
      <c r="AA154" s="22">
        <v>54</v>
      </c>
      <c r="AB154" s="1040" t="str">
        <f t="shared" si="3"/>
        <v>CONSUMER PRICE HARMONIZED INDEX</v>
      </c>
      <c r="AC154" s="1040">
        <f>CHOOSE(Tables!$U$2,Transfer!CA154,Transfer!CN154,Transfer!DA154,Transfer!DN154,Transfer!EA154)</f>
        <v>133.90166669999999</v>
      </c>
      <c r="AD154" s="1040">
        <f>CHOOSE(Tables!$U$2,Transfer!CB154,Transfer!CO154,Transfer!DB154,Transfer!DO154,Transfer!EB154)</f>
        <v>138.1416667</v>
      </c>
      <c r="AE154" s="1040">
        <f>CHOOSE(Tables!$U$2,Transfer!CC154,Transfer!CP154,Transfer!DC154,Transfer!DP154,Transfer!EC154)</f>
        <v>140.04446969338807</v>
      </c>
      <c r="AF154" s="1040">
        <f>CHOOSE(Tables!$U$2,Transfer!CD154,Transfer!CQ154,Transfer!DD154,Transfer!DQ154,Transfer!ED154)</f>
        <v>142.73870721160674</v>
      </c>
      <c r="AG154" s="1040">
        <f>CHOOSE(Tables!$U$2,Transfer!CE154,Transfer!CR154,Transfer!DE154,Transfer!DR154,Transfer!EE154)</f>
        <v>146.11780006304733</v>
      </c>
      <c r="AH154" s="1040">
        <f>CHOOSE(Tables!$U$2,Transfer!CF154,Transfer!CS154,Transfer!DF154,Transfer!DS154,Transfer!EF154)</f>
        <v>-9999</v>
      </c>
      <c r="AI154" s="1040">
        <f>CHOOSE(Tables!$U$2,Transfer!CG154,Transfer!CT154,Transfer!DG154,Transfer!DT154,Transfer!EG154)</f>
        <v>-9999</v>
      </c>
      <c r="AJ154" s="1040">
        <f>CHOOSE(Tables!$U$2,Transfer!CH154,Transfer!CU154,Transfer!DH154,Transfer!DU154,Transfer!EH154)</f>
        <v>-9999</v>
      </c>
      <c r="AK154" s="1040">
        <f>CHOOSE(Tables!$U$2,Transfer!CI154,Transfer!CV154,Transfer!DI154,Transfer!DV154,Transfer!EI154)</f>
        <v>-9999</v>
      </c>
      <c r="AL154" s="1040">
        <f>CHOOSE(Tables!$U$2,Transfer!CJ154,Transfer!CW154,Transfer!DJ154,Transfer!DW154,Transfer!EJ154)</f>
        <v>-9999</v>
      </c>
      <c r="AM154" s="1040">
        <f>CHOOSE(Tables!$U$2,Transfer!CK154,Transfer!CX154,Transfer!DK154,Transfer!DX154,Transfer!EK154)</f>
        <v>-9999</v>
      </c>
      <c r="AN154" s="1040">
        <f>CHOOSE(Tables!$U$2,Transfer!CL154,Transfer!CY154,Transfer!DL154,Transfer!DY154,Transfer!EL154)</f>
        <v>-9999</v>
      </c>
      <c r="AO154" s="1040">
        <f>CHOOSE(Tables!$U$2,Transfer!CM154,Transfer!CZ154,Transfer!DM154,Transfer!DZ154,Transfer!EM154)</f>
        <v>-9999</v>
      </c>
      <c r="AR154" s="22">
        <v>54</v>
      </c>
      <c r="AS154" s="1" t="s">
        <v>598</v>
      </c>
      <c r="AT154" s="24">
        <f t="shared" ca="1" si="6"/>
        <v>-33.901666699999993</v>
      </c>
      <c r="AU154" s="24">
        <f t="shared" ca="1" si="6"/>
        <v>-37.463333366667001</v>
      </c>
      <c r="AV154" s="24">
        <f t="shared" ca="1" si="6"/>
        <v>-35.622803026721073</v>
      </c>
      <c r="AW154" s="24">
        <f t="shared" ca="1" si="6"/>
        <v>-35.383313643594903</v>
      </c>
      <c r="AX154" s="24">
        <f t="shared" ca="1" si="6"/>
        <v>-36.243435715645916</v>
      </c>
      <c r="AY154" s="25">
        <f t="shared" si="6"/>
        <v>0</v>
      </c>
      <c r="AZ154" s="25">
        <f t="shared" si="6"/>
        <v>0</v>
      </c>
      <c r="BA154" s="25">
        <f t="shared" si="6"/>
        <v>0</v>
      </c>
      <c r="BB154" s="25">
        <f t="shared" si="6"/>
        <v>0</v>
      </c>
      <c r="BC154" s="25">
        <f t="shared" si="6"/>
        <v>0</v>
      </c>
      <c r="BD154" s="25">
        <f t="shared" si="6"/>
        <v>0</v>
      </c>
      <c r="BE154" s="25">
        <f t="shared" si="6"/>
        <v>0</v>
      </c>
      <c r="BF154" s="25">
        <f t="shared" si="6"/>
        <v>0</v>
      </c>
      <c r="CA154" s="16">
        <v>139.74666669999999</v>
      </c>
      <c r="CB154" s="16">
        <v>140.07144623472476</v>
      </c>
      <c r="CC154" s="16">
        <v>138.89972760345043</v>
      </c>
      <c r="CD154" s="16">
        <v>139.98595956040705</v>
      </c>
      <c r="CE154" s="16">
        <v>143.06512203544156</v>
      </c>
      <c r="CF154" s="16">
        <v>-9999</v>
      </c>
      <c r="CG154" s="16">
        <v>-9999</v>
      </c>
      <c r="CH154" s="16">
        <v>-9999</v>
      </c>
      <c r="CI154" s="16">
        <v>-9999</v>
      </c>
      <c r="CJ154" s="16">
        <v>-9999</v>
      </c>
      <c r="CK154" s="16">
        <v>-9999</v>
      </c>
      <c r="CL154" s="16">
        <v>-9999</v>
      </c>
      <c r="CM154" s="16">
        <v>-9999</v>
      </c>
      <c r="CN154" s="16">
        <v>138.1416667</v>
      </c>
      <c r="CO154" s="16">
        <v>139.74666669999999</v>
      </c>
      <c r="CP154" s="16">
        <v>140.07144623472476</v>
      </c>
      <c r="CQ154" s="16">
        <v>139.03431374668466</v>
      </c>
      <c r="CR154" s="16">
        <v>141.51183800479819</v>
      </c>
      <c r="CS154" s="16">
        <v>-9999</v>
      </c>
      <c r="CT154" s="16">
        <v>-9999</v>
      </c>
      <c r="CU154" s="16">
        <v>-9999</v>
      </c>
      <c r="CV154" s="16">
        <v>-9999</v>
      </c>
      <c r="CW154" s="16">
        <v>-9999</v>
      </c>
      <c r="CX154" s="16">
        <v>-9999</v>
      </c>
      <c r="CY154" s="16">
        <v>-9999</v>
      </c>
      <c r="CZ154" s="16">
        <v>-9999</v>
      </c>
      <c r="DA154" s="16">
        <v>139.74666669999999</v>
      </c>
      <c r="DB154" s="16">
        <v>140.07144623472476</v>
      </c>
      <c r="DC154" s="16">
        <v>139.55569641280368</v>
      </c>
      <c r="DD154" s="16">
        <v>141.98471107222684</v>
      </c>
      <c r="DE154" s="16">
        <v>144.3976914100941</v>
      </c>
      <c r="DF154" s="16">
        <v>-9999</v>
      </c>
      <c r="DG154" s="16">
        <v>-9999</v>
      </c>
      <c r="DH154" s="16">
        <v>-9999</v>
      </c>
      <c r="DI154" s="16">
        <v>-9999</v>
      </c>
      <c r="DJ154" s="16">
        <v>-9999</v>
      </c>
      <c r="DK154" s="16">
        <v>-9999</v>
      </c>
      <c r="DL154" s="16">
        <v>-9999</v>
      </c>
      <c r="DM154" s="16">
        <v>-9999</v>
      </c>
      <c r="DN154" s="16">
        <v>138.1416667</v>
      </c>
      <c r="DO154" s="16">
        <v>139.74666669999999</v>
      </c>
      <c r="DP154" s="16">
        <v>140.07144623472476</v>
      </c>
      <c r="DQ154" s="16">
        <v>139.51527318196725</v>
      </c>
      <c r="DR154" s="16">
        <v>142.03323129073405</v>
      </c>
      <c r="DS154" s="16">
        <v>-9999</v>
      </c>
      <c r="DT154" s="16">
        <v>-9999</v>
      </c>
      <c r="DU154" s="16">
        <v>-9999</v>
      </c>
      <c r="DV154" s="16">
        <v>-9999</v>
      </c>
      <c r="DW154" s="16">
        <v>-9999</v>
      </c>
      <c r="DX154" s="16">
        <v>-9999</v>
      </c>
      <c r="DY154" s="16">
        <v>-9999</v>
      </c>
      <c r="DZ154" s="16">
        <v>-9999</v>
      </c>
      <c r="EA154" s="2196">
        <v>133.90166669999999</v>
      </c>
      <c r="EB154" s="2196">
        <v>138.1416667</v>
      </c>
      <c r="EC154" s="2196">
        <v>140.04446969338807</v>
      </c>
      <c r="ED154" s="2196">
        <v>142.73870721160674</v>
      </c>
      <c r="EE154" s="2196">
        <v>146.11780006304733</v>
      </c>
      <c r="EF154" s="2197">
        <v>-9999</v>
      </c>
      <c r="EG154" s="2197">
        <v>-9999</v>
      </c>
      <c r="EH154" s="2197">
        <v>-9999</v>
      </c>
      <c r="EI154" s="2197">
        <v>-9999</v>
      </c>
      <c r="EJ154" s="2197">
        <v>-9999</v>
      </c>
      <c r="EK154" s="2197">
        <v>-9999</v>
      </c>
      <c r="EL154" s="2197">
        <v>-9999</v>
      </c>
      <c r="EM154" s="2197">
        <v>-9999</v>
      </c>
    </row>
    <row r="155" spans="1:143">
      <c r="A155" s="22">
        <v>55</v>
      </c>
      <c r="B155" s="1" t="s">
        <v>600</v>
      </c>
      <c r="C155" s="24">
        <f ca="1">OFFSET('VVP2'!F362,0,Last_forecast_year - 3-InputY!$G$3)</f>
        <v>138.53735019739733</v>
      </c>
      <c r="D155" s="24">
        <f ca="1">OFFSET('VVP2'!G362,0,Last_forecast_year - 3-InputY!$G$3)</f>
        <v>139.79183576338338</v>
      </c>
      <c r="E155" s="24">
        <f ca="1">OFFSET('VVP2'!H362,0,Last_forecast_year - 3-InputY!$G$3)</f>
        <v>144.99068628199879</v>
      </c>
      <c r="F155" s="24">
        <f ca="1">OFFSET('VVP2'!I362,0,Last_forecast_year - 3-InputY!$G$3)</f>
        <v>149.06419985794838</v>
      </c>
      <c r="G155" s="24">
        <f ca="1">OFFSET('VVP2'!J362,0,Last_forecast_year - 3-InputY!$G$3)</f>
        <v>152.56181978383856</v>
      </c>
      <c r="H155" s="25">
        <v>-9999</v>
      </c>
      <c r="I155" s="25">
        <v>-9999</v>
      </c>
      <c r="J155" s="25">
        <v>-9999</v>
      </c>
      <c r="K155" s="25">
        <v>-9999</v>
      </c>
      <c r="L155" s="25">
        <v>-9999</v>
      </c>
      <c r="M155" s="25">
        <v>-9999</v>
      </c>
      <c r="N155" s="25">
        <v>-9999</v>
      </c>
      <c r="O155" s="25">
        <v>-9999</v>
      </c>
      <c r="P155" s="32"/>
      <c r="Q155"/>
      <c r="AA155" s="22">
        <v>55</v>
      </c>
      <c r="AB155" s="1040" t="str">
        <f t="shared" si="3"/>
        <v>CONSUMER PRICE GENERAL INDEX</v>
      </c>
      <c r="AC155" s="1040">
        <f>CHOOSE(Tables!$U$2,Transfer!CA155,Transfer!CN155,Transfer!DA155,Transfer!DN155,Transfer!EA155)</f>
        <v>134.08896099481768</v>
      </c>
      <c r="AD155" s="1040">
        <f>CHOOSE(Tables!$U$2,Transfer!CB155,Transfer!CO155,Transfer!DB155,Transfer!DO155,Transfer!EB155)</f>
        <v>138.24571878565703</v>
      </c>
      <c r="AE155" s="1040">
        <f>CHOOSE(Tables!$U$2,Transfer!CC155,Transfer!CP155,Transfer!DC155,Transfer!DP155,Transfer!EC155)</f>
        <v>140.1499550223582</v>
      </c>
      <c r="AF155" s="1040">
        <f>CHOOSE(Tables!$U$2,Transfer!CD155,Transfer!CQ155,Transfer!DD155,Transfer!DQ155,Transfer!ED155)</f>
        <v>142.84622191404341</v>
      </c>
      <c r="AG155" s="1040">
        <f>CHOOSE(Tables!$U$2,Transfer!CE155,Transfer!CR155,Transfer!DE155,Transfer!DR155,Transfer!EE155)</f>
        <v>146.22785999073878</v>
      </c>
      <c r="AH155" s="1040">
        <f>CHOOSE(Tables!$U$2,Transfer!CF155,Transfer!CS155,Transfer!DF155,Transfer!DS155,Transfer!EF155)</f>
        <v>-9999</v>
      </c>
      <c r="AI155" s="1040">
        <f>CHOOSE(Tables!$U$2,Transfer!CG155,Transfer!CT155,Transfer!DG155,Transfer!DT155,Transfer!EG155)</f>
        <v>-9999</v>
      </c>
      <c r="AJ155" s="1040">
        <f>CHOOSE(Tables!$U$2,Transfer!CH155,Transfer!CU155,Transfer!DH155,Transfer!DU155,Transfer!EH155)</f>
        <v>-9999</v>
      </c>
      <c r="AK155" s="1040">
        <f>CHOOSE(Tables!$U$2,Transfer!CI155,Transfer!CV155,Transfer!DI155,Transfer!DV155,Transfer!EI155)</f>
        <v>-9999</v>
      </c>
      <c r="AL155" s="1040">
        <f>CHOOSE(Tables!$U$2,Transfer!CJ155,Transfer!CW155,Transfer!DJ155,Transfer!DW155,Transfer!EJ155)</f>
        <v>-9999</v>
      </c>
      <c r="AM155" s="1040">
        <f>CHOOSE(Tables!$U$2,Transfer!CK155,Transfer!CX155,Transfer!DK155,Transfer!DX155,Transfer!EK155)</f>
        <v>-9999</v>
      </c>
      <c r="AN155" s="1040">
        <f>CHOOSE(Tables!$U$2,Transfer!CL155,Transfer!CY155,Transfer!DL155,Transfer!DY155,Transfer!EL155)</f>
        <v>-9999</v>
      </c>
      <c r="AO155" s="1040">
        <f>CHOOSE(Tables!$U$2,Transfer!CM155,Transfer!CZ155,Transfer!DM155,Transfer!DZ155,Transfer!EM155)</f>
        <v>-9999</v>
      </c>
      <c r="AR155" s="22">
        <v>55</v>
      </c>
      <c r="AS155" s="1" t="s">
        <v>600</v>
      </c>
      <c r="AT155" s="24">
        <f t="shared" ca="1" si="6"/>
        <v>4.4483892025796479</v>
      </c>
      <c r="AU155" s="24">
        <f t="shared" ca="1" si="6"/>
        <v>1.5461169777263422</v>
      </c>
      <c r="AV155" s="24">
        <f t="shared" ca="1" si="6"/>
        <v>4.8407312596405916</v>
      </c>
      <c r="AW155" s="24">
        <f t="shared" ca="1" si="6"/>
        <v>6.2179779439049696</v>
      </c>
      <c r="AX155" s="24">
        <f t="shared" ca="1" si="6"/>
        <v>6.3339597930997797</v>
      </c>
      <c r="AY155" s="25">
        <f t="shared" si="6"/>
        <v>0</v>
      </c>
      <c r="AZ155" s="25">
        <f t="shared" si="6"/>
        <v>0</v>
      </c>
      <c r="BA155" s="25">
        <f t="shared" si="6"/>
        <v>0</v>
      </c>
      <c r="BB155" s="25">
        <f t="shared" si="6"/>
        <v>0</v>
      </c>
      <c r="BC155" s="25">
        <f t="shared" si="6"/>
        <v>0</v>
      </c>
      <c r="BD155" s="25">
        <f t="shared" si="6"/>
        <v>0</v>
      </c>
      <c r="BE155" s="25">
        <f t="shared" si="6"/>
        <v>0</v>
      </c>
      <c r="BF155" s="25">
        <f t="shared" si="6"/>
        <v>0</v>
      </c>
      <c r="CA155" s="16">
        <v>139.6281759634702</v>
      </c>
      <c r="CB155" s="16">
        <v>139.95268011870155</v>
      </c>
      <c r="CC155" s="16">
        <v>138.7819549837796</v>
      </c>
      <c r="CD155" s="16">
        <v>139.86726592825227</v>
      </c>
      <c r="CE155" s="16">
        <v>142.94381759160748</v>
      </c>
      <c r="CF155" s="16">
        <v>-9999</v>
      </c>
      <c r="CG155" s="16">
        <v>-9999</v>
      </c>
      <c r="CH155" s="16">
        <v>-9999</v>
      </c>
      <c r="CI155" s="16">
        <v>-9999</v>
      </c>
      <c r="CJ155" s="16">
        <v>-9999</v>
      </c>
      <c r="CK155" s="16">
        <v>-9999</v>
      </c>
      <c r="CL155" s="16">
        <v>-9999</v>
      </c>
      <c r="CM155" s="16">
        <v>-9999</v>
      </c>
      <c r="CN155" s="16">
        <v>138.24571877571375</v>
      </c>
      <c r="CO155" s="16">
        <v>139.6281759634702</v>
      </c>
      <c r="CP155" s="16">
        <v>139.95268011870155</v>
      </c>
      <c r="CQ155" s="16">
        <v>138.91642701186808</v>
      </c>
      <c r="CR155" s="16">
        <v>141.39185058535674</v>
      </c>
      <c r="CS155" s="16">
        <v>-9999</v>
      </c>
      <c r="CT155" s="16">
        <v>-9999</v>
      </c>
      <c r="CU155" s="16">
        <v>-9999</v>
      </c>
      <c r="CV155" s="16">
        <v>-9999</v>
      </c>
      <c r="CW155" s="16">
        <v>-9999</v>
      </c>
      <c r="CX155" s="16">
        <v>-9999</v>
      </c>
      <c r="CY155" s="16">
        <v>-9999</v>
      </c>
      <c r="CZ155" s="16">
        <v>-9999</v>
      </c>
      <c r="DA155" s="16">
        <v>139.6281759634702</v>
      </c>
      <c r="DB155" s="16">
        <v>139.95268011870155</v>
      </c>
      <c r="DC155" s="16">
        <v>139.43736759934882</v>
      </c>
      <c r="DD155" s="16">
        <v>141.86432270527541</v>
      </c>
      <c r="DE155" s="16">
        <v>144.27525708509432</v>
      </c>
      <c r="DF155" s="16">
        <v>-9999</v>
      </c>
      <c r="DG155" s="16">
        <v>-9999</v>
      </c>
      <c r="DH155" s="16">
        <v>-9999</v>
      </c>
      <c r="DI155" s="16">
        <v>-9999</v>
      </c>
      <c r="DJ155" s="16">
        <v>-9999</v>
      </c>
      <c r="DK155" s="16">
        <v>-9999</v>
      </c>
      <c r="DL155" s="16">
        <v>-9999</v>
      </c>
      <c r="DM155" s="16">
        <v>-9999</v>
      </c>
      <c r="DN155" s="16">
        <v>138.24571877571375</v>
      </c>
      <c r="DO155" s="16">
        <v>139.6281759634702</v>
      </c>
      <c r="DP155" s="16">
        <v>139.95268011870155</v>
      </c>
      <c r="DQ155" s="16">
        <v>139.39697864323611</v>
      </c>
      <c r="DR155" s="16">
        <v>141.9128017836498</v>
      </c>
      <c r="DS155" s="16">
        <v>-9999</v>
      </c>
      <c r="DT155" s="16">
        <v>-9999</v>
      </c>
      <c r="DU155" s="16">
        <v>-9999</v>
      </c>
      <c r="DV155" s="16">
        <v>-9999</v>
      </c>
      <c r="DW155" s="16">
        <v>-9999</v>
      </c>
      <c r="DX155" s="16">
        <v>-9999</v>
      </c>
      <c r="DY155" s="16">
        <v>-9999</v>
      </c>
      <c r="DZ155" s="16">
        <v>-9999</v>
      </c>
      <c r="EA155" s="2196">
        <v>134.08896099481768</v>
      </c>
      <c r="EB155" s="2196">
        <v>138.24571878565703</v>
      </c>
      <c r="EC155" s="2196">
        <v>140.1499550223582</v>
      </c>
      <c r="ED155" s="2196">
        <v>142.84622191404341</v>
      </c>
      <c r="EE155" s="2196">
        <v>146.22785999073878</v>
      </c>
      <c r="EF155" s="2197">
        <v>-9999</v>
      </c>
      <c r="EG155" s="2197">
        <v>-9999</v>
      </c>
      <c r="EH155" s="2197">
        <v>-9999</v>
      </c>
      <c r="EI155" s="2197">
        <v>-9999</v>
      </c>
      <c r="EJ155" s="2197">
        <v>-9999</v>
      </c>
      <c r="EK155" s="2197">
        <v>-9999</v>
      </c>
      <c r="EL155" s="2197">
        <v>-9999</v>
      </c>
      <c r="EM155" s="2197">
        <v>-9999</v>
      </c>
    </row>
    <row r="156" spans="1:143">
      <c r="A156" s="22">
        <v>56</v>
      </c>
      <c r="B156" s="30" t="s">
        <v>1705</v>
      </c>
      <c r="C156" s="25">
        <v>-9999</v>
      </c>
      <c r="D156" s="25">
        <v>-9999</v>
      </c>
      <c r="E156" s="25">
        <v>-9999</v>
      </c>
      <c r="F156" s="25">
        <v>-9999</v>
      </c>
      <c r="G156" s="25">
        <v>-9999</v>
      </c>
      <c r="H156" s="25">
        <v>-9999</v>
      </c>
      <c r="I156" s="25">
        <v>-9999</v>
      </c>
      <c r="J156" s="25">
        <v>-9999</v>
      </c>
      <c r="K156" s="25">
        <v>-9999</v>
      </c>
      <c r="L156" s="25">
        <v>-9999</v>
      </c>
      <c r="M156" s="25">
        <v>-9999</v>
      </c>
      <c r="N156" s="25">
        <v>-9999</v>
      </c>
      <c r="O156" s="25">
        <v>-9999</v>
      </c>
      <c r="P156" s="32"/>
      <c r="Q156"/>
      <c r="AA156" s="22">
        <v>56</v>
      </c>
      <c r="AB156" s="1040" t="str">
        <f t="shared" si="3"/>
        <v>FOR FUTURE USE</v>
      </c>
      <c r="AC156" s="1040">
        <f>CHOOSE(Tables!$U$2,Transfer!CA156,Transfer!CN156,Transfer!DA156,Transfer!DN156,Transfer!EA156)</f>
        <v>-9999</v>
      </c>
      <c r="AD156" s="1040">
        <f>CHOOSE(Tables!$U$2,Transfer!CB156,Transfer!CO156,Transfer!DB156,Transfer!DO156,Transfer!EB156)</f>
        <v>-9999</v>
      </c>
      <c r="AE156" s="1040">
        <f>CHOOSE(Tables!$U$2,Transfer!CC156,Transfer!CP156,Transfer!DC156,Transfer!DP156,Transfer!EC156)</f>
        <v>-9999</v>
      </c>
      <c r="AF156" s="1040">
        <f>CHOOSE(Tables!$U$2,Transfer!CD156,Transfer!CQ156,Transfer!DD156,Transfer!DQ156,Transfer!ED156)</f>
        <v>-9999</v>
      </c>
      <c r="AG156" s="1040">
        <f>CHOOSE(Tables!$U$2,Transfer!CE156,Transfer!CR156,Transfer!DE156,Transfer!DR156,Transfer!EE156)</f>
        <v>-9999</v>
      </c>
      <c r="AH156" s="1040">
        <f>CHOOSE(Tables!$U$2,Transfer!CF156,Transfer!CS156,Transfer!DF156,Transfer!DS156,Transfer!EF156)</f>
        <v>-9999</v>
      </c>
      <c r="AI156" s="1040">
        <f>CHOOSE(Tables!$U$2,Transfer!CG156,Transfer!CT156,Transfer!DG156,Transfer!DT156,Transfer!EG156)</f>
        <v>-9999</v>
      </c>
      <c r="AJ156" s="1040">
        <f>CHOOSE(Tables!$U$2,Transfer!CH156,Transfer!CU156,Transfer!DH156,Transfer!DU156,Transfer!EH156)</f>
        <v>-9999</v>
      </c>
      <c r="AK156" s="1040">
        <f>CHOOSE(Tables!$U$2,Transfer!CI156,Transfer!CV156,Transfer!DI156,Transfer!DV156,Transfer!EI156)</f>
        <v>-9999</v>
      </c>
      <c r="AL156" s="1040">
        <f>CHOOSE(Tables!$U$2,Transfer!CJ156,Transfer!CW156,Transfer!DJ156,Transfer!DW156,Transfer!EJ156)</f>
        <v>-9999</v>
      </c>
      <c r="AM156" s="1040">
        <f>CHOOSE(Tables!$U$2,Transfer!CK156,Transfer!CX156,Transfer!DK156,Transfer!DX156,Transfer!EK156)</f>
        <v>-9999</v>
      </c>
      <c r="AN156" s="1040">
        <f>CHOOSE(Tables!$U$2,Transfer!CL156,Transfer!CY156,Transfer!DL156,Transfer!DY156,Transfer!EL156)</f>
        <v>-9999</v>
      </c>
      <c r="AO156" s="1040">
        <f>CHOOSE(Tables!$U$2,Transfer!CM156,Transfer!CZ156,Transfer!DM156,Transfer!DZ156,Transfer!EM156)</f>
        <v>-9999</v>
      </c>
      <c r="AR156" s="22">
        <v>56</v>
      </c>
      <c r="AS156" s="30" t="s">
        <v>1705</v>
      </c>
      <c r="AT156" s="25">
        <f t="shared" si="6"/>
        <v>0</v>
      </c>
      <c r="AU156" s="25">
        <f t="shared" si="6"/>
        <v>0</v>
      </c>
      <c r="AV156" s="25">
        <f t="shared" si="6"/>
        <v>0</v>
      </c>
      <c r="AW156" s="25">
        <f t="shared" si="6"/>
        <v>0</v>
      </c>
      <c r="AX156" s="25">
        <f t="shared" si="6"/>
        <v>0</v>
      </c>
      <c r="AY156" s="25">
        <f t="shared" si="6"/>
        <v>0</v>
      </c>
      <c r="AZ156" s="25">
        <f t="shared" si="6"/>
        <v>0</v>
      </c>
      <c r="BA156" s="25">
        <f t="shared" si="6"/>
        <v>0</v>
      </c>
      <c r="BB156" s="25">
        <f t="shared" si="6"/>
        <v>0</v>
      </c>
      <c r="BC156" s="25">
        <f t="shared" si="6"/>
        <v>0</v>
      </c>
      <c r="BD156" s="25">
        <f t="shared" si="6"/>
        <v>0</v>
      </c>
      <c r="BE156" s="25">
        <f t="shared" si="6"/>
        <v>0</v>
      </c>
      <c r="BF156" s="25">
        <f t="shared" si="6"/>
        <v>0</v>
      </c>
      <c r="CA156" s="16">
        <v>-9999</v>
      </c>
      <c r="CB156" s="16">
        <v>-9999</v>
      </c>
      <c r="CC156" s="16">
        <v>-9999</v>
      </c>
      <c r="CD156" s="16">
        <v>-9999</v>
      </c>
      <c r="CE156" s="16">
        <v>-9999</v>
      </c>
      <c r="CF156" s="16">
        <v>-9999</v>
      </c>
      <c r="CG156" s="16">
        <v>-9999</v>
      </c>
      <c r="CH156" s="16">
        <v>-9999</v>
      </c>
      <c r="CI156" s="16">
        <v>-9999</v>
      </c>
      <c r="CJ156" s="16">
        <v>-9999</v>
      </c>
      <c r="CK156" s="16">
        <v>-9999</v>
      </c>
      <c r="CL156" s="16">
        <v>-9999</v>
      </c>
      <c r="CM156" s="16">
        <v>-9999</v>
      </c>
      <c r="CN156" s="16">
        <v>-9999</v>
      </c>
      <c r="CO156" s="16">
        <v>-9999</v>
      </c>
      <c r="CP156" s="16">
        <v>-9999</v>
      </c>
      <c r="CQ156" s="16">
        <v>-9999</v>
      </c>
      <c r="CR156" s="16">
        <v>-9999</v>
      </c>
      <c r="CS156" s="16">
        <v>-9999</v>
      </c>
      <c r="CT156" s="16">
        <v>-9999</v>
      </c>
      <c r="CU156" s="16">
        <v>-9999</v>
      </c>
      <c r="CV156" s="16">
        <v>-9999</v>
      </c>
      <c r="CW156" s="16">
        <v>-9999</v>
      </c>
      <c r="CX156" s="16">
        <v>-9999</v>
      </c>
      <c r="CY156" s="16">
        <v>-9999</v>
      </c>
      <c r="CZ156" s="16">
        <v>-9999</v>
      </c>
      <c r="DA156" s="16">
        <v>-9999</v>
      </c>
      <c r="DB156" s="16">
        <v>-9999</v>
      </c>
      <c r="DC156" s="16">
        <v>-9999</v>
      </c>
      <c r="DD156" s="16">
        <v>-9999</v>
      </c>
      <c r="DE156" s="16">
        <v>-9999</v>
      </c>
      <c r="DF156" s="16">
        <v>-9999</v>
      </c>
      <c r="DG156" s="16">
        <v>-9999</v>
      </c>
      <c r="DH156" s="16">
        <v>-9999</v>
      </c>
      <c r="DI156" s="16">
        <v>-9999</v>
      </c>
      <c r="DJ156" s="16">
        <v>-9999</v>
      </c>
      <c r="DK156" s="16">
        <v>-9999</v>
      </c>
      <c r="DL156" s="16">
        <v>-9999</v>
      </c>
      <c r="DM156" s="16">
        <v>-9999</v>
      </c>
      <c r="DN156" s="16">
        <v>-9999</v>
      </c>
      <c r="DO156" s="16">
        <v>-9999</v>
      </c>
      <c r="DP156" s="16">
        <v>-9999</v>
      </c>
      <c r="DQ156" s="16">
        <v>-9999</v>
      </c>
      <c r="DR156" s="16">
        <v>-9999</v>
      </c>
      <c r="DS156" s="16">
        <v>-9999</v>
      </c>
      <c r="DT156" s="16">
        <v>-9999</v>
      </c>
      <c r="DU156" s="16">
        <v>-9999</v>
      </c>
      <c r="DV156" s="16">
        <v>-9999</v>
      </c>
      <c r="DW156" s="16">
        <v>-9999</v>
      </c>
      <c r="DX156" s="16">
        <v>-9999</v>
      </c>
      <c r="DY156" s="16">
        <v>-9999</v>
      </c>
      <c r="DZ156" s="16">
        <v>-9999</v>
      </c>
      <c r="EA156" s="2197">
        <v>-9999</v>
      </c>
      <c r="EB156" s="2197">
        <v>-9999</v>
      </c>
      <c r="EC156" s="2197">
        <v>-9999</v>
      </c>
      <c r="ED156" s="2197">
        <v>-9999</v>
      </c>
      <c r="EE156" s="2197">
        <v>-9999</v>
      </c>
      <c r="EF156" s="2197">
        <v>-9999</v>
      </c>
      <c r="EG156" s="2197">
        <v>-9999</v>
      </c>
      <c r="EH156" s="2197">
        <v>-9999</v>
      </c>
      <c r="EI156" s="2197">
        <v>-9999</v>
      </c>
      <c r="EJ156" s="2197">
        <v>-9999</v>
      </c>
      <c r="EK156" s="2197">
        <v>-9999</v>
      </c>
      <c r="EL156" s="2197">
        <v>-9999</v>
      </c>
      <c r="EM156" s="2197">
        <v>-9999</v>
      </c>
    </row>
    <row r="157" spans="1:143">
      <c r="A157" s="22">
        <v>57</v>
      </c>
      <c r="B157" s="1" t="s">
        <v>509</v>
      </c>
      <c r="C157" s="24">
        <f ca="1">OFFSET(Sector1!F88,0,Last_forecast_year - 3-InputY!$G$3)</f>
        <v>33.709150000000001</v>
      </c>
      <c r="D157" s="24">
        <f ca="1">OFFSET(Sector1!G88,0,Last_forecast_year - 3-InputY!$G$3)</f>
        <v>34.789370000000005</v>
      </c>
      <c r="E157" s="24">
        <f ca="1">OFFSET(Sector1!H88,0,Last_forecast_year - 3-InputY!$G$3)</f>
        <v>37.589730000000003</v>
      </c>
      <c r="F157" s="24">
        <f ca="1">OFFSET(Sector1!I88,0,Last_forecast_year - 3-InputY!$G$3)</f>
        <v>39.653234851938059</v>
      </c>
      <c r="G157" s="24">
        <f ca="1">OFFSET(Sector1!J88,0,Last_forecast_year - 3-InputY!$G$3)</f>
        <v>41.851347096832214</v>
      </c>
      <c r="H157" s="25">
        <v>-9999</v>
      </c>
      <c r="I157" s="25">
        <v>-9999</v>
      </c>
      <c r="J157" s="25">
        <v>-9999</v>
      </c>
      <c r="K157" s="25">
        <v>-9999</v>
      </c>
      <c r="L157" s="25">
        <v>-9999</v>
      </c>
      <c r="M157" s="25">
        <v>-9999</v>
      </c>
      <c r="N157" s="25">
        <v>-9999</v>
      </c>
      <c r="O157" s="25">
        <v>-9999</v>
      </c>
      <c r="P157" s="32"/>
      <c r="Q157"/>
      <c r="AA157" s="22">
        <v>57</v>
      </c>
      <c r="AB157" s="1040" t="str">
        <f t="shared" si="3"/>
        <v>VAL GROSS VALUE ADDED</v>
      </c>
      <c r="AC157" s="1040">
        <f>CHOOSE(Tables!$U$2,Transfer!CA157,Transfer!CN157,Transfer!DA157,Transfer!DN157,Transfer!EA157)</f>
        <v>96.066119999999998</v>
      </c>
      <c r="AD157" s="1040">
        <f>CHOOSE(Tables!$U$2,Transfer!CB157,Transfer!CO157,Transfer!DB157,Transfer!DO157,Transfer!EB157)</f>
        <v>102.67786</v>
      </c>
      <c r="AE157" s="1040">
        <f>CHOOSE(Tables!$U$2,Transfer!CC157,Transfer!CP157,Transfer!DC157,Transfer!DP157,Transfer!EC157)</f>
        <v>108.93840853946915</v>
      </c>
      <c r="AF157" s="1040">
        <f>CHOOSE(Tables!$U$2,Transfer!CD157,Transfer!CQ157,Transfer!DD157,Transfer!DQ157,Transfer!ED157)</f>
        <v>115.86928976574127</v>
      </c>
      <c r="AG157" s="1040">
        <f>CHOOSE(Tables!$U$2,Transfer!CE157,Transfer!CR157,Transfer!DE157,Transfer!DR157,Transfer!EE157)</f>
        <v>123.85880512209535</v>
      </c>
      <c r="AH157" s="1040">
        <f>CHOOSE(Tables!$U$2,Transfer!CF157,Transfer!CS157,Transfer!DF157,Transfer!DS157,Transfer!EF157)</f>
        <v>-9999</v>
      </c>
      <c r="AI157" s="1040">
        <f>CHOOSE(Tables!$U$2,Transfer!CG157,Transfer!CT157,Transfer!DG157,Transfer!DT157,Transfer!EG157)</f>
        <v>-9999</v>
      </c>
      <c r="AJ157" s="1040">
        <f>CHOOSE(Tables!$U$2,Transfer!CH157,Transfer!CU157,Transfer!DH157,Transfer!DU157,Transfer!EH157)</f>
        <v>-9999</v>
      </c>
      <c r="AK157" s="1040">
        <f>CHOOSE(Tables!$U$2,Transfer!CI157,Transfer!CV157,Transfer!DI157,Transfer!DV157,Transfer!EI157)</f>
        <v>-9999</v>
      </c>
      <c r="AL157" s="1040">
        <f>CHOOSE(Tables!$U$2,Transfer!CJ157,Transfer!CW157,Transfer!DJ157,Transfer!DW157,Transfer!EJ157)</f>
        <v>-9999</v>
      </c>
      <c r="AM157" s="1040">
        <f>CHOOSE(Tables!$U$2,Transfer!CK157,Transfer!CX157,Transfer!DK157,Transfer!DX157,Transfer!EK157)</f>
        <v>-9999</v>
      </c>
      <c r="AN157" s="1040">
        <f>CHOOSE(Tables!$U$2,Transfer!CL157,Transfer!CY157,Transfer!DL157,Transfer!DY157,Transfer!EL157)</f>
        <v>-9999</v>
      </c>
      <c r="AO157" s="1040">
        <f>CHOOSE(Tables!$U$2,Transfer!CM157,Transfer!CZ157,Transfer!DM157,Transfer!DZ157,Transfer!EM157)</f>
        <v>-9999</v>
      </c>
      <c r="AR157" s="22">
        <v>57</v>
      </c>
      <c r="AS157" s="1" t="s">
        <v>509</v>
      </c>
      <c r="AT157" s="24">
        <f t="shared" ca="1" si="6"/>
        <v>-62.356969999999997</v>
      </c>
      <c r="AU157" s="24">
        <f t="shared" ca="1" si="6"/>
        <v>-67.88848999999999</v>
      </c>
      <c r="AV157" s="24">
        <f t="shared" ca="1" si="6"/>
        <v>-71.348678539469148</v>
      </c>
      <c r="AW157" s="24">
        <f t="shared" ca="1" si="6"/>
        <v>-76.21605491380322</v>
      </c>
      <c r="AX157" s="24">
        <f t="shared" ca="1" si="6"/>
        <v>-82.007458025263134</v>
      </c>
      <c r="AY157" s="25">
        <f t="shared" si="6"/>
        <v>0</v>
      </c>
      <c r="AZ157" s="25">
        <f t="shared" si="6"/>
        <v>0</v>
      </c>
      <c r="BA157" s="25">
        <f t="shared" si="6"/>
        <v>0</v>
      </c>
      <c r="BB157" s="25">
        <f t="shared" si="6"/>
        <v>0</v>
      </c>
      <c r="BC157" s="25">
        <f t="shared" si="6"/>
        <v>0</v>
      </c>
      <c r="BD157" s="25">
        <f t="shared" si="6"/>
        <v>0</v>
      </c>
      <c r="BE157" s="25">
        <f t="shared" si="6"/>
        <v>0</v>
      </c>
      <c r="BF157" s="25">
        <f t="shared" si="6"/>
        <v>0</v>
      </c>
      <c r="CA157" s="16">
        <v>31.653599999999997</v>
      </c>
      <c r="CB157" s="16">
        <v>32.911749999999998</v>
      </c>
      <c r="CC157" s="16">
        <v>33.169664756349668</v>
      </c>
      <c r="CD157" s="16">
        <v>34.417247113236002</v>
      </c>
      <c r="CE157" s="16">
        <v>36.572100978202762</v>
      </c>
      <c r="CF157" s="16">
        <v>-9999</v>
      </c>
      <c r="CG157" s="16">
        <v>-9999</v>
      </c>
      <c r="CH157" s="16">
        <v>-9999</v>
      </c>
      <c r="CI157" s="16">
        <v>-9999</v>
      </c>
      <c r="CJ157" s="16">
        <v>-9999</v>
      </c>
      <c r="CK157" s="16">
        <v>-9999</v>
      </c>
      <c r="CL157" s="16">
        <v>-9999</v>
      </c>
      <c r="CM157" s="16">
        <v>-9999</v>
      </c>
      <c r="CN157" s="16">
        <v>30.132390000000001</v>
      </c>
      <c r="CO157" s="16">
        <v>31.648580000000003</v>
      </c>
      <c r="CP157" s="16">
        <v>33.075923597439619</v>
      </c>
      <c r="CQ157" s="16">
        <v>34.777239925302574</v>
      </c>
      <c r="CR157" s="16">
        <v>36.553311975585643</v>
      </c>
      <c r="CS157" s="16">
        <v>-9999</v>
      </c>
      <c r="CT157" s="16">
        <v>-9999</v>
      </c>
      <c r="CU157" s="16">
        <v>-9999</v>
      </c>
      <c r="CV157" s="16">
        <v>-9999</v>
      </c>
      <c r="CW157" s="16">
        <v>-9999</v>
      </c>
      <c r="CX157" s="16">
        <v>-9999</v>
      </c>
      <c r="CY157" s="16">
        <v>-9999</v>
      </c>
      <c r="CZ157" s="16">
        <v>-9999</v>
      </c>
      <c r="DA157" s="16">
        <v>31.648580000000003</v>
      </c>
      <c r="DB157" s="16">
        <v>32.776330000000002</v>
      </c>
      <c r="DC157" s="16">
        <v>33.619456453489946</v>
      </c>
      <c r="DD157" s="16">
        <v>35.204286720441907</v>
      </c>
      <c r="DE157" s="16">
        <v>37.007628042536084</v>
      </c>
      <c r="DF157" s="16">
        <v>-9999</v>
      </c>
      <c r="DG157" s="16">
        <v>-9999</v>
      </c>
      <c r="DH157" s="16">
        <v>-9999</v>
      </c>
      <c r="DI157" s="16">
        <v>-9999</v>
      </c>
      <c r="DJ157" s="16">
        <v>-9999</v>
      </c>
      <c r="DK157" s="16">
        <v>-9999</v>
      </c>
      <c r="DL157" s="16">
        <v>-9999</v>
      </c>
      <c r="DM157" s="16">
        <v>-9999</v>
      </c>
      <c r="DN157" s="16">
        <v>30.132390000000001</v>
      </c>
      <c r="DO157" s="16">
        <v>31.648580000000003</v>
      </c>
      <c r="DP157" s="16">
        <v>32.694540000000003</v>
      </c>
      <c r="DQ157" s="16">
        <v>34.878802010504721</v>
      </c>
      <c r="DR157" s="16">
        <v>36.629882200184518</v>
      </c>
      <c r="DS157" s="16">
        <v>-9999</v>
      </c>
      <c r="DT157" s="16">
        <v>-9999</v>
      </c>
      <c r="DU157" s="16">
        <v>-9999</v>
      </c>
      <c r="DV157" s="16">
        <v>-9999</v>
      </c>
      <c r="DW157" s="16">
        <v>-9999</v>
      </c>
      <c r="DX157" s="16">
        <v>-9999</v>
      </c>
      <c r="DY157" s="16">
        <v>-9999</v>
      </c>
      <c r="DZ157" s="16">
        <v>-9999</v>
      </c>
      <c r="EA157" s="2196">
        <v>96.066119999999998</v>
      </c>
      <c r="EB157" s="2196">
        <v>102.67786</v>
      </c>
      <c r="EC157" s="2196">
        <v>108.93840853946915</v>
      </c>
      <c r="ED157" s="2196">
        <v>115.86928976574127</v>
      </c>
      <c r="EE157" s="2196">
        <v>123.85880512209535</v>
      </c>
      <c r="EF157" s="2197">
        <v>-9999</v>
      </c>
      <c r="EG157" s="2197">
        <v>-9999</v>
      </c>
      <c r="EH157" s="2197">
        <v>-9999</v>
      </c>
      <c r="EI157" s="2197">
        <v>-9999</v>
      </c>
      <c r="EJ157" s="2197">
        <v>-9999</v>
      </c>
      <c r="EK157" s="2197">
        <v>-9999</v>
      </c>
      <c r="EL157" s="2197">
        <v>-9999</v>
      </c>
      <c r="EM157" s="2197">
        <v>-9999</v>
      </c>
    </row>
    <row r="158" spans="1:143">
      <c r="A158" s="22">
        <v>58</v>
      </c>
      <c r="B158" s="1" t="s">
        <v>510</v>
      </c>
      <c r="C158" s="1344">
        <f ca="1">OFFSET('VVP2'!F179,0,Last_forecast_year - 3-InputY!$G$3)</f>
        <v>33.74049337344055</v>
      </c>
      <c r="D158" s="1344">
        <f ca="1">OFFSET('VVP2'!G179,0,Last_forecast_year - 3-InputY!$G$3)</f>
        <v>34.499586109841616</v>
      </c>
      <c r="E158" s="1344">
        <f ca="1">OFFSET('VVP2'!H179,0,Last_forecast_year - 3-InputY!$G$3)</f>
        <v>36.121428247538752</v>
      </c>
      <c r="F158" s="1344">
        <f ca="1">OFFSET('VVP2'!I179,0,Last_forecast_year - 3-InputY!$G$3)</f>
        <v>38.641359819963441</v>
      </c>
      <c r="G158" s="1344">
        <f ca="1">OFFSET('VVP2'!J179,0,Last_forecast_year - 3-InputY!$G$3)</f>
        <v>40.689019264836176</v>
      </c>
      <c r="H158" s="25">
        <v>-9999</v>
      </c>
      <c r="I158" s="25">
        <v>-9999</v>
      </c>
      <c r="J158" s="25">
        <v>-9999</v>
      </c>
      <c r="K158" s="25">
        <v>-9999</v>
      </c>
      <c r="L158" s="25">
        <v>-9999</v>
      </c>
      <c r="M158" s="25">
        <v>-9999</v>
      </c>
      <c r="N158" s="25">
        <v>-9999</v>
      </c>
      <c r="O158" s="25">
        <v>-9999</v>
      </c>
      <c r="P158" s="32"/>
      <c r="Q158" s="3383"/>
      <c r="R158" s="3383"/>
      <c r="S158" s="3383"/>
      <c r="T158" s="3383"/>
      <c r="AA158" s="22">
        <v>58</v>
      </c>
      <c r="AB158" s="1040" t="str">
        <f t="shared" si="3"/>
        <v>VOL GROSS VALUE ADDED</v>
      </c>
      <c r="AC158" s="1040">
        <f>CHOOSE(Tables!$U$2,Transfer!CA158,Transfer!CN158,Transfer!DA158,Transfer!DN158,Transfer!EA158)</f>
        <v>91.111306459696792</v>
      </c>
      <c r="AD158" s="1040">
        <f>CHOOSE(Tables!$U$2,Transfer!CB158,Transfer!CO158,Transfer!DB158,Transfer!DO158,Transfer!EB158)</f>
        <v>99.581462897096031</v>
      </c>
      <c r="AE158" s="1040">
        <f>CHOOSE(Tables!$U$2,Transfer!CC158,Transfer!CP158,Transfer!DC158,Transfer!DP158,Transfer!EC158)</f>
        <v>106.91582046678285</v>
      </c>
      <c r="AF158" s="1040">
        <f>CHOOSE(Tables!$U$2,Transfer!CD158,Transfer!CQ158,Transfer!DD158,Transfer!DQ158,Transfer!ED158)</f>
        <v>113.09727763882999</v>
      </c>
      <c r="AG158" s="1040">
        <f>CHOOSE(Tables!$U$2,Transfer!CE158,Transfer!CR158,Transfer!DE158,Transfer!DR158,Transfer!EE158)</f>
        <v>120.52064576066944</v>
      </c>
      <c r="AH158" s="1040">
        <f>CHOOSE(Tables!$U$2,Transfer!CF158,Transfer!CS158,Transfer!DF158,Transfer!DS158,Transfer!EF158)</f>
        <v>-9999</v>
      </c>
      <c r="AI158" s="1040">
        <f>CHOOSE(Tables!$U$2,Transfer!CG158,Transfer!CT158,Transfer!DG158,Transfer!DT158,Transfer!EG158)</f>
        <v>-9999</v>
      </c>
      <c r="AJ158" s="1040">
        <f>CHOOSE(Tables!$U$2,Transfer!CH158,Transfer!CU158,Transfer!DH158,Transfer!DU158,Transfer!EH158)</f>
        <v>-9999</v>
      </c>
      <c r="AK158" s="1040">
        <f>CHOOSE(Tables!$U$2,Transfer!CI158,Transfer!CV158,Transfer!DI158,Transfer!DV158,Transfer!EI158)</f>
        <v>-9999</v>
      </c>
      <c r="AL158" s="1040">
        <f>CHOOSE(Tables!$U$2,Transfer!CJ158,Transfer!CW158,Transfer!DJ158,Transfer!DW158,Transfer!EJ158)</f>
        <v>-9999</v>
      </c>
      <c r="AM158" s="1040">
        <f>CHOOSE(Tables!$U$2,Transfer!CK158,Transfer!CX158,Transfer!DK158,Transfer!DX158,Transfer!EK158)</f>
        <v>-9999</v>
      </c>
      <c r="AN158" s="1040">
        <f>CHOOSE(Tables!$U$2,Transfer!CL158,Transfer!CY158,Transfer!DL158,Transfer!DY158,Transfer!EL158)</f>
        <v>-9999</v>
      </c>
      <c r="AO158" s="1040">
        <f>CHOOSE(Tables!$U$2,Transfer!CM158,Transfer!CZ158,Transfer!DM158,Transfer!DZ158,Transfer!EM158)</f>
        <v>-9999</v>
      </c>
      <c r="AR158" s="22">
        <v>58</v>
      </c>
      <c r="AS158" s="1" t="s">
        <v>510</v>
      </c>
      <c r="AT158" s="24">
        <f t="shared" ca="1" si="6"/>
        <v>-57.370813086256241</v>
      </c>
      <c r="AU158" s="24">
        <f t="shared" ca="1" si="6"/>
        <v>-65.081876787254416</v>
      </c>
      <c r="AV158" s="24">
        <f t="shared" ca="1" si="6"/>
        <v>-70.794392219244088</v>
      </c>
      <c r="AW158" s="24">
        <f t="shared" ca="1" si="6"/>
        <v>-74.455917818866553</v>
      </c>
      <c r="AX158" s="24">
        <f t="shared" ca="1" si="6"/>
        <v>-79.831626495833262</v>
      </c>
      <c r="AY158" s="25">
        <f t="shared" si="6"/>
        <v>0</v>
      </c>
      <c r="AZ158" s="25">
        <f t="shared" si="6"/>
        <v>0</v>
      </c>
      <c r="BA158" s="25">
        <f t="shared" si="6"/>
        <v>0</v>
      </c>
      <c r="BB158" s="25">
        <f t="shared" si="6"/>
        <v>0</v>
      </c>
      <c r="BC158" s="25">
        <f t="shared" si="6"/>
        <v>0</v>
      </c>
      <c r="BD158" s="25">
        <f t="shared" si="6"/>
        <v>0</v>
      </c>
      <c r="BE158" s="25">
        <f t="shared" si="6"/>
        <v>0</v>
      </c>
      <c r="BF158" s="25">
        <f t="shared" si="6"/>
        <v>0</v>
      </c>
      <c r="CA158" s="16">
        <v>31.220202381377462</v>
      </c>
      <c r="CB158" s="16">
        <v>32.613492459809393</v>
      </c>
      <c r="CC158" s="16">
        <v>33.267354740399426</v>
      </c>
      <c r="CD158" s="16">
        <v>34.142219491147841</v>
      </c>
      <c r="CE158" s="16">
        <v>35.590827356953945</v>
      </c>
      <c r="CF158" s="16">
        <v>-9999</v>
      </c>
      <c r="CG158" s="16">
        <v>-9999</v>
      </c>
      <c r="CH158" s="16">
        <v>-9999</v>
      </c>
      <c r="CI158" s="16">
        <v>-9999</v>
      </c>
      <c r="CJ158" s="16">
        <v>-9999</v>
      </c>
      <c r="CK158" s="16">
        <v>-9999</v>
      </c>
      <c r="CL158" s="16">
        <v>-9999</v>
      </c>
      <c r="CM158" s="16">
        <v>-9999</v>
      </c>
      <c r="CN158" s="16">
        <v>29.212630002249437</v>
      </c>
      <c r="CO158" s="16">
        <v>31.113819992190464</v>
      </c>
      <c r="CP158" s="16">
        <v>32.455750579097447</v>
      </c>
      <c r="CQ158" s="16">
        <v>34.052713507124636</v>
      </c>
      <c r="CR158" s="16">
        <v>35.909078479180934</v>
      </c>
      <c r="CS158" s="16">
        <v>-9999</v>
      </c>
      <c r="CT158" s="16">
        <v>-9999</v>
      </c>
      <c r="CU158" s="16">
        <v>-9999</v>
      </c>
      <c r="CV158" s="16">
        <v>-9999</v>
      </c>
      <c r="CW158" s="16">
        <v>-9999</v>
      </c>
      <c r="CX158" s="16">
        <v>-9999</v>
      </c>
      <c r="CY158" s="16">
        <v>-9999</v>
      </c>
      <c r="CZ158" s="16">
        <v>-9999</v>
      </c>
      <c r="DA158" s="16">
        <v>31.113819992190464</v>
      </c>
      <c r="DB158" s="16">
        <v>32.582170004727537</v>
      </c>
      <c r="DC158" s="16">
        <v>33.278191663814987</v>
      </c>
      <c r="DD158" s="16">
        <v>34.788249477985381</v>
      </c>
      <c r="DE158" s="16">
        <v>36.462341169498131</v>
      </c>
      <c r="DF158" s="16">
        <v>-9999</v>
      </c>
      <c r="DG158" s="16">
        <v>-9999</v>
      </c>
      <c r="DH158" s="16">
        <v>-9999</v>
      </c>
      <c r="DI158" s="16">
        <v>-9999</v>
      </c>
      <c r="DJ158" s="16">
        <v>-9999</v>
      </c>
      <c r="DK158" s="16">
        <v>-9999</v>
      </c>
      <c r="DL158" s="16">
        <v>-9999</v>
      </c>
      <c r="DM158" s="16">
        <v>-9999</v>
      </c>
      <c r="DN158" s="16">
        <v>29.212630002249437</v>
      </c>
      <c r="DO158" s="16">
        <v>31.113819992190464</v>
      </c>
      <c r="DP158" s="16">
        <v>32.458590859167856</v>
      </c>
      <c r="DQ158" s="16">
        <v>34.078543597743767</v>
      </c>
      <c r="DR158" s="16">
        <v>35.978760931206779</v>
      </c>
      <c r="DS158" s="16">
        <v>-9999</v>
      </c>
      <c r="DT158" s="16">
        <v>-9999</v>
      </c>
      <c r="DU158" s="16">
        <v>-9999</v>
      </c>
      <c r="DV158" s="16">
        <v>-9999</v>
      </c>
      <c r="DW158" s="16">
        <v>-9999</v>
      </c>
      <c r="DX158" s="16">
        <v>-9999</v>
      </c>
      <c r="DY158" s="16">
        <v>-9999</v>
      </c>
      <c r="DZ158" s="16">
        <v>-9999</v>
      </c>
      <c r="EA158" s="2196">
        <v>91.111306459696792</v>
      </c>
      <c r="EB158" s="2196">
        <v>99.581462897096031</v>
      </c>
      <c r="EC158" s="2196">
        <v>106.91582046678285</v>
      </c>
      <c r="ED158" s="2196">
        <v>113.09727763882999</v>
      </c>
      <c r="EE158" s="2196">
        <v>120.52064576066944</v>
      </c>
      <c r="EF158" s="2197">
        <v>-9999</v>
      </c>
      <c r="EG158" s="2197">
        <v>-9999</v>
      </c>
      <c r="EH158" s="2197">
        <v>-9999</v>
      </c>
      <c r="EI158" s="2197">
        <v>-9999</v>
      </c>
      <c r="EJ158" s="2197">
        <v>-9999</v>
      </c>
      <c r="EK158" s="2197">
        <v>-9999</v>
      </c>
      <c r="EL158" s="2197">
        <v>-9999</v>
      </c>
      <c r="EM158" s="2197">
        <v>-9999</v>
      </c>
    </row>
    <row r="159" spans="1:143">
      <c r="A159" s="22">
        <v>59</v>
      </c>
      <c r="B159" s="1" t="s">
        <v>552</v>
      </c>
      <c r="C159" s="20">
        <f ca="1">OFFSET(Labour1!F34,0,Last_forecast_year - 3-InputY!$G$3)</f>
        <v>1334.73</v>
      </c>
      <c r="D159" s="20">
        <f ca="1">OFFSET(Labour1!G34,0,Last_forecast_year - 3-InputY!$G$3)</f>
        <v>1361.21</v>
      </c>
      <c r="E159" s="20">
        <f ca="1">OFFSET(Labour1!H34,0,Last_forecast_year - 3-InputY!$G$3)</f>
        <v>1354.11</v>
      </c>
      <c r="F159" s="20">
        <f ca="1">OFFSET(Labour1!I34,0,Last_forecast_year - 3-InputY!$G$3)</f>
        <v>1346.7528000000002</v>
      </c>
      <c r="G159" s="20">
        <f ca="1">OFFSET(Labour1!J34,0,Last_forecast_year - 3-InputY!$G$3)</f>
        <v>1342.6692803150002</v>
      </c>
      <c r="H159" s="25">
        <v>-9999</v>
      </c>
      <c r="I159" s="25">
        <v>-9999</v>
      </c>
      <c r="J159" s="25">
        <v>-9999</v>
      </c>
      <c r="K159" s="25">
        <v>-9999</v>
      </c>
      <c r="L159" s="25">
        <v>-9999</v>
      </c>
      <c r="M159" s="25">
        <v>-9999</v>
      </c>
      <c r="N159" s="25">
        <v>-9999</v>
      </c>
      <c r="O159" s="25">
        <v>-9999</v>
      </c>
      <c r="P159"/>
      <c r="Q159"/>
      <c r="R159"/>
      <c r="S159"/>
      <c r="T159"/>
      <c r="U159"/>
      <c r="AA159" s="22">
        <v>59</v>
      </c>
      <c r="AB159" s="1040" t="str">
        <f t="shared" si="3"/>
        <v>TOT. EMPLOYMENT PERSONS</v>
      </c>
      <c r="AC159" s="1040">
        <f>CHOOSE(Tables!$U$2,Transfer!CA159,Transfer!CN159,Transfer!DA159,Transfer!DN159,Transfer!EA159)</f>
        <v>1252.7</v>
      </c>
      <c r="AD159" s="1040">
        <f>CHOOSE(Tables!$U$2,Transfer!CB159,Transfer!CO159,Transfer!DB159,Transfer!DO159,Transfer!EB159)</f>
        <v>1274.9000000000001</v>
      </c>
      <c r="AE159" s="1040">
        <f>CHOOSE(Tables!$U$2,Transfer!CC159,Transfer!CP159,Transfer!DC159,Transfer!DP159,Transfer!EC159)</f>
        <v>1294.033016885594</v>
      </c>
      <c r="AF159" s="1040">
        <f>CHOOSE(Tables!$U$2,Transfer!CD159,Transfer!CQ159,Transfer!DD159,Transfer!DQ159,Transfer!ED159)</f>
        <v>1312.7341838591722</v>
      </c>
      <c r="AG159" s="1040">
        <f>CHOOSE(Tables!$U$2,Transfer!CE159,Transfer!CR159,Transfer!DE159,Transfer!DR159,Transfer!EE159)</f>
        <v>1329.0638543846212</v>
      </c>
      <c r="AH159" s="1040">
        <f>CHOOSE(Tables!$U$2,Transfer!CF159,Transfer!CS159,Transfer!DF159,Transfer!DS159,Transfer!EF159)</f>
        <v>-9999</v>
      </c>
      <c r="AI159" s="1040">
        <f>CHOOSE(Tables!$U$2,Transfer!CG159,Transfer!CT159,Transfer!DG159,Transfer!DT159,Transfer!EG159)</f>
        <v>-9999</v>
      </c>
      <c r="AJ159" s="1040">
        <f>CHOOSE(Tables!$U$2,Transfer!CH159,Transfer!CU159,Transfer!DH159,Transfer!DU159,Transfer!EH159)</f>
        <v>-9999</v>
      </c>
      <c r="AK159" s="1040">
        <f>CHOOSE(Tables!$U$2,Transfer!CI159,Transfer!CV159,Transfer!DI159,Transfer!DV159,Transfer!EI159)</f>
        <v>-9999</v>
      </c>
      <c r="AL159" s="1040">
        <f>CHOOSE(Tables!$U$2,Transfer!CJ159,Transfer!CW159,Transfer!DJ159,Transfer!DW159,Transfer!EJ159)</f>
        <v>-9999</v>
      </c>
      <c r="AM159" s="1040">
        <f>CHOOSE(Tables!$U$2,Transfer!CK159,Transfer!CX159,Transfer!DK159,Transfer!DX159,Transfer!EK159)</f>
        <v>-9999</v>
      </c>
      <c r="AN159" s="1040">
        <f>CHOOSE(Tables!$U$2,Transfer!CL159,Transfer!CY159,Transfer!DL159,Transfer!DY159,Transfer!EL159)</f>
        <v>-9999</v>
      </c>
      <c r="AO159" s="1040">
        <f>CHOOSE(Tables!$U$2,Transfer!CM159,Transfer!CZ159,Transfer!DM159,Transfer!DZ159,Transfer!EM159)</f>
        <v>-9999</v>
      </c>
      <c r="AR159" s="22">
        <v>59</v>
      </c>
      <c r="AS159" s="1" t="s">
        <v>552</v>
      </c>
      <c r="AT159" s="20">
        <f t="shared" ca="1" si="6"/>
        <v>82.029999999999973</v>
      </c>
      <c r="AU159" s="20">
        <f t="shared" ca="1" si="6"/>
        <v>86.309999999999945</v>
      </c>
      <c r="AV159" s="20">
        <f t="shared" ca="1" si="6"/>
        <v>60.076983114405948</v>
      </c>
      <c r="AW159" s="20">
        <f t="shared" ca="1" si="6"/>
        <v>34.018616140828044</v>
      </c>
      <c r="AX159" s="20">
        <f t="shared" ca="1" si="6"/>
        <v>13.605425930378942</v>
      </c>
      <c r="AY159" s="25">
        <f t="shared" si="6"/>
        <v>0</v>
      </c>
      <c r="AZ159" s="25">
        <f t="shared" si="6"/>
        <v>0</v>
      </c>
      <c r="BA159" s="25">
        <f t="shared" si="6"/>
        <v>0</v>
      </c>
      <c r="BB159" s="25">
        <f t="shared" si="6"/>
        <v>0</v>
      </c>
      <c r="BC159" s="25">
        <f t="shared" si="6"/>
        <v>0</v>
      </c>
      <c r="BD159" s="25">
        <f t="shared" si="6"/>
        <v>0</v>
      </c>
      <c r="BE159" s="25">
        <f t="shared" si="6"/>
        <v>0</v>
      </c>
      <c r="BF159" s="25">
        <f t="shared" si="6"/>
        <v>0</v>
      </c>
      <c r="CA159" s="16">
        <v>1291.8900000000001</v>
      </c>
      <c r="CB159" s="16">
        <v>1317.81</v>
      </c>
      <c r="CC159" s="16">
        <v>1339.100943055</v>
      </c>
      <c r="CD159" s="16">
        <v>1342.3323826790122</v>
      </c>
      <c r="CE159" s="16">
        <v>1344.2361163439725</v>
      </c>
      <c r="CF159" s="16">
        <v>-9999</v>
      </c>
      <c r="CG159" s="16">
        <v>-9999</v>
      </c>
      <c r="CH159" s="16">
        <v>-9999</v>
      </c>
      <c r="CI159" s="16">
        <v>-9999</v>
      </c>
      <c r="CJ159" s="16">
        <v>-9999</v>
      </c>
      <c r="CK159" s="16">
        <v>-9999</v>
      </c>
      <c r="CL159" s="16">
        <v>-9999</v>
      </c>
      <c r="CM159" s="16">
        <v>-9999</v>
      </c>
      <c r="CN159" s="16">
        <v>1274.9000000000001</v>
      </c>
      <c r="CO159" s="16">
        <v>1291.8900000000001</v>
      </c>
      <c r="CP159" s="16">
        <v>1317.81</v>
      </c>
      <c r="CQ159" s="16">
        <v>1333.3779167949999</v>
      </c>
      <c r="CR159" s="16">
        <v>1349.1904758139124</v>
      </c>
      <c r="CS159" s="16">
        <v>-9999</v>
      </c>
      <c r="CT159" s="16">
        <v>-9999</v>
      </c>
      <c r="CU159" s="16">
        <v>-9999</v>
      </c>
      <c r="CV159" s="16">
        <v>-9999</v>
      </c>
      <c r="CW159" s="16">
        <v>-9999</v>
      </c>
      <c r="CX159" s="16">
        <v>-9999</v>
      </c>
      <c r="CY159" s="16">
        <v>-9999</v>
      </c>
      <c r="CZ159" s="16">
        <v>-9999</v>
      </c>
      <c r="DA159" s="16">
        <v>1291.8900000000001</v>
      </c>
      <c r="DB159" s="16">
        <v>1317.81</v>
      </c>
      <c r="DC159" s="16">
        <v>1333.3779167949999</v>
      </c>
      <c r="DD159" s="16">
        <v>1349.1904758139124</v>
      </c>
      <c r="DE159" s="16">
        <v>1366.8478846656528</v>
      </c>
      <c r="DF159" s="16">
        <v>-9999</v>
      </c>
      <c r="DG159" s="16">
        <v>-9999</v>
      </c>
      <c r="DH159" s="16">
        <v>-9999</v>
      </c>
      <c r="DI159" s="16">
        <v>-9999</v>
      </c>
      <c r="DJ159" s="16">
        <v>-9999</v>
      </c>
      <c r="DK159" s="16">
        <v>-9999</v>
      </c>
      <c r="DL159" s="16">
        <v>-9999</v>
      </c>
      <c r="DM159" s="16">
        <v>-9999</v>
      </c>
      <c r="DN159" s="16">
        <v>1274.9000000000001</v>
      </c>
      <c r="DO159" s="16">
        <v>1291.8900000000001</v>
      </c>
      <c r="DP159" s="16">
        <v>1317.81</v>
      </c>
      <c r="DQ159" s="16">
        <v>1333.3779167949999</v>
      </c>
      <c r="DR159" s="16">
        <v>1349.1904758139124</v>
      </c>
      <c r="DS159" s="16">
        <v>-9999</v>
      </c>
      <c r="DT159" s="16">
        <v>-9999</v>
      </c>
      <c r="DU159" s="16">
        <v>-9999</v>
      </c>
      <c r="DV159" s="16">
        <v>-9999</v>
      </c>
      <c r="DW159" s="16">
        <v>-9999</v>
      </c>
      <c r="DX159" s="16">
        <v>-9999</v>
      </c>
      <c r="DY159" s="16">
        <v>-9999</v>
      </c>
      <c r="DZ159" s="16">
        <v>-9999</v>
      </c>
      <c r="EA159" s="2196">
        <v>1252.7</v>
      </c>
      <c r="EB159" s="2196">
        <v>1274.9000000000001</v>
      </c>
      <c r="EC159" s="2196">
        <v>1294.033016885594</v>
      </c>
      <c r="ED159" s="2196">
        <v>1312.7341838591722</v>
      </c>
      <c r="EE159" s="2196">
        <v>1329.0638543846212</v>
      </c>
      <c r="EF159" s="2197">
        <v>-9999</v>
      </c>
      <c r="EG159" s="2197">
        <v>-9999</v>
      </c>
      <c r="EH159" s="2197">
        <v>-9999</v>
      </c>
      <c r="EI159" s="2197">
        <v>-9999</v>
      </c>
      <c r="EJ159" s="2197">
        <v>-9999</v>
      </c>
      <c r="EK159" s="2197">
        <v>-9999</v>
      </c>
      <c r="EL159" s="2197">
        <v>-9999</v>
      </c>
      <c r="EM159" s="2197">
        <v>-9999</v>
      </c>
    </row>
    <row r="160" spans="1:143">
      <c r="A160" s="22">
        <v>60</v>
      </c>
      <c r="B160" s="31" t="s">
        <v>1961</v>
      </c>
      <c r="C160" s="34">
        <v>-9999</v>
      </c>
      <c r="D160" s="34">
        <v>-9999</v>
      </c>
      <c r="E160" s="34">
        <v>-9999</v>
      </c>
      <c r="F160" s="34">
        <v>-9999</v>
      </c>
      <c r="G160" s="34">
        <v>-9999</v>
      </c>
      <c r="H160" s="25">
        <v>-9999</v>
      </c>
      <c r="I160" s="25">
        <v>-9999</v>
      </c>
      <c r="J160" s="25">
        <v>-9999</v>
      </c>
      <c r="K160" s="25">
        <v>-9999</v>
      </c>
      <c r="L160" s="25">
        <v>-9999</v>
      </c>
      <c r="M160" s="25">
        <v>-9999</v>
      </c>
      <c r="N160" s="25">
        <v>-9999</v>
      </c>
      <c r="O160" s="25">
        <v>-9999</v>
      </c>
      <c r="P160" s="32"/>
      <c r="Q160" s="32"/>
      <c r="R160" s="32"/>
      <c r="S160" s="32"/>
      <c r="T160" s="32"/>
      <c r="U160" s="32"/>
      <c r="AA160" s="22">
        <v>60</v>
      </c>
      <c r="AB160" s="1040" t="str">
        <f t="shared" si="3"/>
        <v>TOT. EMPLOYMENT F.T.E.</v>
      </c>
      <c r="AC160" s="1040">
        <f>CHOOSE(Tables!$U$2,Transfer!CA160,Transfer!CN160,Transfer!DA160,Transfer!DN160,Transfer!EA160)</f>
        <v>-9999</v>
      </c>
      <c r="AD160" s="1040">
        <f>CHOOSE(Tables!$U$2,Transfer!CB160,Transfer!CO160,Transfer!DB160,Transfer!DO160,Transfer!EB160)</f>
        <v>-9999</v>
      </c>
      <c r="AE160" s="1040">
        <f>CHOOSE(Tables!$U$2,Transfer!CC160,Transfer!CP160,Transfer!DC160,Transfer!DP160,Transfer!EC160)</f>
        <v>-9999</v>
      </c>
      <c r="AF160" s="1040">
        <f>CHOOSE(Tables!$U$2,Transfer!CD160,Transfer!CQ160,Transfer!DD160,Transfer!DQ160,Transfer!ED160)</f>
        <v>-9999</v>
      </c>
      <c r="AG160" s="1040">
        <f>CHOOSE(Tables!$U$2,Transfer!CE160,Transfer!CR160,Transfer!DE160,Transfer!DR160,Transfer!EE160)</f>
        <v>-9999</v>
      </c>
      <c r="AH160" s="1040">
        <f>CHOOSE(Tables!$U$2,Transfer!CF160,Transfer!CS160,Transfer!DF160,Transfer!DS160,Transfer!EF160)</f>
        <v>-9999</v>
      </c>
      <c r="AI160" s="1040">
        <f>CHOOSE(Tables!$U$2,Transfer!CG160,Transfer!CT160,Transfer!DG160,Transfer!DT160,Transfer!EG160)</f>
        <v>-9999</v>
      </c>
      <c r="AJ160" s="1040">
        <f>CHOOSE(Tables!$U$2,Transfer!CH160,Transfer!CU160,Transfer!DH160,Transfer!DU160,Transfer!EH160)</f>
        <v>-9999</v>
      </c>
      <c r="AK160" s="1040">
        <f>CHOOSE(Tables!$U$2,Transfer!CI160,Transfer!CV160,Transfer!DI160,Transfer!DV160,Transfer!EI160)</f>
        <v>-9999</v>
      </c>
      <c r="AL160" s="1040">
        <f>CHOOSE(Tables!$U$2,Transfer!CJ160,Transfer!CW160,Transfer!DJ160,Transfer!DW160,Transfer!EJ160)</f>
        <v>-9999</v>
      </c>
      <c r="AM160" s="1040">
        <f>CHOOSE(Tables!$U$2,Transfer!CK160,Transfer!CX160,Transfer!DK160,Transfer!DX160,Transfer!EK160)</f>
        <v>-9999</v>
      </c>
      <c r="AN160" s="1040">
        <f>CHOOSE(Tables!$U$2,Transfer!CL160,Transfer!CY160,Transfer!DL160,Transfer!DY160,Transfer!EL160)</f>
        <v>-9999</v>
      </c>
      <c r="AO160" s="1040">
        <f>CHOOSE(Tables!$U$2,Transfer!CM160,Transfer!CZ160,Transfer!DM160,Transfer!DZ160,Transfer!EM160)</f>
        <v>-9999</v>
      </c>
      <c r="AR160" s="22">
        <v>60</v>
      </c>
      <c r="AS160" s="31" t="s">
        <v>1961</v>
      </c>
      <c r="AT160" s="2068">
        <f t="shared" si="6"/>
        <v>0</v>
      </c>
      <c r="AU160" s="34">
        <f t="shared" si="6"/>
        <v>0</v>
      </c>
      <c r="AV160" s="2068">
        <f t="shared" si="6"/>
        <v>0</v>
      </c>
      <c r="AW160" s="2068">
        <f t="shared" si="6"/>
        <v>0</v>
      </c>
      <c r="AX160" s="2068">
        <f t="shared" si="6"/>
        <v>0</v>
      </c>
      <c r="AY160" s="25">
        <f t="shared" si="6"/>
        <v>0</v>
      </c>
      <c r="AZ160" s="25">
        <f t="shared" si="6"/>
        <v>0</v>
      </c>
      <c r="BA160" s="25">
        <f t="shared" si="6"/>
        <v>0</v>
      </c>
      <c r="BB160" s="25">
        <f t="shared" si="6"/>
        <v>0</v>
      </c>
      <c r="BC160" s="25">
        <f t="shared" si="6"/>
        <v>0</v>
      </c>
      <c r="BD160" s="25">
        <f t="shared" si="6"/>
        <v>0</v>
      </c>
      <c r="BE160" s="25">
        <f t="shared" si="6"/>
        <v>0</v>
      </c>
      <c r="BF160" s="25">
        <f t="shared" si="6"/>
        <v>0</v>
      </c>
      <c r="CA160" s="16">
        <v>-9999</v>
      </c>
      <c r="CB160" s="16">
        <v>-9999</v>
      </c>
      <c r="CC160" s="16">
        <v>-9999</v>
      </c>
      <c r="CD160" s="16">
        <v>-9999</v>
      </c>
      <c r="CE160" s="16">
        <v>-9999</v>
      </c>
      <c r="CF160" s="16">
        <v>-9999</v>
      </c>
      <c r="CG160" s="16">
        <v>-9999</v>
      </c>
      <c r="CH160" s="16">
        <v>-9999</v>
      </c>
      <c r="CI160" s="16">
        <v>-9999</v>
      </c>
      <c r="CJ160" s="16">
        <v>-9999</v>
      </c>
      <c r="CK160" s="16">
        <v>-9999</v>
      </c>
      <c r="CL160" s="16">
        <v>-9999</v>
      </c>
      <c r="CM160" s="16">
        <v>-9999</v>
      </c>
      <c r="CN160" s="16">
        <v>-9999</v>
      </c>
      <c r="CO160" s="16">
        <v>-9999</v>
      </c>
      <c r="CP160" s="16">
        <v>-9999</v>
      </c>
      <c r="CQ160" s="16">
        <v>-9999</v>
      </c>
      <c r="CR160" s="16">
        <v>-9999</v>
      </c>
      <c r="CS160" s="16">
        <v>-9999</v>
      </c>
      <c r="CT160" s="16">
        <v>-9999</v>
      </c>
      <c r="CU160" s="16">
        <v>-9999</v>
      </c>
      <c r="CV160" s="16">
        <v>-9999</v>
      </c>
      <c r="CW160" s="16">
        <v>-9999</v>
      </c>
      <c r="CX160" s="16">
        <v>-9999</v>
      </c>
      <c r="CY160" s="16">
        <v>-9999</v>
      </c>
      <c r="CZ160" s="16">
        <v>-9999</v>
      </c>
      <c r="DA160" s="16">
        <v>-9999</v>
      </c>
      <c r="DB160" s="16">
        <v>-9999</v>
      </c>
      <c r="DC160" s="16">
        <v>-9999</v>
      </c>
      <c r="DD160" s="16">
        <v>-9999</v>
      </c>
      <c r="DE160" s="16">
        <v>-9999</v>
      </c>
      <c r="DF160" s="16">
        <v>-9999</v>
      </c>
      <c r="DG160" s="16">
        <v>-9999</v>
      </c>
      <c r="DH160" s="16">
        <v>-9999</v>
      </c>
      <c r="DI160" s="16">
        <v>-9999</v>
      </c>
      <c r="DJ160" s="16">
        <v>-9999</v>
      </c>
      <c r="DK160" s="16">
        <v>-9999</v>
      </c>
      <c r="DL160" s="16">
        <v>-9999</v>
      </c>
      <c r="DM160" s="16">
        <v>-9999</v>
      </c>
      <c r="DN160" s="16">
        <v>-9999</v>
      </c>
      <c r="DO160" s="16">
        <v>-9999</v>
      </c>
      <c r="DP160" s="16">
        <v>-9999</v>
      </c>
      <c r="DQ160" s="16">
        <v>-9999</v>
      </c>
      <c r="DR160" s="16">
        <v>-9999</v>
      </c>
      <c r="DS160" s="16">
        <v>-9999</v>
      </c>
      <c r="DT160" s="16">
        <v>-9999</v>
      </c>
      <c r="DU160" s="16">
        <v>-9999</v>
      </c>
      <c r="DV160" s="16">
        <v>-9999</v>
      </c>
      <c r="DW160" s="16">
        <v>-9999</v>
      </c>
      <c r="DX160" s="16">
        <v>-9999</v>
      </c>
      <c r="DY160" s="16">
        <v>-9999</v>
      </c>
      <c r="DZ160" s="16">
        <v>-9999</v>
      </c>
      <c r="EA160" s="2197">
        <v>-9999</v>
      </c>
      <c r="EB160" s="2197">
        <v>-9999</v>
      </c>
      <c r="EC160" s="2197">
        <v>-9999</v>
      </c>
      <c r="ED160" s="2197">
        <v>-9999</v>
      </c>
      <c r="EE160" s="2197">
        <v>-9999</v>
      </c>
      <c r="EF160" s="2197">
        <v>-9999</v>
      </c>
      <c r="EG160" s="2197">
        <v>-9999</v>
      </c>
      <c r="EH160" s="2197">
        <v>-9999</v>
      </c>
      <c r="EI160" s="2197">
        <v>-9999</v>
      </c>
      <c r="EJ160" s="2197">
        <v>-9999</v>
      </c>
      <c r="EK160" s="2197">
        <v>-9999</v>
      </c>
      <c r="EL160" s="2197">
        <v>-9999</v>
      </c>
      <c r="EM160" s="2197">
        <v>-9999</v>
      </c>
    </row>
    <row r="161" spans="1:143">
      <c r="A161" s="22">
        <v>61</v>
      </c>
      <c r="B161" s="1" t="s">
        <v>554</v>
      </c>
      <c r="C161" s="24">
        <f ca="1">OFFSET(Labour1!F214,0,Last_forecast_year - 3-InputY!$G$3)</f>
        <v>15.637280000000001</v>
      </c>
      <c r="D161" s="24">
        <f ca="1">OFFSET(Labour1!G214,0,Last_forecast_year - 3-InputY!$G$3)</f>
        <v>16.92906</v>
      </c>
      <c r="E161" s="24">
        <f ca="1">OFFSET(Labour1!H214,0,Last_forecast_year - 3-InputY!$G$3)</f>
        <v>18.449630000000003</v>
      </c>
      <c r="F161" s="24">
        <f ca="1">OFFSET(Labour1!I214,0,Last_forecast_year - 3-InputY!$G$3)</f>
        <v>19.549555182988733</v>
      </c>
      <c r="G161" s="24">
        <f ca="1">OFFSET(Labour1!J214,0,Last_forecast_year - 3-InputY!$G$3)</f>
        <v>20.686003495864497</v>
      </c>
      <c r="H161" s="25">
        <v>-9999</v>
      </c>
      <c r="I161" s="25">
        <v>-9999</v>
      </c>
      <c r="J161" s="25">
        <v>-9999</v>
      </c>
      <c r="K161" s="25">
        <v>-9999</v>
      </c>
      <c r="L161" s="25">
        <v>-9999</v>
      </c>
      <c r="M161" s="25">
        <v>-9999</v>
      </c>
      <c r="N161" s="25">
        <v>-9999</v>
      </c>
      <c r="O161" s="25">
        <v>-9999</v>
      </c>
      <c r="P161"/>
      <c r="Q161"/>
      <c r="R161"/>
      <c r="S161"/>
      <c r="T161"/>
      <c r="U161"/>
      <c r="AA161" s="22">
        <v>61</v>
      </c>
      <c r="AB161" s="1040" t="str">
        <f t="shared" si="3"/>
        <v>TOT. COMPENSATION OF EMPLOYEES</v>
      </c>
      <c r="AC161" s="1040">
        <f>CHOOSE(Tables!$U$2,Transfer!CA161,Transfer!CN161,Transfer!DA161,Transfer!DN161,Transfer!EA161)</f>
        <v>42.421939999999999</v>
      </c>
      <c r="AD161" s="1040">
        <f>CHOOSE(Tables!$U$2,Transfer!CB161,Transfer!CO161,Transfer!DB161,Transfer!DO161,Transfer!EB161)</f>
        <v>44.567869999999999</v>
      </c>
      <c r="AE161" s="1040">
        <f>CHOOSE(Tables!$U$2,Transfer!CC161,Transfer!CP161,Transfer!DC161,Transfer!DP161,Transfer!EC161)</f>
        <v>47.343227412261797</v>
      </c>
      <c r="AF161" s="1040">
        <f>CHOOSE(Tables!$U$2,Transfer!CD161,Transfer!CQ161,Transfer!DD161,Transfer!DQ161,Transfer!ED161)</f>
        <v>49.983635120116261</v>
      </c>
      <c r="AG161" s="1040">
        <f>CHOOSE(Tables!$U$2,Transfer!CE161,Transfer!CR161,Transfer!DE161,Transfer!DR161,Transfer!EE161)</f>
        <v>52.994953639946218</v>
      </c>
      <c r="AH161" s="1040">
        <f>CHOOSE(Tables!$U$2,Transfer!CF161,Transfer!CS161,Transfer!DF161,Transfer!DS161,Transfer!EF161)</f>
        <v>-9999</v>
      </c>
      <c r="AI161" s="1040">
        <f>CHOOSE(Tables!$U$2,Transfer!CG161,Transfer!CT161,Transfer!DG161,Transfer!DT161,Transfer!EG161)</f>
        <v>-9999</v>
      </c>
      <c r="AJ161" s="1040">
        <f>CHOOSE(Tables!$U$2,Transfer!CH161,Transfer!CU161,Transfer!DH161,Transfer!DU161,Transfer!EH161)</f>
        <v>-9999</v>
      </c>
      <c r="AK161" s="1040">
        <f>CHOOSE(Tables!$U$2,Transfer!CI161,Transfer!CV161,Transfer!DI161,Transfer!DV161,Transfer!EI161)</f>
        <v>-9999</v>
      </c>
      <c r="AL161" s="1040">
        <f>CHOOSE(Tables!$U$2,Transfer!CJ161,Transfer!CW161,Transfer!DJ161,Transfer!DW161,Transfer!EJ161)</f>
        <v>-9999</v>
      </c>
      <c r="AM161" s="1040">
        <f>CHOOSE(Tables!$U$2,Transfer!CK161,Transfer!CX161,Transfer!DK161,Transfer!DX161,Transfer!EK161)</f>
        <v>-9999</v>
      </c>
      <c r="AN161" s="1040">
        <f>CHOOSE(Tables!$U$2,Transfer!CL161,Transfer!CY161,Transfer!DL161,Transfer!DY161,Transfer!EL161)</f>
        <v>-9999</v>
      </c>
      <c r="AO161" s="1040">
        <f>CHOOSE(Tables!$U$2,Transfer!CM161,Transfer!CZ161,Transfer!DM161,Transfer!DZ161,Transfer!EM161)</f>
        <v>-9999</v>
      </c>
      <c r="AR161" s="22">
        <v>61</v>
      </c>
      <c r="AS161" s="1" t="s">
        <v>554</v>
      </c>
      <c r="AT161" s="24">
        <f t="shared" ca="1" si="6"/>
        <v>-26.784659999999999</v>
      </c>
      <c r="AU161" s="24">
        <f t="shared" ca="1" si="6"/>
        <v>-27.638809999999999</v>
      </c>
      <c r="AV161" s="24">
        <f t="shared" ca="1" si="6"/>
        <v>-28.893597412261794</v>
      </c>
      <c r="AW161" s="24">
        <f t="shared" ca="1" si="6"/>
        <v>-30.434079937127528</v>
      </c>
      <c r="AX161" s="24">
        <f t="shared" ca="1" si="6"/>
        <v>-32.30895014408172</v>
      </c>
      <c r="AY161" s="25">
        <f t="shared" si="6"/>
        <v>0</v>
      </c>
      <c r="AZ161" s="25">
        <f t="shared" si="6"/>
        <v>0</v>
      </c>
      <c r="BA161" s="25">
        <f t="shared" si="6"/>
        <v>0</v>
      </c>
      <c r="BB161" s="25">
        <f t="shared" si="6"/>
        <v>0</v>
      </c>
      <c r="BC161" s="25">
        <f t="shared" si="6"/>
        <v>0</v>
      </c>
      <c r="BD161" s="25">
        <f t="shared" si="6"/>
        <v>0</v>
      </c>
      <c r="BE161" s="25">
        <f t="shared" si="6"/>
        <v>0</v>
      </c>
      <c r="BF161" s="25">
        <f t="shared" si="6"/>
        <v>0</v>
      </c>
      <c r="CA161" s="16">
        <v>13.742620000000001</v>
      </c>
      <c r="CB161" s="16">
        <v>14.502969999999999</v>
      </c>
      <c r="CC161" s="16">
        <v>15.617326810536685</v>
      </c>
      <c r="CD161" s="16">
        <v>16.441667228218417</v>
      </c>
      <c r="CE161" s="16">
        <v>17.281505186022194</v>
      </c>
      <c r="CF161" s="16">
        <v>-9999</v>
      </c>
      <c r="CG161" s="16">
        <v>-9999</v>
      </c>
      <c r="CH161" s="16">
        <v>-9999</v>
      </c>
      <c r="CI161" s="16">
        <v>-9999</v>
      </c>
      <c r="CJ161" s="16">
        <v>-9999</v>
      </c>
      <c r="CK161" s="16">
        <v>-9999</v>
      </c>
      <c r="CL161" s="16">
        <v>-9999</v>
      </c>
      <c r="CM161" s="16">
        <v>-9999</v>
      </c>
      <c r="CN161" s="16">
        <v>12.97753</v>
      </c>
      <c r="CO161" s="16">
        <v>13.695930000000001</v>
      </c>
      <c r="CP161" s="16">
        <v>14.52643</v>
      </c>
      <c r="CQ161" s="16">
        <v>15.446906093020178</v>
      </c>
      <c r="CR161" s="16">
        <v>16.510098428624598</v>
      </c>
      <c r="CS161" s="16">
        <v>-9999</v>
      </c>
      <c r="CT161" s="16">
        <v>-9999</v>
      </c>
      <c r="CU161" s="16">
        <v>-9999</v>
      </c>
      <c r="CV161" s="16">
        <v>-9999</v>
      </c>
      <c r="CW161" s="16">
        <v>-9999</v>
      </c>
      <c r="CX161" s="16">
        <v>-9999</v>
      </c>
      <c r="CY161" s="16">
        <v>-9999</v>
      </c>
      <c r="CZ161" s="16">
        <v>-9999</v>
      </c>
      <c r="DA161" s="16">
        <v>13.695930000000001</v>
      </c>
      <c r="DB161" s="16">
        <v>14.582930000000001</v>
      </c>
      <c r="DC161" s="16">
        <v>15.404430616551778</v>
      </c>
      <c r="DD161" s="16">
        <v>16.34963625187401</v>
      </c>
      <c r="DE161" s="16">
        <v>17.353571700293148</v>
      </c>
      <c r="DF161" s="16">
        <v>-9999</v>
      </c>
      <c r="DG161" s="16">
        <v>-9999</v>
      </c>
      <c r="DH161" s="16">
        <v>-9999</v>
      </c>
      <c r="DI161" s="16">
        <v>-9999</v>
      </c>
      <c r="DJ161" s="16">
        <v>-9999</v>
      </c>
      <c r="DK161" s="16">
        <v>-9999</v>
      </c>
      <c r="DL161" s="16">
        <v>-9999</v>
      </c>
      <c r="DM161" s="16">
        <v>-9999</v>
      </c>
      <c r="DN161" s="16">
        <v>12.97753</v>
      </c>
      <c r="DO161" s="16">
        <v>13.695930000000001</v>
      </c>
      <c r="DP161" s="16">
        <v>14.52643</v>
      </c>
      <c r="DQ161" s="16">
        <v>15.446815861287732</v>
      </c>
      <c r="DR161" s="16">
        <v>16.509966721334415</v>
      </c>
      <c r="DS161" s="16">
        <v>-9999</v>
      </c>
      <c r="DT161" s="16">
        <v>-9999</v>
      </c>
      <c r="DU161" s="16">
        <v>-9999</v>
      </c>
      <c r="DV161" s="16">
        <v>-9999</v>
      </c>
      <c r="DW161" s="16">
        <v>-9999</v>
      </c>
      <c r="DX161" s="16">
        <v>-9999</v>
      </c>
      <c r="DY161" s="16">
        <v>-9999</v>
      </c>
      <c r="DZ161" s="16">
        <v>-9999</v>
      </c>
      <c r="EA161" s="2196">
        <v>42.421939999999999</v>
      </c>
      <c r="EB161" s="2196">
        <v>44.567869999999999</v>
      </c>
      <c r="EC161" s="2196">
        <v>47.343227412261797</v>
      </c>
      <c r="ED161" s="2196">
        <v>49.983635120116261</v>
      </c>
      <c r="EE161" s="2196">
        <v>52.994953639946218</v>
      </c>
      <c r="EF161" s="2197">
        <v>-9999</v>
      </c>
      <c r="EG161" s="2197">
        <v>-9999</v>
      </c>
      <c r="EH161" s="2197">
        <v>-9999</v>
      </c>
      <c r="EI161" s="2197">
        <v>-9999</v>
      </c>
      <c r="EJ161" s="2197">
        <v>-9999</v>
      </c>
      <c r="EK161" s="2197">
        <v>-9999</v>
      </c>
      <c r="EL161" s="2197">
        <v>-9999</v>
      </c>
      <c r="EM161" s="2197">
        <v>-9999</v>
      </c>
    </row>
    <row r="162" spans="1:143">
      <c r="A162" s="22">
        <v>62</v>
      </c>
      <c r="B162" s="31" t="s">
        <v>555</v>
      </c>
      <c r="C162" s="24">
        <f ca="1">OFFSET(Labour1!F135,0,Last_forecast_year - 3-InputY!$G$3)</f>
        <v>12.308999999999999</v>
      </c>
      <c r="D162" s="24">
        <f ca="1">OFFSET(Labour1!G135,0,Last_forecast_year - 3-InputY!$G$3)</f>
        <v>13.289</v>
      </c>
      <c r="E162" s="24">
        <f ca="1">OFFSET(Labour1!H135,0,Last_forecast_year - 3-InputY!$G$3)</f>
        <v>14.362240126594433</v>
      </c>
      <c r="F162" s="24">
        <f ca="1">OFFSET(Labour1!I135,0,Last_forecast_year - 3-InputY!$G$3)</f>
        <v>15.177575242380211</v>
      </c>
      <c r="G162" s="24">
        <f ca="1">OFFSET(Labour1!J135,0,Last_forecast_year - 3-InputY!$G$3)</f>
        <v>16.047371297764418</v>
      </c>
      <c r="H162" s="25">
        <v>-9999</v>
      </c>
      <c r="I162" s="25">
        <v>-9999</v>
      </c>
      <c r="J162" s="25">
        <v>-9999</v>
      </c>
      <c r="K162" s="25">
        <v>-9999</v>
      </c>
      <c r="L162" s="25">
        <v>-9999</v>
      </c>
      <c r="M162" s="25">
        <v>-9999</v>
      </c>
      <c r="N162" s="25">
        <v>-9999</v>
      </c>
      <c r="O162" s="25">
        <v>-9999</v>
      </c>
      <c r="P162" s="32"/>
      <c r="Q162" s="32"/>
      <c r="R162" s="32"/>
      <c r="S162" s="32"/>
      <c r="T162" s="32"/>
      <c r="U162" s="32"/>
      <c r="AA162" s="22">
        <v>62</v>
      </c>
      <c r="AB162" s="1040" t="str">
        <f t="shared" si="3"/>
        <v>TOT. WAGES AND SALARIES</v>
      </c>
      <c r="AC162" s="1040">
        <f>CHOOSE(Tables!$U$2,Transfer!CA162,Transfer!CN162,Transfer!DA162,Transfer!DN162,Transfer!EA162)</f>
        <v>33.132302000000003</v>
      </c>
      <c r="AD162" s="1040">
        <f>CHOOSE(Tables!$U$2,Transfer!CB162,Transfer!CO162,Transfer!DB162,Transfer!DO162,Transfer!EB162)</f>
        <v>34.402511638439101</v>
      </c>
      <c r="AE162" s="1040">
        <f>CHOOSE(Tables!$U$2,Transfer!CC162,Transfer!CP162,Transfer!DC162,Transfer!DP162,Transfer!EC162)</f>
        <v>36.697653165366233</v>
      </c>
      <c r="AF162" s="1040">
        <f>CHOOSE(Tables!$U$2,Transfer!CD162,Transfer!CQ162,Transfer!DD162,Transfer!DQ162,Transfer!ED162)</f>
        <v>38.923022693005834</v>
      </c>
      <c r="AG162" s="1040">
        <f>CHOOSE(Tables!$U$2,Transfer!CE162,Transfer!CR162,Transfer!DE162,Transfer!DR162,Transfer!EE162)</f>
        <v>41.5280064779325</v>
      </c>
      <c r="AH162" s="1040">
        <f>CHOOSE(Tables!$U$2,Transfer!CF162,Transfer!CS162,Transfer!DF162,Transfer!DS162,Transfer!EF162)</f>
        <v>-9999</v>
      </c>
      <c r="AI162" s="1040">
        <f>CHOOSE(Tables!$U$2,Transfer!CG162,Transfer!CT162,Transfer!DG162,Transfer!DT162,Transfer!EG162)</f>
        <v>-9999</v>
      </c>
      <c r="AJ162" s="1040">
        <f>CHOOSE(Tables!$U$2,Transfer!CH162,Transfer!CU162,Transfer!DH162,Transfer!DU162,Transfer!EH162)</f>
        <v>-9999</v>
      </c>
      <c r="AK162" s="1040">
        <f>CHOOSE(Tables!$U$2,Transfer!CI162,Transfer!CV162,Transfer!DI162,Transfer!DV162,Transfer!EI162)</f>
        <v>-9999</v>
      </c>
      <c r="AL162" s="1040">
        <f>CHOOSE(Tables!$U$2,Transfer!CJ162,Transfer!CW162,Transfer!DJ162,Transfer!DW162,Transfer!EJ162)</f>
        <v>-9999</v>
      </c>
      <c r="AM162" s="1040">
        <f>CHOOSE(Tables!$U$2,Transfer!CK162,Transfer!CX162,Transfer!DK162,Transfer!DX162,Transfer!EK162)</f>
        <v>-9999</v>
      </c>
      <c r="AN162" s="1040">
        <f>CHOOSE(Tables!$U$2,Transfer!CL162,Transfer!CY162,Transfer!DL162,Transfer!DY162,Transfer!EL162)</f>
        <v>-9999</v>
      </c>
      <c r="AO162" s="1040">
        <f>CHOOSE(Tables!$U$2,Transfer!CM162,Transfer!CZ162,Transfer!DM162,Transfer!DZ162,Transfer!EM162)</f>
        <v>-9999</v>
      </c>
      <c r="AR162" s="22">
        <v>62</v>
      </c>
      <c r="AS162" s="31" t="s">
        <v>555</v>
      </c>
      <c r="AT162" s="24">
        <f t="shared" ca="1" si="6"/>
        <v>-20.823302000000005</v>
      </c>
      <c r="AU162" s="24">
        <f t="shared" ca="1" si="6"/>
        <v>-21.1135116384391</v>
      </c>
      <c r="AV162" s="24">
        <f t="shared" ca="1" si="6"/>
        <v>-22.335413038771801</v>
      </c>
      <c r="AW162" s="24">
        <f t="shared" ca="1" si="6"/>
        <v>-23.745447450625623</v>
      </c>
      <c r="AX162" s="24">
        <f t="shared" ca="1" si="6"/>
        <v>-25.480635180168083</v>
      </c>
      <c r="AY162" s="25">
        <f t="shared" si="6"/>
        <v>0</v>
      </c>
      <c r="AZ162" s="25">
        <f t="shared" si="6"/>
        <v>0</v>
      </c>
      <c r="BA162" s="25">
        <f t="shared" si="6"/>
        <v>0</v>
      </c>
      <c r="BB162" s="25">
        <f t="shared" si="6"/>
        <v>0</v>
      </c>
      <c r="BC162" s="25">
        <f t="shared" si="6"/>
        <v>0</v>
      </c>
      <c r="BD162" s="25">
        <f t="shared" si="6"/>
        <v>0</v>
      </c>
      <c r="BE162" s="25">
        <f t="shared" si="6"/>
        <v>0</v>
      </c>
      <c r="BF162" s="25">
        <f t="shared" si="6"/>
        <v>0</v>
      </c>
      <c r="CA162" s="16">
        <v>10.834</v>
      </c>
      <c r="CB162" s="16">
        <v>11.578239602027086</v>
      </c>
      <c r="CC162" s="16">
        <v>12.334108706681047</v>
      </c>
      <c r="CD162" s="16">
        <v>12.985627062735508</v>
      </c>
      <c r="CE162" s="16">
        <v>13.646227924185512</v>
      </c>
      <c r="CF162" s="16">
        <v>-9999</v>
      </c>
      <c r="CG162" s="16">
        <v>-9999</v>
      </c>
      <c r="CH162" s="16">
        <v>-9999</v>
      </c>
      <c r="CI162" s="16">
        <v>-9999</v>
      </c>
      <c r="CJ162" s="16">
        <v>-9999</v>
      </c>
      <c r="CK162" s="16">
        <v>-9999</v>
      </c>
      <c r="CL162" s="16">
        <v>-9999</v>
      </c>
      <c r="CM162" s="16">
        <v>-9999</v>
      </c>
      <c r="CN162" s="16">
        <v>10.258341056533828</v>
      </c>
      <c r="CO162" s="16">
        <v>10.79326923076923</v>
      </c>
      <c r="CP162" s="16">
        <v>11.452660914537013</v>
      </c>
      <c r="CQ162" s="16">
        <v>12.185789130858398</v>
      </c>
      <c r="CR162" s="16">
        <v>13.029462176293947</v>
      </c>
      <c r="CS162" s="16">
        <v>-9999</v>
      </c>
      <c r="CT162" s="16">
        <v>-9999</v>
      </c>
      <c r="CU162" s="16">
        <v>-9999</v>
      </c>
      <c r="CV162" s="16">
        <v>-9999</v>
      </c>
      <c r="CW162" s="16">
        <v>-9999</v>
      </c>
      <c r="CX162" s="16">
        <v>-9999</v>
      </c>
      <c r="CY162" s="16">
        <v>-9999</v>
      </c>
      <c r="CZ162" s="16">
        <v>-9999</v>
      </c>
      <c r="DA162" s="16">
        <v>10.792999999999999</v>
      </c>
      <c r="DB162" s="16">
        <v>11.452373557754067</v>
      </c>
      <c r="DC162" s="16">
        <v>12.151911148964832</v>
      </c>
      <c r="DD162" s="16">
        <v>12.903477844755805</v>
      </c>
      <c r="DE162" s="16">
        <v>13.702059428440391</v>
      </c>
      <c r="DF162" s="16">
        <v>-9999</v>
      </c>
      <c r="DG162" s="16">
        <v>-9999</v>
      </c>
      <c r="DH162" s="16">
        <v>-9999</v>
      </c>
      <c r="DI162" s="16">
        <v>-9999</v>
      </c>
      <c r="DJ162" s="16">
        <v>-9999</v>
      </c>
      <c r="DK162" s="16">
        <v>-9999</v>
      </c>
      <c r="DL162" s="16">
        <v>-9999</v>
      </c>
      <c r="DM162" s="16">
        <v>-9999</v>
      </c>
      <c r="DN162" s="16">
        <v>10.258341056533828</v>
      </c>
      <c r="DO162" s="16">
        <v>10.79326923076923</v>
      </c>
      <c r="DP162" s="16">
        <v>11.452660914537013</v>
      </c>
      <c r="DQ162" s="16">
        <v>12.185789130858398</v>
      </c>
      <c r="DR162" s="16">
        <v>13.029462176293947</v>
      </c>
      <c r="DS162" s="16">
        <v>-9999</v>
      </c>
      <c r="DT162" s="16">
        <v>-9999</v>
      </c>
      <c r="DU162" s="16">
        <v>-9999</v>
      </c>
      <c r="DV162" s="16">
        <v>-9999</v>
      </c>
      <c r="DW162" s="16">
        <v>-9999</v>
      </c>
      <c r="DX162" s="16">
        <v>-9999</v>
      </c>
      <c r="DY162" s="16">
        <v>-9999</v>
      </c>
      <c r="DZ162" s="16">
        <v>-9999</v>
      </c>
      <c r="EA162" s="2196">
        <v>33.132302000000003</v>
      </c>
      <c r="EB162" s="2196">
        <v>34.402511638439101</v>
      </c>
      <c r="EC162" s="2196">
        <v>36.697653165366233</v>
      </c>
      <c r="ED162" s="2196">
        <v>38.923022693005834</v>
      </c>
      <c r="EE162" s="2196">
        <v>41.5280064779325</v>
      </c>
      <c r="EF162" s="2197">
        <v>-9999</v>
      </c>
      <c r="EG162" s="2197">
        <v>-9999</v>
      </c>
      <c r="EH162" s="2197">
        <v>-9999</v>
      </c>
      <c r="EI162" s="2197">
        <v>-9999</v>
      </c>
      <c r="EJ162" s="2197">
        <v>-9999</v>
      </c>
      <c r="EK162" s="2197">
        <v>-9999</v>
      </c>
      <c r="EL162" s="2197">
        <v>-9999</v>
      </c>
      <c r="EM162" s="2197">
        <v>-9999</v>
      </c>
    </row>
    <row r="163" spans="1:143">
      <c r="A163" s="22">
        <v>63</v>
      </c>
      <c r="B163" s="1" t="s">
        <v>556</v>
      </c>
      <c r="C163" s="20">
        <f ca="1">OFFSET(Labour1!F32,0,Last_forecast_year - 3-InputY!$G$3)</f>
        <v>1171</v>
      </c>
      <c r="D163" s="20">
        <f ca="1">OFFSET(Labour1!G32,0,Last_forecast_year - 3-InputY!$G$3)</f>
        <v>1193.3</v>
      </c>
      <c r="E163" s="20">
        <f ca="1">OFFSET(Labour1!H32,0,Last_forecast_year - 3-InputY!$G$3)</f>
        <v>1191.7</v>
      </c>
      <c r="F163" s="20">
        <f ca="1">OFFSET(Labour1!I32,0,Last_forecast_year - 3-InputY!$G$3)</f>
        <v>1185.1548500000004</v>
      </c>
      <c r="G163" s="20">
        <f ca="1">OFFSET(Labour1!J32,0,Last_forecast_year - 3-InputY!$G$3)</f>
        <v>1182.6873098150004</v>
      </c>
      <c r="H163" s="25">
        <v>-9999</v>
      </c>
      <c r="I163" s="25">
        <v>-9999</v>
      </c>
      <c r="J163" s="25">
        <v>-9999</v>
      </c>
      <c r="K163" s="25">
        <v>-9999</v>
      </c>
      <c r="L163" s="25">
        <v>-9999</v>
      </c>
      <c r="M163" s="25">
        <v>-9999</v>
      </c>
      <c r="N163" s="25">
        <v>-9999</v>
      </c>
      <c r="O163" s="25">
        <v>-9999</v>
      </c>
      <c r="P163"/>
      <c r="Q163"/>
      <c r="R163"/>
      <c r="S163"/>
      <c r="T163"/>
      <c r="U163"/>
      <c r="AA163" s="22">
        <v>63</v>
      </c>
      <c r="AB163" s="1040" t="str">
        <f t="shared" si="3"/>
        <v>TOT. WAGE AND SALARY EARNERS PERSONS</v>
      </c>
      <c r="AC163" s="1040">
        <f>CHOOSE(Tables!$U$2,Transfer!CA163,Transfer!CN163,Transfer!DA163,Transfer!DN163,Transfer!EA163)</f>
        <v>1120.02</v>
      </c>
      <c r="AD163" s="1040">
        <f>CHOOSE(Tables!$U$2,Transfer!CB163,Transfer!CO163,Transfer!DB163,Transfer!DO163,Transfer!EB163)</f>
        <v>1133.93</v>
      </c>
      <c r="AE163" s="1040">
        <f>CHOOSE(Tables!$U$2,Transfer!CC163,Transfer!CP163,Transfer!DC163,Transfer!DP163,Transfer!EC163)</f>
        <v>1154.4727168855939</v>
      </c>
      <c r="AF163" s="1040">
        <f>CHOOSE(Tables!$U$2,Transfer!CD163,Transfer!CQ163,Transfer!DD163,Transfer!DQ163,Transfer!ED163)</f>
        <v>1174.5694868591722</v>
      </c>
      <c r="AG163" s="1040">
        <f>CHOOSE(Tables!$U$2,Transfer!CE163,Transfer!CR163,Transfer!DE163,Transfer!DR163,Transfer!EE163)</f>
        <v>1192.2808043546211</v>
      </c>
      <c r="AH163" s="1040">
        <f>CHOOSE(Tables!$U$2,Transfer!CF163,Transfer!CS163,Transfer!DF163,Transfer!DS163,Transfer!EF163)</f>
        <v>-9999</v>
      </c>
      <c r="AI163" s="1040">
        <f>CHOOSE(Tables!$U$2,Transfer!CG163,Transfer!CT163,Transfer!DG163,Transfer!DT163,Transfer!EG163)</f>
        <v>-9999</v>
      </c>
      <c r="AJ163" s="1040">
        <f>CHOOSE(Tables!$U$2,Transfer!CH163,Transfer!CU163,Transfer!DH163,Transfer!DU163,Transfer!EH163)</f>
        <v>-9999</v>
      </c>
      <c r="AK163" s="1040">
        <f>CHOOSE(Tables!$U$2,Transfer!CI163,Transfer!CV163,Transfer!DI163,Transfer!DV163,Transfer!EI163)</f>
        <v>-9999</v>
      </c>
      <c r="AL163" s="1040">
        <f>CHOOSE(Tables!$U$2,Transfer!CJ163,Transfer!CW163,Transfer!DJ163,Transfer!DW163,Transfer!EJ163)</f>
        <v>-9999</v>
      </c>
      <c r="AM163" s="1040">
        <f>CHOOSE(Tables!$U$2,Transfer!CK163,Transfer!CX163,Transfer!DK163,Transfer!DX163,Transfer!EK163)</f>
        <v>-9999</v>
      </c>
      <c r="AN163" s="1040">
        <f>CHOOSE(Tables!$U$2,Transfer!CL163,Transfer!CY163,Transfer!DL163,Transfer!DY163,Transfer!EL163)</f>
        <v>-9999</v>
      </c>
      <c r="AO163" s="1040">
        <f>CHOOSE(Tables!$U$2,Transfer!CM163,Transfer!CZ163,Transfer!DM163,Transfer!DZ163,Transfer!EM163)</f>
        <v>-9999</v>
      </c>
      <c r="AR163" s="22">
        <v>63</v>
      </c>
      <c r="AS163" s="1" t="s">
        <v>556</v>
      </c>
      <c r="AT163" s="20">
        <f t="shared" ca="1" si="6"/>
        <v>50.980000000000018</v>
      </c>
      <c r="AU163" s="20">
        <f t="shared" ca="1" si="6"/>
        <v>59.369999999999891</v>
      </c>
      <c r="AV163" s="20">
        <f t="shared" ca="1" si="6"/>
        <v>37.227283114406191</v>
      </c>
      <c r="AW163" s="20">
        <f t="shared" ca="1" si="6"/>
        <v>10.585363140828122</v>
      </c>
      <c r="AX163" s="20">
        <f t="shared" ca="1" si="6"/>
        <v>-9.5934945396206786</v>
      </c>
      <c r="AY163" s="25">
        <f t="shared" si="6"/>
        <v>0</v>
      </c>
      <c r="AZ163" s="25">
        <f t="shared" si="6"/>
        <v>0</v>
      </c>
      <c r="BA163" s="25">
        <f t="shared" si="6"/>
        <v>0</v>
      </c>
      <c r="BB163" s="25">
        <f t="shared" si="6"/>
        <v>0</v>
      </c>
      <c r="BC163" s="25">
        <f t="shared" si="6"/>
        <v>0</v>
      </c>
      <c r="BD163" s="25">
        <f t="shared" si="6"/>
        <v>0</v>
      </c>
      <c r="BE163" s="25">
        <f t="shared" si="6"/>
        <v>0</v>
      </c>
      <c r="BF163" s="25">
        <f t="shared" si="6"/>
        <v>0</v>
      </c>
      <c r="CA163" s="16">
        <v>1139.8399999999999</v>
      </c>
      <c r="CB163" s="16">
        <v>1158.18</v>
      </c>
      <c r="CC163" s="16">
        <v>1179.4709430550001</v>
      </c>
      <c r="CD163" s="16">
        <v>1182.7023826790123</v>
      </c>
      <c r="CE163" s="16">
        <v>1183.0098163439727</v>
      </c>
      <c r="CF163" s="16">
        <v>-9999</v>
      </c>
      <c r="CG163" s="16">
        <v>-9999</v>
      </c>
      <c r="CH163" s="16">
        <v>-9999</v>
      </c>
      <c r="CI163" s="16">
        <v>-9999</v>
      </c>
      <c r="CJ163" s="16">
        <v>-9999</v>
      </c>
      <c r="CK163" s="16">
        <v>-9999</v>
      </c>
      <c r="CL163" s="16">
        <v>-9999</v>
      </c>
      <c r="CM163" s="16">
        <v>-9999</v>
      </c>
      <c r="CN163" s="16">
        <v>1133.93</v>
      </c>
      <c r="CO163" s="16">
        <v>1139.8399999999999</v>
      </c>
      <c r="CP163" s="16">
        <v>1158.18</v>
      </c>
      <c r="CQ163" s="16">
        <v>1173.747916795</v>
      </c>
      <c r="CR163" s="16">
        <v>1189.5604758139125</v>
      </c>
      <c r="CS163" s="16">
        <v>-9999</v>
      </c>
      <c r="CT163" s="16">
        <v>-9999</v>
      </c>
      <c r="CU163" s="16">
        <v>-9999</v>
      </c>
      <c r="CV163" s="16">
        <v>-9999</v>
      </c>
      <c r="CW163" s="16">
        <v>-9999</v>
      </c>
      <c r="CX163" s="16">
        <v>-9999</v>
      </c>
      <c r="CY163" s="16">
        <v>-9999</v>
      </c>
      <c r="CZ163" s="16">
        <v>-9999</v>
      </c>
      <c r="DA163" s="16">
        <v>1139.8399999999999</v>
      </c>
      <c r="DB163" s="16">
        <v>1158.18</v>
      </c>
      <c r="DC163" s="16">
        <v>1173.747916795</v>
      </c>
      <c r="DD163" s="16">
        <v>1189.5604758139125</v>
      </c>
      <c r="DE163" s="16">
        <v>1205.621584665653</v>
      </c>
      <c r="DF163" s="16">
        <v>-9999</v>
      </c>
      <c r="DG163" s="16">
        <v>-9999</v>
      </c>
      <c r="DH163" s="16">
        <v>-9999</v>
      </c>
      <c r="DI163" s="16">
        <v>-9999</v>
      </c>
      <c r="DJ163" s="16">
        <v>-9999</v>
      </c>
      <c r="DK163" s="16">
        <v>-9999</v>
      </c>
      <c r="DL163" s="16">
        <v>-9999</v>
      </c>
      <c r="DM163" s="16">
        <v>-9999</v>
      </c>
      <c r="DN163" s="16">
        <v>1133.93</v>
      </c>
      <c r="DO163" s="16">
        <v>1139.8399999999999</v>
      </c>
      <c r="DP163" s="16">
        <v>1158.18</v>
      </c>
      <c r="DQ163" s="16">
        <v>1173.747916795</v>
      </c>
      <c r="DR163" s="16">
        <v>1189.5604758139125</v>
      </c>
      <c r="DS163" s="16">
        <v>-9999</v>
      </c>
      <c r="DT163" s="16">
        <v>-9999</v>
      </c>
      <c r="DU163" s="16">
        <v>-9999</v>
      </c>
      <c r="DV163" s="16">
        <v>-9999</v>
      </c>
      <c r="DW163" s="16">
        <v>-9999</v>
      </c>
      <c r="DX163" s="16">
        <v>-9999</v>
      </c>
      <c r="DY163" s="16">
        <v>-9999</v>
      </c>
      <c r="DZ163" s="16">
        <v>-9999</v>
      </c>
      <c r="EA163" s="2196">
        <v>1120.02</v>
      </c>
      <c r="EB163" s="2196">
        <v>1133.93</v>
      </c>
      <c r="EC163" s="2196">
        <v>1154.4727168855939</v>
      </c>
      <c r="ED163" s="2196">
        <v>1174.5694868591722</v>
      </c>
      <c r="EE163" s="2196">
        <v>1192.2808043546211</v>
      </c>
      <c r="EF163" s="2197">
        <v>-9999</v>
      </c>
      <c r="EG163" s="2197">
        <v>-9999</v>
      </c>
      <c r="EH163" s="2197">
        <v>-9999</v>
      </c>
      <c r="EI163" s="2197">
        <v>-9999</v>
      </c>
      <c r="EJ163" s="2197">
        <v>-9999</v>
      </c>
      <c r="EK163" s="2197">
        <v>-9999</v>
      </c>
      <c r="EL163" s="2197">
        <v>-9999</v>
      </c>
      <c r="EM163" s="2197">
        <v>-9999</v>
      </c>
    </row>
    <row r="164" spans="1:143">
      <c r="A164" s="22">
        <v>64</v>
      </c>
      <c r="B164" s="1" t="s">
        <v>558</v>
      </c>
      <c r="C164" s="34">
        <v>-9999</v>
      </c>
      <c r="D164" s="34">
        <v>-9999</v>
      </c>
      <c r="E164" s="34">
        <v>-9999</v>
      </c>
      <c r="F164" s="34">
        <v>-9999</v>
      </c>
      <c r="G164" s="34">
        <v>-9999</v>
      </c>
      <c r="H164" s="25">
        <v>-9999</v>
      </c>
      <c r="I164" s="25">
        <v>-9999</v>
      </c>
      <c r="J164" s="25">
        <v>-9999</v>
      </c>
      <c r="K164" s="25">
        <v>-9999</v>
      </c>
      <c r="L164" s="25">
        <v>-9999</v>
      </c>
      <c r="M164" s="25">
        <v>-9999</v>
      </c>
      <c r="N164" s="25">
        <v>-9999</v>
      </c>
      <c r="O164" s="25">
        <v>-9999</v>
      </c>
      <c r="P164" s="32"/>
      <c r="Q164" s="32"/>
      <c r="R164" s="32"/>
      <c r="S164" s="32"/>
      <c r="T164" s="32"/>
      <c r="U164" s="32"/>
      <c r="AA164" s="22">
        <v>64</v>
      </c>
      <c r="AB164" s="1040" t="str">
        <f t="shared" si="3"/>
        <v>TOT. WAGE AND SALARY EARNERS F.T.E.</v>
      </c>
      <c r="AC164" s="1040">
        <f>CHOOSE(Tables!$U$2,Transfer!CA164,Transfer!CN164,Transfer!DA164,Transfer!DN164,Transfer!EA164)</f>
        <v>-9999</v>
      </c>
      <c r="AD164" s="1040">
        <f>CHOOSE(Tables!$U$2,Transfer!CB164,Transfer!CO164,Transfer!DB164,Transfer!DO164,Transfer!EB164)</f>
        <v>-9999</v>
      </c>
      <c r="AE164" s="1040">
        <f>CHOOSE(Tables!$U$2,Transfer!CC164,Transfer!CP164,Transfer!DC164,Transfer!DP164,Transfer!EC164)</f>
        <v>-9999</v>
      </c>
      <c r="AF164" s="1040">
        <f>CHOOSE(Tables!$U$2,Transfer!CD164,Transfer!CQ164,Transfer!DD164,Transfer!DQ164,Transfer!ED164)</f>
        <v>-9999</v>
      </c>
      <c r="AG164" s="1040">
        <f>CHOOSE(Tables!$U$2,Transfer!CE164,Transfer!CR164,Transfer!DE164,Transfer!DR164,Transfer!EE164)</f>
        <v>-9999</v>
      </c>
      <c r="AH164" s="1040">
        <f>CHOOSE(Tables!$U$2,Transfer!CF164,Transfer!CS164,Transfer!DF164,Transfer!DS164,Transfer!EF164)</f>
        <v>-9999</v>
      </c>
      <c r="AI164" s="1040">
        <f>CHOOSE(Tables!$U$2,Transfer!CG164,Transfer!CT164,Transfer!DG164,Transfer!DT164,Transfer!EG164)</f>
        <v>-9999</v>
      </c>
      <c r="AJ164" s="1040">
        <f>CHOOSE(Tables!$U$2,Transfer!CH164,Transfer!CU164,Transfer!DH164,Transfer!DU164,Transfer!EH164)</f>
        <v>-9999</v>
      </c>
      <c r="AK164" s="1040">
        <f>CHOOSE(Tables!$U$2,Transfer!CI164,Transfer!CV164,Transfer!DI164,Transfer!DV164,Transfer!EI164)</f>
        <v>-9999</v>
      </c>
      <c r="AL164" s="1040">
        <f>CHOOSE(Tables!$U$2,Transfer!CJ164,Transfer!CW164,Transfer!DJ164,Transfer!DW164,Transfer!EJ164)</f>
        <v>-9999</v>
      </c>
      <c r="AM164" s="1040">
        <f>CHOOSE(Tables!$U$2,Transfer!CK164,Transfer!CX164,Transfer!DK164,Transfer!DX164,Transfer!EK164)</f>
        <v>-9999</v>
      </c>
      <c r="AN164" s="1040">
        <f>CHOOSE(Tables!$U$2,Transfer!CL164,Transfer!CY164,Transfer!DL164,Transfer!DY164,Transfer!EL164)</f>
        <v>-9999</v>
      </c>
      <c r="AO164" s="1040">
        <f>CHOOSE(Tables!$U$2,Transfer!CM164,Transfer!CZ164,Transfer!DM164,Transfer!DZ164,Transfer!EM164)</f>
        <v>-9999</v>
      </c>
      <c r="AR164" s="22">
        <v>64</v>
      </c>
      <c r="AS164" s="1" t="s">
        <v>558</v>
      </c>
      <c r="AT164" s="2068">
        <f t="shared" si="6"/>
        <v>0</v>
      </c>
      <c r="AU164" s="2068">
        <f t="shared" si="6"/>
        <v>0</v>
      </c>
      <c r="AV164" s="2068">
        <f t="shared" si="6"/>
        <v>0</v>
      </c>
      <c r="AW164" s="2068">
        <f t="shared" si="6"/>
        <v>0</v>
      </c>
      <c r="AX164" s="2068">
        <f t="shared" si="6"/>
        <v>0</v>
      </c>
      <c r="AY164" s="25">
        <f t="shared" si="6"/>
        <v>0</v>
      </c>
      <c r="AZ164" s="25">
        <f t="shared" si="6"/>
        <v>0</v>
      </c>
      <c r="BA164" s="25">
        <f t="shared" si="6"/>
        <v>0</v>
      </c>
      <c r="BB164" s="25">
        <f t="shared" si="6"/>
        <v>0</v>
      </c>
      <c r="BC164" s="25">
        <f t="shared" si="6"/>
        <v>0</v>
      </c>
      <c r="BD164" s="25">
        <f t="shared" si="6"/>
        <v>0</v>
      </c>
      <c r="BE164" s="25">
        <f t="shared" si="6"/>
        <v>0</v>
      </c>
      <c r="BF164" s="25">
        <f t="shared" si="6"/>
        <v>0</v>
      </c>
      <c r="CA164" s="16">
        <v>-9999</v>
      </c>
      <c r="CB164" s="16">
        <v>-9999</v>
      </c>
      <c r="CC164" s="16">
        <v>-9999</v>
      </c>
      <c r="CD164" s="16">
        <v>-9999</v>
      </c>
      <c r="CE164" s="16">
        <v>-9999</v>
      </c>
      <c r="CF164" s="16">
        <v>-9999</v>
      </c>
      <c r="CG164" s="16">
        <v>-9999</v>
      </c>
      <c r="CH164" s="16">
        <v>-9999</v>
      </c>
      <c r="CI164" s="16">
        <v>-9999</v>
      </c>
      <c r="CJ164" s="16">
        <v>-9999</v>
      </c>
      <c r="CK164" s="16">
        <v>-9999</v>
      </c>
      <c r="CL164" s="16">
        <v>-9999</v>
      </c>
      <c r="CM164" s="16">
        <v>-9999</v>
      </c>
      <c r="CN164" s="16">
        <v>-9999</v>
      </c>
      <c r="CO164" s="16">
        <v>-9999</v>
      </c>
      <c r="CP164" s="16">
        <v>-9999</v>
      </c>
      <c r="CQ164" s="16">
        <v>-9999</v>
      </c>
      <c r="CR164" s="16">
        <v>-9999</v>
      </c>
      <c r="CS164" s="16">
        <v>-9999</v>
      </c>
      <c r="CT164" s="16">
        <v>-9999</v>
      </c>
      <c r="CU164" s="16">
        <v>-9999</v>
      </c>
      <c r="CV164" s="16">
        <v>-9999</v>
      </c>
      <c r="CW164" s="16">
        <v>-9999</v>
      </c>
      <c r="CX164" s="16">
        <v>-9999</v>
      </c>
      <c r="CY164" s="16">
        <v>-9999</v>
      </c>
      <c r="CZ164" s="16">
        <v>-9999</v>
      </c>
      <c r="DA164" s="16">
        <v>-9999</v>
      </c>
      <c r="DB164" s="16">
        <v>-9999</v>
      </c>
      <c r="DC164" s="16">
        <v>-9999</v>
      </c>
      <c r="DD164" s="16">
        <v>-9999</v>
      </c>
      <c r="DE164" s="16">
        <v>-9999</v>
      </c>
      <c r="DF164" s="16">
        <v>-9999</v>
      </c>
      <c r="DG164" s="16">
        <v>-9999</v>
      </c>
      <c r="DH164" s="16">
        <v>-9999</v>
      </c>
      <c r="DI164" s="16">
        <v>-9999</v>
      </c>
      <c r="DJ164" s="16">
        <v>-9999</v>
      </c>
      <c r="DK164" s="16">
        <v>-9999</v>
      </c>
      <c r="DL164" s="16">
        <v>-9999</v>
      </c>
      <c r="DM164" s="16">
        <v>-9999</v>
      </c>
      <c r="DN164" s="16">
        <v>-9999</v>
      </c>
      <c r="DO164" s="16">
        <v>-9999</v>
      </c>
      <c r="DP164" s="16">
        <v>-9999</v>
      </c>
      <c r="DQ164" s="16">
        <v>-9999</v>
      </c>
      <c r="DR164" s="16">
        <v>-9999</v>
      </c>
      <c r="DS164" s="16">
        <v>-9999</v>
      </c>
      <c r="DT164" s="16">
        <v>-9999</v>
      </c>
      <c r="DU164" s="16">
        <v>-9999</v>
      </c>
      <c r="DV164" s="16">
        <v>-9999</v>
      </c>
      <c r="DW164" s="16">
        <v>-9999</v>
      </c>
      <c r="DX164" s="16">
        <v>-9999</v>
      </c>
      <c r="DY164" s="16">
        <v>-9999</v>
      </c>
      <c r="DZ164" s="16">
        <v>-9999</v>
      </c>
      <c r="EA164" s="2197">
        <v>-9999</v>
      </c>
      <c r="EB164" s="2197">
        <v>-9999</v>
      </c>
      <c r="EC164" s="2197">
        <v>-9999</v>
      </c>
      <c r="ED164" s="2197">
        <v>-9999</v>
      </c>
      <c r="EE164" s="2197">
        <v>-9999</v>
      </c>
      <c r="EF164" s="2197">
        <v>-9999</v>
      </c>
      <c r="EG164" s="2197">
        <v>-9999</v>
      </c>
      <c r="EH164" s="2197">
        <v>-9999</v>
      </c>
      <c r="EI164" s="2197">
        <v>-9999</v>
      </c>
      <c r="EJ164" s="2197">
        <v>-9999</v>
      </c>
      <c r="EK164" s="2197">
        <v>-9999</v>
      </c>
      <c r="EL164" s="2197">
        <v>-9999</v>
      </c>
      <c r="EM164" s="2197">
        <v>-9999</v>
      </c>
    </row>
    <row r="165" spans="1:143">
      <c r="A165" s="22">
        <v>65</v>
      </c>
      <c r="B165" s="36" t="s">
        <v>1705</v>
      </c>
      <c r="C165" s="25">
        <v>-9999</v>
      </c>
      <c r="D165" s="25">
        <v>-9999</v>
      </c>
      <c r="E165" s="25">
        <v>-9999</v>
      </c>
      <c r="F165" s="25">
        <v>-9999</v>
      </c>
      <c r="G165" s="25">
        <v>-9999</v>
      </c>
      <c r="H165" s="25">
        <v>-9999</v>
      </c>
      <c r="I165" s="25">
        <v>-9999</v>
      </c>
      <c r="J165" s="25">
        <v>-9999</v>
      </c>
      <c r="K165" s="25">
        <v>-9999</v>
      </c>
      <c r="L165" s="25">
        <v>-9999</v>
      </c>
      <c r="M165" s="25">
        <v>-9999</v>
      </c>
      <c r="N165" s="25">
        <v>-9999</v>
      </c>
      <c r="O165" s="25">
        <v>-9999</v>
      </c>
      <c r="P165" s="32"/>
      <c r="Q165"/>
      <c r="R165"/>
      <c r="S165"/>
      <c r="T165"/>
      <c r="AA165" s="22">
        <v>65</v>
      </c>
      <c r="AB165" s="1040" t="str">
        <f t="shared" si="3"/>
        <v>FOR FUTURE USE</v>
      </c>
      <c r="AC165" s="1040">
        <f>CHOOSE(Tables!$U$2,Transfer!CA165,Transfer!CN165,Transfer!DA165,Transfer!DN165,Transfer!EA165)</f>
        <v>-9999</v>
      </c>
      <c r="AD165" s="1040">
        <f>CHOOSE(Tables!$U$2,Transfer!CB165,Transfer!CO165,Transfer!DB165,Transfer!DO165,Transfer!EB165)</f>
        <v>-9999</v>
      </c>
      <c r="AE165" s="1040">
        <f>CHOOSE(Tables!$U$2,Transfer!CC165,Transfer!CP165,Transfer!DC165,Transfer!DP165,Transfer!EC165)</f>
        <v>-9999</v>
      </c>
      <c r="AF165" s="1040">
        <f>CHOOSE(Tables!$U$2,Transfer!CD165,Transfer!CQ165,Transfer!DD165,Transfer!DQ165,Transfer!ED165)</f>
        <v>-9999</v>
      </c>
      <c r="AG165" s="1040">
        <f>CHOOSE(Tables!$U$2,Transfer!CE165,Transfer!CR165,Transfer!DE165,Transfer!DR165,Transfer!EE165)</f>
        <v>-9999</v>
      </c>
      <c r="AH165" s="1040">
        <f>CHOOSE(Tables!$U$2,Transfer!CF165,Transfer!CS165,Transfer!DF165,Transfer!DS165,Transfer!EF165)</f>
        <v>-9999</v>
      </c>
      <c r="AI165" s="1040">
        <f>CHOOSE(Tables!$U$2,Transfer!CG165,Transfer!CT165,Transfer!DG165,Transfer!DT165,Transfer!EG165)</f>
        <v>-9999</v>
      </c>
      <c r="AJ165" s="1040">
        <f>CHOOSE(Tables!$U$2,Transfer!CH165,Transfer!CU165,Transfer!DH165,Transfer!DU165,Transfer!EH165)</f>
        <v>-9999</v>
      </c>
      <c r="AK165" s="1040">
        <f>CHOOSE(Tables!$U$2,Transfer!CI165,Transfer!CV165,Transfer!DI165,Transfer!DV165,Transfer!EI165)</f>
        <v>-9999</v>
      </c>
      <c r="AL165" s="1040">
        <f>CHOOSE(Tables!$U$2,Transfer!CJ165,Transfer!CW165,Transfer!DJ165,Transfer!DW165,Transfer!EJ165)</f>
        <v>-9999</v>
      </c>
      <c r="AM165" s="1040">
        <f>CHOOSE(Tables!$U$2,Transfer!CK165,Transfer!CX165,Transfer!DK165,Transfer!DX165,Transfer!EK165)</f>
        <v>-9999</v>
      </c>
      <c r="AN165" s="1040">
        <f>CHOOSE(Tables!$U$2,Transfer!CL165,Transfer!CY165,Transfer!DL165,Transfer!DY165,Transfer!EL165)</f>
        <v>-9999</v>
      </c>
      <c r="AO165" s="1040">
        <f>CHOOSE(Tables!$U$2,Transfer!CM165,Transfer!CZ165,Transfer!DM165,Transfer!DZ165,Transfer!EM165)</f>
        <v>-9999</v>
      </c>
      <c r="AR165" s="22">
        <v>65</v>
      </c>
      <c r="AS165" s="1" t="s">
        <v>581</v>
      </c>
      <c r="AT165" s="1344">
        <f t="shared" si="6"/>
        <v>0</v>
      </c>
      <c r="AU165" s="1344">
        <f t="shared" si="6"/>
        <v>0</v>
      </c>
      <c r="AV165" s="1344">
        <f t="shared" si="6"/>
        <v>0</v>
      </c>
      <c r="AW165" s="1344">
        <f t="shared" si="6"/>
        <v>0</v>
      </c>
      <c r="AX165" s="1344">
        <f t="shared" si="6"/>
        <v>0</v>
      </c>
      <c r="AY165" s="25">
        <f t="shared" si="6"/>
        <v>0</v>
      </c>
      <c r="AZ165" s="25">
        <f t="shared" si="6"/>
        <v>0</v>
      </c>
      <c r="BA165" s="25">
        <f t="shared" si="6"/>
        <v>0</v>
      </c>
      <c r="BB165" s="25">
        <f t="shared" ref="AZ165:BF201" si="7">K165-AK165</f>
        <v>0</v>
      </c>
      <c r="BC165" s="25">
        <f t="shared" si="7"/>
        <v>0</v>
      </c>
      <c r="BD165" s="25">
        <f t="shared" si="7"/>
        <v>0</v>
      </c>
      <c r="BE165" s="25">
        <f t="shared" si="7"/>
        <v>0</v>
      </c>
      <c r="BF165" s="25">
        <f t="shared" si="7"/>
        <v>0</v>
      </c>
      <c r="CA165" s="16">
        <v>-9999</v>
      </c>
      <c r="CB165" s="16">
        <v>-9999</v>
      </c>
      <c r="CC165" s="16">
        <v>-9999</v>
      </c>
      <c r="CD165" s="16">
        <v>-9999</v>
      </c>
      <c r="CE165" s="16">
        <v>-9999</v>
      </c>
      <c r="CF165" s="16">
        <v>-9999</v>
      </c>
      <c r="CG165" s="16">
        <v>-9999</v>
      </c>
      <c r="CH165" s="16">
        <v>-9999</v>
      </c>
      <c r="CI165" s="16">
        <v>-9999</v>
      </c>
      <c r="CJ165" s="16">
        <v>-9999</v>
      </c>
      <c r="CK165" s="16">
        <v>-9999</v>
      </c>
      <c r="CL165" s="16">
        <v>-9999</v>
      </c>
      <c r="CM165" s="16">
        <v>-9999</v>
      </c>
      <c r="CN165" s="16">
        <v>-9999</v>
      </c>
      <c r="CO165" s="16">
        <v>-9999</v>
      </c>
      <c r="CP165" s="16">
        <v>-9999</v>
      </c>
      <c r="CQ165" s="16">
        <v>-9999</v>
      </c>
      <c r="CR165" s="16">
        <v>-9999</v>
      </c>
      <c r="CS165" s="16">
        <v>-9999</v>
      </c>
      <c r="CT165" s="16">
        <v>-9999</v>
      </c>
      <c r="CU165" s="16">
        <v>-9999</v>
      </c>
      <c r="CV165" s="16">
        <v>-9999</v>
      </c>
      <c r="CW165" s="16">
        <v>-9999</v>
      </c>
      <c r="CX165" s="16">
        <v>-9999</v>
      </c>
      <c r="CY165" s="16">
        <v>-9999</v>
      </c>
      <c r="CZ165" s="16">
        <v>-9999</v>
      </c>
      <c r="DA165" s="16">
        <v>-9999</v>
      </c>
      <c r="DB165" s="16">
        <v>-9999</v>
      </c>
      <c r="DC165" s="16">
        <v>-9999</v>
      </c>
      <c r="DD165" s="16">
        <v>-9999</v>
      </c>
      <c r="DE165" s="16">
        <v>-9999</v>
      </c>
      <c r="DF165" s="16">
        <v>-9999</v>
      </c>
      <c r="DG165" s="16">
        <v>-9999</v>
      </c>
      <c r="DH165" s="16">
        <v>-9999</v>
      </c>
      <c r="DI165" s="16">
        <v>-9999</v>
      </c>
      <c r="DJ165" s="16">
        <v>-9999</v>
      </c>
      <c r="DK165" s="16">
        <v>-9999</v>
      </c>
      <c r="DL165" s="16">
        <v>-9999</v>
      </c>
      <c r="DM165" s="16">
        <v>-9999</v>
      </c>
      <c r="DN165" s="16">
        <v>-9999</v>
      </c>
      <c r="DO165" s="16">
        <v>-9999</v>
      </c>
      <c r="DP165" s="16">
        <v>-9999</v>
      </c>
      <c r="DQ165" s="16">
        <v>-9999</v>
      </c>
      <c r="DR165" s="16">
        <v>-9999</v>
      </c>
      <c r="DS165" s="16">
        <v>-9999</v>
      </c>
      <c r="DT165" s="16">
        <v>-9999</v>
      </c>
      <c r="DU165" s="16">
        <v>-9999</v>
      </c>
      <c r="DV165" s="16">
        <v>-9999</v>
      </c>
      <c r="DW165" s="16">
        <v>-9999</v>
      </c>
      <c r="DX165" s="16">
        <v>-9999</v>
      </c>
      <c r="DY165" s="16">
        <v>-9999</v>
      </c>
      <c r="DZ165" s="16">
        <v>-9999</v>
      </c>
      <c r="EA165" s="2196">
        <v>-9999</v>
      </c>
      <c r="EB165" s="2196">
        <v>-9999</v>
      </c>
      <c r="EC165" s="2196">
        <v>-9999</v>
      </c>
      <c r="ED165" s="2196">
        <v>-9999</v>
      </c>
      <c r="EE165" s="2196">
        <v>-9999</v>
      </c>
      <c r="EF165" s="2197">
        <v>-9999</v>
      </c>
      <c r="EG165" s="2197">
        <v>-9999</v>
      </c>
      <c r="EH165" s="2197">
        <v>-9999</v>
      </c>
      <c r="EI165" s="2197">
        <v>-9999</v>
      </c>
      <c r="EJ165" s="2197">
        <v>-9999</v>
      </c>
      <c r="EK165" s="2197">
        <v>-9999</v>
      </c>
      <c r="EL165" s="2197">
        <v>-9999</v>
      </c>
      <c r="EM165" s="2197">
        <v>-9999</v>
      </c>
    </row>
    <row r="166" spans="1:143">
      <c r="A166" s="22">
        <v>66</v>
      </c>
      <c r="B166" s="36" t="s">
        <v>1705</v>
      </c>
      <c r="C166" s="25">
        <v>-9999</v>
      </c>
      <c r="D166" s="25">
        <v>-9999</v>
      </c>
      <c r="E166" s="25">
        <v>-9999</v>
      </c>
      <c r="F166" s="25">
        <v>-9999</v>
      </c>
      <c r="G166" s="25">
        <v>-9999</v>
      </c>
      <c r="H166" s="25">
        <v>-9999</v>
      </c>
      <c r="I166" s="25">
        <v>-9999</v>
      </c>
      <c r="J166" s="25">
        <v>-9999</v>
      </c>
      <c r="K166" s="25">
        <v>-9999</v>
      </c>
      <c r="L166" s="25">
        <v>-9999</v>
      </c>
      <c r="M166" s="25">
        <v>-9999</v>
      </c>
      <c r="N166" s="25">
        <v>-9999</v>
      </c>
      <c r="O166" s="25">
        <v>-9999</v>
      </c>
      <c r="P166" s="32"/>
      <c r="Q166" s="32"/>
      <c r="R166" s="32"/>
      <c r="S166" s="32"/>
      <c r="T166" s="32"/>
      <c r="AA166" s="22">
        <v>66</v>
      </c>
      <c r="AB166" s="1040" t="str">
        <f t="shared" ref="AB166:AB229" si="8">+B166</f>
        <v>FOR FUTURE USE</v>
      </c>
      <c r="AC166" s="1040">
        <f>CHOOSE(Tables!$U$2,Transfer!CA166,Transfer!CN166,Transfer!DA166,Transfer!DN166,Transfer!EA166)</f>
        <v>-9999</v>
      </c>
      <c r="AD166" s="1040">
        <f>CHOOSE(Tables!$U$2,Transfer!CB166,Transfer!CO166,Transfer!DB166,Transfer!DO166,Transfer!EB166)</f>
        <v>-9999</v>
      </c>
      <c r="AE166" s="1040">
        <f>CHOOSE(Tables!$U$2,Transfer!CC166,Transfer!CP166,Transfer!DC166,Transfer!DP166,Transfer!EC166)</f>
        <v>-9999</v>
      </c>
      <c r="AF166" s="1040">
        <f>CHOOSE(Tables!$U$2,Transfer!CD166,Transfer!CQ166,Transfer!DD166,Transfer!DQ166,Transfer!ED166)</f>
        <v>-9999</v>
      </c>
      <c r="AG166" s="1040">
        <f>CHOOSE(Tables!$U$2,Transfer!CE166,Transfer!CR166,Transfer!DE166,Transfer!DR166,Transfer!EE166)</f>
        <v>-9999</v>
      </c>
      <c r="AH166" s="1040">
        <f>CHOOSE(Tables!$U$2,Transfer!CF166,Transfer!CS166,Transfer!DF166,Transfer!DS166,Transfer!EF166)</f>
        <v>-9999</v>
      </c>
      <c r="AI166" s="1040">
        <f>CHOOSE(Tables!$U$2,Transfer!CG166,Transfer!CT166,Transfer!DG166,Transfer!DT166,Transfer!EG166)</f>
        <v>-9999</v>
      </c>
      <c r="AJ166" s="1040">
        <f>CHOOSE(Tables!$U$2,Transfer!CH166,Transfer!CU166,Transfer!DH166,Transfer!DU166,Transfer!EH166)</f>
        <v>-9999</v>
      </c>
      <c r="AK166" s="1040">
        <f>CHOOSE(Tables!$U$2,Transfer!CI166,Transfer!CV166,Transfer!DI166,Transfer!DV166,Transfer!EI166)</f>
        <v>-9999</v>
      </c>
      <c r="AL166" s="1040">
        <f>CHOOSE(Tables!$U$2,Transfer!CJ166,Transfer!CW166,Transfer!DJ166,Transfer!DW166,Transfer!EJ166)</f>
        <v>-9999</v>
      </c>
      <c r="AM166" s="1040">
        <f>CHOOSE(Tables!$U$2,Transfer!CK166,Transfer!CX166,Transfer!DK166,Transfer!DX166,Transfer!EK166)</f>
        <v>-9999</v>
      </c>
      <c r="AN166" s="1040">
        <f>CHOOSE(Tables!$U$2,Transfer!CL166,Transfer!CY166,Transfer!DL166,Transfer!DY166,Transfer!EL166)</f>
        <v>-9999</v>
      </c>
      <c r="AO166" s="1040">
        <f>CHOOSE(Tables!$U$2,Transfer!CM166,Transfer!CZ166,Transfer!DM166,Transfer!DZ166,Transfer!EM166)</f>
        <v>-9999</v>
      </c>
      <c r="AR166" s="22">
        <v>66</v>
      </c>
      <c r="AS166" s="1" t="s">
        <v>582</v>
      </c>
      <c r="AT166" s="24">
        <f t="shared" ref="AT166:BB181" si="9">C166-AC166</f>
        <v>0</v>
      </c>
      <c r="AU166" s="24">
        <f t="shared" si="9"/>
        <v>0</v>
      </c>
      <c r="AV166" s="24">
        <f t="shared" si="9"/>
        <v>0</v>
      </c>
      <c r="AW166" s="24">
        <f t="shared" si="9"/>
        <v>0</v>
      </c>
      <c r="AX166" s="1344">
        <f t="shared" si="9"/>
        <v>0</v>
      </c>
      <c r="AY166" s="25">
        <f t="shared" si="9"/>
        <v>0</v>
      </c>
      <c r="AZ166" s="25">
        <f t="shared" si="7"/>
        <v>0</v>
      </c>
      <c r="BA166" s="25">
        <f t="shared" si="7"/>
        <v>0</v>
      </c>
      <c r="BB166" s="25">
        <f t="shared" si="7"/>
        <v>0</v>
      </c>
      <c r="BC166" s="25">
        <f t="shared" si="7"/>
        <v>0</v>
      </c>
      <c r="BD166" s="25">
        <f t="shared" si="7"/>
        <v>0</v>
      </c>
      <c r="BE166" s="25">
        <f t="shared" si="7"/>
        <v>0</v>
      </c>
      <c r="BF166" s="25">
        <f t="shared" si="7"/>
        <v>0</v>
      </c>
      <c r="CA166" s="16">
        <v>-9999</v>
      </c>
      <c r="CB166" s="16">
        <v>-9999</v>
      </c>
      <c r="CC166" s="16">
        <v>-9999</v>
      </c>
      <c r="CD166" s="16">
        <v>-9999</v>
      </c>
      <c r="CE166" s="16">
        <v>-9999</v>
      </c>
      <c r="CF166" s="16">
        <v>-9999</v>
      </c>
      <c r="CG166" s="16">
        <v>-9999</v>
      </c>
      <c r="CH166" s="16">
        <v>-9999</v>
      </c>
      <c r="CI166" s="16">
        <v>-9999</v>
      </c>
      <c r="CJ166" s="16">
        <v>-9999</v>
      </c>
      <c r="CK166" s="16">
        <v>-9999</v>
      </c>
      <c r="CL166" s="16">
        <v>-9999</v>
      </c>
      <c r="CM166" s="16">
        <v>-9999</v>
      </c>
      <c r="CN166" s="16">
        <v>-9999</v>
      </c>
      <c r="CO166" s="16">
        <v>-9999</v>
      </c>
      <c r="CP166" s="16">
        <v>-9999</v>
      </c>
      <c r="CQ166" s="16">
        <v>-9999</v>
      </c>
      <c r="CR166" s="16">
        <v>-9999</v>
      </c>
      <c r="CS166" s="16">
        <v>-9999</v>
      </c>
      <c r="CT166" s="16">
        <v>-9999</v>
      </c>
      <c r="CU166" s="16">
        <v>-9999</v>
      </c>
      <c r="CV166" s="16">
        <v>-9999</v>
      </c>
      <c r="CW166" s="16">
        <v>-9999</v>
      </c>
      <c r="CX166" s="16">
        <v>-9999</v>
      </c>
      <c r="CY166" s="16">
        <v>-9999</v>
      </c>
      <c r="CZ166" s="16">
        <v>-9999</v>
      </c>
      <c r="DA166" s="16">
        <v>-9999</v>
      </c>
      <c r="DB166" s="16">
        <v>-9999</v>
      </c>
      <c r="DC166" s="16">
        <v>-9999</v>
      </c>
      <c r="DD166" s="16">
        <v>-9999</v>
      </c>
      <c r="DE166" s="16">
        <v>-9999</v>
      </c>
      <c r="DF166" s="16">
        <v>-9999</v>
      </c>
      <c r="DG166" s="16">
        <v>-9999</v>
      </c>
      <c r="DH166" s="16">
        <v>-9999</v>
      </c>
      <c r="DI166" s="16">
        <v>-9999</v>
      </c>
      <c r="DJ166" s="16">
        <v>-9999</v>
      </c>
      <c r="DK166" s="16">
        <v>-9999</v>
      </c>
      <c r="DL166" s="16">
        <v>-9999</v>
      </c>
      <c r="DM166" s="16">
        <v>-9999</v>
      </c>
      <c r="DN166" s="16">
        <v>-9999</v>
      </c>
      <c r="DO166" s="16">
        <v>-9999</v>
      </c>
      <c r="DP166" s="16">
        <v>-9999</v>
      </c>
      <c r="DQ166" s="16">
        <v>-9999</v>
      </c>
      <c r="DR166" s="16">
        <v>-9999</v>
      </c>
      <c r="DS166" s="16">
        <v>-9999</v>
      </c>
      <c r="DT166" s="16">
        <v>-9999</v>
      </c>
      <c r="DU166" s="16">
        <v>-9999</v>
      </c>
      <c r="DV166" s="16">
        <v>-9999</v>
      </c>
      <c r="DW166" s="16">
        <v>-9999</v>
      </c>
      <c r="DX166" s="16">
        <v>-9999</v>
      </c>
      <c r="DY166" s="16">
        <v>-9999</v>
      </c>
      <c r="DZ166" s="16">
        <v>-9999</v>
      </c>
      <c r="EA166" s="2196">
        <v>-9999</v>
      </c>
      <c r="EB166" s="2196">
        <v>-9999</v>
      </c>
      <c r="EC166" s="2196">
        <v>-9999</v>
      </c>
      <c r="ED166" s="2196">
        <v>-9999</v>
      </c>
      <c r="EE166" s="2196">
        <v>-9999</v>
      </c>
      <c r="EF166" s="2197">
        <v>-9999</v>
      </c>
      <c r="EG166" s="2197">
        <v>-9999</v>
      </c>
      <c r="EH166" s="2197">
        <v>-9999</v>
      </c>
      <c r="EI166" s="2197">
        <v>-9999</v>
      </c>
      <c r="EJ166" s="2197">
        <v>-9999</v>
      </c>
      <c r="EK166" s="2197">
        <v>-9999</v>
      </c>
      <c r="EL166" s="2197">
        <v>-9999</v>
      </c>
      <c r="EM166" s="2197">
        <v>-9999</v>
      </c>
    </row>
    <row r="167" spans="1:143">
      <c r="A167" s="22">
        <v>67</v>
      </c>
      <c r="B167" s="36" t="s">
        <v>1705</v>
      </c>
      <c r="C167" s="25">
        <v>-9999</v>
      </c>
      <c r="D167" s="25">
        <v>-9999</v>
      </c>
      <c r="E167" s="25">
        <v>-9999</v>
      </c>
      <c r="F167" s="25">
        <v>-9999</v>
      </c>
      <c r="G167" s="25">
        <v>-9999</v>
      </c>
      <c r="H167" s="25">
        <v>-9999</v>
      </c>
      <c r="I167" s="25">
        <v>-9999</v>
      </c>
      <c r="J167" s="25">
        <v>-9999</v>
      </c>
      <c r="K167" s="25">
        <v>-9999</v>
      </c>
      <c r="L167" s="25">
        <v>-9999</v>
      </c>
      <c r="M167" s="25">
        <v>-9999</v>
      </c>
      <c r="N167" s="25">
        <v>-9999</v>
      </c>
      <c r="O167" s="25">
        <v>-9999</v>
      </c>
      <c r="P167"/>
      <c r="Q167"/>
      <c r="R167"/>
      <c r="S167"/>
      <c r="T167"/>
      <c r="U167"/>
      <c r="AA167" s="22">
        <v>67</v>
      </c>
      <c r="AB167" s="1040" t="str">
        <f t="shared" si="8"/>
        <v>FOR FUTURE USE</v>
      </c>
      <c r="AC167" s="1040">
        <f>CHOOSE(Tables!$U$2,Transfer!CA167,Transfer!CN167,Transfer!DA167,Transfer!DN167,Transfer!EA167)</f>
        <v>-9999</v>
      </c>
      <c r="AD167" s="1040">
        <f>CHOOSE(Tables!$U$2,Transfer!CB167,Transfer!CO167,Transfer!DB167,Transfer!DO167,Transfer!EB167)</f>
        <v>-9999</v>
      </c>
      <c r="AE167" s="1040">
        <f>CHOOSE(Tables!$U$2,Transfer!CC167,Transfer!CP167,Transfer!DC167,Transfer!DP167,Transfer!EC167)</f>
        <v>-9999</v>
      </c>
      <c r="AF167" s="1040">
        <f>CHOOSE(Tables!$U$2,Transfer!CD167,Transfer!CQ167,Transfer!DD167,Transfer!DQ167,Transfer!ED167)</f>
        <v>-9999</v>
      </c>
      <c r="AG167" s="1040">
        <f>CHOOSE(Tables!$U$2,Transfer!CE167,Transfer!CR167,Transfer!DE167,Transfer!DR167,Transfer!EE167)</f>
        <v>-9999</v>
      </c>
      <c r="AH167" s="1040">
        <f>CHOOSE(Tables!$U$2,Transfer!CF167,Transfer!CS167,Transfer!DF167,Transfer!DS167,Transfer!EF167)</f>
        <v>-9999</v>
      </c>
      <c r="AI167" s="1040">
        <f>CHOOSE(Tables!$U$2,Transfer!CG167,Transfer!CT167,Transfer!DG167,Transfer!DT167,Transfer!EG167)</f>
        <v>-9999</v>
      </c>
      <c r="AJ167" s="1040">
        <f>CHOOSE(Tables!$U$2,Transfer!CH167,Transfer!CU167,Transfer!DH167,Transfer!DU167,Transfer!EH167)</f>
        <v>-9999</v>
      </c>
      <c r="AK167" s="1040">
        <f>CHOOSE(Tables!$U$2,Transfer!CI167,Transfer!CV167,Transfer!DI167,Transfer!DV167,Transfer!EI167)</f>
        <v>-9999</v>
      </c>
      <c r="AL167" s="1040">
        <f>CHOOSE(Tables!$U$2,Transfer!CJ167,Transfer!CW167,Transfer!DJ167,Transfer!DW167,Transfer!EJ167)</f>
        <v>-9999</v>
      </c>
      <c r="AM167" s="1040">
        <f>CHOOSE(Tables!$U$2,Transfer!CK167,Transfer!CX167,Transfer!DK167,Transfer!DX167,Transfer!EK167)</f>
        <v>-9999</v>
      </c>
      <c r="AN167" s="1040">
        <f>CHOOSE(Tables!$U$2,Transfer!CL167,Transfer!CY167,Transfer!DL167,Transfer!DY167,Transfer!EL167)</f>
        <v>-9999</v>
      </c>
      <c r="AO167" s="1040">
        <f>CHOOSE(Tables!$U$2,Transfer!CM167,Transfer!CZ167,Transfer!DM167,Transfer!DZ167,Transfer!EM167)</f>
        <v>-9999</v>
      </c>
      <c r="AR167" s="22">
        <v>67</v>
      </c>
      <c r="AS167" s="1" t="s">
        <v>559</v>
      </c>
      <c r="AT167" s="20">
        <f t="shared" si="9"/>
        <v>0</v>
      </c>
      <c r="AU167" s="20">
        <f t="shared" si="9"/>
        <v>0</v>
      </c>
      <c r="AV167" s="20">
        <f t="shared" si="9"/>
        <v>0</v>
      </c>
      <c r="AW167" s="20">
        <f t="shared" si="9"/>
        <v>0</v>
      </c>
      <c r="AX167" s="20">
        <f t="shared" si="9"/>
        <v>0</v>
      </c>
      <c r="AY167" s="25">
        <f t="shared" si="9"/>
        <v>0</v>
      </c>
      <c r="AZ167" s="25">
        <f t="shared" si="7"/>
        <v>0</v>
      </c>
      <c r="BA167" s="25">
        <f t="shared" si="7"/>
        <v>0</v>
      </c>
      <c r="BB167" s="25">
        <f t="shared" si="7"/>
        <v>0</v>
      </c>
      <c r="BC167" s="25">
        <f t="shared" si="7"/>
        <v>0</v>
      </c>
      <c r="BD167" s="25">
        <f t="shared" si="7"/>
        <v>0</v>
      </c>
      <c r="BE167" s="25">
        <f t="shared" si="7"/>
        <v>0</v>
      </c>
      <c r="BF167" s="25">
        <f t="shared" si="7"/>
        <v>0</v>
      </c>
      <c r="CA167" s="16">
        <v>-9999</v>
      </c>
      <c r="CB167" s="16">
        <v>-9999</v>
      </c>
      <c r="CC167" s="16">
        <v>-9999</v>
      </c>
      <c r="CD167" s="16">
        <v>-9999</v>
      </c>
      <c r="CE167" s="16">
        <v>-9999</v>
      </c>
      <c r="CF167" s="16">
        <v>-9999</v>
      </c>
      <c r="CG167" s="16">
        <v>-9999</v>
      </c>
      <c r="CH167" s="16">
        <v>-9999</v>
      </c>
      <c r="CI167" s="16">
        <v>-9999</v>
      </c>
      <c r="CJ167" s="16">
        <v>-9999</v>
      </c>
      <c r="CK167" s="16">
        <v>-9999</v>
      </c>
      <c r="CL167" s="16">
        <v>-9999</v>
      </c>
      <c r="CM167" s="16">
        <v>-9999</v>
      </c>
      <c r="CN167" s="16">
        <v>-9999</v>
      </c>
      <c r="CO167" s="16">
        <v>-9999</v>
      </c>
      <c r="CP167" s="16">
        <v>-9999</v>
      </c>
      <c r="CQ167" s="16">
        <v>-9999</v>
      </c>
      <c r="CR167" s="16">
        <v>-9999</v>
      </c>
      <c r="CS167" s="16">
        <v>-9999</v>
      </c>
      <c r="CT167" s="16">
        <v>-9999</v>
      </c>
      <c r="CU167" s="16">
        <v>-9999</v>
      </c>
      <c r="CV167" s="16">
        <v>-9999</v>
      </c>
      <c r="CW167" s="16">
        <v>-9999</v>
      </c>
      <c r="CX167" s="16">
        <v>-9999</v>
      </c>
      <c r="CY167" s="16">
        <v>-9999</v>
      </c>
      <c r="CZ167" s="16">
        <v>-9999</v>
      </c>
      <c r="DA167" s="16">
        <v>-9999</v>
      </c>
      <c r="DB167" s="16">
        <v>-9999</v>
      </c>
      <c r="DC167" s="16">
        <v>-9999</v>
      </c>
      <c r="DD167" s="16">
        <v>-9999</v>
      </c>
      <c r="DE167" s="16">
        <v>-9999</v>
      </c>
      <c r="DF167" s="16">
        <v>-9999</v>
      </c>
      <c r="DG167" s="16">
        <v>-9999</v>
      </c>
      <c r="DH167" s="16">
        <v>-9999</v>
      </c>
      <c r="DI167" s="16">
        <v>-9999</v>
      </c>
      <c r="DJ167" s="16">
        <v>-9999</v>
      </c>
      <c r="DK167" s="16">
        <v>-9999</v>
      </c>
      <c r="DL167" s="16">
        <v>-9999</v>
      </c>
      <c r="DM167" s="16">
        <v>-9999</v>
      </c>
      <c r="DN167" s="16">
        <v>-9999</v>
      </c>
      <c r="DO167" s="16">
        <v>-9999</v>
      </c>
      <c r="DP167" s="16">
        <v>-9999</v>
      </c>
      <c r="DQ167" s="16">
        <v>-9999</v>
      </c>
      <c r="DR167" s="16">
        <v>-9999</v>
      </c>
      <c r="DS167" s="16">
        <v>-9999</v>
      </c>
      <c r="DT167" s="16">
        <v>-9999</v>
      </c>
      <c r="DU167" s="16">
        <v>-9999</v>
      </c>
      <c r="DV167" s="16">
        <v>-9999</v>
      </c>
      <c r="DW167" s="16">
        <v>-9999</v>
      </c>
      <c r="DX167" s="16">
        <v>-9999</v>
      </c>
      <c r="DY167" s="16">
        <v>-9999</v>
      </c>
      <c r="DZ167" s="16">
        <v>-9999</v>
      </c>
      <c r="EA167" s="2196">
        <v>-9999</v>
      </c>
      <c r="EB167" s="2196">
        <v>-9999</v>
      </c>
      <c r="EC167" s="2196">
        <v>-9999</v>
      </c>
      <c r="ED167" s="2196">
        <v>-9999</v>
      </c>
      <c r="EE167" s="2196">
        <v>-9999</v>
      </c>
      <c r="EF167" s="2197">
        <v>-9999</v>
      </c>
      <c r="EG167" s="2197">
        <v>-9999</v>
      </c>
      <c r="EH167" s="2197">
        <v>-9999</v>
      </c>
      <c r="EI167" s="2197">
        <v>-9999</v>
      </c>
      <c r="EJ167" s="2197">
        <v>-9999</v>
      </c>
      <c r="EK167" s="2197">
        <v>-9999</v>
      </c>
      <c r="EL167" s="2197">
        <v>-9999</v>
      </c>
      <c r="EM167" s="2197">
        <v>-9999</v>
      </c>
    </row>
    <row r="168" spans="1:143">
      <c r="A168" s="22">
        <v>68</v>
      </c>
      <c r="B168" s="36" t="s">
        <v>1705</v>
      </c>
      <c r="C168" s="25">
        <v>-9999</v>
      </c>
      <c r="D168" s="25">
        <v>-9999</v>
      </c>
      <c r="E168" s="25">
        <v>-9999</v>
      </c>
      <c r="F168" s="25">
        <v>-9999</v>
      </c>
      <c r="G168" s="25">
        <v>-9999</v>
      </c>
      <c r="H168" s="25">
        <v>-9999</v>
      </c>
      <c r="I168" s="25">
        <v>-9999</v>
      </c>
      <c r="J168" s="25">
        <v>-9999</v>
      </c>
      <c r="K168" s="25">
        <v>-9999</v>
      </c>
      <c r="L168" s="25">
        <v>-9999</v>
      </c>
      <c r="M168" s="25">
        <v>-9999</v>
      </c>
      <c r="N168" s="25">
        <v>-9999</v>
      </c>
      <c r="O168" s="25">
        <v>-9999</v>
      </c>
      <c r="P168" s="32"/>
      <c r="Q168"/>
      <c r="R168"/>
      <c r="S168"/>
      <c r="T168"/>
      <c r="AA168" s="22">
        <v>68</v>
      </c>
      <c r="AB168" s="1040" t="str">
        <f t="shared" si="8"/>
        <v>FOR FUTURE USE</v>
      </c>
      <c r="AC168" s="1040">
        <f>CHOOSE(Tables!$U$2,Transfer!CA168,Transfer!CN168,Transfer!DA168,Transfer!DN168,Transfer!EA168)</f>
        <v>-9999</v>
      </c>
      <c r="AD168" s="1040">
        <f>CHOOSE(Tables!$U$2,Transfer!CB168,Transfer!CO168,Transfer!DB168,Transfer!DO168,Transfer!EB168)</f>
        <v>-9999</v>
      </c>
      <c r="AE168" s="1040">
        <f>CHOOSE(Tables!$U$2,Transfer!CC168,Transfer!CP168,Transfer!DC168,Transfer!DP168,Transfer!EC168)</f>
        <v>-9999</v>
      </c>
      <c r="AF168" s="1040">
        <f>CHOOSE(Tables!$U$2,Transfer!CD168,Transfer!CQ168,Transfer!DD168,Transfer!DQ168,Transfer!ED168)</f>
        <v>-9999</v>
      </c>
      <c r="AG168" s="1040">
        <f>CHOOSE(Tables!$U$2,Transfer!CE168,Transfer!CR168,Transfer!DE168,Transfer!DR168,Transfer!EE168)</f>
        <v>-9999</v>
      </c>
      <c r="AH168" s="1040">
        <f>CHOOSE(Tables!$U$2,Transfer!CF168,Transfer!CS168,Transfer!DF168,Transfer!DS168,Transfer!EF168)</f>
        <v>-9999</v>
      </c>
      <c r="AI168" s="1040">
        <f>CHOOSE(Tables!$U$2,Transfer!CG168,Transfer!CT168,Transfer!DG168,Transfer!DT168,Transfer!EG168)</f>
        <v>-9999</v>
      </c>
      <c r="AJ168" s="1040">
        <f>CHOOSE(Tables!$U$2,Transfer!CH168,Transfer!CU168,Transfer!DH168,Transfer!DU168,Transfer!EH168)</f>
        <v>-9999</v>
      </c>
      <c r="AK168" s="1040">
        <f>CHOOSE(Tables!$U$2,Transfer!CI168,Transfer!CV168,Transfer!DI168,Transfer!DV168,Transfer!EI168)</f>
        <v>-9999</v>
      </c>
      <c r="AL168" s="1040">
        <f>CHOOSE(Tables!$U$2,Transfer!CJ168,Transfer!CW168,Transfer!DJ168,Transfer!DW168,Transfer!EJ168)</f>
        <v>-9999</v>
      </c>
      <c r="AM168" s="1040">
        <f>CHOOSE(Tables!$U$2,Transfer!CK168,Transfer!CX168,Transfer!DK168,Transfer!DX168,Transfer!EK168)</f>
        <v>-9999</v>
      </c>
      <c r="AN168" s="1040">
        <f>CHOOSE(Tables!$U$2,Transfer!CL168,Transfer!CY168,Transfer!DL168,Transfer!DY168,Transfer!EL168)</f>
        <v>-9999</v>
      </c>
      <c r="AO168" s="1040">
        <f>CHOOSE(Tables!$U$2,Transfer!CM168,Transfer!CZ168,Transfer!DM168,Transfer!DZ168,Transfer!EM168)</f>
        <v>-9999</v>
      </c>
      <c r="AR168" s="22">
        <v>68</v>
      </c>
      <c r="AS168" s="31" t="s">
        <v>1960</v>
      </c>
      <c r="AT168" s="2068">
        <f t="shared" si="9"/>
        <v>0</v>
      </c>
      <c r="AU168" s="2068">
        <f t="shared" si="9"/>
        <v>0</v>
      </c>
      <c r="AV168" s="2068">
        <f t="shared" si="9"/>
        <v>0</v>
      </c>
      <c r="AW168" s="2068">
        <f t="shared" si="9"/>
        <v>0</v>
      </c>
      <c r="AX168" s="2068">
        <f t="shared" si="9"/>
        <v>0</v>
      </c>
      <c r="AY168" s="25">
        <f t="shared" si="9"/>
        <v>0</v>
      </c>
      <c r="AZ168" s="25">
        <f t="shared" si="7"/>
        <v>0</v>
      </c>
      <c r="BA168" s="25">
        <f t="shared" si="7"/>
        <v>0</v>
      </c>
      <c r="BB168" s="25">
        <f t="shared" si="7"/>
        <v>0</v>
      </c>
      <c r="BC168" s="25">
        <f t="shared" si="7"/>
        <v>0</v>
      </c>
      <c r="BD168" s="25">
        <f t="shared" si="7"/>
        <v>0</v>
      </c>
      <c r="BE168" s="25">
        <f t="shared" si="7"/>
        <v>0</v>
      </c>
      <c r="BF168" s="25">
        <f t="shared" si="7"/>
        <v>0</v>
      </c>
      <c r="CA168" s="16">
        <v>-9999</v>
      </c>
      <c r="CB168" s="16">
        <v>-9999</v>
      </c>
      <c r="CC168" s="16">
        <v>-9999</v>
      </c>
      <c r="CD168" s="16">
        <v>-9999</v>
      </c>
      <c r="CE168" s="16">
        <v>-9999</v>
      </c>
      <c r="CF168" s="16">
        <v>-9999</v>
      </c>
      <c r="CG168" s="16">
        <v>-9999</v>
      </c>
      <c r="CH168" s="16">
        <v>-9999</v>
      </c>
      <c r="CI168" s="16">
        <v>-9999</v>
      </c>
      <c r="CJ168" s="16">
        <v>-9999</v>
      </c>
      <c r="CK168" s="16">
        <v>-9999</v>
      </c>
      <c r="CL168" s="16">
        <v>-9999</v>
      </c>
      <c r="CM168" s="16">
        <v>-9999</v>
      </c>
      <c r="CN168" s="16">
        <v>-9999</v>
      </c>
      <c r="CO168" s="16">
        <v>-9999</v>
      </c>
      <c r="CP168" s="16">
        <v>-9999</v>
      </c>
      <c r="CQ168" s="16">
        <v>-9999</v>
      </c>
      <c r="CR168" s="16">
        <v>-9999</v>
      </c>
      <c r="CS168" s="16">
        <v>-9999</v>
      </c>
      <c r="CT168" s="16">
        <v>-9999</v>
      </c>
      <c r="CU168" s="16">
        <v>-9999</v>
      </c>
      <c r="CV168" s="16">
        <v>-9999</v>
      </c>
      <c r="CW168" s="16">
        <v>-9999</v>
      </c>
      <c r="CX168" s="16">
        <v>-9999</v>
      </c>
      <c r="CY168" s="16">
        <v>-9999</v>
      </c>
      <c r="CZ168" s="16">
        <v>-9999</v>
      </c>
      <c r="DA168" s="16">
        <v>-9999</v>
      </c>
      <c r="DB168" s="16">
        <v>-9999</v>
      </c>
      <c r="DC168" s="16">
        <v>-9999</v>
      </c>
      <c r="DD168" s="16">
        <v>-9999</v>
      </c>
      <c r="DE168" s="16">
        <v>-9999</v>
      </c>
      <c r="DF168" s="16">
        <v>-9999</v>
      </c>
      <c r="DG168" s="16">
        <v>-9999</v>
      </c>
      <c r="DH168" s="16">
        <v>-9999</v>
      </c>
      <c r="DI168" s="16">
        <v>-9999</v>
      </c>
      <c r="DJ168" s="16">
        <v>-9999</v>
      </c>
      <c r="DK168" s="16">
        <v>-9999</v>
      </c>
      <c r="DL168" s="16">
        <v>-9999</v>
      </c>
      <c r="DM168" s="16">
        <v>-9999</v>
      </c>
      <c r="DN168" s="16">
        <v>-9999</v>
      </c>
      <c r="DO168" s="16">
        <v>-9999</v>
      </c>
      <c r="DP168" s="16">
        <v>-9999</v>
      </c>
      <c r="DQ168" s="16">
        <v>-9999</v>
      </c>
      <c r="DR168" s="16">
        <v>-9999</v>
      </c>
      <c r="DS168" s="16">
        <v>-9999</v>
      </c>
      <c r="DT168" s="16">
        <v>-9999</v>
      </c>
      <c r="DU168" s="16">
        <v>-9999</v>
      </c>
      <c r="DV168" s="16">
        <v>-9999</v>
      </c>
      <c r="DW168" s="16">
        <v>-9999</v>
      </c>
      <c r="DX168" s="16">
        <v>-9999</v>
      </c>
      <c r="DY168" s="16">
        <v>-9999</v>
      </c>
      <c r="DZ168" s="16">
        <v>-9999</v>
      </c>
      <c r="EA168" s="2197">
        <v>-9999</v>
      </c>
      <c r="EB168" s="2197">
        <v>-9999</v>
      </c>
      <c r="EC168" s="2197">
        <v>-9999</v>
      </c>
      <c r="ED168" s="2197">
        <v>-9999</v>
      </c>
      <c r="EE168" s="2197">
        <v>-9999</v>
      </c>
      <c r="EF168" s="2197">
        <v>-9999</v>
      </c>
      <c r="EG168" s="2197">
        <v>-9999</v>
      </c>
      <c r="EH168" s="2197">
        <v>-9999</v>
      </c>
      <c r="EI168" s="2197">
        <v>-9999</v>
      </c>
      <c r="EJ168" s="2197">
        <v>-9999</v>
      </c>
      <c r="EK168" s="2197">
        <v>-9999</v>
      </c>
      <c r="EL168" s="2197">
        <v>-9999</v>
      </c>
      <c r="EM168" s="2197">
        <v>-9999</v>
      </c>
    </row>
    <row r="169" spans="1:143">
      <c r="A169" s="22">
        <v>69</v>
      </c>
      <c r="B169" s="36" t="s">
        <v>1705</v>
      </c>
      <c r="C169" s="25">
        <v>-9999</v>
      </c>
      <c r="D169" s="25">
        <v>-9999</v>
      </c>
      <c r="E169" s="25">
        <v>-9999</v>
      </c>
      <c r="F169" s="25">
        <v>-9999</v>
      </c>
      <c r="G169" s="25">
        <v>-9999</v>
      </c>
      <c r="H169" s="25">
        <v>-9999</v>
      </c>
      <c r="I169" s="25">
        <v>-9999</v>
      </c>
      <c r="J169" s="25">
        <v>-9999</v>
      </c>
      <c r="K169" s="25">
        <v>-9999</v>
      </c>
      <c r="L169" s="25">
        <v>-9999</v>
      </c>
      <c r="M169" s="25">
        <v>-9999</v>
      </c>
      <c r="N169" s="25">
        <v>-9999</v>
      </c>
      <c r="O169" s="25">
        <v>-9999</v>
      </c>
      <c r="P169" s="32"/>
      <c r="Q169"/>
      <c r="AA169" s="22">
        <v>69</v>
      </c>
      <c r="AB169" s="1040" t="str">
        <f t="shared" si="8"/>
        <v>FOR FUTURE USE</v>
      </c>
      <c r="AC169" s="1040">
        <f>CHOOSE(Tables!$U$2,Transfer!CA169,Transfer!CN169,Transfer!DA169,Transfer!DN169,Transfer!EA169)</f>
        <v>-9999</v>
      </c>
      <c r="AD169" s="1040">
        <f>CHOOSE(Tables!$U$2,Transfer!CB169,Transfer!CO169,Transfer!DB169,Transfer!DO169,Transfer!EB169)</f>
        <v>-9999</v>
      </c>
      <c r="AE169" s="1040">
        <f>CHOOSE(Tables!$U$2,Transfer!CC169,Transfer!CP169,Transfer!DC169,Transfer!DP169,Transfer!EC169)</f>
        <v>-9999</v>
      </c>
      <c r="AF169" s="1040">
        <f>CHOOSE(Tables!$U$2,Transfer!CD169,Transfer!CQ169,Transfer!DD169,Transfer!DQ169,Transfer!ED169)</f>
        <v>-9999</v>
      </c>
      <c r="AG169" s="1040">
        <f>CHOOSE(Tables!$U$2,Transfer!CE169,Transfer!CR169,Transfer!DE169,Transfer!DR169,Transfer!EE169)</f>
        <v>-9999</v>
      </c>
      <c r="AH169" s="1040">
        <f>CHOOSE(Tables!$U$2,Transfer!CF169,Transfer!CS169,Transfer!DF169,Transfer!DS169,Transfer!EF169)</f>
        <v>-9999</v>
      </c>
      <c r="AI169" s="1040">
        <f>CHOOSE(Tables!$U$2,Transfer!CG169,Transfer!CT169,Transfer!DG169,Transfer!DT169,Transfer!EG169)</f>
        <v>-9999</v>
      </c>
      <c r="AJ169" s="1040">
        <f>CHOOSE(Tables!$U$2,Transfer!CH169,Transfer!CU169,Transfer!DH169,Transfer!DU169,Transfer!EH169)</f>
        <v>-9999</v>
      </c>
      <c r="AK169" s="1040">
        <f>CHOOSE(Tables!$U$2,Transfer!CI169,Transfer!CV169,Transfer!DI169,Transfer!DV169,Transfer!EI169)</f>
        <v>-9999</v>
      </c>
      <c r="AL169" s="1040">
        <f>CHOOSE(Tables!$U$2,Transfer!CJ169,Transfer!CW169,Transfer!DJ169,Transfer!DW169,Transfer!EJ169)</f>
        <v>-9999</v>
      </c>
      <c r="AM169" s="1040">
        <f>CHOOSE(Tables!$U$2,Transfer!CK169,Transfer!CX169,Transfer!DK169,Transfer!DX169,Transfer!EK169)</f>
        <v>-9999</v>
      </c>
      <c r="AN169" s="1040">
        <f>CHOOSE(Tables!$U$2,Transfer!CL169,Transfer!CY169,Transfer!DL169,Transfer!DY169,Transfer!EL169)</f>
        <v>-9999</v>
      </c>
      <c r="AO169" s="1040">
        <f>CHOOSE(Tables!$U$2,Transfer!CM169,Transfer!CZ169,Transfer!DM169,Transfer!DZ169,Transfer!EM169)</f>
        <v>-9999</v>
      </c>
      <c r="AR169" s="22">
        <v>69</v>
      </c>
      <c r="AS169" s="27" t="s">
        <v>560</v>
      </c>
      <c r="AT169" s="24">
        <f t="shared" si="9"/>
        <v>0</v>
      </c>
      <c r="AU169" s="24">
        <f t="shared" si="9"/>
        <v>0</v>
      </c>
      <c r="AV169" s="24">
        <f t="shared" si="9"/>
        <v>0</v>
      </c>
      <c r="AW169" s="24">
        <f t="shared" si="9"/>
        <v>0</v>
      </c>
      <c r="AX169" s="24">
        <f t="shared" si="9"/>
        <v>0</v>
      </c>
      <c r="AY169" s="25">
        <f t="shared" si="9"/>
        <v>0</v>
      </c>
      <c r="AZ169" s="25">
        <f t="shared" si="7"/>
        <v>0</v>
      </c>
      <c r="BA169" s="25">
        <f t="shared" si="7"/>
        <v>0</v>
      </c>
      <c r="BB169" s="25">
        <f t="shared" si="7"/>
        <v>0</v>
      </c>
      <c r="BC169" s="25">
        <f t="shared" si="7"/>
        <v>0</v>
      </c>
      <c r="BD169" s="25">
        <f t="shared" si="7"/>
        <v>0</v>
      </c>
      <c r="BE169" s="25">
        <f t="shared" si="7"/>
        <v>0</v>
      </c>
      <c r="BF169" s="25">
        <f t="shared" si="7"/>
        <v>0</v>
      </c>
      <c r="CA169" s="16">
        <v>-9999</v>
      </c>
      <c r="CB169" s="16">
        <v>-9999</v>
      </c>
      <c r="CC169" s="16">
        <v>-9999</v>
      </c>
      <c r="CD169" s="16">
        <v>-9999</v>
      </c>
      <c r="CE169" s="16">
        <v>-9999</v>
      </c>
      <c r="CF169" s="16">
        <v>-9999</v>
      </c>
      <c r="CG169" s="16">
        <v>-9999</v>
      </c>
      <c r="CH169" s="16">
        <v>-9999</v>
      </c>
      <c r="CI169" s="16">
        <v>-9999</v>
      </c>
      <c r="CJ169" s="16">
        <v>-9999</v>
      </c>
      <c r="CK169" s="16">
        <v>-9999</v>
      </c>
      <c r="CL169" s="16">
        <v>-9999</v>
      </c>
      <c r="CM169" s="16">
        <v>-9999</v>
      </c>
      <c r="CN169" s="16">
        <v>-9999</v>
      </c>
      <c r="CO169" s="16">
        <v>-9999</v>
      </c>
      <c r="CP169" s="16">
        <v>-9999</v>
      </c>
      <c r="CQ169" s="16">
        <v>-9999</v>
      </c>
      <c r="CR169" s="16">
        <v>-9999</v>
      </c>
      <c r="CS169" s="16">
        <v>-9999</v>
      </c>
      <c r="CT169" s="16">
        <v>-9999</v>
      </c>
      <c r="CU169" s="16">
        <v>-9999</v>
      </c>
      <c r="CV169" s="16">
        <v>-9999</v>
      </c>
      <c r="CW169" s="16">
        <v>-9999</v>
      </c>
      <c r="CX169" s="16">
        <v>-9999</v>
      </c>
      <c r="CY169" s="16">
        <v>-9999</v>
      </c>
      <c r="CZ169" s="16">
        <v>-9999</v>
      </c>
      <c r="DA169" s="16">
        <v>-9999</v>
      </c>
      <c r="DB169" s="16">
        <v>-9999</v>
      </c>
      <c r="DC169" s="16">
        <v>-9999</v>
      </c>
      <c r="DD169" s="16">
        <v>-9999</v>
      </c>
      <c r="DE169" s="16">
        <v>-9999</v>
      </c>
      <c r="DF169" s="16">
        <v>-9999</v>
      </c>
      <c r="DG169" s="16">
        <v>-9999</v>
      </c>
      <c r="DH169" s="16">
        <v>-9999</v>
      </c>
      <c r="DI169" s="16">
        <v>-9999</v>
      </c>
      <c r="DJ169" s="16">
        <v>-9999</v>
      </c>
      <c r="DK169" s="16">
        <v>-9999</v>
      </c>
      <c r="DL169" s="16">
        <v>-9999</v>
      </c>
      <c r="DM169" s="16">
        <v>-9999</v>
      </c>
      <c r="DN169" s="16">
        <v>-9999</v>
      </c>
      <c r="DO169" s="16">
        <v>-9999</v>
      </c>
      <c r="DP169" s="16">
        <v>-9999</v>
      </c>
      <c r="DQ169" s="16">
        <v>-9999</v>
      </c>
      <c r="DR169" s="16">
        <v>-9999</v>
      </c>
      <c r="DS169" s="16">
        <v>-9999</v>
      </c>
      <c r="DT169" s="16">
        <v>-9999</v>
      </c>
      <c r="DU169" s="16">
        <v>-9999</v>
      </c>
      <c r="DV169" s="16">
        <v>-9999</v>
      </c>
      <c r="DW169" s="16">
        <v>-9999</v>
      </c>
      <c r="DX169" s="16">
        <v>-9999</v>
      </c>
      <c r="DY169" s="16">
        <v>-9999</v>
      </c>
      <c r="DZ169" s="16">
        <v>-9999</v>
      </c>
      <c r="EA169" s="2196">
        <v>-9999</v>
      </c>
      <c r="EB169" s="2196">
        <v>-9999</v>
      </c>
      <c r="EC169" s="2196">
        <v>-9999</v>
      </c>
      <c r="ED169" s="2196">
        <v>-9999</v>
      </c>
      <c r="EE169" s="2196">
        <v>-9999</v>
      </c>
      <c r="EF169" s="2197">
        <v>-9999</v>
      </c>
      <c r="EG169" s="2197">
        <v>-9999</v>
      </c>
      <c r="EH169" s="2197">
        <v>-9999</v>
      </c>
      <c r="EI169" s="2197">
        <v>-9999</v>
      </c>
      <c r="EJ169" s="2197">
        <v>-9999</v>
      </c>
      <c r="EK169" s="2197">
        <v>-9999</v>
      </c>
      <c r="EL169" s="2197">
        <v>-9999</v>
      </c>
      <c r="EM169" s="2197">
        <v>-9999</v>
      </c>
    </row>
    <row r="170" spans="1:143">
      <c r="A170" s="22">
        <v>70</v>
      </c>
      <c r="B170" s="36" t="s">
        <v>1705</v>
      </c>
      <c r="C170" s="25">
        <v>-9999</v>
      </c>
      <c r="D170" s="25">
        <v>-9999</v>
      </c>
      <c r="E170" s="25">
        <v>-9999</v>
      </c>
      <c r="F170" s="25">
        <v>-9999</v>
      </c>
      <c r="G170" s="25">
        <v>-9999</v>
      </c>
      <c r="H170" s="25">
        <v>-9999</v>
      </c>
      <c r="I170" s="25">
        <v>-9999</v>
      </c>
      <c r="J170" s="25">
        <v>-9999</v>
      </c>
      <c r="K170" s="25">
        <v>-9999</v>
      </c>
      <c r="L170" s="25">
        <v>-9999</v>
      </c>
      <c r="M170" s="25">
        <v>-9999</v>
      </c>
      <c r="N170" s="25">
        <v>-9999</v>
      </c>
      <c r="O170" s="25">
        <v>-9999</v>
      </c>
      <c r="P170" s="32"/>
      <c r="Q170"/>
      <c r="AA170" s="22">
        <v>70</v>
      </c>
      <c r="AB170" s="1040" t="str">
        <f t="shared" si="8"/>
        <v>FOR FUTURE USE</v>
      </c>
      <c r="AC170" s="1040">
        <f>CHOOSE(Tables!$U$2,Transfer!CA170,Transfer!CN170,Transfer!DA170,Transfer!DN170,Transfer!EA170)</f>
        <v>-9999</v>
      </c>
      <c r="AD170" s="1040">
        <f>CHOOSE(Tables!$U$2,Transfer!CB170,Transfer!CO170,Transfer!DB170,Transfer!DO170,Transfer!EB170)</f>
        <v>-9999</v>
      </c>
      <c r="AE170" s="1040">
        <f>CHOOSE(Tables!$U$2,Transfer!CC170,Transfer!CP170,Transfer!DC170,Transfer!DP170,Transfer!EC170)</f>
        <v>-9999</v>
      </c>
      <c r="AF170" s="1040">
        <f>CHOOSE(Tables!$U$2,Transfer!CD170,Transfer!CQ170,Transfer!DD170,Transfer!DQ170,Transfer!ED170)</f>
        <v>-9999</v>
      </c>
      <c r="AG170" s="1040">
        <f>CHOOSE(Tables!$U$2,Transfer!CE170,Transfer!CR170,Transfer!DE170,Transfer!DR170,Transfer!EE170)</f>
        <v>-9999</v>
      </c>
      <c r="AH170" s="1040">
        <f>CHOOSE(Tables!$U$2,Transfer!CF170,Transfer!CS170,Transfer!DF170,Transfer!DS170,Transfer!EF170)</f>
        <v>-9999</v>
      </c>
      <c r="AI170" s="1040">
        <f>CHOOSE(Tables!$U$2,Transfer!CG170,Transfer!CT170,Transfer!DG170,Transfer!DT170,Transfer!EG170)</f>
        <v>-9999</v>
      </c>
      <c r="AJ170" s="1040">
        <f>CHOOSE(Tables!$U$2,Transfer!CH170,Transfer!CU170,Transfer!DH170,Transfer!DU170,Transfer!EH170)</f>
        <v>-9999</v>
      </c>
      <c r="AK170" s="1040">
        <f>CHOOSE(Tables!$U$2,Transfer!CI170,Transfer!CV170,Transfer!DI170,Transfer!DV170,Transfer!EI170)</f>
        <v>-9999</v>
      </c>
      <c r="AL170" s="1040">
        <f>CHOOSE(Tables!$U$2,Transfer!CJ170,Transfer!CW170,Transfer!DJ170,Transfer!DW170,Transfer!EJ170)</f>
        <v>-9999</v>
      </c>
      <c r="AM170" s="1040">
        <f>CHOOSE(Tables!$U$2,Transfer!CK170,Transfer!CX170,Transfer!DK170,Transfer!DX170,Transfer!EK170)</f>
        <v>-9999</v>
      </c>
      <c r="AN170" s="1040">
        <f>CHOOSE(Tables!$U$2,Transfer!CL170,Transfer!CY170,Transfer!DL170,Transfer!DY170,Transfer!EL170)</f>
        <v>-9999</v>
      </c>
      <c r="AO170" s="1040">
        <f>CHOOSE(Tables!$U$2,Transfer!CM170,Transfer!CZ170,Transfer!DM170,Transfer!DZ170,Transfer!EM170)</f>
        <v>-9999</v>
      </c>
      <c r="AR170" s="22">
        <v>70</v>
      </c>
      <c r="AS170" s="31" t="s">
        <v>561</v>
      </c>
      <c r="AT170" s="2069">
        <f t="shared" si="9"/>
        <v>0</v>
      </c>
      <c r="AU170" s="2069">
        <f t="shared" si="9"/>
        <v>0</v>
      </c>
      <c r="AV170" s="2069">
        <f t="shared" si="9"/>
        <v>0</v>
      </c>
      <c r="AW170" s="2069">
        <f t="shared" si="9"/>
        <v>0</v>
      </c>
      <c r="AX170" s="2069">
        <f t="shared" si="9"/>
        <v>0</v>
      </c>
      <c r="AY170" s="25">
        <f t="shared" si="9"/>
        <v>0</v>
      </c>
      <c r="AZ170" s="25">
        <f t="shared" si="7"/>
        <v>0</v>
      </c>
      <c r="BA170" s="25">
        <f t="shared" si="7"/>
        <v>0</v>
      </c>
      <c r="BB170" s="25">
        <f t="shared" si="7"/>
        <v>0</v>
      </c>
      <c r="BC170" s="25">
        <f t="shared" si="7"/>
        <v>0</v>
      </c>
      <c r="BD170" s="25">
        <f t="shared" si="7"/>
        <v>0</v>
      </c>
      <c r="BE170" s="25">
        <f t="shared" si="7"/>
        <v>0</v>
      </c>
      <c r="BF170" s="25">
        <f t="shared" si="7"/>
        <v>0</v>
      </c>
      <c r="CA170" s="16">
        <v>-9999</v>
      </c>
      <c r="CB170" s="16">
        <v>-9999</v>
      </c>
      <c r="CC170" s="16">
        <v>-9999</v>
      </c>
      <c r="CD170" s="16">
        <v>-9999</v>
      </c>
      <c r="CE170" s="16">
        <v>-9999</v>
      </c>
      <c r="CF170" s="16">
        <v>-9999</v>
      </c>
      <c r="CG170" s="16">
        <v>-9999</v>
      </c>
      <c r="CH170" s="16">
        <v>-9999</v>
      </c>
      <c r="CI170" s="16">
        <v>-9999</v>
      </c>
      <c r="CJ170" s="16">
        <v>-9999</v>
      </c>
      <c r="CK170" s="16">
        <v>-9999</v>
      </c>
      <c r="CL170" s="16">
        <v>-9999</v>
      </c>
      <c r="CM170" s="16">
        <v>-9999</v>
      </c>
      <c r="CN170" s="16">
        <v>-9999</v>
      </c>
      <c r="CO170" s="16">
        <v>-9999</v>
      </c>
      <c r="CP170" s="16">
        <v>-9999</v>
      </c>
      <c r="CQ170" s="16">
        <v>-9999</v>
      </c>
      <c r="CR170" s="16">
        <v>-9999</v>
      </c>
      <c r="CS170" s="16">
        <v>-9999</v>
      </c>
      <c r="CT170" s="16">
        <v>-9999</v>
      </c>
      <c r="CU170" s="16">
        <v>-9999</v>
      </c>
      <c r="CV170" s="16">
        <v>-9999</v>
      </c>
      <c r="CW170" s="16">
        <v>-9999</v>
      </c>
      <c r="CX170" s="16">
        <v>-9999</v>
      </c>
      <c r="CY170" s="16">
        <v>-9999</v>
      </c>
      <c r="CZ170" s="16">
        <v>-9999</v>
      </c>
      <c r="DA170" s="16">
        <v>-9999</v>
      </c>
      <c r="DB170" s="16">
        <v>-9999</v>
      </c>
      <c r="DC170" s="16">
        <v>-9999</v>
      </c>
      <c r="DD170" s="16">
        <v>-9999</v>
      </c>
      <c r="DE170" s="16">
        <v>-9999</v>
      </c>
      <c r="DF170" s="16">
        <v>-9999</v>
      </c>
      <c r="DG170" s="16">
        <v>-9999</v>
      </c>
      <c r="DH170" s="16">
        <v>-9999</v>
      </c>
      <c r="DI170" s="16">
        <v>-9999</v>
      </c>
      <c r="DJ170" s="16">
        <v>-9999</v>
      </c>
      <c r="DK170" s="16">
        <v>-9999</v>
      </c>
      <c r="DL170" s="16">
        <v>-9999</v>
      </c>
      <c r="DM170" s="16">
        <v>-9999</v>
      </c>
      <c r="DN170" s="16">
        <v>-9999</v>
      </c>
      <c r="DO170" s="16">
        <v>-9999</v>
      </c>
      <c r="DP170" s="16">
        <v>-9999</v>
      </c>
      <c r="DQ170" s="16">
        <v>-9999</v>
      </c>
      <c r="DR170" s="16">
        <v>-9999</v>
      </c>
      <c r="DS170" s="16">
        <v>-9999</v>
      </c>
      <c r="DT170" s="16">
        <v>-9999</v>
      </c>
      <c r="DU170" s="16">
        <v>-9999</v>
      </c>
      <c r="DV170" s="16">
        <v>-9999</v>
      </c>
      <c r="DW170" s="16">
        <v>-9999</v>
      </c>
      <c r="DX170" s="16">
        <v>-9999</v>
      </c>
      <c r="DY170" s="16">
        <v>-9999</v>
      </c>
      <c r="DZ170" s="16">
        <v>-9999</v>
      </c>
      <c r="EA170" s="2197">
        <v>-9999</v>
      </c>
      <c r="EB170" s="2197">
        <v>-9999</v>
      </c>
      <c r="EC170" s="2197">
        <v>-9999</v>
      </c>
      <c r="ED170" s="2197">
        <v>-9999</v>
      </c>
      <c r="EE170" s="2197">
        <v>-9999</v>
      </c>
      <c r="EF170" s="2197">
        <v>-9999</v>
      </c>
      <c r="EG170" s="2197">
        <v>-9999</v>
      </c>
      <c r="EH170" s="2197">
        <v>-9999</v>
      </c>
      <c r="EI170" s="2197">
        <v>-9999</v>
      </c>
      <c r="EJ170" s="2197">
        <v>-9999</v>
      </c>
      <c r="EK170" s="2197">
        <v>-9999</v>
      </c>
      <c r="EL170" s="2197">
        <v>-9999</v>
      </c>
      <c r="EM170" s="2197">
        <v>-9999</v>
      </c>
    </row>
    <row r="171" spans="1:143">
      <c r="A171" s="22">
        <v>71</v>
      </c>
      <c r="B171" s="36" t="s">
        <v>1705</v>
      </c>
      <c r="C171" s="25">
        <v>-9999</v>
      </c>
      <c r="D171" s="25">
        <v>-9999</v>
      </c>
      <c r="E171" s="25">
        <v>-9999</v>
      </c>
      <c r="F171" s="25">
        <v>-9999</v>
      </c>
      <c r="G171" s="25">
        <v>-9999</v>
      </c>
      <c r="H171" s="25">
        <v>-9999</v>
      </c>
      <c r="I171" s="25">
        <v>-9999</v>
      </c>
      <c r="J171" s="25">
        <v>-9999</v>
      </c>
      <c r="K171" s="25">
        <v>-9999</v>
      </c>
      <c r="L171" s="25">
        <v>-9999</v>
      </c>
      <c r="M171" s="25">
        <v>-9999</v>
      </c>
      <c r="N171" s="25">
        <v>-9999</v>
      </c>
      <c r="O171" s="25">
        <v>-9999</v>
      </c>
      <c r="P171" s="32"/>
      <c r="Q171"/>
      <c r="AA171" s="22">
        <v>71</v>
      </c>
      <c r="AB171" s="1040" t="str">
        <f t="shared" si="8"/>
        <v>FOR FUTURE USE</v>
      </c>
      <c r="AC171" s="1040">
        <f>CHOOSE(Tables!$U$2,Transfer!CA171,Transfer!CN171,Transfer!DA171,Transfer!DN171,Transfer!EA171)</f>
        <v>-9999</v>
      </c>
      <c r="AD171" s="1040">
        <f>CHOOSE(Tables!$U$2,Transfer!CB171,Transfer!CO171,Transfer!DB171,Transfer!DO171,Transfer!EB171)</f>
        <v>-9999</v>
      </c>
      <c r="AE171" s="1040">
        <f>CHOOSE(Tables!$U$2,Transfer!CC171,Transfer!CP171,Transfer!DC171,Transfer!DP171,Transfer!EC171)</f>
        <v>-9999</v>
      </c>
      <c r="AF171" s="1040">
        <f>CHOOSE(Tables!$U$2,Transfer!CD171,Transfer!CQ171,Transfer!DD171,Transfer!DQ171,Transfer!ED171)</f>
        <v>-9999</v>
      </c>
      <c r="AG171" s="1040">
        <f>CHOOSE(Tables!$U$2,Transfer!CE171,Transfer!CR171,Transfer!DE171,Transfer!DR171,Transfer!EE171)</f>
        <v>-9999</v>
      </c>
      <c r="AH171" s="1040">
        <f>CHOOSE(Tables!$U$2,Transfer!CF171,Transfer!CS171,Transfer!DF171,Transfer!DS171,Transfer!EF171)</f>
        <v>-9999</v>
      </c>
      <c r="AI171" s="1040">
        <f>CHOOSE(Tables!$U$2,Transfer!CG171,Transfer!CT171,Transfer!DG171,Transfer!DT171,Transfer!EG171)</f>
        <v>-9999</v>
      </c>
      <c r="AJ171" s="1040">
        <f>CHOOSE(Tables!$U$2,Transfer!CH171,Transfer!CU171,Transfer!DH171,Transfer!DU171,Transfer!EH171)</f>
        <v>-9999</v>
      </c>
      <c r="AK171" s="1040">
        <f>CHOOSE(Tables!$U$2,Transfer!CI171,Transfer!CV171,Transfer!DI171,Transfer!DV171,Transfer!EI171)</f>
        <v>-9999</v>
      </c>
      <c r="AL171" s="1040">
        <f>CHOOSE(Tables!$U$2,Transfer!CJ171,Transfer!CW171,Transfer!DJ171,Transfer!DW171,Transfer!EJ171)</f>
        <v>-9999</v>
      </c>
      <c r="AM171" s="1040">
        <f>CHOOSE(Tables!$U$2,Transfer!CK171,Transfer!CX171,Transfer!DK171,Transfer!DX171,Transfer!EK171)</f>
        <v>-9999</v>
      </c>
      <c r="AN171" s="1040">
        <f>CHOOSE(Tables!$U$2,Transfer!CL171,Transfer!CY171,Transfer!DL171,Transfer!DY171,Transfer!EL171)</f>
        <v>-9999</v>
      </c>
      <c r="AO171" s="1040">
        <f>CHOOSE(Tables!$U$2,Transfer!CM171,Transfer!CZ171,Transfer!DM171,Transfer!DZ171,Transfer!EM171)</f>
        <v>-9999</v>
      </c>
      <c r="AR171" s="22">
        <v>71</v>
      </c>
      <c r="AS171" s="27" t="s">
        <v>562</v>
      </c>
      <c r="AT171" s="20">
        <f t="shared" si="9"/>
        <v>0</v>
      </c>
      <c r="AU171" s="20">
        <f t="shared" si="9"/>
        <v>0</v>
      </c>
      <c r="AV171" s="20">
        <f t="shared" si="9"/>
        <v>0</v>
      </c>
      <c r="AW171" s="20">
        <f t="shared" si="9"/>
        <v>0</v>
      </c>
      <c r="AX171" s="20">
        <f t="shared" si="9"/>
        <v>0</v>
      </c>
      <c r="AY171" s="25">
        <f t="shared" si="9"/>
        <v>0</v>
      </c>
      <c r="AZ171" s="25">
        <f t="shared" si="7"/>
        <v>0</v>
      </c>
      <c r="BA171" s="25">
        <f t="shared" si="7"/>
        <v>0</v>
      </c>
      <c r="BB171" s="25">
        <f t="shared" si="7"/>
        <v>0</v>
      </c>
      <c r="BC171" s="25">
        <f t="shared" si="7"/>
        <v>0</v>
      </c>
      <c r="BD171" s="25">
        <f t="shared" si="7"/>
        <v>0</v>
      </c>
      <c r="BE171" s="25">
        <f t="shared" si="7"/>
        <v>0</v>
      </c>
      <c r="BF171" s="25">
        <f t="shared" si="7"/>
        <v>0</v>
      </c>
      <c r="CA171" s="16">
        <v>-9999</v>
      </c>
      <c r="CB171" s="16">
        <v>-9999</v>
      </c>
      <c r="CC171" s="16">
        <v>-9999</v>
      </c>
      <c r="CD171" s="16">
        <v>-9999</v>
      </c>
      <c r="CE171" s="16">
        <v>-9999</v>
      </c>
      <c r="CF171" s="16">
        <v>-9999</v>
      </c>
      <c r="CG171" s="16">
        <v>-9999</v>
      </c>
      <c r="CH171" s="16">
        <v>-9999</v>
      </c>
      <c r="CI171" s="16">
        <v>-9999</v>
      </c>
      <c r="CJ171" s="16">
        <v>-9999</v>
      </c>
      <c r="CK171" s="16">
        <v>-9999</v>
      </c>
      <c r="CL171" s="16">
        <v>-9999</v>
      </c>
      <c r="CM171" s="16">
        <v>-9999</v>
      </c>
      <c r="CN171" s="16">
        <v>-9999</v>
      </c>
      <c r="CO171" s="16">
        <v>-9999</v>
      </c>
      <c r="CP171" s="16">
        <v>-9999</v>
      </c>
      <c r="CQ171" s="16">
        <v>-9999</v>
      </c>
      <c r="CR171" s="16">
        <v>-9999</v>
      </c>
      <c r="CS171" s="16">
        <v>-9999</v>
      </c>
      <c r="CT171" s="16">
        <v>-9999</v>
      </c>
      <c r="CU171" s="16">
        <v>-9999</v>
      </c>
      <c r="CV171" s="16">
        <v>-9999</v>
      </c>
      <c r="CW171" s="16">
        <v>-9999</v>
      </c>
      <c r="CX171" s="16">
        <v>-9999</v>
      </c>
      <c r="CY171" s="16">
        <v>-9999</v>
      </c>
      <c r="CZ171" s="16">
        <v>-9999</v>
      </c>
      <c r="DA171" s="16">
        <v>-9999</v>
      </c>
      <c r="DB171" s="16">
        <v>-9999</v>
      </c>
      <c r="DC171" s="16">
        <v>-9999</v>
      </c>
      <c r="DD171" s="16">
        <v>-9999</v>
      </c>
      <c r="DE171" s="16">
        <v>-9999</v>
      </c>
      <c r="DF171" s="16">
        <v>-9999</v>
      </c>
      <c r="DG171" s="16">
        <v>-9999</v>
      </c>
      <c r="DH171" s="16">
        <v>-9999</v>
      </c>
      <c r="DI171" s="16">
        <v>-9999</v>
      </c>
      <c r="DJ171" s="16">
        <v>-9999</v>
      </c>
      <c r="DK171" s="16">
        <v>-9999</v>
      </c>
      <c r="DL171" s="16">
        <v>-9999</v>
      </c>
      <c r="DM171" s="16">
        <v>-9999</v>
      </c>
      <c r="DN171" s="16">
        <v>-9999</v>
      </c>
      <c r="DO171" s="16">
        <v>-9999</v>
      </c>
      <c r="DP171" s="16">
        <v>-9999</v>
      </c>
      <c r="DQ171" s="16">
        <v>-9999</v>
      </c>
      <c r="DR171" s="16">
        <v>-9999</v>
      </c>
      <c r="DS171" s="16">
        <v>-9999</v>
      </c>
      <c r="DT171" s="16">
        <v>-9999</v>
      </c>
      <c r="DU171" s="16">
        <v>-9999</v>
      </c>
      <c r="DV171" s="16">
        <v>-9999</v>
      </c>
      <c r="DW171" s="16">
        <v>-9999</v>
      </c>
      <c r="DX171" s="16">
        <v>-9999</v>
      </c>
      <c r="DY171" s="16">
        <v>-9999</v>
      </c>
      <c r="DZ171" s="16">
        <v>-9999</v>
      </c>
      <c r="EA171" s="2196">
        <v>-9999</v>
      </c>
      <c r="EB171" s="2196">
        <v>-9999</v>
      </c>
      <c r="EC171" s="2196">
        <v>-9999</v>
      </c>
      <c r="ED171" s="2196">
        <v>-9999</v>
      </c>
      <c r="EE171" s="2196">
        <v>-9999</v>
      </c>
      <c r="EF171" s="2197">
        <v>-9999</v>
      </c>
      <c r="EG171" s="2197">
        <v>-9999</v>
      </c>
      <c r="EH171" s="2197">
        <v>-9999</v>
      </c>
      <c r="EI171" s="2197">
        <v>-9999</v>
      </c>
      <c r="EJ171" s="2197">
        <v>-9999</v>
      </c>
      <c r="EK171" s="2197">
        <v>-9999</v>
      </c>
      <c r="EL171" s="2197">
        <v>-9999</v>
      </c>
      <c r="EM171" s="2197">
        <v>-9999</v>
      </c>
    </row>
    <row r="172" spans="1:143">
      <c r="A172" s="22">
        <v>72</v>
      </c>
      <c r="B172" s="36" t="s">
        <v>1705</v>
      </c>
      <c r="C172" s="25">
        <v>-9999</v>
      </c>
      <c r="D172" s="25">
        <v>-9999</v>
      </c>
      <c r="E172" s="25">
        <v>-9999</v>
      </c>
      <c r="F172" s="25">
        <v>-9999</v>
      </c>
      <c r="G172" s="25">
        <v>-9999</v>
      </c>
      <c r="H172" s="25">
        <v>-9999</v>
      </c>
      <c r="I172" s="25">
        <v>-9999</v>
      </c>
      <c r="J172" s="25">
        <v>-9999</v>
      </c>
      <c r="K172" s="25">
        <v>-9999</v>
      </c>
      <c r="L172" s="25">
        <v>-9999</v>
      </c>
      <c r="M172" s="25">
        <v>-9999</v>
      </c>
      <c r="N172" s="25">
        <v>-9999</v>
      </c>
      <c r="O172" s="25">
        <v>-9999</v>
      </c>
      <c r="P172" s="32"/>
      <c r="Q172"/>
      <c r="AA172" s="22">
        <v>72</v>
      </c>
      <c r="AB172" s="1040" t="str">
        <f t="shared" si="8"/>
        <v>FOR FUTURE USE</v>
      </c>
      <c r="AC172" s="1040">
        <f>CHOOSE(Tables!$U$2,Transfer!CA172,Transfer!CN172,Transfer!DA172,Transfer!DN172,Transfer!EA172)</f>
        <v>-9999</v>
      </c>
      <c r="AD172" s="1040">
        <f>CHOOSE(Tables!$U$2,Transfer!CB172,Transfer!CO172,Transfer!DB172,Transfer!DO172,Transfer!EB172)</f>
        <v>-9999</v>
      </c>
      <c r="AE172" s="1040">
        <f>CHOOSE(Tables!$U$2,Transfer!CC172,Transfer!CP172,Transfer!DC172,Transfer!DP172,Transfer!EC172)</f>
        <v>-9999</v>
      </c>
      <c r="AF172" s="1040">
        <f>CHOOSE(Tables!$U$2,Transfer!CD172,Transfer!CQ172,Transfer!DD172,Transfer!DQ172,Transfer!ED172)</f>
        <v>-9999</v>
      </c>
      <c r="AG172" s="1040">
        <f>CHOOSE(Tables!$U$2,Transfer!CE172,Transfer!CR172,Transfer!DE172,Transfer!DR172,Transfer!EE172)</f>
        <v>-9999</v>
      </c>
      <c r="AH172" s="1040">
        <f>CHOOSE(Tables!$U$2,Transfer!CF172,Transfer!CS172,Transfer!DF172,Transfer!DS172,Transfer!EF172)</f>
        <v>-9999</v>
      </c>
      <c r="AI172" s="1040">
        <f>CHOOSE(Tables!$U$2,Transfer!CG172,Transfer!CT172,Transfer!DG172,Transfer!DT172,Transfer!EG172)</f>
        <v>-9999</v>
      </c>
      <c r="AJ172" s="1040">
        <f>CHOOSE(Tables!$U$2,Transfer!CH172,Transfer!CU172,Transfer!DH172,Transfer!DU172,Transfer!EH172)</f>
        <v>-9999</v>
      </c>
      <c r="AK172" s="1040">
        <f>CHOOSE(Tables!$U$2,Transfer!CI172,Transfer!CV172,Transfer!DI172,Transfer!DV172,Transfer!EI172)</f>
        <v>-9999</v>
      </c>
      <c r="AL172" s="1040">
        <f>CHOOSE(Tables!$U$2,Transfer!CJ172,Transfer!CW172,Transfer!DJ172,Transfer!DW172,Transfer!EJ172)</f>
        <v>-9999</v>
      </c>
      <c r="AM172" s="1040">
        <f>CHOOSE(Tables!$U$2,Transfer!CK172,Transfer!CX172,Transfer!DK172,Transfer!DX172,Transfer!EK172)</f>
        <v>-9999</v>
      </c>
      <c r="AN172" s="1040">
        <f>CHOOSE(Tables!$U$2,Transfer!CL172,Transfer!CY172,Transfer!DL172,Transfer!DY172,Transfer!EL172)</f>
        <v>-9999</v>
      </c>
      <c r="AO172" s="1040">
        <f>CHOOSE(Tables!$U$2,Transfer!CM172,Transfer!CZ172,Transfer!DM172,Transfer!DZ172,Transfer!EM172)</f>
        <v>-9999</v>
      </c>
      <c r="AR172" s="22">
        <v>72</v>
      </c>
      <c r="AS172" s="31" t="s">
        <v>1734</v>
      </c>
      <c r="AT172" s="2070">
        <f t="shared" si="9"/>
        <v>0</v>
      </c>
      <c r="AU172" s="2070">
        <f t="shared" si="9"/>
        <v>0</v>
      </c>
      <c r="AV172" s="2070">
        <f t="shared" si="9"/>
        <v>0</v>
      </c>
      <c r="AW172" s="2070">
        <f t="shared" si="9"/>
        <v>0</v>
      </c>
      <c r="AX172" s="2070">
        <f t="shared" si="9"/>
        <v>0</v>
      </c>
      <c r="AY172" s="25">
        <f t="shared" si="9"/>
        <v>0</v>
      </c>
      <c r="AZ172" s="25">
        <f t="shared" si="7"/>
        <v>0</v>
      </c>
      <c r="BA172" s="25">
        <f t="shared" si="7"/>
        <v>0</v>
      </c>
      <c r="BB172" s="25">
        <f t="shared" si="7"/>
        <v>0</v>
      </c>
      <c r="BC172" s="25">
        <f t="shared" si="7"/>
        <v>0</v>
      </c>
      <c r="BD172" s="25">
        <f t="shared" si="7"/>
        <v>0</v>
      </c>
      <c r="BE172" s="25">
        <f t="shared" si="7"/>
        <v>0</v>
      </c>
      <c r="BF172" s="25">
        <f t="shared" si="7"/>
        <v>0</v>
      </c>
      <c r="CA172" s="16">
        <v>-9999</v>
      </c>
      <c r="CB172" s="16">
        <v>-9999</v>
      </c>
      <c r="CC172" s="16">
        <v>-9999</v>
      </c>
      <c r="CD172" s="16">
        <v>-9999</v>
      </c>
      <c r="CE172" s="16">
        <v>-9999</v>
      </c>
      <c r="CF172" s="16">
        <v>-9999</v>
      </c>
      <c r="CG172" s="16">
        <v>-9999</v>
      </c>
      <c r="CH172" s="16">
        <v>-9999</v>
      </c>
      <c r="CI172" s="16">
        <v>-9999</v>
      </c>
      <c r="CJ172" s="16">
        <v>-9999</v>
      </c>
      <c r="CK172" s="16">
        <v>-9999</v>
      </c>
      <c r="CL172" s="16">
        <v>-9999</v>
      </c>
      <c r="CM172" s="16">
        <v>-9999</v>
      </c>
      <c r="CN172" s="16">
        <v>-9999</v>
      </c>
      <c r="CO172" s="16">
        <v>-9999</v>
      </c>
      <c r="CP172" s="16">
        <v>-9999</v>
      </c>
      <c r="CQ172" s="16">
        <v>-9999</v>
      </c>
      <c r="CR172" s="16">
        <v>-9999</v>
      </c>
      <c r="CS172" s="16">
        <v>-9999</v>
      </c>
      <c r="CT172" s="16">
        <v>-9999</v>
      </c>
      <c r="CU172" s="16">
        <v>-9999</v>
      </c>
      <c r="CV172" s="16">
        <v>-9999</v>
      </c>
      <c r="CW172" s="16">
        <v>-9999</v>
      </c>
      <c r="CX172" s="16">
        <v>-9999</v>
      </c>
      <c r="CY172" s="16">
        <v>-9999</v>
      </c>
      <c r="CZ172" s="16">
        <v>-9999</v>
      </c>
      <c r="DA172" s="16">
        <v>-9999</v>
      </c>
      <c r="DB172" s="16">
        <v>-9999</v>
      </c>
      <c r="DC172" s="16">
        <v>-9999</v>
      </c>
      <c r="DD172" s="16">
        <v>-9999</v>
      </c>
      <c r="DE172" s="16">
        <v>-9999</v>
      </c>
      <c r="DF172" s="16">
        <v>-9999</v>
      </c>
      <c r="DG172" s="16">
        <v>-9999</v>
      </c>
      <c r="DH172" s="16">
        <v>-9999</v>
      </c>
      <c r="DI172" s="16">
        <v>-9999</v>
      </c>
      <c r="DJ172" s="16">
        <v>-9999</v>
      </c>
      <c r="DK172" s="16">
        <v>-9999</v>
      </c>
      <c r="DL172" s="16">
        <v>-9999</v>
      </c>
      <c r="DM172" s="16">
        <v>-9999</v>
      </c>
      <c r="DN172" s="16">
        <v>-9999</v>
      </c>
      <c r="DO172" s="16">
        <v>-9999</v>
      </c>
      <c r="DP172" s="16">
        <v>-9999</v>
      </c>
      <c r="DQ172" s="16">
        <v>-9999</v>
      </c>
      <c r="DR172" s="16">
        <v>-9999</v>
      </c>
      <c r="DS172" s="16">
        <v>-9999</v>
      </c>
      <c r="DT172" s="16">
        <v>-9999</v>
      </c>
      <c r="DU172" s="16">
        <v>-9999</v>
      </c>
      <c r="DV172" s="16">
        <v>-9999</v>
      </c>
      <c r="DW172" s="16">
        <v>-9999</v>
      </c>
      <c r="DX172" s="16">
        <v>-9999</v>
      </c>
      <c r="DY172" s="16">
        <v>-9999</v>
      </c>
      <c r="DZ172" s="16">
        <v>-9999</v>
      </c>
      <c r="EA172" s="2197">
        <v>-9999</v>
      </c>
      <c r="EB172" s="2197">
        <v>-9999</v>
      </c>
      <c r="EC172" s="2197">
        <v>-9999</v>
      </c>
      <c r="ED172" s="2197">
        <v>-9999</v>
      </c>
      <c r="EE172" s="2197">
        <v>-9999</v>
      </c>
      <c r="EF172" s="2197">
        <v>-9999</v>
      </c>
      <c r="EG172" s="2197">
        <v>-9999</v>
      </c>
      <c r="EH172" s="2197">
        <v>-9999</v>
      </c>
      <c r="EI172" s="2197">
        <v>-9999</v>
      </c>
      <c r="EJ172" s="2197">
        <v>-9999</v>
      </c>
      <c r="EK172" s="2197">
        <v>-9999</v>
      </c>
      <c r="EL172" s="2197">
        <v>-9999</v>
      </c>
      <c r="EM172" s="2197">
        <v>-9999</v>
      </c>
    </row>
    <row r="173" spans="1:143">
      <c r="A173" s="22">
        <v>73</v>
      </c>
      <c r="B173" s="36" t="s">
        <v>1705</v>
      </c>
      <c r="C173" s="25">
        <v>-9999</v>
      </c>
      <c r="D173" s="25">
        <v>-9999</v>
      </c>
      <c r="E173" s="25">
        <v>-9999</v>
      </c>
      <c r="F173" s="25">
        <v>-9999</v>
      </c>
      <c r="G173" s="25">
        <v>-9999</v>
      </c>
      <c r="H173" s="25">
        <v>-9999</v>
      </c>
      <c r="I173" s="25">
        <v>-9999</v>
      </c>
      <c r="J173" s="25">
        <v>-9999</v>
      </c>
      <c r="K173" s="25">
        <v>-9999</v>
      </c>
      <c r="L173" s="25">
        <v>-9999</v>
      </c>
      <c r="M173" s="25">
        <v>-9999</v>
      </c>
      <c r="N173" s="25">
        <v>-9999</v>
      </c>
      <c r="O173" s="25">
        <v>-9999</v>
      </c>
      <c r="P173" s="32"/>
      <c r="Q173"/>
      <c r="AA173" s="22">
        <v>73</v>
      </c>
      <c r="AB173" s="1040" t="str">
        <f t="shared" si="8"/>
        <v>FOR FUTURE USE</v>
      </c>
      <c r="AC173" s="1040">
        <f>CHOOSE(Tables!$U$2,Transfer!CA173,Transfer!CN173,Transfer!DA173,Transfer!DN173,Transfer!EA173)</f>
        <v>-9999</v>
      </c>
      <c r="AD173" s="1040">
        <f>CHOOSE(Tables!$U$2,Transfer!CB173,Transfer!CO173,Transfer!DB173,Transfer!DO173,Transfer!EB173)</f>
        <v>-9999</v>
      </c>
      <c r="AE173" s="1040">
        <f>CHOOSE(Tables!$U$2,Transfer!CC173,Transfer!CP173,Transfer!DC173,Transfer!DP173,Transfer!EC173)</f>
        <v>-9999</v>
      </c>
      <c r="AF173" s="1040">
        <f>CHOOSE(Tables!$U$2,Transfer!CD173,Transfer!CQ173,Transfer!DD173,Transfer!DQ173,Transfer!ED173)</f>
        <v>-9999</v>
      </c>
      <c r="AG173" s="1040">
        <f>CHOOSE(Tables!$U$2,Transfer!CE173,Transfer!CR173,Transfer!DE173,Transfer!DR173,Transfer!EE173)</f>
        <v>-9999</v>
      </c>
      <c r="AH173" s="1040">
        <f>CHOOSE(Tables!$U$2,Transfer!CF173,Transfer!CS173,Transfer!DF173,Transfer!DS173,Transfer!EF173)</f>
        <v>-9999</v>
      </c>
      <c r="AI173" s="1040">
        <f>CHOOSE(Tables!$U$2,Transfer!CG173,Transfer!CT173,Transfer!DG173,Transfer!DT173,Transfer!EG173)</f>
        <v>-9999</v>
      </c>
      <c r="AJ173" s="1040">
        <f>CHOOSE(Tables!$U$2,Transfer!CH173,Transfer!CU173,Transfer!DH173,Transfer!DU173,Transfer!EH173)</f>
        <v>-9999</v>
      </c>
      <c r="AK173" s="1040">
        <f>CHOOSE(Tables!$U$2,Transfer!CI173,Transfer!CV173,Transfer!DI173,Transfer!DV173,Transfer!EI173)</f>
        <v>-9999</v>
      </c>
      <c r="AL173" s="1040">
        <f>CHOOSE(Tables!$U$2,Transfer!CJ173,Transfer!CW173,Transfer!DJ173,Transfer!DW173,Transfer!EJ173)</f>
        <v>-9999</v>
      </c>
      <c r="AM173" s="1040">
        <f>CHOOSE(Tables!$U$2,Transfer!CK173,Transfer!CX173,Transfer!DK173,Transfer!DX173,Transfer!EK173)</f>
        <v>-9999</v>
      </c>
      <c r="AN173" s="1040">
        <f>CHOOSE(Tables!$U$2,Transfer!CL173,Transfer!CY173,Transfer!DL173,Transfer!DY173,Transfer!EL173)</f>
        <v>-9999</v>
      </c>
      <c r="AO173" s="1040">
        <f>CHOOSE(Tables!$U$2,Transfer!CM173,Transfer!CZ173,Transfer!DM173,Transfer!DZ173,Transfer!EM173)</f>
        <v>-9999</v>
      </c>
      <c r="AR173" s="22">
        <v>73</v>
      </c>
      <c r="AS173" s="36" t="s">
        <v>1705</v>
      </c>
      <c r="AT173" s="25">
        <f t="shared" si="9"/>
        <v>0</v>
      </c>
      <c r="AU173" s="25">
        <f t="shared" si="9"/>
        <v>0</v>
      </c>
      <c r="AV173" s="25">
        <f t="shared" si="9"/>
        <v>0</v>
      </c>
      <c r="AW173" s="25">
        <f t="shared" si="9"/>
        <v>0</v>
      </c>
      <c r="AX173" s="25">
        <f t="shared" si="9"/>
        <v>0</v>
      </c>
      <c r="AY173" s="25">
        <f t="shared" si="9"/>
        <v>0</v>
      </c>
      <c r="AZ173" s="25">
        <f t="shared" si="7"/>
        <v>0</v>
      </c>
      <c r="BA173" s="25">
        <f t="shared" si="7"/>
        <v>0</v>
      </c>
      <c r="BB173" s="25">
        <f t="shared" si="7"/>
        <v>0</v>
      </c>
      <c r="BC173" s="25">
        <f t="shared" si="7"/>
        <v>0</v>
      </c>
      <c r="BD173" s="25">
        <f t="shared" si="7"/>
        <v>0</v>
      </c>
      <c r="BE173" s="25">
        <f t="shared" si="7"/>
        <v>0</v>
      </c>
      <c r="BF173" s="25">
        <f t="shared" si="7"/>
        <v>0</v>
      </c>
      <c r="CA173" s="16">
        <v>-9999</v>
      </c>
      <c r="CB173" s="16">
        <v>-9999</v>
      </c>
      <c r="CC173" s="16">
        <v>-9999</v>
      </c>
      <c r="CD173" s="16">
        <v>-9999</v>
      </c>
      <c r="CE173" s="16">
        <v>-9999</v>
      </c>
      <c r="CF173" s="16">
        <v>-9999</v>
      </c>
      <c r="CG173" s="16">
        <v>-9999</v>
      </c>
      <c r="CH173" s="16">
        <v>-9999</v>
      </c>
      <c r="CI173" s="16">
        <v>-9999</v>
      </c>
      <c r="CJ173" s="16">
        <v>-9999</v>
      </c>
      <c r="CK173" s="16">
        <v>-9999</v>
      </c>
      <c r="CL173" s="16">
        <v>-9999</v>
      </c>
      <c r="CM173" s="16">
        <v>-9999</v>
      </c>
      <c r="CN173" s="16">
        <v>-9999</v>
      </c>
      <c r="CO173" s="16">
        <v>-9999</v>
      </c>
      <c r="CP173" s="16">
        <v>-9999</v>
      </c>
      <c r="CQ173" s="16">
        <v>-9999</v>
      </c>
      <c r="CR173" s="16">
        <v>-9999</v>
      </c>
      <c r="CS173" s="16">
        <v>-9999</v>
      </c>
      <c r="CT173" s="16">
        <v>-9999</v>
      </c>
      <c r="CU173" s="16">
        <v>-9999</v>
      </c>
      <c r="CV173" s="16">
        <v>-9999</v>
      </c>
      <c r="CW173" s="16">
        <v>-9999</v>
      </c>
      <c r="CX173" s="16">
        <v>-9999</v>
      </c>
      <c r="CY173" s="16">
        <v>-9999</v>
      </c>
      <c r="CZ173" s="16">
        <v>-9999</v>
      </c>
      <c r="DA173" s="16">
        <v>-9999</v>
      </c>
      <c r="DB173" s="16">
        <v>-9999</v>
      </c>
      <c r="DC173" s="16">
        <v>-9999</v>
      </c>
      <c r="DD173" s="16">
        <v>-9999</v>
      </c>
      <c r="DE173" s="16">
        <v>-9999</v>
      </c>
      <c r="DF173" s="16">
        <v>-9999</v>
      </c>
      <c r="DG173" s="16">
        <v>-9999</v>
      </c>
      <c r="DH173" s="16">
        <v>-9999</v>
      </c>
      <c r="DI173" s="16">
        <v>-9999</v>
      </c>
      <c r="DJ173" s="16">
        <v>-9999</v>
      </c>
      <c r="DK173" s="16">
        <v>-9999</v>
      </c>
      <c r="DL173" s="16">
        <v>-9999</v>
      </c>
      <c r="DM173" s="16">
        <v>-9999</v>
      </c>
      <c r="DN173" s="16">
        <v>-9999</v>
      </c>
      <c r="DO173" s="16">
        <v>-9999</v>
      </c>
      <c r="DP173" s="16">
        <v>-9999</v>
      </c>
      <c r="DQ173" s="16">
        <v>-9999</v>
      </c>
      <c r="DR173" s="16">
        <v>-9999</v>
      </c>
      <c r="DS173" s="16">
        <v>-9999</v>
      </c>
      <c r="DT173" s="16">
        <v>-9999</v>
      </c>
      <c r="DU173" s="16">
        <v>-9999</v>
      </c>
      <c r="DV173" s="16">
        <v>-9999</v>
      </c>
      <c r="DW173" s="16">
        <v>-9999</v>
      </c>
      <c r="DX173" s="16">
        <v>-9999</v>
      </c>
      <c r="DY173" s="16">
        <v>-9999</v>
      </c>
      <c r="DZ173" s="16">
        <v>-9999</v>
      </c>
      <c r="EA173" s="2197">
        <v>-9999</v>
      </c>
      <c r="EB173" s="2197">
        <v>-9999</v>
      </c>
      <c r="EC173" s="2197">
        <v>-9999</v>
      </c>
      <c r="ED173" s="2197">
        <v>-9999</v>
      </c>
      <c r="EE173" s="2197">
        <v>-9999</v>
      </c>
      <c r="EF173" s="2197">
        <v>-9999</v>
      </c>
      <c r="EG173" s="2197">
        <v>-9999</v>
      </c>
      <c r="EH173" s="2197">
        <v>-9999</v>
      </c>
      <c r="EI173" s="2197">
        <v>-9999</v>
      </c>
      <c r="EJ173" s="2197">
        <v>-9999</v>
      </c>
      <c r="EK173" s="2197">
        <v>-9999</v>
      </c>
      <c r="EL173" s="2197">
        <v>-9999</v>
      </c>
      <c r="EM173" s="2197">
        <v>-9999</v>
      </c>
    </row>
    <row r="174" spans="1:143">
      <c r="A174" s="22">
        <v>74</v>
      </c>
      <c r="B174" s="36" t="s">
        <v>1705</v>
      </c>
      <c r="C174" s="25">
        <v>-9999</v>
      </c>
      <c r="D174" s="25">
        <v>-9999</v>
      </c>
      <c r="E174" s="25">
        <v>-9999</v>
      </c>
      <c r="F174" s="25">
        <v>-9999</v>
      </c>
      <c r="G174" s="25">
        <v>-9999</v>
      </c>
      <c r="H174" s="25">
        <v>-9999</v>
      </c>
      <c r="I174" s="25">
        <v>-9999</v>
      </c>
      <c r="J174" s="25">
        <v>-9999</v>
      </c>
      <c r="K174" s="25">
        <v>-9999</v>
      </c>
      <c r="L174" s="25">
        <v>-9999</v>
      </c>
      <c r="M174" s="25">
        <v>-9999</v>
      </c>
      <c r="N174" s="25">
        <v>-9999</v>
      </c>
      <c r="O174" s="25">
        <v>-9999</v>
      </c>
      <c r="P174" s="32"/>
      <c r="Q174"/>
      <c r="AA174" s="22">
        <v>74</v>
      </c>
      <c r="AB174" s="1040" t="str">
        <f t="shared" si="8"/>
        <v>FOR FUTURE USE</v>
      </c>
      <c r="AC174" s="1040">
        <f>CHOOSE(Tables!$U$2,Transfer!CA174,Transfer!CN174,Transfer!DA174,Transfer!DN174,Transfer!EA174)</f>
        <v>-9999</v>
      </c>
      <c r="AD174" s="1040">
        <f>CHOOSE(Tables!$U$2,Transfer!CB174,Transfer!CO174,Transfer!DB174,Transfer!DO174,Transfer!EB174)</f>
        <v>-9999</v>
      </c>
      <c r="AE174" s="1040">
        <f>CHOOSE(Tables!$U$2,Transfer!CC174,Transfer!CP174,Transfer!DC174,Transfer!DP174,Transfer!EC174)</f>
        <v>-9999</v>
      </c>
      <c r="AF174" s="1040">
        <f>CHOOSE(Tables!$U$2,Transfer!CD174,Transfer!CQ174,Transfer!DD174,Transfer!DQ174,Transfer!ED174)</f>
        <v>-9999</v>
      </c>
      <c r="AG174" s="1040">
        <f>CHOOSE(Tables!$U$2,Transfer!CE174,Transfer!CR174,Transfer!DE174,Transfer!DR174,Transfer!EE174)</f>
        <v>-9999</v>
      </c>
      <c r="AH174" s="1040">
        <f>CHOOSE(Tables!$U$2,Transfer!CF174,Transfer!CS174,Transfer!DF174,Transfer!DS174,Transfer!EF174)</f>
        <v>-9999</v>
      </c>
      <c r="AI174" s="1040">
        <f>CHOOSE(Tables!$U$2,Transfer!CG174,Transfer!CT174,Transfer!DG174,Transfer!DT174,Transfer!EG174)</f>
        <v>-9999</v>
      </c>
      <c r="AJ174" s="1040">
        <f>CHOOSE(Tables!$U$2,Transfer!CH174,Transfer!CU174,Transfer!DH174,Transfer!DU174,Transfer!EH174)</f>
        <v>-9999</v>
      </c>
      <c r="AK174" s="1040">
        <f>CHOOSE(Tables!$U$2,Transfer!CI174,Transfer!CV174,Transfer!DI174,Transfer!DV174,Transfer!EI174)</f>
        <v>-9999</v>
      </c>
      <c r="AL174" s="1040">
        <f>CHOOSE(Tables!$U$2,Transfer!CJ174,Transfer!CW174,Transfer!DJ174,Transfer!DW174,Transfer!EJ174)</f>
        <v>-9999</v>
      </c>
      <c r="AM174" s="1040">
        <f>CHOOSE(Tables!$U$2,Transfer!CK174,Transfer!CX174,Transfer!DK174,Transfer!DX174,Transfer!EK174)</f>
        <v>-9999</v>
      </c>
      <c r="AN174" s="1040">
        <f>CHOOSE(Tables!$U$2,Transfer!CL174,Transfer!CY174,Transfer!DL174,Transfer!DY174,Transfer!EL174)</f>
        <v>-9999</v>
      </c>
      <c r="AO174" s="1040">
        <f>CHOOSE(Tables!$U$2,Transfer!CM174,Transfer!CZ174,Transfer!DM174,Transfer!DZ174,Transfer!EM174)</f>
        <v>-9999</v>
      </c>
      <c r="AR174" s="22">
        <v>74</v>
      </c>
      <c r="AS174" s="36" t="s">
        <v>1705</v>
      </c>
      <c r="AT174" s="25">
        <f t="shared" si="9"/>
        <v>0</v>
      </c>
      <c r="AU174" s="25">
        <f t="shared" si="9"/>
        <v>0</v>
      </c>
      <c r="AV174" s="25">
        <f t="shared" si="9"/>
        <v>0</v>
      </c>
      <c r="AW174" s="25">
        <f t="shared" si="9"/>
        <v>0</v>
      </c>
      <c r="AX174" s="25">
        <f t="shared" si="9"/>
        <v>0</v>
      </c>
      <c r="AY174" s="25">
        <f t="shared" si="9"/>
        <v>0</v>
      </c>
      <c r="AZ174" s="25">
        <f t="shared" si="7"/>
        <v>0</v>
      </c>
      <c r="BA174" s="25">
        <f t="shared" si="7"/>
        <v>0</v>
      </c>
      <c r="BB174" s="25">
        <f t="shared" si="7"/>
        <v>0</v>
      </c>
      <c r="BC174" s="25">
        <f t="shared" si="7"/>
        <v>0</v>
      </c>
      <c r="BD174" s="25">
        <f t="shared" si="7"/>
        <v>0</v>
      </c>
      <c r="BE174" s="25">
        <f t="shared" si="7"/>
        <v>0</v>
      </c>
      <c r="BF174" s="25">
        <f t="shared" si="7"/>
        <v>0</v>
      </c>
      <c r="CA174" s="16">
        <v>-9999</v>
      </c>
      <c r="CB174" s="16">
        <v>-9999</v>
      </c>
      <c r="CC174" s="16">
        <v>-9999</v>
      </c>
      <c r="CD174" s="16">
        <v>-9999</v>
      </c>
      <c r="CE174" s="16">
        <v>-9999</v>
      </c>
      <c r="CF174" s="16">
        <v>-9999</v>
      </c>
      <c r="CG174" s="16">
        <v>-9999</v>
      </c>
      <c r="CH174" s="16">
        <v>-9999</v>
      </c>
      <c r="CI174" s="16">
        <v>-9999</v>
      </c>
      <c r="CJ174" s="16">
        <v>-9999</v>
      </c>
      <c r="CK174" s="16">
        <v>-9999</v>
      </c>
      <c r="CL174" s="16">
        <v>-9999</v>
      </c>
      <c r="CM174" s="16">
        <v>-9999</v>
      </c>
      <c r="CN174" s="16">
        <v>-9999</v>
      </c>
      <c r="CO174" s="16">
        <v>-9999</v>
      </c>
      <c r="CP174" s="16">
        <v>-9999</v>
      </c>
      <c r="CQ174" s="16">
        <v>-9999</v>
      </c>
      <c r="CR174" s="16">
        <v>-9999</v>
      </c>
      <c r="CS174" s="16">
        <v>-9999</v>
      </c>
      <c r="CT174" s="16">
        <v>-9999</v>
      </c>
      <c r="CU174" s="16">
        <v>-9999</v>
      </c>
      <c r="CV174" s="16">
        <v>-9999</v>
      </c>
      <c r="CW174" s="16">
        <v>-9999</v>
      </c>
      <c r="CX174" s="16">
        <v>-9999</v>
      </c>
      <c r="CY174" s="16">
        <v>-9999</v>
      </c>
      <c r="CZ174" s="16">
        <v>-9999</v>
      </c>
      <c r="DA174" s="16">
        <v>-9999</v>
      </c>
      <c r="DB174" s="16">
        <v>-9999</v>
      </c>
      <c r="DC174" s="16">
        <v>-9999</v>
      </c>
      <c r="DD174" s="16">
        <v>-9999</v>
      </c>
      <c r="DE174" s="16">
        <v>-9999</v>
      </c>
      <c r="DF174" s="16">
        <v>-9999</v>
      </c>
      <c r="DG174" s="16">
        <v>-9999</v>
      </c>
      <c r="DH174" s="16">
        <v>-9999</v>
      </c>
      <c r="DI174" s="16">
        <v>-9999</v>
      </c>
      <c r="DJ174" s="16">
        <v>-9999</v>
      </c>
      <c r="DK174" s="16">
        <v>-9999</v>
      </c>
      <c r="DL174" s="16">
        <v>-9999</v>
      </c>
      <c r="DM174" s="16">
        <v>-9999</v>
      </c>
      <c r="DN174" s="16">
        <v>-9999</v>
      </c>
      <c r="DO174" s="16">
        <v>-9999</v>
      </c>
      <c r="DP174" s="16">
        <v>-9999</v>
      </c>
      <c r="DQ174" s="16">
        <v>-9999</v>
      </c>
      <c r="DR174" s="16">
        <v>-9999</v>
      </c>
      <c r="DS174" s="16">
        <v>-9999</v>
      </c>
      <c r="DT174" s="16">
        <v>-9999</v>
      </c>
      <c r="DU174" s="16">
        <v>-9999</v>
      </c>
      <c r="DV174" s="16">
        <v>-9999</v>
      </c>
      <c r="DW174" s="16">
        <v>-9999</v>
      </c>
      <c r="DX174" s="16">
        <v>-9999</v>
      </c>
      <c r="DY174" s="16">
        <v>-9999</v>
      </c>
      <c r="DZ174" s="16">
        <v>-9999</v>
      </c>
      <c r="EA174" s="2197">
        <v>-9999</v>
      </c>
      <c r="EB174" s="2197">
        <v>-9999</v>
      </c>
      <c r="EC174" s="2197">
        <v>-9999</v>
      </c>
      <c r="ED174" s="2197">
        <v>-9999</v>
      </c>
      <c r="EE174" s="2197">
        <v>-9999</v>
      </c>
      <c r="EF174" s="2197">
        <v>-9999</v>
      </c>
      <c r="EG174" s="2197">
        <v>-9999</v>
      </c>
      <c r="EH174" s="2197">
        <v>-9999</v>
      </c>
      <c r="EI174" s="2197">
        <v>-9999</v>
      </c>
      <c r="EJ174" s="2197">
        <v>-9999</v>
      </c>
      <c r="EK174" s="2197">
        <v>-9999</v>
      </c>
      <c r="EL174" s="2197">
        <v>-9999</v>
      </c>
      <c r="EM174" s="2197">
        <v>-9999</v>
      </c>
    </row>
    <row r="175" spans="1:143">
      <c r="A175" s="22">
        <v>75</v>
      </c>
      <c r="B175" s="27" t="s">
        <v>1735</v>
      </c>
      <c r="C175" s="20">
        <f ca="1">OFFSET(Labour1!F5,0,Last_forecast_year - 3-InputY!$G$3)</f>
        <v>2904.91</v>
      </c>
      <c r="D175" s="3173">
        <f ca="1">OFFSET(Labour1!G5,0,Last_forecast_year - 3-InputY!$G$3)</f>
        <v>2868.2310000000002</v>
      </c>
      <c r="E175" s="20">
        <f ca="1">OFFSET(Labour1!H5,0,Last_forecast_year - 3-InputY!$G$3)</f>
        <v>2828.9999999999986</v>
      </c>
      <c r="F175" s="20">
        <f ca="1">OFFSET(Labour1!I5,0,Last_forecast_year - 3-InputY!$G$3)</f>
        <v>2803.5389999999989</v>
      </c>
      <c r="G175" s="20">
        <f ca="1">OFFSET(Labour1!J5,0,Last_forecast_year - 3-InputY!$G$3)</f>
        <v>2783.9142269999988</v>
      </c>
      <c r="H175" s="25">
        <v>-9999</v>
      </c>
      <c r="I175" s="25">
        <v>-9999</v>
      </c>
      <c r="J175" s="25">
        <v>-9999</v>
      </c>
      <c r="K175" s="25">
        <v>-9999</v>
      </c>
      <c r="L175" s="25">
        <v>-9999</v>
      </c>
      <c r="M175" s="25">
        <v>-9999</v>
      </c>
      <c r="N175" s="25">
        <v>-9999</v>
      </c>
      <c r="O175" s="25">
        <v>-9999</v>
      </c>
      <c r="P175" s="32"/>
      <c r="Q175"/>
      <c r="AA175" s="22">
        <v>75</v>
      </c>
      <c r="AB175" s="1040" t="str">
        <f t="shared" si="8"/>
        <v>TOTAL POPULATION</v>
      </c>
      <c r="AC175" s="1040">
        <f>CHOOSE(Tables!$U$2,Transfer!CA175,Transfer!CN175,Transfer!DA175,Transfer!DN175,Transfer!EA175)</f>
        <v>3030.1729999999998</v>
      </c>
      <c r="AD175" s="1040">
        <f>CHOOSE(Tables!$U$2,Transfer!CB175,Transfer!CO175,Transfer!DB175,Transfer!DO175,Transfer!EB175)</f>
        <v>2989.8314999999998</v>
      </c>
      <c r="AE175" s="1040">
        <f>CHOOSE(Tables!$U$2,Transfer!CC175,Transfer!CP175,Transfer!DC175,Transfer!DP175,Transfer!EC175)</f>
        <v>2965.9128479999999</v>
      </c>
      <c r="AF175" s="1040">
        <f>CHOOSE(Tables!$U$2,Transfer!CD175,Transfer!CQ175,Transfer!DD175,Transfer!DQ175,Transfer!ED175)</f>
        <v>2945.1514580640001</v>
      </c>
      <c r="AG175" s="1040">
        <f>CHOOSE(Tables!$U$2,Transfer!CE175,Transfer!CR175,Transfer!DE175,Transfer!DR175,Transfer!EE175)</f>
        <v>2942.2063066059359</v>
      </c>
      <c r="AH175" s="1040">
        <f>CHOOSE(Tables!$U$2,Transfer!CF175,Transfer!CS175,Transfer!DF175,Transfer!DS175,Transfer!EF175)</f>
        <v>-9999</v>
      </c>
      <c r="AI175" s="1040">
        <f>CHOOSE(Tables!$U$2,Transfer!CG175,Transfer!CT175,Transfer!DG175,Transfer!DT175,Transfer!EG175)</f>
        <v>-9999</v>
      </c>
      <c r="AJ175" s="1040">
        <f>CHOOSE(Tables!$U$2,Transfer!CH175,Transfer!CU175,Transfer!DH175,Transfer!DU175,Transfer!EH175)</f>
        <v>-9999</v>
      </c>
      <c r="AK175" s="1040">
        <f>CHOOSE(Tables!$U$2,Transfer!CI175,Transfer!CV175,Transfer!DI175,Transfer!DV175,Transfer!EI175)</f>
        <v>-9999</v>
      </c>
      <c r="AL175" s="1040">
        <f>CHOOSE(Tables!$U$2,Transfer!CJ175,Transfer!CW175,Transfer!DJ175,Transfer!DW175,Transfer!EJ175)</f>
        <v>-9999</v>
      </c>
      <c r="AM175" s="1040">
        <f>CHOOSE(Tables!$U$2,Transfer!CK175,Transfer!CX175,Transfer!DK175,Transfer!DX175,Transfer!EK175)</f>
        <v>-9999</v>
      </c>
      <c r="AN175" s="1040">
        <f>CHOOSE(Tables!$U$2,Transfer!CL175,Transfer!CY175,Transfer!DL175,Transfer!DY175,Transfer!EL175)</f>
        <v>-9999</v>
      </c>
      <c r="AO175" s="1040">
        <f>CHOOSE(Tables!$U$2,Transfer!CM175,Transfer!CZ175,Transfer!DM175,Transfer!DZ175,Transfer!EM175)</f>
        <v>-9999</v>
      </c>
      <c r="AR175" s="22">
        <v>75</v>
      </c>
      <c r="AS175" s="27" t="s">
        <v>1735</v>
      </c>
      <c r="AT175" s="20">
        <f t="shared" ca="1" si="9"/>
        <v>-125.26299999999992</v>
      </c>
      <c r="AU175" s="20">
        <f t="shared" ca="1" si="9"/>
        <v>-121.60049999999956</v>
      </c>
      <c r="AV175" s="20">
        <f t="shared" ca="1" si="9"/>
        <v>-136.9128480000013</v>
      </c>
      <c r="AW175" s="20">
        <f t="shared" ca="1" si="9"/>
        <v>-141.6124580640012</v>
      </c>
      <c r="AX175" s="20">
        <f t="shared" ca="1" si="9"/>
        <v>-158.29207960593703</v>
      </c>
      <c r="AY175" s="25">
        <f t="shared" si="9"/>
        <v>0</v>
      </c>
      <c r="AZ175" s="25">
        <f t="shared" si="7"/>
        <v>0</v>
      </c>
      <c r="BA175" s="25">
        <f t="shared" si="7"/>
        <v>0</v>
      </c>
      <c r="BB175" s="25">
        <f t="shared" si="7"/>
        <v>0</v>
      </c>
      <c r="BC175" s="25">
        <f t="shared" si="7"/>
        <v>0</v>
      </c>
      <c r="BD175" s="25">
        <f t="shared" si="7"/>
        <v>0</v>
      </c>
      <c r="BE175" s="25">
        <f t="shared" si="7"/>
        <v>0</v>
      </c>
      <c r="BF175" s="25">
        <f t="shared" si="7"/>
        <v>0</v>
      </c>
      <c r="CA175" s="16">
        <v>2957.6885000000002</v>
      </c>
      <c r="CB175" s="16">
        <v>2932.3670000000002</v>
      </c>
      <c r="CC175" s="16">
        <v>2903.9999999999995</v>
      </c>
      <c r="CD175" s="16">
        <v>2875</v>
      </c>
      <c r="CE175" s="16">
        <v>2856</v>
      </c>
      <c r="CF175" s="16">
        <v>-9999</v>
      </c>
      <c r="CG175" s="16">
        <v>-9999</v>
      </c>
      <c r="CH175" s="16">
        <v>-9999</v>
      </c>
      <c r="CI175" s="16">
        <v>-9999</v>
      </c>
      <c r="CJ175" s="16">
        <v>-9999</v>
      </c>
      <c r="CK175" s="16">
        <v>-9999</v>
      </c>
      <c r="CL175" s="16">
        <v>-9999</v>
      </c>
      <c r="CM175" s="16">
        <v>-9999</v>
      </c>
      <c r="CN175" s="16">
        <v>2987.7730000000001</v>
      </c>
      <c r="CO175" s="16">
        <v>2957.6885000000002</v>
      </c>
      <c r="CP175" s="16">
        <v>2923.3589999999999</v>
      </c>
      <c r="CQ175" s="16">
        <v>2910.2038845000002</v>
      </c>
      <c r="CR175" s="16">
        <v>2898.5630689620002</v>
      </c>
      <c r="CS175" s="16">
        <v>-9999</v>
      </c>
      <c r="CT175" s="16">
        <v>-9999</v>
      </c>
      <c r="CU175" s="16">
        <v>-9999</v>
      </c>
      <c r="CV175" s="16">
        <v>-9999</v>
      </c>
      <c r="CW175" s="16">
        <v>-9999</v>
      </c>
      <c r="CX175" s="16">
        <v>-9999</v>
      </c>
      <c r="CY175" s="16">
        <v>-9999</v>
      </c>
      <c r="CZ175" s="16">
        <v>-9999</v>
      </c>
      <c r="DA175" s="16">
        <v>2957.6885000000002</v>
      </c>
      <c r="DB175" s="16">
        <v>2932.3670000000002</v>
      </c>
      <c r="DC175" s="16">
        <v>2903.9999999999995</v>
      </c>
      <c r="DD175" s="16">
        <v>2875</v>
      </c>
      <c r="DE175" s="16">
        <v>2856</v>
      </c>
      <c r="DF175" s="16">
        <v>-9999</v>
      </c>
      <c r="DG175" s="16">
        <v>-9999</v>
      </c>
      <c r="DH175" s="16">
        <v>-9999</v>
      </c>
      <c r="DI175" s="16">
        <v>-9999</v>
      </c>
      <c r="DJ175" s="16">
        <v>-9999</v>
      </c>
      <c r="DK175" s="16">
        <v>-9999</v>
      </c>
      <c r="DL175" s="16">
        <v>-9999</v>
      </c>
      <c r="DM175" s="16">
        <v>-9999</v>
      </c>
      <c r="DN175" s="16">
        <v>2987.7730000000001</v>
      </c>
      <c r="DO175" s="16">
        <v>2957.6885000000002</v>
      </c>
      <c r="DP175" s="16">
        <v>2932.6959999999999</v>
      </c>
      <c r="DQ175" s="16">
        <v>2919.4988680000001</v>
      </c>
      <c r="DR175" s="16">
        <v>2909.2806219620002</v>
      </c>
      <c r="DS175" s="16">
        <v>-9999</v>
      </c>
      <c r="DT175" s="16">
        <v>-9999</v>
      </c>
      <c r="DU175" s="16">
        <v>-9999</v>
      </c>
      <c r="DV175" s="16">
        <v>-9999</v>
      </c>
      <c r="DW175" s="16">
        <v>-9999</v>
      </c>
      <c r="DX175" s="16">
        <v>-9999</v>
      </c>
      <c r="DY175" s="16">
        <v>-9999</v>
      </c>
      <c r="DZ175" s="16">
        <v>-9999</v>
      </c>
      <c r="EA175" s="2196">
        <v>3030.1729999999998</v>
      </c>
      <c r="EB175" s="2196">
        <v>2989.8314999999998</v>
      </c>
      <c r="EC175" s="2196">
        <v>2965.9128479999999</v>
      </c>
      <c r="ED175" s="2196">
        <v>2945.1514580640001</v>
      </c>
      <c r="EE175" s="2196">
        <v>2942.2063066059359</v>
      </c>
      <c r="EF175" s="2197">
        <v>-9999</v>
      </c>
      <c r="EG175" s="2197">
        <v>-9999</v>
      </c>
      <c r="EH175" s="2197">
        <v>-9999</v>
      </c>
      <c r="EI175" s="2197">
        <v>-9999</v>
      </c>
      <c r="EJ175" s="2197">
        <v>-9999</v>
      </c>
      <c r="EK175" s="2197">
        <v>-9999</v>
      </c>
      <c r="EL175" s="2197">
        <v>-9999</v>
      </c>
      <c r="EM175" s="2197">
        <v>-9999</v>
      </c>
    </row>
    <row r="176" spans="1:143">
      <c r="A176" s="22">
        <v>76</v>
      </c>
      <c r="B176" s="27" t="s">
        <v>617</v>
      </c>
      <c r="C176" s="20">
        <f ca="1">OFFSET(Labour1!F7,0,Last_forecast_year - 3-InputY!$G$3)</f>
        <v>1932.4845</v>
      </c>
      <c r="D176" s="20">
        <f ca="1">OFFSET(Labour1!G7,0,Last_forecast_year - 3-InputY!$G$3)</f>
        <v>1895.9345000000001</v>
      </c>
      <c r="E176" s="20">
        <f ca="1">OFFSET(Labour1!H7,0,Last_forecast_year - 3-InputY!$G$3)</f>
        <v>1855.4</v>
      </c>
      <c r="F176" s="20">
        <f ca="1">OFFSET(Labour1!I7,0,Last_forecast_year - 3-InputY!$G$3)</f>
        <v>1820.1474000000001</v>
      </c>
      <c r="G176" s="20">
        <f ca="1">OFFSET(Labour1!J7,0,Last_forecast_year - 3-InputY!$G$3)</f>
        <v>1787.3847468000001</v>
      </c>
      <c r="H176" s="25">
        <v>-9999</v>
      </c>
      <c r="I176" s="25">
        <v>-9999</v>
      </c>
      <c r="J176" s="25">
        <v>-9999</v>
      </c>
      <c r="K176" s="25">
        <v>-9999</v>
      </c>
      <c r="L176" s="25">
        <v>-9999</v>
      </c>
      <c r="M176" s="25">
        <v>-9999</v>
      </c>
      <c r="N176" s="25">
        <v>-9999</v>
      </c>
      <c r="O176" s="25">
        <v>-9999</v>
      </c>
      <c r="P176" s="32"/>
      <c r="Q176"/>
      <c r="AA176" s="22">
        <v>76</v>
      </c>
      <c r="AB176" s="1040" t="str">
        <f t="shared" si="8"/>
        <v>POPULATION OF WORKING AGE (15-64)</v>
      </c>
      <c r="AC176" s="1040">
        <f>CHOOSE(Tables!$U$2,Transfer!CA176,Transfer!CN176,Transfer!DA176,Transfer!DN176,Transfer!EA176)</f>
        <v>2034.5550000000001</v>
      </c>
      <c r="AD176" s="1040">
        <f>CHOOSE(Tables!$U$2,Transfer!CB176,Transfer!CO176,Transfer!DB176,Transfer!DO176,Transfer!EB176)</f>
        <v>2004.0366750000001</v>
      </c>
      <c r="AE176" s="1040">
        <f>CHOOSE(Tables!$U$2,Transfer!CC176,Transfer!CP176,Transfer!DC176,Transfer!DP176,Transfer!EC176)</f>
        <v>1994.0164916250001</v>
      </c>
      <c r="AF176" s="1040">
        <f>CHOOSE(Tables!$U$2,Transfer!CD176,Transfer!CQ176,Transfer!DD176,Transfer!DQ176,Transfer!ED176)</f>
        <v>1984.046409166875</v>
      </c>
      <c r="AG176" s="1040">
        <f>CHOOSE(Tables!$U$2,Transfer!CE176,Transfer!CR176,Transfer!DE176,Transfer!DR176,Transfer!EE176)</f>
        <v>1976.1102235302076</v>
      </c>
      <c r="AH176" s="1040">
        <f>CHOOSE(Tables!$U$2,Transfer!CF176,Transfer!CS176,Transfer!DF176,Transfer!DS176,Transfer!EF176)</f>
        <v>-9999</v>
      </c>
      <c r="AI176" s="1040">
        <f>CHOOSE(Tables!$U$2,Transfer!CG176,Transfer!CT176,Transfer!DG176,Transfer!DT176,Transfer!EG176)</f>
        <v>-9999</v>
      </c>
      <c r="AJ176" s="1040">
        <f>CHOOSE(Tables!$U$2,Transfer!CH176,Transfer!CU176,Transfer!DH176,Transfer!DU176,Transfer!EH176)</f>
        <v>-9999</v>
      </c>
      <c r="AK176" s="1040">
        <f>CHOOSE(Tables!$U$2,Transfer!CI176,Transfer!CV176,Transfer!DI176,Transfer!DV176,Transfer!EI176)</f>
        <v>-9999</v>
      </c>
      <c r="AL176" s="1040">
        <f>CHOOSE(Tables!$U$2,Transfer!CJ176,Transfer!CW176,Transfer!DJ176,Transfer!DW176,Transfer!EJ176)</f>
        <v>-9999</v>
      </c>
      <c r="AM176" s="1040">
        <f>CHOOSE(Tables!$U$2,Transfer!CK176,Transfer!CX176,Transfer!DK176,Transfer!DX176,Transfer!EK176)</f>
        <v>-9999</v>
      </c>
      <c r="AN176" s="1040">
        <f>CHOOSE(Tables!$U$2,Transfer!CL176,Transfer!CY176,Transfer!DL176,Transfer!DY176,Transfer!EL176)</f>
        <v>-9999</v>
      </c>
      <c r="AO176" s="1040">
        <f>CHOOSE(Tables!$U$2,Transfer!CM176,Transfer!CZ176,Transfer!DM176,Transfer!DZ176,Transfer!EM176)</f>
        <v>-9999</v>
      </c>
      <c r="AR176" s="22">
        <v>76</v>
      </c>
      <c r="AS176" s="27" t="s">
        <v>617</v>
      </c>
      <c r="AT176" s="20">
        <f t="shared" ca="1" si="9"/>
        <v>-102.07050000000004</v>
      </c>
      <c r="AU176" s="20">
        <f ca="1">D176-AD176</f>
        <v>-108.10217499999999</v>
      </c>
      <c r="AV176" s="20">
        <f ca="1">E176-AE176</f>
        <v>-138.61649162499998</v>
      </c>
      <c r="AW176" s="20">
        <f t="shared" ca="1" si="9"/>
        <v>-163.89900916687498</v>
      </c>
      <c r="AX176" s="20">
        <f t="shared" ca="1" si="9"/>
        <v>-188.72547673020745</v>
      </c>
      <c r="AY176" s="25">
        <f t="shared" si="9"/>
        <v>0</v>
      </c>
      <c r="AZ176" s="25">
        <f t="shared" si="9"/>
        <v>0</v>
      </c>
      <c r="BA176" s="25">
        <f t="shared" si="9"/>
        <v>0</v>
      </c>
      <c r="BB176" s="25">
        <f t="shared" si="9"/>
        <v>0</v>
      </c>
      <c r="BC176" s="25">
        <f t="shared" si="7"/>
        <v>0</v>
      </c>
      <c r="BD176" s="25">
        <f t="shared" si="7"/>
        <v>0</v>
      </c>
      <c r="BE176" s="25">
        <f t="shared" si="7"/>
        <v>0</v>
      </c>
      <c r="BF176" s="25">
        <f t="shared" si="7"/>
        <v>0</v>
      </c>
      <c r="CA176" s="16">
        <v>1981.8879999999999</v>
      </c>
      <c r="CB176" s="16">
        <v>1960</v>
      </c>
      <c r="CC176" s="16">
        <v>1933.0000000000002</v>
      </c>
      <c r="CD176" s="16">
        <v>1906</v>
      </c>
      <c r="CE176" s="16">
        <v>1880.9474237644579</v>
      </c>
      <c r="CF176" s="16">
        <v>-9999</v>
      </c>
      <c r="CG176" s="16">
        <v>-9999</v>
      </c>
      <c r="CH176" s="16">
        <v>-9999</v>
      </c>
      <c r="CI176" s="16">
        <v>-9999</v>
      </c>
      <c r="CJ176" s="16">
        <v>-9999</v>
      </c>
      <c r="CK176" s="16">
        <v>-9999</v>
      </c>
      <c r="CL176" s="16">
        <v>-9999</v>
      </c>
      <c r="CM176" s="16">
        <v>-9999</v>
      </c>
      <c r="CN176" s="16">
        <v>2004.6890000000001</v>
      </c>
      <c r="CO176" s="16">
        <v>1981.8879999999999</v>
      </c>
      <c r="CP176" s="16">
        <v>1971.97856</v>
      </c>
      <c r="CQ176" s="16">
        <v>1964.0906457599999</v>
      </c>
      <c r="CR176" s="16">
        <v>1956.2342831769599</v>
      </c>
      <c r="CS176" s="16">
        <v>-9999</v>
      </c>
      <c r="CT176" s="16">
        <v>-9999</v>
      </c>
      <c r="CU176" s="16">
        <v>-9999</v>
      </c>
      <c r="CV176" s="16">
        <v>-9999</v>
      </c>
      <c r="CW176" s="16">
        <v>-9999</v>
      </c>
      <c r="CX176" s="16">
        <v>-9999</v>
      </c>
      <c r="CY176" s="16">
        <v>-9999</v>
      </c>
      <c r="CZ176" s="16">
        <v>-9999</v>
      </c>
      <c r="DA176" s="16">
        <v>1981.8879999999999</v>
      </c>
      <c r="DB176" s="16">
        <v>1960</v>
      </c>
      <c r="DC176" s="16">
        <v>1932</v>
      </c>
      <c r="DD176" s="16">
        <v>1902.0000000000005</v>
      </c>
      <c r="DE176" s="16">
        <v>1877</v>
      </c>
      <c r="DF176" s="16">
        <v>-9999</v>
      </c>
      <c r="DG176" s="16">
        <v>-9999</v>
      </c>
      <c r="DH176" s="16">
        <v>-9999</v>
      </c>
      <c r="DI176" s="16">
        <v>-9999</v>
      </c>
      <c r="DJ176" s="16">
        <v>-9999</v>
      </c>
      <c r="DK176" s="16">
        <v>-9999</v>
      </c>
      <c r="DL176" s="16">
        <v>-9999</v>
      </c>
      <c r="DM176" s="16">
        <v>-9999</v>
      </c>
      <c r="DN176" s="16">
        <v>2004.6890000000001</v>
      </c>
      <c r="DO176" s="16">
        <v>1981.8879999999999</v>
      </c>
      <c r="DP176" s="16">
        <v>1973.9604479999998</v>
      </c>
      <c r="DQ176" s="16">
        <v>1968.0385666559998</v>
      </c>
      <c r="DR176" s="16">
        <v>1962.1344509560317</v>
      </c>
      <c r="DS176" s="16">
        <v>-9999</v>
      </c>
      <c r="DT176" s="16">
        <v>-9999</v>
      </c>
      <c r="DU176" s="16">
        <v>-9999</v>
      </c>
      <c r="DV176" s="16">
        <v>-9999</v>
      </c>
      <c r="DW176" s="16">
        <v>-9999</v>
      </c>
      <c r="DX176" s="16">
        <v>-9999</v>
      </c>
      <c r="DY176" s="16">
        <v>-9999</v>
      </c>
      <c r="DZ176" s="16">
        <v>-9999</v>
      </c>
      <c r="EA176" s="2196">
        <v>2034.5550000000001</v>
      </c>
      <c r="EB176" s="2196">
        <v>2004.0366750000001</v>
      </c>
      <c r="EC176" s="2196">
        <v>1994.0164916250001</v>
      </c>
      <c r="ED176" s="2196">
        <v>1984.046409166875</v>
      </c>
      <c r="EE176" s="2196">
        <v>1976.1102235302076</v>
      </c>
      <c r="EF176" s="2197">
        <v>-9999</v>
      </c>
      <c r="EG176" s="2197">
        <v>-9999</v>
      </c>
      <c r="EH176" s="2197">
        <v>-9999</v>
      </c>
      <c r="EI176" s="2197">
        <v>-9999</v>
      </c>
      <c r="EJ176" s="2197">
        <v>-9999</v>
      </c>
      <c r="EK176" s="2197">
        <v>-9999</v>
      </c>
      <c r="EL176" s="2197">
        <v>-9999</v>
      </c>
      <c r="EM176" s="2197">
        <v>-9999</v>
      </c>
    </row>
    <row r="177" spans="1:143">
      <c r="A177" s="22">
        <v>77</v>
      </c>
      <c r="B177" s="27" t="s">
        <v>2132</v>
      </c>
      <c r="C177" s="20">
        <f ca="1">OFFSET(Labour1!F10,0,Last_forecast_year - 3-InputY!$G$3)</f>
        <v>2209.2745</v>
      </c>
      <c r="D177" s="20">
        <f ca="1">OFFSET(Labour1!G10,0,Last_forecast_year - 3-InputY!$G$3)</f>
        <v>2171.87</v>
      </c>
      <c r="E177" s="20">
        <f ca="1">OFFSET(Labour1!H10,0,Last_forecast_year - 3-InputY!$G$3)</f>
        <v>2130.5000000000005</v>
      </c>
      <c r="F177" s="20">
        <f ca="1">OFFSET(Labour1!I10,0,Last_forecast_year - 3-InputY!$G$3)</f>
        <v>2096.4120000000003</v>
      </c>
      <c r="G177" s="20">
        <f ca="1">OFFSET(Labour1!J10,0,Last_forecast_year - 3-InputY!$G$3)</f>
        <v>2062.869408</v>
      </c>
      <c r="H177" s="25">
        <v>-9999</v>
      </c>
      <c r="I177" s="25">
        <v>-9999</v>
      </c>
      <c r="J177" s="25">
        <v>-9999</v>
      </c>
      <c r="K177" s="25">
        <v>-9999</v>
      </c>
      <c r="L177" s="25">
        <v>-9999</v>
      </c>
      <c r="M177" s="25">
        <v>-9999</v>
      </c>
      <c r="N177" s="25">
        <v>-9999</v>
      </c>
      <c r="O177" s="25">
        <v>-9999</v>
      </c>
      <c r="P177" s="32"/>
      <c r="Q177"/>
      <c r="AA177" s="22">
        <v>77</v>
      </c>
      <c r="AB177" s="1040" t="str">
        <f t="shared" si="8"/>
        <v>POPULATION OF WORKING AGE (15-74)</v>
      </c>
      <c r="AC177" s="1040">
        <f>CHOOSE(Tables!$U$2,Transfer!CA177,Transfer!CN177,Transfer!DA177,Transfer!DN177,Transfer!EA177)</f>
        <v>2325.0210000000002</v>
      </c>
      <c r="AD177" s="1040">
        <f>CHOOSE(Tables!$U$2,Transfer!CB177,Transfer!CO177,Transfer!DB177,Transfer!DO177,Transfer!EB177)</f>
        <v>2294.7957270000002</v>
      </c>
      <c r="AE177" s="1040">
        <f>CHOOSE(Tables!$U$2,Transfer!CC177,Transfer!CP177,Transfer!DC177,Transfer!DP177,Transfer!EC177)</f>
        <v>2285.6165440920004</v>
      </c>
      <c r="AF177" s="1040">
        <f>CHOOSE(Tables!$U$2,Transfer!CD177,Transfer!CQ177,Transfer!DD177,Transfer!DQ177,Transfer!ED177)</f>
        <v>2276.4740779156323</v>
      </c>
      <c r="AG177" s="1040">
        <f>CHOOSE(Tables!$U$2,Transfer!CE177,Transfer!CR177,Transfer!DE177,Transfer!DR177,Transfer!EE177)</f>
        <v>2269.6446556818855</v>
      </c>
      <c r="AH177" s="1040">
        <f>CHOOSE(Tables!$U$2,Transfer!CF177,Transfer!CS177,Transfer!DF177,Transfer!DS177,Transfer!EF177)</f>
        <v>-9999</v>
      </c>
      <c r="AI177" s="1040">
        <f>CHOOSE(Tables!$U$2,Transfer!CG177,Transfer!CT177,Transfer!DG177,Transfer!DT177,Transfer!EG177)</f>
        <v>-9999</v>
      </c>
      <c r="AJ177" s="1040">
        <f>CHOOSE(Tables!$U$2,Transfer!CH177,Transfer!CU177,Transfer!DH177,Transfer!DU177,Transfer!EH177)</f>
        <v>-9999</v>
      </c>
      <c r="AK177" s="1040">
        <f>CHOOSE(Tables!$U$2,Transfer!CI177,Transfer!CV177,Transfer!DI177,Transfer!DV177,Transfer!EI177)</f>
        <v>-9999</v>
      </c>
      <c r="AL177" s="1040">
        <f>CHOOSE(Tables!$U$2,Transfer!CJ177,Transfer!CW177,Transfer!DJ177,Transfer!DW177,Transfer!EJ177)</f>
        <v>-9999</v>
      </c>
      <c r="AM177" s="1040">
        <f>CHOOSE(Tables!$U$2,Transfer!CK177,Transfer!CX177,Transfer!DK177,Transfer!DX177,Transfer!EK177)</f>
        <v>-9999</v>
      </c>
      <c r="AN177" s="1040">
        <f>CHOOSE(Tables!$U$2,Transfer!CL177,Transfer!CY177,Transfer!DL177,Transfer!DY177,Transfer!EL177)</f>
        <v>-9999</v>
      </c>
      <c r="AO177" s="1040">
        <f>CHOOSE(Tables!$U$2,Transfer!CM177,Transfer!CZ177,Transfer!DM177,Transfer!DZ177,Transfer!EM177)</f>
        <v>-9999</v>
      </c>
      <c r="AR177" s="22">
        <v>77</v>
      </c>
      <c r="AS177" s="27" t="s">
        <v>618</v>
      </c>
      <c r="AT177" s="20">
        <f t="shared" ca="1" si="9"/>
        <v>-115.7465000000002</v>
      </c>
      <c r="AU177" s="20">
        <f t="shared" ca="1" si="9"/>
        <v>-122.92572700000028</v>
      </c>
      <c r="AV177" s="20">
        <f t="shared" ca="1" si="9"/>
        <v>-155.11654409199991</v>
      </c>
      <c r="AW177" s="20">
        <f t="shared" ca="1" si="9"/>
        <v>-180.06207791563202</v>
      </c>
      <c r="AX177" s="20">
        <f t="shared" ca="1" si="9"/>
        <v>-206.7752476818855</v>
      </c>
      <c r="AY177" s="25">
        <f t="shared" si="9"/>
        <v>0</v>
      </c>
      <c r="AZ177" s="25">
        <f t="shared" si="9"/>
        <v>0</v>
      </c>
      <c r="BA177" s="25">
        <f t="shared" si="9"/>
        <v>0</v>
      </c>
      <c r="BB177" s="25">
        <f t="shared" si="9"/>
        <v>0</v>
      </c>
      <c r="BC177" s="25">
        <f t="shared" si="7"/>
        <v>0</v>
      </c>
      <c r="BD177" s="25">
        <f t="shared" si="7"/>
        <v>0</v>
      </c>
      <c r="BE177" s="25">
        <f t="shared" si="7"/>
        <v>0</v>
      </c>
      <c r="BF177" s="25">
        <f t="shared" si="7"/>
        <v>0</v>
      </c>
      <c r="CA177" s="16">
        <v>2260.1354999999999</v>
      </c>
      <c r="CB177" s="16">
        <v>2236</v>
      </c>
      <c r="CC177" s="16">
        <v>2210</v>
      </c>
      <c r="CD177" s="16">
        <v>2181.0000000000009</v>
      </c>
      <c r="CE177" s="16">
        <v>2153.9503904455678</v>
      </c>
      <c r="CF177" s="16">
        <v>-9999</v>
      </c>
      <c r="CG177" s="16">
        <v>-9999</v>
      </c>
      <c r="CH177" s="16">
        <v>-9999</v>
      </c>
      <c r="CI177" s="16">
        <v>-9999</v>
      </c>
      <c r="CJ177" s="16">
        <v>-9999</v>
      </c>
      <c r="CK177" s="16">
        <v>-9999</v>
      </c>
      <c r="CL177" s="16">
        <v>-9999</v>
      </c>
      <c r="CM177" s="16">
        <v>-9999</v>
      </c>
      <c r="CN177" s="16">
        <v>2287.8645000000001</v>
      </c>
      <c r="CO177" s="16">
        <v>2260.1354999999999</v>
      </c>
      <c r="CP177" s="16">
        <v>2251.0949579999997</v>
      </c>
      <c r="CQ177" s="16">
        <v>2244.3416731259995</v>
      </c>
      <c r="CR177" s="16">
        <v>2237.6086481066213</v>
      </c>
      <c r="CS177" s="16">
        <v>-9999</v>
      </c>
      <c r="CT177" s="16">
        <v>-9999</v>
      </c>
      <c r="CU177" s="16">
        <v>-9999</v>
      </c>
      <c r="CV177" s="16">
        <v>-9999</v>
      </c>
      <c r="CW177" s="16">
        <v>-9999</v>
      </c>
      <c r="CX177" s="16">
        <v>-9999</v>
      </c>
      <c r="CY177" s="16">
        <v>-9999</v>
      </c>
      <c r="CZ177" s="16">
        <v>-9999</v>
      </c>
      <c r="DA177" s="16">
        <v>2260.1354999999999</v>
      </c>
      <c r="DB177" s="16">
        <v>2236</v>
      </c>
      <c r="DC177" s="16">
        <v>2208.9999999999995</v>
      </c>
      <c r="DD177" s="16">
        <v>2177</v>
      </c>
      <c r="DE177" s="16">
        <v>2149.9999999999995</v>
      </c>
      <c r="DF177" s="16">
        <v>-9999</v>
      </c>
      <c r="DG177" s="16">
        <v>-9999</v>
      </c>
      <c r="DH177" s="16">
        <v>-9999</v>
      </c>
      <c r="DI177" s="16">
        <v>-9999</v>
      </c>
      <c r="DJ177" s="16">
        <v>-9999</v>
      </c>
      <c r="DK177" s="16">
        <v>-9999</v>
      </c>
      <c r="DL177" s="16">
        <v>-9999</v>
      </c>
      <c r="DM177" s="16">
        <v>-9999</v>
      </c>
      <c r="DN177" s="16">
        <v>2287.8645000000001</v>
      </c>
      <c r="DO177" s="16">
        <v>2260.1354999999999</v>
      </c>
      <c r="DP177" s="16">
        <v>2248.8348225</v>
      </c>
      <c r="DQ177" s="16">
        <v>2239.8394832099998</v>
      </c>
      <c r="DR177" s="16">
        <v>2230.88012527716</v>
      </c>
      <c r="DS177" s="16">
        <v>-9999</v>
      </c>
      <c r="DT177" s="16">
        <v>-9999</v>
      </c>
      <c r="DU177" s="16">
        <v>-9999</v>
      </c>
      <c r="DV177" s="16">
        <v>-9999</v>
      </c>
      <c r="DW177" s="16">
        <v>-9999</v>
      </c>
      <c r="DX177" s="16">
        <v>-9999</v>
      </c>
      <c r="DY177" s="16">
        <v>-9999</v>
      </c>
      <c r="DZ177" s="16">
        <v>-9999</v>
      </c>
      <c r="EA177" s="2196">
        <v>2325.0210000000002</v>
      </c>
      <c r="EB177" s="2196">
        <v>2294.7957270000002</v>
      </c>
      <c r="EC177" s="2196">
        <v>2285.6165440920004</v>
      </c>
      <c r="ED177" s="2196">
        <v>2276.4740779156323</v>
      </c>
      <c r="EE177" s="2196">
        <v>2269.6446556818855</v>
      </c>
      <c r="EF177" s="2197">
        <v>-9999</v>
      </c>
      <c r="EG177" s="2197">
        <v>-9999</v>
      </c>
      <c r="EH177" s="2197">
        <v>-9999</v>
      </c>
      <c r="EI177" s="2197">
        <v>-9999</v>
      </c>
      <c r="EJ177" s="2197">
        <v>-9999</v>
      </c>
      <c r="EK177" s="2197">
        <v>-9999</v>
      </c>
      <c r="EL177" s="2197">
        <v>-9999</v>
      </c>
      <c r="EM177" s="2197">
        <v>-9999</v>
      </c>
    </row>
    <row r="178" spans="1:143">
      <c r="A178" s="22">
        <v>78</v>
      </c>
      <c r="B178" s="27" t="s">
        <v>619</v>
      </c>
      <c r="C178" s="20">
        <f ca="1">OFFSET(Labour1!F38,0,Last_forecast_year - 3-InputY!$G$3)</f>
        <v>134</v>
      </c>
      <c r="D178" s="20">
        <f ca="1">OFFSET(Labour1!G38,0,Last_forecast_year - 3-InputY!$G$3)</f>
        <v>116</v>
      </c>
      <c r="E178" s="20">
        <f ca="1">OFFSET(Labour1!H38,0,Last_forecast_year - 3-InputY!$G$3)</f>
        <v>103</v>
      </c>
      <c r="F178" s="20">
        <f ca="1">OFFSET(Labour1!I38,0,Last_forecast_year - 3-InputY!$G$3)</f>
        <v>95.069140140910804</v>
      </c>
      <c r="G178" s="20">
        <f ca="1">OFFSET(Labour1!J38,0,Last_forecast_year - 3-InputY!$G$3)</f>
        <v>95.629153630878136</v>
      </c>
      <c r="H178" s="25">
        <v>-9999</v>
      </c>
      <c r="I178" s="25">
        <v>-9999</v>
      </c>
      <c r="J178" s="25">
        <v>-9999</v>
      </c>
      <c r="K178" s="25">
        <v>-9999</v>
      </c>
      <c r="L178" s="25">
        <v>-9999</v>
      </c>
      <c r="M178" s="25">
        <v>-9999</v>
      </c>
      <c r="N178" s="25">
        <v>-9999</v>
      </c>
      <c r="O178" s="25">
        <v>-9999</v>
      </c>
      <c r="P178" s="32"/>
      <c r="Q178"/>
      <c r="AA178" s="22">
        <v>78</v>
      </c>
      <c r="AB178" s="1040" t="str">
        <f t="shared" si="8"/>
        <v>REGISTERED UNEMPLOYED PERSONS</v>
      </c>
      <c r="AC178" s="1040">
        <f>CHOOSE(Tables!$U$2,Transfer!CA178,Transfer!CN178,Transfer!DA178,Transfer!DN178,Transfer!EA178)</f>
        <v>228.03</v>
      </c>
      <c r="AD178" s="1040">
        <f>CHOOSE(Tables!$U$2,Transfer!CB178,Transfer!CO178,Transfer!DB178,Transfer!DO178,Transfer!EB178)</f>
        <v>196.8</v>
      </c>
      <c r="AE178" s="1040">
        <f>CHOOSE(Tables!$U$2,Transfer!CC178,Transfer!CP178,Transfer!DC178,Transfer!DP178,Transfer!EC178)</f>
        <v>171.1866631144062</v>
      </c>
      <c r="AF178" s="1040">
        <f>CHOOSE(Tables!$U$2,Transfer!CD178,Transfer!CQ178,Transfer!DD178,Transfer!DQ178,Transfer!ED178)</f>
        <v>151.75233630082812</v>
      </c>
      <c r="AG178" s="1040">
        <f>CHOOSE(Tables!$U$2,Transfer!CE178,Transfer!CR178,Transfer!DE178,Transfer!DR178,Transfer!EE178)</f>
        <v>139.81942533585902</v>
      </c>
      <c r="AH178" s="1040">
        <f>CHOOSE(Tables!$U$2,Transfer!CF178,Transfer!CS178,Transfer!DF178,Transfer!DS178,Transfer!EF178)</f>
        <v>-9999</v>
      </c>
      <c r="AI178" s="1040">
        <f>CHOOSE(Tables!$U$2,Transfer!CG178,Transfer!CT178,Transfer!DG178,Transfer!DT178,Transfer!EG178)</f>
        <v>-9999</v>
      </c>
      <c r="AJ178" s="1040">
        <f>CHOOSE(Tables!$U$2,Transfer!CH178,Transfer!CU178,Transfer!DH178,Transfer!DU178,Transfer!EH178)</f>
        <v>-9999</v>
      </c>
      <c r="AK178" s="1040">
        <f>CHOOSE(Tables!$U$2,Transfer!CI178,Transfer!CV178,Transfer!DI178,Transfer!DV178,Transfer!EI178)</f>
        <v>-9999</v>
      </c>
      <c r="AL178" s="1040">
        <f>CHOOSE(Tables!$U$2,Transfer!CJ178,Transfer!CW178,Transfer!DJ178,Transfer!DW178,Transfer!EJ178)</f>
        <v>-9999</v>
      </c>
      <c r="AM178" s="1040">
        <f>CHOOSE(Tables!$U$2,Transfer!CK178,Transfer!CX178,Transfer!DK178,Transfer!DX178,Transfer!EK178)</f>
        <v>-9999</v>
      </c>
      <c r="AN178" s="1040">
        <f>CHOOSE(Tables!$U$2,Transfer!CL178,Transfer!CY178,Transfer!DL178,Transfer!DY178,Transfer!EL178)</f>
        <v>-9999</v>
      </c>
      <c r="AO178" s="1040">
        <f>CHOOSE(Tables!$U$2,Transfer!CM178,Transfer!CZ178,Transfer!DM178,Transfer!DZ178,Transfer!EM178)</f>
        <v>-9999</v>
      </c>
      <c r="AR178" s="22">
        <v>78</v>
      </c>
      <c r="AS178" s="27" t="s">
        <v>619</v>
      </c>
      <c r="AT178" s="20">
        <f t="shared" ca="1" si="9"/>
        <v>-94.03</v>
      </c>
      <c r="AU178" s="20">
        <f t="shared" ca="1" si="9"/>
        <v>-80.800000000000011</v>
      </c>
      <c r="AV178" s="20">
        <f t="shared" ca="1" si="9"/>
        <v>-68.186663114406201</v>
      </c>
      <c r="AW178" s="20">
        <f t="shared" ca="1" si="9"/>
        <v>-56.683196159917316</v>
      </c>
      <c r="AX178" s="20">
        <f t="shared" ca="1" si="9"/>
        <v>-44.190271704980887</v>
      </c>
      <c r="AY178" s="25">
        <f t="shared" si="9"/>
        <v>0</v>
      </c>
      <c r="AZ178" s="25">
        <f t="shared" si="9"/>
        <v>0</v>
      </c>
      <c r="BA178" s="25">
        <f t="shared" si="9"/>
        <v>0</v>
      </c>
      <c r="BB178" s="25">
        <f t="shared" si="9"/>
        <v>0</v>
      </c>
      <c r="BC178" s="25">
        <f t="shared" si="7"/>
        <v>0</v>
      </c>
      <c r="BD178" s="25">
        <f t="shared" si="7"/>
        <v>0</v>
      </c>
      <c r="BE178" s="25">
        <f t="shared" si="7"/>
        <v>0</v>
      </c>
      <c r="BF178" s="25">
        <f t="shared" si="7"/>
        <v>0</v>
      </c>
      <c r="CA178" s="16">
        <v>172.46</v>
      </c>
      <c r="CB178" s="16">
        <v>157.70000000000005</v>
      </c>
      <c r="CC178" s="16">
        <v>137.88590794499987</v>
      </c>
      <c r="CD178" s="16">
        <v>124.30527833588758</v>
      </c>
      <c r="CE178" s="16">
        <v>116.52888502692872</v>
      </c>
      <c r="CF178" s="16">
        <v>-9999</v>
      </c>
      <c r="CG178" s="16">
        <v>-9999</v>
      </c>
      <c r="CH178" s="16">
        <v>-9999</v>
      </c>
      <c r="CI178" s="16">
        <v>-9999</v>
      </c>
      <c r="CJ178" s="16">
        <v>-9999</v>
      </c>
      <c r="CK178" s="16">
        <v>-9999</v>
      </c>
      <c r="CL178" s="16">
        <v>-9999</v>
      </c>
      <c r="CM178" s="16">
        <v>-9999</v>
      </c>
      <c r="CN178" s="16">
        <v>196.8</v>
      </c>
      <c r="CO178" s="16">
        <v>172.46</v>
      </c>
      <c r="CP178" s="16">
        <v>145.59718500000031</v>
      </c>
      <c r="CQ178" s="16">
        <v>134.42395976000012</v>
      </c>
      <c r="CR178" s="16">
        <v>123.00437637075265</v>
      </c>
      <c r="CS178" s="16">
        <v>-9999</v>
      </c>
      <c r="CT178" s="16">
        <v>-9999</v>
      </c>
      <c r="CU178" s="16">
        <v>-9999</v>
      </c>
      <c r="CV178" s="16">
        <v>-9999</v>
      </c>
      <c r="CW178" s="16">
        <v>-9999</v>
      </c>
      <c r="CX178" s="16">
        <v>-9999</v>
      </c>
      <c r="CY178" s="16">
        <v>-9999</v>
      </c>
      <c r="CZ178" s="16">
        <v>-9999</v>
      </c>
      <c r="DA178" s="16">
        <v>172.46</v>
      </c>
      <c r="DB178" s="16">
        <v>157.70000000000005</v>
      </c>
      <c r="DC178" s="16">
        <v>143.60908320499993</v>
      </c>
      <c r="DD178" s="16">
        <v>117.43228518608748</v>
      </c>
      <c r="DE178" s="16">
        <v>93.872267690346916</v>
      </c>
      <c r="DF178" s="16">
        <v>-9999</v>
      </c>
      <c r="DG178" s="16">
        <v>-9999</v>
      </c>
      <c r="DH178" s="16">
        <v>-9999</v>
      </c>
      <c r="DI178" s="16">
        <v>-9999</v>
      </c>
      <c r="DJ178" s="16">
        <v>-9999</v>
      </c>
      <c r="DK178" s="16">
        <v>-9999</v>
      </c>
      <c r="DL178" s="16">
        <v>-9999</v>
      </c>
      <c r="DM178" s="16">
        <v>-9999</v>
      </c>
      <c r="DN178" s="16">
        <v>196.8</v>
      </c>
      <c r="DO178" s="16">
        <v>172.46</v>
      </c>
      <c r="DP178" s="16">
        <v>158.07958311858397</v>
      </c>
      <c r="DQ178" s="16">
        <v>146.94380507293954</v>
      </c>
      <c r="DR178" s="16">
        <v>135.5617812196308</v>
      </c>
      <c r="DS178" s="16">
        <v>-9999</v>
      </c>
      <c r="DT178" s="16">
        <v>-9999</v>
      </c>
      <c r="DU178" s="16">
        <v>-9999</v>
      </c>
      <c r="DV178" s="16">
        <v>-9999</v>
      </c>
      <c r="DW178" s="16">
        <v>-9999</v>
      </c>
      <c r="DX178" s="16">
        <v>-9999</v>
      </c>
      <c r="DY178" s="16">
        <v>-9999</v>
      </c>
      <c r="DZ178" s="16">
        <v>-9999</v>
      </c>
      <c r="EA178" s="2196">
        <v>228.03</v>
      </c>
      <c r="EB178" s="2196">
        <v>196.8</v>
      </c>
      <c r="EC178" s="2196">
        <v>171.1866631144062</v>
      </c>
      <c r="ED178" s="2196">
        <v>151.75233630082812</v>
      </c>
      <c r="EE178" s="2196">
        <v>139.81942533585902</v>
      </c>
      <c r="EF178" s="2197">
        <v>-9999</v>
      </c>
      <c r="EG178" s="2197">
        <v>-9999</v>
      </c>
      <c r="EH178" s="2197">
        <v>-9999</v>
      </c>
      <c r="EI178" s="2197">
        <v>-9999</v>
      </c>
      <c r="EJ178" s="2197">
        <v>-9999</v>
      </c>
      <c r="EK178" s="2197">
        <v>-9999</v>
      </c>
      <c r="EL178" s="2197">
        <v>-9999</v>
      </c>
      <c r="EM178" s="2197">
        <v>-9999</v>
      </c>
    </row>
    <row r="179" spans="1:143">
      <c r="A179" s="22">
        <v>79</v>
      </c>
      <c r="B179" s="27" t="s">
        <v>571</v>
      </c>
      <c r="C179" s="20">
        <f ca="1">OFFSET(Labour1!F36,0,Last_forecast_year - 3-InputY!$G$3)</f>
        <v>1335.67</v>
      </c>
      <c r="D179" s="20">
        <f ca="1">OFFSET(Labour1!G36,0,Last_forecast_year - 3-InputY!$G$3)</f>
        <v>1362.11</v>
      </c>
      <c r="E179" s="20">
        <f ca="1">OFFSET(Labour1!H36,0,Last_forecast_year - 3-InputY!$G$3)</f>
        <v>1355.72</v>
      </c>
      <c r="F179" s="20">
        <f ca="1">OFFSET(Labour1!I36,0,Last_forecast_year - 3-InputY!$G$3)</f>
        <v>1348.3540524890891</v>
      </c>
      <c r="G179" s="20">
        <f ca="1">OFFSET(Labour1!J36,0,Last_forecast_year - 3-InputY!$G$3)</f>
        <v>1344.2656776101294</v>
      </c>
      <c r="H179" s="25">
        <v>-9999</v>
      </c>
      <c r="I179" s="25">
        <v>-9999</v>
      </c>
      <c r="J179" s="25">
        <v>-9999</v>
      </c>
      <c r="K179" s="25">
        <v>-9999</v>
      </c>
      <c r="L179" s="25">
        <v>-9999</v>
      </c>
      <c r="M179" s="25">
        <v>-9999</v>
      </c>
      <c r="N179" s="25">
        <v>-9999</v>
      </c>
      <c r="O179" s="25">
        <v>-9999</v>
      </c>
      <c r="P179" s="32"/>
      <c r="Q179"/>
      <c r="AA179" s="22">
        <v>79</v>
      </c>
      <c r="AB179" s="1040" t="str">
        <f t="shared" si="8"/>
        <v>TOTAL EMPLOYMENT LAB. FORCE STATISTICS</v>
      </c>
      <c r="AC179" s="1040">
        <f>CHOOSE(Tables!$U$2,Transfer!CA179,Transfer!CN179,Transfer!DA179,Transfer!DN179,Transfer!EA179)</f>
        <v>1253.5999999999999</v>
      </c>
      <c r="AD179" s="1040">
        <f>CHOOSE(Tables!$U$2,Transfer!CB179,Transfer!CO179,Transfer!DB179,Transfer!DO179,Transfer!EB179)</f>
        <v>1276</v>
      </c>
      <c r="AE179" s="1040">
        <f>CHOOSE(Tables!$U$2,Transfer!CC179,Transfer!CP179,Transfer!DC179,Transfer!DP179,Transfer!EC179)</f>
        <v>1295.1330168855939</v>
      </c>
      <c r="AF179" s="1040">
        <f>CHOOSE(Tables!$U$2,Transfer!CD179,Transfer!CQ179,Transfer!DD179,Transfer!DQ179,Transfer!ED179)</f>
        <v>1313.8341838591721</v>
      </c>
      <c r="AG179" s="1040">
        <f>CHOOSE(Tables!$U$2,Transfer!CE179,Transfer!CR179,Transfer!DE179,Transfer!DR179,Transfer!EE179)</f>
        <v>1330.1638543846211</v>
      </c>
      <c r="AH179" s="1040">
        <f>CHOOSE(Tables!$U$2,Transfer!CF179,Transfer!CS179,Transfer!DF179,Transfer!DS179,Transfer!EF179)</f>
        <v>-9999</v>
      </c>
      <c r="AI179" s="1040">
        <f>CHOOSE(Tables!$U$2,Transfer!CG179,Transfer!CT179,Transfer!DG179,Transfer!DT179,Transfer!EG179)</f>
        <v>-9999</v>
      </c>
      <c r="AJ179" s="1040">
        <f>CHOOSE(Tables!$U$2,Transfer!CH179,Transfer!CU179,Transfer!DH179,Transfer!DU179,Transfer!EH179)</f>
        <v>-9999</v>
      </c>
      <c r="AK179" s="1040">
        <f>CHOOSE(Tables!$U$2,Transfer!CI179,Transfer!CV179,Transfer!DI179,Transfer!DV179,Transfer!EI179)</f>
        <v>-9999</v>
      </c>
      <c r="AL179" s="1040">
        <f>CHOOSE(Tables!$U$2,Transfer!CJ179,Transfer!CW179,Transfer!DJ179,Transfer!DW179,Transfer!EJ179)</f>
        <v>-9999</v>
      </c>
      <c r="AM179" s="1040">
        <f>CHOOSE(Tables!$U$2,Transfer!CK179,Transfer!CX179,Transfer!DK179,Transfer!DX179,Transfer!EK179)</f>
        <v>-9999</v>
      </c>
      <c r="AN179" s="1040">
        <f>CHOOSE(Tables!$U$2,Transfer!CL179,Transfer!CY179,Transfer!DL179,Transfer!DY179,Transfer!EL179)</f>
        <v>-9999</v>
      </c>
      <c r="AO179" s="1040">
        <f>CHOOSE(Tables!$U$2,Transfer!CM179,Transfer!CZ179,Transfer!DM179,Transfer!DZ179,Transfer!EM179)</f>
        <v>-9999</v>
      </c>
      <c r="AR179" s="22">
        <v>79</v>
      </c>
      <c r="AS179" s="27" t="s">
        <v>571</v>
      </c>
      <c r="AT179" s="20">
        <f t="shared" ca="1" si="9"/>
        <v>82.070000000000164</v>
      </c>
      <c r="AU179" s="20">
        <f t="shared" ca="1" si="9"/>
        <v>86.1099999999999</v>
      </c>
      <c r="AV179" s="20">
        <f t="shared" ca="1" si="9"/>
        <v>60.586983114406166</v>
      </c>
      <c r="AW179" s="20">
        <f t="shared" ca="1" si="9"/>
        <v>34.519868629917028</v>
      </c>
      <c r="AX179" s="20">
        <f t="shared" ca="1" si="9"/>
        <v>14.101823225508269</v>
      </c>
      <c r="AY179" s="25">
        <f t="shared" si="9"/>
        <v>0</v>
      </c>
      <c r="AZ179" s="25">
        <f t="shared" si="9"/>
        <v>0</v>
      </c>
      <c r="BA179" s="25">
        <f t="shared" si="9"/>
        <v>0</v>
      </c>
      <c r="BB179" s="25">
        <f t="shared" si="9"/>
        <v>0</v>
      </c>
      <c r="BC179" s="25">
        <f t="shared" si="7"/>
        <v>0</v>
      </c>
      <c r="BD179" s="25">
        <f t="shared" si="7"/>
        <v>0</v>
      </c>
      <c r="BE179" s="25">
        <f t="shared" si="7"/>
        <v>0</v>
      </c>
      <c r="BF179" s="25">
        <f t="shared" si="7"/>
        <v>0</v>
      </c>
      <c r="CA179" s="16">
        <v>1293.17</v>
      </c>
      <c r="CB179" s="16">
        <v>1319.3</v>
      </c>
      <c r="CC179" s="16">
        <v>1340.591092055</v>
      </c>
      <c r="CD179" s="16">
        <v>1343.8223826641122</v>
      </c>
      <c r="CE179" s="16">
        <v>1345.7262653290711</v>
      </c>
      <c r="CF179" s="16">
        <v>-9999</v>
      </c>
      <c r="CG179" s="16">
        <v>-9999</v>
      </c>
      <c r="CH179" s="16">
        <v>-9999</v>
      </c>
      <c r="CI179" s="16">
        <v>-9999</v>
      </c>
      <c r="CJ179" s="16">
        <v>-9999</v>
      </c>
      <c r="CK179" s="16">
        <v>-9999</v>
      </c>
      <c r="CL179" s="16">
        <v>-9999</v>
      </c>
      <c r="CM179" s="16">
        <v>-9999</v>
      </c>
      <c r="CN179" s="16">
        <v>1276</v>
      </c>
      <c r="CO179" s="16">
        <v>1293.17</v>
      </c>
      <c r="CP179" s="16">
        <v>1319.3</v>
      </c>
      <c r="CQ179" s="16">
        <v>1334.8679167949999</v>
      </c>
      <c r="CR179" s="16">
        <v>1350.6953758139123</v>
      </c>
      <c r="CS179" s="16">
        <v>-9999</v>
      </c>
      <c r="CT179" s="16">
        <v>-9999</v>
      </c>
      <c r="CU179" s="16">
        <v>-9999</v>
      </c>
      <c r="CV179" s="16">
        <v>-9999</v>
      </c>
      <c r="CW179" s="16">
        <v>-9999</v>
      </c>
      <c r="CX179" s="16">
        <v>-9999</v>
      </c>
      <c r="CY179" s="16">
        <v>-9999</v>
      </c>
      <c r="CZ179" s="16">
        <v>-9999</v>
      </c>
      <c r="DA179" s="16">
        <v>1293.17</v>
      </c>
      <c r="DB179" s="16">
        <v>1319.3</v>
      </c>
      <c r="DC179" s="16">
        <v>1334.8679167949999</v>
      </c>
      <c r="DD179" s="16">
        <v>1350.6953758139123</v>
      </c>
      <c r="DE179" s="16">
        <v>1368.3828826656529</v>
      </c>
      <c r="DF179" s="16">
        <v>-9999</v>
      </c>
      <c r="DG179" s="16">
        <v>-9999</v>
      </c>
      <c r="DH179" s="16">
        <v>-9999</v>
      </c>
      <c r="DI179" s="16">
        <v>-9999</v>
      </c>
      <c r="DJ179" s="16">
        <v>-9999</v>
      </c>
      <c r="DK179" s="16">
        <v>-9999</v>
      </c>
      <c r="DL179" s="16">
        <v>-9999</v>
      </c>
      <c r="DM179" s="16">
        <v>-9999</v>
      </c>
      <c r="DN179" s="16">
        <v>1276</v>
      </c>
      <c r="DO179" s="16">
        <v>1293.17</v>
      </c>
      <c r="DP179" s="16">
        <v>1319.3</v>
      </c>
      <c r="DQ179" s="16">
        <v>1334.8679167949999</v>
      </c>
      <c r="DR179" s="16">
        <v>1350.6953758139123</v>
      </c>
      <c r="DS179" s="16">
        <v>-9999</v>
      </c>
      <c r="DT179" s="16">
        <v>-9999</v>
      </c>
      <c r="DU179" s="16">
        <v>-9999</v>
      </c>
      <c r="DV179" s="16">
        <v>-9999</v>
      </c>
      <c r="DW179" s="16">
        <v>-9999</v>
      </c>
      <c r="DX179" s="16">
        <v>-9999</v>
      </c>
      <c r="DY179" s="16">
        <v>-9999</v>
      </c>
      <c r="DZ179" s="16">
        <v>-9999</v>
      </c>
      <c r="EA179" s="2196">
        <v>1253.5999999999999</v>
      </c>
      <c r="EB179" s="2196">
        <v>1276</v>
      </c>
      <c r="EC179" s="2196">
        <v>1295.1330168855939</v>
      </c>
      <c r="ED179" s="2196">
        <v>1313.8341838591721</v>
      </c>
      <c r="EE179" s="2196">
        <v>1330.1638543846211</v>
      </c>
      <c r="EF179" s="2197">
        <v>-9999</v>
      </c>
      <c r="EG179" s="2197">
        <v>-9999</v>
      </c>
      <c r="EH179" s="2197">
        <v>-9999</v>
      </c>
      <c r="EI179" s="2197">
        <v>-9999</v>
      </c>
      <c r="EJ179" s="2197">
        <v>-9999</v>
      </c>
      <c r="EK179" s="2197">
        <v>-9999</v>
      </c>
      <c r="EL179" s="2197">
        <v>-9999</v>
      </c>
      <c r="EM179" s="2197">
        <v>-9999</v>
      </c>
    </row>
    <row r="180" spans="1:143">
      <c r="A180" s="22">
        <v>80</v>
      </c>
      <c r="B180" s="36" t="s">
        <v>1087</v>
      </c>
      <c r="C180" s="25">
        <v>-9999</v>
      </c>
      <c r="D180" s="25">
        <v>-9999</v>
      </c>
      <c r="E180" s="25">
        <v>-9999</v>
      </c>
      <c r="F180" s="25">
        <v>-9999</v>
      </c>
      <c r="G180" s="25">
        <v>-9999</v>
      </c>
      <c r="H180" s="25">
        <v>-9999</v>
      </c>
      <c r="I180" s="25">
        <v>-9999</v>
      </c>
      <c r="J180" s="25">
        <v>-9999</v>
      </c>
      <c r="K180" s="25">
        <v>-9999</v>
      </c>
      <c r="L180" s="25">
        <v>-9999</v>
      </c>
      <c r="M180" s="25">
        <v>-9999</v>
      </c>
      <c r="N180" s="25">
        <v>-9999</v>
      </c>
      <c r="O180" s="25">
        <v>-9999</v>
      </c>
      <c r="P180" s="26"/>
      <c r="Q180"/>
      <c r="AA180" s="22">
        <v>80</v>
      </c>
      <c r="AB180" s="1040" t="str">
        <f t="shared" si="8"/>
        <v>FOR INTERNAL CALCULATIONS BY A4</v>
      </c>
      <c r="AC180" s="1040">
        <f>CHOOSE(Tables!$U$2,Transfer!CA180,Transfer!CN180,Transfer!DA180,Transfer!DN180,Transfer!EA180)</f>
        <v>-9999</v>
      </c>
      <c r="AD180" s="1040">
        <f>CHOOSE(Tables!$U$2,Transfer!CB180,Transfer!CO180,Transfer!DB180,Transfer!DO180,Transfer!EB180)</f>
        <v>-9999</v>
      </c>
      <c r="AE180" s="1040">
        <f>CHOOSE(Tables!$U$2,Transfer!CC180,Transfer!CP180,Transfer!DC180,Transfer!DP180,Transfer!EC180)</f>
        <v>-9999</v>
      </c>
      <c r="AF180" s="1040">
        <f>CHOOSE(Tables!$U$2,Transfer!CD180,Transfer!CQ180,Transfer!DD180,Transfer!DQ180,Transfer!ED180)</f>
        <v>-9999</v>
      </c>
      <c r="AG180" s="1040">
        <f>CHOOSE(Tables!$U$2,Transfer!CE180,Transfer!CR180,Transfer!DE180,Transfer!DR180,Transfer!EE180)</f>
        <v>-9999</v>
      </c>
      <c r="AH180" s="1040">
        <f>CHOOSE(Tables!$U$2,Transfer!CF180,Transfer!CS180,Transfer!DF180,Transfer!DS180,Transfer!EF180)</f>
        <v>-9999</v>
      </c>
      <c r="AI180" s="1040">
        <f>CHOOSE(Tables!$U$2,Transfer!CG180,Transfer!CT180,Transfer!DG180,Transfer!DT180,Transfer!EG180)</f>
        <v>-9999</v>
      </c>
      <c r="AJ180" s="1040">
        <f>CHOOSE(Tables!$U$2,Transfer!CH180,Transfer!CU180,Transfer!DH180,Transfer!DU180,Transfer!EH180)</f>
        <v>-9999</v>
      </c>
      <c r="AK180" s="1040">
        <f>CHOOSE(Tables!$U$2,Transfer!CI180,Transfer!CV180,Transfer!DI180,Transfer!DV180,Transfer!EI180)</f>
        <v>-9999</v>
      </c>
      <c r="AL180" s="1040">
        <f>CHOOSE(Tables!$U$2,Transfer!CJ180,Transfer!CW180,Transfer!DJ180,Transfer!DW180,Transfer!EJ180)</f>
        <v>-9999</v>
      </c>
      <c r="AM180" s="1040">
        <f>CHOOSE(Tables!$U$2,Transfer!CK180,Transfer!CX180,Transfer!DK180,Transfer!DX180,Transfer!EK180)</f>
        <v>-9999</v>
      </c>
      <c r="AN180" s="1040">
        <f>CHOOSE(Tables!$U$2,Transfer!CL180,Transfer!CY180,Transfer!DL180,Transfer!DY180,Transfer!EL180)</f>
        <v>-9999</v>
      </c>
      <c r="AO180" s="1040">
        <f>CHOOSE(Tables!$U$2,Transfer!CM180,Transfer!CZ180,Transfer!DM180,Transfer!DZ180,Transfer!EM180)</f>
        <v>-9999</v>
      </c>
      <c r="AR180" s="22">
        <v>80</v>
      </c>
      <c r="AS180" s="27" t="s">
        <v>1693</v>
      </c>
      <c r="AT180" s="2069">
        <f t="shared" si="9"/>
        <v>0</v>
      </c>
      <c r="AU180" s="2069">
        <f t="shared" si="9"/>
        <v>0</v>
      </c>
      <c r="AV180" s="2069">
        <f t="shared" si="9"/>
        <v>0</v>
      </c>
      <c r="AW180" s="2069">
        <f t="shared" si="9"/>
        <v>0</v>
      </c>
      <c r="AX180" s="2069">
        <f t="shared" si="9"/>
        <v>0</v>
      </c>
      <c r="AY180" s="25">
        <f t="shared" si="9"/>
        <v>0</v>
      </c>
      <c r="AZ180" s="25">
        <f t="shared" si="9"/>
        <v>0</v>
      </c>
      <c r="BA180" s="25">
        <f t="shared" si="9"/>
        <v>0</v>
      </c>
      <c r="BB180" s="25">
        <f t="shared" si="9"/>
        <v>0</v>
      </c>
      <c r="BC180" s="25">
        <f t="shared" si="7"/>
        <v>0</v>
      </c>
      <c r="BD180" s="25">
        <f t="shared" si="7"/>
        <v>0</v>
      </c>
      <c r="BE180" s="25">
        <f t="shared" si="7"/>
        <v>0</v>
      </c>
      <c r="BF180" s="25">
        <f t="shared" si="7"/>
        <v>0</v>
      </c>
      <c r="CA180" s="16">
        <v>-9999</v>
      </c>
      <c r="CB180" s="16">
        <v>-9999</v>
      </c>
      <c r="CC180" s="16">
        <v>-9999</v>
      </c>
      <c r="CD180" s="16">
        <v>-9999</v>
      </c>
      <c r="CE180" s="16">
        <v>-9999</v>
      </c>
      <c r="CF180" s="16">
        <v>-9999</v>
      </c>
      <c r="CG180" s="16">
        <v>-9999</v>
      </c>
      <c r="CH180" s="16">
        <v>-9999</v>
      </c>
      <c r="CI180" s="16">
        <v>-9999</v>
      </c>
      <c r="CJ180" s="16">
        <v>-9999</v>
      </c>
      <c r="CK180" s="16">
        <v>-9999</v>
      </c>
      <c r="CL180" s="16">
        <v>-9999</v>
      </c>
      <c r="CM180" s="16">
        <v>-9999</v>
      </c>
      <c r="CN180" s="16">
        <v>-9999</v>
      </c>
      <c r="CO180" s="16">
        <v>-9999</v>
      </c>
      <c r="CP180" s="16">
        <v>-9999</v>
      </c>
      <c r="CQ180" s="16">
        <v>-9999</v>
      </c>
      <c r="CR180" s="16">
        <v>-9999</v>
      </c>
      <c r="CS180" s="16">
        <v>-9999</v>
      </c>
      <c r="CT180" s="16">
        <v>-9999</v>
      </c>
      <c r="CU180" s="16">
        <v>-9999</v>
      </c>
      <c r="CV180" s="16">
        <v>-9999</v>
      </c>
      <c r="CW180" s="16">
        <v>-9999</v>
      </c>
      <c r="CX180" s="16">
        <v>-9999</v>
      </c>
      <c r="CY180" s="16">
        <v>-9999</v>
      </c>
      <c r="CZ180" s="16">
        <v>-9999</v>
      </c>
      <c r="DA180" s="16">
        <v>-9999</v>
      </c>
      <c r="DB180" s="16">
        <v>-9999</v>
      </c>
      <c r="DC180" s="16">
        <v>-9999</v>
      </c>
      <c r="DD180" s="16">
        <v>-9999</v>
      </c>
      <c r="DE180" s="16">
        <v>-9999</v>
      </c>
      <c r="DF180" s="16">
        <v>-9999</v>
      </c>
      <c r="DG180" s="16">
        <v>-9999</v>
      </c>
      <c r="DH180" s="16">
        <v>-9999</v>
      </c>
      <c r="DI180" s="16">
        <v>-9999</v>
      </c>
      <c r="DJ180" s="16">
        <v>-9999</v>
      </c>
      <c r="DK180" s="16">
        <v>-9999</v>
      </c>
      <c r="DL180" s="16">
        <v>-9999</v>
      </c>
      <c r="DM180" s="16">
        <v>-9999</v>
      </c>
      <c r="DN180" s="16">
        <v>-9999</v>
      </c>
      <c r="DO180" s="16">
        <v>-9999</v>
      </c>
      <c r="DP180" s="16">
        <v>-9999</v>
      </c>
      <c r="DQ180" s="16">
        <v>-9999</v>
      </c>
      <c r="DR180" s="16">
        <v>-9999</v>
      </c>
      <c r="DS180" s="16">
        <v>-9999</v>
      </c>
      <c r="DT180" s="16">
        <v>-9999</v>
      </c>
      <c r="DU180" s="16">
        <v>-9999</v>
      </c>
      <c r="DV180" s="16">
        <v>-9999</v>
      </c>
      <c r="DW180" s="16">
        <v>-9999</v>
      </c>
      <c r="DX180" s="16">
        <v>-9999</v>
      </c>
      <c r="DY180" s="16">
        <v>-9999</v>
      </c>
      <c r="DZ180" s="16">
        <v>-9999</v>
      </c>
      <c r="EA180" s="2197">
        <v>-9999</v>
      </c>
      <c r="EB180" s="2197">
        <v>-9999</v>
      </c>
      <c r="EC180" s="2197">
        <v>-9999</v>
      </c>
      <c r="ED180" s="2197">
        <v>-9999</v>
      </c>
      <c r="EE180" s="2197">
        <v>-9999</v>
      </c>
      <c r="EF180" s="2197">
        <v>-9999</v>
      </c>
      <c r="EG180" s="2197">
        <v>-9999</v>
      </c>
      <c r="EH180" s="2197">
        <v>-9999</v>
      </c>
      <c r="EI180" s="2197">
        <v>-9999</v>
      </c>
      <c r="EJ180" s="2197">
        <v>-9999</v>
      </c>
      <c r="EK180" s="2197">
        <v>-9999</v>
      </c>
      <c r="EL180" s="2197">
        <v>-9999</v>
      </c>
      <c r="EM180" s="2197">
        <v>-9999</v>
      </c>
    </row>
    <row r="181" spans="1:143">
      <c r="A181" s="22">
        <v>81</v>
      </c>
      <c r="B181" s="36" t="s">
        <v>1087</v>
      </c>
      <c r="C181" s="25">
        <v>-9999</v>
      </c>
      <c r="D181" s="25">
        <v>-9999</v>
      </c>
      <c r="E181" s="25">
        <v>-9999</v>
      </c>
      <c r="F181" s="25">
        <v>-9999</v>
      </c>
      <c r="G181" s="25">
        <v>-9999</v>
      </c>
      <c r="H181" s="25">
        <v>-9999</v>
      </c>
      <c r="I181" s="25">
        <v>-9999</v>
      </c>
      <c r="J181" s="25">
        <v>-9999</v>
      </c>
      <c r="K181" s="25">
        <v>-9999</v>
      </c>
      <c r="L181" s="25">
        <v>-9999</v>
      </c>
      <c r="M181" s="25">
        <v>-9999</v>
      </c>
      <c r="N181" s="25">
        <v>-9999</v>
      </c>
      <c r="O181" s="25">
        <v>-9999</v>
      </c>
      <c r="P181" s="26"/>
      <c r="Q181"/>
      <c r="AA181" s="22">
        <v>81</v>
      </c>
      <c r="AB181" s="1040" t="str">
        <f t="shared" si="8"/>
        <v>FOR INTERNAL CALCULATIONS BY A4</v>
      </c>
      <c r="AC181" s="1040">
        <f>CHOOSE(Tables!$U$2,Transfer!CA181,Transfer!CN181,Transfer!DA181,Transfer!DN181,Transfer!EA181)</f>
        <v>-9999</v>
      </c>
      <c r="AD181" s="1040">
        <f>CHOOSE(Tables!$U$2,Transfer!CB181,Transfer!CO181,Transfer!DB181,Transfer!DO181,Transfer!EB181)</f>
        <v>-9999</v>
      </c>
      <c r="AE181" s="1040">
        <f>CHOOSE(Tables!$U$2,Transfer!CC181,Transfer!CP181,Transfer!DC181,Transfer!DP181,Transfer!EC181)</f>
        <v>-9999</v>
      </c>
      <c r="AF181" s="1040">
        <f>CHOOSE(Tables!$U$2,Transfer!CD181,Transfer!CQ181,Transfer!DD181,Transfer!DQ181,Transfer!ED181)</f>
        <v>-9999</v>
      </c>
      <c r="AG181" s="1040">
        <f>CHOOSE(Tables!$U$2,Transfer!CE181,Transfer!CR181,Transfer!DE181,Transfer!DR181,Transfer!EE181)</f>
        <v>-9999</v>
      </c>
      <c r="AH181" s="1040">
        <f>CHOOSE(Tables!$U$2,Transfer!CF181,Transfer!CS181,Transfer!DF181,Transfer!DS181,Transfer!EF181)</f>
        <v>-9999</v>
      </c>
      <c r="AI181" s="1040">
        <f>CHOOSE(Tables!$U$2,Transfer!CG181,Transfer!CT181,Transfer!DG181,Transfer!DT181,Transfer!EG181)</f>
        <v>-9999</v>
      </c>
      <c r="AJ181" s="1040">
        <f>CHOOSE(Tables!$U$2,Transfer!CH181,Transfer!CU181,Transfer!DH181,Transfer!DU181,Transfer!EH181)</f>
        <v>-9999</v>
      </c>
      <c r="AK181" s="1040">
        <f>CHOOSE(Tables!$U$2,Transfer!CI181,Transfer!CV181,Transfer!DI181,Transfer!DV181,Transfer!EI181)</f>
        <v>-9999</v>
      </c>
      <c r="AL181" s="1040">
        <f>CHOOSE(Tables!$U$2,Transfer!CJ181,Transfer!CW181,Transfer!DJ181,Transfer!DW181,Transfer!EJ181)</f>
        <v>-9999</v>
      </c>
      <c r="AM181" s="1040">
        <f>CHOOSE(Tables!$U$2,Transfer!CK181,Transfer!CX181,Transfer!DK181,Transfer!DX181,Transfer!EK181)</f>
        <v>-9999</v>
      </c>
      <c r="AN181" s="1040">
        <f>CHOOSE(Tables!$U$2,Transfer!CL181,Transfer!CY181,Transfer!DL181,Transfer!DY181,Transfer!EL181)</f>
        <v>-9999</v>
      </c>
      <c r="AO181" s="1040">
        <f>CHOOSE(Tables!$U$2,Transfer!CM181,Transfer!CZ181,Transfer!DM181,Transfer!DZ181,Transfer!EM181)</f>
        <v>-9999</v>
      </c>
      <c r="AR181" s="22">
        <v>81</v>
      </c>
      <c r="AS181" s="31" t="s">
        <v>289</v>
      </c>
      <c r="AT181" s="2069">
        <f t="shared" si="9"/>
        <v>0</v>
      </c>
      <c r="AU181" s="2069">
        <f t="shared" si="9"/>
        <v>0</v>
      </c>
      <c r="AV181" s="2069">
        <f t="shared" si="9"/>
        <v>0</v>
      </c>
      <c r="AW181" s="2069">
        <f t="shared" si="9"/>
        <v>0</v>
      </c>
      <c r="AX181" s="2069">
        <f t="shared" si="9"/>
        <v>0</v>
      </c>
      <c r="AY181" s="25">
        <f t="shared" si="9"/>
        <v>0</v>
      </c>
      <c r="AZ181" s="25">
        <f t="shared" si="9"/>
        <v>0</v>
      </c>
      <c r="BA181" s="25">
        <f t="shared" si="9"/>
        <v>0</v>
      </c>
      <c r="BB181" s="25">
        <f t="shared" si="9"/>
        <v>0</v>
      </c>
      <c r="BC181" s="25">
        <f t="shared" si="7"/>
        <v>0</v>
      </c>
      <c r="BD181" s="25">
        <f t="shared" si="7"/>
        <v>0</v>
      </c>
      <c r="BE181" s="25">
        <f t="shared" si="7"/>
        <v>0</v>
      </c>
      <c r="BF181" s="25">
        <f t="shared" si="7"/>
        <v>0</v>
      </c>
      <c r="CA181" s="16">
        <v>-9999</v>
      </c>
      <c r="CB181" s="16">
        <v>-9999</v>
      </c>
      <c r="CC181" s="16">
        <v>-9999</v>
      </c>
      <c r="CD181" s="16">
        <v>-9999</v>
      </c>
      <c r="CE181" s="16">
        <v>-9999</v>
      </c>
      <c r="CF181" s="16">
        <v>-9999</v>
      </c>
      <c r="CG181" s="16">
        <v>-9999</v>
      </c>
      <c r="CH181" s="16">
        <v>-9999</v>
      </c>
      <c r="CI181" s="16">
        <v>-9999</v>
      </c>
      <c r="CJ181" s="16">
        <v>-9999</v>
      </c>
      <c r="CK181" s="16">
        <v>-9999</v>
      </c>
      <c r="CL181" s="16">
        <v>-9999</v>
      </c>
      <c r="CM181" s="16">
        <v>-9999</v>
      </c>
      <c r="CN181" s="16">
        <v>-9999</v>
      </c>
      <c r="CO181" s="16">
        <v>-9999</v>
      </c>
      <c r="CP181" s="16">
        <v>-9999</v>
      </c>
      <c r="CQ181" s="16">
        <v>-9999</v>
      </c>
      <c r="CR181" s="16">
        <v>-9999</v>
      </c>
      <c r="CS181" s="16">
        <v>-9999</v>
      </c>
      <c r="CT181" s="16">
        <v>-9999</v>
      </c>
      <c r="CU181" s="16">
        <v>-9999</v>
      </c>
      <c r="CV181" s="16">
        <v>-9999</v>
      </c>
      <c r="CW181" s="16">
        <v>-9999</v>
      </c>
      <c r="CX181" s="16">
        <v>-9999</v>
      </c>
      <c r="CY181" s="16">
        <v>-9999</v>
      </c>
      <c r="CZ181" s="16">
        <v>-9999</v>
      </c>
      <c r="DA181" s="16">
        <v>-9999</v>
      </c>
      <c r="DB181" s="16">
        <v>-9999</v>
      </c>
      <c r="DC181" s="16">
        <v>-9999</v>
      </c>
      <c r="DD181" s="16">
        <v>-9999</v>
      </c>
      <c r="DE181" s="16">
        <v>-9999</v>
      </c>
      <c r="DF181" s="16">
        <v>-9999</v>
      </c>
      <c r="DG181" s="16">
        <v>-9999</v>
      </c>
      <c r="DH181" s="16">
        <v>-9999</v>
      </c>
      <c r="DI181" s="16">
        <v>-9999</v>
      </c>
      <c r="DJ181" s="16">
        <v>-9999</v>
      </c>
      <c r="DK181" s="16">
        <v>-9999</v>
      </c>
      <c r="DL181" s="16">
        <v>-9999</v>
      </c>
      <c r="DM181" s="16">
        <v>-9999</v>
      </c>
      <c r="DN181" s="16">
        <v>-9999</v>
      </c>
      <c r="DO181" s="16">
        <v>-9999</v>
      </c>
      <c r="DP181" s="16">
        <v>-9999</v>
      </c>
      <c r="DQ181" s="16">
        <v>-9999</v>
      </c>
      <c r="DR181" s="16">
        <v>-9999</v>
      </c>
      <c r="DS181" s="16">
        <v>-9999</v>
      </c>
      <c r="DT181" s="16">
        <v>-9999</v>
      </c>
      <c r="DU181" s="16">
        <v>-9999</v>
      </c>
      <c r="DV181" s="16">
        <v>-9999</v>
      </c>
      <c r="DW181" s="16">
        <v>-9999</v>
      </c>
      <c r="DX181" s="16">
        <v>-9999</v>
      </c>
      <c r="DY181" s="16">
        <v>-9999</v>
      </c>
      <c r="DZ181" s="16">
        <v>-9999</v>
      </c>
      <c r="EA181" s="2197">
        <v>-9999</v>
      </c>
      <c r="EB181" s="2197">
        <v>-9999</v>
      </c>
      <c r="EC181" s="2197">
        <v>-9999</v>
      </c>
      <c r="ED181" s="2197">
        <v>-9999</v>
      </c>
      <c r="EE181" s="2197">
        <v>-9999</v>
      </c>
      <c r="EF181" s="2197">
        <v>-9999</v>
      </c>
      <c r="EG181" s="2197">
        <v>-9999</v>
      </c>
      <c r="EH181" s="2197">
        <v>-9999</v>
      </c>
      <c r="EI181" s="2197">
        <v>-9999</v>
      </c>
      <c r="EJ181" s="2197">
        <v>-9999</v>
      </c>
      <c r="EK181" s="2197">
        <v>-9999</v>
      </c>
      <c r="EL181" s="2197">
        <v>-9999</v>
      </c>
      <c r="EM181" s="2197">
        <v>-9999</v>
      </c>
    </row>
    <row r="182" spans="1:143">
      <c r="A182" s="22">
        <v>82</v>
      </c>
      <c r="B182" s="36" t="s">
        <v>1087</v>
      </c>
      <c r="C182" s="25">
        <v>-9999</v>
      </c>
      <c r="D182" s="25">
        <v>-9999</v>
      </c>
      <c r="E182" s="25">
        <v>-9999</v>
      </c>
      <c r="F182" s="25">
        <v>-9999</v>
      </c>
      <c r="G182" s="25">
        <v>-9999</v>
      </c>
      <c r="H182" s="25">
        <v>-9999</v>
      </c>
      <c r="I182" s="25">
        <v>-9999</v>
      </c>
      <c r="J182" s="25">
        <v>-9999</v>
      </c>
      <c r="K182" s="25">
        <v>-9999</v>
      </c>
      <c r="L182" s="25">
        <v>-9999</v>
      </c>
      <c r="M182" s="25">
        <v>-9999</v>
      </c>
      <c r="N182" s="25">
        <v>-9999</v>
      </c>
      <c r="O182" s="25">
        <v>-9999</v>
      </c>
      <c r="P182" s="26"/>
      <c r="Q182"/>
      <c r="AA182" s="22">
        <v>82</v>
      </c>
      <c r="AB182" s="1040" t="str">
        <f t="shared" si="8"/>
        <v>FOR INTERNAL CALCULATIONS BY A4</v>
      </c>
      <c r="AC182" s="1040">
        <f>CHOOSE(Tables!$U$2,Transfer!CA182,Transfer!CN182,Transfer!DA182,Transfer!DN182,Transfer!EA182)</f>
        <v>-9999</v>
      </c>
      <c r="AD182" s="1040">
        <f>CHOOSE(Tables!$U$2,Transfer!CB182,Transfer!CO182,Transfer!DB182,Transfer!DO182,Transfer!EB182)</f>
        <v>-9999</v>
      </c>
      <c r="AE182" s="1040">
        <f>CHOOSE(Tables!$U$2,Transfer!CC182,Transfer!CP182,Transfer!DC182,Transfer!DP182,Transfer!EC182)</f>
        <v>-9999</v>
      </c>
      <c r="AF182" s="1040">
        <f>CHOOSE(Tables!$U$2,Transfer!CD182,Transfer!CQ182,Transfer!DD182,Transfer!DQ182,Transfer!ED182)</f>
        <v>-9999</v>
      </c>
      <c r="AG182" s="1040">
        <f>CHOOSE(Tables!$U$2,Transfer!CE182,Transfer!CR182,Transfer!DE182,Transfer!DR182,Transfer!EE182)</f>
        <v>-9999</v>
      </c>
      <c r="AH182" s="1040">
        <f>CHOOSE(Tables!$U$2,Transfer!CF182,Transfer!CS182,Transfer!DF182,Transfer!DS182,Transfer!EF182)</f>
        <v>-9999</v>
      </c>
      <c r="AI182" s="1040">
        <f>CHOOSE(Tables!$U$2,Transfer!CG182,Transfer!CT182,Transfer!DG182,Transfer!DT182,Transfer!EG182)</f>
        <v>-9999</v>
      </c>
      <c r="AJ182" s="1040">
        <f>CHOOSE(Tables!$U$2,Transfer!CH182,Transfer!CU182,Transfer!DH182,Transfer!DU182,Transfer!EH182)</f>
        <v>-9999</v>
      </c>
      <c r="AK182" s="1040">
        <f>CHOOSE(Tables!$U$2,Transfer!CI182,Transfer!CV182,Transfer!DI182,Transfer!DV182,Transfer!EI182)</f>
        <v>-9999</v>
      </c>
      <c r="AL182" s="1040">
        <f>CHOOSE(Tables!$U$2,Transfer!CJ182,Transfer!CW182,Transfer!DJ182,Transfer!DW182,Transfer!EJ182)</f>
        <v>-9999</v>
      </c>
      <c r="AM182" s="1040">
        <f>CHOOSE(Tables!$U$2,Transfer!CK182,Transfer!CX182,Transfer!DK182,Transfer!DX182,Transfer!EK182)</f>
        <v>-9999</v>
      </c>
      <c r="AN182" s="1040">
        <f>CHOOSE(Tables!$U$2,Transfer!CL182,Transfer!CY182,Transfer!DL182,Transfer!DY182,Transfer!EL182)</f>
        <v>-9999</v>
      </c>
      <c r="AO182" s="1040">
        <f>CHOOSE(Tables!$U$2,Transfer!CM182,Transfer!CZ182,Transfer!DM182,Transfer!DZ182,Transfer!EM182)</f>
        <v>-9999</v>
      </c>
      <c r="AR182" s="22">
        <v>82</v>
      </c>
      <c r="AS182" s="31" t="s">
        <v>1110</v>
      </c>
      <c r="AT182" s="2069">
        <f t="shared" ref="AT182:AT213" si="10">C182-AC182</f>
        <v>0</v>
      </c>
      <c r="AU182" s="2069">
        <f t="shared" ref="AU182:AU213" si="11">D182-AD182</f>
        <v>0</v>
      </c>
      <c r="AV182" s="2069">
        <f t="shared" ref="AV182:AV213" si="12">E182-AE182</f>
        <v>0</v>
      </c>
      <c r="AW182" s="2069">
        <f t="shared" ref="AW182:AW213" si="13">F182-AF182</f>
        <v>0</v>
      </c>
      <c r="AX182" s="2069">
        <f t="shared" ref="AX182:AX213" si="14">G182-AG182</f>
        <v>0</v>
      </c>
      <c r="AY182" s="25">
        <f t="shared" ref="AY182:AY213" si="15">H182-AH182</f>
        <v>0</v>
      </c>
      <c r="AZ182" s="25">
        <f t="shared" ref="AZ182:AZ213" si="16">I182-AI182</f>
        <v>0</v>
      </c>
      <c r="BA182" s="25">
        <f t="shared" ref="BA182:BA213" si="17">J182-AJ182</f>
        <v>0</v>
      </c>
      <c r="BB182" s="25">
        <f t="shared" ref="BB182:BB213" si="18">K182-AK182</f>
        <v>0</v>
      </c>
      <c r="BC182" s="25">
        <f t="shared" si="7"/>
        <v>0</v>
      </c>
      <c r="BD182" s="25">
        <f t="shared" si="7"/>
        <v>0</v>
      </c>
      <c r="BE182" s="25">
        <f t="shared" si="7"/>
        <v>0</v>
      </c>
      <c r="BF182" s="25">
        <f t="shared" si="7"/>
        <v>0</v>
      </c>
      <c r="CA182" s="16">
        <v>-9999</v>
      </c>
      <c r="CB182" s="16">
        <v>-9999</v>
      </c>
      <c r="CC182" s="16">
        <v>-9999</v>
      </c>
      <c r="CD182" s="16">
        <v>-9999</v>
      </c>
      <c r="CE182" s="16">
        <v>-9999</v>
      </c>
      <c r="CF182" s="16">
        <v>-9999</v>
      </c>
      <c r="CG182" s="16">
        <v>-9999</v>
      </c>
      <c r="CH182" s="16">
        <v>-9999</v>
      </c>
      <c r="CI182" s="16">
        <v>-9999</v>
      </c>
      <c r="CJ182" s="16">
        <v>-9999</v>
      </c>
      <c r="CK182" s="16">
        <v>-9999</v>
      </c>
      <c r="CL182" s="16">
        <v>-9999</v>
      </c>
      <c r="CM182" s="16">
        <v>-9999</v>
      </c>
      <c r="CN182" s="16">
        <v>-9999</v>
      </c>
      <c r="CO182" s="16">
        <v>-9999</v>
      </c>
      <c r="CP182" s="16">
        <v>-9999</v>
      </c>
      <c r="CQ182" s="16">
        <v>-9999</v>
      </c>
      <c r="CR182" s="16">
        <v>-9999</v>
      </c>
      <c r="CS182" s="16">
        <v>-9999</v>
      </c>
      <c r="CT182" s="16">
        <v>-9999</v>
      </c>
      <c r="CU182" s="16">
        <v>-9999</v>
      </c>
      <c r="CV182" s="16">
        <v>-9999</v>
      </c>
      <c r="CW182" s="16">
        <v>-9999</v>
      </c>
      <c r="CX182" s="16">
        <v>-9999</v>
      </c>
      <c r="CY182" s="16">
        <v>-9999</v>
      </c>
      <c r="CZ182" s="16">
        <v>-9999</v>
      </c>
      <c r="DA182" s="16">
        <v>-9999</v>
      </c>
      <c r="DB182" s="16">
        <v>-9999</v>
      </c>
      <c r="DC182" s="16">
        <v>-9999</v>
      </c>
      <c r="DD182" s="16">
        <v>-9999</v>
      </c>
      <c r="DE182" s="16">
        <v>-9999</v>
      </c>
      <c r="DF182" s="16">
        <v>-9999</v>
      </c>
      <c r="DG182" s="16">
        <v>-9999</v>
      </c>
      <c r="DH182" s="16">
        <v>-9999</v>
      </c>
      <c r="DI182" s="16">
        <v>-9999</v>
      </c>
      <c r="DJ182" s="16">
        <v>-9999</v>
      </c>
      <c r="DK182" s="16">
        <v>-9999</v>
      </c>
      <c r="DL182" s="16">
        <v>-9999</v>
      </c>
      <c r="DM182" s="16">
        <v>-9999</v>
      </c>
      <c r="DN182" s="16">
        <v>-9999</v>
      </c>
      <c r="DO182" s="16">
        <v>-9999</v>
      </c>
      <c r="DP182" s="16">
        <v>-9999</v>
      </c>
      <c r="DQ182" s="16">
        <v>-9999</v>
      </c>
      <c r="DR182" s="16">
        <v>-9999</v>
      </c>
      <c r="DS182" s="16">
        <v>-9999</v>
      </c>
      <c r="DT182" s="16">
        <v>-9999</v>
      </c>
      <c r="DU182" s="16">
        <v>-9999</v>
      </c>
      <c r="DV182" s="16">
        <v>-9999</v>
      </c>
      <c r="DW182" s="16">
        <v>-9999</v>
      </c>
      <c r="DX182" s="16">
        <v>-9999</v>
      </c>
      <c r="DY182" s="16">
        <v>-9999</v>
      </c>
      <c r="DZ182" s="16">
        <v>-9999</v>
      </c>
      <c r="EA182" s="2197">
        <v>-9999</v>
      </c>
      <c r="EB182" s="2197">
        <v>-9999</v>
      </c>
      <c r="EC182" s="2197">
        <v>-9999</v>
      </c>
      <c r="ED182" s="2197">
        <v>-9999</v>
      </c>
      <c r="EE182" s="2197">
        <v>-9999</v>
      </c>
      <c r="EF182" s="2197">
        <v>-9999</v>
      </c>
      <c r="EG182" s="2197">
        <v>-9999</v>
      </c>
      <c r="EH182" s="2197">
        <v>-9999</v>
      </c>
      <c r="EI182" s="2197">
        <v>-9999</v>
      </c>
      <c r="EJ182" s="2197">
        <v>-9999</v>
      </c>
      <c r="EK182" s="2197">
        <v>-9999</v>
      </c>
      <c r="EL182" s="2197">
        <v>-9999</v>
      </c>
      <c r="EM182" s="2197">
        <v>-9999</v>
      </c>
    </row>
    <row r="183" spans="1:143">
      <c r="A183" s="22">
        <v>83</v>
      </c>
      <c r="B183" s="1035" t="s">
        <v>1893</v>
      </c>
      <c r="C183" s="20">
        <f ca="1">OFFSET(Labour1!F79,0,Last_forecast_year - 3-InputY!$G$3)</f>
        <v>1171.94</v>
      </c>
      <c r="D183" s="20">
        <f ca="1">OFFSET(Labour1!G79,0,Last_forecast_year - 3-InputY!$G$3)</f>
        <v>1194.1999999999998</v>
      </c>
      <c r="E183" s="20">
        <f ca="1">OFFSET(Labour1!H79,0,Last_forecast_year - 3-InputY!$G$3)</f>
        <v>1193.3100000000002</v>
      </c>
      <c r="F183" s="20">
        <f ca="1">OFFSET(Labour1!I79,0,Last_forecast_year - 3-InputY!$G$3)</f>
        <v>1186.7561024890892</v>
      </c>
      <c r="G183" s="20">
        <f ca="1">OFFSET(Labour1!J79,0,Last_forecast_year - 3-InputY!$G$3)</f>
        <v>1184.2837071101296</v>
      </c>
      <c r="H183" s="25">
        <v>-9999</v>
      </c>
      <c r="I183" s="25">
        <v>-9999</v>
      </c>
      <c r="J183" s="25">
        <v>-9999</v>
      </c>
      <c r="K183" s="25">
        <v>-9999</v>
      </c>
      <c r="L183" s="25">
        <v>-9999</v>
      </c>
      <c r="M183" s="25">
        <v>-9999</v>
      </c>
      <c r="N183" s="25">
        <v>-9999</v>
      </c>
      <c r="O183" s="25">
        <v>-9999</v>
      </c>
      <c r="P183" s="26"/>
      <c r="Q183"/>
      <c r="AA183" s="22">
        <v>83</v>
      </c>
      <c r="AB183" s="1040" t="str">
        <f t="shared" si="8"/>
        <v>EMPLOYEES LAB. FORCE STATISTICS</v>
      </c>
      <c r="AC183" s="1040">
        <f>CHOOSE(Tables!$U$2,Transfer!CA183,Transfer!CN183,Transfer!DA183,Transfer!DN183,Transfer!EA183)</f>
        <v>1120.9199999999998</v>
      </c>
      <c r="AD183" s="1040">
        <f>CHOOSE(Tables!$U$2,Transfer!CB183,Transfer!CO183,Transfer!DB183,Transfer!DO183,Transfer!EB183)</f>
        <v>1135.03</v>
      </c>
      <c r="AE183" s="1040">
        <f>CHOOSE(Tables!$U$2,Transfer!CC183,Transfer!CP183,Transfer!DC183,Transfer!DP183,Transfer!EC183)</f>
        <v>1155.5727168855938</v>
      </c>
      <c r="AF183" s="1040">
        <f>CHOOSE(Tables!$U$2,Transfer!CD183,Transfer!CQ183,Transfer!DD183,Transfer!DQ183,Transfer!ED183)</f>
        <v>1175.6694868591721</v>
      </c>
      <c r="AG183" s="1040">
        <f>CHOOSE(Tables!$U$2,Transfer!CE183,Transfer!CR183,Transfer!DE183,Transfer!DR183,Transfer!EE183)</f>
        <v>1193.380804354621</v>
      </c>
      <c r="AH183" s="1040">
        <f>CHOOSE(Tables!$U$2,Transfer!CF183,Transfer!CS183,Transfer!DF183,Transfer!DS183,Transfer!EF183)</f>
        <v>-9999</v>
      </c>
      <c r="AI183" s="1040">
        <f>CHOOSE(Tables!$U$2,Transfer!CG183,Transfer!CT183,Transfer!DG183,Transfer!DT183,Transfer!EG183)</f>
        <v>-9999</v>
      </c>
      <c r="AJ183" s="1040">
        <f>CHOOSE(Tables!$U$2,Transfer!CH183,Transfer!CU183,Transfer!DH183,Transfer!DU183,Transfer!EH183)</f>
        <v>-9999</v>
      </c>
      <c r="AK183" s="1040">
        <f>CHOOSE(Tables!$U$2,Transfer!CI183,Transfer!CV183,Transfer!DI183,Transfer!DV183,Transfer!EI183)</f>
        <v>-9999</v>
      </c>
      <c r="AL183" s="1040">
        <f>CHOOSE(Tables!$U$2,Transfer!CJ183,Transfer!CW183,Transfer!DJ183,Transfer!DW183,Transfer!EJ183)</f>
        <v>-9999</v>
      </c>
      <c r="AM183" s="1040">
        <f>CHOOSE(Tables!$U$2,Transfer!CK183,Transfer!CX183,Transfer!DK183,Transfer!DX183,Transfer!EK183)</f>
        <v>-9999</v>
      </c>
      <c r="AN183" s="1040">
        <f>CHOOSE(Tables!$U$2,Transfer!CL183,Transfer!CY183,Transfer!DL183,Transfer!DY183,Transfer!EL183)</f>
        <v>-9999</v>
      </c>
      <c r="AO183" s="1040">
        <f>CHOOSE(Tables!$U$2,Transfer!CM183,Transfer!CZ183,Transfer!DM183,Transfer!DZ183,Transfer!EM183)</f>
        <v>-9999</v>
      </c>
      <c r="AR183" s="22">
        <v>83</v>
      </c>
      <c r="AS183" s="1558" t="s">
        <v>1893</v>
      </c>
      <c r="AT183" s="20">
        <f t="shared" ca="1" si="10"/>
        <v>51.020000000000209</v>
      </c>
      <c r="AU183" s="20">
        <f t="shared" ca="1" si="11"/>
        <v>59.169999999999845</v>
      </c>
      <c r="AV183" s="20">
        <f t="shared" ca="1" si="12"/>
        <v>37.737283114406409</v>
      </c>
      <c r="AW183" s="20">
        <f t="shared" ca="1" si="13"/>
        <v>11.086615629917105</v>
      </c>
      <c r="AX183" s="20">
        <f t="shared" ca="1" si="14"/>
        <v>-9.0970972444913514</v>
      </c>
      <c r="AY183" s="25">
        <f t="shared" si="15"/>
        <v>0</v>
      </c>
      <c r="AZ183" s="25">
        <f t="shared" si="16"/>
        <v>0</v>
      </c>
      <c r="BA183" s="25">
        <f t="shared" si="17"/>
        <v>0</v>
      </c>
      <c r="BB183" s="25">
        <f t="shared" si="18"/>
        <v>0</v>
      </c>
      <c r="BC183" s="25">
        <f t="shared" si="7"/>
        <v>0</v>
      </c>
      <c r="BD183" s="25">
        <f t="shared" si="7"/>
        <v>0</v>
      </c>
      <c r="BE183" s="25">
        <f t="shared" si="7"/>
        <v>0</v>
      </c>
      <c r="BF183" s="25">
        <f t="shared" si="7"/>
        <v>0</v>
      </c>
      <c r="CA183" s="16">
        <v>1141.1199999999999</v>
      </c>
      <c r="CB183" s="16">
        <v>1159.67</v>
      </c>
      <c r="CC183" s="16">
        <v>1180.9610920550001</v>
      </c>
      <c r="CD183" s="16">
        <v>1184.1923826641123</v>
      </c>
      <c r="CE183" s="16">
        <v>1184.4999653290713</v>
      </c>
      <c r="CF183" s="16">
        <v>-9999</v>
      </c>
      <c r="CG183" s="16">
        <v>-9999</v>
      </c>
      <c r="CH183" s="16">
        <v>-9999</v>
      </c>
      <c r="CI183" s="16">
        <v>-9999</v>
      </c>
      <c r="CJ183" s="16">
        <v>-9999</v>
      </c>
      <c r="CK183" s="16">
        <v>-9999</v>
      </c>
      <c r="CL183" s="16">
        <v>-9999</v>
      </c>
      <c r="CM183" s="16">
        <v>-9999</v>
      </c>
      <c r="CN183" s="16">
        <v>1135.03</v>
      </c>
      <c r="CO183" s="16">
        <v>1141.1199999999999</v>
      </c>
      <c r="CP183" s="16">
        <v>1159.67</v>
      </c>
      <c r="CQ183" s="16">
        <v>1175.237916795</v>
      </c>
      <c r="CR183" s="16">
        <v>1191.0653758139124</v>
      </c>
      <c r="CS183" s="16">
        <v>-9999</v>
      </c>
      <c r="CT183" s="16">
        <v>-9999</v>
      </c>
      <c r="CU183" s="16">
        <v>-9999</v>
      </c>
      <c r="CV183" s="16">
        <v>-9999</v>
      </c>
      <c r="CW183" s="16">
        <v>-9999</v>
      </c>
      <c r="CX183" s="16">
        <v>-9999</v>
      </c>
      <c r="CY183" s="16">
        <v>-9999</v>
      </c>
      <c r="CZ183" s="16">
        <v>-9999</v>
      </c>
      <c r="DA183" s="16">
        <v>1141.1199999999999</v>
      </c>
      <c r="DB183" s="16">
        <v>1159.67</v>
      </c>
      <c r="DC183" s="16">
        <v>1175.237916795</v>
      </c>
      <c r="DD183" s="16">
        <v>1191.0653758139124</v>
      </c>
      <c r="DE183" s="16">
        <v>1207.1565826656531</v>
      </c>
      <c r="DF183" s="16">
        <v>-9999</v>
      </c>
      <c r="DG183" s="16">
        <v>-9999</v>
      </c>
      <c r="DH183" s="16">
        <v>-9999</v>
      </c>
      <c r="DI183" s="16">
        <v>-9999</v>
      </c>
      <c r="DJ183" s="16">
        <v>-9999</v>
      </c>
      <c r="DK183" s="16">
        <v>-9999</v>
      </c>
      <c r="DL183" s="16">
        <v>-9999</v>
      </c>
      <c r="DM183" s="16">
        <v>-9999</v>
      </c>
      <c r="DN183" s="16">
        <v>1135.03</v>
      </c>
      <c r="DO183" s="16">
        <v>1141.1199999999999</v>
      </c>
      <c r="DP183" s="16">
        <v>1159.67</v>
      </c>
      <c r="DQ183" s="16">
        <v>1175.237916795</v>
      </c>
      <c r="DR183" s="16">
        <v>1191.0653758139124</v>
      </c>
      <c r="DS183" s="16">
        <v>-9999</v>
      </c>
      <c r="DT183" s="16">
        <v>-9999</v>
      </c>
      <c r="DU183" s="16">
        <v>-9999</v>
      </c>
      <c r="DV183" s="16">
        <v>-9999</v>
      </c>
      <c r="DW183" s="16">
        <v>-9999</v>
      </c>
      <c r="DX183" s="16">
        <v>-9999</v>
      </c>
      <c r="DY183" s="16">
        <v>-9999</v>
      </c>
      <c r="DZ183" s="16">
        <v>-9999</v>
      </c>
      <c r="EA183" s="2196">
        <v>1120.9199999999998</v>
      </c>
      <c r="EB183" s="2196">
        <v>1135.03</v>
      </c>
      <c r="EC183" s="2196">
        <v>1155.5727168855938</v>
      </c>
      <c r="ED183" s="2196">
        <v>1175.6694868591721</v>
      </c>
      <c r="EE183" s="2196">
        <v>1193.380804354621</v>
      </c>
      <c r="EF183" s="2197">
        <v>-9999</v>
      </c>
      <c r="EG183" s="2197">
        <v>-9999</v>
      </c>
      <c r="EH183" s="2197">
        <v>-9999</v>
      </c>
      <c r="EI183" s="2197">
        <v>-9999</v>
      </c>
      <c r="EJ183" s="2197">
        <v>-9999</v>
      </c>
      <c r="EK183" s="2197">
        <v>-9999</v>
      </c>
      <c r="EL183" s="2197">
        <v>-9999</v>
      </c>
      <c r="EM183" s="2197">
        <v>-9999</v>
      </c>
    </row>
    <row r="184" spans="1:143">
      <c r="A184" s="22">
        <v>84</v>
      </c>
      <c r="B184" s="30" t="s">
        <v>1705</v>
      </c>
      <c r="C184" s="25">
        <v>-9999</v>
      </c>
      <c r="D184" s="25">
        <v>-9999</v>
      </c>
      <c r="E184" s="25">
        <v>-9999</v>
      </c>
      <c r="F184" s="25">
        <v>-9999</v>
      </c>
      <c r="G184" s="25">
        <v>-9999</v>
      </c>
      <c r="H184" s="25">
        <v>-9999</v>
      </c>
      <c r="I184" s="25">
        <v>-9999</v>
      </c>
      <c r="J184" s="25">
        <v>-9999</v>
      </c>
      <c r="K184" s="25">
        <v>-9999</v>
      </c>
      <c r="L184" s="25">
        <v>-9999</v>
      </c>
      <c r="M184" s="25">
        <v>-9999</v>
      </c>
      <c r="N184" s="25">
        <v>-9999</v>
      </c>
      <c r="O184" s="25">
        <v>-9999</v>
      </c>
      <c r="P184" s="26"/>
      <c r="Q184"/>
      <c r="AA184" s="22">
        <v>84</v>
      </c>
      <c r="AB184" s="1040" t="str">
        <f t="shared" si="8"/>
        <v>FOR FUTURE USE</v>
      </c>
      <c r="AC184" s="1040">
        <f>CHOOSE(Tables!$U$2,Transfer!CA184,Transfer!CN184,Transfer!DA184,Transfer!DN184,Transfer!EA184)</f>
        <v>-9999</v>
      </c>
      <c r="AD184" s="1040">
        <f>CHOOSE(Tables!$U$2,Transfer!CB184,Transfer!CO184,Transfer!DB184,Transfer!DO184,Transfer!EB184)</f>
        <v>-9999</v>
      </c>
      <c r="AE184" s="1040">
        <f>CHOOSE(Tables!$U$2,Transfer!CC184,Transfer!CP184,Transfer!DC184,Transfer!DP184,Transfer!EC184)</f>
        <v>-9999</v>
      </c>
      <c r="AF184" s="1040">
        <f>CHOOSE(Tables!$U$2,Transfer!CD184,Transfer!CQ184,Transfer!DD184,Transfer!DQ184,Transfer!ED184)</f>
        <v>-9999</v>
      </c>
      <c r="AG184" s="1040">
        <f>CHOOSE(Tables!$U$2,Transfer!CE184,Transfer!CR184,Transfer!DE184,Transfer!DR184,Transfer!EE184)</f>
        <v>-9999</v>
      </c>
      <c r="AH184" s="1040">
        <f>CHOOSE(Tables!$U$2,Transfer!CF184,Transfer!CS184,Transfer!DF184,Transfer!DS184,Transfer!EF184)</f>
        <v>-9999</v>
      </c>
      <c r="AI184" s="1040">
        <f>CHOOSE(Tables!$U$2,Transfer!CG184,Transfer!CT184,Transfer!DG184,Transfer!DT184,Transfer!EG184)</f>
        <v>-9999</v>
      </c>
      <c r="AJ184" s="1040">
        <f>CHOOSE(Tables!$U$2,Transfer!CH184,Transfer!CU184,Transfer!DH184,Transfer!DU184,Transfer!EH184)</f>
        <v>-9999</v>
      </c>
      <c r="AK184" s="1040">
        <f>CHOOSE(Tables!$U$2,Transfer!CI184,Transfer!CV184,Transfer!DI184,Transfer!DV184,Transfer!EI184)</f>
        <v>-9999</v>
      </c>
      <c r="AL184" s="1040">
        <f>CHOOSE(Tables!$U$2,Transfer!CJ184,Transfer!CW184,Transfer!DJ184,Transfer!DW184,Transfer!EJ184)</f>
        <v>-9999</v>
      </c>
      <c r="AM184" s="1040">
        <f>CHOOSE(Tables!$U$2,Transfer!CK184,Transfer!CX184,Transfer!DK184,Transfer!DX184,Transfer!EK184)</f>
        <v>-9999</v>
      </c>
      <c r="AN184" s="1040">
        <f>CHOOSE(Tables!$U$2,Transfer!CL184,Transfer!CY184,Transfer!DL184,Transfer!DY184,Transfer!EL184)</f>
        <v>-9999</v>
      </c>
      <c r="AO184" s="1040">
        <f>CHOOSE(Tables!$U$2,Transfer!CM184,Transfer!CZ184,Transfer!DM184,Transfer!DZ184,Transfer!EM184)</f>
        <v>-9999</v>
      </c>
      <c r="AR184" s="22">
        <v>84</v>
      </c>
      <c r="AS184" s="30" t="s">
        <v>1705</v>
      </c>
      <c r="AT184" s="25">
        <f t="shared" si="10"/>
        <v>0</v>
      </c>
      <c r="AU184" s="25">
        <f t="shared" si="11"/>
        <v>0</v>
      </c>
      <c r="AV184" s="25">
        <f t="shared" si="12"/>
        <v>0</v>
      </c>
      <c r="AW184" s="25">
        <f t="shared" si="13"/>
        <v>0</v>
      </c>
      <c r="AX184" s="25">
        <f t="shared" si="14"/>
        <v>0</v>
      </c>
      <c r="AY184" s="25">
        <f t="shared" si="15"/>
        <v>0</v>
      </c>
      <c r="AZ184" s="25">
        <f t="shared" si="16"/>
        <v>0</v>
      </c>
      <c r="BA184" s="25">
        <f t="shared" si="17"/>
        <v>0</v>
      </c>
      <c r="BB184" s="25">
        <f t="shared" si="18"/>
        <v>0</v>
      </c>
      <c r="BC184" s="25">
        <f t="shared" si="7"/>
        <v>0</v>
      </c>
      <c r="BD184" s="25">
        <f t="shared" si="7"/>
        <v>0</v>
      </c>
      <c r="BE184" s="25">
        <f t="shared" si="7"/>
        <v>0</v>
      </c>
      <c r="BF184" s="25">
        <f t="shared" si="7"/>
        <v>0</v>
      </c>
      <c r="CA184" s="16">
        <v>-9999</v>
      </c>
      <c r="CB184" s="16">
        <v>-9999</v>
      </c>
      <c r="CC184" s="16">
        <v>-9999</v>
      </c>
      <c r="CD184" s="16">
        <v>-9999</v>
      </c>
      <c r="CE184" s="16">
        <v>-9999</v>
      </c>
      <c r="CF184" s="16">
        <v>-9999</v>
      </c>
      <c r="CG184" s="16">
        <v>-9999</v>
      </c>
      <c r="CH184" s="16">
        <v>-9999</v>
      </c>
      <c r="CI184" s="16">
        <v>-9999</v>
      </c>
      <c r="CJ184" s="16">
        <v>-9999</v>
      </c>
      <c r="CK184" s="16">
        <v>-9999</v>
      </c>
      <c r="CL184" s="16">
        <v>-9999</v>
      </c>
      <c r="CM184" s="16">
        <v>-9999</v>
      </c>
      <c r="CN184" s="16">
        <v>-9999</v>
      </c>
      <c r="CO184" s="16">
        <v>-9999</v>
      </c>
      <c r="CP184" s="16">
        <v>-9999</v>
      </c>
      <c r="CQ184" s="16">
        <v>-9999</v>
      </c>
      <c r="CR184" s="16">
        <v>-9999</v>
      </c>
      <c r="CS184" s="16">
        <v>-9999</v>
      </c>
      <c r="CT184" s="16">
        <v>-9999</v>
      </c>
      <c r="CU184" s="16">
        <v>-9999</v>
      </c>
      <c r="CV184" s="16">
        <v>-9999</v>
      </c>
      <c r="CW184" s="16">
        <v>-9999</v>
      </c>
      <c r="CX184" s="16">
        <v>-9999</v>
      </c>
      <c r="CY184" s="16">
        <v>-9999</v>
      </c>
      <c r="CZ184" s="16">
        <v>-9999</v>
      </c>
      <c r="DA184" s="16">
        <v>-9999</v>
      </c>
      <c r="DB184" s="16">
        <v>-9999</v>
      </c>
      <c r="DC184" s="16">
        <v>-9999</v>
      </c>
      <c r="DD184" s="16">
        <v>-9999</v>
      </c>
      <c r="DE184" s="16">
        <v>-9999</v>
      </c>
      <c r="DF184" s="16">
        <v>-9999</v>
      </c>
      <c r="DG184" s="16">
        <v>-9999</v>
      </c>
      <c r="DH184" s="16">
        <v>-9999</v>
      </c>
      <c r="DI184" s="16">
        <v>-9999</v>
      </c>
      <c r="DJ184" s="16">
        <v>-9999</v>
      </c>
      <c r="DK184" s="16">
        <v>-9999</v>
      </c>
      <c r="DL184" s="16">
        <v>-9999</v>
      </c>
      <c r="DM184" s="16">
        <v>-9999</v>
      </c>
      <c r="DN184" s="16">
        <v>-9999</v>
      </c>
      <c r="DO184" s="16">
        <v>-9999</v>
      </c>
      <c r="DP184" s="16">
        <v>-9999</v>
      </c>
      <c r="DQ184" s="16">
        <v>-9999</v>
      </c>
      <c r="DR184" s="16">
        <v>-9999</v>
      </c>
      <c r="DS184" s="16">
        <v>-9999</v>
      </c>
      <c r="DT184" s="16">
        <v>-9999</v>
      </c>
      <c r="DU184" s="16">
        <v>-9999</v>
      </c>
      <c r="DV184" s="16">
        <v>-9999</v>
      </c>
      <c r="DW184" s="16">
        <v>-9999</v>
      </c>
      <c r="DX184" s="16">
        <v>-9999</v>
      </c>
      <c r="DY184" s="16">
        <v>-9999</v>
      </c>
      <c r="DZ184" s="16">
        <v>-9999</v>
      </c>
      <c r="EA184" s="2197">
        <v>-9999</v>
      </c>
      <c r="EB184" s="2197">
        <v>-9999</v>
      </c>
      <c r="EC184" s="2197">
        <v>-9999</v>
      </c>
      <c r="ED184" s="2197">
        <v>-9999</v>
      </c>
      <c r="EE184" s="2197">
        <v>-9999</v>
      </c>
      <c r="EF184" s="2197">
        <v>-9999</v>
      </c>
      <c r="EG184" s="2197">
        <v>-9999</v>
      </c>
      <c r="EH184" s="2197">
        <v>-9999</v>
      </c>
      <c r="EI184" s="2197">
        <v>-9999</v>
      </c>
      <c r="EJ184" s="2197">
        <v>-9999</v>
      </c>
      <c r="EK184" s="2197">
        <v>-9999</v>
      </c>
      <c r="EL184" s="2197">
        <v>-9999</v>
      </c>
      <c r="EM184" s="2197">
        <v>-9999</v>
      </c>
    </row>
    <row r="185" spans="1:143">
      <c r="A185" s="22">
        <v>85</v>
      </c>
      <c r="B185" s="33" t="s">
        <v>1111</v>
      </c>
      <c r="C185" s="20">
        <f ca="1">OFFSET(Labour1!F90,0,Last_forecast_year - 3-InputY!$G$3)</f>
        <v>1859.4973814928862</v>
      </c>
      <c r="D185" s="20">
        <f ca="1">OFFSET(Labour1!G90,0,Last_forecast_year - 3-InputY!$G$3)</f>
        <v>1885.0091242350554</v>
      </c>
      <c r="E185" s="20">
        <f ca="1">OFFSET(Labour1!H90,0,Last_forecast_year - 3-InputY!$G$3)</f>
        <v>1844.0169040919868</v>
      </c>
      <c r="F185" s="20">
        <f ca="1">OFFSET(Labour1!I90,0,Last_forecast_year - 3-InputY!$G$3)</f>
        <v>1845.8609209960787</v>
      </c>
      <c r="G185" s="20">
        <f ca="1">OFFSET(Labour1!J90,0,Last_forecast_year - 3-InputY!$G$3)</f>
        <v>1847.7067819170745</v>
      </c>
      <c r="H185" s="25">
        <v>-9999</v>
      </c>
      <c r="I185" s="25">
        <v>-9999</v>
      </c>
      <c r="J185" s="25">
        <v>-9999</v>
      </c>
      <c r="K185" s="25">
        <v>-9999</v>
      </c>
      <c r="L185" s="25">
        <v>-9999</v>
      </c>
      <c r="M185" s="25">
        <v>-9999</v>
      </c>
      <c r="N185" s="25">
        <v>-9999</v>
      </c>
      <c r="O185" s="25">
        <v>-9999</v>
      </c>
      <c r="P185" s="26"/>
      <c r="Q185"/>
      <c r="AA185" s="22">
        <v>85</v>
      </c>
      <c r="AB185" s="1040" t="str">
        <f t="shared" si="8"/>
        <v>AV. HOURS WORKED</v>
      </c>
      <c r="AC185" s="1040">
        <f>CHOOSE(Tables!$U$2,Transfer!CA185,Transfer!CN185,Transfer!DA185,Transfer!DN185,Transfer!EA185)</f>
        <v>1857.3990114695812</v>
      </c>
      <c r="AD185" s="1040">
        <f>CHOOSE(Tables!$U$2,Transfer!CB185,Transfer!CO185,Transfer!DB185,Transfer!DO185,Transfer!EB185)</f>
        <v>1703.1803144076969</v>
      </c>
      <c r="AE185" s="1040">
        <f>CHOOSE(Tables!$U$2,Transfer!CC185,Transfer!CP185,Transfer!DC185,Transfer!DP185,Transfer!EC185)</f>
        <v>1720.2121175517739</v>
      </c>
      <c r="AF185" s="1040">
        <f>CHOOSE(Tables!$U$2,Transfer!CD185,Transfer!CQ185,Transfer!DD185,Transfer!DQ185,Transfer!ED185)</f>
        <v>1737.4142387272916</v>
      </c>
      <c r="AG185" s="1040">
        <f>CHOOSE(Tables!$U$2,Transfer!CE185,Transfer!CR185,Transfer!DE185,Transfer!DR185,Transfer!EE185)</f>
        <v>1754.7883811145646</v>
      </c>
      <c r="AH185" s="1040">
        <f>CHOOSE(Tables!$U$2,Transfer!CF185,Transfer!CS185,Transfer!DF185,Transfer!DS185,Transfer!EF185)</f>
        <v>-9999</v>
      </c>
      <c r="AI185" s="1040">
        <f>CHOOSE(Tables!$U$2,Transfer!CG185,Transfer!CT185,Transfer!DG185,Transfer!DT185,Transfer!EG185)</f>
        <v>-9999</v>
      </c>
      <c r="AJ185" s="1040">
        <f>CHOOSE(Tables!$U$2,Transfer!CH185,Transfer!CU185,Transfer!DH185,Transfer!DU185,Transfer!EH185)</f>
        <v>-9999</v>
      </c>
      <c r="AK185" s="1040">
        <f>CHOOSE(Tables!$U$2,Transfer!CI185,Transfer!CV185,Transfer!DI185,Transfer!DV185,Transfer!EI185)</f>
        <v>-9999</v>
      </c>
      <c r="AL185" s="1040">
        <f>CHOOSE(Tables!$U$2,Transfer!CJ185,Transfer!CW185,Transfer!DJ185,Transfer!DW185,Transfer!EJ185)</f>
        <v>-9999</v>
      </c>
      <c r="AM185" s="1040">
        <f>CHOOSE(Tables!$U$2,Transfer!CK185,Transfer!CX185,Transfer!DK185,Transfer!DX185,Transfer!EK185)</f>
        <v>-9999</v>
      </c>
      <c r="AN185" s="1040">
        <f>CHOOSE(Tables!$U$2,Transfer!CL185,Transfer!CY185,Transfer!DL185,Transfer!DY185,Transfer!EL185)</f>
        <v>-9999</v>
      </c>
      <c r="AO185" s="1040">
        <f>CHOOSE(Tables!$U$2,Transfer!CM185,Transfer!CZ185,Transfer!DM185,Transfer!DZ185,Transfer!EM185)</f>
        <v>-9999</v>
      </c>
      <c r="AR185" s="22">
        <v>85</v>
      </c>
      <c r="AS185" s="33" t="s">
        <v>1111</v>
      </c>
      <c r="AT185" s="20">
        <f t="shared" ca="1" si="10"/>
        <v>2.0983700233050513</v>
      </c>
      <c r="AU185" s="20">
        <f t="shared" ca="1" si="11"/>
        <v>181.82880982735855</v>
      </c>
      <c r="AV185" s="20">
        <f t="shared" ca="1" si="12"/>
        <v>123.80478654021294</v>
      </c>
      <c r="AW185" s="20">
        <f t="shared" ca="1" si="13"/>
        <v>108.44668226878707</v>
      </c>
      <c r="AX185" s="20">
        <f t="shared" ca="1" si="14"/>
        <v>92.91840080250995</v>
      </c>
      <c r="AY185" s="25">
        <f t="shared" si="15"/>
        <v>0</v>
      </c>
      <c r="AZ185" s="25">
        <f t="shared" si="16"/>
        <v>0</v>
      </c>
      <c r="BA185" s="25">
        <f t="shared" si="17"/>
        <v>0</v>
      </c>
      <c r="BB185" s="25">
        <f t="shared" si="18"/>
        <v>0</v>
      </c>
      <c r="BC185" s="25">
        <f t="shared" si="7"/>
        <v>0</v>
      </c>
      <c r="BD185" s="25">
        <f t="shared" si="7"/>
        <v>0</v>
      </c>
      <c r="BE185" s="25">
        <f t="shared" si="7"/>
        <v>0</v>
      </c>
      <c r="BF185" s="25">
        <f t="shared" si="7"/>
        <v>0</v>
      </c>
      <c r="CA185" s="16">
        <v>1841.2473275588477</v>
      </c>
      <c r="CB185" s="16">
        <v>1835.7235855761712</v>
      </c>
      <c r="CC185" s="16">
        <v>1837.5593091617473</v>
      </c>
      <c r="CD185" s="16">
        <v>1839.3968684709089</v>
      </c>
      <c r="CE185" s="16">
        <v>1841.2362653393795</v>
      </c>
      <c r="CF185" s="16">
        <v>-9999</v>
      </c>
      <c r="CG185" s="16">
        <v>-9999</v>
      </c>
      <c r="CH185" s="16">
        <v>-9999</v>
      </c>
      <c r="CI185" s="16">
        <v>-9999</v>
      </c>
      <c r="CJ185" s="16">
        <v>-9999</v>
      </c>
      <c r="CK185" s="16">
        <v>-9999</v>
      </c>
      <c r="CL185" s="16">
        <v>-9999</v>
      </c>
      <c r="CM185" s="16">
        <v>-9999</v>
      </c>
      <c r="CN185" s="16">
        <v>1857.2941720919287</v>
      </c>
      <c r="CO185" s="16">
        <v>1841.2473275588477</v>
      </c>
      <c r="CP185" s="16">
        <v>1859.6598008344363</v>
      </c>
      <c r="CQ185" s="16">
        <v>1878.2563988427808</v>
      </c>
      <c r="CR185" s="16">
        <v>1915.8215268196363</v>
      </c>
      <c r="CS185" s="16">
        <v>-9999</v>
      </c>
      <c r="CT185" s="16">
        <v>-9999</v>
      </c>
      <c r="CU185" s="16">
        <v>-9999</v>
      </c>
      <c r="CV185" s="16">
        <v>-9999</v>
      </c>
      <c r="CW185" s="16">
        <v>-9999</v>
      </c>
      <c r="CX185" s="16">
        <v>-9999</v>
      </c>
      <c r="CY185" s="16">
        <v>-9999</v>
      </c>
      <c r="CZ185" s="16">
        <v>-9999</v>
      </c>
      <c r="DA185" s="16">
        <v>1841.2473275588477</v>
      </c>
      <c r="DB185" s="16">
        <v>1859.6598008344363</v>
      </c>
      <c r="DC185" s="16">
        <v>1878.2563988427808</v>
      </c>
      <c r="DD185" s="16">
        <v>1897.0389628312087</v>
      </c>
      <c r="DE185" s="16">
        <v>1916.0093524595209</v>
      </c>
      <c r="DF185" s="16">
        <v>-9999</v>
      </c>
      <c r="DG185" s="16">
        <v>-9999</v>
      </c>
      <c r="DH185" s="16">
        <v>-9999</v>
      </c>
      <c r="DI185" s="16">
        <v>-9999</v>
      </c>
      <c r="DJ185" s="16">
        <v>-9999</v>
      </c>
      <c r="DK185" s="16">
        <v>-9999</v>
      </c>
      <c r="DL185" s="16">
        <v>-9999</v>
      </c>
      <c r="DM185" s="16">
        <v>-9999</v>
      </c>
      <c r="DN185" s="16">
        <v>1857.2941720919287</v>
      </c>
      <c r="DO185" s="16">
        <v>1841.2473275588477</v>
      </c>
      <c r="DP185" s="16">
        <v>1859.6598008344363</v>
      </c>
      <c r="DQ185" s="16">
        <v>1878.2563988427808</v>
      </c>
      <c r="DR185" s="16">
        <v>1915.8215268196363</v>
      </c>
      <c r="DS185" s="16">
        <v>-9999</v>
      </c>
      <c r="DT185" s="16">
        <v>-9999</v>
      </c>
      <c r="DU185" s="16">
        <v>-9999</v>
      </c>
      <c r="DV185" s="16">
        <v>-9999</v>
      </c>
      <c r="DW185" s="16">
        <v>-9999</v>
      </c>
      <c r="DX185" s="16">
        <v>-9999</v>
      </c>
      <c r="DY185" s="16">
        <v>-9999</v>
      </c>
      <c r="DZ185" s="16">
        <v>-9999</v>
      </c>
      <c r="EA185" s="2196">
        <v>1857.3990114695812</v>
      </c>
      <c r="EB185" s="2196">
        <v>1703.1803144076969</v>
      </c>
      <c r="EC185" s="2196">
        <v>1720.2121175517739</v>
      </c>
      <c r="ED185" s="2196">
        <v>1737.4142387272916</v>
      </c>
      <c r="EE185" s="2196">
        <v>1754.7883811145646</v>
      </c>
      <c r="EF185" s="2197">
        <v>-9999</v>
      </c>
      <c r="EG185" s="2197">
        <v>-9999</v>
      </c>
      <c r="EH185" s="2197">
        <v>-9999</v>
      </c>
      <c r="EI185" s="2197">
        <v>-9999</v>
      </c>
      <c r="EJ185" s="2197">
        <v>-9999</v>
      </c>
      <c r="EK185" s="2197">
        <v>-9999</v>
      </c>
      <c r="EL185" s="2197">
        <v>-9999</v>
      </c>
      <c r="EM185" s="2197">
        <v>-9999</v>
      </c>
    </row>
    <row r="186" spans="1:143">
      <c r="A186" s="22">
        <v>86</v>
      </c>
      <c r="B186" s="30" t="s">
        <v>1705</v>
      </c>
      <c r="C186" s="25">
        <v>-9999</v>
      </c>
      <c r="D186" s="25">
        <v>-9999</v>
      </c>
      <c r="E186" s="25">
        <v>-9999</v>
      </c>
      <c r="F186" s="25">
        <v>-9999</v>
      </c>
      <c r="G186" s="25">
        <v>-9999</v>
      </c>
      <c r="H186" s="25">
        <v>-9999</v>
      </c>
      <c r="I186" s="25">
        <v>-9999</v>
      </c>
      <c r="J186" s="25">
        <v>-9999</v>
      </c>
      <c r="K186" s="25">
        <v>-9999</v>
      </c>
      <c r="L186" s="25">
        <v>-9999</v>
      </c>
      <c r="M186" s="25">
        <v>-9999</v>
      </c>
      <c r="N186" s="25">
        <v>-9999</v>
      </c>
      <c r="O186" s="25">
        <v>-9999</v>
      </c>
      <c r="P186" s="26"/>
      <c r="Q186"/>
      <c r="AA186" s="22">
        <v>86</v>
      </c>
      <c r="AB186" s="1040" t="str">
        <f t="shared" si="8"/>
        <v>FOR FUTURE USE</v>
      </c>
      <c r="AC186" s="1040">
        <f>CHOOSE(Tables!$U$2,Transfer!CA186,Transfer!CN186,Transfer!DA186,Transfer!DN186,Transfer!EA186)</f>
        <v>-9999</v>
      </c>
      <c r="AD186" s="1040">
        <f>CHOOSE(Tables!$U$2,Transfer!CB186,Transfer!CO186,Transfer!DB186,Transfer!DO186,Transfer!EB186)</f>
        <v>-9999</v>
      </c>
      <c r="AE186" s="1040">
        <f>CHOOSE(Tables!$U$2,Transfer!CC186,Transfer!CP186,Transfer!DC186,Transfer!DP186,Transfer!EC186)</f>
        <v>-9999</v>
      </c>
      <c r="AF186" s="1040">
        <f>CHOOSE(Tables!$U$2,Transfer!CD186,Transfer!CQ186,Transfer!DD186,Transfer!DQ186,Transfer!ED186)</f>
        <v>-9999</v>
      </c>
      <c r="AG186" s="1040">
        <f>CHOOSE(Tables!$U$2,Transfer!CE186,Transfer!CR186,Transfer!DE186,Transfer!DR186,Transfer!EE186)</f>
        <v>-9999</v>
      </c>
      <c r="AH186" s="1040">
        <f>CHOOSE(Tables!$U$2,Transfer!CF186,Transfer!CS186,Transfer!DF186,Transfer!DS186,Transfer!EF186)</f>
        <v>-9999</v>
      </c>
      <c r="AI186" s="1040">
        <f>CHOOSE(Tables!$U$2,Transfer!CG186,Transfer!CT186,Transfer!DG186,Transfer!DT186,Transfer!EG186)</f>
        <v>-9999</v>
      </c>
      <c r="AJ186" s="1040">
        <f>CHOOSE(Tables!$U$2,Transfer!CH186,Transfer!CU186,Transfer!DH186,Transfer!DU186,Transfer!EH186)</f>
        <v>-9999</v>
      </c>
      <c r="AK186" s="1040">
        <f>CHOOSE(Tables!$U$2,Transfer!CI186,Transfer!CV186,Transfer!DI186,Transfer!DV186,Transfer!EI186)</f>
        <v>-9999</v>
      </c>
      <c r="AL186" s="1040">
        <f>CHOOSE(Tables!$U$2,Transfer!CJ186,Transfer!CW186,Transfer!DJ186,Transfer!DW186,Transfer!EJ186)</f>
        <v>-9999</v>
      </c>
      <c r="AM186" s="1040">
        <f>CHOOSE(Tables!$U$2,Transfer!CK186,Transfer!CX186,Transfer!DK186,Transfer!DX186,Transfer!EK186)</f>
        <v>-9999</v>
      </c>
      <c r="AN186" s="1040">
        <f>CHOOSE(Tables!$U$2,Transfer!CL186,Transfer!CY186,Transfer!DL186,Transfer!DY186,Transfer!EL186)</f>
        <v>-9999</v>
      </c>
      <c r="AO186" s="1040">
        <f>CHOOSE(Tables!$U$2,Transfer!CM186,Transfer!CZ186,Transfer!DM186,Transfer!DZ186,Transfer!EM186)</f>
        <v>-9999</v>
      </c>
      <c r="AR186" s="22">
        <v>86</v>
      </c>
      <c r="AS186" s="30" t="s">
        <v>1705</v>
      </c>
      <c r="AT186" s="25">
        <f t="shared" si="10"/>
        <v>0</v>
      </c>
      <c r="AU186" s="25">
        <f t="shared" si="11"/>
        <v>0</v>
      </c>
      <c r="AV186" s="25">
        <f t="shared" si="12"/>
        <v>0</v>
      </c>
      <c r="AW186" s="25">
        <f t="shared" si="13"/>
        <v>0</v>
      </c>
      <c r="AX186" s="25">
        <f t="shared" si="14"/>
        <v>0</v>
      </c>
      <c r="AY186" s="25">
        <f t="shared" si="15"/>
        <v>0</v>
      </c>
      <c r="AZ186" s="25">
        <f t="shared" si="16"/>
        <v>0</v>
      </c>
      <c r="BA186" s="25">
        <f t="shared" si="17"/>
        <v>0</v>
      </c>
      <c r="BB186" s="25">
        <f t="shared" si="18"/>
        <v>0</v>
      </c>
      <c r="BC186" s="25">
        <f t="shared" si="7"/>
        <v>0</v>
      </c>
      <c r="BD186" s="25">
        <f t="shared" si="7"/>
        <v>0</v>
      </c>
      <c r="BE186" s="25">
        <f t="shared" si="7"/>
        <v>0</v>
      </c>
      <c r="BF186" s="25">
        <f t="shared" si="7"/>
        <v>0</v>
      </c>
      <c r="CA186" s="16">
        <v>-9999</v>
      </c>
      <c r="CB186" s="16">
        <v>-9999</v>
      </c>
      <c r="CC186" s="16">
        <v>-9999</v>
      </c>
      <c r="CD186" s="16">
        <v>-9999</v>
      </c>
      <c r="CE186" s="16">
        <v>-9999</v>
      </c>
      <c r="CF186" s="16">
        <v>-9999</v>
      </c>
      <c r="CG186" s="16">
        <v>-9999</v>
      </c>
      <c r="CH186" s="16">
        <v>-9999</v>
      </c>
      <c r="CI186" s="16">
        <v>-9999</v>
      </c>
      <c r="CJ186" s="16">
        <v>-9999</v>
      </c>
      <c r="CK186" s="16">
        <v>-9999</v>
      </c>
      <c r="CL186" s="16">
        <v>-9999</v>
      </c>
      <c r="CM186" s="16">
        <v>-9999</v>
      </c>
      <c r="CN186" s="16">
        <v>-9999</v>
      </c>
      <c r="CO186" s="16">
        <v>-9999</v>
      </c>
      <c r="CP186" s="16">
        <v>-9999</v>
      </c>
      <c r="CQ186" s="16">
        <v>-9999</v>
      </c>
      <c r="CR186" s="16">
        <v>-9999</v>
      </c>
      <c r="CS186" s="16">
        <v>-9999</v>
      </c>
      <c r="CT186" s="16">
        <v>-9999</v>
      </c>
      <c r="CU186" s="16">
        <v>-9999</v>
      </c>
      <c r="CV186" s="16">
        <v>-9999</v>
      </c>
      <c r="CW186" s="16">
        <v>-9999</v>
      </c>
      <c r="CX186" s="16">
        <v>-9999</v>
      </c>
      <c r="CY186" s="16">
        <v>-9999</v>
      </c>
      <c r="CZ186" s="16">
        <v>-9999</v>
      </c>
      <c r="DA186" s="16">
        <v>-9999</v>
      </c>
      <c r="DB186" s="16">
        <v>-9999</v>
      </c>
      <c r="DC186" s="16">
        <v>-9999</v>
      </c>
      <c r="DD186" s="16">
        <v>-9999</v>
      </c>
      <c r="DE186" s="16">
        <v>-9999</v>
      </c>
      <c r="DF186" s="16">
        <v>-9999</v>
      </c>
      <c r="DG186" s="16">
        <v>-9999</v>
      </c>
      <c r="DH186" s="16">
        <v>-9999</v>
      </c>
      <c r="DI186" s="16">
        <v>-9999</v>
      </c>
      <c r="DJ186" s="16">
        <v>-9999</v>
      </c>
      <c r="DK186" s="16">
        <v>-9999</v>
      </c>
      <c r="DL186" s="16">
        <v>-9999</v>
      </c>
      <c r="DM186" s="16">
        <v>-9999</v>
      </c>
      <c r="DN186" s="16">
        <v>-9999</v>
      </c>
      <c r="DO186" s="16">
        <v>-9999</v>
      </c>
      <c r="DP186" s="16">
        <v>-9999</v>
      </c>
      <c r="DQ186" s="16">
        <v>-9999</v>
      </c>
      <c r="DR186" s="16">
        <v>-9999</v>
      </c>
      <c r="DS186" s="16">
        <v>-9999</v>
      </c>
      <c r="DT186" s="16">
        <v>-9999</v>
      </c>
      <c r="DU186" s="16">
        <v>-9999</v>
      </c>
      <c r="DV186" s="16">
        <v>-9999</v>
      </c>
      <c r="DW186" s="16">
        <v>-9999</v>
      </c>
      <c r="DX186" s="16">
        <v>-9999</v>
      </c>
      <c r="DY186" s="16">
        <v>-9999</v>
      </c>
      <c r="DZ186" s="16">
        <v>-9999</v>
      </c>
      <c r="EA186" s="2197">
        <v>-9999</v>
      </c>
      <c r="EB186" s="2197">
        <v>-9999</v>
      </c>
      <c r="EC186" s="2197">
        <v>-9999</v>
      </c>
      <c r="ED186" s="2197">
        <v>-9999</v>
      </c>
      <c r="EE186" s="2197">
        <v>-9999</v>
      </c>
      <c r="EF186" s="2197">
        <v>-9999</v>
      </c>
      <c r="EG186" s="2197">
        <v>-9999</v>
      </c>
      <c r="EH186" s="2197">
        <v>-9999</v>
      </c>
      <c r="EI186" s="2197">
        <v>-9999</v>
      </c>
      <c r="EJ186" s="2197">
        <v>-9999</v>
      </c>
      <c r="EK186" s="2197">
        <v>-9999</v>
      </c>
      <c r="EL186" s="2197">
        <v>-9999</v>
      </c>
      <c r="EM186" s="2197">
        <v>-9999</v>
      </c>
    </row>
    <row r="187" spans="1:143">
      <c r="A187" s="22">
        <v>87</v>
      </c>
      <c r="B187" s="1" t="s">
        <v>1112</v>
      </c>
      <c r="C187">
        <f ca="1">OFFSET(Labour1!F217,0,Last_forecast_year - 3-InputY!$G$3)</f>
        <v>15.65227</v>
      </c>
      <c r="D187">
        <f ca="1">OFFSET(Labour1!G217,0,Last_forecast_year - 3-InputY!$G$3)</f>
        <v>16.892139999999998</v>
      </c>
      <c r="E187">
        <f ca="1">OFFSET(Labour1!H217,0,Last_forecast_year - 3-InputY!$G$3)</f>
        <v>18.449630000000003</v>
      </c>
      <c r="F187">
        <f ca="1">OFFSET(Labour1!I217,0,Last_forecast_year - 3-InputY!$G$3)</f>
        <v>19.549555182988733</v>
      </c>
      <c r="G187">
        <f ca="1">OFFSET(Labour1!J217,0,Last_forecast_year - 3-InputY!$G$3)</f>
        <v>20.686003495864497</v>
      </c>
      <c r="H187" s="25">
        <v>-9999</v>
      </c>
      <c r="I187" s="25">
        <v>-9999</v>
      </c>
      <c r="J187" s="25">
        <v>-9999</v>
      </c>
      <c r="K187" s="25">
        <v>-9999</v>
      </c>
      <c r="L187" s="25">
        <v>-9999</v>
      </c>
      <c r="M187" s="25">
        <v>-9999</v>
      </c>
      <c r="N187" s="25">
        <v>-9999</v>
      </c>
      <c r="O187" s="25">
        <v>-9999</v>
      </c>
      <c r="P187"/>
      <c r="Q187"/>
      <c r="AA187" s="22">
        <v>87</v>
      </c>
      <c r="AB187" s="1040" t="str">
        <f t="shared" si="8"/>
        <v>HH COMPENSATION OF EMPLOYEES</v>
      </c>
      <c r="AC187" s="1040">
        <f>CHOOSE(Tables!$U$2,Transfer!CA187,Transfer!CN187,Transfer!DA187,Transfer!DN187,Transfer!EA187)</f>
        <v>-9999</v>
      </c>
      <c r="AD187" s="1040">
        <f>CHOOSE(Tables!$U$2,Transfer!CB187,Transfer!CO187,Transfer!DB187,Transfer!DO187,Transfer!EB187)</f>
        <v>-9999</v>
      </c>
      <c r="AE187" s="1040">
        <f>CHOOSE(Tables!$U$2,Transfer!CC187,Transfer!CP187,Transfer!DC187,Transfer!DP187,Transfer!EC187)</f>
        <v>-9999</v>
      </c>
      <c r="AF187" s="1040">
        <f>CHOOSE(Tables!$U$2,Transfer!CD187,Transfer!CQ187,Transfer!DD187,Transfer!DQ187,Transfer!ED187)</f>
        <v>-9999</v>
      </c>
      <c r="AG187" s="1040">
        <f>CHOOSE(Tables!$U$2,Transfer!CE187,Transfer!CR187,Transfer!DE187,Transfer!DR187,Transfer!EE187)</f>
        <v>-9999</v>
      </c>
      <c r="AH187" s="1040">
        <f>CHOOSE(Tables!$U$2,Transfer!CF187,Transfer!CS187,Transfer!DF187,Transfer!DS187,Transfer!EF187)</f>
        <v>-9999</v>
      </c>
      <c r="AI187" s="1040">
        <f>CHOOSE(Tables!$U$2,Transfer!CG187,Transfer!CT187,Transfer!DG187,Transfer!DT187,Transfer!EG187)</f>
        <v>-9999</v>
      </c>
      <c r="AJ187" s="1040">
        <f>CHOOSE(Tables!$U$2,Transfer!CH187,Transfer!CU187,Transfer!DH187,Transfer!DU187,Transfer!EH187)</f>
        <v>-9999</v>
      </c>
      <c r="AK187" s="1040">
        <f>CHOOSE(Tables!$U$2,Transfer!CI187,Transfer!CV187,Transfer!DI187,Transfer!DV187,Transfer!EI187)</f>
        <v>-9999</v>
      </c>
      <c r="AL187" s="1040">
        <f>CHOOSE(Tables!$U$2,Transfer!CJ187,Transfer!CW187,Transfer!DJ187,Transfer!DW187,Transfer!EJ187)</f>
        <v>-9999</v>
      </c>
      <c r="AM187" s="1040">
        <f>CHOOSE(Tables!$U$2,Transfer!CK187,Transfer!CX187,Transfer!DK187,Transfer!DX187,Transfer!EK187)</f>
        <v>-9999</v>
      </c>
      <c r="AN187" s="1040">
        <f>CHOOSE(Tables!$U$2,Transfer!CL187,Transfer!CY187,Transfer!DL187,Transfer!DY187,Transfer!EL187)</f>
        <v>-9999</v>
      </c>
      <c r="AO187" s="1040">
        <f>CHOOSE(Tables!$U$2,Transfer!CM187,Transfer!CZ187,Transfer!DM187,Transfer!DZ187,Transfer!EM187)</f>
        <v>-9999</v>
      </c>
      <c r="AR187" s="22">
        <v>87</v>
      </c>
      <c r="AS187" s="1" t="s">
        <v>1112</v>
      </c>
      <c r="AT187" s="24">
        <f t="shared" ca="1" si="10"/>
        <v>10014.65227</v>
      </c>
      <c r="AU187" s="24">
        <f t="shared" ca="1" si="11"/>
        <v>10015.89214</v>
      </c>
      <c r="AV187" s="24">
        <f t="shared" ca="1" si="12"/>
        <v>10017.449629999999</v>
      </c>
      <c r="AW187" s="24">
        <f t="shared" ca="1" si="13"/>
        <v>10018.549555182988</v>
      </c>
      <c r="AX187" s="24">
        <f t="shared" ca="1" si="14"/>
        <v>10019.686003495864</v>
      </c>
      <c r="AY187" s="25">
        <f t="shared" si="15"/>
        <v>0</v>
      </c>
      <c r="AZ187" s="25">
        <f t="shared" si="16"/>
        <v>0</v>
      </c>
      <c r="BA187" s="25">
        <f t="shared" si="17"/>
        <v>0</v>
      </c>
      <c r="BB187" s="25">
        <f t="shared" si="18"/>
        <v>0</v>
      </c>
      <c r="BC187" s="25">
        <f t="shared" si="7"/>
        <v>0</v>
      </c>
      <c r="BD187" s="25">
        <f t="shared" si="7"/>
        <v>0</v>
      </c>
      <c r="BE187" s="25">
        <f t="shared" si="7"/>
        <v>0</v>
      </c>
      <c r="BF187" s="25">
        <f t="shared" si="7"/>
        <v>0</v>
      </c>
      <c r="CA187" s="16">
        <v>-9999</v>
      </c>
      <c r="CB187" s="16">
        <v>-9999</v>
      </c>
      <c r="CC187" s="16">
        <v>-9999</v>
      </c>
      <c r="CD187" s="16">
        <v>-9999</v>
      </c>
      <c r="CE187" s="16">
        <v>-9999</v>
      </c>
      <c r="CF187" s="16">
        <v>-9999</v>
      </c>
      <c r="CG187" s="16">
        <v>-9999</v>
      </c>
      <c r="CH187" s="16">
        <v>-9999</v>
      </c>
      <c r="CI187" s="16">
        <v>-9999</v>
      </c>
      <c r="CJ187" s="16">
        <v>-9999</v>
      </c>
      <c r="CK187" s="16">
        <v>-9999</v>
      </c>
      <c r="CL187" s="16">
        <v>-9999</v>
      </c>
      <c r="CM187" s="16">
        <v>-9999</v>
      </c>
      <c r="CN187" s="16">
        <v>-9999</v>
      </c>
      <c r="CO187" s="16">
        <v>-9999</v>
      </c>
      <c r="CP187" s="16">
        <v>-9999</v>
      </c>
      <c r="CQ187" s="16">
        <v>-9999</v>
      </c>
      <c r="CR187" s="16">
        <v>-9999</v>
      </c>
      <c r="CS187" s="16">
        <v>-9999</v>
      </c>
      <c r="CT187" s="16">
        <v>-9999</v>
      </c>
      <c r="CU187" s="16">
        <v>-9999</v>
      </c>
      <c r="CV187" s="16">
        <v>-9999</v>
      </c>
      <c r="CW187" s="16">
        <v>-9999</v>
      </c>
      <c r="CX187" s="16">
        <v>-9999</v>
      </c>
      <c r="CY187" s="16">
        <v>-9999</v>
      </c>
      <c r="CZ187" s="16">
        <v>-9999</v>
      </c>
      <c r="DA187" s="16">
        <v>-9999</v>
      </c>
      <c r="DB187" s="16">
        <v>-9999</v>
      </c>
      <c r="DC187" s="16">
        <v>-9999</v>
      </c>
      <c r="DD187" s="16">
        <v>-9999</v>
      </c>
      <c r="DE187" s="16">
        <v>-9999</v>
      </c>
      <c r="DF187" s="16">
        <v>-9999</v>
      </c>
      <c r="DG187" s="16">
        <v>-9999</v>
      </c>
      <c r="DH187" s="16">
        <v>-9999</v>
      </c>
      <c r="DI187" s="16">
        <v>-9999</v>
      </c>
      <c r="DJ187" s="16">
        <v>-9999</v>
      </c>
      <c r="DK187" s="16">
        <v>-9999</v>
      </c>
      <c r="DL187" s="16">
        <v>-9999</v>
      </c>
      <c r="DM187" s="16">
        <v>-9999</v>
      </c>
      <c r="DN187" s="16">
        <v>-9999</v>
      </c>
      <c r="DO187" s="16">
        <v>-9999</v>
      </c>
      <c r="DP187" s="16">
        <v>-9999</v>
      </c>
      <c r="DQ187" s="16">
        <v>-9999</v>
      </c>
      <c r="DR187" s="16">
        <v>-9999</v>
      </c>
      <c r="DS187" s="16">
        <v>-9999</v>
      </c>
      <c r="DT187" s="16">
        <v>-9999</v>
      </c>
      <c r="DU187" s="16">
        <v>-9999</v>
      </c>
      <c r="DV187" s="16">
        <v>-9999</v>
      </c>
      <c r="DW187" s="16">
        <v>-9999</v>
      </c>
      <c r="DX187" s="16">
        <v>-9999</v>
      </c>
      <c r="DY187" s="16">
        <v>-9999</v>
      </c>
      <c r="DZ187" s="16">
        <v>-9999</v>
      </c>
      <c r="EA187" s="2196">
        <v>-9999</v>
      </c>
      <c r="EB187" s="2196">
        <v>-9999</v>
      </c>
      <c r="EC187" s="2196">
        <v>-9999</v>
      </c>
      <c r="ED187" s="2196">
        <v>-9999</v>
      </c>
      <c r="EE187" s="2196">
        <v>-9999</v>
      </c>
      <c r="EF187" s="2197">
        <v>-9999</v>
      </c>
      <c r="EG187" s="2197">
        <v>-9999</v>
      </c>
      <c r="EH187" s="2197">
        <v>-9999</v>
      </c>
      <c r="EI187" s="2197">
        <v>-9999</v>
      </c>
      <c r="EJ187" s="2197">
        <v>-9999</v>
      </c>
      <c r="EK187" s="2197">
        <v>-9999</v>
      </c>
      <c r="EL187" s="2197">
        <v>-9999</v>
      </c>
      <c r="EM187" s="2197">
        <v>-9999</v>
      </c>
    </row>
    <row r="188" spans="1:143">
      <c r="A188" s="22">
        <v>88</v>
      </c>
      <c r="B188" s="1" t="s">
        <v>333</v>
      </c>
      <c r="C188">
        <f ca="1">OFFSET(Labour1!F137,0,Last_forecast_year - 3-InputY!$G$3)</f>
        <v>12.323559999999999</v>
      </c>
      <c r="D188">
        <f ca="1">OFFSET(Labour1!G137,0,Last_forecast_year - 3-InputY!$G$3)</f>
        <v>13.25775</v>
      </c>
      <c r="E188">
        <f ca="1">OFFSET(Labour1!H137,0,Last_forecast_year - 3-InputY!$G$3)</f>
        <v>14.362240126594433</v>
      </c>
      <c r="F188">
        <f ca="1">OFFSET(Labour1!I137,0,Last_forecast_year - 3-InputY!$G$3)</f>
        <v>15.177575242380211</v>
      </c>
      <c r="G188">
        <f ca="1">OFFSET(Labour1!J137,0,Last_forecast_year - 3-InputY!$G$3)</f>
        <v>16.047371297764418</v>
      </c>
      <c r="H188" s="25">
        <v>-9999</v>
      </c>
      <c r="I188" s="25">
        <v>-9999</v>
      </c>
      <c r="J188" s="25">
        <v>-9999</v>
      </c>
      <c r="K188" s="25">
        <v>-9999</v>
      </c>
      <c r="L188" s="25">
        <v>-9999</v>
      </c>
      <c r="M188" s="25">
        <v>-9999</v>
      </c>
      <c r="N188" s="25">
        <v>-9999</v>
      </c>
      <c r="O188" s="25">
        <v>-9999</v>
      </c>
      <c r="P188"/>
      <c r="Q188"/>
      <c r="AA188" s="22">
        <v>88</v>
      </c>
      <c r="AB188" s="1040" t="str">
        <f t="shared" si="8"/>
        <v>HH GROSS WAGES AND SALARIES</v>
      </c>
      <c r="AC188" s="1040">
        <f>CHOOSE(Tables!$U$2,Transfer!CA188,Transfer!CN188,Transfer!DA188,Transfer!DN188,Transfer!EA188)</f>
        <v>-9999</v>
      </c>
      <c r="AD188" s="1040">
        <f>CHOOSE(Tables!$U$2,Transfer!CB188,Transfer!CO188,Transfer!DB188,Transfer!DO188,Transfer!EB188)</f>
        <v>-9999</v>
      </c>
      <c r="AE188" s="1040">
        <f>CHOOSE(Tables!$U$2,Transfer!CC188,Transfer!CP188,Transfer!DC188,Transfer!DP188,Transfer!EC188)</f>
        <v>-9999</v>
      </c>
      <c r="AF188" s="1040">
        <f>CHOOSE(Tables!$U$2,Transfer!CD188,Transfer!CQ188,Transfer!DD188,Transfer!DQ188,Transfer!ED188)</f>
        <v>-9999</v>
      </c>
      <c r="AG188" s="1040">
        <f>CHOOSE(Tables!$U$2,Transfer!CE188,Transfer!CR188,Transfer!DE188,Transfer!DR188,Transfer!EE188)</f>
        <v>-9999</v>
      </c>
      <c r="AH188" s="1040">
        <f>CHOOSE(Tables!$U$2,Transfer!CF188,Transfer!CS188,Transfer!DF188,Transfer!DS188,Transfer!EF188)</f>
        <v>-9999</v>
      </c>
      <c r="AI188" s="1040">
        <f>CHOOSE(Tables!$U$2,Transfer!CG188,Transfer!CT188,Transfer!DG188,Transfer!DT188,Transfer!EG188)</f>
        <v>-9999</v>
      </c>
      <c r="AJ188" s="1040">
        <f>CHOOSE(Tables!$U$2,Transfer!CH188,Transfer!CU188,Transfer!DH188,Transfer!DU188,Transfer!EH188)</f>
        <v>-9999</v>
      </c>
      <c r="AK188" s="1040">
        <f>CHOOSE(Tables!$U$2,Transfer!CI188,Transfer!CV188,Transfer!DI188,Transfer!DV188,Transfer!EI188)</f>
        <v>-9999</v>
      </c>
      <c r="AL188" s="1040">
        <f>CHOOSE(Tables!$U$2,Transfer!CJ188,Transfer!CW188,Transfer!DJ188,Transfer!DW188,Transfer!EJ188)</f>
        <v>-9999</v>
      </c>
      <c r="AM188" s="1040">
        <f>CHOOSE(Tables!$U$2,Transfer!CK188,Transfer!CX188,Transfer!DK188,Transfer!DX188,Transfer!EK188)</f>
        <v>-9999</v>
      </c>
      <c r="AN188" s="1040">
        <f>CHOOSE(Tables!$U$2,Transfer!CL188,Transfer!CY188,Transfer!DL188,Transfer!DY188,Transfer!EL188)</f>
        <v>-9999</v>
      </c>
      <c r="AO188" s="1040">
        <f>CHOOSE(Tables!$U$2,Transfer!CM188,Transfer!CZ188,Transfer!DM188,Transfer!DZ188,Transfer!EM188)</f>
        <v>-9999</v>
      </c>
      <c r="AR188" s="22">
        <v>88</v>
      </c>
      <c r="AS188" s="1" t="s">
        <v>333</v>
      </c>
      <c r="AT188" s="24">
        <f t="shared" ca="1" si="10"/>
        <v>10011.323560000001</v>
      </c>
      <c r="AU188" s="24">
        <f t="shared" ca="1" si="11"/>
        <v>10012.257750000001</v>
      </c>
      <c r="AV188" s="24">
        <f t="shared" ca="1" si="12"/>
        <v>10013.362240126595</v>
      </c>
      <c r="AW188" s="24">
        <f t="shared" ca="1" si="13"/>
        <v>10014.17757524238</v>
      </c>
      <c r="AX188" s="24">
        <f t="shared" ca="1" si="14"/>
        <v>10015.047371297764</v>
      </c>
      <c r="AY188" s="25">
        <f t="shared" si="15"/>
        <v>0</v>
      </c>
      <c r="AZ188" s="25">
        <f t="shared" si="16"/>
        <v>0</v>
      </c>
      <c r="BA188" s="25">
        <f t="shared" si="17"/>
        <v>0</v>
      </c>
      <c r="BB188" s="25">
        <f t="shared" si="18"/>
        <v>0</v>
      </c>
      <c r="BC188" s="25">
        <f t="shared" si="7"/>
        <v>0</v>
      </c>
      <c r="BD188" s="25">
        <f t="shared" si="7"/>
        <v>0</v>
      </c>
      <c r="BE188" s="25">
        <f t="shared" si="7"/>
        <v>0</v>
      </c>
      <c r="BF188" s="25">
        <f t="shared" si="7"/>
        <v>0</v>
      </c>
      <c r="CA188" s="16">
        <v>-9999</v>
      </c>
      <c r="CB188" s="16">
        <v>-9999</v>
      </c>
      <c r="CC188" s="16">
        <v>-9999</v>
      </c>
      <c r="CD188" s="16">
        <v>-9999</v>
      </c>
      <c r="CE188" s="16">
        <v>-9999</v>
      </c>
      <c r="CF188" s="16">
        <v>-9999</v>
      </c>
      <c r="CG188" s="16">
        <v>-9999</v>
      </c>
      <c r="CH188" s="16">
        <v>-9999</v>
      </c>
      <c r="CI188" s="16">
        <v>-9999</v>
      </c>
      <c r="CJ188" s="16">
        <v>-9999</v>
      </c>
      <c r="CK188" s="16">
        <v>-9999</v>
      </c>
      <c r="CL188" s="16">
        <v>-9999</v>
      </c>
      <c r="CM188" s="16">
        <v>-9999</v>
      </c>
      <c r="CN188" s="16">
        <v>-9999</v>
      </c>
      <c r="CO188" s="16">
        <v>-9999</v>
      </c>
      <c r="CP188" s="16">
        <v>-9999</v>
      </c>
      <c r="CQ188" s="16">
        <v>-9999</v>
      </c>
      <c r="CR188" s="16">
        <v>-9999</v>
      </c>
      <c r="CS188" s="16">
        <v>-9999</v>
      </c>
      <c r="CT188" s="16">
        <v>-9999</v>
      </c>
      <c r="CU188" s="16">
        <v>-9999</v>
      </c>
      <c r="CV188" s="16">
        <v>-9999</v>
      </c>
      <c r="CW188" s="16">
        <v>-9999</v>
      </c>
      <c r="CX188" s="16">
        <v>-9999</v>
      </c>
      <c r="CY188" s="16">
        <v>-9999</v>
      </c>
      <c r="CZ188" s="16">
        <v>-9999</v>
      </c>
      <c r="DA188" s="16">
        <v>-9999</v>
      </c>
      <c r="DB188" s="16">
        <v>-9999</v>
      </c>
      <c r="DC188" s="16">
        <v>-9999</v>
      </c>
      <c r="DD188" s="16">
        <v>-9999</v>
      </c>
      <c r="DE188" s="16">
        <v>-9999</v>
      </c>
      <c r="DF188" s="16">
        <v>-9999</v>
      </c>
      <c r="DG188" s="16">
        <v>-9999</v>
      </c>
      <c r="DH188" s="16">
        <v>-9999</v>
      </c>
      <c r="DI188" s="16">
        <v>-9999</v>
      </c>
      <c r="DJ188" s="16">
        <v>-9999</v>
      </c>
      <c r="DK188" s="16">
        <v>-9999</v>
      </c>
      <c r="DL188" s="16">
        <v>-9999</v>
      </c>
      <c r="DM188" s="16">
        <v>-9999</v>
      </c>
      <c r="DN188" s="16">
        <v>-9999</v>
      </c>
      <c r="DO188" s="16">
        <v>-9999</v>
      </c>
      <c r="DP188" s="16">
        <v>-9999</v>
      </c>
      <c r="DQ188" s="16">
        <v>-9999</v>
      </c>
      <c r="DR188" s="16">
        <v>-9999</v>
      </c>
      <c r="DS188" s="16">
        <v>-9999</v>
      </c>
      <c r="DT188" s="16">
        <v>-9999</v>
      </c>
      <c r="DU188" s="16">
        <v>-9999</v>
      </c>
      <c r="DV188" s="16">
        <v>-9999</v>
      </c>
      <c r="DW188" s="16">
        <v>-9999</v>
      </c>
      <c r="DX188" s="16">
        <v>-9999</v>
      </c>
      <c r="DY188" s="16">
        <v>-9999</v>
      </c>
      <c r="DZ188" s="16">
        <v>-9999</v>
      </c>
      <c r="EA188" s="2196">
        <v>-9999</v>
      </c>
      <c r="EB188" s="2196">
        <v>-9999</v>
      </c>
      <c r="EC188" s="2196">
        <v>-9999</v>
      </c>
      <c r="ED188" s="2196">
        <v>-9999</v>
      </c>
      <c r="EE188" s="2196">
        <v>-9999</v>
      </c>
      <c r="EF188" s="2197">
        <v>-9999</v>
      </c>
      <c r="EG188" s="2197">
        <v>-9999</v>
      </c>
      <c r="EH188" s="2197">
        <v>-9999</v>
      </c>
      <c r="EI188" s="2197">
        <v>-9999</v>
      </c>
      <c r="EJ188" s="2197">
        <v>-9999</v>
      </c>
      <c r="EK188" s="2197">
        <v>-9999</v>
      </c>
      <c r="EL188" s="2197">
        <v>-9999</v>
      </c>
      <c r="EM188" s="2197">
        <v>-9999</v>
      </c>
    </row>
    <row r="189" spans="1:143">
      <c r="A189" s="22">
        <v>89</v>
      </c>
      <c r="B189" s="1" t="s">
        <v>123</v>
      </c>
      <c r="C189">
        <f ca="1">OFFSET(Sector1!F107,0,Last_forecast_year - 3-InputY!$G$3)</f>
        <v>3.7731500000000007</v>
      </c>
      <c r="D189">
        <f ca="1">OFFSET(Sector1!G107,0,Last_forecast_year - 3-InputY!$G$3)</f>
        <v>3.77868</v>
      </c>
      <c r="E189">
        <f ca="1">OFFSET(Sector1!H107,0,Last_forecast_year - 3-InputY!$G$3)</f>
        <v>3.77868</v>
      </c>
      <c r="F189">
        <f ca="1">OFFSET(Sector1!I107,0,Last_forecast_year - 3-InputY!$G$3)</f>
        <v>3.77868</v>
      </c>
      <c r="G189">
        <f ca="1">OFFSET(Sector1!J107,0,Last_forecast_year - 3-InputY!$G$3)</f>
        <v>3.77868</v>
      </c>
      <c r="H189" s="25">
        <v>-9999</v>
      </c>
      <c r="I189" s="25">
        <v>-9999</v>
      </c>
      <c r="J189" s="25">
        <v>-9999</v>
      </c>
      <c r="K189" s="25">
        <v>-9999</v>
      </c>
      <c r="L189" s="25">
        <v>-9999</v>
      </c>
      <c r="M189" s="25">
        <v>-9999</v>
      </c>
      <c r="N189" s="25">
        <v>-9999</v>
      </c>
      <c r="O189" s="25">
        <v>-9999</v>
      </c>
      <c r="P189"/>
      <c r="Q189"/>
      <c r="AA189" s="22">
        <v>89</v>
      </c>
      <c r="AB189" s="1040" t="str">
        <f t="shared" si="8"/>
        <v>HH GROSS OPERATION SURPLUS</v>
      </c>
      <c r="AC189" s="1040">
        <f>CHOOSE(Tables!$U$2,Transfer!CA189,Transfer!CN189,Transfer!DA189,Transfer!DN189,Transfer!EA189)</f>
        <v>-9999</v>
      </c>
      <c r="AD189" s="1040">
        <f>CHOOSE(Tables!$U$2,Transfer!CB189,Transfer!CO189,Transfer!DB189,Transfer!DO189,Transfer!EB189)</f>
        <v>-9999</v>
      </c>
      <c r="AE189" s="1040">
        <f>CHOOSE(Tables!$U$2,Transfer!CC189,Transfer!CP189,Transfer!DC189,Transfer!DP189,Transfer!EC189)</f>
        <v>-9999</v>
      </c>
      <c r="AF189" s="1040">
        <f>CHOOSE(Tables!$U$2,Transfer!CD189,Transfer!CQ189,Transfer!DD189,Transfer!DQ189,Transfer!ED189)</f>
        <v>-9999</v>
      </c>
      <c r="AG189" s="1040">
        <f>CHOOSE(Tables!$U$2,Transfer!CE189,Transfer!CR189,Transfer!DE189,Transfer!DR189,Transfer!EE189)</f>
        <v>-9999</v>
      </c>
      <c r="AH189" s="1040">
        <f>CHOOSE(Tables!$U$2,Transfer!CF189,Transfer!CS189,Transfer!DF189,Transfer!DS189,Transfer!EF189)</f>
        <v>-9999</v>
      </c>
      <c r="AI189" s="1040">
        <f>CHOOSE(Tables!$U$2,Transfer!CG189,Transfer!CT189,Transfer!DG189,Transfer!DT189,Transfer!EG189)</f>
        <v>-9999</v>
      </c>
      <c r="AJ189" s="1040">
        <f>CHOOSE(Tables!$U$2,Transfer!CH189,Transfer!CU189,Transfer!DH189,Transfer!DU189,Transfer!EH189)</f>
        <v>-9999</v>
      </c>
      <c r="AK189" s="1040">
        <f>CHOOSE(Tables!$U$2,Transfer!CI189,Transfer!CV189,Transfer!DI189,Transfer!DV189,Transfer!EI189)</f>
        <v>-9999</v>
      </c>
      <c r="AL189" s="1040">
        <f>CHOOSE(Tables!$U$2,Transfer!CJ189,Transfer!CW189,Transfer!DJ189,Transfer!DW189,Transfer!EJ189)</f>
        <v>-9999</v>
      </c>
      <c r="AM189" s="1040">
        <f>CHOOSE(Tables!$U$2,Transfer!CK189,Transfer!CX189,Transfer!DK189,Transfer!DX189,Transfer!EK189)</f>
        <v>-9999</v>
      </c>
      <c r="AN189" s="1040">
        <f>CHOOSE(Tables!$U$2,Transfer!CL189,Transfer!CY189,Transfer!DL189,Transfer!DY189,Transfer!EL189)</f>
        <v>-9999</v>
      </c>
      <c r="AO189" s="1040">
        <f>CHOOSE(Tables!$U$2,Transfer!CM189,Transfer!CZ189,Transfer!DM189,Transfer!DZ189,Transfer!EM189)</f>
        <v>-9999</v>
      </c>
      <c r="AR189" s="22">
        <v>89</v>
      </c>
      <c r="AS189" s="1" t="s">
        <v>123</v>
      </c>
      <c r="AT189" s="24">
        <f t="shared" ca="1" si="10"/>
        <v>10002.773150000001</v>
      </c>
      <c r="AU189" s="24">
        <f t="shared" ca="1" si="11"/>
        <v>10002.778679999999</v>
      </c>
      <c r="AV189" s="24">
        <f t="shared" ca="1" si="12"/>
        <v>10002.778679999999</v>
      </c>
      <c r="AW189" s="24">
        <f t="shared" ca="1" si="13"/>
        <v>10002.778679999999</v>
      </c>
      <c r="AX189" s="24">
        <f t="shared" ca="1" si="14"/>
        <v>10002.778679999999</v>
      </c>
      <c r="AY189" s="25">
        <f t="shared" si="15"/>
        <v>0</v>
      </c>
      <c r="AZ189" s="25">
        <f t="shared" si="16"/>
        <v>0</v>
      </c>
      <c r="BA189" s="25">
        <f t="shared" si="17"/>
        <v>0</v>
      </c>
      <c r="BB189" s="25">
        <f t="shared" si="18"/>
        <v>0</v>
      </c>
      <c r="BC189" s="25">
        <f t="shared" si="7"/>
        <v>0</v>
      </c>
      <c r="BD189" s="25">
        <f t="shared" si="7"/>
        <v>0</v>
      </c>
      <c r="BE189" s="25">
        <f t="shared" si="7"/>
        <v>0</v>
      </c>
      <c r="BF189" s="25">
        <f t="shared" si="7"/>
        <v>0</v>
      </c>
      <c r="CA189" s="16">
        <v>-9999</v>
      </c>
      <c r="CB189" s="16">
        <v>-9999</v>
      </c>
      <c r="CC189" s="16">
        <v>-9999</v>
      </c>
      <c r="CD189" s="16">
        <v>-9999</v>
      </c>
      <c r="CE189" s="16">
        <v>-9999</v>
      </c>
      <c r="CF189" s="16">
        <v>-9999</v>
      </c>
      <c r="CG189" s="16">
        <v>-9999</v>
      </c>
      <c r="CH189" s="16">
        <v>-9999</v>
      </c>
      <c r="CI189" s="16">
        <v>-9999</v>
      </c>
      <c r="CJ189" s="16">
        <v>-9999</v>
      </c>
      <c r="CK189" s="16">
        <v>-9999</v>
      </c>
      <c r="CL189" s="16">
        <v>-9999</v>
      </c>
      <c r="CM189" s="16">
        <v>-9999</v>
      </c>
      <c r="CN189" s="16">
        <v>-9999</v>
      </c>
      <c r="CO189" s="16">
        <v>-9999</v>
      </c>
      <c r="CP189" s="16">
        <v>-9999</v>
      </c>
      <c r="CQ189" s="16">
        <v>-9999</v>
      </c>
      <c r="CR189" s="16">
        <v>-9999</v>
      </c>
      <c r="CS189" s="16">
        <v>-9999</v>
      </c>
      <c r="CT189" s="16">
        <v>-9999</v>
      </c>
      <c r="CU189" s="16">
        <v>-9999</v>
      </c>
      <c r="CV189" s="16">
        <v>-9999</v>
      </c>
      <c r="CW189" s="16">
        <v>-9999</v>
      </c>
      <c r="CX189" s="16">
        <v>-9999</v>
      </c>
      <c r="CY189" s="16">
        <v>-9999</v>
      </c>
      <c r="CZ189" s="16">
        <v>-9999</v>
      </c>
      <c r="DA189" s="16">
        <v>-9999</v>
      </c>
      <c r="DB189" s="16">
        <v>-9999</v>
      </c>
      <c r="DC189" s="16">
        <v>-9999</v>
      </c>
      <c r="DD189" s="16">
        <v>-9999</v>
      </c>
      <c r="DE189" s="16">
        <v>-9999</v>
      </c>
      <c r="DF189" s="16">
        <v>-9999</v>
      </c>
      <c r="DG189" s="16">
        <v>-9999</v>
      </c>
      <c r="DH189" s="16">
        <v>-9999</v>
      </c>
      <c r="DI189" s="16">
        <v>-9999</v>
      </c>
      <c r="DJ189" s="16">
        <v>-9999</v>
      </c>
      <c r="DK189" s="16">
        <v>-9999</v>
      </c>
      <c r="DL189" s="16">
        <v>-9999</v>
      </c>
      <c r="DM189" s="16">
        <v>-9999</v>
      </c>
      <c r="DN189" s="16">
        <v>-9999</v>
      </c>
      <c r="DO189" s="16">
        <v>-9999</v>
      </c>
      <c r="DP189" s="16">
        <v>-9999</v>
      </c>
      <c r="DQ189" s="16">
        <v>-9999</v>
      </c>
      <c r="DR189" s="16">
        <v>-9999</v>
      </c>
      <c r="DS189" s="16">
        <v>-9999</v>
      </c>
      <c r="DT189" s="16">
        <v>-9999</v>
      </c>
      <c r="DU189" s="16">
        <v>-9999</v>
      </c>
      <c r="DV189" s="16">
        <v>-9999</v>
      </c>
      <c r="DW189" s="16">
        <v>-9999</v>
      </c>
      <c r="DX189" s="16">
        <v>-9999</v>
      </c>
      <c r="DY189" s="16">
        <v>-9999</v>
      </c>
      <c r="DZ189" s="16">
        <v>-9999</v>
      </c>
      <c r="EA189" s="2196">
        <v>-9999</v>
      </c>
      <c r="EB189" s="2196">
        <v>-9999</v>
      </c>
      <c r="EC189" s="2196">
        <v>-9999</v>
      </c>
      <c r="ED189" s="2196">
        <v>-9999</v>
      </c>
      <c r="EE189" s="2196">
        <v>-9999</v>
      </c>
      <c r="EF189" s="2197">
        <v>-9999</v>
      </c>
      <c r="EG189" s="2197">
        <v>-9999</v>
      </c>
      <c r="EH189" s="2197">
        <v>-9999</v>
      </c>
      <c r="EI189" s="2197">
        <v>-9999</v>
      </c>
      <c r="EJ189" s="2197">
        <v>-9999</v>
      </c>
      <c r="EK189" s="2197">
        <v>-9999</v>
      </c>
      <c r="EL189" s="2197">
        <v>-9999</v>
      </c>
      <c r="EM189" s="2197">
        <v>-9999</v>
      </c>
    </row>
    <row r="190" spans="1:143">
      <c r="A190" s="22">
        <v>90</v>
      </c>
      <c r="B190" s="1" t="s">
        <v>1257</v>
      </c>
      <c r="C190">
        <f ca="1">OFFSET(Sector1!F143,0,Last_forecast_year - 3-InputY!$G$3)</f>
        <v>4.6545599999999991</v>
      </c>
      <c r="D190">
        <f ca="1">OFFSET(Sector1!G143,0,Last_forecast_year - 3-InputY!$G$3)</f>
        <v>4.9098900000000008</v>
      </c>
      <c r="E190">
        <f ca="1">OFFSET(Sector1!H143,0,Last_forecast_year - 3-InputY!$G$3)</f>
        <v>5.1861917499999999</v>
      </c>
      <c r="F190">
        <f ca="1">OFFSET(Sector1!I143,0,Last_forecast_year - 3-InputY!$G$3)</f>
        <v>5.3902210662499987</v>
      </c>
      <c r="G190">
        <f ca="1">OFFSET(Sector1!J143,0,Last_forecast_year - 3-InputY!$G$3)</f>
        <v>5.7473888408937484</v>
      </c>
      <c r="H190" s="25">
        <v>-9999</v>
      </c>
      <c r="I190" s="25">
        <v>-9999</v>
      </c>
      <c r="J190" s="25">
        <v>-9999</v>
      </c>
      <c r="K190" s="25">
        <v>-9999</v>
      </c>
      <c r="L190" s="25">
        <v>-9999</v>
      </c>
      <c r="M190" s="25">
        <v>-9999</v>
      </c>
      <c r="N190" s="25">
        <v>-9999</v>
      </c>
      <c r="O190" s="25">
        <v>-9999</v>
      </c>
      <c r="P190"/>
      <c r="Q190"/>
      <c r="AA190" s="22">
        <v>90</v>
      </c>
      <c r="AB190" s="1040" t="str">
        <f t="shared" si="8"/>
        <v>HH OTHER NON-LABOUR INCOME (NET)</v>
      </c>
      <c r="AC190" s="1040">
        <f>CHOOSE(Tables!$U$2,Transfer!CA190,Transfer!CN190,Transfer!DA190,Transfer!DN190,Transfer!EA190)</f>
        <v>-9999</v>
      </c>
      <c r="AD190" s="1040">
        <f>CHOOSE(Tables!$U$2,Transfer!CB190,Transfer!CO190,Transfer!DB190,Transfer!DO190,Transfer!EB190)</f>
        <v>-9999</v>
      </c>
      <c r="AE190" s="1040">
        <f>CHOOSE(Tables!$U$2,Transfer!CC190,Transfer!CP190,Transfer!DC190,Transfer!DP190,Transfer!EC190)</f>
        <v>-9999</v>
      </c>
      <c r="AF190" s="1040">
        <f>CHOOSE(Tables!$U$2,Transfer!CD190,Transfer!CQ190,Transfer!DD190,Transfer!DQ190,Transfer!ED190)</f>
        <v>-9999</v>
      </c>
      <c r="AG190" s="1040">
        <f>CHOOSE(Tables!$U$2,Transfer!CE190,Transfer!CR190,Transfer!DE190,Transfer!DR190,Transfer!EE190)</f>
        <v>-9999</v>
      </c>
      <c r="AH190" s="1040">
        <f>CHOOSE(Tables!$U$2,Transfer!CF190,Transfer!CS190,Transfer!DF190,Transfer!DS190,Transfer!EF190)</f>
        <v>-9999</v>
      </c>
      <c r="AI190" s="1040">
        <f>CHOOSE(Tables!$U$2,Transfer!CG190,Transfer!CT190,Transfer!DG190,Transfer!DT190,Transfer!EG190)</f>
        <v>-9999</v>
      </c>
      <c r="AJ190" s="1040">
        <f>CHOOSE(Tables!$U$2,Transfer!CH190,Transfer!CU190,Transfer!DH190,Transfer!DU190,Transfer!EH190)</f>
        <v>-9999</v>
      </c>
      <c r="AK190" s="1040">
        <f>CHOOSE(Tables!$U$2,Transfer!CI190,Transfer!CV190,Transfer!DI190,Transfer!DV190,Transfer!EI190)</f>
        <v>-9999</v>
      </c>
      <c r="AL190" s="1040">
        <f>CHOOSE(Tables!$U$2,Transfer!CJ190,Transfer!CW190,Transfer!DJ190,Transfer!DW190,Transfer!EJ190)</f>
        <v>-9999</v>
      </c>
      <c r="AM190" s="1040">
        <f>CHOOSE(Tables!$U$2,Transfer!CK190,Transfer!CX190,Transfer!DK190,Transfer!DX190,Transfer!EK190)</f>
        <v>-9999</v>
      </c>
      <c r="AN190" s="1040">
        <f>CHOOSE(Tables!$U$2,Transfer!CL190,Transfer!CY190,Transfer!DL190,Transfer!DY190,Transfer!EL190)</f>
        <v>-9999</v>
      </c>
      <c r="AO190" s="1040">
        <f>CHOOSE(Tables!$U$2,Transfer!CM190,Transfer!CZ190,Transfer!DM190,Transfer!DZ190,Transfer!EM190)</f>
        <v>-9999</v>
      </c>
      <c r="AR190" s="22">
        <v>90</v>
      </c>
      <c r="AS190" s="1" t="s">
        <v>1257</v>
      </c>
      <c r="AT190" s="24">
        <f t="shared" ca="1" si="10"/>
        <v>10003.654560000001</v>
      </c>
      <c r="AU190" s="24">
        <f t="shared" ca="1" si="11"/>
        <v>10003.909890000001</v>
      </c>
      <c r="AV190" s="24">
        <f t="shared" ca="1" si="12"/>
        <v>10004.186191749999</v>
      </c>
      <c r="AW190" s="24">
        <f t="shared" ca="1" si="13"/>
        <v>10004.390221066251</v>
      </c>
      <c r="AX190" s="24">
        <f t="shared" ca="1" si="14"/>
        <v>10004.747388840893</v>
      </c>
      <c r="AY190" s="25">
        <f t="shared" si="15"/>
        <v>0</v>
      </c>
      <c r="AZ190" s="25">
        <f t="shared" si="16"/>
        <v>0</v>
      </c>
      <c r="BA190" s="25">
        <f t="shared" si="17"/>
        <v>0</v>
      </c>
      <c r="BB190" s="25">
        <f t="shared" si="18"/>
        <v>0</v>
      </c>
      <c r="BC190" s="25">
        <f t="shared" si="7"/>
        <v>0</v>
      </c>
      <c r="BD190" s="25">
        <f t="shared" si="7"/>
        <v>0</v>
      </c>
      <c r="BE190" s="25">
        <f t="shared" si="7"/>
        <v>0</v>
      </c>
      <c r="BF190" s="25">
        <f t="shared" si="7"/>
        <v>0</v>
      </c>
      <c r="CA190" s="16">
        <v>-9999</v>
      </c>
      <c r="CB190" s="16">
        <v>-9999</v>
      </c>
      <c r="CC190" s="16">
        <v>-9999</v>
      </c>
      <c r="CD190" s="16">
        <v>-9999</v>
      </c>
      <c r="CE190" s="16">
        <v>-9999</v>
      </c>
      <c r="CF190" s="16">
        <v>-9999</v>
      </c>
      <c r="CG190" s="16">
        <v>-9999</v>
      </c>
      <c r="CH190" s="16">
        <v>-9999</v>
      </c>
      <c r="CI190" s="16">
        <v>-9999</v>
      </c>
      <c r="CJ190" s="16">
        <v>-9999</v>
      </c>
      <c r="CK190" s="16">
        <v>-9999</v>
      </c>
      <c r="CL190" s="16">
        <v>-9999</v>
      </c>
      <c r="CM190" s="16">
        <v>-9999</v>
      </c>
      <c r="CN190" s="16">
        <v>-9999</v>
      </c>
      <c r="CO190" s="16">
        <v>-9999</v>
      </c>
      <c r="CP190" s="16">
        <v>-9999</v>
      </c>
      <c r="CQ190" s="16">
        <v>-9999</v>
      </c>
      <c r="CR190" s="16">
        <v>-9999</v>
      </c>
      <c r="CS190" s="16">
        <v>-9999</v>
      </c>
      <c r="CT190" s="16">
        <v>-9999</v>
      </c>
      <c r="CU190" s="16">
        <v>-9999</v>
      </c>
      <c r="CV190" s="16">
        <v>-9999</v>
      </c>
      <c r="CW190" s="16">
        <v>-9999</v>
      </c>
      <c r="CX190" s="16">
        <v>-9999</v>
      </c>
      <c r="CY190" s="16">
        <v>-9999</v>
      </c>
      <c r="CZ190" s="16">
        <v>-9999</v>
      </c>
      <c r="DA190" s="16">
        <v>-9999</v>
      </c>
      <c r="DB190" s="16">
        <v>-9999</v>
      </c>
      <c r="DC190" s="16">
        <v>-9999</v>
      </c>
      <c r="DD190" s="16">
        <v>-9999</v>
      </c>
      <c r="DE190" s="16">
        <v>-9999</v>
      </c>
      <c r="DF190" s="16">
        <v>-9999</v>
      </c>
      <c r="DG190" s="16">
        <v>-9999</v>
      </c>
      <c r="DH190" s="16">
        <v>-9999</v>
      </c>
      <c r="DI190" s="16">
        <v>-9999</v>
      </c>
      <c r="DJ190" s="16">
        <v>-9999</v>
      </c>
      <c r="DK190" s="16">
        <v>-9999</v>
      </c>
      <c r="DL190" s="16">
        <v>-9999</v>
      </c>
      <c r="DM190" s="16">
        <v>-9999</v>
      </c>
      <c r="DN190" s="16">
        <v>-9999</v>
      </c>
      <c r="DO190" s="16">
        <v>-9999</v>
      </c>
      <c r="DP190" s="16">
        <v>-9999</v>
      </c>
      <c r="DQ190" s="16">
        <v>-9999</v>
      </c>
      <c r="DR190" s="16">
        <v>-9999</v>
      </c>
      <c r="DS190" s="16">
        <v>-9999</v>
      </c>
      <c r="DT190" s="16">
        <v>-9999</v>
      </c>
      <c r="DU190" s="16">
        <v>-9999</v>
      </c>
      <c r="DV190" s="16">
        <v>-9999</v>
      </c>
      <c r="DW190" s="16">
        <v>-9999</v>
      </c>
      <c r="DX190" s="16">
        <v>-9999</v>
      </c>
      <c r="DY190" s="16">
        <v>-9999</v>
      </c>
      <c r="DZ190" s="16">
        <v>-9999</v>
      </c>
      <c r="EA190" s="2196">
        <v>-9999</v>
      </c>
      <c r="EB190" s="2196">
        <v>-9999</v>
      </c>
      <c r="EC190" s="2196">
        <v>-9999</v>
      </c>
      <c r="ED190" s="2196">
        <v>-9999</v>
      </c>
      <c r="EE190" s="2196">
        <v>-9999</v>
      </c>
      <c r="EF190" s="2197">
        <v>-9999</v>
      </c>
      <c r="EG190" s="2197">
        <v>-9999</v>
      </c>
      <c r="EH190" s="2197">
        <v>-9999</v>
      </c>
      <c r="EI190" s="2197">
        <v>-9999</v>
      </c>
      <c r="EJ190" s="2197">
        <v>-9999</v>
      </c>
      <c r="EK190" s="2197">
        <v>-9999</v>
      </c>
      <c r="EL190" s="2197">
        <v>-9999</v>
      </c>
      <c r="EM190" s="2197">
        <v>-9999</v>
      </c>
    </row>
    <row r="191" spans="1:143">
      <c r="A191" s="22">
        <v>91</v>
      </c>
      <c r="B191" s="1" t="s">
        <v>1259</v>
      </c>
      <c r="C191">
        <f ca="1">OFFSET(Sector1!F709,0,Last_forecast_year - 3-InputY!$G$3)</f>
        <v>5.6345499999999999</v>
      </c>
      <c r="D191">
        <f ca="1">OFFSET(Sector1!G709,0,Last_forecast_year - 3-InputY!$G$3)</f>
        <v>5.9196899999999992</v>
      </c>
      <c r="E191">
        <f ca="1">OFFSET(Sector1!H709,0,Last_forecast_year - 3-InputY!$G$3)</f>
        <v>6.5123086200000007</v>
      </c>
      <c r="F191">
        <f ca="1">OFFSET(Sector1!I709,0,Last_forecast_year - 3-InputY!$G$3)</f>
        <v>7.1705756549000021</v>
      </c>
      <c r="G191">
        <f ca="1">OFFSET(Sector1!J709,0,Last_forecast_year - 3-InputY!$G$3)</f>
        <v>7.5811514782427016</v>
      </c>
      <c r="H191" s="25">
        <v>-9999</v>
      </c>
      <c r="I191" s="25">
        <v>-9999</v>
      </c>
      <c r="J191" s="25">
        <v>-9999</v>
      </c>
      <c r="K191" s="25">
        <v>-9999</v>
      </c>
      <c r="L191" s="25">
        <v>-9999</v>
      </c>
      <c r="M191" s="25">
        <v>-9999</v>
      </c>
      <c r="N191" s="25">
        <v>-9999</v>
      </c>
      <c r="O191" s="25">
        <v>-9999</v>
      </c>
      <c r="P191"/>
      <c r="Q191"/>
      <c r="AA191" s="22">
        <v>91</v>
      </c>
      <c r="AB191" s="1040" t="str">
        <f t="shared" si="8"/>
        <v>HH CURRENT TRANSFERS RECEIVED</v>
      </c>
      <c r="AC191" s="1040">
        <f>CHOOSE(Tables!$U$2,Transfer!CA191,Transfer!CN191,Transfer!DA191,Transfer!DN191,Transfer!EA191)</f>
        <v>-9999</v>
      </c>
      <c r="AD191" s="1040">
        <f>CHOOSE(Tables!$U$2,Transfer!CB191,Transfer!CO191,Transfer!DB191,Transfer!DO191,Transfer!EB191)</f>
        <v>-9999</v>
      </c>
      <c r="AE191" s="1040">
        <f>CHOOSE(Tables!$U$2,Transfer!CC191,Transfer!CP191,Transfer!DC191,Transfer!DP191,Transfer!EC191)</f>
        <v>-9999</v>
      </c>
      <c r="AF191" s="1040">
        <f>CHOOSE(Tables!$U$2,Transfer!CD191,Transfer!CQ191,Transfer!DD191,Transfer!DQ191,Transfer!ED191)</f>
        <v>-9999</v>
      </c>
      <c r="AG191" s="1040">
        <f>CHOOSE(Tables!$U$2,Transfer!CE191,Transfer!CR191,Transfer!DE191,Transfer!DR191,Transfer!EE191)</f>
        <v>-9999</v>
      </c>
      <c r="AH191" s="1040">
        <f>CHOOSE(Tables!$U$2,Transfer!CF191,Transfer!CS191,Transfer!DF191,Transfer!DS191,Transfer!EF191)</f>
        <v>-9999</v>
      </c>
      <c r="AI191" s="1040">
        <f>CHOOSE(Tables!$U$2,Transfer!CG191,Transfer!CT191,Transfer!DG191,Transfer!DT191,Transfer!EG191)</f>
        <v>-9999</v>
      </c>
      <c r="AJ191" s="1040">
        <f>CHOOSE(Tables!$U$2,Transfer!CH191,Transfer!CU191,Transfer!DH191,Transfer!DU191,Transfer!EH191)</f>
        <v>-9999</v>
      </c>
      <c r="AK191" s="1040">
        <f>CHOOSE(Tables!$U$2,Transfer!CI191,Transfer!CV191,Transfer!DI191,Transfer!DV191,Transfer!EI191)</f>
        <v>-9999</v>
      </c>
      <c r="AL191" s="1040">
        <f>CHOOSE(Tables!$U$2,Transfer!CJ191,Transfer!CW191,Transfer!DJ191,Transfer!DW191,Transfer!EJ191)</f>
        <v>-9999</v>
      </c>
      <c r="AM191" s="1040">
        <f>CHOOSE(Tables!$U$2,Transfer!CK191,Transfer!CX191,Transfer!DK191,Transfer!DX191,Transfer!EK191)</f>
        <v>-9999</v>
      </c>
      <c r="AN191" s="1040">
        <f>CHOOSE(Tables!$U$2,Transfer!CL191,Transfer!CY191,Transfer!DL191,Transfer!DY191,Transfer!EL191)</f>
        <v>-9999</v>
      </c>
      <c r="AO191" s="1040">
        <f>CHOOSE(Tables!$U$2,Transfer!CM191,Transfer!CZ191,Transfer!DM191,Transfer!DZ191,Transfer!EM191)</f>
        <v>-9999</v>
      </c>
      <c r="AR191" s="22">
        <v>91</v>
      </c>
      <c r="AS191" s="1" t="s">
        <v>1259</v>
      </c>
      <c r="AT191" s="24">
        <f t="shared" ca="1" si="10"/>
        <v>10004.634550000001</v>
      </c>
      <c r="AU191" s="24">
        <f t="shared" ca="1" si="11"/>
        <v>10004.919690000001</v>
      </c>
      <c r="AV191" s="24">
        <f t="shared" ca="1" si="12"/>
        <v>10005.51230862</v>
      </c>
      <c r="AW191" s="24">
        <f t="shared" ca="1" si="13"/>
        <v>10006.1705756549</v>
      </c>
      <c r="AX191" s="24">
        <f t="shared" ca="1" si="14"/>
        <v>10006.581151478244</v>
      </c>
      <c r="AY191" s="25">
        <f t="shared" si="15"/>
        <v>0</v>
      </c>
      <c r="AZ191" s="25">
        <f t="shared" si="16"/>
        <v>0</v>
      </c>
      <c r="BA191" s="25">
        <f t="shared" si="17"/>
        <v>0</v>
      </c>
      <c r="BB191" s="25">
        <f t="shared" si="18"/>
        <v>0</v>
      </c>
      <c r="BC191" s="25">
        <f t="shared" si="7"/>
        <v>0</v>
      </c>
      <c r="BD191" s="25">
        <f t="shared" si="7"/>
        <v>0</v>
      </c>
      <c r="BE191" s="25">
        <f t="shared" si="7"/>
        <v>0</v>
      </c>
      <c r="BF191" s="25">
        <f t="shared" si="7"/>
        <v>0</v>
      </c>
      <c r="CA191" s="16">
        <v>-9999</v>
      </c>
      <c r="CB191" s="16">
        <v>-9999</v>
      </c>
      <c r="CC191" s="16">
        <v>-9999</v>
      </c>
      <c r="CD191" s="16">
        <v>-9999</v>
      </c>
      <c r="CE191" s="16">
        <v>-9999</v>
      </c>
      <c r="CF191" s="16">
        <v>-9999</v>
      </c>
      <c r="CG191" s="16">
        <v>-9999</v>
      </c>
      <c r="CH191" s="16">
        <v>-9999</v>
      </c>
      <c r="CI191" s="16">
        <v>-9999</v>
      </c>
      <c r="CJ191" s="16">
        <v>-9999</v>
      </c>
      <c r="CK191" s="16">
        <v>-9999</v>
      </c>
      <c r="CL191" s="16">
        <v>-9999</v>
      </c>
      <c r="CM191" s="16">
        <v>-9999</v>
      </c>
      <c r="CN191" s="16">
        <v>-9999</v>
      </c>
      <c r="CO191" s="16">
        <v>-9999</v>
      </c>
      <c r="CP191" s="16">
        <v>-9999</v>
      </c>
      <c r="CQ191" s="16">
        <v>-9999</v>
      </c>
      <c r="CR191" s="16">
        <v>-9999</v>
      </c>
      <c r="CS191" s="16">
        <v>-9999</v>
      </c>
      <c r="CT191" s="16">
        <v>-9999</v>
      </c>
      <c r="CU191" s="16">
        <v>-9999</v>
      </c>
      <c r="CV191" s="16">
        <v>-9999</v>
      </c>
      <c r="CW191" s="16">
        <v>-9999</v>
      </c>
      <c r="CX191" s="16">
        <v>-9999</v>
      </c>
      <c r="CY191" s="16">
        <v>-9999</v>
      </c>
      <c r="CZ191" s="16">
        <v>-9999</v>
      </c>
      <c r="DA191" s="16">
        <v>-9999</v>
      </c>
      <c r="DB191" s="16">
        <v>-9999</v>
      </c>
      <c r="DC191" s="16">
        <v>-9999</v>
      </c>
      <c r="DD191" s="16">
        <v>-9999</v>
      </c>
      <c r="DE191" s="16">
        <v>-9999</v>
      </c>
      <c r="DF191" s="16">
        <v>-9999</v>
      </c>
      <c r="DG191" s="16">
        <v>-9999</v>
      </c>
      <c r="DH191" s="16">
        <v>-9999</v>
      </c>
      <c r="DI191" s="16">
        <v>-9999</v>
      </c>
      <c r="DJ191" s="16">
        <v>-9999</v>
      </c>
      <c r="DK191" s="16">
        <v>-9999</v>
      </c>
      <c r="DL191" s="16">
        <v>-9999</v>
      </c>
      <c r="DM191" s="16">
        <v>-9999</v>
      </c>
      <c r="DN191" s="16">
        <v>-9999</v>
      </c>
      <c r="DO191" s="16">
        <v>-9999</v>
      </c>
      <c r="DP191" s="16">
        <v>-9999</v>
      </c>
      <c r="DQ191" s="16">
        <v>-9999</v>
      </c>
      <c r="DR191" s="16">
        <v>-9999</v>
      </c>
      <c r="DS191" s="16">
        <v>-9999</v>
      </c>
      <c r="DT191" s="16">
        <v>-9999</v>
      </c>
      <c r="DU191" s="16">
        <v>-9999</v>
      </c>
      <c r="DV191" s="16">
        <v>-9999</v>
      </c>
      <c r="DW191" s="16">
        <v>-9999</v>
      </c>
      <c r="DX191" s="16">
        <v>-9999</v>
      </c>
      <c r="DY191" s="16">
        <v>-9999</v>
      </c>
      <c r="DZ191" s="16">
        <v>-9999</v>
      </c>
      <c r="EA191" s="2196">
        <v>-9999</v>
      </c>
      <c r="EB191" s="2196">
        <v>-9999</v>
      </c>
      <c r="EC191" s="2196">
        <v>-9999</v>
      </c>
      <c r="ED191" s="2196">
        <v>-9999</v>
      </c>
      <c r="EE191" s="2196">
        <v>-9999</v>
      </c>
      <c r="EF191" s="2197">
        <v>-9999</v>
      </c>
      <c r="EG191" s="2197">
        <v>-9999</v>
      </c>
      <c r="EH191" s="2197">
        <v>-9999</v>
      </c>
      <c r="EI191" s="2197">
        <v>-9999</v>
      </c>
      <c r="EJ191" s="2197">
        <v>-9999</v>
      </c>
      <c r="EK191" s="2197">
        <v>-9999</v>
      </c>
      <c r="EL191" s="2197">
        <v>-9999</v>
      </c>
      <c r="EM191" s="2197">
        <v>-9999</v>
      </c>
    </row>
    <row r="192" spans="1:143">
      <c r="A192" s="22">
        <v>92</v>
      </c>
      <c r="B192" s="1" t="s">
        <v>1437</v>
      </c>
      <c r="C192" s="24">
        <f ca="1">OFFSET(Sector1!F201,0,Last_forecast_year - 3-InputY!$G$3)</f>
        <v>1.4569700000000001</v>
      </c>
      <c r="D192" s="24">
        <f ca="1">OFFSET(Sector1!G201,0,Last_forecast_year - 3-InputY!$G$3)</f>
        <v>1.5573599999999999</v>
      </c>
      <c r="E192" s="24">
        <f ca="1">OFFSET(Sector1!H201,0,Last_forecast_year - 3-InputY!$G$3)</f>
        <v>1.6732275839999999</v>
      </c>
      <c r="F192" s="24">
        <f ca="1">OFFSET(Sector1!I201,0,Last_forecast_year - 3-InputY!$G$3)</f>
        <v>1.733463777024</v>
      </c>
      <c r="G192" s="24">
        <f ca="1">OFFSET(Sector1!J201,0,Last_forecast_year - 3-InputY!$G$3)</f>
        <v>1.8262040890947842</v>
      </c>
      <c r="H192" s="25">
        <v>-9999</v>
      </c>
      <c r="I192" s="25">
        <v>-9999</v>
      </c>
      <c r="J192" s="25">
        <v>-9999</v>
      </c>
      <c r="K192" s="25">
        <v>-9999</v>
      </c>
      <c r="L192" s="25">
        <v>-9999</v>
      </c>
      <c r="M192" s="25">
        <v>-9999</v>
      </c>
      <c r="N192" s="25">
        <v>-9999</v>
      </c>
      <c r="O192" s="25">
        <v>-9999</v>
      </c>
      <c r="P192"/>
      <c r="Q192"/>
      <c r="AA192" s="22">
        <v>92</v>
      </c>
      <c r="AB192" s="1040" t="str">
        <f t="shared" si="8"/>
        <v>HH CURRENT TAXES ON INCOME AND WEALTH</v>
      </c>
      <c r="AC192" s="1040">
        <f>CHOOSE(Tables!$U$2,Transfer!CA192,Transfer!CN192,Transfer!DA192,Transfer!DN192,Transfer!EA192)</f>
        <v>-9999</v>
      </c>
      <c r="AD192" s="1040">
        <f>CHOOSE(Tables!$U$2,Transfer!CB192,Transfer!CO192,Transfer!DB192,Transfer!DO192,Transfer!EB192)</f>
        <v>-9999</v>
      </c>
      <c r="AE192" s="1040">
        <f>CHOOSE(Tables!$U$2,Transfer!CC192,Transfer!CP192,Transfer!DC192,Transfer!DP192,Transfer!EC192)</f>
        <v>-9999</v>
      </c>
      <c r="AF192" s="1040">
        <f>CHOOSE(Tables!$U$2,Transfer!CD192,Transfer!CQ192,Transfer!DD192,Transfer!DQ192,Transfer!ED192)</f>
        <v>-9999</v>
      </c>
      <c r="AG192" s="1040">
        <f>CHOOSE(Tables!$U$2,Transfer!CE192,Transfer!CR192,Transfer!DE192,Transfer!DR192,Transfer!EE192)</f>
        <v>-9999</v>
      </c>
      <c r="AH192" s="1040">
        <f>CHOOSE(Tables!$U$2,Transfer!CF192,Transfer!CS192,Transfer!DF192,Transfer!DS192,Transfer!EF192)</f>
        <v>-9999</v>
      </c>
      <c r="AI192" s="1040">
        <f>CHOOSE(Tables!$U$2,Transfer!CG192,Transfer!CT192,Transfer!DG192,Transfer!DT192,Transfer!EG192)</f>
        <v>-9999</v>
      </c>
      <c r="AJ192" s="1040">
        <f>CHOOSE(Tables!$U$2,Transfer!CH192,Transfer!CU192,Transfer!DH192,Transfer!DU192,Transfer!EH192)</f>
        <v>-9999</v>
      </c>
      <c r="AK192" s="1040">
        <f>CHOOSE(Tables!$U$2,Transfer!CI192,Transfer!CV192,Transfer!DI192,Transfer!DV192,Transfer!EI192)</f>
        <v>-9999</v>
      </c>
      <c r="AL192" s="1040">
        <f>CHOOSE(Tables!$U$2,Transfer!CJ192,Transfer!CW192,Transfer!DJ192,Transfer!DW192,Transfer!EJ192)</f>
        <v>-9999</v>
      </c>
      <c r="AM192" s="1040">
        <f>CHOOSE(Tables!$U$2,Transfer!CK192,Transfer!CX192,Transfer!DK192,Transfer!DX192,Transfer!EK192)</f>
        <v>-9999</v>
      </c>
      <c r="AN192" s="1040">
        <f>CHOOSE(Tables!$U$2,Transfer!CL192,Transfer!CY192,Transfer!DL192,Transfer!DY192,Transfer!EL192)</f>
        <v>-9999</v>
      </c>
      <c r="AO192" s="1040">
        <f>CHOOSE(Tables!$U$2,Transfer!CM192,Transfer!CZ192,Transfer!DM192,Transfer!DZ192,Transfer!EM192)</f>
        <v>-9999</v>
      </c>
      <c r="AR192" s="22">
        <v>92</v>
      </c>
      <c r="AS192" s="1" t="s">
        <v>1437</v>
      </c>
      <c r="AT192" s="24">
        <f t="shared" ca="1" si="10"/>
        <v>10000.456969999999</v>
      </c>
      <c r="AU192" s="24">
        <f t="shared" ca="1" si="11"/>
        <v>10000.557360000001</v>
      </c>
      <c r="AV192" s="24">
        <f t="shared" ca="1" si="12"/>
        <v>10000.673227584</v>
      </c>
      <c r="AW192" s="24">
        <f t="shared" ca="1" si="13"/>
        <v>10000.733463777024</v>
      </c>
      <c r="AX192" s="24">
        <f t="shared" ca="1" si="14"/>
        <v>10000.826204089095</v>
      </c>
      <c r="AY192" s="25">
        <f t="shared" si="15"/>
        <v>0</v>
      </c>
      <c r="AZ192" s="25">
        <f t="shared" si="16"/>
        <v>0</v>
      </c>
      <c r="BA192" s="25">
        <f t="shared" si="17"/>
        <v>0</v>
      </c>
      <c r="BB192" s="25">
        <f t="shared" si="18"/>
        <v>0</v>
      </c>
      <c r="BC192" s="25">
        <f t="shared" si="7"/>
        <v>0</v>
      </c>
      <c r="BD192" s="25">
        <f t="shared" si="7"/>
        <v>0</v>
      </c>
      <c r="BE192" s="25">
        <f t="shared" si="7"/>
        <v>0</v>
      </c>
      <c r="BF192" s="25">
        <f t="shared" si="7"/>
        <v>0</v>
      </c>
      <c r="CA192" s="16">
        <v>-9999</v>
      </c>
      <c r="CB192" s="16">
        <v>-9999</v>
      </c>
      <c r="CC192" s="16">
        <v>-9999</v>
      </c>
      <c r="CD192" s="16">
        <v>-9999</v>
      </c>
      <c r="CE192" s="16">
        <v>-9999</v>
      </c>
      <c r="CF192" s="16">
        <v>-9999</v>
      </c>
      <c r="CG192" s="16">
        <v>-9999</v>
      </c>
      <c r="CH192" s="16">
        <v>-9999</v>
      </c>
      <c r="CI192" s="16">
        <v>-9999</v>
      </c>
      <c r="CJ192" s="16">
        <v>-9999</v>
      </c>
      <c r="CK192" s="16">
        <v>-9999</v>
      </c>
      <c r="CL192" s="16">
        <v>-9999</v>
      </c>
      <c r="CM192" s="16">
        <v>-9999</v>
      </c>
      <c r="CN192" s="16">
        <v>-9999</v>
      </c>
      <c r="CO192" s="16">
        <v>-9999</v>
      </c>
      <c r="CP192" s="16">
        <v>-9999</v>
      </c>
      <c r="CQ192" s="16">
        <v>-9999</v>
      </c>
      <c r="CR192" s="16">
        <v>-9999</v>
      </c>
      <c r="CS192" s="16">
        <v>-9999</v>
      </c>
      <c r="CT192" s="16">
        <v>-9999</v>
      </c>
      <c r="CU192" s="16">
        <v>-9999</v>
      </c>
      <c r="CV192" s="16">
        <v>-9999</v>
      </c>
      <c r="CW192" s="16">
        <v>-9999</v>
      </c>
      <c r="CX192" s="16">
        <v>-9999</v>
      </c>
      <c r="CY192" s="16">
        <v>-9999</v>
      </c>
      <c r="CZ192" s="16">
        <v>-9999</v>
      </c>
      <c r="DA192" s="16">
        <v>-9999</v>
      </c>
      <c r="DB192" s="16">
        <v>-9999</v>
      </c>
      <c r="DC192" s="16">
        <v>-9999</v>
      </c>
      <c r="DD192" s="16">
        <v>-9999</v>
      </c>
      <c r="DE192" s="16">
        <v>-9999</v>
      </c>
      <c r="DF192" s="16">
        <v>-9999</v>
      </c>
      <c r="DG192" s="16">
        <v>-9999</v>
      </c>
      <c r="DH192" s="16">
        <v>-9999</v>
      </c>
      <c r="DI192" s="16">
        <v>-9999</v>
      </c>
      <c r="DJ192" s="16">
        <v>-9999</v>
      </c>
      <c r="DK192" s="16">
        <v>-9999</v>
      </c>
      <c r="DL192" s="16">
        <v>-9999</v>
      </c>
      <c r="DM192" s="16">
        <v>-9999</v>
      </c>
      <c r="DN192" s="16">
        <v>-9999</v>
      </c>
      <c r="DO192" s="16">
        <v>-9999</v>
      </c>
      <c r="DP192" s="16">
        <v>-9999</v>
      </c>
      <c r="DQ192" s="16">
        <v>-9999</v>
      </c>
      <c r="DR192" s="16">
        <v>-9999</v>
      </c>
      <c r="DS192" s="16">
        <v>-9999</v>
      </c>
      <c r="DT192" s="16">
        <v>-9999</v>
      </c>
      <c r="DU192" s="16">
        <v>-9999</v>
      </c>
      <c r="DV192" s="16">
        <v>-9999</v>
      </c>
      <c r="DW192" s="16">
        <v>-9999</v>
      </c>
      <c r="DX192" s="16">
        <v>-9999</v>
      </c>
      <c r="DY192" s="16">
        <v>-9999</v>
      </c>
      <c r="DZ192" s="16">
        <v>-9999</v>
      </c>
      <c r="EA192" s="2196">
        <v>-9999</v>
      </c>
      <c r="EB192" s="2196">
        <v>-9999</v>
      </c>
      <c r="EC192" s="2196">
        <v>-9999</v>
      </c>
      <c r="ED192" s="2196">
        <v>-9999</v>
      </c>
      <c r="EE192" s="2196">
        <v>-9999</v>
      </c>
      <c r="EF192" s="2197">
        <v>-9999</v>
      </c>
      <c r="EG192" s="2197">
        <v>-9999</v>
      </c>
      <c r="EH192" s="2197">
        <v>-9999</v>
      </c>
      <c r="EI192" s="2197">
        <v>-9999</v>
      </c>
      <c r="EJ192" s="2197">
        <v>-9999</v>
      </c>
      <c r="EK192" s="2197">
        <v>-9999</v>
      </c>
      <c r="EL192" s="2197">
        <v>-9999</v>
      </c>
      <c r="EM192" s="2197">
        <v>-9999</v>
      </c>
    </row>
    <row r="193" spans="1:143">
      <c r="A193" s="22">
        <v>93</v>
      </c>
      <c r="B193" s="1" t="s">
        <v>1439</v>
      </c>
      <c r="C193">
        <f ca="1">OFFSET(Sector1!F715,0,Last_forecast_year - 3-InputY!$G$3)</f>
        <v>4.9127000000000001</v>
      </c>
      <c r="D193">
        <f ca="1">OFFSET(Sector1!G715,0,Last_forecast_year - 3-InputY!$G$3)</f>
        <v>5.3306200000000006</v>
      </c>
      <c r="E193">
        <f ca="1">OFFSET(Sector1!H715,0,Last_forecast_year - 3-InputY!$G$3)</f>
        <v>5.9556341507806332</v>
      </c>
      <c r="F193">
        <f ca="1">OFFSET(Sector1!I715,0,Last_forecast_year - 3-InputY!$G$3)</f>
        <v>6.3460517382429362</v>
      </c>
      <c r="G193">
        <f ca="1">OFFSET(Sector1!J715,0,Last_forecast_year - 3-InputY!$G$3)</f>
        <v>6.7061137957011194</v>
      </c>
      <c r="H193" s="25">
        <v>-9999</v>
      </c>
      <c r="I193" s="25">
        <v>-9999</v>
      </c>
      <c r="J193" s="25">
        <v>-9999</v>
      </c>
      <c r="K193" s="25">
        <v>-9999</v>
      </c>
      <c r="L193" s="25">
        <v>-9999</v>
      </c>
      <c r="M193" s="25">
        <v>-9999</v>
      </c>
      <c r="N193" s="25">
        <v>-9999</v>
      </c>
      <c r="O193" s="25">
        <v>-9999</v>
      </c>
      <c r="P193"/>
      <c r="Q193"/>
      <c r="AA193" s="22">
        <v>93</v>
      </c>
      <c r="AB193" s="1040" t="str">
        <f t="shared" si="8"/>
        <v>HH CURRENT TRANSFERS PAID</v>
      </c>
      <c r="AC193" s="1040">
        <f>CHOOSE(Tables!$U$2,Transfer!CA193,Transfer!CN193,Transfer!DA193,Transfer!DN193,Transfer!EA193)</f>
        <v>-9999</v>
      </c>
      <c r="AD193" s="1040">
        <f>CHOOSE(Tables!$U$2,Transfer!CB193,Transfer!CO193,Transfer!DB193,Transfer!DO193,Transfer!EB193)</f>
        <v>-9999</v>
      </c>
      <c r="AE193" s="1040">
        <f>CHOOSE(Tables!$U$2,Transfer!CC193,Transfer!CP193,Transfer!DC193,Transfer!DP193,Transfer!EC193)</f>
        <v>-9999</v>
      </c>
      <c r="AF193" s="1040">
        <f>CHOOSE(Tables!$U$2,Transfer!CD193,Transfer!CQ193,Transfer!DD193,Transfer!DQ193,Transfer!ED193)</f>
        <v>-9999</v>
      </c>
      <c r="AG193" s="1040">
        <f>CHOOSE(Tables!$U$2,Transfer!CE193,Transfer!CR193,Transfer!DE193,Transfer!DR193,Transfer!EE193)</f>
        <v>-9999</v>
      </c>
      <c r="AH193" s="1040">
        <f>CHOOSE(Tables!$U$2,Transfer!CF193,Transfer!CS193,Transfer!DF193,Transfer!DS193,Transfer!EF193)</f>
        <v>-9999</v>
      </c>
      <c r="AI193" s="1040">
        <f>CHOOSE(Tables!$U$2,Transfer!CG193,Transfer!CT193,Transfer!DG193,Transfer!DT193,Transfer!EG193)</f>
        <v>-9999</v>
      </c>
      <c r="AJ193" s="1040">
        <f>CHOOSE(Tables!$U$2,Transfer!CH193,Transfer!CU193,Transfer!DH193,Transfer!DU193,Transfer!EH193)</f>
        <v>-9999</v>
      </c>
      <c r="AK193" s="1040">
        <f>CHOOSE(Tables!$U$2,Transfer!CI193,Transfer!CV193,Transfer!DI193,Transfer!DV193,Transfer!EI193)</f>
        <v>-9999</v>
      </c>
      <c r="AL193" s="1040">
        <f>CHOOSE(Tables!$U$2,Transfer!CJ193,Transfer!CW193,Transfer!DJ193,Transfer!DW193,Transfer!EJ193)</f>
        <v>-9999</v>
      </c>
      <c r="AM193" s="1040">
        <f>CHOOSE(Tables!$U$2,Transfer!CK193,Transfer!CX193,Transfer!DK193,Transfer!DX193,Transfer!EK193)</f>
        <v>-9999</v>
      </c>
      <c r="AN193" s="1040">
        <f>CHOOSE(Tables!$U$2,Transfer!CL193,Transfer!CY193,Transfer!DL193,Transfer!DY193,Transfer!EL193)</f>
        <v>-9999</v>
      </c>
      <c r="AO193" s="1040">
        <f>CHOOSE(Tables!$U$2,Transfer!CM193,Transfer!CZ193,Transfer!DM193,Transfer!DZ193,Transfer!EM193)</f>
        <v>-9999</v>
      </c>
      <c r="AR193" s="22">
        <v>93</v>
      </c>
      <c r="AS193" s="1" t="s">
        <v>1439</v>
      </c>
      <c r="AT193" s="24">
        <f t="shared" ca="1" si="10"/>
        <v>10003.912700000001</v>
      </c>
      <c r="AU193" s="24">
        <f t="shared" ca="1" si="11"/>
        <v>10004.330620000001</v>
      </c>
      <c r="AV193" s="24">
        <f t="shared" ca="1" si="12"/>
        <v>10004.955634150781</v>
      </c>
      <c r="AW193" s="24">
        <f t="shared" ca="1" si="13"/>
        <v>10005.346051738243</v>
      </c>
      <c r="AX193" s="24">
        <f t="shared" ca="1" si="14"/>
        <v>10005.706113795701</v>
      </c>
      <c r="AY193" s="25">
        <f t="shared" si="15"/>
        <v>0</v>
      </c>
      <c r="AZ193" s="25">
        <f t="shared" si="16"/>
        <v>0</v>
      </c>
      <c r="BA193" s="25">
        <f t="shared" si="17"/>
        <v>0</v>
      </c>
      <c r="BB193" s="25">
        <f t="shared" si="18"/>
        <v>0</v>
      </c>
      <c r="BC193" s="25">
        <f t="shared" si="7"/>
        <v>0</v>
      </c>
      <c r="BD193" s="25">
        <f t="shared" si="7"/>
        <v>0</v>
      </c>
      <c r="BE193" s="25">
        <f t="shared" si="7"/>
        <v>0</v>
      </c>
      <c r="BF193" s="25">
        <f t="shared" si="7"/>
        <v>0</v>
      </c>
      <c r="CA193" s="16">
        <v>-9999</v>
      </c>
      <c r="CB193" s="16">
        <v>-9999</v>
      </c>
      <c r="CC193" s="16">
        <v>-9999</v>
      </c>
      <c r="CD193" s="16">
        <v>-9999</v>
      </c>
      <c r="CE193" s="16">
        <v>-9999</v>
      </c>
      <c r="CF193" s="16">
        <v>-9999</v>
      </c>
      <c r="CG193" s="16">
        <v>-9999</v>
      </c>
      <c r="CH193" s="16">
        <v>-9999</v>
      </c>
      <c r="CI193" s="16">
        <v>-9999</v>
      </c>
      <c r="CJ193" s="16">
        <v>-9999</v>
      </c>
      <c r="CK193" s="16">
        <v>-9999</v>
      </c>
      <c r="CL193" s="16">
        <v>-9999</v>
      </c>
      <c r="CM193" s="16">
        <v>-9999</v>
      </c>
      <c r="CN193" s="16">
        <v>-9999</v>
      </c>
      <c r="CO193" s="16">
        <v>-9999</v>
      </c>
      <c r="CP193" s="16">
        <v>-9999</v>
      </c>
      <c r="CQ193" s="16">
        <v>-9999</v>
      </c>
      <c r="CR193" s="16">
        <v>-9999</v>
      </c>
      <c r="CS193" s="16">
        <v>-9999</v>
      </c>
      <c r="CT193" s="16">
        <v>-9999</v>
      </c>
      <c r="CU193" s="16">
        <v>-9999</v>
      </c>
      <c r="CV193" s="16">
        <v>-9999</v>
      </c>
      <c r="CW193" s="16">
        <v>-9999</v>
      </c>
      <c r="CX193" s="16">
        <v>-9999</v>
      </c>
      <c r="CY193" s="16">
        <v>-9999</v>
      </c>
      <c r="CZ193" s="16">
        <v>-9999</v>
      </c>
      <c r="DA193" s="16">
        <v>-9999</v>
      </c>
      <c r="DB193" s="16">
        <v>-9999</v>
      </c>
      <c r="DC193" s="16">
        <v>-9999</v>
      </c>
      <c r="DD193" s="16">
        <v>-9999</v>
      </c>
      <c r="DE193" s="16">
        <v>-9999</v>
      </c>
      <c r="DF193" s="16">
        <v>-9999</v>
      </c>
      <c r="DG193" s="16">
        <v>-9999</v>
      </c>
      <c r="DH193" s="16">
        <v>-9999</v>
      </c>
      <c r="DI193" s="16">
        <v>-9999</v>
      </c>
      <c r="DJ193" s="16">
        <v>-9999</v>
      </c>
      <c r="DK193" s="16">
        <v>-9999</v>
      </c>
      <c r="DL193" s="16">
        <v>-9999</v>
      </c>
      <c r="DM193" s="16">
        <v>-9999</v>
      </c>
      <c r="DN193" s="16">
        <v>-9999</v>
      </c>
      <c r="DO193" s="16">
        <v>-9999</v>
      </c>
      <c r="DP193" s="16">
        <v>-9999</v>
      </c>
      <c r="DQ193" s="16">
        <v>-9999</v>
      </c>
      <c r="DR193" s="16">
        <v>-9999</v>
      </c>
      <c r="DS193" s="16">
        <v>-9999</v>
      </c>
      <c r="DT193" s="16">
        <v>-9999</v>
      </c>
      <c r="DU193" s="16">
        <v>-9999</v>
      </c>
      <c r="DV193" s="16">
        <v>-9999</v>
      </c>
      <c r="DW193" s="16">
        <v>-9999</v>
      </c>
      <c r="DX193" s="16">
        <v>-9999</v>
      </c>
      <c r="DY193" s="16">
        <v>-9999</v>
      </c>
      <c r="DZ193" s="16">
        <v>-9999</v>
      </c>
      <c r="EA193" s="2196">
        <v>-9999</v>
      </c>
      <c r="EB193" s="2196">
        <v>-9999</v>
      </c>
      <c r="EC193" s="2196">
        <v>-9999</v>
      </c>
      <c r="ED193" s="2196">
        <v>-9999</v>
      </c>
      <c r="EE193" s="2196">
        <v>-9999</v>
      </c>
      <c r="EF193" s="2197">
        <v>-9999</v>
      </c>
      <c r="EG193" s="2197">
        <v>-9999</v>
      </c>
      <c r="EH193" s="2197">
        <v>-9999</v>
      </c>
      <c r="EI193" s="2197">
        <v>-9999</v>
      </c>
      <c r="EJ193" s="2197">
        <v>-9999</v>
      </c>
      <c r="EK193" s="2197">
        <v>-9999</v>
      </c>
      <c r="EL193" s="2197">
        <v>-9999</v>
      </c>
      <c r="EM193" s="2197">
        <v>-9999</v>
      </c>
    </row>
    <row r="194" spans="1:143">
      <c r="A194" s="22">
        <v>94</v>
      </c>
      <c r="B194" s="1" t="s">
        <v>1441</v>
      </c>
      <c r="C194">
        <f ca="1">OFFSET(Sector1!F396,0,Last_forecast_year - 3-InputY!$G$3)</f>
        <v>0.12872</v>
      </c>
      <c r="D194">
        <f ca="1">OFFSET(Sector1!G396,0,Last_forecast_year - 3-InputY!$G$3)</f>
        <v>0.13106000000000001</v>
      </c>
      <c r="E194">
        <f ca="1">OFFSET(Sector1!H396,0,Last_forecast_year - 3-InputY!$G$3)</f>
        <v>0.13106000000000001</v>
      </c>
      <c r="F194">
        <f ca="1">OFFSET(Sector1!I396,0,Last_forecast_year - 3-InputY!$G$3)</f>
        <v>0.13106000000000001</v>
      </c>
      <c r="G194">
        <f ca="1">OFFSET(Sector1!J396,0,Last_forecast_year - 3-InputY!$G$3)</f>
        <v>0.13106000000000001</v>
      </c>
      <c r="H194" s="25">
        <v>-9999</v>
      </c>
      <c r="I194" s="25">
        <v>-9999</v>
      </c>
      <c r="J194" s="25">
        <v>-9999</v>
      </c>
      <c r="K194" s="25">
        <v>-9999</v>
      </c>
      <c r="L194" s="25">
        <v>-9999</v>
      </c>
      <c r="M194" s="25">
        <v>-9999</v>
      </c>
      <c r="N194" s="25">
        <v>-9999</v>
      </c>
      <c r="O194" s="25">
        <v>-9999</v>
      </c>
      <c r="P194"/>
      <c r="Q194"/>
      <c r="AA194" s="22">
        <v>94</v>
      </c>
      <c r="AB194" s="1040" t="str">
        <f t="shared" si="8"/>
        <v>HH CHANGE IN NET EQUITY IN PENSION FUNDS</v>
      </c>
      <c r="AC194" s="1040">
        <f>CHOOSE(Tables!$U$2,Transfer!CA194,Transfer!CN194,Transfer!DA194,Transfer!DN194,Transfer!EA194)</f>
        <v>-9999</v>
      </c>
      <c r="AD194" s="1040">
        <f>CHOOSE(Tables!$U$2,Transfer!CB194,Transfer!CO194,Transfer!DB194,Transfer!DO194,Transfer!EB194)</f>
        <v>-9999</v>
      </c>
      <c r="AE194" s="1040">
        <f>CHOOSE(Tables!$U$2,Transfer!CC194,Transfer!CP194,Transfer!DC194,Transfer!DP194,Transfer!EC194)</f>
        <v>-9999</v>
      </c>
      <c r="AF194" s="1040">
        <f>CHOOSE(Tables!$U$2,Transfer!CD194,Transfer!CQ194,Transfer!DD194,Transfer!DQ194,Transfer!ED194)</f>
        <v>-9999</v>
      </c>
      <c r="AG194" s="1040">
        <f>CHOOSE(Tables!$U$2,Transfer!CE194,Transfer!CR194,Transfer!DE194,Transfer!DR194,Transfer!EE194)</f>
        <v>-9999</v>
      </c>
      <c r="AH194" s="1040">
        <f>CHOOSE(Tables!$U$2,Transfer!CF194,Transfer!CS194,Transfer!DF194,Transfer!DS194,Transfer!EF194)</f>
        <v>-9999</v>
      </c>
      <c r="AI194" s="1040">
        <f>CHOOSE(Tables!$U$2,Transfer!CG194,Transfer!CT194,Transfer!DG194,Transfer!DT194,Transfer!EG194)</f>
        <v>-9999</v>
      </c>
      <c r="AJ194" s="1040">
        <f>CHOOSE(Tables!$U$2,Transfer!CH194,Transfer!CU194,Transfer!DH194,Transfer!DU194,Transfer!EH194)</f>
        <v>-9999</v>
      </c>
      <c r="AK194" s="1040">
        <f>CHOOSE(Tables!$U$2,Transfer!CI194,Transfer!CV194,Transfer!DI194,Transfer!DV194,Transfer!EI194)</f>
        <v>-9999</v>
      </c>
      <c r="AL194" s="1040">
        <f>CHOOSE(Tables!$U$2,Transfer!CJ194,Transfer!CW194,Transfer!DJ194,Transfer!DW194,Transfer!EJ194)</f>
        <v>-9999</v>
      </c>
      <c r="AM194" s="1040">
        <f>CHOOSE(Tables!$U$2,Transfer!CK194,Transfer!CX194,Transfer!DK194,Transfer!DX194,Transfer!EK194)</f>
        <v>-9999</v>
      </c>
      <c r="AN194" s="1040">
        <f>CHOOSE(Tables!$U$2,Transfer!CL194,Transfer!CY194,Transfer!DL194,Transfer!DY194,Transfer!EL194)</f>
        <v>-9999</v>
      </c>
      <c r="AO194" s="1040">
        <f>CHOOSE(Tables!$U$2,Transfer!CM194,Transfer!CZ194,Transfer!DM194,Transfer!DZ194,Transfer!EM194)</f>
        <v>-9999</v>
      </c>
      <c r="AR194" s="22">
        <v>94</v>
      </c>
      <c r="AS194" s="1" t="s">
        <v>1441</v>
      </c>
      <c r="AT194" s="24">
        <f t="shared" ca="1" si="10"/>
        <v>9999.1287200000006</v>
      </c>
      <c r="AU194" s="24">
        <f t="shared" ca="1" si="11"/>
        <v>9999.1310599999997</v>
      </c>
      <c r="AV194" s="24">
        <f t="shared" ca="1" si="12"/>
        <v>9999.1310599999997</v>
      </c>
      <c r="AW194" s="24">
        <f t="shared" ca="1" si="13"/>
        <v>9999.1310599999997</v>
      </c>
      <c r="AX194" s="24">
        <f t="shared" ca="1" si="14"/>
        <v>9999.1310599999997</v>
      </c>
      <c r="AY194" s="25">
        <f t="shared" si="15"/>
        <v>0</v>
      </c>
      <c r="AZ194" s="25">
        <f t="shared" si="16"/>
        <v>0</v>
      </c>
      <c r="BA194" s="25">
        <f t="shared" si="17"/>
        <v>0</v>
      </c>
      <c r="BB194" s="25">
        <f t="shared" si="18"/>
        <v>0</v>
      </c>
      <c r="BC194" s="25">
        <f t="shared" si="7"/>
        <v>0</v>
      </c>
      <c r="BD194" s="25">
        <f t="shared" si="7"/>
        <v>0</v>
      </c>
      <c r="BE194" s="25">
        <f t="shared" si="7"/>
        <v>0</v>
      </c>
      <c r="BF194" s="25">
        <f t="shared" si="7"/>
        <v>0</v>
      </c>
      <c r="CA194" s="16">
        <v>-9999</v>
      </c>
      <c r="CB194" s="16">
        <v>-9999</v>
      </c>
      <c r="CC194" s="16">
        <v>-9999</v>
      </c>
      <c r="CD194" s="16">
        <v>-9999</v>
      </c>
      <c r="CE194" s="16">
        <v>-9999</v>
      </c>
      <c r="CF194" s="16">
        <v>-9999</v>
      </c>
      <c r="CG194" s="16">
        <v>-9999</v>
      </c>
      <c r="CH194" s="16">
        <v>-9999</v>
      </c>
      <c r="CI194" s="16">
        <v>-9999</v>
      </c>
      <c r="CJ194" s="16">
        <v>-9999</v>
      </c>
      <c r="CK194" s="16">
        <v>-9999</v>
      </c>
      <c r="CL194" s="16">
        <v>-9999</v>
      </c>
      <c r="CM194" s="16">
        <v>-9999</v>
      </c>
      <c r="CN194" s="16">
        <v>-9999</v>
      </c>
      <c r="CO194" s="16">
        <v>-9999</v>
      </c>
      <c r="CP194" s="16">
        <v>-9999</v>
      </c>
      <c r="CQ194" s="16">
        <v>-9999</v>
      </c>
      <c r="CR194" s="16">
        <v>-9999</v>
      </c>
      <c r="CS194" s="16">
        <v>-9999</v>
      </c>
      <c r="CT194" s="16">
        <v>-9999</v>
      </c>
      <c r="CU194" s="16">
        <v>-9999</v>
      </c>
      <c r="CV194" s="16">
        <v>-9999</v>
      </c>
      <c r="CW194" s="16">
        <v>-9999</v>
      </c>
      <c r="CX194" s="16">
        <v>-9999</v>
      </c>
      <c r="CY194" s="16">
        <v>-9999</v>
      </c>
      <c r="CZ194" s="16">
        <v>-9999</v>
      </c>
      <c r="DA194" s="16">
        <v>-9999</v>
      </c>
      <c r="DB194" s="16">
        <v>-9999</v>
      </c>
      <c r="DC194" s="16">
        <v>-9999</v>
      </c>
      <c r="DD194" s="16">
        <v>-9999</v>
      </c>
      <c r="DE194" s="16">
        <v>-9999</v>
      </c>
      <c r="DF194" s="16">
        <v>-9999</v>
      </c>
      <c r="DG194" s="16">
        <v>-9999</v>
      </c>
      <c r="DH194" s="16">
        <v>-9999</v>
      </c>
      <c r="DI194" s="16">
        <v>-9999</v>
      </c>
      <c r="DJ194" s="16">
        <v>-9999</v>
      </c>
      <c r="DK194" s="16">
        <v>-9999</v>
      </c>
      <c r="DL194" s="16">
        <v>-9999</v>
      </c>
      <c r="DM194" s="16">
        <v>-9999</v>
      </c>
      <c r="DN194" s="16">
        <v>-9999</v>
      </c>
      <c r="DO194" s="16">
        <v>-9999</v>
      </c>
      <c r="DP194" s="16">
        <v>-9999</v>
      </c>
      <c r="DQ194" s="16">
        <v>-9999</v>
      </c>
      <c r="DR194" s="16">
        <v>-9999</v>
      </c>
      <c r="DS194" s="16">
        <v>-9999</v>
      </c>
      <c r="DT194" s="16">
        <v>-9999</v>
      </c>
      <c r="DU194" s="16">
        <v>-9999</v>
      </c>
      <c r="DV194" s="16">
        <v>-9999</v>
      </c>
      <c r="DW194" s="16">
        <v>-9999</v>
      </c>
      <c r="DX194" s="16">
        <v>-9999</v>
      </c>
      <c r="DY194" s="16">
        <v>-9999</v>
      </c>
      <c r="DZ194" s="16">
        <v>-9999</v>
      </c>
      <c r="EA194" s="2196">
        <v>-9999</v>
      </c>
      <c r="EB194" s="2196">
        <v>-9999</v>
      </c>
      <c r="EC194" s="2196">
        <v>-9999</v>
      </c>
      <c r="ED194" s="2196">
        <v>-9999</v>
      </c>
      <c r="EE194" s="2196">
        <v>-9999</v>
      </c>
      <c r="EF194" s="2197">
        <v>-9999</v>
      </c>
      <c r="EG194" s="2197">
        <v>-9999</v>
      </c>
      <c r="EH194" s="2197">
        <v>-9999</v>
      </c>
      <c r="EI194" s="2197">
        <v>-9999</v>
      </c>
      <c r="EJ194" s="2197">
        <v>-9999</v>
      </c>
      <c r="EK194" s="2197">
        <v>-9999</v>
      </c>
      <c r="EL194" s="2197">
        <v>-9999</v>
      </c>
      <c r="EM194" s="2197">
        <v>-9999</v>
      </c>
    </row>
    <row r="195" spans="1:143">
      <c r="A195" s="22">
        <v>95</v>
      </c>
      <c r="B195" s="1" t="s">
        <v>1442</v>
      </c>
      <c r="C195">
        <f ca="1">OFFSET('VVP2'!F185,0,Last_forecast_year - 3-InputY!$G$3)</f>
        <v>23.47364</v>
      </c>
      <c r="D195">
        <f ca="1">OFFSET('VVP2'!G185,0,Last_forecast_year - 3-InputY!$G$3)</f>
        <v>24.863340000000001</v>
      </c>
      <c r="E195">
        <f ca="1">OFFSET('VVP2'!H185,0,Last_forecast_year - 3-InputY!$G$3)</f>
        <v>26.80039</v>
      </c>
      <c r="F195">
        <f ca="1">OFFSET('VVP2'!I185,0,Last_forecast_year - 3-InputY!$G$3)</f>
        <v>28.459602144899996</v>
      </c>
      <c r="G195">
        <f ca="1">OFFSET('VVP2'!J185,0,Last_forecast_year - 3-InputY!$G$3)</f>
        <v>30.045541934026691</v>
      </c>
      <c r="H195" s="25">
        <v>-9999</v>
      </c>
      <c r="I195" s="25">
        <v>-9999</v>
      </c>
      <c r="J195" s="25">
        <v>-9999</v>
      </c>
      <c r="K195" s="25">
        <v>-9999</v>
      </c>
      <c r="L195" s="25">
        <v>-9999</v>
      </c>
      <c r="M195" s="25">
        <v>-9999</v>
      </c>
      <c r="N195" s="25">
        <v>-9999</v>
      </c>
      <c r="O195" s="25">
        <v>-9999</v>
      </c>
      <c r="P195"/>
      <c r="Q195"/>
      <c r="AA195" s="22">
        <v>95</v>
      </c>
      <c r="AB195" s="1040" t="str">
        <f t="shared" si="8"/>
        <v>HH FINAL CONSUMPTION EXPENDITURE</v>
      </c>
      <c r="AC195" s="1040">
        <f>CHOOSE(Tables!$U$2,Transfer!CA195,Transfer!CN195,Transfer!DA195,Transfer!DN195,Transfer!EA195)</f>
        <v>-9999</v>
      </c>
      <c r="AD195" s="1040">
        <f>CHOOSE(Tables!$U$2,Transfer!CB195,Transfer!CO195,Transfer!DB195,Transfer!DO195,Transfer!EB195)</f>
        <v>-9999</v>
      </c>
      <c r="AE195" s="1040">
        <f>CHOOSE(Tables!$U$2,Transfer!CC195,Transfer!CP195,Transfer!DC195,Transfer!DP195,Transfer!EC195)</f>
        <v>-9999</v>
      </c>
      <c r="AF195" s="1040">
        <f>CHOOSE(Tables!$U$2,Transfer!CD195,Transfer!CQ195,Transfer!DD195,Transfer!DQ195,Transfer!ED195)</f>
        <v>-9999</v>
      </c>
      <c r="AG195" s="1040">
        <f>CHOOSE(Tables!$U$2,Transfer!CE195,Transfer!CR195,Transfer!DE195,Transfer!DR195,Transfer!EE195)</f>
        <v>-9999</v>
      </c>
      <c r="AH195" s="1040">
        <f>CHOOSE(Tables!$U$2,Transfer!CF195,Transfer!CS195,Transfer!DF195,Transfer!DS195,Transfer!EF195)</f>
        <v>-9999</v>
      </c>
      <c r="AI195" s="1040">
        <f>CHOOSE(Tables!$U$2,Transfer!CG195,Transfer!CT195,Transfer!DG195,Transfer!DT195,Transfer!EG195)</f>
        <v>-9999</v>
      </c>
      <c r="AJ195" s="1040">
        <f>CHOOSE(Tables!$U$2,Transfer!CH195,Transfer!CU195,Transfer!DH195,Transfer!DU195,Transfer!EH195)</f>
        <v>-9999</v>
      </c>
      <c r="AK195" s="1040">
        <f>CHOOSE(Tables!$U$2,Transfer!CI195,Transfer!CV195,Transfer!DI195,Transfer!DV195,Transfer!EI195)</f>
        <v>-9999</v>
      </c>
      <c r="AL195" s="1040">
        <f>CHOOSE(Tables!$U$2,Transfer!CJ195,Transfer!CW195,Transfer!DJ195,Transfer!DW195,Transfer!EJ195)</f>
        <v>-9999</v>
      </c>
      <c r="AM195" s="1040">
        <f>CHOOSE(Tables!$U$2,Transfer!CK195,Transfer!CX195,Transfer!DK195,Transfer!DX195,Transfer!EK195)</f>
        <v>-9999</v>
      </c>
      <c r="AN195" s="1040">
        <f>CHOOSE(Tables!$U$2,Transfer!CL195,Transfer!CY195,Transfer!DL195,Transfer!DY195,Transfer!EL195)</f>
        <v>-9999</v>
      </c>
      <c r="AO195" s="1040">
        <f>CHOOSE(Tables!$U$2,Transfer!CM195,Transfer!CZ195,Transfer!DM195,Transfer!DZ195,Transfer!EM195)</f>
        <v>-9999</v>
      </c>
      <c r="AR195" s="22">
        <v>95</v>
      </c>
      <c r="AS195" s="1" t="s">
        <v>1442</v>
      </c>
      <c r="AT195" s="24">
        <f t="shared" ca="1" si="10"/>
        <v>10022.47364</v>
      </c>
      <c r="AU195" s="24">
        <f t="shared" ca="1" si="11"/>
        <v>10023.86334</v>
      </c>
      <c r="AV195" s="24">
        <f t="shared" ca="1" si="12"/>
        <v>10025.80039</v>
      </c>
      <c r="AW195" s="24">
        <f t="shared" ca="1" si="13"/>
        <v>10027.4596021449</v>
      </c>
      <c r="AX195" s="24">
        <f t="shared" ca="1" si="14"/>
        <v>10029.045541934027</v>
      </c>
      <c r="AY195" s="25">
        <f t="shared" si="15"/>
        <v>0</v>
      </c>
      <c r="AZ195" s="25">
        <f t="shared" si="16"/>
        <v>0</v>
      </c>
      <c r="BA195" s="25">
        <f t="shared" si="17"/>
        <v>0</v>
      </c>
      <c r="BB195" s="25">
        <f t="shared" si="18"/>
        <v>0</v>
      </c>
      <c r="BC195" s="25">
        <f t="shared" si="7"/>
        <v>0</v>
      </c>
      <c r="BD195" s="25">
        <f t="shared" si="7"/>
        <v>0</v>
      </c>
      <c r="BE195" s="25">
        <f t="shared" si="7"/>
        <v>0</v>
      </c>
      <c r="BF195" s="25">
        <f t="shared" si="7"/>
        <v>0</v>
      </c>
      <c r="CA195" s="16">
        <v>-9999</v>
      </c>
      <c r="CB195" s="16">
        <v>-9999</v>
      </c>
      <c r="CC195" s="16">
        <v>-9999</v>
      </c>
      <c r="CD195" s="16">
        <v>-9999</v>
      </c>
      <c r="CE195" s="16">
        <v>-9999</v>
      </c>
      <c r="CF195" s="16">
        <v>-9999</v>
      </c>
      <c r="CG195" s="16">
        <v>-9999</v>
      </c>
      <c r="CH195" s="16">
        <v>-9999</v>
      </c>
      <c r="CI195" s="16">
        <v>-9999</v>
      </c>
      <c r="CJ195" s="16">
        <v>-9999</v>
      </c>
      <c r="CK195" s="16">
        <v>-9999</v>
      </c>
      <c r="CL195" s="16">
        <v>-9999</v>
      </c>
      <c r="CM195" s="16">
        <v>-9999</v>
      </c>
      <c r="CN195" s="16">
        <v>-9999</v>
      </c>
      <c r="CO195" s="16">
        <v>-9999</v>
      </c>
      <c r="CP195" s="16">
        <v>-9999</v>
      </c>
      <c r="CQ195" s="16">
        <v>-9999</v>
      </c>
      <c r="CR195" s="16">
        <v>-9999</v>
      </c>
      <c r="CS195" s="16">
        <v>-9999</v>
      </c>
      <c r="CT195" s="16">
        <v>-9999</v>
      </c>
      <c r="CU195" s="16">
        <v>-9999</v>
      </c>
      <c r="CV195" s="16">
        <v>-9999</v>
      </c>
      <c r="CW195" s="16">
        <v>-9999</v>
      </c>
      <c r="CX195" s="16">
        <v>-9999</v>
      </c>
      <c r="CY195" s="16">
        <v>-9999</v>
      </c>
      <c r="CZ195" s="16">
        <v>-9999</v>
      </c>
      <c r="DA195" s="16">
        <v>-9999</v>
      </c>
      <c r="DB195" s="16">
        <v>-9999</v>
      </c>
      <c r="DC195" s="16">
        <v>-9999</v>
      </c>
      <c r="DD195" s="16">
        <v>-9999</v>
      </c>
      <c r="DE195" s="16">
        <v>-9999</v>
      </c>
      <c r="DF195" s="16">
        <v>-9999</v>
      </c>
      <c r="DG195" s="16">
        <v>-9999</v>
      </c>
      <c r="DH195" s="16">
        <v>-9999</v>
      </c>
      <c r="DI195" s="16">
        <v>-9999</v>
      </c>
      <c r="DJ195" s="16">
        <v>-9999</v>
      </c>
      <c r="DK195" s="16">
        <v>-9999</v>
      </c>
      <c r="DL195" s="16">
        <v>-9999</v>
      </c>
      <c r="DM195" s="16">
        <v>-9999</v>
      </c>
      <c r="DN195" s="16">
        <v>-9999</v>
      </c>
      <c r="DO195" s="16">
        <v>-9999</v>
      </c>
      <c r="DP195" s="16">
        <v>-9999</v>
      </c>
      <c r="DQ195" s="16">
        <v>-9999</v>
      </c>
      <c r="DR195" s="16">
        <v>-9999</v>
      </c>
      <c r="DS195" s="16">
        <v>-9999</v>
      </c>
      <c r="DT195" s="16">
        <v>-9999</v>
      </c>
      <c r="DU195" s="16">
        <v>-9999</v>
      </c>
      <c r="DV195" s="16">
        <v>-9999</v>
      </c>
      <c r="DW195" s="16">
        <v>-9999</v>
      </c>
      <c r="DX195" s="16">
        <v>-9999</v>
      </c>
      <c r="DY195" s="16">
        <v>-9999</v>
      </c>
      <c r="DZ195" s="16">
        <v>-9999</v>
      </c>
      <c r="EA195" s="2196">
        <v>-9999</v>
      </c>
      <c r="EB195" s="2196">
        <v>-9999</v>
      </c>
      <c r="EC195" s="2196">
        <v>-9999</v>
      </c>
      <c r="ED195" s="2196">
        <v>-9999</v>
      </c>
      <c r="EE195" s="2196">
        <v>-9999</v>
      </c>
      <c r="EF195" s="2197">
        <v>-9999</v>
      </c>
      <c r="EG195" s="2197">
        <v>-9999</v>
      </c>
      <c r="EH195" s="2197">
        <v>-9999</v>
      </c>
      <c r="EI195" s="2197">
        <v>-9999</v>
      </c>
      <c r="EJ195" s="2197">
        <v>-9999</v>
      </c>
      <c r="EK195" s="2197">
        <v>-9999</v>
      </c>
      <c r="EL195" s="2197">
        <v>-9999</v>
      </c>
      <c r="EM195" s="2197">
        <v>-9999</v>
      </c>
    </row>
    <row r="196" spans="1:143">
      <c r="A196" s="22">
        <v>96</v>
      </c>
      <c r="B196" s="1" t="s">
        <v>427</v>
      </c>
      <c r="C196">
        <f ca="1">OFFSET(Sector1!F720,0,Last_forecast_year - 3-InputY!$G$3)</f>
        <v>1.59246</v>
      </c>
      <c r="D196">
        <f ca="1">OFFSET(Sector1!G720,0,Last_forecast_year - 3-InputY!$G$3)</f>
        <v>1.73797</v>
      </c>
      <c r="E196">
        <f ca="1">OFFSET(Sector1!H720,0,Last_forecast_year - 3-InputY!$G$3)</f>
        <v>1.7989497999999999</v>
      </c>
      <c r="F196">
        <f ca="1">OFFSET(Sector1!I720,0,Last_forecast_year - 3-InputY!$G$3)</f>
        <v>1.8620638929999997</v>
      </c>
      <c r="G196">
        <f ca="1">OFFSET(Sector1!J720,0,Last_forecast_year - 3-InputY!$G$3)</f>
        <v>1.9273869792549996</v>
      </c>
      <c r="H196" s="25">
        <v>-9999</v>
      </c>
      <c r="I196" s="25">
        <v>-9999</v>
      </c>
      <c r="J196" s="25">
        <v>-9999</v>
      </c>
      <c r="K196" s="25">
        <v>-9999</v>
      </c>
      <c r="L196" s="25">
        <v>-9999</v>
      </c>
      <c r="M196" s="25">
        <v>-9999</v>
      </c>
      <c r="N196" s="25">
        <v>-9999</v>
      </c>
      <c r="O196" s="25">
        <v>-9999</v>
      </c>
      <c r="P196"/>
      <c r="Q196"/>
      <c r="AA196" s="22">
        <v>96</v>
      </c>
      <c r="AB196" s="1040" t="str">
        <f t="shared" si="8"/>
        <v>HH GROSS CAPITAL FORMATION</v>
      </c>
      <c r="AC196" s="1040">
        <f>CHOOSE(Tables!$U$2,Transfer!CA196,Transfer!CN196,Transfer!DA196,Transfer!DN196,Transfer!EA196)</f>
        <v>-9999</v>
      </c>
      <c r="AD196" s="1040">
        <f>CHOOSE(Tables!$U$2,Transfer!CB196,Transfer!CO196,Transfer!DB196,Transfer!DO196,Transfer!EB196)</f>
        <v>-9999</v>
      </c>
      <c r="AE196" s="1040">
        <f>CHOOSE(Tables!$U$2,Transfer!CC196,Transfer!CP196,Transfer!DC196,Transfer!DP196,Transfer!EC196)</f>
        <v>-9999</v>
      </c>
      <c r="AF196" s="1040">
        <f>CHOOSE(Tables!$U$2,Transfer!CD196,Transfer!CQ196,Transfer!DD196,Transfer!DQ196,Transfer!ED196)</f>
        <v>-9999</v>
      </c>
      <c r="AG196" s="1040">
        <f>CHOOSE(Tables!$U$2,Transfer!CE196,Transfer!CR196,Transfer!DE196,Transfer!DR196,Transfer!EE196)</f>
        <v>-9999</v>
      </c>
      <c r="AH196" s="1040">
        <f>CHOOSE(Tables!$U$2,Transfer!CF196,Transfer!CS196,Transfer!DF196,Transfer!DS196,Transfer!EF196)</f>
        <v>-9999</v>
      </c>
      <c r="AI196" s="1040">
        <f>CHOOSE(Tables!$U$2,Transfer!CG196,Transfer!CT196,Transfer!DG196,Transfer!DT196,Transfer!EG196)</f>
        <v>-9999</v>
      </c>
      <c r="AJ196" s="1040">
        <f>CHOOSE(Tables!$U$2,Transfer!CH196,Transfer!CU196,Transfer!DH196,Transfer!DU196,Transfer!EH196)</f>
        <v>-9999</v>
      </c>
      <c r="AK196" s="1040">
        <f>CHOOSE(Tables!$U$2,Transfer!CI196,Transfer!CV196,Transfer!DI196,Transfer!DV196,Transfer!EI196)</f>
        <v>-9999</v>
      </c>
      <c r="AL196" s="1040">
        <f>CHOOSE(Tables!$U$2,Transfer!CJ196,Transfer!CW196,Transfer!DJ196,Transfer!DW196,Transfer!EJ196)</f>
        <v>-9999</v>
      </c>
      <c r="AM196" s="1040">
        <f>CHOOSE(Tables!$U$2,Transfer!CK196,Transfer!CX196,Transfer!DK196,Transfer!DX196,Transfer!EK196)</f>
        <v>-9999</v>
      </c>
      <c r="AN196" s="1040">
        <f>CHOOSE(Tables!$U$2,Transfer!CL196,Transfer!CY196,Transfer!DL196,Transfer!DY196,Transfer!EL196)</f>
        <v>-9999</v>
      </c>
      <c r="AO196" s="1040">
        <f>CHOOSE(Tables!$U$2,Transfer!CM196,Transfer!CZ196,Transfer!DM196,Transfer!DZ196,Transfer!EM196)</f>
        <v>-9999</v>
      </c>
      <c r="AR196" s="22">
        <v>96</v>
      </c>
      <c r="AS196" s="1" t="s">
        <v>427</v>
      </c>
      <c r="AT196" s="24">
        <f t="shared" ca="1" si="10"/>
        <v>10000.59246</v>
      </c>
      <c r="AU196" s="24">
        <f t="shared" ca="1" si="11"/>
        <v>10000.73797</v>
      </c>
      <c r="AV196" s="24">
        <f t="shared" ca="1" si="12"/>
        <v>10000.798949800001</v>
      </c>
      <c r="AW196" s="24">
        <f t="shared" ca="1" si="13"/>
        <v>10000.862063893001</v>
      </c>
      <c r="AX196" s="24">
        <f t="shared" ca="1" si="14"/>
        <v>10000.927386979254</v>
      </c>
      <c r="AY196" s="25">
        <f t="shared" si="15"/>
        <v>0</v>
      </c>
      <c r="AZ196" s="25">
        <f t="shared" si="16"/>
        <v>0</v>
      </c>
      <c r="BA196" s="25">
        <f t="shared" si="17"/>
        <v>0</v>
      </c>
      <c r="BB196" s="25">
        <f t="shared" si="18"/>
        <v>0</v>
      </c>
      <c r="BC196" s="25">
        <f t="shared" si="7"/>
        <v>0</v>
      </c>
      <c r="BD196" s="25">
        <f t="shared" si="7"/>
        <v>0</v>
      </c>
      <c r="BE196" s="25">
        <f t="shared" si="7"/>
        <v>0</v>
      </c>
      <c r="BF196" s="25">
        <f t="shared" si="7"/>
        <v>0</v>
      </c>
      <c r="CA196" s="16">
        <v>-9999</v>
      </c>
      <c r="CB196" s="16">
        <v>-9999</v>
      </c>
      <c r="CC196" s="16">
        <v>-9999</v>
      </c>
      <c r="CD196" s="16">
        <v>-9999</v>
      </c>
      <c r="CE196" s="16">
        <v>-9999</v>
      </c>
      <c r="CF196" s="16">
        <v>-9999</v>
      </c>
      <c r="CG196" s="16">
        <v>-9999</v>
      </c>
      <c r="CH196" s="16">
        <v>-9999</v>
      </c>
      <c r="CI196" s="16">
        <v>-9999</v>
      </c>
      <c r="CJ196" s="16">
        <v>-9999</v>
      </c>
      <c r="CK196" s="16">
        <v>-9999</v>
      </c>
      <c r="CL196" s="16">
        <v>-9999</v>
      </c>
      <c r="CM196" s="16">
        <v>-9999</v>
      </c>
      <c r="CN196" s="16">
        <v>-9999</v>
      </c>
      <c r="CO196" s="16">
        <v>-9999</v>
      </c>
      <c r="CP196" s="16">
        <v>-9999</v>
      </c>
      <c r="CQ196" s="16">
        <v>-9999</v>
      </c>
      <c r="CR196" s="16">
        <v>-9999</v>
      </c>
      <c r="CS196" s="16">
        <v>-9999</v>
      </c>
      <c r="CT196" s="16">
        <v>-9999</v>
      </c>
      <c r="CU196" s="16">
        <v>-9999</v>
      </c>
      <c r="CV196" s="16">
        <v>-9999</v>
      </c>
      <c r="CW196" s="16">
        <v>-9999</v>
      </c>
      <c r="CX196" s="16">
        <v>-9999</v>
      </c>
      <c r="CY196" s="16">
        <v>-9999</v>
      </c>
      <c r="CZ196" s="16">
        <v>-9999</v>
      </c>
      <c r="DA196" s="16">
        <v>-9999</v>
      </c>
      <c r="DB196" s="16">
        <v>-9999</v>
      </c>
      <c r="DC196" s="16">
        <v>-9999</v>
      </c>
      <c r="DD196" s="16">
        <v>-9999</v>
      </c>
      <c r="DE196" s="16">
        <v>-9999</v>
      </c>
      <c r="DF196" s="16">
        <v>-9999</v>
      </c>
      <c r="DG196" s="16">
        <v>-9999</v>
      </c>
      <c r="DH196" s="16">
        <v>-9999</v>
      </c>
      <c r="DI196" s="16">
        <v>-9999</v>
      </c>
      <c r="DJ196" s="16">
        <v>-9999</v>
      </c>
      <c r="DK196" s="16">
        <v>-9999</v>
      </c>
      <c r="DL196" s="16">
        <v>-9999</v>
      </c>
      <c r="DM196" s="16">
        <v>-9999</v>
      </c>
      <c r="DN196" s="16">
        <v>-9999</v>
      </c>
      <c r="DO196" s="16">
        <v>-9999</v>
      </c>
      <c r="DP196" s="16">
        <v>-9999</v>
      </c>
      <c r="DQ196" s="16">
        <v>-9999</v>
      </c>
      <c r="DR196" s="16">
        <v>-9999</v>
      </c>
      <c r="DS196" s="16">
        <v>-9999</v>
      </c>
      <c r="DT196" s="16">
        <v>-9999</v>
      </c>
      <c r="DU196" s="16">
        <v>-9999</v>
      </c>
      <c r="DV196" s="16">
        <v>-9999</v>
      </c>
      <c r="DW196" s="16">
        <v>-9999</v>
      </c>
      <c r="DX196" s="16">
        <v>-9999</v>
      </c>
      <c r="DY196" s="16">
        <v>-9999</v>
      </c>
      <c r="DZ196" s="16">
        <v>-9999</v>
      </c>
      <c r="EA196" s="2196">
        <v>-9999</v>
      </c>
      <c r="EB196" s="2196">
        <v>-9999</v>
      </c>
      <c r="EC196" s="2196">
        <v>-9999</v>
      </c>
      <c r="ED196" s="2196">
        <v>-9999</v>
      </c>
      <c r="EE196" s="2196">
        <v>-9999</v>
      </c>
      <c r="EF196" s="2197">
        <v>-9999</v>
      </c>
      <c r="EG196" s="2197">
        <v>-9999</v>
      </c>
      <c r="EH196" s="2197">
        <v>-9999</v>
      </c>
      <c r="EI196" s="2197">
        <v>-9999</v>
      </c>
      <c r="EJ196" s="2197">
        <v>-9999</v>
      </c>
      <c r="EK196" s="2197">
        <v>-9999</v>
      </c>
      <c r="EL196" s="2197">
        <v>-9999</v>
      </c>
      <c r="EM196" s="2197">
        <v>-9999</v>
      </c>
    </row>
    <row r="197" spans="1:143">
      <c r="A197" s="22">
        <v>97</v>
      </c>
      <c r="B197" s="1" t="s">
        <v>429</v>
      </c>
      <c r="C197">
        <f ca="1">OFFSET(Sector1!F725,0,Last_forecast_year - 3-InputY!$G$3)</f>
        <v>-0.15492</v>
      </c>
      <c r="D197">
        <f ca="1">OFFSET(Sector1!G725,0,Last_forecast_year - 3-InputY!$G$3)</f>
        <v>-0.13267000000000001</v>
      </c>
      <c r="E197">
        <f ca="1">OFFSET(Sector1!H725,0,Last_forecast_year - 3-InputY!$G$3)</f>
        <v>-0.12881580000000001</v>
      </c>
      <c r="F197">
        <f ca="1">OFFSET(Sector1!I725,0,Last_forecast_year - 3-InputY!$G$3)</f>
        <v>-0.125231394</v>
      </c>
      <c r="G197">
        <f ca="1">OFFSET(Sector1!J725,0,Last_forecast_year - 3-InputY!$G$3)</f>
        <v>-0.12189789641999998</v>
      </c>
      <c r="H197" s="25">
        <v>-9999</v>
      </c>
      <c r="I197" s="25">
        <v>-9999</v>
      </c>
      <c r="J197" s="25">
        <v>-9999</v>
      </c>
      <c r="K197" s="25">
        <v>-9999</v>
      </c>
      <c r="L197" s="25">
        <v>-9999</v>
      </c>
      <c r="M197" s="25">
        <v>-9999</v>
      </c>
      <c r="N197" s="25">
        <v>-9999</v>
      </c>
      <c r="O197" s="25">
        <v>-9999</v>
      </c>
      <c r="P197"/>
      <c r="Q197"/>
      <c r="AA197" s="22">
        <v>97</v>
      </c>
      <c r="AB197" s="1040" t="str">
        <f t="shared" si="8"/>
        <v>HH OTHER CAPITAL EXPENDITURE (PAID-REC.)</v>
      </c>
      <c r="AC197" s="1040">
        <f>CHOOSE(Tables!$U$2,Transfer!CA197,Transfer!CN197,Transfer!DA197,Transfer!DN197,Transfer!EA197)</f>
        <v>-9999</v>
      </c>
      <c r="AD197" s="1040">
        <f>CHOOSE(Tables!$U$2,Transfer!CB197,Transfer!CO197,Transfer!DB197,Transfer!DO197,Transfer!EB197)</f>
        <v>-9999</v>
      </c>
      <c r="AE197" s="1040">
        <f>CHOOSE(Tables!$U$2,Transfer!CC197,Transfer!CP197,Transfer!DC197,Transfer!DP197,Transfer!EC197)</f>
        <v>-9999</v>
      </c>
      <c r="AF197" s="1040">
        <f>CHOOSE(Tables!$U$2,Transfer!CD197,Transfer!CQ197,Transfer!DD197,Transfer!DQ197,Transfer!ED197)</f>
        <v>-9999</v>
      </c>
      <c r="AG197" s="1040">
        <f>CHOOSE(Tables!$U$2,Transfer!CE197,Transfer!CR197,Transfer!DE197,Transfer!DR197,Transfer!EE197)</f>
        <v>-9999</v>
      </c>
      <c r="AH197" s="1040">
        <f>CHOOSE(Tables!$U$2,Transfer!CF197,Transfer!CS197,Transfer!DF197,Transfer!DS197,Transfer!EF197)</f>
        <v>-9999</v>
      </c>
      <c r="AI197" s="1040">
        <f>CHOOSE(Tables!$U$2,Transfer!CG197,Transfer!CT197,Transfer!DG197,Transfer!DT197,Transfer!EG197)</f>
        <v>-9999</v>
      </c>
      <c r="AJ197" s="1040">
        <f>CHOOSE(Tables!$U$2,Transfer!CH197,Transfer!CU197,Transfer!DH197,Transfer!DU197,Transfer!EH197)</f>
        <v>-9999</v>
      </c>
      <c r="AK197" s="1040">
        <f>CHOOSE(Tables!$U$2,Transfer!CI197,Transfer!CV197,Transfer!DI197,Transfer!DV197,Transfer!EI197)</f>
        <v>-9999</v>
      </c>
      <c r="AL197" s="1040">
        <f>CHOOSE(Tables!$U$2,Transfer!CJ197,Transfer!CW197,Transfer!DJ197,Transfer!DW197,Transfer!EJ197)</f>
        <v>-9999</v>
      </c>
      <c r="AM197" s="1040">
        <f>CHOOSE(Tables!$U$2,Transfer!CK197,Transfer!CX197,Transfer!DK197,Transfer!DX197,Transfer!EK197)</f>
        <v>-9999</v>
      </c>
      <c r="AN197" s="1040">
        <f>CHOOSE(Tables!$U$2,Transfer!CL197,Transfer!CY197,Transfer!DL197,Transfer!DY197,Transfer!EL197)</f>
        <v>-9999</v>
      </c>
      <c r="AO197" s="1040">
        <f>CHOOSE(Tables!$U$2,Transfer!CM197,Transfer!CZ197,Transfer!DM197,Transfer!DZ197,Transfer!EM197)</f>
        <v>-9999</v>
      </c>
      <c r="AR197" s="22">
        <v>97</v>
      </c>
      <c r="AS197" s="1" t="s">
        <v>429</v>
      </c>
      <c r="AT197" s="24">
        <f t="shared" ca="1" si="10"/>
        <v>9998.8450799999991</v>
      </c>
      <c r="AU197" s="24">
        <f t="shared" ca="1" si="11"/>
        <v>9998.8673299999991</v>
      </c>
      <c r="AV197" s="24">
        <f t="shared" ca="1" si="12"/>
        <v>9998.8711841999993</v>
      </c>
      <c r="AW197" s="24">
        <f t="shared" ca="1" si="13"/>
        <v>9998.8747686059996</v>
      </c>
      <c r="AX197" s="24">
        <f t="shared" ca="1" si="14"/>
        <v>9998.8781021035793</v>
      </c>
      <c r="AY197" s="25">
        <f t="shared" si="15"/>
        <v>0</v>
      </c>
      <c r="AZ197" s="25">
        <f t="shared" si="16"/>
        <v>0</v>
      </c>
      <c r="BA197" s="25">
        <f t="shared" si="17"/>
        <v>0</v>
      </c>
      <c r="BB197" s="25">
        <f t="shared" si="18"/>
        <v>0</v>
      </c>
      <c r="BC197" s="25">
        <f t="shared" si="7"/>
        <v>0</v>
      </c>
      <c r="BD197" s="25">
        <f t="shared" si="7"/>
        <v>0</v>
      </c>
      <c r="BE197" s="25">
        <f t="shared" si="7"/>
        <v>0</v>
      </c>
      <c r="BF197" s="25">
        <f t="shared" si="7"/>
        <v>0</v>
      </c>
      <c r="CA197" s="16">
        <v>-9999</v>
      </c>
      <c r="CB197" s="16">
        <v>-9999</v>
      </c>
      <c r="CC197" s="16">
        <v>-9999</v>
      </c>
      <c r="CD197" s="16">
        <v>-9999</v>
      </c>
      <c r="CE197" s="16">
        <v>-9999</v>
      </c>
      <c r="CF197" s="16">
        <v>-9999</v>
      </c>
      <c r="CG197" s="16">
        <v>-9999</v>
      </c>
      <c r="CH197" s="16">
        <v>-9999</v>
      </c>
      <c r="CI197" s="16">
        <v>-9999</v>
      </c>
      <c r="CJ197" s="16">
        <v>-9999</v>
      </c>
      <c r="CK197" s="16">
        <v>-9999</v>
      </c>
      <c r="CL197" s="16">
        <v>-9999</v>
      </c>
      <c r="CM197" s="16">
        <v>-9999</v>
      </c>
      <c r="CN197" s="16">
        <v>-9999</v>
      </c>
      <c r="CO197" s="16">
        <v>-9999</v>
      </c>
      <c r="CP197" s="16">
        <v>-9999</v>
      </c>
      <c r="CQ197" s="16">
        <v>-9999</v>
      </c>
      <c r="CR197" s="16">
        <v>-9999</v>
      </c>
      <c r="CS197" s="16">
        <v>-9999</v>
      </c>
      <c r="CT197" s="16">
        <v>-9999</v>
      </c>
      <c r="CU197" s="16">
        <v>-9999</v>
      </c>
      <c r="CV197" s="16">
        <v>-9999</v>
      </c>
      <c r="CW197" s="16">
        <v>-9999</v>
      </c>
      <c r="CX197" s="16">
        <v>-9999</v>
      </c>
      <c r="CY197" s="16">
        <v>-9999</v>
      </c>
      <c r="CZ197" s="16">
        <v>-9999</v>
      </c>
      <c r="DA197" s="16">
        <v>-9999</v>
      </c>
      <c r="DB197" s="16">
        <v>-9999</v>
      </c>
      <c r="DC197" s="16">
        <v>-9999</v>
      </c>
      <c r="DD197" s="16">
        <v>-9999</v>
      </c>
      <c r="DE197" s="16">
        <v>-9999</v>
      </c>
      <c r="DF197" s="16">
        <v>-9999</v>
      </c>
      <c r="DG197" s="16">
        <v>-9999</v>
      </c>
      <c r="DH197" s="16">
        <v>-9999</v>
      </c>
      <c r="DI197" s="16">
        <v>-9999</v>
      </c>
      <c r="DJ197" s="16">
        <v>-9999</v>
      </c>
      <c r="DK197" s="16">
        <v>-9999</v>
      </c>
      <c r="DL197" s="16">
        <v>-9999</v>
      </c>
      <c r="DM197" s="16">
        <v>-9999</v>
      </c>
      <c r="DN197" s="16">
        <v>-9999</v>
      </c>
      <c r="DO197" s="16">
        <v>-9999</v>
      </c>
      <c r="DP197" s="16">
        <v>-9999</v>
      </c>
      <c r="DQ197" s="16">
        <v>-9999</v>
      </c>
      <c r="DR197" s="16">
        <v>-9999</v>
      </c>
      <c r="DS197" s="16">
        <v>-9999</v>
      </c>
      <c r="DT197" s="16">
        <v>-9999</v>
      </c>
      <c r="DU197" s="16">
        <v>-9999</v>
      </c>
      <c r="DV197" s="16">
        <v>-9999</v>
      </c>
      <c r="DW197" s="16">
        <v>-9999</v>
      </c>
      <c r="DX197" s="16">
        <v>-9999</v>
      </c>
      <c r="DY197" s="16">
        <v>-9999</v>
      </c>
      <c r="DZ197" s="16">
        <v>-9999</v>
      </c>
      <c r="EA197" s="2196">
        <v>-9999</v>
      </c>
      <c r="EB197" s="2196">
        <v>-9999</v>
      </c>
      <c r="EC197" s="2196">
        <v>-9999</v>
      </c>
      <c r="ED197" s="2196">
        <v>-9999</v>
      </c>
      <c r="EE197" s="2196">
        <v>-9999</v>
      </c>
      <c r="EF197" s="2197">
        <v>-9999</v>
      </c>
      <c r="EG197" s="2197">
        <v>-9999</v>
      </c>
      <c r="EH197" s="2197">
        <v>-9999</v>
      </c>
      <c r="EI197" s="2197">
        <v>-9999</v>
      </c>
      <c r="EJ197" s="2197">
        <v>-9999</v>
      </c>
      <c r="EK197" s="2197">
        <v>-9999</v>
      </c>
      <c r="EL197" s="2197">
        <v>-9999</v>
      </c>
      <c r="EM197" s="2197">
        <v>-9999</v>
      </c>
    </row>
    <row r="198" spans="1:143">
      <c r="A198" s="22">
        <v>98</v>
      </c>
      <c r="B198" s="30" t="s">
        <v>1705</v>
      </c>
      <c r="C198" s="3088">
        <v>-9999</v>
      </c>
      <c r="D198" s="3088">
        <v>-9999</v>
      </c>
      <c r="E198" s="3088">
        <v>-9999</v>
      </c>
      <c r="F198" s="3088">
        <v>-9999</v>
      </c>
      <c r="G198" s="3088">
        <v>-9999</v>
      </c>
      <c r="H198" s="25">
        <v>-9999</v>
      </c>
      <c r="I198" s="25">
        <v>-9999</v>
      </c>
      <c r="J198" s="25">
        <v>-9999</v>
      </c>
      <c r="K198" s="25">
        <v>-9999</v>
      </c>
      <c r="L198" s="25">
        <v>-9999</v>
      </c>
      <c r="M198" s="25">
        <v>-9999</v>
      </c>
      <c r="N198" s="25">
        <v>-9999</v>
      </c>
      <c r="O198" s="25">
        <v>-9999</v>
      </c>
      <c r="P198"/>
      <c r="Q198"/>
      <c r="AA198" s="22">
        <v>98</v>
      </c>
      <c r="AB198" s="1040" t="str">
        <f t="shared" si="8"/>
        <v>FOR FUTURE USE</v>
      </c>
      <c r="AC198" s="1040">
        <f>CHOOSE(Tables!$U$2,Transfer!CA198,Transfer!CN198,Transfer!DA198,Transfer!DN198,Transfer!EA198)</f>
        <v>-9999</v>
      </c>
      <c r="AD198" s="1040">
        <f>CHOOSE(Tables!$U$2,Transfer!CB198,Transfer!CO198,Transfer!DB198,Transfer!DO198,Transfer!EB198)</f>
        <v>-9999</v>
      </c>
      <c r="AE198" s="1040">
        <f>CHOOSE(Tables!$U$2,Transfer!CC198,Transfer!CP198,Transfer!DC198,Transfer!DP198,Transfer!EC198)</f>
        <v>-9999</v>
      </c>
      <c r="AF198" s="1040">
        <f>CHOOSE(Tables!$U$2,Transfer!CD198,Transfer!CQ198,Transfer!DD198,Transfer!DQ198,Transfer!ED198)</f>
        <v>-9999</v>
      </c>
      <c r="AG198" s="1040">
        <f>CHOOSE(Tables!$U$2,Transfer!CE198,Transfer!CR198,Transfer!DE198,Transfer!DR198,Transfer!EE198)</f>
        <v>-9999</v>
      </c>
      <c r="AH198" s="1040">
        <f>CHOOSE(Tables!$U$2,Transfer!CF198,Transfer!CS198,Transfer!DF198,Transfer!DS198,Transfer!EF198)</f>
        <v>-9999</v>
      </c>
      <c r="AI198" s="1040">
        <f>CHOOSE(Tables!$U$2,Transfer!CG198,Transfer!CT198,Transfer!DG198,Transfer!DT198,Transfer!EG198)</f>
        <v>-9999</v>
      </c>
      <c r="AJ198" s="1040">
        <f>CHOOSE(Tables!$U$2,Transfer!CH198,Transfer!CU198,Transfer!DH198,Transfer!DU198,Transfer!EH198)</f>
        <v>-9999</v>
      </c>
      <c r="AK198" s="1040">
        <f>CHOOSE(Tables!$U$2,Transfer!CI198,Transfer!CV198,Transfer!DI198,Transfer!DV198,Transfer!EI198)</f>
        <v>-9999</v>
      </c>
      <c r="AL198" s="1040">
        <f>CHOOSE(Tables!$U$2,Transfer!CJ198,Transfer!CW198,Transfer!DJ198,Transfer!DW198,Transfer!EJ198)</f>
        <v>-9999</v>
      </c>
      <c r="AM198" s="1040">
        <f>CHOOSE(Tables!$U$2,Transfer!CK198,Transfer!CX198,Transfer!DK198,Transfer!DX198,Transfer!EK198)</f>
        <v>-9999</v>
      </c>
      <c r="AN198" s="1040">
        <f>CHOOSE(Tables!$U$2,Transfer!CL198,Transfer!CY198,Transfer!DL198,Transfer!DY198,Transfer!EL198)</f>
        <v>-9999</v>
      </c>
      <c r="AO198" s="1040">
        <f>CHOOSE(Tables!$U$2,Transfer!CM198,Transfer!CZ198,Transfer!DM198,Transfer!DZ198,Transfer!EM198)</f>
        <v>-9999</v>
      </c>
      <c r="AR198" s="22">
        <v>98</v>
      </c>
      <c r="AS198" s="30" t="s">
        <v>1705</v>
      </c>
      <c r="AT198" s="25">
        <f t="shared" si="10"/>
        <v>0</v>
      </c>
      <c r="AU198" s="25">
        <f t="shared" si="11"/>
        <v>0</v>
      </c>
      <c r="AV198" s="25">
        <f t="shared" si="12"/>
        <v>0</v>
      </c>
      <c r="AW198" s="25">
        <f t="shared" si="13"/>
        <v>0</v>
      </c>
      <c r="AX198" s="25">
        <f t="shared" si="14"/>
        <v>0</v>
      </c>
      <c r="AY198" s="25">
        <f t="shared" ref="AY198:AY210" si="19">H198-AH198</f>
        <v>0</v>
      </c>
      <c r="AZ198" s="25">
        <f t="shared" si="16"/>
        <v>0</v>
      </c>
      <c r="BA198" s="25">
        <f t="shared" si="17"/>
        <v>0</v>
      </c>
      <c r="BB198" s="25">
        <f t="shared" si="18"/>
        <v>0</v>
      </c>
      <c r="BC198" s="25">
        <f t="shared" si="7"/>
        <v>0</v>
      </c>
      <c r="BD198" s="25">
        <f t="shared" si="7"/>
        <v>0</v>
      </c>
      <c r="BE198" s="25">
        <f t="shared" si="7"/>
        <v>0</v>
      </c>
      <c r="BF198" s="25">
        <f t="shared" si="7"/>
        <v>0</v>
      </c>
      <c r="CA198" s="16">
        <v>-9999</v>
      </c>
      <c r="CB198" s="16">
        <v>-9999</v>
      </c>
      <c r="CC198" s="16">
        <v>-9999</v>
      </c>
      <c r="CD198" s="16">
        <v>-9999</v>
      </c>
      <c r="CE198" s="16">
        <v>-9999</v>
      </c>
      <c r="CF198" s="16">
        <v>-9999</v>
      </c>
      <c r="CG198" s="16">
        <v>-9999</v>
      </c>
      <c r="CH198" s="16">
        <v>-9999</v>
      </c>
      <c r="CI198" s="16">
        <v>-9999</v>
      </c>
      <c r="CJ198" s="16">
        <v>-9999</v>
      </c>
      <c r="CK198" s="16">
        <v>-9999</v>
      </c>
      <c r="CL198" s="16">
        <v>-9999</v>
      </c>
      <c r="CM198" s="16">
        <v>-9999</v>
      </c>
      <c r="CN198" s="16">
        <v>-9999</v>
      </c>
      <c r="CO198" s="16">
        <v>-9999</v>
      </c>
      <c r="CP198" s="16">
        <v>-9999</v>
      </c>
      <c r="CQ198" s="16">
        <v>-9999</v>
      </c>
      <c r="CR198" s="16">
        <v>-9999</v>
      </c>
      <c r="CS198" s="16">
        <v>-9999</v>
      </c>
      <c r="CT198" s="16">
        <v>-9999</v>
      </c>
      <c r="CU198" s="16">
        <v>-9999</v>
      </c>
      <c r="CV198" s="16">
        <v>-9999</v>
      </c>
      <c r="CW198" s="16">
        <v>-9999</v>
      </c>
      <c r="CX198" s="16">
        <v>-9999</v>
      </c>
      <c r="CY198" s="16">
        <v>-9999</v>
      </c>
      <c r="CZ198" s="16">
        <v>-9999</v>
      </c>
      <c r="DA198" s="16">
        <v>-9999</v>
      </c>
      <c r="DB198" s="16">
        <v>-9999</v>
      </c>
      <c r="DC198" s="16">
        <v>-9999</v>
      </c>
      <c r="DD198" s="16">
        <v>-9999</v>
      </c>
      <c r="DE198" s="16">
        <v>-9999</v>
      </c>
      <c r="DF198" s="16">
        <v>-9999</v>
      </c>
      <c r="DG198" s="16">
        <v>-9999</v>
      </c>
      <c r="DH198" s="16">
        <v>-9999</v>
      </c>
      <c r="DI198" s="16">
        <v>-9999</v>
      </c>
      <c r="DJ198" s="16">
        <v>-9999</v>
      </c>
      <c r="DK198" s="16">
        <v>-9999</v>
      </c>
      <c r="DL198" s="16">
        <v>-9999</v>
      </c>
      <c r="DM198" s="16">
        <v>-9999</v>
      </c>
      <c r="DN198" s="16">
        <v>-9999</v>
      </c>
      <c r="DO198" s="16">
        <v>-9999</v>
      </c>
      <c r="DP198" s="16">
        <v>-9999</v>
      </c>
      <c r="DQ198" s="16">
        <v>-9999</v>
      </c>
      <c r="DR198" s="16">
        <v>-9999</v>
      </c>
      <c r="DS198" s="16">
        <v>-9999</v>
      </c>
      <c r="DT198" s="16">
        <v>-9999</v>
      </c>
      <c r="DU198" s="16">
        <v>-9999</v>
      </c>
      <c r="DV198" s="16">
        <v>-9999</v>
      </c>
      <c r="DW198" s="16">
        <v>-9999</v>
      </c>
      <c r="DX198" s="16">
        <v>-9999</v>
      </c>
      <c r="DY198" s="16">
        <v>-9999</v>
      </c>
      <c r="DZ198" s="16">
        <v>-9999</v>
      </c>
      <c r="EA198" s="2197">
        <v>-9999</v>
      </c>
      <c r="EB198" s="2197">
        <v>-9999</v>
      </c>
      <c r="EC198" s="2197">
        <v>-9999</v>
      </c>
      <c r="ED198" s="2197">
        <v>-9999</v>
      </c>
      <c r="EE198" s="2197">
        <v>-9999</v>
      </c>
      <c r="EF198" s="2197">
        <v>-9999</v>
      </c>
      <c r="EG198" s="2197">
        <v>-9999</v>
      </c>
      <c r="EH198" s="2197">
        <v>-9999</v>
      </c>
      <c r="EI198" s="2197">
        <v>-9999</v>
      </c>
      <c r="EJ198" s="2197">
        <v>-9999</v>
      </c>
      <c r="EK198" s="2197">
        <v>-9999</v>
      </c>
      <c r="EL198" s="2197">
        <v>-9999</v>
      </c>
      <c r="EM198" s="2197">
        <v>-9999</v>
      </c>
    </row>
    <row r="199" spans="1:143">
      <c r="A199" s="22">
        <v>99</v>
      </c>
      <c r="B199" s="30" t="s">
        <v>1705</v>
      </c>
      <c r="C199" s="3088">
        <v>-9999</v>
      </c>
      <c r="D199" s="3088">
        <v>-9999</v>
      </c>
      <c r="E199" s="3088">
        <v>-9999</v>
      </c>
      <c r="F199" s="3088">
        <v>-9999</v>
      </c>
      <c r="G199" s="3088">
        <v>-9999</v>
      </c>
      <c r="H199" s="25">
        <v>-9999</v>
      </c>
      <c r="I199" s="25">
        <v>-9999</v>
      </c>
      <c r="J199" s="25">
        <v>-9999</v>
      </c>
      <c r="K199" s="25">
        <v>-9999</v>
      </c>
      <c r="L199" s="25">
        <v>-9999</v>
      </c>
      <c r="M199" s="25">
        <v>-9999</v>
      </c>
      <c r="N199" s="25">
        <v>-9999</v>
      </c>
      <c r="O199" s="25">
        <v>-9999</v>
      </c>
      <c r="P199"/>
      <c r="Q199"/>
      <c r="AA199" s="22">
        <v>99</v>
      </c>
      <c r="AB199" s="1040" t="str">
        <f t="shared" si="8"/>
        <v>FOR FUTURE USE</v>
      </c>
      <c r="AC199" s="1040">
        <f>CHOOSE(Tables!$U$2,Transfer!CA199,Transfer!CN199,Transfer!DA199,Transfer!DN199,Transfer!EA199)</f>
        <v>-9999</v>
      </c>
      <c r="AD199" s="1040">
        <f>CHOOSE(Tables!$U$2,Transfer!CB199,Transfer!CO199,Transfer!DB199,Transfer!DO199,Transfer!EB199)</f>
        <v>-9999</v>
      </c>
      <c r="AE199" s="1040">
        <f>CHOOSE(Tables!$U$2,Transfer!CC199,Transfer!CP199,Transfer!DC199,Transfer!DP199,Transfer!EC199)</f>
        <v>-9999</v>
      </c>
      <c r="AF199" s="1040">
        <f>CHOOSE(Tables!$U$2,Transfer!CD199,Transfer!CQ199,Transfer!DD199,Transfer!DQ199,Transfer!ED199)</f>
        <v>-9999</v>
      </c>
      <c r="AG199" s="1040">
        <f>CHOOSE(Tables!$U$2,Transfer!CE199,Transfer!CR199,Transfer!DE199,Transfer!DR199,Transfer!EE199)</f>
        <v>-9999</v>
      </c>
      <c r="AH199" s="1040">
        <f>CHOOSE(Tables!$U$2,Transfer!CF199,Transfer!CS199,Transfer!DF199,Transfer!DS199,Transfer!EF199)</f>
        <v>-9999</v>
      </c>
      <c r="AI199" s="1040">
        <f>CHOOSE(Tables!$U$2,Transfer!CG199,Transfer!CT199,Transfer!DG199,Transfer!DT199,Transfer!EG199)</f>
        <v>-9999</v>
      </c>
      <c r="AJ199" s="1040">
        <f>CHOOSE(Tables!$U$2,Transfer!CH199,Transfer!CU199,Transfer!DH199,Transfer!DU199,Transfer!EH199)</f>
        <v>-9999</v>
      </c>
      <c r="AK199" s="1040">
        <f>CHOOSE(Tables!$U$2,Transfer!CI199,Transfer!CV199,Transfer!DI199,Transfer!DV199,Transfer!EI199)</f>
        <v>-9999</v>
      </c>
      <c r="AL199" s="1040">
        <f>CHOOSE(Tables!$U$2,Transfer!CJ199,Transfer!CW199,Transfer!DJ199,Transfer!DW199,Transfer!EJ199)</f>
        <v>-9999</v>
      </c>
      <c r="AM199" s="1040">
        <f>CHOOSE(Tables!$U$2,Transfer!CK199,Transfer!CX199,Transfer!DK199,Transfer!DX199,Transfer!EK199)</f>
        <v>-9999</v>
      </c>
      <c r="AN199" s="1040">
        <f>CHOOSE(Tables!$U$2,Transfer!CL199,Transfer!CY199,Transfer!DL199,Transfer!DY199,Transfer!EL199)</f>
        <v>-9999</v>
      </c>
      <c r="AO199" s="1040">
        <f>CHOOSE(Tables!$U$2,Transfer!CM199,Transfer!CZ199,Transfer!DM199,Transfer!DZ199,Transfer!EM199)</f>
        <v>-9999</v>
      </c>
      <c r="AR199" s="22">
        <v>99</v>
      </c>
      <c r="AS199" s="30" t="s">
        <v>1705</v>
      </c>
      <c r="AT199" s="25">
        <f t="shared" si="10"/>
        <v>0</v>
      </c>
      <c r="AU199" s="25">
        <f t="shared" si="11"/>
        <v>0</v>
      </c>
      <c r="AV199" s="25">
        <f t="shared" si="12"/>
        <v>0</v>
      </c>
      <c r="AW199" s="25">
        <f t="shared" si="13"/>
        <v>0</v>
      </c>
      <c r="AX199" s="25">
        <f t="shared" si="14"/>
        <v>0</v>
      </c>
      <c r="AY199" s="25">
        <f t="shared" si="19"/>
        <v>0</v>
      </c>
      <c r="AZ199" s="25">
        <f t="shared" si="16"/>
        <v>0</v>
      </c>
      <c r="BA199" s="25">
        <f t="shared" si="17"/>
        <v>0</v>
      </c>
      <c r="BB199" s="25">
        <f t="shared" si="18"/>
        <v>0</v>
      </c>
      <c r="BC199" s="25">
        <f t="shared" si="7"/>
        <v>0</v>
      </c>
      <c r="BD199" s="25">
        <f t="shared" si="7"/>
        <v>0</v>
      </c>
      <c r="BE199" s="25">
        <f t="shared" si="7"/>
        <v>0</v>
      </c>
      <c r="BF199" s="25">
        <f t="shared" si="7"/>
        <v>0</v>
      </c>
      <c r="CA199" s="16">
        <v>-9999</v>
      </c>
      <c r="CB199" s="16">
        <v>-9999</v>
      </c>
      <c r="CC199" s="16">
        <v>-9999</v>
      </c>
      <c r="CD199" s="16">
        <v>-9999</v>
      </c>
      <c r="CE199" s="16">
        <v>-9999</v>
      </c>
      <c r="CF199" s="16">
        <v>-9999</v>
      </c>
      <c r="CG199" s="16">
        <v>-9999</v>
      </c>
      <c r="CH199" s="16">
        <v>-9999</v>
      </c>
      <c r="CI199" s="16">
        <v>-9999</v>
      </c>
      <c r="CJ199" s="16">
        <v>-9999</v>
      </c>
      <c r="CK199" s="16">
        <v>-9999</v>
      </c>
      <c r="CL199" s="16">
        <v>-9999</v>
      </c>
      <c r="CM199" s="16">
        <v>-9999</v>
      </c>
      <c r="CN199" s="16">
        <v>-9999</v>
      </c>
      <c r="CO199" s="16">
        <v>-9999</v>
      </c>
      <c r="CP199" s="16">
        <v>-9999</v>
      </c>
      <c r="CQ199" s="16">
        <v>-9999</v>
      </c>
      <c r="CR199" s="16">
        <v>-9999</v>
      </c>
      <c r="CS199" s="16">
        <v>-9999</v>
      </c>
      <c r="CT199" s="16">
        <v>-9999</v>
      </c>
      <c r="CU199" s="16">
        <v>-9999</v>
      </c>
      <c r="CV199" s="16">
        <v>-9999</v>
      </c>
      <c r="CW199" s="16">
        <v>-9999</v>
      </c>
      <c r="CX199" s="16">
        <v>-9999</v>
      </c>
      <c r="CY199" s="16">
        <v>-9999</v>
      </c>
      <c r="CZ199" s="16">
        <v>-9999</v>
      </c>
      <c r="DA199" s="16">
        <v>-9999</v>
      </c>
      <c r="DB199" s="16">
        <v>-9999</v>
      </c>
      <c r="DC199" s="16">
        <v>-9999</v>
      </c>
      <c r="DD199" s="16">
        <v>-9999</v>
      </c>
      <c r="DE199" s="16">
        <v>-9999</v>
      </c>
      <c r="DF199" s="16">
        <v>-9999</v>
      </c>
      <c r="DG199" s="16">
        <v>-9999</v>
      </c>
      <c r="DH199" s="16">
        <v>-9999</v>
      </c>
      <c r="DI199" s="16">
        <v>-9999</v>
      </c>
      <c r="DJ199" s="16">
        <v>-9999</v>
      </c>
      <c r="DK199" s="16">
        <v>-9999</v>
      </c>
      <c r="DL199" s="16">
        <v>-9999</v>
      </c>
      <c r="DM199" s="16">
        <v>-9999</v>
      </c>
      <c r="DN199" s="16">
        <v>-9999</v>
      </c>
      <c r="DO199" s="16">
        <v>-9999</v>
      </c>
      <c r="DP199" s="16">
        <v>-9999</v>
      </c>
      <c r="DQ199" s="16">
        <v>-9999</v>
      </c>
      <c r="DR199" s="16">
        <v>-9999</v>
      </c>
      <c r="DS199" s="16">
        <v>-9999</v>
      </c>
      <c r="DT199" s="16">
        <v>-9999</v>
      </c>
      <c r="DU199" s="16">
        <v>-9999</v>
      </c>
      <c r="DV199" s="16">
        <v>-9999</v>
      </c>
      <c r="DW199" s="16">
        <v>-9999</v>
      </c>
      <c r="DX199" s="16">
        <v>-9999</v>
      </c>
      <c r="DY199" s="16">
        <v>-9999</v>
      </c>
      <c r="DZ199" s="16">
        <v>-9999</v>
      </c>
      <c r="EA199" s="2197">
        <v>-9999</v>
      </c>
      <c r="EB199" s="2197">
        <v>-9999</v>
      </c>
      <c r="EC199" s="2197">
        <v>-9999</v>
      </c>
      <c r="ED199" s="2197">
        <v>-9999</v>
      </c>
      <c r="EE199" s="2197">
        <v>-9999</v>
      </c>
      <c r="EF199" s="2197">
        <v>-9999</v>
      </c>
      <c r="EG199" s="2197">
        <v>-9999</v>
      </c>
      <c r="EH199" s="2197">
        <v>-9999</v>
      </c>
      <c r="EI199" s="2197">
        <v>-9999</v>
      </c>
      <c r="EJ199" s="2197">
        <v>-9999</v>
      </c>
      <c r="EK199" s="2197">
        <v>-9999</v>
      </c>
      <c r="EL199" s="2197">
        <v>-9999</v>
      </c>
      <c r="EM199" s="2197">
        <v>-9999</v>
      </c>
    </row>
    <row r="200" spans="1:143">
      <c r="A200" s="22">
        <v>100</v>
      </c>
      <c r="B200" s="1" t="s">
        <v>430</v>
      </c>
      <c r="C200">
        <f ca="1">OFFSET(Sector1!F78,0,Last_forecast_year - 3-InputY!$G$3)</f>
        <v>24.728159999999999</v>
      </c>
      <c r="D200">
        <f ca="1">OFFSET(Sector1!G78,0,Last_forecast_year - 3-InputY!$G$3)</f>
        <v>25.56738</v>
      </c>
      <c r="E200">
        <f ca="1">OFFSET(Sector1!H78,0,Last_forecast_year - 3-InputY!$G$3)</f>
        <v>28.093316769273876</v>
      </c>
      <c r="F200">
        <f ca="1">OFFSET(Sector1!I78,0,Last_forecast_year - 3-InputY!$G$3)</f>
        <v>29.895443026415556</v>
      </c>
      <c r="G200">
        <f ca="1">OFFSET(Sector1!J78,0,Last_forecast_year - 3-InputY!$G$3)</f>
        <v>31.814666730987341</v>
      </c>
      <c r="H200" s="25">
        <v>-9999</v>
      </c>
      <c r="I200" s="25">
        <v>-9999</v>
      </c>
      <c r="J200" s="25">
        <v>-9999</v>
      </c>
      <c r="K200" s="25">
        <v>-9999</v>
      </c>
      <c r="L200" s="25">
        <v>-9999</v>
      </c>
      <c r="M200" s="25">
        <v>-9999</v>
      </c>
      <c r="N200" s="25">
        <v>-9999</v>
      </c>
      <c r="O200" s="25">
        <v>-9999</v>
      </c>
      <c r="P200"/>
      <c r="Q200"/>
      <c r="AA200" s="22">
        <v>100</v>
      </c>
      <c r="AB200" s="1040" t="str">
        <f t="shared" si="8"/>
        <v xml:space="preserve">COR GROSS VALUE ADDED </v>
      </c>
      <c r="AC200" s="1040">
        <f>CHOOSE(Tables!$U$2,Transfer!CA200,Transfer!CN200,Transfer!DA200,Transfer!DN200,Transfer!EA200)</f>
        <v>-9999</v>
      </c>
      <c r="AD200" s="1040">
        <f>CHOOSE(Tables!$U$2,Transfer!CB200,Transfer!CO200,Transfer!DB200,Transfer!DO200,Transfer!EB200)</f>
        <v>-9999</v>
      </c>
      <c r="AE200" s="1040">
        <f>CHOOSE(Tables!$U$2,Transfer!CC200,Transfer!CP200,Transfer!DC200,Transfer!DP200,Transfer!EC200)</f>
        <v>-9999</v>
      </c>
      <c r="AF200" s="1040">
        <f>CHOOSE(Tables!$U$2,Transfer!CD200,Transfer!CQ200,Transfer!DD200,Transfer!DQ200,Transfer!ED200)</f>
        <v>-9999</v>
      </c>
      <c r="AG200" s="1040">
        <f>CHOOSE(Tables!$U$2,Transfer!CE200,Transfer!CR200,Transfer!DE200,Transfer!DR200,Transfer!EE200)</f>
        <v>-9999</v>
      </c>
      <c r="AH200" s="1040">
        <f>CHOOSE(Tables!$U$2,Transfer!CF200,Transfer!CS200,Transfer!DF200,Transfer!DS200,Transfer!EF200)</f>
        <v>-9999</v>
      </c>
      <c r="AI200" s="1040">
        <f>CHOOSE(Tables!$U$2,Transfer!CG200,Transfer!CT200,Transfer!DG200,Transfer!DT200,Transfer!EG200)</f>
        <v>-9999</v>
      </c>
      <c r="AJ200" s="1040">
        <f>CHOOSE(Tables!$U$2,Transfer!CH200,Transfer!CU200,Transfer!DH200,Transfer!DU200,Transfer!EH200)</f>
        <v>-9999</v>
      </c>
      <c r="AK200" s="1040">
        <f>CHOOSE(Tables!$U$2,Transfer!CI200,Transfer!CV200,Transfer!DI200,Transfer!DV200,Transfer!EI200)</f>
        <v>-9999</v>
      </c>
      <c r="AL200" s="1040">
        <f>CHOOSE(Tables!$U$2,Transfer!CJ200,Transfer!CW200,Transfer!DJ200,Transfer!DW200,Transfer!EJ200)</f>
        <v>-9999</v>
      </c>
      <c r="AM200" s="1040">
        <f>CHOOSE(Tables!$U$2,Transfer!CK200,Transfer!CX200,Transfer!DK200,Transfer!DX200,Transfer!EK200)</f>
        <v>-9999</v>
      </c>
      <c r="AN200" s="1040">
        <f>CHOOSE(Tables!$U$2,Transfer!CL200,Transfer!CY200,Transfer!DL200,Transfer!DY200,Transfer!EL200)</f>
        <v>-9999</v>
      </c>
      <c r="AO200" s="1040">
        <f>CHOOSE(Tables!$U$2,Transfer!CM200,Transfer!CZ200,Transfer!DM200,Transfer!DZ200,Transfer!EM200)</f>
        <v>-9999</v>
      </c>
      <c r="AR200" s="22">
        <v>100</v>
      </c>
      <c r="AS200" s="1" t="s">
        <v>430</v>
      </c>
      <c r="AT200" s="24">
        <f t="shared" ca="1" si="10"/>
        <v>10023.728160000001</v>
      </c>
      <c r="AU200" s="24">
        <f t="shared" ca="1" si="11"/>
        <v>10024.56738</v>
      </c>
      <c r="AV200" s="24">
        <f t="shared" ca="1" si="12"/>
        <v>10027.093316769275</v>
      </c>
      <c r="AW200" s="24">
        <f t="shared" ca="1" si="13"/>
        <v>10028.895443026415</v>
      </c>
      <c r="AX200" s="24">
        <f t="shared" ca="1" si="14"/>
        <v>10030.814666730987</v>
      </c>
      <c r="AY200" s="25">
        <f t="shared" si="19"/>
        <v>0</v>
      </c>
      <c r="AZ200" s="25">
        <f t="shared" si="16"/>
        <v>0</v>
      </c>
      <c r="BA200" s="25">
        <f t="shared" si="17"/>
        <v>0</v>
      </c>
      <c r="BB200" s="25">
        <f t="shared" si="18"/>
        <v>0</v>
      </c>
      <c r="BC200" s="25">
        <f t="shared" si="7"/>
        <v>0</v>
      </c>
      <c r="BD200" s="25">
        <f t="shared" si="7"/>
        <v>0</v>
      </c>
      <c r="BE200" s="25">
        <f t="shared" si="7"/>
        <v>0</v>
      </c>
      <c r="BF200" s="25">
        <f t="shared" si="7"/>
        <v>0</v>
      </c>
      <c r="CA200" s="16">
        <v>-9999</v>
      </c>
      <c r="CB200" s="16">
        <v>-9999</v>
      </c>
      <c r="CC200" s="16">
        <v>-9999</v>
      </c>
      <c r="CD200" s="16">
        <v>-9999</v>
      </c>
      <c r="CE200" s="16">
        <v>-9999</v>
      </c>
      <c r="CF200" s="16">
        <v>-9999</v>
      </c>
      <c r="CG200" s="16">
        <v>-9999</v>
      </c>
      <c r="CH200" s="16">
        <v>-9999</v>
      </c>
      <c r="CI200" s="16">
        <v>-9999</v>
      </c>
      <c r="CJ200" s="16">
        <v>-9999</v>
      </c>
      <c r="CK200" s="16">
        <v>-9999</v>
      </c>
      <c r="CL200" s="16">
        <v>-9999</v>
      </c>
      <c r="CM200" s="16">
        <v>-9999</v>
      </c>
      <c r="CN200" s="16">
        <v>-9999</v>
      </c>
      <c r="CO200" s="16">
        <v>-9999</v>
      </c>
      <c r="CP200" s="16">
        <v>-9999</v>
      </c>
      <c r="CQ200" s="16">
        <v>-9999</v>
      </c>
      <c r="CR200" s="16">
        <v>-9999</v>
      </c>
      <c r="CS200" s="16">
        <v>-9999</v>
      </c>
      <c r="CT200" s="16">
        <v>-9999</v>
      </c>
      <c r="CU200" s="16">
        <v>-9999</v>
      </c>
      <c r="CV200" s="16">
        <v>-9999</v>
      </c>
      <c r="CW200" s="16">
        <v>-9999</v>
      </c>
      <c r="CX200" s="16">
        <v>-9999</v>
      </c>
      <c r="CY200" s="16">
        <v>-9999</v>
      </c>
      <c r="CZ200" s="16">
        <v>-9999</v>
      </c>
      <c r="DA200" s="16">
        <v>-9999</v>
      </c>
      <c r="DB200" s="16">
        <v>-9999</v>
      </c>
      <c r="DC200" s="16">
        <v>-9999</v>
      </c>
      <c r="DD200" s="16">
        <v>-9999</v>
      </c>
      <c r="DE200" s="16">
        <v>-9999</v>
      </c>
      <c r="DF200" s="16">
        <v>-9999</v>
      </c>
      <c r="DG200" s="16">
        <v>-9999</v>
      </c>
      <c r="DH200" s="16">
        <v>-9999</v>
      </c>
      <c r="DI200" s="16">
        <v>-9999</v>
      </c>
      <c r="DJ200" s="16">
        <v>-9999</v>
      </c>
      <c r="DK200" s="16">
        <v>-9999</v>
      </c>
      <c r="DL200" s="16">
        <v>-9999</v>
      </c>
      <c r="DM200" s="16">
        <v>-9999</v>
      </c>
      <c r="DN200" s="16">
        <v>-9999</v>
      </c>
      <c r="DO200" s="16">
        <v>-9999</v>
      </c>
      <c r="DP200" s="16">
        <v>-9999</v>
      </c>
      <c r="DQ200" s="16">
        <v>-9999</v>
      </c>
      <c r="DR200" s="16">
        <v>-9999</v>
      </c>
      <c r="DS200" s="16">
        <v>-9999</v>
      </c>
      <c r="DT200" s="16">
        <v>-9999</v>
      </c>
      <c r="DU200" s="16">
        <v>-9999</v>
      </c>
      <c r="DV200" s="16">
        <v>-9999</v>
      </c>
      <c r="DW200" s="16">
        <v>-9999</v>
      </c>
      <c r="DX200" s="16">
        <v>-9999</v>
      </c>
      <c r="DY200" s="16">
        <v>-9999</v>
      </c>
      <c r="DZ200" s="16">
        <v>-9999</v>
      </c>
      <c r="EA200" s="2196">
        <v>-9999</v>
      </c>
      <c r="EB200" s="2196">
        <v>-9999</v>
      </c>
      <c r="EC200" s="2196">
        <v>-9999</v>
      </c>
      <c r="ED200" s="2196">
        <v>-9999</v>
      </c>
      <c r="EE200" s="2196">
        <v>-9999</v>
      </c>
      <c r="EF200" s="2197">
        <v>-9999</v>
      </c>
      <c r="EG200" s="2197">
        <v>-9999</v>
      </c>
      <c r="EH200" s="2197">
        <v>-9999</v>
      </c>
      <c r="EI200" s="2197">
        <v>-9999</v>
      </c>
      <c r="EJ200" s="2197">
        <v>-9999</v>
      </c>
      <c r="EK200" s="2197">
        <v>-9999</v>
      </c>
      <c r="EL200" s="2197">
        <v>-9999</v>
      </c>
      <c r="EM200" s="2197">
        <v>-9999</v>
      </c>
    </row>
    <row r="201" spans="1:143">
      <c r="A201" s="22">
        <v>101</v>
      </c>
      <c r="B201" s="1" t="s">
        <v>1794</v>
      </c>
      <c r="C201">
        <f ca="1">OFFSET(Sector1!F47,0,Last_forecast_year - 3-InputY!$G$3)</f>
        <v>6.0969999999999996E-2</v>
      </c>
      <c r="D201">
        <f ca="1">OFFSET(Sector1!G47,0,Last_forecast_year - 3-InputY!$G$3)</f>
        <v>7.2870000000000004E-2</v>
      </c>
      <c r="E201">
        <f ca="1">OFFSET(Sector1!H47,0,Last_forecast_year - 3-InputY!$G$3)</f>
        <v>7.2870000000000004E-2</v>
      </c>
      <c r="F201">
        <f ca="1">OFFSET(Sector1!I47,0,Last_forecast_year - 3-InputY!$G$3)</f>
        <v>7.2870000000000004E-2</v>
      </c>
      <c r="G201">
        <f ca="1">OFFSET(Sector1!J47,0,Last_forecast_year - 3-InputY!$G$3)</f>
        <v>7.2870000000000004E-2</v>
      </c>
      <c r="H201" s="25">
        <v>-9999</v>
      </c>
      <c r="I201" s="25">
        <v>-9999</v>
      </c>
      <c r="J201" s="25">
        <v>-9999</v>
      </c>
      <c r="K201" s="25">
        <v>-9999</v>
      </c>
      <c r="L201" s="25">
        <v>-9999</v>
      </c>
      <c r="M201" s="25">
        <v>-9999</v>
      </c>
      <c r="N201" s="25">
        <v>-9999</v>
      </c>
      <c r="O201" s="25">
        <v>-9999</v>
      </c>
      <c r="P201"/>
      <c r="Q201"/>
      <c r="AA201" s="22">
        <v>101</v>
      </c>
      <c r="AB201" s="1040" t="str">
        <f t="shared" si="8"/>
        <v xml:space="preserve">COR OTHER SUBSIDIES ON PRODUCTION </v>
      </c>
      <c r="AC201" s="1040">
        <f>CHOOSE(Tables!$U$2,Transfer!CA201,Transfer!CN201,Transfer!DA201,Transfer!DN201,Transfer!EA201)</f>
        <v>-9999</v>
      </c>
      <c r="AD201" s="1040">
        <f>CHOOSE(Tables!$U$2,Transfer!CB201,Transfer!CO201,Transfer!DB201,Transfer!DO201,Transfer!EB201)</f>
        <v>-9999</v>
      </c>
      <c r="AE201" s="1040">
        <f>CHOOSE(Tables!$U$2,Transfer!CC201,Transfer!CP201,Transfer!DC201,Transfer!DP201,Transfer!EC201)</f>
        <v>-9999</v>
      </c>
      <c r="AF201" s="1040">
        <f>CHOOSE(Tables!$U$2,Transfer!CD201,Transfer!CQ201,Transfer!DD201,Transfer!DQ201,Transfer!ED201)</f>
        <v>-9999</v>
      </c>
      <c r="AG201" s="1040">
        <f>CHOOSE(Tables!$U$2,Transfer!CE201,Transfer!CR201,Transfer!DE201,Transfer!DR201,Transfer!EE201)</f>
        <v>-9999</v>
      </c>
      <c r="AH201" s="1040">
        <f>CHOOSE(Tables!$U$2,Transfer!CF201,Transfer!CS201,Transfer!DF201,Transfer!DS201,Transfer!EF201)</f>
        <v>-9999</v>
      </c>
      <c r="AI201" s="1040">
        <f>CHOOSE(Tables!$U$2,Transfer!CG201,Transfer!CT201,Transfer!DG201,Transfer!DT201,Transfer!EG201)</f>
        <v>-9999</v>
      </c>
      <c r="AJ201" s="1040">
        <f>CHOOSE(Tables!$U$2,Transfer!CH201,Transfer!CU201,Transfer!DH201,Transfer!DU201,Transfer!EH201)</f>
        <v>-9999</v>
      </c>
      <c r="AK201" s="1040">
        <f>CHOOSE(Tables!$U$2,Transfer!CI201,Transfer!CV201,Transfer!DI201,Transfer!DV201,Transfer!EI201)</f>
        <v>-9999</v>
      </c>
      <c r="AL201" s="1040">
        <f>CHOOSE(Tables!$U$2,Transfer!CJ201,Transfer!CW201,Transfer!DJ201,Transfer!DW201,Transfer!EJ201)</f>
        <v>-9999</v>
      </c>
      <c r="AM201" s="1040">
        <f>CHOOSE(Tables!$U$2,Transfer!CK201,Transfer!CX201,Transfer!DK201,Transfer!DX201,Transfer!EK201)</f>
        <v>-9999</v>
      </c>
      <c r="AN201" s="1040">
        <f>CHOOSE(Tables!$U$2,Transfer!CL201,Transfer!CY201,Transfer!DL201,Transfer!DY201,Transfer!EL201)</f>
        <v>-9999</v>
      </c>
      <c r="AO201" s="1040">
        <f>CHOOSE(Tables!$U$2,Transfer!CM201,Transfer!CZ201,Transfer!DM201,Transfer!DZ201,Transfer!EM201)</f>
        <v>-9999</v>
      </c>
      <c r="AR201" s="22">
        <v>101</v>
      </c>
      <c r="AS201" s="1" t="s">
        <v>1794</v>
      </c>
      <c r="AT201" s="24">
        <f t="shared" ca="1" si="10"/>
        <v>9999.0609700000005</v>
      </c>
      <c r="AU201" s="24">
        <f t="shared" ca="1" si="11"/>
        <v>9999.07287</v>
      </c>
      <c r="AV201" s="24">
        <f t="shared" ca="1" si="12"/>
        <v>9999.07287</v>
      </c>
      <c r="AW201" s="24">
        <f t="shared" ca="1" si="13"/>
        <v>9999.07287</v>
      </c>
      <c r="AX201" s="24">
        <f t="shared" ca="1" si="14"/>
        <v>9999.07287</v>
      </c>
      <c r="AY201" s="25">
        <f t="shared" si="19"/>
        <v>0</v>
      </c>
      <c r="AZ201" s="25">
        <f t="shared" si="16"/>
        <v>0</v>
      </c>
      <c r="BA201" s="25">
        <f t="shared" si="17"/>
        <v>0</v>
      </c>
      <c r="BB201" s="25">
        <f t="shared" si="18"/>
        <v>0</v>
      </c>
      <c r="BC201" s="25">
        <f t="shared" si="7"/>
        <v>0</v>
      </c>
      <c r="BD201" s="25">
        <f t="shared" si="7"/>
        <v>0</v>
      </c>
      <c r="BE201" s="25">
        <f t="shared" si="7"/>
        <v>0</v>
      </c>
      <c r="BF201" s="25">
        <f t="shared" si="7"/>
        <v>0</v>
      </c>
      <c r="CA201" s="16">
        <v>-9999</v>
      </c>
      <c r="CB201" s="16">
        <v>-9999</v>
      </c>
      <c r="CC201" s="16">
        <v>-9999</v>
      </c>
      <c r="CD201" s="16">
        <v>-9999</v>
      </c>
      <c r="CE201" s="16">
        <v>-9999</v>
      </c>
      <c r="CF201" s="16">
        <v>-9999</v>
      </c>
      <c r="CG201" s="16">
        <v>-9999</v>
      </c>
      <c r="CH201" s="16">
        <v>-9999</v>
      </c>
      <c r="CI201" s="16">
        <v>-9999</v>
      </c>
      <c r="CJ201" s="16">
        <v>-9999</v>
      </c>
      <c r="CK201" s="16">
        <v>-9999</v>
      </c>
      <c r="CL201" s="16">
        <v>-9999</v>
      </c>
      <c r="CM201" s="16">
        <v>-9999</v>
      </c>
      <c r="CN201" s="16">
        <v>-9999</v>
      </c>
      <c r="CO201" s="16">
        <v>-9999</v>
      </c>
      <c r="CP201" s="16">
        <v>-9999</v>
      </c>
      <c r="CQ201" s="16">
        <v>-9999</v>
      </c>
      <c r="CR201" s="16">
        <v>-9999</v>
      </c>
      <c r="CS201" s="16">
        <v>-9999</v>
      </c>
      <c r="CT201" s="16">
        <v>-9999</v>
      </c>
      <c r="CU201" s="16">
        <v>-9999</v>
      </c>
      <c r="CV201" s="16">
        <v>-9999</v>
      </c>
      <c r="CW201" s="16">
        <v>-9999</v>
      </c>
      <c r="CX201" s="16">
        <v>-9999</v>
      </c>
      <c r="CY201" s="16">
        <v>-9999</v>
      </c>
      <c r="CZ201" s="16">
        <v>-9999</v>
      </c>
      <c r="DA201" s="16">
        <v>-9999</v>
      </c>
      <c r="DB201" s="16">
        <v>-9999</v>
      </c>
      <c r="DC201" s="16">
        <v>-9999</v>
      </c>
      <c r="DD201" s="16">
        <v>-9999</v>
      </c>
      <c r="DE201" s="16">
        <v>-9999</v>
      </c>
      <c r="DF201" s="16">
        <v>-9999</v>
      </c>
      <c r="DG201" s="16">
        <v>-9999</v>
      </c>
      <c r="DH201" s="16">
        <v>-9999</v>
      </c>
      <c r="DI201" s="16">
        <v>-9999</v>
      </c>
      <c r="DJ201" s="16">
        <v>-9999</v>
      </c>
      <c r="DK201" s="16">
        <v>-9999</v>
      </c>
      <c r="DL201" s="16">
        <v>-9999</v>
      </c>
      <c r="DM201" s="16">
        <v>-9999</v>
      </c>
      <c r="DN201" s="16">
        <v>-9999</v>
      </c>
      <c r="DO201" s="16">
        <v>-9999</v>
      </c>
      <c r="DP201" s="16">
        <v>-9999</v>
      </c>
      <c r="DQ201" s="16">
        <v>-9999</v>
      </c>
      <c r="DR201" s="16">
        <v>-9999</v>
      </c>
      <c r="DS201" s="16">
        <v>-9999</v>
      </c>
      <c r="DT201" s="16">
        <v>-9999</v>
      </c>
      <c r="DU201" s="16">
        <v>-9999</v>
      </c>
      <c r="DV201" s="16">
        <v>-9999</v>
      </c>
      <c r="DW201" s="16">
        <v>-9999</v>
      </c>
      <c r="DX201" s="16">
        <v>-9999</v>
      </c>
      <c r="DY201" s="16">
        <v>-9999</v>
      </c>
      <c r="DZ201" s="16">
        <v>-9999</v>
      </c>
      <c r="EA201" s="2196">
        <v>-9999</v>
      </c>
      <c r="EB201" s="2196">
        <v>-9999</v>
      </c>
      <c r="EC201" s="2196">
        <v>-9999</v>
      </c>
      <c r="ED201" s="2196">
        <v>-9999</v>
      </c>
      <c r="EE201" s="2196">
        <v>-9999</v>
      </c>
      <c r="EF201" s="2197">
        <v>-9999</v>
      </c>
      <c r="EG201" s="2197">
        <v>-9999</v>
      </c>
      <c r="EH201" s="2197">
        <v>-9999</v>
      </c>
      <c r="EI201" s="2197">
        <v>-9999</v>
      </c>
      <c r="EJ201" s="2197">
        <v>-9999</v>
      </c>
      <c r="EK201" s="2197">
        <v>-9999</v>
      </c>
      <c r="EL201" s="2197">
        <v>-9999</v>
      </c>
      <c r="EM201" s="2197">
        <v>-9999</v>
      </c>
    </row>
    <row r="202" spans="1:143">
      <c r="A202" s="22">
        <v>102</v>
      </c>
      <c r="B202" s="1" t="s">
        <v>1795</v>
      </c>
      <c r="C202">
        <f ca="1">OFFSET(Sector1!F10,0,Last_forecast_year - 3-InputY!$G$3)</f>
        <v>0.21567</v>
      </c>
      <c r="D202">
        <f ca="1">OFFSET(Sector1!G10,0,Last_forecast_year - 3-InputY!$G$3)</f>
        <v>0.19243000000000002</v>
      </c>
      <c r="E202">
        <f ca="1">OFFSET(Sector1!H10,0,Last_forecast_year - 3-InputY!$G$3)</f>
        <v>0.20205150000000002</v>
      </c>
      <c r="F202">
        <f ca="1">OFFSET(Sector1!I10,0,Last_forecast_year - 3-InputY!$G$3)</f>
        <v>0.21215407500000003</v>
      </c>
      <c r="G202">
        <f ca="1">OFFSET(Sector1!J10,0,Last_forecast_year - 3-InputY!$G$3)</f>
        <v>0.22276177875000003</v>
      </c>
      <c r="H202" s="25">
        <v>-9999</v>
      </c>
      <c r="I202" s="25">
        <v>-9999</v>
      </c>
      <c r="J202" s="25">
        <v>-9999</v>
      </c>
      <c r="K202" s="25">
        <v>-9999</v>
      </c>
      <c r="L202" s="25">
        <v>-9999</v>
      </c>
      <c r="M202" s="25">
        <v>-9999</v>
      </c>
      <c r="N202" s="25">
        <v>-9999</v>
      </c>
      <c r="O202" s="25">
        <v>-9999</v>
      </c>
      <c r="P202"/>
      <c r="Q202"/>
      <c r="AA202" s="22">
        <v>102</v>
      </c>
      <c r="AB202" s="1040" t="str">
        <f t="shared" si="8"/>
        <v>COR OTHER TAXES ON PRODUCTS</v>
      </c>
      <c r="AC202" s="1040">
        <f>CHOOSE(Tables!$U$2,Transfer!CA202,Transfer!CN202,Transfer!DA202,Transfer!DN202,Transfer!EA202)</f>
        <v>-9999</v>
      </c>
      <c r="AD202" s="1040">
        <f>CHOOSE(Tables!$U$2,Transfer!CB202,Transfer!CO202,Transfer!DB202,Transfer!DO202,Transfer!EB202)</f>
        <v>-9999</v>
      </c>
      <c r="AE202" s="1040">
        <f>CHOOSE(Tables!$U$2,Transfer!CC202,Transfer!CP202,Transfer!DC202,Transfer!DP202,Transfer!EC202)</f>
        <v>-9999</v>
      </c>
      <c r="AF202" s="1040">
        <f>CHOOSE(Tables!$U$2,Transfer!CD202,Transfer!CQ202,Transfer!DD202,Transfer!DQ202,Transfer!ED202)</f>
        <v>-9999</v>
      </c>
      <c r="AG202" s="1040">
        <f>CHOOSE(Tables!$U$2,Transfer!CE202,Transfer!CR202,Transfer!DE202,Transfer!DR202,Transfer!EE202)</f>
        <v>-9999</v>
      </c>
      <c r="AH202" s="1040">
        <f>CHOOSE(Tables!$U$2,Transfer!CF202,Transfer!CS202,Transfer!DF202,Transfer!DS202,Transfer!EF202)</f>
        <v>-9999</v>
      </c>
      <c r="AI202" s="1040">
        <f>CHOOSE(Tables!$U$2,Transfer!CG202,Transfer!CT202,Transfer!DG202,Transfer!DT202,Transfer!EG202)</f>
        <v>-9999</v>
      </c>
      <c r="AJ202" s="1040">
        <f>CHOOSE(Tables!$U$2,Transfer!CH202,Transfer!CU202,Transfer!DH202,Transfer!DU202,Transfer!EH202)</f>
        <v>-9999</v>
      </c>
      <c r="AK202" s="1040">
        <f>CHOOSE(Tables!$U$2,Transfer!CI202,Transfer!CV202,Transfer!DI202,Transfer!DV202,Transfer!EI202)</f>
        <v>-9999</v>
      </c>
      <c r="AL202" s="1040">
        <f>CHOOSE(Tables!$U$2,Transfer!CJ202,Transfer!CW202,Transfer!DJ202,Transfer!DW202,Transfer!EJ202)</f>
        <v>-9999</v>
      </c>
      <c r="AM202" s="1040">
        <f>CHOOSE(Tables!$U$2,Transfer!CK202,Transfer!CX202,Transfer!DK202,Transfer!DX202,Transfer!EK202)</f>
        <v>-9999</v>
      </c>
      <c r="AN202" s="1040">
        <f>CHOOSE(Tables!$U$2,Transfer!CL202,Transfer!CY202,Transfer!DL202,Transfer!DY202,Transfer!EL202)</f>
        <v>-9999</v>
      </c>
      <c r="AO202" s="1040">
        <f>CHOOSE(Tables!$U$2,Transfer!CM202,Transfer!CZ202,Transfer!DM202,Transfer!DZ202,Transfer!EM202)</f>
        <v>-9999</v>
      </c>
      <c r="AR202" s="22">
        <v>102</v>
      </c>
      <c r="AS202" s="1" t="s">
        <v>1795</v>
      </c>
      <c r="AT202" s="24">
        <f t="shared" ca="1" si="10"/>
        <v>9999.2156699999996</v>
      </c>
      <c r="AU202" s="24">
        <f t="shared" ca="1" si="11"/>
        <v>9999.1924299999991</v>
      </c>
      <c r="AV202" s="24">
        <f t="shared" ca="1" si="12"/>
        <v>9999.2020515000004</v>
      </c>
      <c r="AW202" s="24">
        <f t="shared" ca="1" si="13"/>
        <v>9999.2121540749995</v>
      </c>
      <c r="AX202" s="24">
        <f t="shared" ca="1" si="14"/>
        <v>9999.2227617787503</v>
      </c>
      <c r="AY202" s="25">
        <f t="shared" si="19"/>
        <v>0</v>
      </c>
      <c r="AZ202" s="25">
        <f t="shared" si="16"/>
        <v>0</v>
      </c>
      <c r="BA202" s="25">
        <f t="shared" si="17"/>
        <v>0</v>
      </c>
      <c r="BB202" s="25">
        <f t="shared" si="18"/>
        <v>0</v>
      </c>
      <c r="BC202" s="25">
        <f t="shared" ref="BC202:BF206" si="20">L202-AL202</f>
        <v>0</v>
      </c>
      <c r="BD202" s="25">
        <f t="shared" si="20"/>
        <v>0</v>
      </c>
      <c r="BE202" s="25">
        <f t="shared" si="20"/>
        <v>0</v>
      </c>
      <c r="BF202" s="25">
        <f t="shared" si="20"/>
        <v>0</v>
      </c>
      <c r="CA202" s="16">
        <v>-9999</v>
      </c>
      <c r="CB202" s="16">
        <v>-9999</v>
      </c>
      <c r="CC202" s="16">
        <v>-9999</v>
      </c>
      <c r="CD202" s="16">
        <v>-9999</v>
      </c>
      <c r="CE202" s="16">
        <v>-9999</v>
      </c>
      <c r="CF202" s="16">
        <v>-9999</v>
      </c>
      <c r="CG202" s="16">
        <v>-9999</v>
      </c>
      <c r="CH202" s="16">
        <v>-9999</v>
      </c>
      <c r="CI202" s="16">
        <v>-9999</v>
      </c>
      <c r="CJ202" s="16">
        <v>-9999</v>
      </c>
      <c r="CK202" s="16">
        <v>-9999</v>
      </c>
      <c r="CL202" s="16">
        <v>-9999</v>
      </c>
      <c r="CM202" s="16">
        <v>-9999</v>
      </c>
      <c r="CN202" s="16">
        <v>-9999</v>
      </c>
      <c r="CO202" s="16">
        <v>-9999</v>
      </c>
      <c r="CP202" s="16">
        <v>-9999</v>
      </c>
      <c r="CQ202" s="16">
        <v>-9999</v>
      </c>
      <c r="CR202" s="16">
        <v>-9999</v>
      </c>
      <c r="CS202" s="16">
        <v>-9999</v>
      </c>
      <c r="CT202" s="16">
        <v>-9999</v>
      </c>
      <c r="CU202" s="16">
        <v>-9999</v>
      </c>
      <c r="CV202" s="16">
        <v>-9999</v>
      </c>
      <c r="CW202" s="16">
        <v>-9999</v>
      </c>
      <c r="CX202" s="16">
        <v>-9999</v>
      </c>
      <c r="CY202" s="16">
        <v>-9999</v>
      </c>
      <c r="CZ202" s="16">
        <v>-9999</v>
      </c>
      <c r="DA202" s="16">
        <v>-9999</v>
      </c>
      <c r="DB202" s="16">
        <v>-9999</v>
      </c>
      <c r="DC202" s="16">
        <v>-9999</v>
      </c>
      <c r="DD202" s="16">
        <v>-9999</v>
      </c>
      <c r="DE202" s="16">
        <v>-9999</v>
      </c>
      <c r="DF202" s="16">
        <v>-9999</v>
      </c>
      <c r="DG202" s="16">
        <v>-9999</v>
      </c>
      <c r="DH202" s="16">
        <v>-9999</v>
      </c>
      <c r="DI202" s="16">
        <v>-9999</v>
      </c>
      <c r="DJ202" s="16">
        <v>-9999</v>
      </c>
      <c r="DK202" s="16">
        <v>-9999</v>
      </c>
      <c r="DL202" s="16">
        <v>-9999</v>
      </c>
      <c r="DM202" s="16">
        <v>-9999</v>
      </c>
      <c r="DN202" s="16">
        <v>-9999</v>
      </c>
      <c r="DO202" s="16">
        <v>-9999</v>
      </c>
      <c r="DP202" s="16">
        <v>-9999</v>
      </c>
      <c r="DQ202" s="16">
        <v>-9999</v>
      </c>
      <c r="DR202" s="16">
        <v>-9999</v>
      </c>
      <c r="DS202" s="16">
        <v>-9999</v>
      </c>
      <c r="DT202" s="16">
        <v>-9999</v>
      </c>
      <c r="DU202" s="16">
        <v>-9999</v>
      </c>
      <c r="DV202" s="16">
        <v>-9999</v>
      </c>
      <c r="DW202" s="16">
        <v>-9999</v>
      </c>
      <c r="DX202" s="16">
        <v>-9999</v>
      </c>
      <c r="DY202" s="16">
        <v>-9999</v>
      </c>
      <c r="DZ202" s="16">
        <v>-9999</v>
      </c>
      <c r="EA202" s="2196">
        <v>-9999</v>
      </c>
      <c r="EB202" s="2196">
        <v>-9999</v>
      </c>
      <c r="EC202" s="2196">
        <v>-9999</v>
      </c>
      <c r="ED202" s="2196">
        <v>-9999</v>
      </c>
      <c r="EE202" s="2196">
        <v>-9999</v>
      </c>
      <c r="EF202" s="2197">
        <v>-9999</v>
      </c>
      <c r="EG202" s="2197">
        <v>-9999</v>
      </c>
      <c r="EH202" s="2197">
        <v>-9999</v>
      </c>
      <c r="EI202" s="2197">
        <v>-9999</v>
      </c>
      <c r="EJ202" s="2197">
        <v>-9999</v>
      </c>
      <c r="EK202" s="2197">
        <v>-9999</v>
      </c>
      <c r="EL202" s="2197">
        <v>-9999</v>
      </c>
      <c r="EM202" s="2197">
        <v>-9999</v>
      </c>
    </row>
    <row r="203" spans="1:143">
      <c r="A203" s="22">
        <v>103</v>
      </c>
      <c r="B203" s="1" t="s">
        <v>1157</v>
      </c>
      <c r="C203">
        <f ca="1">OFFSET(Labour1!F210,0,Last_forecast_year - 3-InputY!$G$3)</f>
        <v>11.52549</v>
      </c>
      <c r="D203">
        <f ca="1">OFFSET(Labour1!G210,0,Last_forecast_year - 3-InputY!$G$3)</f>
        <v>12.63739</v>
      </c>
      <c r="E203">
        <f ca="1">OFFSET(Labour1!H210,0,Last_forecast_year - 3-InputY!$G$3)</f>
        <v>13.926518249273876</v>
      </c>
      <c r="F203">
        <f ca="1">OFFSET(Labour1!I210,0,Last_forecast_year - 3-InputY!$G$3)</f>
        <v>14.79072867706623</v>
      </c>
      <c r="G203">
        <f ca="1">OFFSET(Labour1!J210,0,Last_forecast_year - 3-InputY!$G$3)</f>
        <v>15.662483697455624</v>
      </c>
      <c r="H203" s="25">
        <v>-9999</v>
      </c>
      <c r="I203" s="25">
        <v>-9999</v>
      </c>
      <c r="J203" s="25">
        <v>-9999</v>
      </c>
      <c r="K203" s="25">
        <v>-9999</v>
      </c>
      <c r="L203" s="25">
        <v>-9999</v>
      </c>
      <c r="M203" s="25">
        <v>-9999</v>
      </c>
      <c r="N203" s="25">
        <v>-9999</v>
      </c>
      <c r="O203" s="25">
        <v>-9999</v>
      </c>
      <c r="P203"/>
      <c r="Q203"/>
      <c r="AA203" s="22">
        <v>103</v>
      </c>
      <c r="AB203" s="1040" t="str">
        <f t="shared" si="8"/>
        <v xml:space="preserve">COR COMPENSATION OF EMPLOYEES </v>
      </c>
      <c r="AC203" s="1040">
        <f>CHOOSE(Tables!$U$2,Transfer!CA203,Transfer!CN203,Transfer!DA203,Transfer!DN203,Transfer!EA203)</f>
        <v>-9999</v>
      </c>
      <c r="AD203" s="1040">
        <f>CHOOSE(Tables!$U$2,Transfer!CB203,Transfer!CO203,Transfer!DB203,Transfer!DO203,Transfer!EB203)</f>
        <v>-9999</v>
      </c>
      <c r="AE203" s="1040">
        <f>CHOOSE(Tables!$U$2,Transfer!CC203,Transfer!CP203,Transfer!DC203,Transfer!DP203,Transfer!EC203)</f>
        <v>-9999</v>
      </c>
      <c r="AF203" s="1040">
        <f>CHOOSE(Tables!$U$2,Transfer!CD203,Transfer!CQ203,Transfer!DD203,Transfer!DQ203,Transfer!ED203)</f>
        <v>-9999</v>
      </c>
      <c r="AG203" s="1040">
        <f>CHOOSE(Tables!$U$2,Transfer!CE203,Transfer!CR203,Transfer!DE203,Transfer!DR203,Transfer!EE203)</f>
        <v>-9999</v>
      </c>
      <c r="AH203" s="1040">
        <f>CHOOSE(Tables!$U$2,Transfer!CF203,Transfer!CS203,Transfer!DF203,Transfer!DS203,Transfer!EF203)</f>
        <v>-9999</v>
      </c>
      <c r="AI203" s="1040">
        <f>CHOOSE(Tables!$U$2,Transfer!CG203,Transfer!CT203,Transfer!DG203,Transfer!DT203,Transfer!EG203)</f>
        <v>-9999</v>
      </c>
      <c r="AJ203" s="1040">
        <f>CHOOSE(Tables!$U$2,Transfer!CH203,Transfer!CU203,Transfer!DH203,Transfer!DU203,Transfer!EH203)</f>
        <v>-9999</v>
      </c>
      <c r="AK203" s="1040">
        <f>CHOOSE(Tables!$U$2,Transfer!CI203,Transfer!CV203,Transfer!DI203,Transfer!DV203,Transfer!EI203)</f>
        <v>-9999</v>
      </c>
      <c r="AL203" s="1040">
        <f>CHOOSE(Tables!$U$2,Transfer!CJ203,Transfer!CW203,Transfer!DJ203,Transfer!DW203,Transfer!EJ203)</f>
        <v>-9999</v>
      </c>
      <c r="AM203" s="1040">
        <f>CHOOSE(Tables!$U$2,Transfer!CK203,Transfer!CX203,Transfer!DK203,Transfer!DX203,Transfer!EK203)</f>
        <v>-9999</v>
      </c>
      <c r="AN203" s="1040">
        <f>CHOOSE(Tables!$U$2,Transfer!CL203,Transfer!CY203,Transfer!DL203,Transfer!DY203,Transfer!EL203)</f>
        <v>-9999</v>
      </c>
      <c r="AO203" s="1040">
        <f>CHOOSE(Tables!$U$2,Transfer!CM203,Transfer!CZ203,Transfer!DM203,Transfer!DZ203,Transfer!EM203)</f>
        <v>-9999</v>
      </c>
      <c r="AR203" s="22">
        <v>103</v>
      </c>
      <c r="AS203" s="1" t="s">
        <v>1157</v>
      </c>
      <c r="AT203" s="24">
        <f t="shared" ca="1" si="10"/>
        <v>10010.52549</v>
      </c>
      <c r="AU203" s="24">
        <f t="shared" ca="1" si="11"/>
        <v>10011.63739</v>
      </c>
      <c r="AV203" s="24">
        <f t="shared" ca="1" si="12"/>
        <v>10012.926518249275</v>
      </c>
      <c r="AW203" s="24">
        <f t="shared" ca="1" si="13"/>
        <v>10013.790728677066</v>
      </c>
      <c r="AX203" s="24">
        <f t="shared" ca="1" si="14"/>
        <v>10014.662483697455</v>
      </c>
      <c r="AY203" s="25">
        <f t="shared" si="19"/>
        <v>0</v>
      </c>
      <c r="AZ203" s="25">
        <f t="shared" si="16"/>
        <v>0</v>
      </c>
      <c r="BA203" s="25">
        <f t="shared" si="17"/>
        <v>0</v>
      </c>
      <c r="BB203" s="25">
        <f t="shared" si="18"/>
        <v>0</v>
      </c>
      <c r="BC203" s="25">
        <f t="shared" si="20"/>
        <v>0</v>
      </c>
      <c r="BD203" s="25">
        <f t="shared" si="20"/>
        <v>0</v>
      </c>
      <c r="BE203" s="25">
        <f t="shared" si="20"/>
        <v>0</v>
      </c>
      <c r="BF203" s="25">
        <f t="shared" si="20"/>
        <v>0</v>
      </c>
      <c r="CA203" s="16">
        <v>-9999</v>
      </c>
      <c r="CB203" s="16">
        <v>-9999</v>
      </c>
      <c r="CC203" s="16">
        <v>-9999</v>
      </c>
      <c r="CD203" s="16">
        <v>-9999</v>
      </c>
      <c r="CE203" s="16">
        <v>-9999</v>
      </c>
      <c r="CF203" s="16">
        <v>-9999</v>
      </c>
      <c r="CG203" s="16">
        <v>-9999</v>
      </c>
      <c r="CH203" s="16">
        <v>-9999</v>
      </c>
      <c r="CI203" s="16">
        <v>-9999</v>
      </c>
      <c r="CJ203" s="16">
        <v>-9999</v>
      </c>
      <c r="CK203" s="16">
        <v>-9999</v>
      </c>
      <c r="CL203" s="16">
        <v>-9999</v>
      </c>
      <c r="CM203" s="16">
        <v>-9999</v>
      </c>
      <c r="CN203" s="16">
        <v>-9999</v>
      </c>
      <c r="CO203" s="16">
        <v>-9999</v>
      </c>
      <c r="CP203" s="16">
        <v>-9999</v>
      </c>
      <c r="CQ203" s="16">
        <v>-9999</v>
      </c>
      <c r="CR203" s="16">
        <v>-9999</v>
      </c>
      <c r="CS203" s="16">
        <v>-9999</v>
      </c>
      <c r="CT203" s="16">
        <v>-9999</v>
      </c>
      <c r="CU203" s="16">
        <v>-9999</v>
      </c>
      <c r="CV203" s="16">
        <v>-9999</v>
      </c>
      <c r="CW203" s="16">
        <v>-9999</v>
      </c>
      <c r="CX203" s="16">
        <v>-9999</v>
      </c>
      <c r="CY203" s="16">
        <v>-9999</v>
      </c>
      <c r="CZ203" s="16">
        <v>-9999</v>
      </c>
      <c r="DA203" s="16">
        <v>-9999</v>
      </c>
      <c r="DB203" s="16">
        <v>-9999</v>
      </c>
      <c r="DC203" s="16">
        <v>-9999</v>
      </c>
      <c r="DD203" s="16">
        <v>-9999</v>
      </c>
      <c r="DE203" s="16">
        <v>-9999</v>
      </c>
      <c r="DF203" s="16">
        <v>-9999</v>
      </c>
      <c r="DG203" s="16">
        <v>-9999</v>
      </c>
      <c r="DH203" s="16">
        <v>-9999</v>
      </c>
      <c r="DI203" s="16">
        <v>-9999</v>
      </c>
      <c r="DJ203" s="16">
        <v>-9999</v>
      </c>
      <c r="DK203" s="16">
        <v>-9999</v>
      </c>
      <c r="DL203" s="16">
        <v>-9999</v>
      </c>
      <c r="DM203" s="16">
        <v>-9999</v>
      </c>
      <c r="DN203" s="16">
        <v>-9999</v>
      </c>
      <c r="DO203" s="16">
        <v>-9999</v>
      </c>
      <c r="DP203" s="16">
        <v>-9999</v>
      </c>
      <c r="DQ203" s="16">
        <v>-9999</v>
      </c>
      <c r="DR203" s="16">
        <v>-9999</v>
      </c>
      <c r="DS203" s="16">
        <v>-9999</v>
      </c>
      <c r="DT203" s="16">
        <v>-9999</v>
      </c>
      <c r="DU203" s="16">
        <v>-9999</v>
      </c>
      <c r="DV203" s="16">
        <v>-9999</v>
      </c>
      <c r="DW203" s="16">
        <v>-9999</v>
      </c>
      <c r="DX203" s="16">
        <v>-9999</v>
      </c>
      <c r="DY203" s="16">
        <v>-9999</v>
      </c>
      <c r="DZ203" s="16">
        <v>-9999</v>
      </c>
      <c r="EA203" s="2196">
        <v>-9999</v>
      </c>
      <c r="EB203" s="2196">
        <v>-9999</v>
      </c>
      <c r="EC203" s="2196">
        <v>-9999</v>
      </c>
      <c r="ED203" s="2196">
        <v>-9999</v>
      </c>
      <c r="EE203" s="2196">
        <v>-9999</v>
      </c>
      <c r="EF203" s="2197">
        <v>-9999</v>
      </c>
      <c r="EG203" s="2197">
        <v>-9999</v>
      </c>
      <c r="EH203" s="2197">
        <v>-9999</v>
      </c>
      <c r="EI203" s="2197">
        <v>-9999</v>
      </c>
      <c r="EJ203" s="2197">
        <v>-9999</v>
      </c>
      <c r="EK203" s="2197">
        <v>-9999</v>
      </c>
      <c r="EL203" s="2197">
        <v>-9999</v>
      </c>
      <c r="EM203" s="2197">
        <v>-9999</v>
      </c>
    </row>
    <row r="204" spans="1:143">
      <c r="A204" s="22">
        <v>104</v>
      </c>
      <c r="B204" s="1" t="s">
        <v>1159</v>
      </c>
      <c r="C204">
        <f ca="1">OFFSET(Sector1!F108,0,Last_forecast_year - 3-InputY!$G$3)</f>
        <v>13.047969999999999</v>
      </c>
      <c r="D204">
        <f ca="1">OFFSET(Sector1!G108,0,Last_forecast_year - 3-InputY!$G$3)</f>
        <v>12.81043</v>
      </c>
      <c r="E204">
        <f ca="1">OFFSET(Sector1!H108,0,Last_forecast_year - 3-InputY!$G$3)</f>
        <v>14.037617020000001</v>
      </c>
      <c r="F204">
        <f ca="1">OFFSET(Sector1!I108,0,Last_forecast_year - 3-InputY!$G$3)</f>
        <v>14.965430274349325</v>
      </c>
      <c r="G204">
        <f ca="1">OFFSET(Sector1!J108,0,Last_forecast_year - 3-InputY!$G$3)</f>
        <v>16.002291254781717</v>
      </c>
      <c r="H204" s="25">
        <v>-9999</v>
      </c>
      <c r="I204" s="25">
        <v>-9999</v>
      </c>
      <c r="J204" s="25">
        <v>-9999</v>
      </c>
      <c r="K204" s="25">
        <v>-9999</v>
      </c>
      <c r="L204" s="25">
        <v>-9999</v>
      </c>
      <c r="M204" s="25">
        <v>-9999</v>
      </c>
      <c r="N204" s="25">
        <v>-9999</v>
      </c>
      <c r="O204" s="25">
        <v>-9999</v>
      </c>
      <c r="P204"/>
      <c r="Q204"/>
      <c r="AA204" s="22">
        <v>104</v>
      </c>
      <c r="AB204" s="1040" t="str">
        <f t="shared" si="8"/>
        <v>COR GROSS OPERATING SURPLUS</v>
      </c>
      <c r="AC204" s="1040">
        <f>CHOOSE(Tables!$U$2,Transfer!CA204,Transfer!CN204,Transfer!DA204,Transfer!DN204,Transfer!EA204)</f>
        <v>-9999</v>
      </c>
      <c r="AD204" s="1040">
        <f>CHOOSE(Tables!$U$2,Transfer!CB204,Transfer!CO204,Transfer!DB204,Transfer!DO204,Transfer!EB204)</f>
        <v>-9999</v>
      </c>
      <c r="AE204" s="1040">
        <f>CHOOSE(Tables!$U$2,Transfer!CC204,Transfer!CP204,Transfer!DC204,Transfer!DP204,Transfer!EC204)</f>
        <v>-9999</v>
      </c>
      <c r="AF204" s="1040">
        <f>CHOOSE(Tables!$U$2,Transfer!CD204,Transfer!CQ204,Transfer!DD204,Transfer!DQ204,Transfer!ED204)</f>
        <v>-9999</v>
      </c>
      <c r="AG204" s="1040">
        <f>CHOOSE(Tables!$U$2,Transfer!CE204,Transfer!CR204,Transfer!DE204,Transfer!DR204,Transfer!EE204)</f>
        <v>-9999</v>
      </c>
      <c r="AH204" s="1040">
        <f>CHOOSE(Tables!$U$2,Transfer!CF204,Transfer!CS204,Transfer!DF204,Transfer!DS204,Transfer!EF204)</f>
        <v>-9999</v>
      </c>
      <c r="AI204" s="1040">
        <f>CHOOSE(Tables!$U$2,Transfer!CG204,Transfer!CT204,Transfer!DG204,Transfer!DT204,Transfer!EG204)</f>
        <v>-9999</v>
      </c>
      <c r="AJ204" s="1040">
        <f>CHOOSE(Tables!$U$2,Transfer!CH204,Transfer!CU204,Transfer!DH204,Transfer!DU204,Transfer!EH204)</f>
        <v>-9999</v>
      </c>
      <c r="AK204" s="1040">
        <f>CHOOSE(Tables!$U$2,Transfer!CI204,Transfer!CV204,Transfer!DI204,Transfer!DV204,Transfer!EI204)</f>
        <v>-9999</v>
      </c>
      <c r="AL204" s="1040">
        <f>CHOOSE(Tables!$U$2,Transfer!CJ204,Transfer!CW204,Transfer!DJ204,Transfer!DW204,Transfer!EJ204)</f>
        <v>-9999</v>
      </c>
      <c r="AM204" s="1040">
        <f>CHOOSE(Tables!$U$2,Transfer!CK204,Transfer!CX204,Transfer!DK204,Transfer!DX204,Transfer!EK204)</f>
        <v>-9999</v>
      </c>
      <c r="AN204" s="1040">
        <f>CHOOSE(Tables!$U$2,Transfer!CL204,Transfer!CY204,Transfer!DL204,Transfer!DY204,Transfer!EL204)</f>
        <v>-9999</v>
      </c>
      <c r="AO204" s="1040">
        <f>CHOOSE(Tables!$U$2,Transfer!CM204,Transfer!CZ204,Transfer!DM204,Transfer!DZ204,Transfer!EM204)</f>
        <v>-9999</v>
      </c>
      <c r="AR204" s="22">
        <v>104</v>
      </c>
      <c r="AS204" s="1" t="s">
        <v>1159</v>
      </c>
      <c r="AT204" s="24">
        <f t="shared" ca="1" si="10"/>
        <v>10012.04797</v>
      </c>
      <c r="AU204" s="24">
        <f t="shared" ca="1" si="11"/>
        <v>10011.81043</v>
      </c>
      <c r="AV204" s="24">
        <f t="shared" ca="1" si="12"/>
        <v>10013.03761702</v>
      </c>
      <c r="AW204" s="24">
        <f t="shared" ca="1" si="13"/>
        <v>10013.965430274349</v>
      </c>
      <c r="AX204" s="24">
        <f t="shared" ca="1" si="14"/>
        <v>10015.002291254781</v>
      </c>
      <c r="AY204" s="25">
        <f t="shared" si="19"/>
        <v>0</v>
      </c>
      <c r="AZ204" s="25">
        <f t="shared" si="16"/>
        <v>0</v>
      </c>
      <c r="BA204" s="25">
        <f t="shared" si="17"/>
        <v>0</v>
      </c>
      <c r="BB204" s="25">
        <f t="shared" si="18"/>
        <v>0</v>
      </c>
      <c r="BC204" s="25">
        <f t="shared" si="20"/>
        <v>0</v>
      </c>
      <c r="BD204" s="25">
        <f t="shared" si="20"/>
        <v>0</v>
      </c>
      <c r="BE204" s="25">
        <f t="shared" si="20"/>
        <v>0</v>
      </c>
      <c r="BF204" s="25">
        <f t="shared" si="20"/>
        <v>0</v>
      </c>
      <c r="CA204" s="16">
        <v>-9999</v>
      </c>
      <c r="CB204" s="16">
        <v>-9999</v>
      </c>
      <c r="CC204" s="16">
        <v>-9999</v>
      </c>
      <c r="CD204" s="16">
        <v>-9999</v>
      </c>
      <c r="CE204" s="16">
        <v>-9999</v>
      </c>
      <c r="CF204" s="16">
        <v>-9999</v>
      </c>
      <c r="CG204" s="16">
        <v>-9999</v>
      </c>
      <c r="CH204" s="16">
        <v>-9999</v>
      </c>
      <c r="CI204" s="16">
        <v>-9999</v>
      </c>
      <c r="CJ204" s="16">
        <v>-9999</v>
      </c>
      <c r="CK204" s="16">
        <v>-9999</v>
      </c>
      <c r="CL204" s="16">
        <v>-9999</v>
      </c>
      <c r="CM204" s="16">
        <v>-9999</v>
      </c>
      <c r="CN204" s="16">
        <v>-9999</v>
      </c>
      <c r="CO204" s="16">
        <v>-9999</v>
      </c>
      <c r="CP204" s="16">
        <v>-9999</v>
      </c>
      <c r="CQ204" s="16">
        <v>-9999</v>
      </c>
      <c r="CR204" s="16">
        <v>-9999</v>
      </c>
      <c r="CS204" s="16">
        <v>-9999</v>
      </c>
      <c r="CT204" s="16">
        <v>-9999</v>
      </c>
      <c r="CU204" s="16">
        <v>-9999</v>
      </c>
      <c r="CV204" s="16">
        <v>-9999</v>
      </c>
      <c r="CW204" s="16">
        <v>-9999</v>
      </c>
      <c r="CX204" s="16">
        <v>-9999</v>
      </c>
      <c r="CY204" s="16">
        <v>-9999</v>
      </c>
      <c r="CZ204" s="16">
        <v>-9999</v>
      </c>
      <c r="DA204" s="16">
        <v>-9999</v>
      </c>
      <c r="DB204" s="16">
        <v>-9999</v>
      </c>
      <c r="DC204" s="16">
        <v>-9999</v>
      </c>
      <c r="DD204" s="16">
        <v>-9999</v>
      </c>
      <c r="DE204" s="16">
        <v>-9999</v>
      </c>
      <c r="DF204" s="16">
        <v>-9999</v>
      </c>
      <c r="DG204" s="16">
        <v>-9999</v>
      </c>
      <c r="DH204" s="16">
        <v>-9999</v>
      </c>
      <c r="DI204" s="16">
        <v>-9999</v>
      </c>
      <c r="DJ204" s="16">
        <v>-9999</v>
      </c>
      <c r="DK204" s="16">
        <v>-9999</v>
      </c>
      <c r="DL204" s="16">
        <v>-9999</v>
      </c>
      <c r="DM204" s="16">
        <v>-9999</v>
      </c>
      <c r="DN204" s="16">
        <v>-9999</v>
      </c>
      <c r="DO204" s="16">
        <v>-9999</v>
      </c>
      <c r="DP204" s="16">
        <v>-9999</v>
      </c>
      <c r="DQ204" s="16">
        <v>-9999</v>
      </c>
      <c r="DR204" s="16">
        <v>-9999</v>
      </c>
      <c r="DS204" s="16">
        <v>-9999</v>
      </c>
      <c r="DT204" s="16">
        <v>-9999</v>
      </c>
      <c r="DU204" s="16">
        <v>-9999</v>
      </c>
      <c r="DV204" s="16">
        <v>-9999</v>
      </c>
      <c r="DW204" s="16">
        <v>-9999</v>
      </c>
      <c r="DX204" s="16">
        <v>-9999</v>
      </c>
      <c r="DY204" s="16">
        <v>-9999</v>
      </c>
      <c r="DZ204" s="16">
        <v>-9999</v>
      </c>
      <c r="EA204" s="2196">
        <v>-9999</v>
      </c>
      <c r="EB204" s="2196">
        <v>-9999</v>
      </c>
      <c r="EC204" s="2196">
        <v>-9999</v>
      </c>
      <c r="ED204" s="2196">
        <v>-9999</v>
      </c>
      <c r="EE204" s="2196">
        <v>-9999</v>
      </c>
      <c r="EF204" s="2197">
        <v>-9999</v>
      </c>
      <c r="EG204" s="2197">
        <v>-9999</v>
      </c>
      <c r="EH204" s="2197">
        <v>-9999</v>
      </c>
      <c r="EI204" s="2197">
        <v>-9999</v>
      </c>
      <c r="EJ204" s="2197">
        <v>-9999</v>
      </c>
      <c r="EK204" s="2197">
        <v>-9999</v>
      </c>
      <c r="EL204" s="2197">
        <v>-9999</v>
      </c>
      <c r="EM204" s="2197">
        <v>-9999</v>
      </c>
    </row>
    <row r="205" spans="1:143">
      <c r="A205" s="22">
        <v>105</v>
      </c>
      <c r="B205" s="1" t="s">
        <v>1161</v>
      </c>
      <c r="C205">
        <f ca="1">OFFSET(Sector1!F136,0,Last_forecast_year - 3-InputY!$G$3)</f>
        <v>-6.1047099999999999</v>
      </c>
      <c r="D205">
        <f ca="1">OFFSET(Sector1!G136,0,Last_forecast_year - 3-InputY!$G$3)</f>
        <v>-6.4326499999999998</v>
      </c>
      <c r="E205">
        <f ca="1">OFFSET(Sector1!H136,0,Last_forecast_year - 3-InputY!$G$3)</f>
        <v>-6.7864457499999995</v>
      </c>
      <c r="F205">
        <f ca="1">OFFSET(Sector1!I136,0,Last_forecast_year - 3-InputY!$G$3)</f>
        <v>-7.1597002662499989</v>
      </c>
      <c r="G205">
        <f ca="1">OFFSET(Sector1!J136,0,Last_forecast_year - 3-InputY!$G$3)</f>
        <v>-7.5534837808937487</v>
      </c>
      <c r="H205" s="25">
        <v>-9999</v>
      </c>
      <c r="I205" s="25">
        <v>-9999</v>
      </c>
      <c r="J205" s="25">
        <v>-9999</v>
      </c>
      <c r="K205" s="25">
        <v>-9999</v>
      </c>
      <c r="L205" s="25">
        <v>-9999</v>
      </c>
      <c r="M205" s="25">
        <v>-9999</v>
      </c>
      <c r="N205" s="25">
        <v>-9999</v>
      </c>
      <c r="O205" s="25">
        <v>-9999</v>
      </c>
      <c r="P205"/>
      <c r="Q205"/>
      <c r="AA205" s="22">
        <v>105</v>
      </c>
      <c r="AB205" s="1040" t="str">
        <f t="shared" si="8"/>
        <v>COR PROPERTY INCOME (NET)</v>
      </c>
      <c r="AC205" s="1040">
        <f>CHOOSE(Tables!$U$2,Transfer!CA205,Transfer!CN205,Transfer!DA205,Transfer!DN205,Transfer!EA205)</f>
        <v>-9999</v>
      </c>
      <c r="AD205" s="1040">
        <f>CHOOSE(Tables!$U$2,Transfer!CB205,Transfer!CO205,Transfer!DB205,Transfer!DO205,Transfer!EB205)</f>
        <v>-9999</v>
      </c>
      <c r="AE205" s="1040">
        <f>CHOOSE(Tables!$U$2,Transfer!CC205,Transfer!CP205,Transfer!DC205,Transfer!DP205,Transfer!EC205)</f>
        <v>-9999</v>
      </c>
      <c r="AF205" s="1040">
        <f>CHOOSE(Tables!$U$2,Transfer!CD205,Transfer!CQ205,Transfer!DD205,Transfer!DQ205,Transfer!ED205)</f>
        <v>-9999</v>
      </c>
      <c r="AG205" s="1040">
        <f>CHOOSE(Tables!$U$2,Transfer!CE205,Transfer!CR205,Transfer!DE205,Transfer!DR205,Transfer!EE205)</f>
        <v>-9999</v>
      </c>
      <c r="AH205" s="1040">
        <f>CHOOSE(Tables!$U$2,Transfer!CF205,Transfer!CS205,Transfer!DF205,Transfer!DS205,Transfer!EF205)</f>
        <v>-9999</v>
      </c>
      <c r="AI205" s="1040">
        <f>CHOOSE(Tables!$U$2,Transfer!CG205,Transfer!CT205,Transfer!DG205,Transfer!DT205,Transfer!EG205)</f>
        <v>-9999</v>
      </c>
      <c r="AJ205" s="1040">
        <f>CHOOSE(Tables!$U$2,Transfer!CH205,Transfer!CU205,Transfer!DH205,Transfer!DU205,Transfer!EH205)</f>
        <v>-9999</v>
      </c>
      <c r="AK205" s="1040">
        <f>CHOOSE(Tables!$U$2,Transfer!CI205,Transfer!CV205,Transfer!DI205,Transfer!DV205,Transfer!EI205)</f>
        <v>-9999</v>
      </c>
      <c r="AL205" s="1040">
        <f>CHOOSE(Tables!$U$2,Transfer!CJ205,Transfer!CW205,Transfer!DJ205,Transfer!DW205,Transfer!EJ205)</f>
        <v>-9999</v>
      </c>
      <c r="AM205" s="1040">
        <f>CHOOSE(Tables!$U$2,Transfer!CK205,Transfer!CX205,Transfer!DK205,Transfer!DX205,Transfer!EK205)</f>
        <v>-9999</v>
      </c>
      <c r="AN205" s="1040">
        <f>CHOOSE(Tables!$U$2,Transfer!CL205,Transfer!CY205,Transfer!DL205,Transfer!DY205,Transfer!EL205)</f>
        <v>-9999</v>
      </c>
      <c r="AO205" s="1040">
        <f>CHOOSE(Tables!$U$2,Transfer!CM205,Transfer!CZ205,Transfer!DM205,Transfer!DZ205,Transfer!EM205)</f>
        <v>-9999</v>
      </c>
      <c r="AR205" s="22">
        <v>105</v>
      </c>
      <c r="AS205" s="1" t="s">
        <v>1161</v>
      </c>
      <c r="AT205" s="24">
        <f t="shared" ca="1" si="10"/>
        <v>9992.8952900000004</v>
      </c>
      <c r="AU205" s="24">
        <f t="shared" ca="1" si="11"/>
        <v>9992.5673499999994</v>
      </c>
      <c r="AV205" s="24">
        <f t="shared" ca="1" si="12"/>
        <v>9992.21355425</v>
      </c>
      <c r="AW205" s="24">
        <f t="shared" ca="1" si="13"/>
        <v>9991.8402997337507</v>
      </c>
      <c r="AX205" s="24">
        <f t="shared" ca="1" si="14"/>
        <v>9991.4465162191063</v>
      </c>
      <c r="AY205" s="25">
        <f t="shared" si="19"/>
        <v>0</v>
      </c>
      <c r="AZ205" s="25">
        <f t="shared" si="16"/>
        <v>0</v>
      </c>
      <c r="BA205" s="25">
        <f t="shared" si="17"/>
        <v>0</v>
      </c>
      <c r="BB205" s="25">
        <f t="shared" si="18"/>
        <v>0</v>
      </c>
      <c r="BC205" s="25">
        <f t="shared" si="20"/>
        <v>0</v>
      </c>
      <c r="BD205" s="25">
        <f t="shared" si="20"/>
        <v>0</v>
      </c>
      <c r="BE205" s="25">
        <f t="shared" si="20"/>
        <v>0</v>
      </c>
      <c r="BF205" s="25">
        <f t="shared" si="20"/>
        <v>0</v>
      </c>
      <c r="CA205" s="16">
        <v>-9999</v>
      </c>
      <c r="CB205" s="16">
        <v>-9999</v>
      </c>
      <c r="CC205" s="16">
        <v>-9999</v>
      </c>
      <c r="CD205" s="16">
        <v>-9999</v>
      </c>
      <c r="CE205" s="16">
        <v>-9999</v>
      </c>
      <c r="CF205" s="16">
        <v>-9999</v>
      </c>
      <c r="CG205" s="16">
        <v>-9999</v>
      </c>
      <c r="CH205" s="16">
        <v>-9999</v>
      </c>
      <c r="CI205" s="16">
        <v>-9999</v>
      </c>
      <c r="CJ205" s="16">
        <v>-9999</v>
      </c>
      <c r="CK205" s="16">
        <v>-9999</v>
      </c>
      <c r="CL205" s="16">
        <v>-9999</v>
      </c>
      <c r="CM205" s="16">
        <v>-9999</v>
      </c>
      <c r="CN205" s="16">
        <v>-9999</v>
      </c>
      <c r="CO205" s="16">
        <v>-9999</v>
      </c>
      <c r="CP205" s="16">
        <v>-9999</v>
      </c>
      <c r="CQ205" s="16">
        <v>-9999</v>
      </c>
      <c r="CR205" s="16">
        <v>-9999</v>
      </c>
      <c r="CS205" s="16">
        <v>-9999</v>
      </c>
      <c r="CT205" s="16">
        <v>-9999</v>
      </c>
      <c r="CU205" s="16">
        <v>-9999</v>
      </c>
      <c r="CV205" s="16">
        <v>-9999</v>
      </c>
      <c r="CW205" s="16">
        <v>-9999</v>
      </c>
      <c r="CX205" s="16">
        <v>-9999</v>
      </c>
      <c r="CY205" s="16">
        <v>-9999</v>
      </c>
      <c r="CZ205" s="16">
        <v>-9999</v>
      </c>
      <c r="DA205" s="16">
        <v>-9999</v>
      </c>
      <c r="DB205" s="16">
        <v>-9999</v>
      </c>
      <c r="DC205" s="16">
        <v>-9999</v>
      </c>
      <c r="DD205" s="16">
        <v>-9999</v>
      </c>
      <c r="DE205" s="16">
        <v>-9999</v>
      </c>
      <c r="DF205" s="16">
        <v>-9999</v>
      </c>
      <c r="DG205" s="16">
        <v>-9999</v>
      </c>
      <c r="DH205" s="16">
        <v>-9999</v>
      </c>
      <c r="DI205" s="16">
        <v>-9999</v>
      </c>
      <c r="DJ205" s="16">
        <v>-9999</v>
      </c>
      <c r="DK205" s="16">
        <v>-9999</v>
      </c>
      <c r="DL205" s="16">
        <v>-9999</v>
      </c>
      <c r="DM205" s="16">
        <v>-9999</v>
      </c>
      <c r="DN205" s="16">
        <v>-9999</v>
      </c>
      <c r="DO205" s="16">
        <v>-9999</v>
      </c>
      <c r="DP205" s="16">
        <v>-9999</v>
      </c>
      <c r="DQ205" s="16">
        <v>-9999</v>
      </c>
      <c r="DR205" s="16">
        <v>-9999</v>
      </c>
      <c r="DS205" s="16">
        <v>-9999</v>
      </c>
      <c r="DT205" s="16">
        <v>-9999</v>
      </c>
      <c r="DU205" s="16">
        <v>-9999</v>
      </c>
      <c r="DV205" s="16">
        <v>-9999</v>
      </c>
      <c r="DW205" s="16">
        <v>-9999</v>
      </c>
      <c r="DX205" s="16">
        <v>-9999</v>
      </c>
      <c r="DY205" s="16">
        <v>-9999</v>
      </c>
      <c r="DZ205" s="16">
        <v>-9999</v>
      </c>
      <c r="EA205" s="2196">
        <v>-9999</v>
      </c>
      <c r="EB205" s="2196">
        <v>-9999</v>
      </c>
      <c r="EC205" s="2196">
        <v>-9999</v>
      </c>
      <c r="ED205" s="2196">
        <v>-9999</v>
      </c>
      <c r="EE205" s="2196">
        <v>-9999</v>
      </c>
      <c r="EF205" s="2197">
        <v>-9999</v>
      </c>
      <c r="EG205" s="2197">
        <v>-9999</v>
      </c>
      <c r="EH205" s="2197">
        <v>-9999</v>
      </c>
      <c r="EI205" s="2197">
        <v>-9999</v>
      </c>
      <c r="EJ205" s="2197">
        <v>-9999</v>
      </c>
      <c r="EK205" s="2197">
        <v>-9999</v>
      </c>
      <c r="EL205" s="2197">
        <v>-9999</v>
      </c>
      <c r="EM205" s="2197">
        <v>-9999</v>
      </c>
    </row>
    <row r="206" spans="1:143">
      <c r="A206" s="22">
        <v>106</v>
      </c>
      <c r="B206" s="1" t="s">
        <v>1851</v>
      </c>
      <c r="C206">
        <f ca="1">OFFSET(Sector1!F732,0,Last_forecast_year - 3-InputY!$G$3)</f>
        <v>-0.15076999999999996</v>
      </c>
      <c r="D206">
        <f ca="1">OFFSET(Sector1!G732,0,Last_forecast_year - 3-InputY!$G$3)</f>
        <v>-0.20697999999999994</v>
      </c>
      <c r="E206">
        <f ca="1">OFFSET(Sector1!H732,0,Last_forecast_year - 3-InputY!$G$3)</f>
        <v>-0.23816079999999995</v>
      </c>
      <c r="F206">
        <f ca="1">OFFSET(Sector1!I732,0,Last_forecast_year - 3-InputY!$G$3)</f>
        <v>-0.27266380600000018</v>
      </c>
      <c r="G206">
        <f ca="1">OFFSET(Sector1!J732,0,Last_forecast_year - 3-InputY!$G$3)</f>
        <v>-0.31080148603000013</v>
      </c>
      <c r="H206" s="25">
        <v>-9999</v>
      </c>
      <c r="I206" s="25">
        <v>-9999</v>
      </c>
      <c r="J206" s="25">
        <v>-9999</v>
      </c>
      <c r="K206" s="25">
        <v>-9999</v>
      </c>
      <c r="L206" s="25">
        <v>-9999</v>
      </c>
      <c r="M206" s="25">
        <v>-9999</v>
      </c>
      <c r="N206" s="25">
        <v>-9999</v>
      </c>
      <c r="O206" s="25">
        <v>-9999</v>
      </c>
      <c r="P206"/>
      <c r="Q206"/>
      <c r="AA206" s="22">
        <v>106</v>
      </c>
      <c r="AB206" s="1040" t="str">
        <f t="shared" si="8"/>
        <v>COR CURRENT TRANSFERS (NET RECEIPTS)</v>
      </c>
      <c r="AC206" s="1040">
        <f>CHOOSE(Tables!$U$2,Transfer!CA206,Transfer!CN206,Transfer!DA206,Transfer!DN206,Transfer!EA206)</f>
        <v>-9999</v>
      </c>
      <c r="AD206" s="1040">
        <f>CHOOSE(Tables!$U$2,Transfer!CB206,Transfer!CO206,Transfer!DB206,Transfer!DO206,Transfer!EB206)</f>
        <v>-9999</v>
      </c>
      <c r="AE206" s="1040">
        <f>CHOOSE(Tables!$U$2,Transfer!CC206,Transfer!CP206,Transfer!DC206,Transfer!DP206,Transfer!EC206)</f>
        <v>-9999</v>
      </c>
      <c r="AF206" s="1040">
        <f>CHOOSE(Tables!$U$2,Transfer!CD206,Transfer!CQ206,Transfer!DD206,Transfer!DQ206,Transfer!ED206)</f>
        <v>-9999</v>
      </c>
      <c r="AG206" s="1040">
        <f>CHOOSE(Tables!$U$2,Transfer!CE206,Transfer!CR206,Transfer!DE206,Transfer!DR206,Transfer!EE206)</f>
        <v>-9999</v>
      </c>
      <c r="AH206" s="1040">
        <f>CHOOSE(Tables!$U$2,Transfer!CF206,Transfer!CS206,Transfer!DF206,Transfer!DS206,Transfer!EF206)</f>
        <v>-9999</v>
      </c>
      <c r="AI206" s="1040">
        <f>CHOOSE(Tables!$U$2,Transfer!CG206,Transfer!CT206,Transfer!DG206,Transfer!DT206,Transfer!EG206)</f>
        <v>-9999</v>
      </c>
      <c r="AJ206" s="1040">
        <f>CHOOSE(Tables!$U$2,Transfer!CH206,Transfer!CU206,Transfer!DH206,Transfer!DU206,Transfer!EH206)</f>
        <v>-9999</v>
      </c>
      <c r="AK206" s="1040">
        <f>CHOOSE(Tables!$U$2,Transfer!CI206,Transfer!CV206,Transfer!DI206,Transfer!DV206,Transfer!EI206)</f>
        <v>-9999</v>
      </c>
      <c r="AL206" s="1040">
        <f>CHOOSE(Tables!$U$2,Transfer!CJ206,Transfer!CW206,Transfer!DJ206,Transfer!DW206,Transfer!EJ206)</f>
        <v>-9999</v>
      </c>
      <c r="AM206" s="1040">
        <f>CHOOSE(Tables!$U$2,Transfer!CK206,Transfer!CX206,Transfer!DK206,Transfer!DX206,Transfer!EK206)</f>
        <v>-9999</v>
      </c>
      <c r="AN206" s="1040">
        <f>CHOOSE(Tables!$U$2,Transfer!CL206,Transfer!CY206,Transfer!DL206,Transfer!DY206,Transfer!EL206)</f>
        <v>-9999</v>
      </c>
      <c r="AO206" s="1040">
        <f>CHOOSE(Tables!$U$2,Transfer!CM206,Transfer!CZ206,Transfer!DM206,Transfer!DZ206,Transfer!EM206)</f>
        <v>-9999</v>
      </c>
      <c r="AR206" s="22">
        <v>106</v>
      </c>
      <c r="AS206" s="1" t="s">
        <v>1851</v>
      </c>
      <c r="AT206" s="24">
        <f t="shared" ca="1" si="10"/>
        <v>9998.8492299999998</v>
      </c>
      <c r="AU206" s="24">
        <f t="shared" ca="1" si="11"/>
        <v>9998.7930199999992</v>
      </c>
      <c r="AV206" s="24">
        <f t="shared" ca="1" si="12"/>
        <v>9998.7618392000004</v>
      </c>
      <c r="AW206" s="24">
        <f t="shared" ca="1" si="13"/>
        <v>9998.7273361940006</v>
      </c>
      <c r="AX206" s="24">
        <f t="shared" ca="1" si="14"/>
        <v>9998.68919851397</v>
      </c>
      <c r="AY206" s="25">
        <f t="shared" si="19"/>
        <v>0</v>
      </c>
      <c r="AZ206" s="25">
        <f t="shared" si="16"/>
        <v>0</v>
      </c>
      <c r="BA206" s="25">
        <f t="shared" si="17"/>
        <v>0</v>
      </c>
      <c r="BB206" s="25">
        <f t="shared" si="18"/>
        <v>0</v>
      </c>
      <c r="BC206" s="25">
        <f t="shared" si="20"/>
        <v>0</v>
      </c>
      <c r="BD206" s="25">
        <f t="shared" si="20"/>
        <v>0</v>
      </c>
      <c r="BE206" s="25">
        <f t="shared" si="20"/>
        <v>0</v>
      </c>
      <c r="BF206" s="25">
        <f t="shared" si="20"/>
        <v>0</v>
      </c>
      <c r="CA206" s="16">
        <v>-9999</v>
      </c>
      <c r="CB206" s="16">
        <v>-9999</v>
      </c>
      <c r="CC206" s="16">
        <v>-9999</v>
      </c>
      <c r="CD206" s="16">
        <v>-9999</v>
      </c>
      <c r="CE206" s="16">
        <v>-9999</v>
      </c>
      <c r="CF206" s="16">
        <v>-9999</v>
      </c>
      <c r="CG206" s="16">
        <v>-9999</v>
      </c>
      <c r="CH206" s="16">
        <v>-9999</v>
      </c>
      <c r="CI206" s="16">
        <v>-9999</v>
      </c>
      <c r="CJ206" s="16">
        <v>-9999</v>
      </c>
      <c r="CK206" s="16">
        <v>-9999</v>
      </c>
      <c r="CL206" s="16">
        <v>-9999</v>
      </c>
      <c r="CM206" s="16">
        <v>-9999</v>
      </c>
      <c r="CN206" s="16">
        <v>-9999</v>
      </c>
      <c r="CO206" s="16">
        <v>-9999</v>
      </c>
      <c r="CP206" s="16">
        <v>-9999</v>
      </c>
      <c r="CQ206" s="16">
        <v>-9999</v>
      </c>
      <c r="CR206" s="16">
        <v>-9999</v>
      </c>
      <c r="CS206" s="16">
        <v>-9999</v>
      </c>
      <c r="CT206" s="16">
        <v>-9999</v>
      </c>
      <c r="CU206" s="16">
        <v>-9999</v>
      </c>
      <c r="CV206" s="16">
        <v>-9999</v>
      </c>
      <c r="CW206" s="16">
        <v>-9999</v>
      </c>
      <c r="CX206" s="16">
        <v>-9999</v>
      </c>
      <c r="CY206" s="16">
        <v>-9999</v>
      </c>
      <c r="CZ206" s="16">
        <v>-9999</v>
      </c>
      <c r="DA206" s="16">
        <v>-9999</v>
      </c>
      <c r="DB206" s="16">
        <v>-9999</v>
      </c>
      <c r="DC206" s="16">
        <v>-9999</v>
      </c>
      <c r="DD206" s="16">
        <v>-9999</v>
      </c>
      <c r="DE206" s="16">
        <v>-9999</v>
      </c>
      <c r="DF206" s="16">
        <v>-9999</v>
      </c>
      <c r="DG206" s="16">
        <v>-9999</v>
      </c>
      <c r="DH206" s="16">
        <v>-9999</v>
      </c>
      <c r="DI206" s="16">
        <v>-9999</v>
      </c>
      <c r="DJ206" s="16">
        <v>-9999</v>
      </c>
      <c r="DK206" s="16">
        <v>-9999</v>
      </c>
      <c r="DL206" s="16">
        <v>-9999</v>
      </c>
      <c r="DM206" s="16">
        <v>-9999</v>
      </c>
      <c r="DN206" s="16">
        <v>-9999</v>
      </c>
      <c r="DO206" s="16">
        <v>-9999</v>
      </c>
      <c r="DP206" s="16">
        <v>-9999</v>
      </c>
      <c r="DQ206" s="16">
        <v>-9999</v>
      </c>
      <c r="DR206" s="16">
        <v>-9999</v>
      </c>
      <c r="DS206" s="16">
        <v>-9999</v>
      </c>
      <c r="DT206" s="16">
        <v>-9999</v>
      </c>
      <c r="DU206" s="16">
        <v>-9999</v>
      </c>
      <c r="DV206" s="16">
        <v>-9999</v>
      </c>
      <c r="DW206" s="16">
        <v>-9999</v>
      </c>
      <c r="DX206" s="16">
        <v>-9999</v>
      </c>
      <c r="DY206" s="16">
        <v>-9999</v>
      </c>
      <c r="DZ206" s="16">
        <v>-9999</v>
      </c>
      <c r="EA206" s="2196">
        <v>-9999</v>
      </c>
      <c r="EB206" s="2196">
        <v>-9999</v>
      </c>
      <c r="EC206" s="2196">
        <v>-9999</v>
      </c>
      <c r="ED206" s="2196">
        <v>-9999</v>
      </c>
      <c r="EE206" s="2196">
        <v>-9999</v>
      </c>
      <c r="EF206" s="2197">
        <v>-9999</v>
      </c>
      <c r="EG206" s="2197">
        <v>-9999</v>
      </c>
      <c r="EH206" s="2197">
        <v>-9999</v>
      </c>
      <c r="EI206" s="2197">
        <v>-9999</v>
      </c>
      <c r="EJ206" s="2197">
        <v>-9999</v>
      </c>
      <c r="EK206" s="2197">
        <v>-9999</v>
      </c>
      <c r="EL206" s="2197">
        <v>-9999</v>
      </c>
      <c r="EM206" s="2197">
        <v>-9999</v>
      </c>
    </row>
    <row r="207" spans="1:143">
      <c r="A207" s="22">
        <v>107</v>
      </c>
      <c r="B207" s="1" t="s">
        <v>1852</v>
      </c>
      <c r="C207" s="24">
        <f ca="1">OFFSET(Sector1!F202,0,Last_forecast_year - 3-InputY!$G$3)</f>
        <v>0.57265999999999995</v>
      </c>
      <c r="D207" s="24">
        <f ca="1">OFFSET(Sector1!G202,0,Last_forecast_year - 3-InputY!$G$3)</f>
        <v>0.62555999999999989</v>
      </c>
      <c r="E207" s="24">
        <f ca="1">OFFSET(Sector1!H202,0,Last_forecast_year - 3-InputY!$G$3)</f>
        <v>0.63099999999999989</v>
      </c>
      <c r="F207" s="24">
        <f ca="1">OFFSET(Sector1!I202,0,Last_forecast_year - 3-InputY!$G$3)</f>
        <v>0.6499299999999999</v>
      </c>
      <c r="G207" s="24">
        <f ca="1">OFFSET(Sector1!J202,0,Last_forecast_year - 3-InputY!$G$3)</f>
        <v>0.6882758699999999</v>
      </c>
      <c r="H207" s="25">
        <v>-9999</v>
      </c>
      <c r="I207" s="25">
        <v>-9999</v>
      </c>
      <c r="J207" s="25">
        <v>-9999</v>
      </c>
      <c r="K207" s="25">
        <v>-9999</v>
      </c>
      <c r="L207" s="25">
        <v>-9999</v>
      </c>
      <c r="M207" s="25">
        <v>-9999</v>
      </c>
      <c r="N207" s="25">
        <v>-9999</v>
      </c>
      <c r="O207" s="25">
        <v>-9999</v>
      </c>
      <c r="P207"/>
      <c r="Q207"/>
      <c r="AA207" s="22">
        <v>107</v>
      </c>
      <c r="AB207" s="1040" t="str">
        <f t="shared" si="8"/>
        <v>COR CURRENT TAXES ON INCOME AND WEALTH</v>
      </c>
      <c r="AC207" s="1040">
        <f>CHOOSE(Tables!$U$2,Transfer!CA207,Transfer!CN207,Transfer!DA207,Transfer!DN207,Transfer!EA207)</f>
        <v>-9999</v>
      </c>
      <c r="AD207" s="1040">
        <f>CHOOSE(Tables!$U$2,Transfer!CB207,Transfer!CO207,Transfer!DB207,Transfer!DO207,Transfer!EB207)</f>
        <v>-9999</v>
      </c>
      <c r="AE207" s="1040">
        <f>CHOOSE(Tables!$U$2,Transfer!CC207,Transfer!CP207,Transfer!DC207,Transfer!DP207,Transfer!EC207)</f>
        <v>-9999</v>
      </c>
      <c r="AF207" s="1040">
        <f>CHOOSE(Tables!$U$2,Transfer!CD207,Transfer!CQ207,Transfer!DD207,Transfer!DQ207,Transfer!ED207)</f>
        <v>-9999</v>
      </c>
      <c r="AG207" s="1040">
        <f>CHOOSE(Tables!$U$2,Transfer!CE207,Transfer!CR207,Transfer!DE207,Transfer!DR207,Transfer!EE207)</f>
        <v>-9999</v>
      </c>
      <c r="AH207" s="1040">
        <f>CHOOSE(Tables!$U$2,Transfer!CF207,Transfer!CS207,Transfer!DF207,Transfer!DS207,Transfer!EF207)</f>
        <v>-9999</v>
      </c>
      <c r="AI207" s="1040">
        <f>CHOOSE(Tables!$U$2,Transfer!CG207,Transfer!CT207,Transfer!DG207,Transfer!DT207,Transfer!EG207)</f>
        <v>-9999</v>
      </c>
      <c r="AJ207" s="1040">
        <f>CHOOSE(Tables!$U$2,Transfer!CH207,Transfer!CU207,Transfer!DH207,Transfer!DU207,Transfer!EH207)</f>
        <v>-9999</v>
      </c>
      <c r="AK207" s="1040">
        <f>CHOOSE(Tables!$U$2,Transfer!CI207,Transfer!CV207,Transfer!DI207,Transfer!DV207,Transfer!EI207)</f>
        <v>-9999</v>
      </c>
      <c r="AL207" s="1040">
        <f>CHOOSE(Tables!$U$2,Transfer!CJ207,Transfer!CW207,Transfer!DJ207,Transfer!DW207,Transfer!EJ207)</f>
        <v>-9999</v>
      </c>
      <c r="AM207" s="1040">
        <f>CHOOSE(Tables!$U$2,Transfer!CK207,Transfer!CX207,Transfer!DK207,Transfer!DX207,Transfer!EK207)</f>
        <v>-9999</v>
      </c>
      <c r="AN207" s="1040">
        <f>CHOOSE(Tables!$U$2,Transfer!CL207,Transfer!CY207,Transfer!DL207,Transfer!DY207,Transfer!EL207)</f>
        <v>-9999</v>
      </c>
      <c r="AO207" s="1040">
        <f>CHOOSE(Tables!$U$2,Transfer!CM207,Transfer!CZ207,Transfer!DM207,Transfer!DZ207,Transfer!EM207)</f>
        <v>-9999</v>
      </c>
      <c r="AR207" s="22">
        <v>107</v>
      </c>
      <c r="AS207" s="1" t="s">
        <v>1852</v>
      </c>
      <c r="AT207" s="24">
        <f t="shared" ca="1" si="10"/>
        <v>9999.5726599999998</v>
      </c>
      <c r="AU207" s="24">
        <f t="shared" ca="1" si="11"/>
        <v>9999.6255600000004</v>
      </c>
      <c r="AV207" s="24">
        <f t="shared" ca="1" si="12"/>
        <v>9999.6309999999994</v>
      </c>
      <c r="AW207" s="24">
        <f t="shared" ca="1" si="13"/>
        <v>9999.6499299999996</v>
      </c>
      <c r="AX207" s="24">
        <f t="shared" ca="1" si="14"/>
        <v>9999.6882758699994</v>
      </c>
      <c r="AY207" s="25">
        <f t="shared" si="19"/>
        <v>0</v>
      </c>
      <c r="AZ207" s="25">
        <f t="shared" si="16"/>
        <v>0</v>
      </c>
      <c r="BA207" s="25">
        <f t="shared" si="17"/>
        <v>0</v>
      </c>
      <c r="BB207" s="25">
        <f t="shared" si="18"/>
        <v>0</v>
      </c>
      <c r="BC207" s="25">
        <f>L207-AL207</f>
        <v>0</v>
      </c>
      <c r="BD207" s="25">
        <f t="shared" ref="BC207:BF270" si="21">M207-AM207</f>
        <v>0</v>
      </c>
      <c r="BE207" s="25">
        <f t="shared" si="21"/>
        <v>0</v>
      </c>
      <c r="BF207" s="25">
        <f t="shared" si="21"/>
        <v>0</v>
      </c>
      <c r="CA207" s="16">
        <v>-9999</v>
      </c>
      <c r="CB207" s="16">
        <v>-9999</v>
      </c>
      <c r="CC207" s="16">
        <v>-9999</v>
      </c>
      <c r="CD207" s="16">
        <v>-9999</v>
      </c>
      <c r="CE207" s="16">
        <v>-9999</v>
      </c>
      <c r="CF207" s="16">
        <v>-9999</v>
      </c>
      <c r="CG207" s="16">
        <v>-9999</v>
      </c>
      <c r="CH207" s="16">
        <v>-9999</v>
      </c>
      <c r="CI207" s="16">
        <v>-9999</v>
      </c>
      <c r="CJ207" s="16">
        <v>-9999</v>
      </c>
      <c r="CK207" s="16">
        <v>-9999</v>
      </c>
      <c r="CL207" s="16">
        <v>-9999</v>
      </c>
      <c r="CM207" s="16">
        <v>-9999</v>
      </c>
      <c r="CN207" s="16">
        <v>-9999</v>
      </c>
      <c r="CO207" s="16">
        <v>-9999</v>
      </c>
      <c r="CP207" s="16">
        <v>-9999</v>
      </c>
      <c r="CQ207" s="16">
        <v>-9999</v>
      </c>
      <c r="CR207" s="16">
        <v>-9999</v>
      </c>
      <c r="CS207" s="16">
        <v>-9999</v>
      </c>
      <c r="CT207" s="16">
        <v>-9999</v>
      </c>
      <c r="CU207" s="16">
        <v>-9999</v>
      </c>
      <c r="CV207" s="16">
        <v>-9999</v>
      </c>
      <c r="CW207" s="16">
        <v>-9999</v>
      </c>
      <c r="CX207" s="16">
        <v>-9999</v>
      </c>
      <c r="CY207" s="16">
        <v>-9999</v>
      </c>
      <c r="CZ207" s="16">
        <v>-9999</v>
      </c>
      <c r="DA207" s="16">
        <v>-9999</v>
      </c>
      <c r="DB207" s="16">
        <v>-9999</v>
      </c>
      <c r="DC207" s="16">
        <v>-9999</v>
      </c>
      <c r="DD207" s="16">
        <v>-9999</v>
      </c>
      <c r="DE207" s="16">
        <v>-9999</v>
      </c>
      <c r="DF207" s="16">
        <v>-9999</v>
      </c>
      <c r="DG207" s="16">
        <v>-9999</v>
      </c>
      <c r="DH207" s="16">
        <v>-9999</v>
      </c>
      <c r="DI207" s="16">
        <v>-9999</v>
      </c>
      <c r="DJ207" s="16">
        <v>-9999</v>
      </c>
      <c r="DK207" s="16">
        <v>-9999</v>
      </c>
      <c r="DL207" s="16">
        <v>-9999</v>
      </c>
      <c r="DM207" s="16">
        <v>-9999</v>
      </c>
      <c r="DN207" s="16">
        <v>-9999</v>
      </c>
      <c r="DO207" s="16">
        <v>-9999</v>
      </c>
      <c r="DP207" s="16">
        <v>-9999</v>
      </c>
      <c r="DQ207" s="16">
        <v>-9999</v>
      </c>
      <c r="DR207" s="16">
        <v>-9999</v>
      </c>
      <c r="DS207" s="16">
        <v>-9999</v>
      </c>
      <c r="DT207" s="16">
        <v>-9999</v>
      </c>
      <c r="DU207" s="16">
        <v>-9999</v>
      </c>
      <c r="DV207" s="16">
        <v>-9999</v>
      </c>
      <c r="DW207" s="16">
        <v>-9999</v>
      </c>
      <c r="DX207" s="16">
        <v>-9999</v>
      </c>
      <c r="DY207" s="16">
        <v>-9999</v>
      </c>
      <c r="DZ207" s="16">
        <v>-9999</v>
      </c>
      <c r="EA207" s="2196">
        <v>-9999</v>
      </c>
      <c r="EB207" s="2196">
        <v>-9999</v>
      </c>
      <c r="EC207" s="2196">
        <v>-9999</v>
      </c>
      <c r="ED207" s="2196">
        <v>-9999</v>
      </c>
      <c r="EE207" s="2196">
        <v>-9999</v>
      </c>
      <c r="EF207" s="2197">
        <v>-9999</v>
      </c>
      <c r="EG207" s="2197">
        <v>-9999</v>
      </c>
      <c r="EH207" s="2197">
        <v>-9999</v>
      </c>
      <c r="EI207" s="2197">
        <v>-9999</v>
      </c>
      <c r="EJ207" s="2197">
        <v>-9999</v>
      </c>
      <c r="EK207" s="2197">
        <v>-9999</v>
      </c>
      <c r="EL207" s="2197">
        <v>-9999</v>
      </c>
      <c r="EM207" s="2197">
        <v>-9999</v>
      </c>
    </row>
    <row r="208" spans="1:143">
      <c r="A208" s="22">
        <v>108</v>
      </c>
      <c r="B208" s="1" t="s">
        <v>1967</v>
      </c>
      <c r="C208">
        <f ca="1">OFFSET(Sector1!F397,0,Last_forecast_year - 3-InputY!$G$3)</f>
        <v>0.12872</v>
      </c>
      <c r="D208">
        <f ca="1">OFFSET(Sector1!G397,0,Last_forecast_year - 3-InputY!$G$3)</f>
        <v>0.13106000000000001</v>
      </c>
      <c r="E208">
        <f ca="1">OFFSET(Sector1!H397,0,Last_forecast_year - 3-InputY!$G$3)</f>
        <v>0.13106000000000001</v>
      </c>
      <c r="F208">
        <f ca="1">OFFSET(Sector1!I397,0,Last_forecast_year - 3-InputY!$G$3)</f>
        <v>0.13106000000000001</v>
      </c>
      <c r="G208">
        <f ca="1">OFFSET(Sector1!J397,0,Last_forecast_year - 3-InputY!$G$3)</f>
        <v>0.13106000000000001</v>
      </c>
      <c r="H208" s="25">
        <v>-9999</v>
      </c>
      <c r="I208" s="25">
        <v>-9999</v>
      </c>
      <c r="J208" s="25">
        <v>-9999</v>
      </c>
      <c r="K208" s="25">
        <v>-9999</v>
      </c>
      <c r="L208" s="25">
        <v>-9999</v>
      </c>
      <c r="M208" s="25">
        <v>-9999</v>
      </c>
      <c r="N208" s="25">
        <v>-9999</v>
      </c>
      <c r="O208" s="25">
        <v>-9999</v>
      </c>
      <c r="P208"/>
      <c r="Q208"/>
      <c r="AA208" s="22">
        <v>108</v>
      </c>
      <c r="AB208" s="1040" t="str">
        <f t="shared" si="8"/>
        <v>COR CHANGE IN NET EQUITY IN PENSION FUNDS</v>
      </c>
      <c r="AC208" s="1040">
        <f>CHOOSE(Tables!$U$2,Transfer!CA208,Transfer!CN208,Transfer!DA208,Transfer!DN208,Transfer!EA208)</f>
        <v>-9999</v>
      </c>
      <c r="AD208" s="1040">
        <f>CHOOSE(Tables!$U$2,Transfer!CB208,Transfer!CO208,Transfer!DB208,Transfer!DO208,Transfer!EB208)</f>
        <v>-9999</v>
      </c>
      <c r="AE208" s="1040">
        <f>CHOOSE(Tables!$U$2,Transfer!CC208,Transfer!CP208,Transfer!DC208,Transfer!DP208,Transfer!EC208)</f>
        <v>-9999</v>
      </c>
      <c r="AF208" s="1040">
        <f>CHOOSE(Tables!$U$2,Transfer!CD208,Transfer!CQ208,Transfer!DD208,Transfer!DQ208,Transfer!ED208)</f>
        <v>-9999</v>
      </c>
      <c r="AG208" s="1040">
        <f>CHOOSE(Tables!$U$2,Transfer!CE208,Transfer!CR208,Transfer!DE208,Transfer!DR208,Transfer!EE208)</f>
        <v>-9999</v>
      </c>
      <c r="AH208" s="1040">
        <f>CHOOSE(Tables!$U$2,Transfer!CF208,Transfer!CS208,Transfer!DF208,Transfer!DS208,Transfer!EF208)</f>
        <v>-9999</v>
      </c>
      <c r="AI208" s="1040">
        <f>CHOOSE(Tables!$U$2,Transfer!CG208,Transfer!CT208,Transfer!DG208,Transfer!DT208,Transfer!EG208)</f>
        <v>-9999</v>
      </c>
      <c r="AJ208" s="1040">
        <f>CHOOSE(Tables!$U$2,Transfer!CH208,Transfer!CU208,Transfer!DH208,Transfer!DU208,Transfer!EH208)</f>
        <v>-9999</v>
      </c>
      <c r="AK208" s="1040">
        <f>CHOOSE(Tables!$U$2,Transfer!CI208,Transfer!CV208,Transfer!DI208,Transfer!DV208,Transfer!EI208)</f>
        <v>-9999</v>
      </c>
      <c r="AL208" s="1040">
        <f>CHOOSE(Tables!$U$2,Transfer!CJ208,Transfer!CW208,Transfer!DJ208,Transfer!DW208,Transfer!EJ208)</f>
        <v>-9999</v>
      </c>
      <c r="AM208" s="1040">
        <f>CHOOSE(Tables!$U$2,Transfer!CK208,Transfer!CX208,Transfer!DK208,Transfer!DX208,Transfer!EK208)</f>
        <v>-9999</v>
      </c>
      <c r="AN208" s="1040">
        <f>CHOOSE(Tables!$U$2,Transfer!CL208,Transfer!CY208,Transfer!DL208,Transfer!DY208,Transfer!EL208)</f>
        <v>-9999</v>
      </c>
      <c r="AO208" s="1040">
        <f>CHOOSE(Tables!$U$2,Transfer!CM208,Transfer!CZ208,Transfer!DM208,Transfer!DZ208,Transfer!EM208)</f>
        <v>-9999</v>
      </c>
      <c r="AR208" s="22">
        <v>108</v>
      </c>
      <c r="AS208" s="1" t="s">
        <v>1967</v>
      </c>
      <c r="AT208" s="24">
        <f t="shared" ca="1" si="10"/>
        <v>9999.1287200000006</v>
      </c>
      <c r="AU208" s="24">
        <f t="shared" ca="1" si="11"/>
        <v>9999.1310599999997</v>
      </c>
      <c r="AV208" s="24">
        <f t="shared" ca="1" si="12"/>
        <v>9999.1310599999997</v>
      </c>
      <c r="AW208" s="24">
        <f t="shared" ca="1" si="13"/>
        <v>9999.1310599999997</v>
      </c>
      <c r="AX208" s="24">
        <f t="shared" ca="1" si="14"/>
        <v>9999.1310599999997</v>
      </c>
      <c r="AY208" s="25">
        <f t="shared" si="19"/>
        <v>0</v>
      </c>
      <c r="AZ208" s="25">
        <f t="shared" si="16"/>
        <v>0</v>
      </c>
      <c r="BA208" s="25">
        <f t="shared" si="17"/>
        <v>0</v>
      </c>
      <c r="BB208" s="25">
        <f t="shared" si="18"/>
        <v>0</v>
      </c>
      <c r="BC208" s="25">
        <f t="shared" si="21"/>
        <v>0</v>
      </c>
      <c r="BD208" s="25">
        <f t="shared" si="21"/>
        <v>0</v>
      </c>
      <c r="BE208" s="25">
        <f t="shared" si="21"/>
        <v>0</v>
      </c>
      <c r="BF208" s="25">
        <f t="shared" si="21"/>
        <v>0</v>
      </c>
      <c r="CA208" s="16">
        <v>-9999</v>
      </c>
      <c r="CB208" s="16">
        <v>-9999</v>
      </c>
      <c r="CC208" s="16">
        <v>-9999</v>
      </c>
      <c r="CD208" s="16">
        <v>-9999</v>
      </c>
      <c r="CE208" s="16">
        <v>-9999</v>
      </c>
      <c r="CF208" s="16">
        <v>-9999</v>
      </c>
      <c r="CG208" s="16">
        <v>-9999</v>
      </c>
      <c r="CH208" s="16">
        <v>-9999</v>
      </c>
      <c r="CI208" s="16">
        <v>-9999</v>
      </c>
      <c r="CJ208" s="16">
        <v>-9999</v>
      </c>
      <c r="CK208" s="16">
        <v>-9999</v>
      </c>
      <c r="CL208" s="16">
        <v>-9999</v>
      </c>
      <c r="CM208" s="16">
        <v>-9999</v>
      </c>
      <c r="CN208" s="16">
        <v>-9999</v>
      </c>
      <c r="CO208" s="16">
        <v>-9999</v>
      </c>
      <c r="CP208" s="16">
        <v>-9999</v>
      </c>
      <c r="CQ208" s="16">
        <v>-9999</v>
      </c>
      <c r="CR208" s="16">
        <v>-9999</v>
      </c>
      <c r="CS208" s="16">
        <v>-9999</v>
      </c>
      <c r="CT208" s="16">
        <v>-9999</v>
      </c>
      <c r="CU208" s="16">
        <v>-9999</v>
      </c>
      <c r="CV208" s="16">
        <v>-9999</v>
      </c>
      <c r="CW208" s="16">
        <v>-9999</v>
      </c>
      <c r="CX208" s="16">
        <v>-9999</v>
      </c>
      <c r="CY208" s="16">
        <v>-9999</v>
      </c>
      <c r="CZ208" s="16">
        <v>-9999</v>
      </c>
      <c r="DA208" s="16">
        <v>-9999</v>
      </c>
      <c r="DB208" s="16">
        <v>-9999</v>
      </c>
      <c r="DC208" s="16">
        <v>-9999</v>
      </c>
      <c r="DD208" s="16">
        <v>-9999</v>
      </c>
      <c r="DE208" s="16">
        <v>-9999</v>
      </c>
      <c r="DF208" s="16">
        <v>-9999</v>
      </c>
      <c r="DG208" s="16">
        <v>-9999</v>
      </c>
      <c r="DH208" s="16">
        <v>-9999</v>
      </c>
      <c r="DI208" s="16">
        <v>-9999</v>
      </c>
      <c r="DJ208" s="16">
        <v>-9999</v>
      </c>
      <c r="DK208" s="16">
        <v>-9999</v>
      </c>
      <c r="DL208" s="16">
        <v>-9999</v>
      </c>
      <c r="DM208" s="16">
        <v>-9999</v>
      </c>
      <c r="DN208" s="16">
        <v>-9999</v>
      </c>
      <c r="DO208" s="16">
        <v>-9999</v>
      </c>
      <c r="DP208" s="16">
        <v>-9999</v>
      </c>
      <c r="DQ208" s="16">
        <v>-9999</v>
      </c>
      <c r="DR208" s="16">
        <v>-9999</v>
      </c>
      <c r="DS208" s="16">
        <v>-9999</v>
      </c>
      <c r="DT208" s="16">
        <v>-9999</v>
      </c>
      <c r="DU208" s="16">
        <v>-9999</v>
      </c>
      <c r="DV208" s="16">
        <v>-9999</v>
      </c>
      <c r="DW208" s="16">
        <v>-9999</v>
      </c>
      <c r="DX208" s="16">
        <v>-9999</v>
      </c>
      <c r="DY208" s="16">
        <v>-9999</v>
      </c>
      <c r="DZ208" s="16">
        <v>-9999</v>
      </c>
      <c r="EA208" s="2196">
        <v>-9999</v>
      </c>
      <c r="EB208" s="2196">
        <v>-9999</v>
      </c>
      <c r="EC208" s="2196">
        <v>-9999</v>
      </c>
      <c r="ED208" s="2196">
        <v>-9999</v>
      </c>
      <c r="EE208" s="2196">
        <v>-9999</v>
      </c>
      <c r="EF208" s="2197">
        <v>-9999</v>
      </c>
      <c r="EG208" s="2197">
        <v>-9999</v>
      </c>
      <c r="EH208" s="2197">
        <v>-9999</v>
      </c>
      <c r="EI208" s="2197">
        <v>-9999</v>
      </c>
      <c r="EJ208" s="2197">
        <v>-9999</v>
      </c>
      <c r="EK208" s="2197">
        <v>-9999</v>
      </c>
      <c r="EL208" s="2197">
        <v>-9999</v>
      </c>
      <c r="EM208" s="2197">
        <v>-9999</v>
      </c>
    </row>
    <row r="209" spans="1:149">
      <c r="A209" s="22">
        <v>109</v>
      </c>
      <c r="B209" s="1" t="s">
        <v>1968</v>
      </c>
      <c r="C209">
        <f ca="1">OFFSET(Sector1!F737,0,Last_forecast_year - 3-InputY!$G$3)</f>
        <v>4.6886099999999997</v>
      </c>
      <c r="D209">
        <f ca="1">OFFSET(Sector1!G737,0,Last_forecast_year - 3-InputY!$G$3)</f>
        <v>3.7375100000000003</v>
      </c>
      <c r="E209">
        <f ca="1">OFFSET(Sector1!H737,0,Last_forecast_year - 3-InputY!$G$3)</f>
        <v>4.1594073491796708</v>
      </c>
      <c r="F209">
        <f ca="1">OFFSET(Sector1!I737,0,Last_forecast_year - 3-InputY!$G$3)</f>
        <v>4.7105425170022883</v>
      </c>
      <c r="G209">
        <f ca="1">OFFSET(Sector1!J737,0,Last_forecast_year - 3-InputY!$G$3)</f>
        <v>5.1136643096866443</v>
      </c>
      <c r="H209" s="25">
        <v>-9999</v>
      </c>
      <c r="I209" s="25">
        <v>-9999</v>
      </c>
      <c r="J209" s="25">
        <v>-9999</v>
      </c>
      <c r="K209" s="25">
        <v>-9999</v>
      </c>
      <c r="L209" s="25">
        <v>-9999</v>
      </c>
      <c r="M209" s="25">
        <v>-9999</v>
      </c>
      <c r="N209" s="25">
        <v>-9999</v>
      </c>
      <c r="O209" s="25">
        <v>-9999</v>
      </c>
      <c r="P209" s="26"/>
      <c r="Q209"/>
      <c r="AA209" s="22">
        <v>109</v>
      </c>
      <c r="AB209" s="1040" t="str">
        <f t="shared" si="8"/>
        <v>COR GROSS CAPITAL FORMATION</v>
      </c>
      <c r="AC209" s="1040">
        <f>CHOOSE(Tables!$U$2,Transfer!CA209,Transfer!CN209,Transfer!DA209,Transfer!DN209,Transfer!EA209)</f>
        <v>-9999</v>
      </c>
      <c r="AD209" s="1040">
        <f>CHOOSE(Tables!$U$2,Transfer!CB209,Transfer!CO209,Transfer!DB209,Transfer!DO209,Transfer!EB209)</f>
        <v>-9999</v>
      </c>
      <c r="AE209" s="1040">
        <f>CHOOSE(Tables!$U$2,Transfer!CC209,Transfer!CP209,Transfer!DC209,Transfer!DP209,Transfer!EC209)</f>
        <v>-9999</v>
      </c>
      <c r="AF209" s="1040">
        <f>CHOOSE(Tables!$U$2,Transfer!CD209,Transfer!CQ209,Transfer!DD209,Transfer!DQ209,Transfer!ED209)</f>
        <v>-9999</v>
      </c>
      <c r="AG209" s="1040">
        <f>CHOOSE(Tables!$U$2,Transfer!CE209,Transfer!CR209,Transfer!DE209,Transfer!DR209,Transfer!EE209)</f>
        <v>-9999</v>
      </c>
      <c r="AH209" s="1040">
        <f>CHOOSE(Tables!$U$2,Transfer!CF209,Transfer!CS209,Transfer!DF209,Transfer!DS209,Transfer!EF209)</f>
        <v>-9999</v>
      </c>
      <c r="AI209" s="1040">
        <f>CHOOSE(Tables!$U$2,Transfer!CG209,Transfer!CT209,Transfer!DG209,Transfer!DT209,Transfer!EG209)</f>
        <v>-9999</v>
      </c>
      <c r="AJ209" s="1040">
        <f>CHOOSE(Tables!$U$2,Transfer!CH209,Transfer!CU209,Transfer!DH209,Transfer!DU209,Transfer!EH209)</f>
        <v>-9999</v>
      </c>
      <c r="AK209" s="1040">
        <f>CHOOSE(Tables!$U$2,Transfer!CI209,Transfer!CV209,Transfer!DI209,Transfer!DV209,Transfer!EI209)</f>
        <v>-9999</v>
      </c>
      <c r="AL209" s="1040">
        <f>CHOOSE(Tables!$U$2,Transfer!CJ209,Transfer!CW209,Transfer!DJ209,Transfer!DW209,Transfer!EJ209)</f>
        <v>-9999</v>
      </c>
      <c r="AM209" s="1040">
        <f>CHOOSE(Tables!$U$2,Transfer!CK209,Transfer!CX209,Transfer!DK209,Transfer!DX209,Transfer!EK209)</f>
        <v>-9999</v>
      </c>
      <c r="AN209" s="1040">
        <f>CHOOSE(Tables!$U$2,Transfer!CL209,Transfer!CY209,Transfer!DL209,Transfer!DY209,Transfer!EL209)</f>
        <v>-9999</v>
      </c>
      <c r="AO209" s="1040">
        <f>CHOOSE(Tables!$U$2,Transfer!CM209,Transfer!CZ209,Transfer!DM209,Transfer!DZ209,Transfer!EM209)</f>
        <v>-9999</v>
      </c>
      <c r="AR209" s="22">
        <v>109</v>
      </c>
      <c r="AS209" s="1" t="s">
        <v>1968</v>
      </c>
      <c r="AT209" s="24">
        <f t="shared" ca="1" si="10"/>
        <v>10003.688609999999</v>
      </c>
      <c r="AU209" s="24">
        <f t="shared" ca="1" si="11"/>
        <v>10002.737510000001</v>
      </c>
      <c r="AV209" s="24">
        <f t="shared" ca="1" si="12"/>
        <v>10003.15940734918</v>
      </c>
      <c r="AW209" s="24">
        <f t="shared" ca="1" si="13"/>
        <v>10003.710542517003</v>
      </c>
      <c r="AX209" s="24">
        <f t="shared" ca="1" si="14"/>
        <v>10004.113664309687</v>
      </c>
      <c r="AY209" s="25">
        <f t="shared" si="19"/>
        <v>0</v>
      </c>
      <c r="AZ209" s="25">
        <f t="shared" si="16"/>
        <v>0</v>
      </c>
      <c r="BA209" s="25">
        <f t="shared" si="17"/>
        <v>0</v>
      </c>
      <c r="BB209" s="25">
        <f t="shared" si="18"/>
        <v>0</v>
      </c>
      <c r="BC209" s="25">
        <f t="shared" si="21"/>
        <v>0</v>
      </c>
      <c r="BD209" s="25">
        <f t="shared" si="21"/>
        <v>0</v>
      </c>
      <c r="BE209" s="25">
        <f t="shared" si="21"/>
        <v>0</v>
      </c>
      <c r="BF209" s="25">
        <f t="shared" si="21"/>
        <v>0</v>
      </c>
      <c r="CA209" s="16">
        <v>-9999</v>
      </c>
      <c r="CB209" s="16">
        <v>-9999</v>
      </c>
      <c r="CC209" s="16">
        <v>-9999</v>
      </c>
      <c r="CD209" s="16">
        <v>-9999</v>
      </c>
      <c r="CE209" s="16">
        <v>-9999</v>
      </c>
      <c r="CF209" s="16">
        <v>-9999</v>
      </c>
      <c r="CG209" s="16">
        <v>-9999</v>
      </c>
      <c r="CH209" s="16">
        <v>-9999</v>
      </c>
      <c r="CI209" s="16">
        <v>-9999</v>
      </c>
      <c r="CJ209" s="16">
        <v>-9999</v>
      </c>
      <c r="CK209" s="16">
        <v>-9999</v>
      </c>
      <c r="CL209" s="16">
        <v>-9999</v>
      </c>
      <c r="CM209" s="16">
        <v>-9999</v>
      </c>
      <c r="CN209" s="16">
        <v>-9999</v>
      </c>
      <c r="CO209" s="16">
        <v>-9999</v>
      </c>
      <c r="CP209" s="16">
        <v>-9999</v>
      </c>
      <c r="CQ209" s="16">
        <v>-9999</v>
      </c>
      <c r="CR209" s="16">
        <v>-9999</v>
      </c>
      <c r="CS209" s="16">
        <v>-9999</v>
      </c>
      <c r="CT209" s="16">
        <v>-9999</v>
      </c>
      <c r="CU209" s="16">
        <v>-9999</v>
      </c>
      <c r="CV209" s="16">
        <v>-9999</v>
      </c>
      <c r="CW209" s="16">
        <v>-9999</v>
      </c>
      <c r="CX209" s="16">
        <v>-9999</v>
      </c>
      <c r="CY209" s="16">
        <v>-9999</v>
      </c>
      <c r="CZ209" s="16">
        <v>-9999</v>
      </c>
      <c r="DA209" s="16">
        <v>-9999</v>
      </c>
      <c r="DB209" s="16">
        <v>-9999</v>
      </c>
      <c r="DC209" s="16">
        <v>-9999</v>
      </c>
      <c r="DD209" s="16">
        <v>-9999</v>
      </c>
      <c r="DE209" s="16">
        <v>-9999</v>
      </c>
      <c r="DF209" s="16">
        <v>-9999</v>
      </c>
      <c r="DG209" s="16">
        <v>-9999</v>
      </c>
      <c r="DH209" s="16">
        <v>-9999</v>
      </c>
      <c r="DI209" s="16">
        <v>-9999</v>
      </c>
      <c r="DJ209" s="16">
        <v>-9999</v>
      </c>
      <c r="DK209" s="16">
        <v>-9999</v>
      </c>
      <c r="DL209" s="16">
        <v>-9999</v>
      </c>
      <c r="DM209" s="16">
        <v>-9999</v>
      </c>
      <c r="DN209" s="16">
        <v>-9999</v>
      </c>
      <c r="DO209" s="16">
        <v>-9999</v>
      </c>
      <c r="DP209" s="16">
        <v>-9999</v>
      </c>
      <c r="DQ209" s="16">
        <v>-9999</v>
      </c>
      <c r="DR209" s="16">
        <v>-9999</v>
      </c>
      <c r="DS209" s="16">
        <v>-9999</v>
      </c>
      <c r="DT209" s="16">
        <v>-9999</v>
      </c>
      <c r="DU209" s="16">
        <v>-9999</v>
      </c>
      <c r="DV209" s="16">
        <v>-9999</v>
      </c>
      <c r="DW209" s="16">
        <v>-9999</v>
      </c>
      <c r="DX209" s="16">
        <v>-9999</v>
      </c>
      <c r="DY209" s="16">
        <v>-9999</v>
      </c>
      <c r="DZ209" s="16">
        <v>-9999</v>
      </c>
      <c r="EA209" s="2196">
        <v>-9999</v>
      </c>
      <c r="EB209" s="2196">
        <v>-9999</v>
      </c>
      <c r="EC209" s="2196">
        <v>-9999</v>
      </c>
      <c r="ED209" s="2196">
        <v>-9999</v>
      </c>
      <c r="EE209" s="2196">
        <v>-9999</v>
      </c>
      <c r="EF209" s="2197">
        <v>-9999</v>
      </c>
      <c r="EG209" s="2197">
        <v>-9999</v>
      </c>
      <c r="EH209" s="2197">
        <v>-9999</v>
      </c>
      <c r="EI209" s="2197">
        <v>-9999</v>
      </c>
      <c r="EJ209" s="2197">
        <v>-9999</v>
      </c>
      <c r="EK209" s="2197">
        <v>-9999</v>
      </c>
      <c r="EL209" s="2197">
        <v>-9999</v>
      </c>
      <c r="EM209" s="2197">
        <v>-9999</v>
      </c>
    </row>
    <row r="210" spans="1:149">
      <c r="A210" s="22">
        <v>110</v>
      </c>
      <c r="B210" s="1" t="s">
        <v>1969</v>
      </c>
      <c r="C210">
        <f ca="1">OFFSET(Sector1!F742,0,Last_forecast_year - 3-InputY!$G$3)</f>
        <v>-0.4865600000000001</v>
      </c>
      <c r="D210">
        <f ca="1">OFFSET(Sector1!G742,0,Last_forecast_year - 3-InputY!$G$3)</f>
        <v>-0.27847</v>
      </c>
      <c r="E210">
        <f ca="1">OFFSET(Sector1!H742,0,Last_forecast_year - 3-InputY!$G$3)</f>
        <v>-0.25158999999999998</v>
      </c>
      <c r="F210">
        <f ca="1">OFFSET(Sector1!I742,0,Last_forecast_year - 3-InputY!$G$3)</f>
        <v>-0.22659159999999995</v>
      </c>
      <c r="G210">
        <f ca="1">OFFSET(Sector1!J742,0,Last_forecast_year - 3-InputY!$G$3)</f>
        <v>-0.20334308799999995</v>
      </c>
      <c r="H210" s="25">
        <v>-9999</v>
      </c>
      <c r="I210" s="25">
        <v>-9999</v>
      </c>
      <c r="J210" s="25">
        <v>-9999</v>
      </c>
      <c r="K210" s="25">
        <v>-9999</v>
      </c>
      <c r="L210" s="25">
        <v>-9999</v>
      </c>
      <c r="M210" s="25">
        <v>-9999</v>
      </c>
      <c r="N210" s="25">
        <v>-9999</v>
      </c>
      <c r="O210" s="25">
        <v>-9999</v>
      </c>
      <c r="P210"/>
      <c r="Q210"/>
      <c r="AA210" s="22">
        <v>110</v>
      </c>
      <c r="AB210" s="1040" t="str">
        <f t="shared" si="8"/>
        <v>COR OTHER CAPITAL EXPENDITURE (PAID-REC.)</v>
      </c>
      <c r="AC210" s="1040">
        <f>CHOOSE(Tables!$U$2,Transfer!CA210,Transfer!CN210,Transfer!DA210,Transfer!DN210,Transfer!EA210)</f>
        <v>-9999</v>
      </c>
      <c r="AD210" s="1040">
        <f>CHOOSE(Tables!$U$2,Transfer!CB210,Transfer!CO210,Transfer!DB210,Transfer!DO210,Transfer!EB210)</f>
        <v>-9999</v>
      </c>
      <c r="AE210" s="1040">
        <f>CHOOSE(Tables!$U$2,Transfer!CC210,Transfer!CP210,Transfer!DC210,Transfer!DP210,Transfer!EC210)</f>
        <v>-9999</v>
      </c>
      <c r="AF210" s="1040">
        <f>CHOOSE(Tables!$U$2,Transfer!CD210,Transfer!CQ210,Transfer!DD210,Transfer!DQ210,Transfer!ED210)</f>
        <v>-9999</v>
      </c>
      <c r="AG210" s="1040">
        <f>CHOOSE(Tables!$U$2,Transfer!CE210,Transfer!CR210,Transfer!DE210,Transfer!DR210,Transfer!EE210)</f>
        <v>-9999</v>
      </c>
      <c r="AH210" s="1040">
        <f>CHOOSE(Tables!$U$2,Transfer!CF210,Transfer!CS210,Transfer!DF210,Transfer!DS210,Transfer!EF210)</f>
        <v>-9999</v>
      </c>
      <c r="AI210" s="1040">
        <f>CHOOSE(Tables!$U$2,Transfer!CG210,Transfer!CT210,Transfer!DG210,Transfer!DT210,Transfer!EG210)</f>
        <v>-9999</v>
      </c>
      <c r="AJ210" s="1040">
        <f>CHOOSE(Tables!$U$2,Transfer!CH210,Transfer!CU210,Transfer!DH210,Transfer!DU210,Transfer!EH210)</f>
        <v>-9999</v>
      </c>
      <c r="AK210" s="1040">
        <f>CHOOSE(Tables!$U$2,Transfer!CI210,Transfer!CV210,Transfer!DI210,Transfer!DV210,Transfer!EI210)</f>
        <v>-9999</v>
      </c>
      <c r="AL210" s="1040">
        <f>CHOOSE(Tables!$U$2,Transfer!CJ210,Transfer!CW210,Transfer!DJ210,Transfer!DW210,Transfer!EJ210)</f>
        <v>-9999</v>
      </c>
      <c r="AM210" s="1040">
        <f>CHOOSE(Tables!$U$2,Transfer!CK210,Transfer!CX210,Transfer!DK210,Transfer!DX210,Transfer!EK210)</f>
        <v>-9999</v>
      </c>
      <c r="AN210" s="1040">
        <f>CHOOSE(Tables!$U$2,Transfer!CL210,Transfer!CY210,Transfer!DL210,Transfer!DY210,Transfer!EL210)</f>
        <v>-9999</v>
      </c>
      <c r="AO210" s="1040">
        <f>CHOOSE(Tables!$U$2,Transfer!CM210,Transfer!CZ210,Transfer!DM210,Transfer!DZ210,Transfer!EM210)</f>
        <v>-9999</v>
      </c>
      <c r="AR210" s="22">
        <v>110</v>
      </c>
      <c r="AS210" s="1" t="s">
        <v>1969</v>
      </c>
      <c r="AT210" s="24">
        <f t="shared" ca="1" si="10"/>
        <v>9998.5134400000006</v>
      </c>
      <c r="AU210" s="24">
        <f t="shared" ca="1" si="11"/>
        <v>9998.7215300000007</v>
      </c>
      <c r="AV210" s="24">
        <f t="shared" ca="1" si="12"/>
        <v>9998.7484100000001</v>
      </c>
      <c r="AW210" s="24">
        <f t="shared" ca="1" si="13"/>
        <v>9998.7734084000003</v>
      </c>
      <c r="AX210" s="24">
        <f t="shared" ca="1" si="14"/>
        <v>9998.7966569119999</v>
      </c>
      <c r="AY210" s="25">
        <f t="shared" si="19"/>
        <v>0</v>
      </c>
      <c r="AZ210" s="25">
        <f t="shared" si="16"/>
        <v>0</v>
      </c>
      <c r="BA210" s="25">
        <f t="shared" si="17"/>
        <v>0</v>
      </c>
      <c r="BB210" s="25">
        <f t="shared" si="18"/>
        <v>0</v>
      </c>
      <c r="BC210" s="25">
        <f t="shared" si="21"/>
        <v>0</v>
      </c>
      <c r="BD210" s="25">
        <f t="shared" si="21"/>
        <v>0</v>
      </c>
      <c r="BE210" s="25">
        <f t="shared" si="21"/>
        <v>0</v>
      </c>
      <c r="BF210" s="25">
        <f t="shared" si="21"/>
        <v>0</v>
      </c>
      <c r="CA210" s="16">
        <v>-9999</v>
      </c>
      <c r="CB210" s="16">
        <v>-9999</v>
      </c>
      <c r="CC210" s="16">
        <v>-9999</v>
      </c>
      <c r="CD210" s="16">
        <v>-9999</v>
      </c>
      <c r="CE210" s="16">
        <v>-9999</v>
      </c>
      <c r="CF210" s="16">
        <v>-9999</v>
      </c>
      <c r="CG210" s="16">
        <v>-9999</v>
      </c>
      <c r="CH210" s="16">
        <v>-9999</v>
      </c>
      <c r="CI210" s="16">
        <v>-9999</v>
      </c>
      <c r="CJ210" s="16">
        <v>-9999</v>
      </c>
      <c r="CK210" s="16">
        <v>-9999</v>
      </c>
      <c r="CL210" s="16">
        <v>-9999</v>
      </c>
      <c r="CM210" s="16">
        <v>-9999</v>
      </c>
      <c r="CN210" s="16">
        <v>-9999</v>
      </c>
      <c r="CO210" s="16">
        <v>-9999</v>
      </c>
      <c r="CP210" s="16">
        <v>-9999</v>
      </c>
      <c r="CQ210" s="16">
        <v>-9999</v>
      </c>
      <c r="CR210" s="16">
        <v>-9999</v>
      </c>
      <c r="CS210" s="16">
        <v>-9999</v>
      </c>
      <c r="CT210" s="16">
        <v>-9999</v>
      </c>
      <c r="CU210" s="16">
        <v>-9999</v>
      </c>
      <c r="CV210" s="16">
        <v>-9999</v>
      </c>
      <c r="CW210" s="16">
        <v>-9999</v>
      </c>
      <c r="CX210" s="16">
        <v>-9999</v>
      </c>
      <c r="CY210" s="16">
        <v>-9999</v>
      </c>
      <c r="CZ210" s="16">
        <v>-9999</v>
      </c>
      <c r="DA210" s="16">
        <v>-9999</v>
      </c>
      <c r="DB210" s="16">
        <v>-9999</v>
      </c>
      <c r="DC210" s="16">
        <v>-9999</v>
      </c>
      <c r="DD210" s="16">
        <v>-9999</v>
      </c>
      <c r="DE210" s="16">
        <v>-9999</v>
      </c>
      <c r="DF210" s="16">
        <v>-9999</v>
      </c>
      <c r="DG210" s="16">
        <v>-9999</v>
      </c>
      <c r="DH210" s="16">
        <v>-9999</v>
      </c>
      <c r="DI210" s="16">
        <v>-9999</v>
      </c>
      <c r="DJ210" s="16">
        <v>-9999</v>
      </c>
      <c r="DK210" s="16">
        <v>-9999</v>
      </c>
      <c r="DL210" s="16">
        <v>-9999</v>
      </c>
      <c r="DM210" s="16">
        <v>-9999</v>
      </c>
      <c r="DN210" s="16">
        <v>-9999</v>
      </c>
      <c r="DO210" s="16">
        <v>-9999</v>
      </c>
      <c r="DP210" s="16">
        <v>-9999</v>
      </c>
      <c r="DQ210" s="16">
        <v>-9999</v>
      </c>
      <c r="DR210" s="16">
        <v>-9999</v>
      </c>
      <c r="DS210" s="16">
        <v>-9999</v>
      </c>
      <c r="DT210" s="16">
        <v>-9999</v>
      </c>
      <c r="DU210" s="16">
        <v>-9999</v>
      </c>
      <c r="DV210" s="16">
        <v>-9999</v>
      </c>
      <c r="DW210" s="16">
        <v>-9999</v>
      </c>
      <c r="DX210" s="16">
        <v>-9999</v>
      </c>
      <c r="DY210" s="16">
        <v>-9999</v>
      </c>
      <c r="DZ210" s="16">
        <v>-9999</v>
      </c>
      <c r="EA210" s="2196">
        <v>-9999</v>
      </c>
      <c r="EB210" s="2196">
        <v>-9999</v>
      </c>
      <c r="EC210" s="2196">
        <v>-9999</v>
      </c>
      <c r="ED210" s="2196">
        <v>-9999</v>
      </c>
      <c r="EE210" s="2196">
        <v>-9999</v>
      </c>
      <c r="EF210" s="2197">
        <v>-9999</v>
      </c>
      <c r="EG210" s="2197">
        <v>-9999</v>
      </c>
      <c r="EH210" s="2197">
        <v>-9999</v>
      </c>
      <c r="EI210" s="2197">
        <v>-9999</v>
      </c>
      <c r="EJ210" s="2197">
        <v>-9999</v>
      </c>
      <c r="EK210" s="2197">
        <v>-9999</v>
      </c>
      <c r="EL210" s="2197">
        <v>-9999</v>
      </c>
      <c r="EM210" s="2197">
        <v>-9999</v>
      </c>
    </row>
    <row r="211" spans="1:149">
      <c r="A211" s="22">
        <v>111</v>
      </c>
      <c r="B211" s="30" t="s">
        <v>1705</v>
      </c>
      <c r="C211" s="25">
        <v>-9999</v>
      </c>
      <c r="D211" s="25">
        <v>-9999</v>
      </c>
      <c r="E211" s="25">
        <v>-9999</v>
      </c>
      <c r="F211" s="25">
        <v>-9999</v>
      </c>
      <c r="G211" s="25">
        <v>-9999</v>
      </c>
      <c r="H211" s="25">
        <v>-9999</v>
      </c>
      <c r="I211" s="25">
        <v>-9999</v>
      </c>
      <c r="J211" s="25">
        <v>-9999</v>
      </c>
      <c r="K211" s="25">
        <v>-9999</v>
      </c>
      <c r="L211" s="25">
        <v>-9999</v>
      </c>
      <c r="M211" s="25">
        <v>-9999</v>
      </c>
      <c r="N211" s="25">
        <v>-9999</v>
      </c>
      <c r="O211" s="25">
        <v>-9999</v>
      </c>
      <c r="P211" s="26"/>
      <c r="Q211"/>
      <c r="AA211" s="22">
        <v>111</v>
      </c>
      <c r="AB211" s="1040" t="str">
        <f t="shared" si="8"/>
        <v>FOR FUTURE USE</v>
      </c>
      <c r="AC211" s="1040">
        <f>CHOOSE(Tables!$U$2,Transfer!CA211,Transfer!CN211,Transfer!DA211,Transfer!DN211,Transfer!EA211)</f>
        <v>-9999</v>
      </c>
      <c r="AD211" s="1040">
        <f>CHOOSE(Tables!$U$2,Transfer!CB211,Transfer!CO211,Transfer!DB211,Transfer!DO211,Transfer!EB211)</f>
        <v>-9999</v>
      </c>
      <c r="AE211" s="1040">
        <f>CHOOSE(Tables!$U$2,Transfer!CC211,Transfer!CP211,Transfer!DC211,Transfer!DP211,Transfer!EC211)</f>
        <v>-9999</v>
      </c>
      <c r="AF211" s="1040">
        <f>CHOOSE(Tables!$U$2,Transfer!CD211,Transfer!CQ211,Transfer!DD211,Transfer!DQ211,Transfer!ED211)</f>
        <v>-9999</v>
      </c>
      <c r="AG211" s="1040">
        <f>CHOOSE(Tables!$U$2,Transfer!CE211,Transfer!CR211,Transfer!DE211,Transfer!DR211,Transfer!EE211)</f>
        <v>-9999</v>
      </c>
      <c r="AH211" s="1040">
        <f>CHOOSE(Tables!$U$2,Transfer!CF211,Transfer!CS211,Transfer!DF211,Transfer!DS211,Transfer!EF211)</f>
        <v>-9999</v>
      </c>
      <c r="AI211" s="1040">
        <f>CHOOSE(Tables!$U$2,Transfer!CG211,Transfer!CT211,Transfer!DG211,Transfer!DT211,Transfer!EG211)</f>
        <v>-9999</v>
      </c>
      <c r="AJ211" s="1040">
        <f>CHOOSE(Tables!$U$2,Transfer!CH211,Transfer!CU211,Transfer!DH211,Transfer!DU211,Transfer!EH211)</f>
        <v>-9999</v>
      </c>
      <c r="AK211" s="1040">
        <f>CHOOSE(Tables!$U$2,Transfer!CI211,Transfer!CV211,Transfer!DI211,Transfer!DV211,Transfer!EI211)</f>
        <v>-9999</v>
      </c>
      <c r="AL211" s="1040">
        <f>CHOOSE(Tables!$U$2,Transfer!CJ211,Transfer!CW211,Transfer!DJ211,Transfer!DW211,Transfer!EJ211)</f>
        <v>-9999</v>
      </c>
      <c r="AM211" s="1040">
        <f>CHOOSE(Tables!$U$2,Transfer!CK211,Transfer!CX211,Transfer!DK211,Transfer!DX211,Transfer!EK211)</f>
        <v>-9999</v>
      </c>
      <c r="AN211" s="1040">
        <f>CHOOSE(Tables!$U$2,Transfer!CL211,Transfer!CY211,Transfer!DL211,Transfer!DY211,Transfer!EL211)</f>
        <v>-9999</v>
      </c>
      <c r="AO211" s="1040">
        <f>CHOOSE(Tables!$U$2,Transfer!CM211,Transfer!CZ211,Transfer!DM211,Transfer!DZ211,Transfer!EM211)</f>
        <v>-9999</v>
      </c>
      <c r="AR211" s="22">
        <v>111</v>
      </c>
      <c r="AS211" s="30" t="s">
        <v>1705</v>
      </c>
      <c r="AT211" s="25">
        <f t="shared" si="10"/>
        <v>0</v>
      </c>
      <c r="AU211" s="25">
        <f t="shared" si="11"/>
        <v>0</v>
      </c>
      <c r="AV211" s="25">
        <f t="shared" si="12"/>
        <v>0</v>
      </c>
      <c r="AW211" s="25">
        <f t="shared" si="13"/>
        <v>0</v>
      </c>
      <c r="AX211" s="25">
        <f t="shared" si="14"/>
        <v>0</v>
      </c>
      <c r="AY211" s="25">
        <f t="shared" si="15"/>
        <v>0</v>
      </c>
      <c r="AZ211" s="25">
        <f t="shared" si="16"/>
        <v>0</v>
      </c>
      <c r="BA211" s="25">
        <f t="shared" si="17"/>
        <v>0</v>
      </c>
      <c r="BB211" s="25">
        <f t="shared" si="18"/>
        <v>0</v>
      </c>
      <c r="BC211" s="25">
        <f t="shared" si="21"/>
        <v>0</v>
      </c>
      <c r="BD211" s="25">
        <f t="shared" si="21"/>
        <v>0</v>
      </c>
      <c r="BE211" s="25">
        <f t="shared" si="21"/>
        <v>0</v>
      </c>
      <c r="BF211" s="25">
        <f t="shared" si="21"/>
        <v>0</v>
      </c>
      <c r="CA211" s="16">
        <v>-9999</v>
      </c>
      <c r="CB211" s="16">
        <v>-9999</v>
      </c>
      <c r="CC211" s="16">
        <v>-9999</v>
      </c>
      <c r="CD211" s="16">
        <v>-9999</v>
      </c>
      <c r="CE211" s="16">
        <v>-9999</v>
      </c>
      <c r="CF211" s="16">
        <v>-9999</v>
      </c>
      <c r="CG211" s="16">
        <v>-9999</v>
      </c>
      <c r="CH211" s="16">
        <v>-9999</v>
      </c>
      <c r="CI211" s="16">
        <v>-9999</v>
      </c>
      <c r="CJ211" s="16">
        <v>-9999</v>
      </c>
      <c r="CK211" s="16">
        <v>-9999</v>
      </c>
      <c r="CL211" s="16">
        <v>-9999</v>
      </c>
      <c r="CM211" s="16">
        <v>-9999</v>
      </c>
      <c r="CN211" s="16">
        <v>-9999</v>
      </c>
      <c r="CO211" s="16">
        <v>-9999</v>
      </c>
      <c r="CP211" s="16">
        <v>-9999</v>
      </c>
      <c r="CQ211" s="16">
        <v>-9999</v>
      </c>
      <c r="CR211" s="16">
        <v>-9999</v>
      </c>
      <c r="CS211" s="16">
        <v>-9999</v>
      </c>
      <c r="CT211" s="16">
        <v>-9999</v>
      </c>
      <c r="CU211" s="16">
        <v>-9999</v>
      </c>
      <c r="CV211" s="16">
        <v>-9999</v>
      </c>
      <c r="CW211" s="16">
        <v>-9999</v>
      </c>
      <c r="CX211" s="16">
        <v>-9999</v>
      </c>
      <c r="CY211" s="16">
        <v>-9999</v>
      </c>
      <c r="CZ211" s="16">
        <v>-9999</v>
      </c>
      <c r="DA211" s="16">
        <v>-9999</v>
      </c>
      <c r="DB211" s="16">
        <v>-9999</v>
      </c>
      <c r="DC211" s="16">
        <v>-9999</v>
      </c>
      <c r="DD211" s="16">
        <v>-9999</v>
      </c>
      <c r="DE211" s="16">
        <v>-9999</v>
      </c>
      <c r="DF211" s="16">
        <v>-9999</v>
      </c>
      <c r="DG211" s="16">
        <v>-9999</v>
      </c>
      <c r="DH211" s="16">
        <v>-9999</v>
      </c>
      <c r="DI211" s="16">
        <v>-9999</v>
      </c>
      <c r="DJ211" s="16">
        <v>-9999</v>
      </c>
      <c r="DK211" s="16">
        <v>-9999</v>
      </c>
      <c r="DL211" s="16">
        <v>-9999</v>
      </c>
      <c r="DM211" s="16">
        <v>-9999</v>
      </c>
      <c r="DN211" s="16">
        <v>-9999</v>
      </c>
      <c r="DO211" s="16">
        <v>-9999</v>
      </c>
      <c r="DP211" s="16">
        <v>-9999</v>
      </c>
      <c r="DQ211" s="16">
        <v>-9999</v>
      </c>
      <c r="DR211" s="16">
        <v>-9999</v>
      </c>
      <c r="DS211" s="16">
        <v>-9999</v>
      </c>
      <c r="DT211" s="16">
        <v>-9999</v>
      </c>
      <c r="DU211" s="16">
        <v>-9999</v>
      </c>
      <c r="DV211" s="16">
        <v>-9999</v>
      </c>
      <c r="DW211" s="16">
        <v>-9999</v>
      </c>
      <c r="DX211" s="16">
        <v>-9999</v>
      </c>
      <c r="DY211" s="16">
        <v>-9999</v>
      </c>
      <c r="DZ211" s="16">
        <v>-9999</v>
      </c>
      <c r="EA211" s="2197">
        <v>-9999</v>
      </c>
      <c r="EB211" s="2197">
        <v>-9999</v>
      </c>
      <c r="EC211" s="2197">
        <v>-9999</v>
      </c>
      <c r="ED211" s="2197">
        <v>-9999</v>
      </c>
      <c r="EE211" s="2197">
        <v>-9999</v>
      </c>
      <c r="EF211" s="2197">
        <v>-9999</v>
      </c>
      <c r="EG211" s="2197">
        <v>-9999</v>
      </c>
      <c r="EH211" s="2197">
        <v>-9999</v>
      </c>
      <c r="EI211" s="2197">
        <v>-9999</v>
      </c>
      <c r="EJ211" s="2197">
        <v>-9999</v>
      </c>
      <c r="EK211" s="2197">
        <v>-9999</v>
      </c>
      <c r="EL211" s="2197">
        <v>-9999</v>
      </c>
      <c r="EM211" s="2197">
        <v>-9999</v>
      </c>
    </row>
    <row r="212" spans="1:149">
      <c r="A212" s="22">
        <v>112</v>
      </c>
      <c r="B212" s="30" t="s">
        <v>1705</v>
      </c>
      <c r="C212" s="25">
        <v>-9999</v>
      </c>
      <c r="D212" s="25">
        <v>-9999</v>
      </c>
      <c r="E212" s="25">
        <v>-9999</v>
      </c>
      <c r="F212" s="25">
        <v>-9999</v>
      </c>
      <c r="G212" s="25">
        <v>-9999</v>
      </c>
      <c r="H212" s="25">
        <v>-9999</v>
      </c>
      <c r="I212" s="25">
        <v>-9999</v>
      </c>
      <c r="J212" s="25">
        <v>-9999</v>
      </c>
      <c r="K212" s="25">
        <v>-9999</v>
      </c>
      <c r="L212" s="25">
        <v>-9999</v>
      </c>
      <c r="M212" s="25">
        <v>-9999</v>
      </c>
      <c r="N212" s="25">
        <v>-9999</v>
      </c>
      <c r="O212" s="25">
        <v>-9999</v>
      </c>
      <c r="P212" s="26"/>
      <c r="Q212"/>
      <c r="AA212" s="22">
        <v>112</v>
      </c>
      <c r="AB212" s="1040" t="str">
        <f t="shared" si="8"/>
        <v>FOR FUTURE USE</v>
      </c>
      <c r="AC212" s="1040">
        <f>CHOOSE(Tables!$U$2,Transfer!CA212,Transfer!CN212,Transfer!DA212,Transfer!DN212,Transfer!EA212)</f>
        <v>-9999</v>
      </c>
      <c r="AD212" s="1040">
        <f>CHOOSE(Tables!$U$2,Transfer!CB212,Transfer!CO212,Transfer!DB212,Transfer!DO212,Transfer!EB212)</f>
        <v>-9999</v>
      </c>
      <c r="AE212" s="1040">
        <f>CHOOSE(Tables!$U$2,Transfer!CC212,Transfer!CP212,Transfer!DC212,Transfer!DP212,Transfer!EC212)</f>
        <v>-9999</v>
      </c>
      <c r="AF212" s="1040">
        <f>CHOOSE(Tables!$U$2,Transfer!CD212,Transfer!CQ212,Transfer!DD212,Transfer!DQ212,Transfer!ED212)</f>
        <v>-9999</v>
      </c>
      <c r="AG212" s="1040">
        <f>CHOOSE(Tables!$U$2,Transfer!CE212,Transfer!CR212,Transfer!DE212,Transfer!DR212,Transfer!EE212)</f>
        <v>-9999</v>
      </c>
      <c r="AH212" s="1040">
        <f>CHOOSE(Tables!$U$2,Transfer!CF212,Transfer!CS212,Transfer!DF212,Transfer!DS212,Transfer!EF212)</f>
        <v>-9999</v>
      </c>
      <c r="AI212" s="1040">
        <f>CHOOSE(Tables!$U$2,Transfer!CG212,Transfer!CT212,Transfer!DG212,Transfer!DT212,Transfer!EG212)</f>
        <v>-9999</v>
      </c>
      <c r="AJ212" s="1040">
        <f>CHOOSE(Tables!$U$2,Transfer!CH212,Transfer!CU212,Transfer!DH212,Transfer!DU212,Transfer!EH212)</f>
        <v>-9999</v>
      </c>
      <c r="AK212" s="1040">
        <f>CHOOSE(Tables!$U$2,Transfer!CI212,Transfer!CV212,Transfer!DI212,Transfer!DV212,Transfer!EI212)</f>
        <v>-9999</v>
      </c>
      <c r="AL212" s="1040">
        <f>CHOOSE(Tables!$U$2,Transfer!CJ212,Transfer!CW212,Transfer!DJ212,Transfer!DW212,Transfer!EJ212)</f>
        <v>-9999</v>
      </c>
      <c r="AM212" s="1040">
        <f>CHOOSE(Tables!$U$2,Transfer!CK212,Transfer!CX212,Transfer!DK212,Transfer!DX212,Transfer!EK212)</f>
        <v>-9999</v>
      </c>
      <c r="AN212" s="1040">
        <f>CHOOSE(Tables!$U$2,Transfer!CL212,Transfer!CY212,Transfer!DL212,Transfer!DY212,Transfer!EL212)</f>
        <v>-9999</v>
      </c>
      <c r="AO212" s="1040">
        <f>CHOOSE(Tables!$U$2,Transfer!CM212,Transfer!CZ212,Transfer!DM212,Transfer!DZ212,Transfer!EM212)</f>
        <v>-9999</v>
      </c>
      <c r="AR212" s="22">
        <v>112</v>
      </c>
      <c r="AS212" s="30" t="s">
        <v>1705</v>
      </c>
      <c r="AT212" s="25">
        <f t="shared" si="10"/>
        <v>0</v>
      </c>
      <c r="AU212" s="25">
        <f t="shared" si="11"/>
        <v>0</v>
      </c>
      <c r="AV212" s="25">
        <f t="shared" si="12"/>
        <v>0</v>
      </c>
      <c r="AW212" s="25">
        <f t="shared" si="13"/>
        <v>0</v>
      </c>
      <c r="AX212" s="25">
        <f t="shared" si="14"/>
        <v>0</v>
      </c>
      <c r="AY212" s="25">
        <f t="shared" si="15"/>
        <v>0</v>
      </c>
      <c r="AZ212" s="25">
        <f t="shared" si="16"/>
        <v>0</v>
      </c>
      <c r="BA212" s="25">
        <f t="shared" si="17"/>
        <v>0</v>
      </c>
      <c r="BB212" s="25">
        <f t="shared" si="18"/>
        <v>0</v>
      </c>
      <c r="BC212" s="25">
        <f t="shared" si="21"/>
        <v>0</v>
      </c>
      <c r="BD212" s="25">
        <f t="shared" si="21"/>
        <v>0</v>
      </c>
      <c r="BE212" s="25">
        <f t="shared" si="21"/>
        <v>0</v>
      </c>
      <c r="BF212" s="25">
        <f t="shared" si="21"/>
        <v>0</v>
      </c>
      <c r="CA212" s="16">
        <v>-9999</v>
      </c>
      <c r="CB212" s="16">
        <v>-9999</v>
      </c>
      <c r="CC212" s="16">
        <v>-9999</v>
      </c>
      <c r="CD212" s="16">
        <v>-9999</v>
      </c>
      <c r="CE212" s="16">
        <v>-9999</v>
      </c>
      <c r="CF212" s="16">
        <v>-9999</v>
      </c>
      <c r="CG212" s="16">
        <v>-9999</v>
      </c>
      <c r="CH212" s="16">
        <v>-9999</v>
      </c>
      <c r="CI212" s="16">
        <v>-9999</v>
      </c>
      <c r="CJ212" s="16">
        <v>-9999</v>
      </c>
      <c r="CK212" s="16">
        <v>-9999</v>
      </c>
      <c r="CL212" s="16">
        <v>-9999</v>
      </c>
      <c r="CM212" s="16">
        <v>-9999</v>
      </c>
      <c r="CN212" s="16">
        <v>-9999</v>
      </c>
      <c r="CO212" s="16">
        <v>-9999</v>
      </c>
      <c r="CP212" s="16">
        <v>-9999</v>
      </c>
      <c r="CQ212" s="16">
        <v>-9999</v>
      </c>
      <c r="CR212" s="16">
        <v>-9999</v>
      </c>
      <c r="CS212" s="16">
        <v>-9999</v>
      </c>
      <c r="CT212" s="16">
        <v>-9999</v>
      </c>
      <c r="CU212" s="16">
        <v>-9999</v>
      </c>
      <c r="CV212" s="16">
        <v>-9999</v>
      </c>
      <c r="CW212" s="16">
        <v>-9999</v>
      </c>
      <c r="CX212" s="16">
        <v>-9999</v>
      </c>
      <c r="CY212" s="16">
        <v>-9999</v>
      </c>
      <c r="CZ212" s="16">
        <v>-9999</v>
      </c>
      <c r="DA212" s="16">
        <v>-9999</v>
      </c>
      <c r="DB212" s="16">
        <v>-9999</v>
      </c>
      <c r="DC212" s="16">
        <v>-9999</v>
      </c>
      <c r="DD212" s="16">
        <v>-9999</v>
      </c>
      <c r="DE212" s="16">
        <v>-9999</v>
      </c>
      <c r="DF212" s="16">
        <v>-9999</v>
      </c>
      <c r="DG212" s="16">
        <v>-9999</v>
      </c>
      <c r="DH212" s="16">
        <v>-9999</v>
      </c>
      <c r="DI212" s="16">
        <v>-9999</v>
      </c>
      <c r="DJ212" s="16">
        <v>-9999</v>
      </c>
      <c r="DK212" s="16">
        <v>-9999</v>
      </c>
      <c r="DL212" s="16">
        <v>-9999</v>
      </c>
      <c r="DM212" s="16">
        <v>-9999</v>
      </c>
      <c r="DN212" s="16">
        <v>-9999</v>
      </c>
      <c r="DO212" s="16">
        <v>-9999</v>
      </c>
      <c r="DP212" s="16">
        <v>-9999</v>
      </c>
      <c r="DQ212" s="16">
        <v>-9999</v>
      </c>
      <c r="DR212" s="16">
        <v>-9999</v>
      </c>
      <c r="DS212" s="16">
        <v>-9999</v>
      </c>
      <c r="DT212" s="16">
        <v>-9999</v>
      </c>
      <c r="DU212" s="16">
        <v>-9999</v>
      </c>
      <c r="DV212" s="16">
        <v>-9999</v>
      </c>
      <c r="DW212" s="16">
        <v>-9999</v>
      </c>
      <c r="DX212" s="16">
        <v>-9999</v>
      </c>
      <c r="DY212" s="16">
        <v>-9999</v>
      </c>
      <c r="DZ212" s="16">
        <v>-9999</v>
      </c>
      <c r="EA212" s="2197">
        <v>-9999</v>
      </c>
      <c r="EB212" s="2197">
        <v>-9999</v>
      </c>
      <c r="EC212" s="2197">
        <v>-9999</v>
      </c>
      <c r="ED212" s="2197">
        <v>-9999</v>
      </c>
      <c r="EE212" s="2197">
        <v>-9999</v>
      </c>
      <c r="EF212" s="2197">
        <v>-9999</v>
      </c>
      <c r="EG212" s="2197">
        <v>-9999</v>
      </c>
      <c r="EH212" s="2197">
        <v>-9999</v>
      </c>
      <c r="EI212" s="2197">
        <v>-9999</v>
      </c>
      <c r="EJ212" s="2197">
        <v>-9999</v>
      </c>
      <c r="EK212" s="2197">
        <v>-9999</v>
      </c>
      <c r="EL212" s="2197">
        <v>-9999</v>
      </c>
      <c r="EM212" s="2197">
        <v>-9999</v>
      </c>
    </row>
    <row r="213" spans="1:149">
      <c r="A213" s="22">
        <v>113</v>
      </c>
      <c r="B213" s="1" t="s">
        <v>1077</v>
      </c>
      <c r="C213" s="24">
        <f ca="1">OFFSET(Sector1!F13,0,Last_forecast_year - 3-InputY!$G$3)</f>
        <v>4.3436300000000001</v>
      </c>
      <c r="D213" s="3309">
        <f ca="1">OFFSET(Sector1!G13,0,Last_forecast_year - 3-InputY!$G$3)</f>
        <v>4.5327600000000006</v>
      </c>
      <c r="E213" s="24">
        <f ca="1">OFFSET(Sector1!H13,0,Last_forecast_year - 3-InputY!$G$3)</f>
        <v>4.9279856999999998</v>
      </c>
      <c r="F213" s="24">
        <f ca="1">OFFSET(Sector1!I13,0,Last_forecast_year - 3-InputY!$G$3)</f>
        <v>5.2460899270192165</v>
      </c>
      <c r="G213" s="24">
        <f ca="1">OFFSET(Sector1!J13,0,Last_forecast_year - 3-InputY!$G$3)</f>
        <v>5.5409120675982919</v>
      </c>
      <c r="H213" s="25">
        <v>-9999</v>
      </c>
      <c r="I213" s="25">
        <v>-9999</v>
      </c>
      <c r="J213" s="25">
        <v>-9999</v>
      </c>
      <c r="K213" s="25">
        <v>-9999</v>
      </c>
      <c r="L213" s="25">
        <v>-9999</v>
      </c>
      <c r="M213" s="25">
        <v>-9999</v>
      </c>
      <c r="N213" s="25">
        <v>-9999</v>
      </c>
      <c r="O213" s="25">
        <v>-9999</v>
      </c>
      <c r="P213" s="26"/>
      <c r="Q213"/>
      <c r="U213" s="3311"/>
      <c r="V213" s="3311"/>
      <c r="W213" s="3311"/>
      <c r="AA213" s="22">
        <v>113</v>
      </c>
      <c r="AB213" s="1040" t="str">
        <f t="shared" si="8"/>
        <v>GG TAXES ON PRODUCTION AND IMPORTS</v>
      </c>
      <c r="AC213" s="1040">
        <f>CHOOSE(Tables!$U$2,Transfer!CA213,Transfer!CN213,Transfer!DA213,Transfer!DN213,Transfer!EA213)</f>
        <v>12.311030000000001</v>
      </c>
      <c r="AD213" s="1040">
        <f>CHOOSE(Tables!$U$2,Transfer!CB213,Transfer!CO213,Transfer!DB213,Transfer!DO213,Transfer!EB213)</f>
        <v>12.620799999999999</v>
      </c>
      <c r="AE213" s="1040">
        <f>CHOOSE(Tables!$U$2,Transfer!CC213,Transfer!CP213,Transfer!DC213,Transfer!DP213,Transfer!EC213)</f>
        <v>12.956945699999997</v>
      </c>
      <c r="AF213" s="1040">
        <f>CHOOSE(Tables!$U$2,Transfer!CD213,Transfer!CQ213,Transfer!DD213,Transfer!DQ213,Transfer!ED213)</f>
        <v>13.474522965</v>
      </c>
      <c r="AG213" s="1040">
        <f>CHOOSE(Tables!$U$2,Transfer!CE213,Transfer!CR213,Transfer!DE213,Transfer!DR213,Transfer!EE213)</f>
        <v>14.211842835449998</v>
      </c>
      <c r="AH213" s="1040">
        <f>CHOOSE(Tables!$U$2,Transfer!CF213,Transfer!CS213,Transfer!DF213,Transfer!DS213,Transfer!EF213)</f>
        <v>-9999</v>
      </c>
      <c r="AI213" s="1040">
        <f>CHOOSE(Tables!$U$2,Transfer!CG213,Transfer!CT213,Transfer!DG213,Transfer!DT213,Transfer!EG213)</f>
        <v>-9999</v>
      </c>
      <c r="AJ213" s="1040">
        <f>CHOOSE(Tables!$U$2,Transfer!CH213,Transfer!CU213,Transfer!DH213,Transfer!DU213,Transfer!EH213)</f>
        <v>-9999</v>
      </c>
      <c r="AK213" s="1040">
        <f>CHOOSE(Tables!$U$2,Transfer!CI213,Transfer!CV213,Transfer!DI213,Transfer!DV213,Transfer!EI213)</f>
        <v>-9999</v>
      </c>
      <c r="AL213" s="1040">
        <f>CHOOSE(Tables!$U$2,Transfer!CJ213,Transfer!CW213,Transfer!DJ213,Transfer!DW213,Transfer!EJ213)</f>
        <v>-9999</v>
      </c>
      <c r="AM213" s="1040">
        <f>CHOOSE(Tables!$U$2,Transfer!CK213,Transfer!CX213,Transfer!DK213,Transfer!DX213,Transfer!EK213)</f>
        <v>-9999</v>
      </c>
      <c r="AN213" s="1040">
        <f>CHOOSE(Tables!$U$2,Transfer!CL213,Transfer!CY213,Transfer!DL213,Transfer!DY213,Transfer!EL213)</f>
        <v>-9999</v>
      </c>
      <c r="AO213" s="1040">
        <f>CHOOSE(Tables!$U$2,Transfer!CM213,Transfer!CZ213,Transfer!DM213,Transfer!DZ213,Transfer!EM213)</f>
        <v>-9999</v>
      </c>
      <c r="AR213" s="22">
        <v>113</v>
      </c>
      <c r="AS213" s="1" t="s">
        <v>1077</v>
      </c>
      <c r="AT213" s="24">
        <f t="shared" ca="1" si="10"/>
        <v>-7.9674000000000005</v>
      </c>
      <c r="AU213" s="24">
        <f t="shared" ca="1" si="11"/>
        <v>-8.0880399999999995</v>
      </c>
      <c r="AV213" s="24">
        <f t="shared" ca="1" si="12"/>
        <v>-8.0289599999999979</v>
      </c>
      <c r="AW213" s="24">
        <f t="shared" ca="1" si="13"/>
        <v>-8.2284330379807837</v>
      </c>
      <c r="AX213" s="24">
        <f t="shared" ca="1" si="14"/>
        <v>-8.670930767851706</v>
      </c>
      <c r="AY213" s="25">
        <f t="shared" si="15"/>
        <v>0</v>
      </c>
      <c r="AZ213" s="25">
        <f t="shared" si="16"/>
        <v>0</v>
      </c>
      <c r="BA213" s="25">
        <f t="shared" si="17"/>
        <v>0</v>
      </c>
      <c r="BB213" s="25">
        <f t="shared" si="18"/>
        <v>0</v>
      </c>
      <c r="BC213" s="25">
        <f t="shared" si="21"/>
        <v>0</v>
      </c>
      <c r="BD213" s="25">
        <f t="shared" si="21"/>
        <v>0</v>
      </c>
      <c r="BE213" s="25">
        <f t="shared" si="21"/>
        <v>0</v>
      </c>
      <c r="BF213" s="25">
        <f t="shared" si="21"/>
        <v>0</v>
      </c>
      <c r="CA213" s="16">
        <v>3.8767</v>
      </c>
      <c r="CB213" s="16">
        <v>4.1194600000000001</v>
      </c>
      <c r="CC213" s="16">
        <v>4.3837418044999996</v>
      </c>
      <c r="CD213" s="16">
        <v>4.5809818505550002</v>
      </c>
      <c r="CE213" s="16">
        <v>4.9156312420940447</v>
      </c>
      <c r="CF213" s="16">
        <v>-9999</v>
      </c>
      <c r="CG213" s="16">
        <v>-9999</v>
      </c>
      <c r="CH213" s="16">
        <v>-9999</v>
      </c>
      <c r="CI213" s="16">
        <v>-9999</v>
      </c>
      <c r="CJ213" s="16">
        <v>-9999</v>
      </c>
      <c r="CK213" s="16">
        <v>-9999</v>
      </c>
      <c r="CL213" s="16">
        <v>-9999</v>
      </c>
      <c r="CM213" s="16">
        <v>-9999</v>
      </c>
      <c r="CN213" s="16">
        <v>3.7240674199999999</v>
      </c>
      <c r="CO213" s="16">
        <v>3.8766971699999999</v>
      </c>
      <c r="CP213" s="16">
        <v>4.0717908251018535</v>
      </c>
      <c r="CQ213" s="16">
        <v>4.2740285921689454</v>
      </c>
      <c r="CR213" s="16">
        <v>4.541706564294687</v>
      </c>
      <c r="CS213" s="16">
        <v>-9999</v>
      </c>
      <c r="CT213" s="16">
        <v>-9999</v>
      </c>
      <c r="CU213" s="16">
        <v>-9999</v>
      </c>
      <c r="CV213" s="16">
        <v>-9999</v>
      </c>
      <c r="CW213" s="16">
        <v>-9999</v>
      </c>
      <c r="CX213" s="16">
        <v>-9999</v>
      </c>
      <c r="CY213" s="16">
        <v>-9999</v>
      </c>
      <c r="CZ213" s="16">
        <v>-9999</v>
      </c>
      <c r="DA213" s="16">
        <v>3.8767</v>
      </c>
      <c r="DB213" s="16">
        <v>4.1194600000000001</v>
      </c>
      <c r="DC213" s="16">
        <v>4.2333525263830554</v>
      </c>
      <c r="DD213" s="16">
        <v>4.4948043878597854</v>
      </c>
      <c r="DE213" s="16">
        <v>4.7712453063328644</v>
      </c>
      <c r="DF213" s="16">
        <v>-9999</v>
      </c>
      <c r="DG213" s="16">
        <v>-9999</v>
      </c>
      <c r="DH213" s="16">
        <v>-9999</v>
      </c>
      <c r="DI213" s="16">
        <v>-9999</v>
      </c>
      <c r="DJ213" s="16">
        <v>-9999</v>
      </c>
      <c r="DK213" s="16">
        <v>-9999</v>
      </c>
      <c r="DL213" s="16">
        <v>-9999</v>
      </c>
      <c r="DM213" s="16">
        <v>-9999</v>
      </c>
      <c r="DN213" s="16">
        <v>3.7240700000000002</v>
      </c>
      <c r="DO213" s="16">
        <v>3.8767</v>
      </c>
      <c r="DP213" s="16">
        <v>4.1194600000000001</v>
      </c>
      <c r="DQ213" s="16">
        <v>4.2102255159654369</v>
      </c>
      <c r="DR213" s="16">
        <v>4.4738865075120433</v>
      </c>
      <c r="DS213" s="16">
        <v>-9999</v>
      </c>
      <c r="DT213" s="16">
        <v>-9999</v>
      </c>
      <c r="DU213" s="16">
        <v>-9999</v>
      </c>
      <c r="DV213" s="16">
        <v>-9999</v>
      </c>
      <c r="DW213" s="16">
        <v>-9999</v>
      </c>
      <c r="DX213" s="16">
        <v>-9999</v>
      </c>
      <c r="DY213" s="16">
        <v>-9999</v>
      </c>
      <c r="DZ213" s="16">
        <v>-9999</v>
      </c>
      <c r="EA213" s="2196">
        <v>12.311030000000001</v>
      </c>
      <c r="EB213" s="2196">
        <v>12.620799999999999</v>
      </c>
      <c r="EC213" s="2196">
        <v>12.956945699999997</v>
      </c>
      <c r="ED213" s="2196">
        <v>13.474522965</v>
      </c>
      <c r="EE213" s="2196">
        <v>14.211842835449998</v>
      </c>
      <c r="EF213" s="2197">
        <v>-9999</v>
      </c>
      <c r="EG213" s="2197">
        <v>-9999</v>
      </c>
      <c r="EH213" s="2197">
        <v>-9999</v>
      </c>
      <c r="EI213" s="2197">
        <v>-9999</v>
      </c>
      <c r="EJ213" s="2197">
        <v>-9999</v>
      </c>
      <c r="EK213" s="2197">
        <v>-9999</v>
      </c>
      <c r="EL213" s="2197">
        <v>-9999</v>
      </c>
      <c r="EM213" s="2197">
        <v>-9999</v>
      </c>
    </row>
    <row r="214" spans="1:149">
      <c r="A214" s="22">
        <v>114</v>
      </c>
      <c r="B214" s="1" t="s">
        <v>1802</v>
      </c>
      <c r="C214" s="24">
        <f ca="1">OFFSET(Sector1!F205,0,Last_forecast_year - 3-InputY!$G$3)</f>
        <v>2.0321899999999999</v>
      </c>
      <c r="D214" s="3309">
        <f ca="1">OFFSET(Sector1!G205,0,Last_forecast_year - 3-InputY!$G$3)</f>
        <v>2.1945000000000001</v>
      </c>
      <c r="E214" s="24">
        <f ca="1">OFFSET(Sector1!H205,0,Last_forecast_year - 3-InputY!$G$3)</f>
        <v>2.3153593839999997</v>
      </c>
      <c r="F214" s="24">
        <f ca="1">OFFSET(Sector1!I205,0,Last_forecast_year - 3-InputY!$G$3)</f>
        <v>2.3945682130239994</v>
      </c>
      <c r="G214" s="24">
        <f ca="1">OFFSET(Sector1!J205,0,Last_forecast_year - 3-InputY!$G$3)</f>
        <v>2.5256978838147841</v>
      </c>
      <c r="H214" s="25">
        <v>-9999</v>
      </c>
      <c r="I214" s="25">
        <v>-9999</v>
      </c>
      <c r="J214" s="25">
        <v>-9999</v>
      </c>
      <c r="K214" s="25">
        <v>-9999</v>
      </c>
      <c r="L214" s="25">
        <v>-9999</v>
      </c>
      <c r="M214" s="25">
        <v>-9999</v>
      </c>
      <c r="N214" s="25">
        <v>-9999</v>
      </c>
      <c r="O214" s="25">
        <v>-9999</v>
      </c>
      <c r="P214" s="26"/>
      <c r="Q214"/>
      <c r="AA214" s="22">
        <v>114</v>
      </c>
      <c r="AB214" s="1040" t="str">
        <f t="shared" si="8"/>
        <v xml:space="preserve">GG CURRENT TAXES ON INCOME AND WEALTH </v>
      </c>
      <c r="AC214" s="1040">
        <f>CHOOSE(Tables!$U$2,Transfer!CA214,Transfer!CN214,Transfer!DA214,Transfer!DN214,Transfer!EA214)</f>
        <v>4.6926199999999998</v>
      </c>
      <c r="AD214" s="1040">
        <f>CHOOSE(Tables!$U$2,Transfer!CB214,Transfer!CO214,Transfer!DB214,Transfer!DO214,Transfer!EB214)</f>
        <v>5.5505600000000008</v>
      </c>
      <c r="AE214" s="1040">
        <f>CHOOSE(Tables!$U$2,Transfer!CC214,Transfer!CP214,Transfer!DC214,Transfer!DP214,Transfer!EC214)</f>
        <v>5.9595504000000012</v>
      </c>
      <c r="AF214" s="1040">
        <f>CHOOSE(Tables!$U$2,Transfer!CD214,Transfer!CQ214,Transfer!DD214,Transfer!DQ214,Transfer!ED214)</f>
        <v>6.3298336847000014</v>
      </c>
      <c r="AG214" s="1040">
        <f>CHOOSE(Tables!$U$2,Transfer!CE214,Transfer!CR214,Transfer!DE214,Transfer!DR214,Transfer!EE214)</f>
        <v>6.7459542501394507</v>
      </c>
      <c r="AH214" s="1040">
        <f>CHOOSE(Tables!$U$2,Transfer!CF214,Transfer!CS214,Transfer!DF214,Transfer!DS214,Transfer!EF214)</f>
        <v>-9999</v>
      </c>
      <c r="AI214" s="1040">
        <f>CHOOSE(Tables!$U$2,Transfer!CG214,Transfer!CT214,Transfer!DG214,Transfer!DT214,Transfer!EG214)</f>
        <v>-9999</v>
      </c>
      <c r="AJ214" s="1040">
        <f>CHOOSE(Tables!$U$2,Transfer!CH214,Transfer!CU214,Transfer!DH214,Transfer!DU214,Transfer!EH214)</f>
        <v>-9999</v>
      </c>
      <c r="AK214" s="1040">
        <f>CHOOSE(Tables!$U$2,Transfer!CI214,Transfer!CV214,Transfer!DI214,Transfer!DV214,Transfer!EI214)</f>
        <v>-9999</v>
      </c>
      <c r="AL214" s="1040">
        <f>CHOOSE(Tables!$U$2,Transfer!CJ214,Transfer!CW214,Transfer!DJ214,Transfer!DW214,Transfer!EJ214)</f>
        <v>-9999</v>
      </c>
      <c r="AM214" s="1040">
        <f>CHOOSE(Tables!$U$2,Transfer!CK214,Transfer!CX214,Transfer!DK214,Transfer!DX214,Transfer!EK214)</f>
        <v>-9999</v>
      </c>
      <c r="AN214" s="1040">
        <f>CHOOSE(Tables!$U$2,Transfer!CL214,Transfer!CY214,Transfer!DL214,Transfer!DY214,Transfer!EL214)</f>
        <v>-9999</v>
      </c>
      <c r="AO214" s="1040">
        <f>CHOOSE(Tables!$U$2,Transfer!CM214,Transfer!CZ214,Transfer!DM214,Transfer!DZ214,Transfer!EM214)</f>
        <v>-9999</v>
      </c>
      <c r="AR214" s="22">
        <v>114</v>
      </c>
      <c r="AS214" s="1" t="s">
        <v>1802</v>
      </c>
      <c r="AT214" s="24">
        <f t="shared" ref="AT214:AT245" ca="1" si="22">C214-AC214</f>
        <v>-2.6604299999999999</v>
      </c>
      <c r="AU214" s="24">
        <f t="shared" ref="AU214:AU245" ca="1" si="23">D214-AD214</f>
        <v>-3.3560600000000007</v>
      </c>
      <c r="AV214" s="24">
        <f t="shared" ref="AV214:AV245" ca="1" si="24">E214-AE214</f>
        <v>-3.6441910160000015</v>
      </c>
      <c r="AW214" s="24">
        <f t="shared" ref="AW214:AW245" ca="1" si="25">F214-AF214</f>
        <v>-3.935265471676002</v>
      </c>
      <c r="AX214" s="24">
        <f t="shared" ref="AX214:AX245" ca="1" si="26">G214-AG214</f>
        <v>-4.2202563663246666</v>
      </c>
      <c r="AY214" s="25">
        <f t="shared" ref="AY214:AY245" si="27">H214-AH214</f>
        <v>0</v>
      </c>
      <c r="AZ214" s="25">
        <f t="shared" ref="AZ214:AZ245" si="28">I214-AI214</f>
        <v>0</v>
      </c>
      <c r="BA214" s="25">
        <f t="shared" ref="BA214:BA245" si="29">J214-AJ214</f>
        <v>0</v>
      </c>
      <c r="BB214" s="25">
        <f t="shared" ref="BB214:BB245" si="30">K214-AK214</f>
        <v>0</v>
      </c>
      <c r="BC214" s="25">
        <f t="shared" si="21"/>
        <v>0</v>
      </c>
      <c r="BD214" s="25">
        <f t="shared" si="21"/>
        <v>0</v>
      </c>
      <c r="BE214" s="25">
        <f t="shared" si="21"/>
        <v>0</v>
      </c>
      <c r="BF214" s="25">
        <f t="shared" si="21"/>
        <v>0</v>
      </c>
      <c r="CA214" s="16">
        <v>1.7428399999999999</v>
      </c>
      <c r="CB214" s="16">
        <v>1.8440399999999999</v>
      </c>
      <c r="CC214" s="16">
        <v>1.9772275179426659</v>
      </c>
      <c r="CD214" s="16">
        <v>2.0205368246001543</v>
      </c>
      <c r="CE214" s="16">
        <v>2.1386346570550274</v>
      </c>
      <c r="CF214" s="16">
        <v>-9999</v>
      </c>
      <c r="CG214" s="16">
        <v>-9999</v>
      </c>
      <c r="CH214" s="16">
        <v>-9999</v>
      </c>
      <c r="CI214" s="16">
        <v>-9999</v>
      </c>
      <c r="CJ214" s="16">
        <v>-9999</v>
      </c>
      <c r="CK214" s="16">
        <v>-9999</v>
      </c>
      <c r="CL214" s="16">
        <v>-9999</v>
      </c>
      <c r="CM214" s="16">
        <v>-9999</v>
      </c>
      <c r="CN214" s="16">
        <v>1.60755329</v>
      </c>
      <c r="CO214" s="16">
        <v>1.7428434900000001</v>
      </c>
      <c r="CP214" s="16">
        <v>1.8050057223222149</v>
      </c>
      <c r="CQ214" s="16">
        <v>1.9087831116533702</v>
      </c>
      <c r="CR214" s="16">
        <v>2.0399422722027447</v>
      </c>
      <c r="CS214" s="16">
        <v>-9999</v>
      </c>
      <c r="CT214" s="16">
        <v>-9999</v>
      </c>
      <c r="CU214" s="16">
        <v>-9999</v>
      </c>
      <c r="CV214" s="16">
        <v>-9999</v>
      </c>
      <c r="CW214" s="16">
        <v>-9999</v>
      </c>
      <c r="CX214" s="16">
        <v>-9999</v>
      </c>
      <c r="CY214" s="16">
        <v>-9999</v>
      </c>
      <c r="CZ214" s="16">
        <v>-9999</v>
      </c>
      <c r="DA214" s="16">
        <v>1.7428399999999999</v>
      </c>
      <c r="DB214" s="16">
        <v>1.8440399999999999</v>
      </c>
      <c r="DC214" s="16">
        <v>1.9529591938260153</v>
      </c>
      <c r="DD214" s="16">
        <v>2.0763452122783588</v>
      </c>
      <c r="DE214" s="16">
        <v>2.2076814196606325</v>
      </c>
      <c r="DF214" s="16">
        <v>-9999</v>
      </c>
      <c r="DG214" s="16">
        <v>-9999</v>
      </c>
      <c r="DH214" s="16">
        <v>-9999</v>
      </c>
      <c r="DI214" s="16">
        <v>-9999</v>
      </c>
      <c r="DJ214" s="16">
        <v>-9999</v>
      </c>
      <c r="DK214" s="16">
        <v>-9999</v>
      </c>
      <c r="DL214" s="16">
        <v>-9999</v>
      </c>
      <c r="DM214" s="16">
        <v>-9999</v>
      </c>
      <c r="DN214" s="16">
        <v>1.60755</v>
      </c>
      <c r="DO214" s="16">
        <v>1.7428399999999999</v>
      </c>
      <c r="DP214" s="16">
        <v>1.8478711985464964</v>
      </c>
      <c r="DQ214" s="16">
        <v>1.9539987486367953</v>
      </c>
      <c r="DR214" s="16">
        <v>2.0885535705369835</v>
      </c>
      <c r="DS214" s="16">
        <v>-9999</v>
      </c>
      <c r="DT214" s="16">
        <v>-9999</v>
      </c>
      <c r="DU214" s="16">
        <v>-9999</v>
      </c>
      <c r="DV214" s="16">
        <v>-9999</v>
      </c>
      <c r="DW214" s="16">
        <v>-9999</v>
      </c>
      <c r="DX214" s="16">
        <v>-9999</v>
      </c>
      <c r="DY214" s="16">
        <v>-9999</v>
      </c>
      <c r="DZ214" s="16">
        <v>-9999</v>
      </c>
      <c r="EA214" s="2196">
        <v>4.6926199999999998</v>
      </c>
      <c r="EB214" s="2196">
        <v>5.5505600000000008</v>
      </c>
      <c r="EC214" s="2196">
        <v>5.9595504000000012</v>
      </c>
      <c r="ED214" s="2196">
        <v>6.3298336847000014</v>
      </c>
      <c r="EE214" s="2196">
        <v>6.7459542501394507</v>
      </c>
      <c r="EF214" s="2197">
        <v>-9999</v>
      </c>
      <c r="EG214" s="2197">
        <v>-9999</v>
      </c>
      <c r="EH214" s="2197">
        <v>-9999</v>
      </c>
      <c r="EI214" s="2197">
        <v>-9999</v>
      </c>
      <c r="EJ214" s="2197">
        <v>-9999</v>
      </c>
      <c r="EK214" s="2197">
        <v>-9999</v>
      </c>
      <c r="EL214" s="2197">
        <v>-9999</v>
      </c>
      <c r="EM214" s="2197">
        <v>-9999</v>
      </c>
    </row>
    <row r="215" spans="1:149">
      <c r="A215" s="22">
        <v>115</v>
      </c>
      <c r="B215" s="1" t="s">
        <v>1804</v>
      </c>
      <c r="C215" s="24">
        <f ca="1">OFFSET(Sector1!F255,0,Last_forecast_year - 3-InputY!$G$3)</f>
        <v>4.4563400000000009</v>
      </c>
      <c r="D215" s="3309">
        <f ca="1">OFFSET(Sector1!G255,0,Last_forecast_year - 3-InputY!$G$3)</f>
        <v>4.8441000000000001</v>
      </c>
      <c r="E215" s="24">
        <f ca="1">OFFSET(Sector1!H255,0,Last_forecast_year - 3-InputY!$G$3)</f>
        <v>5.444205530780633</v>
      </c>
      <c r="F215" s="24">
        <f ca="1">OFFSET(Sector1!I255,0,Last_forecast_year - 3-InputY!$G$3)</f>
        <v>5.8089673013429346</v>
      </c>
      <c r="G215" s="24">
        <f ca="1">OFFSET(Sector1!J255,0,Last_forecast_year - 3-InputY!$G$3)</f>
        <v>6.1419965550884186</v>
      </c>
      <c r="H215" s="25">
        <v>-9999</v>
      </c>
      <c r="I215" s="25">
        <v>-9999</v>
      </c>
      <c r="J215" s="25">
        <v>-9999</v>
      </c>
      <c r="K215" s="25">
        <v>-9999</v>
      </c>
      <c r="L215" s="25">
        <v>-9999</v>
      </c>
      <c r="M215" s="25">
        <v>-9999</v>
      </c>
      <c r="N215" s="25">
        <v>-9999</v>
      </c>
      <c r="O215" s="25">
        <v>-9999</v>
      </c>
      <c r="P215" s="26"/>
      <c r="Q215"/>
      <c r="AA215" s="22">
        <v>115</v>
      </c>
      <c r="AB215" s="1040" t="str">
        <f t="shared" si="8"/>
        <v>GG SOCIAL CONTRIBUTIONS</v>
      </c>
      <c r="AC215" s="1040">
        <f>CHOOSE(Tables!$U$2,Transfer!CA215,Transfer!CN215,Transfer!DA215,Transfer!DN215,Transfer!EA215)</f>
        <v>12.356940000000002</v>
      </c>
      <c r="AD215" s="1040">
        <f>CHOOSE(Tables!$U$2,Transfer!CB215,Transfer!CO215,Transfer!DB215,Transfer!DO215,Transfer!EB215)</f>
        <v>12.84684</v>
      </c>
      <c r="AE215" s="1040">
        <f>CHOOSE(Tables!$U$2,Transfer!CC215,Transfer!CP215,Transfer!DC215,Transfer!DP215,Transfer!EC215)</f>
        <v>13.874587200000001</v>
      </c>
      <c r="AF215" s="1040">
        <f>CHOOSE(Tables!$U$2,Transfer!CD215,Transfer!CQ215,Transfer!DD215,Transfer!DQ215,Transfer!ED215)</f>
        <v>14.5960657344</v>
      </c>
      <c r="AG215" s="1040">
        <f>CHOOSE(Tables!$U$2,Transfer!CE215,Transfer!CR215,Transfer!DE215,Transfer!DR215,Transfer!EE215)</f>
        <v>15.471829678464001</v>
      </c>
      <c r="AH215" s="1040">
        <f>CHOOSE(Tables!$U$2,Transfer!CF215,Transfer!CS215,Transfer!DF215,Transfer!DS215,Transfer!EF215)</f>
        <v>-9999</v>
      </c>
      <c r="AI215" s="1040">
        <f>CHOOSE(Tables!$U$2,Transfer!CG215,Transfer!CT215,Transfer!DG215,Transfer!DT215,Transfer!EG215)</f>
        <v>-9999</v>
      </c>
      <c r="AJ215" s="1040">
        <f>CHOOSE(Tables!$U$2,Transfer!CH215,Transfer!CU215,Transfer!DH215,Transfer!DU215,Transfer!EH215)</f>
        <v>-9999</v>
      </c>
      <c r="AK215" s="1040">
        <f>CHOOSE(Tables!$U$2,Transfer!CI215,Transfer!CV215,Transfer!DI215,Transfer!DV215,Transfer!EI215)</f>
        <v>-9999</v>
      </c>
      <c r="AL215" s="1040">
        <f>CHOOSE(Tables!$U$2,Transfer!CJ215,Transfer!CW215,Transfer!DJ215,Transfer!DW215,Transfer!EJ215)</f>
        <v>-9999</v>
      </c>
      <c r="AM215" s="1040">
        <f>CHOOSE(Tables!$U$2,Transfer!CK215,Transfer!CX215,Transfer!DK215,Transfer!DX215,Transfer!EK215)</f>
        <v>-9999</v>
      </c>
      <c r="AN215" s="1040">
        <f>CHOOSE(Tables!$U$2,Transfer!CL215,Transfer!CY215,Transfer!DL215,Transfer!DY215,Transfer!EL215)</f>
        <v>-9999</v>
      </c>
      <c r="AO215" s="1040">
        <f>CHOOSE(Tables!$U$2,Transfer!CM215,Transfer!CZ215,Transfer!DM215,Transfer!DZ215,Transfer!EM215)</f>
        <v>-9999</v>
      </c>
      <c r="AR215" s="22">
        <v>115</v>
      </c>
      <c r="AS215" s="1" t="s">
        <v>1804</v>
      </c>
      <c r="AT215" s="24">
        <f t="shared" ca="1" si="22"/>
        <v>-7.9006000000000007</v>
      </c>
      <c r="AU215" s="24">
        <f t="shared" ca="1" si="23"/>
        <v>-8.0027399999999993</v>
      </c>
      <c r="AV215" s="24">
        <f t="shared" ca="1" si="24"/>
        <v>-8.4303816692193685</v>
      </c>
      <c r="AW215" s="24">
        <f t="shared" ca="1" si="25"/>
        <v>-8.7870984330570643</v>
      </c>
      <c r="AX215" s="24">
        <f t="shared" ca="1" si="26"/>
        <v>-9.3298331233755825</v>
      </c>
      <c r="AY215" s="25">
        <f t="shared" si="27"/>
        <v>0</v>
      </c>
      <c r="AZ215" s="25">
        <f t="shared" si="28"/>
        <v>0</v>
      </c>
      <c r="BA215" s="25">
        <f t="shared" si="29"/>
        <v>0</v>
      </c>
      <c r="BB215" s="25">
        <f t="shared" si="30"/>
        <v>0</v>
      </c>
      <c r="BC215" s="25">
        <f t="shared" si="21"/>
        <v>0</v>
      </c>
      <c r="BD215" s="25">
        <f t="shared" si="21"/>
        <v>0</v>
      </c>
      <c r="BE215" s="25">
        <f t="shared" si="21"/>
        <v>0</v>
      </c>
      <c r="BF215" s="25">
        <f t="shared" si="21"/>
        <v>0</v>
      </c>
      <c r="CA215" s="16">
        <v>3.8420699999999997</v>
      </c>
      <c r="CB215" s="16">
        <v>4.1259499999999996</v>
      </c>
      <c r="CC215" s="16">
        <v>4.4395221999999999</v>
      </c>
      <c r="CD215" s="16">
        <v>4.6659378322</v>
      </c>
      <c r="CE215" s="16">
        <v>4.9053979495599336</v>
      </c>
      <c r="CF215" s="16">
        <v>-9999</v>
      </c>
      <c r="CG215" s="16">
        <v>-9999</v>
      </c>
      <c r="CH215" s="16">
        <v>-9999</v>
      </c>
      <c r="CI215" s="16">
        <v>-9999</v>
      </c>
      <c r="CJ215" s="16">
        <v>-9999</v>
      </c>
      <c r="CK215" s="16">
        <v>-9999</v>
      </c>
      <c r="CL215" s="16">
        <v>-9999</v>
      </c>
      <c r="CM215" s="16">
        <v>-9999</v>
      </c>
      <c r="CN215" s="16">
        <v>3.6740442600000001</v>
      </c>
      <c r="CO215" s="16">
        <v>3.84206731</v>
      </c>
      <c r="CP215" s="16">
        <v>4.0649072139799998</v>
      </c>
      <c r="CQ215" s="16">
        <v>4.3006718323908402</v>
      </c>
      <c r="CR215" s="16">
        <v>4.6053865841632904</v>
      </c>
      <c r="CS215" s="16">
        <v>-9999</v>
      </c>
      <c r="CT215" s="16">
        <v>-9999</v>
      </c>
      <c r="CU215" s="16">
        <v>-9999</v>
      </c>
      <c r="CV215" s="16">
        <v>-9999</v>
      </c>
      <c r="CW215" s="16">
        <v>-9999</v>
      </c>
      <c r="CX215" s="16">
        <v>-9999</v>
      </c>
      <c r="CY215" s="16">
        <v>-9999</v>
      </c>
      <c r="CZ215" s="16">
        <v>-9999</v>
      </c>
      <c r="DA215" s="16">
        <v>3.8420699999999997</v>
      </c>
      <c r="DB215" s="16">
        <v>4.1259499999999996</v>
      </c>
      <c r="DC215" s="16">
        <v>4.3652550999999997</v>
      </c>
      <c r="DD215" s="16">
        <v>4.6745457587760866</v>
      </c>
      <c r="DE215" s="16">
        <v>5.0524959922796508</v>
      </c>
      <c r="DF215" s="16">
        <v>-9999</v>
      </c>
      <c r="DG215" s="16">
        <v>-9999</v>
      </c>
      <c r="DH215" s="16">
        <v>-9999</v>
      </c>
      <c r="DI215" s="16">
        <v>-9999</v>
      </c>
      <c r="DJ215" s="16">
        <v>-9999</v>
      </c>
      <c r="DK215" s="16">
        <v>-9999</v>
      </c>
      <c r="DL215" s="16">
        <v>-9999</v>
      </c>
      <c r="DM215" s="16">
        <v>-9999</v>
      </c>
      <c r="DN215" s="16">
        <v>3.6740400000000002</v>
      </c>
      <c r="DO215" s="16">
        <v>3.8420699999999997</v>
      </c>
      <c r="DP215" s="16">
        <v>4.1259499999999996</v>
      </c>
      <c r="DQ215" s="16">
        <v>4.3652550999999997</v>
      </c>
      <c r="DR215" s="16">
        <v>4.6745457587760866</v>
      </c>
      <c r="DS215" s="16">
        <v>-9999</v>
      </c>
      <c r="DT215" s="16">
        <v>-9999</v>
      </c>
      <c r="DU215" s="16">
        <v>-9999</v>
      </c>
      <c r="DV215" s="16">
        <v>-9999</v>
      </c>
      <c r="DW215" s="16">
        <v>-9999</v>
      </c>
      <c r="DX215" s="16">
        <v>-9999</v>
      </c>
      <c r="DY215" s="16">
        <v>-9999</v>
      </c>
      <c r="DZ215" s="16">
        <v>-9999</v>
      </c>
      <c r="EA215" s="2196">
        <v>12.356940000000002</v>
      </c>
      <c r="EB215" s="2196">
        <v>12.84684</v>
      </c>
      <c r="EC215" s="2196">
        <v>13.874587200000001</v>
      </c>
      <c r="ED215" s="2196">
        <v>14.5960657344</v>
      </c>
      <c r="EE215" s="2196">
        <v>15.471829678464001</v>
      </c>
      <c r="EF215" s="2197">
        <v>-9999</v>
      </c>
      <c r="EG215" s="2197">
        <v>-9999</v>
      </c>
      <c r="EH215" s="2197">
        <v>-9999</v>
      </c>
      <c r="EI215" s="2197">
        <v>-9999</v>
      </c>
      <c r="EJ215" s="2197">
        <v>-9999</v>
      </c>
      <c r="EK215" s="2197">
        <v>-9999</v>
      </c>
      <c r="EL215" s="2197">
        <v>-9999</v>
      </c>
      <c r="EM215" s="2197">
        <v>-9999</v>
      </c>
    </row>
    <row r="216" spans="1:149">
      <c r="A216" s="22">
        <v>116</v>
      </c>
      <c r="B216" s="1" t="s">
        <v>1806</v>
      </c>
      <c r="C216" s="24">
        <f ca="1">OFFSET(Sector1!F253,0,Last_forecast_year - 3-InputY!$G$3)</f>
        <v>4.3401000000000005</v>
      </c>
      <c r="D216" s="3309">
        <f ca="1">OFFSET(Sector1!G253,0,Last_forecast_year - 3-InputY!$G$3)</f>
        <v>4.7157900000000001</v>
      </c>
      <c r="E216" s="24">
        <f ca="1">OFFSET(Sector1!H253,0,Last_forecast_year - 3-InputY!$G$3)</f>
        <v>5.3</v>
      </c>
      <c r="F216" s="24">
        <f ca="1">OFFSET(Sector1!I253,0,Last_forecast_year - 3-InputY!$G$3)</f>
        <v>5.6550999999999991</v>
      </c>
      <c r="G216" s="24">
        <f ca="1">OFFSET(Sector1!J253,0,Last_forecast_year - 3-InputY!$G$3)</f>
        <v>5.9793080106769914</v>
      </c>
      <c r="H216" s="25">
        <v>-9999</v>
      </c>
      <c r="I216" s="25">
        <v>-9999</v>
      </c>
      <c r="J216" s="25">
        <v>-9999</v>
      </c>
      <c r="K216" s="25">
        <v>-9999</v>
      </c>
      <c r="L216" s="25">
        <v>-9999</v>
      </c>
      <c r="M216" s="25">
        <v>-9999</v>
      </c>
      <c r="N216" s="25">
        <v>-9999</v>
      </c>
      <c r="O216" s="25">
        <v>-9999</v>
      </c>
      <c r="P216" s="26"/>
      <c r="Q216"/>
      <c r="AA216" s="22">
        <v>116</v>
      </c>
      <c r="AB216" s="1040" t="str">
        <f t="shared" si="8"/>
        <v>GG ACTUAL SOCIAL CONTRIBUTIONS</v>
      </c>
      <c r="AC216" s="1040">
        <f>CHOOSE(Tables!$U$2,Transfer!CA216,Transfer!CN216,Transfer!DA216,Transfer!DN216,Transfer!EA216)</f>
        <v>12.000590000000001</v>
      </c>
      <c r="AD216" s="1040">
        <f>CHOOSE(Tables!$U$2,Transfer!CB216,Transfer!CO216,Transfer!DB216,Transfer!DO216,Transfer!EB216)</f>
        <v>12.47156</v>
      </c>
      <c r="AE216" s="1040">
        <f>CHOOSE(Tables!$U$2,Transfer!CC216,Transfer!CP216,Transfer!DC216,Transfer!DP216,Transfer!EC216)</f>
        <v>13.469284800000001</v>
      </c>
      <c r="AF216" s="1040">
        <f>CHOOSE(Tables!$U$2,Transfer!CD216,Transfer!CQ216,Transfer!DD216,Transfer!DQ216,Transfer!ED216)</f>
        <v>14.1696876096</v>
      </c>
      <c r="AG216" s="1040">
        <f>CHOOSE(Tables!$U$2,Transfer!CE216,Transfer!CR216,Transfer!DE216,Transfer!DR216,Transfer!EE216)</f>
        <v>15.019868866176001</v>
      </c>
      <c r="AH216" s="1040">
        <f>CHOOSE(Tables!$U$2,Transfer!CF216,Transfer!CS216,Transfer!DF216,Transfer!DS216,Transfer!EF216)</f>
        <v>-9999</v>
      </c>
      <c r="AI216" s="1040">
        <f>CHOOSE(Tables!$U$2,Transfer!CG216,Transfer!CT216,Transfer!DG216,Transfer!DT216,Transfer!EG216)</f>
        <v>-9999</v>
      </c>
      <c r="AJ216" s="1040">
        <f>CHOOSE(Tables!$U$2,Transfer!CH216,Transfer!CU216,Transfer!DH216,Transfer!DU216,Transfer!EH216)</f>
        <v>-9999</v>
      </c>
      <c r="AK216" s="1040">
        <f>CHOOSE(Tables!$U$2,Transfer!CI216,Transfer!CV216,Transfer!DI216,Transfer!DV216,Transfer!EI216)</f>
        <v>-9999</v>
      </c>
      <c r="AL216" s="1040">
        <f>CHOOSE(Tables!$U$2,Transfer!CJ216,Transfer!CW216,Transfer!DJ216,Transfer!DW216,Transfer!EJ216)</f>
        <v>-9999</v>
      </c>
      <c r="AM216" s="1040">
        <f>CHOOSE(Tables!$U$2,Transfer!CK216,Transfer!CX216,Transfer!DK216,Transfer!DX216,Transfer!EK216)</f>
        <v>-9999</v>
      </c>
      <c r="AN216" s="1040">
        <f>CHOOSE(Tables!$U$2,Transfer!CL216,Transfer!CY216,Transfer!DL216,Transfer!DY216,Transfer!EL216)</f>
        <v>-9999</v>
      </c>
      <c r="AO216" s="1040">
        <f>CHOOSE(Tables!$U$2,Transfer!CM216,Transfer!CZ216,Transfer!DM216,Transfer!DZ216,Transfer!EM216)</f>
        <v>-9999</v>
      </c>
      <c r="AR216" s="22">
        <v>116</v>
      </c>
      <c r="AS216" s="1" t="s">
        <v>1806</v>
      </c>
      <c r="AT216" s="24">
        <f t="shared" ca="1" si="22"/>
        <v>-7.6604900000000002</v>
      </c>
      <c r="AU216" s="24">
        <f t="shared" ca="1" si="23"/>
        <v>-7.7557700000000001</v>
      </c>
      <c r="AV216" s="24">
        <f t="shared" ca="1" si="24"/>
        <v>-8.1692847999999998</v>
      </c>
      <c r="AW216" s="24">
        <f t="shared" ca="1" si="25"/>
        <v>-8.5145876096000013</v>
      </c>
      <c r="AX216" s="24">
        <f t="shared" ca="1" si="26"/>
        <v>-9.0405608554990096</v>
      </c>
      <c r="AY216" s="25">
        <f t="shared" si="27"/>
        <v>0</v>
      </c>
      <c r="AZ216" s="25">
        <f t="shared" si="28"/>
        <v>0</v>
      </c>
      <c r="BA216" s="25">
        <f t="shared" si="29"/>
        <v>0</v>
      </c>
      <c r="BB216" s="25">
        <f t="shared" si="30"/>
        <v>0</v>
      </c>
      <c r="BC216" s="25">
        <f t="shared" si="21"/>
        <v>0</v>
      </c>
      <c r="BD216" s="25">
        <f t="shared" si="21"/>
        <v>0</v>
      </c>
      <c r="BE216" s="25">
        <f t="shared" si="21"/>
        <v>0</v>
      </c>
      <c r="BF216" s="25">
        <f t="shared" si="21"/>
        <v>0</v>
      </c>
      <c r="CA216" s="16">
        <v>3.7942399999999998</v>
      </c>
      <c r="CB216" s="16">
        <v>4.0646199999999997</v>
      </c>
      <c r="CC216" s="16">
        <v>4.37353112</v>
      </c>
      <c r="CD216" s="16">
        <v>4.5965812071199998</v>
      </c>
      <c r="CE216" s="16">
        <v>4.8324818802312919</v>
      </c>
      <c r="CF216" s="16">
        <v>-9999</v>
      </c>
      <c r="CG216" s="16">
        <v>-9999</v>
      </c>
      <c r="CH216" s="16">
        <v>-9999</v>
      </c>
      <c r="CI216" s="16">
        <v>-9999</v>
      </c>
      <c r="CJ216" s="16">
        <v>-9999</v>
      </c>
      <c r="CK216" s="16">
        <v>-9999</v>
      </c>
      <c r="CL216" s="16">
        <v>-9999</v>
      </c>
      <c r="CM216" s="16">
        <v>-9999</v>
      </c>
      <c r="CN216" s="16">
        <v>3.6120134400000001</v>
      </c>
      <c r="CO216" s="16">
        <v>3.7942365599999999</v>
      </c>
      <c r="CP216" s="16">
        <v>4.0143022804799999</v>
      </c>
      <c r="CQ216" s="16">
        <v>4.2471318127478401</v>
      </c>
      <c r="CR216" s="16">
        <v>4.548053102840063</v>
      </c>
      <c r="CS216" s="16">
        <v>-9999</v>
      </c>
      <c r="CT216" s="16">
        <v>-9999</v>
      </c>
      <c r="CU216" s="16">
        <v>-9999</v>
      </c>
      <c r="CV216" s="16">
        <v>-9999</v>
      </c>
      <c r="CW216" s="16">
        <v>-9999</v>
      </c>
      <c r="CX216" s="16">
        <v>-9999</v>
      </c>
      <c r="CY216" s="16">
        <v>-9999</v>
      </c>
      <c r="CZ216" s="16">
        <v>-9999</v>
      </c>
      <c r="DA216" s="16">
        <v>3.7942399999999998</v>
      </c>
      <c r="DB216" s="16">
        <v>4.0646199999999997</v>
      </c>
      <c r="DC216" s="16">
        <v>4.30036796</v>
      </c>
      <c r="DD216" s="16">
        <v>4.6050611815549045</v>
      </c>
      <c r="DE216" s="16">
        <v>4.9773933906469336</v>
      </c>
      <c r="DF216" s="16">
        <v>-9999</v>
      </c>
      <c r="DG216" s="16">
        <v>-9999</v>
      </c>
      <c r="DH216" s="16">
        <v>-9999</v>
      </c>
      <c r="DI216" s="16">
        <v>-9999</v>
      </c>
      <c r="DJ216" s="16">
        <v>-9999</v>
      </c>
      <c r="DK216" s="16">
        <v>-9999</v>
      </c>
      <c r="DL216" s="16">
        <v>-9999</v>
      </c>
      <c r="DM216" s="16">
        <v>-9999</v>
      </c>
      <c r="DN216" s="16">
        <v>3.6120100000000002</v>
      </c>
      <c r="DO216" s="16">
        <v>3.7942399999999998</v>
      </c>
      <c r="DP216" s="16">
        <v>4.0646199999999997</v>
      </c>
      <c r="DQ216" s="16">
        <v>4.30036796</v>
      </c>
      <c r="DR216" s="16">
        <v>4.6050611815549045</v>
      </c>
      <c r="DS216" s="16">
        <v>-9999</v>
      </c>
      <c r="DT216" s="16">
        <v>-9999</v>
      </c>
      <c r="DU216" s="16">
        <v>-9999</v>
      </c>
      <c r="DV216" s="16">
        <v>-9999</v>
      </c>
      <c r="DW216" s="16">
        <v>-9999</v>
      </c>
      <c r="DX216" s="16">
        <v>-9999</v>
      </c>
      <c r="DY216" s="16">
        <v>-9999</v>
      </c>
      <c r="DZ216" s="16">
        <v>-9999</v>
      </c>
      <c r="EA216" s="2196">
        <v>12.000590000000001</v>
      </c>
      <c r="EB216" s="2196">
        <v>12.47156</v>
      </c>
      <c r="EC216" s="2196">
        <v>13.469284800000001</v>
      </c>
      <c r="ED216" s="2196">
        <v>14.1696876096</v>
      </c>
      <c r="EE216" s="2196">
        <v>15.019868866176001</v>
      </c>
      <c r="EF216" s="2197">
        <v>-9999</v>
      </c>
      <c r="EG216" s="2197">
        <v>-9999</v>
      </c>
      <c r="EH216" s="2197">
        <v>-9999</v>
      </c>
      <c r="EI216" s="2197">
        <v>-9999</v>
      </c>
      <c r="EJ216" s="2197">
        <v>-9999</v>
      </c>
      <c r="EK216" s="2197">
        <v>-9999</v>
      </c>
      <c r="EL216" s="2197">
        <v>-9999</v>
      </c>
      <c r="EM216" s="2197">
        <v>-9999</v>
      </c>
    </row>
    <row r="217" spans="1:149" s="3091" customFormat="1">
      <c r="A217" s="3149">
        <v>117</v>
      </c>
      <c r="B217" s="3158" t="s">
        <v>2007</v>
      </c>
      <c r="C217" s="3151">
        <f ca="1">OFFSET(Sector1!F748,0,Last_forecast_year - 3-InputY!$G$3)</f>
        <v>0.67398999999999998</v>
      </c>
      <c r="D217" s="3310">
        <f ca="1">OFFSET(Sector1!G748,0,Last_forecast_year - 3-InputY!$G$3)</f>
        <v>0.64477999999999991</v>
      </c>
      <c r="E217" s="3151">
        <f ca="1">OFFSET(Sector1!H748,0,Last_forecast_year - 3-InputY!$G$3)</f>
        <v>0.70744060799999986</v>
      </c>
      <c r="F217" s="3151">
        <f ca="1">OFFSET(Sector1!I748,0,Last_forecast_year - 3-InputY!$G$3)</f>
        <v>0.77082054467999994</v>
      </c>
      <c r="G217" s="3151">
        <f ca="1">OFFSET(Sector1!J748,0,Last_forecast_year - 3-InputY!$G$3)</f>
        <v>0.83038656847780001</v>
      </c>
      <c r="H217" s="3152">
        <v>-9999</v>
      </c>
      <c r="I217" s="3152">
        <v>-9999</v>
      </c>
      <c r="J217" s="3152">
        <v>-9999</v>
      </c>
      <c r="K217" s="3152">
        <v>-9999</v>
      </c>
      <c r="L217" s="3152">
        <v>-9999</v>
      </c>
      <c r="M217" s="3152">
        <v>-9999</v>
      </c>
      <c r="N217" s="3152">
        <v>-9999</v>
      </c>
      <c r="O217" s="3152">
        <v>-9999</v>
      </c>
      <c r="R217" s="3154"/>
      <c r="S217" s="3154"/>
      <c r="T217" s="3154"/>
      <c r="U217" s="3154"/>
      <c r="V217" s="3154"/>
      <c r="W217" s="3154"/>
      <c r="X217" s="3154"/>
      <c r="Y217" s="3154"/>
      <c r="Z217" s="3154"/>
      <c r="AA217" s="3149">
        <v>117</v>
      </c>
      <c r="AB217" s="3155" t="str">
        <f t="shared" si="8"/>
        <v>GG OTHER CURRENT RESOURCES</v>
      </c>
      <c r="AC217" s="3155">
        <f>CHOOSE(Tables!$U$2,Transfer!CA217,Transfer!CN217,Transfer!DA217,Transfer!DN217,Transfer!EA217)</f>
        <v>2.2395799999999997</v>
      </c>
      <c r="AD217" s="3155">
        <f>CHOOSE(Tables!$U$2,Transfer!CB217,Transfer!CO217,Transfer!DB217,Transfer!DO217,Transfer!EB217)</f>
        <v>2.2635899999999998</v>
      </c>
      <c r="AE217" s="3155">
        <f>CHOOSE(Tables!$U$2,Transfer!CC217,Transfer!CP217,Transfer!DC217,Transfer!DP217,Transfer!EC217)</f>
        <v>2.1892743000000001</v>
      </c>
      <c r="AF217" s="3155">
        <f>CHOOSE(Tables!$U$2,Transfer!CD217,Transfer!CQ217,Transfer!DD217,Transfer!DQ217,Transfer!ED217)</f>
        <v>2.2767195150000004</v>
      </c>
      <c r="AG217" s="3155">
        <f>CHOOSE(Tables!$U$2,Transfer!CE217,Transfer!CR217,Transfer!DE217,Transfer!DR217,Transfer!EE217)</f>
        <v>2.3685369907500005</v>
      </c>
      <c r="AH217" s="3155">
        <f>CHOOSE(Tables!$U$2,Transfer!CF217,Transfer!CS217,Transfer!DF217,Transfer!DS217,Transfer!EF217)</f>
        <v>-9999</v>
      </c>
      <c r="AI217" s="3155">
        <f>CHOOSE(Tables!$U$2,Transfer!CG217,Transfer!CT217,Transfer!DG217,Transfer!DT217,Transfer!EG217)</f>
        <v>-9999</v>
      </c>
      <c r="AJ217" s="3155">
        <f>CHOOSE(Tables!$U$2,Transfer!CH217,Transfer!CU217,Transfer!DH217,Transfer!DU217,Transfer!EH217)</f>
        <v>-9999</v>
      </c>
      <c r="AK217" s="3155">
        <f>CHOOSE(Tables!$U$2,Transfer!CI217,Transfer!CV217,Transfer!DI217,Transfer!DV217,Transfer!EI217)</f>
        <v>-9999</v>
      </c>
      <c r="AL217" s="3155">
        <f>CHOOSE(Tables!$U$2,Transfer!CJ217,Transfer!CW217,Transfer!DJ217,Transfer!DW217,Transfer!EJ217)</f>
        <v>-9999</v>
      </c>
      <c r="AM217" s="3155">
        <f>CHOOSE(Tables!$U$2,Transfer!CK217,Transfer!CX217,Transfer!DK217,Transfer!DX217,Transfer!EK217)</f>
        <v>-9999</v>
      </c>
      <c r="AN217" s="3155">
        <f>CHOOSE(Tables!$U$2,Transfer!CL217,Transfer!CY217,Transfer!DL217,Transfer!DY217,Transfer!EL217)</f>
        <v>-9999</v>
      </c>
      <c r="AO217" s="3155">
        <f>CHOOSE(Tables!$U$2,Transfer!CM217,Transfer!CZ217,Transfer!DM217,Transfer!DZ217,Transfer!EM217)</f>
        <v>-9999</v>
      </c>
      <c r="AP217" s="3154"/>
      <c r="AQ217" s="3154"/>
      <c r="AR217" s="3149">
        <v>117</v>
      </c>
      <c r="AS217" s="3158" t="s">
        <v>2007</v>
      </c>
      <c r="AT217" s="3151">
        <f t="shared" ca="1" si="22"/>
        <v>-1.5655899999999998</v>
      </c>
      <c r="AU217" s="3151">
        <f t="shared" ca="1" si="23"/>
        <v>-1.6188099999999999</v>
      </c>
      <c r="AV217" s="3151">
        <f t="shared" ca="1" si="24"/>
        <v>-1.4818336920000004</v>
      </c>
      <c r="AW217" s="3151">
        <f t="shared" ca="1" si="25"/>
        <v>-1.5058989703200005</v>
      </c>
      <c r="AX217" s="3151">
        <f t="shared" ca="1" si="26"/>
        <v>-1.5381504222722004</v>
      </c>
      <c r="AY217" s="3152">
        <f t="shared" si="27"/>
        <v>0</v>
      </c>
      <c r="AZ217" s="3152">
        <f t="shared" si="28"/>
        <v>0</v>
      </c>
      <c r="BA217" s="3152">
        <f t="shared" si="29"/>
        <v>0</v>
      </c>
      <c r="BB217" s="3152">
        <f t="shared" si="30"/>
        <v>0</v>
      </c>
      <c r="BC217" s="3152">
        <f t="shared" si="21"/>
        <v>0</v>
      </c>
      <c r="BD217" s="3152">
        <f t="shared" si="21"/>
        <v>0</v>
      </c>
      <c r="BE217" s="3152">
        <f t="shared" si="21"/>
        <v>0</v>
      </c>
      <c r="BF217" s="3152">
        <f t="shared" si="21"/>
        <v>0</v>
      </c>
      <c r="BG217" s="3154"/>
      <c r="BH217" s="3154"/>
      <c r="BI217" s="3154"/>
      <c r="BJ217" s="3154"/>
      <c r="BK217" s="3154"/>
      <c r="BL217" s="3154"/>
      <c r="BM217" s="3154"/>
      <c r="BN217" s="3154"/>
      <c r="BO217" s="3154"/>
      <c r="BP217" s="3154"/>
      <c r="BQ217" s="3154"/>
      <c r="BR217" s="3154"/>
      <c r="BS217" s="3154"/>
      <c r="BT217" s="3154"/>
      <c r="BU217" s="3154"/>
      <c r="BV217" s="3154"/>
      <c r="BW217" s="3154"/>
      <c r="BX217" s="3154"/>
      <c r="BY217" s="3154"/>
      <c r="BZ217" s="3154"/>
      <c r="CA217" s="3154">
        <v>0.60158</v>
      </c>
      <c r="CB217" s="3154">
        <v>0.60721000000000003</v>
      </c>
      <c r="CC217" s="3154">
        <v>0.63319860000000006</v>
      </c>
      <c r="CD217" s="3154">
        <v>0.66039919200000008</v>
      </c>
      <c r="CE217" s="3154">
        <v>0.68887062684000011</v>
      </c>
      <c r="CF217" s="3154">
        <v>-9999</v>
      </c>
      <c r="CG217" s="3154">
        <v>-9999</v>
      </c>
      <c r="CH217" s="3154">
        <v>-9999</v>
      </c>
      <c r="CI217" s="3154">
        <v>-9999</v>
      </c>
      <c r="CJ217" s="3154">
        <v>-9999</v>
      </c>
      <c r="CK217" s="3154">
        <v>-9999</v>
      </c>
      <c r="CL217" s="3154">
        <v>-9999</v>
      </c>
      <c r="CM217" s="3154">
        <v>-9999</v>
      </c>
      <c r="CN217" s="3154">
        <v>0.67690570000000005</v>
      </c>
      <c r="CO217" s="3154">
        <v>0.63570725000000006</v>
      </c>
      <c r="CP217" s="3154">
        <v>0.64056606049999998</v>
      </c>
      <c r="CQ217" s="3154">
        <v>0.66916122814500012</v>
      </c>
      <c r="CR217" s="3154">
        <v>0.69911749146465008</v>
      </c>
      <c r="CS217" s="3154">
        <v>-9999</v>
      </c>
      <c r="CT217" s="3154">
        <v>-9999</v>
      </c>
      <c r="CU217" s="3154">
        <v>-9999</v>
      </c>
      <c r="CV217" s="3154">
        <v>-9999</v>
      </c>
      <c r="CW217" s="3154">
        <v>-9999</v>
      </c>
      <c r="CX217" s="3154">
        <v>-9999</v>
      </c>
      <c r="CY217" s="3154">
        <v>-9999</v>
      </c>
      <c r="CZ217" s="3154">
        <v>-9999</v>
      </c>
      <c r="DA217" s="3154">
        <v>0.63488999999999995</v>
      </c>
      <c r="DB217" s="3154">
        <v>0.61070999999999998</v>
      </c>
      <c r="DC217" s="3154">
        <v>0.63688769999999995</v>
      </c>
      <c r="DD217" s="3154">
        <v>0.66428712899999998</v>
      </c>
      <c r="DE217" s="3154">
        <v>0.69296763033000008</v>
      </c>
      <c r="DF217" s="3154">
        <v>-9999</v>
      </c>
      <c r="DG217" s="3154">
        <v>-9999</v>
      </c>
      <c r="DH217" s="3154">
        <v>-9999</v>
      </c>
      <c r="DI217" s="3154">
        <v>-9999</v>
      </c>
      <c r="DJ217" s="3154">
        <v>-9999</v>
      </c>
      <c r="DK217" s="3154">
        <v>-9999</v>
      </c>
      <c r="DL217" s="3154">
        <v>-9999</v>
      </c>
      <c r="DM217" s="3154">
        <v>-9999</v>
      </c>
      <c r="DN217" s="3154">
        <v>0.67662</v>
      </c>
      <c r="DO217" s="3154">
        <v>0.63488999999999995</v>
      </c>
      <c r="DP217" s="3154">
        <v>0.61070999999999998</v>
      </c>
      <c r="DQ217" s="3154">
        <v>0.63688769999999995</v>
      </c>
      <c r="DR217" s="3154">
        <v>0.66428712899999998</v>
      </c>
      <c r="DS217" s="3154">
        <v>-9999</v>
      </c>
      <c r="DT217" s="3154">
        <v>-9999</v>
      </c>
      <c r="DU217" s="3154">
        <v>-9999</v>
      </c>
      <c r="DV217" s="3154">
        <v>-9999</v>
      </c>
      <c r="DW217" s="3154">
        <v>-9999</v>
      </c>
      <c r="DX217" s="3154">
        <v>-9999</v>
      </c>
      <c r="DY217" s="3154">
        <v>-9999</v>
      </c>
      <c r="DZ217" s="3154">
        <v>-9999</v>
      </c>
      <c r="EA217" s="3159">
        <v>2.2395799999999997</v>
      </c>
      <c r="EB217" s="3159">
        <v>2.2635899999999998</v>
      </c>
      <c r="EC217" s="3159">
        <v>2.1892743000000001</v>
      </c>
      <c r="ED217" s="3159">
        <v>2.2767195150000004</v>
      </c>
      <c r="EE217" s="3159">
        <v>2.3685369907500005</v>
      </c>
      <c r="EF217" s="3157">
        <v>-9999</v>
      </c>
      <c r="EG217" s="3157">
        <v>-9999</v>
      </c>
      <c r="EH217" s="3157">
        <v>-9999</v>
      </c>
      <c r="EI217" s="3157">
        <v>-9999</v>
      </c>
      <c r="EJ217" s="3157">
        <v>-9999</v>
      </c>
      <c r="EK217" s="3157">
        <v>-9999</v>
      </c>
      <c r="EL217" s="3157">
        <v>-9999</v>
      </c>
      <c r="EM217" s="3157">
        <v>-9999</v>
      </c>
      <c r="EN217" s="3154"/>
      <c r="EO217" s="3154"/>
      <c r="EP217" s="3154"/>
      <c r="EQ217" s="3154"/>
      <c r="ER217" s="3154"/>
      <c r="ES217" s="3154"/>
    </row>
    <row r="218" spans="1:149">
      <c r="A218" s="22">
        <v>118</v>
      </c>
      <c r="B218" s="1" t="s">
        <v>88</v>
      </c>
      <c r="C218" s="24">
        <f ca="1">OFFSET('VVP2'!F192,0,Last_forecast_year - 3-InputY!$G$3)</f>
        <v>2.7902900000000002</v>
      </c>
      <c r="D218" s="3309">
        <f ca="1">OFFSET('VVP2'!G192,0,Last_forecast_year - 3-InputY!$G$3)</f>
        <v>2.8603499999999999</v>
      </c>
      <c r="E218" s="24">
        <f ca="1">OFFSET('VVP2'!H192,0,Last_forecast_year - 3-InputY!$G$3)</f>
        <v>2.9872100000000001</v>
      </c>
      <c r="F218" s="24">
        <f ca="1">OFFSET('VVP2'!I192,0,Last_forecast_year - 3-InputY!$G$3)</f>
        <v>3.1365705000000004</v>
      </c>
      <c r="G218" s="24">
        <f ca="1">OFFSET('VVP2'!J192,0,Last_forecast_year - 3-InputY!$G$3)</f>
        <v>3.2933990250000007</v>
      </c>
      <c r="H218" s="25">
        <v>-9999</v>
      </c>
      <c r="I218" s="25">
        <v>-9999</v>
      </c>
      <c r="J218" s="25">
        <v>-9999</v>
      </c>
      <c r="K218" s="25">
        <v>-9999</v>
      </c>
      <c r="L218" s="25">
        <v>-9999</v>
      </c>
      <c r="M218" s="25">
        <v>-9999</v>
      </c>
      <c r="N218" s="25">
        <v>-9999</v>
      </c>
      <c r="O218" s="25">
        <v>-9999</v>
      </c>
      <c r="P218"/>
      <c r="Q218"/>
      <c r="AA218" s="22">
        <v>118</v>
      </c>
      <c r="AB218" s="1040" t="str">
        <f t="shared" si="8"/>
        <v>GG COLLECTIVE CONSUMPTION EXPENDITURE</v>
      </c>
      <c r="AC218" s="1040">
        <f>CHOOSE(Tables!$U$2,Transfer!CA218,Transfer!CN218,Transfer!DA218,Transfer!DN218,Transfer!EA218)</f>
        <v>8.3541399999999992</v>
      </c>
      <c r="AD218" s="1040">
        <f>CHOOSE(Tables!$U$2,Transfer!CB218,Transfer!CO218,Transfer!DB218,Transfer!DO218,Transfer!EB218)</f>
        <v>8.6681499999999989</v>
      </c>
      <c r="AE218" s="1040">
        <f>CHOOSE(Tables!$U$2,Transfer!CC218,Transfer!CP218,Transfer!DC218,Transfer!DP218,Transfer!EC218)</f>
        <v>8.9281944999999983</v>
      </c>
      <c r="AF218" s="1040">
        <f>CHOOSE(Tables!$U$2,Transfer!CD218,Transfer!CQ218,Transfer!DD218,Transfer!DQ218,Transfer!ED218)</f>
        <v>9.1960403349999993</v>
      </c>
      <c r="AG218" s="1040">
        <f>CHOOSE(Tables!$U$2,Transfer!CE218,Transfer!CR218,Transfer!DE218,Transfer!DR218,Transfer!EE218)</f>
        <v>9.4719215450499998</v>
      </c>
      <c r="AH218" s="1040">
        <f>CHOOSE(Tables!$U$2,Transfer!CF218,Transfer!CS218,Transfer!DF218,Transfer!DS218,Transfer!EF218)</f>
        <v>-9999</v>
      </c>
      <c r="AI218" s="1040">
        <f>CHOOSE(Tables!$U$2,Transfer!CG218,Transfer!CT218,Transfer!DG218,Transfer!DT218,Transfer!EG218)</f>
        <v>-9999</v>
      </c>
      <c r="AJ218" s="1040">
        <f>CHOOSE(Tables!$U$2,Transfer!CH218,Transfer!CU218,Transfer!DH218,Transfer!DU218,Transfer!EH218)</f>
        <v>-9999</v>
      </c>
      <c r="AK218" s="1040">
        <f>CHOOSE(Tables!$U$2,Transfer!CI218,Transfer!CV218,Transfer!DI218,Transfer!DV218,Transfer!EI218)</f>
        <v>-9999</v>
      </c>
      <c r="AL218" s="1040">
        <f>CHOOSE(Tables!$U$2,Transfer!CJ218,Transfer!CW218,Transfer!DJ218,Transfer!DW218,Transfer!EJ218)</f>
        <v>-9999</v>
      </c>
      <c r="AM218" s="1040">
        <f>CHOOSE(Tables!$U$2,Transfer!CK218,Transfer!CX218,Transfer!DK218,Transfer!DX218,Transfer!EK218)</f>
        <v>-9999</v>
      </c>
      <c r="AN218" s="1040">
        <f>CHOOSE(Tables!$U$2,Transfer!CL218,Transfer!CY218,Transfer!DL218,Transfer!DY218,Transfer!EL218)</f>
        <v>-9999</v>
      </c>
      <c r="AO218" s="1040">
        <f>CHOOSE(Tables!$U$2,Transfer!CM218,Transfer!CZ218,Transfer!DM218,Transfer!DZ218,Transfer!EM218)</f>
        <v>-9999</v>
      </c>
      <c r="AR218" s="22">
        <v>118</v>
      </c>
      <c r="AS218" s="1" t="s">
        <v>88</v>
      </c>
      <c r="AT218" s="24">
        <f t="shared" ca="1" si="22"/>
        <v>-5.5638499999999986</v>
      </c>
      <c r="AU218" s="24">
        <f t="shared" ca="1" si="23"/>
        <v>-5.8077999999999985</v>
      </c>
      <c r="AV218" s="24">
        <f t="shared" ca="1" si="24"/>
        <v>-5.9409844999999981</v>
      </c>
      <c r="AW218" s="24">
        <f t="shared" ca="1" si="25"/>
        <v>-6.0594698349999989</v>
      </c>
      <c r="AX218" s="24">
        <f t="shared" ca="1" si="26"/>
        <v>-6.1785225200499987</v>
      </c>
      <c r="AY218" s="25">
        <f t="shared" si="27"/>
        <v>0</v>
      </c>
      <c r="AZ218" s="25">
        <f t="shared" si="28"/>
        <v>0</v>
      </c>
      <c r="BA218" s="25">
        <f t="shared" si="29"/>
        <v>0</v>
      </c>
      <c r="BB218" s="25">
        <f t="shared" si="30"/>
        <v>0</v>
      </c>
      <c r="BC218" s="25">
        <f t="shared" si="21"/>
        <v>0</v>
      </c>
      <c r="BD218" s="25">
        <f t="shared" si="21"/>
        <v>0</v>
      </c>
      <c r="BE218" s="25">
        <f t="shared" si="21"/>
        <v>0</v>
      </c>
      <c r="BF218" s="25">
        <f t="shared" si="21"/>
        <v>0</v>
      </c>
      <c r="CA218" s="16">
        <v>2.5829899999999997</v>
      </c>
      <c r="CB218" s="16">
        <v>2.7555100000000001</v>
      </c>
      <c r="CC218" s="16">
        <v>2.8381753000000001</v>
      </c>
      <c r="CD218" s="16">
        <v>2.9517023120000001</v>
      </c>
      <c r="CE218" s="16">
        <v>3.0992874276000002</v>
      </c>
      <c r="CF218" s="16">
        <v>-9999</v>
      </c>
      <c r="CG218" s="16">
        <v>-9999</v>
      </c>
      <c r="CH218" s="16">
        <v>-9999</v>
      </c>
      <c r="CI218" s="16">
        <v>-9999</v>
      </c>
      <c r="CJ218" s="16">
        <v>-9999</v>
      </c>
      <c r="CK218" s="16">
        <v>-9999</v>
      </c>
      <c r="CL218" s="16">
        <v>-9999</v>
      </c>
      <c r="CM218" s="16">
        <v>-9999</v>
      </c>
      <c r="CN218" s="16">
        <v>2.4687899999999998</v>
      </c>
      <c r="CO218" s="16">
        <v>2.5361400000000001</v>
      </c>
      <c r="CP218" s="16">
        <v>2.6122242</v>
      </c>
      <c r="CQ218" s="16">
        <v>2.690590926</v>
      </c>
      <c r="CR218" s="16">
        <v>2.7982145630400002</v>
      </c>
      <c r="CS218" s="16">
        <v>-9999</v>
      </c>
      <c r="CT218" s="16">
        <v>-9999</v>
      </c>
      <c r="CU218" s="16">
        <v>-9999</v>
      </c>
      <c r="CV218" s="16">
        <v>-9999</v>
      </c>
      <c r="CW218" s="16">
        <v>-9999</v>
      </c>
      <c r="CX218" s="16">
        <v>-9999</v>
      </c>
      <c r="CY218" s="16">
        <v>-9999</v>
      </c>
      <c r="CZ218" s="16">
        <v>-9999</v>
      </c>
      <c r="DA218" s="16">
        <v>2.5361400000000001</v>
      </c>
      <c r="DB218" s="16">
        <v>2.7736700000000001</v>
      </c>
      <c r="DC218" s="16">
        <v>2.8568801000000001</v>
      </c>
      <c r="DD218" s="16">
        <v>2.9711553040000003</v>
      </c>
      <c r="DE218" s="16">
        <v>3.1197130692000004</v>
      </c>
      <c r="DF218" s="16">
        <v>-9999</v>
      </c>
      <c r="DG218" s="16">
        <v>-9999</v>
      </c>
      <c r="DH218" s="16">
        <v>-9999</v>
      </c>
      <c r="DI218" s="16">
        <v>-9999</v>
      </c>
      <c r="DJ218" s="16">
        <v>-9999</v>
      </c>
      <c r="DK218" s="16">
        <v>-9999</v>
      </c>
      <c r="DL218" s="16">
        <v>-9999</v>
      </c>
      <c r="DM218" s="16">
        <v>-9999</v>
      </c>
      <c r="DN218" s="16">
        <v>2.4687899999999998</v>
      </c>
      <c r="DO218" s="16">
        <v>2.5361400000000001</v>
      </c>
      <c r="DP218" s="16">
        <v>2.6122242</v>
      </c>
      <c r="DQ218" s="16">
        <v>2.690590926</v>
      </c>
      <c r="DR218" s="16">
        <v>2.7982145630400002</v>
      </c>
      <c r="DS218" s="16">
        <v>-9999</v>
      </c>
      <c r="DT218" s="16">
        <v>-9999</v>
      </c>
      <c r="DU218" s="16">
        <v>-9999</v>
      </c>
      <c r="DV218" s="16">
        <v>-9999</v>
      </c>
      <c r="DW218" s="16">
        <v>-9999</v>
      </c>
      <c r="DX218" s="16">
        <v>-9999</v>
      </c>
      <c r="DY218" s="16">
        <v>-9999</v>
      </c>
      <c r="DZ218" s="16">
        <v>-9999</v>
      </c>
      <c r="EA218" s="2196">
        <v>8.3541399999999992</v>
      </c>
      <c r="EB218" s="2196">
        <v>8.6681499999999989</v>
      </c>
      <c r="EC218" s="2196">
        <v>8.9281944999999983</v>
      </c>
      <c r="ED218" s="2196">
        <v>9.1960403349999993</v>
      </c>
      <c r="EE218" s="2196">
        <v>9.4719215450499998</v>
      </c>
      <c r="EF218" s="2197">
        <v>-9999</v>
      </c>
      <c r="EG218" s="2197">
        <v>-9999</v>
      </c>
      <c r="EH218" s="2197">
        <v>-9999</v>
      </c>
      <c r="EI218" s="2197">
        <v>-9999</v>
      </c>
      <c r="EJ218" s="2197">
        <v>-9999</v>
      </c>
      <c r="EK218" s="2197">
        <v>-9999</v>
      </c>
      <c r="EL218" s="2197">
        <v>-9999</v>
      </c>
      <c r="EM218" s="2197">
        <v>-9999</v>
      </c>
    </row>
    <row r="219" spans="1:149">
      <c r="A219" s="22">
        <v>119</v>
      </c>
      <c r="B219" s="1" t="s">
        <v>89</v>
      </c>
      <c r="C219" s="24">
        <f ca="1">OFFSET('VVP2'!F191,0,Last_forecast_year - 3-InputY!$G$3)</f>
        <v>3.6384699999999999</v>
      </c>
      <c r="D219" s="3309">
        <f ca="1">OFFSET('VVP2'!G191,0,Last_forecast_year - 3-InputY!$G$3)</f>
        <v>3.7765200000000001</v>
      </c>
      <c r="E219" s="24">
        <f ca="1">OFFSET('VVP2'!H191,0,Last_forecast_year - 3-InputY!$G$3)</f>
        <v>3.9208400000000001</v>
      </c>
      <c r="F219" s="24">
        <f ca="1">OFFSET('VVP2'!I191,0,Last_forecast_year - 3-InputY!$G$3)</f>
        <v>4.161412395588</v>
      </c>
      <c r="G219" s="24">
        <f ca="1">OFFSET('VVP2'!J191,0,Last_forecast_year - 3-InputY!$G$3)</f>
        <v>4.3792999700392308</v>
      </c>
      <c r="H219" s="25">
        <v>-9999</v>
      </c>
      <c r="I219" s="25">
        <v>-9999</v>
      </c>
      <c r="J219" s="25">
        <v>-9999</v>
      </c>
      <c r="K219" s="25">
        <v>-9999</v>
      </c>
      <c r="L219" s="25">
        <v>-9999</v>
      </c>
      <c r="M219" s="25">
        <v>-9999</v>
      </c>
      <c r="N219" s="25">
        <v>-9999</v>
      </c>
      <c r="O219" s="25">
        <v>-9999</v>
      </c>
      <c r="P219"/>
      <c r="Q219"/>
      <c r="AA219" s="22">
        <v>119</v>
      </c>
      <c r="AB219" s="1040" t="str">
        <f t="shared" si="8"/>
        <v>GG SOCIAL TRANSFERS IN KIND</v>
      </c>
      <c r="AC219" s="1040">
        <f>CHOOSE(Tables!$U$2,Transfer!CA219,Transfer!CN219,Transfer!DA219,Transfer!DN219,Transfer!EA219)</f>
        <v>11.584530000000001</v>
      </c>
      <c r="AD219" s="1040">
        <f>CHOOSE(Tables!$U$2,Transfer!CB219,Transfer!CO219,Transfer!DB219,Transfer!DO219,Transfer!EB219)</f>
        <v>11.328760000000001</v>
      </c>
      <c r="AE219" s="1040">
        <f>CHOOSE(Tables!$U$2,Transfer!CC219,Transfer!CP219,Transfer!DC219,Transfer!DP219,Transfer!EC219)</f>
        <v>11.6528252411</v>
      </c>
      <c r="AF219" s="1040">
        <f>CHOOSE(Tables!$U$2,Transfer!CD219,Transfer!CQ219,Transfer!DD219,Transfer!DQ219,Transfer!ED219)</f>
        <v>12.111571727039793</v>
      </c>
      <c r="AG219" s="1040">
        <f>CHOOSE(Tables!$U$2,Transfer!CE219,Transfer!CR219,Transfer!DE219,Transfer!DR219,Transfer!EE219)</f>
        <v>12.587934453228044</v>
      </c>
      <c r="AH219" s="1040">
        <f>CHOOSE(Tables!$U$2,Transfer!CF219,Transfer!CS219,Transfer!DF219,Transfer!DS219,Transfer!EF219)</f>
        <v>-9999</v>
      </c>
      <c r="AI219" s="1040">
        <f>CHOOSE(Tables!$U$2,Transfer!CG219,Transfer!CT219,Transfer!DG219,Transfer!DT219,Transfer!EG219)</f>
        <v>-9999</v>
      </c>
      <c r="AJ219" s="1040">
        <f>CHOOSE(Tables!$U$2,Transfer!CH219,Transfer!CU219,Transfer!DH219,Transfer!DU219,Transfer!EH219)</f>
        <v>-9999</v>
      </c>
      <c r="AK219" s="1040">
        <f>CHOOSE(Tables!$U$2,Transfer!CI219,Transfer!CV219,Transfer!DI219,Transfer!DV219,Transfer!EI219)</f>
        <v>-9999</v>
      </c>
      <c r="AL219" s="1040">
        <f>CHOOSE(Tables!$U$2,Transfer!CJ219,Transfer!CW219,Transfer!DJ219,Transfer!DW219,Transfer!EJ219)</f>
        <v>-9999</v>
      </c>
      <c r="AM219" s="1040">
        <f>CHOOSE(Tables!$U$2,Transfer!CK219,Transfer!CX219,Transfer!DK219,Transfer!DX219,Transfer!EK219)</f>
        <v>-9999</v>
      </c>
      <c r="AN219" s="1040">
        <f>CHOOSE(Tables!$U$2,Transfer!CL219,Transfer!CY219,Transfer!DL219,Transfer!DY219,Transfer!EL219)</f>
        <v>-9999</v>
      </c>
      <c r="AO219" s="1040">
        <f>CHOOSE(Tables!$U$2,Transfer!CM219,Transfer!CZ219,Transfer!DM219,Transfer!DZ219,Transfer!EM219)</f>
        <v>-9999</v>
      </c>
      <c r="AR219" s="22">
        <v>119</v>
      </c>
      <c r="AS219" s="1" t="s">
        <v>89</v>
      </c>
      <c r="AT219" s="24">
        <f t="shared" ca="1" si="22"/>
        <v>-7.946060000000001</v>
      </c>
      <c r="AU219" s="24">
        <f t="shared" ca="1" si="23"/>
        <v>-7.5522400000000012</v>
      </c>
      <c r="AV219" s="24">
        <f t="shared" ca="1" si="24"/>
        <v>-7.7319852411000003</v>
      </c>
      <c r="AW219" s="24">
        <f t="shared" ca="1" si="25"/>
        <v>-7.9501593314517933</v>
      </c>
      <c r="AX219" s="24">
        <f t="shared" ca="1" si="26"/>
        <v>-8.2086344831888134</v>
      </c>
      <c r="AY219" s="25">
        <f t="shared" si="27"/>
        <v>0</v>
      </c>
      <c r="AZ219" s="25">
        <f t="shared" si="28"/>
        <v>0</v>
      </c>
      <c r="BA219" s="25">
        <f t="shared" si="29"/>
        <v>0</v>
      </c>
      <c r="BB219" s="25">
        <f t="shared" si="30"/>
        <v>0</v>
      </c>
      <c r="BC219" s="25">
        <f t="shared" si="21"/>
        <v>0</v>
      </c>
      <c r="BD219" s="25">
        <f t="shared" si="21"/>
        <v>0</v>
      </c>
      <c r="BE219" s="25">
        <f t="shared" si="21"/>
        <v>0</v>
      </c>
      <c r="BF219" s="25">
        <f t="shared" si="21"/>
        <v>0</v>
      </c>
      <c r="CA219" s="16">
        <v>3.2785799999999998</v>
      </c>
      <c r="CB219" s="16">
        <v>3.40618</v>
      </c>
      <c r="CC219" s="16">
        <v>3.5879651922649995</v>
      </c>
      <c r="CD219" s="16">
        <v>3.7501131812426758</v>
      </c>
      <c r="CE219" s="16">
        <v>3.9348040777976472</v>
      </c>
      <c r="CF219" s="16">
        <v>-9999</v>
      </c>
      <c r="CG219" s="16">
        <v>-9999</v>
      </c>
      <c r="CH219" s="16">
        <v>-9999</v>
      </c>
      <c r="CI219" s="16">
        <v>-9999</v>
      </c>
      <c r="CJ219" s="16">
        <v>-9999</v>
      </c>
      <c r="CK219" s="16">
        <v>-9999</v>
      </c>
      <c r="CL219" s="16">
        <v>-9999</v>
      </c>
      <c r="CM219" s="16">
        <v>-9999</v>
      </c>
      <c r="CN219" s="16">
        <v>3.30108318</v>
      </c>
      <c r="CO219" s="16">
        <v>3.3425104299999999</v>
      </c>
      <c r="CP219" s="16">
        <v>3.5215949349384728</v>
      </c>
      <c r="CQ219" s="16">
        <v>3.7380410310008587</v>
      </c>
      <c r="CR219" s="16">
        <v>3.932823457971109</v>
      </c>
      <c r="CS219" s="16">
        <v>-9999</v>
      </c>
      <c r="CT219" s="16">
        <v>-9999</v>
      </c>
      <c r="CU219" s="16">
        <v>-9999</v>
      </c>
      <c r="CV219" s="16">
        <v>-9999</v>
      </c>
      <c r="CW219" s="16">
        <v>-9999</v>
      </c>
      <c r="CX219" s="16">
        <v>-9999</v>
      </c>
      <c r="CY219" s="16">
        <v>-9999</v>
      </c>
      <c r="CZ219" s="16">
        <v>-9999</v>
      </c>
      <c r="DA219" s="16">
        <v>3.2877299999999998</v>
      </c>
      <c r="DB219" s="16">
        <v>3.4122300000000001</v>
      </c>
      <c r="DC219" s="16">
        <v>3.5096358081999992</v>
      </c>
      <c r="DD219" s="16">
        <v>3.5812883347830717</v>
      </c>
      <c r="DE219" s="16">
        <v>3.6107604632488077</v>
      </c>
      <c r="DF219" s="16">
        <v>-9999</v>
      </c>
      <c r="DG219" s="16">
        <v>-9999</v>
      </c>
      <c r="DH219" s="16">
        <v>-9999</v>
      </c>
      <c r="DI219" s="16">
        <v>-9999</v>
      </c>
      <c r="DJ219" s="16">
        <v>-9999</v>
      </c>
      <c r="DK219" s="16">
        <v>-9999</v>
      </c>
      <c r="DL219" s="16">
        <v>-9999</v>
      </c>
      <c r="DM219" s="16">
        <v>-9999</v>
      </c>
      <c r="DN219" s="16">
        <v>3.2359800000000001</v>
      </c>
      <c r="DO219" s="16">
        <v>3.2877299999999998</v>
      </c>
      <c r="DP219" s="16">
        <v>3.4610414544188663</v>
      </c>
      <c r="DQ219" s="16">
        <v>3.6738038078867365</v>
      </c>
      <c r="DR219" s="16">
        <v>3.8652540250179701</v>
      </c>
      <c r="DS219" s="16">
        <v>-9999</v>
      </c>
      <c r="DT219" s="16">
        <v>-9999</v>
      </c>
      <c r="DU219" s="16">
        <v>-9999</v>
      </c>
      <c r="DV219" s="16">
        <v>-9999</v>
      </c>
      <c r="DW219" s="16">
        <v>-9999</v>
      </c>
      <c r="DX219" s="16">
        <v>-9999</v>
      </c>
      <c r="DY219" s="16">
        <v>-9999</v>
      </c>
      <c r="DZ219" s="16">
        <v>-9999</v>
      </c>
      <c r="EA219" s="2196">
        <v>11.584530000000001</v>
      </c>
      <c r="EB219" s="2196">
        <v>11.328760000000001</v>
      </c>
      <c r="EC219" s="2196">
        <v>11.6528252411</v>
      </c>
      <c r="ED219" s="2196">
        <v>12.111571727039793</v>
      </c>
      <c r="EE219" s="2196">
        <v>12.587934453228044</v>
      </c>
      <c r="EF219" s="2197">
        <v>-9999</v>
      </c>
      <c r="EG219" s="2197">
        <v>-9999</v>
      </c>
      <c r="EH219" s="2197">
        <v>-9999</v>
      </c>
      <c r="EI219" s="2197">
        <v>-9999</v>
      </c>
      <c r="EJ219" s="2197">
        <v>-9999</v>
      </c>
      <c r="EK219" s="2197">
        <v>-9999</v>
      </c>
      <c r="EL219" s="2197">
        <v>-9999</v>
      </c>
      <c r="EM219" s="2197">
        <v>-9999</v>
      </c>
    </row>
    <row r="220" spans="1:149">
      <c r="A220" s="22">
        <v>120</v>
      </c>
      <c r="B220" s="1" t="s">
        <v>90</v>
      </c>
      <c r="C220" s="24">
        <f ca="1">OFFSET(Labour1!F211,0,Last_forecast_year - 3-InputY!$G$3)</f>
        <v>3.6053099999999998</v>
      </c>
      <c r="D220" s="3309">
        <f ca="1">OFFSET(Labour1!G211,0,Last_forecast_year - 3-InputY!$G$3)</f>
        <v>3.8023500000000001</v>
      </c>
      <c r="E220" s="24">
        <f ca="1">OFFSET(Labour1!H211,0,Last_forecast_year - 3-InputY!$G$3)</f>
        <v>4.0019753007261274</v>
      </c>
      <c r="F220" s="24">
        <f ca="1">OFFSET(Labour1!I211,0,Last_forecast_year - 3-InputY!$G$3)</f>
        <v>4.2038161866725012</v>
      </c>
      <c r="G220" s="24">
        <f ca="1">OFFSET(Labour1!J211,0,Last_forecast_year - 3-InputY!$G$3)</f>
        <v>4.435208860003871</v>
      </c>
      <c r="H220" s="25">
        <v>-9999</v>
      </c>
      <c r="I220" s="25">
        <v>-9999</v>
      </c>
      <c r="J220" s="25">
        <v>-9999</v>
      </c>
      <c r="K220" s="25">
        <v>-9999</v>
      </c>
      <c r="L220" s="25">
        <v>-9999</v>
      </c>
      <c r="M220" s="25">
        <v>-9999</v>
      </c>
      <c r="N220" s="25">
        <v>-9999</v>
      </c>
      <c r="O220" s="25">
        <v>-9999</v>
      </c>
      <c r="P220"/>
      <c r="Q220"/>
      <c r="AA220" s="22">
        <v>120</v>
      </c>
      <c r="AB220" s="1040" t="str">
        <f t="shared" si="8"/>
        <v>GG COMPENSATION OF EMPLOYEES</v>
      </c>
      <c r="AC220" s="1040">
        <f>CHOOSE(Tables!$U$2,Transfer!CA220,Transfer!CN220,Transfer!DA220,Transfer!DN220,Transfer!EA220)</f>
        <v>11.006020000000001</v>
      </c>
      <c r="AD220" s="1040">
        <f>CHOOSE(Tables!$U$2,Transfer!CB220,Transfer!CO220,Transfer!DB220,Transfer!DO220,Transfer!EB220)</f>
        <v>11.15719</v>
      </c>
      <c r="AE220" s="1040">
        <f>CHOOSE(Tables!$U$2,Transfer!CC220,Transfer!CP220,Transfer!DC220,Transfer!DP220,Transfer!EC220)</f>
        <v>11.783108359</v>
      </c>
      <c r="AF220" s="1040">
        <f>CHOOSE(Tables!$U$2,Transfer!CD220,Transfer!CQ220,Transfer!DD220,Transfer!DQ220,Transfer!ED220)</f>
        <v>12.622065674160799</v>
      </c>
      <c r="AG220" s="1040">
        <f>CHOOSE(Tables!$U$2,Transfer!CE220,Transfer!CR220,Transfer!DE220,Transfer!DR220,Transfer!EE220)</f>
        <v>13.253168957868839</v>
      </c>
      <c r="AH220" s="1040">
        <f>CHOOSE(Tables!$U$2,Transfer!CF220,Transfer!CS220,Transfer!DF220,Transfer!DS220,Transfer!EF220)</f>
        <v>-9999</v>
      </c>
      <c r="AI220" s="1040">
        <f>CHOOSE(Tables!$U$2,Transfer!CG220,Transfer!CT220,Transfer!DG220,Transfer!DT220,Transfer!EG220)</f>
        <v>-9999</v>
      </c>
      <c r="AJ220" s="1040">
        <f>CHOOSE(Tables!$U$2,Transfer!CH220,Transfer!CU220,Transfer!DH220,Transfer!DU220,Transfer!EH220)</f>
        <v>-9999</v>
      </c>
      <c r="AK220" s="1040">
        <f>CHOOSE(Tables!$U$2,Transfer!CI220,Transfer!CV220,Transfer!DI220,Transfer!DV220,Transfer!EI220)</f>
        <v>-9999</v>
      </c>
      <c r="AL220" s="1040">
        <f>CHOOSE(Tables!$U$2,Transfer!CJ220,Transfer!CW220,Transfer!DJ220,Transfer!DW220,Transfer!EJ220)</f>
        <v>-9999</v>
      </c>
      <c r="AM220" s="1040">
        <f>CHOOSE(Tables!$U$2,Transfer!CK220,Transfer!CX220,Transfer!DK220,Transfer!DX220,Transfer!EK220)</f>
        <v>-9999</v>
      </c>
      <c r="AN220" s="1040">
        <f>CHOOSE(Tables!$U$2,Transfer!CL220,Transfer!CY220,Transfer!DL220,Transfer!DY220,Transfer!EL220)</f>
        <v>-9999</v>
      </c>
      <c r="AO220" s="1040">
        <f>CHOOSE(Tables!$U$2,Transfer!CM220,Transfer!CZ220,Transfer!DM220,Transfer!DZ220,Transfer!EM220)</f>
        <v>-9999</v>
      </c>
      <c r="AR220" s="22">
        <v>120</v>
      </c>
      <c r="AS220" s="1" t="s">
        <v>90</v>
      </c>
      <c r="AT220" s="24">
        <f t="shared" ca="1" si="22"/>
        <v>-7.4007100000000019</v>
      </c>
      <c r="AU220" s="24">
        <f t="shared" ca="1" si="23"/>
        <v>-7.3548399999999994</v>
      </c>
      <c r="AV220" s="24">
        <f t="shared" ca="1" si="24"/>
        <v>-7.7811330582738725</v>
      </c>
      <c r="AW220" s="24">
        <f t="shared" ca="1" si="25"/>
        <v>-8.418249487488298</v>
      </c>
      <c r="AX220" s="24">
        <f t="shared" ca="1" si="26"/>
        <v>-8.8179600978649688</v>
      </c>
      <c r="AY220" s="25">
        <f t="shared" si="27"/>
        <v>0</v>
      </c>
      <c r="AZ220" s="25">
        <f t="shared" si="28"/>
        <v>0</v>
      </c>
      <c r="BA220" s="25">
        <f t="shared" si="29"/>
        <v>0</v>
      </c>
      <c r="BB220" s="25">
        <f t="shared" si="30"/>
        <v>0</v>
      </c>
      <c r="BC220" s="25">
        <f t="shared" si="21"/>
        <v>0</v>
      </c>
      <c r="BD220" s="25">
        <f t="shared" si="21"/>
        <v>0</v>
      </c>
      <c r="BE220" s="25">
        <f t="shared" si="21"/>
        <v>0</v>
      </c>
      <c r="BF220" s="25">
        <f t="shared" si="21"/>
        <v>0</v>
      </c>
      <c r="CA220" s="16">
        <v>3.3279800000000002</v>
      </c>
      <c r="CB220" s="16">
        <v>3.4510399999999999</v>
      </c>
      <c r="CC220" s="16">
        <v>3.6201409599999996</v>
      </c>
      <c r="CD220" s="16">
        <v>3.8192487127999994</v>
      </c>
      <c r="CE220" s="16">
        <v>4.0560421329935998</v>
      </c>
      <c r="CF220" s="16">
        <v>-9999</v>
      </c>
      <c r="CG220" s="16">
        <v>-9999</v>
      </c>
      <c r="CH220" s="16">
        <v>-9999</v>
      </c>
      <c r="CI220" s="16">
        <v>-9999</v>
      </c>
      <c r="CJ220" s="16">
        <v>-9999</v>
      </c>
      <c r="CK220" s="16">
        <v>-9999</v>
      </c>
      <c r="CL220" s="16">
        <v>-9999</v>
      </c>
      <c r="CM220" s="16">
        <v>-9999</v>
      </c>
      <c r="CN220" s="16">
        <v>3.2398893699999998</v>
      </c>
      <c r="CO220" s="16">
        <v>3.32613241</v>
      </c>
      <c r="CP220" s="16">
        <v>3.4839388995583005</v>
      </c>
      <c r="CQ220" s="16">
        <v>3.6407161500384237</v>
      </c>
      <c r="CR220" s="16">
        <v>3.830033389840422</v>
      </c>
      <c r="CS220" s="16">
        <v>-9999</v>
      </c>
      <c r="CT220" s="16">
        <v>-9999</v>
      </c>
      <c r="CU220" s="16">
        <v>-9999</v>
      </c>
      <c r="CV220" s="16">
        <v>-9999</v>
      </c>
      <c r="CW220" s="16">
        <v>-9999</v>
      </c>
      <c r="CX220" s="16">
        <v>-9999</v>
      </c>
      <c r="CY220" s="16">
        <v>-9999</v>
      </c>
      <c r="CZ220" s="16">
        <v>-9999</v>
      </c>
      <c r="DA220" s="16">
        <v>3.3279800000000002</v>
      </c>
      <c r="DB220" s="16">
        <v>3.4505300000000001</v>
      </c>
      <c r="DC220" s="16">
        <v>3.60580385</v>
      </c>
      <c r="DD220" s="16">
        <v>3.7933056502000002</v>
      </c>
      <c r="DE220" s="16">
        <v>4.0284906005124004</v>
      </c>
      <c r="DF220" s="16">
        <v>-9999</v>
      </c>
      <c r="DG220" s="16">
        <v>-9999</v>
      </c>
      <c r="DH220" s="16">
        <v>-9999</v>
      </c>
      <c r="DI220" s="16">
        <v>-9999</v>
      </c>
      <c r="DJ220" s="16">
        <v>-9999</v>
      </c>
      <c r="DK220" s="16">
        <v>-9999</v>
      </c>
      <c r="DL220" s="16">
        <v>-9999</v>
      </c>
      <c r="DM220" s="16">
        <v>-9999</v>
      </c>
      <c r="DN220" s="16">
        <v>3.2416100000000001</v>
      </c>
      <c r="DO220" s="16">
        <v>3.3279800000000002</v>
      </c>
      <c r="DP220" s="16">
        <v>3.4858741474312001</v>
      </c>
      <c r="DQ220" s="16">
        <v>3.6427384840656036</v>
      </c>
      <c r="DR220" s="16">
        <v>3.8321608852370153</v>
      </c>
      <c r="DS220" s="16">
        <v>-9999</v>
      </c>
      <c r="DT220" s="16">
        <v>-9999</v>
      </c>
      <c r="DU220" s="16">
        <v>-9999</v>
      </c>
      <c r="DV220" s="16">
        <v>-9999</v>
      </c>
      <c r="DW220" s="16">
        <v>-9999</v>
      </c>
      <c r="DX220" s="16">
        <v>-9999</v>
      </c>
      <c r="DY220" s="16">
        <v>-9999</v>
      </c>
      <c r="DZ220" s="16">
        <v>-9999</v>
      </c>
      <c r="EA220" s="2196">
        <v>11.006020000000001</v>
      </c>
      <c r="EB220" s="2196">
        <v>11.15719</v>
      </c>
      <c r="EC220" s="2196">
        <v>11.783108359</v>
      </c>
      <c r="ED220" s="2196">
        <v>12.622065674160799</v>
      </c>
      <c r="EE220" s="2196">
        <v>13.253168957868839</v>
      </c>
      <c r="EF220" s="2197">
        <v>-9999</v>
      </c>
      <c r="EG220" s="2197">
        <v>-9999</v>
      </c>
      <c r="EH220" s="2197">
        <v>-9999</v>
      </c>
      <c r="EI220" s="2197">
        <v>-9999</v>
      </c>
      <c r="EJ220" s="2197">
        <v>-9999</v>
      </c>
      <c r="EK220" s="2197">
        <v>-9999</v>
      </c>
      <c r="EL220" s="2197">
        <v>-9999</v>
      </c>
      <c r="EM220" s="2197">
        <v>-9999</v>
      </c>
    </row>
    <row r="221" spans="1:149">
      <c r="A221" s="22">
        <v>121</v>
      </c>
      <c r="B221" s="1" t="s">
        <v>843</v>
      </c>
      <c r="C221" s="24">
        <f ca="1">OFFSET(Sector1!F300,0,Last_forecast_year - 3-InputY!$G$3)</f>
        <v>4.0540500000000002</v>
      </c>
      <c r="D221" s="3309">
        <f ca="1">OFFSET(Sector1!G300,0,Last_forecast_year - 3-InputY!$G$3)</f>
        <v>4.2601700000000005</v>
      </c>
      <c r="E221" s="24">
        <f ca="1">OFFSET(Sector1!H300,0,Last_forecast_year - 3-InputY!$G$3)</f>
        <v>4.7713904000000014</v>
      </c>
      <c r="F221" s="24">
        <f ca="1">OFFSET(Sector1!I300,0,Last_forecast_year - 3-InputY!$G$3)</f>
        <v>5.3439572480000024</v>
      </c>
      <c r="G221" s="24">
        <f ca="1">OFFSET(Sector1!J300,0,Last_forecast_year - 3-InputY!$G$3)</f>
        <v>5.6645946828800025</v>
      </c>
      <c r="H221" s="25">
        <v>-9999</v>
      </c>
      <c r="I221" s="25">
        <v>-9999</v>
      </c>
      <c r="J221" s="25">
        <v>-9999</v>
      </c>
      <c r="K221" s="25">
        <v>-9999</v>
      </c>
      <c r="L221" s="25">
        <v>-9999</v>
      </c>
      <c r="M221" s="25">
        <v>-9999</v>
      </c>
      <c r="N221" s="25">
        <v>-9999</v>
      </c>
      <c r="O221" s="25">
        <v>-9999</v>
      </c>
      <c r="P221"/>
      <c r="Q221"/>
      <c r="AA221" s="22">
        <v>121</v>
      </c>
      <c r="AB221" s="1040" t="str">
        <f t="shared" si="8"/>
        <v>GG SOCIAL TRANSFERS OTHER THAN IN KIND</v>
      </c>
      <c r="AC221" s="1040">
        <f>CHOOSE(Tables!$U$2,Transfer!CA221,Transfer!CN221,Transfer!DA221,Transfer!DN221,Transfer!EA221)</f>
        <v>13.47702</v>
      </c>
      <c r="AD221" s="1040">
        <f>CHOOSE(Tables!$U$2,Transfer!CB221,Transfer!CO221,Transfer!DB221,Transfer!DO221,Transfer!EB221)</f>
        <v>13.77122</v>
      </c>
      <c r="AE221" s="1040">
        <f>CHOOSE(Tables!$U$2,Transfer!CC221,Transfer!CP221,Transfer!DC221,Transfer!DP221,Transfer!EC221)</f>
        <v>14.184356599999999</v>
      </c>
      <c r="AF221" s="1040">
        <f>CHOOSE(Tables!$U$2,Transfer!CD221,Transfer!CQ221,Transfer!DD221,Transfer!DQ221,Transfer!ED221)</f>
        <v>14.964496212999999</v>
      </c>
      <c r="AG221" s="1040">
        <f>CHOOSE(Tables!$U$2,Transfer!CE221,Transfer!CR221,Transfer!DE221,Transfer!DR221,Transfer!EE221)</f>
        <v>15.787543504714998</v>
      </c>
      <c r="AH221" s="1040">
        <f>CHOOSE(Tables!$U$2,Transfer!CF221,Transfer!CS221,Transfer!DF221,Transfer!DS221,Transfer!EF221)</f>
        <v>-9999</v>
      </c>
      <c r="AI221" s="1040">
        <f>CHOOSE(Tables!$U$2,Transfer!CG221,Transfer!CT221,Transfer!DG221,Transfer!DT221,Transfer!EG221)</f>
        <v>-9999</v>
      </c>
      <c r="AJ221" s="1040">
        <f>CHOOSE(Tables!$U$2,Transfer!CH221,Transfer!CU221,Transfer!DH221,Transfer!DU221,Transfer!EH221)</f>
        <v>-9999</v>
      </c>
      <c r="AK221" s="1040">
        <f>CHOOSE(Tables!$U$2,Transfer!CI221,Transfer!CV221,Transfer!DI221,Transfer!DV221,Transfer!EI221)</f>
        <v>-9999</v>
      </c>
      <c r="AL221" s="1040">
        <f>CHOOSE(Tables!$U$2,Transfer!CJ221,Transfer!CW221,Transfer!DJ221,Transfer!DW221,Transfer!EJ221)</f>
        <v>-9999</v>
      </c>
      <c r="AM221" s="1040">
        <f>CHOOSE(Tables!$U$2,Transfer!CK221,Transfer!CX221,Transfer!DK221,Transfer!DX221,Transfer!EK221)</f>
        <v>-9999</v>
      </c>
      <c r="AN221" s="1040">
        <f>CHOOSE(Tables!$U$2,Transfer!CL221,Transfer!CY221,Transfer!DL221,Transfer!DY221,Transfer!EL221)</f>
        <v>-9999</v>
      </c>
      <c r="AO221" s="1040">
        <f>CHOOSE(Tables!$U$2,Transfer!CM221,Transfer!CZ221,Transfer!DM221,Transfer!DZ221,Transfer!EM221)</f>
        <v>-9999</v>
      </c>
      <c r="AR221" s="22">
        <v>121</v>
      </c>
      <c r="AS221" s="1" t="s">
        <v>843</v>
      </c>
      <c r="AT221" s="24">
        <f t="shared" ca="1" si="22"/>
        <v>-9.4229699999999994</v>
      </c>
      <c r="AU221" s="24">
        <f t="shared" ca="1" si="23"/>
        <v>-9.5110499999999991</v>
      </c>
      <c r="AV221" s="24">
        <f t="shared" ca="1" si="24"/>
        <v>-9.4129661999999978</v>
      </c>
      <c r="AW221" s="24">
        <f t="shared" ca="1" si="25"/>
        <v>-9.6205389649999962</v>
      </c>
      <c r="AX221" s="24">
        <f t="shared" ca="1" si="26"/>
        <v>-10.122948821834996</v>
      </c>
      <c r="AY221" s="25">
        <f t="shared" si="27"/>
        <v>0</v>
      </c>
      <c r="AZ221" s="25">
        <f t="shared" si="28"/>
        <v>0</v>
      </c>
      <c r="BA221" s="25">
        <f t="shared" si="29"/>
        <v>0</v>
      </c>
      <c r="BB221" s="25">
        <f t="shared" si="30"/>
        <v>0</v>
      </c>
      <c r="BC221" s="25">
        <f t="shared" si="21"/>
        <v>0</v>
      </c>
      <c r="BD221" s="25">
        <f t="shared" si="21"/>
        <v>0</v>
      </c>
      <c r="BE221" s="25">
        <f t="shared" si="21"/>
        <v>0</v>
      </c>
      <c r="BF221" s="25">
        <f t="shared" si="21"/>
        <v>0</v>
      </c>
      <c r="CA221" s="16">
        <v>3.91635</v>
      </c>
      <c r="CB221" s="16">
        <v>3.9025300000000001</v>
      </c>
      <c r="CC221" s="16">
        <v>4.0157033699999998</v>
      </c>
      <c r="CD221" s="16">
        <v>4.2566455722000001</v>
      </c>
      <c r="CE221" s="16">
        <v>4.3204952557829994</v>
      </c>
      <c r="CF221" s="16">
        <v>-9999</v>
      </c>
      <c r="CG221" s="16">
        <v>-9999</v>
      </c>
      <c r="CH221" s="16">
        <v>-9999</v>
      </c>
      <c r="CI221" s="16">
        <v>-9999</v>
      </c>
      <c r="CJ221" s="16">
        <v>-9999</v>
      </c>
      <c r="CK221" s="16">
        <v>-9999</v>
      </c>
      <c r="CL221" s="16">
        <v>-9999</v>
      </c>
      <c r="CM221" s="16">
        <v>-9999</v>
      </c>
      <c r="CN221" s="16">
        <v>3.9884209900000003</v>
      </c>
      <c r="CO221" s="16">
        <v>3.9163519500000001</v>
      </c>
      <c r="CP221" s="16">
        <v>4.2218274021000006</v>
      </c>
      <c r="CQ221" s="16">
        <v>4.2176055746979006</v>
      </c>
      <c r="CR221" s="16">
        <v>4.3378073335767908</v>
      </c>
      <c r="CS221" s="16">
        <v>-9999</v>
      </c>
      <c r="CT221" s="16">
        <v>-9999</v>
      </c>
      <c r="CU221" s="16">
        <v>-9999</v>
      </c>
      <c r="CV221" s="16">
        <v>-9999</v>
      </c>
      <c r="CW221" s="16">
        <v>-9999</v>
      </c>
      <c r="CX221" s="16">
        <v>-9999</v>
      </c>
      <c r="CY221" s="16">
        <v>-9999</v>
      </c>
      <c r="CZ221" s="16">
        <v>-9999</v>
      </c>
      <c r="DA221" s="16">
        <v>3.91635</v>
      </c>
      <c r="DB221" s="16">
        <v>3.9025300000000001</v>
      </c>
      <c r="DC221" s="16">
        <v>3.8986274700000001</v>
      </c>
      <c r="DD221" s="16">
        <v>4.0097383528949999</v>
      </c>
      <c r="DE221" s="16">
        <v>4.1240158959525077</v>
      </c>
      <c r="DF221" s="16">
        <v>-9999</v>
      </c>
      <c r="DG221" s="16">
        <v>-9999</v>
      </c>
      <c r="DH221" s="16">
        <v>-9999</v>
      </c>
      <c r="DI221" s="16">
        <v>-9999</v>
      </c>
      <c r="DJ221" s="16">
        <v>-9999</v>
      </c>
      <c r="DK221" s="16">
        <v>-9999</v>
      </c>
      <c r="DL221" s="16">
        <v>-9999</v>
      </c>
      <c r="DM221" s="16">
        <v>-9999</v>
      </c>
      <c r="DN221" s="16">
        <v>3.9884200000000001</v>
      </c>
      <c r="DO221" s="16">
        <v>3.91635</v>
      </c>
      <c r="DP221" s="16">
        <v>3.9025300000000001</v>
      </c>
      <c r="DQ221" s="16">
        <v>3.8986274700000001</v>
      </c>
      <c r="DR221" s="16">
        <v>4.0097383528949999</v>
      </c>
      <c r="DS221" s="16">
        <v>-9999</v>
      </c>
      <c r="DT221" s="16">
        <v>-9999</v>
      </c>
      <c r="DU221" s="16">
        <v>-9999</v>
      </c>
      <c r="DV221" s="16">
        <v>-9999</v>
      </c>
      <c r="DW221" s="16">
        <v>-9999</v>
      </c>
      <c r="DX221" s="16">
        <v>-9999</v>
      </c>
      <c r="DY221" s="16">
        <v>-9999</v>
      </c>
      <c r="DZ221" s="16">
        <v>-9999</v>
      </c>
      <c r="EA221" s="2196">
        <v>13.47702</v>
      </c>
      <c r="EB221" s="2196">
        <v>13.77122</v>
      </c>
      <c r="EC221" s="2196">
        <v>14.184356599999999</v>
      </c>
      <c r="ED221" s="2196">
        <v>14.964496212999999</v>
      </c>
      <c r="EE221" s="2196">
        <v>15.787543504714998</v>
      </c>
      <c r="EF221" s="2197">
        <v>-9999</v>
      </c>
      <c r="EG221" s="2197">
        <v>-9999</v>
      </c>
      <c r="EH221" s="2197">
        <v>-9999</v>
      </c>
      <c r="EI221" s="2197">
        <v>-9999</v>
      </c>
      <c r="EJ221" s="2197">
        <v>-9999</v>
      </c>
      <c r="EK221" s="2197">
        <v>-9999</v>
      </c>
      <c r="EL221" s="2197">
        <v>-9999</v>
      </c>
      <c r="EM221" s="2197">
        <v>-9999</v>
      </c>
    </row>
    <row r="222" spans="1:149">
      <c r="A222" s="22">
        <v>122</v>
      </c>
      <c r="B222" s="1" t="s">
        <v>845</v>
      </c>
      <c r="C222" s="24">
        <f ca="1">OFFSET(Sector1!F139,0,Last_forecast_year - 3-InputY!$G$3)</f>
        <v>0.56867999999999996</v>
      </c>
      <c r="D222" s="3309">
        <f ca="1">OFFSET(Sector1!G139,0,Last_forecast_year - 3-InputY!$G$3)</f>
        <v>0.51676999999999995</v>
      </c>
      <c r="E222" s="24">
        <f ca="1">OFFSET(Sector1!H139,0,Last_forecast_year - 3-InputY!$G$3)</f>
        <v>0.49499999999999994</v>
      </c>
      <c r="F222" s="24">
        <f ca="1">OFFSET(Sector1!I139,0,Last_forecast_year - 3-InputY!$G$3)</f>
        <v>0.38500000000000001</v>
      </c>
      <c r="G222" s="24">
        <f ca="1">OFFSET(Sector1!J139,0,Last_forecast_year - 3-InputY!$G$3)</f>
        <v>0.40100000000000002</v>
      </c>
      <c r="H222" s="25">
        <v>-9999</v>
      </c>
      <c r="I222" s="25">
        <v>-9999</v>
      </c>
      <c r="J222" s="25">
        <v>-9999</v>
      </c>
      <c r="K222" s="25">
        <v>-9999</v>
      </c>
      <c r="L222" s="25">
        <v>-9999</v>
      </c>
      <c r="M222" s="25">
        <v>-9999</v>
      </c>
      <c r="N222" s="25">
        <v>-9999</v>
      </c>
      <c r="O222" s="25">
        <v>-9999</v>
      </c>
      <c r="P222"/>
      <c r="Q222"/>
      <c r="AA222" s="22">
        <v>122</v>
      </c>
      <c r="AB222" s="1040" t="str">
        <f t="shared" si="8"/>
        <v>GG INTEREST excl SWAPS</v>
      </c>
      <c r="AC222" s="1040">
        <f>CHOOSE(Tables!$U$2,Transfer!CA222,Transfer!CN222,Transfer!DA222,Transfer!DN222,Transfer!EA222)</f>
        <v>1.9012100000000001</v>
      </c>
      <c r="AD222" s="1040">
        <f>CHOOSE(Tables!$U$2,Transfer!CB222,Transfer!CO222,Transfer!DB222,Transfer!DO222,Transfer!EB222)</f>
        <v>2.1890300000000003</v>
      </c>
      <c r="AE222" s="1040">
        <f>CHOOSE(Tables!$U$2,Transfer!CC222,Transfer!CP222,Transfer!DC222,Transfer!DP222,Transfer!EC222)</f>
        <v>2.2984815000000003</v>
      </c>
      <c r="AF222" s="1040">
        <f>CHOOSE(Tables!$U$2,Transfer!CD222,Transfer!CQ222,Transfer!DD222,Transfer!DQ222,Transfer!ED222)</f>
        <v>2.3904207600000005</v>
      </c>
      <c r="AG222" s="1040">
        <f>CHOOSE(Tables!$U$2,Transfer!CE222,Transfer!CR222,Transfer!DE222,Transfer!DR222,Transfer!EE222)</f>
        <v>2.4860375904000005</v>
      </c>
      <c r="AH222" s="1040">
        <f>CHOOSE(Tables!$U$2,Transfer!CF222,Transfer!CS222,Transfer!DF222,Transfer!DS222,Transfer!EF222)</f>
        <v>-9999</v>
      </c>
      <c r="AI222" s="1040">
        <f>CHOOSE(Tables!$U$2,Transfer!CG222,Transfer!CT222,Transfer!DG222,Transfer!DT222,Transfer!EG222)</f>
        <v>-9999</v>
      </c>
      <c r="AJ222" s="1040">
        <f>CHOOSE(Tables!$U$2,Transfer!CH222,Transfer!CU222,Transfer!DH222,Transfer!DU222,Transfer!EH222)</f>
        <v>-9999</v>
      </c>
      <c r="AK222" s="1040">
        <f>CHOOSE(Tables!$U$2,Transfer!CI222,Transfer!CV222,Transfer!DI222,Transfer!DV222,Transfer!EI222)</f>
        <v>-9999</v>
      </c>
      <c r="AL222" s="1040">
        <f>CHOOSE(Tables!$U$2,Transfer!CJ222,Transfer!CW222,Transfer!DJ222,Transfer!DW222,Transfer!EJ222)</f>
        <v>-9999</v>
      </c>
      <c r="AM222" s="1040">
        <f>CHOOSE(Tables!$U$2,Transfer!CK222,Transfer!CX222,Transfer!DK222,Transfer!DX222,Transfer!EK222)</f>
        <v>-9999</v>
      </c>
      <c r="AN222" s="1040">
        <f>CHOOSE(Tables!$U$2,Transfer!CL222,Transfer!CY222,Transfer!DL222,Transfer!DY222,Transfer!EL222)</f>
        <v>-9999</v>
      </c>
      <c r="AO222" s="1040">
        <f>CHOOSE(Tables!$U$2,Transfer!CM222,Transfer!CZ222,Transfer!DM222,Transfer!DZ222,Transfer!EM222)</f>
        <v>-9999</v>
      </c>
      <c r="AR222" s="22">
        <v>122</v>
      </c>
      <c r="AS222" s="1" t="s">
        <v>845</v>
      </c>
      <c r="AT222" s="24">
        <f t="shared" ca="1" si="22"/>
        <v>-1.3325300000000002</v>
      </c>
      <c r="AU222" s="24">
        <f t="shared" ca="1" si="23"/>
        <v>-1.6722600000000003</v>
      </c>
      <c r="AV222" s="24">
        <f t="shared" ca="1" si="24"/>
        <v>-1.8034815000000004</v>
      </c>
      <c r="AW222" s="24">
        <f t="shared" ca="1" si="25"/>
        <v>-2.0054207600000007</v>
      </c>
      <c r="AX222" s="24">
        <f t="shared" ca="1" si="26"/>
        <v>-2.0850375904000007</v>
      </c>
      <c r="AY222" s="25">
        <f t="shared" si="27"/>
        <v>0</v>
      </c>
      <c r="AZ222" s="25">
        <f t="shared" si="28"/>
        <v>0</v>
      </c>
      <c r="BA222" s="25">
        <f t="shared" si="29"/>
        <v>0</v>
      </c>
      <c r="BB222" s="25">
        <f t="shared" si="30"/>
        <v>0</v>
      </c>
      <c r="BC222" s="25">
        <f t="shared" si="21"/>
        <v>0</v>
      </c>
      <c r="BD222" s="25">
        <f t="shared" si="21"/>
        <v>0</v>
      </c>
      <c r="BE222" s="25">
        <f t="shared" si="21"/>
        <v>0</v>
      </c>
      <c r="BF222" s="25">
        <f t="shared" si="21"/>
        <v>0</v>
      </c>
      <c r="CA222" s="16">
        <v>0.61480999999999997</v>
      </c>
      <c r="CB222" s="16">
        <v>0.57269000000000003</v>
      </c>
      <c r="CC222" s="16">
        <v>0.59500000000000008</v>
      </c>
      <c r="CD222" s="16">
        <v>0.59500000000000008</v>
      </c>
      <c r="CE222" s="16">
        <v>0.59500000000000008</v>
      </c>
      <c r="CF222" s="16">
        <v>-9999</v>
      </c>
      <c r="CG222" s="16">
        <v>-9999</v>
      </c>
      <c r="CH222" s="16">
        <v>-9999</v>
      </c>
      <c r="CI222" s="16">
        <v>-9999</v>
      </c>
      <c r="CJ222" s="16">
        <v>-9999</v>
      </c>
      <c r="CK222" s="16">
        <v>-9999</v>
      </c>
      <c r="CL222" s="16">
        <v>-9999</v>
      </c>
      <c r="CM222" s="16">
        <v>-9999</v>
      </c>
      <c r="CN222" s="16">
        <v>0.66023227999999989</v>
      </c>
      <c r="CO222" s="16">
        <v>0.61606812</v>
      </c>
      <c r="CP222" s="16">
        <v>0.65549999999999986</v>
      </c>
      <c r="CQ222" s="16">
        <v>0.62098299999999995</v>
      </c>
      <c r="CR222" s="16">
        <v>0.62539197930000001</v>
      </c>
      <c r="CS222" s="16">
        <v>-9999</v>
      </c>
      <c r="CT222" s="16">
        <v>-9999</v>
      </c>
      <c r="CU222" s="16">
        <v>-9999</v>
      </c>
      <c r="CV222" s="16">
        <v>-9999</v>
      </c>
      <c r="CW222" s="16">
        <v>-9999</v>
      </c>
      <c r="CX222" s="16">
        <v>-9999</v>
      </c>
      <c r="CY222" s="16">
        <v>-9999</v>
      </c>
      <c r="CZ222" s="16">
        <v>-9999</v>
      </c>
      <c r="DA222" s="16">
        <v>0.61480999999999997</v>
      </c>
      <c r="DB222" s="16">
        <v>0.57216999999999996</v>
      </c>
      <c r="DC222" s="16">
        <v>0.54204095058733792</v>
      </c>
      <c r="DD222" s="16">
        <v>0.54588944133650807</v>
      </c>
      <c r="DE222" s="16">
        <v>0.54976525636999729</v>
      </c>
      <c r="DF222" s="16">
        <v>-9999</v>
      </c>
      <c r="DG222" s="16">
        <v>-9999</v>
      </c>
      <c r="DH222" s="16">
        <v>-9999</v>
      </c>
      <c r="DI222" s="16">
        <v>-9999</v>
      </c>
      <c r="DJ222" s="16">
        <v>-9999</v>
      </c>
      <c r="DK222" s="16">
        <v>-9999</v>
      </c>
      <c r="DL222" s="16">
        <v>-9999</v>
      </c>
      <c r="DM222" s="16">
        <v>-9999</v>
      </c>
      <c r="DN222" s="16">
        <v>0.6585700000000001</v>
      </c>
      <c r="DO222" s="16">
        <v>0.61480999999999997</v>
      </c>
      <c r="DP222" s="16">
        <v>0.57216999999999996</v>
      </c>
      <c r="DQ222" s="16">
        <v>0.54204095058733792</v>
      </c>
      <c r="DR222" s="16">
        <v>0.54588944133650807</v>
      </c>
      <c r="DS222" s="16">
        <v>-9999</v>
      </c>
      <c r="DT222" s="16">
        <v>-9999</v>
      </c>
      <c r="DU222" s="16">
        <v>-9999</v>
      </c>
      <c r="DV222" s="16">
        <v>-9999</v>
      </c>
      <c r="DW222" s="16">
        <v>-9999</v>
      </c>
      <c r="DX222" s="16">
        <v>-9999</v>
      </c>
      <c r="DY222" s="16">
        <v>-9999</v>
      </c>
      <c r="DZ222" s="16">
        <v>-9999</v>
      </c>
      <c r="EA222" s="2196">
        <v>1.9012100000000001</v>
      </c>
      <c r="EB222" s="2196">
        <v>2.1890300000000003</v>
      </c>
      <c r="EC222" s="2196">
        <v>2.2984815000000003</v>
      </c>
      <c r="ED222" s="2196">
        <v>2.3904207600000005</v>
      </c>
      <c r="EE222" s="2196">
        <v>2.4860375904000005</v>
      </c>
      <c r="EF222" s="2197">
        <v>-9999</v>
      </c>
      <c r="EG222" s="2197">
        <v>-9999</v>
      </c>
      <c r="EH222" s="2197">
        <v>-9999</v>
      </c>
      <c r="EI222" s="2197">
        <v>-9999</v>
      </c>
      <c r="EJ222" s="2197">
        <v>-9999</v>
      </c>
      <c r="EK222" s="2197">
        <v>-9999</v>
      </c>
      <c r="EL222" s="2197">
        <v>-9999</v>
      </c>
      <c r="EM222" s="2197">
        <v>-9999</v>
      </c>
    </row>
    <row r="223" spans="1:149">
      <c r="A223" s="22">
        <v>123</v>
      </c>
      <c r="B223" s="1" t="s">
        <v>1007</v>
      </c>
      <c r="C223" s="24">
        <f ca="1">OFFSET(Sector1!F50,0,Last_forecast_year - 3-InputY!$G$3)</f>
        <v>0.14757000000000001</v>
      </c>
      <c r="D223" s="3309">
        <f ca="1">OFFSET(Sector1!G50,0,Last_forecast_year - 3-InputY!$G$3)</f>
        <v>0.16243000000000002</v>
      </c>
      <c r="E223" s="24">
        <f ca="1">OFFSET(Sector1!H50,0,Last_forecast_year - 3-InputY!$G$3)</f>
        <v>0.15881500000000004</v>
      </c>
      <c r="F223" s="24">
        <f ca="1">OFFSET(Sector1!I50,0,Last_forecast_year - 3-InputY!$G$3)</f>
        <v>0.16650412500000011</v>
      </c>
      <c r="G223" s="24">
        <f ca="1">OFFSET(Sector1!J50,0,Last_forecast_year - 3-InputY!$G$3)</f>
        <v>0.17460169412500015</v>
      </c>
      <c r="H223" s="25">
        <v>-9999</v>
      </c>
      <c r="I223" s="25">
        <v>-9999</v>
      </c>
      <c r="J223" s="25">
        <v>-9999</v>
      </c>
      <c r="K223" s="25">
        <v>-9999</v>
      </c>
      <c r="L223" s="25">
        <v>-9999</v>
      </c>
      <c r="M223" s="25">
        <v>-9999</v>
      </c>
      <c r="N223" s="25">
        <v>-9999</v>
      </c>
      <c r="O223" s="25">
        <v>-9999</v>
      </c>
      <c r="P223"/>
      <c r="Q223"/>
      <c r="T223" s="15" t="s">
        <v>2424</v>
      </c>
      <c r="AA223" s="22">
        <v>123</v>
      </c>
      <c r="AB223" s="1040" t="str">
        <f t="shared" si="8"/>
        <v>GG SUBSIDIES</v>
      </c>
      <c r="AC223" s="1040">
        <f>CHOOSE(Tables!$U$2,Transfer!CA223,Transfer!CN223,Transfer!DA223,Transfer!DN223,Transfer!EA223)</f>
        <v>0.42320999999999998</v>
      </c>
      <c r="AD223" s="1040">
        <f>CHOOSE(Tables!$U$2,Transfer!CB223,Transfer!CO223,Transfer!DB223,Transfer!DO223,Transfer!EB223)</f>
        <v>0.36032999999999998</v>
      </c>
      <c r="AE223" s="1040">
        <f>CHOOSE(Tables!$U$2,Transfer!CC223,Transfer!CP223,Transfer!DC223,Transfer!DP223,Transfer!EC223)</f>
        <v>0.55765700000000029</v>
      </c>
      <c r="AF223" s="1040">
        <f>CHOOSE(Tables!$U$2,Transfer!CD223,Transfer!CQ223,Transfer!DD223,Transfer!DQ223,Transfer!ED223)</f>
        <v>0.55513790200000024</v>
      </c>
      <c r="AG223" s="1040">
        <f>CHOOSE(Tables!$U$2,Transfer!CE223,Transfer!CR223,Transfer!DE223,Transfer!DR223,Transfer!EE223)</f>
        <v>0.55201687874000038</v>
      </c>
      <c r="AH223" s="1040">
        <f>CHOOSE(Tables!$U$2,Transfer!CF223,Transfer!CS223,Transfer!DF223,Transfer!DS223,Transfer!EF223)</f>
        <v>-9999</v>
      </c>
      <c r="AI223" s="1040">
        <f>CHOOSE(Tables!$U$2,Transfer!CG223,Transfer!CT223,Transfer!DG223,Transfer!DT223,Transfer!EG223)</f>
        <v>-9999</v>
      </c>
      <c r="AJ223" s="1040">
        <f>CHOOSE(Tables!$U$2,Transfer!CH223,Transfer!CU223,Transfer!DH223,Transfer!DU223,Transfer!EH223)</f>
        <v>-9999</v>
      </c>
      <c r="AK223" s="1040">
        <f>CHOOSE(Tables!$U$2,Transfer!CI223,Transfer!CV223,Transfer!DI223,Transfer!DV223,Transfer!EI223)</f>
        <v>-9999</v>
      </c>
      <c r="AL223" s="1040">
        <f>CHOOSE(Tables!$U$2,Transfer!CJ223,Transfer!CW223,Transfer!DJ223,Transfer!DW223,Transfer!EJ223)</f>
        <v>-9999</v>
      </c>
      <c r="AM223" s="1040">
        <f>CHOOSE(Tables!$U$2,Transfer!CK223,Transfer!CX223,Transfer!DK223,Transfer!DX223,Transfer!EK223)</f>
        <v>-9999</v>
      </c>
      <c r="AN223" s="1040">
        <f>CHOOSE(Tables!$U$2,Transfer!CL223,Transfer!CY223,Transfer!DL223,Transfer!DY223,Transfer!EL223)</f>
        <v>-9999</v>
      </c>
      <c r="AO223" s="1040">
        <f>CHOOSE(Tables!$U$2,Transfer!CM223,Transfer!CZ223,Transfer!DM223,Transfer!DZ223,Transfer!EM223)</f>
        <v>-9999</v>
      </c>
      <c r="AR223" s="22">
        <v>123</v>
      </c>
      <c r="AS223" s="1" t="s">
        <v>1007</v>
      </c>
      <c r="AT223" s="24">
        <f t="shared" ca="1" si="22"/>
        <v>-0.27564</v>
      </c>
      <c r="AU223" s="24">
        <f t="shared" ca="1" si="23"/>
        <v>-0.19789999999999996</v>
      </c>
      <c r="AV223" s="24">
        <f t="shared" ca="1" si="24"/>
        <v>-0.39884200000000025</v>
      </c>
      <c r="AW223" s="24">
        <f t="shared" ca="1" si="25"/>
        <v>-0.38863377700000012</v>
      </c>
      <c r="AX223" s="24">
        <f t="shared" ca="1" si="26"/>
        <v>-0.37741518461500023</v>
      </c>
      <c r="AY223" s="25">
        <f t="shared" si="27"/>
        <v>0</v>
      </c>
      <c r="AZ223" s="25">
        <f t="shared" si="28"/>
        <v>0</v>
      </c>
      <c r="BA223" s="25">
        <f t="shared" si="29"/>
        <v>0</v>
      </c>
      <c r="BB223" s="25">
        <f t="shared" si="30"/>
        <v>0</v>
      </c>
      <c r="BC223" s="25">
        <f t="shared" si="21"/>
        <v>0</v>
      </c>
      <c r="BD223" s="25">
        <f t="shared" si="21"/>
        <v>0</v>
      </c>
      <c r="BE223" s="25">
        <f t="shared" si="21"/>
        <v>0</v>
      </c>
      <c r="BF223" s="25">
        <f t="shared" si="21"/>
        <v>0</v>
      </c>
      <c r="CA223" s="16">
        <v>0.11563</v>
      </c>
      <c r="CB223" s="16">
        <v>0.11885</v>
      </c>
      <c r="CC223" s="16">
        <v>0.12551772160000013</v>
      </c>
      <c r="CD223" s="16">
        <v>0.14215558046400012</v>
      </c>
      <c r="CE223" s="16">
        <v>0.15538371468256018</v>
      </c>
      <c r="CF223" s="16">
        <v>-9999</v>
      </c>
      <c r="CG223" s="16">
        <v>-9999</v>
      </c>
      <c r="CH223" s="16">
        <v>-9999</v>
      </c>
      <c r="CI223" s="16">
        <v>-9999</v>
      </c>
      <c r="CJ223" s="16">
        <v>-9999</v>
      </c>
      <c r="CK223" s="16">
        <v>-9999</v>
      </c>
      <c r="CL223" s="16">
        <v>-9999</v>
      </c>
      <c r="CM223" s="16">
        <v>-9999</v>
      </c>
      <c r="CN223" s="16">
        <v>0.10482217000000001</v>
      </c>
      <c r="CO223" s="16">
        <v>0.11563369</v>
      </c>
      <c r="CP223" s="16">
        <v>8.5072387710843356E-2</v>
      </c>
      <c r="CQ223" s="16">
        <v>9.4368864819277087E-2</v>
      </c>
      <c r="CR223" s="16">
        <v>9.5544801012048097E-2</v>
      </c>
      <c r="CS223" s="16">
        <v>-9999</v>
      </c>
      <c r="CT223" s="16">
        <v>-9999</v>
      </c>
      <c r="CU223" s="16">
        <v>-9999</v>
      </c>
      <c r="CV223" s="16">
        <v>-9999</v>
      </c>
      <c r="CW223" s="16">
        <v>-9999</v>
      </c>
      <c r="CX223" s="16">
        <v>-9999</v>
      </c>
      <c r="CY223" s="16">
        <v>-9999</v>
      </c>
      <c r="CZ223" s="16">
        <v>-9999</v>
      </c>
      <c r="DA223" s="16">
        <v>0.11563</v>
      </c>
      <c r="DB223" s="16">
        <v>0.11885</v>
      </c>
      <c r="DC223" s="16">
        <v>0.1532254178212113</v>
      </c>
      <c r="DD223" s="16">
        <v>0.15675561613405964</v>
      </c>
      <c r="DE223" s="16">
        <v>0.16042702237942208</v>
      </c>
      <c r="DF223" s="16">
        <v>-9999</v>
      </c>
      <c r="DG223" s="16">
        <v>-9999</v>
      </c>
      <c r="DH223" s="16">
        <v>-9999</v>
      </c>
      <c r="DI223" s="16">
        <v>-9999</v>
      </c>
      <c r="DJ223" s="16">
        <v>-9999</v>
      </c>
      <c r="DK223" s="16">
        <v>-9999</v>
      </c>
      <c r="DL223" s="16">
        <v>-9999</v>
      </c>
      <c r="DM223" s="16">
        <v>-9999</v>
      </c>
      <c r="DN223" s="16">
        <v>0.10482</v>
      </c>
      <c r="DO223" s="16">
        <v>0.11563</v>
      </c>
      <c r="DP223" s="16">
        <v>0.11885</v>
      </c>
      <c r="DQ223" s="16">
        <v>0.12949758159999997</v>
      </c>
      <c r="DR223" s="16">
        <v>0.13207866646399991</v>
      </c>
      <c r="DS223" s="16">
        <v>-9999</v>
      </c>
      <c r="DT223" s="16">
        <v>-9999</v>
      </c>
      <c r="DU223" s="16">
        <v>-9999</v>
      </c>
      <c r="DV223" s="16">
        <v>-9999</v>
      </c>
      <c r="DW223" s="16">
        <v>-9999</v>
      </c>
      <c r="DX223" s="16">
        <v>-9999</v>
      </c>
      <c r="DY223" s="16">
        <v>-9999</v>
      </c>
      <c r="DZ223" s="16">
        <v>-9999</v>
      </c>
      <c r="EA223" s="2196">
        <v>0.42320999999999998</v>
      </c>
      <c r="EB223" s="2196">
        <v>0.36032999999999998</v>
      </c>
      <c r="EC223" s="2196">
        <v>0.55765700000000029</v>
      </c>
      <c r="ED223" s="2196">
        <v>0.55513790200000024</v>
      </c>
      <c r="EE223" s="2196">
        <v>0.55201687874000038</v>
      </c>
      <c r="EF223" s="2197">
        <v>-9999</v>
      </c>
      <c r="EG223" s="2197">
        <v>-9999</v>
      </c>
      <c r="EH223" s="2197">
        <v>-9999</v>
      </c>
      <c r="EI223" s="2197">
        <v>-9999</v>
      </c>
      <c r="EJ223" s="2197">
        <v>-9999</v>
      </c>
      <c r="EK223" s="2197">
        <v>-9999</v>
      </c>
      <c r="EL223" s="2197">
        <v>-9999</v>
      </c>
      <c r="EM223" s="2197">
        <v>-9999</v>
      </c>
    </row>
    <row r="224" spans="1:149">
      <c r="A224" s="22">
        <v>124</v>
      </c>
      <c r="B224" s="1" t="s">
        <v>1736</v>
      </c>
      <c r="C224" s="24">
        <f ca="1">OFFSET(Sector1!F756,0,Last_forecast_year - 3-InputY!$G$3)</f>
        <v>0.55794000000000021</v>
      </c>
      <c r="D224" s="3309">
        <f ca="1">OFFSET(Sector1!G756,0,Last_forecast_year - 3-InputY!$G$3)</f>
        <v>0.64744000000000002</v>
      </c>
      <c r="E224" s="24">
        <f ca="1">OFFSET(Sector1!H756,0,Last_forecast_year - 3-InputY!$G$3)</f>
        <v>0.67974880000000004</v>
      </c>
      <c r="F224" s="24">
        <f ca="1">OFFSET(Sector1!I756,0,Last_forecast_year - 3-InputY!$G$3)</f>
        <v>0.71029792600000008</v>
      </c>
      <c r="G224" s="24">
        <f ca="1">OFFSET(Sector1!J756,0,Last_forecast_year - 3-InputY!$G$3)</f>
        <v>0.7457470892200001</v>
      </c>
      <c r="H224" s="25">
        <v>-9999</v>
      </c>
      <c r="I224" s="25">
        <v>-9999</v>
      </c>
      <c r="J224" s="25">
        <v>-9999</v>
      </c>
      <c r="K224" s="25">
        <v>-9999</v>
      </c>
      <c r="L224" s="25">
        <v>-9999</v>
      </c>
      <c r="M224" s="25">
        <v>-9999</v>
      </c>
      <c r="N224" s="25">
        <v>-9999</v>
      </c>
      <c r="O224" s="25">
        <v>-9999</v>
      </c>
      <c r="P224"/>
      <c r="Q224"/>
      <c r="AA224" s="22">
        <v>124</v>
      </c>
      <c r="AB224" s="1040" t="str">
        <f t="shared" si="8"/>
        <v>GG OTHER CURRENT EXPENDITURE</v>
      </c>
      <c r="AC224" s="1040">
        <f>CHOOSE(Tables!$U$2,Transfer!CA224,Transfer!CN224,Transfer!DA224,Transfer!DN224,Transfer!EA224)</f>
        <v>1.6287799999999999</v>
      </c>
      <c r="AD224" s="1040">
        <f>CHOOSE(Tables!$U$2,Transfer!CB224,Transfer!CO224,Transfer!DB224,Transfer!DO224,Transfer!EB224)</f>
        <v>1.5192899999999998</v>
      </c>
      <c r="AE224" s="1040">
        <f>CHOOSE(Tables!$U$2,Transfer!CC224,Transfer!CP224,Transfer!DC224,Transfer!DP224,Transfer!EC224)</f>
        <v>1.5803364</v>
      </c>
      <c r="AF224" s="1040">
        <f>CHOOSE(Tables!$U$2,Transfer!CD224,Transfer!CQ224,Transfer!DD224,Transfer!DQ224,Transfer!ED224)</f>
        <v>1.6438448147</v>
      </c>
      <c r="AG224" s="1040">
        <f>CHOOSE(Tables!$U$2,Transfer!CE224,Transfer!CR224,Transfer!DE224,Transfer!DR224,Transfer!EE224)</f>
        <v>1.7099114200794501</v>
      </c>
      <c r="AH224" s="1040">
        <f>CHOOSE(Tables!$U$2,Transfer!CF224,Transfer!CS224,Transfer!DF224,Transfer!DS224,Transfer!EF224)</f>
        <v>-9999</v>
      </c>
      <c r="AI224" s="1040">
        <f>CHOOSE(Tables!$U$2,Transfer!CG224,Transfer!CT224,Transfer!DG224,Transfer!DT224,Transfer!EG224)</f>
        <v>-9999</v>
      </c>
      <c r="AJ224" s="1040">
        <f>CHOOSE(Tables!$U$2,Transfer!CH224,Transfer!CU224,Transfer!DH224,Transfer!DU224,Transfer!EH224)</f>
        <v>-9999</v>
      </c>
      <c r="AK224" s="1040">
        <f>CHOOSE(Tables!$U$2,Transfer!CI224,Transfer!CV224,Transfer!DI224,Transfer!DV224,Transfer!EI224)</f>
        <v>-9999</v>
      </c>
      <c r="AL224" s="1040">
        <f>CHOOSE(Tables!$U$2,Transfer!CJ224,Transfer!CW224,Transfer!DJ224,Transfer!DW224,Transfer!EJ224)</f>
        <v>-9999</v>
      </c>
      <c r="AM224" s="1040">
        <f>CHOOSE(Tables!$U$2,Transfer!CK224,Transfer!CX224,Transfer!DK224,Transfer!DX224,Transfer!EK224)</f>
        <v>-9999</v>
      </c>
      <c r="AN224" s="1040">
        <f>CHOOSE(Tables!$U$2,Transfer!CL224,Transfer!CY224,Transfer!DL224,Transfer!DY224,Transfer!EL224)</f>
        <v>-9999</v>
      </c>
      <c r="AO224" s="1040">
        <f>CHOOSE(Tables!$U$2,Transfer!CM224,Transfer!CZ224,Transfer!DM224,Transfer!DZ224,Transfer!EM224)</f>
        <v>-9999</v>
      </c>
      <c r="AR224" s="22">
        <v>124</v>
      </c>
      <c r="AS224" s="1" t="s">
        <v>1736</v>
      </c>
      <c r="AT224" s="24">
        <f t="shared" ca="1" si="22"/>
        <v>-1.0708399999999996</v>
      </c>
      <c r="AU224" s="24">
        <f t="shared" ca="1" si="23"/>
        <v>-0.87184999999999979</v>
      </c>
      <c r="AV224" s="24">
        <f t="shared" ca="1" si="24"/>
        <v>-0.90058759999999993</v>
      </c>
      <c r="AW224" s="24">
        <f t="shared" ca="1" si="25"/>
        <v>-0.93354688869999991</v>
      </c>
      <c r="AX224" s="24">
        <f t="shared" ca="1" si="26"/>
        <v>-0.96416433085944997</v>
      </c>
      <c r="AY224" s="25">
        <f t="shared" si="27"/>
        <v>0</v>
      </c>
      <c r="AZ224" s="25">
        <f t="shared" si="28"/>
        <v>0</v>
      </c>
      <c r="BA224" s="25">
        <f t="shared" si="29"/>
        <v>0</v>
      </c>
      <c r="BB224" s="25">
        <f t="shared" si="30"/>
        <v>0</v>
      </c>
      <c r="BC224" s="25">
        <f t="shared" si="21"/>
        <v>0</v>
      </c>
      <c r="BD224" s="25">
        <f t="shared" si="21"/>
        <v>0</v>
      </c>
      <c r="BE224" s="25">
        <f t="shared" si="21"/>
        <v>0</v>
      </c>
      <c r="BF224" s="25">
        <f t="shared" si="21"/>
        <v>0</v>
      </c>
      <c r="CA224" s="16">
        <v>0.5588700000000002</v>
      </c>
      <c r="CB224" s="16">
        <v>0.52527999999999997</v>
      </c>
      <c r="CC224" s="16">
        <v>0.54638223499999994</v>
      </c>
      <c r="CD224" s="16">
        <v>0.56830840812249994</v>
      </c>
      <c r="CE224" s="16">
        <v>0.59111544564627871</v>
      </c>
      <c r="CF224" s="16">
        <v>-9999</v>
      </c>
      <c r="CG224" s="16">
        <v>-9999</v>
      </c>
      <c r="CH224" s="16">
        <v>-9999</v>
      </c>
      <c r="CI224" s="16">
        <v>-9999</v>
      </c>
      <c r="CJ224" s="16">
        <v>-9999</v>
      </c>
      <c r="CK224" s="16">
        <v>-9999</v>
      </c>
      <c r="CL224" s="16">
        <v>-9999</v>
      </c>
      <c r="CM224" s="16">
        <v>-9999</v>
      </c>
      <c r="CN224" s="16">
        <v>0.47881138000000006</v>
      </c>
      <c r="CO224" s="16">
        <v>0.56628243999999994</v>
      </c>
      <c r="CP224" s="16">
        <v>0.58923181292999993</v>
      </c>
      <c r="CQ224" s="16">
        <v>0.61281065427215509</v>
      </c>
      <c r="CR224" s="16">
        <v>0.63738095545010087</v>
      </c>
      <c r="CS224" s="16">
        <v>-9999</v>
      </c>
      <c r="CT224" s="16">
        <v>-9999</v>
      </c>
      <c r="CU224" s="16">
        <v>-9999</v>
      </c>
      <c r="CV224" s="16">
        <v>-9999</v>
      </c>
      <c r="CW224" s="16">
        <v>-9999</v>
      </c>
      <c r="CX224" s="16">
        <v>-9999</v>
      </c>
      <c r="CY224" s="16">
        <v>-9999</v>
      </c>
      <c r="CZ224" s="16">
        <v>-9999</v>
      </c>
      <c r="DA224" s="16">
        <v>0.56573000000000018</v>
      </c>
      <c r="DB224" s="16">
        <v>0.53230999999999995</v>
      </c>
      <c r="DC224" s="16">
        <v>0.5536915349999999</v>
      </c>
      <c r="DD224" s="16">
        <v>0.57590862512249996</v>
      </c>
      <c r="DE224" s="16">
        <v>0.59901816357627868</v>
      </c>
      <c r="DF224" s="16">
        <v>-9999</v>
      </c>
      <c r="DG224" s="16">
        <v>-9999</v>
      </c>
      <c r="DH224" s="16">
        <v>-9999</v>
      </c>
      <c r="DI224" s="16">
        <v>-9999</v>
      </c>
      <c r="DJ224" s="16">
        <v>-9999</v>
      </c>
      <c r="DK224" s="16">
        <v>-9999</v>
      </c>
      <c r="DL224" s="16">
        <v>-9999</v>
      </c>
      <c r="DM224" s="16">
        <v>-9999</v>
      </c>
      <c r="DN224" s="16">
        <v>0.47838999999999998</v>
      </c>
      <c r="DO224" s="16">
        <v>0.56573000000000018</v>
      </c>
      <c r="DP224" s="16">
        <v>0.53230999999999995</v>
      </c>
      <c r="DQ224" s="16">
        <v>0.55362103499999993</v>
      </c>
      <c r="DR224" s="16">
        <v>0.57583460012249987</v>
      </c>
      <c r="DS224" s="16">
        <v>-9999</v>
      </c>
      <c r="DT224" s="16">
        <v>-9999</v>
      </c>
      <c r="DU224" s="16">
        <v>-9999</v>
      </c>
      <c r="DV224" s="16">
        <v>-9999</v>
      </c>
      <c r="DW224" s="16">
        <v>-9999</v>
      </c>
      <c r="DX224" s="16">
        <v>-9999</v>
      </c>
      <c r="DY224" s="16">
        <v>-9999</v>
      </c>
      <c r="DZ224" s="16">
        <v>-9999</v>
      </c>
      <c r="EA224" s="2196">
        <v>1.6287799999999999</v>
      </c>
      <c r="EB224" s="2196">
        <v>1.5192899999999998</v>
      </c>
      <c r="EC224" s="2196">
        <v>1.5803364</v>
      </c>
      <c r="ED224" s="2196">
        <v>1.6438448147</v>
      </c>
      <c r="EE224" s="2196">
        <v>1.7099114200794501</v>
      </c>
      <c r="EF224" s="2197">
        <v>-9999</v>
      </c>
      <c r="EG224" s="2197">
        <v>-9999</v>
      </c>
      <c r="EH224" s="2197">
        <v>-9999</v>
      </c>
      <c r="EI224" s="2197">
        <v>-9999</v>
      </c>
      <c r="EJ224" s="2197">
        <v>-9999</v>
      </c>
      <c r="EK224" s="2197">
        <v>-9999</v>
      </c>
      <c r="EL224" s="2197">
        <v>-9999</v>
      </c>
      <c r="EM224" s="2197">
        <v>-9999</v>
      </c>
    </row>
    <row r="225" spans="1:143">
      <c r="A225" s="22">
        <v>125</v>
      </c>
      <c r="B225" s="1" t="s">
        <v>406</v>
      </c>
      <c r="C225" s="24">
        <f ca="1">OFFSET(Sector1!F485,0,Last_forecast_year - 3-InputY!$G$3)</f>
        <v>0.69129999999999991</v>
      </c>
      <c r="D225" s="3309">
        <f ca="1">OFFSET(Sector1!G485,0,Last_forecast_year - 3-InputY!$G$3)</f>
        <v>0.31355</v>
      </c>
      <c r="E225" s="24">
        <f ca="1">OFFSET(Sector1!H485,0,Last_forecast_year - 3-InputY!$G$3)</f>
        <v>0.30702419999999997</v>
      </c>
      <c r="F225" s="24">
        <f ca="1">OFFSET(Sector1!I485,0,Last_forecast_year - 3-InputY!$G$3)</f>
        <v>0.35818647199999992</v>
      </c>
      <c r="G225" s="24">
        <f ca="1">OFFSET(Sector1!J485,0,Last_forecast_year - 3-InputY!$G$3)</f>
        <v>0.36560500143999991</v>
      </c>
      <c r="H225" s="25">
        <v>-9999</v>
      </c>
      <c r="I225" s="25">
        <v>-9999</v>
      </c>
      <c r="J225" s="25">
        <v>-9999</v>
      </c>
      <c r="K225" s="25">
        <v>-9999</v>
      </c>
      <c r="L225" s="25">
        <v>-9999</v>
      </c>
      <c r="M225" s="25">
        <v>-9999</v>
      </c>
      <c r="N225" s="25">
        <v>-9999</v>
      </c>
      <c r="O225" s="25">
        <v>-9999</v>
      </c>
      <c r="P225"/>
      <c r="Q225"/>
      <c r="AA225" s="22">
        <v>125</v>
      </c>
      <c r="AB225" s="1040" t="str">
        <f t="shared" si="8"/>
        <v xml:space="preserve">GG CAPITAL TRANSFERS, RECEIVED </v>
      </c>
      <c r="AC225" s="1040">
        <f>CHOOSE(Tables!$U$2,Transfer!CA225,Transfer!CN225,Transfer!DA225,Transfer!DN225,Transfer!EA225)</f>
        <v>2.4101699999999999</v>
      </c>
      <c r="AD225" s="1040">
        <f>CHOOSE(Tables!$U$2,Transfer!CB225,Transfer!CO225,Transfer!DB225,Transfer!DO225,Transfer!EB225)</f>
        <v>2.2450199999999998</v>
      </c>
      <c r="AE225" s="1040">
        <f>CHOOSE(Tables!$U$2,Transfer!CC225,Transfer!CP225,Transfer!DC225,Transfer!DP225,Transfer!EC225)</f>
        <v>2.3366051999999997</v>
      </c>
      <c r="AF225" s="1040">
        <f>CHOOSE(Tables!$U$2,Transfer!CD225,Transfer!CQ225,Transfer!DD225,Transfer!DQ225,Transfer!ED225)</f>
        <v>2.3842295039999999</v>
      </c>
      <c r="AG225" s="1040">
        <f>CHOOSE(Tables!$U$2,Transfer!CE225,Transfer!CR225,Transfer!DE225,Transfer!DR225,Transfer!EE225)</f>
        <v>2.4328062940799997</v>
      </c>
      <c r="AH225" s="1040">
        <f>CHOOSE(Tables!$U$2,Transfer!CF225,Transfer!CS225,Transfer!DF225,Transfer!DS225,Transfer!EF225)</f>
        <v>-9999</v>
      </c>
      <c r="AI225" s="1040">
        <f>CHOOSE(Tables!$U$2,Transfer!CG225,Transfer!CT225,Transfer!DG225,Transfer!DT225,Transfer!EG225)</f>
        <v>-9999</v>
      </c>
      <c r="AJ225" s="1040">
        <f>CHOOSE(Tables!$U$2,Transfer!CH225,Transfer!CU225,Transfer!DH225,Transfer!DU225,Transfer!EH225)</f>
        <v>-9999</v>
      </c>
      <c r="AK225" s="1040">
        <f>CHOOSE(Tables!$U$2,Transfer!CI225,Transfer!CV225,Transfer!DI225,Transfer!DV225,Transfer!EI225)</f>
        <v>-9999</v>
      </c>
      <c r="AL225" s="1040">
        <f>CHOOSE(Tables!$U$2,Transfer!CJ225,Transfer!CW225,Transfer!DJ225,Transfer!DW225,Transfer!EJ225)</f>
        <v>-9999</v>
      </c>
      <c r="AM225" s="1040">
        <f>CHOOSE(Tables!$U$2,Transfer!CK225,Transfer!CX225,Transfer!DK225,Transfer!DX225,Transfer!EK225)</f>
        <v>-9999</v>
      </c>
      <c r="AN225" s="1040">
        <f>CHOOSE(Tables!$U$2,Transfer!CL225,Transfer!CY225,Transfer!DL225,Transfer!DY225,Transfer!EL225)</f>
        <v>-9999</v>
      </c>
      <c r="AO225" s="1040">
        <f>CHOOSE(Tables!$U$2,Transfer!CM225,Transfer!CZ225,Transfer!DM225,Transfer!DZ225,Transfer!EM225)</f>
        <v>-9999</v>
      </c>
      <c r="AR225" s="22">
        <v>125</v>
      </c>
      <c r="AS225" s="1" t="s">
        <v>406</v>
      </c>
      <c r="AT225" s="24">
        <f t="shared" ca="1" si="22"/>
        <v>-1.7188699999999999</v>
      </c>
      <c r="AU225" s="24">
        <f t="shared" ca="1" si="23"/>
        <v>-1.9314699999999998</v>
      </c>
      <c r="AV225" s="24">
        <f t="shared" ca="1" si="24"/>
        <v>-2.0295809999999999</v>
      </c>
      <c r="AW225" s="24">
        <f t="shared" ca="1" si="25"/>
        <v>-2.026043032</v>
      </c>
      <c r="AX225" s="24">
        <f t="shared" ca="1" si="26"/>
        <v>-2.0672012926399996</v>
      </c>
      <c r="AY225" s="25">
        <f t="shared" si="27"/>
        <v>0</v>
      </c>
      <c r="AZ225" s="25">
        <f t="shared" si="28"/>
        <v>0</v>
      </c>
      <c r="BA225" s="25">
        <f t="shared" si="29"/>
        <v>0</v>
      </c>
      <c r="BB225" s="25">
        <f t="shared" si="30"/>
        <v>0</v>
      </c>
      <c r="BC225" s="25">
        <f t="shared" si="21"/>
        <v>0</v>
      </c>
      <c r="BD225" s="25">
        <f t="shared" si="21"/>
        <v>0</v>
      </c>
      <c r="BE225" s="25">
        <f t="shared" si="21"/>
        <v>0</v>
      </c>
      <c r="BF225" s="25">
        <f t="shared" si="21"/>
        <v>0</v>
      </c>
      <c r="CA225" s="16">
        <v>0.7223099999999999</v>
      </c>
      <c r="CB225" s="16">
        <v>0.99297000000000002</v>
      </c>
      <c r="CC225" s="16">
        <v>0.44818999999999998</v>
      </c>
      <c r="CD225" s="16">
        <v>0.28929000000000016</v>
      </c>
      <c r="CE225" s="16">
        <v>0.28929000000000016</v>
      </c>
      <c r="CF225" s="16">
        <v>-9999</v>
      </c>
      <c r="CG225" s="16">
        <v>-9999</v>
      </c>
      <c r="CH225" s="16">
        <v>-9999</v>
      </c>
      <c r="CI225" s="16">
        <v>-9999</v>
      </c>
      <c r="CJ225" s="16">
        <v>-9999</v>
      </c>
      <c r="CK225" s="16">
        <v>-9999</v>
      </c>
      <c r="CL225" s="16">
        <v>-9999</v>
      </c>
      <c r="CM225" s="16">
        <v>-9999</v>
      </c>
      <c r="CN225" s="16">
        <v>0.63608376</v>
      </c>
      <c r="CO225" s="16">
        <v>0.68124420999999991</v>
      </c>
      <c r="CP225" s="16">
        <v>1.2564983200324396</v>
      </c>
      <c r="CQ225" s="16">
        <v>0.77628881302316999</v>
      </c>
      <c r="CR225" s="16">
        <v>0.72879112998331819</v>
      </c>
      <c r="CS225" s="16">
        <v>-9999</v>
      </c>
      <c r="CT225" s="16">
        <v>-9999</v>
      </c>
      <c r="CU225" s="16">
        <v>-9999</v>
      </c>
      <c r="CV225" s="16">
        <v>-9999</v>
      </c>
      <c r="CW225" s="16">
        <v>-9999</v>
      </c>
      <c r="CX225" s="16">
        <v>-9999</v>
      </c>
      <c r="CY225" s="16">
        <v>-9999</v>
      </c>
      <c r="CZ225" s="16">
        <v>-9999</v>
      </c>
      <c r="DA225" s="16">
        <v>0.68123999999999996</v>
      </c>
      <c r="DB225" s="16">
        <v>1.00542</v>
      </c>
      <c r="DC225" s="16">
        <v>0.34292049999999996</v>
      </c>
      <c r="DD225" s="16">
        <v>0.32115536882245266</v>
      </c>
      <c r="DE225" s="16">
        <v>0.30071818951662876</v>
      </c>
      <c r="DF225" s="16">
        <v>-9999</v>
      </c>
      <c r="DG225" s="16">
        <v>-9999</v>
      </c>
      <c r="DH225" s="16">
        <v>-9999</v>
      </c>
      <c r="DI225" s="16">
        <v>-9999</v>
      </c>
      <c r="DJ225" s="16">
        <v>-9999</v>
      </c>
      <c r="DK225" s="16">
        <v>-9999</v>
      </c>
      <c r="DL225" s="16">
        <v>-9999</v>
      </c>
      <c r="DM225" s="16">
        <v>-9999</v>
      </c>
      <c r="DN225" s="16">
        <v>0.63608000000000009</v>
      </c>
      <c r="DO225" s="16">
        <v>0.68123999999999996</v>
      </c>
      <c r="DP225" s="16">
        <v>1.00542</v>
      </c>
      <c r="DQ225" s="16">
        <v>0.34292049999999996</v>
      </c>
      <c r="DR225" s="16">
        <v>0.32115536882245266</v>
      </c>
      <c r="DS225" s="16">
        <v>-9999</v>
      </c>
      <c r="DT225" s="16">
        <v>-9999</v>
      </c>
      <c r="DU225" s="16">
        <v>-9999</v>
      </c>
      <c r="DV225" s="16">
        <v>-9999</v>
      </c>
      <c r="DW225" s="16">
        <v>-9999</v>
      </c>
      <c r="DX225" s="16">
        <v>-9999</v>
      </c>
      <c r="DY225" s="16">
        <v>-9999</v>
      </c>
      <c r="DZ225" s="16">
        <v>-9999</v>
      </c>
      <c r="EA225" s="2196">
        <v>2.4101699999999999</v>
      </c>
      <c r="EB225" s="2196">
        <v>2.2450199999999998</v>
      </c>
      <c r="EC225" s="2196">
        <v>2.3366051999999997</v>
      </c>
      <c r="ED225" s="2196">
        <v>2.3842295039999999</v>
      </c>
      <c r="EE225" s="2196">
        <v>2.4328062940799997</v>
      </c>
      <c r="EF225" s="2197">
        <v>-9999</v>
      </c>
      <c r="EG225" s="2197">
        <v>-9999</v>
      </c>
      <c r="EH225" s="2197">
        <v>-9999</v>
      </c>
      <c r="EI225" s="2197">
        <v>-9999</v>
      </c>
      <c r="EJ225" s="2197">
        <v>-9999</v>
      </c>
      <c r="EK225" s="2197">
        <v>-9999</v>
      </c>
      <c r="EL225" s="2197">
        <v>-9999</v>
      </c>
      <c r="EM225" s="2197">
        <v>-9999</v>
      </c>
    </row>
    <row r="226" spans="1:143">
      <c r="A226" s="22">
        <v>126</v>
      </c>
      <c r="B226" s="1" t="s">
        <v>407</v>
      </c>
      <c r="C226" s="24">
        <f ca="1">OFFSET('VVP2'!F229,0,Last_forecast_year - 3-InputY!$G$3)</f>
        <v>1.3745099999999999</v>
      </c>
      <c r="D226" s="3309">
        <f ca="1">OFFSET('VVP2'!G229,0,Last_forecast_year - 3-InputY!$G$3)</f>
        <v>1.1535899999999999</v>
      </c>
      <c r="E226" s="24">
        <f ca="1">OFFSET('VVP2'!H229,0,Last_forecast_year - 3-InputY!$G$3)</f>
        <v>1.2369138056999998</v>
      </c>
      <c r="F226" s="24">
        <f ca="1">OFFSET('VVP2'!I229,0,Last_forecast_year - 3-InputY!$G$3)</f>
        <v>1.3547941652108211</v>
      </c>
      <c r="G226" s="24">
        <f ca="1">OFFSET('VVP2'!J229,0,Last_forecast_year - 3-InputY!$G$3)</f>
        <v>1.4582326997246671</v>
      </c>
      <c r="H226" s="25">
        <v>-9999</v>
      </c>
      <c r="I226" s="25">
        <v>-9999</v>
      </c>
      <c r="J226" s="25">
        <v>-9999</v>
      </c>
      <c r="K226" s="25">
        <v>-9999</v>
      </c>
      <c r="L226" s="25">
        <v>-9999</v>
      </c>
      <c r="M226" s="25">
        <v>-9999</v>
      </c>
      <c r="N226" s="25">
        <v>-9999</v>
      </c>
      <c r="O226" s="25">
        <v>-9999</v>
      </c>
      <c r="P226"/>
      <c r="Q226"/>
      <c r="AA226" s="22">
        <v>126</v>
      </c>
      <c r="AB226" s="1040" t="str">
        <f t="shared" si="8"/>
        <v>GG GROSS FIXED CAPITAL FORMATION</v>
      </c>
      <c r="AC226" s="1040">
        <f>CHOOSE(Tables!$U$2,Transfer!CA226,Transfer!CN226,Transfer!DA226,Transfer!DN226,Transfer!EA226)</f>
        <v>4.65747</v>
      </c>
      <c r="AD226" s="1040">
        <f>CHOOSE(Tables!$U$2,Transfer!CB226,Transfer!CO226,Transfer!DB226,Transfer!DO226,Transfer!EB226)</f>
        <v>4.1732399999999998</v>
      </c>
      <c r="AE226" s="1040">
        <f>CHOOSE(Tables!$U$2,Transfer!CC226,Transfer!CP226,Transfer!DC226,Transfer!DP226,Transfer!EC226)</f>
        <v>4.2425586068061198</v>
      </c>
      <c r="AF226" s="1040">
        <f>CHOOSE(Tables!$U$2,Transfer!CD226,Transfer!CQ226,Transfer!DD226,Transfer!DQ226,Transfer!ED226)</f>
        <v>4.4135337186604069</v>
      </c>
      <c r="AG226" s="1040">
        <f>CHOOSE(Tables!$U$2,Transfer!CE226,Transfer!CR226,Transfer!DE226,Transfer!DR226,Transfer!EE226)</f>
        <v>4.5913991275224211</v>
      </c>
      <c r="AH226" s="1040">
        <f>CHOOSE(Tables!$U$2,Transfer!CF226,Transfer!CS226,Transfer!DF226,Transfer!DS226,Transfer!EF226)</f>
        <v>-9999</v>
      </c>
      <c r="AI226" s="1040">
        <f>CHOOSE(Tables!$U$2,Transfer!CG226,Transfer!CT226,Transfer!DG226,Transfer!DT226,Transfer!EG226)</f>
        <v>-9999</v>
      </c>
      <c r="AJ226" s="1040">
        <f>CHOOSE(Tables!$U$2,Transfer!CH226,Transfer!CU226,Transfer!DH226,Transfer!DU226,Transfer!EH226)</f>
        <v>-9999</v>
      </c>
      <c r="AK226" s="1040">
        <f>CHOOSE(Tables!$U$2,Transfer!CI226,Transfer!CV226,Transfer!DI226,Transfer!DV226,Transfer!EI226)</f>
        <v>-9999</v>
      </c>
      <c r="AL226" s="1040">
        <f>CHOOSE(Tables!$U$2,Transfer!CJ226,Transfer!CW226,Transfer!DJ226,Transfer!DW226,Transfer!EJ226)</f>
        <v>-9999</v>
      </c>
      <c r="AM226" s="1040">
        <f>CHOOSE(Tables!$U$2,Transfer!CK226,Transfer!CX226,Transfer!DK226,Transfer!DX226,Transfer!EK226)</f>
        <v>-9999</v>
      </c>
      <c r="AN226" s="1040">
        <f>CHOOSE(Tables!$U$2,Transfer!CL226,Transfer!CY226,Transfer!DL226,Transfer!DY226,Transfer!EL226)</f>
        <v>-9999</v>
      </c>
      <c r="AO226" s="1040">
        <f>CHOOSE(Tables!$U$2,Transfer!CM226,Transfer!CZ226,Transfer!DM226,Transfer!DZ226,Transfer!EM226)</f>
        <v>-9999</v>
      </c>
      <c r="AR226" s="22">
        <v>126</v>
      </c>
      <c r="AS226" s="1" t="s">
        <v>407</v>
      </c>
      <c r="AT226" s="24">
        <f t="shared" ca="1" si="22"/>
        <v>-3.2829600000000001</v>
      </c>
      <c r="AU226" s="24">
        <f t="shared" ca="1" si="23"/>
        <v>-3.0196499999999999</v>
      </c>
      <c r="AV226" s="24">
        <f t="shared" ca="1" si="24"/>
        <v>-3.0056448011061203</v>
      </c>
      <c r="AW226" s="24">
        <f t="shared" ca="1" si="25"/>
        <v>-3.0587395534495858</v>
      </c>
      <c r="AX226" s="24">
        <f t="shared" ca="1" si="26"/>
        <v>-3.1331664277977538</v>
      </c>
      <c r="AY226" s="25">
        <f t="shared" si="27"/>
        <v>0</v>
      </c>
      <c r="AZ226" s="25">
        <f t="shared" si="28"/>
        <v>0</v>
      </c>
      <c r="BA226" s="25">
        <f t="shared" si="29"/>
        <v>0</v>
      </c>
      <c r="BB226" s="25">
        <f t="shared" si="30"/>
        <v>0</v>
      </c>
      <c r="BC226" s="25">
        <f t="shared" si="21"/>
        <v>0</v>
      </c>
      <c r="BD226" s="25">
        <f t="shared" si="21"/>
        <v>0</v>
      </c>
      <c r="BE226" s="25">
        <f t="shared" si="21"/>
        <v>0</v>
      </c>
      <c r="BF226" s="25">
        <f t="shared" si="21"/>
        <v>0</v>
      </c>
      <c r="CA226" s="16">
        <v>1.3105599999999999</v>
      </c>
      <c r="CB226" s="16">
        <v>1.28478</v>
      </c>
      <c r="CC226" s="16">
        <v>1.330132734</v>
      </c>
      <c r="CD226" s="16">
        <v>1.2493936770462</v>
      </c>
      <c r="CE226" s="16">
        <v>1.3569040029560255</v>
      </c>
      <c r="CF226" s="16">
        <v>-9999</v>
      </c>
      <c r="CG226" s="16">
        <v>-9999</v>
      </c>
      <c r="CH226" s="16">
        <v>-9999</v>
      </c>
      <c r="CI226" s="16">
        <v>-9999</v>
      </c>
      <c r="CJ226" s="16">
        <v>-9999</v>
      </c>
      <c r="CK226" s="16">
        <v>-9999</v>
      </c>
      <c r="CL226" s="16">
        <v>-9999</v>
      </c>
      <c r="CM226" s="16">
        <v>-9999</v>
      </c>
      <c r="CN226" s="16">
        <v>1.31291705</v>
      </c>
      <c r="CO226" s="16">
        <v>1.27740674</v>
      </c>
      <c r="CP226" s="16">
        <v>1.3211451467776001</v>
      </c>
      <c r="CQ226" s="16">
        <v>1.3738092951910221</v>
      </c>
      <c r="CR226" s="16">
        <v>1.4430788205684961</v>
      </c>
      <c r="CS226" s="16">
        <v>-9999</v>
      </c>
      <c r="CT226" s="16">
        <v>-9999</v>
      </c>
      <c r="CU226" s="16">
        <v>-9999</v>
      </c>
      <c r="CV226" s="16">
        <v>-9999</v>
      </c>
      <c r="CW226" s="16">
        <v>-9999</v>
      </c>
      <c r="CX226" s="16">
        <v>-9999</v>
      </c>
      <c r="CY226" s="16">
        <v>-9999</v>
      </c>
      <c r="CZ226" s="16">
        <v>-9999</v>
      </c>
      <c r="DA226" s="16">
        <v>1.2774100000000002</v>
      </c>
      <c r="DB226" s="16">
        <v>1.2682100000000001</v>
      </c>
      <c r="DC226" s="16">
        <v>1.3103906646000001</v>
      </c>
      <c r="DD226" s="16">
        <v>1.3539349463846579</v>
      </c>
      <c r="DE226" s="16">
        <v>1.4086000698449384</v>
      </c>
      <c r="DF226" s="16">
        <v>-9999</v>
      </c>
      <c r="DG226" s="16">
        <v>-9999</v>
      </c>
      <c r="DH226" s="16">
        <v>-9999</v>
      </c>
      <c r="DI226" s="16">
        <v>-9999</v>
      </c>
      <c r="DJ226" s="16">
        <v>-9999</v>
      </c>
      <c r="DK226" s="16">
        <v>-9999</v>
      </c>
      <c r="DL226" s="16">
        <v>-9999</v>
      </c>
      <c r="DM226" s="16">
        <v>-9999</v>
      </c>
      <c r="DN226" s="16">
        <v>1.3129200000000001</v>
      </c>
      <c r="DO226" s="16">
        <v>1.2774100000000002</v>
      </c>
      <c r="DP226" s="16">
        <v>1.3211485184000002</v>
      </c>
      <c r="DQ226" s="16">
        <v>1.3738128012147202</v>
      </c>
      <c r="DR226" s="16">
        <v>1.4430825033711678</v>
      </c>
      <c r="DS226" s="16">
        <v>-9999</v>
      </c>
      <c r="DT226" s="16">
        <v>-9999</v>
      </c>
      <c r="DU226" s="16">
        <v>-9999</v>
      </c>
      <c r="DV226" s="16">
        <v>-9999</v>
      </c>
      <c r="DW226" s="16">
        <v>-9999</v>
      </c>
      <c r="DX226" s="16">
        <v>-9999</v>
      </c>
      <c r="DY226" s="16">
        <v>-9999</v>
      </c>
      <c r="DZ226" s="16">
        <v>-9999</v>
      </c>
      <c r="EA226" s="2196">
        <v>4.65747</v>
      </c>
      <c r="EB226" s="2196">
        <v>4.1732399999999998</v>
      </c>
      <c r="EC226" s="2196">
        <v>4.2425586068061198</v>
      </c>
      <c r="ED226" s="2196">
        <v>4.4135337186604069</v>
      </c>
      <c r="EE226" s="2196">
        <v>4.5913991275224211</v>
      </c>
      <c r="EF226" s="2197">
        <v>-9999</v>
      </c>
      <c r="EG226" s="2197">
        <v>-9999</v>
      </c>
      <c r="EH226" s="2197">
        <v>-9999</v>
      </c>
      <c r="EI226" s="2197">
        <v>-9999</v>
      </c>
      <c r="EJ226" s="2197">
        <v>-9999</v>
      </c>
      <c r="EK226" s="2197">
        <v>-9999</v>
      </c>
      <c r="EL226" s="2197">
        <v>-9999</v>
      </c>
      <c r="EM226" s="2197">
        <v>-9999</v>
      </c>
    </row>
    <row r="227" spans="1:143">
      <c r="A227" s="22">
        <v>127</v>
      </c>
      <c r="B227" s="1" t="s">
        <v>292</v>
      </c>
      <c r="C227" s="24">
        <f ca="1">OFFSET(Sector1!F762,0,Last_forecast_year - 3-InputY!$G$3)</f>
        <v>0.26362999999999998</v>
      </c>
      <c r="D227" s="3309">
        <f ca="1">OFFSET(Sector1!G762,0,Last_forecast_year - 3-InputY!$G$3)</f>
        <v>0.19511999999999999</v>
      </c>
      <c r="E227" s="24">
        <f ca="1">OFFSET(Sector1!H762,0,Last_forecast_year - 3-InputY!$G$3)</f>
        <v>0.30395159999999999</v>
      </c>
      <c r="F227" s="24">
        <f ca="1">OFFSET(Sector1!I762,0,Last_forecast_year - 3-InputY!$G$3)</f>
        <v>0.22980715199999996</v>
      </c>
      <c r="G227" s="24">
        <f ca="1">OFFSET(Sector1!J762,0,Last_forecast_year - 3-InputY!$G$3)</f>
        <v>0.22980715199999996</v>
      </c>
      <c r="H227" s="25">
        <v>-9999</v>
      </c>
      <c r="I227" s="25">
        <v>-9999</v>
      </c>
      <c r="J227" s="25">
        <v>-9999</v>
      </c>
      <c r="K227" s="25">
        <v>-9999</v>
      </c>
      <c r="L227" s="25">
        <v>-9999</v>
      </c>
      <c r="M227" s="25">
        <v>-9999</v>
      </c>
      <c r="N227" s="25">
        <v>-9999</v>
      </c>
      <c r="O227" s="25">
        <v>-9999</v>
      </c>
      <c r="P227"/>
      <c r="Q227"/>
      <c r="AA227" s="22">
        <v>127</v>
      </c>
      <c r="AB227" s="1040" t="str">
        <f t="shared" si="8"/>
        <v>GG OTHER CAPITAL EXPENDITURE, NET</v>
      </c>
      <c r="AC227" s="1040">
        <f>CHOOSE(Tables!$U$2,Transfer!CA227,Transfer!CN227,Transfer!DA227,Transfer!DN227,Transfer!EA227)</f>
        <v>0.52981999999999996</v>
      </c>
      <c r="AD227" s="1040">
        <f>CHOOSE(Tables!$U$2,Transfer!CB227,Transfer!CO227,Transfer!DB227,Transfer!DO227,Transfer!EB227)</f>
        <v>7.1149999999999936E-2</v>
      </c>
      <c r="AE227" s="1040">
        <f>CHOOSE(Tables!$U$2,Transfer!CC227,Transfer!CP227,Transfer!DC227,Transfer!DP227,Transfer!EC227)</f>
        <v>0.31798149999999997</v>
      </c>
      <c r="AF227" s="1040">
        <f>CHOOSE(Tables!$U$2,Transfer!CD227,Transfer!CQ227,Transfer!DD227,Transfer!DQ227,Transfer!ED227)</f>
        <v>0.30281142499999997</v>
      </c>
      <c r="AG227" s="1040">
        <f>CHOOSE(Tables!$U$2,Transfer!CE227,Transfer!CR227,Transfer!DE227,Transfer!DR227,Transfer!EE227)</f>
        <v>0.28839985374999993</v>
      </c>
      <c r="AH227" s="1040">
        <f>CHOOSE(Tables!$U$2,Transfer!CF227,Transfer!CS227,Transfer!DF227,Transfer!DS227,Transfer!EF227)</f>
        <v>-9999</v>
      </c>
      <c r="AI227" s="1040">
        <f>CHOOSE(Tables!$U$2,Transfer!CG227,Transfer!CT227,Transfer!DG227,Transfer!DT227,Transfer!EG227)</f>
        <v>-9999</v>
      </c>
      <c r="AJ227" s="1040">
        <f>CHOOSE(Tables!$U$2,Transfer!CH227,Transfer!CU227,Transfer!DH227,Transfer!DU227,Transfer!EH227)</f>
        <v>-9999</v>
      </c>
      <c r="AK227" s="1040">
        <f>CHOOSE(Tables!$U$2,Transfer!CI227,Transfer!CV227,Transfer!DI227,Transfer!DV227,Transfer!EI227)</f>
        <v>-9999</v>
      </c>
      <c r="AL227" s="1040">
        <f>CHOOSE(Tables!$U$2,Transfer!CJ227,Transfer!CW227,Transfer!DJ227,Transfer!DW227,Transfer!EJ227)</f>
        <v>-9999</v>
      </c>
      <c r="AM227" s="1040">
        <f>CHOOSE(Tables!$U$2,Transfer!CK227,Transfer!CX227,Transfer!DK227,Transfer!DX227,Transfer!EK227)</f>
        <v>-9999</v>
      </c>
      <c r="AN227" s="1040">
        <f>CHOOSE(Tables!$U$2,Transfer!CL227,Transfer!CY227,Transfer!DL227,Transfer!DY227,Transfer!EL227)</f>
        <v>-9999</v>
      </c>
      <c r="AO227" s="1040">
        <f>CHOOSE(Tables!$U$2,Transfer!CM227,Transfer!CZ227,Transfer!DM227,Transfer!DZ227,Transfer!EM227)</f>
        <v>-9999</v>
      </c>
      <c r="AR227" s="22">
        <v>127</v>
      </c>
      <c r="AS227" s="1" t="s">
        <v>292</v>
      </c>
      <c r="AT227" s="24">
        <f t="shared" ca="1" si="22"/>
        <v>-0.26618999999999998</v>
      </c>
      <c r="AU227" s="24">
        <f t="shared" ca="1" si="23"/>
        <v>0.12397000000000005</v>
      </c>
      <c r="AV227" s="24">
        <f t="shared" ca="1" si="24"/>
        <v>-1.4029899999999984E-2</v>
      </c>
      <c r="AW227" s="24">
        <f t="shared" ca="1" si="25"/>
        <v>-7.3004273000000008E-2</v>
      </c>
      <c r="AX227" s="24">
        <f t="shared" ca="1" si="26"/>
        <v>-5.8592701749999976E-2</v>
      </c>
      <c r="AY227" s="25">
        <f t="shared" si="27"/>
        <v>0</v>
      </c>
      <c r="AZ227" s="25">
        <f t="shared" si="28"/>
        <v>0</v>
      </c>
      <c r="BA227" s="25">
        <f t="shared" si="29"/>
        <v>0</v>
      </c>
      <c r="BB227" s="25">
        <f t="shared" si="30"/>
        <v>0</v>
      </c>
      <c r="BC227" s="25">
        <f t="shared" si="21"/>
        <v>0</v>
      </c>
      <c r="BD227" s="25">
        <f t="shared" si="21"/>
        <v>0</v>
      </c>
      <c r="BE227" s="25">
        <f t="shared" si="21"/>
        <v>0</v>
      </c>
      <c r="BF227" s="25">
        <f t="shared" si="21"/>
        <v>0</v>
      </c>
      <c r="CA227" s="16">
        <v>0.34211999999999998</v>
      </c>
      <c r="CB227" s="16">
        <v>0.45003999999999994</v>
      </c>
      <c r="CC227" s="16">
        <v>0.54416677749999998</v>
      </c>
      <c r="CD227" s="16">
        <v>0.58727514962500005</v>
      </c>
      <c r="CE227" s="16">
        <v>0.53328884725625003</v>
      </c>
      <c r="CF227" s="16">
        <v>-9999</v>
      </c>
      <c r="CG227" s="16">
        <v>-9999</v>
      </c>
      <c r="CH227" s="16">
        <v>-9999</v>
      </c>
      <c r="CI227" s="16">
        <v>-9999</v>
      </c>
      <c r="CJ227" s="16">
        <v>-9999</v>
      </c>
      <c r="CK227" s="16">
        <v>-9999</v>
      </c>
      <c r="CL227" s="16">
        <v>-9999</v>
      </c>
      <c r="CM227" s="16">
        <v>-9999</v>
      </c>
      <c r="CN227" s="16">
        <v>1.9902690000000001E-2</v>
      </c>
      <c r="CO227" s="16">
        <v>0.34052073999999993</v>
      </c>
      <c r="CP227" s="16">
        <v>0.16977199724453196</v>
      </c>
      <c r="CQ227" s="16">
        <v>0.10472413865000001</v>
      </c>
      <c r="CR227" s="16">
        <v>0.10477138003650001</v>
      </c>
      <c r="CS227" s="16">
        <v>-9999</v>
      </c>
      <c r="CT227" s="16">
        <v>-9999</v>
      </c>
      <c r="CU227" s="16">
        <v>-9999</v>
      </c>
      <c r="CV227" s="16">
        <v>-9999</v>
      </c>
      <c r="CW227" s="16">
        <v>-9999</v>
      </c>
      <c r="CX227" s="16">
        <v>-9999</v>
      </c>
      <c r="CY227" s="16">
        <v>-9999</v>
      </c>
      <c r="CZ227" s="16">
        <v>-9999</v>
      </c>
      <c r="DA227" s="16">
        <v>0.34211999999999998</v>
      </c>
      <c r="DB227" s="16">
        <v>0.45003999999999994</v>
      </c>
      <c r="DC227" s="16">
        <v>0.32676109581664098</v>
      </c>
      <c r="DD227" s="16">
        <v>0.32676109581664098</v>
      </c>
      <c r="DE227" s="16">
        <v>0.3298262067748074</v>
      </c>
      <c r="DF227" s="16">
        <v>-9999</v>
      </c>
      <c r="DG227" s="16">
        <v>-9999</v>
      </c>
      <c r="DH227" s="16">
        <v>-9999</v>
      </c>
      <c r="DI227" s="16">
        <v>-9999</v>
      </c>
      <c r="DJ227" s="16">
        <v>-9999</v>
      </c>
      <c r="DK227" s="16">
        <v>-9999</v>
      </c>
      <c r="DL227" s="16">
        <v>-9999</v>
      </c>
      <c r="DM227" s="16">
        <v>-9999</v>
      </c>
      <c r="DN227" s="16">
        <v>2.138000000000001E-2</v>
      </c>
      <c r="DO227" s="16">
        <v>0.34211999999999998</v>
      </c>
      <c r="DP227" s="16">
        <v>0.37914999999999999</v>
      </c>
      <c r="DQ227" s="16">
        <v>0.28380991753195128</v>
      </c>
      <c r="DR227" s="16">
        <v>0.28401241753195128</v>
      </c>
      <c r="DS227" s="16">
        <v>-9999</v>
      </c>
      <c r="DT227" s="16">
        <v>-9999</v>
      </c>
      <c r="DU227" s="16">
        <v>-9999</v>
      </c>
      <c r="DV227" s="16">
        <v>-9999</v>
      </c>
      <c r="DW227" s="16">
        <v>-9999</v>
      </c>
      <c r="DX227" s="16">
        <v>-9999</v>
      </c>
      <c r="DY227" s="16">
        <v>-9999</v>
      </c>
      <c r="DZ227" s="16">
        <v>-9999</v>
      </c>
      <c r="EA227" s="2196">
        <v>0.52981999999999996</v>
      </c>
      <c r="EB227" s="2196">
        <v>7.1149999999999936E-2</v>
      </c>
      <c r="EC227" s="2196">
        <v>0.31798149999999997</v>
      </c>
      <c r="ED227" s="2196">
        <v>0.30281142499999997</v>
      </c>
      <c r="EE227" s="2196">
        <v>0.28839985374999993</v>
      </c>
      <c r="EF227" s="2197">
        <v>-9999</v>
      </c>
      <c r="EG227" s="2197">
        <v>-9999</v>
      </c>
      <c r="EH227" s="2197">
        <v>-9999</v>
      </c>
      <c r="EI227" s="2197">
        <v>-9999</v>
      </c>
      <c r="EJ227" s="2197">
        <v>-9999</v>
      </c>
      <c r="EK227" s="2197">
        <v>-9999</v>
      </c>
      <c r="EL227" s="2197">
        <v>-9999</v>
      </c>
      <c r="EM227" s="2197">
        <v>-9999</v>
      </c>
    </row>
    <row r="228" spans="1:143">
      <c r="A228" s="22">
        <v>128</v>
      </c>
      <c r="B228" s="29" t="s">
        <v>1121</v>
      </c>
      <c r="C228" s="24">
        <f ca="1">OFFSET(Sector1!F605,0,Last_forecast_year - 3-InputY!$G$3)</f>
        <v>15.939500000000001</v>
      </c>
      <c r="D228" s="24">
        <f ca="1">OFFSET(Sector1!G605,0,Last_forecast_year - 3-InputY!$G$3)</f>
        <v>15.5137</v>
      </c>
      <c r="E228" s="24">
        <f ca="1">OFFSET(Sector1!H605,0,Last_forecast_year - 3-InputY!$G$3)</f>
        <v>16.968591902919371</v>
      </c>
      <c r="F228" s="24">
        <f ca="1">OFFSET(Sector1!I605,0,Last_forecast_year - 3-InputY!$G$3)</f>
        <v>16.367516381052045</v>
      </c>
      <c r="G228" s="24">
        <f ca="1">OFFSET(Sector1!J605,0,Last_forecast_year - 3-InputY!$G$3)</f>
        <v>17.58658710626565</v>
      </c>
      <c r="H228" s="25">
        <v>-9999</v>
      </c>
      <c r="I228" s="25">
        <v>-9999</v>
      </c>
      <c r="J228" s="25">
        <v>-9999</v>
      </c>
      <c r="K228" s="25">
        <v>-9999</v>
      </c>
      <c r="L228" s="25">
        <v>-9999</v>
      </c>
      <c r="M228" s="25">
        <v>-9999</v>
      </c>
      <c r="N228" s="25">
        <v>-9999</v>
      </c>
      <c r="O228" s="25">
        <v>-9999</v>
      </c>
      <c r="P228"/>
      <c r="Q228"/>
      <c r="AA228" s="22">
        <v>128</v>
      </c>
      <c r="AB228" s="1040" t="str">
        <f t="shared" si="8"/>
        <v>GG GEN. GVMNT CONSOLIDATED GROSS DEBT</v>
      </c>
      <c r="AC228" s="1040">
        <f>CHOOSE(Tables!$U$2,Transfer!CA228,Transfer!CN228,Transfer!DA228,Transfer!DN228,Transfer!EA228)</f>
        <v>40.961599999999997</v>
      </c>
      <c r="AD228" s="1040">
        <f>CHOOSE(Tables!$U$2,Transfer!CB228,Transfer!CO228,Transfer!DB228,Transfer!DO228,Transfer!EB228)</f>
        <v>46.036499999999997</v>
      </c>
      <c r="AE228" s="1040">
        <f>CHOOSE(Tables!$U$2,Transfer!CC228,Transfer!CP228,Transfer!DC228,Transfer!DP228,Transfer!EC228)</f>
        <v>47.997328027906114</v>
      </c>
      <c r="AF228" s="1040">
        <f>CHOOSE(Tables!$U$2,Transfer!CD228,Transfer!CQ228,Transfer!DD228,Transfer!DQ228,Transfer!ED228)</f>
        <v>50.692374002846307</v>
      </c>
      <c r="AG228" s="1040">
        <f>CHOOSE(Tables!$U$2,Transfer!CE228,Transfer!CR228,Transfer!DE228,Transfer!DR228,Transfer!EE228)</f>
        <v>53.077772554326096</v>
      </c>
      <c r="AH228" s="1040">
        <f>CHOOSE(Tables!$U$2,Transfer!CF228,Transfer!CS228,Transfer!DF228,Transfer!DS228,Transfer!EF228)</f>
        <v>-9999</v>
      </c>
      <c r="AI228" s="1040">
        <f>CHOOSE(Tables!$U$2,Transfer!CG228,Transfer!CT228,Transfer!DG228,Transfer!DT228,Transfer!EG228)</f>
        <v>-9999</v>
      </c>
      <c r="AJ228" s="1040">
        <f>CHOOSE(Tables!$U$2,Transfer!CH228,Transfer!CU228,Transfer!DH228,Transfer!DU228,Transfer!EH228)</f>
        <v>-9999</v>
      </c>
      <c r="AK228" s="1040">
        <f>CHOOSE(Tables!$U$2,Transfer!CI228,Transfer!CV228,Transfer!DI228,Transfer!DV228,Transfer!EI228)</f>
        <v>-9999</v>
      </c>
      <c r="AL228" s="1040">
        <f>CHOOSE(Tables!$U$2,Transfer!CJ228,Transfer!CW228,Transfer!DJ228,Transfer!DW228,Transfer!EJ228)</f>
        <v>-9999</v>
      </c>
      <c r="AM228" s="1040">
        <f>CHOOSE(Tables!$U$2,Transfer!CK228,Transfer!CX228,Transfer!DK228,Transfer!DX228,Transfer!EK228)</f>
        <v>-9999</v>
      </c>
      <c r="AN228" s="1040">
        <f>CHOOSE(Tables!$U$2,Transfer!CL228,Transfer!CY228,Transfer!DL228,Transfer!DY228,Transfer!EL228)</f>
        <v>-9999</v>
      </c>
      <c r="AO228" s="1040">
        <f>CHOOSE(Tables!$U$2,Transfer!CM228,Transfer!CZ228,Transfer!DM228,Transfer!DZ228,Transfer!EM228)</f>
        <v>-9999</v>
      </c>
      <c r="AR228" s="22">
        <v>128</v>
      </c>
      <c r="AS228" s="29" t="s">
        <v>1121</v>
      </c>
      <c r="AT228" s="24">
        <f t="shared" ca="1" si="22"/>
        <v>-25.022099999999995</v>
      </c>
      <c r="AU228" s="24">
        <f t="shared" ca="1" si="23"/>
        <v>-30.522799999999997</v>
      </c>
      <c r="AV228" s="24">
        <f t="shared" ca="1" si="24"/>
        <v>-31.028736124986743</v>
      </c>
      <c r="AW228" s="24">
        <f t="shared" ca="1" si="25"/>
        <v>-34.324857621794266</v>
      </c>
      <c r="AX228" s="24">
        <f t="shared" ca="1" si="26"/>
        <v>-35.491185448060449</v>
      </c>
      <c r="AY228" s="25">
        <f t="shared" si="27"/>
        <v>0</v>
      </c>
      <c r="AZ228" s="25">
        <f t="shared" si="28"/>
        <v>0</v>
      </c>
      <c r="BA228" s="25">
        <f t="shared" si="29"/>
        <v>0</v>
      </c>
      <c r="BB228" s="25">
        <f t="shared" si="30"/>
        <v>0</v>
      </c>
      <c r="BC228" s="25">
        <f t="shared" si="21"/>
        <v>0</v>
      </c>
      <c r="BD228" s="25">
        <f t="shared" si="21"/>
        <v>0</v>
      </c>
      <c r="BE228" s="25">
        <f t="shared" si="21"/>
        <v>0</v>
      </c>
      <c r="BF228" s="25">
        <f t="shared" si="21"/>
        <v>0</v>
      </c>
      <c r="CA228" s="16">
        <v>13.55</v>
      </c>
      <c r="CB228" s="16">
        <v>14.8263</v>
      </c>
      <c r="CC228" s="16">
        <v>16.192549965359508</v>
      </c>
      <c r="CD228" s="16">
        <v>15.463988465274728</v>
      </c>
      <c r="CE228" s="16">
        <v>16.97871329294459</v>
      </c>
      <c r="CF228" s="16">
        <v>-9999</v>
      </c>
      <c r="CG228" s="16">
        <v>-9999</v>
      </c>
      <c r="CH228" s="16">
        <v>-9999</v>
      </c>
      <c r="CI228" s="16">
        <v>-9999</v>
      </c>
      <c r="CJ228" s="16">
        <v>-9999</v>
      </c>
      <c r="CK228" s="16">
        <v>-9999</v>
      </c>
      <c r="CL228" s="16">
        <v>-9999</v>
      </c>
      <c r="CM228" s="16">
        <v>-9999</v>
      </c>
      <c r="CN228" s="16">
        <v>13.30245019</v>
      </c>
      <c r="CO228" s="16">
        <v>13.63652688</v>
      </c>
      <c r="CP228" s="16">
        <v>15.071063228547683</v>
      </c>
      <c r="CQ228" s="16">
        <v>15.996585943500564</v>
      </c>
      <c r="CR228" s="16">
        <v>15.056591879187003</v>
      </c>
      <c r="CS228" s="16">
        <v>-9999</v>
      </c>
      <c r="CT228" s="16">
        <v>-9999</v>
      </c>
      <c r="CU228" s="16">
        <v>-9999</v>
      </c>
      <c r="CV228" s="16">
        <v>-9999</v>
      </c>
      <c r="CW228" s="16">
        <v>-9999</v>
      </c>
      <c r="CX228" s="16">
        <v>-9999</v>
      </c>
      <c r="CY228" s="16">
        <v>-9999</v>
      </c>
      <c r="CZ228" s="16">
        <v>-9999</v>
      </c>
      <c r="DA228" s="16">
        <v>13.55</v>
      </c>
      <c r="DB228" s="16">
        <v>14.841738830000001</v>
      </c>
      <c r="DC228" s="16">
        <v>15.778119648797901</v>
      </c>
      <c r="DD228" s="16">
        <v>14.757325275613656</v>
      </c>
      <c r="DE228" s="16">
        <v>14.297559049088479</v>
      </c>
      <c r="DF228" s="16">
        <v>-9999</v>
      </c>
      <c r="DG228" s="16">
        <v>-9999</v>
      </c>
      <c r="DH228" s="16">
        <v>-9999</v>
      </c>
      <c r="DI228" s="16">
        <v>-9999</v>
      </c>
      <c r="DJ228" s="16">
        <v>-9999</v>
      </c>
      <c r="DK228" s="16">
        <v>-9999</v>
      </c>
      <c r="DL228" s="16">
        <v>-9999</v>
      </c>
      <c r="DM228" s="16">
        <v>-9999</v>
      </c>
      <c r="DN228" s="16">
        <v>13.30245019</v>
      </c>
      <c r="DO228" s="16">
        <v>13.63652688</v>
      </c>
      <c r="DP228" s="16">
        <v>15.181698873136526</v>
      </c>
      <c r="DQ228" s="16">
        <v>16.195377921611339</v>
      </c>
      <c r="DR228" s="16">
        <v>15.302309017248199</v>
      </c>
      <c r="DS228" s="16">
        <v>-9999</v>
      </c>
      <c r="DT228" s="16">
        <v>-9999</v>
      </c>
      <c r="DU228" s="16">
        <v>-9999</v>
      </c>
      <c r="DV228" s="16">
        <v>-9999</v>
      </c>
      <c r="DW228" s="16">
        <v>-9999</v>
      </c>
      <c r="DX228" s="16">
        <v>-9999</v>
      </c>
      <c r="DY228" s="16">
        <v>-9999</v>
      </c>
      <c r="DZ228" s="16">
        <v>-9999</v>
      </c>
      <c r="EA228" s="2196">
        <v>40.961599999999997</v>
      </c>
      <c r="EB228" s="2196">
        <v>46.036499999999997</v>
      </c>
      <c r="EC228" s="2196">
        <v>47.997328027906114</v>
      </c>
      <c r="ED228" s="2196">
        <v>50.692374002846307</v>
      </c>
      <c r="EE228" s="2196">
        <v>53.077772554326096</v>
      </c>
      <c r="EF228" s="2197">
        <v>-9999</v>
      </c>
      <c r="EG228" s="2197">
        <v>-9999</v>
      </c>
      <c r="EH228" s="2197">
        <v>-9999</v>
      </c>
      <c r="EI228" s="2197">
        <v>-9999</v>
      </c>
      <c r="EJ228" s="2197">
        <v>-9999</v>
      </c>
      <c r="EK228" s="2197">
        <v>-9999</v>
      </c>
      <c r="EL228" s="2197">
        <v>-9999</v>
      </c>
      <c r="EM228" s="2197">
        <v>-9999</v>
      </c>
    </row>
    <row r="229" spans="1:143">
      <c r="A229" s="22">
        <v>129</v>
      </c>
      <c r="B229" s="1" t="s">
        <v>1141</v>
      </c>
      <c r="C229" s="24">
        <f ca="1">OFFSET(Sector1!F664,0,Last_forecast_year - 3-InputY!$G$3)</f>
        <v>13.057700000000001</v>
      </c>
      <c r="D229" s="24">
        <f ca="1">OFFSET(Sector1!G664,0,Last_forecast_year - 3-InputY!$G$3)</f>
        <v>13.226979999999999</v>
      </c>
      <c r="E229" s="24">
        <f ca="1">OFFSET(Sector1!H664,0,Last_forecast_year - 3-InputY!$G$3)</f>
        <v>14.188379305700002</v>
      </c>
      <c r="F229" s="24">
        <f ca="1">OFFSET(Sector1!I664,0,Last_forecast_year - 3-InputY!$G$3)</f>
        <v>15.095948944798822</v>
      </c>
      <c r="G229" s="24">
        <f ca="1">OFFSET(Sector1!J664,0,Last_forecast_year - 3-InputY!$G$3)</f>
        <v>15.932143343143899</v>
      </c>
      <c r="H229" s="25">
        <v>-9999</v>
      </c>
      <c r="I229" s="25">
        <v>-9999</v>
      </c>
      <c r="J229" s="25">
        <v>-9999</v>
      </c>
      <c r="K229" s="25">
        <v>-9999</v>
      </c>
      <c r="L229" s="25">
        <v>-9999</v>
      </c>
      <c r="M229" s="25">
        <v>-9999</v>
      </c>
      <c r="N229" s="25">
        <v>-9999</v>
      </c>
      <c r="O229" s="25">
        <v>-9999</v>
      </c>
      <c r="P229"/>
      <c r="Q229"/>
      <c r="AA229" s="22">
        <v>129</v>
      </c>
      <c r="AB229" s="1040" t="str">
        <f t="shared" si="8"/>
        <v>GG TOTAL GOVERNMENT EXPENDITURE</v>
      </c>
      <c r="AC229" s="1040">
        <f>CHOOSE(Tables!$U$2,Transfer!CA229,Transfer!CN229,Transfer!DA229,Transfer!DN229,Transfer!EA229)</f>
        <v>41.344610000000003</v>
      </c>
      <c r="AD229" s="1040">
        <f>CHOOSE(Tables!$U$2,Transfer!CB229,Transfer!CO229,Transfer!DB229,Transfer!DO229,Transfer!EB229)</f>
        <v>41.019750000000002</v>
      </c>
      <c r="AE229" s="1040">
        <f>CHOOSE(Tables!$U$2,Transfer!CC229,Transfer!CP229,Transfer!DC229,Transfer!DP229,Transfer!EC229)</f>
        <v>42.633455997906125</v>
      </c>
      <c r="AF229" s="1040">
        <f>CHOOSE(Tables!$U$2,Transfer!CD229,Transfer!CQ229,Transfer!DD229,Transfer!DQ229,Transfer!ED229)</f>
        <v>44.378057616650196</v>
      </c>
      <c r="AG229" s="1040">
        <f>CHOOSE(Tables!$U$2,Transfer!CE229,Transfer!CR229,Transfer!DE229,Transfer!DR229,Transfer!EE229)</f>
        <v>46.201001906106164</v>
      </c>
      <c r="AH229" s="1040">
        <f>CHOOSE(Tables!$U$2,Transfer!CF229,Transfer!CS229,Transfer!DF229,Transfer!DS229,Transfer!EF229)</f>
        <v>-9999</v>
      </c>
      <c r="AI229" s="1040">
        <f>CHOOSE(Tables!$U$2,Transfer!CG229,Transfer!CT229,Transfer!DG229,Transfer!DT229,Transfer!EG229)</f>
        <v>-9999</v>
      </c>
      <c r="AJ229" s="1040">
        <f>CHOOSE(Tables!$U$2,Transfer!CH229,Transfer!CU229,Transfer!DH229,Transfer!DU229,Transfer!EH229)</f>
        <v>-9999</v>
      </c>
      <c r="AK229" s="1040">
        <f>CHOOSE(Tables!$U$2,Transfer!CI229,Transfer!CV229,Transfer!DI229,Transfer!DV229,Transfer!EI229)</f>
        <v>-9999</v>
      </c>
      <c r="AL229" s="1040">
        <f>CHOOSE(Tables!$U$2,Transfer!CJ229,Transfer!CW229,Transfer!DJ229,Transfer!DW229,Transfer!EJ229)</f>
        <v>-9999</v>
      </c>
      <c r="AM229" s="1040">
        <f>CHOOSE(Tables!$U$2,Transfer!CK229,Transfer!CX229,Transfer!DK229,Transfer!DX229,Transfer!EK229)</f>
        <v>-9999</v>
      </c>
      <c r="AN229" s="1040">
        <f>CHOOSE(Tables!$U$2,Transfer!CL229,Transfer!CY229,Transfer!DL229,Transfer!DY229,Transfer!EL229)</f>
        <v>-9999</v>
      </c>
      <c r="AO229" s="1040">
        <f>CHOOSE(Tables!$U$2,Transfer!CM229,Transfer!CZ229,Transfer!DM229,Transfer!DZ229,Transfer!EM229)</f>
        <v>-9999</v>
      </c>
      <c r="AR229" s="22">
        <v>129</v>
      </c>
      <c r="AS229" s="1" t="s">
        <v>1141</v>
      </c>
      <c r="AT229" s="24">
        <f t="shared" ca="1" si="22"/>
        <v>-28.286910000000002</v>
      </c>
      <c r="AU229" s="24">
        <f t="shared" ca="1" si="23"/>
        <v>-27.792770000000004</v>
      </c>
      <c r="AV229" s="24">
        <f t="shared" ca="1" si="24"/>
        <v>-28.445076692206122</v>
      </c>
      <c r="AW229" s="24">
        <f t="shared" ca="1" si="25"/>
        <v>-29.282108671851375</v>
      </c>
      <c r="AX229" s="24">
        <f t="shared" ca="1" si="26"/>
        <v>-30.268858562962265</v>
      </c>
      <c r="AY229" s="25">
        <f t="shared" si="27"/>
        <v>0</v>
      </c>
      <c r="AZ229" s="25">
        <f t="shared" si="28"/>
        <v>0</v>
      </c>
      <c r="BA229" s="25">
        <f t="shared" si="29"/>
        <v>0</v>
      </c>
      <c r="BB229" s="25">
        <f t="shared" si="30"/>
        <v>0</v>
      </c>
      <c r="BC229" s="25">
        <f t="shared" si="21"/>
        <v>0</v>
      </c>
      <c r="BD229" s="25">
        <f t="shared" si="21"/>
        <v>0</v>
      </c>
      <c r="BE229" s="25">
        <f t="shared" si="21"/>
        <v>0</v>
      </c>
      <c r="BF229" s="25">
        <f t="shared" si="21"/>
        <v>0</v>
      </c>
      <c r="CA229" s="16">
        <v>12.42919</v>
      </c>
      <c r="CB229" s="16">
        <v>12.682499999999999</v>
      </c>
      <c r="CC229" s="16">
        <v>13.225243730364998</v>
      </c>
      <c r="CD229" s="16">
        <v>13.717106836700374</v>
      </c>
      <c r="CE229" s="16">
        <v>14.175786003461761</v>
      </c>
      <c r="CF229" s="16">
        <v>-9999</v>
      </c>
      <c r="CG229" s="16">
        <v>-9999</v>
      </c>
      <c r="CH229" s="16">
        <v>-9999</v>
      </c>
      <c r="CI229" s="16">
        <v>-9999</v>
      </c>
      <c r="CJ229" s="16">
        <v>-9999</v>
      </c>
      <c r="CK229" s="16">
        <v>-9999</v>
      </c>
      <c r="CL229" s="16">
        <v>-9999</v>
      </c>
      <c r="CM229" s="16">
        <v>-9999</v>
      </c>
      <c r="CN229" s="16">
        <v>12.029234239999999</v>
      </c>
      <c r="CO229" s="16">
        <v>12.39830283</v>
      </c>
      <c r="CP229" s="16">
        <v>12.839264141351448</v>
      </c>
      <c r="CQ229" s="16">
        <v>13.091700839783464</v>
      </c>
      <c r="CR229" s="16">
        <v>13.588368466038423</v>
      </c>
      <c r="CS229" s="16">
        <v>-9999</v>
      </c>
      <c r="CT229" s="16">
        <v>-9999</v>
      </c>
      <c r="CU229" s="16">
        <v>-9999</v>
      </c>
      <c r="CV229" s="16">
        <v>-9999</v>
      </c>
      <c r="CW229" s="16">
        <v>-9999</v>
      </c>
      <c r="CX229" s="16">
        <v>-9999</v>
      </c>
      <c r="CY229" s="16">
        <v>-9999</v>
      </c>
      <c r="CZ229" s="16">
        <v>-9999</v>
      </c>
      <c r="DA229" s="16">
        <v>12.4034</v>
      </c>
      <c r="DB229" s="16">
        <v>12.675739999999999</v>
      </c>
      <c r="DC229" s="16">
        <v>12.771993692025191</v>
      </c>
      <c r="DD229" s="16">
        <v>13.115931316222438</v>
      </c>
      <c r="DE229" s="16">
        <v>13.46905270830551</v>
      </c>
      <c r="DF229" s="16">
        <v>-9999</v>
      </c>
      <c r="DG229" s="16">
        <v>-9999</v>
      </c>
      <c r="DH229" s="16">
        <v>-9999</v>
      </c>
      <c r="DI229" s="16">
        <v>-9999</v>
      </c>
      <c r="DJ229" s="16">
        <v>-9999</v>
      </c>
      <c r="DK229" s="16">
        <v>-9999</v>
      </c>
      <c r="DL229" s="16">
        <v>-9999</v>
      </c>
      <c r="DM229" s="16">
        <v>-9999</v>
      </c>
      <c r="DN229" s="16">
        <v>12.034000000000001</v>
      </c>
      <c r="DO229" s="16">
        <v>12.4034</v>
      </c>
      <c r="DP229" s="16">
        <v>12.6931326658312</v>
      </c>
      <c r="DQ229" s="16">
        <v>12.801959787251947</v>
      </c>
      <c r="DR229" s="16">
        <v>13.284022341960297</v>
      </c>
      <c r="DS229" s="16">
        <v>-9999</v>
      </c>
      <c r="DT229" s="16">
        <v>-9999</v>
      </c>
      <c r="DU229" s="16">
        <v>-9999</v>
      </c>
      <c r="DV229" s="16">
        <v>-9999</v>
      </c>
      <c r="DW229" s="16">
        <v>-9999</v>
      </c>
      <c r="DX229" s="16">
        <v>-9999</v>
      </c>
      <c r="DY229" s="16">
        <v>-9999</v>
      </c>
      <c r="DZ229" s="16">
        <v>-9999</v>
      </c>
      <c r="EA229" s="2196">
        <v>41.344610000000003</v>
      </c>
      <c r="EB229" s="2196">
        <v>41.019750000000002</v>
      </c>
      <c r="EC229" s="2196">
        <v>42.633455997906125</v>
      </c>
      <c r="ED229" s="2196">
        <v>44.378057616650196</v>
      </c>
      <c r="EE229" s="2196">
        <v>46.201001906106164</v>
      </c>
      <c r="EF229" s="2197">
        <v>-9999</v>
      </c>
      <c r="EG229" s="2197">
        <v>-9999</v>
      </c>
      <c r="EH229" s="2197">
        <v>-9999</v>
      </c>
      <c r="EI229" s="2197">
        <v>-9999</v>
      </c>
      <c r="EJ229" s="2197">
        <v>-9999</v>
      </c>
      <c r="EK229" s="2197">
        <v>-9999</v>
      </c>
      <c r="EL229" s="2197">
        <v>-9999</v>
      </c>
      <c r="EM229" s="2197">
        <v>-9999</v>
      </c>
    </row>
    <row r="230" spans="1:143">
      <c r="A230" s="22">
        <v>130</v>
      </c>
      <c r="B230" s="1" t="s">
        <v>1143</v>
      </c>
      <c r="C230" s="24">
        <f ca="1">OFFSET(Sector1!F482,0,Last_forecast_year - 3-InputY!$G$3)</f>
        <v>1.4300000000000001E-3</v>
      </c>
      <c r="D230" s="24">
        <f ca="1">OFFSET(Sector1!G482,0,Last_forecast_year - 3-InputY!$G$3)</f>
        <v>1.47E-3</v>
      </c>
      <c r="E230" s="24">
        <f ca="1">OFFSET(Sector1!H482,0,Last_forecast_year - 3-InputY!$G$3)</f>
        <v>1.47E-3</v>
      </c>
      <c r="F230" s="24">
        <f ca="1">OFFSET(Sector1!I482,0,Last_forecast_year - 3-InputY!$G$3)</f>
        <v>1.47E-3</v>
      </c>
      <c r="G230" s="24">
        <f ca="1">OFFSET(Sector1!J482,0,Last_forecast_year - 3-InputY!$G$3)</f>
        <v>1.47E-3</v>
      </c>
      <c r="H230" s="25">
        <v>-9999</v>
      </c>
      <c r="I230" s="25">
        <v>-9999</v>
      </c>
      <c r="J230" s="25">
        <v>-9999</v>
      </c>
      <c r="K230" s="25">
        <v>-9999</v>
      </c>
      <c r="L230" s="25">
        <v>-9999</v>
      </c>
      <c r="M230" s="25">
        <v>-9999</v>
      </c>
      <c r="N230" s="25">
        <v>-9999</v>
      </c>
      <c r="O230" s="25">
        <v>-9999</v>
      </c>
      <c r="P230"/>
      <c r="Q230"/>
      <c r="AA230" s="22">
        <v>130</v>
      </c>
      <c r="AB230" s="1040" t="str">
        <f t="shared" ref="AB230:AB280" si="31">+B230</f>
        <v>GG CAPITAL TAXES</v>
      </c>
      <c r="AC230" s="1040">
        <f>CHOOSE(Tables!$U$2,Transfer!CA230,Transfer!CN230,Transfer!DA230,Transfer!DN230,Transfer!EA230)</f>
        <v>3.47E-3</v>
      </c>
      <c r="AD230" s="1040">
        <f>CHOOSE(Tables!$U$2,Transfer!CB230,Transfer!CO230,Transfer!DB230,Transfer!DO230,Transfer!EB230)</f>
        <v>4.1399999999999996E-3</v>
      </c>
      <c r="AE230" s="1040">
        <f>CHOOSE(Tables!$U$2,Transfer!CC230,Transfer!CP230,Transfer!DC230,Transfer!DP230,Transfer!EC230)</f>
        <v>4.1399999999999996E-3</v>
      </c>
      <c r="AF230" s="1040">
        <f>CHOOSE(Tables!$U$2,Transfer!CD230,Transfer!CQ230,Transfer!DD230,Transfer!DQ230,Transfer!ED230)</f>
        <v>4.1399999999999996E-3</v>
      </c>
      <c r="AG230" s="1040">
        <f>CHOOSE(Tables!$U$2,Transfer!CE230,Transfer!CR230,Transfer!DE230,Transfer!DR230,Transfer!EE230)</f>
        <v>4.1399999999999996E-3</v>
      </c>
      <c r="AH230" s="1040">
        <f>CHOOSE(Tables!$U$2,Transfer!CF230,Transfer!CS230,Transfer!DF230,Transfer!DS230,Transfer!EF230)</f>
        <v>-9999</v>
      </c>
      <c r="AI230" s="1040">
        <f>CHOOSE(Tables!$U$2,Transfer!CG230,Transfer!CT230,Transfer!DG230,Transfer!DT230,Transfer!EG230)</f>
        <v>-9999</v>
      </c>
      <c r="AJ230" s="1040">
        <f>CHOOSE(Tables!$U$2,Transfer!CH230,Transfer!CU230,Transfer!DH230,Transfer!DU230,Transfer!EH230)</f>
        <v>-9999</v>
      </c>
      <c r="AK230" s="1040">
        <f>CHOOSE(Tables!$U$2,Transfer!CI230,Transfer!CV230,Transfer!DI230,Transfer!DV230,Transfer!EI230)</f>
        <v>-9999</v>
      </c>
      <c r="AL230" s="1040">
        <f>CHOOSE(Tables!$U$2,Transfer!CJ230,Transfer!CW230,Transfer!DJ230,Transfer!DW230,Transfer!EJ230)</f>
        <v>-9999</v>
      </c>
      <c r="AM230" s="1040">
        <f>CHOOSE(Tables!$U$2,Transfer!CK230,Transfer!CX230,Transfer!DK230,Transfer!DX230,Transfer!EK230)</f>
        <v>-9999</v>
      </c>
      <c r="AN230" s="1040">
        <f>CHOOSE(Tables!$U$2,Transfer!CL230,Transfer!CY230,Transfer!DL230,Transfer!DY230,Transfer!EL230)</f>
        <v>-9999</v>
      </c>
      <c r="AO230" s="1040">
        <f>CHOOSE(Tables!$U$2,Transfer!CM230,Transfer!CZ230,Transfer!DM230,Transfer!DZ230,Transfer!EM230)</f>
        <v>-9999</v>
      </c>
      <c r="AR230" s="22">
        <v>130</v>
      </c>
      <c r="AS230" s="1" t="s">
        <v>1143</v>
      </c>
      <c r="AT230" s="24">
        <f t="shared" ca="1" si="22"/>
        <v>-2.0400000000000001E-3</v>
      </c>
      <c r="AU230" s="24">
        <f t="shared" ca="1" si="23"/>
        <v>-2.6699999999999996E-3</v>
      </c>
      <c r="AV230" s="24">
        <f t="shared" ca="1" si="24"/>
        <v>-2.6699999999999996E-3</v>
      </c>
      <c r="AW230" s="24">
        <f t="shared" ca="1" si="25"/>
        <v>-2.6699999999999996E-3</v>
      </c>
      <c r="AX230" s="24">
        <f t="shared" ca="1" si="26"/>
        <v>-2.6699999999999996E-3</v>
      </c>
      <c r="AY230" s="25">
        <f t="shared" si="27"/>
        <v>0</v>
      </c>
      <c r="AZ230" s="25">
        <f t="shared" si="28"/>
        <v>0</v>
      </c>
      <c r="BA230" s="25">
        <f t="shared" si="29"/>
        <v>0</v>
      </c>
      <c r="BB230" s="25">
        <f t="shared" si="30"/>
        <v>0</v>
      </c>
      <c r="BC230" s="25">
        <f t="shared" si="21"/>
        <v>0</v>
      </c>
      <c r="BD230" s="25">
        <f t="shared" si="21"/>
        <v>0</v>
      </c>
      <c r="BE230" s="25">
        <f t="shared" si="21"/>
        <v>0</v>
      </c>
      <c r="BF230" s="25">
        <f t="shared" si="21"/>
        <v>0</v>
      </c>
      <c r="CA230" s="16">
        <v>1.2800000000000001E-3</v>
      </c>
      <c r="CB230" s="16">
        <v>1.33E-3</v>
      </c>
      <c r="CC230" s="16">
        <v>1.33E-3</v>
      </c>
      <c r="CD230" s="16">
        <v>1.33E-3</v>
      </c>
      <c r="CE230" s="16">
        <v>1.33E-3</v>
      </c>
      <c r="CF230" s="16">
        <v>-9999</v>
      </c>
      <c r="CG230" s="16">
        <v>-9999</v>
      </c>
      <c r="CH230" s="16">
        <v>-9999</v>
      </c>
      <c r="CI230" s="16">
        <v>-9999</v>
      </c>
      <c r="CJ230" s="16">
        <v>-9999</v>
      </c>
      <c r="CK230" s="16">
        <v>-9999</v>
      </c>
      <c r="CL230" s="16">
        <v>-9999</v>
      </c>
      <c r="CM230" s="16">
        <v>-9999</v>
      </c>
      <c r="CN230" s="16">
        <v>1.19903E-3</v>
      </c>
      <c r="CO230" s="16">
        <v>1.28302E-3</v>
      </c>
      <c r="CP230" s="16">
        <v>1.28302E-3</v>
      </c>
      <c r="CQ230" s="16">
        <v>1.28302E-3</v>
      </c>
      <c r="CR230" s="16">
        <v>1.28302E-3</v>
      </c>
      <c r="CS230" s="16">
        <v>-9999</v>
      </c>
      <c r="CT230" s="16">
        <v>-9999</v>
      </c>
      <c r="CU230" s="16">
        <v>-9999</v>
      </c>
      <c r="CV230" s="16">
        <v>-9999</v>
      </c>
      <c r="CW230" s="16">
        <v>-9999</v>
      </c>
      <c r="CX230" s="16">
        <v>-9999</v>
      </c>
      <c r="CY230" s="16">
        <v>-9999</v>
      </c>
      <c r="CZ230" s="16">
        <v>-9999</v>
      </c>
      <c r="DA230" s="16">
        <v>1.2800000000000001E-3</v>
      </c>
      <c r="DB230" s="16">
        <v>1.33E-3</v>
      </c>
      <c r="DC230" s="16">
        <v>1.33E-3</v>
      </c>
      <c r="DD230" s="16">
        <v>1.33E-3</v>
      </c>
      <c r="DE230" s="16">
        <v>1.33E-3</v>
      </c>
      <c r="DF230" s="16">
        <v>-9999</v>
      </c>
      <c r="DG230" s="16">
        <v>-9999</v>
      </c>
      <c r="DH230" s="16">
        <v>-9999</v>
      </c>
      <c r="DI230" s="16">
        <v>-9999</v>
      </c>
      <c r="DJ230" s="16">
        <v>-9999</v>
      </c>
      <c r="DK230" s="16">
        <v>-9999</v>
      </c>
      <c r="DL230" s="16">
        <v>-9999</v>
      </c>
      <c r="DM230" s="16">
        <v>-9999</v>
      </c>
      <c r="DN230" s="16">
        <v>1.1999999999999999E-3</v>
      </c>
      <c r="DO230" s="16">
        <v>1.2800000000000001E-3</v>
      </c>
      <c r="DP230" s="16">
        <v>1.33E-3</v>
      </c>
      <c r="DQ230" s="16">
        <v>1.33E-3</v>
      </c>
      <c r="DR230" s="16">
        <v>1.33E-3</v>
      </c>
      <c r="DS230" s="16">
        <v>-9999</v>
      </c>
      <c r="DT230" s="16">
        <v>-9999</v>
      </c>
      <c r="DU230" s="16">
        <v>-9999</v>
      </c>
      <c r="DV230" s="16">
        <v>-9999</v>
      </c>
      <c r="DW230" s="16">
        <v>-9999</v>
      </c>
      <c r="DX230" s="16">
        <v>-9999</v>
      </c>
      <c r="DY230" s="16">
        <v>-9999</v>
      </c>
      <c r="DZ230" s="16">
        <v>-9999</v>
      </c>
      <c r="EA230" s="2196">
        <v>3.47E-3</v>
      </c>
      <c r="EB230" s="2196">
        <v>4.1399999999999996E-3</v>
      </c>
      <c r="EC230" s="2196">
        <v>4.1399999999999996E-3</v>
      </c>
      <c r="ED230" s="2196">
        <v>4.1399999999999996E-3</v>
      </c>
      <c r="EE230" s="2196">
        <v>4.1399999999999996E-3</v>
      </c>
      <c r="EF230" s="2197">
        <v>-9999</v>
      </c>
      <c r="EG230" s="2197">
        <v>-9999</v>
      </c>
      <c r="EH230" s="2197">
        <v>-9999</v>
      </c>
      <c r="EI230" s="2197">
        <v>-9999</v>
      </c>
      <c r="EJ230" s="2197">
        <v>-9999</v>
      </c>
      <c r="EK230" s="2197">
        <v>-9999</v>
      </c>
      <c r="EL230" s="2197">
        <v>-9999</v>
      </c>
      <c r="EM230" s="2197">
        <v>-9999</v>
      </c>
    </row>
    <row r="231" spans="1:143">
      <c r="A231" s="22">
        <v>131</v>
      </c>
      <c r="B231" s="29" t="s">
        <v>1144</v>
      </c>
      <c r="C231" s="24">
        <f ca="1">OFFSET(Sector1!F12,0,Last_forecast_year - 3-InputY!$G$3)</f>
        <v>0.123</v>
      </c>
      <c r="D231" s="24">
        <f ca="1">OFFSET(Sector1!G12,0,Last_forecast_year - 3-InputY!$G$3)</f>
        <v>0.112</v>
      </c>
      <c r="E231" s="24">
        <f ca="1">OFFSET(Sector1!H12,0,Last_forecast_year - 3-InputY!$G$3)</f>
        <v>0.11648</v>
      </c>
      <c r="F231" s="24">
        <f ca="1">OFFSET(Sector1!I12,0,Last_forecast_year - 3-InputY!$G$3)</f>
        <v>0.1211392</v>
      </c>
      <c r="G231" s="24">
        <f ca="1">OFFSET(Sector1!J12,0,Last_forecast_year - 3-InputY!$G$3)</f>
        <v>0.125984768</v>
      </c>
      <c r="H231" s="25">
        <v>-9999</v>
      </c>
      <c r="I231" s="25">
        <v>-9999</v>
      </c>
      <c r="J231" s="25">
        <v>-9999</v>
      </c>
      <c r="K231" s="25">
        <v>-9999</v>
      </c>
      <c r="L231" s="25">
        <v>-9999</v>
      </c>
      <c r="M231" s="25">
        <v>-9999</v>
      </c>
      <c r="N231" s="25">
        <v>-9999</v>
      </c>
      <c r="O231" s="25">
        <v>-9999</v>
      </c>
      <c r="P231"/>
      <c r="Q231"/>
      <c r="AA231" s="22">
        <v>131</v>
      </c>
      <c r="AB231" s="1040" t="str">
        <f t="shared" si="31"/>
        <v>GG TAXES TO EU</v>
      </c>
      <c r="AC231" s="1040">
        <f>CHOOSE(Tables!$U$2,Transfer!CA231,Transfer!CN231,Transfer!DA231,Transfer!DN231,Transfer!EA231)</f>
        <v>0.33007389999999998</v>
      </c>
      <c r="AD231" s="1040">
        <f>CHOOSE(Tables!$U$2,Transfer!CB231,Transfer!CO231,Transfer!DB231,Transfer!DO231,Transfer!EB231)</f>
        <v>0.35100000000000214</v>
      </c>
      <c r="AE231" s="1040">
        <f>CHOOSE(Tables!$U$2,Transfer!CC231,Transfer!CP231,Transfer!DC231,Transfer!DP231,Transfer!EC231)</f>
        <v>0.37206000000000228</v>
      </c>
      <c r="AF231" s="1040">
        <f>CHOOSE(Tables!$U$2,Transfer!CD231,Transfer!CQ231,Transfer!DD231,Transfer!DQ231,Transfer!ED231)</f>
        <v>0.39996450000000244</v>
      </c>
      <c r="AG231" s="1040">
        <f>CHOOSE(Tables!$U$2,Transfer!CE231,Transfer!CR231,Transfer!DE231,Transfer!DR231,Transfer!EE231)</f>
        <v>0.42996183750000261</v>
      </c>
      <c r="AH231" s="1040">
        <f>CHOOSE(Tables!$U$2,Transfer!CF231,Transfer!CS231,Transfer!DF231,Transfer!DS231,Transfer!EF231)</f>
        <v>-9999</v>
      </c>
      <c r="AI231" s="1040">
        <f>CHOOSE(Tables!$U$2,Transfer!CG231,Transfer!CT231,Transfer!DG231,Transfer!DT231,Transfer!EG231)</f>
        <v>-9999</v>
      </c>
      <c r="AJ231" s="1040">
        <f>CHOOSE(Tables!$U$2,Transfer!CH231,Transfer!CU231,Transfer!DH231,Transfer!DU231,Transfer!EH231)</f>
        <v>-9999</v>
      </c>
      <c r="AK231" s="1040">
        <f>CHOOSE(Tables!$U$2,Transfer!CI231,Transfer!CV231,Transfer!DI231,Transfer!DV231,Transfer!EI231)</f>
        <v>-9999</v>
      </c>
      <c r="AL231" s="1040">
        <f>CHOOSE(Tables!$U$2,Transfer!CJ231,Transfer!CW231,Transfer!DJ231,Transfer!DW231,Transfer!EJ231)</f>
        <v>-9999</v>
      </c>
      <c r="AM231" s="1040">
        <f>CHOOSE(Tables!$U$2,Transfer!CK231,Transfer!CX231,Transfer!DK231,Transfer!DX231,Transfer!EK231)</f>
        <v>-9999</v>
      </c>
      <c r="AN231" s="1040">
        <f>CHOOSE(Tables!$U$2,Transfer!CL231,Transfer!CY231,Transfer!DL231,Transfer!DY231,Transfer!EL231)</f>
        <v>-9999</v>
      </c>
      <c r="AO231" s="1040">
        <f>CHOOSE(Tables!$U$2,Transfer!CM231,Transfer!CZ231,Transfer!DM231,Transfer!DZ231,Transfer!EM231)</f>
        <v>-9999</v>
      </c>
      <c r="AR231" s="22">
        <v>131</v>
      </c>
      <c r="AS231" s="29" t="s">
        <v>1144</v>
      </c>
      <c r="AT231" s="24">
        <f t="shared" ca="1" si="22"/>
        <v>-0.20707389999999998</v>
      </c>
      <c r="AU231" s="24">
        <f t="shared" ca="1" si="23"/>
        <v>-0.23900000000000216</v>
      </c>
      <c r="AV231" s="24">
        <f t="shared" ca="1" si="24"/>
        <v>-0.25558000000000225</v>
      </c>
      <c r="AW231" s="24">
        <f t="shared" ca="1" si="25"/>
        <v>-0.27882530000000244</v>
      </c>
      <c r="AX231" s="24">
        <f t="shared" ca="1" si="26"/>
        <v>-0.30397706950000258</v>
      </c>
      <c r="AY231" s="25">
        <f t="shared" si="27"/>
        <v>0</v>
      </c>
      <c r="AZ231" s="25">
        <f t="shared" si="28"/>
        <v>0</v>
      </c>
      <c r="BA231" s="25">
        <f t="shared" si="29"/>
        <v>0</v>
      </c>
      <c r="BB231" s="25">
        <f t="shared" si="30"/>
        <v>0</v>
      </c>
      <c r="BC231" s="25">
        <f t="shared" si="21"/>
        <v>0</v>
      </c>
      <c r="BD231" s="25">
        <f t="shared" si="21"/>
        <v>0</v>
      </c>
      <c r="BE231" s="25">
        <f t="shared" si="21"/>
        <v>0</v>
      </c>
      <c r="BF231" s="25">
        <f t="shared" si="21"/>
        <v>0</v>
      </c>
      <c r="CA231" s="16">
        <v>0.1</v>
      </c>
      <c r="CB231" s="16">
        <v>0.10500000000000001</v>
      </c>
      <c r="CC231" s="16">
        <v>0.11025000000000001</v>
      </c>
      <c r="CD231" s="16">
        <v>0.11686500000000002</v>
      </c>
      <c r="CE231" s="16">
        <v>0.12504555000000003</v>
      </c>
      <c r="CF231" s="16">
        <v>-9999</v>
      </c>
      <c r="CG231" s="16">
        <v>-9999</v>
      </c>
      <c r="CH231" s="16">
        <v>-9999</v>
      </c>
      <c r="CI231" s="16">
        <v>-9999</v>
      </c>
      <c r="CJ231" s="16">
        <v>-9999</v>
      </c>
      <c r="CK231" s="16">
        <v>-9999</v>
      </c>
      <c r="CL231" s="16">
        <v>-9999</v>
      </c>
      <c r="CM231" s="16">
        <v>-9999</v>
      </c>
      <c r="CN231" s="16">
        <v>8.6596385542168669E-2</v>
      </c>
      <c r="CO231" s="16">
        <v>0.1002085264133457</v>
      </c>
      <c r="CP231" s="16">
        <v>0.10622103799814644</v>
      </c>
      <c r="CQ231" s="16">
        <v>0.11153208989805377</v>
      </c>
      <c r="CR231" s="16">
        <v>0.118224015291937</v>
      </c>
      <c r="CS231" s="16">
        <v>-9999</v>
      </c>
      <c r="CT231" s="16">
        <v>-9999</v>
      </c>
      <c r="CU231" s="16">
        <v>-9999</v>
      </c>
      <c r="CV231" s="16">
        <v>-9999</v>
      </c>
      <c r="CW231" s="16">
        <v>-9999</v>
      </c>
      <c r="CX231" s="16">
        <v>-9999</v>
      </c>
      <c r="CY231" s="16">
        <v>-9999</v>
      </c>
      <c r="CZ231" s="16">
        <v>-9999</v>
      </c>
      <c r="DA231" s="16">
        <v>0.1</v>
      </c>
      <c r="DB231" s="16">
        <v>0.10600000000000001</v>
      </c>
      <c r="DC231" s="16">
        <v>0.11130000000000001</v>
      </c>
      <c r="DD231" s="16">
        <v>0.11797800000000001</v>
      </c>
      <c r="DE231" s="16">
        <v>0.12623646000000002</v>
      </c>
      <c r="DF231" s="16">
        <v>-9999</v>
      </c>
      <c r="DG231" s="16">
        <v>-9999</v>
      </c>
      <c r="DH231" s="16">
        <v>-9999</v>
      </c>
      <c r="DI231" s="16">
        <v>-9999</v>
      </c>
      <c r="DJ231" s="16">
        <v>-9999</v>
      </c>
      <c r="DK231" s="16">
        <v>-9999</v>
      </c>
      <c r="DL231" s="16">
        <v>-9999</v>
      </c>
      <c r="DM231" s="16">
        <v>-9999</v>
      </c>
      <c r="DN231" s="16">
        <v>8.6596385542168669E-2</v>
      </c>
      <c r="DO231" s="16">
        <v>0.1002085264133457</v>
      </c>
      <c r="DP231" s="16">
        <v>0.10622103799814644</v>
      </c>
      <c r="DQ231" s="16">
        <v>0.11153208989805377</v>
      </c>
      <c r="DR231" s="16">
        <v>0.118224015291937</v>
      </c>
      <c r="DS231" s="16">
        <v>-9999</v>
      </c>
      <c r="DT231" s="16">
        <v>-9999</v>
      </c>
      <c r="DU231" s="16">
        <v>-9999</v>
      </c>
      <c r="DV231" s="16">
        <v>-9999</v>
      </c>
      <c r="DW231" s="16">
        <v>-9999</v>
      </c>
      <c r="DX231" s="16">
        <v>-9999</v>
      </c>
      <c r="DY231" s="16">
        <v>-9999</v>
      </c>
      <c r="DZ231" s="16">
        <v>-9999</v>
      </c>
      <c r="EA231" s="2196">
        <v>0.33007389999999998</v>
      </c>
      <c r="EB231" s="2196">
        <v>0.35100000000000214</v>
      </c>
      <c r="EC231" s="2196">
        <v>0.37206000000000228</v>
      </c>
      <c r="ED231" s="2196">
        <v>0.39996450000000244</v>
      </c>
      <c r="EE231" s="2196">
        <v>0.42996183750000261</v>
      </c>
      <c r="EF231" s="2197">
        <v>-9999</v>
      </c>
      <c r="EG231" s="2197">
        <v>-9999</v>
      </c>
      <c r="EH231" s="2197">
        <v>-9999</v>
      </c>
      <c r="EI231" s="2197">
        <v>-9999</v>
      </c>
      <c r="EJ231" s="2197">
        <v>-9999</v>
      </c>
      <c r="EK231" s="2197">
        <v>-9999</v>
      </c>
      <c r="EL231" s="2197">
        <v>-9999</v>
      </c>
      <c r="EM231" s="2197">
        <v>-9999</v>
      </c>
    </row>
    <row r="232" spans="1:143">
      <c r="A232" s="22">
        <v>132</v>
      </c>
      <c r="B232" s="29" t="s">
        <v>1145</v>
      </c>
      <c r="C232" s="24">
        <f ca="1">OFFSET(Sector1!F165,0,Last_forecast_year - 3-InputY!$G$3)</f>
        <v>0.56867999999999996</v>
      </c>
      <c r="D232" s="24">
        <f ca="1">OFFSET(Sector1!G165,0,Last_forecast_year - 3-InputY!$G$3)</f>
        <v>0.51676999999999995</v>
      </c>
      <c r="E232" s="24">
        <f ca="1">OFFSET(Sector1!H165,0,Last_forecast_year - 3-InputY!$G$3)</f>
        <v>0.49499999999999994</v>
      </c>
      <c r="F232" s="24">
        <f ca="1">OFFSET(Sector1!I165,0,Last_forecast_year - 3-InputY!$G$3)</f>
        <v>0.38500000000000001</v>
      </c>
      <c r="G232" s="24">
        <f ca="1">OFFSET(Sector1!J165,0,Last_forecast_year - 3-InputY!$G$3)</f>
        <v>0.40100000000000002</v>
      </c>
      <c r="H232" s="25">
        <v>-9999</v>
      </c>
      <c r="I232" s="25">
        <v>-9999</v>
      </c>
      <c r="J232" s="25">
        <v>-9999</v>
      </c>
      <c r="K232" s="25">
        <v>-9999</v>
      </c>
      <c r="L232" s="25">
        <v>-9999</v>
      </c>
      <c r="M232" s="25">
        <v>-9999</v>
      </c>
      <c r="N232" s="25">
        <v>-9999</v>
      </c>
      <c r="O232" s="25">
        <v>-9999</v>
      </c>
      <c r="P232"/>
      <c r="Q232"/>
      <c r="AA232" s="22">
        <v>132</v>
      </c>
      <c r="AB232" s="1040" t="str">
        <f t="shared" si="31"/>
        <v>GG INTEREST incl. SWAPS</v>
      </c>
      <c r="AC232" s="1040">
        <f>CHOOSE(Tables!$U$2,Transfer!CA232,Transfer!CN232,Transfer!DA232,Transfer!DN232,Transfer!EA232)</f>
        <v>1.87381</v>
      </c>
      <c r="AD232" s="1040">
        <f>CHOOSE(Tables!$U$2,Transfer!CB232,Transfer!CO232,Transfer!DB232,Transfer!DO232,Transfer!EB232)</f>
        <v>2.0755300000000001</v>
      </c>
      <c r="AE232" s="1040">
        <f>CHOOSE(Tables!$U$2,Transfer!CC232,Transfer!CP232,Transfer!DC232,Transfer!DP232,Transfer!EC232)</f>
        <v>2.1849815000000001</v>
      </c>
      <c r="AF232" s="1040">
        <f>CHOOSE(Tables!$U$2,Transfer!CD232,Transfer!CQ232,Transfer!DD232,Transfer!DQ232,Transfer!ED232)</f>
        <v>2.2769207600000003</v>
      </c>
      <c r="AG232" s="1040">
        <f>CHOOSE(Tables!$U$2,Transfer!CE232,Transfer!CR232,Transfer!DE232,Transfer!DR232,Transfer!EE232)</f>
        <v>2.3725375904000003</v>
      </c>
      <c r="AH232" s="1040">
        <f>CHOOSE(Tables!$U$2,Transfer!CF232,Transfer!CS232,Transfer!DF232,Transfer!DS232,Transfer!EF232)</f>
        <v>-9999</v>
      </c>
      <c r="AI232" s="1040">
        <f>CHOOSE(Tables!$U$2,Transfer!CG232,Transfer!CT232,Transfer!DG232,Transfer!DT232,Transfer!EG232)</f>
        <v>-9999</v>
      </c>
      <c r="AJ232" s="1040">
        <f>CHOOSE(Tables!$U$2,Transfer!CH232,Transfer!CU232,Transfer!DH232,Transfer!DU232,Transfer!EH232)</f>
        <v>-9999</v>
      </c>
      <c r="AK232" s="1040">
        <f>CHOOSE(Tables!$U$2,Transfer!CI232,Transfer!CV232,Transfer!DI232,Transfer!DV232,Transfer!EI232)</f>
        <v>-9999</v>
      </c>
      <c r="AL232" s="1040">
        <f>CHOOSE(Tables!$U$2,Transfer!CJ232,Transfer!CW232,Transfer!DJ232,Transfer!DW232,Transfer!EJ232)</f>
        <v>-9999</v>
      </c>
      <c r="AM232" s="1040">
        <f>CHOOSE(Tables!$U$2,Transfer!CK232,Transfer!CX232,Transfer!DK232,Transfer!DX232,Transfer!EK232)</f>
        <v>-9999</v>
      </c>
      <c r="AN232" s="1040">
        <f>CHOOSE(Tables!$U$2,Transfer!CL232,Transfer!CY232,Transfer!DL232,Transfer!DY232,Transfer!EL232)</f>
        <v>-9999</v>
      </c>
      <c r="AO232" s="1040">
        <f>CHOOSE(Tables!$U$2,Transfer!CM232,Transfer!CZ232,Transfer!DM232,Transfer!DZ232,Transfer!EM232)</f>
        <v>-9999</v>
      </c>
      <c r="AR232" s="22">
        <v>132</v>
      </c>
      <c r="AS232" s="29" t="s">
        <v>1145</v>
      </c>
      <c r="AT232" s="24">
        <f t="shared" ca="1" si="22"/>
        <v>-1.3051300000000001</v>
      </c>
      <c r="AU232" s="24">
        <f t="shared" ca="1" si="23"/>
        <v>-1.5587600000000001</v>
      </c>
      <c r="AV232" s="24">
        <f t="shared" ca="1" si="24"/>
        <v>-1.6899815000000002</v>
      </c>
      <c r="AW232" s="24">
        <f t="shared" ca="1" si="25"/>
        <v>-1.8919207600000003</v>
      </c>
      <c r="AX232" s="24">
        <f t="shared" ca="1" si="26"/>
        <v>-1.9715375904000003</v>
      </c>
      <c r="AY232" s="25">
        <f t="shared" si="27"/>
        <v>0</v>
      </c>
      <c r="AZ232" s="25">
        <f t="shared" si="28"/>
        <v>0</v>
      </c>
      <c r="BA232" s="25">
        <f t="shared" si="29"/>
        <v>0</v>
      </c>
      <c r="BB232" s="25">
        <f t="shared" si="30"/>
        <v>0</v>
      </c>
      <c r="BC232" s="25">
        <f t="shared" si="21"/>
        <v>0</v>
      </c>
      <c r="BD232" s="25">
        <f t="shared" si="21"/>
        <v>0</v>
      </c>
      <c r="BE232" s="25">
        <f t="shared" si="21"/>
        <v>0</v>
      </c>
      <c r="BF232" s="25">
        <f t="shared" si="21"/>
        <v>0</v>
      </c>
      <c r="CA232" s="16">
        <v>0.61480999999999997</v>
      </c>
      <c r="CB232" s="16">
        <v>0.57269000000000003</v>
      </c>
      <c r="CC232" s="16">
        <v>0.59500000000000008</v>
      </c>
      <c r="CD232" s="16">
        <v>0.59500000000000008</v>
      </c>
      <c r="CE232" s="16">
        <v>0.59500000000000008</v>
      </c>
      <c r="CF232" s="16">
        <v>-9999</v>
      </c>
      <c r="CG232" s="16">
        <v>-9999</v>
      </c>
      <c r="CH232" s="16">
        <v>-9999</v>
      </c>
      <c r="CI232" s="16">
        <v>-9999</v>
      </c>
      <c r="CJ232" s="16">
        <v>-9999</v>
      </c>
      <c r="CK232" s="16">
        <v>-9999</v>
      </c>
      <c r="CL232" s="16">
        <v>-9999</v>
      </c>
      <c r="CM232" s="16">
        <v>-9999</v>
      </c>
      <c r="CN232" s="16">
        <v>0.66023227999999989</v>
      </c>
      <c r="CO232" s="16">
        <v>0.61606812</v>
      </c>
      <c r="CP232" s="16">
        <v>0.65549999999999986</v>
      </c>
      <c r="CQ232" s="16">
        <v>0.62098299999999995</v>
      </c>
      <c r="CR232" s="16">
        <v>0.62539197930000001</v>
      </c>
      <c r="CS232" s="16">
        <v>-9999</v>
      </c>
      <c r="CT232" s="16">
        <v>-9999</v>
      </c>
      <c r="CU232" s="16">
        <v>-9999</v>
      </c>
      <c r="CV232" s="16">
        <v>-9999</v>
      </c>
      <c r="CW232" s="16">
        <v>-9999</v>
      </c>
      <c r="CX232" s="16">
        <v>-9999</v>
      </c>
      <c r="CY232" s="16">
        <v>-9999</v>
      </c>
      <c r="CZ232" s="16">
        <v>-9999</v>
      </c>
      <c r="DA232" s="16">
        <v>0.61480999999999997</v>
      </c>
      <c r="DB232" s="16">
        <v>0.57216999999999996</v>
      </c>
      <c r="DC232" s="16">
        <v>0.54204095058733792</v>
      </c>
      <c r="DD232" s="16">
        <v>0.54588944133650807</v>
      </c>
      <c r="DE232" s="16">
        <v>0.54976525636999729</v>
      </c>
      <c r="DF232" s="16">
        <v>-9999</v>
      </c>
      <c r="DG232" s="16">
        <v>-9999</v>
      </c>
      <c r="DH232" s="16">
        <v>-9999</v>
      </c>
      <c r="DI232" s="16">
        <v>-9999</v>
      </c>
      <c r="DJ232" s="16">
        <v>-9999</v>
      </c>
      <c r="DK232" s="16">
        <v>-9999</v>
      </c>
      <c r="DL232" s="16">
        <v>-9999</v>
      </c>
      <c r="DM232" s="16">
        <v>-9999</v>
      </c>
      <c r="DN232" s="16">
        <v>0.6585700000000001</v>
      </c>
      <c r="DO232" s="16">
        <v>0.61480999999999997</v>
      </c>
      <c r="DP232" s="16">
        <v>0.57216999999999996</v>
      </c>
      <c r="DQ232" s="16">
        <v>0.54204095058733792</v>
      </c>
      <c r="DR232" s="16">
        <v>0.54588944133650807</v>
      </c>
      <c r="DS232" s="16">
        <v>-9999</v>
      </c>
      <c r="DT232" s="16">
        <v>-9999</v>
      </c>
      <c r="DU232" s="16">
        <v>-9999</v>
      </c>
      <c r="DV232" s="16">
        <v>-9999</v>
      </c>
      <c r="DW232" s="16">
        <v>-9999</v>
      </c>
      <c r="DX232" s="16">
        <v>-9999</v>
      </c>
      <c r="DY232" s="16">
        <v>-9999</v>
      </c>
      <c r="DZ232" s="16">
        <v>-9999</v>
      </c>
      <c r="EA232" s="2196">
        <v>1.87381</v>
      </c>
      <c r="EB232" s="2196">
        <v>2.0755300000000001</v>
      </c>
      <c r="EC232" s="2196">
        <v>2.1849815000000001</v>
      </c>
      <c r="ED232" s="2196">
        <v>2.2769207600000003</v>
      </c>
      <c r="EE232" s="2196">
        <v>2.3725375904000003</v>
      </c>
      <c r="EF232" s="2197">
        <v>-9999</v>
      </c>
      <c r="EG232" s="2197">
        <v>-9999</v>
      </c>
      <c r="EH232" s="2197">
        <v>-9999</v>
      </c>
      <c r="EI232" s="2197">
        <v>-9999</v>
      </c>
      <c r="EJ232" s="2197">
        <v>-9999</v>
      </c>
      <c r="EK232" s="2197">
        <v>-9999</v>
      </c>
      <c r="EL232" s="2197">
        <v>-9999</v>
      </c>
      <c r="EM232" s="2197">
        <v>-9999</v>
      </c>
    </row>
    <row r="233" spans="1:143">
      <c r="A233" s="22">
        <v>133</v>
      </c>
      <c r="B233" s="1" t="s">
        <v>1146</v>
      </c>
      <c r="C233" s="24">
        <f ca="1">OFFSET(Sector1!F49,0,Last_forecast_year - 3-InputY!$G$3)</f>
        <v>0.441</v>
      </c>
      <c r="D233" s="24">
        <f ca="1">OFFSET(Sector1!G49,0,Last_forecast_year - 3-InputY!$G$3)</f>
        <v>0.46700000000000003</v>
      </c>
      <c r="E233" s="24">
        <f ca="1">OFFSET(Sector1!H49,0,Last_forecast_year - 3-InputY!$G$3)</f>
        <v>0.47867499999999996</v>
      </c>
      <c r="F233" s="24">
        <f ca="1">OFFSET(Sector1!I49,0,Last_forecast_year - 3-InputY!$G$3)</f>
        <v>0.49064187499999989</v>
      </c>
      <c r="G233" s="24">
        <f ca="1">OFFSET(Sector1!J49,0,Last_forecast_year - 3-InputY!$G$3)</f>
        <v>0.50290792187499989</v>
      </c>
      <c r="H233" s="25">
        <v>-9999</v>
      </c>
      <c r="I233" s="25">
        <v>-9999</v>
      </c>
      <c r="J233" s="25">
        <v>-9999</v>
      </c>
      <c r="K233" s="25">
        <v>-9999</v>
      </c>
      <c r="L233" s="25">
        <v>-9999</v>
      </c>
      <c r="M233" s="25">
        <v>-9999</v>
      </c>
      <c r="N233" s="25">
        <v>-9999</v>
      </c>
      <c r="O233" s="25">
        <v>-9999</v>
      </c>
      <c r="P233"/>
      <c r="Q233"/>
      <c r="AA233" s="22">
        <v>133</v>
      </c>
      <c r="AB233" s="1040" t="str">
        <f t="shared" si="31"/>
        <v>GG SUBSIDIES FROM EU</v>
      </c>
      <c r="AC233" s="1040">
        <f>CHOOSE(Tables!$U$2,Transfer!CA233,Transfer!CN233,Transfer!DA233,Transfer!DN233,Transfer!EA233)</f>
        <v>1.1044315</v>
      </c>
      <c r="AD233" s="1040">
        <f>CHOOSE(Tables!$U$2,Transfer!CB233,Transfer!CO233,Transfer!DB233,Transfer!DO233,Transfer!EB233)</f>
        <v>1.2652699999999997</v>
      </c>
      <c r="AE233" s="1040">
        <f>CHOOSE(Tables!$U$2,Transfer!CC233,Transfer!CP233,Transfer!DC233,Transfer!DP233,Transfer!EC233)</f>
        <v>1.3158807999999997</v>
      </c>
      <c r="AF233" s="1040">
        <f>CHOOSE(Tables!$U$2,Transfer!CD233,Transfer!CQ233,Transfer!DD233,Transfer!DQ233,Transfer!ED233)</f>
        <v>1.3685160319999998</v>
      </c>
      <c r="AG233" s="1040">
        <f>CHOOSE(Tables!$U$2,Transfer!CE233,Transfer!CR233,Transfer!DE233,Transfer!DR233,Transfer!EE233)</f>
        <v>1.4232566732799998</v>
      </c>
      <c r="AH233" s="1040">
        <f>CHOOSE(Tables!$U$2,Transfer!CF233,Transfer!CS233,Transfer!DF233,Transfer!DS233,Transfer!EF233)</f>
        <v>-9999</v>
      </c>
      <c r="AI233" s="1040">
        <f>CHOOSE(Tables!$U$2,Transfer!CG233,Transfer!CT233,Transfer!DG233,Transfer!DT233,Transfer!EG233)</f>
        <v>-9999</v>
      </c>
      <c r="AJ233" s="1040">
        <f>CHOOSE(Tables!$U$2,Transfer!CH233,Transfer!CU233,Transfer!DH233,Transfer!DU233,Transfer!EH233)</f>
        <v>-9999</v>
      </c>
      <c r="AK233" s="1040">
        <f>CHOOSE(Tables!$U$2,Transfer!CI233,Transfer!CV233,Transfer!DI233,Transfer!DV233,Transfer!EI233)</f>
        <v>-9999</v>
      </c>
      <c r="AL233" s="1040">
        <f>CHOOSE(Tables!$U$2,Transfer!CJ233,Transfer!CW233,Transfer!DJ233,Transfer!DW233,Transfer!EJ233)</f>
        <v>-9999</v>
      </c>
      <c r="AM233" s="1040">
        <f>CHOOSE(Tables!$U$2,Transfer!CK233,Transfer!CX233,Transfer!DK233,Transfer!DX233,Transfer!EK233)</f>
        <v>-9999</v>
      </c>
      <c r="AN233" s="1040">
        <f>CHOOSE(Tables!$U$2,Transfer!CL233,Transfer!CY233,Transfer!DL233,Transfer!DY233,Transfer!EL233)</f>
        <v>-9999</v>
      </c>
      <c r="AO233" s="1040">
        <f>CHOOSE(Tables!$U$2,Transfer!CM233,Transfer!CZ233,Transfer!DM233,Transfer!DZ233,Transfer!EM233)</f>
        <v>-9999</v>
      </c>
      <c r="AR233" s="22">
        <v>133</v>
      </c>
      <c r="AS233" s="1" t="s">
        <v>1146</v>
      </c>
      <c r="AT233" s="24">
        <f t="shared" ca="1" si="22"/>
        <v>-0.66343149999999995</v>
      </c>
      <c r="AU233" s="24">
        <f t="shared" ca="1" si="23"/>
        <v>-0.79826999999999959</v>
      </c>
      <c r="AV233" s="24">
        <f t="shared" ca="1" si="24"/>
        <v>-0.83720579999999978</v>
      </c>
      <c r="AW233" s="24">
        <f t="shared" ca="1" si="25"/>
        <v>-0.87787415699999993</v>
      </c>
      <c r="AX233" s="24">
        <f t="shared" ca="1" si="26"/>
        <v>-0.92034875140499994</v>
      </c>
      <c r="AY233" s="25">
        <f t="shared" si="27"/>
        <v>0</v>
      </c>
      <c r="AZ233" s="25">
        <f t="shared" si="28"/>
        <v>0</v>
      </c>
      <c r="BA233" s="25">
        <f t="shared" si="29"/>
        <v>0</v>
      </c>
      <c r="BB233" s="25">
        <f t="shared" si="30"/>
        <v>0</v>
      </c>
      <c r="BC233" s="25">
        <f t="shared" si="21"/>
        <v>0</v>
      </c>
      <c r="BD233" s="25">
        <f t="shared" si="21"/>
        <v>0</v>
      </c>
      <c r="BE233" s="25">
        <f t="shared" si="21"/>
        <v>0</v>
      </c>
      <c r="BF233" s="25">
        <f t="shared" si="21"/>
        <v>0</v>
      </c>
      <c r="CA233" s="16">
        <v>0.38900000000000001</v>
      </c>
      <c r="CB233" s="16">
        <v>0.39742045999999992</v>
      </c>
      <c r="CC233" s="16">
        <v>0.41331727839999993</v>
      </c>
      <c r="CD233" s="16">
        <v>0.42984996953599997</v>
      </c>
      <c r="CE233" s="16">
        <v>0.44704396831743998</v>
      </c>
      <c r="CF233" s="16">
        <v>-9999</v>
      </c>
      <c r="CG233" s="16">
        <v>-9999</v>
      </c>
      <c r="CH233" s="16">
        <v>-9999</v>
      </c>
      <c r="CI233" s="16">
        <v>-9999</v>
      </c>
      <c r="CJ233" s="16">
        <v>-9999</v>
      </c>
      <c r="CK233" s="16">
        <v>-9999</v>
      </c>
      <c r="CL233" s="16">
        <v>-9999</v>
      </c>
      <c r="CM233" s="16">
        <v>-9999</v>
      </c>
      <c r="CN233" s="16">
        <v>0.36636932344763673</v>
      </c>
      <c r="CO233" s="16">
        <v>0.38895968489341987</v>
      </c>
      <c r="CP233" s="16">
        <v>0.40451807228915665</v>
      </c>
      <c r="CQ233" s="16">
        <v>0.42069879518072295</v>
      </c>
      <c r="CR233" s="16">
        <v>0.43752674698795191</v>
      </c>
      <c r="CS233" s="16">
        <v>-9999</v>
      </c>
      <c r="CT233" s="16">
        <v>-9999</v>
      </c>
      <c r="CU233" s="16">
        <v>-9999</v>
      </c>
      <c r="CV233" s="16">
        <v>-9999</v>
      </c>
      <c r="CW233" s="16">
        <v>-9999</v>
      </c>
      <c r="CX233" s="16">
        <v>-9999</v>
      </c>
      <c r="CY233" s="16">
        <v>-9999</v>
      </c>
      <c r="CZ233" s="16">
        <v>-9999</v>
      </c>
      <c r="DA233" s="16">
        <v>0.38900000000000001</v>
      </c>
      <c r="DB233" s="16">
        <v>0.37077888671037379</v>
      </c>
      <c r="DC233" s="16">
        <v>0.38561004217878875</v>
      </c>
      <c r="DD233" s="16">
        <v>0.40103444386594034</v>
      </c>
      <c r="DE233" s="16">
        <v>0.41707582162057799</v>
      </c>
      <c r="DF233" s="16">
        <v>-9999</v>
      </c>
      <c r="DG233" s="16">
        <v>-9999</v>
      </c>
      <c r="DH233" s="16">
        <v>-9999</v>
      </c>
      <c r="DI233" s="16">
        <v>-9999</v>
      </c>
      <c r="DJ233" s="16">
        <v>-9999</v>
      </c>
      <c r="DK233" s="16">
        <v>-9999</v>
      </c>
      <c r="DL233" s="16">
        <v>-9999</v>
      </c>
      <c r="DM233" s="16">
        <v>-9999</v>
      </c>
      <c r="DN233" s="16">
        <v>0.36636932344763673</v>
      </c>
      <c r="DO233" s="16">
        <v>0.38895968489341987</v>
      </c>
      <c r="DP233" s="16">
        <v>0.37074046000000005</v>
      </c>
      <c r="DQ233" s="16">
        <v>0.38557007840000007</v>
      </c>
      <c r="DR233" s="16">
        <v>0.4009928815360001</v>
      </c>
      <c r="DS233" s="16">
        <v>-9999</v>
      </c>
      <c r="DT233" s="16">
        <v>-9999</v>
      </c>
      <c r="DU233" s="16">
        <v>-9999</v>
      </c>
      <c r="DV233" s="16">
        <v>-9999</v>
      </c>
      <c r="DW233" s="16">
        <v>-9999</v>
      </c>
      <c r="DX233" s="16">
        <v>-9999</v>
      </c>
      <c r="DY233" s="16">
        <v>-9999</v>
      </c>
      <c r="DZ233" s="16">
        <v>-9999</v>
      </c>
      <c r="EA233" s="2196">
        <v>1.1044315</v>
      </c>
      <c r="EB233" s="2196">
        <v>1.2652699999999997</v>
      </c>
      <c r="EC233" s="2196">
        <v>1.3158807999999997</v>
      </c>
      <c r="ED233" s="2196">
        <v>1.3685160319999998</v>
      </c>
      <c r="EE233" s="2196">
        <v>1.4232566732799998</v>
      </c>
      <c r="EF233" s="2197">
        <v>-9999</v>
      </c>
      <c r="EG233" s="2197">
        <v>-9999</v>
      </c>
      <c r="EH233" s="2197">
        <v>-9999</v>
      </c>
      <c r="EI233" s="2197">
        <v>-9999</v>
      </c>
      <c r="EJ233" s="2197">
        <v>-9999</v>
      </c>
      <c r="EK233" s="2197">
        <v>-9999</v>
      </c>
      <c r="EL233" s="2197">
        <v>-9999</v>
      </c>
      <c r="EM233" s="2197">
        <v>-9999</v>
      </c>
    </row>
    <row r="234" spans="1:143">
      <c r="A234" s="22">
        <v>134</v>
      </c>
      <c r="B234" s="30" t="s">
        <v>1705</v>
      </c>
      <c r="C234" s="25">
        <v>-9999</v>
      </c>
      <c r="D234" s="25">
        <v>-9999</v>
      </c>
      <c r="E234" s="25">
        <v>-9999</v>
      </c>
      <c r="F234" s="25">
        <v>-9999</v>
      </c>
      <c r="G234" s="25">
        <v>-9999</v>
      </c>
      <c r="H234" s="25">
        <v>-9999</v>
      </c>
      <c r="I234" s="25">
        <v>-9999</v>
      </c>
      <c r="J234" s="25">
        <v>-9999</v>
      </c>
      <c r="K234" s="25">
        <v>-9999</v>
      </c>
      <c r="L234" s="25">
        <v>-9999</v>
      </c>
      <c r="M234" s="25">
        <v>-9999</v>
      </c>
      <c r="N234" s="25">
        <v>-9999</v>
      </c>
      <c r="O234" s="25">
        <v>-9999</v>
      </c>
      <c r="P234" s="26"/>
      <c r="Q234"/>
      <c r="AA234" s="22">
        <v>134</v>
      </c>
      <c r="AB234" s="1040" t="str">
        <f>+B238</f>
        <v>GG ONE-OFF MEASURES (REVENUE SIDE)</v>
      </c>
      <c r="AC234" s="1040">
        <f>CHOOSE(Tables!$U$2,Transfer!CA234,Transfer!CN234,Transfer!DA234,Transfer!DN234,Transfer!EA234)</f>
        <v>-9999</v>
      </c>
      <c r="AD234" s="1040">
        <f>CHOOSE(Tables!$U$2,Transfer!CB234,Transfer!CO234,Transfer!DB234,Transfer!DO234,Transfer!EB234)</f>
        <v>-9999</v>
      </c>
      <c r="AE234" s="1040">
        <f>CHOOSE(Tables!$U$2,Transfer!CC234,Transfer!CP234,Transfer!DC234,Transfer!DP234,Transfer!EC234)</f>
        <v>-9999</v>
      </c>
      <c r="AF234" s="1040">
        <f>CHOOSE(Tables!$U$2,Transfer!CD234,Transfer!CQ234,Transfer!DD234,Transfer!DQ234,Transfer!ED234)</f>
        <v>-9999</v>
      </c>
      <c r="AG234" s="1040">
        <f>CHOOSE(Tables!$U$2,Transfer!CE234,Transfer!CR234,Transfer!DE234,Transfer!DR234,Transfer!EE234)</f>
        <v>-9999</v>
      </c>
      <c r="AH234" s="1040">
        <f>CHOOSE(Tables!$U$2,Transfer!CF234,Transfer!CS234,Transfer!DF234,Transfer!DS234,Transfer!EF234)</f>
        <v>-9999</v>
      </c>
      <c r="AI234" s="1040">
        <f>CHOOSE(Tables!$U$2,Transfer!CG234,Transfer!CT234,Transfer!DG234,Transfer!DT234,Transfer!EG234)</f>
        <v>-9999</v>
      </c>
      <c r="AJ234" s="1040">
        <f>CHOOSE(Tables!$U$2,Transfer!CH234,Transfer!CU234,Transfer!DH234,Transfer!DU234,Transfer!EH234)</f>
        <v>-9999</v>
      </c>
      <c r="AK234" s="1040">
        <f>CHOOSE(Tables!$U$2,Transfer!CI234,Transfer!CV234,Transfer!DI234,Transfer!DV234,Transfer!EI234)</f>
        <v>-9999</v>
      </c>
      <c r="AL234" s="1040">
        <f>CHOOSE(Tables!$U$2,Transfer!CJ234,Transfer!CW234,Transfer!DJ234,Transfer!DW234,Transfer!EJ234)</f>
        <v>-9999</v>
      </c>
      <c r="AM234" s="1040">
        <f>CHOOSE(Tables!$U$2,Transfer!CK234,Transfer!CX234,Transfer!DK234,Transfer!DX234,Transfer!EK234)</f>
        <v>-9999</v>
      </c>
      <c r="AN234" s="1040">
        <f>CHOOSE(Tables!$U$2,Transfer!CL234,Transfer!CY234,Transfer!DL234,Transfer!DY234,Transfer!EL234)</f>
        <v>-9999</v>
      </c>
      <c r="AO234" s="1040">
        <f>CHOOSE(Tables!$U$2,Transfer!CM234,Transfer!CZ234,Transfer!DM234,Transfer!DZ234,Transfer!EM234)</f>
        <v>-9999</v>
      </c>
      <c r="AR234" s="22">
        <v>134</v>
      </c>
      <c r="AS234" s="1" t="s">
        <v>1147</v>
      </c>
      <c r="AT234" s="1859">
        <f t="shared" ref="AT234:AX235" si="32">C238-AC234</f>
        <v>0</v>
      </c>
      <c r="AU234" s="1859">
        <f t="shared" si="32"/>
        <v>0</v>
      </c>
      <c r="AV234" s="1859">
        <f t="shared" si="32"/>
        <v>0</v>
      </c>
      <c r="AW234" s="1859">
        <f t="shared" si="32"/>
        <v>0</v>
      </c>
      <c r="AX234" s="1859">
        <f t="shared" si="32"/>
        <v>0</v>
      </c>
      <c r="AY234" s="25">
        <f t="shared" si="27"/>
        <v>0</v>
      </c>
      <c r="AZ234" s="25">
        <f t="shared" si="28"/>
        <v>0</v>
      </c>
      <c r="BA234" s="25">
        <f t="shared" si="29"/>
        <v>0</v>
      </c>
      <c r="BB234" s="25">
        <f t="shared" si="30"/>
        <v>0</v>
      </c>
      <c r="BC234" s="25">
        <f t="shared" si="21"/>
        <v>0</v>
      </c>
      <c r="BD234" s="25">
        <f t="shared" si="21"/>
        <v>0</v>
      </c>
      <c r="BE234" s="25">
        <f t="shared" si="21"/>
        <v>0</v>
      </c>
      <c r="BF234" s="25">
        <f t="shared" si="21"/>
        <v>0</v>
      </c>
      <c r="CA234" s="16">
        <v>-9999</v>
      </c>
      <c r="CB234" s="16">
        <v>-9999</v>
      </c>
      <c r="CC234" s="16">
        <v>-9999</v>
      </c>
      <c r="CD234" s="16">
        <v>-9999</v>
      </c>
      <c r="CE234" s="16">
        <v>-9999</v>
      </c>
      <c r="CF234" s="16">
        <v>-9999</v>
      </c>
      <c r="CG234" s="16">
        <v>-9999</v>
      </c>
      <c r="CH234" s="16">
        <v>-9999</v>
      </c>
      <c r="CI234" s="16">
        <v>-9999</v>
      </c>
      <c r="CJ234" s="16">
        <v>-9999</v>
      </c>
      <c r="CK234" s="16">
        <v>-9999</v>
      </c>
      <c r="CL234" s="16">
        <v>-9999</v>
      </c>
      <c r="CM234" s="16">
        <v>-9999</v>
      </c>
      <c r="CN234" s="16">
        <v>-9999</v>
      </c>
      <c r="CO234" s="16">
        <v>-9999</v>
      </c>
      <c r="CP234" s="16">
        <v>-9999</v>
      </c>
      <c r="CQ234" s="16">
        <v>-9999</v>
      </c>
      <c r="CR234" s="16">
        <v>-9999</v>
      </c>
      <c r="CS234" s="16">
        <v>-9999</v>
      </c>
      <c r="CT234" s="16">
        <v>-9999</v>
      </c>
      <c r="CU234" s="16">
        <v>-9999</v>
      </c>
      <c r="CV234" s="16">
        <v>-9999</v>
      </c>
      <c r="CW234" s="16">
        <v>-9999</v>
      </c>
      <c r="CX234" s="16">
        <v>-9999</v>
      </c>
      <c r="CY234" s="16">
        <v>-9999</v>
      </c>
      <c r="CZ234" s="16">
        <v>-9999</v>
      </c>
      <c r="DA234" s="16">
        <v>-9999</v>
      </c>
      <c r="DB234" s="16">
        <v>-9999</v>
      </c>
      <c r="DC234" s="16">
        <v>-9999</v>
      </c>
      <c r="DD234" s="16">
        <v>-9999</v>
      </c>
      <c r="DE234" s="16">
        <v>-9999</v>
      </c>
      <c r="DF234" s="16">
        <v>-9999</v>
      </c>
      <c r="DG234" s="16">
        <v>-9999</v>
      </c>
      <c r="DH234" s="16">
        <v>-9999</v>
      </c>
      <c r="DI234" s="16">
        <v>-9999</v>
      </c>
      <c r="DJ234" s="16">
        <v>-9999</v>
      </c>
      <c r="DK234" s="16">
        <v>-9999</v>
      </c>
      <c r="DL234" s="16">
        <v>-9999</v>
      </c>
      <c r="DM234" s="16">
        <v>-9999</v>
      </c>
      <c r="DN234" s="16">
        <v>-9999</v>
      </c>
      <c r="DO234" s="16">
        <v>-9999</v>
      </c>
      <c r="DP234" s="16">
        <v>-9999</v>
      </c>
      <c r="DQ234" s="16">
        <v>-9999</v>
      </c>
      <c r="DR234" s="16">
        <v>-9999</v>
      </c>
      <c r="DS234" s="16">
        <v>-9999</v>
      </c>
      <c r="DT234" s="16">
        <v>-9999</v>
      </c>
      <c r="DU234" s="16">
        <v>-9999</v>
      </c>
      <c r="DV234" s="16">
        <v>-9999</v>
      </c>
      <c r="DW234" s="16">
        <v>-9999</v>
      </c>
      <c r="DX234" s="16">
        <v>-9999</v>
      </c>
      <c r="DY234" s="16">
        <v>-9999</v>
      </c>
      <c r="DZ234" s="16">
        <v>-9999</v>
      </c>
      <c r="EA234" s="2196">
        <v>-9999</v>
      </c>
      <c r="EB234" s="2196">
        <v>-9999</v>
      </c>
      <c r="EC234" s="2196">
        <v>-9999</v>
      </c>
      <c r="ED234" s="2196">
        <v>-9999</v>
      </c>
      <c r="EE234" s="2196">
        <v>-9999</v>
      </c>
      <c r="EF234" s="2197">
        <v>-9999</v>
      </c>
      <c r="EG234" s="2197">
        <v>-9999</v>
      </c>
      <c r="EH234" s="2197">
        <v>-9999</v>
      </c>
      <c r="EI234" s="2197">
        <v>-9999</v>
      </c>
      <c r="EJ234" s="2197">
        <v>-9999</v>
      </c>
      <c r="EK234" s="2197">
        <v>-9999</v>
      </c>
      <c r="EL234" s="2197">
        <v>-9999</v>
      </c>
      <c r="EM234" s="2197">
        <v>-9999</v>
      </c>
    </row>
    <row r="235" spans="1:143">
      <c r="A235" s="22">
        <v>135</v>
      </c>
      <c r="B235" s="30" t="s">
        <v>1705</v>
      </c>
      <c r="C235" s="25">
        <v>-9999</v>
      </c>
      <c r="D235" s="25">
        <v>-9999</v>
      </c>
      <c r="E235" s="25">
        <v>-9999</v>
      </c>
      <c r="F235" s="25">
        <v>-9999</v>
      </c>
      <c r="G235" s="25">
        <v>-9999</v>
      </c>
      <c r="H235" s="25">
        <v>-9999</v>
      </c>
      <c r="I235" s="25">
        <v>-9999</v>
      </c>
      <c r="J235" s="25">
        <v>-9999</v>
      </c>
      <c r="K235" s="25">
        <v>-9999</v>
      </c>
      <c r="L235" s="25">
        <v>-9999</v>
      </c>
      <c r="M235" s="25">
        <v>-9999</v>
      </c>
      <c r="N235" s="25">
        <v>-9999</v>
      </c>
      <c r="O235" s="25">
        <v>-9999</v>
      </c>
      <c r="P235" s="26"/>
      <c r="Q235"/>
      <c r="AA235" s="22">
        <v>135</v>
      </c>
      <c r="AB235" s="1040" t="str">
        <f>+B239</f>
        <v>GG ONE-OFF MEASURES (EXPENDITURE SIDE)</v>
      </c>
      <c r="AC235" s="1040">
        <f>CHOOSE(Tables!$U$2,Transfer!CA235,Transfer!CN235,Transfer!DA235,Transfer!DN235,Transfer!EA235)</f>
        <v>-9999</v>
      </c>
      <c r="AD235" s="1040">
        <f>CHOOSE(Tables!$U$2,Transfer!CB235,Transfer!CO235,Transfer!DB235,Transfer!DO235,Transfer!EB235)</f>
        <v>-9999</v>
      </c>
      <c r="AE235" s="1040">
        <f>CHOOSE(Tables!$U$2,Transfer!CC235,Transfer!CP235,Transfer!DC235,Transfer!DP235,Transfer!EC235)</f>
        <v>-9999</v>
      </c>
      <c r="AF235" s="1040">
        <f>CHOOSE(Tables!$U$2,Transfer!CD235,Transfer!CQ235,Transfer!DD235,Transfer!DQ235,Transfer!ED235)</f>
        <v>-9999</v>
      </c>
      <c r="AG235" s="1040">
        <f>CHOOSE(Tables!$U$2,Transfer!CE235,Transfer!CR235,Transfer!DE235,Transfer!DR235,Transfer!EE235)</f>
        <v>-9999</v>
      </c>
      <c r="AH235" s="1040">
        <f>CHOOSE(Tables!$U$2,Transfer!CF235,Transfer!CS235,Transfer!DF235,Transfer!DS235,Transfer!EF235)</f>
        <v>-9999</v>
      </c>
      <c r="AI235" s="1040">
        <f>CHOOSE(Tables!$U$2,Transfer!CG235,Transfer!CT235,Transfer!DG235,Transfer!DT235,Transfer!EG235)</f>
        <v>-9999</v>
      </c>
      <c r="AJ235" s="1040">
        <f>CHOOSE(Tables!$U$2,Transfer!CH235,Transfer!CU235,Transfer!DH235,Transfer!DU235,Transfer!EH235)</f>
        <v>-9999</v>
      </c>
      <c r="AK235" s="1040">
        <f>CHOOSE(Tables!$U$2,Transfer!CI235,Transfer!CV235,Transfer!DI235,Transfer!DV235,Transfer!EI235)</f>
        <v>-9999</v>
      </c>
      <c r="AL235" s="1040">
        <f>CHOOSE(Tables!$U$2,Transfer!CJ235,Transfer!CW235,Transfer!DJ235,Transfer!DW235,Transfer!EJ235)</f>
        <v>-9999</v>
      </c>
      <c r="AM235" s="1040">
        <f>CHOOSE(Tables!$U$2,Transfer!CK235,Transfer!CX235,Transfer!DK235,Transfer!DX235,Transfer!EK235)</f>
        <v>-9999</v>
      </c>
      <c r="AN235" s="1040">
        <f>CHOOSE(Tables!$U$2,Transfer!CL235,Transfer!CY235,Transfer!DL235,Transfer!DY235,Transfer!EL235)</f>
        <v>-9999</v>
      </c>
      <c r="AO235" s="1040">
        <f>CHOOSE(Tables!$U$2,Transfer!CM235,Transfer!CZ235,Transfer!DM235,Transfer!DZ235,Transfer!EM235)</f>
        <v>-9999</v>
      </c>
      <c r="AR235" s="22">
        <v>135</v>
      </c>
      <c r="AS235" s="1" t="s">
        <v>834</v>
      </c>
      <c r="AT235" s="1859">
        <f t="shared" si="32"/>
        <v>0</v>
      </c>
      <c r="AU235" s="1859">
        <f t="shared" si="32"/>
        <v>0</v>
      </c>
      <c r="AV235" s="1859">
        <f t="shared" si="32"/>
        <v>0</v>
      </c>
      <c r="AW235" s="1859">
        <f t="shared" si="32"/>
        <v>0</v>
      </c>
      <c r="AX235" s="1859">
        <f t="shared" si="32"/>
        <v>0</v>
      </c>
      <c r="AY235" s="25">
        <f t="shared" si="27"/>
        <v>0</v>
      </c>
      <c r="AZ235" s="25">
        <f t="shared" si="28"/>
        <v>0</v>
      </c>
      <c r="BA235" s="25">
        <f t="shared" si="29"/>
        <v>0</v>
      </c>
      <c r="BB235" s="25">
        <f t="shared" si="30"/>
        <v>0</v>
      </c>
      <c r="BC235" s="25">
        <f>L235-AL235</f>
        <v>0</v>
      </c>
      <c r="BD235" s="25">
        <f t="shared" si="21"/>
        <v>0</v>
      </c>
      <c r="BE235" s="25">
        <f t="shared" si="21"/>
        <v>0</v>
      </c>
      <c r="BF235" s="25">
        <f t="shared" si="21"/>
        <v>0</v>
      </c>
      <c r="CA235" s="16">
        <v>-9999</v>
      </c>
      <c r="CB235" s="16">
        <v>-9999</v>
      </c>
      <c r="CC235" s="16">
        <v>-9999</v>
      </c>
      <c r="CD235" s="16">
        <v>-9999</v>
      </c>
      <c r="CE235" s="16">
        <v>-9999</v>
      </c>
      <c r="CF235" s="16">
        <v>-9999</v>
      </c>
      <c r="CG235" s="16">
        <v>-9999</v>
      </c>
      <c r="CH235" s="16">
        <v>-9999</v>
      </c>
      <c r="CI235" s="16">
        <v>-9999</v>
      </c>
      <c r="CJ235" s="16">
        <v>-9999</v>
      </c>
      <c r="CK235" s="16">
        <v>-9999</v>
      </c>
      <c r="CL235" s="16">
        <v>-9999</v>
      </c>
      <c r="CM235" s="16">
        <v>-9999</v>
      </c>
      <c r="CN235" s="16">
        <v>-9999</v>
      </c>
      <c r="CO235" s="16">
        <v>-9999</v>
      </c>
      <c r="CP235" s="16">
        <v>-9999</v>
      </c>
      <c r="CQ235" s="16">
        <v>-9999</v>
      </c>
      <c r="CR235" s="16">
        <v>-9999</v>
      </c>
      <c r="CS235" s="16">
        <v>-9999</v>
      </c>
      <c r="CT235" s="16">
        <v>-9999</v>
      </c>
      <c r="CU235" s="16">
        <v>-9999</v>
      </c>
      <c r="CV235" s="16">
        <v>-9999</v>
      </c>
      <c r="CW235" s="16">
        <v>-9999</v>
      </c>
      <c r="CX235" s="16">
        <v>-9999</v>
      </c>
      <c r="CY235" s="16">
        <v>-9999</v>
      </c>
      <c r="CZ235" s="16">
        <v>-9999</v>
      </c>
      <c r="DA235" s="16">
        <v>-9999</v>
      </c>
      <c r="DB235" s="16">
        <v>-9999</v>
      </c>
      <c r="DC235" s="16">
        <v>-9999</v>
      </c>
      <c r="DD235" s="16">
        <v>-9999</v>
      </c>
      <c r="DE235" s="16">
        <v>-9999</v>
      </c>
      <c r="DF235" s="16">
        <v>-9999</v>
      </c>
      <c r="DG235" s="16">
        <v>-9999</v>
      </c>
      <c r="DH235" s="16">
        <v>-9999</v>
      </c>
      <c r="DI235" s="16">
        <v>-9999</v>
      </c>
      <c r="DJ235" s="16">
        <v>-9999</v>
      </c>
      <c r="DK235" s="16">
        <v>-9999</v>
      </c>
      <c r="DL235" s="16">
        <v>-9999</v>
      </c>
      <c r="DM235" s="16">
        <v>-9999</v>
      </c>
      <c r="DN235" s="16">
        <v>-9999</v>
      </c>
      <c r="DO235" s="16">
        <v>-9999</v>
      </c>
      <c r="DP235" s="16">
        <v>-9999</v>
      </c>
      <c r="DQ235" s="16">
        <v>-9999</v>
      </c>
      <c r="DR235" s="16">
        <v>-9999</v>
      </c>
      <c r="DS235" s="16">
        <v>-9999</v>
      </c>
      <c r="DT235" s="16">
        <v>-9999</v>
      </c>
      <c r="DU235" s="16">
        <v>-9999</v>
      </c>
      <c r="DV235" s="16">
        <v>-9999</v>
      </c>
      <c r="DW235" s="16">
        <v>-9999</v>
      </c>
      <c r="DX235" s="16">
        <v>-9999</v>
      </c>
      <c r="DY235" s="16">
        <v>-9999</v>
      </c>
      <c r="DZ235" s="16">
        <v>-9999</v>
      </c>
      <c r="EA235" s="2196">
        <v>-9999</v>
      </c>
      <c r="EB235" s="2196">
        <v>-9999</v>
      </c>
      <c r="EC235" s="2196">
        <v>-9999</v>
      </c>
      <c r="ED235" s="2196">
        <v>-9999</v>
      </c>
      <c r="EE235" s="2196">
        <v>-9999</v>
      </c>
      <c r="EF235" s="2197">
        <v>-9999</v>
      </c>
      <c r="EG235" s="2197">
        <v>-9999</v>
      </c>
      <c r="EH235" s="2197">
        <v>-9999</v>
      </c>
      <c r="EI235" s="2197">
        <v>-9999</v>
      </c>
      <c r="EJ235" s="2197">
        <v>-9999</v>
      </c>
      <c r="EK235" s="2197">
        <v>-9999</v>
      </c>
      <c r="EL235" s="2197">
        <v>-9999</v>
      </c>
      <c r="EM235" s="2197">
        <v>-9999</v>
      </c>
    </row>
    <row r="236" spans="1:143">
      <c r="A236" s="22">
        <v>136</v>
      </c>
      <c r="B236" s="33" t="s">
        <v>2029</v>
      </c>
      <c r="C236" s="1344">
        <f ca="1">OFFSET('VVP2'!F342,0,Last_forecast_year - 3-InputY!$G$3)</f>
        <v>37.426600000000001</v>
      </c>
      <c r="D236" s="1344">
        <f ca="1">OFFSET('VVP2'!G342,0,Last_forecast_year - 3-InputY!$G$3)</f>
        <v>38.668300000000002</v>
      </c>
      <c r="E236" s="3389">
        <f ca="1">OFFSET('VVP2'!H342,0,Last_forecast_year - 3-InputY!$G$3)</f>
        <v>41.779573283186814</v>
      </c>
      <c r="F236" s="1344">
        <f ca="1">OFFSET('VVP2'!I342,0,Last_forecast_year - 3-InputY!$G$3)</f>
        <v>44.211535542887589</v>
      </c>
      <c r="G236" s="1344">
        <f ca="1">OFFSET('VVP2'!J342,0,Last_forecast_year - 3-InputY!$G$3)</f>
        <v>46.676225752244903</v>
      </c>
      <c r="H236" s="25">
        <v>-9999</v>
      </c>
      <c r="I236" s="25">
        <v>-9999</v>
      </c>
      <c r="J236" s="25">
        <v>-9999</v>
      </c>
      <c r="K236" s="25">
        <v>-9999</v>
      </c>
      <c r="L236" s="25">
        <v>-9999</v>
      </c>
      <c r="M236" s="25">
        <v>-9999</v>
      </c>
      <c r="N236" s="25">
        <v>-9999</v>
      </c>
      <c r="O236" s="25">
        <v>-9999</v>
      </c>
      <c r="P236" s="26"/>
      <c r="Q236"/>
      <c r="AA236" s="22">
        <v>136</v>
      </c>
      <c r="AB236" s="1040" t="str">
        <f t="shared" si="31"/>
        <v>GG NOTIFIED GDP FOR PUBLIC FINANCE</v>
      </c>
      <c r="AC236" s="1040">
        <f>CHOOSE(Tables!$U$2,Transfer!CA236,Transfer!CN236,Transfer!DA236,Transfer!DN236,Transfer!EA236)</f>
        <v>106.0063</v>
      </c>
      <c r="AD236" s="1040">
        <f>CHOOSE(Tables!$U$2,Transfer!CB236,Transfer!CO236,Transfer!DB236,Transfer!DO236,Transfer!EB236)</f>
        <v>113.1888</v>
      </c>
      <c r="AE236" s="1040">
        <f>CHOOSE(Tables!$U$2,Transfer!CC236,Transfer!CP236,Transfer!DC236,Transfer!DP236,Transfer!EC236)</f>
        <v>119.46359911455505</v>
      </c>
      <c r="AF236" s="1040">
        <f>CHOOSE(Tables!$U$2,Transfer!CD236,Transfer!CQ236,Transfer!DD236,Transfer!DQ236,Transfer!ED236)</f>
        <v>126.81976170541355</v>
      </c>
      <c r="AG236" s="1040">
        <f>CHOOSE(Tables!$U$2,Transfer!CE236,Transfer!CR236,Transfer!DE236,Transfer!DR236,Transfer!EE236)</f>
        <v>135.44660309470299</v>
      </c>
      <c r="AH236" s="1040">
        <f>CHOOSE(Tables!$U$2,Transfer!CF236,Transfer!CS236,Transfer!DF236,Transfer!DS236,Transfer!EF236)</f>
        <v>-9999</v>
      </c>
      <c r="AI236" s="1040">
        <f>CHOOSE(Tables!$U$2,Transfer!CG236,Transfer!CT236,Transfer!DG236,Transfer!DT236,Transfer!EG236)</f>
        <v>-9999</v>
      </c>
      <c r="AJ236" s="1040">
        <f>CHOOSE(Tables!$U$2,Transfer!CH236,Transfer!CU236,Transfer!DH236,Transfer!DU236,Transfer!EH236)</f>
        <v>-9999</v>
      </c>
      <c r="AK236" s="1040">
        <f>CHOOSE(Tables!$U$2,Transfer!CI236,Transfer!CV236,Transfer!DI236,Transfer!DV236,Transfer!EI236)</f>
        <v>-9999</v>
      </c>
      <c r="AL236" s="1040">
        <f>CHOOSE(Tables!$U$2,Transfer!CJ236,Transfer!CW236,Transfer!DJ236,Transfer!DW236,Transfer!EJ236)</f>
        <v>-9999</v>
      </c>
      <c r="AM236" s="1040">
        <f>CHOOSE(Tables!$U$2,Transfer!CK236,Transfer!CX236,Transfer!DK236,Transfer!DX236,Transfer!EK236)</f>
        <v>-9999</v>
      </c>
      <c r="AN236" s="1040">
        <f>CHOOSE(Tables!$U$2,Transfer!CL236,Transfer!CY236,Transfer!DL236,Transfer!DY236,Transfer!EL236)</f>
        <v>-9999</v>
      </c>
      <c r="AO236" s="1040">
        <f>CHOOSE(Tables!$U$2,Transfer!CM236,Transfer!CZ236,Transfer!DM236,Transfer!DZ236,Transfer!EM236)</f>
        <v>-9999</v>
      </c>
      <c r="AR236" s="22">
        <v>136</v>
      </c>
      <c r="AS236" s="33" t="s">
        <v>2029</v>
      </c>
      <c r="AT236" s="1344">
        <f t="shared" ca="1" si="22"/>
        <v>-68.579700000000003</v>
      </c>
      <c r="AU236" s="1344">
        <f t="shared" ca="1" si="23"/>
        <v>-74.520499999999998</v>
      </c>
      <c r="AV236" s="1344">
        <f t="shared" ca="1" si="24"/>
        <v>-77.684025831368245</v>
      </c>
      <c r="AW236" s="1344">
        <f t="shared" ca="1" si="25"/>
        <v>-82.608226162525966</v>
      </c>
      <c r="AX236" s="1344">
        <f t="shared" ca="1" si="26"/>
        <v>-88.77037734245809</v>
      </c>
      <c r="AY236" s="25">
        <f t="shared" si="27"/>
        <v>0</v>
      </c>
      <c r="AZ236" s="25">
        <f t="shared" si="28"/>
        <v>0</v>
      </c>
      <c r="BA236" s="25">
        <f t="shared" si="29"/>
        <v>0</v>
      </c>
      <c r="BB236" s="25">
        <f t="shared" si="30"/>
        <v>0</v>
      </c>
      <c r="BC236" s="25">
        <f t="shared" si="21"/>
        <v>0</v>
      </c>
      <c r="BD236" s="25">
        <f t="shared" si="21"/>
        <v>0</v>
      </c>
      <c r="BE236" s="25">
        <f t="shared" si="21"/>
        <v>0</v>
      </c>
      <c r="BF236" s="25">
        <f t="shared" si="21"/>
        <v>0</v>
      </c>
      <c r="CA236" s="16">
        <v>34.955599999999997</v>
      </c>
      <c r="CB236" s="16">
        <v>36.437448938926373</v>
      </c>
      <c r="CC236" s="16">
        <v>36.955558035948286</v>
      </c>
      <c r="CD236" s="16">
        <v>38.361707682033831</v>
      </c>
      <c r="CE236" s="16">
        <v>40.816026567531495</v>
      </c>
      <c r="CF236" s="16">
        <v>-9999</v>
      </c>
      <c r="CG236" s="16">
        <v>-9999</v>
      </c>
      <c r="CH236" s="16">
        <v>-9999</v>
      </c>
      <c r="CI236" s="16">
        <v>-9999</v>
      </c>
      <c r="CJ236" s="16">
        <v>-9999</v>
      </c>
      <c r="CK236" s="16">
        <v>-9999</v>
      </c>
      <c r="CL236" s="16">
        <v>-9999</v>
      </c>
      <c r="CM236" s="16">
        <v>-9999</v>
      </c>
      <c r="CN236" s="16">
        <v>33.314</v>
      </c>
      <c r="CO236" s="16">
        <v>34.955599999999997</v>
      </c>
      <c r="CP236" s="16">
        <v>36.669253597439621</v>
      </c>
      <c r="CQ236" s="16">
        <v>38.545990225302575</v>
      </c>
      <c r="CR236" s="16">
        <v>40.569570052671622</v>
      </c>
      <c r="CS236" s="16">
        <v>-9999</v>
      </c>
      <c r="CT236" s="16">
        <v>-9999</v>
      </c>
      <c r="CU236" s="16">
        <v>-9999</v>
      </c>
      <c r="CV236" s="16">
        <v>-9999</v>
      </c>
      <c r="CW236" s="16">
        <v>-9999</v>
      </c>
      <c r="CX236" s="16">
        <v>-9999</v>
      </c>
      <c r="CY236" s="16">
        <v>-9999</v>
      </c>
      <c r="CZ236" s="16">
        <v>-9999</v>
      </c>
      <c r="DA236" s="16">
        <v>34.955599999999997</v>
      </c>
      <c r="DB236" s="16">
        <v>36.308920000000001</v>
      </c>
      <c r="DC236" s="16">
        <v>37.321132205159998</v>
      </c>
      <c r="DD236" s="16">
        <v>39.146154594633884</v>
      </c>
      <c r="DE236" s="16">
        <v>41.205013286783242</v>
      </c>
      <c r="DF236" s="16">
        <v>-9999</v>
      </c>
      <c r="DG236" s="16">
        <v>-9999</v>
      </c>
      <c r="DH236" s="16">
        <v>-9999</v>
      </c>
      <c r="DI236" s="16">
        <v>-9999</v>
      </c>
      <c r="DJ236" s="16">
        <v>-9999</v>
      </c>
      <c r="DK236" s="16">
        <v>-9999</v>
      </c>
      <c r="DL236" s="16">
        <v>-9999</v>
      </c>
      <c r="DM236" s="16">
        <v>-9999</v>
      </c>
      <c r="DN236" s="16">
        <v>33.314</v>
      </c>
      <c r="DO236" s="16">
        <v>34.955599999999997</v>
      </c>
      <c r="DP236" s="16">
        <v>36.670770224967455</v>
      </c>
      <c r="DQ236" s="16">
        <v>38.583628883213208</v>
      </c>
      <c r="DR236" s="16">
        <v>40.578193851845448</v>
      </c>
      <c r="DS236" s="16">
        <v>-9999</v>
      </c>
      <c r="DT236" s="16">
        <v>-9999</v>
      </c>
      <c r="DU236" s="16">
        <v>-9999</v>
      </c>
      <c r="DV236" s="16">
        <v>-9999</v>
      </c>
      <c r="DW236" s="16">
        <v>-9999</v>
      </c>
      <c r="DX236" s="16">
        <v>-9999</v>
      </c>
      <c r="DY236" s="16">
        <v>-9999</v>
      </c>
      <c r="DZ236" s="16">
        <v>-9999</v>
      </c>
      <c r="EA236" s="2196">
        <v>106.0063</v>
      </c>
      <c r="EB236" s="2196">
        <v>113.1888</v>
      </c>
      <c r="EC236" s="2196">
        <v>119.46359911455505</v>
      </c>
      <c r="ED236" s="2196">
        <v>126.81976170541355</v>
      </c>
      <c r="EE236" s="2196">
        <v>135.44660309470299</v>
      </c>
      <c r="EF236" s="2197">
        <v>-9999</v>
      </c>
      <c r="EG236" s="2197">
        <v>-9999</v>
      </c>
      <c r="EH236" s="2197">
        <v>-9999</v>
      </c>
      <c r="EI236" s="2197">
        <v>-9999</v>
      </c>
      <c r="EJ236" s="2197">
        <v>-9999</v>
      </c>
      <c r="EK236" s="2197">
        <v>-9999</v>
      </c>
      <c r="EL236" s="2197">
        <v>-9999</v>
      </c>
      <c r="EM236" s="2197">
        <v>-9999</v>
      </c>
    </row>
    <row r="237" spans="1:143">
      <c r="A237" s="22">
        <v>137</v>
      </c>
      <c r="B237" s="33" t="s">
        <v>2030</v>
      </c>
      <c r="C237" s="24">
        <f ca="1">OFFSET(Sector1!F589,0,Last_forecast_year - 3-InputY!$G$3)</f>
        <v>-9.1620000000000035E-2</v>
      </c>
      <c r="D237" s="24">
        <f ca="1">OFFSET(Sector1!G589,0,Last_forecast_year - 3-InputY!$G$3)</f>
        <v>0.10298000000000251</v>
      </c>
      <c r="E237" s="3302">
        <f ca="1">OFFSET(Sector1!H589,0,Last_forecast_year - 3-InputY!$G$3)</f>
        <v>0.33510809708063016</v>
      </c>
      <c r="F237" s="24">
        <f ca="1">OFFSET(Sector1!I589,0,Last_forecast_year - 3-InputY!$G$3)</f>
        <v>0.30107552186732556</v>
      </c>
      <c r="G237" s="24">
        <f ca="1">OFFSET(Sector1!J589,0,Last_forecast_year - 3-InputY!$G$3)</f>
        <v>0.28092927478639473</v>
      </c>
      <c r="H237" s="25">
        <v>-9999</v>
      </c>
      <c r="I237" s="25">
        <v>-9999</v>
      </c>
      <c r="J237" s="25">
        <v>-9999</v>
      </c>
      <c r="K237" s="25">
        <v>-9999</v>
      </c>
      <c r="L237" s="25">
        <v>-9999</v>
      </c>
      <c r="M237" s="25">
        <v>-9999</v>
      </c>
      <c r="N237" s="25">
        <v>-9999</v>
      </c>
      <c r="O237" s="25">
        <v>-9999</v>
      </c>
      <c r="P237"/>
      <c r="Q237"/>
      <c r="AA237" s="22">
        <v>137</v>
      </c>
      <c r="AB237" s="1040" t="str">
        <f t="shared" si="31"/>
        <v>GG EDP REPORTED DEFICIT / SURPLUS</v>
      </c>
      <c r="AC237" s="1040">
        <f>CHOOSE(Tables!$U$2,Transfer!CA237,Transfer!CN237,Transfer!DA237,Transfer!DN237,Transfer!EA237)</f>
        <v>-5.8488999999999969</v>
      </c>
      <c r="AD237" s="1040">
        <f>CHOOSE(Tables!$U$2,Transfer!CB237,Transfer!CO237,Transfer!DB237,Transfer!DO237,Transfer!EB237)</f>
        <v>-3.6925899999999983</v>
      </c>
      <c r="AE237" s="1040">
        <f>CHOOSE(Tables!$U$2,Transfer!CC237,Transfer!CP237,Transfer!DC237,Transfer!DP237,Transfer!EC237)</f>
        <v>-3.5473280279061226</v>
      </c>
      <c r="AF237" s="1040">
        <f>CHOOSE(Tables!$U$2,Transfer!CD237,Transfer!CQ237,Transfer!DD237,Transfer!DQ237,Transfer!ED237)</f>
        <v>-3.5815459749401914</v>
      </c>
      <c r="AG237" s="1040">
        <f>CHOOSE(Tables!$U$2,Transfer!CE237,Transfer!CR237,Transfer!DE237,Transfer!DR237,Transfer!EE237)</f>
        <v>-3.2718985514797896</v>
      </c>
      <c r="AH237" s="1040">
        <f>CHOOSE(Tables!$U$2,Transfer!CF237,Transfer!CS237,Transfer!DF237,Transfer!DS237,Transfer!EF237)</f>
        <v>-9999</v>
      </c>
      <c r="AI237" s="1040">
        <f>CHOOSE(Tables!$U$2,Transfer!CG237,Transfer!CT237,Transfer!DG237,Transfer!DT237,Transfer!EG237)</f>
        <v>-9999</v>
      </c>
      <c r="AJ237" s="1040">
        <f>CHOOSE(Tables!$U$2,Transfer!CH237,Transfer!CU237,Transfer!DH237,Transfer!DU237,Transfer!EH237)</f>
        <v>-9999</v>
      </c>
      <c r="AK237" s="1040">
        <f>CHOOSE(Tables!$U$2,Transfer!CI237,Transfer!CV237,Transfer!DI237,Transfer!DV237,Transfer!EI237)</f>
        <v>-9999</v>
      </c>
      <c r="AL237" s="1040">
        <f>CHOOSE(Tables!$U$2,Transfer!CJ237,Transfer!CW237,Transfer!DJ237,Transfer!DW237,Transfer!EJ237)</f>
        <v>-9999</v>
      </c>
      <c r="AM237" s="1040">
        <f>CHOOSE(Tables!$U$2,Transfer!CK237,Transfer!CX237,Transfer!DK237,Transfer!DX237,Transfer!EK237)</f>
        <v>-9999</v>
      </c>
      <c r="AN237" s="1040">
        <f>CHOOSE(Tables!$U$2,Transfer!CL237,Transfer!CY237,Transfer!DL237,Transfer!DY237,Transfer!EL237)</f>
        <v>-9999</v>
      </c>
      <c r="AO237" s="1040">
        <f>CHOOSE(Tables!$U$2,Transfer!CM237,Transfer!CZ237,Transfer!DM237,Transfer!DZ237,Transfer!EM237)</f>
        <v>-9999</v>
      </c>
      <c r="AR237" s="22">
        <v>137</v>
      </c>
      <c r="AS237" s="33" t="s">
        <v>2030</v>
      </c>
      <c r="AT237" s="24">
        <f t="shared" ca="1" si="22"/>
        <v>5.7572799999999971</v>
      </c>
      <c r="AU237" s="24">
        <f t="shared" ca="1" si="23"/>
        <v>3.7955700000000006</v>
      </c>
      <c r="AV237" s="24">
        <f t="shared" ca="1" si="24"/>
        <v>3.8824361249867527</v>
      </c>
      <c r="AW237" s="24">
        <f t="shared" ca="1" si="25"/>
        <v>3.8826214968075172</v>
      </c>
      <c r="AX237" s="24">
        <f t="shared" ca="1" si="26"/>
        <v>3.5528278262661841</v>
      </c>
      <c r="AY237" s="25">
        <f t="shared" si="27"/>
        <v>0</v>
      </c>
      <c r="AZ237" s="25">
        <f t="shared" si="28"/>
        <v>0</v>
      </c>
      <c r="BA237" s="25">
        <f t="shared" si="29"/>
        <v>0</v>
      </c>
      <c r="BB237" s="25">
        <f t="shared" si="30"/>
        <v>0</v>
      </c>
      <c r="BC237" s="25">
        <f t="shared" si="21"/>
        <v>0</v>
      </c>
      <c r="BD237" s="25">
        <f t="shared" si="21"/>
        <v>0</v>
      </c>
      <c r="BE237" s="25">
        <f t="shared" si="21"/>
        <v>0</v>
      </c>
      <c r="BF237" s="25">
        <f t="shared" si="21"/>
        <v>0</v>
      </c>
      <c r="CA237" s="16">
        <v>-0.91693000000000358</v>
      </c>
      <c r="CB237" s="16">
        <v>-0.24295999999999807</v>
      </c>
      <c r="CC237" s="16">
        <v>-0.60360909792233386</v>
      </c>
      <c r="CD237" s="16">
        <v>-0.77143849991522084</v>
      </c>
      <c r="CE237" s="16">
        <v>-0.51072482766986305</v>
      </c>
      <c r="CF237" s="16">
        <v>-9999</v>
      </c>
      <c r="CG237" s="16">
        <v>-9999</v>
      </c>
      <c r="CH237" s="16">
        <v>-9999</v>
      </c>
      <c r="CI237" s="16">
        <v>-9999</v>
      </c>
      <c r="CJ237" s="16">
        <v>-9999</v>
      </c>
      <c r="CK237" s="16">
        <v>-9999</v>
      </c>
      <c r="CL237" s="16">
        <v>-9999</v>
      </c>
      <c r="CM237" s="16">
        <v>-9999</v>
      </c>
      <c r="CN237" s="16">
        <v>-1.0494352199999999</v>
      </c>
      <c r="CO237" s="16">
        <v>-0.91615500999999933</v>
      </c>
      <c r="CP237" s="16">
        <v>-0.31460886246494058</v>
      </c>
      <c r="CQ237" s="16">
        <v>-0.48758637304438812</v>
      </c>
      <c r="CR237" s="16">
        <v>-0.31000593568643908</v>
      </c>
      <c r="CS237" s="16">
        <v>-9999</v>
      </c>
      <c r="CT237" s="16">
        <v>-9999</v>
      </c>
      <c r="CU237" s="16">
        <v>-9999</v>
      </c>
      <c r="CV237" s="16">
        <v>-9999</v>
      </c>
      <c r="CW237" s="16">
        <v>-9999</v>
      </c>
      <c r="CX237" s="16">
        <v>-9999</v>
      </c>
      <c r="CY237" s="16">
        <v>-9999</v>
      </c>
      <c r="CZ237" s="16">
        <v>-9999</v>
      </c>
      <c r="DA237" s="16">
        <v>-0.91693000000000335</v>
      </c>
      <c r="DB237" s="16">
        <v>-0.24205000000000054</v>
      </c>
      <c r="DC237" s="16">
        <v>-0.52322968181611806</v>
      </c>
      <c r="DD237" s="16">
        <v>-0.17920562681575403</v>
      </c>
      <c r="DE237" s="16">
        <v>0.25976622652517745</v>
      </c>
      <c r="DF237" s="16">
        <v>-9999</v>
      </c>
      <c r="DG237" s="16">
        <v>-9999</v>
      </c>
      <c r="DH237" s="16">
        <v>-9999</v>
      </c>
      <c r="DI237" s="16">
        <v>-9999</v>
      </c>
      <c r="DJ237" s="16">
        <v>-9999</v>
      </c>
      <c r="DK237" s="16">
        <v>-9999</v>
      </c>
      <c r="DL237" s="16">
        <v>-9999</v>
      </c>
      <c r="DM237" s="16">
        <v>-9999</v>
      </c>
      <c r="DN237" s="16">
        <v>-1.0489800000000002</v>
      </c>
      <c r="DO237" s="16">
        <v>-0.91693000000000335</v>
      </c>
      <c r="DP237" s="16">
        <v>-0.2556114672847043</v>
      </c>
      <c r="DQ237" s="16">
        <v>-0.57574270656632054</v>
      </c>
      <c r="DR237" s="16">
        <v>-0.35693109563685943</v>
      </c>
      <c r="DS237" s="16">
        <v>-9999</v>
      </c>
      <c r="DT237" s="16">
        <v>-9999</v>
      </c>
      <c r="DU237" s="16">
        <v>-9999</v>
      </c>
      <c r="DV237" s="16">
        <v>-9999</v>
      </c>
      <c r="DW237" s="16">
        <v>-9999</v>
      </c>
      <c r="DX237" s="16">
        <v>-9999</v>
      </c>
      <c r="DY237" s="16">
        <v>-9999</v>
      </c>
      <c r="DZ237" s="16">
        <v>-9999</v>
      </c>
      <c r="EA237" s="2196">
        <v>-5.8488999999999969</v>
      </c>
      <c r="EB237" s="2196">
        <v>-3.6925899999999983</v>
      </c>
      <c r="EC237" s="2196">
        <v>-3.5473280279061226</v>
      </c>
      <c r="ED237" s="2196">
        <v>-3.5815459749401914</v>
      </c>
      <c r="EE237" s="2196">
        <v>-3.2718985514797896</v>
      </c>
      <c r="EF237" s="2197">
        <v>-9999</v>
      </c>
      <c r="EG237" s="2197">
        <v>-9999</v>
      </c>
      <c r="EH237" s="2197">
        <v>-9999</v>
      </c>
      <c r="EI237" s="2197">
        <v>-9999</v>
      </c>
      <c r="EJ237" s="2197">
        <v>-9999</v>
      </c>
      <c r="EK237" s="2197">
        <v>-9999</v>
      </c>
      <c r="EL237" s="2197">
        <v>-9999</v>
      </c>
      <c r="EM237" s="2197">
        <v>-9999</v>
      </c>
    </row>
    <row r="238" spans="1:143">
      <c r="A238" s="22">
        <v>138</v>
      </c>
      <c r="B238" s="29" t="s">
        <v>799</v>
      </c>
      <c r="C238" s="20">
        <f>IF(ISNUMBER(HLOOKUP(C$100,InputDFM!$2:$8,MATCH(Transfer!$A238&amp;" "&amp;Transfer!$B238,InputDFM!$CB$3:$CB$8,0)+1,FALSE)),HLOOKUP(C$100,InputDFM!$2:$8,MATCH(
Transfer!$A238&amp;" "&amp;Transfer!$B238,InputDFM!$CB$3:$CB$8,0)+1,FALSE),-9999)</f>
        <v>-9999</v>
      </c>
      <c r="D238" s="24">
        <f>IF(ISNUMBER(HLOOKUP(D$100,InputDFM!$2:$8,MATCH(Transfer!$A238&amp;" "&amp;Transfer!$B238,InputDFM!$CB$3:$CB$8,0)+1,FALSE)),HLOOKUP(D$100,InputDFM!$2:$8,MATCH(
Transfer!$A238&amp;" "&amp;Transfer!$B238,InputDFM!$CB$3:$CB$8,0)+1,FALSE),-9999)</f>
        <v>-9999</v>
      </c>
      <c r="E238" s="24">
        <f>IF(ISNUMBER(HLOOKUP(E$100,InputDFM!$2:$8,MATCH(Transfer!$A238&amp;" "&amp;Transfer!$B238,InputDFM!$CB$3:$CB$8,0)+1,FALSE)),HLOOKUP(E$100,InputDFM!$2:$8,MATCH(
Transfer!$A238&amp;" "&amp;Transfer!$B238,InputDFM!$CB$3:$CB$8,0)+1,FALSE),-9999)</f>
        <v>-9999</v>
      </c>
      <c r="F238" s="24">
        <f>IF(ISNUMBER(HLOOKUP(F$100,InputDFM!$2:$8,MATCH(Transfer!$A238&amp;" "&amp;Transfer!$B238,InputDFM!$CB$3:$CB$8,0)+1,FALSE)),HLOOKUP(F$100,InputDFM!$2:$8,MATCH(
Transfer!$A238&amp;" "&amp;Transfer!$B238,InputDFM!$CB$3:$CB$8,0)+1,FALSE),-9999)</f>
        <v>-9999</v>
      </c>
      <c r="G238" s="24">
        <f>IF(ISNUMBER(HLOOKUP(G$100,InputDFM!$2:$8,MATCH(Transfer!$A238&amp;" "&amp;Transfer!$B238,InputDFM!$CB$3:$CB$8,0)+1,FALSE)),HLOOKUP(G$100,InputDFM!$2:$8,MATCH(
Transfer!$A238&amp;" "&amp;Transfer!$B238,InputDFM!$CB$3:$CB$8,0)+1,FALSE),-9999)</f>
        <v>-9999</v>
      </c>
      <c r="H238" s="25">
        <v>-9999</v>
      </c>
      <c r="I238" s="25">
        <v>-9999</v>
      </c>
      <c r="J238" s="25">
        <v>-9999</v>
      </c>
      <c r="K238" s="25">
        <v>-9999</v>
      </c>
      <c r="L238" s="25">
        <v>-9999</v>
      </c>
      <c r="M238" s="25">
        <v>-9999</v>
      </c>
      <c r="N238" s="25">
        <v>-9999</v>
      </c>
      <c r="O238" s="25">
        <v>-9999</v>
      </c>
      <c r="P238" s="26"/>
      <c r="Q238"/>
      <c r="AA238" s="22">
        <v>138</v>
      </c>
      <c r="AB238" s="1040" t="e">
        <f>+#REF!</f>
        <v>#REF!</v>
      </c>
      <c r="AC238" s="1040">
        <f>CHOOSE(Tables!$U$2,Transfer!CA238,Transfer!CN238,Transfer!DA238,Transfer!DN238,Transfer!EA238)</f>
        <v>0</v>
      </c>
      <c r="AD238" s="1040">
        <f>CHOOSE(Tables!$U$2,Transfer!CB238,Transfer!CO238,Transfer!DB238,Transfer!DO238,Transfer!EB238)</f>
        <v>8.6999999999999994E-2</v>
      </c>
      <c r="AE238" s="1040">
        <f>CHOOSE(Tables!$U$2,Transfer!CC238,Transfer!CP238,Transfer!DC238,Transfer!DP238,Transfer!EC238)</f>
        <v>0</v>
      </c>
      <c r="AF238" s="1040">
        <f>CHOOSE(Tables!$U$2,Transfer!CD238,Transfer!CQ238,Transfer!DD238,Transfer!DQ238,Transfer!ED238)</f>
        <v>0</v>
      </c>
      <c r="AG238" s="1040">
        <f>CHOOSE(Tables!$U$2,Transfer!CE238,Transfer!CR238,Transfer!DE238,Transfer!DR238,Transfer!EE238)</f>
        <v>0</v>
      </c>
      <c r="AH238" s="1040">
        <f>CHOOSE(Tables!$U$2,Transfer!CF238,Transfer!CS238,Transfer!DF238,Transfer!DS238,Transfer!EF238)</f>
        <v>-9999</v>
      </c>
      <c r="AI238" s="1040">
        <f>CHOOSE(Tables!$U$2,Transfer!CG238,Transfer!CT238,Transfer!DG238,Transfer!DT238,Transfer!EG238)</f>
        <v>-9999</v>
      </c>
      <c r="AJ238" s="1040">
        <f>CHOOSE(Tables!$U$2,Transfer!CH238,Transfer!CU238,Transfer!DH238,Transfer!DU238,Transfer!EH238)</f>
        <v>-9999</v>
      </c>
      <c r="AK238" s="1040">
        <f>CHOOSE(Tables!$U$2,Transfer!CI238,Transfer!CV238,Transfer!DI238,Transfer!DV238,Transfer!EI238)</f>
        <v>-9999</v>
      </c>
      <c r="AL238" s="1040">
        <f>CHOOSE(Tables!$U$2,Transfer!CJ238,Transfer!CW238,Transfer!DJ238,Transfer!DW238,Transfer!EJ238)</f>
        <v>-9999</v>
      </c>
      <c r="AM238" s="1040">
        <f>CHOOSE(Tables!$U$2,Transfer!CK238,Transfer!CX238,Transfer!DK238,Transfer!DX238,Transfer!EK238)</f>
        <v>-9999</v>
      </c>
      <c r="AN238" s="1040">
        <f>CHOOSE(Tables!$U$2,Transfer!CL238,Transfer!CY238,Transfer!DL238,Transfer!DY238,Transfer!EL238)</f>
        <v>-9999</v>
      </c>
      <c r="AO238" s="1040">
        <f>CHOOSE(Tables!$U$2,Transfer!CM238,Transfer!CZ238,Transfer!DM238,Transfer!DZ238,Transfer!EM238)</f>
        <v>-9999</v>
      </c>
      <c r="AR238" s="22">
        <v>138</v>
      </c>
      <c r="AS238" s="1" t="s">
        <v>835</v>
      </c>
      <c r="AT238" s="1344" t="e">
        <f>#REF!-AC238</f>
        <v>#REF!</v>
      </c>
      <c r="AU238" s="1344" t="e">
        <f>#REF!-AD238</f>
        <v>#REF!</v>
      </c>
      <c r="AV238" s="1344" t="e">
        <f>#REF!-AE238</f>
        <v>#REF!</v>
      </c>
      <c r="AW238" s="1344" t="e">
        <f>#REF!-AF238</f>
        <v>#REF!</v>
      </c>
      <c r="AX238" s="1344" t="e">
        <f>#REF!-AG238</f>
        <v>#REF!</v>
      </c>
      <c r="AY238" s="25">
        <f t="shared" si="27"/>
        <v>0</v>
      </c>
      <c r="AZ238" s="25">
        <f t="shared" si="28"/>
        <v>0</v>
      </c>
      <c r="BA238" s="25">
        <f t="shared" si="29"/>
        <v>0</v>
      </c>
      <c r="BB238" s="25">
        <f t="shared" si="30"/>
        <v>0</v>
      </c>
      <c r="BC238" s="25">
        <f t="shared" si="21"/>
        <v>0</v>
      </c>
      <c r="BD238" s="25">
        <f t="shared" si="21"/>
        <v>0</v>
      </c>
      <c r="BE238" s="25">
        <f t="shared" si="21"/>
        <v>0</v>
      </c>
      <c r="BF238" s="25">
        <f t="shared" si="21"/>
        <v>0</v>
      </c>
      <c r="CA238" s="16">
        <v>-9999</v>
      </c>
      <c r="CB238" s="16">
        <v>0.50970000000000004</v>
      </c>
      <c r="CC238" s="16">
        <v>0.17799999999999999</v>
      </c>
      <c r="CD238" s="16">
        <v>9.0999999999999998E-2</v>
      </c>
      <c r="CE238" s="16">
        <v>0</v>
      </c>
      <c r="CF238" s="16">
        <v>-9999</v>
      </c>
      <c r="CG238" s="16">
        <v>-9999</v>
      </c>
      <c r="CH238" s="16">
        <v>-9999</v>
      </c>
      <c r="CI238" s="16">
        <v>-9999</v>
      </c>
      <c r="CJ238" s="16">
        <v>-9999</v>
      </c>
      <c r="CK238" s="16">
        <v>-9999</v>
      </c>
      <c r="CL238" s="16">
        <v>-9999</v>
      </c>
      <c r="CM238" s="16">
        <v>-9999</v>
      </c>
      <c r="CN238" s="16">
        <v>2.8527571825764601E-2</v>
      </c>
      <c r="CO238" s="16">
        <v>0.18639365152919368</v>
      </c>
      <c r="CP238" s="16">
        <v>0.56620713623725683</v>
      </c>
      <c r="CQ238" s="16">
        <v>0.10310472659870251</v>
      </c>
      <c r="CR238" s="16">
        <v>5.8503243744207602E-2</v>
      </c>
      <c r="CS238" s="16">
        <v>-9999</v>
      </c>
      <c r="CT238" s="16">
        <v>-9999</v>
      </c>
      <c r="CU238" s="16">
        <v>-9999</v>
      </c>
      <c r="CV238" s="16">
        <v>-9999</v>
      </c>
      <c r="CW238" s="16">
        <v>-9999</v>
      </c>
      <c r="CX238" s="16">
        <v>-9999</v>
      </c>
      <c r="CY238" s="16">
        <v>-9999</v>
      </c>
      <c r="CZ238" s="16">
        <v>-9999</v>
      </c>
      <c r="DA238" s="16">
        <v>0.18639365152919368</v>
      </c>
      <c r="DB238" s="16">
        <v>0.50970000000000004</v>
      </c>
      <c r="DC238" s="16">
        <v>0.13100000000000001</v>
      </c>
      <c r="DD238" s="16">
        <v>7.85E-2</v>
      </c>
      <c r="DE238" s="16">
        <v>7.85E-2</v>
      </c>
      <c r="DF238" s="16">
        <v>-9999</v>
      </c>
      <c r="DG238" s="16">
        <v>-9999</v>
      </c>
      <c r="DH238" s="16">
        <v>-9999</v>
      </c>
      <c r="DI238" s="16">
        <v>-9999</v>
      </c>
      <c r="DJ238" s="16">
        <v>-9999</v>
      </c>
      <c r="DK238" s="16">
        <v>-9999</v>
      </c>
      <c r="DL238" s="16">
        <v>-9999</v>
      </c>
      <c r="DM238" s="16">
        <v>-9999</v>
      </c>
      <c r="DN238" s="16">
        <v>2.8527571825764601E-2</v>
      </c>
      <c r="DO238" s="16">
        <v>0.18639365152919368</v>
      </c>
      <c r="DP238" s="16">
        <v>0.56620713623725683</v>
      </c>
      <c r="DQ238" s="16">
        <v>0.10310472659870251</v>
      </c>
      <c r="DR238" s="16">
        <v>5.8503243744207602E-2</v>
      </c>
      <c r="DS238" s="16">
        <v>-9999</v>
      </c>
      <c r="DT238" s="16">
        <v>-9999</v>
      </c>
      <c r="DU238" s="16">
        <v>-9999</v>
      </c>
      <c r="DV238" s="16">
        <v>-9999</v>
      </c>
      <c r="DW238" s="16">
        <v>-9999</v>
      </c>
      <c r="DX238" s="16">
        <v>-9999</v>
      </c>
      <c r="DY238" s="16">
        <v>-9999</v>
      </c>
      <c r="DZ238" s="16">
        <v>-9999</v>
      </c>
      <c r="EA238" s="2196">
        <v>0</v>
      </c>
      <c r="EB238" s="2196">
        <v>8.6999999999999994E-2</v>
      </c>
      <c r="EC238" s="2196">
        <v>0</v>
      </c>
      <c r="ED238" s="2196">
        <v>0</v>
      </c>
      <c r="EE238" s="2196">
        <v>0</v>
      </c>
      <c r="EF238" s="2197">
        <v>-9999</v>
      </c>
      <c r="EG238" s="2197">
        <v>-9999</v>
      </c>
      <c r="EH238" s="2197">
        <v>-9999</v>
      </c>
      <c r="EI238" s="2197">
        <v>-9999</v>
      </c>
      <c r="EJ238" s="2197">
        <v>-9999</v>
      </c>
      <c r="EK238" s="2197">
        <v>-9999</v>
      </c>
      <c r="EL238" s="2197">
        <v>-9999</v>
      </c>
      <c r="EM238" s="2197">
        <v>-9999</v>
      </c>
    </row>
    <row r="239" spans="1:143">
      <c r="A239" s="22">
        <v>139</v>
      </c>
      <c r="B239" s="1" t="s">
        <v>800</v>
      </c>
      <c r="C239" s="20">
        <f>IF(ISNUMBER(HLOOKUP(C$100,InputDFM!$2:$8,MATCH(Transfer!$A239&amp;" "&amp;Transfer!$B239,InputDFM!$CB$3:$CB$8,0)+1,FALSE)),HLOOKUP(C$100,InputDFM!$2:$8,MATCH(
Transfer!$A239&amp;" "&amp;Transfer!$B239,InputDFM!$CB$3:$CB$8,0)+1,FALSE),-9999)</f>
        <v>-9999</v>
      </c>
      <c r="D239" s="24">
        <f>IF(ISNUMBER(HLOOKUP(D$100,InputDFM!$2:$8,MATCH(Transfer!$A239&amp;" "&amp;Transfer!$B239,InputDFM!$CB$3:$CB$8,0)+1,FALSE)),HLOOKUP(D$100,InputDFM!$2:$8,MATCH(
Transfer!$A239&amp;" "&amp;Transfer!$B239,InputDFM!$CB$3:$CB$8,0)+1,FALSE),-9999)</f>
        <v>-9999</v>
      </c>
      <c r="E239" s="24">
        <f>IF(ISNUMBER(HLOOKUP(E$100,InputDFM!$2:$8,MATCH(Transfer!$A239&amp;" "&amp;Transfer!$B239,InputDFM!$CB$3:$CB$8,0)+1,FALSE)),HLOOKUP(E$100,InputDFM!$2:$8,MATCH(
Transfer!$A239&amp;" "&amp;Transfer!$B239,InputDFM!$CB$3:$CB$8,0)+1,FALSE),-9999)</f>
        <v>-9999</v>
      </c>
      <c r="F239" s="24">
        <f>IF(ISNUMBER(HLOOKUP(F$100,InputDFM!$2:$8,MATCH(Transfer!$A239&amp;" "&amp;Transfer!$B239,InputDFM!$CB$3:$CB$8,0)+1,FALSE)),HLOOKUP(F$100,InputDFM!$2:$8,MATCH(
Transfer!$A239&amp;" "&amp;Transfer!$B239,InputDFM!$CB$3:$CB$8,0)+1,FALSE),-9999)</f>
        <v>-9999</v>
      </c>
      <c r="G239" s="24">
        <f>IF(ISNUMBER(HLOOKUP(G$100,InputDFM!$2:$8,MATCH(Transfer!$A239&amp;" "&amp;Transfer!$B239,InputDFM!$CB$3:$CB$8,0)+1,FALSE)),HLOOKUP(G$100,InputDFM!$2:$8,MATCH(
Transfer!$A239&amp;" "&amp;Transfer!$B239,InputDFM!$CB$3:$CB$8,0)+1,FALSE),-9999)</f>
        <v>-9999</v>
      </c>
      <c r="H239" s="25">
        <v>-9999</v>
      </c>
      <c r="I239" s="25">
        <v>-9999</v>
      </c>
      <c r="J239" s="25">
        <v>-9999</v>
      </c>
      <c r="K239" s="25">
        <v>-9999</v>
      </c>
      <c r="L239" s="25">
        <v>-9999</v>
      </c>
      <c r="M239" s="25">
        <v>-9999</v>
      </c>
      <c r="N239" s="25">
        <v>-9999</v>
      </c>
      <c r="O239" s="25">
        <v>-9999</v>
      </c>
      <c r="P239" s="26"/>
      <c r="Q239"/>
      <c r="AA239" s="22">
        <v>139</v>
      </c>
      <c r="AB239" s="1040" t="e">
        <f>+#REF!</f>
        <v>#REF!</v>
      </c>
      <c r="AC239" s="1040">
        <f>CHOOSE(Tables!$U$2,Transfer!CA239,Transfer!CN239,Transfer!DA239,Transfer!DN239,Transfer!EA239)</f>
        <v>0</v>
      </c>
      <c r="AD239" s="1040">
        <f>CHOOSE(Tables!$U$2,Transfer!CB239,Transfer!CO239,Transfer!DB239,Transfer!DO239,Transfer!EB239)</f>
        <v>0</v>
      </c>
      <c r="AE239" s="1040">
        <f>CHOOSE(Tables!$U$2,Transfer!CC239,Transfer!CP239,Transfer!DC239,Transfer!DP239,Transfer!EC239)</f>
        <v>-0.217</v>
      </c>
      <c r="AF239" s="1040">
        <f>CHOOSE(Tables!$U$2,Transfer!CD239,Transfer!CQ239,Transfer!DD239,Transfer!DQ239,Transfer!ED239)</f>
        <v>0</v>
      </c>
      <c r="AG239" s="1040">
        <f>CHOOSE(Tables!$U$2,Transfer!CE239,Transfer!CR239,Transfer!DE239,Transfer!DR239,Transfer!EE239)</f>
        <v>0</v>
      </c>
      <c r="AH239" s="1040">
        <f>CHOOSE(Tables!$U$2,Transfer!CF239,Transfer!CS239,Transfer!DF239,Transfer!DS239,Transfer!EF239)</f>
        <v>-9999</v>
      </c>
      <c r="AI239" s="1040">
        <f>CHOOSE(Tables!$U$2,Transfer!CG239,Transfer!CT239,Transfer!DG239,Transfer!DT239,Transfer!EG239)</f>
        <v>-9999</v>
      </c>
      <c r="AJ239" s="1040">
        <f>CHOOSE(Tables!$U$2,Transfer!CH239,Transfer!CU239,Transfer!DH239,Transfer!DU239,Transfer!EH239)</f>
        <v>-9999</v>
      </c>
      <c r="AK239" s="1040">
        <f>CHOOSE(Tables!$U$2,Transfer!CI239,Transfer!CV239,Transfer!DI239,Transfer!DV239,Transfer!EI239)</f>
        <v>-9999</v>
      </c>
      <c r="AL239" s="1040">
        <f>CHOOSE(Tables!$U$2,Transfer!CJ239,Transfer!CW239,Transfer!DJ239,Transfer!DW239,Transfer!EJ239)</f>
        <v>-9999</v>
      </c>
      <c r="AM239" s="1040">
        <f>CHOOSE(Tables!$U$2,Transfer!CK239,Transfer!CX239,Transfer!DK239,Transfer!DX239,Transfer!EK239)</f>
        <v>-9999</v>
      </c>
      <c r="AN239" s="1040">
        <f>CHOOSE(Tables!$U$2,Transfer!CL239,Transfer!CY239,Transfer!DL239,Transfer!DY239,Transfer!EL239)</f>
        <v>-9999</v>
      </c>
      <c r="AO239" s="1040">
        <f>CHOOSE(Tables!$U$2,Transfer!CM239,Transfer!CZ239,Transfer!DM239,Transfer!DZ239,Transfer!EM239)</f>
        <v>-9999</v>
      </c>
      <c r="AR239" s="22">
        <v>139</v>
      </c>
      <c r="AS239" s="1" t="s">
        <v>836</v>
      </c>
      <c r="AT239" s="1344" t="e">
        <f>#REF!-AC239</f>
        <v>#REF!</v>
      </c>
      <c r="AU239" s="1344" t="e">
        <f>#REF!-AD239</f>
        <v>#REF!</v>
      </c>
      <c r="AV239" s="1344" t="e">
        <f>#REF!-AE239</f>
        <v>#REF!</v>
      </c>
      <c r="AW239" s="1344" t="e">
        <f>#REF!-AF239</f>
        <v>#REF!</v>
      </c>
      <c r="AX239" s="1344" t="e">
        <f>#REF!-AG239</f>
        <v>#REF!</v>
      </c>
      <c r="AY239" s="25">
        <f t="shared" si="27"/>
        <v>0</v>
      </c>
      <c r="AZ239" s="25">
        <f t="shared" si="28"/>
        <v>0</v>
      </c>
      <c r="BA239" s="25">
        <f t="shared" si="29"/>
        <v>0</v>
      </c>
      <c r="BB239" s="25">
        <f t="shared" si="30"/>
        <v>0</v>
      </c>
      <c r="BC239" s="25">
        <f t="shared" si="21"/>
        <v>0</v>
      </c>
      <c r="BD239" s="25">
        <f t="shared" si="21"/>
        <v>0</v>
      </c>
      <c r="BE239" s="25">
        <f t="shared" si="21"/>
        <v>0</v>
      </c>
      <c r="BF239" s="25">
        <f t="shared" si="21"/>
        <v>0</v>
      </c>
      <c r="CA239" s="16">
        <v>-9999</v>
      </c>
      <c r="CB239" s="16">
        <v>-0.40949999999999998</v>
      </c>
      <c r="CC239" s="16">
        <v>-0.155</v>
      </c>
      <c r="CD239" s="16">
        <v>-0.14399999999999999</v>
      </c>
      <c r="CE239" s="16">
        <v>0</v>
      </c>
      <c r="CF239" s="16">
        <v>-9999</v>
      </c>
      <c r="CG239" s="16">
        <v>-9999</v>
      </c>
      <c r="CH239" s="16">
        <v>-9999</v>
      </c>
      <c r="CI239" s="16">
        <v>-9999</v>
      </c>
      <c r="CJ239" s="16">
        <v>-9999</v>
      </c>
      <c r="CK239" s="16">
        <v>-9999</v>
      </c>
      <c r="CL239" s="16">
        <v>-9999</v>
      </c>
      <c r="CM239" s="16">
        <v>-9999</v>
      </c>
      <c r="CN239" s="16">
        <v>-2.2590361445783132E-3</v>
      </c>
      <c r="CO239" s="16">
        <v>-0.32993512511584799</v>
      </c>
      <c r="CP239" s="16">
        <v>-0.37397474513438372</v>
      </c>
      <c r="CQ239" s="16">
        <v>-8.688600556070436E-2</v>
      </c>
      <c r="CR239" s="16">
        <v>-2.4617701575532905E-2</v>
      </c>
      <c r="CS239" s="16">
        <v>-9999</v>
      </c>
      <c r="CT239" s="16">
        <v>-9999</v>
      </c>
      <c r="CU239" s="16">
        <v>-9999</v>
      </c>
      <c r="CV239" s="16">
        <v>-9999</v>
      </c>
      <c r="CW239" s="16">
        <v>-9999</v>
      </c>
      <c r="CX239" s="16">
        <v>-9999</v>
      </c>
      <c r="CY239" s="16">
        <v>-9999</v>
      </c>
      <c r="CZ239" s="16">
        <v>-9999</v>
      </c>
      <c r="DA239" s="16">
        <v>-0.32993512511584799</v>
      </c>
      <c r="DB239" s="16">
        <v>-0.40949999999999998</v>
      </c>
      <c r="DC239" s="16">
        <v>-3.7999999999999999E-2</v>
      </c>
      <c r="DD239" s="16">
        <v>-2.4617701575532905E-2</v>
      </c>
      <c r="DE239" s="16">
        <v>-2.4617701575532905E-2</v>
      </c>
      <c r="DF239" s="16">
        <v>-9999</v>
      </c>
      <c r="DG239" s="16">
        <v>-9999</v>
      </c>
      <c r="DH239" s="16">
        <v>-9999</v>
      </c>
      <c r="DI239" s="16">
        <v>-9999</v>
      </c>
      <c r="DJ239" s="16">
        <v>-9999</v>
      </c>
      <c r="DK239" s="16">
        <v>-9999</v>
      </c>
      <c r="DL239" s="16">
        <v>-9999</v>
      </c>
      <c r="DM239" s="16">
        <v>-9999</v>
      </c>
      <c r="DN239" s="16">
        <v>-2.2590361445783132E-3</v>
      </c>
      <c r="DO239" s="16">
        <v>-0.32993512511584799</v>
      </c>
      <c r="DP239" s="16">
        <v>-0.37397474513438372</v>
      </c>
      <c r="DQ239" s="16">
        <v>-8.688600556070436E-2</v>
      </c>
      <c r="DR239" s="16">
        <v>-2.4617701575532905E-2</v>
      </c>
      <c r="DS239" s="16">
        <v>-9999</v>
      </c>
      <c r="DT239" s="16">
        <v>-9999</v>
      </c>
      <c r="DU239" s="16">
        <v>-9999</v>
      </c>
      <c r="DV239" s="16">
        <v>-9999</v>
      </c>
      <c r="DW239" s="16">
        <v>-9999</v>
      </c>
      <c r="DX239" s="16">
        <v>-9999</v>
      </c>
      <c r="DY239" s="16">
        <v>-9999</v>
      </c>
      <c r="DZ239" s="16">
        <v>-9999</v>
      </c>
      <c r="EA239" s="2196">
        <v>0</v>
      </c>
      <c r="EB239" s="2196">
        <v>0</v>
      </c>
      <c r="EC239" s="2196">
        <v>-0.217</v>
      </c>
      <c r="ED239" s="2196">
        <v>0</v>
      </c>
      <c r="EE239" s="2196">
        <v>0</v>
      </c>
      <c r="EF239" s="2197">
        <v>-9999</v>
      </c>
      <c r="EG239" s="2197">
        <v>-9999</v>
      </c>
      <c r="EH239" s="2197">
        <v>-9999</v>
      </c>
      <c r="EI239" s="2197">
        <v>-9999</v>
      </c>
      <c r="EJ239" s="2197">
        <v>-9999</v>
      </c>
      <c r="EK239" s="2197">
        <v>-9999</v>
      </c>
      <c r="EL239" s="2197">
        <v>-9999</v>
      </c>
      <c r="EM239" s="2197">
        <v>-9999</v>
      </c>
    </row>
    <row r="240" spans="1:143">
      <c r="A240" s="22">
        <v>140</v>
      </c>
      <c r="B240" s="1" t="s">
        <v>837</v>
      </c>
      <c r="C240" s="24">
        <f ca="1">OFFSET(Sector1!F772,0,Last_forecast_year - 3-InputY!$G$3)</f>
        <v>-1.554</v>
      </c>
      <c r="D240" s="24">
        <f ca="1">OFFSET(Sector1!G772,0,Last_forecast_year - 3-InputY!$G$3)</f>
        <v>-1.5429999999999999</v>
      </c>
      <c r="E240" s="24">
        <f ca="1">OFFSET(Sector1!H772,0,Last_forecast_year - 3-InputY!$G$3)</f>
        <v>-1.5165699999999998</v>
      </c>
      <c r="F240" s="24">
        <f ca="1">OFFSET(Sector1!I772,0,Last_forecast_year - 3-InputY!$G$3)</f>
        <v>-1.546837625</v>
      </c>
      <c r="G240" s="24">
        <f ca="1">OFFSET(Sector1!J772,0,Last_forecast_year - 3-InputY!$G$3)</f>
        <v>-1.5777439521250001</v>
      </c>
      <c r="H240" s="25">
        <v>-9999</v>
      </c>
      <c r="I240" s="25">
        <v>-9999</v>
      </c>
      <c r="J240" s="25">
        <v>-9999</v>
      </c>
      <c r="K240" s="25">
        <v>-9999</v>
      </c>
      <c r="L240" s="25">
        <v>-9999</v>
      </c>
      <c r="M240" s="25">
        <v>-9999</v>
      </c>
      <c r="N240" s="25">
        <v>-9999</v>
      </c>
      <c r="O240" s="25">
        <v>-9999</v>
      </c>
      <c r="P240"/>
      <c r="Q240"/>
      <c r="AA240" s="22">
        <v>140</v>
      </c>
      <c r="AB240" s="1040" t="str">
        <f t="shared" si="31"/>
        <v>BALANCE OF PRIMARY INCOME</v>
      </c>
      <c r="AC240" s="1040">
        <f>CHOOSE(Tables!$U$2,Transfer!CA240,Transfer!CN240,Transfer!DA240,Transfer!DN240,Transfer!EA240)</f>
        <v>-3.9380524332850007</v>
      </c>
      <c r="AD240" s="1040">
        <f>CHOOSE(Tables!$U$2,Transfer!CB240,Transfer!CO240,Transfer!DB240,Transfer!DO240,Transfer!EB240)</f>
        <v>-4.8091617689767387</v>
      </c>
      <c r="AE240" s="1040">
        <f>CHOOSE(Tables!$U$2,Transfer!CC240,Transfer!CP240,Transfer!DC240,Transfer!DP240,Transfer!EC240)</f>
        <v>-5.4019541458744129</v>
      </c>
      <c r="AF240" s="1040">
        <f>CHOOSE(Tables!$U$2,Transfer!CD240,Transfer!CQ240,Transfer!DD240,Transfer!DQ240,Transfer!ED240)</f>
        <v>-6.061800908461854</v>
      </c>
      <c r="AG240" s="1040">
        <f>CHOOSE(Tables!$U$2,Transfer!CE240,Transfer!CR240,Transfer!DE240,Transfer!DR240,Transfer!EE240)</f>
        <v>-6.7900928487280403</v>
      </c>
      <c r="AH240" s="1040">
        <f>CHOOSE(Tables!$U$2,Transfer!CF240,Transfer!CS240,Transfer!DF240,Transfer!DS240,Transfer!EF240)</f>
        <v>-9999</v>
      </c>
      <c r="AI240" s="1040">
        <f>CHOOSE(Tables!$U$2,Transfer!CG240,Transfer!CT240,Transfer!DG240,Transfer!DT240,Transfer!EG240)</f>
        <v>-9999</v>
      </c>
      <c r="AJ240" s="1040">
        <f>CHOOSE(Tables!$U$2,Transfer!CH240,Transfer!CU240,Transfer!DH240,Transfer!DU240,Transfer!EH240)</f>
        <v>-9999</v>
      </c>
      <c r="AK240" s="1040">
        <f>CHOOSE(Tables!$U$2,Transfer!CI240,Transfer!CV240,Transfer!DI240,Transfer!DV240,Transfer!EI240)</f>
        <v>-9999</v>
      </c>
      <c r="AL240" s="1040">
        <f>CHOOSE(Tables!$U$2,Transfer!CJ240,Transfer!CW240,Transfer!DJ240,Transfer!DW240,Transfer!EJ240)</f>
        <v>-9999</v>
      </c>
      <c r="AM240" s="1040">
        <f>CHOOSE(Tables!$U$2,Transfer!CK240,Transfer!CX240,Transfer!DK240,Transfer!DX240,Transfer!EK240)</f>
        <v>-9999</v>
      </c>
      <c r="AN240" s="1040">
        <f>CHOOSE(Tables!$U$2,Transfer!CL240,Transfer!CY240,Transfer!DL240,Transfer!DY240,Transfer!EL240)</f>
        <v>-9999</v>
      </c>
      <c r="AO240" s="1040">
        <f>CHOOSE(Tables!$U$2,Transfer!CM240,Transfer!CZ240,Transfer!DM240,Transfer!DZ240,Transfer!EM240)</f>
        <v>-9999</v>
      </c>
      <c r="AR240" s="22">
        <v>140</v>
      </c>
      <c r="AS240" s="1" t="s">
        <v>837</v>
      </c>
      <c r="AT240" s="24">
        <f t="shared" ca="1" si="22"/>
        <v>2.3840524332850004</v>
      </c>
      <c r="AU240" s="24">
        <f t="shared" ca="1" si="23"/>
        <v>3.2661617689767386</v>
      </c>
      <c r="AV240" s="24">
        <f t="shared" ca="1" si="24"/>
        <v>3.8853841458744132</v>
      </c>
      <c r="AW240" s="24">
        <f t="shared" ca="1" si="25"/>
        <v>4.5149632834618538</v>
      </c>
      <c r="AX240" s="24">
        <f t="shared" ca="1" si="26"/>
        <v>5.2123488966030402</v>
      </c>
      <c r="AY240" s="25">
        <f t="shared" si="27"/>
        <v>0</v>
      </c>
      <c r="AZ240" s="25">
        <f t="shared" si="28"/>
        <v>0</v>
      </c>
      <c r="BA240" s="25">
        <f t="shared" si="29"/>
        <v>0</v>
      </c>
      <c r="BB240" s="25">
        <f t="shared" si="30"/>
        <v>0</v>
      </c>
      <c r="BC240" s="25">
        <f t="shared" si="21"/>
        <v>0</v>
      </c>
      <c r="BD240" s="25">
        <f t="shared" si="21"/>
        <v>0</v>
      </c>
      <c r="BE240" s="25">
        <f t="shared" si="21"/>
        <v>0</v>
      </c>
      <c r="BF240" s="25">
        <f t="shared" si="21"/>
        <v>0</v>
      </c>
      <c r="CA240" s="16">
        <v>-0.95600000000000007</v>
      </c>
      <c r="CB240" s="16">
        <v>-0.83573954000000017</v>
      </c>
      <c r="CC240" s="16">
        <v>-1.0507247216000002</v>
      </c>
      <c r="CD240" s="16">
        <v>-1.1761862304640003</v>
      </c>
      <c r="CE240" s="16">
        <v>-1.3160899016825605</v>
      </c>
      <c r="CF240" s="16">
        <v>-9999</v>
      </c>
      <c r="CG240" s="16">
        <v>-9999</v>
      </c>
      <c r="CH240" s="16">
        <v>-9999</v>
      </c>
      <c r="CI240" s="16">
        <v>-9999</v>
      </c>
      <c r="CJ240" s="16">
        <v>-9999</v>
      </c>
      <c r="CK240" s="16">
        <v>-9999</v>
      </c>
      <c r="CL240" s="16">
        <v>-9999</v>
      </c>
      <c r="CM240" s="16">
        <v>-9999</v>
      </c>
      <c r="CN240" s="16">
        <v>-1.0284406858202033</v>
      </c>
      <c r="CO240" s="16">
        <v>-0.96704124189063911</v>
      </c>
      <c r="CP240" s="16">
        <v>-0.84751853568118596</v>
      </c>
      <c r="CQ240" s="16">
        <v>-0.8778119786839661</v>
      </c>
      <c r="CR240" s="16">
        <v>-1.0063738206672843</v>
      </c>
      <c r="CS240" s="16">
        <v>-9999</v>
      </c>
      <c r="CT240" s="16">
        <v>-9999</v>
      </c>
      <c r="CU240" s="16">
        <v>-9999</v>
      </c>
      <c r="CV240" s="16">
        <v>-9999</v>
      </c>
      <c r="CW240" s="16">
        <v>-9999</v>
      </c>
      <c r="CX240" s="16">
        <v>-9999</v>
      </c>
      <c r="CY240" s="16">
        <v>-9999</v>
      </c>
      <c r="CZ240" s="16">
        <v>-9999</v>
      </c>
      <c r="DA240" s="16">
        <v>-0.96699999999999997</v>
      </c>
      <c r="DB240" s="16">
        <v>-0.84408976137488656</v>
      </c>
      <c r="DC240" s="16">
        <v>-1.1022179578212112</v>
      </c>
      <c r="DD240" s="16">
        <v>-1.190901501530115</v>
      </c>
      <c r="DE240" s="16">
        <v>0.6643633362245176</v>
      </c>
      <c r="DF240" s="16">
        <v>-9999</v>
      </c>
      <c r="DG240" s="16">
        <v>-9999</v>
      </c>
      <c r="DH240" s="16">
        <v>-9999</v>
      </c>
      <c r="DI240" s="16">
        <v>-9999</v>
      </c>
      <c r="DJ240" s="16">
        <v>-9999</v>
      </c>
      <c r="DK240" s="16">
        <v>-9999</v>
      </c>
      <c r="DL240" s="16">
        <v>-9999</v>
      </c>
      <c r="DM240" s="16">
        <v>-9999</v>
      </c>
      <c r="DN240" s="16">
        <v>-1.0284406858202033</v>
      </c>
      <c r="DO240" s="16">
        <v>-0.96704124189063911</v>
      </c>
      <c r="DP240" s="16">
        <v>-0.8812961479703425</v>
      </c>
      <c r="DQ240" s="16">
        <v>-0.91294069546468903</v>
      </c>
      <c r="DR240" s="16">
        <v>-1.0429076861192359</v>
      </c>
      <c r="DS240" s="16">
        <v>-9999</v>
      </c>
      <c r="DT240" s="16">
        <v>-9999</v>
      </c>
      <c r="DU240" s="16">
        <v>-9999</v>
      </c>
      <c r="DV240" s="16">
        <v>-9999</v>
      </c>
      <c r="DW240" s="16">
        <v>-9999</v>
      </c>
      <c r="DX240" s="16">
        <v>-9999</v>
      </c>
      <c r="DY240" s="16">
        <v>-9999</v>
      </c>
      <c r="DZ240" s="16">
        <v>-9999</v>
      </c>
      <c r="EA240" s="2196">
        <v>-3.9380524332850007</v>
      </c>
      <c r="EB240" s="2196">
        <v>-4.8091617689767387</v>
      </c>
      <c r="EC240" s="2196">
        <v>-5.4019541458744129</v>
      </c>
      <c r="ED240" s="2196">
        <v>-6.061800908461854</v>
      </c>
      <c r="EE240" s="2196">
        <v>-6.7900928487280403</v>
      </c>
      <c r="EF240" s="2197">
        <v>-9999</v>
      </c>
      <c r="EG240" s="2197">
        <v>-9999</v>
      </c>
      <c r="EH240" s="2197">
        <v>-9999</v>
      </c>
      <c r="EI240" s="2197">
        <v>-9999</v>
      </c>
      <c r="EJ240" s="2197">
        <v>-9999</v>
      </c>
      <c r="EK240" s="2197">
        <v>-9999</v>
      </c>
      <c r="EL240" s="2197">
        <v>-9999</v>
      </c>
      <c r="EM240" s="2197">
        <v>-9999</v>
      </c>
    </row>
    <row r="241" spans="1:149">
      <c r="A241" s="22">
        <v>141</v>
      </c>
      <c r="B241" s="1" t="s">
        <v>838</v>
      </c>
      <c r="C241" s="24">
        <f ca="1">OFFSET(Sector1!F782,0,Last_forecast_year - 3-InputY!$G$3)</f>
        <v>0.94600000000000006</v>
      </c>
      <c r="D241" s="24">
        <f ca="1">OFFSET(Sector1!G782,0,Last_forecast_year - 3-InputY!$G$3)</f>
        <v>0.78807999999999978</v>
      </c>
      <c r="E241" s="24">
        <f ca="1">OFFSET(Sector1!H782,0,Last_forecast_year - 3-InputY!$G$3)</f>
        <v>0.81649840799999984</v>
      </c>
      <c r="F241" s="24">
        <f ca="1">OFFSET(Sector1!I782,0,Last_forecast_year - 3-InputY!$G$3)</f>
        <v>0.85340506867999966</v>
      </c>
      <c r="G241" s="24">
        <f ca="1">OFFSET(Sector1!J782,0,Last_forecast_year - 3-InputY!$G$3)</f>
        <v>0.88819322619779961</v>
      </c>
      <c r="H241" s="25">
        <v>-9999</v>
      </c>
      <c r="I241" s="25">
        <v>-9999</v>
      </c>
      <c r="J241" s="25">
        <v>-9999</v>
      </c>
      <c r="K241" s="25">
        <v>-9999</v>
      </c>
      <c r="L241" s="25">
        <v>-9999</v>
      </c>
      <c r="M241" s="25">
        <v>-9999</v>
      </c>
      <c r="N241" s="25">
        <v>-9999</v>
      </c>
      <c r="O241" s="25">
        <v>-9999</v>
      </c>
      <c r="P241"/>
      <c r="Q241"/>
      <c r="AA241" s="22">
        <v>141</v>
      </c>
      <c r="AB241" s="1040" t="str">
        <f t="shared" si="31"/>
        <v>NET CURRENT TRANSFERS</v>
      </c>
      <c r="AC241" s="1040">
        <f>CHOOSE(Tables!$U$2,Transfer!CA241,Transfer!CN241,Transfer!DA241,Transfer!DN241,Transfer!EA241)</f>
        <v>2.9871164050966996</v>
      </c>
      <c r="AD241" s="1040">
        <f>CHOOSE(Tables!$U$2,Transfer!CB241,Transfer!CO241,Transfer!DB241,Transfer!DO241,Transfer!EB241)</f>
        <v>3.3006100000000012</v>
      </c>
      <c r="AE241" s="1040">
        <f>CHOOSE(Tables!$U$2,Transfer!CC241,Transfer!CP241,Transfer!DC241,Transfer!DP241,Transfer!EC241)</f>
        <v>3.6311201000000008</v>
      </c>
      <c r="AF241" s="1040">
        <f>CHOOSE(Tables!$U$2,Transfer!CD241,Transfer!CQ241,Transfer!DD241,Transfer!DQ241,Transfer!ED241)</f>
        <v>3.8599688650000012</v>
      </c>
      <c r="AG241" s="1040">
        <f>CHOOSE(Tables!$U$2,Transfer!CE241,Transfer!CR241,Transfer!DE241,Transfer!DR241,Transfer!EE241)</f>
        <v>4.1017801472900022</v>
      </c>
      <c r="AH241" s="1040">
        <f>CHOOSE(Tables!$U$2,Transfer!CF241,Transfer!CS241,Transfer!DF241,Transfer!DS241,Transfer!EF241)</f>
        <v>-9999</v>
      </c>
      <c r="AI241" s="1040">
        <f>CHOOSE(Tables!$U$2,Transfer!CG241,Transfer!CT241,Transfer!DG241,Transfer!DT241,Transfer!EG241)</f>
        <v>-9999</v>
      </c>
      <c r="AJ241" s="1040">
        <f>CHOOSE(Tables!$U$2,Transfer!CH241,Transfer!CU241,Transfer!DH241,Transfer!DU241,Transfer!EH241)</f>
        <v>-9999</v>
      </c>
      <c r="AK241" s="1040">
        <f>CHOOSE(Tables!$U$2,Transfer!CI241,Transfer!CV241,Transfer!DI241,Transfer!DV241,Transfer!EI241)</f>
        <v>-9999</v>
      </c>
      <c r="AL241" s="1040">
        <f>CHOOSE(Tables!$U$2,Transfer!CJ241,Transfer!CW241,Transfer!DJ241,Transfer!DW241,Transfer!EJ241)</f>
        <v>-9999</v>
      </c>
      <c r="AM241" s="1040">
        <f>CHOOSE(Tables!$U$2,Transfer!CK241,Transfer!CX241,Transfer!DK241,Transfer!DX241,Transfer!EK241)</f>
        <v>-9999</v>
      </c>
      <c r="AN241" s="1040">
        <f>CHOOSE(Tables!$U$2,Transfer!CL241,Transfer!CY241,Transfer!DL241,Transfer!DY241,Transfer!EL241)</f>
        <v>-9999</v>
      </c>
      <c r="AO241" s="1040">
        <f>CHOOSE(Tables!$U$2,Transfer!CM241,Transfer!CZ241,Transfer!DM241,Transfer!DZ241,Transfer!EM241)</f>
        <v>-9999</v>
      </c>
      <c r="AR241" s="22">
        <v>141</v>
      </c>
      <c r="AS241" s="1" t="s">
        <v>838</v>
      </c>
      <c r="AT241" s="24">
        <f t="shared" ca="1" si="22"/>
        <v>-2.0411164050966994</v>
      </c>
      <c r="AU241" s="24">
        <f t="shared" ca="1" si="23"/>
        <v>-2.5125300000000013</v>
      </c>
      <c r="AV241" s="24">
        <f t="shared" ca="1" si="24"/>
        <v>-2.8146216920000011</v>
      </c>
      <c r="AW241" s="24">
        <f t="shared" ca="1" si="25"/>
        <v>-3.0065637963200018</v>
      </c>
      <c r="AX241" s="24">
        <f t="shared" ca="1" si="26"/>
        <v>-3.2135869210922028</v>
      </c>
      <c r="AY241" s="25">
        <f t="shared" si="27"/>
        <v>0</v>
      </c>
      <c r="AZ241" s="25">
        <f t="shared" si="28"/>
        <v>0</v>
      </c>
      <c r="BA241" s="25">
        <f t="shared" si="29"/>
        <v>0</v>
      </c>
      <c r="BB241" s="25">
        <f t="shared" si="30"/>
        <v>0</v>
      </c>
      <c r="BC241" s="25">
        <f t="shared" si="21"/>
        <v>0</v>
      </c>
      <c r="BD241" s="25">
        <f t="shared" si="21"/>
        <v>0</v>
      </c>
      <c r="BE241" s="25">
        <f t="shared" si="21"/>
        <v>0</v>
      </c>
      <c r="BF241" s="25">
        <f t="shared" si="21"/>
        <v>0</v>
      </c>
      <c r="CA241" s="16">
        <v>0.97499999999999998</v>
      </c>
      <c r="CB241" s="16">
        <v>1.0451809999999999</v>
      </c>
      <c r="CC241" s="16">
        <v>1.0913438434999996</v>
      </c>
      <c r="CD241" s="16">
        <v>1.1395367127974996</v>
      </c>
      <c r="CE241" s="16">
        <v>1.1898495902644619</v>
      </c>
      <c r="CF241" s="16">
        <v>-9999</v>
      </c>
      <c r="CG241" s="16">
        <v>-9999</v>
      </c>
      <c r="CH241" s="16">
        <v>-9999</v>
      </c>
      <c r="CI241" s="16">
        <v>-9999</v>
      </c>
      <c r="CJ241" s="16">
        <v>-9999</v>
      </c>
      <c r="CK241" s="16">
        <v>-9999</v>
      </c>
      <c r="CL241" s="16">
        <v>-9999</v>
      </c>
      <c r="CM241" s="16">
        <v>-9999</v>
      </c>
      <c r="CN241" s="16">
        <v>0.13727409878591282</v>
      </c>
      <c r="CO241" s="16">
        <v>0.70870886535681166</v>
      </c>
      <c r="CP241" s="16">
        <v>0.745156140955607</v>
      </c>
      <c r="CQ241" s="16">
        <v>0.78139961720610696</v>
      </c>
      <c r="CR241" s="16">
        <v>0.81936151511789435</v>
      </c>
      <c r="CS241" s="16">
        <v>-9999</v>
      </c>
      <c r="CT241" s="16">
        <v>-9999</v>
      </c>
      <c r="CU241" s="16">
        <v>-9999</v>
      </c>
      <c r="CV241" s="16">
        <v>-9999</v>
      </c>
      <c r="CW241" s="16">
        <v>-9999</v>
      </c>
      <c r="CX241" s="16">
        <v>-9999</v>
      </c>
      <c r="CY241" s="16">
        <v>-9999</v>
      </c>
      <c r="CZ241" s="16">
        <v>-9999</v>
      </c>
      <c r="DA241" s="16">
        <v>0.70900867999999995</v>
      </c>
      <c r="DB241" s="16">
        <v>0.74203593600000006</v>
      </c>
      <c r="DC241" s="16">
        <v>0.77754257630949997</v>
      </c>
      <c r="DD241" s="16">
        <v>0.81470782573539746</v>
      </c>
      <c r="DE241" s="16">
        <v>0.85360875885709642</v>
      </c>
      <c r="DF241" s="16">
        <v>-9999</v>
      </c>
      <c r="DG241" s="16">
        <v>-9999</v>
      </c>
      <c r="DH241" s="16">
        <v>-9999</v>
      </c>
      <c r="DI241" s="16">
        <v>-9999</v>
      </c>
      <c r="DJ241" s="16">
        <v>-9999</v>
      </c>
      <c r="DK241" s="16">
        <v>-9999</v>
      </c>
      <c r="DL241" s="16">
        <v>-9999</v>
      </c>
      <c r="DM241" s="16">
        <v>-9999</v>
      </c>
      <c r="DN241" s="16">
        <v>0.13727409878591282</v>
      </c>
      <c r="DO241" s="16">
        <v>0.70870886535681166</v>
      </c>
      <c r="DP241" s="16">
        <v>0.741904796055607</v>
      </c>
      <c r="DQ241" s="16">
        <v>0.7774114363651069</v>
      </c>
      <c r="DR241" s="16">
        <v>0.8145766857910044</v>
      </c>
      <c r="DS241" s="16">
        <v>-9999</v>
      </c>
      <c r="DT241" s="16">
        <v>-9999</v>
      </c>
      <c r="DU241" s="16">
        <v>-9999</v>
      </c>
      <c r="DV241" s="16">
        <v>-9999</v>
      </c>
      <c r="DW241" s="16">
        <v>-9999</v>
      </c>
      <c r="DX241" s="16">
        <v>-9999</v>
      </c>
      <c r="DY241" s="16">
        <v>-9999</v>
      </c>
      <c r="DZ241" s="16">
        <v>-9999</v>
      </c>
      <c r="EA241" s="2196">
        <v>2.9871164050966996</v>
      </c>
      <c r="EB241" s="2196">
        <v>3.3006100000000012</v>
      </c>
      <c r="EC241" s="2196">
        <v>3.6311201000000008</v>
      </c>
      <c r="ED241" s="2196">
        <v>3.8599688650000012</v>
      </c>
      <c r="EE241" s="2196">
        <v>4.1017801472900022</v>
      </c>
      <c r="EF241" s="2197">
        <v>-9999</v>
      </c>
      <c r="EG241" s="2197">
        <v>-9999</v>
      </c>
      <c r="EH241" s="2197">
        <v>-9999</v>
      </c>
      <c r="EI241" s="2197">
        <v>-9999</v>
      </c>
      <c r="EJ241" s="2197">
        <v>-9999</v>
      </c>
      <c r="EK241" s="2197">
        <v>-9999</v>
      </c>
      <c r="EL241" s="2197">
        <v>-9999</v>
      </c>
      <c r="EM241" s="2197">
        <v>-9999</v>
      </c>
    </row>
    <row r="242" spans="1:149">
      <c r="A242" s="22">
        <v>142</v>
      </c>
      <c r="B242" s="1" t="s">
        <v>1752</v>
      </c>
      <c r="C242" s="24">
        <f ca="1">OFFSET(Sector1!F789,0,Last_forecast_year - 3-InputY!$G$3)</f>
        <v>1.1172599999999999</v>
      </c>
      <c r="D242" s="24">
        <f ca="1">OFFSET(Sector1!G789,0,Last_forecast_year - 3-InputY!$G$3)</f>
        <v>0.56872</v>
      </c>
      <c r="E242" s="24">
        <f ca="1">OFFSET(Sector1!H789,0,Last_forecast_year - 3-InputY!$G$3)</f>
        <v>0.42262839999999996</v>
      </c>
      <c r="F242" s="24">
        <f ca="1">OFFSET(Sector1!I789,0,Last_forecast_year - 3-InputY!$G$3)</f>
        <v>0.51935231400000004</v>
      </c>
      <c r="G242" s="24">
        <f ca="1">OFFSET(Sector1!J789,0,Last_forecast_year - 3-InputY!$G$3)</f>
        <v>0.50018883386000002</v>
      </c>
      <c r="H242" s="25">
        <v>-9999</v>
      </c>
      <c r="I242" s="25">
        <v>-9999</v>
      </c>
      <c r="J242" s="25">
        <v>-9999</v>
      </c>
      <c r="K242" s="25">
        <v>-9999</v>
      </c>
      <c r="L242" s="25">
        <v>-9999</v>
      </c>
      <c r="M242" s="25">
        <v>-9999</v>
      </c>
      <c r="N242" s="25">
        <v>-9999</v>
      </c>
      <c r="O242" s="25">
        <v>-9999</v>
      </c>
      <c r="P242"/>
      <c r="Q242"/>
      <c r="AA242" s="22">
        <v>142</v>
      </c>
      <c r="AB242" s="1040" t="str">
        <f t="shared" si="31"/>
        <v>NET CAPITAL TRANSACTIONS (RECEIV - PAYED)</v>
      </c>
      <c r="AC242" s="1040">
        <f>CHOOSE(Tables!$U$2,Transfer!CA242,Transfer!CN242,Transfer!DA242,Transfer!DN242,Transfer!EA242)</f>
        <v>3.44868</v>
      </c>
      <c r="AD242" s="1040">
        <f>CHOOSE(Tables!$U$2,Transfer!CB242,Transfer!CO242,Transfer!DB242,Transfer!DO242,Transfer!EB242)</f>
        <v>2.60541</v>
      </c>
      <c r="AE242" s="1040">
        <f>CHOOSE(Tables!$U$2,Transfer!CC242,Transfer!CP242,Transfer!DC242,Transfer!DP242,Transfer!EC242)</f>
        <v>2.7931636999999996</v>
      </c>
      <c r="AF242" s="1040">
        <f>CHOOSE(Tables!$U$2,Transfer!CD242,Transfer!CQ242,Transfer!DD242,Transfer!DQ242,Transfer!ED242)</f>
        <v>2.8559580790000001</v>
      </c>
      <c r="AG242" s="1040">
        <f>CHOOSE(Tables!$U$2,Transfer!CE242,Transfer!CR242,Transfer!DE242,Transfer!DR242,Transfer!EE242)</f>
        <v>2.9189464403299996</v>
      </c>
      <c r="AH242" s="1040">
        <f>CHOOSE(Tables!$U$2,Transfer!CF242,Transfer!CS242,Transfer!DF242,Transfer!DS242,Transfer!EF242)</f>
        <v>-9999</v>
      </c>
      <c r="AI242" s="1040">
        <f>CHOOSE(Tables!$U$2,Transfer!CG242,Transfer!CT242,Transfer!DG242,Transfer!DT242,Transfer!EG242)</f>
        <v>-9999</v>
      </c>
      <c r="AJ242" s="1040">
        <f>CHOOSE(Tables!$U$2,Transfer!CH242,Transfer!CU242,Transfer!DH242,Transfer!DU242,Transfer!EH242)</f>
        <v>-9999</v>
      </c>
      <c r="AK242" s="1040">
        <f>CHOOSE(Tables!$U$2,Transfer!CI242,Transfer!CV242,Transfer!DI242,Transfer!DV242,Transfer!EI242)</f>
        <v>-9999</v>
      </c>
      <c r="AL242" s="1040">
        <f>CHOOSE(Tables!$U$2,Transfer!CJ242,Transfer!CW242,Transfer!DJ242,Transfer!DW242,Transfer!EJ242)</f>
        <v>-9999</v>
      </c>
      <c r="AM242" s="1040">
        <f>CHOOSE(Tables!$U$2,Transfer!CK242,Transfer!CX242,Transfer!DK242,Transfer!DX242,Transfer!EK242)</f>
        <v>-9999</v>
      </c>
      <c r="AN242" s="1040">
        <f>CHOOSE(Tables!$U$2,Transfer!CL242,Transfer!CY242,Transfer!DL242,Transfer!DY242,Transfer!EL242)</f>
        <v>-9999</v>
      </c>
      <c r="AO242" s="1040">
        <f>CHOOSE(Tables!$U$2,Transfer!CM242,Transfer!CZ242,Transfer!DM242,Transfer!DZ242,Transfer!EM242)</f>
        <v>-9999</v>
      </c>
      <c r="AR242" s="22">
        <v>142</v>
      </c>
      <c r="AS242" s="1" t="s">
        <v>1752</v>
      </c>
      <c r="AT242" s="24">
        <f t="shared" ca="1" si="22"/>
        <v>-2.33142</v>
      </c>
      <c r="AU242" s="24">
        <f t="shared" ca="1" si="23"/>
        <v>-2.0366900000000001</v>
      </c>
      <c r="AV242" s="24">
        <f t="shared" ca="1" si="24"/>
        <v>-2.3705352999999998</v>
      </c>
      <c r="AW242" s="24">
        <f t="shared" ca="1" si="25"/>
        <v>-2.3366057649999998</v>
      </c>
      <c r="AX242" s="24">
        <f t="shared" ca="1" si="26"/>
        <v>-2.4187576064699998</v>
      </c>
      <c r="AY242" s="25">
        <f t="shared" si="27"/>
        <v>0</v>
      </c>
      <c r="AZ242" s="25">
        <f t="shared" si="28"/>
        <v>0</v>
      </c>
      <c r="BA242" s="25">
        <f t="shared" si="29"/>
        <v>0</v>
      </c>
      <c r="BB242" s="25">
        <f t="shared" si="30"/>
        <v>0</v>
      </c>
      <c r="BC242" s="25">
        <f t="shared" si="21"/>
        <v>0</v>
      </c>
      <c r="BD242" s="25">
        <f t="shared" si="21"/>
        <v>0</v>
      </c>
      <c r="BE242" s="25">
        <f t="shared" si="21"/>
        <v>0</v>
      </c>
      <c r="BF242" s="25">
        <f t="shared" si="21"/>
        <v>0</v>
      </c>
      <c r="CA242" s="16">
        <v>1.0888499999999999</v>
      </c>
      <c r="CB242" s="16">
        <v>1.5601879999999999</v>
      </c>
      <c r="CC242" s="16">
        <v>1.0241979999999999</v>
      </c>
      <c r="CD242" s="16">
        <v>0.8652979999999999</v>
      </c>
      <c r="CE242" s="16">
        <v>0.86108799999999996</v>
      </c>
      <c r="CF242" s="16">
        <v>-9999</v>
      </c>
      <c r="CG242" s="16">
        <v>-9999</v>
      </c>
      <c r="CH242" s="16">
        <v>-9999</v>
      </c>
      <c r="CI242" s="16">
        <v>-9999</v>
      </c>
      <c r="CJ242" s="16">
        <v>-9999</v>
      </c>
      <c r="CK242" s="16">
        <v>-9999</v>
      </c>
      <c r="CL242" s="16">
        <v>-9999</v>
      </c>
      <c r="CM242" s="16">
        <v>-9999</v>
      </c>
      <c r="CN242" s="16">
        <v>0.95346096999999996</v>
      </c>
      <c r="CO242" s="16">
        <v>0.84632471999999992</v>
      </c>
      <c r="CP242" s="16">
        <v>1.5876969814379076</v>
      </c>
      <c r="CQ242" s="16">
        <v>1.17253533302317</v>
      </c>
      <c r="CR242" s="16">
        <v>1.1250376499833183</v>
      </c>
      <c r="CS242" s="16">
        <v>-9999</v>
      </c>
      <c r="CT242" s="16">
        <v>-9999</v>
      </c>
      <c r="CU242" s="16">
        <v>-9999</v>
      </c>
      <c r="CV242" s="16">
        <v>-9999</v>
      </c>
      <c r="CW242" s="16">
        <v>-9999</v>
      </c>
      <c r="CX242" s="16">
        <v>-9999</v>
      </c>
      <c r="CY242" s="16">
        <v>-9999</v>
      </c>
      <c r="CZ242" s="16">
        <v>-9999</v>
      </c>
      <c r="DA242" s="16">
        <v>0.84472651999999981</v>
      </c>
      <c r="DB242" s="16">
        <v>1.307431432</v>
      </c>
      <c r="DC242" s="16">
        <v>0.76821083618335906</v>
      </c>
      <c r="DD242" s="16">
        <v>0.74644570500581175</v>
      </c>
      <c r="DE242" s="16">
        <v>0.72294341474182144</v>
      </c>
      <c r="DF242" s="16">
        <v>-9999</v>
      </c>
      <c r="DG242" s="16">
        <v>-9999</v>
      </c>
      <c r="DH242" s="16">
        <v>-9999</v>
      </c>
      <c r="DI242" s="16">
        <v>-9999</v>
      </c>
      <c r="DJ242" s="16">
        <v>-9999</v>
      </c>
      <c r="DK242" s="16">
        <v>-9999</v>
      </c>
      <c r="DL242" s="16">
        <v>-9999</v>
      </c>
      <c r="DM242" s="16">
        <v>-9999</v>
      </c>
      <c r="DN242" s="16">
        <v>0.95197618000000006</v>
      </c>
      <c r="DO242" s="16">
        <v>0.84472651999999981</v>
      </c>
      <c r="DP242" s="16">
        <v>1.3783214319999999</v>
      </c>
      <c r="DQ242" s="16">
        <v>0.8111620144680487</v>
      </c>
      <c r="DR242" s="16">
        <v>0.78939688329050139</v>
      </c>
      <c r="DS242" s="16">
        <v>-9999</v>
      </c>
      <c r="DT242" s="16">
        <v>-9999</v>
      </c>
      <c r="DU242" s="16">
        <v>-9999</v>
      </c>
      <c r="DV242" s="16">
        <v>-9999</v>
      </c>
      <c r="DW242" s="16">
        <v>-9999</v>
      </c>
      <c r="DX242" s="16">
        <v>-9999</v>
      </c>
      <c r="DY242" s="16">
        <v>-9999</v>
      </c>
      <c r="DZ242" s="16">
        <v>-9999</v>
      </c>
      <c r="EA242" s="2196">
        <v>3.44868</v>
      </c>
      <c r="EB242" s="2196">
        <v>2.60541</v>
      </c>
      <c r="EC242" s="2196">
        <v>2.7931636999999996</v>
      </c>
      <c r="ED242" s="2196">
        <v>2.8559580790000001</v>
      </c>
      <c r="EE242" s="2196">
        <v>2.9189464403299996</v>
      </c>
      <c r="EF242" s="2197">
        <v>-9999</v>
      </c>
      <c r="EG242" s="2197">
        <v>-9999</v>
      </c>
      <c r="EH242" s="2197">
        <v>-9999</v>
      </c>
      <c r="EI242" s="2197">
        <v>-9999</v>
      </c>
      <c r="EJ242" s="2197">
        <v>-9999</v>
      </c>
      <c r="EK242" s="2197">
        <v>-9999</v>
      </c>
      <c r="EL242" s="2197">
        <v>-9999</v>
      </c>
      <c r="EM242" s="2197">
        <v>-9999</v>
      </c>
    </row>
    <row r="243" spans="1:149" s="3091" customFormat="1">
      <c r="A243" s="3149">
        <v>143</v>
      </c>
      <c r="B243" s="3150" t="s">
        <v>775</v>
      </c>
      <c r="C243" s="3151">
        <f ca="1">OFFSET(Sector1!F426,0,Last_forecast_year - 3-InputY!$G$3)</f>
        <v>0.76861999999999997</v>
      </c>
      <c r="D243" s="3151">
        <f ca="1">OFFSET(Sector1!G426,0,Last_forecast_year - 3-InputY!$G$3)</f>
        <v>0.80027999999999999</v>
      </c>
      <c r="E243" s="3151">
        <f ca="1">OFFSET(Sector1!H426,0,Last_forecast_year - 3-InputY!$G$3)</f>
        <v>0.82028699999999988</v>
      </c>
      <c r="F243" s="3151">
        <f ca="1">OFFSET(Sector1!I426,0,Last_forecast_year - 3-InputY!$G$3)</f>
        <v>0.84079417499999975</v>
      </c>
      <c r="G243" s="3151">
        <f ca="1">OFFSET(Sector1!J426,0,Last_forecast_year - 3-InputY!$G$3)</f>
        <v>0.86181402937499962</v>
      </c>
      <c r="H243" s="3152">
        <v>-9999</v>
      </c>
      <c r="I243" s="3152">
        <v>-9999</v>
      </c>
      <c r="J243" s="3152">
        <v>-9999</v>
      </c>
      <c r="K243" s="3152">
        <v>-9999</v>
      </c>
      <c r="L243" s="3152">
        <v>-9999</v>
      </c>
      <c r="M243" s="3152">
        <v>-9999</v>
      </c>
      <c r="N243" s="3152">
        <v>-9999</v>
      </c>
      <c r="O243" s="3152">
        <v>-9999</v>
      </c>
      <c r="P243" s="3153"/>
      <c r="R243" s="3154"/>
      <c r="S243" s="3154"/>
      <c r="T243" s="3154"/>
      <c r="U243" s="3154"/>
      <c r="V243" s="3154"/>
      <c r="W243" s="3154"/>
      <c r="X243" s="3154"/>
      <c r="Y243" s="3154"/>
      <c r="Z243" s="3154"/>
      <c r="AA243" s="3149">
        <v>143</v>
      </c>
      <c r="AB243" s="3155" t="str">
        <f t="shared" si="31"/>
        <v>GG SALES</v>
      </c>
      <c r="AC243" s="3155">
        <f>CHOOSE(Tables!$U$2,Transfer!CA243,Transfer!CN243,Transfer!DA243,Transfer!DN243,Transfer!EA243)</f>
        <v>1.45797</v>
      </c>
      <c r="AD243" s="3155">
        <f>CHOOSE(Tables!$U$2,Transfer!CB243,Transfer!CO243,Transfer!DB243,Transfer!DO243,Transfer!EB243)</f>
        <v>1.68685</v>
      </c>
      <c r="AE243" s="3155">
        <f>CHOOSE(Tables!$U$2,Transfer!CC243,Transfer!CP243,Transfer!DC243,Transfer!DP243,Transfer!EC243)</f>
        <v>1.7290212499999997</v>
      </c>
      <c r="AF243" s="3155">
        <f>CHOOSE(Tables!$U$2,Transfer!CD243,Transfer!CQ243,Transfer!DD243,Transfer!DQ243,Transfer!ED243)</f>
        <v>1.7722467812499996</v>
      </c>
      <c r="AG243" s="3155">
        <f>CHOOSE(Tables!$U$2,Transfer!CE243,Transfer!CR243,Transfer!DE243,Transfer!DR243,Transfer!EE243)</f>
        <v>1.8165529507812495</v>
      </c>
      <c r="AH243" s="3155">
        <f>CHOOSE(Tables!$U$2,Transfer!CF243,Transfer!CS243,Transfer!DF243,Transfer!DS243,Transfer!EF243)</f>
        <v>-9999</v>
      </c>
      <c r="AI243" s="3155">
        <f>CHOOSE(Tables!$U$2,Transfer!CG243,Transfer!CT243,Transfer!DG243,Transfer!DT243,Transfer!EG243)</f>
        <v>-9999</v>
      </c>
      <c r="AJ243" s="3155">
        <f>CHOOSE(Tables!$U$2,Transfer!CH243,Transfer!CU243,Transfer!DH243,Transfer!DU243,Transfer!EH243)</f>
        <v>-9999</v>
      </c>
      <c r="AK243" s="3155">
        <f>CHOOSE(Tables!$U$2,Transfer!CI243,Transfer!CV243,Transfer!DI243,Transfer!DV243,Transfer!EI243)</f>
        <v>-9999</v>
      </c>
      <c r="AL243" s="3155">
        <f>CHOOSE(Tables!$U$2,Transfer!CJ243,Transfer!CW243,Transfer!DJ243,Transfer!DW243,Transfer!EJ243)</f>
        <v>-9999</v>
      </c>
      <c r="AM243" s="3155">
        <f>CHOOSE(Tables!$U$2,Transfer!CK243,Transfer!CX243,Transfer!DK243,Transfer!DX243,Transfer!EK243)</f>
        <v>-9999</v>
      </c>
      <c r="AN243" s="3155">
        <f>CHOOSE(Tables!$U$2,Transfer!CL243,Transfer!CY243,Transfer!DL243,Transfer!DY243,Transfer!EL243)</f>
        <v>-9999</v>
      </c>
      <c r="AO243" s="3155">
        <f>CHOOSE(Tables!$U$2,Transfer!CM243,Transfer!CZ243,Transfer!DM243,Transfer!DZ243,Transfer!EM243)</f>
        <v>-9999</v>
      </c>
      <c r="AP243" s="3154"/>
      <c r="AQ243" s="3154"/>
      <c r="AR243" s="3149">
        <v>143</v>
      </c>
      <c r="AS243" s="3156" t="s">
        <v>1705</v>
      </c>
      <c r="AT243" s="3152">
        <f t="shared" ca="1" si="22"/>
        <v>-0.68935000000000002</v>
      </c>
      <c r="AU243" s="3152">
        <f t="shared" ca="1" si="23"/>
        <v>-0.88656999999999997</v>
      </c>
      <c r="AV243" s="3152">
        <f t="shared" ca="1" si="24"/>
        <v>-0.90873424999999985</v>
      </c>
      <c r="AW243" s="3152">
        <f t="shared" ca="1" si="25"/>
        <v>-0.93145260624999981</v>
      </c>
      <c r="AX243" s="3152">
        <f t="shared" ca="1" si="26"/>
        <v>-0.95473892140624983</v>
      </c>
      <c r="AY243" s="3152">
        <f t="shared" si="27"/>
        <v>0</v>
      </c>
      <c r="AZ243" s="3152">
        <f t="shared" si="28"/>
        <v>0</v>
      </c>
      <c r="BA243" s="3152">
        <f t="shared" si="29"/>
        <v>0</v>
      </c>
      <c r="BB243" s="3152">
        <f t="shared" si="30"/>
        <v>0</v>
      </c>
      <c r="BC243" s="3152">
        <f t="shared" si="21"/>
        <v>0</v>
      </c>
      <c r="BD243" s="3152">
        <f t="shared" si="21"/>
        <v>0</v>
      </c>
      <c r="BE243" s="3152">
        <f t="shared" si="21"/>
        <v>0</v>
      </c>
      <c r="BF243" s="3152">
        <f t="shared" si="21"/>
        <v>0</v>
      </c>
      <c r="BG243" s="3154"/>
      <c r="BH243" s="3154"/>
      <c r="BI243" s="3154"/>
      <c r="BJ243" s="3154"/>
      <c r="BK243" s="3154"/>
      <c r="BL243" s="3154"/>
      <c r="BM243" s="3154"/>
      <c r="BN243" s="3154"/>
      <c r="BO243" s="3154"/>
      <c r="BP243" s="3154"/>
      <c r="BQ243" s="3154"/>
      <c r="BR243" s="3154"/>
      <c r="BS243" s="3154"/>
      <c r="BT243" s="3154"/>
      <c r="BU243" s="3154"/>
      <c r="BV243" s="3154"/>
      <c r="BW243" s="3154"/>
      <c r="BX243" s="3154"/>
      <c r="BY243" s="3154"/>
      <c r="BZ243" s="3154"/>
      <c r="CA243" s="3154">
        <v>0.72675999999999996</v>
      </c>
      <c r="CB243" s="3154">
        <v>0.74991999999999992</v>
      </c>
      <c r="CC243" s="3154">
        <v>0.76866799999999991</v>
      </c>
      <c r="CD243" s="3154">
        <v>0.78788469999999988</v>
      </c>
      <c r="CE243" s="3154">
        <v>0.8075818174999998</v>
      </c>
      <c r="CF243" s="3154">
        <v>-9999</v>
      </c>
      <c r="CG243" s="3154">
        <v>-9999</v>
      </c>
      <c r="CH243" s="3154">
        <v>-9999</v>
      </c>
      <c r="CI243" s="3154">
        <v>-9999</v>
      </c>
      <c r="CJ243" s="3154">
        <v>-9999</v>
      </c>
      <c r="CK243" s="3154">
        <v>-9999</v>
      </c>
      <c r="CL243" s="3154">
        <v>-9999</v>
      </c>
      <c r="CM243" s="3154">
        <v>-9999</v>
      </c>
      <c r="CN243" s="3154">
        <v>0.66114456999999993</v>
      </c>
      <c r="CO243" s="3154">
        <v>0.70359129000000009</v>
      </c>
      <c r="CP243" s="3154">
        <v>0.72118107225000005</v>
      </c>
      <c r="CQ243" s="3154">
        <v>0.73921059905624997</v>
      </c>
      <c r="CR243" s="3154">
        <v>0.75769086403265618</v>
      </c>
      <c r="CS243" s="3154">
        <v>-9999</v>
      </c>
      <c r="CT243" s="3154">
        <v>-9999</v>
      </c>
      <c r="CU243" s="3154">
        <v>-9999</v>
      </c>
      <c r="CV243" s="3154">
        <v>-9999</v>
      </c>
      <c r="CW243" s="3154">
        <v>-9999</v>
      </c>
      <c r="CX243" s="3154">
        <v>-9999</v>
      </c>
      <c r="CY243" s="3154">
        <v>-9999</v>
      </c>
      <c r="CZ243" s="3154">
        <v>-9999</v>
      </c>
      <c r="DA243" s="3154">
        <v>0.70872000000000002</v>
      </c>
      <c r="DB243" s="3154">
        <v>0.72810999999999992</v>
      </c>
      <c r="DC243" s="3154">
        <v>0.74631274999999986</v>
      </c>
      <c r="DD243" s="3154">
        <v>0.7649705687499998</v>
      </c>
      <c r="DE243" s="3154">
        <v>0.78409483296874971</v>
      </c>
      <c r="DF243" s="3154">
        <v>-9999</v>
      </c>
      <c r="DG243" s="3154">
        <v>-9999</v>
      </c>
      <c r="DH243" s="3154">
        <v>-9999</v>
      </c>
      <c r="DI243" s="3154">
        <v>-9999</v>
      </c>
      <c r="DJ243" s="3154">
        <v>-9999</v>
      </c>
      <c r="DK243" s="3154">
        <v>-9999</v>
      </c>
      <c r="DL243" s="3154">
        <v>-9999</v>
      </c>
      <c r="DM243" s="3154">
        <v>-9999</v>
      </c>
      <c r="DN243" s="3154">
        <v>0.66665000000000008</v>
      </c>
      <c r="DO243" s="3154">
        <v>0.70872000000000002</v>
      </c>
      <c r="DP243" s="3154">
        <v>0.72810999999999992</v>
      </c>
      <c r="DQ243" s="3154">
        <v>0.74631274999999986</v>
      </c>
      <c r="DR243" s="3154">
        <v>0.7649705687499998</v>
      </c>
      <c r="DS243" s="3154">
        <v>-9999</v>
      </c>
      <c r="DT243" s="3154">
        <v>-9999</v>
      </c>
      <c r="DU243" s="3154">
        <v>-9999</v>
      </c>
      <c r="DV243" s="3154">
        <v>-9999</v>
      </c>
      <c r="DW243" s="3154">
        <v>-9999</v>
      </c>
      <c r="DX243" s="3154">
        <v>-9999</v>
      </c>
      <c r="DY243" s="3154">
        <v>-9999</v>
      </c>
      <c r="DZ243" s="3154">
        <v>-9999</v>
      </c>
      <c r="EA243" s="3157">
        <v>1.45797</v>
      </c>
      <c r="EB243" s="3157">
        <v>1.68685</v>
      </c>
      <c r="EC243" s="3157">
        <v>1.7290212499999997</v>
      </c>
      <c r="ED243" s="3157">
        <v>1.7722467812499996</v>
      </c>
      <c r="EE243" s="3157">
        <v>1.8165529507812495</v>
      </c>
      <c r="EF243" s="3157">
        <v>-9999</v>
      </c>
      <c r="EG243" s="3157">
        <v>-9999</v>
      </c>
      <c r="EH243" s="3157">
        <v>-9999</v>
      </c>
      <c r="EI243" s="3157">
        <v>-9999</v>
      </c>
      <c r="EJ243" s="3157">
        <v>-9999</v>
      </c>
      <c r="EK243" s="3157">
        <v>-9999</v>
      </c>
      <c r="EL243" s="3157">
        <v>-9999</v>
      </c>
      <c r="EM243" s="3157">
        <v>-9999</v>
      </c>
      <c r="EN243" s="3154"/>
      <c r="EO243" s="3154"/>
      <c r="EP243" s="3154"/>
      <c r="EQ243" s="3154"/>
      <c r="ER243" s="3154"/>
      <c r="ES243" s="3154"/>
    </row>
    <row r="244" spans="1:149">
      <c r="A244" s="22">
        <v>144</v>
      </c>
      <c r="B244" s="33" t="s">
        <v>1264</v>
      </c>
      <c r="C244" s="24">
        <f ca="1">OFFSET(Sector1!F422,0,Last_forecast_year - 3-InputY!$G$3)</f>
        <v>1.1040000000000001</v>
      </c>
      <c r="D244" s="24">
        <f ca="1">OFFSET(Sector1!G422,0,Last_forecast_year - 3-InputY!$G$3)</f>
        <v>1.14178</v>
      </c>
      <c r="E244" s="24">
        <f ca="1">OFFSET(Sector1!H422,0,Last_forecast_year - 3-InputY!$G$3)</f>
        <v>1.1817423</v>
      </c>
      <c r="F244" s="24">
        <f ca="1">OFFSET(Sector1!I422,0,Last_forecast_year - 3-InputY!$G$3)</f>
        <v>1.229011992</v>
      </c>
      <c r="G244" s="24">
        <f ca="1">OFFSET(Sector1!J422,0,Last_forecast_year - 3-InputY!$G$3)</f>
        <v>1.2720274117199999</v>
      </c>
      <c r="H244" s="25">
        <v>-9999</v>
      </c>
      <c r="I244" s="25">
        <v>-9999</v>
      </c>
      <c r="J244" s="25">
        <v>-9999</v>
      </c>
      <c r="K244" s="25">
        <v>-9999</v>
      </c>
      <c r="L244" s="25">
        <v>-9999</v>
      </c>
      <c r="M244" s="25">
        <v>-9999</v>
      </c>
      <c r="N244" s="25">
        <v>-9999</v>
      </c>
      <c r="O244" s="25">
        <v>-9999</v>
      </c>
      <c r="P244" s="26"/>
      <c r="Q244"/>
      <c r="AA244" s="22">
        <v>144</v>
      </c>
      <c r="AB244" s="1040" t="str">
        <f t="shared" si="31"/>
        <v>GG CONSUMPTION OF FIXED CAPITAL</v>
      </c>
      <c r="AC244" s="1040">
        <f>CHOOSE(Tables!$U$2,Transfer!CA244,Transfer!CN244,Transfer!DA244,Transfer!DN244,Transfer!EA244)</f>
        <v>2.6494599999999999</v>
      </c>
      <c r="AD244" s="1040">
        <f>CHOOSE(Tables!$U$2,Transfer!CB244,Transfer!CO244,Transfer!DB244,Transfer!DO244,Transfer!EB244)</f>
        <v>2.7229200000000002</v>
      </c>
      <c r="AE244" s="1040">
        <f>CHOOSE(Tables!$U$2,Transfer!CC244,Transfer!CP244,Transfer!DC244,Transfer!DP244,Transfer!EC244)</f>
        <v>2.8318368000000005</v>
      </c>
      <c r="AF244" s="1040">
        <f>CHOOSE(Tables!$U$2,Transfer!CD244,Transfer!CQ244,Transfer!DD244,Transfer!DQ244,Transfer!ED244)</f>
        <v>2.9451102720000004</v>
      </c>
      <c r="AG244" s="1040">
        <f>CHOOSE(Tables!$U$2,Transfer!CE244,Transfer!CR244,Transfer!DE244,Transfer!DR244,Transfer!EE244)</f>
        <v>3.0629146828800007</v>
      </c>
      <c r="AH244" s="1040">
        <f>CHOOSE(Tables!$U$2,Transfer!CF244,Transfer!CS244,Transfer!DF244,Transfer!DS244,Transfer!EF244)</f>
        <v>-9999</v>
      </c>
      <c r="AI244" s="1040">
        <f>CHOOSE(Tables!$U$2,Transfer!CG244,Transfer!CT244,Transfer!DG244,Transfer!DT244,Transfer!EG244)</f>
        <v>-9999</v>
      </c>
      <c r="AJ244" s="1040">
        <f>CHOOSE(Tables!$U$2,Transfer!CH244,Transfer!CU244,Transfer!DH244,Transfer!DU244,Transfer!EH244)</f>
        <v>-9999</v>
      </c>
      <c r="AK244" s="1040">
        <f>CHOOSE(Tables!$U$2,Transfer!CI244,Transfer!CV244,Transfer!DI244,Transfer!DV244,Transfer!EI244)</f>
        <v>-9999</v>
      </c>
      <c r="AL244" s="1040">
        <f>CHOOSE(Tables!$U$2,Transfer!CJ244,Transfer!CW244,Transfer!DJ244,Transfer!DW244,Transfer!EJ244)</f>
        <v>-9999</v>
      </c>
      <c r="AM244" s="1040">
        <f>CHOOSE(Tables!$U$2,Transfer!CK244,Transfer!CX244,Transfer!DK244,Transfer!DX244,Transfer!EK244)</f>
        <v>-9999</v>
      </c>
      <c r="AN244" s="1040">
        <f>CHOOSE(Tables!$U$2,Transfer!CL244,Transfer!CY244,Transfer!DL244,Transfer!DY244,Transfer!EL244)</f>
        <v>-9999</v>
      </c>
      <c r="AO244" s="1040">
        <f>CHOOSE(Tables!$U$2,Transfer!CM244,Transfer!CZ244,Transfer!DM244,Transfer!DZ244,Transfer!EM244)</f>
        <v>-9999</v>
      </c>
      <c r="AR244" s="22">
        <v>144</v>
      </c>
      <c r="AS244" s="30" t="s">
        <v>1705</v>
      </c>
      <c r="AT244" s="25">
        <f t="shared" ca="1" si="22"/>
        <v>-1.5454599999999998</v>
      </c>
      <c r="AU244" s="25">
        <f t="shared" ca="1" si="23"/>
        <v>-1.5811400000000002</v>
      </c>
      <c r="AV244" s="25">
        <f t="shared" ca="1" si="24"/>
        <v>-1.6500945000000005</v>
      </c>
      <c r="AW244" s="25">
        <f t="shared" ca="1" si="25"/>
        <v>-1.7160982800000004</v>
      </c>
      <c r="AX244" s="25">
        <f t="shared" ca="1" si="26"/>
        <v>-1.7908872711600008</v>
      </c>
      <c r="AY244" s="25">
        <f t="shared" si="27"/>
        <v>0</v>
      </c>
      <c r="AZ244" s="25">
        <f t="shared" si="28"/>
        <v>0</v>
      </c>
      <c r="BA244" s="25">
        <f t="shared" si="29"/>
        <v>0</v>
      </c>
      <c r="BB244" s="25">
        <f t="shared" si="30"/>
        <v>0</v>
      </c>
      <c r="BC244" s="25">
        <f t="shared" si="21"/>
        <v>0</v>
      </c>
      <c r="BD244" s="25">
        <f t="shared" si="21"/>
        <v>0</v>
      </c>
      <c r="BE244" s="25">
        <f t="shared" si="21"/>
        <v>0</v>
      </c>
      <c r="BF244" s="25">
        <f t="shared" si="21"/>
        <v>0</v>
      </c>
      <c r="CA244" s="16">
        <v>1.00902</v>
      </c>
      <c r="CB244" s="16">
        <v>1.07334</v>
      </c>
      <c r="CC244" s="16">
        <v>1.1162736</v>
      </c>
      <c r="CD244" s="16">
        <v>1.160924544</v>
      </c>
      <c r="CE244" s="16">
        <v>1.2073615257600001</v>
      </c>
      <c r="CF244" s="16">
        <v>-9999</v>
      </c>
      <c r="CG244" s="16">
        <v>-9999</v>
      </c>
      <c r="CH244" s="16">
        <v>-9999</v>
      </c>
      <c r="CI244" s="16">
        <v>-9999</v>
      </c>
      <c r="CJ244" s="16">
        <v>-9999</v>
      </c>
      <c r="CK244" s="16">
        <v>-9999</v>
      </c>
      <c r="CL244" s="16">
        <v>-9999</v>
      </c>
      <c r="CM244" s="16">
        <v>-9999</v>
      </c>
      <c r="CN244" s="16">
        <v>0.94776702999999995</v>
      </c>
      <c r="CO244" s="16">
        <v>1.00901587</v>
      </c>
      <c r="CP244" s="16">
        <v>1.0493765048000001</v>
      </c>
      <c r="CQ244" s="16">
        <v>1.0913515649920003</v>
      </c>
      <c r="CR244" s="16">
        <v>1.1350056275916802</v>
      </c>
      <c r="CS244" s="16">
        <v>-9999</v>
      </c>
      <c r="CT244" s="16">
        <v>-9999</v>
      </c>
      <c r="CU244" s="16">
        <v>-9999</v>
      </c>
      <c r="CV244" s="16">
        <v>-9999</v>
      </c>
      <c r="CW244" s="16">
        <v>-9999</v>
      </c>
      <c r="CX244" s="16">
        <v>-9999</v>
      </c>
      <c r="CY244" s="16">
        <v>-9999</v>
      </c>
      <c r="CZ244" s="16">
        <v>-9999</v>
      </c>
      <c r="DA244" s="16">
        <v>1.00902</v>
      </c>
      <c r="DB244" s="16">
        <v>1.07334</v>
      </c>
      <c r="DC244" s="16">
        <v>1.1162736</v>
      </c>
      <c r="DD244" s="16">
        <v>1.160924544</v>
      </c>
      <c r="DE244" s="16">
        <v>1.2073615257600001</v>
      </c>
      <c r="DF244" s="16">
        <v>-9999</v>
      </c>
      <c r="DG244" s="16">
        <v>-9999</v>
      </c>
      <c r="DH244" s="16">
        <v>-9999</v>
      </c>
      <c r="DI244" s="16">
        <v>-9999</v>
      </c>
      <c r="DJ244" s="16">
        <v>-9999</v>
      </c>
      <c r="DK244" s="16">
        <v>-9999</v>
      </c>
      <c r="DL244" s="16">
        <v>-9999</v>
      </c>
      <c r="DM244" s="16">
        <v>-9999</v>
      </c>
      <c r="DN244" s="16">
        <v>0.94777</v>
      </c>
      <c r="DO244" s="16">
        <v>1.00902</v>
      </c>
      <c r="DP244" s="16">
        <v>1.07334</v>
      </c>
      <c r="DQ244" s="16">
        <v>1.1162736</v>
      </c>
      <c r="DR244" s="16">
        <v>1.160924544</v>
      </c>
      <c r="DS244" s="16">
        <v>-9999</v>
      </c>
      <c r="DT244" s="16">
        <v>-9999</v>
      </c>
      <c r="DU244" s="16">
        <v>-9999</v>
      </c>
      <c r="DV244" s="16">
        <v>-9999</v>
      </c>
      <c r="DW244" s="16">
        <v>-9999</v>
      </c>
      <c r="DX244" s="16">
        <v>-9999</v>
      </c>
      <c r="DY244" s="16">
        <v>-9999</v>
      </c>
      <c r="DZ244" s="16">
        <v>-9999</v>
      </c>
      <c r="EA244" s="2197">
        <v>2.6494599999999999</v>
      </c>
      <c r="EB244" s="2197">
        <v>2.7229200000000002</v>
      </c>
      <c r="EC244" s="2197">
        <v>2.8318368000000005</v>
      </c>
      <c r="ED244" s="2197">
        <v>2.9451102720000004</v>
      </c>
      <c r="EE244" s="2197">
        <v>3.0629146828800007</v>
      </c>
      <c r="EF244" s="2197">
        <v>-9999</v>
      </c>
      <c r="EG244" s="2197">
        <v>-9999</v>
      </c>
      <c r="EH244" s="2197">
        <v>-9999</v>
      </c>
      <c r="EI244" s="2197">
        <v>-9999</v>
      </c>
      <c r="EJ244" s="2197">
        <v>-9999</v>
      </c>
      <c r="EK244" s="2197">
        <v>-9999</v>
      </c>
      <c r="EL244" s="2197">
        <v>-9999</v>
      </c>
      <c r="EM244" s="2197">
        <v>-9999</v>
      </c>
    </row>
    <row r="245" spans="1:149">
      <c r="A245" s="22">
        <v>145</v>
      </c>
      <c r="B245" s="33" t="s">
        <v>1584</v>
      </c>
      <c r="C245" s="24">
        <f ca="1">OFFSET(Sector1!F419,0,Last_forecast_year - 3-InputY!$G$3)</f>
        <v>1.8676900000000001</v>
      </c>
      <c r="D245" s="24">
        <f ca="1">OFFSET(Sector1!G419,0,Last_forecast_year - 3-InputY!$G$3)</f>
        <v>1.84643</v>
      </c>
      <c r="E245" s="24">
        <f ca="1">OFFSET(Sector1!H419,0,Last_forecast_year - 3-InputY!$G$3)</f>
        <v>1.8754002492738726</v>
      </c>
      <c r="F245" s="24">
        <f ca="1">OFFSET(Sector1!I419,0,Last_forecast_year - 3-InputY!$G$3)</f>
        <v>2.0133065466654987</v>
      </c>
      <c r="G245" s="24">
        <f ca="1">OFFSET(Sector1!J419,0,Last_forecast_year - 3-InputY!$G$3)</f>
        <v>2.1138316020828603</v>
      </c>
      <c r="H245" s="25">
        <v>-9999</v>
      </c>
      <c r="I245" s="25">
        <v>-9999</v>
      </c>
      <c r="J245" s="25">
        <v>-9999</v>
      </c>
      <c r="K245" s="25">
        <v>-9999</v>
      </c>
      <c r="L245" s="25">
        <v>-9999</v>
      </c>
      <c r="M245" s="25">
        <v>-9999</v>
      </c>
      <c r="N245" s="25">
        <v>-9999</v>
      </c>
      <c r="O245" s="25">
        <v>-9999</v>
      </c>
      <c r="P245" s="26"/>
      <c r="Q245"/>
      <c r="AA245" s="22">
        <v>145</v>
      </c>
      <c r="AB245" s="1040" t="str">
        <f t="shared" si="31"/>
        <v>GG INTERMEDIATE CONSUMPTION</v>
      </c>
      <c r="AC245" s="1040">
        <f>CHOOSE(Tables!$U$2,Transfer!CA245,Transfer!CN245,Transfer!DA245,Transfer!DN245,Transfer!EA245)</f>
        <v>5.5809199999999999</v>
      </c>
      <c r="AD245" s="1040">
        <f>CHOOSE(Tables!$U$2,Transfer!CB245,Transfer!CO245,Transfer!DB245,Transfer!DO245,Transfer!EB245)</f>
        <v>5.75936</v>
      </c>
      <c r="AE245" s="1040">
        <f>CHOOSE(Tables!$U$2,Transfer!CC245,Transfer!CP245,Transfer!DC245,Transfer!DP245,Transfer!EC245)</f>
        <v>5.6298466320999996</v>
      </c>
      <c r="AF245" s="1040">
        <f>CHOOSE(Tables!$U$2,Transfer!CD245,Transfer!CQ245,Transfer!DD245,Transfer!DQ245,Transfer!ED245)</f>
        <v>5.426226415128995</v>
      </c>
      <c r="AG245" s="1040">
        <f>CHOOSE(Tables!$U$2,Transfer!CE245,Transfer!CR245,Transfer!DE245,Transfer!DR245,Transfer!EE245)</f>
        <v>5.4524086720904563</v>
      </c>
      <c r="AH245" s="1040">
        <f>CHOOSE(Tables!$U$2,Transfer!CF245,Transfer!CS245,Transfer!DF245,Transfer!DS245,Transfer!EF245)</f>
        <v>-9999</v>
      </c>
      <c r="AI245" s="1040">
        <f>CHOOSE(Tables!$U$2,Transfer!CG245,Transfer!CT245,Transfer!DG245,Transfer!DT245,Transfer!EG245)</f>
        <v>-9999</v>
      </c>
      <c r="AJ245" s="1040">
        <f>CHOOSE(Tables!$U$2,Transfer!CH245,Transfer!CU245,Transfer!DH245,Transfer!DU245,Transfer!EH245)</f>
        <v>-9999</v>
      </c>
      <c r="AK245" s="1040">
        <f>CHOOSE(Tables!$U$2,Transfer!CI245,Transfer!CV245,Transfer!DI245,Transfer!DV245,Transfer!EI245)</f>
        <v>-9999</v>
      </c>
      <c r="AL245" s="1040">
        <f>CHOOSE(Tables!$U$2,Transfer!CJ245,Transfer!CW245,Transfer!DJ245,Transfer!DW245,Transfer!EJ245)</f>
        <v>-9999</v>
      </c>
      <c r="AM245" s="1040">
        <f>CHOOSE(Tables!$U$2,Transfer!CK245,Transfer!CX245,Transfer!DK245,Transfer!DX245,Transfer!EK245)</f>
        <v>-9999</v>
      </c>
      <c r="AN245" s="1040">
        <f>CHOOSE(Tables!$U$2,Transfer!CL245,Transfer!CY245,Transfer!DL245,Transfer!DY245,Transfer!EL245)</f>
        <v>-9999</v>
      </c>
      <c r="AO245" s="1040">
        <f>CHOOSE(Tables!$U$2,Transfer!CM245,Transfer!CZ245,Transfer!DM245,Transfer!DZ245,Transfer!EM245)</f>
        <v>-9999</v>
      </c>
      <c r="AR245" s="22">
        <v>145</v>
      </c>
      <c r="AS245" s="30" t="s">
        <v>1705</v>
      </c>
      <c r="AT245" s="25">
        <f t="shared" ca="1" si="22"/>
        <v>-3.7132299999999998</v>
      </c>
      <c r="AU245" s="25">
        <f t="shared" ca="1" si="23"/>
        <v>-3.9129300000000002</v>
      </c>
      <c r="AV245" s="25">
        <f t="shared" ca="1" si="24"/>
        <v>-3.754446382826127</v>
      </c>
      <c r="AW245" s="25">
        <f t="shared" ca="1" si="25"/>
        <v>-3.4129198684634963</v>
      </c>
      <c r="AX245" s="25">
        <f t="shared" ca="1" si="26"/>
        <v>-3.3385770700075961</v>
      </c>
      <c r="AY245" s="25">
        <f t="shared" si="27"/>
        <v>0</v>
      </c>
      <c r="AZ245" s="25">
        <f t="shared" si="28"/>
        <v>0</v>
      </c>
      <c r="BA245" s="25">
        <f t="shared" si="29"/>
        <v>0</v>
      </c>
      <c r="BB245" s="25">
        <f t="shared" si="30"/>
        <v>0</v>
      </c>
      <c r="BC245" s="25">
        <f t="shared" si="21"/>
        <v>0</v>
      </c>
      <c r="BD245" s="25">
        <f t="shared" si="21"/>
        <v>0</v>
      </c>
      <c r="BE245" s="25">
        <f t="shared" si="21"/>
        <v>0</v>
      </c>
      <c r="BF245" s="25">
        <f t="shared" si="21"/>
        <v>0</v>
      </c>
      <c r="CA245" s="16">
        <v>1.6516099999999998</v>
      </c>
      <c r="CB245" s="16">
        <v>1.7343900000000001</v>
      </c>
      <c r="CC245" s="16">
        <v>1.793406282264999</v>
      </c>
      <c r="CD245" s="16">
        <v>1.8311902134426759</v>
      </c>
      <c r="CE245" s="16">
        <v>1.8796303954540465</v>
      </c>
      <c r="CF245" s="16">
        <v>-9999</v>
      </c>
      <c r="CG245" s="16">
        <v>-9999</v>
      </c>
      <c r="CH245" s="16">
        <v>-9999</v>
      </c>
      <c r="CI245" s="16">
        <v>-9999</v>
      </c>
      <c r="CJ245" s="16">
        <v>-9999</v>
      </c>
      <c r="CK245" s="16">
        <v>-9999</v>
      </c>
      <c r="CL245" s="16">
        <v>-9999</v>
      </c>
      <c r="CM245" s="16">
        <v>-9999</v>
      </c>
      <c r="CN245" s="16">
        <v>1.63951286</v>
      </c>
      <c r="CO245" s="16">
        <v>1.6486532700000001</v>
      </c>
      <c r="CP245" s="16">
        <v>1.7108804523901726</v>
      </c>
      <c r="CQ245" s="16">
        <v>1.8136520426858445</v>
      </c>
      <c r="CR245" s="16">
        <v>1.8890680644366471</v>
      </c>
      <c r="CS245" s="16">
        <v>-9999</v>
      </c>
      <c r="CT245" s="16">
        <v>-9999</v>
      </c>
      <c r="CU245" s="16">
        <v>-9999</v>
      </c>
      <c r="CV245" s="16">
        <v>-9999</v>
      </c>
      <c r="CW245" s="16">
        <v>-9999</v>
      </c>
      <c r="CX245" s="16">
        <v>-9999</v>
      </c>
      <c r="CY245" s="16">
        <v>-9999</v>
      </c>
      <c r="CZ245" s="16">
        <v>-9999</v>
      </c>
      <c r="DA245" s="16">
        <v>1.65211</v>
      </c>
      <c r="DB245" s="16">
        <v>1.7382</v>
      </c>
      <c r="DC245" s="16">
        <v>1.7266590581999988</v>
      </c>
      <c r="DD245" s="16">
        <v>1.6857480653330714</v>
      </c>
      <c r="DE245" s="16">
        <v>1.5809832842051574</v>
      </c>
      <c r="DF245" s="16">
        <v>-9999</v>
      </c>
      <c r="DG245" s="16">
        <v>-9999</v>
      </c>
      <c r="DH245" s="16">
        <v>-9999</v>
      </c>
      <c r="DI245" s="16">
        <v>-9999</v>
      </c>
      <c r="DJ245" s="16">
        <v>-9999</v>
      </c>
      <c r="DK245" s="16">
        <v>-9999</v>
      </c>
      <c r="DL245" s="16">
        <v>-9999</v>
      </c>
      <c r="DM245" s="16">
        <v>-9999</v>
      </c>
      <c r="DN245" s="16">
        <v>1.6431500000000001</v>
      </c>
      <c r="DO245" s="16">
        <v>1.65211</v>
      </c>
      <c r="DP245" s="16">
        <v>1.7382</v>
      </c>
      <c r="DQ245" s="16">
        <v>1.7230178972523333</v>
      </c>
      <c r="DR245" s="16">
        <v>1.7933359520021548</v>
      </c>
      <c r="DS245" s="16">
        <v>-9999</v>
      </c>
      <c r="DT245" s="16">
        <v>-9999</v>
      </c>
      <c r="DU245" s="16">
        <v>-9999</v>
      </c>
      <c r="DV245" s="16">
        <v>-9999</v>
      </c>
      <c r="DW245" s="16">
        <v>-9999</v>
      </c>
      <c r="DX245" s="16">
        <v>-9999</v>
      </c>
      <c r="DY245" s="16">
        <v>-9999</v>
      </c>
      <c r="DZ245" s="16">
        <v>-9999</v>
      </c>
      <c r="EA245" s="2197">
        <v>5.5809199999999999</v>
      </c>
      <c r="EB245" s="2197">
        <v>5.75936</v>
      </c>
      <c r="EC245" s="2197">
        <v>5.6298466320999996</v>
      </c>
      <c r="ED245" s="2197">
        <v>5.426226415128995</v>
      </c>
      <c r="EE245" s="2197">
        <v>5.4524086720904563</v>
      </c>
      <c r="EF245" s="2197">
        <v>-9999</v>
      </c>
      <c r="EG245" s="2197">
        <v>-9999</v>
      </c>
      <c r="EH245" s="2197">
        <v>-9999</v>
      </c>
      <c r="EI245" s="2197">
        <v>-9999</v>
      </c>
      <c r="EJ245" s="2197">
        <v>-9999</v>
      </c>
      <c r="EK245" s="2197">
        <v>-9999</v>
      </c>
      <c r="EL245" s="2197">
        <v>-9999</v>
      </c>
      <c r="EM245" s="2197">
        <v>-9999</v>
      </c>
    </row>
    <row r="246" spans="1:149">
      <c r="A246" s="22">
        <v>146</v>
      </c>
      <c r="B246" s="33" t="s">
        <v>789</v>
      </c>
      <c r="C246" s="24">
        <f ca="1">OFFSET(Sector1!F420,0,Last_forecast_year - 3-InputY!$G$3)</f>
        <v>0.61829999999999996</v>
      </c>
      <c r="D246" s="24">
        <f ca="1">OFFSET(Sector1!G420,0,Last_forecast_year - 3-InputY!$G$3)</f>
        <v>0.64269000000000009</v>
      </c>
      <c r="E246" s="24">
        <f ca="1">OFFSET(Sector1!H420,0,Last_forecast_year - 3-InputY!$G$3)</f>
        <v>0.66518415000000009</v>
      </c>
      <c r="F246" s="24">
        <f ca="1">OFFSET(Sector1!I420,0,Last_forecast_year - 3-InputY!$G$3)</f>
        <v>0.68846559525000006</v>
      </c>
      <c r="G246" s="24">
        <f ca="1">OFFSET(Sector1!J420,0,Last_forecast_year - 3-InputY!$G$3)</f>
        <v>0.70911956310750013</v>
      </c>
      <c r="H246" s="25">
        <v>-9999</v>
      </c>
      <c r="I246" s="25">
        <v>-9999</v>
      </c>
      <c r="J246" s="25">
        <v>-9999</v>
      </c>
      <c r="K246" s="25">
        <v>-9999</v>
      </c>
      <c r="L246" s="25">
        <v>-9999</v>
      </c>
      <c r="M246" s="25">
        <v>-9999</v>
      </c>
      <c r="N246" s="25">
        <v>-9999</v>
      </c>
      <c r="O246" s="25">
        <v>-9999</v>
      </c>
      <c r="P246" s="26"/>
      <c r="Q246"/>
      <c r="AA246" s="22">
        <v>146</v>
      </c>
      <c r="AB246" s="1040" t="str">
        <f t="shared" si="31"/>
        <v>GG SOC TRANSF IN KIND VIA MARKET PRODUCERS</v>
      </c>
      <c r="AC246" s="1040">
        <f>CHOOSE(Tables!$U$2,Transfer!CA246,Transfer!CN246,Transfer!DA246,Transfer!DN246,Transfer!EA246)</f>
        <v>2.1401699999999999</v>
      </c>
      <c r="AD246" s="1040">
        <f>CHOOSE(Tables!$U$2,Transfer!CB246,Transfer!CO246,Transfer!DB246,Transfer!DO246,Transfer!EB246)</f>
        <v>2.0189400000000002</v>
      </c>
      <c r="AE246" s="1040">
        <f>CHOOSE(Tables!$U$2,Transfer!CC246,Transfer!CP246,Transfer!DC246,Transfer!DP246,Transfer!EC246)</f>
        <v>2.0391294000000002</v>
      </c>
      <c r="AF246" s="1040">
        <f>CHOOSE(Tables!$U$2,Transfer!CD246,Transfer!CQ246,Transfer!DD246,Transfer!DQ246,Transfer!ED246)</f>
        <v>2.0595206940000002</v>
      </c>
      <c r="AG246" s="1040">
        <f>CHOOSE(Tables!$U$2,Transfer!CE246,Transfer!CR246,Transfer!DE246,Transfer!DR246,Transfer!EE246)</f>
        <v>2.0801159009400001</v>
      </c>
      <c r="AH246" s="1040">
        <f>CHOOSE(Tables!$U$2,Transfer!CF246,Transfer!CS246,Transfer!DF246,Transfer!DS246,Transfer!EF246)</f>
        <v>-9999</v>
      </c>
      <c r="AI246" s="1040">
        <f>CHOOSE(Tables!$U$2,Transfer!CG246,Transfer!CT246,Transfer!DG246,Transfer!DT246,Transfer!EG246)</f>
        <v>-9999</v>
      </c>
      <c r="AJ246" s="1040">
        <f>CHOOSE(Tables!$U$2,Transfer!CH246,Transfer!CU246,Transfer!DH246,Transfer!DU246,Transfer!EH246)</f>
        <v>-9999</v>
      </c>
      <c r="AK246" s="1040">
        <f>CHOOSE(Tables!$U$2,Transfer!CI246,Transfer!CV246,Transfer!DI246,Transfer!DV246,Transfer!EI246)</f>
        <v>-9999</v>
      </c>
      <c r="AL246" s="1040">
        <f>CHOOSE(Tables!$U$2,Transfer!CJ246,Transfer!CW246,Transfer!DJ246,Transfer!DW246,Transfer!EJ246)</f>
        <v>-9999</v>
      </c>
      <c r="AM246" s="1040">
        <f>CHOOSE(Tables!$U$2,Transfer!CK246,Transfer!CX246,Transfer!DK246,Transfer!DX246,Transfer!EK246)</f>
        <v>-9999</v>
      </c>
      <c r="AN246" s="1040">
        <f>CHOOSE(Tables!$U$2,Transfer!CL246,Transfer!CY246,Transfer!DL246,Transfer!DY246,Transfer!EL246)</f>
        <v>-9999</v>
      </c>
      <c r="AO246" s="1040">
        <f>CHOOSE(Tables!$U$2,Transfer!CM246,Transfer!CZ246,Transfer!DM246,Transfer!DZ246,Transfer!EM246)</f>
        <v>-9999</v>
      </c>
      <c r="AR246" s="22">
        <v>146</v>
      </c>
      <c r="AS246" s="30" t="s">
        <v>1705</v>
      </c>
      <c r="AT246" s="25">
        <f t="shared" ref="AT246:AT256" ca="1" si="33">C246-AC246</f>
        <v>-1.5218699999999998</v>
      </c>
      <c r="AU246" s="25">
        <f t="shared" ref="AU246:AU256" ca="1" si="34">D246-AD246</f>
        <v>-1.3762500000000002</v>
      </c>
      <c r="AV246" s="25">
        <f t="shared" ref="AV246:AV256" ca="1" si="35">E246-AE246</f>
        <v>-1.3739452500000002</v>
      </c>
      <c r="AW246" s="25">
        <f t="shared" ref="AW246:AW256" ca="1" si="36">F246-AF246</f>
        <v>-1.3710550987500001</v>
      </c>
      <c r="AX246" s="25">
        <f t="shared" ref="AX246:AX256" ca="1" si="37">G246-AG246</f>
        <v>-1.3709963378325001</v>
      </c>
      <c r="AY246" s="25">
        <f t="shared" ref="AY246:AY256" si="38">H246-AH246</f>
        <v>0</v>
      </c>
      <c r="AZ246" s="25">
        <f t="shared" ref="AZ246:AZ256" si="39">I246-AI246</f>
        <v>0</v>
      </c>
      <c r="BA246" s="25">
        <f t="shared" ref="BA246:BA256" si="40">J246-AJ246</f>
        <v>0</v>
      </c>
      <c r="BB246" s="25">
        <f t="shared" ref="BB246:BB256" si="41">K246-AK246</f>
        <v>0</v>
      </c>
      <c r="BC246" s="25">
        <f t="shared" si="21"/>
        <v>0</v>
      </c>
      <c r="BD246" s="25">
        <f t="shared" si="21"/>
        <v>0</v>
      </c>
      <c r="BE246" s="25">
        <f t="shared" si="21"/>
        <v>0</v>
      </c>
      <c r="BF246" s="25">
        <f t="shared" si="21"/>
        <v>0</v>
      </c>
      <c r="CA246" s="16">
        <v>0.59125000000000005</v>
      </c>
      <c r="CB246" s="16">
        <v>0.64290000000000003</v>
      </c>
      <c r="CC246" s="16">
        <v>0.65479365</v>
      </c>
      <c r="CD246" s="16">
        <v>0.66788952300000004</v>
      </c>
      <c r="CE246" s="16">
        <v>0.6879262086900001</v>
      </c>
      <c r="CF246" s="16">
        <v>-9999</v>
      </c>
      <c r="CG246" s="16">
        <v>-9999</v>
      </c>
      <c r="CH246" s="16">
        <v>-9999</v>
      </c>
      <c r="CI246" s="16">
        <v>-9999</v>
      </c>
      <c r="CJ246" s="16">
        <v>-9999</v>
      </c>
      <c r="CK246" s="16">
        <v>-9999</v>
      </c>
      <c r="CL246" s="16">
        <v>-9999</v>
      </c>
      <c r="CM246" s="16">
        <v>-9999</v>
      </c>
      <c r="CN246" s="16">
        <v>0.58472544000000004</v>
      </c>
      <c r="CO246" s="16">
        <v>0.59125348</v>
      </c>
      <c r="CP246" s="16">
        <v>0.60189604263999996</v>
      </c>
      <c r="CQ246" s="16">
        <v>0.61303111942883992</v>
      </c>
      <c r="CR246" s="16">
        <v>0.62529174181741676</v>
      </c>
      <c r="CS246" s="16">
        <v>-9999</v>
      </c>
      <c r="CT246" s="16">
        <v>-9999</v>
      </c>
      <c r="CU246" s="16">
        <v>-9999</v>
      </c>
      <c r="CV246" s="16">
        <v>-9999</v>
      </c>
      <c r="CW246" s="16">
        <v>-9999</v>
      </c>
      <c r="CX246" s="16">
        <v>-9999</v>
      </c>
      <c r="CY246" s="16">
        <v>-9999</v>
      </c>
      <c r="CZ246" s="16">
        <v>-9999</v>
      </c>
      <c r="DA246" s="16">
        <v>0.59125000000000005</v>
      </c>
      <c r="DB246" s="16">
        <v>0.64290000000000003</v>
      </c>
      <c r="DC246" s="16">
        <v>0.65479365</v>
      </c>
      <c r="DD246" s="16">
        <v>0.66788952300000004</v>
      </c>
      <c r="DE246" s="16">
        <v>0.6879262086900001</v>
      </c>
      <c r="DF246" s="16">
        <v>-9999</v>
      </c>
      <c r="DG246" s="16">
        <v>-9999</v>
      </c>
      <c r="DH246" s="16">
        <v>-9999</v>
      </c>
      <c r="DI246" s="16">
        <v>-9999</v>
      </c>
      <c r="DJ246" s="16">
        <v>-9999</v>
      </c>
      <c r="DK246" s="16">
        <v>-9999</v>
      </c>
      <c r="DL246" s="16">
        <v>-9999</v>
      </c>
      <c r="DM246" s="16">
        <v>-9999</v>
      </c>
      <c r="DN246" s="16">
        <v>0.58472999999999997</v>
      </c>
      <c r="DO246" s="16">
        <v>0.59125000000000005</v>
      </c>
      <c r="DP246" s="16">
        <v>0.64290000000000003</v>
      </c>
      <c r="DQ246" s="16">
        <v>0.65479365</v>
      </c>
      <c r="DR246" s="16">
        <v>0.66788952300000004</v>
      </c>
      <c r="DS246" s="16">
        <v>-9999</v>
      </c>
      <c r="DT246" s="16">
        <v>-9999</v>
      </c>
      <c r="DU246" s="16">
        <v>-9999</v>
      </c>
      <c r="DV246" s="16">
        <v>-9999</v>
      </c>
      <c r="DW246" s="16">
        <v>-9999</v>
      </c>
      <c r="DX246" s="16">
        <v>-9999</v>
      </c>
      <c r="DY246" s="16">
        <v>-9999</v>
      </c>
      <c r="DZ246" s="16">
        <v>-9999</v>
      </c>
      <c r="EA246" s="2197">
        <v>2.1401699999999999</v>
      </c>
      <c r="EB246" s="2197">
        <v>2.0189400000000002</v>
      </c>
      <c r="EC246" s="2197">
        <v>2.0391294000000002</v>
      </c>
      <c r="ED246" s="2197">
        <v>2.0595206940000002</v>
      </c>
      <c r="EE246" s="2197">
        <v>2.0801159009400001</v>
      </c>
      <c r="EF246" s="2197">
        <v>-9999</v>
      </c>
      <c r="EG246" s="2197">
        <v>-9999</v>
      </c>
      <c r="EH246" s="2197">
        <v>-9999</v>
      </c>
      <c r="EI246" s="2197">
        <v>-9999</v>
      </c>
      <c r="EJ246" s="2197">
        <v>-9999</v>
      </c>
      <c r="EK246" s="2197">
        <v>-9999</v>
      </c>
      <c r="EL246" s="2197">
        <v>-9999</v>
      </c>
      <c r="EM246" s="2197">
        <v>-9999</v>
      </c>
    </row>
    <row r="247" spans="1:149">
      <c r="A247" s="22">
        <v>147</v>
      </c>
      <c r="B247" s="29" t="s">
        <v>78</v>
      </c>
      <c r="C247" s="1344">
        <f ca="1">OFFSET('VVP2'!F288,0,Last_forecast_year - 3-InputY!$G$3)</f>
        <v>14.048900000000001</v>
      </c>
      <c r="D247" s="1344">
        <f ca="1">OFFSET('VVP2'!G288,0,Last_forecast_year - 3-InputY!$G$3)</f>
        <v>13.721000000000002</v>
      </c>
      <c r="E247" s="1344">
        <f ca="1">OFFSET('VVP2'!H288,0,Last_forecast_year - 3-InputY!$G$3)</f>
        <v>15.371</v>
      </c>
      <c r="F247" s="1344">
        <f ca="1">OFFSET('VVP2'!I288,0,Last_forecast_year - 3-InputY!$G$3)</f>
        <v>17.659465447348634</v>
      </c>
      <c r="G247" s="1344">
        <f ca="1">OFFSET('VVP2'!J288,0,Last_forecast_year - 3-InputY!$G$3)</f>
        <v>18.927709970692618</v>
      </c>
      <c r="H247" s="25">
        <v>-9999</v>
      </c>
      <c r="I247" s="25">
        <v>-9999</v>
      </c>
      <c r="J247" s="25">
        <v>-9999</v>
      </c>
      <c r="K247" s="25">
        <v>-9999</v>
      </c>
      <c r="L247" s="25">
        <v>-9999</v>
      </c>
      <c r="M247" s="25">
        <v>-9999</v>
      </c>
      <c r="N247" s="25">
        <v>-9999</v>
      </c>
      <c r="O247" s="25">
        <v>-9999</v>
      </c>
      <c r="P247" s="26"/>
      <c r="Q247"/>
      <c r="AA247" s="22">
        <v>147</v>
      </c>
      <c r="AB247" s="1040" t="str">
        <f t="shared" si="31"/>
        <v>EXPORTS OF GOODS INTRA-EU (FOB)</v>
      </c>
      <c r="AC247" s="1040">
        <f>CHOOSE(Tables!$U$2,Transfer!CA247,Transfer!CN247,Transfer!DA247,Transfer!DN247,Transfer!EA247)</f>
        <v>42.716315199999997</v>
      </c>
      <c r="AD247" s="1040">
        <f>CHOOSE(Tables!$U$2,Transfer!CB247,Transfer!CO247,Transfer!DB247,Transfer!DO247,Transfer!EB247)</f>
        <v>48.184169279999999</v>
      </c>
      <c r="AE247" s="1040">
        <f>CHOOSE(Tables!$U$2,Transfer!CC247,Transfer!CP247,Transfer!DC247,Transfer!DP247,Transfer!EC247)</f>
        <v>50.616307519544961</v>
      </c>
      <c r="AF247" s="1040">
        <f>CHOOSE(Tables!$U$2,Transfer!CD247,Transfer!CQ247,Transfer!DD247,Transfer!DQ247,Transfer!ED247)</f>
        <v>54.650405709152267</v>
      </c>
      <c r="AG247" s="1040">
        <f>CHOOSE(Tables!$U$2,Transfer!CE247,Transfer!CR247,Transfer!DE247,Transfer!DR247,Transfer!EE247)</f>
        <v>59.876143555492668</v>
      </c>
      <c r="AH247" s="1040">
        <f>CHOOSE(Tables!$U$2,Transfer!CF247,Transfer!CS247,Transfer!DF247,Transfer!DS247,Transfer!EF247)</f>
        <v>-9999</v>
      </c>
      <c r="AI247" s="1040">
        <f>CHOOSE(Tables!$U$2,Transfer!CG247,Transfer!CT247,Transfer!DG247,Transfer!DT247,Transfer!EG247)</f>
        <v>-9999</v>
      </c>
      <c r="AJ247" s="1040">
        <f>CHOOSE(Tables!$U$2,Transfer!CH247,Transfer!CU247,Transfer!DH247,Transfer!DU247,Transfer!EH247)</f>
        <v>-9999</v>
      </c>
      <c r="AK247" s="1040">
        <f>CHOOSE(Tables!$U$2,Transfer!CI247,Transfer!CV247,Transfer!DI247,Transfer!DV247,Transfer!EI247)</f>
        <v>-9999</v>
      </c>
      <c r="AL247" s="1040">
        <f>CHOOSE(Tables!$U$2,Transfer!CJ247,Transfer!CW247,Transfer!DJ247,Transfer!DW247,Transfer!EJ247)</f>
        <v>-9999</v>
      </c>
      <c r="AM247" s="1040">
        <f>CHOOSE(Tables!$U$2,Transfer!CK247,Transfer!CX247,Transfer!DK247,Transfer!DX247,Transfer!EK247)</f>
        <v>-9999</v>
      </c>
      <c r="AN247" s="1040">
        <f>CHOOSE(Tables!$U$2,Transfer!CL247,Transfer!CY247,Transfer!DL247,Transfer!DY247,Transfer!EL247)</f>
        <v>-9999</v>
      </c>
      <c r="AO247" s="1040">
        <f>CHOOSE(Tables!$U$2,Transfer!CM247,Transfer!CZ247,Transfer!DM247,Transfer!DZ247,Transfer!EM247)</f>
        <v>-9999</v>
      </c>
      <c r="AR247" s="22">
        <v>147</v>
      </c>
      <c r="AS247" s="29" t="s">
        <v>78</v>
      </c>
      <c r="AT247" s="1344">
        <f t="shared" ca="1" si="33"/>
        <v>-28.667415199999994</v>
      </c>
      <c r="AU247" s="1344">
        <f t="shared" ca="1" si="34"/>
        <v>-34.463169279999995</v>
      </c>
      <c r="AV247" s="1344">
        <f t="shared" ca="1" si="35"/>
        <v>-35.245307519544959</v>
      </c>
      <c r="AW247" s="1344">
        <f t="shared" ca="1" si="36"/>
        <v>-36.99094026180363</v>
      </c>
      <c r="AX247" s="1344">
        <f t="shared" ca="1" si="37"/>
        <v>-40.94843358480005</v>
      </c>
      <c r="AY247" s="25">
        <f t="shared" si="38"/>
        <v>0</v>
      </c>
      <c r="AZ247" s="25">
        <f t="shared" si="39"/>
        <v>0</v>
      </c>
      <c r="BA247" s="25">
        <f t="shared" si="40"/>
        <v>0</v>
      </c>
      <c r="BB247" s="25">
        <f t="shared" si="41"/>
        <v>0</v>
      </c>
      <c r="BC247" s="25">
        <f t="shared" si="21"/>
        <v>0</v>
      </c>
      <c r="BD247" s="25">
        <f t="shared" si="21"/>
        <v>0</v>
      </c>
      <c r="BE247" s="25">
        <f t="shared" si="21"/>
        <v>0</v>
      </c>
      <c r="BF247" s="25">
        <f t="shared" si="21"/>
        <v>0</v>
      </c>
      <c r="CA247" s="16">
        <v>13.612299999999999</v>
      </c>
      <c r="CB247" s="16">
        <v>13.358299999999998</v>
      </c>
      <c r="CC247" s="16">
        <v>15.594263634166975</v>
      </c>
      <c r="CD247" s="16">
        <v>16.441314506669364</v>
      </c>
      <c r="CE247" s="16">
        <v>17.635796334210863</v>
      </c>
      <c r="CF247" s="16">
        <v>-9999</v>
      </c>
      <c r="CG247" s="16">
        <v>-9999</v>
      </c>
      <c r="CH247" s="16">
        <v>-9999</v>
      </c>
      <c r="CI247" s="16">
        <v>-9999</v>
      </c>
      <c r="CJ247" s="16">
        <v>-9999</v>
      </c>
      <c r="CK247" s="16">
        <v>-9999</v>
      </c>
      <c r="CL247" s="16">
        <v>-9999</v>
      </c>
      <c r="CM247" s="16">
        <v>-9999</v>
      </c>
      <c r="CN247" s="16">
        <v>13.9551</v>
      </c>
      <c r="CO247" s="16">
        <v>13.612299999999999</v>
      </c>
      <c r="CP247" s="16">
        <v>14.357680509720749</v>
      </c>
      <c r="CQ247" s="16">
        <v>14.654518397631756</v>
      </c>
      <c r="CR247" s="16">
        <v>15.495646286657514</v>
      </c>
      <c r="CS247" s="16">
        <v>-9999</v>
      </c>
      <c r="CT247" s="16">
        <v>-9999</v>
      </c>
      <c r="CU247" s="16">
        <v>-9999</v>
      </c>
      <c r="CV247" s="16">
        <v>-9999</v>
      </c>
      <c r="CW247" s="16">
        <v>-9999</v>
      </c>
      <c r="CX247" s="16">
        <v>-9999</v>
      </c>
      <c r="CY247" s="16">
        <v>-9999</v>
      </c>
      <c r="CZ247" s="16">
        <v>-9999</v>
      </c>
      <c r="DA247" s="16">
        <v>13.612299999999999</v>
      </c>
      <c r="DB247" s="16">
        <v>13.388900000000001</v>
      </c>
      <c r="DC247" s="16">
        <v>15.44051531883917</v>
      </c>
      <c r="DD247" s="16">
        <v>16.513965238516356</v>
      </c>
      <c r="DE247" s="16">
        <v>17.550026345943657</v>
      </c>
      <c r="DF247" s="16">
        <v>-9999</v>
      </c>
      <c r="DG247" s="16">
        <v>-9999</v>
      </c>
      <c r="DH247" s="16">
        <v>-9999</v>
      </c>
      <c r="DI247" s="16">
        <v>-9999</v>
      </c>
      <c r="DJ247" s="16">
        <v>-9999</v>
      </c>
      <c r="DK247" s="16">
        <v>-9999</v>
      </c>
      <c r="DL247" s="16">
        <v>-9999</v>
      </c>
      <c r="DM247" s="16">
        <v>-9999</v>
      </c>
      <c r="DN247" s="16">
        <v>13.9551</v>
      </c>
      <c r="DO247" s="16">
        <v>13.612299999999999</v>
      </c>
      <c r="DP247" s="16">
        <v>14.357680509720749</v>
      </c>
      <c r="DQ247" s="16">
        <v>14.611604372029182</v>
      </c>
      <c r="DR247" s="16">
        <v>15.449846207005114</v>
      </c>
      <c r="DS247" s="16">
        <v>-9999</v>
      </c>
      <c r="DT247" s="16">
        <v>-9999</v>
      </c>
      <c r="DU247" s="16">
        <v>-9999</v>
      </c>
      <c r="DV247" s="16">
        <v>-9999</v>
      </c>
      <c r="DW247" s="16">
        <v>-9999</v>
      </c>
      <c r="DX247" s="16">
        <v>-9999</v>
      </c>
      <c r="DY247" s="16">
        <v>-9999</v>
      </c>
      <c r="DZ247" s="16">
        <v>-9999</v>
      </c>
      <c r="EA247" s="2196">
        <v>42.716315199999997</v>
      </c>
      <c r="EB247" s="2196">
        <v>48.184169279999999</v>
      </c>
      <c r="EC247" s="2196">
        <v>50.616307519544961</v>
      </c>
      <c r="ED247" s="2196">
        <v>54.650405709152267</v>
      </c>
      <c r="EE247" s="2196">
        <v>59.876143555492668</v>
      </c>
      <c r="EF247" s="2197">
        <v>-9999</v>
      </c>
      <c r="EG247" s="2197">
        <v>-9999</v>
      </c>
      <c r="EH247" s="2197">
        <v>-9999</v>
      </c>
      <c r="EI247" s="2197">
        <v>-9999</v>
      </c>
      <c r="EJ247" s="2197">
        <v>-9999</v>
      </c>
      <c r="EK247" s="2197">
        <v>-9999</v>
      </c>
      <c r="EL247" s="2197">
        <v>-9999</v>
      </c>
      <c r="EM247" s="2197">
        <v>-9999</v>
      </c>
    </row>
    <row r="248" spans="1:149">
      <c r="A248" s="22">
        <v>148</v>
      </c>
      <c r="B248" s="33" t="s">
        <v>304</v>
      </c>
      <c r="C248" s="24">
        <f ca="1">OFFSET(Sector1!F483,0,Last_forecast_year - 3-InputY!$G$3)</f>
        <v>1.763E-2</v>
      </c>
      <c r="D248" s="24">
        <f ca="1">OFFSET(Sector1!G483,0,Last_forecast_year - 3-InputY!$G$3)</f>
        <v>1.421E-2</v>
      </c>
      <c r="E248" s="24">
        <f ca="1">OFFSET(Sector1!H483,0,Last_forecast_year - 3-InputY!$G$3)</f>
        <v>1.421E-2</v>
      </c>
      <c r="F248" s="24">
        <f ca="1">OFFSET(Sector1!I483,0,Last_forecast_year - 3-InputY!$G$3)</f>
        <v>1.421E-2</v>
      </c>
      <c r="G248" s="24">
        <f ca="1">OFFSET(Sector1!J483,0,Last_forecast_year - 3-InputY!$G$3)</f>
        <v>1.421E-2</v>
      </c>
      <c r="H248" s="25">
        <v>-9999</v>
      </c>
      <c r="I248" s="25">
        <v>-9999</v>
      </c>
      <c r="J248" s="25">
        <v>-9999</v>
      </c>
      <c r="K248" s="25">
        <v>-9999</v>
      </c>
      <c r="L248" s="25">
        <v>-9999</v>
      </c>
      <c r="M248" s="25">
        <v>-9999</v>
      </c>
      <c r="N248" s="25">
        <v>-9999</v>
      </c>
      <c r="O248" s="25">
        <v>-9999</v>
      </c>
      <c r="P248" s="26"/>
      <c r="Q248"/>
      <c r="AA248" s="22">
        <v>148</v>
      </c>
      <c r="AB248" s="1040" t="str">
        <f t="shared" si="31"/>
        <v>GG UNPAID TAXES</v>
      </c>
      <c r="AC248" s="1040">
        <f>CHOOSE(Tables!$U$2,Transfer!CA248,Transfer!CN248,Transfer!DA248,Transfer!DN248,Transfer!EA248)</f>
        <v>5.5039999999999999E-2</v>
      </c>
      <c r="AD248" s="1040">
        <f>CHOOSE(Tables!$U$2,Transfer!CB248,Transfer!CO248,Transfer!DB248,Transfer!DO248,Transfer!EB248)</f>
        <v>4.8750000000000002E-2</v>
      </c>
      <c r="AE248" s="1040">
        <f>CHOOSE(Tables!$U$2,Transfer!CC248,Transfer!CP248,Transfer!DC248,Transfer!DP248,Transfer!EC248)</f>
        <v>4.8750000000000002E-2</v>
      </c>
      <c r="AF248" s="1040">
        <f>CHOOSE(Tables!$U$2,Transfer!CD248,Transfer!CQ248,Transfer!DD248,Transfer!DQ248,Transfer!ED248)</f>
        <v>4.8750000000000002E-2</v>
      </c>
      <c r="AG248" s="1040">
        <f>CHOOSE(Tables!$U$2,Transfer!CE248,Transfer!CR248,Transfer!DE248,Transfer!DR248,Transfer!EE248)</f>
        <v>4.8750000000000002E-2</v>
      </c>
      <c r="AH248" s="1040">
        <f>CHOOSE(Tables!$U$2,Transfer!CF248,Transfer!CS248,Transfer!DF248,Transfer!DS248,Transfer!EF248)</f>
        <v>-9999</v>
      </c>
      <c r="AI248" s="1040">
        <f>CHOOSE(Tables!$U$2,Transfer!CG248,Transfer!CT248,Transfer!DG248,Transfer!DT248,Transfer!EG248)</f>
        <v>-9999</v>
      </c>
      <c r="AJ248" s="1040">
        <f>CHOOSE(Tables!$U$2,Transfer!CH248,Transfer!CU248,Transfer!DH248,Transfer!DU248,Transfer!EH248)</f>
        <v>-9999</v>
      </c>
      <c r="AK248" s="1040">
        <f>CHOOSE(Tables!$U$2,Transfer!CI248,Transfer!CV248,Transfer!DI248,Transfer!DV248,Transfer!EI248)</f>
        <v>-9999</v>
      </c>
      <c r="AL248" s="1040">
        <f>CHOOSE(Tables!$U$2,Transfer!CJ248,Transfer!CW248,Transfer!DJ248,Transfer!DW248,Transfer!EJ248)</f>
        <v>-9999</v>
      </c>
      <c r="AM248" s="1040">
        <f>CHOOSE(Tables!$U$2,Transfer!CK248,Transfer!CX248,Transfer!DK248,Transfer!DX248,Transfer!EK248)</f>
        <v>-9999</v>
      </c>
      <c r="AN248" s="1040">
        <f>CHOOSE(Tables!$U$2,Transfer!CL248,Transfer!CY248,Transfer!DL248,Transfer!DY248,Transfer!EL248)</f>
        <v>-9999</v>
      </c>
      <c r="AO248" s="1040">
        <f>CHOOSE(Tables!$U$2,Transfer!CM248,Transfer!CZ248,Transfer!DM248,Transfer!DZ248,Transfer!EM248)</f>
        <v>-9999</v>
      </c>
      <c r="AR248" s="22">
        <v>148</v>
      </c>
      <c r="AS248" s="30" t="s">
        <v>1705</v>
      </c>
      <c r="AT248" s="25">
        <f t="shared" ca="1" si="33"/>
        <v>-3.7409999999999999E-2</v>
      </c>
      <c r="AU248" s="25">
        <f t="shared" ca="1" si="34"/>
        <v>-3.4540000000000001E-2</v>
      </c>
      <c r="AV248" s="25">
        <f t="shared" ca="1" si="35"/>
        <v>-3.4540000000000001E-2</v>
      </c>
      <c r="AW248" s="25">
        <f t="shared" ca="1" si="36"/>
        <v>-3.4540000000000001E-2</v>
      </c>
      <c r="AX248" s="25">
        <f t="shared" ca="1" si="37"/>
        <v>-3.4540000000000001E-2</v>
      </c>
      <c r="AY248" s="25">
        <f t="shared" si="38"/>
        <v>0</v>
      </c>
      <c r="AZ248" s="25">
        <f t="shared" si="39"/>
        <v>0</v>
      </c>
      <c r="BA248" s="25">
        <f t="shared" si="40"/>
        <v>0</v>
      </c>
      <c r="BB248" s="25">
        <f t="shared" si="41"/>
        <v>0</v>
      </c>
      <c r="BC248" s="25">
        <f t="shared" si="21"/>
        <v>0</v>
      </c>
      <c r="BD248" s="25">
        <f t="shared" si="21"/>
        <v>0</v>
      </c>
      <c r="BE248" s="25">
        <f t="shared" si="21"/>
        <v>0</v>
      </c>
      <c r="BF248" s="25">
        <f t="shared" si="21"/>
        <v>0</v>
      </c>
      <c r="CA248" s="16">
        <v>1.7410000000000002E-2</v>
      </c>
      <c r="CB248" s="16">
        <v>1.5140000000000001E-2</v>
      </c>
      <c r="CC248" s="16">
        <v>1.5140000000000001E-2</v>
      </c>
      <c r="CD248" s="16">
        <v>1.5140000000000001E-2</v>
      </c>
      <c r="CE248" s="16">
        <v>1.5140000000000001E-2</v>
      </c>
      <c r="CF248" s="16">
        <v>-9999</v>
      </c>
      <c r="CG248" s="16">
        <v>-9999</v>
      </c>
      <c r="CH248" s="16">
        <v>-9999</v>
      </c>
      <c r="CI248" s="16">
        <v>-9999</v>
      </c>
      <c r="CJ248" s="16">
        <v>-9999</v>
      </c>
      <c r="CK248" s="16">
        <v>-9999</v>
      </c>
      <c r="CL248" s="16">
        <v>-9999</v>
      </c>
      <c r="CM248" s="16">
        <v>-9999</v>
      </c>
      <c r="CN248" s="16">
        <v>1.411898E-2</v>
      </c>
      <c r="CO248" s="16">
        <v>1.740616E-2</v>
      </c>
      <c r="CP248" s="16">
        <v>3.4812319999999995E-3</v>
      </c>
      <c r="CQ248" s="16">
        <v>3.4812319999999995E-3</v>
      </c>
      <c r="CR248" s="16">
        <v>3.4812319999999995E-3</v>
      </c>
      <c r="CS248" s="16">
        <v>-9999</v>
      </c>
      <c r="CT248" s="16">
        <v>-9999</v>
      </c>
      <c r="CU248" s="16">
        <v>-9999</v>
      </c>
      <c r="CV248" s="16">
        <v>-9999</v>
      </c>
      <c r="CW248" s="16">
        <v>-9999</v>
      </c>
      <c r="CX248" s="16">
        <v>-9999</v>
      </c>
      <c r="CY248" s="16">
        <v>-9999</v>
      </c>
      <c r="CZ248" s="16">
        <v>-9999</v>
      </c>
      <c r="DA248" s="16">
        <v>1.7410000000000002E-2</v>
      </c>
      <c r="DB248" s="16">
        <v>1.5140000000000001E-2</v>
      </c>
      <c r="DC248" s="16">
        <v>1.5140000000000001E-2</v>
      </c>
      <c r="DD248" s="16">
        <v>1.5140000000000001E-2</v>
      </c>
      <c r="DE248" s="16">
        <v>1.5140000000000001E-2</v>
      </c>
      <c r="DF248" s="16">
        <v>-9999</v>
      </c>
      <c r="DG248" s="16">
        <v>-9999</v>
      </c>
      <c r="DH248" s="16">
        <v>-9999</v>
      </c>
      <c r="DI248" s="16">
        <v>-9999</v>
      </c>
      <c r="DJ248" s="16">
        <v>-9999</v>
      </c>
      <c r="DK248" s="16">
        <v>-9999</v>
      </c>
      <c r="DL248" s="16">
        <v>-9999</v>
      </c>
      <c r="DM248" s="16">
        <v>-9999</v>
      </c>
      <c r="DN248" s="16">
        <v>1.4119999999999999E-2</v>
      </c>
      <c r="DO248" s="16">
        <v>1.7410000000000002E-2</v>
      </c>
      <c r="DP248" s="16">
        <v>1.5140000000000001E-2</v>
      </c>
      <c r="DQ248" s="16">
        <v>1.5140000000000001E-2</v>
      </c>
      <c r="DR248" s="16">
        <v>1.5140000000000001E-2</v>
      </c>
      <c r="DS248" s="16">
        <v>-9999</v>
      </c>
      <c r="DT248" s="16">
        <v>-9999</v>
      </c>
      <c r="DU248" s="16">
        <v>-9999</v>
      </c>
      <c r="DV248" s="16">
        <v>-9999</v>
      </c>
      <c r="DW248" s="16">
        <v>-9999</v>
      </c>
      <c r="DX248" s="16">
        <v>-9999</v>
      </c>
      <c r="DY248" s="16">
        <v>-9999</v>
      </c>
      <c r="DZ248" s="16">
        <v>-9999</v>
      </c>
      <c r="EA248" s="2197">
        <v>5.5039999999999999E-2</v>
      </c>
      <c r="EB248" s="2197">
        <v>4.8750000000000002E-2</v>
      </c>
      <c r="EC248" s="2197">
        <v>4.8750000000000002E-2</v>
      </c>
      <c r="ED248" s="2197">
        <v>4.8750000000000002E-2</v>
      </c>
      <c r="EE248" s="2197">
        <v>4.8750000000000002E-2</v>
      </c>
      <c r="EF248" s="2197">
        <v>-9999</v>
      </c>
      <c r="EG248" s="2197">
        <v>-9999</v>
      </c>
      <c r="EH248" s="2197">
        <v>-9999</v>
      </c>
      <c r="EI248" s="2197">
        <v>-9999</v>
      </c>
      <c r="EJ248" s="2197">
        <v>-9999</v>
      </c>
      <c r="EK248" s="2197">
        <v>-9999</v>
      </c>
      <c r="EL248" s="2197">
        <v>-9999</v>
      </c>
      <c r="EM248" s="2197">
        <v>-9999</v>
      </c>
    </row>
    <row r="249" spans="1:149">
      <c r="A249" s="22">
        <v>149</v>
      </c>
      <c r="B249" s="29" t="s">
        <v>80</v>
      </c>
      <c r="C249" s="1344">
        <f ca="1">OFFSET('VVP2'!F289,0,Last_forecast_year - 3-InputY!$G$3)</f>
        <v>8.8555000000000046</v>
      </c>
      <c r="D249" s="1344">
        <f ca="1">OFFSET('VVP2'!G289,0,Last_forecast_year - 3-InputY!$G$3)</f>
        <v>8.8862000000000005</v>
      </c>
      <c r="E249" s="1344">
        <f ca="1">OFFSET('VVP2'!H289,0,Last_forecast_year - 3-InputY!$G$3)</f>
        <v>11.070200000000003</v>
      </c>
      <c r="F249" s="1344">
        <f ca="1">OFFSET('VVP2'!I289,0,Last_forecast_year - 3-InputY!$G$3)</f>
        <v>12.398624000000005</v>
      </c>
      <c r="G249" s="1344">
        <f ca="1">OFFSET('VVP2'!J289,0,Last_forecast_year - 3-InputY!$G$3)</f>
        <v>13.080548320000005</v>
      </c>
      <c r="H249" s="25">
        <v>-9999</v>
      </c>
      <c r="I249" s="25">
        <v>-9999</v>
      </c>
      <c r="J249" s="25">
        <v>-9999</v>
      </c>
      <c r="K249" s="25">
        <v>-9999</v>
      </c>
      <c r="L249" s="25">
        <v>-9999</v>
      </c>
      <c r="M249" s="25">
        <v>-9999</v>
      </c>
      <c r="N249" s="25">
        <v>-9999</v>
      </c>
      <c r="O249" s="25">
        <v>-9999</v>
      </c>
      <c r="P249" s="26"/>
      <c r="Q249"/>
      <c r="AA249" s="22">
        <v>149</v>
      </c>
      <c r="AB249" s="1040" t="str">
        <f t="shared" si="31"/>
        <v>EXPORTS OF GOODS EXTRA-EU (FOB)</v>
      </c>
      <c r="AC249" s="1040">
        <f>CHOOSE(Tables!$U$2,Transfer!CA249,Transfer!CN249,Transfer!DA249,Transfer!DN249,Transfer!EA249)</f>
        <v>26.86140288</v>
      </c>
      <c r="AD249" s="1040">
        <f>CHOOSE(Tables!$U$2,Transfer!CB249,Transfer!CO249,Transfer!DB249,Transfer!DO249,Transfer!EB249)</f>
        <v>31.394238719999997</v>
      </c>
      <c r="AE249" s="1040">
        <f>CHOOSE(Tables!$U$2,Transfer!CC249,Transfer!CP249,Transfer!DC249,Transfer!DP249,Transfer!EC249)</f>
        <v>33.905777817599997</v>
      </c>
      <c r="AF249" s="1040">
        <f>CHOOSE(Tables!$U$2,Transfer!CD249,Transfer!CQ249,Transfer!DD249,Transfer!DQ249,Transfer!ED249)</f>
        <v>37.059015154636796</v>
      </c>
      <c r="AG249" s="1040">
        <f>CHOOSE(Tables!$U$2,Transfer!CE249,Transfer!CR249,Transfer!DE249,Transfer!DR249,Transfer!EE249)</f>
        <v>40.505503564018021</v>
      </c>
      <c r="AH249" s="1040">
        <f>CHOOSE(Tables!$U$2,Transfer!CF249,Transfer!CS249,Transfer!DF249,Transfer!DS249,Transfer!EF249)</f>
        <v>-9999</v>
      </c>
      <c r="AI249" s="1040">
        <f>CHOOSE(Tables!$U$2,Transfer!CG249,Transfer!CT249,Transfer!DG249,Transfer!DT249,Transfer!EG249)</f>
        <v>-9999</v>
      </c>
      <c r="AJ249" s="1040">
        <f>CHOOSE(Tables!$U$2,Transfer!CH249,Transfer!CU249,Transfer!DH249,Transfer!DU249,Transfer!EH249)</f>
        <v>-9999</v>
      </c>
      <c r="AK249" s="1040">
        <f>CHOOSE(Tables!$U$2,Transfer!CI249,Transfer!CV249,Transfer!DI249,Transfer!DV249,Transfer!EI249)</f>
        <v>-9999</v>
      </c>
      <c r="AL249" s="1040">
        <f>CHOOSE(Tables!$U$2,Transfer!CJ249,Transfer!CW249,Transfer!DJ249,Transfer!DW249,Transfer!EJ249)</f>
        <v>-9999</v>
      </c>
      <c r="AM249" s="1040">
        <f>CHOOSE(Tables!$U$2,Transfer!CK249,Transfer!CX249,Transfer!DK249,Transfer!DX249,Transfer!EK249)</f>
        <v>-9999</v>
      </c>
      <c r="AN249" s="1040">
        <f>CHOOSE(Tables!$U$2,Transfer!CL249,Transfer!CY249,Transfer!DL249,Transfer!DY249,Transfer!EL249)</f>
        <v>-9999</v>
      </c>
      <c r="AO249" s="1040">
        <f>CHOOSE(Tables!$U$2,Transfer!CM249,Transfer!CZ249,Transfer!DM249,Transfer!DZ249,Transfer!EM249)</f>
        <v>-9999</v>
      </c>
      <c r="AR249" s="22">
        <v>149</v>
      </c>
      <c r="AS249" s="29" t="s">
        <v>80</v>
      </c>
      <c r="AT249" s="1344">
        <f t="shared" ca="1" si="33"/>
        <v>-18.005902879999994</v>
      </c>
      <c r="AU249" s="1344">
        <f t="shared" ca="1" si="34"/>
        <v>-22.508038719999995</v>
      </c>
      <c r="AV249" s="1344">
        <f t="shared" ca="1" si="35"/>
        <v>-22.835577817599994</v>
      </c>
      <c r="AW249" s="1344">
        <f t="shared" ca="1" si="36"/>
        <v>-24.660391154636791</v>
      </c>
      <c r="AX249" s="1344">
        <f t="shared" ca="1" si="37"/>
        <v>-27.424955244018015</v>
      </c>
      <c r="AY249" s="25">
        <f t="shared" si="38"/>
        <v>0</v>
      </c>
      <c r="AZ249" s="25">
        <f t="shared" si="39"/>
        <v>0</v>
      </c>
      <c r="BA249" s="25">
        <f t="shared" si="40"/>
        <v>0</v>
      </c>
      <c r="BB249" s="25">
        <f t="shared" si="41"/>
        <v>0</v>
      </c>
      <c r="BC249" s="25">
        <f t="shared" si="21"/>
        <v>0</v>
      </c>
      <c r="BD249" s="25">
        <f t="shared" si="21"/>
        <v>0</v>
      </c>
      <c r="BE249" s="25">
        <f t="shared" si="21"/>
        <v>0</v>
      </c>
      <c r="BF249" s="25">
        <f t="shared" si="21"/>
        <v>0</v>
      </c>
      <c r="CA249" s="16">
        <v>10.932100000000004</v>
      </c>
      <c r="CB249" s="16">
        <v>11.002800000000004</v>
      </c>
      <c r="CC249" s="16">
        <v>9.4624080000000035</v>
      </c>
      <c r="CD249" s="16">
        <v>9.3677839200000026</v>
      </c>
      <c r="CE249" s="16">
        <v>9.7424952768000033</v>
      </c>
      <c r="CF249" s="16">
        <v>-9999</v>
      </c>
      <c r="CG249" s="16">
        <v>-9999</v>
      </c>
      <c r="CH249" s="16">
        <v>-9999</v>
      </c>
      <c r="CI249" s="16">
        <v>-9999</v>
      </c>
      <c r="CJ249" s="16">
        <v>-9999</v>
      </c>
      <c r="CK249" s="16">
        <v>-9999</v>
      </c>
      <c r="CL249" s="16">
        <v>-9999</v>
      </c>
      <c r="CM249" s="16">
        <v>-9999</v>
      </c>
      <c r="CN249" s="16">
        <v>9.0923999999999978</v>
      </c>
      <c r="CO249" s="16">
        <v>10.932100000000004</v>
      </c>
      <c r="CP249" s="16">
        <v>11.205402500000003</v>
      </c>
      <c r="CQ249" s="16">
        <v>11.328661927500002</v>
      </c>
      <c r="CR249" s="16">
        <v>12.234954881700004</v>
      </c>
      <c r="CS249" s="16">
        <v>-9999</v>
      </c>
      <c r="CT249" s="16">
        <v>-9999</v>
      </c>
      <c r="CU249" s="16">
        <v>-9999</v>
      </c>
      <c r="CV249" s="16">
        <v>-9999</v>
      </c>
      <c r="CW249" s="16">
        <v>-9999</v>
      </c>
      <c r="CX249" s="16">
        <v>-9999</v>
      </c>
      <c r="CY249" s="16">
        <v>-9999</v>
      </c>
      <c r="CZ249" s="16">
        <v>-9999</v>
      </c>
      <c r="DA249" s="16">
        <v>10.932100000000004</v>
      </c>
      <c r="DB249" s="16">
        <v>11.012000000000004</v>
      </c>
      <c r="DC249" s="16">
        <v>9.4703200000000027</v>
      </c>
      <c r="DD249" s="16">
        <v>9.3756168000000031</v>
      </c>
      <c r="DE249" s="16">
        <v>9.7506414720000034</v>
      </c>
      <c r="DF249" s="16">
        <v>-9999</v>
      </c>
      <c r="DG249" s="16">
        <v>-9999</v>
      </c>
      <c r="DH249" s="16">
        <v>-9999</v>
      </c>
      <c r="DI249" s="16">
        <v>-9999</v>
      </c>
      <c r="DJ249" s="16">
        <v>-9999</v>
      </c>
      <c r="DK249" s="16">
        <v>-9999</v>
      </c>
      <c r="DL249" s="16">
        <v>-9999</v>
      </c>
      <c r="DM249" s="16">
        <v>-9999</v>
      </c>
      <c r="DN249" s="16">
        <v>9.0923999999999978</v>
      </c>
      <c r="DO249" s="16">
        <v>10.932100000000004</v>
      </c>
      <c r="DP249" s="16">
        <v>11.205402500000003</v>
      </c>
      <c r="DQ249" s="16">
        <v>11.328661927500002</v>
      </c>
      <c r="DR249" s="16">
        <v>12.234954881700004</v>
      </c>
      <c r="DS249" s="16">
        <v>-9999</v>
      </c>
      <c r="DT249" s="16">
        <v>-9999</v>
      </c>
      <c r="DU249" s="16">
        <v>-9999</v>
      </c>
      <c r="DV249" s="16">
        <v>-9999</v>
      </c>
      <c r="DW249" s="16">
        <v>-9999</v>
      </c>
      <c r="DX249" s="16">
        <v>-9999</v>
      </c>
      <c r="DY249" s="16">
        <v>-9999</v>
      </c>
      <c r="DZ249" s="16">
        <v>-9999</v>
      </c>
      <c r="EA249" s="2196">
        <v>26.86140288</v>
      </c>
      <c r="EB249" s="2196">
        <v>31.394238719999997</v>
      </c>
      <c r="EC249" s="2196">
        <v>33.905777817599997</v>
      </c>
      <c r="ED249" s="2196">
        <v>37.059015154636796</v>
      </c>
      <c r="EE249" s="2196">
        <v>40.505503564018021</v>
      </c>
      <c r="EF249" s="2197">
        <v>-9999</v>
      </c>
      <c r="EG249" s="2197">
        <v>-9999</v>
      </c>
      <c r="EH249" s="2197">
        <v>-9999</v>
      </c>
      <c r="EI249" s="2197">
        <v>-9999</v>
      </c>
      <c r="EJ249" s="2197">
        <v>-9999</v>
      </c>
      <c r="EK249" s="2197">
        <v>-9999</v>
      </c>
      <c r="EL249" s="2197">
        <v>-9999</v>
      </c>
      <c r="EM249" s="2197">
        <v>-9999</v>
      </c>
    </row>
    <row r="250" spans="1:149">
      <c r="A250" s="22">
        <v>150</v>
      </c>
      <c r="B250" s="29" t="s">
        <v>82</v>
      </c>
      <c r="C250" s="1344">
        <f ca="1">OFFSET('VVP2'!F320,0,Last_forecast_year - 3-InputY!$G$3)</f>
        <v>17.198700000000002</v>
      </c>
      <c r="D250" s="1344">
        <f ca="1">OFFSET('VVP2'!G320,0,Last_forecast_year - 3-InputY!$G$3)</f>
        <v>17.5396</v>
      </c>
      <c r="E250" s="1344">
        <f ca="1">OFFSET('VVP2'!H320,0,Last_forecast_year - 3-InputY!$G$3)</f>
        <v>20.116099999999996</v>
      </c>
      <c r="F250" s="1344">
        <f ca="1">OFFSET('VVP2'!I320,0,Last_forecast_year - 3-InputY!$G$3)</f>
        <v>21.737308793711836</v>
      </c>
      <c r="G250" s="1344">
        <f ca="1">OFFSET('VVP2'!J320,0,Last_forecast_year - 3-InputY!$G$3)</f>
        <v>23.191216748882496</v>
      </c>
      <c r="H250" s="25">
        <v>-9999</v>
      </c>
      <c r="I250" s="25">
        <v>-9999</v>
      </c>
      <c r="J250" s="25">
        <v>-9999</v>
      </c>
      <c r="K250" s="25">
        <v>-9999</v>
      </c>
      <c r="L250" s="25">
        <v>-9999</v>
      </c>
      <c r="M250" s="25">
        <v>-9999</v>
      </c>
      <c r="N250" s="25">
        <v>-9999</v>
      </c>
      <c r="O250" s="25">
        <v>-9999</v>
      </c>
      <c r="P250" s="26"/>
      <c r="Q250"/>
      <c r="AA250" s="22">
        <v>150</v>
      </c>
      <c r="AB250" s="1040" t="str">
        <f t="shared" si="31"/>
        <v>IMPORTS OF GOODS INTRA-EU (CIF)</v>
      </c>
      <c r="AC250" s="1040">
        <f>CHOOSE(Tables!$U$2,Transfer!CA250,Transfer!CN250,Transfer!DA250,Transfer!DN250,Transfer!EA250)</f>
        <v>44.730333439999995</v>
      </c>
      <c r="AD250" s="1040">
        <f>CHOOSE(Tables!$U$2,Transfer!CB250,Transfer!CO250,Transfer!DB250,Transfer!DO250,Transfer!EB250)</f>
        <v>49.529725439999993</v>
      </c>
      <c r="AE250" s="1040">
        <f>CHOOSE(Tables!$U$2,Transfer!CC250,Transfer!CP250,Transfer!DC250,Transfer!DP250,Transfer!EC250)</f>
        <v>52.932671573256535</v>
      </c>
      <c r="AF250" s="1040">
        <f>CHOOSE(Tables!$U$2,Transfer!CD250,Transfer!CQ250,Transfer!DD250,Transfer!DQ250,Transfer!ED250)</f>
        <v>56.993083095257333</v>
      </c>
      <c r="AG250" s="1040">
        <f>CHOOSE(Tables!$U$2,Transfer!CE250,Transfer!CR250,Transfer!DE250,Transfer!DR250,Transfer!EE250)</f>
        <v>62.638564257024044</v>
      </c>
      <c r="AH250" s="1040">
        <f>CHOOSE(Tables!$U$2,Transfer!CF250,Transfer!CS250,Transfer!DF250,Transfer!DS250,Transfer!EF250)</f>
        <v>-9999</v>
      </c>
      <c r="AI250" s="1040">
        <f>CHOOSE(Tables!$U$2,Transfer!CG250,Transfer!CT250,Transfer!DG250,Transfer!DT250,Transfer!EG250)</f>
        <v>-9999</v>
      </c>
      <c r="AJ250" s="1040">
        <f>CHOOSE(Tables!$U$2,Transfer!CH250,Transfer!CU250,Transfer!DH250,Transfer!DU250,Transfer!EH250)</f>
        <v>-9999</v>
      </c>
      <c r="AK250" s="1040">
        <f>CHOOSE(Tables!$U$2,Transfer!CI250,Transfer!CV250,Transfer!DI250,Transfer!DV250,Transfer!EI250)</f>
        <v>-9999</v>
      </c>
      <c r="AL250" s="1040">
        <f>CHOOSE(Tables!$U$2,Transfer!CJ250,Transfer!CW250,Transfer!DJ250,Transfer!DW250,Transfer!EJ250)</f>
        <v>-9999</v>
      </c>
      <c r="AM250" s="1040">
        <f>CHOOSE(Tables!$U$2,Transfer!CK250,Transfer!CX250,Transfer!DK250,Transfer!DX250,Transfer!EK250)</f>
        <v>-9999</v>
      </c>
      <c r="AN250" s="1040">
        <f>CHOOSE(Tables!$U$2,Transfer!CL250,Transfer!CY250,Transfer!DL250,Transfer!DY250,Transfer!EL250)</f>
        <v>-9999</v>
      </c>
      <c r="AO250" s="1040">
        <f>CHOOSE(Tables!$U$2,Transfer!CM250,Transfer!CZ250,Transfer!DM250,Transfer!DZ250,Transfer!EM250)</f>
        <v>-9999</v>
      </c>
      <c r="AR250" s="22">
        <v>150</v>
      </c>
      <c r="AS250" s="29" t="s">
        <v>82</v>
      </c>
      <c r="AT250" s="1344">
        <f t="shared" ca="1" si="33"/>
        <v>-27.531633439999993</v>
      </c>
      <c r="AU250" s="1344">
        <f t="shared" ca="1" si="34"/>
        <v>-31.990125439999993</v>
      </c>
      <c r="AV250" s="1344">
        <f t="shared" ca="1" si="35"/>
        <v>-32.816571573256539</v>
      </c>
      <c r="AW250" s="1344">
        <f t="shared" ca="1" si="36"/>
        <v>-35.2557743015455</v>
      </c>
      <c r="AX250" s="1344">
        <f t="shared" ca="1" si="37"/>
        <v>-39.447347508141547</v>
      </c>
      <c r="AY250" s="25">
        <f t="shared" si="38"/>
        <v>0</v>
      </c>
      <c r="AZ250" s="25">
        <f t="shared" si="39"/>
        <v>0</v>
      </c>
      <c r="BA250" s="25">
        <f t="shared" si="40"/>
        <v>0</v>
      </c>
      <c r="BB250" s="25">
        <f t="shared" si="41"/>
        <v>0</v>
      </c>
      <c r="BC250" s="25">
        <f t="shared" si="21"/>
        <v>0</v>
      </c>
      <c r="BD250" s="25">
        <f t="shared" si="21"/>
        <v>0</v>
      </c>
      <c r="BE250" s="25">
        <f t="shared" si="21"/>
        <v>0</v>
      </c>
      <c r="BF250" s="25">
        <f t="shared" si="21"/>
        <v>0</v>
      </c>
      <c r="CA250" s="16">
        <v>15.8088</v>
      </c>
      <c r="CB250" s="16">
        <v>16.982300000000002</v>
      </c>
      <c r="CC250" s="16">
        <v>18.336180064469772</v>
      </c>
      <c r="CD250" s="16">
        <v>18.946324872362784</v>
      </c>
      <c r="CE250" s="16">
        <v>21.399703324302237</v>
      </c>
      <c r="CF250" s="16">
        <v>-9999</v>
      </c>
      <c r="CG250" s="16">
        <v>-9999</v>
      </c>
      <c r="CH250" s="16">
        <v>-9999</v>
      </c>
      <c r="CI250" s="16">
        <v>-9999</v>
      </c>
      <c r="CJ250" s="16">
        <v>-9999</v>
      </c>
      <c r="CK250" s="16">
        <v>-9999</v>
      </c>
      <c r="CL250" s="16">
        <v>-9999</v>
      </c>
      <c r="CM250" s="16">
        <v>-9999</v>
      </c>
      <c r="CN250" s="16">
        <v>14.344799999999998</v>
      </c>
      <c r="CO250" s="16">
        <v>15.8088</v>
      </c>
      <c r="CP250" s="16">
        <v>17.119222352380699</v>
      </c>
      <c r="CQ250" s="16">
        <v>17.104845743473362</v>
      </c>
      <c r="CR250" s="16">
        <v>18.495878013193085</v>
      </c>
      <c r="CS250" s="16">
        <v>-9999</v>
      </c>
      <c r="CT250" s="16">
        <v>-9999</v>
      </c>
      <c r="CU250" s="16">
        <v>-9999</v>
      </c>
      <c r="CV250" s="16">
        <v>-9999</v>
      </c>
      <c r="CW250" s="16">
        <v>-9999</v>
      </c>
      <c r="CX250" s="16">
        <v>-9999</v>
      </c>
      <c r="CY250" s="16">
        <v>-9999</v>
      </c>
      <c r="CZ250" s="16">
        <v>-9999</v>
      </c>
      <c r="DA250" s="16">
        <v>15.8088</v>
      </c>
      <c r="DB250" s="16">
        <v>16.935000000000002</v>
      </c>
      <c r="DC250" s="16">
        <v>18.719649248164778</v>
      </c>
      <c r="DD250" s="16">
        <v>19.938841764070901</v>
      </c>
      <c r="DE250" s="16">
        <v>21.673220590450953</v>
      </c>
      <c r="DF250" s="16">
        <v>-9999</v>
      </c>
      <c r="DG250" s="16">
        <v>-9999</v>
      </c>
      <c r="DH250" s="16">
        <v>-9999</v>
      </c>
      <c r="DI250" s="16">
        <v>-9999</v>
      </c>
      <c r="DJ250" s="16">
        <v>-9999</v>
      </c>
      <c r="DK250" s="16">
        <v>-9999</v>
      </c>
      <c r="DL250" s="16">
        <v>-9999</v>
      </c>
      <c r="DM250" s="16">
        <v>-9999</v>
      </c>
      <c r="DN250" s="16">
        <v>14.344799999999998</v>
      </c>
      <c r="DO250" s="16">
        <v>15.8088</v>
      </c>
      <c r="DP250" s="16">
        <v>17.09268246658123</v>
      </c>
      <c r="DQ250" s="16">
        <v>17.078268496228041</v>
      </c>
      <c r="DR250" s="16">
        <v>18.490276574898964</v>
      </c>
      <c r="DS250" s="16">
        <v>-9999</v>
      </c>
      <c r="DT250" s="16">
        <v>-9999</v>
      </c>
      <c r="DU250" s="16">
        <v>-9999</v>
      </c>
      <c r="DV250" s="16">
        <v>-9999</v>
      </c>
      <c r="DW250" s="16">
        <v>-9999</v>
      </c>
      <c r="DX250" s="16">
        <v>-9999</v>
      </c>
      <c r="DY250" s="16">
        <v>-9999</v>
      </c>
      <c r="DZ250" s="16">
        <v>-9999</v>
      </c>
      <c r="EA250" s="2196">
        <v>44.730333439999995</v>
      </c>
      <c r="EB250" s="2196">
        <v>49.529725439999993</v>
      </c>
      <c r="EC250" s="2196">
        <v>52.932671573256535</v>
      </c>
      <c r="ED250" s="2196">
        <v>56.993083095257333</v>
      </c>
      <c r="EE250" s="2196">
        <v>62.638564257024044</v>
      </c>
      <c r="EF250" s="2197">
        <v>-9999</v>
      </c>
      <c r="EG250" s="2197">
        <v>-9999</v>
      </c>
      <c r="EH250" s="2197">
        <v>-9999</v>
      </c>
      <c r="EI250" s="2197">
        <v>-9999</v>
      </c>
      <c r="EJ250" s="2197">
        <v>-9999</v>
      </c>
      <c r="EK250" s="2197">
        <v>-9999</v>
      </c>
      <c r="EL250" s="2197">
        <v>-9999</v>
      </c>
      <c r="EM250" s="2197">
        <v>-9999</v>
      </c>
    </row>
    <row r="251" spans="1:149">
      <c r="A251" s="22">
        <v>151</v>
      </c>
      <c r="B251" s="30" t="s">
        <v>1705</v>
      </c>
      <c r="C251" s="25">
        <v>-9999</v>
      </c>
      <c r="D251" s="25">
        <v>-9999</v>
      </c>
      <c r="E251" s="25">
        <v>-9999</v>
      </c>
      <c r="F251" s="25">
        <v>-9999</v>
      </c>
      <c r="G251" s="25">
        <v>-9999</v>
      </c>
      <c r="H251" s="25">
        <v>-9999</v>
      </c>
      <c r="I251" s="25">
        <v>-9999</v>
      </c>
      <c r="J251" s="25">
        <v>-9999</v>
      </c>
      <c r="K251" s="25">
        <v>-9999</v>
      </c>
      <c r="L251" s="25">
        <v>-9999</v>
      </c>
      <c r="M251" s="25">
        <v>-9999</v>
      </c>
      <c r="N251" s="25">
        <v>-9999</v>
      </c>
      <c r="O251" s="25">
        <v>-9999</v>
      </c>
      <c r="P251" s="26"/>
      <c r="Q251"/>
      <c r="AA251" s="22">
        <v>151</v>
      </c>
      <c r="AB251" s="1040" t="str">
        <f t="shared" si="31"/>
        <v>FOR FUTURE USE</v>
      </c>
      <c r="AC251" s="1040">
        <f>CHOOSE(Tables!$U$2,Transfer!CA251,Transfer!CN251,Transfer!DA251,Transfer!DN251,Transfer!EA251)</f>
        <v>-9999</v>
      </c>
      <c r="AD251" s="1040">
        <f>CHOOSE(Tables!$U$2,Transfer!CB251,Transfer!CO251,Transfer!DB251,Transfer!DO251,Transfer!EB251)</f>
        <v>-9999</v>
      </c>
      <c r="AE251" s="1040">
        <f>CHOOSE(Tables!$U$2,Transfer!CC251,Transfer!CP251,Transfer!DC251,Transfer!DP251,Transfer!EC251)</f>
        <v>-9999</v>
      </c>
      <c r="AF251" s="1040">
        <f>CHOOSE(Tables!$U$2,Transfer!CD251,Transfer!CQ251,Transfer!DD251,Transfer!DQ251,Transfer!ED251)</f>
        <v>-9999</v>
      </c>
      <c r="AG251" s="1040">
        <f>CHOOSE(Tables!$U$2,Transfer!CE251,Transfer!CR251,Transfer!DE251,Transfer!DR251,Transfer!EE251)</f>
        <v>-9999</v>
      </c>
      <c r="AH251" s="1040">
        <f>CHOOSE(Tables!$U$2,Transfer!CF251,Transfer!CS251,Transfer!DF251,Transfer!DS251,Transfer!EF251)</f>
        <v>-9999</v>
      </c>
      <c r="AI251" s="1040">
        <f>CHOOSE(Tables!$U$2,Transfer!CG251,Transfer!CT251,Transfer!DG251,Transfer!DT251,Transfer!EG251)</f>
        <v>-9999</v>
      </c>
      <c r="AJ251" s="1040">
        <f>CHOOSE(Tables!$U$2,Transfer!CH251,Transfer!CU251,Transfer!DH251,Transfer!DU251,Transfer!EH251)</f>
        <v>-9999</v>
      </c>
      <c r="AK251" s="1040">
        <f>CHOOSE(Tables!$U$2,Transfer!CI251,Transfer!CV251,Transfer!DI251,Transfer!DV251,Transfer!EI251)</f>
        <v>-9999</v>
      </c>
      <c r="AL251" s="1040">
        <f>CHOOSE(Tables!$U$2,Transfer!CJ251,Transfer!CW251,Transfer!DJ251,Transfer!DW251,Transfer!EJ251)</f>
        <v>-9999</v>
      </c>
      <c r="AM251" s="1040">
        <f>CHOOSE(Tables!$U$2,Transfer!CK251,Transfer!CX251,Transfer!DK251,Transfer!DX251,Transfer!EK251)</f>
        <v>-9999</v>
      </c>
      <c r="AN251" s="1040">
        <f>CHOOSE(Tables!$U$2,Transfer!CL251,Transfer!CY251,Transfer!DL251,Transfer!DY251,Transfer!EL251)</f>
        <v>-9999</v>
      </c>
      <c r="AO251" s="1040">
        <f>CHOOSE(Tables!$U$2,Transfer!CM251,Transfer!CZ251,Transfer!DM251,Transfer!DZ251,Transfer!EM251)</f>
        <v>-9999</v>
      </c>
      <c r="AR251" s="22">
        <v>151</v>
      </c>
      <c r="AS251" s="30" t="s">
        <v>1705</v>
      </c>
      <c r="AT251" s="25">
        <f t="shared" si="33"/>
        <v>0</v>
      </c>
      <c r="AU251" s="25">
        <f t="shared" si="34"/>
        <v>0</v>
      </c>
      <c r="AV251" s="25">
        <f t="shared" si="35"/>
        <v>0</v>
      </c>
      <c r="AW251" s="25">
        <f t="shared" si="36"/>
        <v>0</v>
      </c>
      <c r="AX251" s="25">
        <f t="shared" si="37"/>
        <v>0</v>
      </c>
      <c r="AY251" s="25">
        <f t="shared" si="38"/>
        <v>0</v>
      </c>
      <c r="AZ251" s="25">
        <f t="shared" si="39"/>
        <v>0</v>
      </c>
      <c r="BA251" s="25">
        <f t="shared" si="40"/>
        <v>0</v>
      </c>
      <c r="BB251" s="25">
        <f t="shared" si="41"/>
        <v>0</v>
      </c>
      <c r="BC251" s="25">
        <f t="shared" si="21"/>
        <v>0</v>
      </c>
      <c r="BD251" s="25">
        <f t="shared" si="21"/>
        <v>0</v>
      </c>
      <c r="BE251" s="25">
        <f t="shared" si="21"/>
        <v>0</v>
      </c>
      <c r="BF251" s="25">
        <f t="shared" si="21"/>
        <v>0</v>
      </c>
      <c r="CA251" s="16">
        <v>-9999</v>
      </c>
      <c r="CB251" s="16">
        <v>-9999</v>
      </c>
      <c r="CC251" s="16">
        <v>-9999</v>
      </c>
      <c r="CD251" s="16">
        <v>-9999</v>
      </c>
      <c r="CE251" s="16">
        <v>-9999</v>
      </c>
      <c r="CF251" s="16">
        <v>-9999</v>
      </c>
      <c r="CG251" s="16">
        <v>-9999</v>
      </c>
      <c r="CH251" s="16">
        <v>-9999</v>
      </c>
      <c r="CI251" s="16">
        <v>-9999</v>
      </c>
      <c r="CJ251" s="16">
        <v>-9999</v>
      </c>
      <c r="CK251" s="16">
        <v>-9999</v>
      </c>
      <c r="CL251" s="16">
        <v>-9999</v>
      </c>
      <c r="CM251" s="16">
        <v>-9999</v>
      </c>
      <c r="CN251" s="16">
        <v>-9999</v>
      </c>
      <c r="CO251" s="16">
        <v>-9999</v>
      </c>
      <c r="CP251" s="16">
        <v>-9999</v>
      </c>
      <c r="CQ251" s="16">
        <v>-9999</v>
      </c>
      <c r="CR251" s="16">
        <v>-9999</v>
      </c>
      <c r="CS251" s="16">
        <v>-9999</v>
      </c>
      <c r="CT251" s="16">
        <v>-9999</v>
      </c>
      <c r="CU251" s="16">
        <v>-9999</v>
      </c>
      <c r="CV251" s="16">
        <v>-9999</v>
      </c>
      <c r="CW251" s="16">
        <v>-9999</v>
      </c>
      <c r="CX251" s="16">
        <v>-9999</v>
      </c>
      <c r="CY251" s="16">
        <v>-9999</v>
      </c>
      <c r="CZ251" s="16">
        <v>-9999</v>
      </c>
      <c r="DA251" s="16">
        <v>-9999</v>
      </c>
      <c r="DB251" s="16">
        <v>-9999</v>
      </c>
      <c r="DC251" s="16">
        <v>-9999</v>
      </c>
      <c r="DD251" s="16">
        <v>-9999</v>
      </c>
      <c r="DE251" s="16">
        <v>-9999</v>
      </c>
      <c r="DF251" s="16">
        <v>-9999</v>
      </c>
      <c r="DG251" s="16">
        <v>-9999</v>
      </c>
      <c r="DH251" s="16">
        <v>-9999</v>
      </c>
      <c r="DI251" s="16">
        <v>-9999</v>
      </c>
      <c r="DJ251" s="16">
        <v>-9999</v>
      </c>
      <c r="DK251" s="16">
        <v>-9999</v>
      </c>
      <c r="DL251" s="16">
        <v>-9999</v>
      </c>
      <c r="DM251" s="16">
        <v>-9999</v>
      </c>
      <c r="DN251" s="16">
        <v>-9999</v>
      </c>
      <c r="DO251" s="16">
        <v>-9999</v>
      </c>
      <c r="DP251" s="16">
        <v>-9999</v>
      </c>
      <c r="DQ251" s="16">
        <v>-9999</v>
      </c>
      <c r="DR251" s="16">
        <v>-9999</v>
      </c>
      <c r="DS251" s="16">
        <v>-9999</v>
      </c>
      <c r="DT251" s="16">
        <v>-9999</v>
      </c>
      <c r="DU251" s="16">
        <v>-9999</v>
      </c>
      <c r="DV251" s="16">
        <v>-9999</v>
      </c>
      <c r="DW251" s="16">
        <v>-9999</v>
      </c>
      <c r="DX251" s="16">
        <v>-9999</v>
      </c>
      <c r="DY251" s="16">
        <v>-9999</v>
      </c>
      <c r="DZ251" s="16">
        <v>-9999</v>
      </c>
      <c r="EA251" s="2197">
        <v>-9999</v>
      </c>
      <c r="EB251" s="2197">
        <v>-9999</v>
      </c>
      <c r="EC251" s="2197">
        <v>-9999</v>
      </c>
      <c r="ED251" s="2197">
        <v>-9999</v>
      </c>
      <c r="EE251" s="2197">
        <v>-9999</v>
      </c>
      <c r="EF251" s="2197">
        <v>-9999</v>
      </c>
      <c r="EG251" s="2197">
        <v>-9999</v>
      </c>
      <c r="EH251" s="2197">
        <v>-9999</v>
      </c>
      <c r="EI251" s="2197">
        <v>-9999</v>
      </c>
      <c r="EJ251" s="2197">
        <v>-9999</v>
      </c>
      <c r="EK251" s="2197">
        <v>-9999</v>
      </c>
      <c r="EL251" s="2197">
        <v>-9999</v>
      </c>
      <c r="EM251" s="2197">
        <v>-9999</v>
      </c>
    </row>
    <row r="252" spans="1:149">
      <c r="A252" s="22">
        <v>152</v>
      </c>
      <c r="B252" s="29" t="s">
        <v>84</v>
      </c>
      <c r="C252" s="1344">
        <f ca="1">OFFSET('VVP2'!F321,0,Last_forecast_year - 3-InputY!$G$3)</f>
        <v>8.2009000000000007</v>
      </c>
      <c r="D252" s="1344">
        <f ca="1">OFFSET('VVP2'!G321,0,Last_forecast_year - 3-InputY!$G$3)</f>
        <v>7.1599000000000013</v>
      </c>
      <c r="E252" s="1344">
        <f ca="1">OFFSET('VVP2'!H321,0,Last_forecast_year - 3-InputY!$G$3)</f>
        <v>8.679700000000004</v>
      </c>
      <c r="F252" s="1344">
        <f ca="1">OFFSET('VVP2'!I321,0,Last_forecast_year - 3-InputY!$G$3)</f>
        <v>9.721264000000005</v>
      </c>
      <c r="G252" s="1344">
        <f ca="1">OFFSET('VVP2'!J321,0,Last_forecast_year - 3-InputY!$G$3)</f>
        <v>10.401752480000006</v>
      </c>
      <c r="H252" s="25">
        <v>-9999</v>
      </c>
      <c r="I252" s="25">
        <v>-9999</v>
      </c>
      <c r="J252" s="25">
        <v>-9999</v>
      </c>
      <c r="K252" s="25">
        <v>-9999</v>
      </c>
      <c r="L252" s="25">
        <v>-9999</v>
      </c>
      <c r="M252" s="25">
        <v>-9999</v>
      </c>
      <c r="N252" s="25">
        <v>-9999</v>
      </c>
      <c r="O252" s="25">
        <v>-9999</v>
      </c>
      <c r="P252" s="26"/>
      <c r="Q252"/>
      <c r="AA252" s="22">
        <v>152</v>
      </c>
      <c r="AB252" s="1040" t="str">
        <f t="shared" si="31"/>
        <v>IMPORTS OF GOODS EXTRA-EU (CIF)</v>
      </c>
      <c r="AC252" s="1040">
        <f>CHOOSE(Tables!$U$2,Transfer!CA252,Transfer!CN252,Transfer!DA252,Transfer!DN252,Transfer!EA252)</f>
        <v>34.082588800000003</v>
      </c>
      <c r="AD252" s="1040">
        <f>CHOOSE(Tables!$U$2,Transfer!CB252,Transfer!CO252,Transfer!DB252,Transfer!DO252,Transfer!EB252)</f>
        <v>36.384225280000003</v>
      </c>
      <c r="AE252" s="1040">
        <f>CHOOSE(Tables!$U$2,Transfer!CC252,Transfer!CP252,Transfer!DC252,Transfer!DP252,Transfer!EC252)</f>
        <v>40.022647808000009</v>
      </c>
      <c r="AF252" s="1040">
        <f>CHOOSE(Tables!$U$2,Transfer!CD252,Transfer!CQ252,Transfer!DD252,Transfer!DQ252,Transfer!ED252)</f>
        <v>43.944867293184011</v>
      </c>
      <c r="AG252" s="1040">
        <f>CHOOSE(Tables!$U$2,Transfer!CE252,Transfer!CR252,Transfer!DE252,Transfer!DR252,Transfer!EE252)</f>
        <v>48.25146428791605</v>
      </c>
      <c r="AH252" s="1040">
        <f>CHOOSE(Tables!$U$2,Transfer!CF252,Transfer!CS252,Transfer!DF252,Transfer!DS252,Transfer!EF252)</f>
        <v>-9999</v>
      </c>
      <c r="AI252" s="1040">
        <f>CHOOSE(Tables!$U$2,Transfer!CG252,Transfer!CT252,Transfer!DG252,Transfer!DT252,Transfer!EG252)</f>
        <v>-9999</v>
      </c>
      <c r="AJ252" s="1040">
        <f>CHOOSE(Tables!$U$2,Transfer!CH252,Transfer!CU252,Transfer!DH252,Transfer!DU252,Transfer!EH252)</f>
        <v>-9999</v>
      </c>
      <c r="AK252" s="1040">
        <f>CHOOSE(Tables!$U$2,Transfer!CI252,Transfer!CV252,Transfer!DI252,Transfer!DV252,Transfer!EI252)</f>
        <v>-9999</v>
      </c>
      <c r="AL252" s="1040">
        <f>CHOOSE(Tables!$U$2,Transfer!CJ252,Transfer!CW252,Transfer!DJ252,Transfer!DW252,Transfer!EJ252)</f>
        <v>-9999</v>
      </c>
      <c r="AM252" s="1040">
        <f>CHOOSE(Tables!$U$2,Transfer!CK252,Transfer!CX252,Transfer!DK252,Transfer!DX252,Transfer!EK252)</f>
        <v>-9999</v>
      </c>
      <c r="AN252" s="1040">
        <f>CHOOSE(Tables!$U$2,Transfer!CL252,Transfer!CY252,Transfer!DL252,Transfer!DY252,Transfer!EL252)</f>
        <v>-9999</v>
      </c>
      <c r="AO252" s="1040">
        <f>CHOOSE(Tables!$U$2,Transfer!CM252,Transfer!CZ252,Transfer!DM252,Transfer!DZ252,Transfer!EM252)</f>
        <v>-9999</v>
      </c>
      <c r="AR252" s="22">
        <v>152</v>
      </c>
      <c r="AS252" s="29" t="s">
        <v>84</v>
      </c>
      <c r="AT252" s="1344">
        <f t="shared" ca="1" si="33"/>
        <v>-25.881688800000003</v>
      </c>
      <c r="AU252" s="1344">
        <f t="shared" ca="1" si="34"/>
        <v>-29.224325280000002</v>
      </c>
      <c r="AV252" s="1344">
        <f t="shared" ca="1" si="35"/>
        <v>-31.342947808000005</v>
      </c>
      <c r="AW252" s="1344">
        <f t="shared" ca="1" si="36"/>
        <v>-34.223603293184006</v>
      </c>
      <c r="AX252" s="1344">
        <f t="shared" ca="1" si="37"/>
        <v>-37.849711807916044</v>
      </c>
      <c r="AY252" s="25">
        <f t="shared" si="38"/>
        <v>0</v>
      </c>
      <c r="AZ252" s="25">
        <f t="shared" si="39"/>
        <v>0</v>
      </c>
      <c r="BA252" s="25">
        <f t="shared" si="40"/>
        <v>0</v>
      </c>
      <c r="BB252" s="25">
        <f t="shared" si="41"/>
        <v>0</v>
      </c>
      <c r="BC252" s="25">
        <f t="shared" si="21"/>
        <v>0</v>
      </c>
      <c r="BD252" s="25">
        <f t="shared" si="21"/>
        <v>0</v>
      </c>
      <c r="BE252" s="25">
        <f t="shared" si="21"/>
        <v>0</v>
      </c>
      <c r="BF252" s="25">
        <f t="shared" si="21"/>
        <v>0</v>
      </c>
      <c r="CA252" s="16">
        <v>10.398899999999999</v>
      </c>
      <c r="CB252" s="16">
        <v>8.9072000000000031</v>
      </c>
      <c r="CC252" s="16">
        <v>8.9517360000000021</v>
      </c>
      <c r="CD252" s="16">
        <v>9.0412533600000025</v>
      </c>
      <c r="CE252" s="16">
        <v>9.1316658936000028</v>
      </c>
      <c r="CF252" s="16">
        <v>-9999</v>
      </c>
      <c r="CG252" s="16">
        <v>-9999</v>
      </c>
      <c r="CH252" s="16">
        <v>-9999</v>
      </c>
      <c r="CI252" s="16">
        <v>-9999</v>
      </c>
      <c r="CJ252" s="16">
        <v>-9999</v>
      </c>
      <c r="CK252" s="16">
        <v>-9999</v>
      </c>
      <c r="CL252" s="16">
        <v>-9999</v>
      </c>
      <c r="CM252" s="16">
        <v>-9999</v>
      </c>
      <c r="CN252" s="16">
        <v>10.537599999999999</v>
      </c>
      <c r="CO252" s="16">
        <v>10.398899999999999</v>
      </c>
      <c r="CP252" s="16">
        <v>10.710867</v>
      </c>
      <c r="CQ252" s="16">
        <v>10.764421335</v>
      </c>
      <c r="CR252" s="16">
        <v>11.733219255150001</v>
      </c>
      <c r="CS252" s="16">
        <v>-9999</v>
      </c>
      <c r="CT252" s="16">
        <v>-9999</v>
      </c>
      <c r="CU252" s="16">
        <v>-9999</v>
      </c>
      <c r="CV252" s="16">
        <v>-9999</v>
      </c>
      <c r="CW252" s="16">
        <v>-9999</v>
      </c>
      <c r="CX252" s="16">
        <v>-9999</v>
      </c>
      <c r="CY252" s="16">
        <v>-9999</v>
      </c>
      <c r="CZ252" s="16">
        <v>-9999</v>
      </c>
      <c r="DA252" s="16">
        <v>10.398899999999999</v>
      </c>
      <c r="DB252" s="16">
        <v>9.595600000000001</v>
      </c>
      <c r="DC252" s="16">
        <v>9.6435779999999998</v>
      </c>
      <c r="DD252" s="16">
        <v>9.74001378</v>
      </c>
      <c r="DE252" s="16">
        <v>9.8374139177999993</v>
      </c>
      <c r="DF252" s="16">
        <v>-9999</v>
      </c>
      <c r="DG252" s="16">
        <v>-9999</v>
      </c>
      <c r="DH252" s="16">
        <v>-9999</v>
      </c>
      <c r="DI252" s="16">
        <v>-9999</v>
      </c>
      <c r="DJ252" s="16">
        <v>-9999</v>
      </c>
      <c r="DK252" s="16">
        <v>-9999</v>
      </c>
      <c r="DL252" s="16">
        <v>-9999</v>
      </c>
      <c r="DM252" s="16">
        <v>-9999</v>
      </c>
      <c r="DN252" s="16">
        <v>10.537599999999999</v>
      </c>
      <c r="DO252" s="16">
        <v>10.398899999999999</v>
      </c>
      <c r="DP252" s="16">
        <v>10.710867</v>
      </c>
      <c r="DQ252" s="16">
        <v>10.764421335</v>
      </c>
      <c r="DR252" s="16">
        <v>11.733219255150001</v>
      </c>
      <c r="DS252" s="16">
        <v>-9999</v>
      </c>
      <c r="DT252" s="16">
        <v>-9999</v>
      </c>
      <c r="DU252" s="16">
        <v>-9999</v>
      </c>
      <c r="DV252" s="16">
        <v>-9999</v>
      </c>
      <c r="DW252" s="16">
        <v>-9999</v>
      </c>
      <c r="DX252" s="16">
        <v>-9999</v>
      </c>
      <c r="DY252" s="16">
        <v>-9999</v>
      </c>
      <c r="DZ252" s="16">
        <v>-9999</v>
      </c>
      <c r="EA252" s="2196">
        <v>34.082588800000003</v>
      </c>
      <c r="EB252" s="2196">
        <v>36.384225280000003</v>
      </c>
      <c r="EC252" s="2196">
        <v>40.022647808000009</v>
      </c>
      <c r="ED252" s="2196">
        <v>43.944867293184011</v>
      </c>
      <c r="EE252" s="2196">
        <v>48.25146428791605</v>
      </c>
      <c r="EF252" s="2197">
        <v>-9999</v>
      </c>
      <c r="EG252" s="2197">
        <v>-9999</v>
      </c>
      <c r="EH252" s="2197">
        <v>-9999</v>
      </c>
      <c r="EI252" s="2197">
        <v>-9999</v>
      </c>
      <c r="EJ252" s="2197">
        <v>-9999</v>
      </c>
      <c r="EK252" s="2197">
        <v>-9999</v>
      </c>
      <c r="EL252" s="2197">
        <v>-9999</v>
      </c>
      <c r="EM252" s="2197">
        <v>-9999</v>
      </c>
    </row>
    <row r="253" spans="1:149">
      <c r="A253" s="22">
        <v>153</v>
      </c>
      <c r="B253" s="29" t="s">
        <v>1230</v>
      </c>
      <c r="C253" s="20">
        <f>IF(ISNUMBER(HLOOKUP(C$100,InputDFM!$2:$8,MATCH(Transfer!$A253&amp;" "&amp;Transfer!$B253,InputDFM!$CB$3:$CB$8,0)+1,FALSE)),HLOOKUP(C$100,InputDFM!$2:$8,MATCH(
Transfer!$A253&amp;" "&amp;Transfer!$B253,InputDFM!$CB$3:$CB$8,0)+1,FALSE),-9999)</f>
        <v>-9999</v>
      </c>
      <c r="D253" s="24">
        <f>IF(ISNUMBER(HLOOKUP(D$100,InputDFM!$2:$8,MATCH(Transfer!$A253&amp;" "&amp;Transfer!$B253,InputDFM!$CB$3:$CB$8,0)+1,FALSE)),HLOOKUP(D$100,InputDFM!$2:$8,MATCH(
Transfer!$A253&amp;" "&amp;Transfer!$B253,InputDFM!$CB$3:$CB$8,0)+1,FALSE),-9999)</f>
        <v>-9999</v>
      </c>
      <c r="E253" s="24">
        <f>IF(ISNUMBER(HLOOKUP(E$100,InputDFM!$2:$8,MATCH(Transfer!$A253&amp;" "&amp;Transfer!$B253,InputDFM!$CB$3:$CB$8,0)+1,FALSE)),HLOOKUP(E$100,InputDFM!$2:$8,MATCH(
Transfer!$A253&amp;" "&amp;Transfer!$B253,InputDFM!$CB$3:$CB$8,0)+1,FALSE),-9999)</f>
        <v>-9999</v>
      </c>
      <c r="F253" s="24">
        <f>IF(ISNUMBER(HLOOKUP(F$100,InputDFM!$2:$8,MATCH(Transfer!$A253&amp;" "&amp;Transfer!$B253,InputDFM!$CB$3:$CB$8,0)+1,FALSE)),HLOOKUP(F$100,InputDFM!$2:$8,MATCH(
Transfer!$A253&amp;" "&amp;Transfer!$B253,InputDFM!$CB$3:$CB$8,0)+1,FALSE),-9999)</f>
        <v>-9999</v>
      </c>
      <c r="G253" s="24">
        <f>IF(ISNUMBER(HLOOKUP(G$100,InputDFM!$2:$8,MATCH(Transfer!$A253&amp;" "&amp;Transfer!$B253,InputDFM!$CB$3:$CB$8,0)+1,FALSE)),HLOOKUP(G$100,InputDFM!$2:$8,MATCH(
Transfer!$A253&amp;" "&amp;Transfer!$B253,InputDFM!$CB$3:$CB$8,0)+1,FALSE),-9999)</f>
        <v>-9999</v>
      </c>
      <c r="H253" s="25">
        <v>-9999</v>
      </c>
      <c r="I253" s="25">
        <v>-9999</v>
      </c>
      <c r="J253" s="25">
        <v>-9999</v>
      </c>
      <c r="K253" s="25">
        <v>-9999</v>
      </c>
      <c r="L253" s="25">
        <v>-9999</v>
      </c>
      <c r="M253" s="25">
        <v>-9999</v>
      </c>
      <c r="N253" s="25">
        <v>-9999</v>
      </c>
      <c r="O253" s="25">
        <v>-9999</v>
      </c>
      <c r="P253" s="26"/>
      <c r="Q253"/>
      <c r="AA253" s="22">
        <v>153</v>
      </c>
      <c r="AB253" s="1040" t="str">
        <f t="shared" si="31"/>
        <v>DISCRETIONARY MEASURES CURRENT EXPENDITURE</v>
      </c>
      <c r="AC253" s="1040">
        <f>CHOOSE(Tables!$U$2,Transfer!CA253,Transfer!CN253,Transfer!DA253,Transfer!DN253,Transfer!EA253)</f>
        <v>-1.79</v>
      </c>
      <c r="AD253" s="1040">
        <f>CHOOSE(Tables!$U$2,Transfer!CB253,Transfer!CO253,Transfer!DB253,Transfer!DO253,Transfer!EB253)</f>
        <v>-0.82899999999999996</v>
      </c>
      <c r="AE253" s="1040">
        <f>CHOOSE(Tables!$U$2,Transfer!CC253,Transfer!CP253,Transfer!DC253,Transfer!DP253,Transfer!EC253)</f>
        <v>0.33</v>
      </c>
      <c r="AF253" s="1040">
        <f>CHOOSE(Tables!$U$2,Transfer!CD253,Transfer!CQ253,Transfer!DD253,Transfer!DQ253,Transfer!ED253)</f>
        <v>0.57999999999999996</v>
      </c>
      <c r="AG253" s="1040">
        <f>CHOOSE(Tables!$U$2,Transfer!CE253,Transfer!CR253,Transfer!DE253,Transfer!DR253,Transfer!EE253)</f>
        <v>0.57999999999999996</v>
      </c>
      <c r="AH253" s="1040">
        <f>CHOOSE(Tables!$U$2,Transfer!CF253,Transfer!CS253,Transfer!DF253,Transfer!DS253,Transfer!EF253)</f>
        <v>-9999</v>
      </c>
      <c r="AI253" s="1040">
        <f>CHOOSE(Tables!$U$2,Transfer!CG253,Transfer!CT253,Transfer!DG253,Transfer!DT253,Transfer!EG253)</f>
        <v>-9999</v>
      </c>
      <c r="AJ253" s="1040">
        <f>CHOOSE(Tables!$U$2,Transfer!CH253,Transfer!CU253,Transfer!DH253,Transfer!DU253,Transfer!EH253)</f>
        <v>-9999</v>
      </c>
      <c r="AK253" s="1040">
        <f>CHOOSE(Tables!$U$2,Transfer!CI253,Transfer!CV253,Transfer!DI253,Transfer!DV253,Transfer!EI253)</f>
        <v>-9999</v>
      </c>
      <c r="AL253" s="1040">
        <f>CHOOSE(Tables!$U$2,Transfer!CJ253,Transfer!CW253,Transfer!DJ253,Transfer!DW253,Transfer!EJ253)</f>
        <v>-9999</v>
      </c>
      <c r="AM253" s="1040">
        <f>CHOOSE(Tables!$U$2,Transfer!CK253,Transfer!CX253,Transfer!DK253,Transfer!DX253,Transfer!EK253)</f>
        <v>-9999</v>
      </c>
      <c r="AN253" s="1040">
        <f>CHOOSE(Tables!$U$2,Transfer!CL253,Transfer!CY253,Transfer!DL253,Transfer!DY253,Transfer!EL253)</f>
        <v>-9999</v>
      </c>
      <c r="AO253" s="1040">
        <f>CHOOSE(Tables!$U$2,Transfer!CM253,Transfer!CZ253,Transfer!DM253,Transfer!DZ253,Transfer!EM253)</f>
        <v>-9999</v>
      </c>
      <c r="AR253" s="22">
        <v>153</v>
      </c>
      <c r="AS253" s="30" t="s">
        <v>1705</v>
      </c>
      <c r="AT253" s="25">
        <f t="shared" si="33"/>
        <v>-9997.2099999999991</v>
      </c>
      <c r="AU253" s="25">
        <f t="shared" si="34"/>
        <v>-9998.1710000000003</v>
      </c>
      <c r="AV253" s="25">
        <f t="shared" si="35"/>
        <v>-9999.33</v>
      </c>
      <c r="AW253" s="25">
        <f t="shared" si="36"/>
        <v>-9999.58</v>
      </c>
      <c r="AX253" s="25">
        <f t="shared" si="37"/>
        <v>-9999.58</v>
      </c>
      <c r="AY253" s="25">
        <f t="shared" si="38"/>
        <v>0</v>
      </c>
      <c r="AZ253" s="25">
        <f t="shared" si="39"/>
        <v>0</v>
      </c>
      <c r="BA253" s="25">
        <f t="shared" si="40"/>
        <v>0</v>
      </c>
      <c r="BB253" s="25">
        <f t="shared" si="41"/>
        <v>0</v>
      </c>
      <c r="BC253" s="25">
        <f t="shared" si="21"/>
        <v>0</v>
      </c>
      <c r="BD253" s="25">
        <f t="shared" si="21"/>
        <v>0</v>
      </c>
      <c r="BE253" s="25">
        <f t="shared" si="21"/>
        <v>0</v>
      </c>
      <c r="BF253" s="25">
        <f t="shared" si="21"/>
        <v>0</v>
      </c>
      <c r="CA253" s="16">
        <v>-9999</v>
      </c>
      <c r="CB253" s="16">
        <v>0.3841</v>
      </c>
      <c r="CC253" s="16">
        <v>-0.22270000000000001</v>
      </c>
      <c r="CD253" s="16">
        <v>0.1797</v>
      </c>
      <c r="CE253" s="16">
        <v>0</v>
      </c>
      <c r="CF253" s="16">
        <v>-9999</v>
      </c>
      <c r="CG253" s="16">
        <v>-9999</v>
      </c>
      <c r="CH253" s="16">
        <v>-9999</v>
      </c>
      <c r="CI253" s="16">
        <v>-9999</v>
      </c>
      <c r="CJ253" s="16">
        <v>-9999</v>
      </c>
      <c r="CK253" s="16">
        <v>-9999</v>
      </c>
      <c r="CL253" s="16">
        <v>-9999</v>
      </c>
      <c r="CM253" s="16">
        <v>-9999</v>
      </c>
      <c r="CN253" s="16">
        <v>-0.12135078776645042</v>
      </c>
      <c r="CO253" s="16">
        <v>0.11700648748841522</v>
      </c>
      <c r="CP253" s="16">
        <v>0.32979999999999998</v>
      </c>
      <c r="CQ253" s="16">
        <v>-0.16839999999999999</v>
      </c>
      <c r="CR253" s="16">
        <v>3.7699999999999997E-2</v>
      </c>
      <c r="CS253" s="16">
        <v>-9999</v>
      </c>
      <c r="CT253" s="16">
        <v>-9999</v>
      </c>
      <c r="CU253" s="16">
        <v>-9999</v>
      </c>
      <c r="CV253" s="16">
        <v>-9999</v>
      </c>
      <c r="CW253" s="16">
        <v>-9999</v>
      </c>
      <c r="CX253" s="16">
        <v>-9999</v>
      </c>
      <c r="CY253" s="16">
        <v>-9999</v>
      </c>
      <c r="CZ253" s="16">
        <v>-9999</v>
      </c>
      <c r="DA253" s="16">
        <v>0.11700648748841522</v>
      </c>
      <c r="DB253" s="16">
        <v>0.3841</v>
      </c>
      <c r="DC253" s="16">
        <v>-0.22270000000000001</v>
      </c>
      <c r="DD253" s="16">
        <v>3.7699999999999997E-2</v>
      </c>
      <c r="DE253" s="16">
        <v>3.7699999999999997E-2</v>
      </c>
      <c r="DF253" s="16">
        <v>-9999</v>
      </c>
      <c r="DG253" s="16">
        <v>-9999</v>
      </c>
      <c r="DH253" s="16">
        <v>-9999</v>
      </c>
      <c r="DI253" s="16">
        <v>-9999</v>
      </c>
      <c r="DJ253" s="16">
        <v>-9999</v>
      </c>
      <c r="DK253" s="16">
        <v>-9999</v>
      </c>
      <c r="DL253" s="16">
        <v>-9999</v>
      </c>
      <c r="DM253" s="16">
        <v>-9999</v>
      </c>
      <c r="DN253" s="16">
        <v>-0.12135078776645042</v>
      </c>
      <c r="DO253" s="16">
        <v>0.11700648748841522</v>
      </c>
      <c r="DP253" s="16">
        <v>0.32979999999999998</v>
      </c>
      <c r="DQ253" s="16">
        <v>-0.16839999999999999</v>
      </c>
      <c r="DR253" s="16">
        <v>3.7699999999999997E-2</v>
      </c>
      <c r="DS253" s="16">
        <v>-9999</v>
      </c>
      <c r="DT253" s="16">
        <v>-9999</v>
      </c>
      <c r="DU253" s="16">
        <v>-9999</v>
      </c>
      <c r="DV253" s="16">
        <v>-9999</v>
      </c>
      <c r="DW253" s="16">
        <v>-9999</v>
      </c>
      <c r="DX253" s="16">
        <v>-9999</v>
      </c>
      <c r="DY253" s="16">
        <v>-9999</v>
      </c>
      <c r="DZ253" s="16">
        <v>-9999</v>
      </c>
      <c r="EA253" s="2197">
        <v>-1.79</v>
      </c>
      <c r="EB253" s="2197">
        <v>-0.82899999999999996</v>
      </c>
      <c r="EC253" s="2197">
        <v>0.33</v>
      </c>
      <c r="ED253" s="2197">
        <v>0.57999999999999996</v>
      </c>
      <c r="EE253" s="2197">
        <v>0.57999999999999996</v>
      </c>
      <c r="EF253" s="2197">
        <v>-9999</v>
      </c>
      <c r="EG253" s="2197">
        <v>-9999</v>
      </c>
      <c r="EH253" s="2197">
        <v>-9999</v>
      </c>
      <c r="EI253" s="2197">
        <v>-9999</v>
      </c>
      <c r="EJ253" s="2197">
        <v>-9999</v>
      </c>
      <c r="EK253" s="2197">
        <v>-9999</v>
      </c>
      <c r="EL253" s="2197">
        <v>-9999</v>
      </c>
      <c r="EM253" s="2197">
        <v>-9999</v>
      </c>
    </row>
    <row r="254" spans="1:149">
      <c r="A254" s="22">
        <v>154</v>
      </c>
      <c r="B254" s="29" t="s">
        <v>1277</v>
      </c>
      <c r="C254" s="20">
        <f>IF(ISNUMBER(HLOOKUP(C$100,InputDFM!$2:$8,MATCH(Transfer!$A254&amp;" "&amp;Transfer!$B254,InputDFM!$CB$3:$CB$8,0)+1,FALSE)),HLOOKUP(C$100,InputDFM!$2:$8,MATCH(
Transfer!$A254&amp;" "&amp;Transfer!$B254,InputDFM!$CB$3:$CB$8,0)+1,FALSE),-9999)</f>
        <v>-9999</v>
      </c>
      <c r="D254" s="24">
        <f>IF(ISNUMBER(HLOOKUP(D$100,InputDFM!$2:$8,MATCH(Transfer!$A254&amp;" "&amp;Transfer!$B254,InputDFM!$CB$3:$CB$8,0)+1,FALSE)),HLOOKUP(D$100,InputDFM!$2:$8,MATCH(
Transfer!$A254&amp;" "&amp;Transfer!$B254,InputDFM!$CB$3:$CB$8,0)+1,FALSE),-9999)</f>
        <v>-9999</v>
      </c>
      <c r="E254" s="24">
        <f>IF(ISNUMBER(HLOOKUP(E$100,InputDFM!$2:$8,MATCH(Transfer!$A254&amp;" "&amp;Transfer!$B254,InputDFM!$CB$3:$CB$8,0)+1,FALSE)),HLOOKUP(E$100,InputDFM!$2:$8,MATCH(
Transfer!$A254&amp;" "&amp;Transfer!$B254,InputDFM!$CB$3:$CB$8,0)+1,FALSE),-9999)</f>
        <v>-9999</v>
      </c>
      <c r="F254" s="24">
        <f>IF(ISNUMBER(HLOOKUP(F$100,InputDFM!$2:$8,MATCH(Transfer!$A254&amp;" "&amp;Transfer!$B254,InputDFM!$CB$3:$CB$8,0)+1,FALSE)),HLOOKUP(F$100,InputDFM!$2:$8,MATCH(
Transfer!$A254&amp;" "&amp;Transfer!$B254,InputDFM!$CB$3:$CB$8,0)+1,FALSE),-9999)</f>
        <v>-9999</v>
      </c>
      <c r="G254" s="24">
        <f>IF(ISNUMBER(HLOOKUP(G$100,InputDFM!$2:$8,MATCH(Transfer!$A254&amp;" "&amp;Transfer!$B254,InputDFM!$CB$3:$CB$8,0)+1,FALSE)),HLOOKUP(G$100,InputDFM!$2:$8,MATCH(
Transfer!$A254&amp;" "&amp;Transfer!$B254,InputDFM!$CB$3:$CB$8,0)+1,FALSE),-9999)</f>
        <v>-9999</v>
      </c>
      <c r="H254" s="25">
        <v>-9999</v>
      </c>
      <c r="I254" s="25">
        <v>-9999</v>
      </c>
      <c r="J254" s="25">
        <v>-9999</v>
      </c>
      <c r="K254" s="25">
        <v>-9999</v>
      </c>
      <c r="L254" s="25">
        <v>-9999</v>
      </c>
      <c r="M254" s="25">
        <v>-9999</v>
      </c>
      <c r="N254" s="25">
        <v>-9999</v>
      </c>
      <c r="O254" s="25">
        <v>-9999</v>
      </c>
      <c r="P254" s="26"/>
      <c r="Q254"/>
      <c r="AA254" s="22">
        <v>154</v>
      </c>
      <c r="AB254" s="1040" t="str">
        <f t="shared" si="31"/>
        <v>DISCRETIONARY MEASURES CURRENT REVENUE</v>
      </c>
      <c r="AC254" s="1040">
        <f>CHOOSE(Tables!$U$2,Transfer!CA254,Transfer!CN254,Transfer!DA254,Transfer!DN254,Transfer!EA254)</f>
        <v>9.5000000000000001E-2</v>
      </c>
      <c r="AD254" s="1040">
        <f>CHOOSE(Tables!$U$2,Transfer!CB254,Transfer!CO254,Transfer!DB254,Transfer!DO254,Transfer!EB254)</f>
        <v>0.57999999999999996</v>
      </c>
      <c r="AE254" s="1040">
        <f>CHOOSE(Tables!$U$2,Transfer!CC254,Transfer!CP254,Transfer!DC254,Transfer!DP254,Transfer!EC254)</f>
        <v>0.05</v>
      </c>
      <c r="AF254" s="1040">
        <f>CHOOSE(Tables!$U$2,Transfer!CD254,Transfer!CQ254,Transfer!DD254,Transfer!DQ254,Transfer!ED254)</f>
        <v>0.1</v>
      </c>
      <c r="AG254" s="1040">
        <f>CHOOSE(Tables!$U$2,Transfer!CE254,Transfer!CR254,Transfer!DE254,Transfer!DR254,Transfer!EE254)</f>
        <v>0.1</v>
      </c>
      <c r="AH254" s="1040">
        <f>CHOOSE(Tables!$U$2,Transfer!CF254,Transfer!CS254,Transfer!DF254,Transfer!DS254,Transfer!EF254)</f>
        <v>-9999</v>
      </c>
      <c r="AI254" s="1040">
        <f>CHOOSE(Tables!$U$2,Transfer!CG254,Transfer!CT254,Transfer!DG254,Transfer!DT254,Transfer!EG254)</f>
        <v>-9999</v>
      </c>
      <c r="AJ254" s="1040">
        <f>CHOOSE(Tables!$U$2,Transfer!CH254,Transfer!CU254,Transfer!DH254,Transfer!DU254,Transfer!EH254)</f>
        <v>-9999</v>
      </c>
      <c r="AK254" s="1040">
        <f>CHOOSE(Tables!$U$2,Transfer!CI254,Transfer!CV254,Transfer!DI254,Transfer!DV254,Transfer!EI254)</f>
        <v>-9999</v>
      </c>
      <c r="AL254" s="1040">
        <f>CHOOSE(Tables!$U$2,Transfer!CJ254,Transfer!CW254,Transfer!DJ254,Transfer!DW254,Transfer!EJ254)</f>
        <v>-9999</v>
      </c>
      <c r="AM254" s="1040">
        <f>CHOOSE(Tables!$U$2,Transfer!CK254,Transfer!CX254,Transfer!DK254,Transfer!DX254,Transfer!EK254)</f>
        <v>-9999</v>
      </c>
      <c r="AN254" s="1040">
        <f>CHOOSE(Tables!$U$2,Transfer!CL254,Transfer!CY254,Transfer!DL254,Transfer!DY254,Transfer!EL254)</f>
        <v>-9999</v>
      </c>
      <c r="AO254" s="1040">
        <f>CHOOSE(Tables!$U$2,Transfer!CM254,Transfer!CZ254,Transfer!DM254,Transfer!DZ254,Transfer!EM254)</f>
        <v>-9999</v>
      </c>
      <c r="AR254" s="22">
        <v>154</v>
      </c>
      <c r="AS254" s="30" t="s">
        <v>1705</v>
      </c>
      <c r="AT254" s="25">
        <f t="shared" si="33"/>
        <v>-9999.0949999999993</v>
      </c>
      <c r="AU254" s="25">
        <f t="shared" si="34"/>
        <v>-9999.58</v>
      </c>
      <c r="AV254" s="25">
        <f t="shared" si="35"/>
        <v>-9999.0499999999993</v>
      </c>
      <c r="AW254" s="25">
        <f t="shared" si="36"/>
        <v>-9999.1</v>
      </c>
      <c r="AX254" s="25">
        <f t="shared" si="37"/>
        <v>-9999.1</v>
      </c>
      <c r="AY254" s="25">
        <f t="shared" si="38"/>
        <v>0</v>
      </c>
      <c r="AZ254" s="25">
        <f t="shared" si="39"/>
        <v>0</v>
      </c>
      <c r="BA254" s="25">
        <f t="shared" si="40"/>
        <v>0</v>
      </c>
      <c r="BB254" s="25">
        <f t="shared" si="41"/>
        <v>0</v>
      </c>
      <c r="BC254" s="25">
        <f t="shared" si="21"/>
        <v>0</v>
      </c>
      <c r="BD254" s="25">
        <f t="shared" si="21"/>
        <v>0</v>
      </c>
      <c r="BE254" s="25">
        <f t="shared" si="21"/>
        <v>0</v>
      </c>
      <c r="BF254" s="25">
        <f t="shared" si="21"/>
        <v>0</v>
      </c>
      <c r="CA254" s="16">
        <v>-9999</v>
      </c>
      <c r="CB254" s="16">
        <v>-4.5699999999999998E-2</v>
      </c>
      <c r="CC254" s="16">
        <v>4.2599999999999999E-2</v>
      </c>
      <c r="CD254" s="16">
        <v>1.67E-2</v>
      </c>
      <c r="CE254" s="16">
        <v>0</v>
      </c>
      <c r="CF254" s="16">
        <v>-9999</v>
      </c>
      <c r="CG254" s="16">
        <v>-9999</v>
      </c>
      <c r="CH254" s="16">
        <v>-9999</v>
      </c>
      <c r="CI254" s="16">
        <v>-9999</v>
      </c>
      <c r="CJ254" s="16">
        <v>-9999</v>
      </c>
      <c r="CK254" s="16">
        <v>-9999</v>
      </c>
      <c r="CL254" s="16">
        <v>-9999</v>
      </c>
      <c r="CM254" s="16">
        <v>-9999</v>
      </c>
      <c r="CN254" s="16">
        <v>8.9782205746061175E-2</v>
      </c>
      <c r="CO254" s="16">
        <v>-4.9235403151065811E-3</v>
      </c>
      <c r="CP254" s="16">
        <v>-4.5759962928637626E-2</v>
      </c>
      <c r="CQ254" s="16">
        <v>4.2601019462465244E-2</v>
      </c>
      <c r="CR254" s="16">
        <v>0</v>
      </c>
      <c r="CS254" s="16">
        <v>-9999</v>
      </c>
      <c r="CT254" s="16">
        <v>-9999</v>
      </c>
      <c r="CU254" s="16">
        <v>-9999</v>
      </c>
      <c r="CV254" s="16">
        <v>-9999</v>
      </c>
      <c r="CW254" s="16">
        <v>-9999</v>
      </c>
      <c r="CX254" s="16">
        <v>-9999</v>
      </c>
      <c r="CY254" s="16">
        <v>-9999</v>
      </c>
      <c r="CZ254" s="16">
        <v>-9999</v>
      </c>
      <c r="DA254" s="16">
        <v>-4.8999999999999998E-3</v>
      </c>
      <c r="DB254" s="16">
        <v>-4.5699999999999998E-2</v>
      </c>
      <c r="DC254" s="16">
        <v>4.2599999999999999E-2</v>
      </c>
      <c r="DD254" s="16">
        <v>5.8999999999999997E-2</v>
      </c>
      <c r="DE254" s="16">
        <v>5.8999999999999997E-2</v>
      </c>
      <c r="DF254" s="16">
        <v>-9999</v>
      </c>
      <c r="DG254" s="16">
        <v>-9999</v>
      </c>
      <c r="DH254" s="16">
        <v>-9999</v>
      </c>
      <c r="DI254" s="16">
        <v>-9999</v>
      </c>
      <c r="DJ254" s="16">
        <v>-9999</v>
      </c>
      <c r="DK254" s="16">
        <v>-9999</v>
      </c>
      <c r="DL254" s="16">
        <v>-9999</v>
      </c>
      <c r="DM254" s="16">
        <v>-9999</v>
      </c>
      <c r="DN254" s="16">
        <v>8.9782205746061175E-2</v>
      </c>
      <c r="DO254" s="16">
        <v>-4.9235403151065811E-3</v>
      </c>
      <c r="DP254" s="16">
        <v>-4.5759962928637626E-2</v>
      </c>
      <c r="DQ254" s="16">
        <v>4.2601019462465244E-2</v>
      </c>
      <c r="DR254" s="16">
        <v>0</v>
      </c>
      <c r="DS254" s="16">
        <v>-9999</v>
      </c>
      <c r="DT254" s="16">
        <v>-9999</v>
      </c>
      <c r="DU254" s="16">
        <v>-9999</v>
      </c>
      <c r="DV254" s="16">
        <v>-9999</v>
      </c>
      <c r="DW254" s="16">
        <v>-9999</v>
      </c>
      <c r="DX254" s="16">
        <v>-9999</v>
      </c>
      <c r="DY254" s="16">
        <v>-9999</v>
      </c>
      <c r="DZ254" s="16">
        <v>-9999</v>
      </c>
      <c r="EA254" s="2197">
        <v>9.5000000000000001E-2</v>
      </c>
      <c r="EB254" s="2197">
        <v>0.57999999999999996</v>
      </c>
      <c r="EC254" s="2197">
        <v>0.05</v>
      </c>
      <c r="ED254" s="2197">
        <v>0.1</v>
      </c>
      <c r="EE254" s="2197">
        <v>0.1</v>
      </c>
      <c r="EF254" s="2197">
        <v>-9999</v>
      </c>
      <c r="EG254" s="2197">
        <v>-9999</v>
      </c>
      <c r="EH254" s="2197">
        <v>-9999</v>
      </c>
      <c r="EI254" s="2197">
        <v>-9999</v>
      </c>
      <c r="EJ254" s="2197">
        <v>-9999</v>
      </c>
      <c r="EK254" s="2197">
        <v>-9999</v>
      </c>
      <c r="EL254" s="2197">
        <v>-9999</v>
      </c>
      <c r="EM254" s="2197">
        <v>-9999</v>
      </c>
    </row>
    <row r="255" spans="1:149">
      <c r="A255" s="22">
        <v>155</v>
      </c>
      <c r="B255" s="29" t="s">
        <v>1278</v>
      </c>
      <c r="C255" s="20">
        <f>IF(ISNUMBER(HLOOKUP(C$100,InputDFM!$2:$8,MATCH(Transfer!$A255&amp;" "&amp;Transfer!$B255,InputDFM!$CB$3:$CB$8,0)+1,FALSE)),HLOOKUP(C$100,InputDFM!$2:$8,MATCH(
Transfer!$A255&amp;" "&amp;Transfer!$B255,InputDFM!$CB$3:$CB$8,0)+1,FALSE),-9999)</f>
        <v>-9999</v>
      </c>
      <c r="D255" s="24">
        <f>IF(ISNUMBER(HLOOKUP(D$100,InputDFM!$2:$8,MATCH(Transfer!$A255&amp;" "&amp;Transfer!$B255,InputDFM!$CB$3:$CB$8,0)+1,FALSE)),HLOOKUP(D$100,InputDFM!$2:$8,MATCH(
Transfer!$A255&amp;" "&amp;Transfer!$B255,InputDFM!$CB$3:$CB$8,0)+1,FALSE),-9999)</f>
        <v>-9999</v>
      </c>
      <c r="E255" s="24">
        <f>IF(ISNUMBER(HLOOKUP(E$100,InputDFM!$2:$8,MATCH(Transfer!$A255&amp;" "&amp;Transfer!$B255,InputDFM!$CB$3:$CB$8,0)+1,FALSE)),HLOOKUP(E$100,InputDFM!$2:$8,MATCH(
Transfer!$A255&amp;" "&amp;Transfer!$B255,InputDFM!$CB$3:$CB$8,0)+1,FALSE),-9999)</f>
        <v>-9999</v>
      </c>
      <c r="F255" s="24">
        <f>IF(ISNUMBER(HLOOKUP(F$100,InputDFM!$2:$8,MATCH(Transfer!$A255&amp;" "&amp;Transfer!$B255,InputDFM!$CB$3:$CB$8,0)+1,FALSE)),HLOOKUP(F$100,InputDFM!$2:$8,MATCH(
Transfer!$A255&amp;" "&amp;Transfer!$B255,InputDFM!$CB$3:$CB$8,0)+1,FALSE),-9999)</f>
        <v>-9999</v>
      </c>
      <c r="G255" s="24">
        <f>IF(ISNUMBER(HLOOKUP(G$100,InputDFM!$2:$8,MATCH(Transfer!$A255&amp;" "&amp;Transfer!$B255,InputDFM!$CB$3:$CB$8,0)+1,FALSE)),HLOOKUP(G$100,InputDFM!$2:$8,MATCH(
Transfer!$A255&amp;" "&amp;Transfer!$B255,InputDFM!$CB$3:$CB$8,0)+1,FALSE),-9999)</f>
        <v>-9999</v>
      </c>
      <c r="H255" s="25">
        <v>-9999</v>
      </c>
      <c r="I255" s="25">
        <v>-9999</v>
      </c>
      <c r="J255" s="25">
        <v>-9999</v>
      </c>
      <c r="K255" s="25">
        <v>-9999</v>
      </c>
      <c r="L255" s="25">
        <v>-9999</v>
      </c>
      <c r="M255" s="25">
        <v>-9999</v>
      </c>
      <c r="N255" s="25">
        <v>-9999</v>
      </c>
      <c r="O255" s="25">
        <v>-9999</v>
      </c>
      <c r="P255" s="26"/>
      <c r="Q255"/>
      <c r="AA255" s="22">
        <v>155</v>
      </c>
      <c r="AB255" s="1040" t="str">
        <f t="shared" si="31"/>
        <v>DISCRETIONARY MEASURES CAPITAL EXPENDITURE</v>
      </c>
      <c r="AC255" s="1040">
        <f>CHOOSE(Tables!$U$2,Transfer!CA255,Transfer!CN255,Transfer!DA255,Transfer!DN255,Transfer!EA255)</f>
        <v>0</v>
      </c>
      <c r="AD255" s="1040">
        <f>CHOOSE(Tables!$U$2,Transfer!CB255,Transfer!CO255,Transfer!DB255,Transfer!DO255,Transfer!EB255)</f>
        <v>0</v>
      </c>
      <c r="AE255" s="1040">
        <f>CHOOSE(Tables!$U$2,Transfer!CC255,Transfer!CP255,Transfer!DC255,Transfer!DP255,Transfer!EC255)</f>
        <v>8.6999999999999994E-2</v>
      </c>
      <c r="AF255" s="1040">
        <f>CHOOSE(Tables!$U$2,Transfer!CD255,Transfer!CQ255,Transfer!DD255,Transfer!DQ255,Transfer!ED255)</f>
        <v>-8.6999999999999994E-2</v>
      </c>
      <c r="AG255" s="1040">
        <f>CHOOSE(Tables!$U$2,Transfer!CE255,Transfer!CR255,Transfer!DE255,Transfer!DR255,Transfer!EE255)</f>
        <v>-8.6999999999999994E-2</v>
      </c>
      <c r="AH255" s="1040">
        <f>CHOOSE(Tables!$U$2,Transfer!CF255,Transfer!CS255,Transfer!DF255,Transfer!DS255,Transfer!EF255)</f>
        <v>-9999</v>
      </c>
      <c r="AI255" s="1040">
        <f>CHOOSE(Tables!$U$2,Transfer!CG255,Transfer!CT255,Transfer!DG255,Transfer!DT255,Transfer!EG255)</f>
        <v>-9999</v>
      </c>
      <c r="AJ255" s="1040">
        <f>CHOOSE(Tables!$U$2,Transfer!CH255,Transfer!CU255,Transfer!DH255,Transfer!DU255,Transfer!EH255)</f>
        <v>-9999</v>
      </c>
      <c r="AK255" s="1040">
        <f>CHOOSE(Tables!$U$2,Transfer!CI255,Transfer!CV255,Transfer!DI255,Transfer!DV255,Transfer!EI255)</f>
        <v>-9999</v>
      </c>
      <c r="AL255" s="1040">
        <f>CHOOSE(Tables!$U$2,Transfer!CJ255,Transfer!CW255,Transfer!DJ255,Transfer!DW255,Transfer!EJ255)</f>
        <v>-9999</v>
      </c>
      <c r="AM255" s="1040">
        <f>CHOOSE(Tables!$U$2,Transfer!CK255,Transfer!CX255,Transfer!DK255,Transfer!DX255,Transfer!EK255)</f>
        <v>-9999</v>
      </c>
      <c r="AN255" s="1040">
        <f>CHOOSE(Tables!$U$2,Transfer!CL255,Transfer!CY255,Transfer!DL255,Transfer!DY255,Transfer!EL255)</f>
        <v>-9999</v>
      </c>
      <c r="AO255" s="1040">
        <f>CHOOSE(Tables!$U$2,Transfer!CM255,Transfer!CZ255,Transfer!DM255,Transfer!DZ255,Transfer!EM255)</f>
        <v>-9999</v>
      </c>
      <c r="AR255" s="22">
        <v>155</v>
      </c>
      <c r="AS255" s="1" t="s">
        <v>165</v>
      </c>
      <c r="AT255" s="1981">
        <f t="shared" si="33"/>
        <v>-9999</v>
      </c>
      <c r="AU255" s="1981">
        <f t="shared" si="34"/>
        <v>-9999</v>
      </c>
      <c r="AV255" s="1981">
        <f t="shared" si="35"/>
        <v>-9999.0869999999995</v>
      </c>
      <c r="AW255" s="1981">
        <f t="shared" si="36"/>
        <v>-9998.9130000000005</v>
      </c>
      <c r="AX255" s="1981">
        <f t="shared" si="37"/>
        <v>-9998.9130000000005</v>
      </c>
      <c r="AY255" s="25">
        <f t="shared" si="38"/>
        <v>0</v>
      </c>
      <c r="AZ255" s="25">
        <f t="shared" si="39"/>
        <v>0</v>
      </c>
      <c r="BA255" s="25">
        <f t="shared" si="40"/>
        <v>0</v>
      </c>
      <c r="BB255" s="25">
        <f t="shared" si="41"/>
        <v>0</v>
      </c>
      <c r="BC255" s="25">
        <f t="shared" si="21"/>
        <v>0</v>
      </c>
      <c r="BD255" s="25">
        <f t="shared" si="21"/>
        <v>0</v>
      </c>
      <c r="BE255" s="25">
        <f t="shared" si="21"/>
        <v>0</v>
      </c>
      <c r="BF255" s="25">
        <f t="shared" si="21"/>
        <v>0</v>
      </c>
      <c r="CA255" s="16">
        <v>-9999</v>
      </c>
      <c r="CB255" s="16">
        <v>-0.2225</v>
      </c>
      <c r="CC255" s="16">
        <v>4.7500000000000001E-2</v>
      </c>
      <c r="CD255" s="16">
        <v>-1.0999999999999999E-2</v>
      </c>
      <c r="CE255" s="16">
        <v>-0.14399999999999999</v>
      </c>
      <c r="CF255" s="16">
        <v>-9999</v>
      </c>
      <c r="CG255" s="16">
        <v>-9999</v>
      </c>
      <c r="CH255" s="16">
        <v>-9999</v>
      </c>
      <c r="CI255" s="16">
        <v>-9999</v>
      </c>
      <c r="CJ255" s="16">
        <v>-9999</v>
      </c>
      <c r="CK255" s="16">
        <v>-9999</v>
      </c>
      <c r="CL255" s="16">
        <v>-9999</v>
      </c>
      <c r="CM255" s="16">
        <v>-9999</v>
      </c>
      <c r="CN255" s="16">
        <v>-1.2111000000000001</v>
      </c>
      <c r="CO255" s="16">
        <v>0.32769999999999999</v>
      </c>
      <c r="CP255" s="16">
        <v>-0.20380000000000001</v>
      </c>
      <c r="CQ255" s="16">
        <v>-3.9300000000000002E-2</v>
      </c>
      <c r="CR255" s="16">
        <v>-6.2300000000000001E-2</v>
      </c>
      <c r="CS255" s="16">
        <v>-9999</v>
      </c>
      <c r="CT255" s="16">
        <v>-9999</v>
      </c>
      <c r="CU255" s="16">
        <v>-9999</v>
      </c>
      <c r="CV255" s="16">
        <v>-9999</v>
      </c>
      <c r="CW255" s="16">
        <v>-9999</v>
      </c>
      <c r="CX255" s="16">
        <v>-9999</v>
      </c>
      <c r="CY255" s="16">
        <v>-9999</v>
      </c>
      <c r="CZ255" s="16">
        <v>-9999</v>
      </c>
      <c r="DA255" s="16">
        <v>0.32769999999999999</v>
      </c>
      <c r="DB255" s="16">
        <v>-0.2225</v>
      </c>
      <c r="DC255" s="16">
        <v>-6.9500000000000006E-2</v>
      </c>
      <c r="DD255" s="16">
        <v>-1.34E-2</v>
      </c>
      <c r="DE255" s="16">
        <v>-1.34E-2</v>
      </c>
      <c r="DF255" s="16">
        <v>-9999</v>
      </c>
      <c r="DG255" s="16">
        <v>-9999</v>
      </c>
      <c r="DH255" s="16">
        <v>-9999</v>
      </c>
      <c r="DI255" s="16">
        <v>-9999</v>
      </c>
      <c r="DJ255" s="16">
        <v>-9999</v>
      </c>
      <c r="DK255" s="16">
        <v>-9999</v>
      </c>
      <c r="DL255" s="16">
        <v>-9999</v>
      </c>
      <c r="DM255" s="16">
        <v>-9999</v>
      </c>
      <c r="DN255" s="16">
        <v>-1.2111000000000001</v>
      </c>
      <c r="DO255" s="16">
        <v>0.32769999999999999</v>
      </c>
      <c r="DP255" s="16">
        <v>-0.20380000000000001</v>
      </c>
      <c r="DQ255" s="16">
        <v>-3.9300000000000002E-2</v>
      </c>
      <c r="DR255" s="16">
        <v>-6.2300000000000001E-2</v>
      </c>
      <c r="DS255" s="16">
        <v>-9999</v>
      </c>
      <c r="DT255" s="16">
        <v>-9999</v>
      </c>
      <c r="DU255" s="16">
        <v>-9999</v>
      </c>
      <c r="DV255" s="16">
        <v>-9999</v>
      </c>
      <c r="DW255" s="16">
        <v>-9999</v>
      </c>
      <c r="DX255" s="16">
        <v>-9999</v>
      </c>
      <c r="DY255" s="16">
        <v>-9999</v>
      </c>
      <c r="DZ255" s="16">
        <v>-9999</v>
      </c>
      <c r="EA255" s="2197">
        <v>0</v>
      </c>
      <c r="EB255" s="2197">
        <v>0</v>
      </c>
      <c r="EC255" s="2197">
        <v>8.6999999999999994E-2</v>
      </c>
      <c r="ED255" s="2197">
        <v>-8.6999999999999994E-2</v>
      </c>
      <c r="EE255" s="2197">
        <v>-8.6999999999999994E-2</v>
      </c>
      <c r="EF255" s="2197">
        <v>-9999</v>
      </c>
      <c r="EG255" s="2197">
        <v>-9999</v>
      </c>
      <c r="EH255" s="2197">
        <v>-9999</v>
      </c>
      <c r="EI255" s="2197">
        <v>-9999</v>
      </c>
      <c r="EJ255" s="2197">
        <v>-9999</v>
      </c>
      <c r="EK255" s="2197">
        <v>-9999</v>
      </c>
      <c r="EL255" s="2197">
        <v>-9999</v>
      </c>
      <c r="EM255" s="2197">
        <v>-9999</v>
      </c>
    </row>
    <row r="256" spans="1:149">
      <c r="A256" s="22">
        <v>156</v>
      </c>
      <c r="B256" s="29" t="s">
        <v>1279</v>
      </c>
      <c r="C256" s="20">
        <f>IF(ISNUMBER(HLOOKUP(C$100,InputDFM!$2:$8,MATCH(Transfer!$A256&amp;" "&amp;Transfer!$B256,InputDFM!$CB$3:$CB$8,0)+1,FALSE)),HLOOKUP(C$100,InputDFM!$2:$8,MATCH(
Transfer!$A256&amp;" "&amp;Transfer!$B256,InputDFM!$CB$3:$CB$8,0)+1,FALSE),-9999)</f>
        <v>-9999</v>
      </c>
      <c r="D256" s="24">
        <f>IF(ISNUMBER(HLOOKUP(D$100,InputDFM!$2:$8,MATCH(Transfer!$A256&amp;" "&amp;Transfer!$B256,InputDFM!$CB$3:$CB$8,0)+1,FALSE)),HLOOKUP(D$100,InputDFM!$2:$8,MATCH(
Transfer!$A256&amp;" "&amp;Transfer!$B256,InputDFM!$CB$3:$CB$8,0)+1,FALSE),-9999)</f>
        <v>-9999</v>
      </c>
      <c r="E256" s="24">
        <f>IF(ISNUMBER(HLOOKUP(E$100,InputDFM!$2:$8,MATCH(Transfer!$A256&amp;" "&amp;Transfer!$B256,InputDFM!$CB$3:$CB$8,0)+1,FALSE)),HLOOKUP(E$100,InputDFM!$2:$8,MATCH(
Transfer!$A256&amp;" "&amp;Transfer!$B256,InputDFM!$CB$3:$CB$8,0)+1,FALSE),-9999)</f>
        <v>-9999</v>
      </c>
      <c r="F256" s="24">
        <f>IF(ISNUMBER(HLOOKUP(F$100,InputDFM!$2:$8,MATCH(Transfer!$A256&amp;" "&amp;Transfer!$B256,InputDFM!$CB$3:$CB$8,0)+1,FALSE)),HLOOKUP(F$100,InputDFM!$2:$8,MATCH(
Transfer!$A256&amp;" "&amp;Transfer!$B256,InputDFM!$CB$3:$CB$8,0)+1,FALSE),-9999)</f>
        <v>-9999</v>
      </c>
      <c r="G256" s="24">
        <f>IF(ISNUMBER(HLOOKUP(G$100,InputDFM!$2:$8,MATCH(Transfer!$A256&amp;" "&amp;Transfer!$B256,InputDFM!$CB$3:$CB$8,0)+1,FALSE)),HLOOKUP(G$100,InputDFM!$2:$8,MATCH(
Transfer!$A256&amp;" "&amp;Transfer!$B256,InputDFM!$CB$3:$CB$8,0)+1,FALSE),-9999)</f>
        <v>-9999</v>
      </c>
      <c r="H256" s="25">
        <v>-9999</v>
      </c>
      <c r="I256" s="25">
        <v>-9999</v>
      </c>
      <c r="J256" s="25">
        <v>-9999</v>
      </c>
      <c r="K256" s="25">
        <v>-9999</v>
      </c>
      <c r="L256" s="25">
        <v>-9999</v>
      </c>
      <c r="M256" s="25">
        <v>-9999</v>
      </c>
      <c r="N256" s="25">
        <v>-9999</v>
      </c>
      <c r="O256" s="25">
        <v>-9999</v>
      </c>
      <c r="P256" s="26"/>
      <c r="Q256"/>
      <c r="AA256" s="22">
        <v>156</v>
      </c>
      <c r="AB256" s="1040" t="str">
        <f t="shared" si="31"/>
        <v>DISCRETIONARY MEASURES CAPITAL TRANSFERS RECEIVED</v>
      </c>
      <c r="AC256" s="1040">
        <f>CHOOSE(Tables!$U$2,Transfer!CA256,Transfer!CN256,Transfer!DA256,Transfer!DN256,Transfer!EA256)</f>
        <v>0</v>
      </c>
      <c r="AD256" s="1040">
        <f>CHOOSE(Tables!$U$2,Transfer!CB256,Transfer!CO256,Transfer!DB256,Transfer!DO256,Transfer!EB256)</f>
        <v>8.6999999999999994E-2</v>
      </c>
      <c r="AE256" s="1040">
        <f>CHOOSE(Tables!$U$2,Transfer!CC256,Transfer!CP256,Transfer!DC256,Transfer!DP256,Transfer!EC256)</f>
        <v>-8.6999999999999994E-2</v>
      </c>
      <c r="AF256" s="1040">
        <f>CHOOSE(Tables!$U$2,Transfer!CD256,Transfer!CQ256,Transfer!DD256,Transfer!DQ256,Transfer!ED256)</f>
        <v>0</v>
      </c>
      <c r="AG256" s="1040">
        <f>CHOOSE(Tables!$U$2,Transfer!CE256,Transfer!CR256,Transfer!DE256,Transfer!DR256,Transfer!EE256)</f>
        <v>0</v>
      </c>
      <c r="AH256" s="1040">
        <f>CHOOSE(Tables!$U$2,Transfer!CF256,Transfer!CS256,Transfer!DF256,Transfer!DS256,Transfer!EF256)</f>
        <v>-9999</v>
      </c>
      <c r="AI256" s="1040">
        <f>CHOOSE(Tables!$U$2,Transfer!CG256,Transfer!CT256,Transfer!DG256,Transfer!DT256,Transfer!EG256)</f>
        <v>-9999</v>
      </c>
      <c r="AJ256" s="1040">
        <f>CHOOSE(Tables!$U$2,Transfer!CH256,Transfer!CU256,Transfer!DH256,Transfer!DU256,Transfer!EH256)</f>
        <v>-9999</v>
      </c>
      <c r="AK256" s="1040">
        <f>CHOOSE(Tables!$U$2,Transfer!CI256,Transfer!CV256,Transfer!DI256,Transfer!DV256,Transfer!EI256)</f>
        <v>-9999</v>
      </c>
      <c r="AL256" s="1040">
        <f>CHOOSE(Tables!$U$2,Transfer!CJ256,Transfer!CW256,Transfer!DJ256,Transfer!DW256,Transfer!EJ256)</f>
        <v>-9999</v>
      </c>
      <c r="AM256" s="1040">
        <f>CHOOSE(Tables!$U$2,Transfer!CK256,Transfer!CX256,Transfer!DK256,Transfer!DX256,Transfer!EK256)</f>
        <v>-9999</v>
      </c>
      <c r="AN256" s="1040">
        <f>CHOOSE(Tables!$U$2,Transfer!CL256,Transfer!CY256,Transfer!DL256,Transfer!DY256,Transfer!EL256)</f>
        <v>-9999</v>
      </c>
      <c r="AO256" s="1040">
        <f>CHOOSE(Tables!$U$2,Transfer!CM256,Transfer!CZ256,Transfer!DM256,Transfer!DZ256,Transfer!EM256)</f>
        <v>-9999</v>
      </c>
      <c r="AR256" s="22">
        <v>156</v>
      </c>
      <c r="AS256" s="30" t="s">
        <v>1705</v>
      </c>
      <c r="AT256" s="25">
        <f t="shared" si="33"/>
        <v>-9999</v>
      </c>
      <c r="AU256" s="25">
        <f t="shared" si="34"/>
        <v>-9999.0869999999995</v>
      </c>
      <c r="AV256" s="25">
        <f t="shared" si="35"/>
        <v>-9998.9130000000005</v>
      </c>
      <c r="AW256" s="25">
        <f t="shared" si="36"/>
        <v>-9999</v>
      </c>
      <c r="AX256" s="25">
        <f t="shared" si="37"/>
        <v>-9999</v>
      </c>
      <c r="AY256" s="25">
        <f t="shared" si="38"/>
        <v>0</v>
      </c>
      <c r="AZ256" s="25">
        <f t="shared" si="39"/>
        <v>0</v>
      </c>
      <c r="BA256" s="25">
        <f t="shared" si="40"/>
        <v>0</v>
      </c>
      <c r="BB256" s="25">
        <f t="shared" si="41"/>
        <v>0</v>
      </c>
      <c r="BC256" s="25">
        <f t="shared" si="21"/>
        <v>0</v>
      </c>
      <c r="BD256" s="25">
        <f t="shared" si="21"/>
        <v>0</v>
      </c>
      <c r="BE256" s="25">
        <f t="shared" si="21"/>
        <v>0</v>
      </c>
      <c r="BF256" s="25">
        <f t="shared" si="21"/>
        <v>0</v>
      </c>
      <c r="CA256" s="16">
        <v>-9999</v>
      </c>
      <c r="CB256" s="16">
        <v>0.36470000000000002</v>
      </c>
      <c r="CC256" s="16">
        <v>-0.33169999999999999</v>
      </c>
      <c r="CD256" s="16">
        <v>-8.6999999999999994E-2</v>
      </c>
      <c r="CE256" s="16">
        <v>-9.0999999999999998E-2</v>
      </c>
      <c r="CF256" s="16">
        <v>-9999</v>
      </c>
      <c r="CG256" s="16">
        <v>-9999</v>
      </c>
      <c r="CH256" s="16">
        <v>-9999</v>
      </c>
      <c r="CI256" s="16">
        <v>-9999</v>
      </c>
      <c r="CJ256" s="16">
        <v>-9999</v>
      </c>
      <c r="CK256" s="16">
        <v>-9999</v>
      </c>
      <c r="CL256" s="16">
        <v>-9999</v>
      </c>
      <c r="CM256" s="16">
        <v>-9999</v>
      </c>
      <c r="CN256" s="16">
        <v>-3.4000000000000002E-2</v>
      </c>
      <c r="CO256" s="16">
        <v>0.11650000000000001</v>
      </c>
      <c r="CP256" s="16">
        <v>0.42120000000000002</v>
      </c>
      <c r="CQ256" s="16">
        <v>-0.46310000000000001</v>
      </c>
      <c r="CR256" s="16">
        <v>-4.4600000000000001E-2</v>
      </c>
      <c r="CS256" s="16">
        <v>-9999</v>
      </c>
      <c r="CT256" s="16">
        <v>-9999</v>
      </c>
      <c r="CU256" s="16">
        <v>-9999</v>
      </c>
      <c r="CV256" s="16">
        <v>-9999</v>
      </c>
      <c r="CW256" s="16">
        <v>-9999</v>
      </c>
      <c r="CX256" s="16">
        <v>-9999</v>
      </c>
      <c r="CY256" s="16">
        <v>-9999</v>
      </c>
      <c r="CZ256" s="16">
        <v>-9999</v>
      </c>
      <c r="DA256" s="16">
        <v>0.11650000000000001</v>
      </c>
      <c r="DB256" s="16">
        <v>0.36470000000000002</v>
      </c>
      <c r="DC256" s="16">
        <v>-0.37869999999999998</v>
      </c>
      <c r="DD256" s="16">
        <v>-5.2499999999999998E-2</v>
      </c>
      <c r="DE256" s="16">
        <v>-5.2499999999999998E-2</v>
      </c>
      <c r="DF256" s="16">
        <v>-9999</v>
      </c>
      <c r="DG256" s="16">
        <v>-9999</v>
      </c>
      <c r="DH256" s="16">
        <v>-9999</v>
      </c>
      <c r="DI256" s="16">
        <v>-9999</v>
      </c>
      <c r="DJ256" s="16">
        <v>-9999</v>
      </c>
      <c r="DK256" s="16">
        <v>-9999</v>
      </c>
      <c r="DL256" s="16">
        <v>-9999</v>
      </c>
      <c r="DM256" s="16">
        <v>-9999</v>
      </c>
      <c r="DN256" s="16">
        <v>-3.4000000000000002E-2</v>
      </c>
      <c r="DO256" s="16">
        <v>0.11650000000000001</v>
      </c>
      <c r="DP256" s="16">
        <v>0.42120000000000002</v>
      </c>
      <c r="DQ256" s="16">
        <v>-0.46310000000000001</v>
      </c>
      <c r="DR256" s="16">
        <v>-4.4600000000000001E-2</v>
      </c>
      <c r="DS256" s="16">
        <v>-9999</v>
      </c>
      <c r="DT256" s="16">
        <v>-9999</v>
      </c>
      <c r="DU256" s="16">
        <v>-9999</v>
      </c>
      <c r="DV256" s="16">
        <v>-9999</v>
      </c>
      <c r="DW256" s="16">
        <v>-9999</v>
      </c>
      <c r="DX256" s="16">
        <v>-9999</v>
      </c>
      <c r="DY256" s="16">
        <v>-9999</v>
      </c>
      <c r="DZ256" s="16">
        <v>-9999</v>
      </c>
      <c r="EA256" s="2197">
        <v>0</v>
      </c>
      <c r="EB256" s="2197">
        <v>8.6999999999999994E-2</v>
      </c>
      <c r="EC256" s="2197">
        <v>-8.6999999999999994E-2</v>
      </c>
      <c r="ED256" s="2197">
        <v>0</v>
      </c>
      <c r="EE256" s="2197">
        <v>0</v>
      </c>
      <c r="EF256" s="2197">
        <v>-9999</v>
      </c>
      <c r="EG256" s="2197">
        <v>-9999</v>
      </c>
      <c r="EH256" s="2197">
        <v>-9999</v>
      </c>
      <c r="EI256" s="2197">
        <v>-9999</v>
      </c>
      <c r="EJ256" s="2197">
        <v>-9999</v>
      </c>
      <c r="EK256" s="2197">
        <v>-9999</v>
      </c>
      <c r="EL256" s="2197">
        <v>-9999</v>
      </c>
      <c r="EM256" s="2197">
        <v>-9999</v>
      </c>
    </row>
    <row r="257" spans="1:143">
      <c r="A257" s="22">
        <v>157</v>
      </c>
      <c r="B257" s="30" t="s">
        <v>1705</v>
      </c>
      <c r="C257" s="25">
        <v>-9999</v>
      </c>
      <c r="D257" s="25">
        <v>-9999</v>
      </c>
      <c r="E257" s="25">
        <v>-9999</v>
      </c>
      <c r="F257" s="25">
        <v>-9999</v>
      </c>
      <c r="G257" s="25">
        <v>-9999</v>
      </c>
      <c r="H257" s="25">
        <v>-9999</v>
      </c>
      <c r="I257" s="25">
        <v>-9999</v>
      </c>
      <c r="J257" s="25">
        <v>-9999</v>
      </c>
      <c r="K257" s="25">
        <v>-9999</v>
      </c>
      <c r="L257" s="25">
        <v>-9999</v>
      </c>
      <c r="M257" s="25">
        <v>-9999</v>
      </c>
      <c r="N257" s="25">
        <v>-9999</v>
      </c>
      <c r="O257" s="25">
        <v>-9999</v>
      </c>
      <c r="P257" s="26"/>
      <c r="Q257"/>
      <c r="AA257" s="22">
        <v>157</v>
      </c>
      <c r="AB257" s="1040" t="str">
        <f t="shared" si="31"/>
        <v>FOR FUTURE USE</v>
      </c>
      <c r="AC257" s="1040">
        <f>CHOOSE(Tables!$U$2,Transfer!CA257,Transfer!CN257,Transfer!DA257,Transfer!DN257,Transfer!EA257)</f>
        <v>-9999</v>
      </c>
      <c r="AD257" s="1040">
        <f>CHOOSE(Tables!$U$2,Transfer!CB257,Transfer!CO257,Transfer!DB257,Transfer!DO257,Transfer!EB257)</f>
        <v>-9999</v>
      </c>
      <c r="AE257" s="1040">
        <f>CHOOSE(Tables!$U$2,Transfer!CC257,Transfer!CP257,Transfer!DC257,Transfer!DP257,Transfer!EC257)</f>
        <v>-9999</v>
      </c>
      <c r="AF257" s="1040">
        <f>CHOOSE(Tables!$U$2,Transfer!CD257,Transfer!CQ257,Transfer!DD257,Transfer!DQ257,Transfer!ED257)</f>
        <v>-9999</v>
      </c>
      <c r="AG257" s="1040">
        <f>CHOOSE(Tables!$U$2,Transfer!CE257,Transfer!CR257,Transfer!DE257,Transfer!DR257,Transfer!EE257)</f>
        <v>-9999</v>
      </c>
      <c r="AH257" s="1040">
        <f>CHOOSE(Tables!$U$2,Transfer!CF257,Transfer!CS257,Transfer!DF257,Transfer!DS257,Transfer!EF257)</f>
        <v>-9999</v>
      </c>
      <c r="AI257" s="1040">
        <f>CHOOSE(Tables!$U$2,Transfer!CG257,Transfer!CT257,Transfer!DG257,Transfer!DT257,Transfer!EG257)</f>
        <v>-9999</v>
      </c>
      <c r="AJ257" s="1040">
        <f>CHOOSE(Tables!$U$2,Transfer!CH257,Transfer!CU257,Transfer!DH257,Transfer!DU257,Transfer!EH257)</f>
        <v>-9999</v>
      </c>
      <c r="AK257" s="1040">
        <f>CHOOSE(Tables!$U$2,Transfer!CI257,Transfer!CV257,Transfer!DI257,Transfer!DV257,Transfer!EI257)</f>
        <v>-9999</v>
      </c>
      <c r="AL257" s="1040">
        <f>CHOOSE(Tables!$U$2,Transfer!CJ257,Transfer!CW257,Transfer!DJ257,Transfer!DW257,Transfer!EJ257)</f>
        <v>-9999</v>
      </c>
      <c r="AM257" s="1040">
        <f>CHOOSE(Tables!$U$2,Transfer!CK257,Transfer!CX257,Transfer!DK257,Transfer!DX257,Transfer!EK257)</f>
        <v>-9999</v>
      </c>
      <c r="AN257" s="1040">
        <f>CHOOSE(Tables!$U$2,Transfer!CL257,Transfer!CY257,Transfer!DL257,Transfer!DY257,Transfer!EL257)</f>
        <v>-9999</v>
      </c>
      <c r="AO257" s="1040">
        <f>CHOOSE(Tables!$U$2,Transfer!CM257,Transfer!CZ257,Transfer!DM257,Transfer!DZ257,Transfer!EM257)</f>
        <v>-9999</v>
      </c>
      <c r="AR257" s="22">
        <v>157</v>
      </c>
      <c r="AS257" s="30" t="s">
        <v>1705</v>
      </c>
      <c r="AT257" s="25">
        <f>C257-AC257</f>
        <v>0</v>
      </c>
      <c r="AU257" s="25">
        <f>D257-AD257</f>
        <v>0</v>
      </c>
      <c r="AV257" s="25">
        <f>E257-AE257</f>
        <v>0</v>
      </c>
      <c r="AW257" s="25">
        <f t="shared" ref="AW257:BF280" si="42">F257-AF257</f>
        <v>0</v>
      </c>
      <c r="AX257" s="25">
        <f t="shared" si="42"/>
        <v>0</v>
      </c>
      <c r="AY257" s="25">
        <f t="shared" si="42"/>
        <v>0</v>
      </c>
      <c r="AZ257" s="25">
        <f t="shared" si="42"/>
        <v>0</v>
      </c>
      <c r="BA257" s="25">
        <f t="shared" si="42"/>
        <v>0</v>
      </c>
      <c r="BB257" s="25">
        <f t="shared" si="42"/>
        <v>0</v>
      </c>
      <c r="BC257" s="25">
        <f t="shared" si="42"/>
        <v>0</v>
      </c>
      <c r="BD257" s="25">
        <f t="shared" si="42"/>
        <v>0</v>
      </c>
      <c r="BE257" s="25">
        <f t="shared" si="42"/>
        <v>0</v>
      </c>
      <c r="BF257" s="25">
        <f t="shared" si="21"/>
        <v>0</v>
      </c>
      <c r="CA257" s="16">
        <v>-9999</v>
      </c>
      <c r="CB257" s="16">
        <v>-9999</v>
      </c>
      <c r="CC257" s="16">
        <v>-9999</v>
      </c>
      <c r="CD257" s="16">
        <v>-9999</v>
      </c>
      <c r="CE257" s="16">
        <v>-9999</v>
      </c>
      <c r="CF257" s="16">
        <v>-9999</v>
      </c>
      <c r="CG257" s="16">
        <v>-9999</v>
      </c>
      <c r="CH257" s="16">
        <v>-9999</v>
      </c>
      <c r="CI257" s="16">
        <v>-9999</v>
      </c>
      <c r="CJ257" s="16">
        <v>-9999</v>
      </c>
      <c r="CK257" s="16">
        <v>-9999</v>
      </c>
      <c r="CL257" s="16">
        <v>-9999</v>
      </c>
      <c r="CM257" s="16">
        <v>-9999</v>
      </c>
      <c r="CN257" s="16">
        <v>-9999</v>
      </c>
      <c r="CO257" s="16">
        <v>-9999</v>
      </c>
      <c r="CP257" s="16">
        <v>-9999</v>
      </c>
      <c r="CQ257" s="16">
        <v>-9999</v>
      </c>
      <c r="CR257" s="16">
        <v>-9999</v>
      </c>
      <c r="CS257" s="16">
        <v>-9999</v>
      </c>
      <c r="CT257" s="16">
        <v>-9999</v>
      </c>
      <c r="CU257" s="16">
        <v>-9999</v>
      </c>
      <c r="CV257" s="16">
        <v>-9999</v>
      </c>
      <c r="CW257" s="16">
        <v>-9999</v>
      </c>
      <c r="CX257" s="16">
        <v>-9999</v>
      </c>
      <c r="CY257" s="16">
        <v>-9999</v>
      </c>
      <c r="CZ257" s="16">
        <v>-9999</v>
      </c>
      <c r="DA257" s="16">
        <v>-9999</v>
      </c>
      <c r="DB257" s="16">
        <v>-9999</v>
      </c>
      <c r="DC257" s="16">
        <v>-9999</v>
      </c>
      <c r="DD257" s="16">
        <v>-9999</v>
      </c>
      <c r="DE257" s="16">
        <v>-9999</v>
      </c>
      <c r="DF257" s="16">
        <v>-9999</v>
      </c>
      <c r="DG257" s="16">
        <v>-9999</v>
      </c>
      <c r="DH257" s="16">
        <v>-9999</v>
      </c>
      <c r="DI257" s="16">
        <v>-9999</v>
      </c>
      <c r="DJ257" s="16">
        <v>-9999</v>
      </c>
      <c r="DK257" s="16">
        <v>-9999</v>
      </c>
      <c r="DL257" s="16">
        <v>-9999</v>
      </c>
      <c r="DM257" s="16">
        <v>-9999</v>
      </c>
      <c r="DN257" s="16">
        <v>-9999</v>
      </c>
      <c r="DO257" s="16">
        <v>-9999</v>
      </c>
      <c r="DP257" s="16">
        <v>-9999</v>
      </c>
      <c r="DQ257" s="16">
        <v>-9999</v>
      </c>
      <c r="DR257" s="16">
        <v>-9999</v>
      </c>
      <c r="DS257" s="16">
        <v>-9999</v>
      </c>
      <c r="DT257" s="16">
        <v>-9999</v>
      </c>
      <c r="DU257" s="16">
        <v>-9999</v>
      </c>
      <c r="DV257" s="16">
        <v>-9999</v>
      </c>
      <c r="DW257" s="16">
        <v>-9999</v>
      </c>
      <c r="DX257" s="16">
        <v>-9999</v>
      </c>
      <c r="DY257" s="16">
        <v>-9999</v>
      </c>
      <c r="DZ257" s="16">
        <v>-9999</v>
      </c>
      <c r="EA257" s="2197">
        <v>-9999</v>
      </c>
      <c r="EB257" s="2197">
        <v>-9999</v>
      </c>
      <c r="EC257" s="2197">
        <v>-9999</v>
      </c>
      <c r="ED257" s="2197">
        <v>-9999</v>
      </c>
      <c r="EE257" s="2197">
        <v>-9999</v>
      </c>
      <c r="EF257" s="2197">
        <v>-9999</v>
      </c>
      <c r="EG257" s="2197">
        <v>-9999</v>
      </c>
      <c r="EH257" s="2197">
        <v>-9999</v>
      </c>
      <c r="EI257" s="2197">
        <v>-9999</v>
      </c>
      <c r="EJ257" s="2197">
        <v>-9999</v>
      </c>
      <c r="EK257" s="2197">
        <v>-9999</v>
      </c>
      <c r="EL257" s="2197">
        <v>-9999</v>
      </c>
      <c r="EM257" s="2197">
        <v>-9999</v>
      </c>
    </row>
    <row r="258" spans="1:143">
      <c r="A258" s="22">
        <v>158</v>
      </c>
      <c r="B258" s="33" t="s">
        <v>1647</v>
      </c>
      <c r="C258" s="1040">
        <f ca="1">+OFFSET(Sector1!G39,0,Last_forecast_year - 1998)*100</f>
        <v>18.521152755588517</v>
      </c>
      <c r="D258" s="25">
        <v>-9999</v>
      </c>
      <c r="E258" s="25">
        <v>-9999</v>
      </c>
      <c r="F258" s="25">
        <v>-9999</v>
      </c>
      <c r="G258" s="25">
        <v>-9999</v>
      </c>
      <c r="H258" s="25">
        <v>-9999</v>
      </c>
      <c r="I258" s="25">
        <v>-9999</v>
      </c>
      <c r="J258" s="25">
        <v>-9999</v>
      </c>
      <c r="K258" s="25">
        <v>-9999</v>
      </c>
      <c r="L258" s="25">
        <v>-9999</v>
      </c>
      <c r="M258" s="25">
        <v>-9999</v>
      </c>
      <c r="N258" s="25">
        <v>-9999</v>
      </c>
      <c r="O258" s="25">
        <v>-9999</v>
      </c>
      <c r="P258" s="26"/>
      <c r="Q258"/>
      <c r="AA258" s="22">
        <v>158</v>
      </c>
      <c r="AB258" s="1040" t="str">
        <f t="shared" si="31"/>
        <v>TAX RATE INDIRECT TAXES PAST 4-Y AVG (col 1)</v>
      </c>
      <c r="AC258" s="1040">
        <f>CHOOSE(Tables!$U$2,Transfer!CA258,Transfer!CN258,Transfer!DA258,Transfer!DN258,Transfer!EA258)</f>
        <v>18.190023875681963</v>
      </c>
      <c r="AD258" s="1040">
        <f>CHOOSE(Tables!$U$2,Transfer!CB258,Transfer!CO258,Transfer!DB258,Transfer!DO258,Transfer!EB258)</f>
        <v>-9999</v>
      </c>
      <c r="AE258" s="1040">
        <f>CHOOSE(Tables!$U$2,Transfer!CC258,Transfer!CP258,Transfer!DC258,Transfer!DP258,Transfer!EC258)</f>
        <v>-9999</v>
      </c>
      <c r="AF258" s="1040">
        <f>CHOOSE(Tables!$U$2,Transfer!CD258,Transfer!CQ258,Transfer!DD258,Transfer!DQ258,Transfer!ED258)</f>
        <v>-9999</v>
      </c>
      <c r="AG258" s="1040">
        <f>CHOOSE(Tables!$U$2,Transfer!CE258,Transfer!CR258,Transfer!DE258,Transfer!DR258,Transfer!EE258)</f>
        <v>-9999</v>
      </c>
      <c r="AH258" s="1040">
        <f>CHOOSE(Tables!$U$2,Transfer!CF258,Transfer!CS258,Transfer!DF258,Transfer!DS258,Transfer!EF258)</f>
        <v>-9999</v>
      </c>
      <c r="AI258" s="1040">
        <f>CHOOSE(Tables!$U$2,Transfer!CG258,Transfer!CT258,Transfer!DG258,Transfer!DT258,Transfer!EG258)</f>
        <v>-9999</v>
      </c>
      <c r="AJ258" s="1040">
        <f>CHOOSE(Tables!$U$2,Transfer!CH258,Transfer!CU258,Transfer!DH258,Transfer!DU258,Transfer!EH258)</f>
        <v>-9999</v>
      </c>
      <c r="AK258" s="1040">
        <f>CHOOSE(Tables!$U$2,Transfer!CI258,Transfer!CV258,Transfer!DI258,Transfer!DV258,Transfer!EI258)</f>
        <v>-9999</v>
      </c>
      <c r="AL258" s="1040">
        <f>CHOOSE(Tables!$U$2,Transfer!CJ258,Transfer!CW258,Transfer!DJ258,Transfer!DW258,Transfer!EJ258)</f>
        <v>-9999</v>
      </c>
      <c r="AM258" s="1040">
        <f>CHOOSE(Tables!$U$2,Transfer!CK258,Transfer!CX258,Transfer!DK258,Transfer!DX258,Transfer!EK258)</f>
        <v>-9999</v>
      </c>
      <c r="AN258" s="1040">
        <f>CHOOSE(Tables!$U$2,Transfer!CL258,Transfer!CY258,Transfer!DL258,Transfer!DY258,Transfer!EL258)</f>
        <v>-9999</v>
      </c>
      <c r="AO258" s="1040">
        <f>CHOOSE(Tables!$U$2,Transfer!CM258,Transfer!CZ258,Transfer!DM258,Transfer!DZ258,Transfer!EM258)</f>
        <v>-9999</v>
      </c>
      <c r="AR258" s="22">
        <v>158</v>
      </c>
      <c r="AS258" s="33" t="s">
        <v>1647</v>
      </c>
      <c r="AT258" s="1040">
        <f t="shared" ref="AT258:AV280" ca="1" si="43">C258-AC258</f>
        <v>0.33112887990655437</v>
      </c>
      <c r="AU258" s="25">
        <f t="shared" si="43"/>
        <v>0</v>
      </c>
      <c r="AV258" s="25">
        <f t="shared" si="43"/>
        <v>0</v>
      </c>
      <c r="AW258" s="25">
        <f t="shared" si="42"/>
        <v>0</v>
      </c>
      <c r="AX258" s="25">
        <f t="shared" si="42"/>
        <v>0</v>
      </c>
      <c r="AY258" s="25">
        <f t="shared" si="42"/>
        <v>0</v>
      </c>
      <c r="AZ258" s="25">
        <f t="shared" si="42"/>
        <v>0</v>
      </c>
      <c r="BA258" s="25">
        <f t="shared" si="42"/>
        <v>0</v>
      </c>
      <c r="BB258" s="25">
        <f t="shared" si="42"/>
        <v>0</v>
      </c>
      <c r="BC258" s="25">
        <f t="shared" si="42"/>
        <v>0</v>
      </c>
      <c r="BD258" s="25">
        <f t="shared" si="42"/>
        <v>0</v>
      </c>
      <c r="BE258" s="25">
        <f t="shared" si="42"/>
        <v>0</v>
      </c>
      <c r="BF258" s="25">
        <f t="shared" si="21"/>
        <v>0</v>
      </c>
      <c r="CA258" s="16">
        <v>18.461310377179245</v>
      </c>
      <c r="CB258" s="16">
        <v>-9999</v>
      </c>
      <c r="CC258" s="16">
        <v>-9999</v>
      </c>
      <c r="CD258" s="16">
        <v>-9999</v>
      </c>
      <c r="CE258" s="16">
        <v>-9999</v>
      </c>
      <c r="CF258" s="16">
        <v>-9999</v>
      </c>
      <c r="CG258" s="16">
        <v>-9999</v>
      </c>
      <c r="CH258" s="16">
        <v>-9999</v>
      </c>
      <c r="CI258" s="16">
        <v>-9999</v>
      </c>
      <c r="CJ258" s="16">
        <v>-9999</v>
      </c>
      <c r="CK258" s="16">
        <v>-9999</v>
      </c>
      <c r="CL258" s="16">
        <v>-9999</v>
      </c>
      <c r="CM258" s="16">
        <v>-9999</v>
      </c>
      <c r="CN258" s="16">
        <v>18.600502199841738</v>
      </c>
      <c r="CO258" s="16">
        <v>-9999</v>
      </c>
      <c r="CP258" s="16">
        <v>-9999</v>
      </c>
      <c r="CQ258" s="16">
        <v>-9999</v>
      </c>
      <c r="CR258" s="16">
        <v>-9999</v>
      </c>
      <c r="CS258" s="16">
        <v>-9999</v>
      </c>
      <c r="CT258" s="16">
        <v>-9999</v>
      </c>
      <c r="CU258" s="16">
        <v>-9999</v>
      </c>
      <c r="CV258" s="16">
        <v>-9999</v>
      </c>
      <c r="CW258" s="16">
        <v>-9999</v>
      </c>
      <c r="CX258" s="16">
        <v>-9999</v>
      </c>
      <c r="CY258" s="16">
        <v>-9999</v>
      </c>
      <c r="CZ258" s="16">
        <v>-9999</v>
      </c>
      <c r="DA258" s="16">
        <v>18.404968389023526</v>
      </c>
      <c r="DB258" s="16">
        <v>-9999</v>
      </c>
      <c r="DC258" s="16">
        <v>-9999</v>
      </c>
      <c r="DD258" s="16">
        <v>-9999</v>
      </c>
      <c r="DE258" s="16">
        <v>-9999</v>
      </c>
      <c r="DF258" s="16">
        <v>-9999</v>
      </c>
      <c r="DG258" s="16">
        <v>-9999</v>
      </c>
      <c r="DH258" s="16">
        <v>-9999</v>
      </c>
      <c r="DI258" s="16">
        <v>-9999</v>
      </c>
      <c r="DJ258" s="16">
        <v>-9999</v>
      </c>
      <c r="DK258" s="16">
        <v>-9999</v>
      </c>
      <c r="DL258" s="16">
        <v>-9999</v>
      </c>
      <c r="DM258" s="16">
        <v>-9999</v>
      </c>
      <c r="DN258" s="16">
        <v>18.600512941709134</v>
      </c>
      <c r="DO258" s="16">
        <v>-9999</v>
      </c>
      <c r="DP258" s="16">
        <v>-9999</v>
      </c>
      <c r="DQ258" s="16">
        <v>-9999</v>
      </c>
      <c r="DR258" s="16">
        <v>-9999</v>
      </c>
      <c r="DS258" s="16">
        <v>-9999</v>
      </c>
      <c r="DT258" s="16">
        <v>-9999</v>
      </c>
      <c r="DU258" s="16">
        <v>-9999</v>
      </c>
      <c r="DV258" s="16">
        <v>-9999</v>
      </c>
      <c r="DW258" s="16">
        <v>-9999</v>
      </c>
      <c r="DX258" s="16">
        <v>-9999</v>
      </c>
      <c r="DY258" s="16">
        <v>-9999</v>
      </c>
      <c r="DZ258" s="16">
        <v>-9999</v>
      </c>
      <c r="EA258" s="2196">
        <v>18.190023875681963</v>
      </c>
      <c r="EB258" s="2197">
        <v>-9999</v>
      </c>
      <c r="EC258" s="2197">
        <v>-9999</v>
      </c>
      <c r="ED258" s="2197">
        <v>-9999</v>
      </c>
      <c r="EE258" s="2197">
        <v>-9999</v>
      </c>
      <c r="EF258" s="2197">
        <v>-9999</v>
      </c>
      <c r="EG258" s="2197">
        <v>-9999</v>
      </c>
      <c r="EH258" s="2197">
        <v>-9999</v>
      </c>
      <c r="EI258" s="2197">
        <v>-9999</v>
      </c>
      <c r="EJ258" s="2197">
        <v>-9999</v>
      </c>
      <c r="EK258" s="2197">
        <v>-9999</v>
      </c>
      <c r="EL258" s="2197">
        <v>-9999</v>
      </c>
      <c r="EM258" s="2197">
        <v>-9999</v>
      </c>
    </row>
    <row r="259" spans="1:143">
      <c r="A259" s="22">
        <v>159</v>
      </c>
      <c r="B259" s="33" t="s">
        <v>1329</v>
      </c>
      <c r="C259" s="1040">
        <f ca="1">+OFFSET(Sector1!G247,0,Last_forecast_year - 1998)*100</f>
        <v>5.2734993650361588</v>
      </c>
      <c r="D259" s="25">
        <v>-9999</v>
      </c>
      <c r="E259" s="25">
        <v>-9999</v>
      </c>
      <c r="F259" s="25">
        <v>-9999</v>
      </c>
      <c r="G259" s="25">
        <v>-9999</v>
      </c>
      <c r="H259" s="25">
        <v>-9999</v>
      </c>
      <c r="I259" s="25">
        <v>-9999</v>
      </c>
      <c r="J259" s="25">
        <v>-9999</v>
      </c>
      <c r="K259" s="25">
        <v>-9999</v>
      </c>
      <c r="L259" s="25">
        <v>-9999</v>
      </c>
      <c r="M259" s="25">
        <v>-9999</v>
      </c>
      <c r="N259" s="25">
        <v>-9999</v>
      </c>
      <c r="O259" s="25">
        <v>-9999</v>
      </c>
      <c r="P259" s="26"/>
      <c r="Q259"/>
      <c r="AA259" s="22">
        <v>159</v>
      </c>
      <c r="AB259" s="1040" t="str">
        <f t="shared" si="31"/>
        <v xml:space="preserve">TAX RATE DIRECT TAXES PAST 4-Y AVG (col 1) </v>
      </c>
      <c r="AC259" s="1040">
        <f>CHOOSE(Tables!$U$2,Transfer!CA259,Transfer!CN259,Transfer!DA259,Transfer!DN259,Transfer!EA259)</f>
        <v>4.9841780210345368</v>
      </c>
      <c r="AD259" s="1040">
        <f>CHOOSE(Tables!$U$2,Transfer!CB259,Transfer!CO259,Transfer!DB259,Transfer!DO259,Transfer!EB259)</f>
        <v>-9999</v>
      </c>
      <c r="AE259" s="1040">
        <f>CHOOSE(Tables!$U$2,Transfer!CC259,Transfer!CP259,Transfer!DC259,Transfer!DP259,Transfer!EC259)</f>
        <v>-9999</v>
      </c>
      <c r="AF259" s="1040">
        <f>CHOOSE(Tables!$U$2,Transfer!CD259,Transfer!CQ259,Transfer!DD259,Transfer!DQ259,Transfer!ED259)</f>
        <v>-9999</v>
      </c>
      <c r="AG259" s="1040">
        <f>CHOOSE(Tables!$U$2,Transfer!CE259,Transfer!CR259,Transfer!DE259,Transfer!DR259,Transfer!EE259)</f>
        <v>-9999</v>
      </c>
      <c r="AH259" s="1040">
        <f>CHOOSE(Tables!$U$2,Transfer!CF259,Transfer!CS259,Transfer!DF259,Transfer!DS259,Transfer!EF259)</f>
        <v>-9999</v>
      </c>
      <c r="AI259" s="1040">
        <f>CHOOSE(Tables!$U$2,Transfer!CG259,Transfer!CT259,Transfer!DG259,Transfer!DT259,Transfer!EG259)</f>
        <v>-9999</v>
      </c>
      <c r="AJ259" s="1040">
        <f>CHOOSE(Tables!$U$2,Transfer!CH259,Transfer!CU259,Transfer!DH259,Transfer!DU259,Transfer!EH259)</f>
        <v>-9999</v>
      </c>
      <c r="AK259" s="1040">
        <f>CHOOSE(Tables!$U$2,Transfer!CI259,Transfer!CV259,Transfer!DI259,Transfer!DV259,Transfer!EI259)</f>
        <v>-9999</v>
      </c>
      <c r="AL259" s="1040">
        <f>CHOOSE(Tables!$U$2,Transfer!CJ259,Transfer!CW259,Transfer!DJ259,Transfer!DW259,Transfer!EJ259)</f>
        <v>-9999</v>
      </c>
      <c r="AM259" s="1040">
        <f>CHOOSE(Tables!$U$2,Transfer!CK259,Transfer!CX259,Transfer!DK259,Transfer!DX259,Transfer!EK259)</f>
        <v>-9999</v>
      </c>
      <c r="AN259" s="1040">
        <f>CHOOSE(Tables!$U$2,Transfer!CL259,Transfer!CY259,Transfer!DL259,Transfer!DY259,Transfer!EL259)</f>
        <v>-9999</v>
      </c>
      <c r="AO259" s="1040">
        <f>CHOOSE(Tables!$U$2,Transfer!CM259,Transfer!CZ259,Transfer!DM259,Transfer!DZ259,Transfer!EM259)</f>
        <v>-9999</v>
      </c>
      <c r="AR259" s="22">
        <v>159</v>
      </c>
      <c r="AS259" s="33" t="s">
        <v>1329</v>
      </c>
      <c r="AT259" s="1040">
        <f t="shared" ca="1" si="43"/>
        <v>0.28932134400162202</v>
      </c>
      <c r="AU259" s="25">
        <f t="shared" si="43"/>
        <v>0</v>
      </c>
      <c r="AV259" s="25">
        <f t="shared" si="43"/>
        <v>0</v>
      </c>
      <c r="AW259" s="25">
        <f t="shared" si="42"/>
        <v>0</v>
      </c>
      <c r="AX259" s="25">
        <f t="shared" si="42"/>
        <v>0</v>
      </c>
      <c r="AY259" s="25">
        <f t="shared" si="42"/>
        <v>0</v>
      </c>
      <c r="AZ259" s="25">
        <f t="shared" si="42"/>
        <v>0</v>
      </c>
      <c r="BA259" s="25">
        <f t="shared" si="42"/>
        <v>0</v>
      </c>
      <c r="BB259" s="25">
        <f t="shared" si="42"/>
        <v>0</v>
      </c>
      <c r="BC259" s="25">
        <f t="shared" si="42"/>
        <v>0</v>
      </c>
      <c r="BD259" s="25">
        <f t="shared" si="42"/>
        <v>0</v>
      </c>
      <c r="BE259" s="25">
        <f t="shared" si="42"/>
        <v>0</v>
      </c>
      <c r="BF259" s="25">
        <f t="shared" si="21"/>
        <v>0</v>
      </c>
      <c r="CA259" s="16">
        <v>4.8036203643228736</v>
      </c>
      <c r="CB259" s="16">
        <v>-9999</v>
      </c>
      <c r="CC259" s="16">
        <v>-9999</v>
      </c>
      <c r="CD259" s="16">
        <v>-9999</v>
      </c>
      <c r="CE259" s="16">
        <v>-9999</v>
      </c>
      <c r="CF259" s="16">
        <v>-9999</v>
      </c>
      <c r="CG259" s="16">
        <v>-9999</v>
      </c>
      <c r="CH259" s="16">
        <v>-9999</v>
      </c>
      <c r="CI259" s="16">
        <v>-9999</v>
      </c>
      <c r="CJ259" s="16">
        <v>-9999</v>
      </c>
      <c r="CK259" s="16">
        <v>-9999</v>
      </c>
      <c r="CL259" s="16">
        <v>-9999</v>
      </c>
      <c r="CM259" s="16">
        <v>-9999</v>
      </c>
      <c r="CN259" s="16">
        <v>4.6955415079955651</v>
      </c>
      <c r="CO259" s="16">
        <v>-9999</v>
      </c>
      <c r="CP259" s="16">
        <v>-9999</v>
      </c>
      <c r="CQ259" s="16">
        <v>-9999</v>
      </c>
      <c r="CR259" s="16">
        <v>-9999</v>
      </c>
      <c r="CS259" s="16">
        <v>-9999</v>
      </c>
      <c r="CT259" s="16">
        <v>-9999</v>
      </c>
      <c r="CU259" s="16">
        <v>-9999</v>
      </c>
      <c r="CV259" s="16">
        <v>-9999</v>
      </c>
      <c r="CW259" s="16">
        <v>-9999</v>
      </c>
      <c r="CX259" s="16">
        <v>-9999</v>
      </c>
      <c r="CY259" s="16">
        <v>-9999</v>
      </c>
      <c r="CZ259" s="16">
        <v>-9999</v>
      </c>
      <c r="DA259" s="16">
        <v>4.8098775622679577</v>
      </c>
      <c r="DB259" s="16">
        <v>-9999</v>
      </c>
      <c r="DC259" s="16">
        <v>-9999</v>
      </c>
      <c r="DD259" s="16">
        <v>-9999</v>
      </c>
      <c r="DE259" s="16">
        <v>-9999</v>
      </c>
      <c r="DF259" s="16">
        <v>-9999</v>
      </c>
      <c r="DG259" s="16">
        <v>-9999</v>
      </c>
      <c r="DH259" s="16">
        <v>-9999</v>
      </c>
      <c r="DI259" s="16">
        <v>-9999</v>
      </c>
      <c r="DJ259" s="16">
        <v>-9999</v>
      </c>
      <c r="DK259" s="16">
        <v>-9999</v>
      </c>
      <c r="DL259" s="16">
        <v>-9999</v>
      </c>
      <c r="DM259" s="16">
        <v>-9999</v>
      </c>
      <c r="DN259" s="16">
        <v>4.6955381198908199</v>
      </c>
      <c r="DO259" s="16">
        <v>-9999</v>
      </c>
      <c r="DP259" s="16">
        <v>-9999</v>
      </c>
      <c r="DQ259" s="16">
        <v>-9999</v>
      </c>
      <c r="DR259" s="16">
        <v>-9999</v>
      </c>
      <c r="DS259" s="16">
        <v>-9999</v>
      </c>
      <c r="DT259" s="16">
        <v>-9999</v>
      </c>
      <c r="DU259" s="16">
        <v>-9999</v>
      </c>
      <c r="DV259" s="16">
        <v>-9999</v>
      </c>
      <c r="DW259" s="16">
        <v>-9999</v>
      </c>
      <c r="DX259" s="16">
        <v>-9999</v>
      </c>
      <c r="DY259" s="16">
        <v>-9999</v>
      </c>
      <c r="DZ259" s="16">
        <v>-9999</v>
      </c>
      <c r="EA259" s="2196">
        <v>4.9841780210345368</v>
      </c>
      <c r="EB259" s="2197">
        <v>-9999</v>
      </c>
      <c r="EC259" s="2197">
        <v>-9999</v>
      </c>
      <c r="ED259" s="2197">
        <v>-9999</v>
      </c>
      <c r="EE259" s="2197">
        <v>-9999</v>
      </c>
      <c r="EF259" s="2197">
        <v>-9999</v>
      </c>
      <c r="EG259" s="2197">
        <v>-9999</v>
      </c>
      <c r="EH259" s="2197">
        <v>-9999</v>
      </c>
      <c r="EI259" s="2197">
        <v>-9999</v>
      </c>
      <c r="EJ259" s="2197">
        <v>-9999</v>
      </c>
      <c r="EK259" s="2197">
        <v>-9999</v>
      </c>
      <c r="EL259" s="2197">
        <v>-9999</v>
      </c>
      <c r="EM259" s="2197">
        <v>-9999</v>
      </c>
    </row>
    <row r="260" spans="1:143">
      <c r="A260" s="22">
        <v>160</v>
      </c>
      <c r="B260" s="33" t="s">
        <v>1330</v>
      </c>
      <c r="C260" s="1040">
        <f ca="1">+OFFSET(Sector1!G292,0,Last_forecast_year - 1998)*100</f>
        <v>28.494703738629902</v>
      </c>
      <c r="D260" s="25">
        <v>-9999</v>
      </c>
      <c r="E260" s="25">
        <v>-9999</v>
      </c>
      <c r="F260" s="25">
        <v>-9999</v>
      </c>
      <c r="G260" s="25">
        <v>-9999</v>
      </c>
      <c r="H260" s="25">
        <v>-9999</v>
      </c>
      <c r="I260" s="25">
        <v>-9999</v>
      </c>
      <c r="J260" s="25">
        <v>-9999</v>
      </c>
      <c r="K260" s="25">
        <v>-9999</v>
      </c>
      <c r="L260" s="25">
        <v>-9999</v>
      </c>
      <c r="M260" s="25">
        <v>-9999</v>
      </c>
      <c r="N260" s="25">
        <v>-9999</v>
      </c>
      <c r="O260" s="25">
        <v>-9999</v>
      </c>
      <c r="P260" s="26"/>
      <c r="Q260"/>
      <c r="AA260" s="22">
        <v>160</v>
      </c>
      <c r="AB260" s="1040" t="str">
        <f t="shared" si="31"/>
        <v>TAX RATE SOCIAL CONTR. PAST 4-Y AVG (col 1)</v>
      </c>
      <c r="AC260" s="1040">
        <f>CHOOSE(Tables!$U$2,Transfer!CA260,Transfer!CN260,Transfer!DA260,Transfer!DN260,Transfer!EA260)</f>
        <v>29.244220911408064</v>
      </c>
      <c r="AD260" s="1040">
        <f>CHOOSE(Tables!$U$2,Transfer!CB260,Transfer!CO260,Transfer!DB260,Transfer!DO260,Transfer!EB260)</f>
        <v>-9999</v>
      </c>
      <c r="AE260" s="1040">
        <f>CHOOSE(Tables!$U$2,Transfer!CC260,Transfer!CP260,Transfer!DC260,Transfer!DP260,Transfer!EC260)</f>
        <v>-9999</v>
      </c>
      <c r="AF260" s="1040">
        <f>CHOOSE(Tables!$U$2,Transfer!CD260,Transfer!CQ260,Transfer!DD260,Transfer!DQ260,Transfer!ED260)</f>
        <v>-9999</v>
      </c>
      <c r="AG260" s="1040">
        <f>CHOOSE(Tables!$U$2,Transfer!CE260,Transfer!CR260,Transfer!DE260,Transfer!DR260,Transfer!EE260)</f>
        <v>-9999</v>
      </c>
      <c r="AH260" s="1040">
        <f>CHOOSE(Tables!$U$2,Transfer!CF260,Transfer!CS260,Transfer!DF260,Transfer!DS260,Transfer!EF260)</f>
        <v>-9999</v>
      </c>
      <c r="AI260" s="1040">
        <f>CHOOSE(Tables!$U$2,Transfer!CG260,Transfer!CT260,Transfer!DG260,Transfer!DT260,Transfer!EG260)</f>
        <v>-9999</v>
      </c>
      <c r="AJ260" s="1040">
        <f>CHOOSE(Tables!$U$2,Transfer!CH260,Transfer!CU260,Transfer!DH260,Transfer!DU260,Transfer!EH260)</f>
        <v>-9999</v>
      </c>
      <c r="AK260" s="1040">
        <f>CHOOSE(Tables!$U$2,Transfer!CI260,Transfer!CV260,Transfer!DI260,Transfer!DV260,Transfer!EI260)</f>
        <v>-9999</v>
      </c>
      <c r="AL260" s="1040">
        <f>CHOOSE(Tables!$U$2,Transfer!CJ260,Transfer!CW260,Transfer!DJ260,Transfer!DW260,Transfer!EJ260)</f>
        <v>-9999</v>
      </c>
      <c r="AM260" s="1040">
        <f>CHOOSE(Tables!$U$2,Transfer!CK260,Transfer!CX260,Transfer!DK260,Transfer!DX260,Transfer!EK260)</f>
        <v>-9999</v>
      </c>
      <c r="AN260" s="1040">
        <f>CHOOSE(Tables!$U$2,Transfer!CL260,Transfer!CY260,Transfer!DL260,Transfer!DY260,Transfer!EL260)</f>
        <v>-9999</v>
      </c>
      <c r="AO260" s="1040">
        <f>CHOOSE(Tables!$U$2,Transfer!CM260,Transfer!CZ260,Transfer!DM260,Transfer!DZ260,Transfer!EM260)</f>
        <v>-9999</v>
      </c>
      <c r="AR260" s="22">
        <v>160</v>
      </c>
      <c r="AS260" s="33" t="s">
        <v>1330</v>
      </c>
      <c r="AT260" s="1040">
        <f t="shared" ca="1" si="43"/>
        <v>-0.74951717277816243</v>
      </c>
      <c r="AU260" s="25">
        <f t="shared" si="43"/>
        <v>0</v>
      </c>
      <c r="AV260" s="25">
        <f t="shared" si="43"/>
        <v>0</v>
      </c>
      <c r="AW260" s="25">
        <f t="shared" si="42"/>
        <v>0</v>
      </c>
      <c r="AX260" s="25">
        <f t="shared" si="42"/>
        <v>0</v>
      </c>
      <c r="AY260" s="25">
        <f t="shared" si="42"/>
        <v>0</v>
      </c>
      <c r="AZ260" s="25">
        <f t="shared" si="42"/>
        <v>0</v>
      </c>
      <c r="BA260" s="25">
        <f t="shared" si="42"/>
        <v>0</v>
      </c>
      <c r="BB260" s="25">
        <f t="shared" si="42"/>
        <v>0</v>
      </c>
      <c r="BC260" s="25">
        <f t="shared" si="42"/>
        <v>0</v>
      </c>
      <c r="BD260" s="25">
        <f t="shared" si="42"/>
        <v>0</v>
      </c>
      <c r="BE260" s="25">
        <f t="shared" si="42"/>
        <v>0</v>
      </c>
      <c r="BF260" s="25">
        <f t="shared" si="21"/>
        <v>0</v>
      </c>
      <c r="CA260" s="16">
        <v>28.344846357144792</v>
      </c>
      <c r="CB260" s="16">
        <v>-9999</v>
      </c>
      <c r="CC260" s="16">
        <v>-9999</v>
      </c>
      <c r="CD260" s="16">
        <v>-9999</v>
      </c>
      <c r="CE260" s="16">
        <v>-9999</v>
      </c>
      <c r="CF260" s="16">
        <v>-9999</v>
      </c>
      <c r="CG260" s="16">
        <v>-9999</v>
      </c>
      <c r="CH260" s="16">
        <v>-9999</v>
      </c>
      <c r="CI260" s="16">
        <v>-9999</v>
      </c>
      <c r="CJ260" s="16">
        <v>-9999</v>
      </c>
      <c r="CK260" s="16">
        <v>-9999</v>
      </c>
      <c r="CL260" s="16">
        <v>-9999</v>
      </c>
      <c r="CM260" s="16">
        <v>-9999</v>
      </c>
      <c r="CN260" s="16">
        <v>28.53508756540505</v>
      </c>
      <c r="CO260" s="16">
        <v>-9999</v>
      </c>
      <c r="CP260" s="16">
        <v>-9999</v>
      </c>
      <c r="CQ260" s="16">
        <v>-9999</v>
      </c>
      <c r="CR260" s="16">
        <v>-9999</v>
      </c>
      <c r="CS260" s="16">
        <v>-9999</v>
      </c>
      <c r="CT260" s="16">
        <v>-9999</v>
      </c>
      <c r="CU260" s="16">
        <v>-9999</v>
      </c>
      <c r="CV260" s="16">
        <v>-9999</v>
      </c>
      <c r="CW260" s="16">
        <v>-9999</v>
      </c>
      <c r="CX260" s="16">
        <v>-9999</v>
      </c>
      <c r="CY260" s="16">
        <v>-9999</v>
      </c>
      <c r="CZ260" s="16">
        <v>-9999</v>
      </c>
      <c r="DA260" s="16">
        <v>28.329414152062039</v>
      </c>
      <c r="DB260" s="16">
        <v>-9999</v>
      </c>
      <c r="DC260" s="16">
        <v>-9999</v>
      </c>
      <c r="DD260" s="16">
        <v>-9999</v>
      </c>
      <c r="DE260" s="16">
        <v>-9999</v>
      </c>
      <c r="DF260" s="16">
        <v>-9999</v>
      </c>
      <c r="DG260" s="16">
        <v>-9999</v>
      </c>
      <c r="DH260" s="16">
        <v>-9999</v>
      </c>
      <c r="DI260" s="16">
        <v>-9999</v>
      </c>
      <c r="DJ260" s="16">
        <v>-9999</v>
      </c>
      <c r="DK260" s="16">
        <v>-9999</v>
      </c>
      <c r="DL260" s="16">
        <v>-9999</v>
      </c>
      <c r="DM260" s="16">
        <v>-9999</v>
      </c>
      <c r="DN260" s="16">
        <v>28.535081903522951</v>
      </c>
      <c r="DO260" s="16">
        <v>-9999</v>
      </c>
      <c r="DP260" s="16">
        <v>-9999</v>
      </c>
      <c r="DQ260" s="16">
        <v>-9999</v>
      </c>
      <c r="DR260" s="16">
        <v>-9999</v>
      </c>
      <c r="DS260" s="16">
        <v>-9999</v>
      </c>
      <c r="DT260" s="16">
        <v>-9999</v>
      </c>
      <c r="DU260" s="16">
        <v>-9999</v>
      </c>
      <c r="DV260" s="16">
        <v>-9999</v>
      </c>
      <c r="DW260" s="16">
        <v>-9999</v>
      </c>
      <c r="DX260" s="16">
        <v>-9999</v>
      </c>
      <c r="DY260" s="16">
        <v>-9999</v>
      </c>
      <c r="DZ260" s="16">
        <v>-9999</v>
      </c>
      <c r="EA260" s="2196">
        <v>29.244220911408064</v>
      </c>
      <c r="EB260" s="2197">
        <v>-9999</v>
      </c>
      <c r="EC260" s="2197">
        <v>-9999</v>
      </c>
      <c r="ED260" s="2197">
        <v>-9999</v>
      </c>
      <c r="EE260" s="2197">
        <v>-9999</v>
      </c>
      <c r="EF260" s="2197">
        <v>-9999</v>
      </c>
      <c r="EG260" s="2197">
        <v>-9999</v>
      </c>
      <c r="EH260" s="2197">
        <v>-9999</v>
      </c>
      <c r="EI260" s="2197">
        <v>-9999</v>
      </c>
      <c r="EJ260" s="2197">
        <v>-9999</v>
      </c>
      <c r="EK260" s="2197">
        <v>-9999</v>
      </c>
      <c r="EL260" s="2197">
        <v>-9999</v>
      </c>
      <c r="EM260" s="2197">
        <v>-9999</v>
      </c>
    </row>
    <row r="261" spans="1:143">
      <c r="A261" s="22">
        <v>161</v>
      </c>
      <c r="B261" s="33" t="s">
        <v>808</v>
      </c>
      <c r="C261" s="24">
        <f ca="1">OFFSET('VVP2'!F371,0,Last_forecast_year - 3-InputY!$G$3)</f>
        <v>321.58999999999997</v>
      </c>
      <c r="D261" s="24">
        <f ca="1">OFFSET('VVP2'!G371,0,Last_forecast_year - 3-InputY!$G$3)</f>
        <v>336.99</v>
      </c>
      <c r="E261" s="24">
        <f ca="1">OFFSET('VVP2'!H371,0,Last_forecast_year - 3-InputY!$G$3)</f>
        <v>324.63</v>
      </c>
      <c r="F261" s="24">
        <f ca="1">OFFSET('VVP2'!I371,0,Last_forecast_year - 3-InputY!$G$3)</f>
        <v>324.63</v>
      </c>
      <c r="G261" s="24">
        <f ca="1">OFFSET('VVP2'!J371,0,Last_forecast_year - 3-InputY!$G$3)</f>
        <v>324.63</v>
      </c>
      <c r="H261" s="25">
        <v>-9999</v>
      </c>
      <c r="I261" s="25">
        <v>-9999</v>
      </c>
      <c r="J261" s="25">
        <v>-9999</v>
      </c>
      <c r="K261" s="25">
        <v>-9999</v>
      </c>
      <c r="L261" s="25">
        <v>-9999</v>
      </c>
      <c r="M261" s="25">
        <v>-9999</v>
      </c>
      <c r="N261" s="25">
        <v>-9999</v>
      </c>
      <c r="O261" s="25">
        <v>-9999</v>
      </c>
      <c r="P261" s="26"/>
      <c r="Q261"/>
      <c r="AA261" s="22">
        <v>161</v>
      </c>
      <c r="AB261" s="1040" t="str">
        <f t="shared" si="31"/>
        <v>HICP Y WEIGHT NON-ENERGY INDUSTRIAL GOODS</v>
      </c>
      <c r="AC261" s="1040">
        <f>CHOOSE(Tables!$U$2,Transfer!CA261,Transfer!CN261,Transfer!DA261,Transfer!DN261,Transfer!EA261)</f>
        <v>252.33</v>
      </c>
      <c r="AD261" s="1040">
        <f>CHOOSE(Tables!$U$2,Transfer!CB261,Transfer!CO261,Transfer!DB261,Transfer!DO261,Transfer!EB261)</f>
        <v>243.38</v>
      </c>
      <c r="AE261" s="1040">
        <f>CHOOSE(Tables!$U$2,Transfer!CC261,Transfer!CP261,Transfer!DC261,Transfer!DP261,Transfer!EC261)</f>
        <v>238.83</v>
      </c>
      <c r="AF261" s="1040">
        <f>CHOOSE(Tables!$U$2,Transfer!CD261,Transfer!CQ261,Transfer!DD261,Transfer!DQ261,Transfer!ED261)</f>
        <v>238.83</v>
      </c>
      <c r="AG261" s="1040">
        <f>CHOOSE(Tables!$U$2,Transfer!CE261,Transfer!CR261,Transfer!DE261,Transfer!DR261,Transfer!EE261)</f>
        <v>238.83</v>
      </c>
      <c r="AH261" s="1040">
        <f>CHOOSE(Tables!$U$2,Transfer!CF261,Transfer!CS261,Transfer!DF261,Transfer!DS261,Transfer!EF261)</f>
        <v>-9999</v>
      </c>
      <c r="AI261" s="1040">
        <f>CHOOSE(Tables!$U$2,Transfer!CG261,Transfer!CT261,Transfer!DG261,Transfer!DT261,Transfer!EG261)</f>
        <v>-9999</v>
      </c>
      <c r="AJ261" s="1040">
        <f>CHOOSE(Tables!$U$2,Transfer!CH261,Transfer!CU261,Transfer!DH261,Transfer!DU261,Transfer!EH261)</f>
        <v>-9999</v>
      </c>
      <c r="AK261" s="1040">
        <f>CHOOSE(Tables!$U$2,Transfer!CI261,Transfer!CV261,Transfer!DI261,Transfer!DV261,Transfer!EI261)</f>
        <v>-9999</v>
      </c>
      <c r="AL261" s="1040">
        <f>CHOOSE(Tables!$U$2,Transfer!CJ261,Transfer!CW261,Transfer!DJ261,Transfer!DW261,Transfer!EJ261)</f>
        <v>-9999</v>
      </c>
      <c r="AM261" s="1040">
        <f>CHOOSE(Tables!$U$2,Transfer!CK261,Transfer!CX261,Transfer!DK261,Transfer!DX261,Transfer!EK261)</f>
        <v>-9999</v>
      </c>
      <c r="AN261" s="1040">
        <f>CHOOSE(Tables!$U$2,Transfer!CL261,Transfer!CY261,Transfer!DL261,Transfer!DY261,Transfer!EL261)</f>
        <v>-9999</v>
      </c>
      <c r="AO261" s="1040">
        <f>CHOOSE(Tables!$U$2,Transfer!CM261,Transfer!CZ261,Transfer!DM261,Transfer!DZ261,Transfer!EM261)</f>
        <v>-9999</v>
      </c>
      <c r="AR261" s="22">
        <v>161</v>
      </c>
      <c r="AS261" s="37" t="s">
        <v>1705</v>
      </c>
      <c r="AT261" s="25">
        <f t="shared" ca="1" si="43"/>
        <v>69.259999999999962</v>
      </c>
      <c r="AU261" s="25">
        <f t="shared" ca="1" si="43"/>
        <v>93.610000000000014</v>
      </c>
      <c r="AV261" s="25">
        <f t="shared" ca="1" si="43"/>
        <v>85.799999999999983</v>
      </c>
      <c r="AW261" s="25">
        <f t="shared" ca="1" si="42"/>
        <v>85.799999999999983</v>
      </c>
      <c r="AX261" s="25">
        <f t="shared" ca="1" si="42"/>
        <v>85.799999999999983</v>
      </c>
      <c r="AY261" s="25">
        <f t="shared" si="42"/>
        <v>0</v>
      </c>
      <c r="AZ261" s="25">
        <f t="shared" si="42"/>
        <v>0</v>
      </c>
      <c r="BA261" s="25">
        <f t="shared" si="42"/>
        <v>0</v>
      </c>
      <c r="BB261" s="25">
        <f t="shared" si="42"/>
        <v>0</v>
      </c>
      <c r="BC261" s="25">
        <f t="shared" si="42"/>
        <v>0</v>
      </c>
      <c r="BD261" s="25">
        <f t="shared" si="42"/>
        <v>0</v>
      </c>
      <c r="BE261" s="25">
        <f t="shared" si="42"/>
        <v>0</v>
      </c>
      <c r="BF261" s="25">
        <f t="shared" si="21"/>
        <v>0</v>
      </c>
      <c r="CA261" s="16">
        <v>238.83</v>
      </c>
      <c r="CB261" s="16">
        <v>300.89999999999998</v>
      </c>
      <c r="CC261" s="16">
        <v>300.89999999999998</v>
      </c>
      <c r="CD261" s="16">
        <v>300.89999999999998</v>
      </c>
      <c r="CE261" s="16">
        <v>300.89999999999998</v>
      </c>
      <c r="CF261" s="16">
        <v>-9999</v>
      </c>
      <c r="CG261" s="16">
        <v>-9999</v>
      </c>
      <c r="CH261" s="16">
        <v>-9999</v>
      </c>
      <c r="CI261" s="16">
        <v>-9999</v>
      </c>
      <c r="CJ261" s="16">
        <v>-9999</v>
      </c>
      <c r="CK261" s="16">
        <v>-9999</v>
      </c>
      <c r="CL261" s="16">
        <v>-9999</v>
      </c>
      <c r="CM261" s="16">
        <v>-9999</v>
      </c>
      <c r="CN261" s="16">
        <v>243.38</v>
      </c>
      <c r="CO261" s="16">
        <v>238.83</v>
      </c>
      <c r="CP261" s="16">
        <v>300.89999999999998</v>
      </c>
      <c r="CQ261" s="16">
        <v>300.89999999999998</v>
      </c>
      <c r="CR261" s="16">
        <v>300.89999999999998</v>
      </c>
      <c r="CS261" s="16">
        <v>-9999</v>
      </c>
      <c r="CT261" s="16">
        <v>-9999</v>
      </c>
      <c r="CU261" s="16">
        <v>-9999</v>
      </c>
      <c r="CV261" s="16">
        <v>-9999</v>
      </c>
      <c r="CW261" s="16">
        <v>-9999</v>
      </c>
      <c r="CX261" s="16">
        <v>-9999</v>
      </c>
      <c r="CY261" s="16">
        <v>-9999</v>
      </c>
      <c r="CZ261" s="16">
        <v>-9999</v>
      </c>
      <c r="DA261" s="16">
        <v>238.83</v>
      </c>
      <c r="DB261" s="16">
        <v>300.89999999999998</v>
      </c>
      <c r="DC261" s="16">
        <v>300.89999999999998</v>
      </c>
      <c r="DD261" s="16">
        <v>300.89999999999998</v>
      </c>
      <c r="DE261" s="16">
        <v>300.89999999999998</v>
      </c>
      <c r="DF261" s="16">
        <v>-9999</v>
      </c>
      <c r="DG261" s="16">
        <v>-9999</v>
      </c>
      <c r="DH261" s="16">
        <v>-9999</v>
      </c>
      <c r="DI261" s="16">
        <v>-9999</v>
      </c>
      <c r="DJ261" s="16">
        <v>-9999</v>
      </c>
      <c r="DK261" s="16">
        <v>-9999</v>
      </c>
      <c r="DL261" s="16">
        <v>-9999</v>
      </c>
      <c r="DM261" s="16">
        <v>-9999</v>
      </c>
      <c r="DN261" s="16">
        <v>243.38</v>
      </c>
      <c r="DO261" s="16">
        <v>238.83</v>
      </c>
      <c r="DP261" s="16">
        <v>300.89999999999998</v>
      </c>
      <c r="DQ261" s="16">
        <v>300.89999999999998</v>
      </c>
      <c r="DR261" s="16">
        <v>300.89999999999998</v>
      </c>
      <c r="DS261" s="16">
        <v>-9999</v>
      </c>
      <c r="DT261" s="16">
        <v>-9999</v>
      </c>
      <c r="DU261" s="16">
        <v>-9999</v>
      </c>
      <c r="DV261" s="16">
        <v>-9999</v>
      </c>
      <c r="DW261" s="16">
        <v>-9999</v>
      </c>
      <c r="DX261" s="16">
        <v>-9999</v>
      </c>
      <c r="DY261" s="16">
        <v>-9999</v>
      </c>
      <c r="DZ261" s="16">
        <v>-9999</v>
      </c>
      <c r="EA261" s="2197">
        <v>252.33</v>
      </c>
      <c r="EB261" s="2197">
        <v>243.38</v>
      </c>
      <c r="EC261" s="2197">
        <v>238.83</v>
      </c>
      <c r="ED261" s="2197">
        <v>238.83</v>
      </c>
      <c r="EE261" s="2197">
        <v>238.83</v>
      </c>
      <c r="EF261" s="2197">
        <v>-9999</v>
      </c>
      <c r="EG261" s="2197">
        <v>-9999</v>
      </c>
      <c r="EH261" s="2197">
        <v>-9999</v>
      </c>
      <c r="EI261" s="2197">
        <v>-9999</v>
      </c>
      <c r="EJ261" s="2197">
        <v>-9999</v>
      </c>
      <c r="EK261" s="2197">
        <v>-9999</v>
      </c>
      <c r="EL261" s="2197">
        <v>-9999</v>
      </c>
      <c r="EM261" s="2197">
        <v>-9999</v>
      </c>
    </row>
    <row r="262" spans="1:143">
      <c r="A262" s="22">
        <v>162</v>
      </c>
      <c r="B262" s="33" t="s">
        <v>809</v>
      </c>
      <c r="C262" s="24">
        <f ca="1">OFFSET('VVP2'!F372,0,Last_forecast_year - 3-InputY!$G$3)</f>
        <v>136.01</v>
      </c>
      <c r="D262" s="24">
        <f ca="1">OFFSET('VVP2'!G372,0,Last_forecast_year - 3-InputY!$G$3)</f>
        <v>117.86</v>
      </c>
      <c r="E262" s="24">
        <f ca="1">OFFSET('VVP2'!H372,0,Last_forecast_year - 3-InputY!$G$3)</f>
        <v>120.19</v>
      </c>
      <c r="F262" s="24">
        <f ca="1">OFFSET('VVP2'!I372,0,Last_forecast_year - 3-InputY!$G$3)</f>
        <v>120.19</v>
      </c>
      <c r="G262" s="24">
        <f ca="1">OFFSET('VVP2'!J372,0,Last_forecast_year - 3-InputY!$G$3)</f>
        <v>120.19</v>
      </c>
      <c r="H262" s="25">
        <v>-9999</v>
      </c>
      <c r="I262" s="25">
        <v>-9999</v>
      </c>
      <c r="J262" s="25">
        <v>-9999</v>
      </c>
      <c r="K262" s="25">
        <v>-9999</v>
      </c>
      <c r="L262" s="25">
        <v>-9999</v>
      </c>
      <c r="M262" s="25">
        <v>-9999</v>
      </c>
      <c r="N262" s="25">
        <v>-9999</v>
      </c>
      <c r="O262" s="25">
        <v>-9999</v>
      </c>
      <c r="P262" s="26"/>
      <c r="Q262"/>
      <c r="AA262" s="22">
        <v>162</v>
      </c>
      <c r="AB262" s="1040" t="str">
        <f t="shared" si="31"/>
        <v>HICP Y WEIGHT ENERGY</v>
      </c>
      <c r="AC262" s="1040">
        <f>CHOOSE(Tables!$U$2,Transfer!CA262,Transfer!CN262,Transfer!DA262,Transfer!DN262,Transfer!EA262)</f>
        <v>153.46</v>
      </c>
      <c r="AD262" s="1040">
        <f>CHOOSE(Tables!$U$2,Transfer!CB262,Transfer!CO262,Transfer!DB262,Transfer!DO262,Transfer!EB262)</f>
        <v>163.93</v>
      </c>
      <c r="AE262" s="1040">
        <f>CHOOSE(Tables!$U$2,Transfer!CC262,Transfer!CP262,Transfer!DC262,Transfer!DP262,Transfer!EC262)</f>
        <v>168.38</v>
      </c>
      <c r="AF262" s="1040">
        <f>CHOOSE(Tables!$U$2,Transfer!CD262,Transfer!CQ262,Transfer!DD262,Transfer!DQ262,Transfer!ED262)</f>
        <v>168.38</v>
      </c>
      <c r="AG262" s="1040">
        <f>CHOOSE(Tables!$U$2,Transfer!CE262,Transfer!CR262,Transfer!DE262,Transfer!DR262,Transfer!EE262)</f>
        <v>168.38</v>
      </c>
      <c r="AH262" s="1040">
        <f>CHOOSE(Tables!$U$2,Transfer!CF262,Transfer!CS262,Transfer!DF262,Transfer!DS262,Transfer!EF262)</f>
        <v>-9999</v>
      </c>
      <c r="AI262" s="1040">
        <f>CHOOSE(Tables!$U$2,Transfer!CG262,Transfer!CT262,Transfer!DG262,Transfer!DT262,Transfer!EG262)</f>
        <v>-9999</v>
      </c>
      <c r="AJ262" s="1040">
        <f>CHOOSE(Tables!$U$2,Transfer!CH262,Transfer!CU262,Transfer!DH262,Transfer!DU262,Transfer!EH262)</f>
        <v>-9999</v>
      </c>
      <c r="AK262" s="1040">
        <f>CHOOSE(Tables!$U$2,Transfer!CI262,Transfer!CV262,Transfer!DI262,Transfer!DV262,Transfer!EI262)</f>
        <v>-9999</v>
      </c>
      <c r="AL262" s="1040">
        <f>CHOOSE(Tables!$U$2,Transfer!CJ262,Transfer!CW262,Transfer!DJ262,Transfer!DW262,Transfer!EJ262)</f>
        <v>-9999</v>
      </c>
      <c r="AM262" s="1040">
        <f>CHOOSE(Tables!$U$2,Transfer!CK262,Transfer!CX262,Transfer!DK262,Transfer!DX262,Transfer!EK262)</f>
        <v>-9999</v>
      </c>
      <c r="AN262" s="1040">
        <f>CHOOSE(Tables!$U$2,Transfer!CL262,Transfer!CY262,Transfer!DL262,Transfer!DY262,Transfer!EL262)</f>
        <v>-9999</v>
      </c>
      <c r="AO262" s="1040">
        <f>CHOOSE(Tables!$U$2,Transfer!CM262,Transfer!CZ262,Transfer!DM262,Transfer!DZ262,Transfer!EM262)</f>
        <v>-9999</v>
      </c>
      <c r="AR262" s="22">
        <v>162</v>
      </c>
      <c r="AS262" s="33" t="s">
        <v>1331</v>
      </c>
      <c r="AT262" s="35">
        <f t="shared" ca="1" si="43"/>
        <v>-17.450000000000017</v>
      </c>
      <c r="AU262" s="25">
        <f t="shared" ca="1" si="43"/>
        <v>-46.070000000000007</v>
      </c>
      <c r="AV262" s="25">
        <f t="shared" ca="1" si="43"/>
        <v>-48.19</v>
      </c>
      <c r="AW262" s="25">
        <f t="shared" ca="1" si="42"/>
        <v>-48.19</v>
      </c>
      <c r="AX262" s="25">
        <f t="shared" ca="1" si="42"/>
        <v>-48.19</v>
      </c>
      <c r="AY262" s="25">
        <f t="shared" si="42"/>
        <v>0</v>
      </c>
      <c r="AZ262" s="25">
        <f t="shared" si="42"/>
        <v>0</v>
      </c>
      <c r="BA262" s="25">
        <f t="shared" si="42"/>
        <v>0</v>
      </c>
      <c r="BB262" s="25">
        <f t="shared" si="42"/>
        <v>0</v>
      </c>
      <c r="BC262" s="25">
        <f t="shared" si="42"/>
        <v>0</v>
      </c>
      <c r="BD262" s="25">
        <f t="shared" si="42"/>
        <v>0</v>
      </c>
      <c r="BE262" s="25">
        <f t="shared" si="42"/>
        <v>0</v>
      </c>
      <c r="BF262" s="25">
        <f t="shared" si="21"/>
        <v>0</v>
      </c>
      <c r="CA262" s="16">
        <v>168.38</v>
      </c>
      <c r="CB262" s="16">
        <v>142.51</v>
      </c>
      <c r="CC262" s="16">
        <v>142.51</v>
      </c>
      <c r="CD262" s="16">
        <v>142.51</v>
      </c>
      <c r="CE262" s="16">
        <v>142.51</v>
      </c>
      <c r="CF262" s="16">
        <v>-9999</v>
      </c>
      <c r="CG262" s="16">
        <v>-9999</v>
      </c>
      <c r="CH262" s="16">
        <v>-9999</v>
      </c>
      <c r="CI262" s="16">
        <v>-9999</v>
      </c>
      <c r="CJ262" s="16">
        <v>-9999</v>
      </c>
      <c r="CK262" s="16">
        <v>-9999</v>
      </c>
      <c r="CL262" s="16">
        <v>-9999</v>
      </c>
      <c r="CM262" s="16">
        <v>-9999</v>
      </c>
      <c r="CN262" s="16">
        <v>163.93</v>
      </c>
      <c r="CO262" s="16">
        <v>168.38</v>
      </c>
      <c r="CP262" s="16">
        <v>142.51</v>
      </c>
      <c r="CQ262" s="16">
        <v>142.51</v>
      </c>
      <c r="CR262" s="16">
        <v>142.51</v>
      </c>
      <c r="CS262" s="16">
        <v>-9999</v>
      </c>
      <c r="CT262" s="16">
        <v>-9999</v>
      </c>
      <c r="CU262" s="16">
        <v>-9999</v>
      </c>
      <c r="CV262" s="16">
        <v>-9999</v>
      </c>
      <c r="CW262" s="16">
        <v>-9999</v>
      </c>
      <c r="CX262" s="16">
        <v>-9999</v>
      </c>
      <c r="CY262" s="16">
        <v>-9999</v>
      </c>
      <c r="CZ262" s="16">
        <v>-9999</v>
      </c>
      <c r="DA262" s="16">
        <v>168.38</v>
      </c>
      <c r="DB262" s="16">
        <v>142.51</v>
      </c>
      <c r="DC262" s="16">
        <v>142.51</v>
      </c>
      <c r="DD262" s="16">
        <v>142.51</v>
      </c>
      <c r="DE262" s="16">
        <v>142.51</v>
      </c>
      <c r="DF262" s="16">
        <v>-9999</v>
      </c>
      <c r="DG262" s="16">
        <v>-9999</v>
      </c>
      <c r="DH262" s="16">
        <v>-9999</v>
      </c>
      <c r="DI262" s="16">
        <v>-9999</v>
      </c>
      <c r="DJ262" s="16">
        <v>-9999</v>
      </c>
      <c r="DK262" s="16">
        <v>-9999</v>
      </c>
      <c r="DL262" s="16">
        <v>-9999</v>
      </c>
      <c r="DM262" s="16">
        <v>-9999</v>
      </c>
      <c r="DN262" s="16">
        <v>163.93</v>
      </c>
      <c r="DO262" s="16">
        <v>168.38</v>
      </c>
      <c r="DP262" s="16">
        <v>142.51</v>
      </c>
      <c r="DQ262" s="16">
        <v>142.51</v>
      </c>
      <c r="DR262" s="16">
        <v>142.51</v>
      </c>
      <c r="DS262" s="16">
        <v>-9999</v>
      </c>
      <c r="DT262" s="16">
        <v>-9999</v>
      </c>
      <c r="DU262" s="16">
        <v>-9999</v>
      </c>
      <c r="DV262" s="16">
        <v>-9999</v>
      </c>
      <c r="DW262" s="16">
        <v>-9999</v>
      </c>
      <c r="DX262" s="16">
        <v>-9999</v>
      </c>
      <c r="DY262" s="16">
        <v>-9999</v>
      </c>
      <c r="DZ262" s="16">
        <v>-9999</v>
      </c>
      <c r="EA262" s="2196">
        <v>153.46</v>
      </c>
      <c r="EB262" s="2197">
        <v>163.93</v>
      </c>
      <c r="EC262" s="2197">
        <v>168.38</v>
      </c>
      <c r="ED262" s="2197">
        <v>168.38</v>
      </c>
      <c r="EE262" s="2197">
        <v>168.38</v>
      </c>
      <c r="EF262" s="2197">
        <v>-9999</v>
      </c>
      <c r="EG262" s="2197">
        <v>-9999</v>
      </c>
      <c r="EH262" s="2197">
        <v>-9999</v>
      </c>
      <c r="EI262" s="2197">
        <v>-9999</v>
      </c>
      <c r="EJ262" s="2197">
        <v>-9999</v>
      </c>
      <c r="EK262" s="2197">
        <v>-9999</v>
      </c>
      <c r="EL262" s="2197">
        <v>-9999</v>
      </c>
      <c r="EM262" s="2197">
        <v>-9999</v>
      </c>
    </row>
    <row r="263" spans="1:143">
      <c r="A263" s="22">
        <v>163</v>
      </c>
      <c r="B263" s="33" t="s">
        <v>810</v>
      </c>
      <c r="C263" s="24">
        <f ca="1">OFFSET('VVP2'!F374,0,Last_forecast_year - 3-InputY!$G$3)</f>
        <v>206.54</v>
      </c>
      <c r="D263" s="24">
        <f ca="1">OFFSET('VVP2'!G374,0,Last_forecast_year - 3-InputY!$G$3)</f>
        <v>208.15</v>
      </c>
      <c r="E263" s="24">
        <f ca="1">OFFSET('VVP2'!H374,0,Last_forecast_year - 3-InputY!$G$3)</f>
        <v>209.09</v>
      </c>
      <c r="F263" s="24">
        <f ca="1">OFFSET('VVP2'!I374,0,Last_forecast_year - 3-InputY!$G$3)</f>
        <v>209.09</v>
      </c>
      <c r="G263" s="24">
        <f ca="1">OFFSET('VVP2'!J374,0,Last_forecast_year - 3-InputY!$G$3)</f>
        <v>209.09</v>
      </c>
      <c r="H263" s="25">
        <v>-9999</v>
      </c>
      <c r="I263" s="25">
        <v>-9999</v>
      </c>
      <c r="J263" s="25">
        <v>-9999</v>
      </c>
      <c r="K263" s="25">
        <v>-9999</v>
      </c>
      <c r="L263" s="25">
        <v>-9999</v>
      </c>
      <c r="M263" s="25">
        <v>-9999</v>
      </c>
      <c r="N263" s="25">
        <v>-9999</v>
      </c>
      <c r="O263" s="25">
        <v>-9999</v>
      </c>
      <c r="P263" s="26"/>
      <c r="Q263"/>
      <c r="AA263" s="22">
        <v>163</v>
      </c>
      <c r="AB263" s="1040" t="str">
        <f t="shared" si="31"/>
        <v>HICP Y WEIGHT PROCESSED FOOD INCL. ALCOHOL AND TOBACCO</v>
      </c>
      <c r="AC263" s="1040">
        <f>CHOOSE(Tables!$U$2,Transfer!CA263,Transfer!CN263,Transfer!DA263,Transfer!DN263,Transfer!EA263)</f>
        <v>230.78</v>
      </c>
      <c r="AD263" s="1040">
        <f>CHOOSE(Tables!$U$2,Transfer!CB263,Transfer!CO263,Transfer!DB263,Transfer!DO263,Transfer!EB263)</f>
        <v>231.7</v>
      </c>
      <c r="AE263" s="1040">
        <f>CHOOSE(Tables!$U$2,Transfer!CC263,Transfer!CP263,Transfer!DC263,Transfer!DP263,Transfer!EC263)</f>
        <v>229.1</v>
      </c>
      <c r="AF263" s="1040">
        <f>CHOOSE(Tables!$U$2,Transfer!CD263,Transfer!CQ263,Transfer!DD263,Transfer!DQ263,Transfer!ED263)</f>
        <v>229.1</v>
      </c>
      <c r="AG263" s="1040">
        <f>CHOOSE(Tables!$U$2,Transfer!CE263,Transfer!CR263,Transfer!DE263,Transfer!DR263,Transfer!EE263)</f>
        <v>229.1</v>
      </c>
      <c r="AH263" s="1040">
        <f>CHOOSE(Tables!$U$2,Transfer!CF263,Transfer!CS263,Transfer!DF263,Transfer!DS263,Transfer!EF263)</f>
        <v>-9999</v>
      </c>
      <c r="AI263" s="1040">
        <f>CHOOSE(Tables!$U$2,Transfer!CG263,Transfer!CT263,Transfer!DG263,Transfer!DT263,Transfer!EG263)</f>
        <v>-9999</v>
      </c>
      <c r="AJ263" s="1040">
        <f>CHOOSE(Tables!$U$2,Transfer!CH263,Transfer!CU263,Transfer!DH263,Transfer!DU263,Transfer!EH263)</f>
        <v>-9999</v>
      </c>
      <c r="AK263" s="1040">
        <f>CHOOSE(Tables!$U$2,Transfer!CI263,Transfer!CV263,Transfer!DI263,Transfer!DV263,Transfer!EI263)</f>
        <v>-9999</v>
      </c>
      <c r="AL263" s="1040">
        <f>CHOOSE(Tables!$U$2,Transfer!CJ263,Transfer!CW263,Transfer!DJ263,Transfer!DW263,Transfer!EJ263)</f>
        <v>-9999</v>
      </c>
      <c r="AM263" s="1040">
        <f>CHOOSE(Tables!$U$2,Transfer!CK263,Transfer!CX263,Transfer!DK263,Transfer!DX263,Transfer!EK263)</f>
        <v>-9999</v>
      </c>
      <c r="AN263" s="1040">
        <f>CHOOSE(Tables!$U$2,Transfer!CL263,Transfer!CY263,Transfer!DL263,Transfer!DY263,Transfer!EL263)</f>
        <v>-9999</v>
      </c>
      <c r="AO263" s="1040">
        <f>CHOOSE(Tables!$U$2,Transfer!CM263,Transfer!CZ263,Transfer!DM263,Transfer!DZ263,Transfer!EM263)</f>
        <v>-9999</v>
      </c>
      <c r="AR263" s="22">
        <v>163</v>
      </c>
      <c r="AS263" s="33" t="s">
        <v>1333</v>
      </c>
      <c r="AT263" s="35">
        <f ca="1">C264-AC263</f>
        <v>-135.42000000000002</v>
      </c>
      <c r="AU263" s="25">
        <f ca="1">D264-AD263</f>
        <v>-139.51</v>
      </c>
      <c r="AV263" s="25">
        <f ca="1">E264-AE263</f>
        <v>-148.13</v>
      </c>
      <c r="AW263" s="25">
        <f ca="1">F264-AF263</f>
        <v>-148.13</v>
      </c>
      <c r="AX263" s="25">
        <f ca="1">G264-AG263</f>
        <v>-148.13</v>
      </c>
      <c r="AY263" s="25">
        <f t="shared" si="42"/>
        <v>0</v>
      </c>
      <c r="AZ263" s="25">
        <f t="shared" si="42"/>
        <v>0</v>
      </c>
      <c r="BA263" s="25">
        <f t="shared" si="42"/>
        <v>0</v>
      </c>
      <c r="BB263" s="25">
        <f t="shared" si="42"/>
        <v>0</v>
      </c>
      <c r="BC263" s="25">
        <f t="shared" si="42"/>
        <v>0</v>
      </c>
      <c r="BD263" s="25">
        <f t="shared" si="42"/>
        <v>0</v>
      </c>
      <c r="BE263" s="25">
        <f t="shared" si="42"/>
        <v>0</v>
      </c>
      <c r="BF263" s="25">
        <f t="shared" si="21"/>
        <v>0</v>
      </c>
      <c r="CA263" s="16">
        <v>229.1</v>
      </c>
      <c r="CB263" s="16">
        <v>219.69</v>
      </c>
      <c r="CC263" s="16">
        <v>219.69</v>
      </c>
      <c r="CD263" s="16">
        <v>219.69</v>
      </c>
      <c r="CE263" s="16">
        <v>219.69</v>
      </c>
      <c r="CF263" s="16">
        <v>-9999</v>
      </c>
      <c r="CG263" s="16">
        <v>-9999</v>
      </c>
      <c r="CH263" s="16">
        <v>-9999</v>
      </c>
      <c r="CI263" s="16">
        <v>-9999</v>
      </c>
      <c r="CJ263" s="16">
        <v>-9999</v>
      </c>
      <c r="CK263" s="16">
        <v>-9999</v>
      </c>
      <c r="CL263" s="16">
        <v>-9999</v>
      </c>
      <c r="CM263" s="16">
        <v>-9999</v>
      </c>
      <c r="CN263" s="16">
        <v>231.70000000000002</v>
      </c>
      <c r="CO263" s="16">
        <v>229.1</v>
      </c>
      <c r="CP263" s="16">
        <v>219.69</v>
      </c>
      <c r="CQ263" s="16">
        <v>219.69</v>
      </c>
      <c r="CR263" s="16">
        <v>219.69</v>
      </c>
      <c r="CS263" s="16">
        <v>-9999</v>
      </c>
      <c r="CT263" s="16">
        <v>-9999</v>
      </c>
      <c r="CU263" s="16">
        <v>-9999</v>
      </c>
      <c r="CV263" s="16">
        <v>-9999</v>
      </c>
      <c r="CW263" s="16">
        <v>-9999</v>
      </c>
      <c r="CX263" s="16">
        <v>-9999</v>
      </c>
      <c r="CY263" s="16">
        <v>-9999</v>
      </c>
      <c r="CZ263" s="16">
        <v>-9999</v>
      </c>
      <c r="DA263" s="16">
        <v>229.1</v>
      </c>
      <c r="DB263" s="16">
        <v>219.69</v>
      </c>
      <c r="DC263" s="16">
        <v>219.69</v>
      </c>
      <c r="DD263" s="16">
        <v>219.69</v>
      </c>
      <c r="DE263" s="16">
        <v>219.69</v>
      </c>
      <c r="DF263" s="16">
        <v>-9999</v>
      </c>
      <c r="DG263" s="16">
        <v>-9999</v>
      </c>
      <c r="DH263" s="16">
        <v>-9999</v>
      </c>
      <c r="DI263" s="16">
        <v>-9999</v>
      </c>
      <c r="DJ263" s="16">
        <v>-9999</v>
      </c>
      <c r="DK263" s="16">
        <v>-9999</v>
      </c>
      <c r="DL263" s="16">
        <v>-9999</v>
      </c>
      <c r="DM263" s="16">
        <v>-9999</v>
      </c>
      <c r="DN263" s="16">
        <v>231.70000000000002</v>
      </c>
      <c r="DO263" s="16">
        <v>229.1</v>
      </c>
      <c r="DP263" s="16">
        <v>219.69</v>
      </c>
      <c r="DQ263" s="16">
        <v>219.69</v>
      </c>
      <c r="DR263" s="16">
        <v>219.69</v>
      </c>
      <c r="DS263" s="16">
        <v>-9999</v>
      </c>
      <c r="DT263" s="16">
        <v>-9999</v>
      </c>
      <c r="DU263" s="16">
        <v>-9999</v>
      </c>
      <c r="DV263" s="16">
        <v>-9999</v>
      </c>
      <c r="DW263" s="16">
        <v>-9999</v>
      </c>
      <c r="DX263" s="16">
        <v>-9999</v>
      </c>
      <c r="DY263" s="16">
        <v>-9999</v>
      </c>
      <c r="DZ263" s="16">
        <v>-9999</v>
      </c>
      <c r="EA263" s="2196">
        <v>230.78</v>
      </c>
      <c r="EB263" s="2197">
        <v>231.7</v>
      </c>
      <c r="EC263" s="2197">
        <v>229.1</v>
      </c>
      <c r="ED263" s="2197">
        <v>229.1</v>
      </c>
      <c r="EE263" s="2197">
        <v>229.1</v>
      </c>
      <c r="EF263" s="2197">
        <v>-9999</v>
      </c>
      <c r="EG263" s="2197">
        <v>-9999</v>
      </c>
      <c r="EH263" s="2197">
        <v>-9999</v>
      </c>
      <c r="EI263" s="2197">
        <v>-9999</v>
      </c>
      <c r="EJ263" s="2197">
        <v>-9999</v>
      </c>
      <c r="EK263" s="2197">
        <v>-9999</v>
      </c>
      <c r="EL263" s="2197">
        <v>-9999</v>
      </c>
      <c r="EM263" s="2197">
        <v>-9999</v>
      </c>
    </row>
    <row r="264" spans="1:143">
      <c r="A264" s="22">
        <v>164</v>
      </c>
      <c r="B264" s="33" t="s">
        <v>811</v>
      </c>
      <c r="C264" s="24">
        <f ca="1">OFFSET('VVP2'!F373,0,Last_forecast_year - 3-InputY!$G$3)</f>
        <v>95.36</v>
      </c>
      <c r="D264" s="24">
        <f ca="1">OFFSET('VVP2'!G373,0,Last_forecast_year - 3-InputY!$G$3)</f>
        <v>92.19</v>
      </c>
      <c r="E264" s="24">
        <f ca="1">OFFSET('VVP2'!H373,0,Last_forecast_year - 3-InputY!$G$3)</f>
        <v>80.97</v>
      </c>
      <c r="F264" s="24">
        <f ca="1">OFFSET('VVP2'!I373,0,Last_forecast_year - 3-InputY!$G$3)</f>
        <v>80.97</v>
      </c>
      <c r="G264" s="24">
        <f ca="1">OFFSET('VVP2'!J373,0,Last_forecast_year - 3-InputY!$G$3)</f>
        <v>80.97</v>
      </c>
      <c r="H264" s="25">
        <v>-9999</v>
      </c>
      <c r="I264" s="25">
        <v>-9999</v>
      </c>
      <c r="J264" s="25">
        <v>-9999</v>
      </c>
      <c r="K264" s="25">
        <v>-9999</v>
      </c>
      <c r="L264" s="25">
        <v>-9999</v>
      </c>
      <c r="M264" s="25">
        <v>-9999</v>
      </c>
      <c r="N264" s="25">
        <v>-9999</v>
      </c>
      <c r="O264" s="25">
        <v>-9999</v>
      </c>
      <c r="P264" s="26"/>
      <c r="Q264"/>
      <c r="AA264" s="22">
        <v>164</v>
      </c>
      <c r="AB264" s="1040" t="str">
        <f t="shared" si="31"/>
        <v>HICP Y WEIGHT UNPROCESSED FOOD</v>
      </c>
      <c r="AC264" s="1040">
        <f>CHOOSE(Tables!$U$2,Transfer!CA264,Transfer!CN264,Transfer!DA264,Transfer!DN264,Transfer!EA264)</f>
        <v>116.14</v>
      </c>
      <c r="AD264" s="1040">
        <f>CHOOSE(Tables!$U$2,Transfer!CB264,Transfer!CO264,Transfer!DB264,Transfer!DO264,Transfer!EB264)</f>
        <v>112.78</v>
      </c>
      <c r="AE264" s="1040">
        <f>CHOOSE(Tables!$U$2,Transfer!CC264,Transfer!CP264,Transfer!DC264,Transfer!DP264,Transfer!EC264)</f>
        <v>112.95</v>
      </c>
      <c r="AF264" s="1040">
        <f>CHOOSE(Tables!$U$2,Transfer!CD264,Transfer!CQ264,Transfer!DD264,Transfer!DQ264,Transfer!ED264)</f>
        <v>112.95</v>
      </c>
      <c r="AG264" s="1040">
        <f>CHOOSE(Tables!$U$2,Transfer!CE264,Transfer!CR264,Transfer!DE264,Transfer!DR264,Transfer!EE264)</f>
        <v>112.95</v>
      </c>
      <c r="AH264" s="1040">
        <f>CHOOSE(Tables!$U$2,Transfer!CF264,Transfer!CS264,Transfer!DF264,Transfer!DS264,Transfer!EF264)</f>
        <v>-9999</v>
      </c>
      <c r="AI264" s="1040">
        <f>CHOOSE(Tables!$U$2,Transfer!CG264,Transfer!CT264,Transfer!DG264,Transfer!DT264,Transfer!EG264)</f>
        <v>-9999</v>
      </c>
      <c r="AJ264" s="1040">
        <f>CHOOSE(Tables!$U$2,Transfer!CH264,Transfer!CU264,Transfer!DH264,Transfer!DU264,Transfer!EH264)</f>
        <v>-9999</v>
      </c>
      <c r="AK264" s="1040">
        <f>CHOOSE(Tables!$U$2,Transfer!CI264,Transfer!CV264,Transfer!DI264,Transfer!DV264,Transfer!EI264)</f>
        <v>-9999</v>
      </c>
      <c r="AL264" s="1040">
        <f>CHOOSE(Tables!$U$2,Transfer!CJ264,Transfer!CW264,Transfer!DJ264,Transfer!DW264,Transfer!EJ264)</f>
        <v>-9999</v>
      </c>
      <c r="AM264" s="1040">
        <f>CHOOSE(Tables!$U$2,Transfer!CK264,Transfer!CX264,Transfer!DK264,Transfer!DX264,Transfer!EK264)</f>
        <v>-9999</v>
      </c>
      <c r="AN264" s="1040">
        <f>CHOOSE(Tables!$U$2,Transfer!CL264,Transfer!CY264,Transfer!DL264,Transfer!DY264,Transfer!EL264)</f>
        <v>-9999</v>
      </c>
      <c r="AO264" s="1040">
        <f>CHOOSE(Tables!$U$2,Transfer!CM264,Transfer!CZ264,Transfer!DM264,Transfer!DZ264,Transfer!EM264)</f>
        <v>-9999</v>
      </c>
      <c r="AR264" s="22">
        <v>164</v>
      </c>
      <c r="AS264" s="33" t="s">
        <v>1520</v>
      </c>
      <c r="AT264" s="35">
        <f ca="1">C263-AC264</f>
        <v>90.399999999999991</v>
      </c>
      <c r="AU264" s="25">
        <f ca="1">D263-AD264</f>
        <v>95.37</v>
      </c>
      <c r="AV264" s="25">
        <f ca="1">E263-AE264</f>
        <v>96.14</v>
      </c>
      <c r="AW264" s="25">
        <f ca="1">F263-AF264</f>
        <v>96.14</v>
      </c>
      <c r="AX264" s="25">
        <f ca="1">G263-AG264</f>
        <v>96.14</v>
      </c>
      <c r="AY264" s="25">
        <f t="shared" si="42"/>
        <v>0</v>
      </c>
      <c r="AZ264" s="25">
        <f t="shared" si="42"/>
        <v>0</v>
      </c>
      <c r="BA264" s="25">
        <f t="shared" si="42"/>
        <v>0</v>
      </c>
      <c r="BB264" s="25">
        <f t="shared" si="42"/>
        <v>0</v>
      </c>
      <c r="BC264" s="25">
        <f t="shared" si="42"/>
        <v>0</v>
      </c>
      <c r="BD264" s="25">
        <f t="shared" si="42"/>
        <v>0</v>
      </c>
      <c r="BE264" s="25">
        <f t="shared" si="42"/>
        <v>0</v>
      </c>
      <c r="BF264" s="25">
        <f t="shared" si="21"/>
        <v>0</v>
      </c>
      <c r="CA264" s="16">
        <v>112.95</v>
      </c>
      <c r="CB264" s="16">
        <v>102.8</v>
      </c>
      <c r="CC264" s="16">
        <v>102.8</v>
      </c>
      <c r="CD264" s="16">
        <v>102.8</v>
      </c>
      <c r="CE264" s="16">
        <v>102.8</v>
      </c>
      <c r="CF264" s="16">
        <v>-9999</v>
      </c>
      <c r="CG264" s="16">
        <v>-9999</v>
      </c>
      <c r="CH264" s="16">
        <v>-9999</v>
      </c>
      <c r="CI264" s="16">
        <v>-9999</v>
      </c>
      <c r="CJ264" s="16">
        <v>-9999</v>
      </c>
      <c r="CK264" s="16">
        <v>-9999</v>
      </c>
      <c r="CL264" s="16">
        <v>-9999</v>
      </c>
      <c r="CM264" s="16">
        <v>-9999</v>
      </c>
      <c r="CN264" s="16">
        <v>112.78</v>
      </c>
      <c r="CO264" s="16">
        <v>112.95</v>
      </c>
      <c r="CP264" s="16">
        <v>102.8</v>
      </c>
      <c r="CQ264" s="16">
        <v>102.8</v>
      </c>
      <c r="CR264" s="16">
        <v>102.8</v>
      </c>
      <c r="CS264" s="16">
        <v>-9999</v>
      </c>
      <c r="CT264" s="16">
        <v>-9999</v>
      </c>
      <c r="CU264" s="16">
        <v>-9999</v>
      </c>
      <c r="CV264" s="16">
        <v>-9999</v>
      </c>
      <c r="CW264" s="16">
        <v>-9999</v>
      </c>
      <c r="CX264" s="16">
        <v>-9999</v>
      </c>
      <c r="CY264" s="16">
        <v>-9999</v>
      </c>
      <c r="CZ264" s="16">
        <v>-9999</v>
      </c>
      <c r="DA264" s="16">
        <v>112.95</v>
      </c>
      <c r="DB264" s="16">
        <v>102.8</v>
      </c>
      <c r="DC264" s="16">
        <v>102.8</v>
      </c>
      <c r="DD264" s="16">
        <v>102.8</v>
      </c>
      <c r="DE264" s="16">
        <v>102.8</v>
      </c>
      <c r="DF264" s="16">
        <v>-9999</v>
      </c>
      <c r="DG264" s="16">
        <v>-9999</v>
      </c>
      <c r="DH264" s="16">
        <v>-9999</v>
      </c>
      <c r="DI264" s="16">
        <v>-9999</v>
      </c>
      <c r="DJ264" s="16">
        <v>-9999</v>
      </c>
      <c r="DK264" s="16">
        <v>-9999</v>
      </c>
      <c r="DL264" s="16">
        <v>-9999</v>
      </c>
      <c r="DM264" s="16">
        <v>-9999</v>
      </c>
      <c r="DN264" s="16">
        <v>112.78</v>
      </c>
      <c r="DO264" s="16">
        <v>112.95</v>
      </c>
      <c r="DP264" s="16">
        <v>102.8</v>
      </c>
      <c r="DQ264" s="16">
        <v>102.8</v>
      </c>
      <c r="DR264" s="16">
        <v>102.8</v>
      </c>
      <c r="DS264" s="16">
        <v>-9999</v>
      </c>
      <c r="DT264" s="16">
        <v>-9999</v>
      </c>
      <c r="DU264" s="16">
        <v>-9999</v>
      </c>
      <c r="DV264" s="16">
        <v>-9999</v>
      </c>
      <c r="DW264" s="16">
        <v>-9999</v>
      </c>
      <c r="DX264" s="16">
        <v>-9999</v>
      </c>
      <c r="DY264" s="16">
        <v>-9999</v>
      </c>
      <c r="DZ264" s="16">
        <v>-9999</v>
      </c>
      <c r="EA264" s="2196">
        <v>116.14</v>
      </c>
      <c r="EB264" s="2197">
        <v>112.78</v>
      </c>
      <c r="EC264" s="2197">
        <v>112.95</v>
      </c>
      <c r="ED264" s="2197">
        <v>112.95</v>
      </c>
      <c r="EE264" s="2197">
        <v>112.95</v>
      </c>
      <c r="EF264" s="2197">
        <v>-9999</v>
      </c>
      <c r="EG264" s="2197">
        <v>-9999</v>
      </c>
      <c r="EH264" s="2197">
        <v>-9999</v>
      </c>
      <c r="EI264" s="2197">
        <v>-9999</v>
      </c>
      <c r="EJ264" s="2197">
        <v>-9999</v>
      </c>
      <c r="EK264" s="2197">
        <v>-9999</v>
      </c>
      <c r="EL264" s="2197">
        <v>-9999</v>
      </c>
      <c r="EM264" s="2197">
        <v>-9999</v>
      </c>
    </row>
    <row r="265" spans="1:143">
      <c r="A265" s="22">
        <v>165</v>
      </c>
      <c r="B265" s="33" t="s">
        <v>812</v>
      </c>
      <c r="C265" s="24">
        <f ca="1">OFFSET('VVP2'!F375,0,Last_forecast_year - 3-InputY!$G$3)</f>
        <v>240.50000000000009</v>
      </c>
      <c r="D265" s="24">
        <f ca="1">OFFSET('VVP2'!G375,0,Last_forecast_year - 3-InputY!$G$3)</f>
        <v>244.80999999999997</v>
      </c>
      <c r="E265" s="24">
        <f ca="1">OFFSET('VVP2'!H375,0,Last_forecast_year - 3-InputY!$G$3)</f>
        <v>265.12</v>
      </c>
      <c r="F265" s="24">
        <f ca="1">OFFSET('VVP2'!I375,0,Last_forecast_year - 3-InputY!$G$3)</f>
        <v>265.12</v>
      </c>
      <c r="G265" s="24">
        <f ca="1">OFFSET('VVP2'!J375,0,Last_forecast_year - 3-InputY!$G$3)</f>
        <v>265.12</v>
      </c>
      <c r="H265" s="25">
        <v>-9999</v>
      </c>
      <c r="I265" s="25">
        <v>-9999</v>
      </c>
      <c r="J265" s="25">
        <v>-9999</v>
      </c>
      <c r="K265" s="25">
        <v>-9999</v>
      </c>
      <c r="L265" s="25">
        <v>-9999</v>
      </c>
      <c r="M265" s="25">
        <v>-9999</v>
      </c>
      <c r="N265" s="25">
        <v>-9999</v>
      </c>
      <c r="O265" s="25">
        <v>-9999</v>
      </c>
      <c r="P265" s="26"/>
      <c r="Q265"/>
      <c r="AA265" s="22">
        <v>165</v>
      </c>
      <c r="AB265" s="1040" t="str">
        <f t="shared" si="31"/>
        <v>HICP Y WEIGHT SERVICES</v>
      </c>
      <c r="AC265" s="1040">
        <f>CHOOSE(Tables!$U$2,Transfer!CA265,Transfer!CN265,Transfer!DA265,Transfer!DN265,Transfer!EA265)</f>
        <v>247.3</v>
      </c>
      <c r="AD265" s="1040">
        <f>CHOOSE(Tables!$U$2,Transfer!CB265,Transfer!CO265,Transfer!DB265,Transfer!DO265,Transfer!EB265)</f>
        <v>248.21</v>
      </c>
      <c r="AE265" s="1040">
        <f>CHOOSE(Tables!$U$2,Transfer!CC265,Transfer!CP265,Transfer!DC265,Transfer!DP265,Transfer!EC265)</f>
        <v>250.74</v>
      </c>
      <c r="AF265" s="1040">
        <f>CHOOSE(Tables!$U$2,Transfer!CD265,Transfer!CQ265,Transfer!DD265,Transfer!DQ265,Transfer!ED265)</f>
        <v>250.73999999999998</v>
      </c>
      <c r="AG265" s="1040">
        <f>CHOOSE(Tables!$U$2,Transfer!CE265,Transfer!CR265,Transfer!DE265,Transfer!DR265,Transfer!EE265)</f>
        <v>250.73999999999998</v>
      </c>
      <c r="AH265" s="1040">
        <f>CHOOSE(Tables!$U$2,Transfer!CF265,Transfer!CS265,Transfer!DF265,Transfer!DS265,Transfer!EF265)</f>
        <v>-9999</v>
      </c>
      <c r="AI265" s="1040">
        <f>CHOOSE(Tables!$U$2,Transfer!CG265,Transfer!CT265,Transfer!DG265,Transfer!DT265,Transfer!EG265)</f>
        <v>-9999</v>
      </c>
      <c r="AJ265" s="1040">
        <f>CHOOSE(Tables!$U$2,Transfer!CH265,Transfer!CU265,Transfer!DH265,Transfer!DU265,Transfer!EH265)</f>
        <v>-9999</v>
      </c>
      <c r="AK265" s="1040">
        <f>CHOOSE(Tables!$U$2,Transfer!CI265,Transfer!CV265,Transfer!DI265,Transfer!DV265,Transfer!EI265)</f>
        <v>-9999</v>
      </c>
      <c r="AL265" s="1040">
        <f>CHOOSE(Tables!$U$2,Transfer!CJ265,Transfer!CW265,Transfer!DJ265,Transfer!DW265,Transfer!EJ265)</f>
        <v>-9999</v>
      </c>
      <c r="AM265" s="1040">
        <f>CHOOSE(Tables!$U$2,Transfer!CK265,Transfer!CX265,Transfer!DK265,Transfer!DX265,Transfer!EK265)</f>
        <v>-9999</v>
      </c>
      <c r="AN265" s="1040">
        <f>CHOOSE(Tables!$U$2,Transfer!CL265,Transfer!CY265,Transfer!DL265,Transfer!DY265,Transfer!EL265)</f>
        <v>-9999</v>
      </c>
      <c r="AO265" s="1040">
        <f>CHOOSE(Tables!$U$2,Transfer!CM265,Transfer!CZ265,Transfer!DM265,Transfer!DZ265,Transfer!EM265)</f>
        <v>-9999</v>
      </c>
      <c r="AR265" s="22">
        <v>165</v>
      </c>
      <c r="AS265" s="30" t="s">
        <v>1705</v>
      </c>
      <c r="AT265" s="25">
        <f t="shared" ca="1" si="43"/>
        <v>-6.7999999999999261</v>
      </c>
      <c r="AU265" s="25">
        <f t="shared" ca="1" si="43"/>
        <v>-3.4000000000000341</v>
      </c>
      <c r="AV265" s="25">
        <f t="shared" ca="1" si="43"/>
        <v>14.379999999999995</v>
      </c>
      <c r="AW265" s="25">
        <f t="shared" ca="1" si="42"/>
        <v>14.380000000000024</v>
      </c>
      <c r="AX265" s="25">
        <f t="shared" ca="1" si="42"/>
        <v>14.380000000000024</v>
      </c>
      <c r="AY265" s="25">
        <f t="shared" si="42"/>
        <v>0</v>
      </c>
      <c r="AZ265" s="25">
        <f t="shared" si="42"/>
        <v>0</v>
      </c>
      <c r="BA265" s="25">
        <f t="shared" si="42"/>
        <v>0</v>
      </c>
      <c r="BB265" s="25">
        <f t="shared" si="42"/>
        <v>0</v>
      </c>
      <c r="BC265" s="25">
        <f t="shared" si="42"/>
        <v>0</v>
      </c>
      <c r="BD265" s="25">
        <f t="shared" si="42"/>
        <v>0</v>
      </c>
      <c r="BE265" s="25">
        <f t="shared" si="42"/>
        <v>0</v>
      </c>
      <c r="BF265" s="25">
        <f t="shared" si="21"/>
        <v>0</v>
      </c>
      <c r="CA265" s="16">
        <v>250.74</v>
      </c>
      <c r="CB265" s="16">
        <v>234.10000000000002</v>
      </c>
      <c r="CC265" s="16">
        <v>234.10000000000002</v>
      </c>
      <c r="CD265" s="16">
        <v>234.10000000000002</v>
      </c>
      <c r="CE265" s="16">
        <v>234.10000000000002</v>
      </c>
      <c r="CF265" s="16">
        <v>-9999</v>
      </c>
      <c r="CG265" s="16">
        <v>-9999</v>
      </c>
      <c r="CH265" s="16">
        <v>-9999</v>
      </c>
      <c r="CI265" s="16">
        <v>-9999</v>
      </c>
      <c r="CJ265" s="16">
        <v>-9999</v>
      </c>
      <c r="CK265" s="16">
        <v>-9999</v>
      </c>
      <c r="CL265" s="16">
        <v>-9999</v>
      </c>
      <c r="CM265" s="16">
        <v>-9999</v>
      </c>
      <c r="CN265" s="16">
        <v>248.21</v>
      </c>
      <c r="CO265" s="16">
        <v>250.74</v>
      </c>
      <c r="CP265" s="16">
        <v>234.10000000000002</v>
      </c>
      <c r="CQ265" s="16">
        <v>234.10000000000002</v>
      </c>
      <c r="CR265" s="16">
        <v>234.10000000000002</v>
      </c>
      <c r="CS265" s="16">
        <v>-9999</v>
      </c>
      <c r="CT265" s="16">
        <v>-9999</v>
      </c>
      <c r="CU265" s="16">
        <v>-9999</v>
      </c>
      <c r="CV265" s="16">
        <v>-9999</v>
      </c>
      <c r="CW265" s="16">
        <v>-9999</v>
      </c>
      <c r="CX265" s="16">
        <v>-9999</v>
      </c>
      <c r="CY265" s="16">
        <v>-9999</v>
      </c>
      <c r="CZ265" s="16">
        <v>-9999</v>
      </c>
      <c r="DA265" s="16">
        <v>250.74</v>
      </c>
      <c r="DB265" s="16">
        <v>234.10000000000002</v>
      </c>
      <c r="DC265" s="16">
        <v>234.10000000000002</v>
      </c>
      <c r="DD265" s="16">
        <v>234.10000000000002</v>
      </c>
      <c r="DE265" s="16">
        <v>234.10000000000002</v>
      </c>
      <c r="DF265" s="16">
        <v>-9999</v>
      </c>
      <c r="DG265" s="16">
        <v>-9999</v>
      </c>
      <c r="DH265" s="16">
        <v>-9999</v>
      </c>
      <c r="DI265" s="16">
        <v>-9999</v>
      </c>
      <c r="DJ265" s="16">
        <v>-9999</v>
      </c>
      <c r="DK265" s="16">
        <v>-9999</v>
      </c>
      <c r="DL265" s="16">
        <v>-9999</v>
      </c>
      <c r="DM265" s="16">
        <v>-9999</v>
      </c>
      <c r="DN265" s="16">
        <v>248.21</v>
      </c>
      <c r="DO265" s="16">
        <v>250.74</v>
      </c>
      <c r="DP265" s="16">
        <v>234.10000000000002</v>
      </c>
      <c r="DQ265" s="16">
        <v>234.10000000000002</v>
      </c>
      <c r="DR265" s="16">
        <v>234.10000000000002</v>
      </c>
      <c r="DS265" s="16">
        <v>-9999</v>
      </c>
      <c r="DT265" s="16">
        <v>-9999</v>
      </c>
      <c r="DU265" s="16">
        <v>-9999</v>
      </c>
      <c r="DV265" s="16">
        <v>-9999</v>
      </c>
      <c r="DW265" s="16">
        <v>-9999</v>
      </c>
      <c r="DX265" s="16">
        <v>-9999</v>
      </c>
      <c r="DY265" s="16">
        <v>-9999</v>
      </c>
      <c r="DZ265" s="16">
        <v>-9999</v>
      </c>
      <c r="EA265" s="2197">
        <v>247.3</v>
      </c>
      <c r="EB265" s="2197">
        <v>248.21</v>
      </c>
      <c r="EC265" s="2197">
        <v>250.74</v>
      </c>
      <c r="ED265" s="2197">
        <v>250.73999999999998</v>
      </c>
      <c r="EE265" s="2197">
        <v>250.73999999999998</v>
      </c>
      <c r="EF265" s="2197">
        <v>-9999</v>
      </c>
      <c r="EG265" s="2197">
        <v>-9999</v>
      </c>
      <c r="EH265" s="2197">
        <v>-9999</v>
      </c>
      <c r="EI265" s="2197">
        <v>-9999</v>
      </c>
      <c r="EJ265" s="2197">
        <v>-9999</v>
      </c>
      <c r="EK265" s="2197">
        <v>-9999</v>
      </c>
      <c r="EL265" s="2197">
        <v>-9999</v>
      </c>
      <c r="EM265" s="2197">
        <v>-9999</v>
      </c>
    </row>
    <row r="266" spans="1:143">
      <c r="A266" s="22">
        <v>166</v>
      </c>
      <c r="B266" s="33" t="s">
        <v>1714</v>
      </c>
      <c r="C266" s="25">
        <v>-9999</v>
      </c>
      <c r="D266" s="1040">
        <f ca="1">OFFSET('Q1'!G320,0,(Last_forecast_year - 3-InputY!$G$3)*4+4)</f>
        <v>2.5798694213839894</v>
      </c>
      <c r="E266" s="1040">
        <f ca="1">OFFSET('Q1'!H320,0,(Last_forecast_year - 3-InputY!$G$3)*4+4)</f>
        <v>3.9280031204877304</v>
      </c>
      <c r="F266" s="1040">
        <f ca="1">OFFSET('Q1'!I320,0,(Last_forecast_year - 3-InputY!$G$3)*4+4)</f>
        <v>4.6690657980823573</v>
      </c>
      <c r="G266" s="1040">
        <f ca="1">OFFSET('Q1'!J320,0,(Last_forecast_year - 3-InputY!$G$3)*4+4)</f>
        <v>4.1447203044817655</v>
      </c>
      <c r="H266" s="1040">
        <f ca="1">OFFSET('Q1'!K320,0,(Last_forecast_year - 3-InputY!$G$3)*4+4)</f>
        <v>3.2439609580513888</v>
      </c>
      <c r="I266" s="1040">
        <f ca="1">OFFSET('Q1'!L320,0,(Last_forecast_year - 3-InputY!$G$3)*4+4)</f>
        <v>2.326162886456558</v>
      </c>
      <c r="J266" s="1040">
        <f ca="1">OFFSET('Q1'!M320,0,(Last_forecast_year - 3-InputY!$G$3)*4+4)</f>
        <v>2.242313401862873</v>
      </c>
      <c r="K266" s="1040">
        <f ca="1">OFFSET('Q1'!N320,0,(Last_forecast_year - 3-InputY!$G$3)*4+4)</f>
        <v>2.7157272103636387</v>
      </c>
      <c r="L266" s="1040">
        <f ca="1">OFFSET('Q1'!O320,0,(Last_forecast_year - 3-InputY!$G$3)*4+4)</f>
        <v>3.2296186870492534</v>
      </c>
      <c r="M266" s="1040">
        <f ca="1">OFFSET('Q1'!P320,0,(Last_forecast_year - 3-InputY!$G$3)*4+4)</f>
        <v>2.8796785292082916</v>
      </c>
      <c r="N266" s="1040">
        <f ca="1">OFFSET('Q1'!Q320,0,(Last_forecast_year - 3-InputY!$G$3)*4+4)</f>
        <v>2.4855516659156649</v>
      </c>
      <c r="O266" s="1040">
        <f ca="1">OFFSET('Q1'!R320,0,(Last_forecast_year - 3-InputY!$G$3)*4+4)</f>
        <v>2.0960435063473284</v>
      </c>
      <c r="P266" s="26"/>
      <c r="Q266"/>
      <c r="AA266" s="22">
        <v>166</v>
      </c>
      <c r="AB266" s="1040" t="str">
        <f t="shared" si="31"/>
        <v>HICP Q EXCL. ENERGY AND UNPROCESSED FOOD</v>
      </c>
      <c r="AC266" s="1040">
        <f>CHOOSE(Tables!$U$2,Transfer!CA266,Transfer!CN266,Transfer!DA266,Transfer!DN266,Transfer!EA266)</f>
        <v>-9999</v>
      </c>
      <c r="AD266" s="1040">
        <f>CHOOSE(Tables!$U$2,Transfer!CB266,Transfer!CO266,Transfer!DB266,Transfer!DO266,Transfer!EB266)</f>
        <v>1.9309154656732943</v>
      </c>
      <c r="AE266" s="1040">
        <f>CHOOSE(Tables!$U$2,Transfer!CC266,Transfer!CP266,Transfer!DC266,Transfer!DP266,Transfer!EC266)</f>
        <v>1.4257380737751078</v>
      </c>
      <c r="AF266" s="1040">
        <f>CHOOSE(Tables!$U$2,Transfer!CD266,Transfer!CQ266,Transfer!DD266,Transfer!DQ266,Transfer!ED266)</f>
        <v>1.2711152538744273</v>
      </c>
      <c r="AG266" s="1040">
        <f>CHOOSE(Tables!$U$2,Transfer!CE266,Transfer!CR266,Transfer!DE266,Transfer!DR266,Transfer!EE266)</f>
        <v>2.1014960795098006</v>
      </c>
      <c r="AH266" s="1040">
        <f>CHOOSE(Tables!$U$2,Transfer!CF266,Transfer!CS266,Transfer!DF266,Transfer!DS266,Transfer!EF266)</f>
        <v>2.7543994143757686</v>
      </c>
      <c r="AI266" s="1040">
        <f>CHOOSE(Tables!$U$2,Transfer!CG266,Transfer!CT266,Transfer!DG266,Transfer!DT266,Transfer!EG266)</f>
        <v>2.3440350913196681</v>
      </c>
      <c r="AJ266" s="1040">
        <f>CHOOSE(Tables!$U$2,Transfer!CH266,Transfer!CU266,Transfer!DH266,Transfer!DU266,Transfer!EH266)</f>
        <v>2.434953385395076</v>
      </c>
      <c r="AK266" s="1040">
        <f>CHOOSE(Tables!$U$2,Transfer!CI266,Transfer!CV266,Transfer!DI266,Transfer!DV266,Transfer!EI266)</f>
        <v>1.6224250817945745</v>
      </c>
      <c r="AL266" s="1040">
        <f>CHOOSE(Tables!$U$2,Transfer!CJ266,Transfer!CW266,Transfer!DJ266,Transfer!DW266,Transfer!EJ266)</f>
        <v>2.0073092919113122</v>
      </c>
      <c r="AM266" s="1040">
        <f>CHOOSE(Tables!$U$2,Transfer!CK266,Transfer!CX266,Transfer!DK266,Transfer!DX266,Transfer!EK266)</f>
        <v>2.2497004524319095</v>
      </c>
      <c r="AN266" s="1040">
        <f>CHOOSE(Tables!$U$2,Transfer!CL266,Transfer!CY266,Transfer!DL266,Transfer!DY266,Transfer!EL266)</f>
        <v>2.4283641781051415</v>
      </c>
      <c r="AO266" s="1040">
        <f>CHOOSE(Tables!$U$2,Transfer!CM266,Transfer!CZ266,Transfer!DM266,Transfer!DZ266,Transfer!EM266)</f>
        <v>2.6095353228604523</v>
      </c>
      <c r="AR266" s="22">
        <v>166</v>
      </c>
      <c r="AS266" s="33" t="s">
        <v>278</v>
      </c>
      <c r="AT266" s="24">
        <f t="shared" si="43"/>
        <v>0</v>
      </c>
      <c r="AU266" s="24">
        <f t="shared" ca="1" si="43"/>
        <v>0.64895395571069514</v>
      </c>
      <c r="AV266" s="24">
        <f t="shared" ca="1" si="43"/>
        <v>2.5022650467126226</v>
      </c>
      <c r="AW266" s="24">
        <f t="shared" ca="1" si="42"/>
        <v>3.3979505442079301</v>
      </c>
      <c r="AX266" s="24">
        <f t="shared" ca="1" si="42"/>
        <v>2.043224224971965</v>
      </c>
      <c r="AY266" s="25">
        <f t="shared" ca="1" si="42"/>
        <v>0.48956154367562021</v>
      </c>
      <c r="AZ266" s="25">
        <f t="shared" ca="1" si="42"/>
        <v>-1.7872204863110142E-2</v>
      </c>
      <c r="BA266" s="25">
        <f t="shared" ca="1" si="42"/>
        <v>-0.19263998353220302</v>
      </c>
      <c r="BB266" s="25">
        <f t="shared" ca="1" si="42"/>
        <v>1.0933021285690643</v>
      </c>
      <c r="BC266" s="25">
        <f t="shared" ca="1" si="42"/>
        <v>1.2223093951379411</v>
      </c>
      <c r="BD266" s="25">
        <f t="shared" ca="1" si="42"/>
        <v>0.62997807677638207</v>
      </c>
      <c r="BE266" s="25">
        <f t="shared" ca="1" si="42"/>
        <v>5.7187487810523407E-2</v>
      </c>
      <c r="BF266" s="25">
        <f t="shared" ca="1" si="21"/>
        <v>-0.51349181651312392</v>
      </c>
      <c r="CA266" s="16">
        <v>-9999</v>
      </c>
      <c r="CB266" s="16">
        <v>1.2158739086765422</v>
      </c>
      <c r="CC266" s="16">
        <v>1.154815738579984</v>
      </c>
      <c r="CD266" s="16">
        <v>0.87846868066357331</v>
      </c>
      <c r="CE266" s="16">
        <v>0.87418092196797659</v>
      </c>
      <c r="CF266" s="16">
        <v>1.5326251047833779</v>
      </c>
      <c r="CG266" s="16">
        <v>1.5638543879629196</v>
      </c>
      <c r="CH266" s="16">
        <v>1.6058634876933553</v>
      </c>
      <c r="CI266" s="16">
        <v>1.594245319270172</v>
      </c>
      <c r="CJ266" s="16">
        <v>1.5799914016226211</v>
      </c>
      <c r="CK266" s="16">
        <v>1.569120712515911</v>
      </c>
      <c r="CL266" s="16">
        <v>1.6079549382085077</v>
      </c>
      <c r="CM266" s="16">
        <v>1.6166969219149507</v>
      </c>
      <c r="CN266" s="16">
        <v>-9999</v>
      </c>
      <c r="CO266" s="16">
        <v>0.98125357057703866</v>
      </c>
      <c r="CP266" s="16">
        <v>0.97130290230427363</v>
      </c>
      <c r="CQ266" s="16">
        <v>1.1934230063657196</v>
      </c>
      <c r="CR266" s="16">
        <v>1.2763416410066242</v>
      </c>
      <c r="CS266" s="16">
        <v>1.313694749792532</v>
      </c>
      <c r="CT266" s="16">
        <v>1.3100716151434426</v>
      </c>
      <c r="CU266" s="16">
        <v>1.9272114797903157</v>
      </c>
      <c r="CV266" s="16">
        <v>2.2937996028421281</v>
      </c>
      <c r="CW266" s="16">
        <v>2.6082956766061614</v>
      </c>
      <c r="CX266" s="16">
        <v>2.1574938032171644</v>
      </c>
      <c r="CY266" s="16">
        <v>1.4456309556699836</v>
      </c>
      <c r="CZ266" s="16">
        <v>1.0923881542796039</v>
      </c>
      <c r="DA266" s="16">
        <v>-9999</v>
      </c>
      <c r="DB266" s="16">
        <v>1.2158739086765422</v>
      </c>
      <c r="DC266" s="16">
        <v>1.2988784913321041</v>
      </c>
      <c r="DD266" s="16">
        <v>1.6644161565566407</v>
      </c>
      <c r="DE266" s="16">
        <v>1.6125776442415685</v>
      </c>
      <c r="DF266" s="16">
        <v>1.7422156542647116</v>
      </c>
      <c r="DG266" s="16">
        <v>1.5874596177929163</v>
      </c>
      <c r="DH266" s="16">
        <v>1.9599459642243318</v>
      </c>
      <c r="DI266" s="16">
        <v>1.9179050241006479</v>
      </c>
      <c r="DJ266" s="16">
        <v>2.024608928667007</v>
      </c>
      <c r="DK266" s="16">
        <v>2.1147845352643202</v>
      </c>
      <c r="DL266" s="16">
        <v>2.2064027731808693</v>
      </c>
      <c r="DM266" s="16">
        <v>2.2966011395655102</v>
      </c>
      <c r="DN266" s="16">
        <v>-9999</v>
      </c>
      <c r="DO266" s="16">
        <v>0.98125357057703866</v>
      </c>
      <c r="DP266" s="16">
        <v>0.97130290230427363</v>
      </c>
      <c r="DQ266" s="16">
        <v>1.1934230063657196</v>
      </c>
      <c r="DR266" s="16">
        <v>1.2763416410066242</v>
      </c>
      <c r="DS266" s="16">
        <v>1.0960090552424049</v>
      </c>
      <c r="DT266" s="16">
        <v>1.0155022206714364</v>
      </c>
      <c r="DU266" s="16">
        <v>1.9050465335755291</v>
      </c>
      <c r="DV266" s="16">
        <v>2.3207967984483417</v>
      </c>
      <c r="DW266" s="16">
        <v>2.4661043206987614</v>
      </c>
      <c r="DX266" s="16">
        <v>1.8867578215405274</v>
      </c>
      <c r="DY266" s="16">
        <v>1.6896681273955778</v>
      </c>
      <c r="DZ266" s="16">
        <v>1.2776163941260279</v>
      </c>
      <c r="EA266" s="2196">
        <v>-9999</v>
      </c>
      <c r="EB266" s="2196">
        <v>1.9309154656732943</v>
      </c>
      <c r="EC266" s="2196">
        <v>1.4257380737751078</v>
      </c>
      <c r="ED266" s="2196">
        <v>1.2711152538744273</v>
      </c>
      <c r="EE266" s="2196">
        <v>2.1014960795098006</v>
      </c>
      <c r="EF266" s="2197">
        <v>2.7543994143757686</v>
      </c>
      <c r="EG266" s="2197">
        <v>2.3440350913196681</v>
      </c>
      <c r="EH266" s="2197">
        <v>2.434953385395076</v>
      </c>
      <c r="EI266" s="2197">
        <v>1.6224250817945745</v>
      </c>
      <c r="EJ266" s="2197">
        <v>2.0073092919113122</v>
      </c>
      <c r="EK266" s="2197">
        <v>2.2497004524319095</v>
      </c>
      <c r="EL266" s="2197">
        <v>2.4283641781051415</v>
      </c>
      <c r="EM266" s="2197">
        <v>2.6095353228604523</v>
      </c>
    </row>
    <row r="267" spans="1:143">
      <c r="A267" s="22">
        <v>167</v>
      </c>
      <c r="B267" s="33" t="s">
        <v>1715</v>
      </c>
      <c r="C267" s="25">
        <v>-9999</v>
      </c>
      <c r="D267" s="1040">
        <f ca="1">OFFSET('Q1'!G311,0,(Last_forecast_year - 3-InputY!$G$3)*4+4)</f>
        <v>0.30318174246211527</v>
      </c>
      <c r="E267" s="1040">
        <f ca="1">OFFSET('Q1'!H311,0,(Last_forecast_year - 3-InputY!$G$3)*4+4)</f>
        <v>0.75598211937943915</v>
      </c>
      <c r="F267" s="1040">
        <f ca="1">OFFSET('Q1'!I311,0,(Last_forecast_year - 3-InputY!$G$3)*4+4)</f>
        <v>0.95461396750964411</v>
      </c>
      <c r="G267" s="1040">
        <f ca="1">OFFSET('Q1'!J311,0,(Last_forecast_year - 3-InputY!$G$3)*4+4)</f>
        <v>0.86144775630528159</v>
      </c>
      <c r="H267" s="1040">
        <f ca="1">OFFSET('Q1'!K311,0,(Last_forecast_year - 3-InputY!$G$3)*4+4)</f>
        <v>0.50017933037722617</v>
      </c>
      <c r="I267" s="1040">
        <f ca="1">OFFSET('Q1'!L311,0,(Last_forecast_year - 3-InputY!$G$3)*4+4)</f>
        <v>0.26043123305408145</v>
      </c>
      <c r="J267" s="1040">
        <f ca="1">OFFSET('Q1'!M311,0,(Last_forecast_year - 3-InputY!$G$3)*4+4)</f>
        <v>1.1982917800306581</v>
      </c>
      <c r="K267" s="1040">
        <f ca="1">OFFSET('Q1'!N311,0,(Last_forecast_year - 3-InputY!$G$3)*4+4)</f>
        <v>1.1634348438419595</v>
      </c>
      <c r="L267" s="1040">
        <f ca="1">OFFSET('Q1'!O311,0,(Last_forecast_year - 3-InputY!$G$3)*4+4)</f>
        <v>1.7218447881152787</v>
      </c>
      <c r="M267" s="1040">
        <f ca="1">OFFSET('Q1'!P311,0,(Last_forecast_year - 3-InputY!$G$3)*4+4)</f>
        <v>1.2585629927081454</v>
      </c>
      <c r="N267" s="1040">
        <f ca="1">OFFSET('Q1'!Q311,0,(Last_forecast_year - 3-InputY!$G$3)*4+4)</f>
        <v>0.80168970103717818</v>
      </c>
      <c r="O267" s="1040">
        <f ca="1">OFFSET('Q1'!R311,0,(Last_forecast_year - 3-InputY!$G$3)*4+4)</f>
        <v>0.3529386997682904</v>
      </c>
      <c r="P267" s="26"/>
      <c r="Q267"/>
      <c r="AA267" s="22">
        <v>167</v>
      </c>
      <c r="AB267" s="1040" t="str">
        <f>+B268</f>
        <v>HICP Q ENERGY</v>
      </c>
      <c r="AC267" s="1040">
        <f>CHOOSE(Tables!$U$2,Transfer!CA267,Transfer!CN267,Transfer!DA267,Transfer!DN267,Transfer!EA267)</f>
        <v>-9999</v>
      </c>
      <c r="AD267" s="1040">
        <f>CHOOSE(Tables!$U$2,Transfer!CB267,Transfer!CO267,Transfer!DB267,Transfer!DO267,Transfer!EB267)</f>
        <v>1.6630198817839954</v>
      </c>
      <c r="AE267" s="1040">
        <f>CHOOSE(Tables!$U$2,Transfer!CC267,Transfer!CP267,Transfer!DC267,Transfer!DP267,Transfer!EC267)</f>
        <v>1.256323503915695</v>
      </c>
      <c r="AF267" s="1040">
        <f>CHOOSE(Tables!$U$2,Transfer!CD267,Transfer!CQ267,Transfer!DD267,Transfer!DQ267,Transfer!ED267)</f>
        <v>0.17985189298335147</v>
      </c>
      <c r="AG267" s="1040">
        <f>CHOOSE(Tables!$U$2,Transfer!CE267,Transfer!CR267,Transfer!DE267,Transfer!DR267,Transfer!EE267)</f>
        <v>0.48219844810535317</v>
      </c>
      <c r="AH267" s="1040">
        <f>CHOOSE(Tables!$U$2,Transfer!CF267,Transfer!CS267,Transfer!DF267,Transfer!DS267,Transfer!EF267)</f>
        <v>1.293250863781803</v>
      </c>
      <c r="AI267" s="1040">
        <f>CHOOSE(Tables!$U$2,Transfer!CG267,Transfer!CT267,Transfer!DG267,Transfer!DT267,Transfer!EG267)</f>
        <v>0.45767318152818426</v>
      </c>
      <c r="AJ267" s="1040">
        <f>CHOOSE(Tables!$U$2,Transfer!CH267,Transfer!CU267,Transfer!DH267,Transfer!DU267,Transfer!EH267)</f>
        <v>1.7547381290330621</v>
      </c>
      <c r="AK267" s="1040">
        <f>CHOOSE(Tables!$U$2,Transfer!CI267,Transfer!CV267,Transfer!DI267,Transfer!DV267,Transfer!EI267)</f>
        <v>0.90804538282844849</v>
      </c>
      <c r="AL267" s="1040">
        <f>CHOOSE(Tables!$U$2,Transfer!CJ267,Transfer!CW267,Transfer!DJ267,Transfer!DW267,Transfer!EJ267)</f>
        <v>0.98274810154332926</v>
      </c>
      <c r="AM267" s="1040">
        <f>CHOOSE(Tables!$U$2,Transfer!CK267,Transfer!CX267,Transfer!DK267,Transfer!DX267,Transfer!EK267)</f>
        <v>0.89309343757149051</v>
      </c>
      <c r="AN267" s="1040">
        <f>CHOOSE(Tables!$U$2,Transfer!CL267,Transfer!CY267,Transfer!DL267,Transfer!DY267,Transfer!EL267)</f>
        <v>0.81132197694764319</v>
      </c>
      <c r="AO267" s="1040">
        <f>CHOOSE(Tables!$U$2,Transfer!CM267,Transfer!CZ267,Transfer!DM267,Transfer!DZ267,Transfer!EM267)</f>
        <v>0.86369435144708628</v>
      </c>
      <c r="AR267" s="22">
        <v>167</v>
      </c>
      <c r="AS267" s="30" t="s">
        <v>1705</v>
      </c>
      <c r="AT267" s="25">
        <f t="shared" si="43"/>
        <v>0</v>
      </c>
      <c r="AU267" s="25">
        <f t="shared" ca="1" si="43"/>
        <v>-1.3598381393218801</v>
      </c>
      <c r="AV267" s="25">
        <f t="shared" ca="1" si="43"/>
        <v>-0.50034138453625587</v>
      </c>
      <c r="AW267" s="25">
        <f t="shared" ca="1" si="42"/>
        <v>0.77476207452629264</v>
      </c>
      <c r="AX267" s="25">
        <f t="shared" ca="1" si="42"/>
        <v>0.37924930819992841</v>
      </c>
      <c r="AY267" s="25">
        <f t="shared" ca="1" si="42"/>
        <v>-0.79307153340457681</v>
      </c>
      <c r="AZ267" s="25">
        <f t="shared" ca="1" si="42"/>
        <v>-0.19724194847410281</v>
      </c>
      <c r="BA267" s="25">
        <f t="shared" ca="1" si="42"/>
        <v>-0.55644634900240408</v>
      </c>
      <c r="BB267" s="25">
        <f t="shared" ca="1" si="42"/>
        <v>0.25538946101351101</v>
      </c>
      <c r="BC267" s="25">
        <f t="shared" ca="1" si="42"/>
        <v>0.73909668657194949</v>
      </c>
      <c r="BD267" s="25">
        <f t="shared" ca="1" si="42"/>
        <v>0.36546955513665491</v>
      </c>
      <c r="BE267" s="25">
        <f t="shared" ca="1" si="42"/>
        <v>-9.6322759104650046E-3</v>
      </c>
      <c r="BF267" s="25">
        <f t="shared" ca="1" si="21"/>
        <v>-0.51075565167879589</v>
      </c>
      <c r="CA267" s="16">
        <v>-9999</v>
      </c>
      <c r="CB267" s="16">
        <v>3.3458244111358226E-2</v>
      </c>
      <c r="CC267" s="16">
        <v>0.53889641947961309</v>
      </c>
      <c r="CD267" s="16">
        <v>0.36</v>
      </c>
      <c r="CE267" s="16">
        <v>-0.2</v>
      </c>
      <c r="CF267" s="16">
        <v>1.0094045398019835</v>
      </c>
      <c r="CG267" s="16">
        <v>0.53553979433893506</v>
      </c>
      <c r="CH267" s="16">
        <v>0.5</v>
      </c>
      <c r="CI267" s="16">
        <v>0.4</v>
      </c>
      <c r="CJ267" s="16">
        <v>0.4</v>
      </c>
      <c r="CK267" s="16">
        <v>0.3</v>
      </c>
      <c r="CL267" s="16">
        <v>0.4</v>
      </c>
      <c r="CM267" s="16">
        <v>0.5</v>
      </c>
      <c r="CN267" s="16">
        <v>-9999</v>
      </c>
      <c r="CO267" s="16">
        <v>0.39299989923078726</v>
      </c>
      <c r="CP267" s="16">
        <v>7.6098464796189091E-2</v>
      </c>
      <c r="CQ267" s="16">
        <v>4.6915317851301097E-2</v>
      </c>
      <c r="CR267" s="16">
        <v>-0.20398091791410877</v>
      </c>
      <c r="CS267" s="16">
        <v>-0.10204978759363881</v>
      </c>
      <c r="CT267" s="16">
        <v>-0.42970007785093634</v>
      </c>
      <c r="CU267" s="16">
        <v>1.0946251769597293</v>
      </c>
      <c r="CV267" s="16">
        <v>0.78172050680072047</v>
      </c>
      <c r="CW267" s="16">
        <v>1.3485949923227381</v>
      </c>
      <c r="CX267" s="16">
        <v>0.8413212626020794</v>
      </c>
      <c r="CY267" s="16">
        <v>-0.39944767063770925</v>
      </c>
      <c r="CZ267" s="16">
        <v>-1.0482805324754652</v>
      </c>
      <c r="DA267" s="16">
        <v>-9999</v>
      </c>
      <c r="DB267" s="16">
        <v>3.3458244111361779E-2</v>
      </c>
      <c r="DC267" s="16">
        <v>0.50216395698332583</v>
      </c>
      <c r="DD267" s="16">
        <v>1.7000136459420778</v>
      </c>
      <c r="DE267" s="16">
        <v>0.68150904079502528</v>
      </c>
      <c r="DF267" s="16">
        <v>1.0094045398019835</v>
      </c>
      <c r="DG267" s="16">
        <v>0.53553979433893506</v>
      </c>
      <c r="DH267" s="16">
        <v>1.8316393345293669</v>
      </c>
      <c r="DI267" s="16">
        <v>1.8495009281787267</v>
      </c>
      <c r="DJ267" s="16">
        <v>2.2606183255424099</v>
      </c>
      <c r="DK267" s="16">
        <v>2.6422571960744801</v>
      </c>
      <c r="DL267" s="16">
        <v>3.0238960666065502</v>
      </c>
      <c r="DM267" s="16">
        <v>3.4055349371386101</v>
      </c>
      <c r="DN267" s="16">
        <v>-9999</v>
      </c>
      <c r="DO267" s="16">
        <v>0.39299989923078726</v>
      </c>
      <c r="DP267" s="16">
        <v>7.6098464796189091E-2</v>
      </c>
      <c r="DQ267" s="16">
        <v>4.6915317851301097E-2</v>
      </c>
      <c r="DR267" s="16">
        <v>-0.20398091791410877</v>
      </c>
      <c r="DS267" s="16">
        <v>-0.27197537473232503</v>
      </c>
      <c r="DT267" s="16">
        <v>-0.41301225681271703</v>
      </c>
      <c r="DU267" s="16">
        <v>1.9741974926216432</v>
      </c>
      <c r="DV267" s="16">
        <v>1.7768763802648024</v>
      </c>
      <c r="DW267" s="16">
        <v>2.42106295484672</v>
      </c>
      <c r="DX267" s="16">
        <v>1.6154402647122312</v>
      </c>
      <c r="DY267" s="16">
        <v>1.4964785909724831</v>
      </c>
      <c r="DZ267" s="16">
        <v>0.69247783302490706</v>
      </c>
      <c r="EA267" s="2197">
        <v>-9999</v>
      </c>
      <c r="EB267" s="2197">
        <v>1.6630198817839954</v>
      </c>
      <c r="EC267" s="2197">
        <v>1.256323503915695</v>
      </c>
      <c r="ED267" s="2197">
        <v>0.17985189298335147</v>
      </c>
      <c r="EE267" s="2197">
        <v>0.48219844810535317</v>
      </c>
      <c r="EF267" s="2197">
        <v>1.293250863781803</v>
      </c>
      <c r="EG267" s="2197">
        <v>0.45767318152818426</v>
      </c>
      <c r="EH267" s="2197">
        <v>1.7547381290330621</v>
      </c>
      <c r="EI267" s="2197">
        <v>0.90804538282844849</v>
      </c>
      <c r="EJ267" s="2197">
        <v>0.98274810154332926</v>
      </c>
      <c r="EK267" s="2197">
        <v>0.89309343757149051</v>
      </c>
      <c r="EL267" s="2197">
        <v>0.81132197694764319</v>
      </c>
      <c r="EM267" s="2197">
        <v>0.86369435144708628</v>
      </c>
    </row>
    <row r="268" spans="1:143">
      <c r="A268" s="22">
        <v>168</v>
      </c>
      <c r="B268" s="33" t="s">
        <v>1716</v>
      </c>
      <c r="C268" s="25">
        <v>-9999</v>
      </c>
      <c r="D268" s="1040">
        <f ca="1">OFFSET('Q1'!G312,0,(Last_forecast_year - 3-InputY!$G$3)*4+4)</f>
        <v>5.9690174412306334</v>
      </c>
      <c r="E268" s="1040">
        <f ca="1">OFFSET('Q1'!H312,0,(Last_forecast_year - 3-InputY!$G$3)*4+4)</f>
        <v>3.989104333178048</v>
      </c>
      <c r="F268" s="1040">
        <f ca="1">OFFSET('Q1'!I312,0,(Last_forecast_year - 3-InputY!$G$3)*4+4)</f>
        <v>4.9638923335035372</v>
      </c>
      <c r="G268" s="1040">
        <f ca="1">OFFSET('Q1'!J312,0,(Last_forecast_year - 3-InputY!$G$3)*4+4)</f>
        <v>3.8391031516604528</v>
      </c>
      <c r="H268" s="1040">
        <f ca="1">OFFSET('Q1'!K312,0,(Last_forecast_year - 3-InputY!$G$3)*4+4)</f>
        <v>4.4749096980849057</v>
      </c>
      <c r="I268" s="1040">
        <f ca="1">OFFSET('Q1'!L312,0,(Last_forecast_year - 3-InputY!$G$3)*4+4)</f>
        <v>5.8556735405155713</v>
      </c>
      <c r="J268" s="1040">
        <f ca="1">OFFSET('Q1'!M312,0,(Last_forecast_year - 3-InputY!$G$3)*4+4)</f>
        <v>7.0405371486731649</v>
      </c>
      <c r="K268" s="1040">
        <f ca="1">OFFSET('Q1'!N312,0,(Last_forecast_year - 3-InputY!$G$3)*4+4)</f>
        <v>4.8979942996721926</v>
      </c>
      <c r="L268" s="1040">
        <f ca="1">OFFSET('Q1'!O312,0,(Last_forecast_year - 3-InputY!$G$3)*4+4)</f>
        <v>1.0805336799536436</v>
      </c>
      <c r="M268" s="1040">
        <f ca="1">OFFSET('Q1'!P312,0,(Last_forecast_year - 3-InputY!$G$3)*4+4)</f>
        <v>1.2066220495791535</v>
      </c>
      <c r="N268" s="1040">
        <f ca="1">OFFSET('Q1'!Q312,0,(Last_forecast_year - 3-InputY!$G$3)*4+4)</f>
        <v>1.2066220495791535</v>
      </c>
      <c r="O268" s="1040">
        <f ca="1">OFFSET('Q1'!R312,0,(Last_forecast_year - 3-InputY!$G$3)*4+4)</f>
        <v>1.2066220495791535</v>
      </c>
      <c r="P268" s="26"/>
      <c r="Q268"/>
      <c r="AA268" s="22">
        <v>168</v>
      </c>
      <c r="AB268" s="1040" t="e">
        <f>+#REF!</f>
        <v>#REF!</v>
      </c>
      <c r="AC268" s="1040">
        <f>CHOOSE(Tables!$U$2,Transfer!CA268,Transfer!CN268,Transfer!DA268,Transfer!DN268,Transfer!EA268)</f>
        <v>-9999</v>
      </c>
      <c r="AD268" s="1040">
        <f>CHOOSE(Tables!$U$2,Transfer!CB268,Transfer!CO268,Transfer!DB268,Transfer!DO268,Transfer!EB268)</f>
        <v>1.6519042749865633</v>
      </c>
      <c r="AE268" s="1040">
        <f>CHOOSE(Tables!$U$2,Transfer!CC268,Transfer!CP268,Transfer!DC268,Transfer!DP268,Transfer!EC268)</f>
        <v>-1.1213109249616764</v>
      </c>
      <c r="AF268" s="1040">
        <f>CHOOSE(Tables!$U$2,Transfer!CD268,Transfer!CQ268,Transfer!DD268,Transfer!DQ268,Transfer!ED268)</f>
        <v>-3.5050684393386988</v>
      </c>
      <c r="AG268" s="1040">
        <f>CHOOSE(Tables!$U$2,Transfer!CE268,Transfer!CR268,Transfer!DE268,Transfer!DR268,Transfer!EE268)</f>
        <v>-0.53371695964132826</v>
      </c>
      <c r="AH268" s="1040">
        <f>CHOOSE(Tables!$U$2,Transfer!CF268,Transfer!CS268,Transfer!DF268,Transfer!DS268,Transfer!EF268)</f>
        <v>-0.15544656656797384</v>
      </c>
      <c r="AI268" s="1040">
        <f>CHOOSE(Tables!$U$2,Transfer!CG268,Transfer!CT268,Transfer!DG268,Transfer!DT268,Transfer!EG268)</f>
        <v>1.1833414186617874</v>
      </c>
      <c r="AJ268" s="1040">
        <f>CHOOSE(Tables!$U$2,Transfer!CH268,Transfer!CU268,Transfer!DH268,Transfer!DU268,Transfer!EH268)</f>
        <v>1.5424490758541687</v>
      </c>
      <c r="AK268" s="1040">
        <f>CHOOSE(Tables!$U$2,Transfer!CI268,Transfer!CV268,Transfer!DI268,Transfer!DV268,Transfer!EI268)</f>
        <v>-3.5880231144402863E-2</v>
      </c>
      <c r="AL268" s="1040">
        <f>CHOOSE(Tables!$U$2,Transfer!CJ268,Transfer!CW268,Transfer!DJ268,Transfer!DW268,Transfer!EJ268)</f>
        <v>1.4084981431489618</v>
      </c>
      <c r="AM268" s="1040">
        <f>CHOOSE(Tables!$U$2,Transfer!CK268,Transfer!CX268,Transfer!DK268,Transfer!DX268,Transfer!EK268)</f>
        <v>2.2181686795003319</v>
      </c>
      <c r="AN268" s="1040">
        <f>CHOOSE(Tables!$U$2,Transfer!CL268,Transfer!CY268,Transfer!DL268,Transfer!DY268,Transfer!EL268)</f>
        <v>3.4272708009092989</v>
      </c>
      <c r="AO268" s="1040">
        <f>CHOOSE(Tables!$U$2,Transfer!CM268,Transfer!CZ268,Transfer!DM268,Transfer!DZ268,Transfer!EM268)</f>
        <v>3.8319251861760106</v>
      </c>
      <c r="AR268" s="22">
        <v>168</v>
      </c>
      <c r="AS268" s="30" t="s">
        <v>1705</v>
      </c>
      <c r="AT268" s="25">
        <f t="shared" si="43"/>
        <v>0</v>
      </c>
      <c r="AU268" s="25">
        <f t="shared" ca="1" si="43"/>
        <v>4.31711316624407</v>
      </c>
      <c r="AV268" s="25">
        <f t="shared" ca="1" si="43"/>
        <v>5.1104152581397244</v>
      </c>
      <c r="AW268" s="25">
        <f t="shared" ca="1" si="42"/>
        <v>8.4689607728422356</v>
      </c>
      <c r="AX268" s="25">
        <f t="shared" ca="1" si="42"/>
        <v>4.3728201113017811</v>
      </c>
      <c r="AY268" s="25">
        <f t="shared" ca="1" si="42"/>
        <v>4.63035626465288</v>
      </c>
      <c r="AZ268" s="25">
        <f t="shared" ca="1" si="42"/>
        <v>4.6723321218537839</v>
      </c>
      <c r="BA268" s="25">
        <f t="shared" ca="1" si="42"/>
        <v>5.4980880728189963</v>
      </c>
      <c r="BB268" s="25">
        <f t="shared" ca="1" si="42"/>
        <v>4.9338745308165954</v>
      </c>
      <c r="BC268" s="25">
        <f t="shared" ca="1" si="42"/>
        <v>-0.32796446319531825</v>
      </c>
      <c r="BD268" s="25">
        <f t="shared" ca="1" si="42"/>
        <v>-1.0115466299211784</v>
      </c>
      <c r="BE268" s="25">
        <f t="shared" ca="1" si="42"/>
        <v>-2.2206487513301454</v>
      </c>
      <c r="BF268" s="25">
        <f t="shared" ca="1" si="21"/>
        <v>-2.6253031365968571</v>
      </c>
      <c r="CA268" s="16">
        <v>-9999</v>
      </c>
      <c r="CB268" s="16">
        <v>-14.191820408450937</v>
      </c>
      <c r="CC268" s="16">
        <v>-9.552765084733565</v>
      </c>
      <c r="CD268" s="16">
        <v>-9.8000000000000007</v>
      </c>
      <c r="CE268" s="16">
        <v>-9.56</v>
      </c>
      <c r="CF268" s="16">
        <v>-7</v>
      </c>
      <c r="CG268" s="16">
        <v>-3</v>
      </c>
      <c r="CH268" s="16">
        <v>-2.5</v>
      </c>
      <c r="CI268" s="16">
        <v>-1.5</v>
      </c>
      <c r="CJ268" s="16">
        <v>3</v>
      </c>
      <c r="CK268" s="16">
        <v>5</v>
      </c>
      <c r="CL268" s="16">
        <v>7</v>
      </c>
      <c r="CM268" s="16">
        <v>9</v>
      </c>
      <c r="CN268" s="16">
        <v>-9999</v>
      </c>
      <c r="CO268" s="16">
        <v>-2.5114665109168328</v>
      </c>
      <c r="CP268" s="16">
        <v>-3.0217383718901658</v>
      </c>
      <c r="CQ268" s="16">
        <v>-4.5899740223267713</v>
      </c>
      <c r="CR268" s="16">
        <v>-5.7712320310433114</v>
      </c>
      <c r="CS268" s="16">
        <v>-15.955115790030117</v>
      </c>
      <c r="CT268" s="16">
        <v>-14.993586119784542</v>
      </c>
      <c r="CU268" s="16">
        <v>-12.665674368285051</v>
      </c>
      <c r="CV268" s="16">
        <v>-10.351553189221329</v>
      </c>
      <c r="CW268" s="16">
        <v>0.75263847045941024</v>
      </c>
      <c r="CX268" s="16">
        <v>1.7326110861881183</v>
      </c>
      <c r="CY268" s="16">
        <v>1.2529931069550804</v>
      </c>
      <c r="CZ268" s="16">
        <v>0.42392965314326236</v>
      </c>
      <c r="DA268" s="16">
        <v>-9999</v>
      </c>
      <c r="DB268" s="16">
        <v>-14.191820408450939</v>
      </c>
      <c r="DC268" s="16">
        <v>-10.946322866827952</v>
      </c>
      <c r="DD268" s="16">
        <v>-8.7820313517818498</v>
      </c>
      <c r="DE268" s="16">
        <v>-6.5048270032067368</v>
      </c>
      <c r="DF268" s="16">
        <v>2.8178225651441346</v>
      </c>
      <c r="DG268" s="16">
        <v>1.1403042990245638</v>
      </c>
      <c r="DH268" s="16">
        <v>0.96635330700247657</v>
      </c>
      <c r="DI268" s="16">
        <v>0.78471282924950092</v>
      </c>
      <c r="DJ268" s="16">
        <v>-0.141021799821333</v>
      </c>
      <c r="DK268" s="16">
        <v>-0.76834981979192296</v>
      </c>
      <c r="DL268" s="16">
        <v>-1.39567783976252</v>
      </c>
      <c r="DM268" s="16">
        <v>-2.0230058597331202</v>
      </c>
      <c r="DN268" s="16">
        <v>-9999</v>
      </c>
      <c r="DO268" s="16">
        <v>-2.5114665109168328</v>
      </c>
      <c r="DP268" s="16">
        <v>-3.0217383718901658</v>
      </c>
      <c r="DQ268" s="16">
        <v>-4.5899740223267713</v>
      </c>
      <c r="DR268" s="16">
        <v>-5.7712320310433114</v>
      </c>
      <c r="DS268" s="16">
        <v>-14.986157072122076</v>
      </c>
      <c r="DT268" s="16">
        <v>-12.656245582910852</v>
      </c>
      <c r="DU268" s="16">
        <v>-10.144557802466625</v>
      </c>
      <c r="DV268" s="16">
        <v>-7.7636339178498659</v>
      </c>
      <c r="DW268" s="16">
        <v>2.3812522984951734</v>
      </c>
      <c r="DX268" s="16">
        <v>1.7319224660736321</v>
      </c>
      <c r="DY268" s="16">
        <v>1.1173492828004283</v>
      </c>
      <c r="DZ268" s="16">
        <v>0.28939648590737832</v>
      </c>
      <c r="EA268" s="2197">
        <v>-9999</v>
      </c>
      <c r="EB268" s="2197">
        <v>1.6519042749865633</v>
      </c>
      <c r="EC268" s="2197">
        <v>-1.1213109249616764</v>
      </c>
      <c r="ED268" s="2197">
        <v>-3.5050684393386988</v>
      </c>
      <c r="EE268" s="2197">
        <v>-0.53371695964132826</v>
      </c>
      <c r="EF268" s="2197">
        <v>-0.15544656656797384</v>
      </c>
      <c r="EG268" s="2197">
        <v>1.1833414186617874</v>
      </c>
      <c r="EH268" s="2197">
        <v>1.5424490758541687</v>
      </c>
      <c r="EI268" s="2197">
        <v>-3.5880231144402863E-2</v>
      </c>
      <c r="EJ268" s="2197">
        <v>1.4084981431489618</v>
      </c>
      <c r="EK268" s="2197">
        <v>2.2181686795003319</v>
      </c>
      <c r="EL268" s="2197">
        <v>3.4272708009092989</v>
      </c>
      <c r="EM268" s="2197">
        <v>3.8319251861760106</v>
      </c>
    </row>
    <row r="269" spans="1:143">
      <c r="A269" s="22">
        <v>169</v>
      </c>
      <c r="B269" s="33" t="s">
        <v>1717</v>
      </c>
      <c r="C269" s="25">
        <v>-9999</v>
      </c>
      <c r="D269" s="1040">
        <f ca="1">OFFSET('Q1'!G314,0,(Last_forecast_year - 3-InputY!$G$3)*4+4)</f>
        <v>5.159778159249953</v>
      </c>
      <c r="E269" s="1040">
        <f ca="1">OFFSET('Q1'!H314,0,(Last_forecast_year - 3-InputY!$G$3)*4+4)</f>
        <v>7.270708126469799</v>
      </c>
      <c r="F269" s="1040">
        <f ca="1">OFFSET('Q1'!I314,0,(Last_forecast_year - 3-InputY!$G$3)*4+4)</f>
        <v>7.9678814082767104</v>
      </c>
      <c r="G269" s="1040">
        <f ca="1">OFFSET('Q1'!J314,0,(Last_forecast_year - 3-InputY!$G$3)*4+4)</f>
        <v>8.0436044636522013</v>
      </c>
      <c r="H269" s="1040">
        <f ca="1">OFFSET('Q1'!K314,0,(Last_forecast_year - 3-InputY!$G$3)*4+4)</f>
        <v>5.8525665620107192</v>
      </c>
      <c r="I269" s="1040">
        <f ca="1">OFFSET('Q1'!L314,0,(Last_forecast_year - 3-InputY!$G$3)*4+4)</f>
        <v>3.6582005931588002</v>
      </c>
      <c r="J269" s="1040">
        <f ca="1">OFFSET('Q1'!M314,0,(Last_forecast_year - 3-InputY!$G$3)*4+4)</f>
        <v>2.7083941013876567</v>
      </c>
      <c r="K269" s="1040">
        <f ca="1">OFFSET('Q1'!N314,0,(Last_forecast_year - 3-InputY!$G$3)*4+4)</f>
        <v>2.2995686980041175</v>
      </c>
      <c r="L269" s="1040">
        <f ca="1">OFFSET('Q1'!O314,0,(Last_forecast_year - 3-InputY!$G$3)*4+4)</f>
        <v>2.9087304281936177</v>
      </c>
      <c r="M269" s="1040">
        <f ca="1">OFFSET('Q1'!P314,0,(Last_forecast_year - 3-InputY!$G$3)*4+4)</f>
        <v>3.0843222015192628</v>
      </c>
      <c r="N269" s="1040">
        <f ca="1">OFFSET('Q1'!Q314,0,(Last_forecast_year - 3-InputY!$G$3)*4+4)</f>
        <v>3.0843222015192628</v>
      </c>
      <c r="O269" s="1040">
        <f ca="1">OFFSET('Q1'!R314,0,(Last_forecast_year - 3-InputY!$G$3)*4+4)</f>
        <v>3.0843222015192628</v>
      </c>
      <c r="P269" s="26"/>
      <c r="Q269"/>
      <c r="AA269" s="22">
        <v>169</v>
      </c>
      <c r="AB269" s="1040" t="str">
        <f t="shared" si="31"/>
        <v>HICP Q PROCESSED FOOD INCL. ALCOHOL AND TOBACCO</v>
      </c>
      <c r="AC269" s="1040">
        <f>CHOOSE(Tables!$U$2,Transfer!CA269,Transfer!CN269,Transfer!DA269,Transfer!DN269,Transfer!EA269)</f>
        <v>-9999</v>
      </c>
      <c r="AD269" s="1040">
        <f>CHOOSE(Tables!$U$2,Transfer!CB269,Transfer!CO269,Transfer!DB269,Transfer!DO269,Transfer!EB269)</f>
        <v>1.885263890651089</v>
      </c>
      <c r="AE269" s="1040">
        <f>CHOOSE(Tables!$U$2,Transfer!CC269,Transfer!CP269,Transfer!DC269,Transfer!DP269,Transfer!EC269)</f>
        <v>0.83297721330831109</v>
      </c>
      <c r="AF269" s="1040">
        <f>CHOOSE(Tables!$U$2,Transfer!CD269,Transfer!CQ269,Transfer!DD269,Transfer!DQ269,Transfer!ED269)</f>
        <v>1.241702971353531</v>
      </c>
      <c r="AG269" s="1040">
        <f>CHOOSE(Tables!$U$2,Transfer!CE269,Transfer!CR269,Transfer!DE269,Transfer!DR269,Transfer!EE269)</f>
        <v>2.4696192329283218</v>
      </c>
      <c r="AH269" s="1040">
        <f>CHOOSE(Tables!$U$2,Transfer!CF269,Transfer!CS269,Transfer!DF269,Transfer!DS269,Transfer!EF269)</f>
        <v>2.8637622597915025</v>
      </c>
      <c r="AI269" s="1040">
        <f>CHOOSE(Tables!$U$2,Transfer!CG269,Transfer!CT269,Transfer!DG269,Transfer!DT269,Transfer!EG269)</f>
        <v>3.0091700093565432</v>
      </c>
      <c r="AJ269" s="1040">
        <f>CHOOSE(Tables!$U$2,Transfer!CH269,Transfer!CU269,Transfer!DH269,Transfer!DU269,Transfer!EH269)</f>
        <v>2.6054812212739087</v>
      </c>
      <c r="AK269" s="1040">
        <f>CHOOSE(Tables!$U$2,Transfer!CI269,Transfer!CV269,Transfer!DI269,Transfer!DV269,Transfer!EI269)</f>
        <v>1.8238385825870784</v>
      </c>
      <c r="AL269" s="1040">
        <f>CHOOSE(Tables!$U$2,Transfer!CJ269,Transfer!CW269,Transfer!DJ269,Transfer!DW269,Transfer!EJ269)</f>
        <v>2.0181166145320173</v>
      </c>
      <c r="AM269" s="1040">
        <f>CHOOSE(Tables!$U$2,Transfer!CK269,Transfer!CX269,Transfer!DK269,Transfer!DX269,Transfer!EK269)</f>
        <v>1.8459264148334098</v>
      </c>
      <c r="AN269" s="1040">
        <f>CHOOSE(Tables!$U$2,Transfer!CL269,Transfer!CY269,Transfer!DL269,Transfer!DY269,Transfer!EL269)</f>
        <v>1.4126617856792922</v>
      </c>
      <c r="AO269" s="1040">
        <f>CHOOSE(Tables!$U$2,Transfer!CM269,Transfer!CZ269,Transfer!DM269,Transfer!DZ269,Transfer!EM269)</f>
        <v>1.5233018265618847</v>
      </c>
      <c r="AR269" s="22">
        <v>169</v>
      </c>
      <c r="AS269" s="30" t="s">
        <v>1705</v>
      </c>
      <c r="AT269" s="25">
        <f t="shared" si="43"/>
        <v>0</v>
      </c>
      <c r="AU269" s="25">
        <f t="shared" ca="1" si="43"/>
        <v>3.274514268598864</v>
      </c>
      <c r="AV269" s="25">
        <f t="shared" ca="1" si="43"/>
        <v>6.4377309131614879</v>
      </c>
      <c r="AW269" s="25">
        <f t="shared" ca="1" si="42"/>
        <v>6.7261784369231794</v>
      </c>
      <c r="AX269" s="25">
        <f t="shared" ca="1" si="42"/>
        <v>5.5739852307238795</v>
      </c>
      <c r="AY269" s="25">
        <f t="shared" ca="1" si="42"/>
        <v>2.9888043022192168</v>
      </c>
      <c r="AZ269" s="25">
        <f t="shared" ca="1" si="42"/>
        <v>0.64903058380225698</v>
      </c>
      <c r="BA269" s="25">
        <f t="shared" ca="1" si="42"/>
        <v>0.102912880113748</v>
      </c>
      <c r="BB269" s="25">
        <f t="shared" ca="1" si="42"/>
        <v>0.47573011541703902</v>
      </c>
      <c r="BC269" s="25">
        <f t="shared" ca="1" si="42"/>
        <v>0.89061381366160042</v>
      </c>
      <c r="BD269" s="25">
        <f t="shared" ca="1" si="42"/>
        <v>1.238395786685853</v>
      </c>
      <c r="BE269" s="25">
        <f t="shared" ca="1" si="42"/>
        <v>1.6716604158399706</v>
      </c>
      <c r="BF269" s="25">
        <f t="shared" ca="1" si="21"/>
        <v>1.5610203749573781</v>
      </c>
      <c r="CA269" s="16">
        <v>-9999</v>
      </c>
      <c r="CB269" s="16">
        <v>0.71971291674184101</v>
      </c>
      <c r="CC269" s="16">
        <v>-0.3448550811306319</v>
      </c>
      <c r="CD269" s="16">
        <v>-1.07</v>
      </c>
      <c r="CE269" s="16">
        <v>-1.06</v>
      </c>
      <c r="CF269" s="16">
        <v>-0.5</v>
      </c>
      <c r="CG269" s="16">
        <v>0.2</v>
      </c>
      <c r="CH269" s="16">
        <v>0.3</v>
      </c>
      <c r="CI269" s="16">
        <v>0.4</v>
      </c>
      <c r="CJ269" s="16">
        <v>0.3</v>
      </c>
      <c r="CK269" s="16">
        <v>0.4</v>
      </c>
      <c r="CL269" s="16">
        <v>0.5</v>
      </c>
      <c r="CM269" s="16">
        <v>0.5</v>
      </c>
      <c r="CN269" s="16">
        <v>-9999</v>
      </c>
      <c r="CO269" s="16">
        <v>1.8748851173334913</v>
      </c>
      <c r="CP269" s="16">
        <v>2.3252967812997412</v>
      </c>
      <c r="CQ269" s="16">
        <v>2.448474521259314</v>
      </c>
      <c r="CR269" s="16">
        <v>2.0016158351848077</v>
      </c>
      <c r="CS269" s="16">
        <v>1.2543086545979465</v>
      </c>
      <c r="CT269" s="16">
        <v>1.4185873333335985</v>
      </c>
      <c r="CU269" s="16">
        <v>1.4486653447333797</v>
      </c>
      <c r="CV269" s="16">
        <v>2.2155583696245706</v>
      </c>
      <c r="CW269" s="16">
        <v>2.6985407969112973</v>
      </c>
      <c r="CX269" s="16">
        <v>2.3034343245392108</v>
      </c>
      <c r="CY269" s="16">
        <v>1.8889871792423074</v>
      </c>
      <c r="CZ269" s="16">
        <v>1.5334679526298745</v>
      </c>
      <c r="DA269" s="16">
        <v>-9999</v>
      </c>
      <c r="DB269" s="16">
        <v>0.71971291674184368</v>
      </c>
      <c r="DC269" s="16">
        <v>0.45820042240012349</v>
      </c>
      <c r="DD269" s="16">
        <v>0.57135510282924074</v>
      </c>
      <c r="DE269" s="16">
        <v>1.3316161715197561</v>
      </c>
      <c r="DF269" s="16">
        <v>1.3990565571017743</v>
      </c>
      <c r="DG269" s="16">
        <v>1.2658929288341225</v>
      </c>
      <c r="DH269" s="16">
        <v>0.82233896393419936</v>
      </c>
      <c r="DI269" s="16">
        <v>0.62118880982378055</v>
      </c>
      <c r="DJ269" s="16">
        <v>0.332830013239995</v>
      </c>
      <c r="DK269" s="16">
        <v>5.51142925666048E-2</v>
      </c>
      <c r="DL269" s="16">
        <v>-0.22260142810678499</v>
      </c>
      <c r="DM269" s="16">
        <v>-0.50031714878017497</v>
      </c>
      <c r="DN269" s="16">
        <v>-9999</v>
      </c>
      <c r="DO269" s="16">
        <v>1.8748851173334913</v>
      </c>
      <c r="DP269" s="16">
        <v>2.3252967812997412</v>
      </c>
      <c r="DQ269" s="16">
        <v>2.448474521259314</v>
      </c>
      <c r="DR269" s="16">
        <v>2.0016158351848077</v>
      </c>
      <c r="DS269" s="16">
        <v>0.70225336300393515</v>
      </c>
      <c r="DT269" s="16">
        <v>0.50597033485269005</v>
      </c>
      <c r="DU269" s="16">
        <v>0.61917882262807478</v>
      </c>
      <c r="DV269" s="16">
        <v>1.3798014108813872</v>
      </c>
      <c r="DW269" s="16">
        <v>1.4648625896262146</v>
      </c>
      <c r="DX269" s="16">
        <v>1.0135372749408678</v>
      </c>
      <c r="DY269" s="16">
        <v>0.52092688930358566</v>
      </c>
      <c r="DZ269" s="16">
        <v>0.17018120838729889</v>
      </c>
      <c r="EA269" s="2197">
        <v>-9999</v>
      </c>
      <c r="EB269" s="2197">
        <v>1.885263890651089</v>
      </c>
      <c r="EC269" s="2197">
        <v>0.83297721330831109</v>
      </c>
      <c r="ED269" s="2197">
        <v>1.241702971353531</v>
      </c>
      <c r="EE269" s="2197">
        <v>2.4696192329283218</v>
      </c>
      <c r="EF269" s="2197">
        <v>2.8637622597915025</v>
      </c>
      <c r="EG269" s="2197">
        <v>3.0091700093565432</v>
      </c>
      <c r="EH269" s="2197">
        <v>2.6054812212739087</v>
      </c>
      <c r="EI269" s="2197">
        <v>1.8238385825870784</v>
      </c>
      <c r="EJ269" s="2197">
        <v>2.0181166145320173</v>
      </c>
      <c r="EK269" s="2197">
        <v>1.8459264148334098</v>
      </c>
      <c r="EL269" s="2197">
        <v>1.4126617856792922</v>
      </c>
      <c r="EM269" s="2197">
        <v>1.5233018265618847</v>
      </c>
    </row>
    <row r="270" spans="1:143">
      <c r="A270" s="22">
        <v>170</v>
      </c>
      <c r="B270" s="33" t="s">
        <v>26</v>
      </c>
      <c r="C270" s="25">
        <v>-9999</v>
      </c>
      <c r="D270" s="1040">
        <f ca="1">OFFSET('Q1'!G313,0,(Last_forecast_year - 3-InputY!$G$3)*4+4)</f>
        <v>2.6624876278455503</v>
      </c>
      <c r="E270" s="1040">
        <f ca="1">OFFSET('Q1'!H313,0,(Last_forecast_year - 3-InputY!$G$3)*4+4)</f>
        <v>-1.3645839914081819</v>
      </c>
      <c r="F270" s="1040">
        <f ca="1">OFFSET('Q1'!I313,0,(Last_forecast_year - 3-InputY!$G$3)*4+4)</f>
        <v>1.8733095134737994</v>
      </c>
      <c r="G270" s="1040">
        <f ca="1">OFFSET('Q1'!J313,0,(Last_forecast_year - 3-InputY!$G$3)*4+4)</f>
        <v>3.541332263242353</v>
      </c>
      <c r="H270" s="1040">
        <f ca="1">OFFSET('Q1'!K313,0,(Last_forecast_year - 3-InputY!$G$3)*4+4)</f>
        <v>0.88129809486945376</v>
      </c>
      <c r="I270" s="1040">
        <f ca="1">OFFSET('Q1'!L313,0,(Last_forecast_year - 3-InputY!$G$3)*4+4)</f>
        <v>1.7331686884269448</v>
      </c>
      <c r="J270" s="1040">
        <f ca="1">OFFSET('Q1'!M313,0,(Last_forecast_year - 3-InputY!$G$3)*4+4)</f>
        <v>0.53986218291028898</v>
      </c>
      <c r="K270" s="1040">
        <f ca="1">OFFSET('Q1'!N313,0,(Last_forecast_year - 3-InputY!$G$3)*4+4)</f>
        <v>-1.0495737090258195</v>
      </c>
      <c r="L270" s="1040">
        <f ca="1">OFFSET('Q1'!O313,0,(Last_forecast_year - 3-InputY!$G$3)*4+4)</f>
        <v>5.2763268782429762E-2</v>
      </c>
      <c r="M270" s="1040">
        <f ca="1">OFFSET('Q1'!P313,0,(Last_forecast_year - 3-InputY!$G$3)*4+4)</f>
        <v>0.87057816280209366</v>
      </c>
      <c r="N270" s="1040">
        <f ca="1">OFFSET('Q1'!Q313,0,(Last_forecast_year - 3-InputY!$G$3)*4+4)</f>
        <v>1.1772288664503527</v>
      </c>
      <c r="O270" s="1040">
        <f ca="1">OFFSET('Q1'!R313,0,(Last_forecast_year - 3-InputY!$G$3)*4+4)</f>
        <v>1.4816359193452033</v>
      </c>
      <c r="P270" s="26"/>
      <c r="Q270"/>
      <c r="AA270" s="22">
        <v>170</v>
      </c>
      <c r="AB270" s="1040" t="e">
        <f>+#REF!</f>
        <v>#REF!</v>
      </c>
      <c r="AC270" s="1040">
        <f>CHOOSE(Tables!$U$2,Transfer!CA270,Transfer!CN270,Transfer!DA270,Transfer!DN270,Transfer!EA270)</f>
        <v>-9999</v>
      </c>
      <c r="AD270" s="1040">
        <f>CHOOSE(Tables!$U$2,Transfer!CB270,Transfer!CO270,Transfer!DB270,Transfer!DO270,Transfer!EB270)</f>
        <v>4.8136091374777976</v>
      </c>
      <c r="AE270" s="1040">
        <f>CHOOSE(Tables!$U$2,Transfer!CC270,Transfer!CP270,Transfer!DC270,Transfer!DP270,Transfer!EC270)</f>
        <v>4.9528098310653803</v>
      </c>
      <c r="AF270" s="1040">
        <f>CHOOSE(Tables!$U$2,Transfer!CD270,Transfer!CQ270,Transfer!DD270,Transfer!DQ270,Transfer!ED270)</f>
        <v>1.6050865539179116</v>
      </c>
      <c r="AG270" s="1040">
        <f>CHOOSE(Tables!$U$2,Transfer!CE270,Transfer!CR270,Transfer!DE270,Transfer!DR270,Transfer!EE270)</f>
        <v>-2.1591315588098681E-2</v>
      </c>
      <c r="AH270" s="1040">
        <f>CHOOSE(Tables!$U$2,Transfer!CF270,Transfer!CS270,Transfer!DF270,Transfer!DS270,Transfer!EF270)</f>
        <v>0.15012170482944232</v>
      </c>
      <c r="AI270" s="1040">
        <f>CHOOSE(Tables!$U$2,Transfer!CG270,Transfer!CT270,Transfer!DG270,Transfer!DT270,Transfer!EG270)</f>
        <v>0.24255676002540305</v>
      </c>
      <c r="AJ270" s="1040">
        <f>CHOOSE(Tables!$U$2,Transfer!CH270,Transfer!CU270,Transfer!DH270,Transfer!DU270,Transfer!EH270)</f>
        <v>2.2875642083795888</v>
      </c>
      <c r="AK270" s="1040">
        <f>CHOOSE(Tables!$U$2,Transfer!CI270,Transfer!CV270,Transfer!DI270,Transfer!DV270,Transfer!EI270)</f>
        <v>3.4416983089633479</v>
      </c>
      <c r="AL270" s="1040">
        <f>CHOOSE(Tables!$U$2,Transfer!CJ270,Transfer!CW270,Transfer!DJ270,Transfer!DW270,Transfer!EJ270)</f>
        <v>3.165436980964631</v>
      </c>
      <c r="AM270" s="1040">
        <f>CHOOSE(Tables!$U$2,Transfer!CK270,Transfer!CX270,Transfer!DK270,Transfer!DX270,Transfer!EK270)</f>
        <v>2.4691251642328993</v>
      </c>
      <c r="AN270" s="1040">
        <f>CHOOSE(Tables!$U$2,Transfer!CL270,Transfer!CY270,Transfer!DL270,Transfer!DY270,Transfer!EL270)</f>
        <v>1.6878979124821614</v>
      </c>
      <c r="AO270" s="1040">
        <f>CHOOSE(Tables!$U$2,Transfer!CM270,Transfer!CZ270,Transfer!DM270,Transfer!DZ270,Transfer!EM270)</f>
        <v>1.0625140027820335</v>
      </c>
      <c r="AR270" s="22">
        <v>170</v>
      </c>
      <c r="AS270" s="30" t="s">
        <v>1705</v>
      </c>
      <c r="AT270" s="25">
        <f t="shared" si="43"/>
        <v>0</v>
      </c>
      <c r="AU270" s="25">
        <f t="shared" ca="1" si="43"/>
        <v>-2.1511215096322474</v>
      </c>
      <c r="AV270" s="25">
        <f t="shared" ca="1" si="43"/>
        <v>-6.3173938224735622</v>
      </c>
      <c r="AW270" s="25">
        <f t="shared" ca="1" si="42"/>
        <v>0.26822295955588782</v>
      </c>
      <c r="AX270" s="25">
        <f t="shared" ca="1" si="42"/>
        <v>3.5629235788304516</v>
      </c>
      <c r="AY270" s="25">
        <f t="shared" ca="1" si="42"/>
        <v>0.73117639004001145</v>
      </c>
      <c r="AZ270" s="25">
        <f t="shared" ca="1" si="42"/>
        <v>1.4906119284015418</v>
      </c>
      <c r="BA270" s="25">
        <f t="shared" ca="1" si="42"/>
        <v>-1.7477020254692999</v>
      </c>
      <c r="BB270" s="25">
        <f t="shared" ca="1" si="42"/>
        <v>-4.4912720179891679</v>
      </c>
      <c r="BC270" s="25">
        <f t="shared" ca="1" si="42"/>
        <v>-3.1126737121822012</v>
      </c>
      <c r="BD270" s="25">
        <f t="shared" ca="1" si="42"/>
        <v>-1.5985470014308056</v>
      </c>
      <c r="BE270" s="25">
        <f t="shared" ca="1" si="42"/>
        <v>-0.51066904603180863</v>
      </c>
      <c r="BF270" s="25">
        <f t="shared" ca="1" si="21"/>
        <v>0.41912191656316988</v>
      </c>
      <c r="CA270" s="16">
        <v>-9999</v>
      </c>
      <c r="CB270" s="16">
        <v>-1.3947152186135128</v>
      </c>
      <c r="CC270" s="16">
        <v>1.8348819822706446</v>
      </c>
      <c r="CD270" s="16">
        <v>-1.32</v>
      </c>
      <c r="CE270" s="16">
        <v>-1.17</v>
      </c>
      <c r="CF270" s="16">
        <v>-0.5</v>
      </c>
      <c r="CG270" s="16">
        <v>1</v>
      </c>
      <c r="CH270" s="16">
        <v>1.2</v>
      </c>
      <c r="CI270" s="16">
        <v>1.3</v>
      </c>
      <c r="CJ270" s="16">
        <v>1.3</v>
      </c>
      <c r="CK270" s="16">
        <v>1.3</v>
      </c>
      <c r="CL270" s="16">
        <v>1.4</v>
      </c>
      <c r="CM270" s="16">
        <v>1.4</v>
      </c>
      <c r="CN270" s="16">
        <v>-9999</v>
      </c>
      <c r="CO270" s="16">
        <v>0.65732195716523734</v>
      </c>
      <c r="CP270" s="16">
        <v>1.0681478316598714E-2</v>
      </c>
      <c r="CQ270" s="16">
        <v>0.31811253230830516</v>
      </c>
      <c r="CR270" s="16">
        <v>0.29380341880343508</v>
      </c>
      <c r="CS270" s="16">
        <v>-2.2122624035808558</v>
      </c>
      <c r="CT270" s="16">
        <v>-2.8043348760954823</v>
      </c>
      <c r="CU270" s="16">
        <v>0.73550591872859616</v>
      </c>
      <c r="CV270" s="16">
        <v>1.8250618625807125</v>
      </c>
      <c r="CW270" s="16">
        <v>3.2275567821270723</v>
      </c>
      <c r="CX270" s="16">
        <v>4.3452805181250831</v>
      </c>
      <c r="CY270" s="16">
        <v>1.432261754648767</v>
      </c>
      <c r="CZ270" s="16">
        <v>0.78132472612018056</v>
      </c>
      <c r="DA270" s="16">
        <v>-9999</v>
      </c>
      <c r="DB270" s="16">
        <v>-1.394715218613507</v>
      </c>
      <c r="DC270" s="16">
        <v>-1.8869772092021675</v>
      </c>
      <c r="DD270" s="16">
        <v>1.4162632144769649</v>
      </c>
      <c r="DE270" s="16">
        <v>2.2914412282786456</v>
      </c>
      <c r="DF270" s="16">
        <v>1.6213530316316227</v>
      </c>
      <c r="DG270" s="16">
        <v>1.6821391305010591</v>
      </c>
      <c r="DH270" s="16">
        <v>1.7158810353231413</v>
      </c>
      <c r="DI270" s="16">
        <v>1.9702653376992396</v>
      </c>
      <c r="DJ270" s="16">
        <v>2.0175293395449998</v>
      </c>
      <c r="DK270" s="16">
        <v>2.12557722184749</v>
      </c>
      <c r="DL270" s="16">
        <v>2.2336251041499899</v>
      </c>
      <c r="DM270" s="16">
        <v>2.3416729864524801</v>
      </c>
      <c r="DN270" s="16">
        <v>-9999</v>
      </c>
      <c r="DO270" s="16">
        <v>0.65732195716523734</v>
      </c>
      <c r="DP270" s="16">
        <v>1.0681478316598714E-2</v>
      </c>
      <c r="DQ270" s="16">
        <v>0.31811253230830516</v>
      </c>
      <c r="DR270" s="16">
        <v>0.29380341880343508</v>
      </c>
      <c r="DS270" s="16">
        <v>-1.3747221381308683</v>
      </c>
      <c r="DT270" s="16">
        <v>-1.4512399437876522</v>
      </c>
      <c r="DU270" s="16">
        <v>2.1378802158573018</v>
      </c>
      <c r="DV270" s="16">
        <v>3.2426042500168561</v>
      </c>
      <c r="DW270" s="16">
        <v>2.6103860676207846</v>
      </c>
      <c r="DX270" s="16">
        <v>2.2385220273703377</v>
      </c>
      <c r="DY270" s="16">
        <v>2.0008817759824993</v>
      </c>
      <c r="DZ270" s="16">
        <v>2.0347941829567118</v>
      </c>
      <c r="EA270" s="2197">
        <v>-9999</v>
      </c>
      <c r="EB270" s="2197">
        <v>4.8136091374777976</v>
      </c>
      <c r="EC270" s="2197">
        <v>4.9528098310653803</v>
      </c>
      <c r="ED270" s="2197">
        <v>1.6050865539179116</v>
      </c>
      <c r="EE270" s="2197">
        <v>-2.1591315588098681E-2</v>
      </c>
      <c r="EF270" s="2197">
        <v>0.15012170482944232</v>
      </c>
      <c r="EG270" s="2197">
        <v>0.24255676002540305</v>
      </c>
      <c r="EH270" s="2197">
        <v>2.2875642083795888</v>
      </c>
      <c r="EI270" s="2197">
        <v>3.4416983089633479</v>
      </c>
      <c r="EJ270" s="2197">
        <v>3.165436980964631</v>
      </c>
      <c r="EK270" s="2197">
        <v>2.4691251642328993</v>
      </c>
      <c r="EL270" s="2197">
        <v>1.6878979124821614</v>
      </c>
      <c r="EM270" s="2197">
        <v>1.0625140027820335</v>
      </c>
    </row>
    <row r="271" spans="1:143">
      <c r="A271" s="22">
        <v>171</v>
      </c>
      <c r="B271" s="33" t="s">
        <v>795</v>
      </c>
      <c r="C271" s="25">
        <v>-9999</v>
      </c>
      <c r="D271" s="1040">
        <f ca="1">OFFSET('Q1'!G315,0,(Last_forecast_year - 3-InputY!$G$3)*4+4)</f>
        <v>3.3563413916058806</v>
      </c>
      <c r="E271" s="1040">
        <f ca="1">OFFSET('Q1'!H315,0,(Last_forecast_year - 3-InputY!$G$3)*4+4)</f>
        <v>5.2597360379689206</v>
      </c>
      <c r="F271" s="1040">
        <f ca="1">OFFSET('Q1'!I315,0,(Last_forecast_year - 3-InputY!$G$3)*4+4)</f>
        <v>6.4145631378571295</v>
      </c>
      <c r="G271" s="1040">
        <f ca="1">OFFSET('Q1'!J315,0,(Last_forecast_year - 3-InputY!$G$3)*4+4)</f>
        <v>5.0900698762741143</v>
      </c>
      <c r="H271" s="1040">
        <f ca="1">OFFSET('Q1'!K315,0,(Last_forecast_year - 3-InputY!$G$3)*4+4)</f>
        <v>4.5240739011595199</v>
      </c>
      <c r="I271" s="1040">
        <f ca="1">OFFSET('Q1'!L315,0,(Last_forecast_year - 3-InputY!$G$3)*4+4)</f>
        <v>3.7792475150509652</v>
      </c>
      <c r="J271" s="1040">
        <f ca="1">OFFSET('Q1'!M315,0,(Last_forecast_year - 3-InputY!$G$3)*4+4)</f>
        <v>3.1866599149859898</v>
      </c>
      <c r="K271" s="1040">
        <f ca="1">OFFSET('Q1'!N315,0,(Last_forecast_year - 3-InputY!$G$3)*4+4)</f>
        <v>4.9446622371182691</v>
      </c>
      <c r="L271" s="1040">
        <f ca="1">OFFSET('Q1'!O315,0,(Last_forecast_year - 3-InputY!$G$3)*4+4)</f>
        <v>5.326212852339629</v>
      </c>
      <c r="M271" s="1040">
        <f ca="1">OFFSET('Q1'!P315,0,(Last_forecast_year - 3-InputY!$G$3)*4+4)</f>
        <v>4.695714436014331</v>
      </c>
      <c r="N271" s="1040">
        <f ca="1">OFFSET('Q1'!Q315,0,(Last_forecast_year - 3-InputY!$G$3)*4+4)</f>
        <v>4.0738347686796184</v>
      </c>
      <c r="O271" s="1040">
        <f ca="1">OFFSET('Q1'!R315,0,(Last_forecast_year - 3-InputY!$G$3)*4+4)</f>
        <v>3.4509956826684673</v>
      </c>
      <c r="P271" s="26"/>
      <c r="Q271"/>
      <c r="AA271" s="22">
        <v>171</v>
      </c>
      <c r="AB271" s="1040" t="str">
        <f t="shared" si="31"/>
        <v>HICP Q SERVICES</v>
      </c>
      <c r="AC271" s="1040">
        <f>CHOOSE(Tables!$U$2,Transfer!CA271,Transfer!CN271,Transfer!DA271,Transfer!DN271,Transfer!EA271)</f>
        <v>-9999</v>
      </c>
      <c r="AD271" s="1040">
        <f>CHOOSE(Tables!$U$2,Transfer!CB271,Transfer!CO271,Transfer!DB271,Transfer!DO271,Transfer!EB271)</f>
        <v>2.2207801825738755</v>
      </c>
      <c r="AE271" s="1040">
        <f>CHOOSE(Tables!$U$2,Transfer!CC271,Transfer!CP271,Transfer!DC271,Transfer!DP271,Transfer!EC271)</f>
        <v>2.1305290801911383</v>
      </c>
      <c r="AF271" s="1040">
        <f>CHOOSE(Tables!$U$2,Transfer!CD271,Transfer!CQ271,Transfer!DD271,Transfer!DQ271,Transfer!ED271)</f>
        <v>2.3023260974900595</v>
      </c>
      <c r="AG271" s="1040">
        <f>CHOOSE(Tables!$U$2,Transfer!CE271,Transfer!CR271,Transfer!DE271,Transfer!DR271,Transfer!EE271)</f>
        <v>3.3075255876064524</v>
      </c>
      <c r="AH271" s="1040">
        <f>CHOOSE(Tables!$U$2,Transfer!CF271,Transfer!CS271,Transfer!DF271,Transfer!DS271,Transfer!EF271)</f>
        <v>4.0474842375427533</v>
      </c>
      <c r="AI271" s="1040">
        <f>CHOOSE(Tables!$U$2,Transfer!CG271,Transfer!CT271,Transfer!DG271,Transfer!DT271,Transfer!EG271)</f>
        <v>3.5489918827460221</v>
      </c>
      <c r="AJ271" s="1040">
        <f>CHOOSE(Tables!$U$2,Transfer!CH271,Transfer!CU271,Transfer!DH271,Transfer!DU271,Transfer!EH271)</f>
        <v>2.937685111895183</v>
      </c>
      <c r="AK271" s="1040">
        <f>CHOOSE(Tables!$U$2,Transfer!CI271,Transfer!CV271,Transfer!DI271,Transfer!DV271,Transfer!EI271)</f>
        <v>2.118841570876917</v>
      </c>
      <c r="AL271" s="1040">
        <f>CHOOSE(Tables!$U$2,Transfer!CJ271,Transfer!CW271,Transfer!DJ271,Transfer!DW271,Transfer!EJ271)</f>
        <v>2.9733795658627438</v>
      </c>
      <c r="AM271" s="1040">
        <f>CHOOSE(Tables!$U$2,Transfer!CK271,Transfer!CX271,Transfer!DK271,Transfer!DX271,Transfer!EK271)</f>
        <v>3.9101176484675593</v>
      </c>
      <c r="AN271" s="1040">
        <f>CHOOSE(Tables!$U$2,Transfer!CL271,Transfer!CY271,Transfer!DL271,Transfer!DY271,Transfer!EL271)</f>
        <v>4.8817717631724822</v>
      </c>
      <c r="AO271" s="1040">
        <f>CHOOSE(Tables!$U$2,Transfer!CM271,Transfer!CZ271,Transfer!DM271,Transfer!DZ271,Transfer!EM271)</f>
        <v>5.2649365081705035</v>
      </c>
      <c r="AR271" s="22">
        <v>171</v>
      </c>
      <c r="AS271" s="30" t="s">
        <v>1705</v>
      </c>
      <c r="AT271" s="25">
        <f t="shared" si="43"/>
        <v>0</v>
      </c>
      <c r="AU271" s="25">
        <f t="shared" ca="1" si="43"/>
        <v>1.1355612090320051</v>
      </c>
      <c r="AV271" s="25">
        <f t="shared" ca="1" si="43"/>
        <v>3.1292069577777823</v>
      </c>
      <c r="AW271" s="25">
        <f t="shared" ca="1" si="42"/>
        <v>4.1122370403670701</v>
      </c>
      <c r="AX271" s="25">
        <f t="shared" ca="1" si="42"/>
        <v>1.7825442886676619</v>
      </c>
      <c r="AY271" s="25">
        <f t="shared" ca="1" si="42"/>
        <v>0.47658966361676658</v>
      </c>
      <c r="AZ271" s="25">
        <f t="shared" ca="1" si="42"/>
        <v>0.23025563230494317</v>
      </c>
      <c r="BA271" s="25">
        <f t="shared" ca="1" si="42"/>
        <v>0.24897480309080677</v>
      </c>
      <c r="BB271" s="25">
        <f t="shared" ca="1" si="42"/>
        <v>2.8258206662413521</v>
      </c>
      <c r="BC271" s="25">
        <f t="shared" ca="1" si="42"/>
        <v>2.3528332864768853</v>
      </c>
      <c r="BD271" s="25">
        <f t="shared" ca="1" si="42"/>
        <v>0.78559678754677176</v>
      </c>
      <c r="BE271" s="25">
        <f t="shared" ca="1" si="42"/>
        <v>-0.80793699449286382</v>
      </c>
      <c r="BF271" s="25">
        <f t="shared" ca="1" si="42"/>
        <v>-1.8139408255020362</v>
      </c>
      <c r="CA271" s="16">
        <v>-9999</v>
      </c>
      <c r="CB271" s="16">
        <v>3.2128706927602337</v>
      </c>
      <c r="CC271" s="16">
        <v>3.3597449258809604</v>
      </c>
      <c r="CD271" s="16">
        <v>3.39</v>
      </c>
      <c r="CE271" s="16">
        <v>4.07</v>
      </c>
      <c r="CF271" s="16">
        <v>4.0999999999999996</v>
      </c>
      <c r="CG271" s="16">
        <v>4.1500000000000004</v>
      </c>
      <c r="CH271" s="16">
        <v>4.25</v>
      </c>
      <c r="CI271" s="16">
        <v>4.25</v>
      </c>
      <c r="CJ271" s="16">
        <v>4.3</v>
      </c>
      <c r="CK271" s="16">
        <v>4.3</v>
      </c>
      <c r="CL271" s="16">
        <v>4.2</v>
      </c>
      <c r="CM271" s="16">
        <v>4.0999999999999996</v>
      </c>
      <c r="CN271" s="16">
        <v>-9999</v>
      </c>
      <c r="CO271" s="16">
        <v>1.0899116419069657</v>
      </c>
      <c r="CP271" s="16">
        <v>0.88820606380679124</v>
      </c>
      <c r="CQ271" s="16">
        <v>1.9270573121119412</v>
      </c>
      <c r="CR271" s="16">
        <v>2.4984414712511409</v>
      </c>
      <c r="CS271" s="16">
        <v>3.198435470284533</v>
      </c>
      <c r="CT271" s="16">
        <v>3.4552248574793554</v>
      </c>
      <c r="CU271" s="16">
        <v>3.4591504483856728</v>
      </c>
      <c r="CV271" s="16">
        <v>4.310772761852899</v>
      </c>
      <c r="CW271" s="16">
        <v>4.135941876210425</v>
      </c>
      <c r="CX271" s="16">
        <v>3.7074174726173137</v>
      </c>
      <c r="CY271" s="16">
        <v>3.3988606799794541</v>
      </c>
      <c r="CZ271" s="16">
        <v>3.4299634936432621</v>
      </c>
      <c r="DA271" s="16">
        <v>-9999</v>
      </c>
      <c r="DB271" s="16">
        <v>3.2128706927602391</v>
      </c>
      <c r="DC271" s="16">
        <v>3.114615156192424</v>
      </c>
      <c r="DD271" s="16">
        <v>2.6758050763209251</v>
      </c>
      <c r="DE271" s="16">
        <v>3.0729918634611497</v>
      </c>
      <c r="DF271" s="16">
        <v>3.0056289257356816</v>
      </c>
      <c r="DG271" s="16">
        <v>3.2432412754812567</v>
      </c>
      <c r="DH271" s="16">
        <v>3.1920807970957199</v>
      </c>
      <c r="DI271" s="16">
        <v>3.2227250906422533</v>
      </c>
      <c r="DJ271" s="16">
        <v>3.3159510263222698</v>
      </c>
      <c r="DK271" s="16">
        <v>3.3759638279556898</v>
      </c>
      <c r="DL271" s="16">
        <v>3.4359766295891099</v>
      </c>
      <c r="DM271" s="16">
        <v>3.4959894312225299</v>
      </c>
      <c r="DN271" s="16">
        <v>-9999</v>
      </c>
      <c r="DO271" s="16">
        <v>1.0899116419069657</v>
      </c>
      <c r="DP271" s="16">
        <v>0.88820606380679124</v>
      </c>
      <c r="DQ271" s="16">
        <v>1.9270573121119412</v>
      </c>
      <c r="DR271" s="16">
        <v>2.4984414712511409</v>
      </c>
      <c r="DS271" s="16">
        <v>3.2368303517829267</v>
      </c>
      <c r="DT271" s="16">
        <v>3.3409707886094875</v>
      </c>
      <c r="DU271" s="16">
        <v>3.0547033028742732</v>
      </c>
      <c r="DV271" s="16">
        <v>3.9029964162442088</v>
      </c>
      <c r="DW271" s="16">
        <v>3.4659913655430863</v>
      </c>
      <c r="DX271" s="16">
        <v>3.0552855665150425</v>
      </c>
      <c r="DY271" s="16">
        <v>3.0379960258025474</v>
      </c>
      <c r="DZ271" s="16">
        <v>3.0689902898554777</v>
      </c>
      <c r="EA271" s="2197">
        <v>-9999</v>
      </c>
      <c r="EB271" s="2197">
        <v>2.2207801825738755</v>
      </c>
      <c r="EC271" s="2197">
        <v>2.1305290801911383</v>
      </c>
      <c r="ED271" s="2197">
        <v>2.3023260974900595</v>
      </c>
      <c r="EE271" s="2197">
        <v>3.3075255876064524</v>
      </c>
      <c r="EF271" s="2197">
        <v>4.0474842375427533</v>
      </c>
      <c r="EG271" s="2197">
        <v>3.5489918827460221</v>
      </c>
      <c r="EH271" s="2197">
        <v>2.937685111895183</v>
      </c>
      <c r="EI271" s="2197">
        <v>2.118841570876917</v>
      </c>
      <c r="EJ271" s="2197">
        <v>2.9733795658627438</v>
      </c>
      <c r="EK271" s="2197">
        <v>3.9101176484675593</v>
      </c>
      <c r="EL271" s="2197">
        <v>4.8817717631724822</v>
      </c>
      <c r="EM271" s="2197">
        <v>5.2649365081705035</v>
      </c>
    </row>
    <row r="272" spans="1:143">
      <c r="A272" s="22">
        <v>172</v>
      </c>
      <c r="B272" s="33" t="s">
        <v>353</v>
      </c>
      <c r="C272" s="24">
        <f ca="1">OFFSET('VVP2'!F378,0,Last_forecast_year - 3-InputY!$G$3)</f>
        <v>100</v>
      </c>
      <c r="D272" s="24">
        <f ca="1">OFFSET('VVP2'!G378,0,Last_forecast_year - 3-InputY!$G$3)</f>
        <v>100.68666666666667</v>
      </c>
      <c r="E272" s="24">
        <f ca="1">OFFSET('VVP2'!H378,0,Last_forecast_year - 3-InputY!$G$3)</f>
        <v>101.41083333333333</v>
      </c>
      <c r="F272" s="24">
        <f ca="1">OFFSET('VVP2'!I378,0,Last_forecast_year - 3-InputY!$G$3)</f>
        <v>102.20236517779105</v>
      </c>
      <c r="G272" s="24">
        <f ca="1">OFFSET('VVP2'!J378,0,Last_forecast_year - 3-InputY!$G$3)</f>
        <v>103.25423650859683</v>
      </c>
      <c r="H272" s="25">
        <v>-9999</v>
      </c>
      <c r="I272" s="25">
        <v>-9999</v>
      </c>
      <c r="J272" s="25">
        <v>-9999</v>
      </c>
      <c r="K272" s="25">
        <v>-9999</v>
      </c>
      <c r="L272" s="25">
        <v>-9999</v>
      </c>
      <c r="M272" s="25">
        <v>-9999</v>
      </c>
      <c r="N272" s="25">
        <v>-9999</v>
      </c>
      <c r="O272" s="25">
        <v>-9999</v>
      </c>
      <c r="P272" s="26"/>
      <c r="Q272"/>
      <c r="AA272" s="22">
        <v>172</v>
      </c>
      <c r="AB272" s="1040" t="str">
        <f t="shared" si="31"/>
        <v>HICP Y INDEX NON-ENERGY INDUSTRIAL GOODS</v>
      </c>
      <c r="AC272" s="1040">
        <f>CHOOSE(Tables!$U$2,Transfer!CA272,Transfer!CN272,Transfer!DA272,Transfer!DN272,Transfer!EA272)</f>
        <v>98.144166946411133</v>
      </c>
      <c r="AD272" s="1040">
        <f>CHOOSE(Tables!$U$2,Transfer!CB272,Transfer!CO272,Transfer!DB272,Transfer!DO272,Transfer!EB272)</f>
        <v>99.242502212524414</v>
      </c>
      <c r="AE272" s="1040">
        <f>CHOOSE(Tables!$U$2,Transfer!CC272,Transfer!CP272,Transfer!DC272,Transfer!DP272,Transfer!EC272)</f>
        <v>100.12689639391704</v>
      </c>
      <c r="AF272" s="1040">
        <f>CHOOSE(Tables!$U$2,Transfer!CD272,Transfer!CQ272,Transfer!DD272,Transfer!DQ272,Transfer!ED272)</f>
        <v>101.2282659718567</v>
      </c>
      <c r="AG272" s="1040">
        <f>CHOOSE(Tables!$U$2,Transfer!CE272,Transfer!CR272,Transfer!DE272,Transfer!DR272,Transfer!EE272)</f>
        <v>102.12670553484028</v>
      </c>
      <c r="AH272" s="1040">
        <f>CHOOSE(Tables!$U$2,Transfer!CF272,Transfer!CS272,Transfer!DF272,Transfer!DS272,Transfer!EF272)</f>
        <v>-9999</v>
      </c>
      <c r="AI272" s="1040">
        <f>CHOOSE(Tables!$U$2,Transfer!CG272,Transfer!CT272,Transfer!DG272,Transfer!DT272,Transfer!EG272)</f>
        <v>-9999</v>
      </c>
      <c r="AJ272" s="1040">
        <f>CHOOSE(Tables!$U$2,Transfer!CH272,Transfer!CU272,Transfer!DH272,Transfer!DU272,Transfer!EH272)</f>
        <v>-9999</v>
      </c>
      <c r="AK272" s="1040">
        <f>CHOOSE(Tables!$U$2,Transfer!CI272,Transfer!CV272,Transfer!DI272,Transfer!DV272,Transfer!EI272)</f>
        <v>-9999</v>
      </c>
      <c r="AL272" s="1040">
        <f>CHOOSE(Tables!$U$2,Transfer!CJ272,Transfer!CW272,Transfer!DJ272,Transfer!DW272,Transfer!EJ272)</f>
        <v>-9999</v>
      </c>
      <c r="AM272" s="1040">
        <f>CHOOSE(Tables!$U$2,Transfer!CK272,Transfer!CX272,Transfer!DK272,Transfer!DX272,Transfer!EK272)</f>
        <v>-9999</v>
      </c>
      <c r="AN272" s="1040">
        <f>CHOOSE(Tables!$U$2,Transfer!CL272,Transfer!CY272,Transfer!DL272,Transfer!DY272,Transfer!EL272)</f>
        <v>-9999</v>
      </c>
      <c r="AO272" s="1040">
        <f>CHOOSE(Tables!$U$2,Transfer!CM272,Transfer!CZ272,Transfer!DM272,Transfer!DZ272,Transfer!EM272)</f>
        <v>-9999</v>
      </c>
      <c r="AR272" s="22">
        <v>172</v>
      </c>
      <c r="AS272" s="30" t="s">
        <v>1705</v>
      </c>
      <c r="AT272" s="25">
        <f t="shared" ca="1" si="43"/>
        <v>1.8558330535888672</v>
      </c>
      <c r="AU272" s="25">
        <f t="shared" ca="1" si="43"/>
        <v>1.4441644541422534</v>
      </c>
      <c r="AV272" s="25">
        <f t="shared" ca="1" si="43"/>
        <v>1.2839369394162929</v>
      </c>
      <c r="AW272" s="25">
        <f t="shared" ca="1" si="42"/>
        <v>0.97409920593435118</v>
      </c>
      <c r="AX272" s="25">
        <f t="shared" ca="1" si="42"/>
        <v>1.1275309737565493</v>
      </c>
      <c r="AY272" s="25">
        <f t="shared" si="42"/>
        <v>0</v>
      </c>
      <c r="AZ272" s="25">
        <f t="shared" si="42"/>
        <v>0</v>
      </c>
      <c r="BA272" s="25">
        <f t="shared" si="42"/>
        <v>0</v>
      </c>
      <c r="BB272" s="25">
        <f t="shared" si="42"/>
        <v>0</v>
      </c>
      <c r="BC272" s="25">
        <f t="shared" si="42"/>
        <v>0</v>
      </c>
      <c r="BD272" s="25">
        <f t="shared" si="42"/>
        <v>0</v>
      </c>
      <c r="BE272" s="25">
        <f t="shared" si="42"/>
        <v>0</v>
      </c>
      <c r="BF272" s="25">
        <f t="shared" si="42"/>
        <v>0</v>
      </c>
      <c r="CA272" s="16">
        <v>100.1925</v>
      </c>
      <c r="CB272" s="16">
        <v>100.26916666666666</v>
      </c>
      <c r="CC272" s="16">
        <v>100.45234333333335</v>
      </c>
      <c r="CD272" s="16">
        <v>101.06530262230706</v>
      </c>
      <c r="CE272" s="16">
        <v>101.46941430420007</v>
      </c>
      <c r="CF272" s="16">
        <v>-9999</v>
      </c>
      <c r="CG272" s="16">
        <v>-9999</v>
      </c>
      <c r="CH272" s="16">
        <v>-9999</v>
      </c>
      <c r="CI272" s="16">
        <v>-9999</v>
      </c>
      <c r="CJ272" s="16">
        <v>-9999</v>
      </c>
      <c r="CK272" s="16">
        <v>-9999</v>
      </c>
      <c r="CL272" s="16">
        <v>-9999</v>
      </c>
      <c r="CM272" s="16">
        <v>-9999</v>
      </c>
      <c r="CN272" s="16">
        <v>99.242500000000007</v>
      </c>
      <c r="CO272" s="16">
        <v>100.1925</v>
      </c>
      <c r="CP272" s="16">
        <v>100.26916666666666</v>
      </c>
      <c r="CQ272" s="16">
        <v>100.60537300403803</v>
      </c>
      <c r="CR272" s="16">
        <v>100.78455350320115</v>
      </c>
      <c r="CS272" s="16">
        <v>-9999</v>
      </c>
      <c r="CT272" s="16">
        <v>-9999</v>
      </c>
      <c r="CU272" s="16">
        <v>-9999</v>
      </c>
      <c r="CV272" s="16">
        <v>-9999</v>
      </c>
      <c r="CW272" s="16">
        <v>-9999</v>
      </c>
      <c r="CX272" s="16">
        <v>-9999</v>
      </c>
      <c r="CY272" s="16">
        <v>-9999</v>
      </c>
      <c r="CZ272" s="16">
        <v>-9999</v>
      </c>
      <c r="DA272" s="16">
        <v>100.1925</v>
      </c>
      <c r="DB272" s="16">
        <v>100.26916666666666</v>
      </c>
      <c r="DC272" s="16">
        <v>100.99929228617427</v>
      </c>
      <c r="DD272" s="16">
        <v>102.32058776352919</v>
      </c>
      <c r="DE272" s="16">
        <v>105.22429224447231</v>
      </c>
      <c r="DF272" s="16">
        <v>-9999</v>
      </c>
      <c r="DG272" s="16">
        <v>-9999</v>
      </c>
      <c r="DH272" s="16">
        <v>-9999</v>
      </c>
      <c r="DI272" s="16">
        <v>-9999</v>
      </c>
      <c r="DJ272" s="16">
        <v>-9999</v>
      </c>
      <c r="DK272" s="16">
        <v>-9999</v>
      </c>
      <c r="DL272" s="16">
        <v>-9999</v>
      </c>
      <c r="DM272" s="16">
        <v>-9999</v>
      </c>
      <c r="DN272" s="16">
        <v>99.242500000000007</v>
      </c>
      <c r="DO272" s="16">
        <v>100.1925</v>
      </c>
      <c r="DP272" s="16">
        <v>100.26916666666666</v>
      </c>
      <c r="DQ272" s="16">
        <v>101.03763729710815</v>
      </c>
      <c r="DR272" s="16">
        <v>102.60231971811696</v>
      </c>
      <c r="DS272" s="16">
        <v>-9999</v>
      </c>
      <c r="DT272" s="16">
        <v>-9999</v>
      </c>
      <c r="DU272" s="16">
        <v>-9999</v>
      </c>
      <c r="DV272" s="16">
        <v>-9999</v>
      </c>
      <c r="DW272" s="16">
        <v>-9999</v>
      </c>
      <c r="DX272" s="16">
        <v>-9999</v>
      </c>
      <c r="DY272" s="16">
        <v>-9999</v>
      </c>
      <c r="DZ272" s="16">
        <v>-9999</v>
      </c>
      <c r="EA272" s="2197">
        <v>98.144166946411133</v>
      </c>
      <c r="EB272" s="2197">
        <v>99.242502212524414</v>
      </c>
      <c r="EC272" s="2197">
        <v>100.12689639391704</v>
      </c>
      <c r="ED272" s="2197">
        <v>101.2282659718567</v>
      </c>
      <c r="EE272" s="2197">
        <v>102.12670553484028</v>
      </c>
      <c r="EF272" s="2197">
        <v>-9999</v>
      </c>
      <c r="EG272" s="2197">
        <v>-9999</v>
      </c>
      <c r="EH272" s="2197">
        <v>-9999</v>
      </c>
      <c r="EI272" s="2197">
        <v>-9999</v>
      </c>
      <c r="EJ272" s="2197">
        <v>-9999</v>
      </c>
      <c r="EK272" s="2197">
        <v>-9999</v>
      </c>
      <c r="EL272" s="2197">
        <v>-9999</v>
      </c>
      <c r="EM272" s="2197">
        <v>-9999</v>
      </c>
    </row>
    <row r="273" spans="1:144">
      <c r="A273" s="22">
        <v>173</v>
      </c>
      <c r="B273" s="33" t="s">
        <v>354</v>
      </c>
      <c r="C273" s="24">
        <f ca="1">OFFSET('VVP2'!F379,0,Last_forecast_year - 3-InputY!$G$3)</f>
        <v>99.999166666666667</v>
      </c>
      <c r="D273" s="24">
        <f ca="1">OFFSET('VVP2'!G379,0,Last_forecast_year - 3-InputY!$G$3)</f>
        <v>92.814999999999998</v>
      </c>
      <c r="E273" s="24">
        <f ca="1">OFFSET('VVP2'!H379,0,Last_forecast_year - 3-InputY!$G$3)</f>
        <v>97.161666666666676</v>
      </c>
      <c r="F273" s="24">
        <f ca="1">OFFSET('VVP2'!I379,0,Last_forecast_year - 3-InputY!$G$3)</f>
        <v>102.56256044002525</v>
      </c>
      <c r="G273" s="24">
        <f ca="1">OFFSET('VVP2'!J379,0,Last_forecast_year - 3-InputY!$G$3)</f>
        <v>103.7678881637022</v>
      </c>
      <c r="H273" s="25">
        <v>-9999</v>
      </c>
      <c r="I273" s="25">
        <v>-9999</v>
      </c>
      <c r="J273" s="25">
        <v>-9999</v>
      </c>
      <c r="K273" s="25">
        <v>-9999</v>
      </c>
      <c r="L273" s="25">
        <v>-9999</v>
      </c>
      <c r="M273" s="25">
        <v>-9999</v>
      </c>
      <c r="N273" s="25">
        <v>-9999</v>
      </c>
      <c r="O273" s="25">
        <v>-9999</v>
      </c>
      <c r="P273" s="26"/>
      <c r="Q273"/>
      <c r="AA273" s="22">
        <v>173</v>
      </c>
      <c r="AB273" s="1040" t="str">
        <f t="shared" si="31"/>
        <v>HICP Y INDEX ENERGY</v>
      </c>
      <c r="AC273" s="1040">
        <f>CHOOSE(Tables!$U$2,Transfer!CA273,Transfer!CN273,Transfer!DA273,Transfer!DN273,Transfer!EA273)</f>
        <v>181.33083343505859</v>
      </c>
      <c r="AD273" s="1040">
        <f>CHOOSE(Tables!$U$2,Transfer!CB273,Transfer!CO273,Transfer!DB273,Transfer!DO273,Transfer!EB273)</f>
        <v>193.40417098999023</v>
      </c>
      <c r="AE273" s="1040">
        <f>CHOOSE(Tables!$U$2,Transfer!CC273,Transfer!CP273,Transfer!DC273,Transfer!DP273,Transfer!EC273)</f>
        <v>191.67162313522007</v>
      </c>
      <c r="AF273" s="1040">
        <f>CHOOSE(Tables!$U$2,Transfer!CD273,Transfer!CQ273,Transfer!DD273,Transfer!DQ273,Transfer!ED273)</f>
        <v>192.87529824333214</v>
      </c>
      <c r="AG273" s="1040">
        <f>CHOOSE(Tables!$U$2,Transfer!CE273,Transfer!CR273,Transfer!DE273,Transfer!DR273,Transfer!EE273)</f>
        <v>198.11765162311519</v>
      </c>
      <c r="AH273" s="1040">
        <f>CHOOSE(Tables!$U$2,Transfer!CF273,Transfer!CS273,Transfer!DF273,Transfer!DS273,Transfer!EF273)</f>
        <v>-9999</v>
      </c>
      <c r="AI273" s="1040">
        <f>CHOOSE(Tables!$U$2,Transfer!CG273,Transfer!CT273,Transfer!DG273,Transfer!DT273,Transfer!EG273)</f>
        <v>-9999</v>
      </c>
      <c r="AJ273" s="1040">
        <f>CHOOSE(Tables!$U$2,Transfer!CH273,Transfer!CU273,Transfer!DH273,Transfer!DU273,Transfer!EH273)</f>
        <v>-9999</v>
      </c>
      <c r="AK273" s="1040">
        <f>CHOOSE(Tables!$U$2,Transfer!CI273,Transfer!CV273,Transfer!DI273,Transfer!DV273,Transfer!EI273)</f>
        <v>-9999</v>
      </c>
      <c r="AL273" s="1040">
        <f>CHOOSE(Tables!$U$2,Transfer!CJ273,Transfer!CW273,Transfer!DJ273,Transfer!DW273,Transfer!EJ273)</f>
        <v>-9999</v>
      </c>
      <c r="AM273" s="1040">
        <f>CHOOSE(Tables!$U$2,Transfer!CK273,Transfer!CX273,Transfer!DK273,Transfer!DX273,Transfer!EK273)</f>
        <v>-9999</v>
      </c>
      <c r="AN273" s="1040">
        <f>CHOOSE(Tables!$U$2,Transfer!CL273,Transfer!CY273,Transfer!DL273,Transfer!DY273,Transfer!EL273)</f>
        <v>-9999</v>
      </c>
      <c r="AO273" s="1040">
        <f>CHOOSE(Tables!$U$2,Transfer!CM273,Transfer!CZ273,Transfer!DM273,Transfer!DZ273,Transfer!EM273)</f>
        <v>-9999</v>
      </c>
      <c r="AR273" s="22">
        <v>173</v>
      </c>
      <c r="AS273" s="30" t="s">
        <v>1705</v>
      </c>
      <c r="AT273" s="25">
        <f t="shared" ca="1" si="43"/>
        <v>-81.331666768391926</v>
      </c>
      <c r="AU273" s="25">
        <f t="shared" ca="1" si="43"/>
        <v>-100.58917098999024</v>
      </c>
      <c r="AV273" s="25">
        <f t="shared" ca="1" si="43"/>
        <v>-94.509956468553398</v>
      </c>
      <c r="AW273" s="25">
        <f t="shared" ca="1" si="42"/>
        <v>-90.312737803306888</v>
      </c>
      <c r="AX273" s="25">
        <f t="shared" ca="1" si="42"/>
        <v>-94.349763459412998</v>
      </c>
      <c r="AY273" s="25">
        <f t="shared" si="42"/>
        <v>0</v>
      </c>
      <c r="AZ273" s="25">
        <f t="shared" si="42"/>
        <v>0</v>
      </c>
      <c r="BA273" s="25">
        <f t="shared" si="42"/>
        <v>0</v>
      </c>
      <c r="BB273" s="25">
        <f t="shared" si="42"/>
        <v>0</v>
      </c>
      <c r="BC273" s="25">
        <f t="shared" si="42"/>
        <v>0</v>
      </c>
      <c r="BD273" s="25">
        <f t="shared" si="42"/>
        <v>0</v>
      </c>
      <c r="BE273" s="25">
        <f t="shared" si="42"/>
        <v>0</v>
      </c>
      <c r="BF273" s="25">
        <f t="shared" si="42"/>
        <v>0</v>
      </c>
      <c r="CA273" s="16">
        <v>190.99833333333336</v>
      </c>
      <c r="CB273" s="16">
        <v>183.43083333333334</v>
      </c>
      <c r="CC273" s="16">
        <v>163.59897933333335</v>
      </c>
      <c r="CD273" s="16">
        <v>157.87601536</v>
      </c>
      <c r="CE273" s="16">
        <v>167.39811784823334</v>
      </c>
      <c r="CF273" s="16">
        <v>-9999</v>
      </c>
      <c r="CG273" s="16">
        <v>-9999</v>
      </c>
      <c r="CH273" s="16">
        <v>-9999</v>
      </c>
      <c r="CI273" s="16">
        <v>-9999</v>
      </c>
      <c r="CJ273" s="16">
        <v>-9999</v>
      </c>
      <c r="CK273" s="16">
        <v>-9999</v>
      </c>
      <c r="CL273" s="16">
        <v>-9999</v>
      </c>
      <c r="CM273" s="16">
        <v>-9999</v>
      </c>
      <c r="CN273" s="16">
        <v>193.40416666666667</v>
      </c>
      <c r="CO273" s="16">
        <v>190.99833333333336</v>
      </c>
      <c r="CP273" s="16">
        <v>183.43083333333334</v>
      </c>
      <c r="CQ273" s="16">
        <v>158.59432215067514</v>
      </c>
      <c r="CR273" s="16">
        <v>160.2405933472059</v>
      </c>
      <c r="CS273" s="16">
        <v>-9999</v>
      </c>
      <c r="CT273" s="16">
        <v>-9999</v>
      </c>
      <c r="CU273" s="16">
        <v>-9999</v>
      </c>
      <c r="CV273" s="16">
        <v>-9999</v>
      </c>
      <c r="CW273" s="16">
        <v>-9999</v>
      </c>
      <c r="CX273" s="16">
        <v>-9999</v>
      </c>
      <c r="CY273" s="16">
        <v>-9999</v>
      </c>
      <c r="CZ273" s="16">
        <v>-9999</v>
      </c>
      <c r="DA273" s="16">
        <v>190.99833333333336</v>
      </c>
      <c r="DB273" s="16">
        <v>183.43083333333334</v>
      </c>
      <c r="DC273" s="16">
        <v>164.77471204952818</v>
      </c>
      <c r="DD273" s="16">
        <v>167.11451165272146</v>
      </c>
      <c r="DE273" s="16">
        <v>165.30419570338648</v>
      </c>
      <c r="DF273" s="16">
        <v>-9999</v>
      </c>
      <c r="DG273" s="16">
        <v>-9999</v>
      </c>
      <c r="DH273" s="16">
        <v>-9999</v>
      </c>
      <c r="DI273" s="16">
        <v>-9999</v>
      </c>
      <c r="DJ273" s="16">
        <v>-9999</v>
      </c>
      <c r="DK273" s="16">
        <v>-9999</v>
      </c>
      <c r="DL273" s="16">
        <v>-9999</v>
      </c>
      <c r="DM273" s="16">
        <v>-9999</v>
      </c>
      <c r="DN273" s="16">
        <v>193.40416666666667</v>
      </c>
      <c r="DO273" s="16">
        <v>190.99833333333336</v>
      </c>
      <c r="DP273" s="16">
        <v>183.43083333333334</v>
      </c>
      <c r="DQ273" s="16">
        <v>162.42938491471955</v>
      </c>
      <c r="DR273" s="16">
        <v>164.66111242158365</v>
      </c>
      <c r="DS273" s="16">
        <v>-9999</v>
      </c>
      <c r="DT273" s="16">
        <v>-9999</v>
      </c>
      <c r="DU273" s="16">
        <v>-9999</v>
      </c>
      <c r="DV273" s="16">
        <v>-9999</v>
      </c>
      <c r="DW273" s="16">
        <v>-9999</v>
      </c>
      <c r="DX273" s="16">
        <v>-9999</v>
      </c>
      <c r="DY273" s="16">
        <v>-9999</v>
      </c>
      <c r="DZ273" s="16">
        <v>-9999</v>
      </c>
      <c r="EA273" s="2197">
        <v>181.33083343505859</v>
      </c>
      <c r="EB273" s="2197">
        <v>193.40417098999023</v>
      </c>
      <c r="EC273" s="2197">
        <v>191.67162313522007</v>
      </c>
      <c r="ED273" s="2197">
        <v>192.87529824333214</v>
      </c>
      <c r="EE273" s="2197">
        <v>198.11765162311519</v>
      </c>
      <c r="EF273" s="2197">
        <v>-9999</v>
      </c>
      <c r="EG273" s="2197">
        <v>-9999</v>
      </c>
      <c r="EH273" s="2197">
        <v>-9999</v>
      </c>
      <c r="EI273" s="2197">
        <v>-9999</v>
      </c>
      <c r="EJ273" s="2197">
        <v>-9999</v>
      </c>
      <c r="EK273" s="2197">
        <v>-9999</v>
      </c>
      <c r="EL273" s="2197">
        <v>-9999</v>
      </c>
      <c r="EM273" s="2197">
        <v>-9999</v>
      </c>
    </row>
    <row r="274" spans="1:144">
      <c r="A274" s="22">
        <v>174</v>
      </c>
      <c r="B274" s="33" t="s">
        <v>355</v>
      </c>
      <c r="C274" s="24">
        <f ca="1">OFFSET('VVP2'!F381,0,Last_forecast_year - 3-InputY!$G$3)</f>
        <v>100</v>
      </c>
      <c r="D274" s="24">
        <f ca="1">OFFSET('VVP2'!G381,0,Last_forecast_year - 3-InputY!$G$3)</f>
        <v>102.22916666666669</v>
      </c>
      <c r="E274" s="24">
        <f ca="1">OFFSET('VVP2'!H381,0,Last_forecast_year - 3-InputY!$G$3)</f>
        <v>109.50749999999999</v>
      </c>
      <c r="F274" s="24">
        <f ca="1">OFFSET('VVP2'!I381,0,Last_forecast_year - 3-InputY!$G$3)</f>
        <v>113.45385723326497</v>
      </c>
      <c r="G274" s="24">
        <f ca="1">OFFSET('VVP2'!J381,0,Last_forecast_year - 3-InputY!$G$3)</f>
        <v>116.90379942504249</v>
      </c>
      <c r="H274" s="25">
        <v>-9999</v>
      </c>
      <c r="I274" s="25">
        <v>-9999</v>
      </c>
      <c r="J274" s="25">
        <v>-9999</v>
      </c>
      <c r="K274" s="25">
        <v>-9999</v>
      </c>
      <c r="L274" s="25">
        <v>-9999</v>
      </c>
      <c r="M274" s="25">
        <v>-9999</v>
      </c>
      <c r="N274" s="25">
        <v>-9999</v>
      </c>
      <c r="O274" s="25">
        <v>-9999</v>
      </c>
      <c r="P274" s="26"/>
      <c r="Q274"/>
      <c r="AA274" s="22">
        <v>174</v>
      </c>
      <c r="AB274" s="1040" t="str">
        <f t="shared" si="31"/>
        <v>HICP Y INDEX PROCESSED FOOD INCL. ALCOHOL AND TOBACCO</v>
      </c>
      <c r="AC274" s="1040">
        <f>CHOOSE(Tables!$U$2,Transfer!CA274,Transfer!CN274,Transfer!DA274,Transfer!DN274,Transfer!EA274)</f>
        <v>156.78166580200195</v>
      </c>
      <c r="AD274" s="1040">
        <f>CHOOSE(Tables!$U$2,Transfer!CB274,Transfer!CO274,Transfer!DB274,Transfer!DO274,Transfer!EB274)</f>
        <v>161.76833343505859</v>
      </c>
      <c r="AE274" s="1040">
        <f>CHOOSE(Tables!$U$2,Transfer!CC274,Transfer!CP274,Transfer!DC274,Transfer!DP274,Transfer!EC274)</f>
        <v>164.36759240193879</v>
      </c>
      <c r="AF274" s="1040">
        <f>CHOOSE(Tables!$U$2,Transfer!CD274,Transfer!CQ274,Transfer!DD274,Transfer!DQ274,Transfer!ED274)</f>
        <v>168.59534055125749</v>
      </c>
      <c r="AG274" s="1040">
        <f>CHOOSE(Tables!$U$2,Transfer!CE274,Transfer!CR274,Transfer!DE274,Transfer!DR274,Transfer!EE274)</f>
        <v>171.46033568658265</v>
      </c>
      <c r="AH274" s="1040">
        <f>CHOOSE(Tables!$U$2,Transfer!CF274,Transfer!CS274,Transfer!DF274,Transfer!DS274,Transfer!EF274)</f>
        <v>-9999</v>
      </c>
      <c r="AI274" s="1040">
        <f>CHOOSE(Tables!$U$2,Transfer!CG274,Transfer!CT274,Transfer!DG274,Transfer!DT274,Transfer!EG274)</f>
        <v>-9999</v>
      </c>
      <c r="AJ274" s="1040">
        <f>CHOOSE(Tables!$U$2,Transfer!CH274,Transfer!CU274,Transfer!DH274,Transfer!DU274,Transfer!EH274)</f>
        <v>-9999</v>
      </c>
      <c r="AK274" s="1040">
        <f>CHOOSE(Tables!$U$2,Transfer!CI274,Transfer!CV274,Transfer!DI274,Transfer!DV274,Transfer!EI274)</f>
        <v>-9999</v>
      </c>
      <c r="AL274" s="1040">
        <f>CHOOSE(Tables!$U$2,Transfer!CJ274,Transfer!CW274,Transfer!DJ274,Transfer!DW274,Transfer!EJ274)</f>
        <v>-9999</v>
      </c>
      <c r="AM274" s="1040">
        <f>CHOOSE(Tables!$U$2,Transfer!CK274,Transfer!CX274,Transfer!DK274,Transfer!DX274,Transfer!EK274)</f>
        <v>-9999</v>
      </c>
      <c r="AN274" s="1040">
        <f>CHOOSE(Tables!$U$2,Transfer!CL274,Transfer!CY274,Transfer!DL274,Transfer!DY274,Transfer!EL274)</f>
        <v>-9999</v>
      </c>
      <c r="AO274" s="1040">
        <f>CHOOSE(Tables!$U$2,Transfer!CM274,Transfer!CZ274,Transfer!DM274,Transfer!DZ274,Transfer!EM274)</f>
        <v>-9999</v>
      </c>
      <c r="AR274" s="22">
        <v>174</v>
      </c>
      <c r="AS274" s="30" t="s">
        <v>1705</v>
      </c>
      <c r="AT274" s="25">
        <f t="shared" ca="1" si="43"/>
        <v>-56.781665802001953</v>
      </c>
      <c r="AU274" s="25">
        <f t="shared" ca="1" si="43"/>
        <v>-59.539166768391908</v>
      </c>
      <c r="AV274" s="25">
        <f t="shared" ca="1" si="43"/>
        <v>-54.8600924019388</v>
      </c>
      <c r="AW274" s="25">
        <f t="shared" ca="1" si="42"/>
        <v>-55.141483317992524</v>
      </c>
      <c r="AX274" s="25">
        <f t="shared" ca="1" si="42"/>
        <v>-54.55653626154016</v>
      </c>
      <c r="AY274" s="25">
        <f t="shared" si="42"/>
        <v>0</v>
      </c>
      <c r="AZ274" s="25">
        <f t="shared" si="42"/>
        <v>0</v>
      </c>
      <c r="BA274" s="25">
        <f t="shared" si="42"/>
        <v>0</v>
      </c>
      <c r="BB274" s="25">
        <f t="shared" si="42"/>
        <v>0</v>
      </c>
      <c r="BC274" s="25">
        <f t="shared" si="42"/>
        <v>0</v>
      </c>
      <c r="BD274" s="25">
        <f t="shared" si="42"/>
        <v>0</v>
      </c>
      <c r="BE274" s="25">
        <f t="shared" si="42"/>
        <v>0</v>
      </c>
      <c r="BF274" s="25">
        <f t="shared" si="42"/>
        <v>0</v>
      </c>
      <c r="CA274" s="16">
        <v>163.99583333333334</v>
      </c>
      <c r="CB274" s="16">
        <v>167.54250000000002</v>
      </c>
      <c r="CC274" s="16">
        <v>166.80108941666668</v>
      </c>
      <c r="CD274" s="16">
        <v>166.96653659275</v>
      </c>
      <c r="CE274" s="16">
        <v>167.67631045404707</v>
      </c>
      <c r="CF274" s="16">
        <v>-9999</v>
      </c>
      <c r="CG274" s="16">
        <v>-9999</v>
      </c>
      <c r="CH274" s="16">
        <v>-9999</v>
      </c>
      <c r="CI274" s="16">
        <v>-9999</v>
      </c>
      <c r="CJ274" s="16">
        <v>-9999</v>
      </c>
      <c r="CK274" s="16">
        <v>-9999</v>
      </c>
      <c r="CL274" s="16">
        <v>-9999</v>
      </c>
      <c r="CM274" s="16">
        <v>-9999</v>
      </c>
      <c r="CN274" s="16">
        <v>161.76833333333332</v>
      </c>
      <c r="CO274" s="16">
        <v>163.99583333333334</v>
      </c>
      <c r="CP274" s="16">
        <v>167.54250000000002</v>
      </c>
      <c r="CQ274" s="16">
        <v>170.19900734411246</v>
      </c>
      <c r="CR274" s="16">
        <v>173.77756216685631</v>
      </c>
      <c r="CS274" s="16">
        <v>-9999</v>
      </c>
      <c r="CT274" s="16">
        <v>-9999</v>
      </c>
      <c r="CU274" s="16">
        <v>-9999</v>
      </c>
      <c r="CV274" s="16">
        <v>-9999</v>
      </c>
      <c r="CW274" s="16">
        <v>-9999</v>
      </c>
      <c r="CX274" s="16">
        <v>-9999</v>
      </c>
      <c r="CY274" s="16">
        <v>-9999</v>
      </c>
      <c r="CZ274" s="16">
        <v>-9999</v>
      </c>
      <c r="DA274" s="16">
        <v>163.99583333333334</v>
      </c>
      <c r="DB274" s="16">
        <v>167.54250000000002</v>
      </c>
      <c r="DC274" s="16">
        <v>168.83407647855191</v>
      </c>
      <c r="DD274" s="16">
        <v>170.56441506116181</v>
      </c>
      <c r="DE274" s="16">
        <v>170.41947134722861</v>
      </c>
      <c r="DF274" s="16">
        <v>-9999</v>
      </c>
      <c r="DG274" s="16">
        <v>-9999</v>
      </c>
      <c r="DH274" s="16">
        <v>-9999</v>
      </c>
      <c r="DI274" s="16">
        <v>-9999</v>
      </c>
      <c r="DJ274" s="16">
        <v>-9999</v>
      </c>
      <c r="DK274" s="16">
        <v>-9999</v>
      </c>
      <c r="DL274" s="16">
        <v>-9999</v>
      </c>
      <c r="DM274" s="16">
        <v>-9999</v>
      </c>
      <c r="DN274" s="16">
        <v>161.76833333333332</v>
      </c>
      <c r="DO274" s="16">
        <v>163.99583333333334</v>
      </c>
      <c r="DP274" s="16">
        <v>167.54250000000002</v>
      </c>
      <c r="DQ274" s="16">
        <v>168.88719455790272</v>
      </c>
      <c r="DR274" s="16">
        <v>170.21943191996658</v>
      </c>
      <c r="DS274" s="16">
        <v>-9999</v>
      </c>
      <c r="DT274" s="16">
        <v>-9999</v>
      </c>
      <c r="DU274" s="16">
        <v>-9999</v>
      </c>
      <c r="DV274" s="16">
        <v>-9999</v>
      </c>
      <c r="DW274" s="16">
        <v>-9999</v>
      </c>
      <c r="DX274" s="16">
        <v>-9999</v>
      </c>
      <c r="DY274" s="16">
        <v>-9999</v>
      </c>
      <c r="DZ274" s="16">
        <v>-9999</v>
      </c>
      <c r="EA274" s="2197">
        <v>156.78166580200195</v>
      </c>
      <c r="EB274" s="2197">
        <v>161.76833343505859</v>
      </c>
      <c r="EC274" s="2197">
        <v>164.36759240193879</v>
      </c>
      <c r="ED274" s="2197">
        <v>168.59534055125749</v>
      </c>
      <c r="EE274" s="2197">
        <v>171.46033568658265</v>
      </c>
      <c r="EF274" s="2197">
        <v>-9999</v>
      </c>
      <c r="EG274" s="2197">
        <v>-9999</v>
      </c>
      <c r="EH274" s="2197">
        <v>-9999</v>
      </c>
      <c r="EI274" s="2197">
        <v>-9999</v>
      </c>
      <c r="EJ274" s="2197">
        <v>-9999</v>
      </c>
      <c r="EK274" s="2197">
        <v>-9999</v>
      </c>
      <c r="EL274" s="2197">
        <v>-9999</v>
      </c>
      <c r="EM274" s="2197">
        <v>-9999</v>
      </c>
    </row>
    <row r="275" spans="1:144">
      <c r="A275" s="22">
        <v>175</v>
      </c>
      <c r="B275" s="33" t="s">
        <v>356</v>
      </c>
      <c r="C275" s="24">
        <f ca="1">OFFSET('VVP2'!F380,0,Last_forecast_year - 3-InputY!$G$3)</f>
        <v>100.00083333333333</v>
      </c>
      <c r="D275" s="24">
        <f ca="1">OFFSET('VVP2'!G380,0,Last_forecast_year - 3-InputY!$G$3)</f>
        <v>101.51583333333333</v>
      </c>
      <c r="E275" s="24">
        <f ca="1">OFFSET('VVP2'!H380,0,Last_forecast_year - 3-InputY!$G$3)</f>
        <v>103.17833333333333</v>
      </c>
      <c r="F275" s="24">
        <f ca="1">OFFSET('VVP2'!I380,0,Last_forecast_year - 3-InputY!$G$3)</f>
        <v>103.72429535838776</v>
      </c>
      <c r="G275" s="24">
        <f ca="1">OFFSET('VVP2'!J380,0,Last_forecast_year - 3-InputY!$G$3)</f>
        <v>104.64775631611455</v>
      </c>
      <c r="H275" s="25">
        <v>-9999</v>
      </c>
      <c r="I275" s="25">
        <v>-9999</v>
      </c>
      <c r="J275" s="25">
        <v>-9999</v>
      </c>
      <c r="K275" s="25">
        <v>-9999</v>
      </c>
      <c r="L275" s="25">
        <v>-9999</v>
      </c>
      <c r="M275" s="25">
        <v>-9999</v>
      </c>
      <c r="N275" s="25">
        <v>-9999</v>
      </c>
      <c r="O275" s="25">
        <v>-9999</v>
      </c>
      <c r="P275" s="26"/>
      <c r="Q275"/>
      <c r="AA275" s="22">
        <v>175</v>
      </c>
      <c r="AB275" s="1040" t="str">
        <f t="shared" si="31"/>
        <v>HICP Y INDEX UNPROCESSED FOOD</v>
      </c>
      <c r="AC275" s="1040">
        <f>CHOOSE(Tables!$U$2,Transfer!CA275,Transfer!CN275,Transfer!DA275,Transfer!DN275,Transfer!EA275)</f>
        <v>143.10916137695312</v>
      </c>
      <c r="AD275" s="1040">
        <f>CHOOSE(Tables!$U$2,Transfer!CB275,Transfer!CO275,Transfer!DB275,Transfer!DO275,Transfer!EB275)</f>
        <v>147.77083587646484</v>
      </c>
      <c r="AE275" s="1040">
        <f>CHOOSE(Tables!$U$2,Transfer!CC275,Transfer!CP275,Transfer!DC275,Transfer!DP275,Transfer!EC275)</f>
        <v>151.95274841883904</v>
      </c>
      <c r="AF275" s="1040">
        <f>CHOOSE(Tables!$U$2,Transfer!CD275,Transfer!CQ275,Transfer!DD275,Transfer!DQ275,Transfer!ED275)</f>
        <v>154.24271033505283</v>
      </c>
      <c r="AG275" s="1040">
        <f>CHOOSE(Tables!$U$2,Transfer!CE275,Transfer!CR275,Transfer!DE275,Transfer!DR275,Transfer!EE275)</f>
        <v>157.47716814499955</v>
      </c>
      <c r="AH275" s="1040">
        <f>CHOOSE(Tables!$U$2,Transfer!CF275,Transfer!CS275,Transfer!DF275,Transfer!DS275,Transfer!EF275)</f>
        <v>-9999</v>
      </c>
      <c r="AI275" s="1040">
        <f>CHOOSE(Tables!$U$2,Transfer!CG275,Transfer!CT275,Transfer!DG275,Transfer!DT275,Transfer!EG275)</f>
        <v>-9999</v>
      </c>
      <c r="AJ275" s="1040">
        <f>CHOOSE(Tables!$U$2,Transfer!CH275,Transfer!CU275,Transfer!DH275,Transfer!DU275,Transfer!EH275)</f>
        <v>-9999</v>
      </c>
      <c r="AK275" s="1040">
        <f>CHOOSE(Tables!$U$2,Transfer!CI275,Transfer!CV275,Transfer!DI275,Transfer!DV275,Transfer!EI275)</f>
        <v>-9999</v>
      </c>
      <c r="AL275" s="1040">
        <f>CHOOSE(Tables!$U$2,Transfer!CJ275,Transfer!CW275,Transfer!DJ275,Transfer!DW275,Transfer!EJ275)</f>
        <v>-9999</v>
      </c>
      <c r="AM275" s="1040">
        <f>CHOOSE(Tables!$U$2,Transfer!CK275,Transfer!CX275,Transfer!DK275,Transfer!DX275,Transfer!EK275)</f>
        <v>-9999</v>
      </c>
      <c r="AN275" s="1040">
        <f>CHOOSE(Tables!$U$2,Transfer!CL275,Transfer!CY275,Transfer!DL275,Transfer!DY275,Transfer!EL275)</f>
        <v>-9999</v>
      </c>
      <c r="AO275" s="1040">
        <f>CHOOSE(Tables!$U$2,Transfer!CM275,Transfer!CZ275,Transfer!DM275,Transfer!DZ275,Transfer!EM275)</f>
        <v>-9999</v>
      </c>
      <c r="AR275" s="22">
        <v>175</v>
      </c>
      <c r="AS275" s="30" t="s">
        <v>1705</v>
      </c>
      <c r="AT275" s="25">
        <f t="shared" ca="1" si="43"/>
        <v>-43.108328043619792</v>
      </c>
      <c r="AU275" s="25">
        <f t="shared" ca="1" si="43"/>
        <v>-46.255002543131511</v>
      </c>
      <c r="AV275" s="25">
        <f t="shared" ca="1" si="43"/>
        <v>-48.774415085505709</v>
      </c>
      <c r="AW275" s="25">
        <f t="shared" ca="1" si="42"/>
        <v>-50.518414976665071</v>
      </c>
      <c r="AX275" s="25">
        <f t="shared" ca="1" si="42"/>
        <v>-52.829411828885</v>
      </c>
      <c r="AY275" s="25">
        <f t="shared" si="42"/>
        <v>0</v>
      </c>
      <c r="AZ275" s="25">
        <f t="shared" si="42"/>
        <v>0</v>
      </c>
      <c r="BA275" s="25">
        <f t="shared" si="42"/>
        <v>0</v>
      </c>
      <c r="BB275" s="25">
        <f t="shared" si="42"/>
        <v>0</v>
      </c>
      <c r="BC275" s="25">
        <f t="shared" si="42"/>
        <v>0</v>
      </c>
      <c r="BD275" s="25">
        <f t="shared" si="42"/>
        <v>0</v>
      </c>
      <c r="BE275" s="25">
        <f t="shared" si="42"/>
        <v>0</v>
      </c>
      <c r="BF275" s="25">
        <f t="shared" si="42"/>
        <v>0</v>
      </c>
      <c r="CA275" s="16">
        <v>152.45749999999998</v>
      </c>
      <c r="CB275" s="16">
        <v>152.94333333333333</v>
      </c>
      <c r="CC275" s="16">
        <v>152.18281066666665</v>
      </c>
      <c r="CD275" s="16">
        <v>153.32064422633334</v>
      </c>
      <c r="CE275" s="16">
        <v>155.38919679966864</v>
      </c>
      <c r="CF275" s="16">
        <v>-9999</v>
      </c>
      <c r="CG275" s="16">
        <v>-9999</v>
      </c>
      <c r="CH275" s="16">
        <v>-9999</v>
      </c>
      <c r="CI275" s="16">
        <v>-9999</v>
      </c>
      <c r="CJ275" s="16">
        <v>-9999</v>
      </c>
      <c r="CK275" s="16">
        <v>-9999</v>
      </c>
      <c r="CL275" s="16">
        <v>-9999</v>
      </c>
      <c r="CM275" s="16">
        <v>-9999</v>
      </c>
      <c r="CN275" s="16">
        <v>147.77083333333334</v>
      </c>
      <c r="CO275" s="16">
        <v>152.45749999999998</v>
      </c>
      <c r="CP275" s="16">
        <v>152.94333333333333</v>
      </c>
      <c r="CQ275" s="16">
        <v>151.96036768719051</v>
      </c>
      <c r="CR275" s="16">
        <v>155.66909259367588</v>
      </c>
      <c r="CS275" s="16">
        <v>-9999</v>
      </c>
      <c r="CT275" s="16">
        <v>-9999</v>
      </c>
      <c r="CU275" s="16">
        <v>-9999</v>
      </c>
      <c r="CV275" s="16">
        <v>-9999</v>
      </c>
      <c r="CW275" s="16">
        <v>-9999</v>
      </c>
      <c r="CX275" s="16">
        <v>-9999</v>
      </c>
      <c r="CY275" s="16">
        <v>-9999</v>
      </c>
      <c r="CZ275" s="16">
        <v>-9999</v>
      </c>
      <c r="DA275" s="16">
        <v>152.45749999999998</v>
      </c>
      <c r="DB275" s="16">
        <v>152.94333333333333</v>
      </c>
      <c r="DC275" s="16">
        <v>153.06606193775042</v>
      </c>
      <c r="DD275" s="16">
        <v>155.74136698980939</v>
      </c>
      <c r="DE275" s="16">
        <v>159.1368625424638</v>
      </c>
      <c r="DF275" s="16">
        <v>-9999</v>
      </c>
      <c r="DG275" s="16">
        <v>-9999</v>
      </c>
      <c r="DH275" s="16">
        <v>-9999</v>
      </c>
      <c r="DI275" s="16">
        <v>-9999</v>
      </c>
      <c r="DJ275" s="16">
        <v>-9999</v>
      </c>
      <c r="DK275" s="16">
        <v>-9999</v>
      </c>
      <c r="DL275" s="16">
        <v>-9999</v>
      </c>
      <c r="DM275" s="16">
        <v>-9999</v>
      </c>
      <c r="DN275" s="16">
        <v>147.77083333333334</v>
      </c>
      <c r="DO275" s="16">
        <v>152.45749999999998</v>
      </c>
      <c r="DP275" s="16">
        <v>152.94333333333333</v>
      </c>
      <c r="DQ275" s="16">
        <v>153.87399856683032</v>
      </c>
      <c r="DR275" s="16">
        <v>157.28901002721648</v>
      </c>
      <c r="DS275" s="16">
        <v>-9999</v>
      </c>
      <c r="DT275" s="16">
        <v>-9999</v>
      </c>
      <c r="DU275" s="16">
        <v>-9999</v>
      </c>
      <c r="DV275" s="16">
        <v>-9999</v>
      </c>
      <c r="DW275" s="16">
        <v>-9999</v>
      </c>
      <c r="DX275" s="16">
        <v>-9999</v>
      </c>
      <c r="DY275" s="16">
        <v>-9999</v>
      </c>
      <c r="DZ275" s="16">
        <v>-9999</v>
      </c>
      <c r="EA275" s="2197">
        <v>143.10916137695312</v>
      </c>
      <c r="EB275" s="2197">
        <v>147.77083587646484</v>
      </c>
      <c r="EC275" s="2197">
        <v>151.95274841883904</v>
      </c>
      <c r="ED275" s="2197">
        <v>154.24271033505283</v>
      </c>
      <c r="EE275" s="2197">
        <v>157.47716814499955</v>
      </c>
      <c r="EF275" s="2197">
        <v>-9999</v>
      </c>
      <c r="EG275" s="2197">
        <v>-9999</v>
      </c>
      <c r="EH275" s="2197">
        <v>-9999</v>
      </c>
      <c r="EI275" s="2197">
        <v>-9999</v>
      </c>
      <c r="EJ275" s="2197">
        <v>-9999</v>
      </c>
      <c r="EK275" s="2197">
        <v>-9999</v>
      </c>
      <c r="EL275" s="2197">
        <v>-9999</v>
      </c>
      <c r="EM275" s="2197">
        <v>-9999</v>
      </c>
    </row>
    <row r="276" spans="1:144">
      <c r="A276" s="22">
        <v>176</v>
      </c>
      <c r="B276" s="33" t="s">
        <v>357</v>
      </c>
      <c r="C276" s="24">
        <f ca="1">OFFSET('VVP2'!F382,0,Last_forecast_year - 3-InputY!$G$3)</f>
        <v>100.00166666666665</v>
      </c>
      <c r="D276" s="24">
        <f ca="1">OFFSET('VVP2'!G382,0,Last_forecast_year - 3-InputY!$G$3)</f>
        <v>103.155</v>
      </c>
      <c r="E276" s="24">
        <f ca="1">OFFSET('VVP2'!H382,0,Last_forecast_year - 3-InputY!$G$3)</f>
        <v>108.35250000000001</v>
      </c>
      <c r="F276" s="24">
        <f ca="1">OFFSET('VVP2'!I382,0,Last_forecast_year - 3-InputY!$G$3)</f>
        <v>112.7976710636909</v>
      </c>
      <c r="G276" s="24">
        <f ca="1">OFFSET('VVP2'!J382,0,Last_forecast_year - 3-InputY!$G$3)</f>
        <v>117.73308146752153</v>
      </c>
      <c r="H276" s="25">
        <v>-9999</v>
      </c>
      <c r="I276" s="25">
        <v>-9999</v>
      </c>
      <c r="J276" s="25">
        <v>-9999</v>
      </c>
      <c r="K276" s="25">
        <v>-9999</v>
      </c>
      <c r="L276" s="25">
        <v>-9999</v>
      </c>
      <c r="M276" s="25">
        <v>-9999</v>
      </c>
      <c r="N276" s="25">
        <v>-9999</v>
      </c>
      <c r="O276" s="25">
        <v>-9999</v>
      </c>
      <c r="P276" s="26"/>
      <c r="Q276"/>
      <c r="AA276" s="22">
        <v>176</v>
      </c>
      <c r="AB276" s="1040" t="str">
        <f t="shared" si="31"/>
        <v>HICP Y INDEX SERVICES</v>
      </c>
      <c r="AC276" s="1040">
        <f>CHOOSE(Tables!$U$2,Transfer!CA276,Transfer!CN276,Transfer!DA276,Transfer!DN276,Transfer!EA276)</f>
        <v>132.47583770751953</v>
      </c>
      <c r="AD276" s="1040">
        <f>CHOOSE(Tables!$U$2,Transfer!CB276,Transfer!CO276,Transfer!DB276,Transfer!DO276,Transfer!EB276)</f>
        <v>136.30583190917969</v>
      </c>
      <c r="AE276" s="1040">
        <f>CHOOSE(Tables!$U$2,Transfer!CC276,Transfer!CP276,Transfer!DC276,Transfer!DP276,Transfer!EC276)</f>
        <v>139.70339155965186</v>
      </c>
      <c r="AF276" s="1040">
        <f>CHOOSE(Tables!$U$2,Transfer!CD276,Transfer!CQ276,Transfer!DD276,Transfer!DQ276,Transfer!ED276)</f>
        <v>144.1101923469829</v>
      </c>
      <c r="AG276" s="1040">
        <f>CHOOSE(Tables!$U$2,Transfer!CE276,Transfer!CR276,Transfer!DE276,Transfer!DR276,Transfer!EE276)</f>
        <v>150.25317315042909</v>
      </c>
      <c r="AH276" s="1040">
        <f>CHOOSE(Tables!$U$2,Transfer!CF276,Transfer!CS276,Transfer!DF276,Transfer!DS276,Transfer!EF276)</f>
        <v>-9999</v>
      </c>
      <c r="AI276" s="1040">
        <f>CHOOSE(Tables!$U$2,Transfer!CG276,Transfer!CT276,Transfer!DG276,Transfer!DT276,Transfer!EG276)</f>
        <v>-9999</v>
      </c>
      <c r="AJ276" s="1040">
        <f>CHOOSE(Tables!$U$2,Transfer!CH276,Transfer!CU276,Transfer!DH276,Transfer!DU276,Transfer!EH276)</f>
        <v>-9999</v>
      </c>
      <c r="AK276" s="1040">
        <f>CHOOSE(Tables!$U$2,Transfer!CI276,Transfer!CV276,Transfer!DI276,Transfer!DV276,Transfer!EI276)</f>
        <v>-9999</v>
      </c>
      <c r="AL276" s="1040">
        <f>CHOOSE(Tables!$U$2,Transfer!CJ276,Transfer!CW276,Transfer!DJ276,Transfer!DW276,Transfer!EJ276)</f>
        <v>-9999</v>
      </c>
      <c r="AM276" s="1040">
        <f>CHOOSE(Tables!$U$2,Transfer!CK276,Transfer!CX276,Transfer!DK276,Transfer!DX276,Transfer!EK276)</f>
        <v>-9999</v>
      </c>
      <c r="AN276" s="1040">
        <f>CHOOSE(Tables!$U$2,Transfer!CL276,Transfer!CY276,Transfer!DL276,Transfer!DY276,Transfer!EL276)</f>
        <v>-9999</v>
      </c>
      <c r="AO276" s="1040">
        <f>CHOOSE(Tables!$U$2,Transfer!CM276,Transfer!CZ276,Transfer!DM276,Transfer!DZ276,Transfer!EM276)</f>
        <v>-9999</v>
      </c>
      <c r="AR276" s="22">
        <v>176</v>
      </c>
      <c r="AS276" s="30" t="s">
        <v>1705</v>
      </c>
      <c r="AT276" s="25">
        <f t="shared" ca="1" si="43"/>
        <v>-32.47417104085288</v>
      </c>
      <c r="AU276" s="25">
        <f t="shared" ca="1" si="43"/>
        <v>-33.150831909179686</v>
      </c>
      <c r="AV276" s="25">
        <f t="shared" ca="1" si="43"/>
        <v>-31.350891559651856</v>
      </c>
      <c r="AW276" s="25">
        <f t="shared" ca="1" si="42"/>
        <v>-31.312521283292</v>
      </c>
      <c r="AX276" s="25">
        <f t="shared" ca="1" si="42"/>
        <v>-32.520091682907562</v>
      </c>
      <c r="AY276" s="25">
        <f t="shared" si="42"/>
        <v>0</v>
      </c>
      <c r="AZ276" s="25">
        <f t="shared" si="42"/>
        <v>0</v>
      </c>
      <c r="BA276" s="25">
        <f t="shared" si="42"/>
        <v>0</v>
      </c>
      <c r="BB276" s="25">
        <f t="shared" si="42"/>
        <v>0</v>
      </c>
      <c r="BC276" s="25">
        <f t="shared" si="42"/>
        <v>0</v>
      </c>
      <c r="BD276" s="25">
        <f t="shared" si="42"/>
        <v>0</v>
      </c>
      <c r="BE276" s="25">
        <f t="shared" si="42"/>
        <v>0</v>
      </c>
      <c r="BF276" s="25">
        <f t="shared" si="42"/>
        <v>0</v>
      </c>
      <c r="CA276" s="16">
        <v>138.82666666666668</v>
      </c>
      <c r="CB276" s="16">
        <v>141.05250000000001</v>
      </c>
      <c r="CC276" s="16">
        <v>146.00435108333335</v>
      </c>
      <c r="CD276" s="16">
        <v>152.11960808770834</v>
      </c>
      <c r="CE276" s="16">
        <v>158.54497199784788</v>
      </c>
      <c r="CF276" s="16">
        <v>-9999</v>
      </c>
      <c r="CG276" s="16">
        <v>-9999</v>
      </c>
      <c r="CH276" s="16">
        <v>-9999</v>
      </c>
      <c r="CI276" s="16">
        <v>-9999</v>
      </c>
      <c r="CJ276" s="16">
        <v>-9999</v>
      </c>
      <c r="CK276" s="16">
        <v>-9999</v>
      </c>
      <c r="CL276" s="16">
        <v>-9999</v>
      </c>
      <c r="CM276" s="16">
        <v>-9999</v>
      </c>
      <c r="CN276" s="16">
        <v>136.30583333333334</v>
      </c>
      <c r="CO276" s="16">
        <v>138.82666666666668</v>
      </c>
      <c r="CP276" s="16">
        <v>141.05250000000001</v>
      </c>
      <c r="CQ276" s="16">
        <v>146.14324064107635</v>
      </c>
      <c r="CR276" s="16">
        <v>151.4977808547076</v>
      </c>
      <c r="CS276" s="16">
        <v>-9999</v>
      </c>
      <c r="CT276" s="16">
        <v>-9999</v>
      </c>
      <c r="CU276" s="16">
        <v>-9999</v>
      </c>
      <c r="CV276" s="16">
        <v>-9999</v>
      </c>
      <c r="CW276" s="16">
        <v>-9999</v>
      </c>
      <c r="CX276" s="16">
        <v>-9999</v>
      </c>
      <c r="CY276" s="16">
        <v>-9999</v>
      </c>
      <c r="CZ276" s="16">
        <v>-9999</v>
      </c>
      <c r="DA276" s="16">
        <v>138.82666666666668</v>
      </c>
      <c r="DB276" s="16">
        <v>141.05250000000001</v>
      </c>
      <c r="DC276" s="16">
        <v>145.30834753527796</v>
      </c>
      <c r="DD276" s="16">
        <v>149.90964961482058</v>
      </c>
      <c r="DE276" s="16">
        <v>155.01659594329061</v>
      </c>
      <c r="DF276" s="16">
        <v>-9999</v>
      </c>
      <c r="DG276" s="16">
        <v>-9999</v>
      </c>
      <c r="DH276" s="16">
        <v>-9999</v>
      </c>
      <c r="DI276" s="16">
        <v>-9999</v>
      </c>
      <c r="DJ276" s="16">
        <v>-9999</v>
      </c>
      <c r="DK276" s="16">
        <v>-9999</v>
      </c>
      <c r="DL276" s="16">
        <v>-9999</v>
      </c>
      <c r="DM276" s="16">
        <v>-9999</v>
      </c>
      <c r="DN276" s="16">
        <v>136.30583333333334</v>
      </c>
      <c r="DO276" s="16">
        <v>138.82666666666668</v>
      </c>
      <c r="DP276" s="16">
        <v>141.05250000000001</v>
      </c>
      <c r="DQ276" s="16">
        <v>145.82688936449617</v>
      </c>
      <c r="DR276" s="16">
        <v>150.42817407990984</v>
      </c>
      <c r="DS276" s="16">
        <v>-9999</v>
      </c>
      <c r="DT276" s="16">
        <v>-9999</v>
      </c>
      <c r="DU276" s="16">
        <v>-9999</v>
      </c>
      <c r="DV276" s="16">
        <v>-9999</v>
      </c>
      <c r="DW276" s="16">
        <v>-9999</v>
      </c>
      <c r="DX276" s="16">
        <v>-9999</v>
      </c>
      <c r="DY276" s="16">
        <v>-9999</v>
      </c>
      <c r="DZ276" s="16">
        <v>-9999</v>
      </c>
      <c r="EA276" s="2197">
        <v>132.47583770751953</v>
      </c>
      <c r="EB276" s="2197">
        <v>136.30583190917969</v>
      </c>
      <c r="EC276" s="2197">
        <v>139.70339155965186</v>
      </c>
      <c r="ED276" s="2197">
        <v>144.1101923469829</v>
      </c>
      <c r="EE276" s="2197">
        <v>150.25317315042909</v>
      </c>
      <c r="EF276" s="2197">
        <v>-9999</v>
      </c>
      <c r="EG276" s="2197">
        <v>-9999</v>
      </c>
      <c r="EH276" s="2197">
        <v>-9999</v>
      </c>
      <c r="EI276" s="2197">
        <v>-9999</v>
      </c>
      <c r="EJ276" s="2197">
        <v>-9999</v>
      </c>
      <c r="EK276" s="2197">
        <v>-9999</v>
      </c>
      <c r="EL276" s="2197">
        <v>-9999</v>
      </c>
      <c r="EM276" s="2197">
        <v>-9999</v>
      </c>
    </row>
    <row r="277" spans="1:144">
      <c r="A277" s="22">
        <v>177</v>
      </c>
      <c r="B277" s="33" t="s">
        <v>813</v>
      </c>
      <c r="C277" s="24">
        <f ca="1">OFFSET('VVP2'!F384,0,Last_forecast_year - 3-InputY!$G$3)</f>
        <v>100.01690956701754</v>
      </c>
      <c r="D277" s="24">
        <f ca="1">OFFSET('VVP2'!G384,0,Last_forecast_year - 3-InputY!$G$3)</f>
        <v>101.87689292992803</v>
      </c>
      <c r="E277" s="24">
        <f ca="1">OFFSET('VVP2'!H384,0,Last_forecast_year - 3-InputY!$G$3)</f>
        <v>105.78290553732657</v>
      </c>
      <c r="F277" s="24">
        <f ca="1">OFFSET('VVP2'!I384,0,Last_forecast_year - 3-InputY!$G$3)</f>
        <v>108.56307228509658</v>
      </c>
      <c r="G277" s="24">
        <f ca="1">OFFSET('VVP2'!J384,0,Last_forecast_year - 3-InputY!$G$3)</f>
        <v>111.45986830707687</v>
      </c>
      <c r="H277" s="25">
        <v>-9999</v>
      </c>
      <c r="I277" s="25">
        <v>-9999</v>
      </c>
      <c r="J277" s="25">
        <v>-9999</v>
      </c>
      <c r="K277" s="25">
        <v>-9999</v>
      </c>
      <c r="L277" s="25">
        <v>-9999</v>
      </c>
      <c r="M277" s="25">
        <v>-9999</v>
      </c>
      <c r="N277" s="25">
        <v>-9999</v>
      </c>
      <c r="O277" s="25">
        <v>-9999</v>
      </c>
      <c r="P277" s="26"/>
      <c r="Q277"/>
      <c r="AA277" s="22">
        <v>177</v>
      </c>
      <c r="AB277" s="1040" t="str">
        <f t="shared" si="31"/>
        <v>HICP Y INDEX EXCL. ENERGY AND UNPROCESSED FOOD</v>
      </c>
      <c r="AC277" s="1040">
        <f>CHOOSE(Tables!$U$2,Transfer!CA277,Transfer!CN277,Transfer!DA277,Transfer!DN277,Transfer!EA277)</f>
        <v>124.89373823938112</v>
      </c>
      <c r="AD277" s="1040">
        <f>CHOOSE(Tables!$U$2,Transfer!CB277,Transfer!CO277,Transfer!DB277,Transfer!DO277,Transfer!EB277)</f>
        <v>127.8796032198677</v>
      </c>
      <c r="AE277" s="1040">
        <f>CHOOSE(Tables!$U$2,Transfer!CC277,Transfer!CP277,Transfer!DC277,Transfer!DP277,Transfer!EC277)</f>
        <v>130.03050969763473</v>
      </c>
      <c r="AF277" s="1040">
        <f>CHOOSE(Tables!$U$2,Transfer!CD277,Transfer!CQ277,Transfer!DD277,Transfer!DQ277,Transfer!ED277)</f>
        <v>133.00227072781078</v>
      </c>
      <c r="AG277" s="1040">
        <f>CHOOSE(Tables!$U$2,Transfer!CE277,Transfer!CR277,Transfer!DE277,Transfer!DR277,Transfer!EE277)</f>
        <v>136.09427969328706</v>
      </c>
      <c r="AH277" s="1040">
        <f>CHOOSE(Tables!$U$2,Transfer!CF277,Transfer!CS277,Transfer!DF277,Transfer!DS277,Transfer!EF277)</f>
        <v>-9999</v>
      </c>
      <c r="AI277" s="1040">
        <f>CHOOSE(Tables!$U$2,Transfer!CG277,Transfer!CT277,Transfer!DG277,Transfer!DT277,Transfer!EG277)</f>
        <v>-9999</v>
      </c>
      <c r="AJ277" s="1040">
        <f>CHOOSE(Tables!$U$2,Transfer!CH277,Transfer!CU277,Transfer!DH277,Transfer!DU277,Transfer!EH277)</f>
        <v>-9999</v>
      </c>
      <c r="AK277" s="1040">
        <f>CHOOSE(Tables!$U$2,Transfer!CI277,Transfer!CV277,Transfer!DI277,Transfer!DV277,Transfer!EI277)</f>
        <v>-9999</v>
      </c>
      <c r="AL277" s="1040">
        <f>CHOOSE(Tables!$U$2,Transfer!CJ277,Transfer!CW277,Transfer!DJ277,Transfer!DW277,Transfer!EJ277)</f>
        <v>-9999</v>
      </c>
      <c r="AM277" s="1040">
        <f>CHOOSE(Tables!$U$2,Transfer!CK277,Transfer!CX277,Transfer!DK277,Transfer!DX277,Transfer!EK277)</f>
        <v>-9999</v>
      </c>
      <c r="AN277" s="1040">
        <f>CHOOSE(Tables!$U$2,Transfer!CL277,Transfer!CY277,Transfer!DL277,Transfer!DY277,Transfer!EL277)</f>
        <v>-9999</v>
      </c>
      <c r="AO277" s="1040">
        <f>CHOOSE(Tables!$U$2,Transfer!CM277,Transfer!CZ277,Transfer!DM277,Transfer!DZ277,Transfer!EM277)</f>
        <v>-9999</v>
      </c>
      <c r="AR277" s="22">
        <v>177</v>
      </c>
      <c r="AS277" s="30" t="s">
        <v>1705</v>
      </c>
      <c r="AT277" s="25">
        <f t="shared" ca="1" si="43"/>
        <v>-24.876828672363587</v>
      </c>
      <c r="AU277" s="25">
        <f t="shared" ca="1" si="43"/>
        <v>-26.002710289939671</v>
      </c>
      <c r="AV277" s="25">
        <f t="shared" ca="1" si="43"/>
        <v>-24.247604160308157</v>
      </c>
      <c r="AW277" s="25">
        <f t="shared" ca="1" si="42"/>
        <v>-24.439198442714201</v>
      </c>
      <c r="AX277" s="25">
        <f t="shared" ca="1" si="42"/>
        <v>-24.634411386210189</v>
      </c>
      <c r="AY277" s="25">
        <f t="shared" si="42"/>
        <v>0</v>
      </c>
      <c r="AZ277" s="25">
        <f t="shared" si="42"/>
        <v>0</v>
      </c>
      <c r="BA277" s="25">
        <f t="shared" si="42"/>
        <v>0</v>
      </c>
      <c r="BB277" s="25">
        <f t="shared" si="42"/>
        <v>0</v>
      </c>
      <c r="BC277" s="25">
        <f t="shared" si="42"/>
        <v>0</v>
      </c>
      <c r="BD277" s="25">
        <f t="shared" si="42"/>
        <v>0</v>
      </c>
      <c r="BE277" s="25">
        <f t="shared" si="42"/>
        <v>0</v>
      </c>
      <c r="BF277" s="25">
        <f t="shared" si="42"/>
        <v>0</v>
      </c>
      <c r="CA277" s="16">
        <v>129.67685676610421</v>
      </c>
      <c r="CB277" s="16">
        <v>131.1112240244295</v>
      </c>
      <c r="CC277" s="16">
        <v>132.46163914741186</v>
      </c>
      <c r="CD277" s="16">
        <v>134.54693585547386</v>
      </c>
      <c r="CE277" s="16">
        <v>136.69095035125571</v>
      </c>
      <c r="CF277" s="16">
        <v>-9999</v>
      </c>
      <c r="CG277" s="16">
        <v>-9999</v>
      </c>
      <c r="CH277" s="16">
        <v>-9999</v>
      </c>
      <c r="CI277" s="16">
        <v>-9999</v>
      </c>
      <c r="CJ277" s="16">
        <v>-9999</v>
      </c>
      <c r="CK277" s="16">
        <v>-9999</v>
      </c>
      <c r="CL277" s="16">
        <v>-9999</v>
      </c>
      <c r="CM277" s="16">
        <v>-9999</v>
      </c>
      <c r="CN277" s="16">
        <v>127.87960195353463</v>
      </c>
      <c r="CO277" s="16">
        <v>129.67685676610421</v>
      </c>
      <c r="CP277" s="16">
        <v>131.1112240244295</v>
      </c>
      <c r="CQ277" s="16">
        <v>133.35777717474434</v>
      </c>
      <c r="CR277" s="16">
        <v>135.78491582504188</v>
      </c>
      <c r="CS277" s="16">
        <v>-9999</v>
      </c>
      <c r="CT277" s="16">
        <v>-9999</v>
      </c>
      <c r="CU277" s="16">
        <v>-9999</v>
      </c>
      <c r="CV277" s="16">
        <v>-9999</v>
      </c>
      <c r="CW277" s="16">
        <v>-9999</v>
      </c>
      <c r="CX277" s="16">
        <v>-9999</v>
      </c>
      <c r="CY277" s="16">
        <v>-9999</v>
      </c>
      <c r="CZ277" s="16">
        <v>-9999</v>
      </c>
      <c r="DA277" s="16">
        <v>129.67685676610421</v>
      </c>
      <c r="DB277" s="16">
        <v>131.1112240244295</v>
      </c>
      <c r="DC277" s="16">
        <v>133.01097910408498</v>
      </c>
      <c r="DD277" s="16">
        <v>135.40865840992927</v>
      </c>
      <c r="DE277" s="16">
        <v>138.335517498397</v>
      </c>
      <c r="DF277" s="16">
        <v>-9999</v>
      </c>
      <c r="DG277" s="16">
        <v>-9999</v>
      </c>
      <c r="DH277" s="16">
        <v>-9999</v>
      </c>
      <c r="DI277" s="16">
        <v>-9999</v>
      </c>
      <c r="DJ277" s="16">
        <v>-9999</v>
      </c>
      <c r="DK277" s="16">
        <v>-9999</v>
      </c>
      <c r="DL277" s="16">
        <v>-9999</v>
      </c>
      <c r="DM277" s="16">
        <v>-9999</v>
      </c>
      <c r="DN277" s="16">
        <v>127.87960195353463</v>
      </c>
      <c r="DO277" s="16">
        <v>129.67685676610421</v>
      </c>
      <c r="DP277" s="16">
        <v>131.1112240244295</v>
      </c>
      <c r="DQ277" s="16">
        <v>133.19224600865513</v>
      </c>
      <c r="DR277" s="16">
        <v>135.62350635133413</v>
      </c>
      <c r="DS277" s="16">
        <v>-9999</v>
      </c>
      <c r="DT277" s="16">
        <v>-9999</v>
      </c>
      <c r="DU277" s="16">
        <v>-9999</v>
      </c>
      <c r="DV277" s="16">
        <v>-9999</v>
      </c>
      <c r="DW277" s="16">
        <v>-9999</v>
      </c>
      <c r="DX277" s="16">
        <v>-9999</v>
      </c>
      <c r="DY277" s="16">
        <v>-9999</v>
      </c>
      <c r="DZ277" s="16">
        <v>-9999</v>
      </c>
      <c r="EA277" s="2197">
        <v>124.89373823938112</v>
      </c>
      <c r="EB277" s="2197">
        <v>127.8796032198677</v>
      </c>
      <c r="EC277" s="2197">
        <v>130.03050969763473</v>
      </c>
      <c r="ED277" s="2197">
        <v>133.00227072781078</v>
      </c>
      <c r="EE277" s="2197">
        <v>136.09427969328706</v>
      </c>
      <c r="EF277" s="2197">
        <v>-9999</v>
      </c>
      <c r="EG277" s="2197">
        <v>-9999</v>
      </c>
      <c r="EH277" s="2197">
        <v>-9999</v>
      </c>
      <c r="EI277" s="2197">
        <v>-9999</v>
      </c>
      <c r="EJ277" s="2197">
        <v>-9999</v>
      </c>
      <c r="EK277" s="2197">
        <v>-9999</v>
      </c>
      <c r="EL277" s="2197">
        <v>-9999</v>
      </c>
      <c r="EM277" s="2197">
        <v>-9999</v>
      </c>
    </row>
    <row r="278" spans="1:144">
      <c r="A278" s="22">
        <v>178</v>
      </c>
      <c r="B278" s="30" t="s">
        <v>1705</v>
      </c>
      <c r="C278" s="25">
        <v>-9999</v>
      </c>
      <c r="D278" s="25">
        <v>-9999</v>
      </c>
      <c r="E278" s="25">
        <v>-9999</v>
      </c>
      <c r="F278" s="25">
        <v>-9999</v>
      </c>
      <c r="G278" s="25">
        <v>-9999</v>
      </c>
      <c r="H278" s="25">
        <v>-9999</v>
      </c>
      <c r="I278" s="25">
        <v>-9999</v>
      </c>
      <c r="J278" s="25">
        <v>-9999</v>
      </c>
      <c r="K278" s="25">
        <v>-9999</v>
      </c>
      <c r="L278" s="25">
        <v>-9999</v>
      </c>
      <c r="M278" s="25">
        <v>-9999</v>
      </c>
      <c r="N278" s="25">
        <v>-9999</v>
      </c>
      <c r="O278" s="25">
        <v>-9999</v>
      </c>
      <c r="P278" s="26"/>
      <c r="Q278"/>
      <c r="AA278" s="22">
        <v>178</v>
      </c>
      <c r="AB278" s="1040" t="str">
        <f t="shared" si="31"/>
        <v>FOR FUTURE USE</v>
      </c>
      <c r="AC278" s="1040">
        <f>CHOOSE(Tables!$U$2,Transfer!CA278,Transfer!CN278,Transfer!DA278,Transfer!DN278,Transfer!EA278)</f>
        <v>-9999</v>
      </c>
      <c r="AD278" s="1040">
        <f>CHOOSE(Tables!$U$2,Transfer!CB278,Transfer!CO278,Transfer!DB278,Transfer!DO278,Transfer!EB278)</f>
        <v>-9999</v>
      </c>
      <c r="AE278" s="1040">
        <f>CHOOSE(Tables!$U$2,Transfer!CC278,Transfer!CP278,Transfer!DC278,Transfer!DP278,Transfer!EC278)</f>
        <v>-9999</v>
      </c>
      <c r="AF278" s="1040">
        <f>CHOOSE(Tables!$U$2,Transfer!CD278,Transfer!CQ278,Transfer!DD278,Transfer!DQ278,Transfer!ED278)</f>
        <v>-9999</v>
      </c>
      <c r="AG278" s="1040">
        <f>CHOOSE(Tables!$U$2,Transfer!CE278,Transfer!CR278,Transfer!DE278,Transfer!DR278,Transfer!EE278)</f>
        <v>-9999</v>
      </c>
      <c r="AH278" s="1040">
        <f>CHOOSE(Tables!$U$2,Transfer!CF278,Transfer!CS278,Transfer!DF278,Transfer!DS278,Transfer!EF278)</f>
        <v>-9999</v>
      </c>
      <c r="AI278" s="1040">
        <f>CHOOSE(Tables!$U$2,Transfer!CG278,Transfer!CT278,Transfer!DG278,Transfer!DT278,Transfer!EG278)</f>
        <v>-9999</v>
      </c>
      <c r="AJ278" s="1040">
        <f>CHOOSE(Tables!$U$2,Transfer!CH278,Transfer!CU278,Transfer!DH278,Transfer!DU278,Transfer!EH278)</f>
        <v>-9999</v>
      </c>
      <c r="AK278" s="1040">
        <f>CHOOSE(Tables!$U$2,Transfer!CI278,Transfer!CV278,Transfer!DI278,Transfer!DV278,Transfer!EI278)</f>
        <v>-9999</v>
      </c>
      <c r="AL278" s="1040">
        <f>CHOOSE(Tables!$U$2,Transfer!CJ278,Transfer!CW278,Transfer!DJ278,Transfer!DW278,Transfer!EJ278)</f>
        <v>-9999</v>
      </c>
      <c r="AM278" s="1040">
        <f>CHOOSE(Tables!$U$2,Transfer!CK278,Transfer!CX278,Transfer!DK278,Transfer!DX278,Transfer!EK278)</f>
        <v>-9999</v>
      </c>
      <c r="AN278" s="1040">
        <f>CHOOSE(Tables!$U$2,Transfer!CL278,Transfer!CY278,Transfer!DL278,Transfer!DY278,Transfer!EL278)</f>
        <v>-9999</v>
      </c>
      <c r="AO278" s="1040">
        <f>CHOOSE(Tables!$U$2,Transfer!CM278,Transfer!CZ278,Transfer!DM278,Transfer!DZ278,Transfer!EM278)</f>
        <v>-9999</v>
      </c>
      <c r="AR278" s="22">
        <v>178</v>
      </c>
      <c r="AS278" s="30" t="s">
        <v>1705</v>
      </c>
      <c r="AT278" s="25">
        <f t="shared" si="43"/>
        <v>0</v>
      </c>
      <c r="AU278" s="25">
        <f t="shared" si="43"/>
        <v>0</v>
      </c>
      <c r="AV278" s="25">
        <f t="shared" si="43"/>
        <v>0</v>
      </c>
      <c r="AW278" s="25">
        <f t="shared" si="42"/>
        <v>0</v>
      </c>
      <c r="AX278" s="25">
        <f t="shared" si="42"/>
        <v>0</v>
      </c>
      <c r="AY278" s="25">
        <f t="shared" si="42"/>
        <v>0</v>
      </c>
      <c r="AZ278" s="25">
        <f t="shared" si="42"/>
        <v>0</v>
      </c>
      <c r="BA278" s="25">
        <f t="shared" si="42"/>
        <v>0</v>
      </c>
      <c r="BB278" s="25">
        <f t="shared" si="42"/>
        <v>0</v>
      </c>
      <c r="BC278" s="25">
        <f t="shared" si="42"/>
        <v>0</v>
      </c>
      <c r="BD278" s="25">
        <f t="shared" si="42"/>
        <v>0</v>
      </c>
      <c r="BE278" s="25">
        <f t="shared" si="42"/>
        <v>0</v>
      </c>
      <c r="BF278" s="25">
        <f t="shared" si="42"/>
        <v>0</v>
      </c>
      <c r="CA278" s="16">
        <v>-9999</v>
      </c>
      <c r="CB278" s="16">
        <v>-9999</v>
      </c>
      <c r="CC278" s="16">
        <v>-9999</v>
      </c>
      <c r="CD278" s="16">
        <v>-9999</v>
      </c>
      <c r="CE278" s="16">
        <v>-9999</v>
      </c>
      <c r="CF278" s="16">
        <v>-9999</v>
      </c>
      <c r="CG278" s="16">
        <v>-9999</v>
      </c>
      <c r="CH278" s="16">
        <v>-9999</v>
      </c>
      <c r="CI278" s="16">
        <v>-9999</v>
      </c>
      <c r="CJ278" s="16">
        <v>-9999</v>
      </c>
      <c r="CK278" s="16">
        <v>-9999</v>
      </c>
      <c r="CL278" s="16">
        <v>-9999</v>
      </c>
      <c r="CM278" s="16">
        <v>-9999</v>
      </c>
      <c r="CN278" s="16">
        <v>-9999</v>
      </c>
      <c r="CO278" s="16">
        <v>-9999</v>
      </c>
      <c r="CP278" s="16">
        <v>-9999</v>
      </c>
      <c r="CQ278" s="16">
        <v>-9999</v>
      </c>
      <c r="CR278" s="16">
        <v>-9999</v>
      </c>
      <c r="CS278" s="16">
        <v>-9999</v>
      </c>
      <c r="CT278" s="16">
        <v>-9999</v>
      </c>
      <c r="CU278" s="16">
        <v>-9999</v>
      </c>
      <c r="CV278" s="16">
        <v>-9999</v>
      </c>
      <c r="CW278" s="16">
        <v>-9999</v>
      </c>
      <c r="CX278" s="16">
        <v>-9999</v>
      </c>
      <c r="CY278" s="16">
        <v>-9999</v>
      </c>
      <c r="CZ278" s="16">
        <v>-9999</v>
      </c>
      <c r="DA278" s="16">
        <v>-9999</v>
      </c>
      <c r="DB278" s="16">
        <v>-9999</v>
      </c>
      <c r="DC278" s="16">
        <v>-9999</v>
      </c>
      <c r="DD278" s="16">
        <v>-9999</v>
      </c>
      <c r="DE278" s="16">
        <v>-9999</v>
      </c>
      <c r="DF278" s="16">
        <v>-9999</v>
      </c>
      <c r="DG278" s="16">
        <v>-9999</v>
      </c>
      <c r="DH278" s="16">
        <v>-9999</v>
      </c>
      <c r="DI278" s="16">
        <v>-9999</v>
      </c>
      <c r="DJ278" s="16">
        <v>-9999</v>
      </c>
      <c r="DK278" s="16">
        <v>-9999</v>
      </c>
      <c r="DL278" s="16">
        <v>-9999</v>
      </c>
      <c r="DM278" s="16">
        <v>-9999</v>
      </c>
      <c r="DN278" s="16">
        <v>-9999</v>
      </c>
      <c r="DO278" s="16">
        <v>-9999</v>
      </c>
      <c r="DP278" s="16">
        <v>-9999</v>
      </c>
      <c r="DQ278" s="16">
        <v>-9999</v>
      </c>
      <c r="DR278" s="16">
        <v>-9999</v>
      </c>
      <c r="DS278" s="16">
        <v>-9999</v>
      </c>
      <c r="DT278" s="16">
        <v>-9999</v>
      </c>
      <c r="DU278" s="16">
        <v>-9999</v>
      </c>
      <c r="DV278" s="16">
        <v>-9999</v>
      </c>
      <c r="DW278" s="16">
        <v>-9999</v>
      </c>
      <c r="DX278" s="16">
        <v>-9999</v>
      </c>
      <c r="DY278" s="16">
        <v>-9999</v>
      </c>
      <c r="DZ278" s="16">
        <v>-9999</v>
      </c>
      <c r="EA278" s="2197">
        <v>-9999</v>
      </c>
      <c r="EB278" s="2197">
        <v>-9999</v>
      </c>
      <c r="EC278" s="2197">
        <v>-9999</v>
      </c>
      <c r="ED278" s="2197">
        <v>-9999</v>
      </c>
      <c r="EE278" s="2197">
        <v>-9999</v>
      </c>
      <c r="EF278" s="2197">
        <v>-9999</v>
      </c>
      <c r="EG278" s="2197">
        <v>-9999</v>
      </c>
      <c r="EH278" s="2197">
        <v>-9999</v>
      </c>
      <c r="EI278" s="2197">
        <v>-9999</v>
      </c>
      <c r="EJ278" s="2197">
        <v>-9999</v>
      </c>
      <c r="EK278" s="2197">
        <v>-9999</v>
      </c>
      <c r="EL278" s="2197">
        <v>-9999</v>
      </c>
      <c r="EM278" s="2197">
        <v>-9999</v>
      </c>
    </row>
    <row r="279" spans="1:144">
      <c r="A279" s="22">
        <v>179</v>
      </c>
      <c r="B279" s="30" t="s">
        <v>1705</v>
      </c>
      <c r="C279" s="25">
        <v>-9999</v>
      </c>
      <c r="D279" s="25">
        <v>-9999</v>
      </c>
      <c r="E279" s="25">
        <v>-9999</v>
      </c>
      <c r="F279" s="25">
        <v>-9999</v>
      </c>
      <c r="G279" s="25">
        <v>-9999</v>
      </c>
      <c r="H279" s="25">
        <v>-9999</v>
      </c>
      <c r="I279" s="25">
        <v>-9999</v>
      </c>
      <c r="J279" s="25">
        <v>-9999</v>
      </c>
      <c r="K279" s="25">
        <v>-9999</v>
      </c>
      <c r="L279" s="25">
        <v>-9999</v>
      </c>
      <c r="M279" s="25">
        <v>-9999</v>
      </c>
      <c r="N279" s="25">
        <v>-9999</v>
      </c>
      <c r="O279" s="25">
        <v>-9999</v>
      </c>
      <c r="P279" s="26"/>
      <c r="Q279"/>
      <c r="AA279" s="22">
        <v>179</v>
      </c>
      <c r="AB279" s="1040" t="str">
        <f t="shared" si="31"/>
        <v>FOR FUTURE USE</v>
      </c>
      <c r="AC279" s="1040">
        <f>CHOOSE(Tables!$U$2,Transfer!CA279,Transfer!CN279,Transfer!DA279,Transfer!DN279,Transfer!EA279)</f>
        <v>-9999</v>
      </c>
      <c r="AD279" s="1040">
        <f>CHOOSE(Tables!$U$2,Transfer!CB279,Transfer!CO279,Transfer!DB279,Transfer!DO279,Transfer!EB279)</f>
        <v>-9999</v>
      </c>
      <c r="AE279" s="1040">
        <f>CHOOSE(Tables!$U$2,Transfer!CC279,Transfer!CP279,Transfer!DC279,Transfer!DP279,Transfer!EC279)</f>
        <v>-9999</v>
      </c>
      <c r="AF279" s="1040">
        <f>CHOOSE(Tables!$U$2,Transfer!CD279,Transfer!CQ279,Transfer!DD279,Transfer!DQ279,Transfer!ED279)</f>
        <v>-9999</v>
      </c>
      <c r="AG279" s="1040">
        <f>CHOOSE(Tables!$U$2,Transfer!CE279,Transfer!CR279,Transfer!DE279,Transfer!DR279,Transfer!EE279)</f>
        <v>-9999</v>
      </c>
      <c r="AH279" s="1040">
        <f>CHOOSE(Tables!$U$2,Transfer!CF279,Transfer!CS279,Transfer!DF279,Transfer!DS279,Transfer!EF279)</f>
        <v>-9999</v>
      </c>
      <c r="AI279" s="1040">
        <f>CHOOSE(Tables!$U$2,Transfer!CG279,Transfer!CT279,Transfer!DG279,Transfer!DT279,Transfer!EG279)</f>
        <v>-9999</v>
      </c>
      <c r="AJ279" s="1040">
        <f>CHOOSE(Tables!$U$2,Transfer!CH279,Transfer!CU279,Transfer!DH279,Transfer!DU279,Transfer!EH279)</f>
        <v>-9999</v>
      </c>
      <c r="AK279" s="1040">
        <f>CHOOSE(Tables!$U$2,Transfer!CI279,Transfer!CV279,Transfer!DI279,Transfer!DV279,Transfer!EI279)</f>
        <v>-9999</v>
      </c>
      <c r="AL279" s="1040">
        <f>CHOOSE(Tables!$U$2,Transfer!CJ279,Transfer!CW279,Transfer!DJ279,Transfer!DW279,Transfer!EJ279)</f>
        <v>-9999</v>
      </c>
      <c r="AM279" s="1040">
        <f>CHOOSE(Tables!$U$2,Transfer!CK279,Transfer!CX279,Transfer!DK279,Transfer!DX279,Transfer!EK279)</f>
        <v>-9999</v>
      </c>
      <c r="AN279" s="1040">
        <f>CHOOSE(Tables!$U$2,Transfer!CL279,Transfer!CY279,Transfer!DL279,Transfer!DY279,Transfer!EL279)</f>
        <v>-9999</v>
      </c>
      <c r="AO279" s="1040">
        <f>CHOOSE(Tables!$U$2,Transfer!CM279,Transfer!CZ279,Transfer!DM279,Transfer!DZ279,Transfer!EM279)</f>
        <v>-9999</v>
      </c>
      <c r="AR279" s="22">
        <v>179</v>
      </c>
      <c r="AS279" s="30" t="s">
        <v>1705</v>
      </c>
      <c r="AT279" s="25">
        <f t="shared" si="43"/>
        <v>0</v>
      </c>
      <c r="AU279" s="25">
        <f t="shared" si="43"/>
        <v>0</v>
      </c>
      <c r="AV279" s="25">
        <f t="shared" si="43"/>
        <v>0</v>
      </c>
      <c r="AW279" s="25">
        <f t="shared" si="42"/>
        <v>0</v>
      </c>
      <c r="AX279" s="25">
        <f t="shared" si="42"/>
        <v>0</v>
      </c>
      <c r="AY279" s="25">
        <f t="shared" si="42"/>
        <v>0</v>
      </c>
      <c r="AZ279" s="25">
        <f t="shared" si="42"/>
        <v>0</v>
      </c>
      <c r="BA279" s="25">
        <f t="shared" si="42"/>
        <v>0</v>
      </c>
      <c r="BB279" s="25">
        <f t="shared" si="42"/>
        <v>0</v>
      </c>
      <c r="BC279" s="25">
        <f t="shared" si="42"/>
        <v>0</v>
      </c>
      <c r="BD279" s="25">
        <f t="shared" si="42"/>
        <v>0</v>
      </c>
      <c r="BE279" s="25">
        <f t="shared" si="42"/>
        <v>0</v>
      </c>
      <c r="BF279" s="25">
        <f t="shared" si="42"/>
        <v>0</v>
      </c>
      <c r="CA279" s="16">
        <v>-9999</v>
      </c>
      <c r="CB279" s="16">
        <v>-9999</v>
      </c>
      <c r="CC279" s="16">
        <v>-9999</v>
      </c>
      <c r="CD279" s="16">
        <v>-9999</v>
      </c>
      <c r="CE279" s="16">
        <v>-9999</v>
      </c>
      <c r="CF279" s="16">
        <v>-9999</v>
      </c>
      <c r="CG279" s="16">
        <v>-9999</v>
      </c>
      <c r="CH279" s="16">
        <v>-9999</v>
      </c>
      <c r="CI279" s="16">
        <v>-9999</v>
      </c>
      <c r="CJ279" s="16">
        <v>-9999</v>
      </c>
      <c r="CK279" s="16">
        <v>-9999</v>
      </c>
      <c r="CL279" s="16">
        <v>-9999</v>
      </c>
      <c r="CM279" s="16">
        <v>-9999</v>
      </c>
      <c r="CN279" s="16">
        <v>-9999</v>
      </c>
      <c r="CO279" s="16">
        <v>-9999</v>
      </c>
      <c r="CP279" s="16">
        <v>-9999</v>
      </c>
      <c r="CQ279" s="16">
        <v>-9999</v>
      </c>
      <c r="CR279" s="16">
        <v>-9999</v>
      </c>
      <c r="CS279" s="16">
        <v>-9999</v>
      </c>
      <c r="CT279" s="16">
        <v>-9999</v>
      </c>
      <c r="CU279" s="16">
        <v>-9999</v>
      </c>
      <c r="CV279" s="16">
        <v>-9999</v>
      </c>
      <c r="CW279" s="16">
        <v>-9999</v>
      </c>
      <c r="CX279" s="16">
        <v>-9999</v>
      </c>
      <c r="CY279" s="16">
        <v>-9999</v>
      </c>
      <c r="CZ279" s="16">
        <v>-9999</v>
      </c>
      <c r="DA279" s="16">
        <v>-9999</v>
      </c>
      <c r="DB279" s="16">
        <v>-9999</v>
      </c>
      <c r="DC279" s="16">
        <v>-9999</v>
      </c>
      <c r="DD279" s="16">
        <v>-9999</v>
      </c>
      <c r="DE279" s="16">
        <v>-9999</v>
      </c>
      <c r="DF279" s="16">
        <v>-9999</v>
      </c>
      <c r="DG279" s="16">
        <v>-9999</v>
      </c>
      <c r="DH279" s="16">
        <v>-9999</v>
      </c>
      <c r="DI279" s="16">
        <v>-9999</v>
      </c>
      <c r="DJ279" s="16">
        <v>-9999</v>
      </c>
      <c r="DK279" s="16">
        <v>-9999</v>
      </c>
      <c r="DL279" s="16">
        <v>-9999</v>
      </c>
      <c r="DM279" s="16">
        <v>-9999</v>
      </c>
      <c r="DN279" s="16">
        <v>-9999</v>
      </c>
      <c r="DO279" s="16">
        <v>-9999</v>
      </c>
      <c r="DP279" s="16">
        <v>-9999</v>
      </c>
      <c r="DQ279" s="16">
        <v>-9999</v>
      </c>
      <c r="DR279" s="16">
        <v>-9999</v>
      </c>
      <c r="DS279" s="16">
        <v>-9999</v>
      </c>
      <c r="DT279" s="16">
        <v>-9999</v>
      </c>
      <c r="DU279" s="16">
        <v>-9999</v>
      </c>
      <c r="DV279" s="16">
        <v>-9999</v>
      </c>
      <c r="DW279" s="16">
        <v>-9999</v>
      </c>
      <c r="DX279" s="16">
        <v>-9999</v>
      </c>
      <c r="DY279" s="16">
        <v>-9999</v>
      </c>
      <c r="DZ279" s="16">
        <v>-9999</v>
      </c>
      <c r="EA279" s="2197">
        <v>-9999</v>
      </c>
      <c r="EB279" s="2197">
        <v>-9999</v>
      </c>
      <c r="EC279" s="2197">
        <v>-9999</v>
      </c>
      <c r="ED279" s="2197">
        <v>-9999</v>
      </c>
      <c r="EE279" s="2197">
        <v>-9999</v>
      </c>
      <c r="EF279" s="2197">
        <v>-9999</v>
      </c>
      <c r="EG279" s="2197">
        <v>-9999</v>
      </c>
      <c r="EH279" s="2197">
        <v>-9999</v>
      </c>
      <c r="EI279" s="2197">
        <v>-9999</v>
      </c>
      <c r="EJ279" s="2197">
        <v>-9999</v>
      </c>
      <c r="EK279" s="2197">
        <v>-9999</v>
      </c>
      <c r="EL279" s="2197">
        <v>-9999</v>
      </c>
      <c r="EM279" s="2197">
        <v>-9999</v>
      </c>
    </row>
    <row r="280" spans="1:144">
      <c r="A280" s="22">
        <v>180</v>
      </c>
      <c r="B280" s="33" t="s">
        <v>466</v>
      </c>
      <c r="C280" s="35">
        <f>IF('VVP1'!F3="N",0,1)</f>
        <v>1</v>
      </c>
      <c r="D280" s="25">
        <v>-9999</v>
      </c>
      <c r="E280" s="25">
        <v>-9999</v>
      </c>
      <c r="F280" s="25">
        <v>-9999</v>
      </c>
      <c r="G280" s="25">
        <v>-9999</v>
      </c>
      <c r="H280" s="25">
        <v>-9999</v>
      </c>
      <c r="I280" s="25">
        <v>-9999</v>
      </c>
      <c r="J280" s="25">
        <v>-9999</v>
      </c>
      <c r="K280" s="25">
        <v>-9999</v>
      </c>
      <c r="L280" s="25">
        <v>-9999</v>
      </c>
      <c r="M280" s="25">
        <v>-9999</v>
      </c>
      <c r="N280" s="25">
        <v>-9999</v>
      </c>
      <c r="O280" s="25">
        <v>-9999</v>
      </c>
      <c r="P280" s="26"/>
      <c r="Q280"/>
      <c r="AA280" s="22">
        <v>180</v>
      </c>
      <c r="AB280" s="1040" t="str">
        <f t="shared" si="31"/>
        <v>INDICATOR CHAINED INDEX (col 1)</v>
      </c>
      <c r="AC280" s="1040">
        <f>CHOOSE(Tables!$U$2,Transfer!CA280,Transfer!CN280,Transfer!DA280,Transfer!DN280,Transfer!EA280)</f>
        <v>1</v>
      </c>
      <c r="AD280" s="1040">
        <f>CHOOSE(Tables!$U$2,Transfer!CB280,Transfer!CO280,Transfer!DB280,Transfer!DO280,Transfer!EB280)</f>
        <v>-9999</v>
      </c>
      <c r="AE280" s="1040">
        <f>CHOOSE(Tables!$U$2,Transfer!CC280,Transfer!CP280,Transfer!DC280,Transfer!DP280,Transfer!EC280)</f>
        <v>-9999</v>
      </c>
      <c r="AF280" s="1040">
        <f>CHOOSE(Tables!$U$2,Transfer!CD280,Transfer!CQ280,Transfer!DD280,Transfer!DQ280,Transfer!ED280)</f>
        <v>-9999</v>
      </c>
      <c r="AG280" s="1040">
        <f>CHOOSE(Tables!$U$2,Transfer!CE280,Transfer!CR280,Transfer!DE280,Transfer!DR280,Transfer!EE280)</f>
        <v>-9999</v>
      </c>
      <c r="AH280" s="1040">
        <f>CHOOSE(Tables!$U$2,Transfer!CF280,Transfer!CS280,Transfer!DF280,Transfer!DS280,Transfer!EF280)</f>
        <v>-9999</v>
      </c>
      <c r="AI280" s="1040">
        <f>CHOOSE(Tables!$U$2,Transfer!CG280,Transfer!CT280,Transfer!DG280,Transfer!DT280,Transfer!EG280)</f>
        <v>-9999</v>
      </c>
      <c r="AJ280" s="1040">
        <f>CHOOSE(Tables!$U$2,Transfer!CH280,Transfer!CU280,Transfer!DH280,Transfer!DU280,Transfer!EH280)</f>
        <v>-9999</v>
      </c>
      <c r="AK280" s="1040">
        <f>CHOOSE(Tables!$U$2,Transfer!CI280,Transfer!CV280,Transfer!DI280,Transfer!DV280,Transfer!EI280)</f>
        <v>-9999</v>
      </c>
      <c r="AL280" s="1040">
        <f>CHOOSE(Tables!$U$2,Transfer!CJ280,Transfer!CW280,Transfer!DJ280,Transfer!DW280,Transfer!EJ280)</f>
        <v>-9999</v>
      </c>
      <c r="AM280" s="1040">
        <f>CHOOSE(Tables!$U$2,Transfer!CK280,Transfer!CX280,Transfer!DK280,Transfer!DX280,Transfer!EK280)</f>
        <v>-9999</v>
      </c>
      <c r="AN280" s="1040">
        <f>CHOOSE(Tables!$U$2,Transfer!CL280,Transfer!CY280,Transfer!DL280,Transfer!DY280,Transfer!EL280)</f>
        <v>-9999</v>
      </c>
      <c r="AO280" s="1040">
        <f>CHOOSE(Tables!$U$2,Transfer!CM280,Transfer!CZ280,Transfer!DM280,Transfer!DZ280,Transfer!EM280)</f>
        <v>-9999</v>
      </c>
      <c r="AR280" s="22">
        <v>180</v>
      </c>
      <c r="AS280" s="33" t="s">
        <v>466</v>
      </c>
      <c r="AT280" s="34">
        <f t="shared" si="43"/>
        <v>0</v>
      </c>
      <c r="AU280" s="25">
        <f t="shared" si="43"/>
        <v>0</v>
      </c>
      <c r="AV280" s="25">
        <f t="shared" si="43"/>
        <v>0</v>
      </c>
      <c r="AW280" s="25">
        <f t="shared" si="42"/>
        <v>0</v>
      </c>
      <c r="AX280" s="25">
        <f t="shared" si="42"/>
        <v>0</v>
      </c>
      <c r="AY280" s="25">
        <f t="shared" si="42"/>
        <v>0</v>
      </c>
      <c r="AZ280" s="25">
        <f t="shared" si="42"/>
        <v>0</v>
      </c>
      <c r="BA280" s="25">
        <f t="shared" si="42"/>
        <v>0</v>
      </c>
      <c r="BB280" s="25">
        <f t="shared" si="42"/>
        <v>0</v>
      </c>
      <c r="BC280" s="25">
        <f t="shared" si="42"/>
        <v>0</v>
      </c>
      <c r="BD280" s="25">
        <f t="shared" si="42"/>
        <v>0</v>
      </c>
      <c r="BE280" s="25">
        <f t="shared" si="42"/>
        <v>0</v>
      </c>
      <c r="BF280" s="25">
        <f t="shared" si="42"/>
        <v>0</v>
      </c>
      <c r="CA280" s="16">
        <v>1</v>
      </c>
      <c r="CB280" s="16">
        <v>-9999</v>
      </c>
      <c r="CC280" s="16">
        <v>-9999</v>
      </c>
      <c r="CD280" s="16">
        <v>-9999</v>
      </c>
      <c r="CE280" s="16">
        <v>-9999</v>
      </c>
      <c r="CF280" s="16">
        <v>-9999</v>
      </c>
      <c r="CG280" s="16">
        <v>-9999</v>
      </c>
      <c r="CH280" s="16">
        <v>-9999</v>
      </c>
      <c r="CI280" s="16">
        <v>-9999</v>
      </c>
      <c r="CJ280" s="16">
        <v>-9999</v>
      </c>
      <c r="CK280" s="16">
        <v>-9999</v>
      </c>
      <c r="CL280" s="16">
        <v>-9999</v>
      </c>
      <c r="CM280" s="16">
        <v>-9999</v>
      </c>
      <c r="CN280" s="16">
        <v>1</v>
      </c>
      <c r="CO280" s="16">
        <v>-9999</v>
      </c>
      <c r="CP280" s="16">
        <v>-9999</v>
      </c>
      <c r="CQ280" s="16">
        <v>-9999</v>
      </c>
      <c r="CR280" s="16">
        <v>-9999</v>
      </c>
      <c r="CS280" s="16">
        <v>-9999</v>
      </c>
      <c r="CT280" s="16">
        <v>-9999</v>
      </c>
      <c r="CU280" s="16">
        <v>-9999</v>
      </c>
      <c r="CV280" s="16">
        <v>-9999</v>
      </c>
      <c r="CW280" s="16">
        <v>-9999</v>
      </c>
      <c r="CX280" s="16">
        <v>-9999</v>
      </c>
      <c r="CY280" s="16">
        <v>-9999</v>
      </c>
      <c r="CZ280" s="16">
        <v>-9999</v>
      </c>
      <c r="DA280" s="16">
        <v>1</v>
      </c>
      <c r="DB280" s="16">
        <v>-9999</v>
      </c>
      <c r="DC280" s="16">
        <v>-9999</v>
      </c>
      <c r="DD280" s="16">
        <v>-9999</v>
      </c>
      <c r="DE280" s="16">
        <v>-9999</v>
      </c>
      <c r="DF280" s="16">
        <v>-9999</v>
      </c>
      <c r="DG280" s="16">
        <v>-9999</v>
      </c>
      <c r="DH280" s="16">
        <v>-9999</v>
      </c>
      <c r="DI280" s="16">
        <v>-9999</v>
      </c>
      <c r="DJ280" s="16">
        <v>-9999</v>
      </c>
      <c r="DK280" s="16">
        <v>-9999</v>
      </c>
      <c r="DL280" s="16">
        <v>-9999</v>
      </c>
      <c r="DM280" s="16">
        <v>-9999</v>
      </c>
      <c r="DN280" s="16">
        <v>1</v>
      </c>
      <c r="DO280" s="16">
        <v>-9999</v>
      </c>
      <c r="DP280" s="16">
        <v>-9999</v>
      </c>
      <c r="DQ280" s="16">
        <v>-9999</v>
      </c>
      <c r="DR280" s="16">
        <v>-9999</v>
      </c>
      <c r="DS280" s="16">
        <v>-9999</v>
      </c>
      <c r="DT280" s="16">
        <v>-9999</v>
      </c>
      <c r="DU280" s="16">
        <v>-9999</v>
      </c>
      <c r="DV280" s="16">
        <v>-9999</v>
      </c>
      <c r="DW280" s="16">
        <v>-9999</v>
      </c>
      <c r="DX280" s="16">
        <v>-9999</v>
      </c>
      <c r="DY280" s="16">
        <v>-9999</v>
      </c>
      <c r="DZ280" s="16">
        <v>-9999</v>
      </c>
      <c r="EA280" s="2196">
        <v>1</v>
      </c>
      <c r="EB280" s="2197">
        <v>-9999</v>
      </c>
      <c r="EC280" s="2197">
        <v>-9999</v>
      </c>
      <c r="ED280" s="2197">
        <v>-9999</v>
      </c>
      <c r="EE280" s="2197">
        <v>-9999</v>
      </c>
      <c r="EF280" s="2197">
        <v>-9999</v>
      </c>
      <c r="EG280" s="2197">
        <v>-9999</v>
      </c>
      <c r="EH280" s="2197">
        <v>-9999</v>
      </c>
      <c r="EI280" s="2197">
        <v>-9999</v>
      </c>
      <c r="EJ280" s="2197">
        <v>-9999</v>
      </c>
      <c r="EK280" s="2197">
        <v>-9999</v>
      </c>
      <c r="EL280" s="2197">
        <v>-9999</v>
      </c>
      <c r="EM280" s="2197">
        <v>-9999</v>
      </c>
    </row>
    <row r="281" spans="1:144" customFormat="1">
      <c r="A281" s="16"/>
      <c r="B281" s="21"/>
      <c r="C281" s="16"/>
      <c r="D281" s="16"/>
      <c r="E281" s="16"/>
      <c r="F281" s="16"/>
      <c r="G281" s="16"/>
      <c r="H281" s="38"/>
      <c r="I281" s="38"/>
      <c r="J281" s="38"/>
      <c r="K281" s="38"/>
      <c r="L281" s="38"/>
      <c r="M281" s="38"/>
      <c r="N281" s="38"/>
      <c r="O281" s="38"/>
      <c r="R281" s="16"/>
      <c r="S281" s="16"/>
      <c r="T281" s="16"/>
      <c r="U281" s="16"/>
      <c r="V281" s="16"/>
      <c r="W281" s="16"/>
      <c r="X281" s="16"/>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row>
    <row r="282" spans="1:144" customFormat="1">
      <c r="A282" s="16"/>
      <c r="B282" s="2107" t="s">
        <v>1185</v>
      </c>
      <c r="C282" s="25"/>
      <c r="D282" s="25"/>
      <c r="E282" s="25"/>
      <c r="F282" s="25"/>
      <c r="G282" s="25"/>
      <c r="H282" s="38"/>
      <c r="I282" s="38"/>
      <c r="J282" s="38"/>
      <c r="K282" s="38"/>
      <c r="L282" s="38"/>
      <c r="M282" s="38"/>
      <c r="N282" s="38"/>
      <c r="O282" s="38"/>
      <c r="R282" s="16"/>
      <c r="S282" s="16"/>
      <c r="T282" s="16"/>
      <c r="U282" s="16"/>
      <c r="V282" s="16"/>
      <c r="W282" s="16"/>
      <c r="X282" s="16"/>
      <c r="Y282" s="16"/>
      <c r="Z282" s="16"/>
      <c r="AA282" s="16"/>
      <c r="AB282" s="2107" t="s">
        <v>1185</v>
      </c>
      <c r="AC282" s="25"/>
      <c r="AD282" s="25"/>
      <c r="AE282" s="25"/>
      <c r="AF282" s="25"/>
      <c r="AG282" s="25"/>
      <c r="AH282" s="16"/>
      <c r="AI282" s="16"/>
      <c r="AJ282" s="16"/>
      <c r="AK282" s="16"/>
      <c r="AL282" s="16"/>
      <c r="AM282" s="16"/>
      <c r="AN282" s="16"/>
      <c r="AO282" s="16"/>
      <c r="AP282" s="16"/>
      <c r="AQ282" s="16"/>
      <c r="AR282" s="16"/>
      <c r="AS282" s="16"/>
      <c r="AT282" s="16"/>
      <c r="AU282" s="16"/>
      <c r="AV282" s="16"/>
      <c r="AW282" s="16"/>
      <c r="AX282" s="16"/>
      <c r="AY282" s="16"/>
      <c r="AZ282" s="16"/>
      <c r="BA282" s="16"/>
      <c r="BB282" s="16"/>
      <c r="BC282" s="16"/>
      <c r="BD282" s="16"/>
      <c r="BE282" s="16"/>
      <c r="BF282" s="16"/>
      <c r="BG282" s="16"/>
      <c r="BH282" s="16"/>
      <c r="BI282" s="16"/>
      <c r="BJ282" s="16"/>
      <c r="BK282" s="16"/>
      <c r="BL282" s="16"/>
      <c r="BM282" s="16"/>
      <c r="BN282" s="16"/>
      <c r="BO282" s="16"/>
      <c r="BP282" s="16"/>
      <c r="BQ282" s="16"/>
      <c r="BR282" s="16"/>
      <c r="BS282" s="16"/>
      <c r="BT282" s="16"/>
      <c r="BU282" s="16"/>
      <c r="BV282" s="16"/>
      <c r="BW282" s="16"/>
      <c r="BX282" s="16"/>
      <c r="BY282" s="16"/>
      <c r="BZ282" s="16"/>
      <c r="CA282" s="16"/>
      <c r="CB282" s="16"/>
      <c r="CC282" s="16"/>
      <c r="CD282" s="16"/>
      <c r="CE282" s="16"/>
      <c r="CF282" s="16"/>
      <c r="CG282" s="16"/>
      <c r="CH282" s="16"/>
      <c r="CI282" s="16"/>
      <c r="CJ282" s="16"/>
      <c r="CK282" s="16"/>
      <c r="CL282" s="16"/>
      <c r="CM282" s="16"/>
      <c r="CN282" s="16"/>
      <c r="CO282" s="16"/>
      <c r="CP282" s="16"/>
      <c r="CQ282" s="16"/>
      <c r="CR282" s="16"/>
      <c r="CS282" s="16"/>
      <c r="CT282" s="16"/>
      <c r="CU282" s="16"/>
      <c r="CV282" s="16"/>
      <c r="CW282" s="16"/>
      <c r="CX282" s="16"/>
      <c r="CY282" s="16"/>
      <c r="CZ282" s="16"/>
      <c r="DA282" s="16"/>
      <c r="DB282" s="16"/>
      <c r="DC282" s="16"/>
      <c r="DD282" s="16"/>
      <c r="DE282" s="16"/>
      <c r="DF282" s="16"/>
      <c r="DG282" s="16"/>
      <c r="DH282" s="16"/>
      <c r="DI282" s="16"/>
      <c r="DJ282" s="16"/>
      <c r="DK282" s="16"/>
      <c r="DL282" s="16"/>
      <c r="DM282" s="16"/>
      <c r="DN282" s="16"/>
      <c r="DO282" s="16"/>
      <c r="DP282" s="16"/>
      <c r="DQ282" s="16"/>
      <c r="DR282" s="16"/>
      <c r="DS282" s="16"/>
      <c r="DT282" s="16"/>
      <c r="DU282" s="16"/>
      <c r="DV282" s="16"/>
      <c r="DW282" s="16"/>
      <c r="DX282" s="16"/>
      <c r="DY282" s="16"/>
      <c r="DZ282" s="16"/>
      <c r="EA282" s="16"/>
      <c r="EB282" s="16"/>
      <c r="EC282" s="16"/>
      <c r="ED282" s="16"/>
      <c r="EE282" s="16"/>
      <c r="EF282" s="16"/>
      <c r="EG282" s="16"/>
      <c r="EH282" s="16"/>
      <c r="EI282" s="16"/>
      <c r="EJ282" s="16"/>
      <c r="EK282" s="16"/>
      <c r="EL282" s="16"/>
      <c r="EM282" s="16"/>
      <c r="EN282" s="16"/>
    </row>
    <row r="283" spans="1:144">
      <c r="B283" s="2108" t="s">
        <v>66</v>
      </c>
      <c r="C283" s="2108"/>
      <c r="D283" s="2108"/>
      <c r="E283" s="2108"/>
      <c r="F283" s="2108"/>
      <c r="G283" s="2108"/>
      <c r="P283"/>
      <c r="Q283"/>
      <c r="AA283" s="15"/>
      <c r="AB283" s="2108" t="s">
        <v>66</v>
      </c>
      <c r="AC283" s="2108"/>
      <c r="AD283" s="2108"/>
      <c r="AE283" s="2108"/>
      <c r="AF283" s="2108"/>
      <c r="AG283" s="2108"/>
    </row>
    <row r="284" spans="1:144">
      <c r="A284" s="2106">
        <v>1</v>
      </c>
      <c r="B284" s="2109" t="str">
        <f t="shared" ref="B284:B295" si="44">+B101</f>
        <v>VOL. PRIVATE CONSUMPTION EXPEND.</v>
      </c>
      <c r="C284" s="2110">
        <f t="shared" ref="C284:C295" ca="1" si="45">IF($C$280=1,D284/(D101/C136),C101)</f>
        <v>23.47364</v>
      </c>
      <c r="D284" s="2110">
        <f t="shared" ref="D284:D295" ca="1" si="46">+D101</f>
        <v>24.632151881878773</v>
      </c>
      <c r="E284" s="2110">
        <f ca="1">IF($C$280=1,D284*E101/D136,E101)</f>
        <v>25.590582787296096</v>
      </c>
      <c r="F284" s="2110">
        <f t="shared" ref="E284:G295" ca="1" si="47">IF($C$280=1,E284*F101/E136,F101)</f>
        <v>26.486253184851453</v>
      </c>
      <c r="G284" s="2110">
        <f t="shared" ca="1" si="47"/>
        <v>27.360299539951548</v>
      </c>
      <c r="I284" s="16"/>
      <c r="P284"/>
      <c r="Q284"/>
      <c r="AA284" s="2106">
        <v>1</v>
      </c>
      <c r="AB284" s="2109" t="str">
        <f t="shared" ref="AB284:AB295" si="48">+AB101</f>
        <v>VOL. PRIVATE CONSUMPTION EXPEND.</v>
      </c>
      <c r="AC284" s="2110">
        <f t="shared" ref="AC284:AC295" si="49">IF($C$280=1,AD284/(AD101/AC136),AC101)</f>
        <v>67.143799999999999</v>
      </c>
      <c r="AD284" s="2110">
        <f t="shared" ref="AD284:AD295" si="50">+AD101</f>
        <v>69.787772268699513</v>
      </c>
      <c r="AE284" s="2110">
        <f t="shared" ref="AE284:AG295" si="51">IF($C$280=1,AD284*AE101/AD136,AE101)</f>
        <v>72.718858703984893</v>
      </c>
      <c r="AF284" s="2110">
        <f t="shared" si="51"/>
        <v>75.554894193440305</v>
      </c>
      <c r="AG284" s="2110">
        <f t="shared" si="51"/>
        <v>78.917086985048385</v>
      </c>
    </row>
    <row r="285" spans="1:144">
      <c r="A285" s="2106">
        <v>2</v>
      </c>
      <c r="B285" s="2109" t="str">
        <f t="shared" si="44"/>
        <v xml:space="preserve">VOL. GOVERNMENT CONSUMPTION EXPEND. </v>
      </c>
      <c r="C285" s="2110">
        <f t="shared" ca="1" si="45"/>
        <v>6.4287700000000001</v>
      </c>
      <c r="D285" s="2110">
        <f t="shared" ca="1" si="46"/>
        <v>6.5118543082355504</v>
      </c>
      <c r="E285" s="2110">
        <f t="shared" ca="1" si="47"/>
        <v>6.5873227434879196</v>
      </c>
      <c r="F285" s="2110">
        <f ca="1">IF($C$280=1,E285*F102/E137,F102)</f>
        <v>6.6953548364811217</v>
      </c>
      <c r="G285" s="2110">
        <f t="shared" ca="1" si="47"/>
        <v>6.7984633009629327</v>
      </c>
      <c r="I285" s="16"/>
      <c r="P285"/>
      <c r="Q285"/>
      <c r="AA285" s="2106">
        <v>2</v>
      </c>
      <c r="AB285" s="2109" t="str">
        <f t="shared" si="48"/>
        <v xml:space="preserve">VOL. GOVERNMENT CONSUMPTION EXPEND. </v>
      </c>
      <c r="AC285" s="2110">
        <f t="shared" si="49"/>
        <v>19.938669999999998</v>
      </c>
      <c r="AD285" s="2110">
        <f t="shared" si="50"/>
        <v>20.056978444279622</v>
      </c>
      <c r="AE285" s="2110">
        <f t="shared" si="51"/>
        <v>20.337776142499536</v>
      </c>
      <c r="AF285" s="2110">
        <f t="shared" si="51"/>
        <v>20.663180560779526</v>
      </c>
      <c r="AG285" s="2110">
        <f t="shared" si="51"/>
        <v>20.993791449751999</v>
      </c>
    </row>
    <row r="286" spans="1:144">
      <c r="A286" s="2106">
        <v>3</v>
      </c>
      <c r="B286" s="2109" t="str">
        <f t="shared" si="44"/>
        <v>VOL. G.F.C.F. TOTAL</v>
      </c>
      <c r="C286" s="2110">
        <f t="shared" ca="1" si="45"/>
        <v>7.3252199999999998</v>
      </c>
      <c r="D286" s="2110">
        <f t="shared" ca="1" si="46"/>
        <v>7.2907280162839356</v>
      </c>
      <c r="E286" s="2110">
        <f t="shared" ca="1" si="47"/>
        <v>7.8232260471583004</v>
      </c>
      <c r="F286" s="2110">
        <f t="shared" ca="1" si="47"/>
        <v>8.3454858146705462</v>
      </c>
      <c r="G286" s="2110">
        <f t="shared" ca="1" si="47"/>
        <v>8.6860247980761365</v>
      </c>
      <c r="I286" s="16"/>
      <c r="P286"/>
      <c r="Q286"/>
      <c r="AA286" s="2106">
        <v>3</v>
      </c>
      <c r="AB286" s="2109" t="str">
        <f t="shared" si="48"/>
        <v>VOL. G.F.C.F. TOTAL</v>
      </c>
      <c r="AC286" s="2110">
        <f t="shared" si="49"/>
        <v>19.270209999999999</v>
      </c>
      <c r="AD286" s="2110">
        <f t="shared" si="50"/>
        <v>18.575091931641602</v>
      </c>
      <c r="AE286" s="2110">
        <f t="shared" si="51"/>
        <v>19.480418081053791</v>
      </c>
      <c r="AF286" s="2110">
        <f t="shared" si="51"/>
        <v>20.799665524217922</v>
      </c>
      <c r="AG286" s="2110">
        <f t="shared" si="51"/>
        <v>22.220234672545931</v>
      </c>
    </row>
    <row r="287" spans="1:144">
      <c r="A287" s="2106">
        <v>4</v>
      </c>
      <c r="B287" s="2109" t="str">
        <f t="shared" si="44"/>
        <v>VOL. G.F.C.F. CONSTRUCTION</v>
      </c>
      <c r="C287" s="2110">
        <f t="shared" ca="1" si="45"/>
        <v>4.0977600000000001</v>
      </c>
      <c r="D287" s="2110">
        <f t="shared" ca="1" si="46"/>
        <v>3.8266968006577176</v>
      </c>
      <c r="E287" s="2110">
        <f t="shared" ca="1" si="47"/>
        <v>4.0002893179813528</v>
      </c>
      <c r="F287" s="2110">
        <f t="shared" ca="1" si="47"/>
        <v>4.2273337920621579</v>
      </c>
      <c r="G287" s="2110">
        <f t="shared" ca="1" si="47"/>
        <v>4.3992071002398561</v>
      </c>
      <c r="I287" s="16"/>
      <c r="P287"/>
      <c r="Q287"/>
      <c r="AA287" s="2106">
        <v>4</v>
      </c>
      <c r="AB287" s="2109" t="str">
        <f t="shared" si="48"/>
        <v>VOL. G.F.C.F. CONSTRUCTION</v>
      </c>
      <c r="AC287" s="2110">
        <f t="shared" si="49"/>
        <v>11.324629999999999</v>
      </c>
      <c r="AD287" s="2110">
        <f t="shared" si="50"/>
        <v>10.86541847090302</v>
      </c>
      <c r="AE287" s="2110">
        <f t="shared" si="51"/>
        <v>11.057315326715822</v>
      </c>
      <c r="AF287" s="2110">
        <f t="shared" si="51"/>
        <v>11.590332451661011</v>
      </c>
      <c r="AG287" s="2110">
        <f t="shared" si="51"/>
        <v>12.149288519641868</v>
      </c>
    </row>
    <row r="288" spans="1:144">
      <c r="A288" s="2106">
        <v>5</v>
      </c>
      <c r="B288" s="2109" t="str">
        <f t="shared" si="44"/>
        <v>VOL. G.F.C.F. EQUIPMENT</v>
      </c>
      <c r="C288" s="2110">
        <f t="shared" ca="1" si="45"/>
        <v>2.4741399999999998</v>
      </c>
      <c r="D288" s="2110">
        <f t="shared" ca="1" si="46"/>
        <v>2.696198733506189</v>
      </c>
      <c r="E288" s="2110">
        <f t="shared" ca="1" si="47"/>
        <v>2.935330278287323</v>
      </c>
      <c r="F288" s="2110">
        <f t="shared" ca="1" si="47"/>
        <v>3.1848333519417453</v>
      </c>
      <c r="G288" s="2110">
        <f t="shared" ca="1" si="47"/>
        <v>3.3185963527232989</v>
      </c>
      <c r="I288" s="16"/>
      <c r="P288"/>
      <c r="Q288"/>
      <c r="AA288" s="2106">
        <v>5</v>
      </c>
      <c r="AB288" s="2109" t="str">
        <f t="shared" si="48"/>
        <v>VOL. G.F.C.F. EQUIPMENT</v>
      </c>
      <c r="AC288" s="2110">
        <f t="shared" si="49"/>
        <v>6.3425500000000001</v>
      </c>
      <c r="AD288" s="2110">
        <f t="shared" si="50"/>
        <v>6.0409486759651987</v>
      </c>
      <c r="AE288" s="2110">
        <f t="shared" si="51"/>
        <v>6.6269206975338228</v>
      </c>
      <c r="AF288" s="2110">
        <f t="shared" si="51"/>
        <v>7.2763589258921382</v>
      </c>
      <c r="AG288" s="2110">
        <f t="shared" si="51"/>
        <v>7.9894421006295682</v>
      </c>
    </row>
    <row r="289" spans="1:33">
      <c r="A289" s="2106">
        <v>6</v>
      </c>
      <c r="B289" s="2109" t="str">
        <f t="shared" si="44"/>
        <v>VOL. G.F.C.F. OTHER</v>
      </c>
      <c r="C289" s="2110">
        <f t="shared" ca="1" si="45"/>
        <v>0.75331999999999999</v>
      </c>
      <c r="D289" s="2110">
        <f t="shared" ca="1" si="46"/>
        <v>0.76834599745659626</v>
      </c>
      <c r="E289" s="2110">
        <f t="shared" ca="1" si="47"/>
        <v>0.8872002836448083</v>
      </c>
      <c r="F289" s="2110">
        <f t="shared" ca="1" si="47"/>
        <v>0.94220670123078654</v>
      </c>
      <c r="G289" s="2110">
        <f t="shared" ca="1" si="47"/>
        <v>0.98460600278617183</v>
      </c>
      <c r="I289" s="16"/>
      <c r="P289"/>
      <c r="Q289"/>
      <c r="AA289" s="2106">
        <v>6</v>
      </c>
      <c r="AB289" s="2109" t="str">
        <f t="shared" si="48"/>
        <v>VOL. G.F.C.F. OTHER</v>
      </c>
      <c r="AC289" s="2110">
        <f t="shared" si="49"/>
        <v>1.60304</v>
      </c>
      <c r="AD289" s="2110">
        <f t="shared" si="50"/>
        <v>1.6592757072501798</v>
      </c>
      <c r="AE289" s="2110">
        <f t="shared" si="51"/>
        <v>1.7986548666591951</v>
      </c>
      <c r="AF289" s="2110">
        <f t="shared" si="51"/>
        <v>1.942547255991931</v>
      </c>
      <c r="AG289" s="2110">
        <f t="shared" si="51"/>
        <v>2.0979510364712857</v>
      </c>
    </row>
    <row r="290" spans="1:33">
      <c r="A290" s="2106">
        <v>7</v>
      </c>
      <c r="B290" s="2109" t="str">
        <f t="shared" si="44"/>
        <v>VOL. CHANGE IN INVENTORIES</v>
      </c>
      <c r="C290" s="2110">
        <f t="shared" ca="1" si="45"/>
        <v>0.37847000000000003</v>
      </c>
      <c r="D290" s="2110">
        <f t="shared" ca="1" si="46"/>
        <v>7.6073624423784736E-2</v>
      </c>
      <c r="E290" s="2110">
        <f t="shared" ca="1" si="47"/>
        <v>7.6073624423784736E-2</v>
      </c>
      <c r="F290" s="2110">
        <f t="shared" ca="1" si="47"/>
        <v>7.6073624423784736E-2</v>
      </c>
      <c r="G290" s="2110">
        <f t="shared" ca="1" si="47"/>
        <v>7.6073624423784736E-2</v>
      </c>
      <c r="I290" s="16"/>
      <c r="P290"/>
      <c r="Q290"/>
      <c r="AA290" s="2106">
        <v>7</v>
      </c>
      <c r="AB290" s="2109" t="str">
        <f t="shared" si="48"/>
        <v>VOL. CHANGE IN INVENTORIES</v>
      </c>
      <c r="AC290" s="2110">
        <f t="shared" si="49"/>
        <v>3.4495300000000002</v>
      </c>
      <c r="AD290" s="2110">
        <f t="shared" si="50"/>
        <v>0.81334558316311245</v>
      </c>
      <c r="AE290" s="2110">
        <f t="shared" si="51"/>
        <v>0.81334558316311245</v>
      </c>
      <c r="AF290" s="2110">
        <f t="shared" si="51"/>
        <v>0.81334558316311245</v>
      </c>
      <c r="AG290" s="2110">
        <f t="shared" si="51"/>
        <v>0.81334558316311245</v>
      </c>
    </row>
    <row r="291" spans="1:33">
      <c r="A291" s="2106">
        <v>8</v>
      </c>
      <c r="B291" s="2109" t="str">
        <f t="shared" si="44"/>
        <v>VOL. EXPORTS OF GOODS (FOB)</v>
      </c>
      <c r="C291" s="2110">
        <f t="shared" ca="1" si="45"/>
        <v>22.30939</v>
      </c>
      <c r="D291" s="2110">
        <f t="shared" ca="1" si="46"/>
        <v>22.614434177780485</v>
      </c>
      <c r="E291" s="2110">
        <f t="shared" ca="1" si="47"/>
        <v>25.375731662334346</v>
      </c>
      <c r="F291" s="2110">
        <f t="shared" ca="1" si="47"/>
        <v>26.695269708775733</v>
      </c>
      <c r="G291" s="2110">
        <f t="shared" ca="1" si="47"/>
        <v>27.86986157596187</v>
      </c>
      <c r="I291" s="16"/>
      <c r="P291"/>
      <c r="Q291"/>
      <c r="AA291" s="2106">
        <v>8</v>
      </c>
      <c r="AB291" s="2109" t="str">
        <f t="shared" si="48"/>
        <v>VOL. EXPORTS OF GOODS (FOB)</v>
      </c>
      <c r="AC291" s="2110">
        <f t="shared" si="49"/>
        <v>69.57683999999999</v>
      </c>
      <c r="AD291" s="2110">
        <f t="shared" si="50"/>
        <v>76.791236214334702</v>
      </c>
      <c r="AE291" s="2110">
        <f t="shared" si="51"/>
        <v>81.398710387194782</v>
      </c>
      <c r="AF291" s="2110">
        <f t="shared" si="51"/>
        <v>87.015221403911198</v>
      </c>
      <c r="AG291" s="2110">
        <f t="shared" si="51"/>
        <v>93.193302123588879</v>
      </c>
    </row>
    <row r="292" spans="1:33">
      <c r="A292" s="2106">
        <v>9</v>
      </c>
      <c r="B292" s="2109" t="str">
        <f t="shared" si="44"/>
        <v>VOL. EXPORTS OF SERVICES</v>
      </c>
      <c r="C292" s="2110">
        <f t="shared" ca="1" si="45"/>
        <v>6.0737700000000006</v>
      </c>
      <c r="D292" s="2110">
        <f t="shared" ca="1" si="46"/>
        <v>6.7492574056871453</v>
      </c>
      <c r="E292" s="2110">
        <f t="shared" ca="1" si="47"/>
        <v>7.8642796793362901</v>
      </c>
      <c r="F292" s="2110">
        <f t="shared" ca="1" si="47"/>
        <v>8.3754578584931494</v>
      </c>
      <c r="G292" s="2110">
        <f t="shared" ca="1" si="47"/>
        <v>8.75235346212534</v>
      </c>
      <c r="I292" s="16"/>
      <c r="P292"/>
      <c r="Q292"/>
      <c r="AA292" s="2106">
        <v>9</v>
      </c>
      <c r="AB292" s="2109" t="str">
        <f t="shared" si="48"/>
        <v>VOL. EXPORTS OF SERVICES</v>
      </c>
      <c r="AC292" s="2110">
        <f t="shared" si="49"/>
        <v>12.97217</v>
      </c>
      <c r="AD292" s="2110">
        <f t="shared" si="50"/>
        <v>15.480490707952432</v>
      </c>
      <c r="AE292" s="2110">
        <f t="shared" si="51"/>
        <v>16.347398187597769</v>
      </c>
      <c r="AF292" s="2110">
        <f t="shared" si="51"/>
        <v>17.295547282478442</v>
      </c>
      <c r="AG292" s="2110">
        <f t="shared" si="51"/>
        <v>18.315984572144671</v>
      </c>
    </row>
    <row r="293" spans="1:33">
      <c r="A293" s="2106">
        <v>10</v>
      </c>
      <c r="B293" s="2109" t="str">
        <f t="shared" si="44"/>
        <v>VOL. IMPORTS OF GOODS (FOB)</v>
      </c>
      <c r="C293" s="2110">
        <f t="shared" ca="1" si="45"/>
        <v>24.296279999999999</v>
      </c>
      <c r="D293" s="2110">
        <f t="shared" ca="1" si="46"/>
        <v>25.022739903926134</v>
      </c>
      <c r="E293" s="2110">
        <f t="shared" ca="1" si="47"/>
        <v>28.212662109084743</v>
      </c>
      <c r="F293" s="2110">
        <f t="shared" ca="1" si="47"/>
        <v>30.04648514617525</v>
      </c>
      <c r="G293" s="2110">
        <f t="shared" ca="1" si="47"/>
        <v>31.608902373776367</v>
      </c>
      <c r="I293" s="16"/>
      <c r="P293"/>
      <c r="Q293"/>
      <c r="AA293" s="2106">
        <v>10</v>
      </c>
      <c r="AB293" s="2109" t="str">
        <f t="shared" si="48"/>
        <v>VOL. IMPORTS OF GOODS (FOB)</v>
      </c>
      <c r="AC293" s="2110">
        <f t="shared" si="49"/>
        <v>75.818669999999997</v>
      </c>
      <c r="AD293" s="2110">
        <f t="shared" si="50"/>
        <v>79.068140453008553</v>
      </c>
      <c r="AE293" s="2110">
        <f t="shared" si="51"/>
        <v>83.970365161095089</v>
      </c>
      <c r="AF293" s="2110">
        <f t="shared" si="51"/>
        <v>90.100201817855023</v>
      </c>
      <c r="AG293" s="2110">
        <f t="shared" si="51"/>
        <v>96.947817156012007</v>
      </c>
    </row>
    <row r="294" spans="1:33">
      <c r="A294" s="2106">
        <v>11</v>
      </c>
      <c r="B294" s="2109" t="str">
        <f t="shared" si="44"/>
        <v>VOL. IMPORTS OF SERVICES</v>
      </c>
      <c r="C294" s="2110">
        <f t="shared" ca="1" si="45"/>
        <v>4.2663700000000002</v>
      </c>
      <c r="D294" s="2110">
        <f t="shared" ca="1" si="46"/>
        <v>4.5475389925779508</v>
      </c>
      <c r="E294" s="2110">
        <f t="shared" ca="1" si="47"/>
        <v>5.1452341857011845</v>
      </c>
      <c r="F294" s="2110">
        <f t="shared" ca="1" si="47"/>
        <v>5.4796744077717605</v>
      </c>
      <c r="G294" s="2110">
        <f t="shared" ca="1" si="47"/>
        <v>5.7481784537525762</v>
      </c>
      <c r="I294" s="16"/>
      <c r="P294"/>
      <c r="Q294"/>
      <c r="AA294" s="2106">
        <v>11</v>
      </c>
      <c r="AB294" s="2109" t="str">
        <f t="shared" si="48"/>
        <v>VOL. IMPORTS OF SERVICES</v>
      </c>
      <c r="AC294" s="2110">
        <f t="shared" si="49"/>
        <v>9.6391399999999994</v>
      </c>
      <c r="AD294" s="2110">
        <f t="shared" si="50"/>
        <v>11.631825466660667</v>
      </c>
      <c r="AE294" s="2110">
        <f t="shared" si="51"/>
        <v>12.306471343726987</v>
      </c>
      <c r="AF294" s="2110">
        <f t="shared" si="51"/>
        <v>13.032553153006878</v>
      </c>
      <c r="AG294" s="2110">
        <f t="shared" si="51"/>
        <v>13.814506342187292</v>
      </c>
    </row>
    <row r="295" spans="1:33">
      <c r="A295" s="2106">
        <v>12</v>
      </c>
      <c r="B295" s="2109" t="str">
        <f t="shared" si="44"/>
        <v>VOL. GROSS DOMESTIC PRODUCT</v>
      </c>
      <c r="C295" s="2110">
        <f t="shared" ca="1" si="45"/>
        <v>37.426610000000004</v>
      </c>
      <c r="D295" s="2110">
        <f t="shared" ca="1" si="46"/>
        <v>38.304220191653336</v>
      </c>
      <c r="E295" s="2110">
        <f ca="1">IF($C$280=1,D295*E112/D147,E112)</f>
        <v>40.052888678200766</v>
      </c>
      <c r="F295" s="2110">
        <f t="shared" ca="1" si="47"/>
        <v>41.302774052564843</v>
      </c>
      <c r="G295" s="2110">
        <f t="shared" ca="1" si="47"/>
        <v>42.3942674058056</v>
      </c>
      <c r="I295" s="16"/>
      <c r="P295"/>
      <c r="Q295"/>
      <c r="AA295" s="2106">
        <v>12</v>
      </c>
      <c r="AB295" s="2109" t="str">
        <f t="shared" si="48"/>
        <v>VOL. GROSS DOMESTIC PRODUCT</v>
      </c>
      <c r="AC295" s="2110">
        <f t="shared" si="49"/>
        <v>106.89341</v>
      </c>
      <c r="AD295" s="2110">
        <f t="shared" si="50"/>
        <v>110.8049598330383</v>
      </c>
      <c r="AE295" s="2110">
        <f t="shared" si="51"/>
        <v>114.7763174048652</v>
      </c>
      <c r="AF295" s="2110">
        <f t="shared" si="51"/>
        <v>118.92890783934111</v>
      </c>
      <c r="AG295" s="2110">
        <f t="shared" si="51"/>
        <v>123.59564819954124</v>
      </c>
    </row>
    <row r="296" spans="1:33">
      <c r="A296" s="2106">
        <v>28</v>
      </c>
      <c r="B296" s="2158" t="str">
        <f>+B128</f>
        <v xml:space="preserve">VOL. FIXED INVESTMENT GOVERNMENT  </v>
      </c>
      <c r="C296" s="2159">
        <f ca="1">IF($C$280=1,D296/(D128/C226),C128)</f>
        <v>1.3745099999999999</v>
      </c>
      <c r="D296" s="2159">
        <f ca="1">+D128</f>
        <v>1.1652424242424242</v>
      </c>
      <c r="E296" s="2159">
        <f ca="1">IF($C$280=1,D296*E128/D226,E128)</f>
        <v>1.2001996969696969</v>
      </c>
      <c r="F296" s="2159">
        <f ca="1">IF($C$280=1,E296*F128/E226,F128)</f>
        <v>1.2762923577575755</v>
      </c>
      <c r="G296" s="2159">
        <f ca="1">IF($C$280=1,F296*G128/F226,G128)</f>
        <v>1.3337255138566664</v>
      </c>
      <c r="I296" s="16"/>
      <c r="P296"/>
      <c r="Q296"/>
      <c r="AA296" s="2106">
        <v>28</v>
      </c>
      <c r="AB296" s="2158" t="str">
        <f>+AB128</f>
        <v xml:space="preserve">VOL. FIXED INVESTMENT GOVERNMENT  </v>
      </c>
      <c r="AC296" s="2159">
        <f>IF($C$280=1,AD296/(AD128/AC226),AC128)</f>
        <v>4.65747</v>
      </c>
      <c r="AD296" s="2159">
        <f>+AD128</f>
        <v>4.250299334701805</v>
      </c>
      <c r="AE296" s="2159">
        <f>IF($C$280=1,AD296*AE128/AD226,AE128)</f>
        <v>4.4264690280170234</v>
      </c>
      <c r="AF296" s="2159">
        <f>IF($C$280=1,AE296*AF128/AE226,AF128)</f>
        <v>4.6898848963785245</v>
      </c>
      <c r="AG296" s="2159">
        <f>IF($C$280=1,AF296*AG128/AF226,AG128)</f>
        <v>4.9689764464776491</v>
      </c>
    </row>
    <row r="297" spans="1:33">
      <c r="A297" s="2106">
        <v>29</v>
      </c>
      <c r="B297" s="2158" t="str">
        <f>+B129</f>
        <v>FOR FUTURE USE</v>
      </c>
      <c r="C297" s="2160">
        <f>IF(C129=-9999,-9999,IF($C$280=1,D297/(D129/C209),C129))</f>
        <v>-9999</v>
      </c>
      <c r="D297" s="2160">
        <f>+D129</f>
        <v>-9999</v>
      </c>
      <c r="E297" s="2160">
        <f>IF(E129=-9999,-9999,IF($C$280=1,D297*E129/D209,E129))</f>
        <v>-9999</v>
      </c>
      <c r="F297" s="2160">
        <f>IF(F129=-9999,-9999,IF($C$280=1,E297*F129/E209,F129))</f>
        <v>-9999</v>
      </c>
      <c r="G297" s="2160">
        <f>IF(G129=-9999,-9999,IF($C$280=1,F297*G129/F209,G129))</f>
        <v>-9999</v>
      </c>
      <c r="I297" s="16"/>
      <c r="P297"/>
      <c r="Q297"/>
      <c r="AA297" s="2106">
        <v>29</v>
      </c>
      <c r="AB297" s="2158" t="str">
        <f>+AB129</f>
        <v>FOR FUTURE USE</v>
      </c>
      <c r="AC297" s="2160">
        <f>IF(AC129=-9999,-9999,IF($C$280=1,AD297/(AD129/AC209),AC129))</f>
        <v>-9999</v>
      </c>
      <c r="AD297" s="2160">
        <f>+AD129</f>
        <v>-9999</v>
      </c>
      <c r="AE297" s="2160">
        <f>IF(AE129=-9999,-9999,IF($C$280=1,AD297*AE129/AD209,AE129))</f>
        <v>-9999</v>
      </c>
      <c r="AF297" s="2160">
        <f>IF(AF129=-9999,-9999,IF($C$280=1,AE297*AF129/AE209,AF129))</f>
        <v>-9999</v>
      </c>
      <c r="AG297" s="2160">
        <f>IF(AG129=-9999,-9999,IF($C$280=1,AF297*AG129/AF209,AG129))</f>
        <v>-9999</v>
      </c>
    </row>
    <row r="298" spans="1:33">
      <c r="A298" s="2106">
        <v>30</v>
      </c>
      <c r="B298" s="2158" t="str">
        <f>+B130</f>
        <v>FOR FUTURE USE</v>
      </c>
      <c r="C298" s="2160">
        <f>IF(C130=-9999,-9999,IF($C$280=1,D298/(D130/C196),C130))</f>
        <v>-9999</v>
      </c>
      <c r="D298" s="2160">
        <f>+D130</f>
        <v>-9999</v>
      </c>
      <c r="E298" s="2160">
        <f>IF(E130=-9999,-9999,IF($C$280=1,D298*E130/D196,E130))</f>
        <v>-9999</v>
      </c>
      <c r="F298" s="2160">
        <f>IF(F130=-9999,-9999,IF($C$280=1,E298*F130/E196,F130))</f>
        <v>-9999</v>
      </c>
      <c r="G298" s="2160">
        <f>IF(G130=-9999,-9999,IF($C$280=1,F298*G130/F196,G130))</f>
        <v>-9999</v>
      </c>
      <c r="I298" s="16"/>
      <c r="P298"/>
      <c r="Q298"/>
      <c r="AA298" s="2106">
        <v>30</v>
      </c>
      <c r="AB298" s="2158" t="str">
        <f>+AB130</f>
        <v>FOR FUTURE USE</v>
      </c>
      <c r="AC298" s="2160">
        <f>IF(AC130=-9999,-9999,IF($C$280=1,AD298/(AD130/AC196),AC130))</f>
        <v>-9999</v>
      </c>
      <c r="AD298" s="2160">
        <f>+AD130</f>
        <v>-9999</v>
      </c>
      <c r="AE298" s="2160">
        <f>IF(AE130=-9999,-9999,IF($C$280=1,AD298*AE130/AD196,AE130))</f>
        <v>-9999</v>
      </c>
      <c r="AF298" s="2160">
        <f>IF(AF130=-9999,-9999,IF($C$280=1,AE298*AF130/AE196,AF130))</f>
        <v>-9999</v>
      </c>
      <c r="AG298" s="2160">
        <f>IF(AG130=-9999,-9999,IF($C$280=1,AF298*AG130/AF196,AG130))</f>
        <v>-9999</v>
      </c>
    </row>
    <row r="299" spans="1:33">
      <c r="A299" s="2106">
        <v>31</v>
      </c>
      <c r="B299" s="2158" t="str">
        <f>+B131</f>
        <v>VOL. FIXED INVESTMENT HOUSING</v>
      </c>
      <c r="C299" s="2159">
        <f ca="1">IF($C$280=1,D299/(D131/C133),C131)</f>
        <v>1.05339</v>
      </c>
      <c r="D299" s="2159">
        <f ca="1">+D131</f>
        <v>1.1247678027438224</v>
      </c>
      <c r="E299" s="2159">
        <f t="shared" ref="E299:G300" ca="1" si="52">IF($C$280=1,D299*E131/D133,E131)</f>
        <v>1.0729250994855335</v>
      </c>
      <c r="F299" s="2159">
        <f t="shared" ca="1" si="52"/>
        <v>1.110477477967527</v>
      </c>
      <c r="G299" s="2159">
        <f t="shared" ca="1" si="52"/>
        <v>1.1304660725709426</v>
      </c>
      <c r="I299" s="16"/>
      <c r="P299"/>
      <c r="Q299"/>
      <c r="AA299" s="2106">
        <v>31</v>
      </c>
      <c r="AB299" s="2158" t="str">
        <f>+AB131</f>
        <v>VOL. FIXED INVESTMENT HOUSING</v>
      </c>
      <c r="AC299" s="2159">
        <f>IF($C$280=1,AD299/(AD131/AC133),AC131)</f>
        <v>1.8934800000000001</v>
      </c>
      <c r="AD299" s="2159">
        <f>+AD131</f>
        <v>1.9365422861736739</v>
      </c>
      <c r="AE299" s="2159">
        <f t="shared" ref="AE299:AG300" si="53">IF($C$280=1,AD299*AE131/AD133,AE131)</f>
        <v>1.9946385547588843</v>
      </c>
      <c r="AF299" s="2159">
        <f t="shared" si="53"/>
        <v>2.0744240969492398</v>
      </c>
      <c r="AG299" s="2159">
        <f t="shared" si="53"/>
        <v>2.1574010608272101</v>
      </c>
    </row>
    <row r="300" spans="1:33">
      <c r="A300" s="2106">
        <v>32</v>
      </c>
      <c r="B300" s="2158" t="str">
        <f>+B132</f>
        <v>FOR FUTURE USE</v>
      </c>
      <c r="C300" s="2159">
        <f>IF($C$280=1,D300/(D132/C134),C132)</f>
        <v>-9999</v>
      </c>
      <c r="D300" s="2159">
        <f>+D132</f>
        <v>-9999</v>
      </c>
      <c r="E300" s="2159">
        <f t="shared" si="52"/>
        <v>-9999</v>
      </c>
      <c r="F300" s="2159">
        <f t="shared" si="52"/>
        <v>-9999</v>
      </c>
      <c r="G300" s="2159">
        <f t="shared" si="52"/>
        <v>-9999</v>
      </c>
      <c r="I300" s="16"/>
      <c r="P300"/>
      <c r="Q300"/>
      <c r="AA300" s="2106">
        <v>32</v>
      </c>
      <c r="AB300" s="2158" t="str">
        <f>+AB132</f>
        <v>FOR FUTURE USE</v>
      </c>
      <c r="AC300" s="2159">
        <f>IF($C$280=1,AD300/(AD132/AC134),AC132)</f>
        <v>-9999</v>
      </c>
      <c r="AD300" s="2159">
        <f>+AD132</f>
        <v>-9999</v>
      </c>
      <c r="AE300" s="2159">
        <f t="shared" si="53"/>
        <v>-9999</v>
      </c>
      <c r="AF300" s="2159">
        <f t="shared" si="53"/>
        <v>-9999</v>
      </c>
      <c r="AG300" s="2159">
        <f t="shared" si="53"/>
        <v>-9999</v>
      </c>
    </row>
    <row r="301" spans="1:33">
      <c r="A301" s="2106">
        <v>58</v>
      </c>
      <c r="B301" s="2109" t="str">
        <f>+B158</f>
        <v>VOL GROSS VALUE ADDED</v>
      </c>
      <c r="C301" s="2110">
        <f ca="1">IF($C$280=1,D301/(D158/C157),C158)</f>
        <v>33.709150000000001</v>
      </c>
      <c r="D301" s="2110">
        <f ca="1">+D158</f>
        <v>34.499586109841616</v>
      </c>
      <c r="E301" s="2110">
        <f ca="1">IF($C$280=1,D301*E158/D157,E158)</f>
        <v>35.820548754876221</v>
      </c>
      <c r="F301" s="2110">
        <f ca="1">IF($C$280=1,E301*F158/E157,F158)</f>
        <v>36.822683040971974</v>
      </c>
      <c r="G301" s="2110">
        <f ca="1">IF($C$280=1,F301*G158/F157,G158)</f>
        <v>37.784530448310605</v>
      </c>
      <c r="I301" s="16"/>
      <c r="P301"/>
      <c r="Q301"/>
      <c r="AA301" s="2106">
        <v>58</v>
      </c>
      <c r="AB301" s="2109" t="str">
        <f>+AB158</f>
        <v>VOL GROSS VALUE ADDED</v>
      </c>
      <c r="AC301" s="2110">
        <f>IF($C$280=1,AD301/(AD158/AC157),AC158)</f>
        <v>96.066119999999998</v>
      </c>
      <c r="AD301" s="2110">
        <f>+AD158</f>
        <v>99.581462897096031</v>
      </c>
      <c r="AE301" s="2110">
        <f>IF($C$280=1,AD301*AE158/AD157,AE158)</f>
        <v>103.69162163026689</v>
      </c>
      <c r="AF301" s="2110">
        <f>IF($C$280=1,AE301*AF158/AE157,AF158)</f>
        <v>107.65018763873299</v>
      </c>
      <c r="AG301" s="2110">
        <f>IF($C$280=1,AF301*AG158/AF157,AG158)</f>
        <v>111.97160314616288</v>
      </c>
    </row>
    <row r="302" spans="1:33">
      <c r="A302" s="2106">
        <v>66</v>
      </c>
      <c r="B302" s="2109" t="str">
        <f>+B166</f>
        <v>FOR FUTURE USE</v>
      </c>
      <c r="C302" s="2110">
        <f>IF($C$280=1,D302/(D166/C165),C166)</f>
        <v>-9999</v>
      </c>
      <c r="D302" s="2110">
        <f>+D166</f>
        <v>-9999</v>
      </c>
      <c r="E302" s="2110">
        <f>IF($C$280=1,D302*E166/D165,E166)</f>
        <v>-9999</v>
      </c>
      <c r="F302" s="2110">
        <f>IF($C$280=1,E302*F166/E165,F166)</f>
        <v>-9999</v>
      </c>
      <c r="G302" s="2110">
        <f>IF($C$280=1,F302*G166/F165,G166)</f>
        <v>-9999</v>
      </c>
      <c r="I302" s="16"/>
      <c r="P302"/>
      <c r="Q302"/>
      <c r="AA302" s="2106">
        <v>66</v>
      </c>
      <c r="AB302" s="2109" t="str">
        <f>+AB166</f>
        <v>FOR FUTURE USE</v>
      </c>
      <c r="AC302" s="2110">
        <f>IF($C$280=1,AD302/(AD166/AC165),AC166)</f>
        <v>-9999</v>
      </c>
      <c r="AD302" s="2110">
        <f>+AD166</f>
        <v>-9999</v>
      </c>
      <c r="AE302" s="2110">
        <f>IF($C$280=1,AD302*AE166/AD165,AE166)</f>
        <v>-9999</v>
      </c>
      <c r="AF302" s="2110">
        <f>IF($C$280=1,AE302*AF166/AE165,AF166)</f>
        <v>-9999</v>
      </c>
      <c r="AG302" s="2110">
        <f>IF($C$280=1,AF302*AG166/AF165,AG166)</f>
        <v>-9999</v>
      </c>
    </row>
    <row r="303" spans="1:33">
      <c r="B303" s="2107" t="s">
        <v>2114</v>
      </c>
      <c r="C303" s="25"/>
      <c r="D303" s="25"/>
      <c r="E303" s="25"/>
      <c r="F303" s="25"/>
      <c r="G303" s="25"/>
      <c r="P303"/>
      <c r="Q303"/>
      <c r="AA303" s="15"/>
      <c r="AB303" s="2107" t="s">
        <v>2114</v>
      </c>
      <c r="AC303" s="25"/>
      <c r="AD303" s="25"/>
      <c r="AE303" s="25"/>
      <c r="AF303" s="25"/>
      <c r="AG303" s="25"/>
    </row>
    <row r="304" spans="1:33">
      <c r="B304" s="2108" t="s">
        <v>66</v>
      </c>
      <c r="C304" s="2108"/>
      <c r="D304" s="2108"/>
      <c r="E304" s="2108"/>
      <c r="F304" s="2108"/>
      <c r="G304" s="2108"/>
      <c r="P304"/>
      <c r="Q304"/>
      <c r="AA304" s="15"/>
      <c r="AB304" s="2108" t="s">
        <v>66</v>
      </c>
      <c r="AC304" s="2108"/>
      <c r="AD304" s="2108"/>
      <c r="AE304" s="2108"/>
      <c r="AF304" s="2108"/>
      <c r="AG304" s="2108"/>
    </row>
    <row r="305" spans="2:33">
      <c r="B305" s="2109" t="s">
        <v>1973</v>
      </c>
      <c r="C305" s="2110">
        <f ca="1">+C136+C137+C138</f>
        <v>37.227629999999998</v>
      </c>
      <c r="D305" s="2110">
        <f ca="1">+D136+D137+D138</f>
        <v>38.814410000000002</v>
      </c>
      <c r="E305" s="2110">
        <f ca="1">+E136+E137+E138</f>
        <v>41.588830000000002</v>
      </c>
      <c r="F305" s="2110">
        <f ca="1">+F136+F137+F138</f>
        <v>44.370103413437995</v>
      </c>
      <c r="G305" s="2110">
        <f ca="1">+G136+G137+G138</f>
        <v>46.902641803084137</v>
      </c>
      <c r="P305"/>
      <c r="Q305"/>
      <c r="AA305" s="15"/>
      <c r="AB305" s="2109" t="s">
        <v>1973</v>
      </c>
      <c r="AC305" s="2110">
        <f>+AC136+AC137+AC138</f>
        <v>106.35267999999999</v>
      </c>
      <c r="AD305" s="2110">
        <f>+AD136+AD137+AD138</f>
        <v>110.90951</v>
      </c>
      <c r="AE305" s="2110">
        <f>+AE136+AE137+AE138</f>
        <v>116.94397171598915</v>
      </c>
      <c r="AF305" s="2110">
        <f>+AF136+AF137+AF138</f>
        <v>124.30981323039026</v>
      </c>
      <c r="AG305" s="2110">
        <f>+AG136+AG137+AG138</f>
        <v>133.2737596098261</v>
      </c>
    </row>
    <row r="306" spans="2:33">
      <c r="B306" s="2109" t="s">
        <v>1974</v>
      </c>
      <c r="C306" s="2110">
        <f ca="1">+C101+C102+C103</f>
        <v>37.004631496806013</v>
      </c>
      <c r="D306" s="2110">
        <f ca="1">+D101+D102+D103</f>
        <v>38.434734206398261</v>
      </c>
      <c r="E306" s="2110">
        <f ca="1">+E101+E102+E103</f>
        <v>40.392966039442157</v>
      </c>
      <c r="F306" s="2110">
        <f ca="1">+F101+F102+F103</f>
        <v>43.1662115656084</v>
      </c>
      <c r="G306" s="2110">
        <f ca="1">+G101+G102+G103</f>
        <v>45.77309451366559</v>
      </c>
      <c r="P306"/>
      <c r="Q306"/>
      <c r="AA306" s="15"/>
      <c r="AB306" s="2109" t="s">
        <v>1974</v>
      </c>
      <c r="AC306" s="2110">
        <f>+AC101+AC102+AC103</f>
        <v>102.82869807516212</v>
      </c>
      <c r="AD306" s="2110">
        <f>+AD101+AD102+AD103</f>
        <v>108.41984264462073</v>
      </c>
      <c r="AE306" s="2110">
        <f>+AE101+AE102+AE103</f>
        <v>115.13538573</v>
      </c>
      <c r="AF306" s="2110">
        <f>+AF101+AF102+AF103</f>
        <v>121.61527792891448</v>
      </c>
      <c r="AG306" s="2110">
        <f>+AG101+AG102+AG103</f>
        <v>129.76935337628379</v>
      </c>
    </row>
    <row r="307" spans="2:33">
      <c r="B307" s="2109" t="s">
        <v>1975</v>
      </c>
      <c r="C307" s="2110">
        <f ca="1">IF($C$280=1,D307/(D306/C305),C306)</f>
        <v>37.227629999999998</v>
      </c>
      <c r="D307" s="2110">
        <f ca="1">+D306</f>
        <v>38.434734206398261</v>
      </c>
      <c r="E307" s="2110">
        <f ca="1">IF($C$280=1,D307*E306/D305,E306)</f>
        <v>39.997849085791351</v>
      </c>
      <c r="F307" s="2110">
        <f ca="1">IF($C$280=1,E307*F306/E305,F306)</f>
        <v>41.514887911166191</v>
      </c>
      <c r="G307" s="2110">
        <f ca="1">IF($C$280=1,F307*G306/F305,G306)</f>
        <v>42.827596554722611</v>
      </c>
      <c r="P307"/>
      <c r="Q307"/>
      <c r="AA307" s="15"/>
      <c r="AB307" s="2109" t="s">
        <v>1975</v>
      </c>
      <c r="AC307" s="2110">
        <f>IF($C$280=1,AD307/(AD306/AC305),AC306)</f>
        <v>106.35267999999999</v>
      </c>
      <c r="AD307" s="2110">
        <f>+AD306</f>
        <v>108.41984264462073</v>
      </c>
      <c r="AE307" s="2110">
        <f>IF($C$280=1,AD307*AE306/AD305,AE306)</f>
        <v>112.55085703357911</v>
      </c>
      <c r="AF307" s="2110">
        <f>IF($C$280=1,AE307*AF306/AE305,AF306)</f>
        <v>117.04668105953139</v>
      </c>
      <c r="AG307" s="2110">
        <f>IF($C$280=1,AF307*AG306/AF305,AG306)</f>
        <v>122.18723302065271</v>
      </c>
    </row>
    <row r="308" spans="2:33">
      <c r="B308" s="2158" t="s">
        <v>2110</v>
      </c>
      <c r="C308" s="2159">
        <f ca="1">+C136+C137+C138+C142</f>
        <v>37.606099999999998</v>
      </c>
      <c r="D308" s="2159">
        <f ca="1">+D136+D137+D138+D142</f>
        <v>38.168430000000001</v>
      </c>
      <c r="E308" s="2159">
        <f ca="1">+E136+E137+E138+E142</f>
        <v>40.94285</v>
      </c>
      <c r="F308" s="2159">
        <f ca="1">+F136+F137+F138+F142</f>
        <v>43.724123413437994</v>
      </c>
      <c r="G308" s="2159">
        <f ca="1">+G136+G137+G138+G142</f>
        <v>46.256661803084135</v>
      </c>
      <c r="P308"/>
      <c r="Q308"/>
      <c r="AA308" s="15"/>
      <c r="AB308" s="2158" t="s">
        <v>2110</v>
      </c>
      <c r="AC308" s="2159">
        <f>+AC136+AC137+AC138+AC142</f>
        <v>109.80220999999999</v>
      </c>
      <c r="AD308" s="2159">
        <f>+AD136+AD137+AD138+AD142</f>
        <v>112.80328</v>
      </c>
      <c r="AE308" s="2159">
        <f>+AE136+AE137+AE138+AE142</f>
        <v>118.83774171598915</v>
      </c>
      <c r="AF308" s="2159">
        <f>+AF136+AF137+AF138+AF142</f>
        <v>126.20358323039027</v>
      </c>
      <c r="AG308" s="2159">
        <f>+AG136+AG137+AG138+AG142</f>
        <v>135.16752960982609</v>
      </c>
    </row>
    <row r="309" spans="2:33">
      <c r="B309" s="2158" t="s">
        <v>2111</v>
      </c>
      <c r="C309" s="2159">
        <f ca="1">+C101+C102+C103+C107</f>
        <v>38.452196315678933</v>
      </c>
      <c r="D309" s="2159">
        <f ca="1">+D101+D102+D103+D107</f>
        <v>38.510807830822046</v>
      </c>
      <c r="E309" s="2159">
        <f ca="1">+E101+E102+E103+E107</f>
        <v>39.746986039442156</v>
      </c>
      <c r="F309" s="2159">
        <f ca="1">+F101+F102+F103+F107</f>
        <v>42.520231565608398</v>
      </c>
      <c r="G309" s="2159">
        <f ca="1">+G101+G102+G103+G107</f>
        <v>45.127114513665589</v>
      </c>
      <c r="P309"/>
      <c r="Q309"/>
      <c r="AA309" s="15"/>
      <c r="AB309" s="2158" t="s">
        <v>2111</v>
      </c>
      <c r="AC309" s="2159">
        <f>+AC101+AC102+AC103+AC107</f>
        <v>103.31376054787738</v>
      </c>
      <c r="AD309" s="2159">
        <f>+AD101+AD102+AD103+AD107</f>
        <v>109.23318822778384</v>
      </c>
      <c r="AE309" s="2159">
        <f>+AE101+AE102+AE103+AE107</f>
        <v>117.02915573</v>
      </c>
      <c r="AF309" s="2159">
        <f>+AF101+AF102+AF103+AF107</f>
        <v>123.50904792891448</v>
      </c>
      <c r="AG309" s="2159">
        <f>+AG101+AG102+AG103+AG107</f>
        <v>131.66312337628378</v>
      </c>
    </row>
    <row r="310" spans="2:33">
      <c r="B310" s="2158" t="s">
        <v>2112</v>
      </c>
      <c r="C310" s="2159">
        <f ca="1">IF($C$280=1,D310/(D309/C308),C309)</f>
        <v>37.606099999999998</v>
      </c>
      <c r="D310" s="2159">
        <f ca="1">+D309</f>
        <v>38.510807830822046</v>
      </c>
      <c r="E310" s="2159">
        <f ca="1">IF($C$280=1,D310*E309/D308,E309)</f>
        <v>40.103523808008958</v>
      </c>
      <c r="F310" s="2159">
        <f ca="1">IF($C$280=1,E310*F309/E308,F309)</f>
        <v>41.648569137552236</v>
      </c>
      <c r="G310" s="2159">
        <f ca="1">IF($C$280=1,F310*G309/F308,G309)</f>
        <v>42.984961208462018</v>
      </c>
      <c r="P310"/>
      <c r="Q310"/>
      <c r="AA310" s="15"/>
      <c r="AB310" s="2158" t="s">
        <v>2112</v>
      </c>
      <c r="AC310" s="2159">
        <f>IF($C$280=1,AD310/(AD309/AC308),AC309)</f>
        <v>109.80220999999999</v>
      </c>
      <c r="AD310" s="2159">
        <f>+AD309</f>
        <v>109.23318822778384</v>
      </c>
      <c r="AE310" s="2159">
        <f>IF($C$280=1,AD310*AE309/AD308,AE309)</f>
        <v>113.32531993744968</v>
      </c>
      <c r="AF310" s="2159">
        <f>IF($C$280=1,AE310*AF309/AE308,AF309)</f>
        <v>117.77994237861589</v>
      </c>
      <c r="AG310" s="2159">
        <f>IF($C$280=1,AF310*AG309/AF308,AG309)</f>
        <v>122.87507761438179</v>
      </c>
    </row>
    <row r="311" spans="2:33">
      <c r="B311" s="2109" t="s">
        <v>69</v>
      </c>
      <c r="C311" s="2110">
        <f ca="1">+C143+C144</f>
        <v>28.38316</v>
      </c>
      <c r="D311" s="2110">
        <f ca="1">+D143+D144</f>
        <v>28.78913</v>
      </c>
      <c r="E311" s="2110">
        <f ca="1">+E143+E144</f>
        <v>34.033090000000001</v>
      </c>
      <c r="F311" s="2110">
        <f ca="1">+F143+F144</f>
        <v>36.754030068569996</v>
      </c>
      <c r="G311" s="2110">
        <f ca="1">+G143+G144</f>
        <v>39.157296745208775</v>
      </c>
      <c r="P311"/>
      <c r="Q311"/>
      <c r="AA311" s="15"/>
      <c r="AB311" s="2109" t="s">
        <v>69</v>
      </c>
      <c r="AC311" s="2110">
        <f>+AC143+AC144</f>
        <v>82.549009999999996</v>
      </c>
      <c r="AD311" s="2110">
        <f>+AD143+AD144</f>
        <v>95.468720000000005</v>
      </c>
      <c r="AE311" s="2110">
        <f>+AE143+AE144</f>
        <v>101.40266917392003</v>
      </c>
      <c r="AF311" s="2110">
        <f>+AF143+AF144</f>
        <v>109.9619903975223</v>
      </c>
      <c r="AG311" s="2110">
        <f>+AG143+AG144</f>
        <v>120.25234236435765</v>
      </c>
    </row>
    <row r="312" spans="2:33">
      <c r="B312" s="2109" t="s">
        <v>1186</v>
      </c>
      <c r="C312" s="2110">
        <f ca="1">+C108+C109</f>
        <v>29.550513387808323</v>
      </c>
      <c r="D312" s="2110">
        <f ca="1">+D108+D109</f>
        <v>29.363691583467631</v>
      </c>
      <c r="E312" s="2110">
        <f ca="1">+E108+E109</f>
        <v>32.600378463389681</v>
      </c>
      <c r="F312" s="2110">
        <f ca="1">+F108+F109</f>
        <v>35.910452890000002</v>
      </c>
      <c r="G312" s="2110">
        <f ca="1">+G108+G109</f>
        <v>38.38024623216333</v>
      </c>
      <c r="P312"/>
      <c r="Q312"/>
      <c r="AA312" s="15"/>
      <c r="AB312" s="2109" t="s">
        <v>1186</v>
      </c>
      <c r="AC312" s="2110">
        <f>+AC108+AC109</f>
        <v>73.933617233837751</v>
      </c>
      <c r="AD312" s="2110">
        <f>+AD108+AD109</f>
        <v>92.271726922287129</v>
      </c>
      <c r="AE312" s="2110">
        <f>+AE108+AE109</f>
        <v>101.13328232000001</v>
      </c>
      <c r="AF312" s="2110">
        <f>+AF108+AF109</f>
        <v>108.21376506662736</v>
      </c>
      <c r="AG312" s="2110">
        <f>+AG108+AG109</f>
        <v>117.5502586819694</v>
      </c>
    </row>
    <row r="313" spans="2:33">
      <c r="B313" s="2109" t="s">
        <v>1187</v>
      </c>
      <c r="C313" s="2110">
        <f ca="1">IF($C$280=1,D313/(D312/C311),C312)</f>
        <v>28.38316</v>
      </c>
      <c r="D313" s="2110">
        <f ca="1">+D312</f>
        <v>29.363691583467631</v>
      </c>
      <c r="E313" s="2110">
        <f ca="1">IF($C$280=1,D313*E312/D311,E312)</f>
        <v>33.251003371873168</v>
      </c>
      <c r="F313" s="2110">
        <f ca="1">IF($C$280=1,E313*F312/E311,F312)</f>
        <v>35.085224119551953</v>
      </c>
      <c r="G313" s="2110">
        <f ca="1">IF($C$280=1,F313*G312/F311,G312)</f>
        <v>36.637602415484764</v>
      </c>
      <c r="P313"/>
      <c r="Q313"/>
      <c r="AA313" s="15"/>
      <c r="AB313" s="2109" t="s">
        <v>1187</v>
      </c>
      <c r="AC313" s="2110">
        <f>IF($C$280=1,AD313/(AD312/AC311),AC312)</f>
        <v>82.549009999999996</v>
      </c>
      <c r="AD313" s="2110">
        <f>+AD312</f>
        <v>92.271726922287129</v>
      </c>
      <c r="AE313" s="2110">
        <f>IF($C$280=1,AD313*AE312/AD311,AE312)</f>
        <v>97.746598142151782</v>
      </c>
      <c r="AF313" s="2110">
        <f>IF($C$280=1,AE313*AF312/AE311,AF312)</f>
        <v>104.31212012057473</v>
      </c>
      <c r="AG313" s="2110">
        <f>IF($C$280=1,AF313*AG312/AF311,AG312)</f>
        <v>111.5105015788666</v>
      </c>
    </row>
    <row r="314" spans="2:33">
      <c r="B314" s="2158" t="s">
        <v>2113</v>
      </c>
      <c r="C314" s="2159">
        <f ca="1">+C136+C137+C138+C142+C143+C144</f>
        <v>65.989260000000002</v>
      </c>
      <c r="D314" s="2159">
        <f ca="1">+D136+D137+D138+D142+D143+D144</f>
        <v>66.957560000000001</v>
      </c>
      <c r="E314" s="2159">
        <f ca="1">+E136+E137+E138+E142+E143+E144</f>
        <v>74.975939999999994</v>
      </c>
      <c r="F314" s="2159">
        <f ca="1">+F136+F137+F138+F142+F143+F144</f>
        <v>80.478153482007983</v>
      </c>
      <c r="G314" s="2159">
        <f ca="1">+G136+G137+G138+G142+G143+G144</f>
        <v>85.413958548292911</v>
      </c>
      <c r="P314"/>
      <c r="Q314"/>
      <c r="AA314" s="15"/>
      <c r="AB314" s="2158" t="s">
        <v>2113</v>
      </c>
      <c r="AC314" s="2159">
        <f>+AC136+AC137+AC138+AC142+AC143+AC144</f>
        <v>192.35121999999998</v>
      </c>
      <c r="AD314" s="2159">
        <f>+AD136+AD137+AD138+AD142+AD143+AD144</f>
        <v>208.27199999999999</v>
      </c>
      <c r="AE314" s="2159">
        <f>+AE136+AE137+AE138+AE142+AE143+AE144</f>
        <v>220.24041088990919</v>
      </c>
      <c r="AF314" s="2159">
        <f>+AF136+AF137+AF138+AF142+AF143+AF144</f>
        <v>236.16557362791255</v>
      </c>
      <c r="AG314" s="2159">
        <f>+AG136+AG137+AG138+AG142+AG143+AG144</f>
        <v>255.41987197418374</v>
      </c>
    </row>
    <row r="315" spans="2:33">
      <c r="B315" s="2158" t="s">
        <v>1008</v>
      </c>
      <c r="C315" s="2159">
        <f ca="1">+C101+C102+C103+C107+C108+C109</f>
        <v>68.002709703487255</v>
      </c>
      <c r="D315" s="2159">
        <f ca="1">+D101+D102+D103+D107+D108+D109</f>
        <v>67.874499414289673</v>
      </c>
      <c r="E315" s="2159">
        <f ca="1">+E101+E102+E103+E107+E108+E109</f>
        <v>72.347364502831837</v>
      </c>
      <c r="F315" s="2159">
        <f ca="1">+F101+F102+F103+F107+F108+F109</f>
        <v>78.4306844556084</v>
      </c>
      <c r="G315" s="2159">
        <f ca="1">+G101+G102+G103+G107+G108+G109</f>
        <v>83.507360745828919</v>
      </c>
      <c r="P315"/>
      <c r="Q315"/>
      <c r="AA315" s="15"/>
      <c r="AB315" s="2158" t="s">
        <v>1008</v>
      </c>
      <c r="AC315" s="2159">
        <f>+AC101+AC102+AC103+AC107+AC108+AC109</f>
        <v>177.2473777817151</v>
      </c>
      <c r="AD315" s="2159">
        <f>+AD101+AD102+AD103+AD107+AD108+AD109</f>
        <v>201.50491515007099</v>
      </c>
      <c r="AE315" s="2159">
        <f>+AE101+AE102+AE103+AE107+AE108+AE109</f>
        <v>218.16243804999999</v>
      </c>
      <c r="AF315" s="2159">
        <f>+AF101+AF102+AF103+AF107+AF108+AF109</f>
        <v>231.72281299554186</v>
      </c>
      <c r="AG315" s="2159">
        <f>+AG101+AG102+AG103+AG107+AG108+AG109</f>
        <v>249.21338205825319</v>
      </c>
    </row>
    <row r="316" spans="2:33">
      <c r="B316" s="2158" t="s">
        <v>1009</v>
      </c>
      <c r="C316" s="2159">
        <f ca="1">IF($C$280=1,D316/(D315/C314),C315)</f>
        <v>65.989260000000002</v>
      </c>
      <c r="D316" s="2159">
        <f ca="1">+D315</f>
        <v>67.874499414289673</v>
      </c>
      <c r="E316" s="2159">
        <f ca="1">IF($C$280=1,D316*E315/D314,E315)</f>
        <v>73.338113718194947</v>
      </c>
      <c r="F316" s="2159">
        <f ca="1">IF($C$280=1,E316*F315/E314,F315)</f>
        <v>76.717390346840247</v>
      </c>
      <c r="G316" s="2159">
        <f ca="1">IF($C$280=1,F316*G315/F314,G315)</f>
        <v>79.605042039196604</v>
      </c>
      <c r="P316"/>
      <c r="Q316"/>
      <c r="AA316" s="15"/>
      <c r="AB316" s="2158" t="s">
        <v>1009</v>
      </c>
      <c r="AC316" s="2159">
        <f>IF($C$280=1,AD316/(AD315/AC314),AC315)</f>
        <v>192.35121999999998</v>
      </c>
      <c r="AD316" s="2159">
        <f>+AD315</f>
        <v>201.50491515007099</v>
      </c>
      <c r="AE316" s="2159">
        <f>IF($C$280=1,AD316*AE315/AD314,AE315)</f>
        <v>211.07399731215847</v>
      </c>
      <c r="AF316" s="2159">
        <f>IF($C$280=1,AE316*AF315/AE314,AF315)</f>
        <v>222.07850144193384</v>
      </c>
      <c r="AG316" s="2159">
        <f>IF($C$280=1,AF316*AG315/AF314,AG315)</f>
        <v>234.34801938563217</v>
      </c>
    </row>
    <row r="317" spans="2:33">
      <c r="B317" s="2109" t="s">
        <v>1010</v>
      </c>
      <c r="C317" s="2110">
        <f ca="1">+C145+C146</f>
        <v>28.562649999999998</v>
      </c>
      <c r="D317" s="2110">
        <f ca="1">+D145+D146</f>
        <v>28.28923</v>
      </c>
      <c r="E317" s="2110">
        <f ca="1">+E145+E146</f>
        <v>33.189959999999999</v>
      </c>
      <c r="F317" s="2110">
        <f ca="1">+F145+F146</f>
        <v>36.259617764249995</v>
      </c>
      <c r="G317" s="2110">
        <f ca="1">+G145+G146</f>
        <v>38.73026872054696</v>
      </c>
      <c r="P317"/>
      <c r="Q317"/>
      <c r="AA317" s="15"/>
      <c r="AB317" s="2109" t="s">
        <v>1010</v>
      </c>
      <c r="AC317" s="2110">
        <f>+AC145+AC146</f>
        <v>85.457809999999995</v>
      </c>
      <c r="AD317" s="2110">
        <f>+AD145+AD146</f>
        <v>94.537289999999999</v>
      </c>
      <c r="AE317" s="2110">
        <f>+AE145+AE146</f>
        <v>100.20063895044001</v>
      </c>
      <c r="AF317" s="2110">
        <f>+AF145+AF146</f>
        <v>108.73416094817132</v>
      </c>
      <c r="AG317" s="2110">
        <f>+AG145+AG146</f>
        <v>119.32001137946844</v>
      </c>
    </row>
    <row r="318" spans="2:33">
      <c r="B318" s="2109" t="s">
        <v>1011</v>
      </c>
      <c r="C318" s="2110">
        <f ca="1">+C110+C111</f>
        <v>30.690391232379326</v>
      </c>
      <c r="D318" s="2110">
        <f ca="1">+D110+D111</f>
        <v>29.570278896504085</v>
      </c>
      <c r="E318" s="2110">
        <f ca="1">+E110+E111</f>
        <v>31.913740977189804</v>
      </c>
      <c r="F318" s="2110">
        <f ca="1">+F110+F111</f>
        <v>35.347307399999991</v>
      </c>
      <c r="G318" s="2110">
        <f ca="1">+G110+G111</f>
        <v>38.127425982214497</v>
      </c>
      <c r="P318"/>
      <c r="Q318"/>
      <c r="AA318" s="15"/>
      <c r="AB318" s="2109" t="s">
        <v>1011</v>
      </c>
      <c r="AC318" s="2110">
        <f>+AC110+AC111</f>
        <v>75.784075079259168</v>
      </c>
      <c r="AD318" s="2110">
        <f>+AD110+AD111</f>
        <v>90.699965919669225</v>
      </c>
      <c r="AE318" s="2110">
        <f>+AE110+AE111</f>
        <v>100.35136574000001</v>
      </c>
      <c r="AF318" s="2110">
        <f>+AF110+AF111</f>
        <v>107.34001996550867</v>
      </c>
      <c r="AG318" s="2110">
        <f>+AG110+AG111</f>
        <v>116.78159326435622</v>
      </c>
    </row>
    <row r="319" spans="2:33">
      <c r="B319" s="2109" t="s">
        <v>1470</v>
      </c>
      <c r="C319" s="2110">
        <f ca="1">IF($C$280=1,D319/(D318/C317),C318)</f>
        <v>28.562650000000001</v>
      </c>
      <c r="D319" s="2110">
        <f ca="1">+D318</f>
        <v>29.570278896504085</v>
      </c>
      <c r="E319" s="2110">
        <f ca="1">IF($C$280=1,D319*E318/D317,E318)</f>
        <v>33.35892215257514</v>
      </c>
      <c r="F319" s="2110">
        <f ca="1">IF($C$280=1,E319*F318/E317,F318)</f>
        <v>35.527252092492517</v>
      </c>
      <c r="G319" s="2110">
        <f ca="1">IF($C$280=1,F319*G318/F317,G318)</f>
        <v>37.357334633668103</v>
      </c>
      <c r="P319"/>
      <c r="Q319"/>
      <c r="AA319" s="15"/>
      <c r="AB319" s="2109" t="s">
        <v>1470</v>
      </c>
      <c r="AC319" s="2110">
        <f>IF($C$280=1,AD319/(AD318/AC317),AC318)</f>
        <v>85.457809999999995</v>
      </c>
      <c r="AD319" s="2110">
        <f>+AD318</f>
        <v>90.699965919669225</v>
      </c>
      <c r="AE319" s="2110">
        <f>IF($C$280=1,AD319*AE318/AD317,AE318)</f>
        <v>96.278044913390914</v>
      </c>
      <c r="AF319" s="2110">
        <f>IF($C$280=1,AE319*AF318/AE317,AF318)</f>
        <v>103.13793775661487</v>
      </c>
      <c r="AG319" s="2110">
        <f>IF($C$280=1,AF319*AG318/AF317,AG318)</f>
        <v>110.77119271613832</v>
      </c>
    </row>
    <row r="320" spans="2:33">
      <c r="B320" s="2158" t="s">
        <v>1471</v>
      </c>
      <c r="C320" s="2159">
        <f ca="1">+C138-C226</f>
        <v>5.9507099999999999</v>
      </c>
      <c r="D320" s="2159">
        <f ca="1">+D138-D226</f>
        <v>6.1606100000000001</v>
      </c>
      <c r="E320" s="2159">
        <f ca="1">+E138-E226</f>
        <v>6.6434761943000007</v>
      </c>
      <c r="F320" s="2159">
        <f ca="1">+F138-F226</f>
        <v>7.2577242077391766</v>
      </c>
      <c r="G320" s="2159">
        <f ca="1">+G138-G226</f>
        <v>7.7261681742935524</v>
      </c>
      <c r="P320"/>
      <c r="Q320"/>
      <c r="AA320" s="15"/>
      <c r="AB320" s="2158" t="s">
        <v>1471</v>
      </c>
      <c r="AC320" s="2159">
        <f>+AC138-AC226</f>
        <v>14.612739999999999</v>
      </c>
      <c r="AD320" s="2159">
        <f>+AD138-AD226</f>
        <v>14.7606</v>
      </c>
      <c r="AE320" s="2159">
        <f>+AE138-AE226</f>
        <v>16.085428177743875</v>
      </c>
      <c r="AF320" s="2159">
        <f>+AF138-AF226</f>
        <v>18.068495310306279</v>
      </c>
      <c r="AG320" s="2159">
        <f>+AG138-AG226</f>
        <v>20.5281835588939</v>
      </c>
    </row>
    <row r="321" spans="2:33">
      <c r="B321" s="2158" t="s">
        <v>1472</v>
      </c>
      <c r="C321" s="2159">
        <f ca="1">+C103-C128</f>
        <v>5.8977980409993407</v>
      </c>
      <c r="D321" s="2159">
        <f ca="1">+D103-D128</f>
        <v>6.1254855920415112</v>
      </c>
      <c r="E321" s="2159">
        <f ca="1">+E103-E128</f>
        <v>6.6602146706606797</v>
      </c>
      <c r="F321" s="2159">
        <f ca="1">+F103-F128</f>
        <v>7.0911317546270283</v>
      </c>
      <c r="G321" s="2159">
        <f ca="1">+G103-G128</f>
        <v>7.5481937631585367</v>
      </c>
      <c r="P321"/>
      <c r="Q321"/>
      <c r="AA321" s="15"/>
      <c r="AB321" s="2158" t="s">
        <v>1472</v>
      </c>
      <c r="AC321" s="2159">
        <f>+AC103-AC128</f>
        <v>14.27169601003035</v>
      </c>
      <c r="AD321" s="2159">
        <f>+AD103-AD128</f>
        <v>14.324792596939798</v>
      </c>
      <c r="AE321" s="2159">
        <f>+AE103-AE128</f>
        <v>15.510435391574658</v>
      </c>
      <c r="AF321" s="2159">
        <f>+AF103-AF128</f>
        <v>17.209602935939881</v>
      </c>
      <c r="AG321" s="2159">
        <f>+AG103-AG128</f>
        <v>19.34131990524925</v>
      </c>
    </row>
    <row r="322" spans="2:33">
      <c r="B322" s="2158" t="s">
        <v>721</v>
      </c>
      <c r="C322" s="2159">
        <f ca="1">IF($C$280=1,D322/(D321/C320),C321)</f>
        <v>5.9507099999999999</v>
      </c>
      <c r="D322" s="2159">
        <f ca="1">+D321</f>
        <v>6.1254855920415112</v>
      </c>
      <c r="E322" s="2159">
        <f ca="1">IF($C$280=1,D322*E321/D320,E321)</f>
        <v>6.622241791808845</v>
      </c>
      <c r="F322" s="2159">
        <f ca="1">IF($C$280=1,E322*F321/E320,F321)</f>
        <v>7.0684665201335628</v>
      </c>
      <c r="G322" s="2159">
        <f ca="1">IF($C$280=1,F322*G321/F320,G321)</f>
        <v>7.3513615804625916</v>
      </c>
      <c r="P322"/>
      <c r="Q322"/>
      <c r="AA322" s="15"/>
      <c r="AB322" s="2158" t="s">
        <v>721</v>
      </c>
      <c r="AC322" s="2159">
        <f>IF($C$280=1,AD322/(AD321/AC320),AC321)</f>
        <v>14.612739999999999</v>
      </c>
      <c r="AD322" s="2159">
        <f>+AD321</f>
        <v>14.324792596939798</v>
      </c>
      <c r="AE322" s="2159">
        <f>IF($C$280=1,AD322*AE321/AD320,AE321)</f>
        <v>15.0524890636249</v>
      </c>
      <c r="AF322" s="2159">
        <f>IF($C$280=1,AE322*AF321/AE320,AF321)</f>
        <v>16.104474007162906</v>
      </c>
      <c r="AG322" s="2159">
        <f>IF($C$280=1,AF322*AG321/AF320,AG321)</f>
        <v>17.238944268958562</v>
      </c>
    </row>
    <row r="323" spans="2:33">
      <c r="P323"/>
      <c r="Q323"/>
      <c r="AA323" s="15"/>
      <c r="AB323" s="2109" t="s">
        <v>580</v>
      </c>
      <c r="AC323" s="2110">
        <f>+AC157-AC165</f>
        <v>10095.06612</v>
      </c>
      <c r="AD323" s="2110">
        <f>+AD157-AD165</f>
        <v>10101.67786</v>
      </c>
      <c r="AE323" s="2110">
        <f>+AE157-AE165</f>
        <v>10107.938408539469</v>
      </c>
      <c r="AF323" s="2110">
        <f>+AF157-AF165</f>
        <v>10114.869289765742</v>
      </c>
      <c r="AG323" s="2110">
        <f>+AG157-AG165</f>
        <v>10122.858805122096</v>
      </c>
    </row>
    <row r="324" spans="2:33" customFormat="1"/>
    <row r="325" spans="2:33" customFormat="1"/>
    <row r="326" spans="2:33" customFormat="1"/>
    <row r="327" spans="2:33" customFormat="1"/>
    <row r="328" spans="2:33" customFormat="1"/>
    <row r="329" spans="2:33" customFormat="1"/>
    <row r="330" spans="2:33" customFormat="1"/>
    <row r="331" spans="2:33" customFormat="1"/>
    <row r="332" spans="2:33" customFormat="1"/>
    <row r="333" spans="2:33" customFormat="1"/>
    <row r="334" spans="2:33" customFormat="1"/>
    <row r="335" spans="2:33" customFormat="1"/>
    <row r="336" spans="2:33" customFormat="1"/>
    <row r="337" spans="1:149">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row>
    <row r="338" spans="1:149">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row>
    <row r="339" spans="1:149">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row>
    <row r="340" spans="1:149">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row>
    <row r="341" spans="1:149">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row>
    <row r="342" spans="1:149">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row>
    <row r="343" spans="1:149">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row>
    <row r="344" spans="1:149">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row>
    <row r="345" spans="1:149">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row>
    <row r="346" spans="1:149">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row>
    <row r="347" spans="1:149">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row>
    <row r="348" spans="1:149">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row>
    <row r="349" spans="1:149">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row>
    <row r="350" spans="1:149">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row>
    <row r="351" spans="1:149">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row>
    <row r="352" spans="1:149">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row>
    <row r="353" spans="1:149">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row>
    <row r="354" spans="1:149">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row>
    <row r="355" spans="1:149">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row>
    <row r="356" spans="1:149">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row>
    <row r="357" spans="1:149">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row>
    <row r="358" spans="1:149">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row>
    <row r="359" spans="1:149">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row>
    <row r="360" spans="1:149">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row>
    <row r="361" spans="1:149">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row>
    <row r="362" spans="1:149">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row>
    <row r="363" spans="1:149">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row>
    <row r="364" spans="1:149">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row>
    <row r="365" spans="1:149">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row>
    <row r="366" spans="1:149">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row>
    <row r="367" spans="1:149">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row>
    <row r="368" spans="1:149">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row>
    <row r="369" spans="1:149">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row>
    <row r="370" spans="1:149">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row>
    <row r="371" spans="1:149">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row>
    <row r="372" spans="1:149">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row>
    <row r="373" spans="1:149">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row>
    <row r="374" spans="1:149">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row>
    <row r="375" spans="1:149">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row>
    <row r="376" spans="1:149">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row>
    <row r="377" spans="1:149">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row>
    <row r="378" spans="1:149">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row>
    <row r="379" spans="1:149">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row>
    <row r="380" spans="1:149">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row>
    <row r="381" spans="1:149">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row>
    <row r="382" spans="1:149">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row>
    <row r="383" spans="1:149">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row>
    <row r="384" spans="1:149">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row>
    <row r="385" spans="1:149">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row>
    <row r="386" spans="1:149">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row>
    <row r="387" spans="1:149">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row>
    <row r="388" spans="1:149">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row>
    <row r="389" spans="1:149">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row>
    <row r="390" spans="1:149">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row>
    <row r="391" spans="1:149">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row>
    <row r="392" spans="1:149">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row>
    <row r="393" spans="1:149">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row>
    <row r="394" spans="1:149">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row>
    <row r="395" spans="1:149">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row>
    <row r="396" spans="1:149">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row>
    <row r="397" spans="1:149">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row>
    <row r="398" spans="1:149">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row>
    <row r="399" spans="1:149">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row>
    <row r="400" spans="1:149">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row>
    <row r="401" spans="1:149">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row>
    <row r="402" spans="1:149">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row>
    <row r="403" spans="1:149">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row>
    <row r="404" spans="1:149">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row>
    <row r="405" spans="1:149">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row>
    <row r="406" spans="1:149">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row>
    <row r="407" spans="1:149">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row>
    <row r="408" spans="1:149">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row>
    <row r="409" spans="1:149">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row>
    <row r="410" spans="1:149">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row>
    <row r="411" spans="1:149">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row>
    <row r="412" spans="1:149">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row>
    <row r="413" spans="1:149">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row>
    <row r="414" spans="1:149">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row>
    <row r="415" spans="1:149">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row>
    <row r="416" spans="1:149">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row>
    <row r="417" spans="1:149">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row>
    <row r="418" spans="1:149">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row>
    <row r="419" spans="1:149">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row>
    <row r="420" spans="1:149">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row>
    <row r="421" spans="1:149">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row>
    <row r="422" spans="1:149">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row>
    <row r="423" spans="1:149">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row>
    <row r="424" spans="1:149">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row>
    <row r="425" spans="1:149">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row>
    <row r="426" spans="1:149">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row>
    <row r="427" spans="1:149">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row>
    <row r="428" spans="1:149">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row>
    <row r="429" spans="1:149">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row>
    <row r="430" spans="1:149">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row>
    <row r="431" spans="1:149">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row>
    <row r="432" spans="1:149">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row>
    <row r="433" spans="1:149">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row>
    <row r="434" spans="1:149">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row>
    <row r="435" spans="1:149">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row>
    <row r="436" spans="1:149">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row>
    <row r="437" spans="1:149">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row>
    <row r="438" spans="1:149">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row>
    <row r="439" spans="1:149">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row>
    <row r="440" spans="1:149">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row>
    <row r="441" spans="1:149">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row>
    <row r="442" spans="1:149">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row>
    <row r="443" spans="1:149">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row>
    <row r="444" spans="1:149">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row>
    <row r="445" spans="1:149">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row>
    <row r="446" spans="1:149">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row>
    <row r="447" spans="1:149">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row>
    <row r="448" spans="1:149">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row>
    <row r="449" spans="1:149">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row>
    <row r="450" spans="1:149">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row>
    <row r="451" spans="1:149">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row>
    <row r="452" spans="1:149">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row>
    <row r="453" spans="1:149">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row>
    <row r="454" spans="1:149">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row>
    <row r="455" spans="1:149">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row>
    <row r="456" spans="1:149">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row>
    <row r="457" spans="1:149">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row>
    <row r="458" spans="1:149">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row>
    <row r="459" spans="1:149">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row>
    <row r="460" spans="1:149">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row>
    <row r="461" spans="1:149">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row>
    <row r="462" spans="1:149">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row>
    <row r="463" spans="1:149">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row>
    <row r="464" spans="1:149">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row>
    <row r="465" spans="1:149">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row>
    <row r="466" spans="1:149">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row>
    <row r="467" spans="1:149">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row>
    <row r="468" spans="1:149">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row>
    <row r="469" spans="1:149">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row>
    <row r="470" spans="1:149">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row>
    <row r="471" spans="1:149">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row>
    <row r="472" spans="1:149">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row>
    <row r="473" spans="1:149">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row>
    <row r="474" spans="1:149">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row>
    <row r="475" spans="1:149">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row>
    <row r="476" spans="1:149">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row>
    <row r="477" spans="1:149">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row>
    <row r="478" spans="1:149">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row>
    <row r="479" spans="1:149">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row>
    <row r="480" spans="1:149">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row>
    <row r="481" spans="1:149">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row>
    <row r="482" spans="1:149">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row>
    <row r="483" spans="1:149">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row>
    <row r="484" spans="1:149">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row>
    <row r="485" spans="1:149">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row>
    <row r="486" spans="1:149">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row>
    <row r="487" spans="1:149">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row>
    <row r="488" spans="1:149">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row>
    <row r="489" spans="1:149">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row>
    <row r="490" spans="1:149">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row>
    <row r="491" spans="1:149">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row>
    <row r="492" spans="1:149">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row>
    <row r="493" spans="1:149">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row>
    <row r="494" spans="1:149">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row>
    <row r="495" spans="1:149">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row>
    <row r="496" spans="1:149">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row>
    <row r="497" spans="1:149">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row>
    <row r="498" spans="1:149">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row>
    <row r="499" spans="1:149">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row>
    <row r="500" spans="1:149">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row>
    <row r="501" spans="1:149">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row>
    <row r="502" spans="1:149">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row>
    <row r="503" spans="1:149">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row>
    <row r="504" spans="1:149">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row>
    <row r="505" spans="1:149">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row>
    <row r="506" spans="1:149">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row>
    <row r="507" spans="1:149">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row>
    <row r="508" spans="1:149">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row>
    <row r="509" spans="1:149">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row>
    <row r="510" spans="1:149">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row>
    <row r="511" spans="1:149">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row>
    <row r="512" spans="1:149">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row>
    <row r="513" spans="1:149">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row>
    <row r="514" spans="1:149">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row>
    <row r="515" spans="1:149">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row>
    <row r="516" spans="1:149">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row>
    <row r="517" spans="1:149">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row>
    <row r="518" spans="1:149">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row>
    <row r="519" spans="1:149">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row>
    <row r="520" spans="1:149">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row>
    <row r="521" spans="1:149">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row>
    <row r="522" spans="1:149">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row>
    <row r="523" spans="1:149">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row>
    <row r="524" spans="1:149">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row>
    <row r="525" spans="1:149">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row>
    <row r="526" spans="1:149">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row>
    <row r="527" spans="1:149">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row>
    <row r="528" spans="1:149">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row>
    <row r="529" spans="1:149">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row>
    <row r="530" spans="1:149">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row>
    <row r="531" spans="1:149">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row>
    <row r="532" spans="1:149">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row>
    <row r="533" spans="1:149">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row>
    <row r="534" spans="1:149">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row>
    <row r="535" spans="1:149">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row>
    <row r="536" spans="1:149">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row>
    <row r="537" spans="1:149">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row>
    <row r="538" spans="1:149">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row>
    <row r="539" spans="1:149">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row>
    <row r="540" spans="1:149">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row>
    <row r="541" spans="1:149">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row>
    <row r="542" spans="1:149">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row>
    <row r="543" spans="1:149">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row>
    <row r="544" spans="1:149">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row>
    <row r="545" spans="1:149">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row>
    <row r="546" spans="1:149">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row>
    <row r="547" spans="1:149">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row>
    <row r="548" spans="1:149">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row>
    <row r="549" spans="1:149">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row>
    <row r="550" spans="1:149">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row>
    <row r="551" spans="1:149">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row>
    <row r="552" spans="1:149">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row>
    <row r="553" spans="1:149">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row>
    <row r="554" spans="1:149">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row>
    <row r="555" spans="1:149">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row>
    <row r="556" spans="1:149">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row>
    <row r="557" spans="1:149">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row>
    <row r="558" spans="1:149">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row>
    <row r="559" spans="1:149">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row>
    <row r="560" spans="1:149">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row>
    <row r="561" spans="1:149">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row>
    <row r="562" spans="1:149">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row>
    <row r="563" spans="1:149">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row>
    <row r="564" spans="1:149">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row>
    <row r="565" spans="1:149">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row>
    <row r="566" spans="1:149">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row>
    <row r="567" spans="1:149">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row>
    <row r="568" spans="1:149">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row>
    <row r="569" spans="1:149">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row>
    <row r="570" spans="1:149">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row>
    <row r="571" spans="1:149">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row>
    <row r="572" spans="1:149">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row>
    <row r="573" spans="1:149">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row>
    <row r="574" spans="1:149">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row>
    <row r="575" spans="1:149">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row>
    <row r="576" spans="1:149">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row>
    <row r="577" spans="1:149">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row>
    <row r="578" spans="1:149">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row>
    <row r="579" spans="1:149">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row>
    <row r="580" spans="1:149">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row>
    <row r="581" spans="1:149">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row>
    <row r="582" spans="1:149">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row>
    <row r="583" spans="1:149">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row>
    <row r="584" spans="1:149">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row>
    <row r="585" spans="1:149">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row>
    <row r="586" spans="1:149">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row>
    <row r="587" spans="1:149">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row>
    <row r="588" spans="1:149">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row>
    <row r="589" spans="1:149">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row>
    <row r="590" spans="1:149">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row>
    <row r="591" spans="1:149">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row>
    <row r="592" spans="1:149">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row>
    <row r="593" spans="1:149">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row>
    <row r="594" spans="1:149">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row>
    <row r="595" spans="1:149">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row>
    <row r="596" spans="1:149">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row>
    <row r="597" spans="1:149">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row>
    <row r="598" spans="1:149">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row>
    <row r="599" spans="1:149">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row>
    <row r="600" spans="1:149">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row>
    <row r="601" spans="1:149">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row>
    <row r="602" spans="1:149">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row>
    <row r="603" spans="1:149">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row>
    <row r="604" spans="1:149">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row>
    <row r="605" spans="1:149">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row>
    <row r="606" spans="1:149">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row>
    <row r="607" spans="1:149">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row>
    <row r="608" spans="1:149">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row>
    <row r="609" spans="1:149">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row>
    <row r="610" spans="1:149">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row>
    <row r="611" spans="1:149">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row>
    <row r="612" spans="1:149">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row>
    <row r="613" spans="1:149">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row>
    <row r="614" spans="1:149">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row>
    <row r="615" spans="1:149">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row>
    <row r="616" spans="1:149">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row>
    <row r="617" spans="1:149">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row>
    <row r="618" spans="1:149">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row>
    <row r="619" spans="1:149">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row>
    <row r="620" spans="1:149">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row>
    <row r="621" spans="1:149">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row>
    <row r="622" spans="1:149">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row>
    <row r="623" spans="1:149">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row>
    <row r="624" spans="1:149">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row>
    <row r="625" spans="1:149">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row>
    <row r="626" spans="1:149">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row>
    <row r="627" spans="1:149">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row>
    <row r="628" spans="1:149">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row>
    <row r="629" spans="1:149">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row>
    <row r="630" spans="1:149">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row>
    <row r="631" spans="1:149">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row>
    <row r="632" spans="1:149">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row>
    <row r="633" spans="1:149">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row>
    <row r="634" spans="1:149">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row>
    <row r="635" spans="1:149">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row>
    <row r="636" spans="1:149">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row>
    <row r="637" spans="1:149">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row>
    <row r="638" spans="1:149">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row>
    <row r="639" spans="1:149">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row>
    <row r="640" spans="1:149">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row>
    <row r="641" spans="1:149">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row>
    <row r="642" spans="1:149">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row>
    <row r="643" spans="1:149">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row>
    <row r="644" spans="1:149">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row>
    <row r="645" spans="1:149">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row>
    <row r="646" spans="1:149">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row>
    <row r="647" spans="1:149">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row>
    <row r="648" spans="1:149">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row>
    <row r="649" spans="1:149">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row>
    <row r="650" spans="1:149">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row>
    <row r="651" spans="1:149">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row>
    <row r="652" spans="1:149">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row>
    <row r="653" spans="1:149">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row>
    <row r="654" spans="1:149">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row>
    <row r="655" spans="1:149">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row>
    <row r="656" spans="1:149">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row>
    <row r="657" spans="1:149">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row>
    <row r="658" spans="1:149">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row>
    <row r="659" spans="1:149">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row>
    <row r="660" spans="1:149">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row>
    <row r="661" spans="1:149">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row>
    <row r="662" spans="1:149">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row>
    <row r="663" spans="1:149">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row>
    <row r="664" spans="1:149">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row>
    <row r="665" spans="1:149">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row>
    <row r="666" spans="1:149">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row>
    <row r="667" spans="1:149">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row>
    <row r="668" spans="1:149">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row>
    <row r="669" spans="1:149">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row>
    <row r="670" spans="1:149">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row>
    <row r="671" spans="1:149">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row>
    <row r="672" spans="1:149">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row>
    <row r="673" spans="1:149">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row>
    <row r="674" spans="1:149">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row>
    <row r="675" spans="1:149">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row>
    <row r="676" spans="1:149">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row>
    <row r="677" spans="1:149">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row>
    <row r="678" spans="1:149">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ER678"/>
      <c r="ES678"/>
    </row>
    <row r="679" spans="1:149">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ER679"/>
      <c r="ES679"/>
    </row>
    <row r="680" spans="1:149">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ER680"/>
      <c r="ES680"/>
    </row>
    <row r="681" spans="1:149">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ER681"/>
      <c r="ES681"/>
    </row>
    <row r="682" spans="1:149">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ER682"/>
      <c r="ES682"/>
    </row>
    <row r="683" spans="1:149">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ER683"/>
      <c r="ES683"/>
    </row>
    <row r="684" spans="1:149">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ER684"/>
      <c r="ES684"/>
    </row>
    <row r="685" spans="1:149">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ER685"/>
      <c r="ES685"/>
    </row>
    <row r="686" spans="1:149">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ER686"/>
      <c r="ES686"/>
    </row>
    <row r="687" spans="1:149">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ER687"/>
      <c r="ES687"/>
    </row>
    <row r="688" spans="1:149">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ER688"/>
      <c r="ES688"/>
    </row>
    <row r="689" spans="1:149">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ER689"/>
      <c r="ES689"/>
    </row>
    <row r="690" spans="1:149">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ER690"/>
      <c r="ES690"/>
    </row>
    <row r="691" spans="1:149">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ER691"/>
      <c r="ES691"/>
    </row>
    <row r="692" spans="1:149">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ER692"/>
      <c r="ES692"/>
    </row>
    <row r="693" spans="1:149">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ER693"/>
      <c r="ES693"/>
    </row>
    <row r="694" spans="1:149">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ER694"/>
      <c r="ES694"/>
    </row>
    <row r="695" spans="1:149">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ER695"/>
      <c r="ES695"/>
    </row>
    <row r="696" spans="1:149">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ER696"/>
      <c r="ES696"/>
    </row>
    <row r="697" spans="1:149">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ER697"/>
      <c r="ES697"/>
    </row>
    <row r="698" spans="1:149">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ER698"/>
      <c r="ES698"/>
    </row>
    <row r="699" spans="1:149">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ER699"/>
      <c r="ES699"/>
    </row>
    <row r="700" spans="1:149">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ER700"/>
      <c r="ES700"/>
    </row>
    <row r="701" spans="1:149">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ER701"/>
      <c r="ES701"/>
    </row>
    <row r="702" spans="1:149">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ER702"/>
      <c r="ES702"/>
    </row>
    <row r="703" spans="1:149">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ER703"/>
      <c r="ES703"/>
    </row>
    <row r="704" spans="1:149">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ER704"/>
      <c r="ES704"/>
    </row>
    <row r="705" spans="1:149">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ER705"/>
      <c r="ES705"/>
    </row>
    <row r="706" spans="1:149">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ER706"/>
      <c r="ES706"/>
    </row>
    <row r="707" spans="1:149">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ER707"/>
      <c r="ES707"/>
    </row>
    <row r="708" spans="1:149">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ER708"/>
      <c r="ES708"/>
    </row>
    <row r="709" spans="1:149">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ER709"/>
      <c r="ES709"/>
    </row>
    <row r="710" spans="1:149">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ER710"/>
      <c r="ES710"/>
    </row>
    <row r="711" spans="1:149">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ER711"/>
      <c r="ES711"/>
    </row>
    <row r="712" spans="1:149">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ER712"/>
      <c r="ES712"/>
    </row>
    <row r="713" spans="1:149">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ER713"/>
      <c r="ES713"/>
    </row>
    <row r="714" spans="1:149">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ER714"/>
      <c r="ES714"/>
    </row>
    <row r="715" spans="1:149">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ER715"/>
      <c r="ES715"/>
    </row>
    <row r="716" spans="1:149">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ER716"/>
      <c r="ES716"/>
    </row>
    <row r="717" spans="1:149">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ER717"/>
      <c r="ES717"/>
    </row>
    <row r="718" spans="1:149">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ER718"/>
      <c r="ES718"/>
    </row>
    <row r="719" spans="1:149">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row>
    <row r="720" spans="1:149">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row>
    <row r="721" spans="1:149">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row>
    <row r="722" spans="1:149">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row>
    <row r="723" spans="1:149">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row>
    <row r="724" spans="1:149">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row>
    <row r="725" spans="1:149">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row>
    <row r="726" spans="1:149">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row>
    <row r="727" spans="1:149">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row>
    <row r="728" spans="1:149">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row>
    <row r="729" spans="1:149">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row>
    <row r="730" spans="1:149">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row>
    <row r="731" spans="1:149">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row>
    <row r="732" spans="1:149">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row>
    <row r="733" spans="1:149">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row>
    <row r="734" spans="1:149">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row>
    <row r="735" spans="1:149">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row>
    <row r="736" spans="1:149">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row>
    <row r="737" spans="1:149">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row>
    <row r="738" spans="1:149">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row>
    <row r="739" spans="1:149">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row>
    <row r="740" spans="1:149">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row>
    <row r="741" spans="1:149">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row>
    <row r="742" spans="1:149">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row>
    <row r="743" spans="1:149">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row>
    <row r="744" spans="1:149">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row>
    <row r="745" spans="1:149">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row>
    <row r="746" spans="1:149">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row>
    <row r="747" spans="1:149">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row>
    <row r="748" spans="1:149">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row>
    <row r="749" spans="1:149">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row>
    <row r="750" spans="1:149">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row>
    <row r="751" spans="1:149">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row>
    <row r="752" spans="1:149">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row>
    <row r="753" spans="1:149">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row>
    <row r="754" spans="1:149">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row>
    <row r="755" spans="1:149">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row>
    <row r="756" spans="1:149">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row>
    <row r="757" spans="1:149">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ER757"/>
      <c r="ES757"/>
    </row>
    <row r="758" spans="1:149">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ER758"/>
      <c r="ES758"/>
    </row>
    <row r="759" spans="1:149">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ER759"/>
      <c r="ES759"/>
    </row>
    <row r="760" spans="1:149">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ER760"/>
      <c r="ES760"/>
    </row>
    <row r="761" spans="1:149">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ER761"/>
      <c r="ES761"/>
    </row>
    <row r="762" spans="1:149">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ER762"/>
      <c r="ES762"/>
    </row>
    <row r="763" spans="1:149">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ER763"/>
      <c r="ES763"/>
    </row>
    <row r="764" spans="1:149">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ER764"/>
      <c r="ES764"/>
    </row>
    <row r="765" spans="1:149">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ER765"/>
      <c r="ES765"/>
    </row>
    <row r="766" spans="1:149">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ER766"/>
      <c r="ES766"/>
    </row>
    <row r="767" spans="1:149">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ER767"/>
      <c r="ES767"/>
    </row>
    <row r="768" spans="1:149">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ER768"/>
      <c r="ES768"/>
    </row>
    <row r="769" spans="1:149">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ER769"/>
      <c r="ES769"/>
    </row>
    <row r="770" spans="1:149">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ER770"/>
      <c r="ES770"/>
    </row>
    <row r="771" spans="1:149">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ER771"/>
      <c r="ES771"/>
    </row>
    <row r="772" spans="1:149">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ER772"/>
      <c r="ES772"/>
    </row>
    <row r="773" spans="1:149">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ER773"/>
      <c r="ES773"/>
    </row>
    <row r="774" spans="1:149">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ER774"/>
      <c r="ES774"/>
    </row>
    <row r="775" spans="1:149">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ER775"/>
      <c r="ES775"/>
    </row>
    <row r="776" spans="1:149">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ER776"/>
      <c r="ES776"/>
    </row>
    <row r="777" spans="1:149">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ER777"/>
      <c r="ES777"/>
    </row>
    <row r="778" spans="1:149">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ER778"/>
      <c r="ES778"/>
    </row>
    <row r="779" spans="1:149">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ER779"/>
      <c r="ES779"/>
    </row>
    <row r="780" spans="1:149">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ER780"/>
      <c r="ES780"/>
    </row>
    <row r="781" spans="1:149">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ER781"/>
      <c r="ES781"/>
    </row>
    <row r="782" spans="1:149">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ER782"/>
      <c r="ES782"/>
    </row>
    <row r="783" spans="1:149">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ER783"/>
      <c r="ES783"/>
    </row>
    <row r="784" spans="1:149">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ER784"/>
      <c r="ES784"/>
    </row>
    <row r="785" spans="1:149">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ER785"/>
      <c r="ES785"/>
    </row>
    <row r="786" spans="1:149">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ER786"/>
      <c r="ES786"/>
    </row>
    <row r="787" spans="1:149">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ER787"/>
      <c r="ES787"/>
    </row>
    <row r="788" spans="1:149">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ER788"/>
      <c r="ES788"/>
    </row>
    <row r="789" spans="1:149">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ER789"/>
      <c r="ES789"/>
    </row>
    <row r="790" spans="1:149">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ER790"/>
      <c r="ES790"/>
    </row>
    <row r="791" spans="1:149">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ER791"/>
      <c r="ES791"/>
    </row>
    <row r="792" spans="1:149">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ER792"/>
      <c r="ES792"/>
    </row>
    <row r="793" spans="1:149">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ER793"/>
      <c r="ES793"/>
    </row>
    <row r="794" spans="1:149">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ER794"/>
      <c r="ES794"/>
    </row>
    <row r="795" spans="1:149">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ER795"/>
      <c r="ES795"/>
    </row>
    <row r="796" spans="1:149">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ER796"/>
      <c r="ES796"/>
    </row>
    <row r="797" spans="1:149">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ER797"/>
      <c r="ES797"/>
    </row>
    <row r="798" spans="1:149">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ER798"/>
      <c r="ES798"/>
    </row>
    <row r="799" spans="1:149">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ER799"/>
      <c r="ES799"/>
    </row>
    <row r="800" spans="1:149">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ER800"/>
      <c r="ES800"/>
    </row>
    <row r="801" spans="1:149">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ER801"/>
      <c r="ES801"/>
    </row>
    <row r="802" spans="1:149">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ER802"/>
      <c r="ES802"/>
    </row>
    <row r="803" spans="1:149">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ER803"/>
      <c r="ES803"/>
    </row>
    <row r="804" spans="1:149">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ER804"/>
      <c r="ES804"/>
    </row>
    <row r="805" spans="1:149">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ER805"/>
      <c r="ES805"/>
    </row>
    <row r="806" spans="1:149">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ER806"/>
      <c r="ES806"/>
    </row>
    <row r="807" spans="1:149">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ER807"/>
      <c r="ES807"/>
    </row>
    <row r="808" spans="1:149">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ER808"/>
      <c r="ES808"/>
    </row>
    <row r="809" spans="1:149">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ER809"/>
      <c r="ES809"/>
    </row>
    <row r="810" spans="1:149">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ER810"/>
      <c r="ES810"/>
    </row>
    <row r="811" spans="1:149">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ER811"/>
      <c r="ES811"/>
    </row>
    <row r="812" spans="1:149">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ER812"/>
      <c r="ES812"/>
    </row>
    <row r="813" spans="1:149">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ER813"/>
      <c r="ES813"/>
    </row>
    <row r="814" spans="1:149">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ER814"/>
      <c r="ES814"/>
    </row>
    <row r="815" spans="1:149">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ER815"/>
      <c r="ES815"/>
    </row>
    <row r="816" spans="1:149">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ER816"/>
      <c r="ES816"/>
    </row>
    <row r="817" spans="1:149">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ER817"/>
      <c r="ES817"/>
    </row>
    <row r="818" spans="1:149">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ER818"/>
      <c r="ES818"/>
    </row>
    <row r="819" spans="1:149">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ER819"/>
      <c r="ES819"/>
    </row>
    <row r="820" spans="1:149">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ER820"/>
      <c r="ES820"/>
    </row>
    <row r="821" spans="1:149">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ER821"/>
      <c r="ES821"/>
    </row>
    <row r="822" spans="1:149">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ER822"/>
      <c r="ES822"/>
    </row>
    <row r="823" spans="1:149">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ER823"/>
      <c r="ES823"/>
    </row>
    <row r="824" spans="1:149">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ER824"/>
      <c r="ES824"/>
    </row>
    <row r="825" spans="1:149">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ER825"/>
      <c r="ES825"/>
    </row>
    <row r="826" spans="1:149">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ER826"/>
      <c r="ES826"/>
    </row>
    <row r="827" spans="1:149">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ER827"/>
      <c r="ES827"/>
    </row>
    <row r="828" spans="1:149">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ER828"/>
      <c r="ES828"/>
    </row>
    <row r="829" spans="1:149">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ER829"/>
      <c r="ES829"/>
    </row>
    <row r="830" spans="1:149">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ER830"/>
      <c r="ES830"/>
    </row>
    <row r="831" spans="1:149">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ER831"/>
      <c r="ES831"/>
    </row>
    <row r="832" spans="1:149">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ER832"/>
      <c r="ES832"/>
    </row>
    <row r="833" spans="1:149">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ER833"/>
      <c r="ES833"/>
    </row>
    <row r="834" spans="1:149">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ER834"/>
      <c r="ES834"/>
    </row>
    <row r="835" spans="1:149">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ER835"/>
      <c r="ES835"/>
    </row>
    <row r="836" spans="1:149">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ER836"/>
      <c r="ES836"/>
    </row>
    <row r="837" spans="1:149">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ER837"/>
      <c r="ES837"/>
    </row>
    <row r="838" spans="1:149">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ER838"/>
      <c r="ES838"/>
    </row>
    <row r="839" spans="1:149">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ER839"/>
      <c r="ES839"/>
    </row>
    <row r="840" spans="1:149">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ER840"/>
      <c r="ES840"/>
    </row>
    <row r="841" spans="1:149">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ER841"/>
      <c r="ES841"/>
    </row>
    <row r="842" spans="1:149">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ER842"/>
      <c r="ES842"/>
    </row>
    <row r="843" spans="1:149">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ER843"/>
      <c r="ES843"/>
    </row>
    <row r="844" spans="1:149">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ER844"/>
      <c r="ES844"/>
    </row>
    <row r="845" spans="1:149">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ER845"/>
      <c r="ES845"/>
    </row>
    <row r="846" spans="1:149">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ER846"/>
      <c r="ES846"/>
    </row>
    <row r="847" spans="1:149">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ER847"/>
      <c r="ES847"/>
    </row>
    <row r="848" spans="1:149">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ER848"/>
      <c r="ES848"/>
    </row>
    <row r="849" spans="1:149">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ER849"/>
      <c r="ES849"/>
    </row>
    <row r="850" spans="1:149">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ER850"/>
      <c r="ES850"/>
    </row>
    <row r="851" spans="1:149">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ER851"/>
      <c r="ES851"/>
    </row>
    <row r="852" spans="1:149">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ER852"/>
      <c r="ES852"/>
    </row>
    <row r="853" spans="1:149">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ER853"/>
      <c r="ES853"/>
    </row>
    <row r="854" spans="1:149">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ER854"/>
      <c r="ES854"/>
    </row>
    <row r="855" spans="1:149">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ER855"/>
      <c r="ES855"/>
    </row>
    <row r="856" spans="1:149">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ER856"/>
      <c r="ES856"/>
    </row>
    <row r="857" spans="1:149">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ER857"/>
      <c r="ES857"/>
    </row>
    <row r="858" spans="1:149">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ER858"/>
      <c r="ES858"/>
    </row>
    <row r="859" spans="1:149">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ER859"/>
      <c r="ES859"/>
    </row>
    <row r="860" spans="1:149">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ER860"/>
      <c r="ES860"/>
    </row>
    <row r="861" spans="1:149">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ER861"/>
      <c r="ES861"/>
    </row>
    <row r="862" spans="1:149">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ER862"/>
      <c r="ES862"/>
    </row>
    <row r="863" spans="1:149">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ER863"/>
      <c r="ES863"/>
    </row>
    <row r="864" spans="1:149">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ER864"/>
      <c r="ES864"/>
    </row>
    <row r="865" spans="1:149">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ER865"/>
      <c r="ES865"/>
    </row>
    <row r="866" spans="1:149">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ER866"/>
      <c r="ES866"/>
    </row>
    <row r="867" spans="1:149">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ER867"/>
      <c r="ES867"/>
    </row>
    <row r="868" spans="1:149">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ER868"/>
      <c r="ES868"/>
    </row>
    <row r="869" spans="1:149">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ER869"/>
      <c r="ES869"/>
    </row>
    <row r="870" spans="1:149">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ER870"/>
      <c r="ES870"/>
    </row>
    <row r="871" spans="1:149">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ER871"/>
      <c r="ES871"/>
    </row>
    <row r="872" spans="1:149">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ER872"/>
      <c r="ES872"/>
    </row>
    <row r="873" spans="1:149">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ER873"/>
      <c r="ES873"/>
    </row>
    <row r="874" spans="1:149">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ER874"/>
      <c r="ES874"/>
    </row>
    <row r="875" spans="1:149">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ER875"/>
      <c r="ES875"/>
    </row>
    <row r="876" spans="1:149">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ER876"/>
      <c r="ES876"/>
    </row>
    <row r="877" spans="1:149">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ER877"/>
      <c r="ES877"/>
    </row>
    <row r="878" spans="1:149">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ER878"/>
      <c r="ES878"/>
    </row>
    <row r="879" spans="1:149">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ER879"/>
      <c r="ES879"/>
    </row>
    <row r="880" spans="1:149">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ER880"/>
      <c r="ES880"/>
    </row>
    <row r="881" spans="1:149">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ER881"/>
      <c r="ES881"/>
    </row>
    <row r="882" spans="1:149">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ER882"/>
      <c r="ES882"/>
    </row>
    <row r="883" spans="1:149">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ER883"/>
      <c r="ES883"/>
    </row>
    <row r="884" spans="1:149">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ER884"/>
      <c r="ES884"/>
    </row>
    <row r="885" spans="1:149">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ER885"/>
      <c r="ES885"/>
    </row>
    <row r="886" spans="1:149">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ER886"/>
      <c r="ES886"/>
    </row>
    <row r="887" spans="1:149">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ER887"/>
      <c r="ES887"/>
    </row>
    <row r="888" spans="1:149">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ER888"/>
      <c r="ES888"/>
    </row>
    <row r="889" spans="1:149">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ER889"/>
      <c r="ES889"/>
    </row>
    <row r="890" spans="1:149">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ER890"/>
      <c r="ES890"/>
    </row>
    <row r="891" spans="1:149">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ER891"/>
      <c r="ES891"/>
    </row>
    <row r="892" spans="1:149">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ER892"/>
      <c r="ES892"/>
    </row>
    <row r="893" spans="1:149">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ER893"/>
      <c r="ES893"/>
    </row>
    <row r="894" spans="1:149">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ER894"/>
      <c r="ES894"/>
    </row>
    <row r="895" spans="1:149">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ER895"/>
      <c r="ES895"/>
    </row>
    <row r="896" spans="1:149">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ER896"/>
      <c r="ES896"/>
    </row>
    <row r="897" spans="1:149">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ER897"/>
      <c r="ES897"/>
    </row>
    <row r="898" spans="1:149">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ER898"/>
      <c r="ES898"/>
    </row>
    <row r="899" spans="1:149">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ER899"/>
      <c r="ES899"/>
    </row>
    <row r="900" spans="1:149">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ER900"/>
      <c r="ES900"/>
    </row>
    <row r="901" spans="1:149">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ER901"/>
      <c r="ES901"/>
    </row>
    <row r="902" spans="1:149">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ER902"/>
      <c r="ES902"/>
    </row>
    <row r="903" spans="1:149">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ER903"/>
      <c r="ES903"/>
    </row>
    <row r="904" spans="1:149">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ER904"/>
      <c r="ES904"/>
    </row>
    <row r="905" spans="1:149">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ER905"/>
      <c r="ES905"/>
    </row>
    <row r="906" spans="1:149">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ER906"/>
      <c r="ES906"/>
    </row>
    <row r="907" spans="1:149">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ER907"/>
      <c r="ES907"/>
    </row>
    <row r="908" spans="1:149">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ER908"/>
      <c r="ES908"/>
    </row>
    <row r="909" spans="1:149">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ER909"/>
      <c r="ES909"/>
    </row>
    <row r="910" spans="1:149">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ER910"/>
      <c r="ES910"/>
    </row>
    <row r="911" spans="1:149">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ER911"/>
      <c r="ES911"/>
    </row>
    <row r="912" spans="1:149">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ER912"/>
      <c r="ES912"/>
    </row>
    <row r="913" spans="1:149">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ER913"/>
      <c r="ES913"/>
    </row>
    <row r="914" spans="1:149">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ER914"/>
      <c r="ES914"/>
    </row>
    <row r="915" spans="1:149">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ER915"/>
      <c r="ES915"/>
    </row>
    <row r="916" spans="1:149">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ER916"/>
      <c r="ES916"/>
    </row>
    <row r="917" spans="1:149">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ER917"/>
      <c r="ES917"/>
    </row>
    <row r="918" spans="1:149">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ER918"/>
      <c r="ES918"/>
    </row>
    <row r="919" spans="1:149">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ER919"/>
      <c r="ES919"/>
    </row>
    <row r="920" spans="1:149">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ER920"/>
      <c r="ES920"/>
    </row>
    <row r="921" spans="1:149">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ER921"/>
      <c r="ES921"/>
    </row>
    <row r="922" spans="1:149">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ER922"/>
      <c r="ES922"/>
    </row>
    <row r="923" spans="1:149">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ER923"/>
      <c r="ES923"/>
    </row>
    <row r="924" spans="1:149">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ER924"/>
      <c r="ES924"/>
    </row>
    <row r="925" spans="1:149">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ER925"/>
      <c r="ES925"/>
    </row>
    <row r="926" spans="1:149">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ER926"/>
      <c r="ES926"/>
    </row>
    <row r="927" spans="1:149">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ER927"/>
      <c r="ES927"/>
    </row>
    <row r="928" spans="1:149">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ER928"/>
      <c r="ES928"/>
    </row>
    <row r="929" spans="1:149">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ER929"/>
      <c r="ES929"/>
    </row>
    <row r="930" spans="1:149">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ER930"/>
      <c r="ES930"/>
    </row>
    <row r="931" spans="1:149">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ER931"/>
      <c r="ES931"/>
    </row>
    <row r="932" spans="1:149">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ER932"/>
      <c r="ES932"/>
    </row>
    <row r="933" spans="1:149">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ER933"/>
      <c r="ES933"/>
    </row>
    <row r="934" spans="1:149">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ER934"/>
      <c r="ES934"/>
    </row>
    <row r="935" spans="1:149">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ER935"/>
      <c r="ES935"/>
    </row>
    <row r="936" spans="1:149">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ER936"/>
      <c r="ES936"/>
    </row>
    <row r="937" spans="1:149">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ER937"/>
      <c r="ES937"/>
    </row>
    <row r="938" spans="1:149">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ER938"/>
      <c r="ES938"/>
    </row>
    <row r="939" spans="1:149">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ER939"/>
      <c r="ES939"/>
    </row>
    <row r="940" spans="1:149">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ER940"/>
      <c r="ES940"/>
    </row>
    <row r="941" spans="1:149">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ER941"/>
      <c r="ES941"/>
    </row>
    <row r="942" spans="1:149">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ER942"/>
      <c r="ES942"/>
    </row>
    <row r="943" spans="1:149">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ER943"/>
      <c r="ES943"/>
    </row>
    <row r="944" spans="1:149">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ER944"/>
      <c r="ES944"/>
    </row>
    <row r="945" spans="1:149">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ER945"/>
      <c r="ES945"/>
    </row>
    <row r="946" spans="1:149">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ER946"/>
      <c r="ES946"/>
    </row>
    <row r="947" spans="1:149">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ER947"/>
      <c r="ES947"/>
    </row>
    <row r="948" spans="1:149">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ER948"/>
      <c r="ES948"/>
    </row>
    <row r="949" spans="1:149">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ER949"/>
      <c r="ES949"/>
    </row>
    <row r="950" spans="1:149">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ER950"/>
      <c r="ES950"/>
    </row>
    <row r="951" spans="1:149">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ER951"/>
      <c r="ES951"/>
    </row>
    <row r="952" spans="1:149">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ER952"/>
      <c r="ES952"/>
    </row>
    <row r="953" spans="1:149">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ER953"/>
      <c r="ES953"/>
    </row>
    <row r="954" spans="1:149">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ER954"/>
      <c r="ES954"/>
    </row>
    <row r="955" spans="1:149">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ER955"/>
      <c r="ES955"/>
    </row>
    <row r="956" spans="1:149">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ER956"/>
      <c r="ES956"/>
    </row>
    <row r="957" spans="1:149">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ER957"/>
      <c r="ES957"/>
    </row>
    <row r="958" spans="1:149">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ER958"/>
      <c r="ES958"/>
    </row>
    <row r="959" spans="1:149">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ER959"/>
      <c r="ES959"/>
    </row>
    <row r="960" spans="1:149">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ER960"/>
      <c r="ES960"/>
    </row>
    <row r="961" spans="1:149">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ER961"/>
      <c r="ES961"/>
    </row>
    <row r="962" spans="1:149">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ER962"/>
      <c r="ES962"/>
    </row>
    <row r="963" spans="1:149">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ER963"/>
      <c r="ES963"/>
    </row>
    <row r="964" spans="1:149">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ER964"/>
      <c r="ES964"/>
    </row>
    <row r="965" spans="1:149">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ER965"/>
      <c r="ES965"/>
    </row>
    <row r="966" spans="1:149">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ER966"/>
      <c r="ES966"/>
    </row>
    <row r="967" spans="1:149">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ER967"/>
      <c r="ES967"/>
    </row>
    <row r="968" spans="1:149">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ER968"/>
      <c r="ES968"/>
    </row>
    <row r="969" spans="1:149">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ER969"/>
      <c r="ES969"/>
    </row>
    <row r="970" spans="1:149">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ER970"/>
      <c r="ES970"/>
    </row>
    <row r="971" spans="1:149">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ER971"/>
      <c r="ES971"/>
    </row>
    <row r="972" spans="1:149">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ER972"/>
      <c r="ES972"/>
    </row>
    <row r="973" spans="1:149">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ER973"/>
      <c r="ES973"/>
    </row>
    <row r="974" spans="1:149">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ER974"/>
      <c r="ES974"/>
    </row>
    <row r="975" spans="1:149">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ER975"/>
      <c r="ES975"/>
    </row>
    <row r="976" spans="1:149">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ER976"/>
      <c r="ES976"/>
    </row>
    <row r="977" spans="1:149">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ER977"/>
      <c r="ES977"/>
    </row>
    <row r="978" spans="1:149">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ER978"/>
      <c r="ES978"/>
    </row>
    <row r="979" spans="1:149">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ER979"/>
      <c r="ES979"/>
    </row>
    <row r="980" spans="1:149">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ER980"/>
      <c r="ES980"/>
    </row>
    <row r="981" spans="1:149">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ER981"/>
      <c r="ES981"/>
    </row>
    <row r="982" spans="1:149">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ER982"/>
      <c r="ES982"/>
    </row>
    <row r="983" spans="1:149">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ER983"/>
      <c r="ES983"/>
    </row>
    <row r="984" spans="1:149">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ER984"/>
      <c r="ES984"/>
    </row>
    <row r="985" spans="1:149">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ER985"/>
      <c r="ES985"/>
    </row>
    <row r="986" spans="1:149">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ER986"/>
      <c r="ES986"/>
    </row>
    <row r="987" spans="1:149">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ER987"/>
      <c r="ES987"/>
    </row>
    <row r="988" spans="1:149">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ER988"/>
      <c r="ES988"/>
    </row>
    <row r="989" spans="1:149">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ER989"/>
      <c r="ES989"/>
    </row>
    <row r="990" spans="1:149">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ER990"/>
      <c r="ES990"/>
    </row>
    <row r="991" spans="1:149">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ER991"/>
      <c r="ES991"/>
    </row>
    <row r="992" spans="1:149">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ER992"/>
      <c r="ES992"/>
    </row>
    <row r="993" spans="1:149">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ER993"/>
      <c r="ES993"/>
    </row>
    <row r="994" spans="1:149">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ER994"/>
      <c r="ES994"/>
    </row>
    <row r="995" spans="1:149">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ER995"/>
      <c r="ES995"/>
    </row>
    <row r="996" spans="1:149">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ER996"/>
      <c r="ES996"/>
    </row>
    <row r="997" spans="1:149">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ER997"/>
      <c r="ES997"/>
    </row>
    <row r="998" spans="1:149">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ER998"/>
      <c r="ES998"/>
    </row>
    <row r="999" spans="1:149">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ER999"/>
      <c r="ES999"/>
    </row>
    <row r="1000" spans="1:149">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ER1000"/>
      <c r="ES1000"/>
    </row>
    <row r="1001" spans="1:149">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c r="EO1001"/>
      <c r="EP1001"/>
      <c r="EQ1001"/>
      <c r="ER1001"/>
      <c r="ES1001"/>
    </row>
    <row r="1002" spans="1:149">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c r="EO1002"/>
      <c r="EP1002"/>
      <c r="EQ1002"/>
      <c r="ER1002"/>
      <c r="ES1002"/>
    </row>
    <row r="1003" spans="1:149">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c r="EO1003"/>
      <c r="EP1003"/>
      <c r="EQ1003"/>
      <c r="ER1003"/>
      <c r="ES1003"/>
    </row>
    <row r="1004" spans="1:149">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c r="EO1004"/>
      <c r="EP1004"/>
      <c r="EQ1004"/>
      <c r="ER1004"/>
      <c r="ES1004"/>
    </row>
    <row r="1005" spans="1:149">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c r="EO1005"/>
      <c r="EP1005"/>
      <c r="EQ1005"/>
      <c r="ER1005"/>
      <c r="ES1005"/>
    </row>
    <row r="1006" spans="1:149">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c r="EO1006"/>
      <c r="EP1006"/>
      <c r="EQ1006"/>
      <c r="ER1006"/>
      <c r="ES1006"/>
    </row>
    <row r="1007" spans="1:149">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c r="EO1007"/>
      <c r="EP1007"/>
      <c r="EQ1007"/>
      <c r="ER1007"/>
      <c r="ES1007"/>
    </row>
    <row r="1008" spans="1:149">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c r="EO1008"/>
      <c r="EP1008"/>
      <c r="EQ1008"/>
      <c r="ER1008"/>
      <c r="ES1008"/>
    </row>
    <row r="1009" spans="1:149">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c r="EO1009"/>
      <c r="EP1009"/>
      <c r="EQ1009"/>
      <c r="ER1009"/>
      <c r="ES1009"/>
    </row>
    <row r="1010" spans="1:149">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c r="EO1010"/>
      <c r="EP1010"/>
      <c r="EQ1010"/>
      <c r="ER1010"/>
      <c r="ES1010"/>
    </row>
    <row r="1011" spans="1:149">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c r="EO1011"/>
      <c r="EP1011"/>
      <c r="EQ1011"/>
      <c r="ER1011"/>
      <c r="ES1011"/>
    </row>
    <row r="1012" spans="1:149">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c r="EO1012"/>
      <c r="EP1012"/>
      <c r="EQ1012"/>
      <c r="ER1012"/>
      <c r="ES1012"/>
    </row>
    <row r="1013" spans="1:149">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c r="EO1013"/>
      <c r="EP1013"/>
      <c r="EQ1013"/>
      <c r="ER1013"/>
      <c r="ES1013"/>
    </row>
    <row r="1014" spans="1:149">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c r="EO1014"/>
      <c r="EP1014"/>
      <c r="EQ1014"/>
      <c r="ER1014"/>
      <c r="ES1014"/>
    </row>
    <row r="1015" spans="1:149">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c r="EO1015"/>
      <c r="EP1015"/>
      <c r="EQ1015"/>
      <c r="ER1015"/>
      <c r="ES1015"/>
    </row>
    <row r="1016" spans="1:149">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c r="EO1016"/>
      <c r="EP1016"/>
      <c r="EQ1016"/>
      <c r="ER1016"/>
      <c r="ES1016"/>
    </row>
    <row r="1017" spans="1:149">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c r="EO1017"/>
      <c r="EP1017"/>
      <c r="EQ1017"/>
      <c r="ER1017"/>
      <c r="ES1017"/>
    </row>
    <row r="1018" spans="1:149">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c r="EO1018"/>
      <c r="EP1018"/>
      <c r="EQ1018"/>
      <c r="ER1018"/>
      <c r="ES1018"/>
    </row>
    <row r="1019" spans="1:149">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c r="EO1019"/>
      <c r="EP1019"/>
      <c r="EQ1019"/>
      <c r="ER1019"/>
      <c r="ES1019"/>
    </row>
    <row r="1020" spans="1:149">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c r="EO1020"/>
      <c r="EP1020"/>
      <c r="EQ1020"/>
      <c r="ER1020"/>
      <c r="ES1020"/>
    </row>
    <row r="1021" spans="1:149">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c r="EO1021"/>
      <c r="EP1021"/>
      <c r="EQ1021"/>
      <c r="ER1021"/>
      <c r="ES1021"/>
    </row>
    <row r="1022" spans="1:149">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c r="EO1022"/>
      <c r="EP1022"/>
      <c r="EQ1022"/>
      <c r="ER1022"/>
      <c r="ES1022"/>
    </row>
    <row r="1023" spans="1:149">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c r="EO1023"/>
      <c r="EP1023"/>
      <c r="EQ1023"/>
      <c r="ER1023"/>
      <c r="ES1023"/>
    </row>
    <row r="1024" spans="1:149">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c r="EO1024"/>
      <c r="EP1024"/>
      <c r="EQ1024"/>
      <c r="ER1024"/>
      <c r="ES1024"/>
    </row>
    <row r="1025" spans="1:149">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c r="EO1025"/>
      <c r="EP1025"/>
      <c r="EQ1025"/>
      <c r="ER1025"/>
      <c r="ES1025"/>
    </row>
    <row r="1026" spans="1:149">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c r="EO1026"/>
      <c r="EP1026"/>
      <c r="EQ1026"/>
      <c r="ER1026"/>
      <c r="ES1026"/>
    </row>
    <row r="1027" spans="1:149">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c r="EO1027"/>
      <c r="EP1027"/>
      <c r="EQ1027"/>
      <c r="ER1027"/>
      <c r="ES1027"/>
    </row>
    <row r="1028" spans="1:149">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c r="EO1028"/>
      <c r="EP1028"/>
      <c r="EQ1028"/>
      <c r="ER1028"/>
      <c r="ES1028"/>
    </row>
    <row r="1029" spans="1:149">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c r="EO1029"/>
      <c r="EP1029"/>
      <c r="EQ1029"/>
      <c r="ER1029"/>
      <c r="ES1029"/>
    </row>
    <row r="1030" spans="1:149">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c r="EO1030"/>
      <c r="EP1030"/>
      <c r="EQ1030"/>
      <c r="ER1030"/>
      <c r="ES1030"/>
    </row>
    <row r="1031" spans="1:149">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c r="EO1031"/>
      <c r="EP1031"/>
      <c r="EQ1031"/>
      <c r="ER1031"/>
      <c r="ES1031"/>
    </row>
    <row r="1032" spans="1:149">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c r="EO1032"/>
      <c r="EP1032"/>
      <c r="EQ1032"/>
      <c r="ER1032"/>
      <c r="ES1032"/>
    </row>
    <row r="1033" spans="1:149">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c r="EO1033"/>
      <c r="EP1033"/>
      <c r="EQ1033"/>
      <c r="ER1033"/>
      <c r="ES1033"/>
    </row>
    <row r="1034" spans="1:149">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c r="EO1034"/>
      <c r="EP1034"/>
      <c r="EQ1034"/>
      <c r="ER1034"/>
      <c r="ES1034"/>
    </row>
    <row r="1035" spans="1:149">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c r="EO1035"/>
      <c r="EP1035"/>
      <c r="EQ1035"/>
      <c r="ER1035"/>
      <c r="ES1035"/>
    </row>
    <row r="1036" spans="1:149">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c r="EO1036"/>
      <c r="EP1036"/>
      <c r="EQ1036"/>
      <c r="ER1036"/>
      <c r="ES1036"/>
    </row>
    <row r="1037" spans="1:149">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c r="EO1037"/>
      <c r="EP1037"/>
      <c r="EQ1037"/>
      <c r="ER1037"/>
      <c r="ES1037"/>
    </row>
    <row r="1038" spans="1:149">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c r="EO1038"/>
      <c r="EP1038"/>
      <c r="EQ1038"/>
      <c r="ER1038"/>
      <c r="ES1038"/>
    </row>
    <row r="1039" spans="1:149">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c r="EO1039"/>
      <c r="EP1039"/>
      <c r="EQ1039"/>
      <c r="ER1039"/>
      <c r="ES1039"/>
    </row>
    <row r="1040" spans="1:149">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c r="EO1040"/>
      <c r="EP1040"/>
      <c r="EQ1040"/>
      <c r="ER1040"/>
      <c r="ES1040"/>
    </row>
    <row r="1041" spans="1:149">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c r="EO1041"/>
      <c r="EP1041"/>
      <c r="EQ1041"/>
      <c r="ER1041"/>
      <c r="ES1041"/>
    </row>
    <row r="1042" spans="1:149">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c r="EO1042"/>
      <c r="EP1042"/>
      <c r="EQ1042"/>
      <c r="ER1042"/>
      <c r="ES1042"/>
    </row>
    <row r="1043" spans="1:149">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c r="EO1043"/>
      <c r="EP1043"/>
      <c r="EQ1043"/>
      <c r="ER1043"/>
      <c r="ES1043"/>
    </row>
    <row r="1044" spans="1:149">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c r="EO1044"/>
      <c r="EP1044"/>
      <c r="EQ1044"/>
      <c r="ER1044"/>
      <c r="ES1044"/>
    </row>
    <row r="1045" spans="1:149">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c r="EO1045"/>
      <c r="EP1045"/>
      <c r="EQ1045"/>
      <c r="ER1045"/>
      <c r="ES1045"/>
    </row>
    <row r="1046" spans="1:149">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c r="EO1046"/>
      <c r="EP1046"/>
      <c r="EQ1046"/>
      <c r="ER1046"/>
      <c r="ES1046"/>
    </row>
    <row r="1047" spans="1:149">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c r="EO1047"/>
      <c r="EP1047"/>
      <c r="EQ1047"/>
      <c r="ER1047"/>
      <c r="ES1047"/>
    </row>
    <row r="1048" spans="1:149">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c r="EO1048"/>
      <c r="EP1048"/>
      <c r="EQ1048"/>
      <c r="ER1048"/>
      <c r="ES1048"/>
    </row>
    <row r="1049" spans="1:149">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c r="EO1049"/>
      <c r="EP1049"/>
      <c r="EQ1049"/>
      <c r="ER1049"/>
      <c r="ES1049"/>
    </row>
    <row r="1050" spans="1:149">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c r="EO1050"/>
      <c r="EP1050"/>
      <c r="EQ1050"/>
      <c r="ER1050"/>
      <c r="ES1050"/>
    </row>
    <row r="1051" spans="1:149">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c r="EO1051"/>
      <c r="EP1051"/>
      <c r="EQ1051"/>
      <c r="ER1051"/>
      <c r="ES1051"/>
    </row>
    <row r="1052" spans="1:149">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c r="EO1052"/>
      <c r="EP1052"/>
      <c r="EQ1052"/>
      <c r="ER1052"/>
      <c r="ES1052"/>
    </row>
    <row r="1053" spans="1:149">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c r="EO1053"/>
      <c r="EP1053"/>
      <c r="EQ1053"/>
      <c r="ER1053"/>
      <c r="ES1053"/>
    </row>
    <row r="1054" spans="1:149">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c r="EO1054"/>
      <c r="EP1054"/>
      <c r="EQ1054"/>
      <c r="ER1054"/>
      <c r="ES1054"/>
    </row>
    <row r="1055" spans="1:149">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c r="EO1055"/>
      <c r="EP1055"/>
      <c r="EQ1055"/>
      <c r="ER1055"/>
      <c r="ES1055"/>
    </row>
    <row r="1056" spans="1:149">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c r="EO1056"/>
      <c r="EP1056"/>
      <c r="EQ1056"/>
      <c r="ER1056"/>
      <c r="ES1056"/>
    </row>
    <row r="1057" spans="1:149">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c r="EO1057"/>
      <c r="EP1057"/>
      <c r="EQ1057"/>
      <c r="ER1057"/>
      <c r="ES1057"/>
    </row>
    <row r="1058" spans="1:149">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c r="EO1058"/>
      <c r="EP1058"/>
      <c r="EQ1058"/>
      <c r="ER1058"/>
      <c r="ES1058"/>
    </row>
    <row r="1059" spans="1:149">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c r="EO1059"/>
      <c r="EP1059"/>
      <c r="EQ1059"/>
      <c r="ER1059"/>
      <c r="ES1059"/>
    </row>
    <row r="1060" spans="1:149">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c r="EO1060"/>
      <c r="EP1060"/>
      <c r="EQ1060"/>
      <c r="ER1060"/>
      <c r="ES1060"/>
    </row>
    <row r="1061" spans="1:149">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c r="EO1061"/>
      <c r="EP1061"/>
      <c r="EQ1061"/>
      <c r="ER1061"/>
      <c r="ES1061"/>
    </row>
    <row r="1062" spans="1:149">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c r="EO1062"/>
      <c r="EP1062"/>
      <c r="EQ1062"/>
      <c r="ER1062"/>
      <c r="ES1062"/>
    </row>
    <row r="1063" spans="1:149">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c r="EO1063"/>
      <c r="EP1063"/>
      <c r="EQ1063"/>
      <c r="ER1063"/>
      <c r="ES1063"/>
    </row>
    <row r="1064" spans="1:149">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c r="EO1064"/>
      <c r="EP1064"/>
      <c r="EQ1064"/>
      <c r="ER1064"/>
      <c r="ES1064"/>
    </row>
    <row r="1065" spans="1:149">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c r="EO1065"/>
      <c r="EP1065"/>
      <c r="EQ1065"/>
      <c r="ER1065"/>
      <c r="ES1065"/>
    </row>
    <row r="1066" spans="1:149">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c r="EO1066"/>
      <c r="EP1066"/>
      <c r="EQ1066"/>
      <c r="ER1066"/>
      <c r="ES1066"/>
    </row>
    <row r="1067" spans="1:149">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c r="EO1067"/>
      <c r="EP1067"/>
      <c r="EQ1067"/>
      <c r="ER1067"/>
      <c r="ES1067"/>
    </row>
    <row r="1068" spans="1:149">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c r="EO1068"/>
      <c r="EP1068"/>
      <c r="EQ1068"/>
      <c r="ER1068"/>
      <c r="ES1068"/>
    </row>
    <row r="1069" spans="1:149">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c r="EO1069"/>
      <c r="EP1069"/>
      <c r="EQ1069"/>
      <c r="ER1069"/>
      <c r="ES1069"/>
    </row>
    <row r="1070" spans="1:149">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c r="EO1070"/>
      <c r="EP1070"/>
      <c r="EQ1070"/>
      <c r="ER1070"/>
      <c r="ES1070"/>
    </row>
    <row r="1071" spans="1:149">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c r="EO1071"/>
      <c r="EP1071"/>
      <c r="EQ1071"/>
      <c r="ER1071"/>
      <c r="ES1071"/>
    </row>
    <row r="1072" spans="1:149">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c r="EO1072"/>
      <c r="EP1072"/>
      <c r="EQ1072"/>
      <c r="ER1072"/>
      <c r="ES1072"/>
    </row>
    <row r="1073" spans="1:149">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c r="EO1073"/>
      <c r="EP1073"/>
      <c r="EQ1073"/>
      <c r="ER1073"/>
      <c r="ES1073"/>
    </row>
    <row r="1074" spans="1:149">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c r="EO1074"/>
      <c r="EP1074"/>
      <c r="EQ1074"/>
      <c r="ER1074"/>
      <c r="ES1074"/>
    </row>
    <row r="1075" spans="1:149">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c r="EO1075"/>
      <c r="EP1075"/>
      <c r="EQ1075"/>
      <c r="ER1075"/>
      <c r="ES1075"/>
    </row>
    <row r="1076" spans="1:149">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c r="EO1076"/>
      <c r="EP1076"/>
      <c r="EQ1076"/>
      <c r="ER1076"/>
      <c r="ES1076"/>
    </row>
    <row r="1077" spans="1:149">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c r="EO1077"/>
      <c r="EP1077"/>
      <c r="EQ1077"/>
      <c r="ER1077"/>
      <c r="ES1077"/>
    </row>
    <row r="1078" spans="1:149">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c r="EO1078"/>
      <c r="EP1078"/>
      <c r="EQ1078"/>
      <c r="ER1078"/>
      <c r="ES1078"/>
    </row>
    <row r="1079" spans="1:149">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c r="EO1079"/>
      <c r="EP1079"/>
      <c r="EQ1079"/>
      <c r="ER1079"/>
      <c r="ES1079"/>
    </row>
    <row r="1080" spans="1:149">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c r="EO1080"/>
      <c r="EP1080"/>
      <c r="EQ1080"/>
      <c r="ER1080"/>
      <c r="ES1080"/>
    </row>
    <row r="1081" spans="1:149">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c r="EO1081"/>
      <c r="EP1081"/>
      <c r="EQ1081"/>
      <c r="ER1081"/>
      <c r="ES1081"/>
    </row>
    <row r="1082" spans="1:149">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c r="EO1082"/>
      <c r="EP1082"/>
      <c r="EQ1082"/>
      <c r="ER1082"/>
      <c r="ES1082"/>
    </row>
    <row r="1083" spans="1:149">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c r="EO1083"/>
      <c r="EP1083"/>
      <c r="EQ1083"/>
      <c r="ER1083"/>
      <c r="ES1083"/>
    </row>
    <row r="1084" spans="1:149">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c r="EO1084"/>
      <c r="EP1084"/>
      <c r="EQ1084"/>
      <c r="ER1084"/>
      <c r="ES1084"/>
    </row>
    <row r="1085" spans="1:149">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c r="EO1085"/>
      <c r="EP1085"/>
      <c r="EQ1085"/>
      <c r="ER1085"/>
      <c r="ES1085"/>
    </row>
    <row r="1086" spans="1:149">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c r="EO1086"/>
      <c r="EP1086"/>
      <c r="EQ1086"/>
      <c r="ER1086"/>
      <c r="ES1086"/>
    </row>
    <row r="1087" spans="1:149">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c r="EO1087"/>
      <c r="EP1087"/>
      <c r="EQ1087"/>
      <c r="ER1087"/>
      <c r="ES1087"/>
    </row>
    <row r="1088" spans="1:149">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c r="EO1088"/>
      <c r="EP1088"/>
      <c r="EQ1088"/>
      <c r="ER1088"/>
      <c r="ES1088"/>
    </row>
    <row r="1089" spans="1:149">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c r="EO1089"/>
      <c r="EP1089"/>
      <c r="EQ1089"/>
      <c r="ER1089"/>
      <c r="ES1089"/>
    </row>
    <row r="1090" spans="1:149">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c r="EO1090"/>
      <c r="EP1090"/>
      <c r="EQ1090"/>
      <c r="ER1090"/>
      <c r="ES1090"/>
    </row>
    <row r="1091" spans="1:149">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c r="EO1091"/>
      <c r="EP1091"/>
      <c r="EQ1091"/>
      <c r="ER1091"/>
      <c r="ES1091"/>
    </row>
    <row r="1092" spans="1:149">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c r="EO1092"/>
      <c r="EP1092"/>
      <c r="EQ1092"/>
      <c r="ER1092"/>
      <c r="ES1092"/>
    </row>
    <row r="1093" spans="1:149">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c r="ER1093"/>
      <c r="ES1093"/>
    </row>
    <row r="1094" spans="1:149">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c r="EO1094"/>
      <c r="EP1094"/>
      <c r="EQ1094"/>
      <c r="ER1094"/>
      <c r="ES1094"/>
    </row>
    <row r="1095" spans="1:149">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c r="EO1095"/>
      <c r="EP1095"/>
      <c r="EQ1095"/>
      <c r="ER1095"/>
      <c r="ES1095"/>
    </row>
    <row r="1096" spans="1:149">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c r="EO1096"/>
      <c r="EP1096"/>
      <c r="EQ1096"/>
      <c r="ER1096"/>
      <c r="ES1096"/>
    </row>
    <row r="1097" spans="1:149">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c r="EO1097"/>
      <c r="EP1097"/>
      <c r="EQ1097"/>
      <c r="ER1097"/>
      <c r="ES1097"/>
    </row>
    <row r="1098" spans="1:149">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c r="EO1098"/>
      <c r="EP1098"/>
      <c r="EQ1098"/>
      <c r="ER1098"/>
      <c r="ES1098"/>
    </row>
    <row r="1099" spans="1:149">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c r="EO1099"/>
      <c r="EP1099"/>
      <c r="EQ1099"/>
      <c r="ER1099"/>
      <c r="ES1099"/>
    </row>
    <row r="1100" spans="1:149">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c r="EO1100"/>
      <c r="EP1100"/>
      <c r="EQ1100"/>
      <c r="ER1100"/>
      <c r="ES1100"/>
    </row>
    <row r="1101" spans="1:149">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c r="EO1101"/>
      <c r="EP1101"/>
      <c r="EQ1101"/>
      <c r="ER1101"/>
      <c r="ES1101"/>
    </row>
    <row r="1102" spans="1:149">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c r="EO1102"/>
      <c r="EP1102"/>
      <c r="EQ1102"/>
      <c r="ER1102"/>
      <c r="ES1102"/>
    </row>
    <row r="1103" spans="1:149">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c r="EO1103"/>
      <c r="EP1103"/>
      <c r="EQ1103"/>
      <c r="ER1103"/>
      <c r="ES1103"/>
    </row>
    <row r="1104" spans="1:149">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c r="EO1104"/>
      <c r="EP1104"/>
      <c r="EQ1104"/>
      <c r="ER1104"/>
      <c r="ES1104"/>
    </row>
    <row r="1105" spans="1:149">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c r="EO1105"/>
      <c r="EP1105"/>
      <c r="EQ1105"/>
      <c r="ER1105"/>
      <c r="ES1105"/>
    </row>
    <row r="1106" spans="1:149">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c r="EO1106"/>
      <c r="EP1106"/>
      <c r="EQ1106"/>
      <c r="ER1106"/>
      <c r="ES1106"/>
    </row>
    <row r="1107" spans="1:149">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c r="EO1107"/>
      <c r="EP1107"/>
      <c r="EQ1107"/>
      <c r="ER1107"/>
      <c r="ES1107"/>
    </row>
    <row r="1108" spans="1:149">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c r="EO1108"/>
      <c r="EP1108"/>
      <c r="EQ1108"/>
      <c r="ER1108"/>
      <c r="ES1108"/>
    </row>
    <row r="1109" spans="1:149">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c r="EO1109"/>
      <c r="EP1109"/>
      <c r="EQ1109"/>
      <c r="ER1109"/>
      <c r="ES1109"/>
    </row>
    <row r="1110" spans="1:149">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c r="EO1110"/>
      <c r="EP1110"/>
      <c r="EQ1110"/>
      <c r="ER1110"/>
      <c r="ES1110"/>
    </row>
    <row r="1111" spans="1:149">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c r="EO1111"/>
      <c r="EP1111"/>
      <c r="EQ1111"/>
      <c r="ER1111"/>
      <c r="ES1111"/>
    </row>
    <row r="1112" spans="1:149">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c r="EO1112"/>
      <c r="EP1112"/>
      <c r="EQ1112"/>
      <c r="ER1112"/>
      <c r="ES1112"/>
    </row>
    <row r="1113" spans="1:149">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c r="EO1113"/>
      <c r="EP1113"/>
      <c r="EQ1113"/>
      <c r="ER1113"/>
      <c r="ES1113"/>
    </row>
    <row r="1114" spans="1:149">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c r="EO1114"/>
      <c r="EP1114"/>
      <c r="EQ1114"/>
      <c r="ER1114"/>
      <c r="ES1114"/>
    </row>
    <row r="1115" spans="1:149">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c r="EO1115"/>
      <c r="EP1115"/>
      <c r="EQ1115"/>
      <c r="ER1115"/>
      <c r="ES1115"/>
    </row>
    <row r="1116" spans="1:149">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c r="EO1116"/>
      <c r="EP1116"/>
      <c r="EQ1116"/>
      <c r="ER1116"/>
      <c r="ES1116"/>
    </row>
    <row r="1117" spans="1:149">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c r="EO1117"/>
      <c r="EP1117"/>
      <c r="EQ1117"/>
      <c r="ER1117"/>
      <c r="ES1117"/>
    </row>
    <row r="1118" spans="1:149">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c r="EO1118"/>
      <c r="EP1118"/>
      <c r="EQ1118"/>
      <c r="ER1118"/>
      <c r="ES1118"/>
    </row>
    <row r="1119" spans="1:149">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c r="EO1119"/>
      <c r="EP1119"/>
      <c r="EQ1119"/>
      <c r="ER1119"/>
      <c r="ES1119"/>
    </row>
    <row r="1120" spans="1:149">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c r="EO1120"/>
      <c r="EP1120"/>
      <c r="EQ1120"/>
      <c r="ER1120"/>
      <c r="ES1120"/>
    </row>
    <row r="1121" spans="1:149">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c r="EO1121"/>
      <c r="EP1121"/>
      <c r="EQ1121"/>
      <c r="ER1121"/>
      <c r="ES1121"/>
    </row>
    <row r="1122" spans="1:149">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c r="EO1122"/>
      <c r="EP1122"/>
      <c r="EQ1122"/>
      <c r="ER1122"/>
      <c r="ES1122"/>
    </row>
    <row r="1123" spans="1:149">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c r="EO1123"/>
      <c r="EP1123"/>
      <c r="EQ1123"/>
      <c r="ER1123"/>
      <c r="ES1123"/>
    </row>
    <row r="1124" spans="1:149">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c r="EO1124"/>
      <c r="EP1124"/>
      <c r="EQ1124"/>
      <c r="ER1124"/>
      <c r="ES1124"/>
    </row>
    <row r="1125" spans="1:149">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c r="EO1125"/>
      <c r="EP1125"/>
      <c r="EQ1125"/>
      <c r="ER1125"/>
      <c r="ES1125"/>
    </row>
    <row r="1126" spans="1:149">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c r="EO1126"/>
      <c r="EP1126"/>
      <c r="EQ1126"/>
      <c r="ER1126"/>
      <c r="ES1126"/>
    </row>
    <row r="1127" spans="1:149">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c r="EO1127"/>
      <c r="EP1127"/>
      <c r="EQ1127"/>
      <c r="ER1127"/>
      <c r="ES1127"/>
    </row>
    <row r="1128" spans="1:149">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c r="EO1128"/>
      <c r="EP1128"/>
      <c r="EQ1128"/>
      <c r="ER1128"/>
      <c r="ES1128"/>
    </row>
    <row r="1129" spans="1:149">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c r="EO1129"/>
      <c r="EP1129"/>
      <c r="EQ1129"/>
      <c r="ER1129"/>
      <c r="ES1129"/>
    </row>
    <row r="1130" spans="1:149">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c r="EO1130"/>
      <c r="EP1130"/>
      <c r="EQ1130"/>
      <c r="ER1130"/>
      <c r="ES1130"/>
    </row>
    <row r="1131" spans="1:149">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c r="EO1131"/>
      <c r="EP1131"/>
      <c r="EQ1131"/>
      <c r="ER1131"/>
      <c r="ES1131"/>
    </row>
    <row r="1132" spans="1:149">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c r="EO1132"/>
      <c r="EP1132"/>
      <c r="EQ1132"/>
      <c r="ER1132"/>
      <c r="ES1132"/>
    </row>
    <row r="1133" spans="1:149">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c r="EO1133"/>
      <c r="EP1133"/>
      <c r="EQ1133"/>
      <c r="ER1133"/>
      <c r="ES1133"/>
    </row>
    <row r="1134" spans="1:149">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c r="EO1134"/>
      <c r="EP1134"/>
      <c r="EQ1134"/>
      <c r="ER1134"/>
      <c r="ES1134"/>
    </row>
    <row r="1135" spans="1:149">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c r="EO1135"/>
      <c r="EP1135"/>
      <c r="EQ1135"/>
      <c r="ER1135"/>
      <c r="ES1135"/>
    </row>
    <row r="1136" spans="1:149">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c r="EO1136"/>
      <c r="EP1136"/>
      <c r="EQ1136"/>
      <c r="ER1136"/>
      <c r="ES1136"/>
    </row>
    <row r="1137" spans="1:149">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c r="EO1137"/>
      <c r="EP1137"/>
      <c r="EQ1137"/>
      <c r="ER1137"/>
      <c r="ES1137"/>
    </row>
    <row r="1138" spans="1:149">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c r="EO1138"/>
      <c r="EP1138"/>
      <c r="EQ1138"/>
      <c r="ER1138"/>
      <c r="ES1138"/>
    </row>
    <row r="1139" spans="1:149">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c r="EO1139"/>
      <c r="EP1139"/>
      <c r="EQ1139"/>
      <c r="ER1139"/>
      <c r="ES1139"/>
    </row>
    <row r="1140" spans="1:149">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c r="EO1140"/>
      <c r="EP1140"/>
      <c r="EQ1140"/>
      <c r="ER1140"/>
      <c r="ES1140"/>
    </row>
    <row r="1141" spans="1:149">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c r="EO1141"/>
      <c r="EP1141"/>
      <c r="EQ1141"/>
      <c r="ER1141"/>
      <c r="ES1141"/>
    </row>
    <row r="1142" spans="1:149">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c r="EO1142"/>
      <c r="EP1142"/>
      <c r="EQ1142"/>
      <c r="ER1142"/>
      <c r="ES1142"/>
    </row>
    <row r="1143" spans="1:149">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c r="EO1143"/>
      <c r="EP1143"/>
      <c r="EQ1143"/>
      <c r="ER1143"/>
      <c r="ES1143"/>
    </row>
    <row r="1144" spans="1:149">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c r="EO1144"/>
      <c r="EP1144"/>
      <c r="EQ1144"/>
      <c r="ER1144"/>
      <c r="ES1144"/>
    </row>
    <row r="1145" spans="1:149">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c r="EO1145"/>
      <c r="EP1145"/>
      <c r="EQ1145"/>
      <c r="ER1145"/>
      <c r="ES1145"/>
    </row>
    <row r="1146" spans="1:149">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c r="EO1146"/>
      <c r="EP1146"/>
      <c r="EQ1146"/>
      <c r="ER1146"/>
      <c r="ES1146"/>
    </row>
    <row r="1147" spans="1:149">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c r="EO1147"/>
      <c r="EP1147"/>
      <c r="EQ1147"/>
      <c r="ER1147"/>
      <c r="ES1147"/>
    </row>
    <row r="1148" spans="1:149">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c r="ER1148"/>
      <c r="ES1148"/>
    </row>
    <row r="1149" spans="1:149">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c r="EO1149"/>
      <c r="EP1149"/>
      <c r="EQ1149"/>
      <c r="ER1149"/>
      <c r="ES1149"/>
    </row>
    <row r="1150" spans="1:149">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c r="EO1150"/>
      <c r="EP1150"/>
      <c r="EQ1150"/>
      <c r="ER1150"/>
      <c r="ES1150"/>
    </row>
    <row r="1151" spans="1:149">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c r="EO1151"/>
      <c r="EP1151"/>
      <c r="EQ1151"/>
      <c r="ER1151"/>
      <c r="ES1151"/>
    </row>
    <row r="1152" spans="1:149">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c r="EO1152"/>
      <c r="EP1152"/>
      <c r="EQ1152"/>
      <c r="ER1152"/>
      <c r="ES1152"/>
    </row>
    <row r="1153" spans="1:149">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c r="EO1153"/>
      <c r="EP1153"/>
      <c r="EQ1153"/>
      <c r="ER1153"/>
      <c r="ES1153"/>
    </row>
    <row r="1154" spans="1:149">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c r="EO1154"/>
      <c r="EP1154"/>
      <c r="EQ1154"/>
      <c r="ER1154"/>
      <c r="ES1154"/>
    </row>
    <row r="1155" spans="1:149">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c r="EO1155"/>
      <c r="EP1155"/>
      <c r="EQ1155"/>
      <c r="ER1155"/>
      <c r="ES1155"/>
    </row>
    <row r="1156" spans="1:149">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c r="EO1156"/>
      <c r="EP1156"/>
      <c r="EQ1156"/>
      <c r="ER1156"/>
      <c r="ES1156"/>
    </row>
    <row r="1157" spans="1:149">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c r="EO1157"/>
      <c r="EP1157"/>
      <c r="EQ1157"/>
      <c r="ER1157"/>
      <c r="ES1157"/>
    </row>
    <row r="1158" spans="1:149">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c r="EO1158"/>
      <c r="EP1158"/>
      <c r="EQ1158"/>
      <c r="ER1158"/>
      <c r="ES1158"/>
    </row>
    <row r="1159" spans="1:149">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c r="EO1159"/>
      <c r="EP1159"/>
      <c r="EQ1159"/>
      <c r="ER1159"/>
      <c r="ES1159"/>
    </row>
    <row r="1160" spans="1:149">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c r="EO1160"/>
      <c r="EP1160"/>
      <c r="EQ1160"/>
      <c r="ER1160"/>
      <c r="ES1160"/>
    </row>
    <row r="1161" spans="1:149">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c r="EO1161"/>
      <c r="EP1161"/>
      <c r="EQ1161"/>
      <c r="ER1161"/>
      <c r="ES1161"/>
    </row>
    <row r="1162" spans="1:149">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c r="EO1162"/>
      <c r="EP1162"/>
      <c r="EQ1162"/>
      <c r="ER1162"/>
      <c r="ES1162"/>
    </row>
    <row r="1163" spans="1:149">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c r="EO1163"/>
      <c r="EP1163"/>
      <c r="EQ1163"/>
      <c r="ER1163"/>
      <c r="ES1163"/>
    </row>
    <row r="1164" spans="1:149">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c r="EO1164"/>
      <c r="EP1164"/>
      <c r="EQ1164"/>
      <c r="ER1164"/>
      <c r="ES1164"/>
    </row>
    <row r="1165" spans="1:149">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c r="EO1165"/>
      <c r="EP1165"/>
      <c r="EQ1165"/>
      <c r="ER1165"/>
      <c r="ES1165"/>
    </row>
    <row r="1166" spans="1:149">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c r="EO1166"/>
      <c r="EP1166"/>
      <c r="EQ1166"/>
      <c r="ER1166"/>
      <c r="ES1166"/>
    </row>
    <row r="1167" spans="1:149">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c r="EO1167"/>
      <c r="EP1167"/>
      <c r="EQ1167"/>
      <c r="ER1167"/>
      <c r="ES1167"/>
    </row>
    <row r="1168" spans="1:149">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c r="EO1168"/>
      <c r="EP1168"/>
      <c r="EQ1168"/>
      <c r="ER1168"/>
      <c r="ES1168"/>
    </row>
    <row r="1169" spans="1:149">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c r="EO1169"/>
      <c r="EP1169"/>
      <c r="EQ1169"/>
      <c r="ER1169"/>
      <c r="ES1169"/>
    </row>
    <row r="1170" spans="1:149">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c r="EO1170"/>
      <c r="EP1170"/>
      <c r="EQ1170"/>
      <c r="ER1170"/>
      <c r="ES1170"/>
    </row>
    <row r="1171" spans="1:149">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c r="EO1171"/>
      <c r="EP1171"/>
      <c r="EQ1171"/>
      <c r="ER1171"/>
      <c r="ES1171"/>
    </row>
    <row r="1172" spans="1:149">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c r="EO1172"/>
      <c r="EP1172"/>
      <c r="EQ1172"/>
      <c r="ER1172"/>
      <c r="ES1172"/>
    </row>
    <row r="1173" spans="1:149">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c r="EO1173"/>
      <c r="EP1173"/>
      <c r="EQ1173"/>
      <c r="ER1173"/>
      <c r="ES1173"/>
    </row>
    <row r="1174" spans="1:149">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c r="EO1174"/>
      <c r="EP1174"/>
      <c r="EQ1174"/>
      <c r="ER1174"/>
      <c r="ES1174"/>
    </row>
    <row r="1175" spans="1:149">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c r="EO1175"/>
      <c r="EP1175"/>
      <c r="EQ1175"/>
      <c r="ER1175"/>
      <c r="ES1175"/>
    </row>
    <row r="1176" spans="1:149">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c r="EO1176"/>
      <c r="EP1176"/>
      <c r="EQ1176"/>
      <c r="ER1176"/>
      <c r="ES1176"/>
    </row>
    <row r="1177" spans="1:149">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c r="EO1177"/>
      <c r="EP1177"/>
      <c r="EQ1177"/>
      <c r="ER1177"/>
      <c r="ES1177"/>
    </row>
    <row r="1178" spans="1:149">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c r="EO1178"/>
      <c r="EP1178"/>
      <c r="EQ1178"/>
      <c r="ER1178"/>
      <c r="ES1178"/>
    </row>
    <row r="1179" spans="1:149">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c r="EO1179"/>
      <c r="EP1179"/>
      <c r="EQ1179"/>
      <c r="ER1179"/>
      <c r="ES1179"/>
    </row>
    <row r="1180" spans="1:149">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c r="EO1180"/>
      <c r="EP1180"/>
      <c r="EQ1180"/>
      <c r="ER1180"/>
      <c r="ES1180"/>
    </row>
    <row r="1181" spans="1:149">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c r="EO1181"/>
      <c r="EP1181"/>
      <c r="EQ1181"/>
      <c r="ER1181"/>
      <c r="ES1181"/>
    </row>
    <row r="1182" spans="1:149">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c r="EO1182"/>
      <c r="EP1182"/>
      <c r="EQ1182"/>
      <c r="ER1182"/>
      <c r="ES1182"/>
    </row>
    <row r="1183" spans="1:149">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c r="EO1183"/>
      <c r="EP1183"/>
      <c r="EQ1183"/>
      <c r="ER1183"/>
      <c r="ES1183"/>
    </row>
    <row r="1184" spans="1:149">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c r="EO1184"/>
      <c r="EP1184"/>
      <c r="EQ1184"/>
      <c r="ER1184"/>
      <c r="ES1184"/>
    </row>
    <row r="1185" spans="1:149">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c r="EO1185"/>
      <c r="EP1185"/>
      <c r="EQ1185"/>
      <c r="ER1185"/>
      <c r="ES1185"/>
    </row>
    <row r="1186" spans="1:149">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c r="EO1186"/>
      <c r="EP1186"/>
      <c r="EQ1186"/>
      <c r="ER1186"/>
      <c r="ES1186"/>
    </row>
    <row r="1187" spans="1:149">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c r="EO1187"/>
      <c r="EP1187"/>
      <c r="EQ1187"/>
      <c r="ER1187"/>
      <c r="ES1187"/>
    </row>
    <row r="1188" spans="1:149">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c r="EO1188"/>
      <c r="EP1188"/>
      <c r="EQ1188"/>
      <c r="ER1188"/>
      <c r="ES1188"/>
    </row>
    <row r="1189" spans="1:149">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c r="EO1189"/>
      <c r="EP1189"/>
      <c r="EQ1189"/>
      <c r="ER1189"/>
      <c r="ES1189"/>
    </row>
    <row r="1190" spans="1:149">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c r="EO1190"/>
      <c r="EP1190"/>
      <c r="EQ1190"/>
      <c r="ER1190"/>
      <c r="ES1190"/>
    </row>
    <row r="1191" spans="1:149">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c r="EO1191"/>
      <c r="EP1191"/>
      <c r="EQ1191"/>
      <c r="ER1191"/>
      <c r="ES1191"/>
    </row>
    <row r="1192" spans="1:149">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c r="EO1192"/>
      <c r="EP1192"/>
      <c r="EQ1192"/>
      <c r="ER1192"/>
      <c r="ES1192"/>
    </row>
    <row r="1193" spans="1:149">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c r="EO1193"/>
      <c r="EP1193"/>
      <c r="EQ1193"/>
      <c r="ER1193"/>
      <c r="ES1193"/>
    </row>
    <row r="1194" spans="1:149">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c r="EO1194"/>
      <c r="EP1194"/>
      <c r="EQ1194"/>
      <c r="ER1194"/>
      <c r="ES1194"/>
    </row>
    <row r="1195" spans="1:149">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c r="EO1195"/>
      <c r="EP1195"/>
      <c r="EQ1195"/>
      <c r="ER1195"/>
      <c r="ES1195"/>
    </row>
    <row r="1196" spans="1:149">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c r="EO1196"/>
      <c r="EP1196"/>
      <c r="EQ1196"/>
      <c r="ER1196"/>
      <c r="ES1196"/>
    </row>
    <row r="1197" spans="1:149">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c r="EO1197"/>
      <c r="EP1197"/>
      <c r="EQ1197"/>
      <c r="ER1197"/>
      <c r="ES1197"/>
    </row>
    <row r="1198" spans="1:149">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c r="EO1198"/>
      <c r="EP1198"/>
      <c r="EQ1198"/>
      <c r="ER1198"/>
      <c r="ES1198"/>
    </row>
    <row r="1199" spans="1:149">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c r="EO1199"/>
      <c r="EP1199"/>
      <c r="EQ1199"/>
      <c r="ER1199"/>
      <c r="ES1199"/>
    </row>
    <row r="1200" spans="1:149">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c r="EO1200"/>
      <c r="EP1200"/>
      <c r="EQ1200"/>
      <c r="ER1200"/>
      <c r="ES1200"/>
    </row>
    <row r="1201" spans="1:149">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c r="EO1201"/>
      <c r="EP1201"/>
      <c r="EQ1201"/>
      <c r="ER1201"/>
      <c r="ES1201"/>
    </row>
    <row r="1202" spans="1:149">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c r="EO1202"/>
      <c r="EP1202"/>
      <c r="EQ1202"/>
      <c r="ER1202"/>
      <c r="ES1202"/>
    </row>
    <row r="1203" spans="1:149">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c r="EO1203"/>
      <c r="EP1203"/>
      <c r="EQ1203"/>
      <c r="ER1203"/>
      <c r="ES1203"/>
    </row>
    <row r="1204" spans="1:149">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c r="EO1204"/>
      <c r="EP1204"/>
      <c r="EQ1204"/>
      <c r="ER1204"/>
      <c r="ES1204"/>
    </row>
    <row r="1205" spans="1:149">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c r="EO1205"/>
      <c r="EP1205"/>
      <c r="EQ1205"/>
      <c r="ER1205"/>
      <c r="ES1205"/>
    </row>
    <row r="1206" spans="1:149">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c r="EO1206"/>
      <c r="EP1206"/>
      <c r="EQ1206"/>
      <c r="ER1206"/>
      <c r="ES1206"/>
    </row>
    <row r="1207" spans="1:149">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c r="EO1207"/>
      <c r="EP1207"/>
      <c r="EQ1207"/>
      <c r="ER1207"/>
      <c r="ES1207"/>
    </row>
    <row r="1208" spans="1:149">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c r="EO1208"/>
      <c r="EP1208"/>
      <c r="EQ1208"/>
      <c r="ER1208"/>
      <c r="ES1208"/>
    </row>
    <row r="1209" spans="1:149">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c r="EO1209"/>
      <c r="EP1209"/>
      <c r="EQ1209"/>
      <c r="ER1209"/>
      <c r="ES1209"/>
    </row>
    <row r="1210" spans="1:149">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c r="EO1210"/>
      <c r="EP1210"/>
      <c r="EQ1210"/>
      <c r="ER1210"/>
      <c r="ES1210"/>
    </row>
    <row r="1211" spans="1:149">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c r="EO1211"/>
      <c r="EP1211"/>
      <c r="EQ1211"/>
      <c r="ER1211"/>
      <c r="ES1211"/>
    </row>
    <row r="1212" spans="1:149">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c r="EO1212"/>
      <c r="EP1212"/>
      <c r="EQ1212"/>
      <c r="ER1212"/>
      <c r="ES1212"/>
    </row>
    <row r="1213" spans="1:149">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c r="EO1213"/>
      <c r="EP1213"/>
      <c r="EQ1213"/>
      <c r="ER1213"/>
      <c r="ES1213"/>
    </row>
    <row r="1214" spans="1:149">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c r="EO1214"/>
      <c r="EP1214"/>
      <c r="EQ1214"/>
      <c r="ER1214"/>
      <c r="ES1214"/>
    </row>
    <row r="1215" spans="1:149">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c r="EO1215"/>
      <c r="EP1215"/>
      <c r="EQ1215"/>
      <c r="ER1215"/>
      <c r="ES1215"/>
    </row>
    <row r="1216" spans="1:149">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c r="EO1216"/>
      <c r="EP1216"/>
      <c r="EQ1216"/>
      <c r="ER1216"/>
      <c r="ES1216"/>
    </row>
    <row r="1217" spans="1:149">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c r="EO1217"/>
      <c r="EP1217"/>
      <c r="EQ1217"/>
      <c r="ER1217"/>
      <c r="ES1217"/>
    </row>
    <row r="1218" spans="1:149">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c r="EO1218"/>
      <c r="EP1218"/>
      <c r="EQ1218"/>
      <c r="ER1218"/>
      <c r="ES1218"/>
    </row>
    <row r="1219" spans="1:149">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c r="EO1219"/>
      <c r="EP1219"/>
      <c r="EQ1219"/>
      <c r="ER1219"/>
      <c r="ES1219"/>
    </row>
    <row r="1220" spans="1:149">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c r="EO1220"/>
      <c r="EP1220"/>
      <c r="EQ1220"/>
      <c r="ER1220"/>
      <c r="ES1220"/>
    </row>
    <row r="1221" spans="1:149">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c r="EO1221"/>
      <c r="EP1221"/>
      <c r="EQ1221"/>
      <c r="ER1221"/>
      <c r="ES1221"/>
    </row>
    <row r="1222" spans="1:149">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c r="EO1222"/>
      <c r="EP1222"/>
      <c r="EQ1222"/>
      <c r="ER1222"/>
      <c r="ES1222"/>
    </row>
    <row r="1223" spans="1:149">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c r="EO1223"/>
      <c r="EP1223"/>
      <c r="EQ1223"/>
      <c r="ER1223"/>
      <c r="ES1223"/>
    </row>
    <row r="1224" spans="1:149">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c r="EO1224"/>
      <c r="EP1224"/>
      <c r="EQ1224"/>
      <c r="ER1224"/>
      <c r="ES1224"/>
    </row>
    <row r="1225" spans="1:149">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c r="EO1225"/>
      <c r="EP1225"/>
      <c r="EQ1225"/>
      <c r="ER1225"/>
      <c r="ES1225"/>
    </row>
    <row r="1226" spans="1:149">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c r="EO1226"/>
      <c r="EP1226"/>
      <c r="EQ1226"/>
      <c r="ER1226"/>
      <c r="ES1226"/>
    </row>
    <row r="1227" spans="1:149">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c r="EO1227"/>
      <c r="EP1227"/>
      <c r="EQ1227"/>
      <c r="ER1227"/>
      <c r="ES1227"/>
    </row>
    <row r="1228" spans="1:149">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c r="EO1228"/>
      <c r="EP1228"/>
      <c r="EQ1228"/>
      <c r="ER1228"/>
      <c r="ES1228"/>
    </row>
    <row r="1229" spans="1:149">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c r="EO1229"/>
      <c r="EP1229"/>
      <c r="EQ1229"/>
      <c r="ER1229"/>
      <c r="ES1229"/>
    </row>
    <row r="1230" spans="1:149">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c r="EO1230"/>
      <c r="EP1230"/>
      <c r="EQ1230"/>
      <c r="ER1230"/>
      <c r="ES1230"/>
    </row>
    <row r="1231" spans="1:149">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c r="EO1231"/>
      <c r="EP1231"/>
      <c r="EQ1231"/>
      <c r="ER1231"/>
      <c r="ES1231"/>
    </row>
    <row r="1232" spans="1:149">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c r="EO1232"/>
      <c r="EP1232"/>
      <c r="EQ1232"/>
      <c r="ER1232"/>
      <c r="ES1232"/>
    </row>
    <row r="1233" spans="1:149">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c r="EO1233"/>
      <c r="EP1233"/>
      <c r="EQ1233"/>
      <c r="ER1233"/>
      <c r="ES1233"/>
    </row>
    <row r="1234" spans="1:149">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c r="EO1234"/>
      <c r="EP1234"/>
      <c r="EQ1234"/>
      <c r="ER1234"/>
      <c r="ES1234"/>
    </row>
    <row r="1235" spans="1:149">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c r="EO1235"/>
      <c r="EP1235"/>
      <c r="EQ1235"/>
      <c r="ER1235"/>
      <c r="ES1235"/>
    </row>
    <row r="1236" spans="1:149">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c r="EO1236"/>
      <c r="EP1236"/>
      <c r="EQ1236"/>
      <c r="ER1236"/>
      <c r="ES1236"/>
    </row>
    <row r="1237" spans="1:149">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c r="EO1237"/>
      <c r="EP1237"/>
      <c r="EQ1237"/>
      <c r="ER1237"/>
      <c r="ES1237"/>
    </row>
    <row r="1238" spans="1:149">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c r="EO1238"/>
      <c r="EP1238"/>
      <c r="EQ1238"/>
      <c r="ER1238"/>
      <c r="ES1238"/>
    </row>
    <row r="1239" spans="1:149">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c r="EO1239"/>
      <c r="EP1239"/>
      <c r="EQ1239"/>
      <c r="ER1239"/>
      <c r="ES1239"/>
    </row>
    <row r="1240" spans="1:149">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c r="EO1240"/>
      <c r="EP1240"/>
      <c r="EQ1240"/>
      <c r="ER1240"/>
      <c r="ES1240"/>
    </row>
    <row r="1241" spans="1:149">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c r="EO1241"/>
      <c r="EP1241"/>
      <c r="EQ1241"/>
      <c r="ER1241"/>
      <c r="ES1241"/>
    </row>
    <row r="1242" spans="1:149">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c r="EO1242"/>
      <c r="EP1242"/>
      <c r="EQ1242"/>
      <c r="ER1242"/>
      <c r="ES1242"/>
    </row>
    <row r="1243" spans="1:149">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c r="EO1243"/>
      <c r="EP1243"/>
      <c r="EQ1243"/>
      <c r="ER1243"/>
      <c r="ES1243"/>
    </row>
    <row r="1244" spans="1:149">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c r="EO1244"/>
      <c r="EP1244"/>
      <c r="EQ1244"/>
      <c r="ER1244"/>
      <c r="ES1244"/>
    </row>
    <row r="1245" spans="1:149">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c r="EO1245"/>
      <c r="EP1245"/>
      <c r="EQ1245"/>
      <c r="ER1245"/>
      <c r="ES1245"/>
    </row>
    <row r="1246" spans="1:149">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c r="EO1246"/>
      <c r="EP1246"/>
      <c r="EQ1246"/>
      <c r="ER1246"/>
      <c r="ES1246"/>
    </row>
    <row r="1247" spans="1:149">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c r="EO1247"/>
      <c r="EP1247"/>
      <c r="EQ1247"/>
      <c r="ER1247"/>
      <c r="ES1247"/>
    </row>
    <row r="1248" spans="1:149">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c r="EO1248"/>
      <c r="EP1248"/>
      <c r="EQ1248"/>
      <c r="ER1248"/>
      <c r="ES1248"/>
    </row>
    <row r="1249" spans="1:149">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c r="EM1249"/>
      <c r="EN1249"/>
      <c r="EO1249"/>
      <c r="EP1249"/>
      <c r="EQ1249"/>
      <c r="ER1249"/>
      <c r="ES1249"/>
    </row>
    <row r="1250" spans="1:149">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c r="EM1250"/>
      <c r="EN1250"/>
      <c r="EO1250"/>
      <c r="EP1250"/>
      <c r="EQ1250"/>
      <c r="ER1250"/>
      <c r="ES1250"/>
    </row>
    <row r="1251" spans="1:149">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c r="EM1251"/>
      <c r="EN1251"/>
      <c r="EO1251"/>
      <c r="EP1251"/>
      <c r="EQ1251"/>
      <c r="ER1251"/>
      <c r="ES1251"/>
    </row>
    <row r="1252" spans="1:149">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c r="EM1252"/>
      <c r="EN1252"/>
      <c r="EO1252"/>
      <c r="EP1252"/>
      <c r="EQ1252"/>
      <c r="ER1252"/>
      <c r="ES1252"/>
    </row>
    <row r="1253" spans="1:149">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c r="EM1253"/>
      <c r="EN1253"/>
      <c r="EO1253"/>
      <c r="EP1253"/>
      <c r="EQ1253"/>
      <c r="ER1253"/>
      <c r="ES1253"/>
    </row>
    <row r="1254" spans="1:149">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c r="EM1254"/>
      <c r="EN1254"/>
      <c r="EO1254"/>
      <c r="EP1254"/>
      <c r="EQ1254"/>
      <c r="ER1254"/>
      <c r="ES1254"/>
    </row>
    <row r="1255" spans="1:149">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c r="EM1255"/>
      <c r="EN1255"/>
      <c r="EO1255"/>
      <c r="EP1255"/>
      <c r="EQ1255"/>
      <c r="ER1255"/>
      <c r="ES1255"/>
    </row>
    <row r="1256" spans="1:149">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c r="EM1256"/>
      <c r="EN1256"/>
      <c r="EO1256"/>
      <c r="EP1256"/>
      <c r="EQ1256"/>
      <c r="ER1256"/>
      <c r="ES1256"/>
    </row>
    <row r="1257" spans="1:149">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c r="EM1257"/>
      <c r="EN1257"/>
      <c r="EO1257"/>
      <c r="EP1257"/>
      <c r="EQ1257"/>
      <c r="ER1257"/>
      <c r="ES1257"/>
    </row>
    <row r="1258" spans="1:149">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c r="EM1258"/>
      <c r="EN1258"/>
      <c r="EO1258"/>
      <c r="EP1258"/>
      <c r="EQ1258"/>
      <c r="ER1258"/>
      <c r="ES1258"/>
    </row>
    <row r="1259" spans="1:149">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c r="EM1259"/>
      <c r="EN1259"/>
      <c r="EO1259"/>
      <c r="EP1259"/>
      <c r="EQ1259"/>
      <c r="ER1259"/>
      <c r="ES1259"/>
    </row>
    <row r="1260" spans="1:149">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c r="EM1260"/>
      <c r="EN1260"/>
      <c r="EO1260"/>
      <c r="EP1260"/>
      <c r="EQ1260"/>
      <c r="ER1260"/>
      <c r="ES1260"/>
    </row>
    <row r="1261" spans="1:149">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c r="EM1261"/>
      <c r="EN1261"/>
      <c r="EO1261"/>
      <c r="EP1261"/>
      <c r="EQ1261"/>
      <c r="ER1261"/>
      <c r="ES1261"/>
    </row>
    <row r="1262" spans="1:149">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c r="EM1262"/>
      <c r="EN1262"/>
      <c r="EO1262"/>
      <c r="EP1262"/>
      <c r="EQ1262"/>
      <c r="ER1262"/>
      <c r="ES1262"/>
    </row>
    <row r="1263" spans="1:149">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c r="EM1263"/>
      <c r="EN1263"/>
      <c r="EO1263"/>
      <c r="EP1263"/>
      <c r="EQ1263"/>
      <c r="ER1263"/>
      <c r="ES1263"/>
    </row>
    <row r="1264" spans="1:149">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c r="EM1264"/>
      <c r="EN1264"/>
      <c r="EO1264"/>
      <c r="EP1264"/>
      <c r="EQ1264"/>
      <c r="ER1264"/>
      <c r="ES1264"/>
    </row>
    <row r="1265" spans="1:149">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c r="EM1265"/>
      <c r="EN1265"/>
      <c r="EO1265"/>
      <c r="EP1265"/>
      <c r="EQ1265"/>
      <c r="ER1265"/>
      <c r="ES1265"/>
    </row>
    <row r="1266" spans="1:149">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c r="EM1266"/>
      <c r="EN1266"/>
      <c r="EO1266"/>
      <c r="EP1266"/>
      <c r="EQ1266"/>
      <c r="ER1266"/>
      <c r="ES1266"/>
    </row>
    <row r="1267" spans="1:149">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c r="EM1267"/>
      <c r="EN1267"/>
      <c r="EO1267"/>
      <c r="EP1267"/>
      <c r="EQ1267"/>
      <c r="ER1267"/>
      <c r="ES1267"/>
    </row>
    <row r="1268" spans="1:149">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c r="EM1268"/>
      <c r="EN1268"/>
      <c r="EO1268"/>
      <c r="EP1268"/>
      <c r="EQ1268"/>
      <c r="ER1268"/>
      <c r="ES1268"/>
    </row>
    <row r="1269" spans="1:149">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c r="EM1269"/>
      <c r="EN1269"/>
      <c r="EO1269"/>
      <c r="EP1269"/>
      <c r="EQ1269"/>
      <c r="ER1269"/>
      <c r="ES1269"/>
    </row>
    <row r="1270" spans="1:149">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c r="EM1270"/>
      <c r="EN1270"/>
      <c r="EO1270"/>
      <c r="EP1270"/>
      <c r="EQ1270"/>
      <c r="ER1270"/>
      <c r="ES1270"/>
    </row>
    <row r="1271" spans="1:149">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c r="EM1271"/>
      <c r="EN1271"/>
      <c r="EO1271"/>
      <c r="EP1271"/>
      <c r="EQ1271"/>
      <c r="ER1271"/>
      <c r="ES1271"/>
    </row>
    <row r="1272" spans="1:149">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c r="EM1272"/>
      <c r="EN1272"/>
      <c r="EO1272"/>
      <c r="EP1272"/>
      <c r="EQ1272"/>
      <c r="ER1272"/>
      <c r="ES1272"/>
    </row>
    <row r="1273" spans="1:149">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c r="EM1273"/>
      <c r="EN1273"/>
      <c r="EO1273"/>
      <c r="EP1273"/>
      <c r="EQ1273"/>
      <c r="ER1273"/>
      <c r="ES1273"/>
    </row>
    <row r="1274" spans="1:149">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c r="EM1274"/>
      <c r="EN1274"/>
      <c r="EO1274"/>
      <c r="EP1274"/>
      <c r="EQ1274"/>
      <c r="ER1274"/>
      <c r="ES1274"/>
    </row>
    <row r="1275" spans="1:149">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c r="EM1275"/>
      <c r="EN1275"/>
      <c r="EO1275"/>
      <c r="EP1275"/>
      <c r="EQ1275"/>
      <c r="ER1275"/>
      <c r="ES1275"/>
    </row>
    <row r="1276" spans="1:149">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c r="EM1276"/>
      <c r="EN1276"/>
      <c r="EO1276"/>
      <c r="EP1276"/>
      <c r="EQ1276"/>
      <c r="ER1276"/>
      <c r="ES1276"/>
    </row>
    <row r="1277" spans="1:149">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c r="EM1277"/>
      <c r="EN1277"/>
      <c r="EO1277"/>
      <c r="EP1277"/>
      <c r="EQ1277"/>
      <c r="ER1277"/>
      <c r="ES1277"/>
    </row>
    <row r="1278" spans="1:149">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c r="EM1278"/>
      <c r="EN1278"/>
      <c r="EO1278"/>
      <c r="EP1278"/>
      <c r="EQ1278"/>
      <c r="ER1278"/>
      <c r="ES1278"/>
    </row>
    <row r="1279" spans="1:149">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c r="EM1279"/>
      <c r="EN1279"/>
      <c r="EO1279"/>
      <c r="EP1279"/>
      <c r="EQ1279"/>
      <c r="ER1279"/>
      <c r="ES1279"/>
    </row>
    <row r="1280" spans="1:149">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c r="EM1280"/>
      <c r="EN1280"/>
      <c r="EO1280"/>
      <c r="EP1280"/>
      <c r="EQ1280"/>
      <c r="ER1280"/>
      <c r="ES1280"/>
    </row>
    <row r="1281" spans="1:149">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c r="EM1281"/>
      <c r="EN1281"/>
      <c r="EO1281"/>
      <c r="EP1281"/>
      <c r="EQ1281"/>
      <c r="ER1281"/>
      <c r="ES1281"/>
    </row>
    <row r="1282" spans="1:149">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c r="EM1282"/>
      <c r="EN1282"/>
      <c r="EO1282"/>
      <c r="EP1282"/>
      <c r="EQ1282"/>
      <c r="ER1282"/>
      <c r="ES1282"/>
    </row>
    <row r="1283" spans="1:149">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c r="EM1283"/>
      <c r="EN1283"/>
      <c r="EO1283"/>
      <c r="EP1283"/>
      <c r="EQ1283"/>
      <c r="ER1283"/>
      <c r="ES1283"/>
    </row>
    <row r="1284" spans="1:149">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c r="EM1284"/>
      <c r="EN1284"/>
      <c r="EO1284"/>
      <c r="EP1284"/>
      <c r="EQ1284"/>
      <c r="ER1284"/>
      <c r="ES1284"/>
    </row>
    <row r="1285" spans="1:149">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c r="EM1285"/>
      <c r="EN1285"/>
      <c r="EO1285"/>
      <c r="EP1285"/>
      <c r="EQ1285"/>
      <c r="ER1285"/>
      <c r="ES1285"/>
    </row>
    <row r="1286" spans="1:149">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c r="EM1286"/>
      <c r="EN1286"/>
      <c r="EO1286"/>
      <c r="EP1286"/>
      <c r="EQ1286"/>
      <c r="ER1286"/>
      <c r="ES1286"/>
    </row>
    <row r="1287" spans="1:149">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c r="EM1287"/>
      <c r="EN1287"/>
      <c r="EO1287"/>
      <c r="EP1287"/>
      <c r="EQ1287"/>
      <c r="ER1287"/>
      <c r="ES1287"/>
    </row>
    <row r="1288" spans="1:149">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c r="EM1288"/>
      <c r="EN1288"/>
      <c r="EO1288"/>
      <c r="EP1288"/>
      <c r="EQ1288"/>
      <c r="ER1288"/>
      <c r="ES1288"/>
    </row>
    <row r="1289" spans="1:149">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c r="EM1289"/>
      <c r="EN1289"/>
      <c r="EO1289"/>
      <c r="EP1289"/>
      <c r="EQ1289"/>
      <c r="ER1289"/>
      <c r="ES1289"/>
    </row>
    <row r="1290" spans="1:149">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c r="EM1290"/>
      <c r="EN1290"/>
      <c r="EO1290"/>
      <c r="EP1290"/>
      <c r="EQ1290"/>
      <c r="ER1290"/>
      <c r="ES1290"/>
    </row>
    <row r="1291" spans="1:149">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c r="EM1291"/>
      <c r="EN1291"/>
      <c r="EO1291"/>
      <c r="EP1291"/>
      <c r="EQ1291"/>
      <c r="ER1291"/>
      <c r="ES1291"/>
    </row>
    <row r="1292" spans="1:149">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c r="EM1292"/>
      <c r="EN1292"/>
      <c r="EO1292"/>
      <c r="EP1292"/>
      <c r="EQ1292"/>
      <c r="ER1292"/>
      <c r="ES1292"/>
    </row>
    <row r="1293" spans="1:149">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c r="EM1293"/>
      <c r="EN1293"/>
      <c r="EO1293"/>
      <c r="EP1293"/>
      <c r="EQ1293"/>
      <c r="ER1293"/>
      <c r="ES1293"/>
    </row>
    <row r="1294" spans="1:149">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c r="EM1294"/>
      <c r="EN1294"/>
      <c r="EO1294"/>
      <c r="EP1294"/>
      <c r="EQ1294"/>
      <c r="ER1294"/>
      <c r="ES1294"/>
    </row>
    <row r="1295" spans="1:149">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c r="EM1295"/>
      <c r="EN1295"/>
      <c r="EO1295"/>
      <c r="EP1295"/>
      <c r="EQ1295"/>
      <c r="ER1295"/>
      <c r="ES1295"/>
    </row>
    <row r="1296" spans="1:149">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c r="EM1296"/>
      <c r="EN1296"/>
      <c r="EO1296"/>
      <c r="EP1296"/>
      <c r="EQ1296"/>
      <c r="ER1296"/>
      <c r="ES1296"/>
    </row>
    <row r="1297" spans="1:149">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c r="EM1297"/>
      <c r="EN1297"/>
      <c r="EO1297"/>
      <c r="EP1297"/>
      <c r="EQ1297"/>
      <c r="ER1297"/>
      <c r="ES1297"/>
    </row>
    <row r="1298" spans="1:149">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c r="EM1298"/>
      <c r="EN1298"/>
      <c r="EO1298"/>
      <c r="EP1298"/>
      <c r="EQ1298"/>
      <c r="ER1298"/>
      <c r="ES1298"/>
    </row>
    <row r="1299" spans="1:149">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c r="EM1299"/>
      <c r="EN1299"/>
      <c r="EO1299"/>
      <c r="EP1299"/>
      <c r="EQ1299"/>
      <c r="ER1299"/>
      <c r="ES1299"/>
    </row>
    <row r="1300" spans="1:149">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c r="EM1300"/>
      <c r="EN1300"/>
      <c r="EO1300"/>
      <c r="EP1300"/>
      <c r="EQ1300"/>
      <c r="ER1300"/>
      <c r="ES1300"/>
    </row>
    <row r="1301" spans="1:149">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c r="EM1301"/>
      <c r="EN1301"/>
      <c r="EO1301"/>
      <c r="EP1301"/>
      <c r="EQ1301"/>
      <c r="ER1301"/>
      <c r="ES1301"/>
    </row>
    <row r="1302" spans="1:149">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c r="EM1302"/>
      <c r="EN1302"/>
      <c r="EO1302"/>
      <c r="EP1302"/>
      <c r="EQ1302"/>
      <c r="ER1302"/>
      <c r="ES1302"/>
    </row>
    <row r="1303" spans="1:149">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c r="EM1303"/>
      <c r="EN1303"/>
      <c r="EO1303"/>
      <c r="EP1303"/>
      <c r="EQ1303"/>
      <c r="ER1303"/>
      <c r="ES1303"/>
    </row>
    <row r="1304" spans="1:149">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c r="EM1304"/>
      <c r="EN1304"/>
      <c r="EO1304"/>
      <c r="EP1304"/>
      <c r="EQ1304"/>
      <c r="ER1304"/>
      <c r="ES1304"/>
    </row>
    <row r="1305" spans="1:149">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c r="EM1305"/>
      <c r="EN1305"/>
      <c r="EO1305"/>
      <c r="EP1305"/>
      <c r="EQ1305"/>
      <c r="ER1305"/>
      <c r="ES1305"/>
    </row>
    <row r="1306" spans="1:149">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c r="EM1306"/>
      <c r="EN1306"/>
      <c r="EO1306"/>
      <c r="EP1306"/>
      <c r="EQ1306"/>
      <c r="ER1306"/>
      <c r="ES1306"/>
    </row>
    <row r="1307" spans="1:149">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c r="EM1307"/>
      <c r="EN1307"/>
      <c r="EO1307"/>
      <c r="EP1307"/>
      <c r="EQ1307"/>
      <c r="ER1307"/>
      <c r="ES1307"/>
    </row>
    <row r="1308" spans="1:149">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c r="EM1308"/>
      <c r="EN1308"/>
      <c r="EO1308"/>
      <c r="EP1308"/>
      <c r="EQ1308"/>
      <c r="ER1308"/>
      <c r="ES1308"/>
    </row>
    <row r="1309" spans="1:149">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c r="EM1309"/>
      <c r="EN1309"/>
      <c r="EO1309"/>
      <c r="EP1309"/>
      <c r="EQ1309"/>
      <c r="ER1309"/>
      <c r="ES1309"/>
    </row>
    <row r="1310" spans="1:149">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c r="EM1310"/>
      <c r="EN1310"/>
      <c r="EO1310"/>
      <c r="EP1310"/>
      <c r="EQ1310"/>
      <c r="ER1310"/>
      <c r="ES1310"/>
    </row>
    <row r="1311" spans="1:149">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c r="EM1311"/>
      <c r="EN1311"/>
      <c r="EO1311"/>
      <c r="EP1311"/>
      <c r="EQ1311"/>
      <c r="ER1311"/>
      <c r="ES1311"/>
    </row>
    <row r="1312" spans="1:149">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c r="EM1312"/>
      <c r="EN1312"/>
      <c r="EO1312"/>
      <c r="EP1312"/>
      <c r="EQ1312"/>
      <c r="ER1312"/>
      <c r="ES1312"/>
    </row>
    <row r="1313" spans="1:149">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c r="EM1313"/>
      <c r="EN1313"/>
      <c r="EO1313"/>
      <c r="EP1313"/>
      <c r="EQ1313"/>
      <c r="ER1313"/>
      <c r="ES1313"/>
    </row>
    <row r="1314" spans="1:149">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c r="EM1314"/>
      <c r="EN1314"/>
      <c r="EO1314"/>
      <c r="EP1314"/>
      <c r="EQ1314"/>
      <c r="ER1314"/>
      <c r="ES1314"/>
    </row>
    <row r="1315" spans="1:149">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c r="EM1315"/>
      <c r="EN1315"/>
      <c r="EO1315"/>
      <c r="EP1315"/>
      <c r="EQ1315"/>
      <c r="ER1315"/>
      <c r="ES1315"/>
    </row>
    <row r="1316" spans="1:149">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c r="EM1316"/>
      <c r="EN1316"/>
      <c r="EO1316"/>
      <c r="EP1316"/>
      <c r="EQ1316"/>
      <c r="ER1316"/>
      <c r="ES1316"/>
    </row>
    <row r="1317" spans="1:149">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c r="EM1317"/>
      <c r="EN1317"/>
      <c r="EO1317"/>
      <c r="EP1317"/>
      <c r="EQ1317"/>
      <c r="ER1317"/>
      <c r="ES1317"/>
    </row>
    <row r="1318" spans="1:149">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c r="EM1318"/>
      <c r="EN1318"/>
      <c r="EO1318"/>
      <c r="EP1318"/>
      <c r="EQ1318"/>
      <c r="ER1318"/>
      <c r="ES1318"/>
    </row>
    <row r="1319" spans="1:149">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c r="EM1319"/>
      <c r="EN1319"/>
      <c r="EO1319"/>
      <c r="EP1319"/>
      <c r="EQ1319"/>
      <c r="ER1319"/>
      <c r="ES1319"/>
    </row>
    <row r="1320" spans="1:149">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c r="EM1320"/>
      <c r="EN1320"/>
      <c r="EO1320"/>
      <c r="EP1320"/>
      <c r="EQ1320"/>
      <c r="ER1320"/>
      <c r="ES1320"/>
    </row>
    <row r="1321" spans="1:149">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c r="EM1321"/>
      <c r="EN1321"/>
      <c r="EO1321"/>
      <c r="EP1321"/>
      <c r="EQ1321"/>
      <c r="ER1321"/>
      <c r="ES1321"/>
    </row>
    <row r="1322" spans="1:149">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c r="EM1322"/>
      <c r="EN1322"/>
      <c r="EO1322"/>
      <c r="EP1322"/>
      <c r="EQ1322"/>
      <c r="ER1322"/>
      <c r="ES1322"/>
    </row>
    <row r="1323" spans="1:149">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c r="EM1323"/>
      <c r="EN1323"/>
      <c r="EO1323"/>
      <c r="EP1323"/>
      <c r="EQ1323"/>
      <c r="ER1323"/>
      <c r="ES1323"/>
    </row>
    <row r="1324" spans="1:149">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c r="EM1324"/>
      <c r="EN1324"/>
      <c r="EO1324"/>
      <c r="EP1324"/>
      <c r="EQ1324"/>
      <c r="ER1324"/>
      <c r="ES1324"/>
    </row>
    <row r="1325" spans="1:149">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c r="EL1325"/>
      <c r="EM1325"/>
      <c r="EN1325"/>
      <c r="EO1325"/>
      <c r="EP1325"/>
      <c r="EQ1325"/>
      <c r="ER1325"/>
      <c r="ES1325"/>
    </row>
    <row r="1326" spans="1:149">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c r="EL1326"/>
      <c r="EM1326"/>
      <c r="EN1326"/>
      <c r="EO1326"/>
      <c r="EP1326"/>
      <c r="EQ1326"/>
      <c r="ER1326"/>
      <c r="ES1326"/>
    </row>
    <row r="1327" spans="1:149">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c r="EL1327"/>
      <c r="EM1327"/>
      <c r="EN1327"/>
      <c r="EO1327"/>
      <c r="EP1327"/>
      <c r="EQ1327"/>
      <c r="ER1327"/>
      <c r="ES1327"/>
    </row>
    <row r="1328" spans="1:149">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c r="EL1328"/>
      <c r="EM1328"/>
      <c r="EN1328"/>
      <c r="EO1328"/>
      <c r="EP1328"/>
      <c r="EQ1328"/>
      <c r="ER1328"/>
      <c r="ES1328"/>
    </row>
    <row r="1329" spans="1:149">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c r="EL1329"/>
      <c r="EM1329"/>
      <c r="EN1329"/>
      <c r="EO1329"/>
      <c r="EP1329"/>
      <c r="EQ1329"/>
      <c r="ER1329"/>
      <c r="ES1329"/>
    </row>
    <row r="1330" spans="1:149">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c r="EL1330"/>
      <c r="EM1330"/>
      <c r="EN1330"/>
      <c r="EO1330"/>
      <c r="EP1330"/>
      <c r="EQ1330"/>
      <c r="ER1330"/>
      <c r="ES1330"/>
    </row>
    <row r="1331" spans="1:149">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c r="EL1331"/>
      <c r="EM1331"/>
      <c r="EN1331"/>
      <c r="EO1331"/>
      <c r="EP1331"/>
      <c r="EQ1331"/>
      <c r="ER1331"/>
      <c r="ES1331"/>
    </row>
    <row r="1332" spans="1:149">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c r="EL1332"/>
      <c r="EM1332"/>
      <c r="EN1332"/>
      <c r="EO1332"/>
      <c r="EP1332"/>
      <c r="EQ1332"/>
      <c r="ER1332"/>
      <c r="ES1332"/>
    </row>
    <row r="1333" spans="1:149">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c r="EL1333"/>
      <c r="EM1333"/>
      <c r="EN1333"/>
      <c r="EO1333"/>
      <c r="EP1333"/>
      <c r="EQ1333"/>
      <c r="ER1333"/>
      <c r="ES1333"/>
    </row>
    <row r="1334" spans="1:149">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c r="EL1334"/>
      <c r="EM1334"/>
      <c r="EN1334"/>
      <c r="EO1334"/>
      <c r="EP1334"/>
      <c r="EQ1334"/>
      <c r="ER1334"/>
      <c r="ES1334"/>
    </row>
    <row r="1335" spans="1:149">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c r="EL1335"/>
      <c r="EM1335"/>
      <c r="EN1335"/>
      <c r="EO1335"/>
      <c r="EP1335"/>
      <c r="EQ1335"/>
      <c r="ER1335"/>
      <c r="ES1335"/>
    </row>
    <row r="1336" spans="1:149">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c r="EL1336"/>
      <c r="EM1336"/>
      <c r="EN1336"/>
      <c r="EO1336"/>
      <c r="EP1336"/>
      <c r="EQ1336"/>
      <c r="ER1336"/>
      <c r="ES1336"/>
    </row>
    <row r="1337" spans="1:149">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c r="EL1337"/>
      <c r="EM1337"/>
      <c r="EN1337"/>
      <c r="EO1337"/>
      <c r="EP1337"/>
      <c r="EQ1337"/>
      <c r="ER1337"/>
      <c r="ES1337"/>
    </row>
    <row r="1338" spans="1:149">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c r="EL1338"/>
      <c r="EM1338"/>
      <c r="EN1338"/>
      <c r="EO1338"/>
      <c r="EP1338"/>
      <c r="EQ1338"/>
      <c r="ER1338"/>
      <c r="ES1338"/>
    </row>
    <row r="1339" spans="1:149">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c r="EL1339"/>
      <c r="EM1339"/>
      <c r="EN1339"/>
      <c r="EO1339"/>
      <c r="EP1339"/>
      <c r="EQ1339"/>
      <c r="ER1339"/>
      <c r="ES1339"/>
    </row>
    <row r="1340" spans="1:149">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c r="EL1340"/>
      <c r="EM1340"/>
      <c r="EN1340"/>
      <c r="EO1340"/>
      <c r="EP1340"/>
      <c r="EQ1340"/>
      <c r="ER1340"/>
      <c r="ES1340"/>
    </row>
    <row r="1341" spans="1:149">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c r="EL1341"/>
      <c r="EM1341"/>
      <c r="EN1341"/>
      <c r="EO1341"/>
      <c r="EP1341"/>
      <c r="EQ1341"/>
      <c r="ER1341"/>
      <c r="ES1341"/>
    </row>
    <row r="1342" spans="1:149">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c r="EL1342"/>
      <c r="EM1342"/>
      <c r="EN1342"/>
      <c r="EO1342"/>
      <c r="EP1342"/>
      <c r="EQ1342"/>
      <c r="ER1342"/>
      <c r="ES1342"/>
    </row>
    <row r="1343" spans="1:149">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c r="EL1343"/>
      <c r="EM1343"/>
      <c r="EN1343"/>
      <c r="EO1343"/>
      <c r="EP1343"/>
      <c r="EQ1343"/>
      <c r="ER1343"/>
      <c r="ES1343"/>
    </row>
    <row r="1344" spans="1:149">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c r="EL1344"/>
      <c r="EM1344"/>
      <c r="EN1344"/>
      <c r="EO1344"/>
      <c r="EP1344"/>
      <c r="EQ1344"/>
      <c r="ER1344"/>
      <c r="ES1344"/>
    </row>
    <row r="1345" spans="1:149">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c r="EL1345"/>
      <c r="EM1345"/>
      <c r="EN1345"/>
      <c r="EO1345"/>
      <c r="EP1345"/>
      <c r="EQ1345"/>
      <c r="ER1345"/>
      <c r="ES1345"/>
    </row>
    <row r="1346" spans="1:149">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c r="EL1346"/>
      <c r="EM1346"/>
      <c r="EN1346"/>
      <c r="EO1346"/>
      <c r="EP1346"/>
      <c r="EQ1346"/>
      <c r="ER1346"/>
      <c r="ES1346"/>
    </row>
    <row r="1347" spans="1:149">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c r="EL1347"/>
      <c r="EM1347"/>
      <c r="EN1347"/>
      <c r="EO1347"/>
      <c r="EP1347"/>
      <c r="EQ1347"/>
      <c r="ER1347"/>
      <c r="ES1347"/>
    </row>
    <row r="1348" spans="1:149">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c r="EL1348"/>
      <c r="EM1348"/>
      <c r="EN1348"/>
      <c r="EO1348"/>
      <c r="EP1348"/>
      <c r="EQ1348"/>
      <c r="ER1348"/>
      <c r="ES1348"/>
    </row>
    <row r="1349" spans="1:149">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c r="EL1349"/>
      <c r="EM1349"/>
      <c r="EN1349"/>
      <c r="EO1349"/>
      <c r="EP1349"/>
      <c r="EQ1349"/>
      <c r="ER1349"/>
      <c r="ES1349"/>
    </row>
    <row r="1350" spans="1:149">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c r="EL1350"/>
      <c r="EM1350"/>
      <c r="EN1350"/>
      <c r="EO1350"/>
      <c r="EP1350"/>
      <c r="EQ1350"/>
      <c r="ER1350"/>
      <c r="ES1350"/>
    </row>
    <row r="1351" spans="1:149">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c r="EL1351"/>
      <c r="EM1351"/>
      <c r="EN1351"/>
      <c r="EO1351"/>
      <c r="EP1351"/>
      <c r="EQ1351"/>
      <c r="ER1351"/>
      <c r="ES1351"/>
    </row>
    <row r="1352" spans="1:149">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c r="EL1352"/>
      <c r="EM1352"/>
      <c r="EN1352"/>
      <c r="EO1352"/>
      <c r="EP1352"/>
      <c r="EQ1352"/>
      <c r="ER1352"/>
      <c r="ES1352"/>
    </row>
    <row r="1353" spans="1:149">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c r="EL1353"/>
      <c r="EM1353"/>
      <c r="EN1353"/>
      <c r="EO1353"/>
      <c r="EP1353"/>
      <c r="EQ1353"/>
      <c r="ER1353"/>
      <c r="ES1353"/>
    </row>
    <row r="1354" spans="1:149">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c r="EL1354"/>
      <c r="EM1354"/>
      <c r="EN1354"/>
      <c r="EO1354"/>
      <c r="EP1354"/>
      <c r="EQ1354"/>
      <c r="ER1354"/>
      <c r="ES1354"/>
    </row>
    <row r="1355" spans="1:149">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c r="EL1355"/>
      <c r="EM1355"/>
      <c r="EN1355"/>
      <c r="EO1355"/>
      <c r="EP1355"/>
      <c r="EQ1355"/>
      <c r="ER1355"/>
      <c r="ES1355"/>
    </row>
    <row r="1356" spans="1:149">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c r="EL1356"/>
      <c r="EM1356"/>
      <c r="EN1356"/>
      <c r="EO1356"/>
      <c r="EP1356"/>
      <c r="EQ1356"/>
      <c r="ER1356"/>
      <c r="ES1356"/>
    </row>
    <row r="1357" spans="1:149">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c r="EL1357"/>
      <c r="EM1357"/>
      <c r="EN1357"/>
      <c r="EO1357"/>
      <c r="EP1357"/>
      <c r="EQ1357"/>
      <c r="ER1357"/>
      <c r="ES1357"/>
    </row>
    <row r="1358" spans="1:149">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c r="EL1358"/>
      <c r="EM1358"/>
      <c r="EN1358"/>
      <c r="EO1358"/>
      <c r="EP1358"/>
      <c r="EQ1358"/>
      <c r="ER1358"/>
      <c r="ES1358"/>
    </row>
    <row r="1359" spans="1:149">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c r="EL1359"/>
      <c r="EM1359"/>
      <c r="EN1359"/>
      <c r="EO1359"/>
      <c r="EP1359"/>
      <c r="EQ1359"/>
      <c r="ER1359"/>
      <c r="ES1359"/>
    </row>
    <row r="1360" spans="1:149">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c r="EL1360"/>
      <c r="EM1360"/>
      <c r="EN1360"/>
      <c r="EO1360"/>
      <c r="EP1360"/>
      <c r="EQ1360"/>
      <c r="ER1360"/>
      <c r="ES1360"/>
    </row>
    <row r="1361" spans="1:149">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c r="EL1361"/>
      <c r="EM1361"/>
      <c r="EN1361"/>
      <c r="EO1361"/>
      <c r="EP1361"/>
      <c r="EQ1361"/>
      <c r="ER1361"/>
      <c r="ES1361"/>
    </row>
    <row r="1362" spans="1:149">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c r="EL1362"/>
      <c r="EM1362"/>
      <c r="EN1362"/>
      <c r="EO1362"/>
      <c r="EP1362"/>
      <c r="EQ1362"/>
      <c r="ER1362"/>
      <c r="ES1362"/>
    </row>
    <row r="1363" spans="1:149">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c r="EL1363"/>
      <c r="EM1363"/>
      <c r="EN1363"/>
      <c r="EO1363"/>
      <c r="EP1363"/>
      <c r="EQ1363"/>
      <c r="ER1363"/>
      <c r="ES1363"/>
    </row>
    <row r="1364" spans="1:149">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c r="EL1364"/>
      <c r="EM1364"/>
      <c r="EN1364"/>
      <c r="EO1364"/>
      <c r="EP1364"/>
      <c r="EQ1364"/>
      <c r="ER1364"/>
      <c r="ES1364"/>
    </row>
    <row r="1365" spans="1:149">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c r="EL1365"/>
      <c r="EM1365"/>
      <c r="EN1365"/>
      <c r="EO1365"/>
      <c r="EP1365"/>
      <c r="EQ1365"/>
      <c r="ER1365"/>
      <c r="ES1365"/>
    </row>
    <row r="1366" spans="1:149">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c r="EL1366"/>
      <c r="EM1366"/>
      <c r="EN1366"/>
      <c r="EO1366"/>
      <c r="EP1366"/>
      <c r="EQ1366"/>
      <c r="ER1366"/>
      <c r="ES1366"/>
    </row>
    <row r="1367" spans="1:149">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c r="EL1367"/>
      <c r="EM1367"/>
      <c r="EN1367"/>
      <c r="EO1367"/>
      <c r="EP1367"/>
      <c r="EQ1367"/>
      <c r="ER1367"/>
      <c r="ES1367"/>
    </row>
    <row r="1368" spans="1:149">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c r="EL1368"/>
      <c r="EM1368"/>
      <c r="EN1368"/>
      <c r="EO1368"/>
      <c r="EP1368"/>
      <c r="EQ1368"/>
      <c r="ER1368"/>
      <c r="ES1368"/>
    </row>
    <row r="1369" spans="1:149">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c r="EL1369"/>
      <c r="EM1369"/>
      <c r="EN1369"/>
      <c r="EO1369"/>
      <c r="EP1369"/>
      <c r="EQ1369"/>
      <c r="ER1369"/>
      <c r="ES1369"/>
    </row>
    <row r="1370" spans="1:149">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c r="EL1370"/>
      <c r="EM1370"/>
      <c r="EN1370"/>
      <c r="EO1370"/>
      <c r="EP1370"/>
      <c r="EQ1370"/>
      <c r="ER1370"/>
      <c r="ES1370"/>
    </row>
    <row r="1371" spans="1:149">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c r="EL1371"/>
      <c r="EM1371"/>
      <c r="EN1371"/>
      <c r="EO1371"/>
      <c r="EP1371"/>
      <c r="EQ1371"/>
      <c r="ER1371"/>
      <c r="ES1371"/>
    </row>
    <row r="1372" spans="1:149">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c r="EL1372"/>
      <c r="EM1372"/>
      <c r="EN1372"/>
      <c r="EO1372"/>
      <c r="EP1372"/>
      <c r="EQ1372"/>
      <c r="ER1372"/>
      <c r="ES1372"/>
    </row>
    <row r="1373" spans="1:149">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c r="EL1373"/>
      <c r="EM1373"/>
      <c r="EN1373"/>
      <c r="EO1373"/>
      <c r="EP1373"/>
      <c r="EQ1373"/>
      <c r="ER1373"/>
      <c r="ES1373"/>
    </row>
    <row r="1374" spans="1:149">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c r="EL1374"/>
      <c r="EM1374"/>
      <c r="EN1374"/>
      <c r="EO1374"/>
      <c r="EP1374"/>
      <c r="EQ1374"/>
      <c r="ER1374"/>
      <c r="ES1374"/>
    </row>
    <row r="1375" spans="1:149">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c r="EL1375"/>
      <c r="EM1375"/>
      <c r="EN1375"/>
      <c r="EO1375"/>
      <c r="EP1375"/>
      <c r="EQ1375"/>
      <c r="ER1375"/>
      <c r="ES1375"/>
    </row>
    <row r="1376" spans="1:149">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c r="EL1376"/>
      <c r="EM1376"/>
      <c r="EN1376"/>
      <c r="EO1376"/>
      <c r="EP1376"/>
      <c r="EQ1376"/>
      <c r="ER1376"/>
      <c r="ES1376"/>
    </row>
    <row r="1377" spans="1:149">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c r="EL1377"/>
      <c r="EM1377"/>
      <c r="EN1377"/>
      <c r="EO1377"/>
      <c r="EP1377"/>
      <c r="EQ1377"/>
      <c r="ER1377"/>
      <c r="ES1377"/>
    </row>
    <row r="1378" spans="1:149">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c r="EL1378"/>
      <c r="EM1378"/>
      <c r="EN1378"/>
      <c r="EO1378"/>
      <c r="EP1378"/>
      <c r="EQ1378"/>
      <c r="ER1378"/>
      <c r="ES1378"/>
    </row>
    <row r="1379" spans="1:149">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c r="EL1379"/>
      <c r="EM1379"/>
      <c r="EN1379"/>
      <c r="EO1379"/>
      <c r="EP1379"/>
      <c r="EQ1379"/>
      <c r="ER1379"/>
      <c r="ES1379"/>
    </row>
    <row r="1380" spans="1:149">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c r="EL1380"/>
      <c r="EM1380"/>
      <c r="EN1380"/>
      <c r="EO1380"/>
      <c r="EP1380"/>
      <c r="EQ1380"/>
      <c r="ER1380"/>
      <c r="ES1380"/>
    </row>
    <row r="1381" spans="1:149">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c r="EL1381"/>
      <c r="EM1381"/>
      <c r="EN1381"/>
      <c r="EO1381"/>
      <c r="EP1381"/>
      <c r="EQ1381"/>
      <c r="ER1381"/>
      <c r="ES1381"/>
    </row>
    <row r="1382" spans="1:149">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c r="EL1382"/>
      <c r="EM1382"/>
      <c r="EN1382"/>
      <c r="EO1382"/>
      <c r="EP1382"/>
      <c r="EQ1382"/>
      <c r="ER1382"/>
      <c r="ES1382"/>
    </row>
    <row r="1383" spans="1:149">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c r="EL1383"/>
      <c r="EM1383"/>
      <c r="EN1383"/>
      <c r="EO1383"/>
      <c r="EP1383"/>
      <c r="EQ1383"/>
      <c r="ER1383"/>
      <c r="ES1383"/>
    </row>
    <row r="1384" spans="1:149">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c r="EL1384"/>
      <c r="EM1384"/>
      <c r="EN1384"/>
      <c r="EO1384"/>
      <c r="EP1384"/>
      <c r="EQ1384"/>
      <c r="ER1384"/>
      <c r="ES1384"/>
    </row>
    <row r="1385" spans="1:149">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c r="EL1385"/>
      <c r="EM1385"/>
      <c r="EN1385"/>
      <c r="EO1385"/>
      <c r="EP1385"/>
      <c r="EQ1385"/>
      <c r="ER1385"/>
      <c r="ES1385"/>
    </row>
    <row r="1386" spans="1:149">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c r="EL1386"/>
      <c r="EM1386"/>
      <c r="EN1386"/>
      <c r="EO1386"/>
      <c r="EP1386"/>
      <c r="EQ1386"/>
      <c r="ER1386"/>
      <c r="ES1386"/>
    </row>
    <row r="1387" spans="1:149">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c r="EL1387"/>
      <c r="EM1387"/>
      <c r="EN1387"/>
      <c r="EO1387"/>
      <c r="EP1387"/>
      <c r="EQ1387"/>
      <c r="ER1387"/>
      <c r="ES1387"/>
    </row>
    <row r="1388" spans="1:149">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c r="EL1388"/>
      <c r="EM1388"/>
      <c r="EN1388"/>
      <c r="EO1388"/>
      <c r="EP1388"/>
      <c r="EQ1388"/>
      <c r="ER1388"/>
      <c r="ES1388"/>
    </row>
    <row r="1389" spans="1:149">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c r="EL1389"/>
      <c r="EM1389"/>
      <c r="EN1389"/>
      <c r="EO1389"/>
      <c r="EP1389"/>
      <c r="EQ1389"/>
      <c r="ER1389"/>
      <c r="ES1389"/>
    </row>
    <row r="1390" spans="1:149">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c r="EL1390"/>
      <c r="EM1390"/>
      <c r="EN1390"/>
      <c r="EO1390"/>
      <c r="EP1390"/>
      <c r="EQ1390"/>
      <c r="ER1390"/>
      <c r="ES1390"/>
    </row>
    <row r="1391" spans="1:149">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c r="EL1391"/>
      <c r="EM1391"/>
      <c r="EN1391"/>
      <c r="EO1391"/>
      <c r="EP1391"/>
      <c r="EQ1391"/>
      <c r="ER1391"/>
      <c r="ES1391"/>
    </row>
    <row r="1392" spans="1:149">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c r="EL1392"/>
      <c r="EM1392"/>
      <c r="EN1392"/>
      <c r="EO1392"/>
      <c r="EP1392"/>
      <c r="EQ1392"/>
      <c r="ER1392"/>
      <c r="ES1392"/>
    </row>
    <row r="1393" spans="1:149">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c r="EL1393"/>
      <c r="EM1393"/>
      <c r="EN1393"/>
      <c r="EO1393"/>
      <c r="EP1393"/>
      <c r="EQ1393"/>
      <c r="ER1393"/>
      <c r="ES1393"/>
    </row>
    <row r="1394" spans="1:149">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c r="EL1394"/>
      <c r="EM1394"/>
      <c r="EN1394"/>
      <c r="EO1394"/>
      <c r="EP1394"/>
      <c r="EQ1394"/>
      <c r="ER1394"/>
      <c r="ES1394"/>
    </row>
    <row r="1395" spans="1:149">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c r="EL1395"/>
      <c r="EM1395"/>
      <c r="EN1395"/>
      <c r="EO1395"/>
      <c r="EP1395"/>
      <c r="EQ1395"/>
      <c r="ER1395"/>
      <c r="ES1395"/>
    </row>
    <row r="1396" spans="1:149">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c r="EL1396"/>
      <c r="EM1396"/>
      <c r="EN1396"/>
      <c r="EO1396"/>
      <c r="EP1396"/>
      <c r="EQ1396"/>
      <c r="ER1396"/>
      <c r="ES1396"/>
    </row>
    <row r="1397" spans="1:149">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c r="EL1397"/>
      <c r="EM1397"/>
      <c r="EN1397"/>
      <c r="EO1397"/>
      <c r="EP1397"/>
      <c r="EQ1397"/>
      <c r="ER1397"/>
      <c r="ES1397"/>
    </row>
    <row r="1398" spans="1:149">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c r="EL1398"/>
      <c r="EM1398"/>
      <c r="EN1398"/>
      <c r="EO1398"/>
      <c r="EP1398"/>
      <c r="EQ1398"/>
      <c r="ER1398"/>
      <c r="ES1398"/>
    </row>
    <row r="1399" spans="1:149">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c r="EL1399"/>
      <c r="EM1399"/>
      <c r="EN1399"/>
      <c r="EO1399"/>
      <c r="EP1399"/>
      <c r="EQ1399"/>
      <c r="ER1399"/>
      <c r="ES1399"/>
    </row>
    <row r="1400" spans="1:149">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c r="EL1400"/>
      <c r="EM1400"/>
      <c r="EN1400"/>
      <c r="EO1400"/>
      <c r="EP1400"/>
      <c r="EQ1400"/>
      <c r="ER1400"/>
      <c r="ES1400"/>
    </row>
    <row r="1401" spans="1:149">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c r="EL1401"/>
      <c r="EM1401"/>
      <c r="EN1401"/>
      <c r="EO1401"/>
      <c r="EP1401"/>
      <c r="EQ1401"/>
      <c r="ER1401"/>
      <c r="ES1401"/>
    </row>
    <row r="1402" spans="1:149">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c r="EL1402"/>
      <c r="EM1402"/>
      <c r="EN1402"/>
      <c r="EO1402"/>
      <c r="EP1402"/>
      <c r="EQ1402"/>
      <c r="ER1402"/>
      <c r="ES1402"/>
    </row>
    <row r="1403" spans="1:149">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c r="EL1403"/>
      <c r="EM1403"/>
      <c r="EN1403"/>
      <c r="EO1403"/>
      <c r="EP1403"/>
      <c r="EQ1403"/>
      <c r="ER1403"/>
      <c r="ES1403"/>
    </row>
    <row r="1404" spans="1:149">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c r="EL1404"/>
      <c r="EM1404"/>
      <c r="EN1404"/>
      <c r="EO1404"/>
      <c r="EP1404"/>
      <c r="EQ1404"/>
      <c r="ER1404"/>
      <c r="ES1404"/>
    </row>
    <row r="1405" spans="1:149">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c r="EL1405"/>
      <c r="EM1405"/>
      <c r="EN1405"/>
      <c r="EO1405"/>
      <c r="EP1405"/>
      <c r="EQ1405"/>
      <c r="ER1405"/>
      <c r="ES1405"/>
    </row>
    <row r="1406" spans="1:149">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c r="EL1406"/>
      <c r="EM1406"/>
      <c r="EN1406"/>
      <c r="EO1406"/>
      <c r="EP1406"/>
      <c r="EQ1406"/>
      <c r="ER1406"/>
      <c r="ES1406"/>
    </row>
    <row r="1407" spans="1:149">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c r="EL1407"/>
      <c r="EM1407"/>
      <c r="EN1407"/>
      <c r="EO1407"/>
      <c r="EP1407"/>
      <c r="EQ1407"/>
      <c r="ER1407"/>
      <c r="ES1407"/>
    </row>
    <row r="1408" spans="1:149">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c r="EL1408"/>
      <c r="EM1408"/>
      <c r="EN1408"/>
      <c r="EO1408"/>
      <c r="EP1408"/>
      <c r="EQ1408"/>
      <c r="ER1408"/>
      <c r="ES1408"/>
    </row>
    <row r="1409" spans="1:149">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c r="EL1409"/>
      <c r="EM1409"/>
      <c r="EN1409"/>
      <c r="EO1409"/>
      <c r="EP1409"/>
      <c r="EQ1409"/>
      <c r="ER1409"/>
      <c r="ES1409"/>
    </row>
    <row r="1410" spans="1:149">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c r="EL1410"/>
      <c r="EM1410"/>
      <c r="EN1410"/>
      <c r="EO1410"/>
      <c r="EP1410"/>
      <c r="EQ1410"/>
      <c r="ER1410"/>
      <c r="ES1410"/>
    </row>
    <row r="1411" spans="1:149">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c r="EL1411"/>
      <c r="EM1411"/>
      <c r="EN1411"/>
      <c r="EO1411"/>
      <c r="EP1411"/>
      <c r="EQ1411"/>
      <c r="ER1411"/>
      <c r="ES1411"/>
    </row>
    <row r="1412" spans="1:149">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c r="EL1412"/>
      <c r="EM1412"/>
      <c r="EN1412"/>
      <c r="EO1412"/>
      <c r="EP1412"/>
      <c r="EQ1412"/>
      <c r="ER1412"/>
      <c r="ES1412"/>
    </row>
    <row r="1413" spans="1:149">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c r="EL1413"/>
      <c r="EM1413"/>
      <c r="EN1413"/>
      <c r="EO1413"/>
      <c r="EP1413"/>
      <c r="EQ1413"/>
      <c r="ER1413"/>
      <c r="ES1413"/>
    </row>
    <row r="1414" spans="1:149">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c r="EL1414"/>
      <c r="EM1414"/>
      <c r="EN1414"/>
      <c r="EO1414"/>
      <c r="EP1414"/>
      <c r="EQ1414"/>
      <c r="ER1414"/>
      <c r="ES1414"/>
    </row>
    <row r="1415" spans="1:149">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c r="EL1415"/>
      <c r="EM1415"/>
      <c r="EN1415"/>
      <c r="EO1415"/>
      <c r="EP1415"/>
      <c r="EQ1415"/>
      <c r="ER1415"/>
      <c r="ES1415"/>
    </row>
    <row r="1416" spans="1:149">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c r="EL1416"/>
      <c r="EM1416"/>
      <c r="EN1416"/>
      <c r="EO1416"/>
      <c r="EP1416"/>
      <c r="EQ1416"/>
      <c r="ER1416"/>
      <c r="ES1416"/>
    </row>
    <row r="1417" spans="1:149">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c r="EL1417"/>
      <c r="EM1417"/>
      <c r="EN1417"/>
      <c r="EO1417"/>
      <c r="EP1417"/>
      <c r="EQ1417"/>
      <c r="ER1417"/>
      <c r="ES1417"/>
    </row>
    <row r="1418" spans="1:149">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c r="EL1418"/>
      <c r="EM1418"/>
      <c r="EN1418"/>
      <c r="EO1418"/>
      <c r="EP1418"/>
      <c r="EQ1418"/>
      <c r="ER1418"/>
      <c r="ES1418"/>
    </row>
    <row r="1419" spans="1:149">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c r="EL1419"/>
      <c r="EM1419"/>
      <c r="EN1419"/>
      <c r="EO1419"/>
      <c r="EP1419"/>
      <c r="EQ1419"/>
      <c r="ER1419"/>
      <c r="ES1419"/>
    </row>
    <row r="1420" spans="1:149">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c r="EL1420"/>
      <c r="EM1420"/>
      <c r="EN1420"/>
      <c r="EO1420"/>
      <c r="EP1420"/>
      <c r="EQ1420"/>
      <c r="ER1420"/>
      <c r="ES1420"/>
    </row>
    <row r="1421" spans="1:149">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c r="EL1421"/>
      <c r="EM1421"/>
      <c r="EN1421"/>
      <c r="EO1421"/>
      <c r="EP1421"/>
      <c r="EQ1421"/>
      <c r="ER1421"/>
      <c r="ES1421"/>
    </row>
    <row r="1422" spans="1:149">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c r="EL1422"/>
      <c r="EM1422"/>
      <c r="EN1422"/>
      <c r="EO1422"/>
      <c r="EP1422"/>
      <c r="EQ1422"/>
      <c r="ER1422"/>
      <c r="ES1422"/>
    </row>
    <row r="1423" spans="1:149">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c r="EL1423"/>
      <c r="EM1423"/>
      <c r="EN1423"/>
      <c r="EO1423"/>
      <c r="EP1423"/>
      <c r="EQ1423"/>
      <c r="ER1423"/>
      <c r="ES1423"/>
    </row>
    <row r="1424" spans="1:149">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c r="EL1424"/>
      <c r="EM1424"/>
      <c r="EN1424"/>
      <c r="EO1424"/>
      <c r="EP1424"/>
      <c r="EQ1424"/>
      <c r="ER1424"/>
      <c r="ES1424"/>
    </row>
    <row r="1425" spans="1:149">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c r="EL1425"/>
      <c r="EM1425"/>
      <c r="EN1425"/>
      <c r="EO1425"/>
      <c r="EP1425"/>
      <c r="EQ1425"/>
      <c r="ER1425"/>
      <c r="ES1425"/>
    </row>
    <row r="1426" spans="1:149">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c r="EL1426"/>
      <c r="EM1426"/>
      <c r="EN1426"/>
      <c r="EO1426"/>
      <c r="EP1426"/>
      <c r="EQ1426"/>
      <c r="ER1426"/>
      <c r="ES1426"/>
    </row>
    <row r="1427" spans="1:149">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c r="EL1427"/>
      <c r="EM1427"/>
      <c r="EN1427"/>
      <c r="EO1427"/>
      <c r="EP1427"/>
      <c r="EQ1427"/>
      <c r="ER1427"/>
      <c r="ES1427"/>
    </row>
    <row r="1428" spans="1:149">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c r="EL1428"/>
      <c r="EM1428"/>
      <c r="EN1428"/>
      <c r="EO1428"/>
      <c r="EP1428"/>
      <c r="EQ1428"/>
      <c r="ER1428"/>
      <c r="ES1428"/>
    </row>
    <row r="1429" spans="1:149">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c r="EL1429"/>
      <c r="EM1429"/>
      <c r="EN1429"/>
      <c r="EO1429"/>
      <c r="EP1429"/>
      <c r="EQ1429"/>
      <c r="ER1429"/>
      <c r="ES1429"/>
    </row>
    <row r="1430" spans="1:149">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c r="EL1430"/>
      <c r="EM1430"/>
      <c r="EN1430"/>
      <c r="EO1430"/>
      <c r="EP1430"/>
      <c r="EQ1430"/>
      <c r="ER1430"/>
      <c r="ES1430"/>
    </row>
    <row r="1431" spans="1:149">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c r="EL1431"/>
      <c r="EM1431"/>
      <c r="EN1431"/>
      <c r="EO1431"/>
      <c r="EP1431"/>
      <c r="EQ1431"/>
      <c r="ER1431"/>
      <c r="ES1431"/>
    </row>
    <row r="1432" spans="1:149">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c r="EL1432"/>
      <c r="EM1432"/>
      <c r="EN1432"/>
      <c r="EO1432"/>
      <c r="EP1432"/>
      <c r="EQ1432"/>
      <c r="ER1432"/>
      <c r="ES1432"/>
    </row>
    <row r="1433" spans="1:149">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c r="EL1433"/>
      <c r="EM1433"/>
      <c r="EN1433"/>
      <c r="EO1433"/>
      <c r="EP1433"/>
      <c r="EQ1433"/>
      <c r="ER1433"/>
      <c r="ES1433"/>
    </row>
    <row r="1434" spans="1:149">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c r="EL1434"/>
      <c r="EM1434"/>
      <c r="EN1434"/>
      <c r="EO1434"/>
      <c r="EP1434"/>
      <c r="EQ1434"/>
      <c r="ER1434"/>
      <c r="ES1434"/>
    </row>
    <row r="1435" spans="1:149">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c r="EL1435"/>
      <c r="EM1435"/>
      <c r="EN1435"/>
      <c r="EO1435"/>
      <c r="EP1435"/>
      <c r="EQ1435"/>
      <c r="ER1435"/>
      <c r="ES1435"/>
    </row>
    <row r="1436" spans="1:149">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c r="EL1436"/>
      <c r="EM1436"/>
      <c r="EN1436"/>
      <c r="EO1436"/>
      <c r="EP1436"/>
      <c r="EQ1436"/>
      <c r="ER1436"/>
      <c r="ES1436"/>
    </row>
    <row r="1437" spans="1:149">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c r="EL1437"/>
      <c r="EM1437"/>
      <c r="EN1437"/>
      <c r="EO1437"/>
      <c r="EP1437"/>
      <c r="EQ1437"/>
      <c r="ER1437"/>
      <c r="ES1437"/>
    </row>
    <row r="1438" spans="1:149">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c r="EL1438"/>
      <c r="EM1438"/>
      <c r="EN1438"/>
      <c r="EO1438"/>
      <c r="EP1438"/>
      <c r="EQ1438"/>
      <c r="ER1438"/>
      <c r="ES1438"/>
    </row>
    <row r="1439" spans="1:149">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c r="EL1439"/>
      <c r="EM1439"/>
      <c r="EN1439"/>
      <c r="EO1439"/>
      <c r="EP1439"/>
      <c r="EQ1439"/>
      <c r="ER1439"/>
      <c r="ES1439"/>
    </row>
    <row r="1440" spans="1:149">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c r="EL1440"/>
      <c r="EM1440"/>
      <c r="EN1440"/>
      <c r="EO1440"/>
      <c r="EP1440"/>
      <c r="EQ1440"/>
      <c r="ER1440"/>
      <c r="ES1440"/>
    </row>
    <row r="1441" spans="1:149">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c r="EL1441"/>
      <c r="EM1441"/>
      <c r="EN1441"/>
      <c r="EO1441"/>
      <c r="EP1441"/>
      <c r="EQ1441"/>
      <c r="ER1441"/>
      <c r="ES1441"/>
    </row>
    <row r="1442" spans="1:149">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c r="EL1442"/>
      <c r="EM1442"/>
      <c r="EN1442"/>
      <c r="EO1442"/>
      <c r="EP1442"/>
      <c r="EQ1442"/>
      <c r="ER1442"/>
      <c r="ES1442"/>
    </row>
    <row r="1443" spans="1:149">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c r="EL1443"/>
      <c r="EM1443"/>
      <c r="EN1443"/>
      <c r="EO1443"/>
      <c r="EP1443"/>
      <c r="EQ1443"/>
      <c r="ER1443"/>
      <c r="ES1443"/>
    </row>
    <row r="1444" spans="1:149">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c r="EL1444"/>
      <c r="EM1444"/>
      <c r="EN1444"/>
      <c r="EO1444"/>
      <c r="EP1444"/>
      <c r="EQ1444"/>
      <c r="ER1444"/>
      <c r="ES1444"/>
    </row>
    <row r="1445" spans="1:149">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c r="EL1445"/>
      <c r="EM1445"/>
      <c r="EN1445"/>
      <c r="EO1445"/>
      <c r="EP1445"/>
      <c r="EQ1445"/>
      <c r="ER1445"/>
      <c r="ES1445"/>
    </row>
    <row r="1446" spans="1:149">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c r="EL1446"/>
      <c r="EM1446"/>
      <c r="EN1446"/>
      <c r="EO1446"/>
      <c r="EP1446"/>
      <c r="EQ1446"/>
      <c r="ER1446"/>
      <c r="ES1446"/>
    </row>
    <row r="1447" spans="1:149">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c r="EL1447"/>
      <c r="EM1447"/>
      <c r="EN1447"/>
      <c r="EO1447"/>
      <c r="EP1447"/>
      <c r="EQ1447"/>
      <c r="ER1447"/>
      <c r="ES1447"/>
    </row>
    <row r="1448" spans="1:149">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c r="EL1448"/>
      <c r="EM1448"/>
      <c r="EN1448"/>
      <c r="EO1448"/>
      <c r="EP1448"/>
      <c r="EQ1448"/>
      <c r="ER1448"/>
      <c r="ES1448"/>
    </row>
    <row r="1449" spans="1:149">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c r="EL1449"/>
      <c r="EM1449"/>
      <c r="EN1449"/>
      <c r="EO1449"/>
      <c r="EP1449"/>
      <c r="EQ1449"/>
      <c r="ER1449"/>
      <c r="ES1449"/>
    </row>
    <row r="1450" spans="1:149">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c r="EL1450"/>
      <c r="EM1450"/>
      <c r="EN1450"/>
      <c r="EO1450"/>
      <c r="EP1450"/>
      <c r="EQ1450"/>
      <c r="ER1450"/>
      <c r="ES1450"/>
    </row>
    <row r="1451" spans="1:149">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c r="EL1451"/>
      <c r="EM1451"/>
      <c r="EN1451"/>
      <c r="EO1451"/>
      <c r="EP1451"/>
      <c r="EQ1451"/>
      <c r="ER1451"/>
      <c r="ES1451"/>
    </row>
    <row r="1452" spans="1:149">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c r="EL1452"/>
      <c r="EM1452"/>
      <c r="EN1452"/>
      <c r="EO1452"/>
      <c r="EP1452"/>
      <c r="EQ1452"/>
      <c r="ER1452"/>
      <c r="ES1452"/>
    </row>
    <row r="1453" spans="1:149">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c r="EL1453"/>
      <c r="EM1453"/>
      <c r="EN1453"/>
      <c r="EO1453"/>
      <c r="EP1453"/>
      <c r="EQ1453"/>
      <c r="ER1453"/>
      <c r="ES1453"/>
    </row>
    <row r="1454" spans="1:149">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c r="EL1454"/>
      <c r="EM1454"/>
      <c r="EN1454"/>
      <c r="EO1454"/>
      <c r="EP1454"/>
      <c r="EQ1454"/>
      <c r="ER1454"/>
      <c r="ES1454"/>
    </row>
    <row r="1455" spans="1:149">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c r="EL1455"/>
      <c r="EM1455"/>
      <c r="EN1455"/>
      <c r="EO1455"/>
      <c r="EP1455"/>
      <c r="EQ1455"/>
      <c r="ER1455"/>
      <c r="ES1455"/>
    </row>
    <row r="1456" spans="1:149">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c r="EL1456"/>
      <c r="EM1456"/>
      <c r="EN1456"/>
      <c r="EO1456"/>
      <c r="EP1456"/>
      <c r="EQ1456"/>
      <c r="ER1456"/>
      <c r="ES1456"/>
    </row>
    <row r="1457" spans="1:149">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c r="EL1457"/>
      <c r="EM1457"/>
      <c r="EN1457"/>
      <c r="EO1457"/>
      <c r="EP1457"/>
      <c r="EQ1457"/>
      <c r="ER1457"/>
      <c r="ES1457"/>
    </row>
    <row r="1458" spans="1:149">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c r="EL1458"/>
      <c r="EM1458"/>
      <c r="EN1458"/>
      <c r="EO1458"/>
      <c r="EP1458"/>
      <c r="EQ1458"/>
      <c r="ER1458"/>
      <c r="ES1458"/>
    </row>
    <row r="1459" spans="1:149">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c r="EL1459"/>
      <c r="EM1459"/>
      <c r="EN1459"/>
      <c r="EO1459"/>
      <c r="EP1459"/>
      <c r="EQ1459"/>
      <c r="ER1459"/>
      <c r="ES1459"/>
    </row>
    <row r="1460" spans="1:149">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c r="EL1460"/>
      <c r="EM1460"/>
      <c r="EN1460"/>
      <c r="EO1460"/>
      <c r="EP1460"/>
      <c r="EQ1460"/>
      <c r="ER1460"/>
      <c r="ES1460"/>
    </row>
    <row r="1461" spans="1:149">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c r="EL1461"/>
      <c r="EM1461"/>
      <c r="EN1461"/>
      <c r="EO1461"/>
      <c r="EP1461"/>
      <c r="EQ1461"/>
      <c r="ER1461"/>
      <c r="ES1461"/>
    </row>
    <row r="1462" spans="1:149">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c r="EL1462"/>
      <c r="EM1462"/>
      <c r="EN1462"/>
      <c r="EO1462"/>
      <c r="EP1462"/>
      <c r="EQ1462"/>
      <c r="ER1462"/>
      <c r="ES1462"/>
    </row>
    <row r="1463" spans="1:149">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c r="EL1463"/>
      <c r="EM1463"/>
      <c r="EN1463"/>
      <c r="EO1463"/>
      <c r="EP1463"/>
      <c r="EQ1463"/>
      <c r="ER1463"/>
      <c r="ES1463"/>
    </row>
    <row r="1464" spans="1:149">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c r="EL1464"/>
      <c r="EM1464"/>
      <c r="EN1464"/>
      <c r="EO1464"/>
      <c r="EP1464"/>
      <c r="EQ1464"/>
      <c r="ER1464"/>
      <c r="ES1464"/>
    </row>
    <row r="1465" spans="1:149">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c r="EL1465"/>
      <c r="EM1465"/>
      <c r="EN1465"/>
      <c r="EO1465"/>
      <c r="EP1465"/>
      <c r="EQ1465"/>
      <c r="ER1465"/>
      <c r="ES1465"/>
    </row>
    <row r="1466" spans="1:149">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c r="EL1466"/>
      <c r="EM1466"/>
      <c r="EN1466"/>
      <c r="EO1466"/>
      <c r="EP1466"/>
      <c r="EQ1466"/>
      <c r="ER1466"/>
      <c r="ES1466"/>
    </row>
    <row r="1467" spans="1:149">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c r="EL1467"/>
      <c r="EM1467"/>
      <c r="EN1467"/>
      <c r="EO1467"/>
      <c r="EP1467"/>
      <c r="EQ1467"/>
      <c r="ER1467"/>
      <c r="ES1467"/>
    </row>
    <row r="1468" spans="1:149">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c r="EL1468"/>
      <c r="EM1468"/>
      <c r="EN1468"/>
      <c r="EO1468"/>
      <c r="EP1468"/>
      <c r="EQ1468"/>
      <c r="ER1468"/>
      <c r="ES1468"/>
    </row>
    <row r="1469" spans="1:149">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c r="EL1469"/>
      <c r="EM1469"/>
      <c r="EN1469"/>
      <c r="EO1469"/>
      <c r="EP1469"/>
      <c r="EQ1469"/>
      <c r="ER1469"/>
      <c r="ES1469"/>
    </row>
    <row r="1470" spans="1:149">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c r="EL1470"/>
      <c r="EM1470"/>
      <c r="EN1470"/>
      <c r="EO1470"/>
      <c r="EP1470"/>
      <c r="EQ1470"/>
      <c r="ER1470"/>
      <c r="ES1470"/>
    </row>
    <row r="1471" spans="1:149">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c r="EL1471"/>
      <c r="EM1471"/>
      <c r="EN1471"/>
      <c r="EO1471"/>
      <c r="EP1471"/>
      <c r="EQ1471"/>
      <c r="ER1471"/>
      <c r="ES1471"/>
    </row>
    <row r="1472" spans="1:149">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c r="EL1472"/>
      <c r="EM1472"/>
      <c r="EN1472"/>
      <c r="EO1472"/>
      <c r="EP1472"/>
      <c r="EQ1472"/>
      <c r="ER1472"/>
      <c r="ES1472"/>
    </row>
    <row r="1473" spans="1:149">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c r="EL1473"/>
      <c r="EM1473"/>
      <c r="EN1473"/>
      <c r="EO1473"/>
      <c r="EP1473"/>
      <c r="EQ1473"/>
      <c r="ER1473"/>
      <c r="ES1473"/>
    </row>
    <row r="1474" spans="1:149">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c r="EL1474"/>
      <c r="EM1474"/>
      <c r="EN1474"/>
      <c r="EO1474"/>
      <c r="EP1474"/>
      <c r="EQ1474"/>
      <c r="ER1474"/>
      <c r="ES1474"/>
    </row>
    <row r="1475" spans="1:149">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c r="EL1475"/>
      <c r="EM1475"/>
      <c r="EN1475"/>
      <c r="EO1475"/>
      <c r="EP1475"/>
      <c r="EQ1475"/>
      <c r="ER1475"/>
      <c r="ES1475"/>
    </row>
    <row r="1476" spans="1:149">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c r="EL1476"/>
      <c r="EM1476"/>
      <c r="EN1476"/>
      <c r="EO1476"/>
      <c r="EP1476"/>
      <c r="EQ1476"/>
      <c r="ER1476"/>
      <c r="ES1476"/>
    </row>
    <row r="1477" spans="1:149">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c r="EL1477"/>
      <c r="EM1477"/>
      <c r="EN1477"/>
      <c r="EO1477"/>
      <c r="EP1477"/>
      <c r="EQ1477"/>
      <c r="ER1477"/>
      <c r="ES1477"/>
    </row>
    <row r="1478" spans="1:149">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c r="EM1478"/>
      <c r="EN1478"/>
      <c r="EO1478"/>
      <c r="EP1478"/>
      <c r="EQ1478"/>
      <c r="ER1478"/>
      <c r="ES1478"/>
    </row>
    <row r="1479" spans="1:149">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c r="EL1479"/>
      <c r="EM1479"/>
      <c r="EN1479"/>
      <c r="EO1479"/>
      <c r="EP1479"/>
      <c r="EQ1479"/>
      <c r="ER1479"/>
      <c r="ES1479"/>
    </row>
    <row r="1480" spans="1:149">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c r="EL1480"/>
      <c r="EM1480"/>
      <c r="EN1480"/>
      <c r="EO1480"/>
      <c r="EP1480"/>
      <c r="EQ1480"/>
      <c r="ER1480"/>
      <c r="ES1480"/>
    </row>
    <row r="1481" spans="1:149">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c r="EL1481"/>
      <c r="EM1481"/>
      <c r="EN1481"/>
      <c r="EO1481"/>
      <c r="EP1481"/>
      <c r="EQ1481"/>
      <c r="ER1481"/>
      <c r="ES1481"/>
    </row>
    <row r="1482" spans="1:149">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c r="EL1482"/>
      <c r="EM1482"/>
      <c r="EN1482"/>
      <c r="EO1482"/>
      <c r="EP1482"/>
      <c r="EQ1482"/>
      <c r="ER1482"/>
      <c r="ES1482"/>
    </row>
    <row r="1483" spans="1:149">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c r="EL1483"/>
      <c r="EM1483"/>
      <c r="EN1483"/>
      <c r="EO1483"/>
      <c r="EP1483"/>
      <c r="EQ1483"/>
      <c r="ER1483"/>
      <c r="ES1483"/>
    </row>
    <row r="1484" spans="1:149">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c r="EL1484"/>
      <c r="EM1484"/>
      <c r="EN1484"/>
      <c r="EO1484"/>
      <c r="EP1484"/>
      <c r="EQ1484"/>
      <c r="ER1484"/>
      <c r="ES1484"/>
    </row>
    <row r="1485" spans="1:149">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c r="EL1485"/>
      <c r="EM1485"/>
      <c r="EN1485"/>
      <c r="EO1485"/>
      <c r="EP1485"/>
      <c r="EQ1485"/>
      <c r="ER1485"/>
      <c r="ES1485"/>
    </row>
    <row r="1486" spans="1:149">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c r="EL1486"/>
      <c r="EM1486"/>
      <c r="EN1486"/>
      <c r="EO1486"/>
      <c r="EP1486"/>
      <c r="EQ1486"/>
      <c r="ER1486"/>
      <c r="ES1486"/>
    </row>
    <row r="1487" spans="1:149">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c r="EL1487"/>
      <c r="EM1487"/>
      <c r="EN1487"/>
      <c r="EO1487"/>
      <c r="EP1487"/>
      <c r="EQ1487"/>
      <c r="ER1487"/>
      <c r="ES1487"/>
    </row>
    <row r="1488" spans="1:149">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c r="EL1488"/>
      <c r="EM1488"/>
      <c r="EN1488"/>
      <c r="EO1488"/>
      <c r="EP1488"/>
      <c r="EQ1488"/>
      <c r="ER1488"/>
      <c r="ES1488"/>
    </row>
    <row r="1489" spans="1:149">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c r="EL1489"/>
      <c r="EM1489"/>
      <c r="EN1489"/>
      <c r="EO1489"/>
      <c r="EP1489"/>
      <c r="EQ1489"/>
      <c r="ER1489"/>
      <c r="ES1489"/>
    </row>
    <row r="1490" spans="1:149">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c r="EL1490"/>
      <c r="EM1490"/>
      <c r="EN1490"/>
      <c r="EO1490"/>
      <c r="EP1490"/>
      <c r="EQ1490"/>
      <c r="ER1490"/>
      <c r="ES1490"/>
    </row>
    <row r="1491" spans="1:149">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c r="EL1491"/>
      <c r="EM1491"/>
      <c r="EN1491"/>
      <c r="EO1491"/>
      <c r="EP1491"/>
      <c r="EQ1491"/>
      <c r="ER1491"/>
      <c r="ES1491"/>
    </row>
    <row r="1492" spans="1:149">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c r="EL1492"/>
      <c r="EM1492"/>
      <c r="EN1492"/>
      <c r="EO1492"/>
      <c r="EP1492"/>
      <c r="EQ1492"/>
      <c r="ER1492"/>
      <c r="ES1492"/>
    </row>
    <row r="1493" spans="1:149">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c r="EL1493"/>
      <c r="EM1493"/>
      <c r="EN1493"/>
      <c r="EO1493"/>
      <c r="EP1493"/>
      <c r="EQ1493"/>
      <c r="ER1493"/>
      <c r="ES1493"/>
    </row>
    <row r="1494" spans="1:149">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c r="EL1494"/>
      <c r="EM1494"/>
      <c r="EN1494"/>
      <c r="EO1494"/>
      <c r="EP1494"/>
      <c r="EQ1494"/>
      <c r="ER1494"/>
      <c r="ES1494"/>
    </row>
    <row r="1495" spans="1:149">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c r="EL1495"/>
      <c r="EM1495"/>
      <c r="EN1495"/>
      <c r="EO1495"/>
      <c r="EP1495"/>
      <c r="EQ1495"/>
      <c r="ER1495"/>
      <c r="ES1495"/>
    </row>
    <row r="1496" spans="1:149">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c r="EL1496"/>
      <c r="EM1496"/>
      <c r="EN1496"/>
      <c r="EO1496"/>
      <c r="EP1496"/>
      <c r="EQ1496"/>
      <c r="ER1496"/>
      <c r="ES1496"/>
    </row>
    <row r="1497" spans="1:149">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c r="EL1497"/>
      <c r="EM1497"/>
      <c r="EN1497"/>
      <c r="EO1497"/>
      <c r="EP1497"/>
      <c r="EQ1497"/>
      <c r="ER1497"/>
      <c r="ES1497"/>
    </row>
    <row r="1498" spans="1:149">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c r="EL1498"/>
      <c r="EM1498"/>
      <c r="EN1498"/>
      <c r="EO1498"/>
      <c r="EP1498"/>
      <c r="EQ1498"/>
      <c r="ER1498"/>
      <c r="ES1498"/>
    </row>
    <row r="1499" spans="1:149">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c r="EL1499"/>
      <c r="EM1499"/>
      <c r="EN1499"/>
      <c r="EO1499"/>
      <c r="EP1499"/>
      <c r="EQ1499"/>
      <c r="ER1499"/>
      <c r="ES1499"/>
    </row>
    <row r="1500" spans="1:149">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c r="EL1500"/>
      <c r="EM1500"/>
      <c r="EN1500"/>
      <c r="EO1500"/>
      <c r="EP1500"/>
      <c r="EQ1500"/>
      <c r="ER1500"/>
      <c r="ES1500"/>
    </row>
    <row r="1501" spans="1:149">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c r="EL1501"/>
      <c r="EM1501"/>
      <c r="EN1501"/>
      <c r="EO1501"/>
      <c r="EP1501"/>
      <c r="EQ1501"/>
      <c r="ER1501"/>
      <c r="ES1501"/>
    </row>
    <row r="1502" spans="1:149">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c r="EL1502"/>
      <c r="EM1502"/>
      <c r="EN1502"/>
      <c r="EO1502"/>
      <c r="EP1502"/>
      <c r="EQ1502"/>
      <c r="ER1502"/>
      <c r="ES1502"/>
    </row>
    <row r="1503" spans="1:149">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c r="EL1503"/>
      <c r="EM1503"/>
      <c r="EN1503"/>
      <c r="EO1503"/>
      <c r="EP1503"/>
      <c r="EQ1503"/>
      <c r="ER1503"/>
      <c r="ES1503"/>
    </row>
    <row r="1504" spans="1:149">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c r="EL1504"/>
      <c r="EM1504"/>
      <c r="EN1504"/>
      <c r="EO1504"/>
      <c r="EP1504"/>
      <c r="EQ1504"/>
      <c r="ER1504"/>
      <c r="ES1504"/>
    </row>
    <row r="1505" spans="1:149">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c r="EL1505"/>
      <c r="EM1505"/>
      <c r="EN1505"/>
      <c r="EO1505"/>
      <c r="EP1505"/>
      <c r="EQ1505"/>
      <c r="ER1505"/>
      <c r="ES1505"/>
    </row>
    <row r="1506" spans="1:149">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c r="EL1506"/>
      <c r="EM1506"/>
      <c r="EN1506"/>
      <c r="EO1506"/>
      <c r="EP1506"/>
      <c r="EQ1506"/>
      <c r="ER1506"/>
      <c r="ES1506"/>
    </row>
    <row r="1507" spans="1:149">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c r="EL1507"/>
      <c r="EM1507"/>
      <c r="EN1507"/>
      <c r="EO1507"/>
      <c r="EP1507"/>
      <c r="EQ1507"/>
      <c r="ER1507"/>
      <c r="ES1507"/>
    </row>
    <row r="1508" spans="1:149">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c r="EL1508"/>
      <c r="EM1508"/>
      <c r="EN1508"/>
      <c r="EO1508"/>
      <c r="EP1508"/>
      <c r="EQ1508"/>
      <c r="ER1508"/>
      <c r="ES1508"/>
    </row>
    <row r="1509" spans="1:149">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c r="EL1509"/>
      <c r="EM1509"/>
      <c r="EN1509"/>
      <c r="EO1509"/>
      <c r="EP1509"/>
      <c r="EQ1509"/>
      <c r="ER1509"/>
      <c r="ES1509"/>
    </row>
    <row r="1510" spans="1:149">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c r="EL1510"/>
      <c r="EM1510"/>
      <c r="EN1510"/>
      <c r="EO1510"/>
      <c r="EP1510"/>
      <c r="EQ1510"/>
      <c r="ER1510"/>
      <c r="ES1510"/>
    </row>
    <row r="1511" spans="1:149">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c r="EL1511"/>
      <c r="EM1511"/>
      <c r="EN1511"/>
      <c r="EO1511"/>
      <c r="EP1511"/>
      <c r="EQ1511"/>
      <c r="ER1511"/>
      <c r="ES1511"/>
    </row>
    <row r="1512" spans="1:149">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c r="EL1512"/>
      <c r="EM1512"/>
      <c r="EN1512"/>
      <c r="EO1512"/>
      <c r="EP1512"/>
      <c r="EQ1512"/>
      <c r="ER1512"/>
      <c r="ES1512"/>
    </row>
    <row r="1513" spans="1:149">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c r="EL1513"/>
      <c r="EM1513"/>
      <c r="EN1513"/>
      <c r="EO1513"/>
      <c r="EP1513"/>
      <c r="EQ1513"/>
      <c r="ER1513"/>
      <c r="ES1513"/>
    </row>
    <row r="1514" spans="1:149">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c r="EL1514"/>
      <c r="EM1514"/>
      <c r="EN1514"/>
      <c r="EO1514"/>
      <c r="EP1514"/>
      <c r="EQ1514"/>
      <c r="ER1514"/>
      <c r="ES1514"/>
    </row>
    <row r="1515" spans="1:149">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c r="EL1515"/>
      <c r="EM1515"/>
      <c r="EN1515"/>
      <c r="EO1515"/>
      <c r="EP1515"/>
      <c r="EQ1515"/>
      <c r="ER1515"/>
      <c r="ES1515"/>
    </row>
    <row r="1516" spans="1:149">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c r="EL1516"/>
      <c r="EM1516"/>
      <c r="EN1516"/>
      <c r="EO1516"/>
      <c r="EP1516"/>
      <c r="EQ1516"/>
      <c r="ER1516"/>
      <c r="ES1516"/>
    </row>
    <row r="1517" spans="1:149">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c r="EL1517"/>
      <c r="EM1517"/>
      <c r="EN1517"/>
      <c r="EO1517"/>
      <c r="EP1517"/>
      <c r="EQ1517"/>
      <c r="ER1517"/>
      <c r="ES1517"/>
    </row>
    <row r="1518" spans="1:149">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c r="EL1518"/>
      <c r="EM1518"/>
      <c r="EN1518"/>
      <c r="EO1518"/>
      <c r="EP1518"/>
      <c r="EQ1518"/>
      <c r="ER1518"/>
      <c r="ES1518"/>
    </row>
    <row r="1519" spans="1:149">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c r="EL1519"/>
      <c r="EM1519"/>
      <c r="EN1519"/>
      <c r="EO1519"/>
      <c r="EP1519"/>
      <c r="EQ1519"/>
      <c r="ER1519"/>
      <c r="ES1519"/>
    </row>
    <row r="1520" spans="1:149">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c r="EL1520"/>
      <c r="EM1520"/>
      <c r="EN1520"/>
      <c r="EO1520"/>
      <c r="EP1520"/>
      <c r="EQ1520"/>
      <c r="ER1520"/>
      <c r="ES1520"/>
    </row>
    <row r="1521" spans="1:149">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c r="EL1521"/>
      <c r="EM1521"/>
      <c r="EN1521"/>
      <c r="EO1521"/>
      <c r="EP1521"/>
      <c r="EQ1521"/>
      <c r="ER1521"/>
      <c r="ES1521"/>
    </row>
    <row r="1522" spans="1:149">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c r="EL1522"/>
      <c r="EM1522"/>
      <c r="EN1522"/>
      <c r="EO1522"/>
      <c r="EP1522"/>
      <c r="EQ1522"/>
      <c r="ER1522"/>
      <c r="ES1522"/>
    </row>
    <row r="1523" spans="1:149">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c r="EL1523"/>
      <c r="EM1523"/>
      <c r="EN1523"/>
      <c r="EO1523"/>
      <c r="EP1523"/>
      <c r="EQ1523"/>
      <c r="ER1523"/>
      <c r="ES1523"/>
    </row>
    <row r="1524" spans="1:149">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c r="EL1524"/>
      <c r="EM1524"/>
      <c r="EN1524"/>
      <c r="EO1524"/>
      <c r="EP1524"/>
      <c r="EQ1524"/>
      <c r="ER1524"/>
      <c r="ES1524"/>
    </row>
    <row r="1525" spans="1:149">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c r="EL1525"/>
      <c r="EM1525"/>
      <c r="EN1525"/>
      <c r="EO1525"/>
      <c r="EP1525"/>
      <c r="EQ1525"/>
      <c r="ER1525"/>
      <c r="ES1525"/>
    </row>
    <row r="1526" spans="1:149">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c r="EL1526"/>
      <c r="EM1526"/>
      <c r="EN1526"/>
      <c r="EO1526"/>
      <c r="EP1526"/>
      <c r="EQ1526"/>
      <c r="ER1526"/>
      <c r="ES1526"/>
    </row>
    <row r="1527" spans="1:149">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c r="EL1527"/>
      <c r="EM1527"/>
      <c r="EN1527"/>
      <c r="EO1527"/>
      <c r="EP1527"/>
      <c r="EQ1527"/>
      <c r="ER1527"/>
      <c r="ES1527"/>
    </row>
    <row r="1528" spans="1:149">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c r="EL1528"/>
      <c r="EM1528"/>
      <c r="EN1528"/>
      <c r="EO1528"/>
      <c r="EP1528"/>
      <c r="EQ1528"/>
      <c r="ER1528"/>
      <c r="ES1528"/>
    </row>
    <row r="1529" spans="1:149">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c r="EL1529"/>
      <c r="EM1529"/>
      <c r="EN1529"/>
      <c r="EO1529"/>
      <c r="EP1529"/>
      <c r="EQ1529"/>
      <c r="ER1529"/>
      <c r="ES1529"/>
    </row>
    <row r="1530" spans="1:149">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c r="EL1530"/>
      <c r="EM1530"/>
      <c r="EN1530"/>
      <c r="EO1530"/>
      <c r="EP1530"/>
      <c r="EQ1530"/>
      <c r="ER1530"/>
      <c r="ES1530"/>
    </row>
    <row r="1531" spans="1:149">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c r="EL1531"/>
      <c r="EM1531"/>
      <c r="EN1531"/>
      <c r="EO1531"/>
      <c r="EP1531"/>
      <c r="EQ1531"/>
      <c r="ER1531"/>
      <c r="ES1531"/>
    </row>
    <row r="1532" spans="1:149">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c r="EL1532"/>
      <c r="EM1532"/>
      <c r="EN1532"/>
      <c r="EO1532"/>
      <c r="EP1532"/>
      <c r="EQ1532"/>
      <c r="ER1532"/>
      <c r="ES1532"/>
    </row>
    <row r="1533" spans="1:149">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c r="EL1533"/>
      <c r="EM1533"/>
      <c r="EN1533"/>
      <c r="EO1533"/>
      <c r="EP1533"/>
      <c r="EQ1533"/>
      <c r="ER1533"/>
      <c r="ES1533"/>
    </row>
    <row r="1534" spans="1:149">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c r="EL1534"/>
      <c r="EM1534"/>
      <c r="EN1534"/>
      <c r="EO1534"/>
      <c r="EP1534"/>
      <c r="EQ1534"/>
      <c r="ER1534"/>
      <c r="ES1534"/>
    </row>
    <row r="1535" spans="1:149">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c r="EL1535"/>
      <c r="EM1535"/>
      <c r="EN1535"/>
      <c r="EO1535"/>
      <c r="EP1535"/>
      <c r="EQ1535"/>
      <c r="ER1535"/>
      <c r="ES1535"/>
    </row>
    <row r="1536" spans="1:149">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c r="EL1536"/>
      <c r="EM1536"/>
      <c r="EN1536"/>
      <c r="EO1536"/>
      <c r="EP1536"/>
      <c r="EQ1536"/>
      <c r="ER1536"/>
      <c r="ES1536"/>
    </row>
    <row r="1537" spans="1:149">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c r="EL1537"/>
      <c r="EM1537"/>
      <c r="EN1537"/>
      <c r="EO1537"/>
      <c r="EP1537"/>
      <c r="EQ1537"/>
      <c r="ER1537"/>
      <c r="ES1537"/>
    </row>
    <row r="1538" spans="1:149">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c r="EL1538"/>
      <c r="EM1538"/>
      <c r="EN1538"/>
      <c r="EO1538"/>
      <c r="EP1538"/>
      <c r="EQ1538"/>
      <c r="ER1538"/>
      <c r="ES1538"/>
    </row>
    <row r="1539" spans="1:149">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c r="EL1539"/>
      <c r="EM1539"/>
      <c r="EN1539"/>
      <c r="EO1539"/>
      <c r="EP1539"/>
      <c r="EQ1539"/>
      <c r="ER1539"/>
      <c r="ES1539"/>
    </row>
    <row r="1540" spans="1:149">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c r="EL1540"/>
      <c r="EM1540"/>
      <c r="EN1540"/>
      <c r="EO1540"/>
      <c r="EP1540"/>
      <c r="EQ1540"/>
      <c r="ER1540"/>
      <c r="ES1540"/>
    </row>
    <row r="1541" spans="1:149">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c r="EL1541"/>
      <c r="EM1541"/>
      <c r="EN1541"/>
      <c r="EO1541"/>
      <c r="EP1541"/>
      <c r="EQ1541"/>
      <c r="ER1541"/>
      <c r="ES1541"/>
    </row>
    <row r="1542" spans="1:149">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c r="EL1542"/>
      <c r="EM1542"/>
      <c r="EN1542"/>
      <c r="EO1542"/>
      <c r="EP1542"/>
      <c r="EQ1542"/>
      <c r="ER1542"/>
      <c r="ES1542"/>
    </row>
    <row r="1543" spans="1:149">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c r="EL1543"/>
      <c r="EM1543"/>
      <c r="EN1543"/>
      <c r="EO1543"/>
      <c r="EP1543"/>
      <c r="EQ1543"/>
      <c r="ER1543"/>
      <c r="ES1543"/>
    </row>
    <row r="1544" spans="1:149">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c r="EL1544"/>
      <c r="EM1544"/>
      <c r="EN1544"/>
      <c r="EO1544"/>
      <c r="EP1544"/>
      <c r="EQ1544"/>
      <c r="ER1544"/>
      <c r="ES1544"/>
    </row>
    <row r="1545" spans="1:149">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c r="EL1545"/>
      <c r="EM1545"/>
      <c r="EN1545"/>
      <c r="EO1545"/>
      <c r="EP1545"/>
      <c r="EQ1545"/>
      <c r="ER1545"/>
      <c r="ES1545"/>
    </row>
    <row r="1546" spans="1:149">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c r="EL1546"/>
      <c r="EM1546"/>
      <c r="EN1546"/>
      <c r="EO1546"/>
      <c r="EP1546"/>
      <c r="EQ1546"/>
      <c r="ER1546"/>
      <c r="ES1546"/>
    </row>
    <row r="1547" spans="1:149">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c r="EL1547"/>
      <c r="EM1547"/>
      <c r="EN1547"/>
      <c r="EO1547"/>
      <c r="EP1547"/>
      <c r="EQ1547"/>
      <c r="ER1547"/>
      <c r="ES1547"/>
    </row>
    <row r="1548" spans="1:149">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c r="EL1548"/>
      <c r="EM1548"/>
      <c r="EN1548"/>
      <c r="EO1548"/>
      <c r="EP1548"/>
      <c r="EQ1548"/>
      <c r="ER1548"/>
      <c r="ES1548"/>
    </row>
    <row r="1549" spans="1:149">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c r="EL1549"/>
      <c r="EM1549"/>
      <c r="EN1549"/>
      <c r="EO1549"/>
      <c r="EP1549"/>
      <c r="EQ1549"/>
      <c r="ER1549"/>
      <c r="ES1549"/>
    </row>
    <row r="1550" spans="1:149">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c r="EL1550"/>
      <c r="EM1550"/>
      <c r="EN1550"/>
      <c r="EO1550"/>
      <c r="EP1550"/>
      <c r="EQ1550"/>
      <c r="ER1550"/>
      <c r="ES1550"/>
    </row>
    <row r="1551" spans="1:149">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c r="EL1551"/>
      <c r="EM1551"/>
      <c r="EN1551"/>
      <c r="EO1551"/>
      <c r="EP1551"/>
      <c r="EQ1551"/>
      <c r="ER1551"/>
      <c r="ES1551"/>
    </row>
    <row r="1552" spans="1:149">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c r="EL1552"/>
      <c r="EM1552"/>
      <c r="EN1552"/>
      <c r="EO1552"/>
      <c r="EP1552"/>
      <c r="EQ1552"/>
      <c r="ER1552"/>
      <c r="ES1552"/>
    </row>
    <row r="1553" spans="1:149">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c r="EL1553"/>
      <c r="EM1553"/>
      <c r="EN1553"/>
      <c r="EO1553"/>
      <c r="EP1553"/>
      <c r="EQ1553"/>
      <c r="ER1553"/>
      <c r="ES1553"/>
    </row>
    <row r="1554" spans="1:149">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c r="EL1554"/>
      <c r="EM1554"/>
      <c r="EN1554"/>
      <c r="EO1554"/>
      <c r="EP1554"/>
      <c r="EQ1554"/>
      <c r="ER1554"/>
      <c r="ES1554"/>
    </row>
    <row r="1555" spans="1:149">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c r="EL1555"/>
      <c r="EM1555"/>
      <c r="EN1555"/>
      <c r="EO1555"/>
      <c r="EP1555"/>
      <c r="EQ1555"/>
      <c r="ER1555"/>
      <c r="ES1555"/>
    </row>
    <row r="1556" spans="1:149">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c r="EL1556"/>
      <c r="EM1556"/>
      <c r="EN1556"/>
      <c r="EO1556"/>
      <c r="EP1556"/>
      <c r="EQ1556"/>
      <c r="ER1556"/>
      <c r="ES1556"/>
    </row>
    <row r="1557" spans="1:149">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c r="EL1557"/>
      <c r="EM1557"/>
      <c r="EN1557"/>
      <c r="EO1557"/>
      <c r="EP1557"/>
      <c r="EQ1557"/>
      <c r="ER1557"/>
      <c r="ES1557"/>
    </row>
    <row r="1558" spans="1:149">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c r="EL1558"/>
      <c r="EM1558"/>
      <c r="EN1558"/>
      <c r="EO1558"/>
      <c r="EP1558"/>
      <c r="EQ1558"/>
      <c r="ER1558"/>
      <c r="ES1558"/>
    </row>
    <row r="1559" spans="1:149">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c r="EL1559"/>
      <c r="EM1559"/>
      <c r="EN1559"/>
      <c r="EO1559"/>
      <c r="EP1559"/>
      <c r="EQ1559"/>
      <c r="ER1559"/>
      <c r="ES1559"/>
    </row>
    <row r="1560" spans="1:149">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c r="EL1560"/>
      <c r="EM1560"/>
      <c r="EN1560"/>
      <c r="EO1560"/>
      <c r="EP1560"/>
      <c r="EQ1560"/>
      <c r="ER1560"/>
      <c r="ES1560"/>
    </row>
    <row r="1561" spans="1:149">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c r="EL1561"/>
      <c r="EM1561"/>
      <c r="EN1561"/>
      <c r="EO1561"/>
      <c r="EP1561"/>
      <c r="EQ1561"/>
      <c r="ER1561"/>
      <c r="ES1561"/>
    </row>
    <row r="1562" spans="1:149">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c r="EL1562"/>
      <c r="EM1562"/>
      <c r="EN1562"/>
      <c r="EO1562"/>
      <c r="EP1562"/>
      <c r="EQ1562"/>
      <c r="ER1562"/>
      <c r="ES1562"/>
    </row>
    <row r="1563" spans="1:149">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c r="EL1563"/>
      <c r="EM1563"/>
      <c r="EN1563"/>
      <c r="EO1563"/>
      <c r="EP1563"/>
      <c r="EQ1563"/>
      <c r="ER1563"/>
      <c r="ES1563"/>
    </row>
    <row r="1564" spans="1:149">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c r="EL1564"/>
      <c r="EM1564"/>
      <c r="EN1564"/>
      <c r="EO1564"/>
      <c r="EP1564"/>
      <c r="EQ1564"/>
      <c r="ER1564"/>
      <c r="ES1564"/>
    </row>
    <row r="1565" spans="1:149">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c r="EL1565"/>
      <c r="EM1565"/>
      <c r="EN1565"/>
      <c r="EO1565"/>
      <c r="EP1565"/>
      <c r="EQ1565"/>
      <c r="ER1565"/>
      <c r="ES1565"/>
    </row>
    <row r="1566" spans="1:149">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c r="EL1566"/>
      <c r="EM1566"/>
      <c r="EN1566"/>
      <c r="EO1566"/>
      <c r="EP1566"/>
      <c r="EQ1566"/>
      <c r="ER1566"/>
      <c r="ES1566"/>
    </row>
    <row r="1567" spans="1:149">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c r="EL1567"/>
      <c r="EM1567"/>
      <c r="EN1567"/>
      <c r="EO1567"/>
      <c r="EP1567"/>
      <c r="EQ1567"/>
      <c r="ER1567"/>
      <c r="ES1567"/>
    </row>
    <row r="1568" spans="1:149">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c r="EL1568"/>
      <c r="EM1568"/>
      <c r="EN1568"/>
      <c r="EO1568"/>
      <c r="EP1568"/>
      <c r="EQ1568"/>
      <c r="ER1568"/>
      <c r="ES1568"/>
    </row>
    <row r="1569" spans="1:149">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c r="EL1569"/>
      <c r="EM1569"/>
      <c r="EN1569"/>
      <c r="EO1569"/>
      <c r="EP1569"/>
      <c r="EQ1569"/>
      <c r="ER1569"/>
      <c r="ES1569"/>
    </row>
    <row r="1570" spans="1:149">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c r="EL1570"/>
      <c r="EM1570"/>
      <c r="EN1570"/>
      <c r="EO1570"/>
      <c r="EP1570"/>
      <c r="EQ1570"/>
      <c r="ER1570"/>
      <c r="ES1570"/>
    </row>
    <row r="1571" spans="1:149">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c r="EL1571"/>
      <c r="EM1571"/>
      <c r="EN1571"/>
      <c r="EO1571"/>
      <c r="EP1571"/>
      <c r="EQ1571"/>
      <c r="ER1571"/>
      <c r="ES1571"/>
    </row>
    <row r="1572" spans="1:149">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c r="EL1572"/>
      <c r="EM1572"/>
      <c r="EN1572"/>
      <c r="EO1572"/>
      <c r="EP1572"/>
      <c r="EQ1572"/>
      <c r="ER1572"/>
      <c r="ES1572"/>
    </row>
    <row r="1573" spans="1:149">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c r="EL1573"/>
      <c r="EM1573"/>
      <c r="EN1573"/>
      <c r="EO1573"/>
      <c r="EP1573"/>
      <c r="EQ1573"/>
      <c r="ER1573"/>
      <c r="ES1573"/>
    </row>
    <row r="1574" spans="1:149">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c r="EL1574"/>
      <c r="EM1574"/>
      <c r="EN1574"/>
      <c r="EO1574"/>
      <c r="EP1574"/>
      <c r="EQ1574"/>
      <c r="ER1574"/>
      <c r="ES1574"/>
    </row>
    <row r="1575" spans="1:149">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c r="EL1575"/>
      <c r="EM1575"/>
      <c r="EN1575"/>
      <c r="EO1575"/>
      <c r="EP1575"/>
      <c r="EQ1575"/>
      <c r="ER1575"/>
      <c r="ES1575"/>
    </row>
    <row r="1576" spans="1:149">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c r="EL1576"/>
      <c r="EM1576"/>
      <c r="EN1576"/>
      <c r="EO1576"/>
      <c r="EP1576"/>
      <c r="EQ1576"/>
      <c r="ER1576"/>
      <c r="ES1576"/>
    </row>
    <row r="1577" spans="1:149">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c r="EL1577"/>
      <c r="EM1577"/>
      <c r="EN1577"/>
      <c r="EO1577"/>
      <c r="EP1577"/>
      <c r="EQ1577"/>
      <c r="ER1577"/>
      <c r="ES1577"/>
    </row>
    <row r="1578" spans="1:149">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c r="EL1578"/>
      <c r="EM1578"/>
      <c r="EN1578"/>
      <c r="EO1578"/>
      <c r="EP1578"/>
      <c r="EQ1578"/>
      <c r="ER1578"/>
      <c r="ES1578"/>
    </row>
    <row r="1579" spans="1:149">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c r="EL1579"/>
      <c r="EM1579"/>
      <c r="EN1579"/>
      <c r="EO1579"/>
      <c r="EP1579"/>
      <c r="EQ1579"/>
      <c r="ER1579"/>
      <c r="ES1579"/>
    </row>
    <row r="1580" spans="1:149">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c r="EL1580"/>
      <c r="EM1580"/>
      <c r="EN1580"/>
      <c r="EO1580"/>
      <c r="EP1580"/>
      <c r="EQ1580"/>
      <c r="ER1580"/>
      <c r="ES1580"/>
    </row>
    <row r="1581" spans="1:149">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c r="EL1581"/>
      <c r="EM1581"/>
      <c r="EN1581"/>
      <c r="EO1581"/>
      <c r="EP1581"/>
      <c r="EQ1581"/>
      <c r="ER1581"/>
      <c r="ES1581"/>
    </row>
    <row r="1582" spans="1:149">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c r="EL1582"/>
      <c r="EM1582"/>
      <c r="EN1582"/>
      <c r="EO1582"/>
      <c r="EP1582"/>
      <c r="EQ1582"/>
      <c r="ER1582"/>
      <c r="ES1582"/>
    </row>
    <row r="1583" spans="1:149">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c r="EL1583"/>
      <c r="EM1583"/>
      <c r="EN1583"/>
      <c r="EO1583"/>
      <c r="EP1583"/>
      <c r="EQ1583"/>
      <c r="ER1583"/>
      <c r="ES1583"/>
    </row>
    <row r="1584" spans="1:149">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c r="EL1584"/>
      <c r="EM1584"/>
      <c r="EN1584"/>
      <c r="EO1584"/>
      <c r="EP1584"/>
      <c r="EQ1584"/>
      <c r="ER1584"/>
      <c r="ES1584"/>
    </row>
    <row r="1585" spans="1:149">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c r="EL1585"/>
      <c r="EM1585"/>
      <c r="EN1585"/>
      <c r="EO1585"/>
      <c r="EP1585"/>
      <c r="EQ1585"/>
      <c r="ER1585"/>
      <c r="ES1585"/>
    </row>
    <row r="1586" spans="1:149">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c r="EL1586"/>
      <c r="EM1586"/>
      <c r="EN1586"/>
      <c r="EO1586"/>
      <c r="EP1586"/>
      <c r="EQ1586"/>
      <c r="ER1586"/>
      <c r="ES1586"/>
    </row>
    <row r="1587" spans="1:149">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c r="EL1587"/>
      <c r="EM1587"/>
      <c r="EN1587"/>
      <c r="EO1587"/>
      <c r="EP1587"/>
      <c r="EQ1587"/>
      <c r="ER1587"/>
      <c r="ES1587"/>
    </row>
    <row r="1588" spans="1:149">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c r="EL1588"/>
      <c r="EM1588"/>
      <c r="EN1588"/>
      <c r="EO1588"/>
      <c r="EP1588"/>
      <c r="EQ1588"/>
      <c r="ER1588"/>
      <c r="ES1588"/>
    </row>
    <row r="1589" spans="1:149">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c r="EL1589"/>
      <c r="EM1589"/>
      <c r="EN1589"/>
      <c r="EO1589"/>
      <c r="EP1589"/>
      <c r="EQ1589"/>
      <c r="ER1589"/>
      <c r="ES1589"/>
    </row>
    <row r="1590" spans="1:149">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c r="EL1590"/>
      <c r="EM1590"/>
      <c r="EN1590"/>
      <c r="EO1590"/>
      <c r="EP1590"/>
      <c r="EQ1590"/>
      <c r="ER1590"/>
      <c r="ES1590"/>
    </row>
    <row r="1591" spans="1:149">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c r="EL1591"/>
      <c r="EM1591"/>
      <c r="EN1591"/>
      <c r="EO1591"/>
      <c r="EP1591"/>
      <c r="EQ1591"/>
      <c r="ER1591"/>
      <c r="ES1591"/>
    </row>
    <row r="1592" spans="1:149">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c r="EL1592"/>
      <c r="EM1592"/>
      <c r="EN1592"/>
      <c r="EO1592"/>
      <c r="EP1592"/>
      <c r="EQ1592"/>
      <c r="ER1592"/>
      <c r="ES1592"/>
    </row>
    <row r="1593" spans="1:149">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c r="EL1593"/>
      <c r="EM1593"/>
      <c r="EN1593"/>
      <c r="EO1593"/>
      <c r="EP1593"/>
      <c r="EQ1593"/>
      <c r="ER1593"/>
      <c r="ES1593"/>
    </row>
    <row r="1594" spans="1:149">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c r="EL1594"/>
      <c r="EM1594"/>
      <c r="EN1594"/>
      <c r="EO1594"/>
      <c r="EP1594"/>
      <c r="EQ1594"/>
      <c r="ER1594"/>
      <c r="ES1594"/>
    </row>
    <row r="1595" spans="1:149">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c r="EL1595"/>
      <c r="EM1595"/>
      <c r="EN1595"/>
      <c r="EO1595"/>
      <c r="EP1595"/>
      <c r="EQ1595"/>
      <c r="ER1595"/>
      <c r="ES1595"/>
    </row>
    <row r="1596" spans="1:149">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c r="EL1596"/>
      <c r="EM1596"/>
      <c r="EN1596"/>
      <c r="EO1596"/>
      <c r="EP1596"/>
      <c r="EQ1596"/>
      <c r="ER1596"/>
      <c r="ES1596"/>
    </row>
    <row r="1597" spans="1:149">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c r="EL1597"/>
      <c r="EM1597"/>
      <c r="EN1597"/>
      <c r="EO1597"/>
      <c r="EP1597"/>
      <c r="EQ1597"/>
      <c r="ER1597"/>
      <c r="ES1597"/>
    </row>
    <row r="1598" spans="1:149">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c r="EL1598"/>
      <c r="EM1598"/>
      <c r="EN1598"/>
      <c r="EO1598"/>
      <c r="EP1598"/>
      <c r="EQ1598"/>
      <c r="ER1598"/>
      <c r="ES1598"/>
    </row>
    <row r="1599" spans="1:149">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c r="EL1599"/>
      <c r="EM1599"/>
      <c r="EN1599"/>
      <c r="EO1599"/>
      <c r="EP1599"/>
      <c r="EQ1599"/>
      <c r="ER1599"/>
      <c r="ES1599"/>
    </row>
    <row r="1600" spans="1:149">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c r="EL1600"/>
      <c r="EM1600"/>
      <c r="EN1600"/>
      <c r="EO1600"/>
      <c r="EP1600"/>
      <c r="EQ1600"/>
      <c r="ER1600"/>
      <c r="ES1600"/>
    </row>
    <row r="1601" spans="1:149">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c r="EL1601"/>
      <c r="EM1601"/>
      <c r="EN1601"/>
      <c r="EO1601"/>
      <c r="EP1601"/>
      <c r="EQ1601"/>
      <c r="ER1601"/>
      <c r="ES1601"/>
    </row>
    <row r="1602" spans="1:149">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c r="EL1602"/>
      <c r="EM1602"/>
      <c r="EN1602"/>
      <c r="EO1602"/>
      <c r="EP1602"/>
      <c r="EQ1602"/>
      <c r="ER1602"/>
      <c r="ES1602"/>
    </row>
    <row r="1603" spans="1:149">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c r="EL1603"/>
      <c r="EM1603"/>
      <c r="EN1603"/>
      <c r="EO1603"/>
      <c r="EP1603"/>
      <c r="EQ1603"/>
      <c r="ER1603"/>
      <c r="ES1603"/>
    </row>
    <row r="1604" spans="1:149">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c r="EL1604"/>
      <c r="EM1604"/>
      <c r="EN1604"/>
      <c r="EO1604"/>
      <c r="EP1604"/>
      <c r="EQ1604"/>
      <c r="ER1604"/>
      <c r="ES1604"/>
    </row>
    <row r="1605" spans="1:149">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c r="EL1605"/>
      <c r="EM1605"/>
      <c r="EN1605"/>
      <c r="EO1605"/>
      <c r="EP1605"/>
      <c r="EQ1605"/>
      <c r="ER1605"/>
      <c r="ES1605"/>
    </row>
    <row r="1606" spans="1:149">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c r="EL1606"/>
      <c r="EM1606"/>
      <c r="EN1606"/>
      <c r="EO1606"/>
      <c r="EP1606"/>
      <c r="EQ1606"/>
      <c r="ER1606"/>
      <c r="ES1606"/>
    </row>
    <row r="1607" spans="1:149">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c r="EL1607"/>
      <c r="EM1607"/>
      <c r="EN1607"/>
      <c r="EO1607"/>
      <c r="EP1607"/>
      <c r="EQ1607"/>
      <c r="ER1607"/>
      <c r="ES1607"/>
    </row>
    <row r="1608" spans="1:149">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c r="EL1608"/>
      <c r="EM1608"/>
      <c r="EN1608"/>
      <c r="EO1608"/>
      <c r="EP1608"/>
      <c r="EQ1608"/>
      <c r="ER1608"/>
      <c r="ES1608"/>
    </row>
    <row r="1609" spans="1:149">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c r="EL1609"/>
      <c r="EM1609"/>
      <c r="EN1609"/>
      <c r="EO1609"/>
      <c r="EP1609"/>
      <c r="EQ1609"/>
      <c r="ER1609"/>
      <c r="ES1609"/>
    </row>
    <row r="1610" spans="1:149">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c r="EL1610"/>
      <c r="EM1610"/>
      <c r="EN1610"/>
      <c r="EO1610"/>
      <c r="EP1610"/>
      <c r="EQ1610"/>
      <c r="ER1610"/>
      <c r="ES1610"/>
    </row>
    <row r="1611" spans="1:149">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c r="EL1611"/>
      <c r="EM1611"/>
      <c r="EN1611"/>
      <c r="EO1611"/>
      <c r="EP1611"/>
      <c r="EQ1611"/>
      <c r="ER1611"/>
      <c r="ES1611"/>
    </row>
    <row r="1612" spans="1:149">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c r="EL1612"/>
      <c r="EM1612"/>
      <c r="EN1612"/>
      <c r="EO1612"/>
      <c r="EP1612"/>
      <c r="EQ1612"/>
      <c r="ER1612"/>
      <c r="ES1612"/>
    </row>
    <row r="1613" spans="1:149">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c r="EL1613"/>
      <c r="EM1613"/>
      <c r="EN1613"/>
      <c r="EO1613"/>
      <c r="EP1613"/>
      <c r="EQ1613"/>
      <c r="ER1613"/>
      <c r="ES1613"/>
    </row>
    <row r="1614" spans="1:149">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c r="EL1614"/>
      <c r="EM1614"/>
      <c r="EN1614"/>
      <c r="EO1614"/>
      <c r="EP1614"/>
      <c r="EQ1614"/>
      <c r="ER1614"/>
      <c r="ES1614"/>
    </row>
    <row r="1615" spans="1:149">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c r="EL1615"/>
      <c r="EM1615"/>
      <c r="EN1615"/>
      <c r="EO1615"/>
      <c r="EP1615"/>
      <c r="EQ1615"/>
      <c r="ER1615"/>
      <c r="ES1615"/>
    </row>
    <row r="1616" spans="1:149">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c r="EL1616"/>
      <c r="EM1616"/>
      <c r="EN1616"/>
      <c r="EO1616"/>
      <c r="EP1616"/>
      <c r="EQ1616"/>
      <c r="ER1616"/>
      <c r="ES1616"/>
    </row>
    <row r="1617" spans="1:149">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c r="EL1617"/>
      <c r="EM1617"/>
      <c r="EN1617"/>
      <c r="EO1617"/>
      <c r="EP1617"/>
      <c r="EQ1617"/>
      <c r="ER1617"/>
      <c r="ES1617"/>
    </row>
    <row r="1618" spans="1:149">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c r="EL1618"/>
      <c r="EM1618"/>
      <c r="EN1618"/>
      <c r="EO1618"/>
      <c r="EP1618"/>
      <c r="EQ1618"/>
      <c r="ER1618"/>
      <c r="ES1618"/>
    </row>
    <row r="1619" spans="1:149">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c r="EL1619"/>
      <c r="EM1619"/>
      <c r="EN1619"/>
      <c r="EO1619"/>
      <c r="EP1619"/>
      <c r="EQ1619"/>
      <c r="ER1619"/>
      <c r="ES1619"/>
    </row>
    <row r="1620" spans="1:149">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c r="EL1620"/>
      <c r="EM1620"/>
      <c r="EN1620"/>
      <c r="EO1620"/>
      <c r="EP1620"/>
      <c r="EQ1620"/>
      <c r="ER1620"/>
      <c r="ES1620"/>
    </row>
    <row r="1621" spans="1:149">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c r="EL1621"/>
      <c r="EM1621"/>
      <c r="EN1621"/>
      <c r="EO1621"/>
      <c r="EP1621"/>
      <c r="EQ1621"/>
      <c r="ER1621"/>
      <c r="ES1621"/>
    </row>
    <row r="1622" spans="1:149">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c r="EL1622"/>
      <c r="EM1622"/>
      <c r="EN1622"/>
      <c r="EO1622"/>
      <c r="EP1622"/>
      <c r="EQ1622"/>
      <c r="ER1622"/>
      <c r="ES1622"/>
    </row>
    <row r="1623" spans="1:149">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c r="EL1623"/>
      <c r="EM1623"/>
      <c r="EN1623"/>
      <c r="EO1623"/>
      <c r="EP1623"/>
      <c r="EQ1623"/>
      <c r="ER1623"/>
      <c r="ES1623"/>
    </row>
    <row r="1624" spans="1:149">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c r="EL1624"/>
      <c r="EM1624"/>
      <c r="EN1624"/>
      <c r="EO1624"/>
      <c r="EP1624"/>
      <c r="EQ1624"/>
      <c r="ER1624"/>
      <c r="ES1624"/>
    </row>
    <row r="1625" spans="1:149">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c r="EL1625"/>
      <c r="EM1625"/>
      <c r="EN1625"/>
      <c r="EO1625"/>
      <c r="EP1625"/>
      <c r="EQ1625"/>
      <c r="ER1625"/>
      <c r="ES1625"/>
    </row>
    <row r="1626" spans="1:149">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c r="EL1626"/>
      <c r="EM1626"/>
      <c r="EN1626"/>
      <c r="EO1626"/>
      <c r="EP1626"/>
      <c r="EQ1626"/>
      <c r="ER1626"/>
      <c r="ES1626"/>
    </row>
    <row r="1627" spans="1:149">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c r="EL1627"/>
      <c r="EM1627"/>
      <c r="EN1627"/>
      <c r="EO1627"/>
      <c r="EP1627"/>
      <c r="EQ1627"/>
      <c r="ER1627"/>
      <c r="ES1627"/>
    </row>
    <row r="1628" spans="1:149">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c r="EL1628"/>
      <c r="EM1628"/>
      <c r="EN1628"/>
      <c r="EO1628"/>
      <c r="EP1628"/>
      <c r="EQ1628"/>
      <c r="ER1628"/>
      <c r="ES1628"/>
    </row>
    <row r="1629" spans="1:149">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c r="EL1629"/>
      <c r="EM1629"/>
      <c r="EN1629"/>
      <c r="EO1629"/>
      <c r="EP1629"/>
      <c r="EQ1629"/>
      <c r="ER1629"/>
      <c r="ES1629"/>
    </row>
    <row r="1630" spans="1:149">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c r="EL1630"/>
      <c r="EM1630"/>
      <c r="EN1630"/>
      <c r="EO1630"/>
      <c r="EP1630"/>
      <c r="EQ1630"/>
      <c r="ER1630"/>
      <c r="ES1630"/>
    </row>
    <row r="1631" spans="1:149">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c r="EL1631"/>
      <c r="EM1631"/>
      <c r="EN1631"/>
      <c r="EO1631"/>
      <c r="EP1631"/>
      <c r="EQ1631"/>
      <c r="ER1631"/>
      <c r="ES1631"/>
    </row>
    <row r="1632" spans="1:149">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c r="EL1632"/>
      <c r="EM1632"/>
      <c r="EN1632"/>
      <c r="EO1632"/>
      <c r="EP1632"/>
      <c r="EQ1632"/>
      <c r="ER1632"/>
      <c r="ES1632"/>
    </row>
    <row r="1633" spans="1:149">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c r="EL1633"/>
      <c r="EM1633"/>
      <c r="EN1633"/>
      <c r="EO1633"/>
      <c r="EP1633"/>
      <c r="EQ1633"/>
      <c r="ER1633"/>
      <c r="ES1633"/>
    </row>
    <row r="1634" spans="1:149">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c r="EL1634"/>
      <c r="EM1634"/>
      <c r="EN1634"/>
      <c r="EO1634"/>
      <c r="EP1634"/>
      <c r="EQ1634"/>
      <c r="ER1634"/>
      <c r="ES1634"/>
    </row>
    <row r="1635" spans="1:149">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c r="EL1635"/>
      <c r="EM1635"/>
      <c r="EN1635"/>
      <c r="EO1635"/>
      <c r="EP1635"/>
      <c r="EQ1635"/>
      <c r="ER1635"/>
      <c r="ES1635"/>
    </row>
    <row r="1636" spans="1:149">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c r="EL1636"/>
      <c r="EM1636"/>
      <c r="EN1636"/>
      <c r="EO1636"/>
      <c r="EP1636"/>
      <c r="EQ1636"/>
      <c r="ER1636"/>
      <c r="ES1636"/>
    </row>
    <row r="1637" spans="1:149">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c r="EL1637"/>
      <c r="EM1637"/>
      <c r="EN1637"/>
      <c r="EO1637"/>
      <c r="EP1637"/>
      <c r="EQ1637"/>
      <c r="ER1637"/>
      <c r="ES1637"/>
    </row>
    <row r="1638" spans="1:149">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c r="EL1638"/>
      <c r="EM1638"/>
      <c r="EN1638"/>
      <c r="EO1638"/>
      <c r="EP1638"/>
      <c r="EQ1638"/>
      <c r="ER1638"/>
      <c r="ES1638"/>
    </row>
    <row r="1639" spans="1:149">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c r="EL1639"/>
      <c r="EM1639"/>
      <c r="EN1639"/>
      <c r="EO1639"/>
      <c r="EP1639"/>
      <c r="EQ1639"/>
      <c r="ER1639"/>
      <c r="ES1639"/>
    </row>
    <row r="1640" spans="1:149">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c r="EL1640"/>
      <c r="EM1640"/>
      <c r="EN1640"/>
      <c r="EO1640"/>
      <c r="EP1640"/>
      <c r="EQ1640"/>
      <c r="ER1640"/>
      <c r="ES1640"/>
    </row>
    <row r="1641" spans="1:149">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c r="EL1641"/>
      <c r="EM1641"/>
      <c r="EN1641"/>
      <c r="EO1641"/>
      <c r="EP1641"/>
      <c r="EQ1641"/>
      <c r="ER1641"/>
      <c r="ES1641"/>
    </row>
    <row r="1642" spans="1:149">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c r="EL1642"/>
      <c r="EM1642"/>
      <c r="EN1642"/>
      <c r="EO1642"/>
      <c r="EP1642"/>
      <c r="EQ1642"/>
      <c r="ER1642"/>
      <c r="ES1642"/>
    </row>
    <row r="1643" spans="1:149">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c r="EL1643"/>
      <c r="EM1643"/>
      <c r="EN1643"/>
      <c r="EO1643"/>
      <c r="EP1643"/>
      <c r="EQ1643"/>
      <c r="ER1643"/>
      <c r="ES1643"/>
    </row>
    <row r="1644" spans="1:149">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c r="EL1644"/>
      <c r="EM1644"/>
      <c r="EN1644"/>
      <c r="EO1644"/>
      <c r="EP1644"/>
      <c r="EQ1644"/>
      <c r="ER1644"/>
      <c r="ES1644"/>
    </row>
    <row r="1645" spans="1:149">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c r="EL1645"/>
      <c r="EM1645"/>
      <c r="EN1645"/>
      <c r="EO1645"/>
      <c r="EP1645"/>
      <c r="EQ1645"/>
      <c r="ER1645"/>
      <c r="ES1645"/>
    </row>
    <row r="1646" spans="1:149">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c r="EL1646"/>
      <c r="EM1646"/>
      <c r="EN1646"/>
      <c r="EO1646"/>
      <c r="EP1646"/>
      <c r="EQ1646"/>
      <c r="ER1646"/>
      <c r="ES1646"/>
    </row>
    <row r="1647" spans="1:149">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c r="EL1647"/>
      <c r="EM1647"/>
      <c r="EN1647"/>
      <c r="EO1647"/>
      <c r="EP1647"/>
      <c r="EQ1647"/>
      <c r="ER1647"/>
      <c r="ES1647"/>
    </row>
    <row r="1648" spans="1:149">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c r="EL1648"/>
      <c r="EM1648"/>
      <c r="EN1648"/>
      <c r="EO1648"/>
      <c r="EP1648"/>
      <c r="EQ1648"/>
      <c r="ER1648"/>
      <c r="ES1648"/>
    </row>
    <row r="1649" spans="1:149">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c r="EL1649"/>
      <c r="EM1649"/>
      <c r="EN1649"/>
      <c r="EO1649"/>
      <c r="EP1649"/>
      <c r="EQ1649"/>
      <c r="ER1649"/>
      <c r="ES1649"/>
    </row>
    <row r="1650" spans="1:149">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c r="EL1650"/>
      <c r="EM1650"/>
      <c r="EN1650"/>
      <c r="EO1650"/>
      <c r="EP1650"/>
      <c r="EQ1650"/>
      <c r="ER1650"/>
      <c r="ES1650"/>
    </row>
    <row r="1651" spans="1:149">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c r="EL1651"/>
      <c r="EM1651"/>
      <c r="EN1651"/>
      <c r="EO1651"/>
      <c r="EP1651"/>
      <c r="EQ1651"/>
      <c r="ER1651"/>
      <c r="ES1651"/>
    </row>
    <row r="1652" spans="1:149">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c r="EL1652"/>
      <c r="EM1652"/>
      <c r="EN1652"/>
      <c r="EO1652"/>
      <c r="EP1652"/>
      <c r="EQ1652"/>
      <c r="ER1652"/>
      <c r="ES1652"/>
    </row>
    <row r="1653" spans="1:149">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c r="EL1653"/>
      <c r="EM1653"/>
      <c r="EN1653"/>
      <c r="EO1653"/>
      <c r="EP1653"/>
      <c r="EQ1653"/>
      <c r="ER1653"/>
      <c r="ES1653"/>
    </row>
    <row r="1654" spans="1:149">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c r="EL1654"/>
      <c r="EM1654"/>
      <c r="EN1654"/>
      <c r="EO1654"/>
      <c r="EP1654"/>
      <c r="EQ1654"/>
      <c r="ER1654"/>
      <c r="ES1654"/>
    </row>
    <row r="1655" spans="1:149">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c r="EL1655"/>
      <c r="EM1655"/>
      <c r="EN1655"/>
      <c r="EO1655"/>
      <c r="EP1655"/>
      <c r="EQ1655"/>
      <c r="ER1655"/>
      <c r="ES1655"/>
    </row>
    <row r="1656" spans="1:149">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c r="EL1656"/>
      <c r="EM1656"/>
      <c r="EN1656"/>
      <c r="EO1656"/>
      <c r="EP1656"/>
      <c r="EQ1656"/>
      <c r="ER1656"/>
      <c r="ES1656"/>
    </row>
    <row r="1657" spans="1:149">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c r="EL1657"/>
      <c r="EM1657"/>
      <c r="EN1657"/>
      <c r="EO1657"/>
      <c r="EP1657"/>
      <c r="EQ1657"/>
      <c r="ER1657"/>
      <c r="ES1657"/>
    </row>
    <row r="1658" spans="1:149">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c r="EL1658"/>
      <c r="EM1658"/>
      <c r="EN1658"/>
      <c r="EO1658"/>
      <c r="EP1658"/>
      <c r="EQ1658"/>
      <c r="ER1658"/>
      <c r="ES1658"/>
    </row>
    <row r="1659" spans="1:149">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c r="EL1659"/>
      <c r="EM1659"/>
      <c r="EN1659"/>
      <c r="EO1659"/>
      <c r="EP1659"/>
      <c r="EQ1659"/>
      <c r="ER1659"/>
      <c r="ES1659"/>
    </row>
    <row r="1660" spans="1:149">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c r="EL1660"/>
      <c r="EM1660"/>
      <c r="EN1660"/>
      <c r="EO1660"/>
      <c r="EP1660"/>
      <c r="EQ1660"/>
      <c r="ER1660"/>
      <c r="ES1660"/>
    </row>
    <row r="1661" spans="1:149">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c r="EL1661"/>
      <c r="EM1661"/>
      <c r="EN1661"/>
      <c r="EO1661"/>
      <c r="EP1661"/>
      <c r="EQ1661"/>
      <c r="ER1661"/>
      <c r="ES1661"/>
    </row>
    <row r="1662" spans="1:149">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c r="EL1662"/>
      <c r="EM1662"/>
      <c r="EN1662"/>
      <c r="EO1662"/>
      <c r="EP1662"/>
      <c r="EQ1662"/>
      <c r="ER1662"/>
      <c r="ES1662"/>
    </row>
    <row r="1663" spans="1:149">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c r="EL1663"/>
      <c r="EM1663"/>
      <c r="EN1663"/>
      <c r="EO1663"/>
      <c r="EP1663"/>
      <c r="EQ1663"/>
      <c r="ER1663"/>
      <c r="ES1663"/>
    </row>
    <row r="1664" spans="1:149">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c r="EL1664"/>
      <c r="EM1664"/>
      <c r="EN1664"/>
      <c r="EO1664"/>
      <c r="EP1664"/>
      <c r="EQ1664"/>
      <c r="ER1664"/>
      <c r="ES1664"/>
    </row>
    <row r="1665" spans="1:149">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c r="EL1665"/>
      <c r="EM1665"/>
      <c r="EN1665"/>
      <c r="EO1665"/>
      <c r="EP1665"/>
      <c r="EQ1665"/>
      <c r="ER1665"/>
      <c r="ES1665"/>
    </row>
    <row r="1666" spans="1:149">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c r="EL1666"/>
      <c r="EM1666"/>
      <c r="EN1666"/>
      <c r="EO1666"/>
      <c r="EP1666"/>
      <c r="EQ1666"/>
      <c r="ER1666"/>
      <c r="ES1666"/>
    </row>
    <row r="1667" spans="1:149">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c r="EL1667"/>
      <c r="EM1667"/>
      <c r="EN1667"/>
      <c r="EO1667"/>
      <c r="EP1667"/>
      <c r="EQ1667"/>
      <c r="ER1667"/>
      <c r="ES1667"/>
    </row>
    <row r="1668" spans="1:149">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c r="EL1668"/>
      <c r="EM1668"/>
      <c r="EN1668"/>
      <c r="EO1668"/>
      <c r="EP1668"/>
      <c r="EQ1668"/>
      <c r="ER1668"/>
      <c r="ES1668"/>
    </row>
    <row r="1669" spans="1:149">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c r="EL1669"/>
      <c r="EM1669"/>
      <c r="EN1669"/>
      <c r="EO1669"/>
      <c r="EP1669"/>
      <c r="EQ1669"/>
      <c r="ER1669"/>
      <c r="ES1669"/>
    </row>
    <row r="1670" spans="1:149">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c r="EL1670"/>
      <c r="EM1670"/>
      <c r="EN1670"/>
      <c r="EO1670"/>
      <c r="EP1670"/>
      <c r="EQ1670"/>
      <c r="ER1670"/>
      <c r="ES1670"/>
    </row>
    <row r="1671" spans="1:149">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c r="EL1671"/>
      <c r="EM1671"/>
      <c r="EN1671"/>
      <c r="EO1671"/>
      <c r="EP1671"/>
      <c r="EQ1671"/>
      <c r="ER1671"/>
      <c r="ES1671"/>
    </row>
    <row r="1672" spans="1:149">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c r="EL1672"/>
      <c r="EM1672"/>
      <c r="EN1672"/>
      <c r="EO1672"/>
      <c r="EP1672"/>
      <c r="EQ1672"/>
      <c r="ER1672"/>
      <c r="ES1672"/>
    </row>
    <row r="1673" spans="1:149">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c r="EL1673"/>
      <c r="EM1673"/>
      <c r="EN1673"/>
      <c r="EO1673"/>
      <c r="EP1673"/>
      <c r="EQ1673"/>
      <c r="ER1673"/>
      <c r="ES1673"/>
    </row>
    <row r="1674" spans="1:149">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c r="EL1674"/>
      <c r="EM1674"/>
      <c r="EN1674"/>
      <c r="EO1674"/>
      <c r="EP1674"/>
      <c r="EQ1674"/>
      <c r="ER1674"/>
      <c r="ES1674"/>
    </row>
    <row r="1675" spans="1:149">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c r="EL1675"/>
      <c r="EM1675"/>
      <c r="EN1675"/>
      <c r="EO1675"/>
      <c r="EP1675"/>
      <c r="EQ1675"/>
      <c r="ER1675"/>
      <c r="ES1675"/>
    </row>
    <row r="1676" spans="1:149">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c r="EL1676"/>
      <c r="EM1676"/>
      <c r="EN1676"/>
      <c r="EO1676"/>
      <c r="EP1676"/>
      <c r="EQ1676"/>
      <c r="ER1676"/>
      <c r="ES1676"/>
    </row>
    <row r="1677" spans="1:149">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c r="EL1677"/>
      <c r="EM1677"/>
      <c r="EN1677"/>
      <c r="EO1677"/>
      <c r="EP1677"/>
      <c r="EQ1677"/>
      <c r="ER1677"/>
      <c r="ES1677"/>
    </row>
    <row r="1678" spans="1:149">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c r="EL1678"/>
      <c r="EM1678"/>
      <c r="EN1678"/>
      <c r="EO1678"/>
      <c r="EP1678"/>
      <c r="EQ1678"/>
      <c r="ER1678"/>
      <c r="ES1678"/>
    </row>
    <row r="1679" spans="1:149">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c r="EL1679"/>
      <c r="EM1679"/>
      <c r="EN1679"/>
      <c r="EO1679"/>
      <c r="EP1679"/>
      <c r="EQ1679"/>
      <c r="ER1679"/>
      <c r="ES1679"/>
    </row>
    <row r="1680" spans="1:149">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c r="EL1680"/>
      <c r="EM1680"/>
      <c r="EN1680"/>
      <c r="EO1680"/>
      <c r="EP1680"/>
      <c r="EQ1680"/>
      <c r="ER1680"/>
      <c r="ES1680"/>
    </row>
    <row r="1681" spans="1:149">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c r="EL1681"/>
      <c r="EM1681"/>
      <c r="EN1681"/>
      <c r="EO1681"/>
      <c r="EP1681"/>
      <c r="EQ1681"/>
      <c r="ER1681"/>
      <c r="ES1681"/>
    </row>
    <row r="1682" spans="1:149">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c r="EL1682"/>
      <c r="EM1682"/>
      <c r="EN1682"/>
      <c r="EO1682"/>
      <c r="EP1682"/>
      <c r="EQ1682"/>
      <c r="ER1682"/>
      <c r="ES1682"/>
    </row>
    <row r="1683" spans="1:149">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c r="EL1683"/>
      <c r="EM1683"/>
      <c r="EN1683"/>
      <c r="EO1683"/>
      <c r="EP1683"/>
      <c r="EQ1683"/>
      <c r="ER1683"/>
      <c r="ES1683"/>
    </row>
    <row r="1684" spans="1:149">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c r="EL1684"/>
      <c r="EM1684"/>
      <c r="EN1684"/>
      <c r="EO1684"/>
      <c r="EP1684"/>
      <c r="EQ1684"/>
      <c r="ER1684"/>
      <c r="ES1684"/>
    </row>
    <row r="1685" spans="1:149">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c r="EL1685"/>
      <c r="EM1685"/>
      <c r="EN1685"/>
      <c r="EO1685"/>
      <c r="EP1685"/>
      <c r="EQ1685"/>
      <c r="ER1685"/>
      <c r="ES1685"/>
    </row>
    <row r="1686" spans="1:149">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c r="EL1686"/>
      <c r="EM1686"/>
      <c r="EN1686"/>
      <c r="EO1686"/>
      <c r="EP1686"/>
      <c r="EQ1686"/>
      <c r="ER1686"/>
      <c r="ES1686"/>
    </row>
    <row r="1687" spans="1:149">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c r="EL1687"/>
      <c r="EM1687"/>
      <c r="EN1687"/>
      <c r="EO1687"/>
      <c r="EP1687"/>
      <c r="EQ1687"/>
      <c r="ER1687"/>
      <c r="ES1687"/>
    </row>
    <row r="1688" spans="1:149">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c r="EL1688"/>
      <c r="EM1688"/>
      <c r="EN1688"/>
      <c r="EO1688"/>
      <c r="EP1688"/>
      <c r="EQ1688"/>
      <c r="ER1688"/>
      <c r="ES1688"/>
    </row>
    <row r="1689" spans="1:149">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c r="EL1689"/>
      <c r="EM1689"/>
      <c r="EN1689"/>
      <c r="EO1689"/>
      <c r="EP1689"/>
      <c r="EQ1689"/>
      <c r="ER1689"/>
      <c r="ES1689"/>
    </row>
    <row r="1690" spans="1:149">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c r="EL1690"/>
      <c r="EM1690"/>
      <c r="EN1690"/>
      <c r="EO1690"/>
      <c r="EP1690"/>
      <c r="EQ1690"/>
      <c r="ER1690"/>
      <c r="ES1690"/>
    </row>
    <row r="1691" spans="1:149">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c r="EL1691"/>
      <c r="EM1691"/>
      <c r="EN1691"/>
      <c r="EO1691"/>
      <c r="EP1691"/>
      <c r="EQ1691"/>
      <c r="ER1691"/>
      <c r="ES1691"/>
    </row>
    <row r="1692" spans="1:149">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c r="EL1692"/>
      <c r="EM1692"/>
      <c r="EN1692"/>
      <c r="EO1692"/>
      <c r="EP1692"/>
      <c r="EQ1692"/>
      <c r="ER1692"/>
      <c r="ES1692"/>
    </row>
    <row r="1693" spans="1:149">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c r="EL1693"/>
      <c r="EM1693"/>
      <c r="EN1693"/>
      <c r="EO1693"/>
      <c r="EP1693"/>
      <c r="EQ1693"/>
      <c r="ER1693"/>
      <c r="ES1693"/>
    </row>
    <row r="1694" spans="1:149">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c r="EL1694"/>
      <c r="EM1694"/>
      <c r="EN1694"/>
      <c r="EO1694"/>
      <c r="EP1694"/>
      <c r="EQ1694"/>
      <c r="ER1694"/>
      <c r="ES1694"/>
    </row>
    <row r="1695" spans="1:149">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c r="EL1695"/>
      <c r="EM1695"/>
      <c r="EN1695"/>
      <c r="EO1695"/>
      <c r="EP1695"/>
      <c r="EQ1695"/>
      <c r="ER1695"/>
      <c r="ES1695"/>
    </row>
    <row r="1696" spans="1:149">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c r="EL1696"/>
      <c r="EM1696"/>
      <c r="EN1696"/>
      <c r="EO1696"/>
      <c r="EP1696"/>
      <c r="EQ1696"/>
      <c r="ER1696"/>
      <c r="ES1696"/>
    </row>
    <row r="1697" spans="1:149">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c r="EL1697"/>
      <c r="EM1697"/>
      <c r="EN1697"/>
      <c r="EO1697"/>
      <c r="EP1697"/>
      <c r="EQ1697"/>
      <c r="ER1697"/>
      <c r="ES1697"/>
    </row>
    <row r="1698" spans="1:149">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c r="EL1698"/>
      <c r="EM1698"/>
      <c r="EN1698"/>
      <c r="EO1698"/>
      <c r="EP1698"/>
      <c r="EQ1698"/>
      <c r="ER1698"/>
      <c r="ES1698"/>
    </row>
    <row r="1699" spans="1:149">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c r="EL1699"/>
      <c r="EM1699"/>
      <c r="EN1699"/>
      <c r="EO1699"/>
      <c r="EP1699"/>
      <c r="EQ1699"/>
      <c r="ER1699"/>
      <c r="ES1699"/>
    </row>
    <row r="1700" spans="1:149">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c r="EL1700"/>
      <c r="EM1700"/>
      <c r="EN1700"/>
      <c r="EO1700"/>
      <c r="EP1700"/>
      <c r="EQ1700"/>
      <c r="ER1700"/>
      <c r="ES1700"/>
    </row>
    <row r="1701" spans="1:149">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c r="EL1701"/>
      <c r="EM1701"/>
      <c r="EN1701"/>
      <c r="EO1701"/>
      <c r="EP1701"/>
      <c r="EQ1701"/>
      <c r="ER1701"/>
      <c r="ES1701"/>
    </row>
    <row r="1702" spans="1:149">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c r="EL1702"/>
      <c r="EM1702"/>
      <c r="EN1702"/>
      <c r="EO1702"/>
      <c r="EP1702"/>
      <c r="EQ1702"/>
      <c r="ER1702"/>
      <c r="ES1702"/>
    </row>
    <row r="1703" spans="1:149">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c r="EL1703"/>
      <c r="EM1703"/>
      <c r="EN1703"/>
      <c r="EO1703"/>
      <c r="EP1703"/>
      <c r="EQ1703"/>
      <c r="ER1703"/>
      <c r="ES1703"/>
    </row>
    <row r="1704" spans="1:149">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c r="EL1704"/>
      <c r="EM1704"/>
      <c r="EN1704"/>
      <c r="EO1704"/>
      <c r="EP1704"/>
      <c r="EQ1704"/>
      <c r="ER1704"/>
      <c r="ES1704"/>
    </row>
    <row r="1705" spans="1:149">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c r="EL1705"/>
      <c r="EM1705"/>
      <c r="EN1705"/>
      <c r="EO1705"/>
      <c r="EP1705"/>
      <c r="EQ1705"/>
      <c r="ER1705"/>
      <c r="ES1705"/>
    </row>
    <row r="1706" spans="1:149">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c r="EL1706"/>
      <c r="EM1706"/>
      <c r="EN1706"/>
      <c r="EO1706"/>
      <c r="EP1706"/>
      <c r="EQ1706"/>
      <c r="ER1706"/>
      <c r="ES1706"/>
    </row>
    <row r="1707" spans="1:149">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c r="EL1707"/>
      <c r="EM1707"/>
      <c r="EN1707"/>
      <c r="EO1707"/>
      <c r="EP1707"/>
      <c r="EQ1707"/>
      <c r="ER1707"/>
      <c r="ES1707"/>
    </row>
    <row r="1708" spans="1:149">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c r="EL1708"/>
      <c r="EM1708"/>
      <c r="EN1708"/>
      <c r="EO1708"/>
      <c r="EP1708"/>
      <c r="EQ1708"/>
      <c r="ER1708"/>
      <c r="ES1708"/>
    </row>
    <row r="1709" spans="1:149">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c r="EL1709"/>
      <c r="EM1709"/>
      <c r="EN1709"/>
      <c r="EO1709"/>
      <c r="EP1709"/>
      <c r="EQ1709"/>
      <c r="ER1709"/>
      <c r="ES1709"/>
    </row>
    <row r="1710" spans="1:149">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c r="EL1710"/>
      <c r="EM1710"/>
      <c r="EN1710"/>
      <c r="EO1710"/>
      <c r="EP1710"/>
      <c r="EQ1710"/>
      <c r="ER1710"/>
      <c r="ES1710"/>
    </row>
    <row r="1711" spans="1:149">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c r="EL1711"/>
      <c r="EM1711"/>
      <c r="EN1711"/>
      <c r="EO1711"/>
      <c r="EP1711"/>
      <c r="EQ1711"/>
      <c r="ER1711"/>
      <c r="ES1711"/>
    </row>
    <row r="1712" spans="1:149">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c r="EL1712"/>
      <c r="EM1712"/>
      <c r="EN1712"/>
      <c r="EO1712"/>
      <c r="EP1712"/>
      <c r="EQ1712"/>
      <c r="ER1712"/>
      <c r="ES1712"/>
    </row>
    <row r="1713" spans="1:149">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c r="EL1713"/>
      <c r="EM1713"/>
      <c r="EN1713"/>
      <c r="EO1713"/>
      <c r="EP1713"/>
      <c r="EQ1713"/>
      <c r="ER1713"/>
      <c r="ES1713"/>
    </row>
    <row r="1714" spans="1:149">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c r="EL1714"/>
      <c r="EM1714"/>
      <c r="EN1714"/>
      <c r="EO1714"/>
      <c r="EP1714"/>
      <c r="EQ1714"/>
      <c r="ER1714"/>
      <c r="ES1714"/>
    </row>
    <row r="1715" spans="1:149">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c r="EL1715"/>
      <c r="EM1715"/>
      <c r="EN1715"/>
      <c r="EO1715"/>
      <c r="EP1715"/>
      <c r="EQ1715"/>
      <c r="ER1715"/>
      <c r="ES1715"/>
    </row>
    <row r="1716" spans="1:149">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c r="EL1716"/>
      <c r="EM1716"/>
      <c r="EN1716"/>
      <c r="EO1716"/>
      <c r="EP1716"/>
      <c r="EQ1716"/>
      <c r="ER1716"/>
      <c r="ES1716"/>
    </row>
    <row r="1717" spans="1:149">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c r="EL1717"/>
      <c r="EM1717"/>
      <c r="EN1717"/>
      <c r="EO1717"/>
      <c r="EP1717"/>
      <c r="EQ1717"/>
      <c r="ER1717"/>
      <c r="ES1717"/>
    </row>
    <row r="1718" spans="1:149">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c r="EL1718"/>
      <c r="EM1718"/>
      <c r="EN1718"/>
      <c r="EO1718"/>
      <c r="EP1718"/>
      <c r="EQ1718"/>
      <c r="ER1718"/>
      <c r="ES1718"/>
    </row>
    <row r="1719" spans="1:149">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c r="EL1719"/>
      <c r="EM1719"/>
      <c r="EN1719"/>
      <c r="EO1719"/>
      <c r="EP1719"/>
      <c r="EQ1719"/>
      <c r="ER1719"/>
      <c r="ES1719"/>
    </row>
    <row r="1720" spans="1:149">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c r="EL1720"/>
      <c r="EM1720"/>
      <c r="EN1720"/>
      <c r="EO1720"/>
      <c r="EP1720"/>
      <c r="EQ1720"/>
      <c r="ER1720"/>
      <c r="ES1720"/>
    </row>
    <row r="1721" spans="1:149">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c r="EL1721"/>
      <c r="EM1721"/>
      <c r="EN1721"/>
      <c r="EO1721"/>
      <c r="EP1721"/>
      <c r="EQ1721"/>
      <c r="ER1721"/>
      <c r="ES1721"/>
    </row>
    <row r="1722" spans="1:149">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c r="EL1722"/>
      <c r="EM1722"/>
      <c r="EN1722"/>
      <c r="EO1722"/>
      <c r="EP1722"/>
      <c r="EQ1722"/>
      <c r="ER1722"/>
      <c r="ES1722"/>
    </row>
    <row r="1723" spans="1:149">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c r="EL1723"/>
      <c r="EM1723"/>
      <c r="EN1723"/>
      <c r="EO1723"/>
      <c r="EP1723"/>
      <c r="EQ1723"/>
      <c r="ER1723"/>
      <c r="ES1723"/>
    </row>
    <row r="1724" spans="1:149">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c r="EL1724"/>
      <c r="EM1724"/>
      <c r="EN1724"/>
      <c r="EO1724"/>
      <c r="EP1724"/>
      <c r="EQ1724"/>
      <c r="ER1724"/>
      <c r="ES1724"/>
    </row>
    <row r="1725" spans="1:149">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c r="EL1725"/>
      <c r="EM1725"/>
      <c r="EN1725"/>
      <c r="EO1725"/>
      <c r="EP1725"/>
      <c r="EQ1725"/>
      <c r="ER1725"/>
      <c r="ES1725"/>
    </row>
    <row r="1726" spans="1:149">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c r="EL1726"/>
      <c r="EM1726"/>
      <c r="EN1726"/>
      <c r="EO1726"/>
      <c r="EP1726"/>
      <c r="EQ1726"/>
      <c r="ER1726"/>
      <c r="ES1726"/>
    </row>
    <row r="1727" spans="1:149">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c r="EL1727"/>
      <c r="EM1727"/>
      <c r="EN1727"/>
      <c r="EO1727"/>
      <c r="EP1727"/>
      <c r="EQ1727"/>
      <c r="ER1727"/>
      <c r="ES1727"/>
    </row>
    <row r="1728" spans="1:149">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c r="EL1728"/>
      <c r="EM1728"/>
      <c r="EN1728"/>
      <c r="EO1728"/>
      <c r="EP1728"/>
      <c r="EQ1728"/>
      <c r="ER1728"/>
      <c r="ES1728"/>
    </row>
    <row r="1729" spans="1:149">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c r="EL1729"/>
      <c r="EM1729"/>
      <c r="EN1729"/>
      <c r="EO1729"/>
      <c r="EP1729"/>
      <c r="EQ1729"/>
      <c r="ER1729"/>
      <c r="ES1729"/>
    </row>
    <row r="1730" spans="1:149">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c r="EL1730"/>
      <c r="EM1730"/>
      <c r="EN1730"/>
      <c r="EO1730"/>
      <c r="EP1730"/>
      <c r="EQ1730"/>
      <c r="ER1730"/>
      <c r="ES1730"/>
    </row>
    <row r="1731" spans="1:149">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c r="EL1731"/>
      <c r="EM1731"/>
      <c r="EN1731"/>
      <c r="EO1731"/>
      <c r="EP1731"/>
      <c r="EQ1731"/>
      <c r="ER1731"/>
      <c r="ES1731"/>
    </row>
    <row r="1732" spans="1:149">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c r="EL1732"/>
      <c r="EM1732"/>
      <c r="EN1732"/>
      <c r="EO1732"/>
      <c r="EP1732"/>
      <c r="EQ1732"/>
      <c r="ER1732"/>
      <c r="ES1732"/>
    </row>
    <row r="1733" spans="1:149">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c r="EL1733"/>
      <c r="EM1733"/>
      <c r="EN1733"/>
      <c r="EO1733"/>
      <c r="EP1733"/>
      <c r="EQ1733"/>
      <c r="ER1733"/>
      <c r="ES1733"/>
    </row>
    <row r="1734" spans="1:149">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c r="EK1734"/>
      <c r="EL1734"/>
      <c r="EM1734"/>
      <c r="EN1734"/>
      <c r="EO1734"/>
      <c r="EP1734"/>
      <c r="EQ1734"/>
      <c r="ER1734"/>
      <c r="ES1734"/>
    </row>
    <row r="1735" spans="1:149">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c r="EK1735"/>
      <c r="EL1735"/>
      <c r="EM1735"/>
      <c r="EN1735"/>
      <c r="EO1735"/>
      <c r="EP1735"/>
      <c r="EQ1735"/>
      <c r="ER1735"/>
      <c r="ES1735"/>
    </row>
    <row r="1736" spans="1:149">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c r="EK1736"/>
      <c r="EL1736"/>
      <c r="EM1736"/>
      <c r="EN1736"/>
      <c r="EO1736"/>
      <c r="EP1736"/>
      <c r="EQ1736"/>
      <c r="ER1736"/>
      <c r="ES1736"/>
    </row>
    <row r="1737" spans="1:149">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c r="EK1737"/>
      <c r="EL1737"/>
      <c r="EM1737"/>
      <c r="EN1737"/>
      <c r="EO1737"/>
      <c r="EP1737"/>
      <c r="EQ1737"/>
      <c r="ER1737"/>
      <c r="ES1737"/>
    </row>
    <row r="1738" spans="1:149">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c r="EK1738"/>
      <c r="EL1738"/>
      <c r="EM1738"/>
      <c r="EN1738"/>
      <c r="EO1738"/>
      <c r="EP1738"/>
      <c r="EQ1738"/>
      <c r="ER1738"/>
      <c r="ES1738"/>
    </row>
    <row r="1739" spans="1:149">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c r="EK1739"/>
      <c r="EL1739"/>
      <c r="EM1739"/>
      <c r="EN1739"/>
      <c r="EO1739"/>
      <c r="EP1739"/>
      <c r="EQ1739"/>
      <c r="ER1739"/>
      <c r="ES1739"/>
    </row>
    <row r="1740" spans="1:149">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c r="EK1740"/>
      <c r="EL1740"/>
      <c r="EM1740"/>
      <c r="EN1740"/>
      <c r="EO1740"/>
      <c r="EP1740"/>
      <c r="EQ1740"/>
      <c r="ER1740"/>
      <c r="ES1740"/>
    </row>
    <row r="1741" spans="1:149">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c r="EK1741"/>
      <c r="EL1741"/>
      <c r="EM1741"/>
      <c r="EN1741"/>
      <c r="EO1741"/>
      <c r="EP1741"/>
      <c r="EQ1741"/>
      <c r="ER1741"/>
      <c r="ES1741"/>
    </row>
    <row r="1742" spans="1:149">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c r="EK1742"/>
      <c r="EL1742"/>
      <c r="EM1742"/>
      <c r="EN1742"/>
      <c r="EO1742"/>
      <c r="EP1742"/>
      <c r="EQ1742"/>
      <c r="ER1742"/>
      <c r="ES1742"/>
    </row>
    <row r="1743" spans="1:149">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c r="EK1743"/>
      <c r="EL1743"/>
      <c r="EM1743"/>
      <c r="EN1743"/>
      <c r="EO1743"/>
      <c r="EP1743"/>
      <c r="EQ1743"/>
      <c r="ER1743"/>
      <c r="ES1743"/>
    </row>
    <row r="1744" spans="1:149">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c r="EK1744"/>
      <c r="EL1744"/>
      <c r="EM1744"/>
      <c r="EN1744"/>
      <c r="EO1744"/>
      <c r="EP1744"/>
      <c r="EQ1744"/>
      <c r="ER1744"/>
      <c r="ES1744"/>
    </row>
    <row r="1745" spans="1:149">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c r="EK1745"/>
      <c r="EL1745"/>
      <c r="EM1745"/>
      <c r="EN1745"/>
      <c r="EO1745"/>
      <c r="EP1745"/>
      <c r="EQ1745"/>
      <c r="ER1745"/>
      <c r="ES1745"/>
    </row>
    <row r="1746" spans="1:149">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c r="EK1746"/>
      <c r="EL1746"/>
      <c r="EM1746"/>
      <c r="EN1746"/>
      <c r="EO1746"/>
      <c r="EP1746"/>
      <c r="EQ1746"/>
      <c r="ER1746"/>
      <c r="ES1746"/>
    </row>
    <row r="1747" spans="1:149">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c r="EK1747"/>
      <c r="EL1747"/>
      <c r="EM1747"/>
      <c r="EN1747"/>
      <c r="EO1747"/>
      <c r="EP1747"/>
      <c r="EQ1747"/>
      <c r="ER1747"/>
      <c r="ES1747"/>
    </row>
    <row r="1748" spans="1:149">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c r="EK1748"/>
      <c r="EL1748"/>
      <c r="EM1748"/>
      <c r="EN1748"/>
      <c r="EO1748"/>
      <c r="EP1748"/>
      <c r="EQ1748"/>
      <c r="ER1748"/>
      <c r="ES1748"/>
    </row>
    <row r="1749" spans="1:149">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c r="EK1749"/>
      <c r="EL1749"/>
      <c r="EM1749"/>
      <c r="EN1749"/>
      <c r="EO1749"/>
      <c r="EP1749"/>
      <c r="EQ1749"/>
      <c r="ER1749"/>
      <c r="ES1749"/>
    </row>
    <row r="1750" spans="1:149">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c r="EK1750"/>
      <c r="EL1750"/>
      <c r="EM1750"/>
      <c r="EN1750"/>
      <c r="EO1750"/>
      <c r="EP1750"/>
      <c r="EQ1750"/>
      <c r="ER1750"/>
      <c r="ES1750"/>
    </row>
    <row r="1751" spans="1:149">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c r="EK1751"/>
      <c r="EL1751"/>
      <c r="EM1751"/>
      <c r="EN1751"/>
      <c r="EO1751"/>
      <c r="EP1751"/>
      <c r="EQ1751"/>
      <c r="ER1751"/>
      <c r="ES1751"/>
    </row>
    <row r="1752" spans="1:149">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c r="EK1752"/>
      <c r="EL1752"/>
      <c r="EM1752"/>
      <c r="EN1752"/>
      <c r="EO1752"/>
      <c r="EP1752"/>
      <c r="EQ1752"/>
      <c r="ER1752"/>
      <c r="ES1752"/>
    </row>
    <row r="1753" spans="1:149">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c r="EK1753"/>
      <c r="EL1753"/>
      <c r="EM1753"/>
      <c r="EN1753"/>
      <c r="EO1753"/>
      <c r="EP1753"/>
      <c r="EQ1753"/>
      <c r="ER1753"/>
      <c r="ES1753"/>
    </row>
    <row r="1754" spans="1:149">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c r="EK1754"/>
      <c r="EL1754"/>
      <c r="EM1754"/>
      <c r="EN1754"/>
      <c r="EO1754"/>
      <c r="EP1754"/>
      <c r="EQ1754"/>
      <c r="ER1754"/>
      <c r="ES1754"/>
    </row>
    <row r="1755" spans="1:149">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c r="EK1755"/>
      <c r="EL1755"/>
      <c r="EM1755"/>
      <c r="EN1755"/>
      <c r="EO1755"/>
      <c r="EP1755"/>
      <c r="EQ1755"/>
      <c r="ER1755"/>
      <c r="ES1755"/>
    </row>
    <row r="1756" spans="1:149">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c r="EK1756"/>
      <c r="EL1756"/>
      <c r="EM1756"/>
      <c r="EN1756"/>
      <c r="EO1756"/>
      <c r="EP1756"/>
      <c r="EQ1756"/>
      <c r="ER1756"/>
      <c r="ES1756"/>
    </row>
    <row r="1757" spans="1:149">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c r="EK1757"/>
      <c r="EL1757"/>
      <c r="EM1757"/>
      <c r="EN1757"/>
      <c r="EO1757"/>
      <c r="EP1757"/>
      <c r="EQ1757"/>
      <c r="ER1757"/>
      <c r="ES1757"/>
    </row>
    <row r="1758" spans="1:149">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c r="EK1758"/>
      <c r="EL1758"/>
      <c r="EM1758"/>
      <c r="EN1758"/>
      <c r="EO1758"/>
      <c r="EP1758"/>
      <c r="EQ1758"/>
      <c r="ER1758"/>
      <c r="ES1758"/>
    </row>
    <row r="1759" spans="1:149">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c r="EK1759"/>
      <c r="EL1759"/>
      <c r="EM1759"/>
      <c r="EN1759"/>
      <c r="EO1759"/>
      <c r="EP1759"/>
      <c r="EQ1759"/>
      <c r="ER1759"/>
      <c r="ES1759"/>
    </row>
    <row r="1760" spans="1:149">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c r="EK1760"/>
      <c r="EL1760"/>
      <c r="EM1760"/>
      <c r="EN1760"/>
      <c r="EO1760"/>
      <c r="EP1760"/>
      <c r="EQ1760"/>
      <c r="ER1760"/>
      <c r="ES1760"/>
    </row>
    <row r="1761" spans="1:149">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c r="EK1761"/>
      <c r="EL1761"/>
      <c r="EM1761"/>
      <c r="EN1761"/>
      <c r="EO1761"/>
      <c r="EP1761"/>
      <c r="EQ1761"/>
      <c r="ER1761"/>
      <c r="ES1761"/>
    </row>
    <row r="1762" spans="1:149">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c r="EK1762"/>
      <c r="EL1762"/>
      <c r="EM1762"/>
      <c r="EN1762"/>
      <c r="EO1762"/>
      <c r="EP1762"/>
      <c r="EQ1762"/>
      <c r="ER1762"/>
      <c r="ES1762"/>
    </row>
    <row r="1763" spans="1:149">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c r="EK1763"/>
      <c r="EL1763"/>
      <c r="EM1763"/>
      <c r="EN1763"/>
      <c r="EO1763"/>
      <c r="EP1763"/>
      <c r="EQ1763"/>
      <c r="ER1763"/>
      <c r="ES1763"/>
    </row>
    <row r="1764" spans="1:149">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c r="EK1764"/>
      <c r="EL1764"/>
      <c r="EM1764"/>
      <c r="EN1764"/>
      <c r="EO1764"/>
      <c r="EP1764"/>
      <c r="EQ1764"/>
      <c r="ER1764"/>
      <c r="ES1764"/>
    </row>
    <row r="1765" spans="1:149">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c r="EK1765"/>
      <c r="EL1765"/>
      <c r="EM1765"/>
      <c r="EN1765"/>
      <c r="EO1765"/>
      <c r="EP1765"/>
      <c r="EQ1765"/>
      <c r="ER1765"/>
      <c r="ES1765"/>
    </row>
    <row r="1766" spans="1:149">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c r="EK1766"/>
      <c r="EL1766"/>
      <c r="EM1766"/>
      <c r="EN1766"/>
      <c r="EO1766"/>
      <c r="EP1766"/>
      <c r="EQ1766"/>
      <c r="ER1766"/>
      <c r="ES1766"/>
    </row>
    <row r="1767" spans="1:149">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c r="EK1767"/>
      <c r="EL1767"/>
      <c r="EM1767"/>
      <c r="EN1767"/>
      <c r="EO1767"/>
      <c r="EP1767"/>
      <c r="EQ1767"/>
      <c r="ER1767"/>
      <c r="ES1767"/>
    </row>
    <row r="1768" spans="1:149">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c r="EK1768"/>
      <c r="EL1768"/>
      <c r="EM1768"/>
      <c r="EN1768"/>
      <c r="EO1768"/>
      <c r="EP1768"/>
      <c r="EQ1768"/>
      <c r="ER1768"/>
      <c r="ES1768"/>
    </row>
    <row r="1769" spans="1:149">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c r="EK1769"/>
      <c r="EL1769"/>
      <c r="EM1769"/>
      <c r="EN1769"/>
      <c r="EO1769"/>
      <c r="EP1769"/>
      <c r="EQ1769"/>
      <c r="ER1769"/>
      <c r="ES1769"/>
    </row>
    <row r="1770" spans="1:149">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c r="EK1770"/>
      <c r="EL1770"/>
      <c r="EM1770"/>
      <c r="EN1770"/>
      <c r="EO1770"/>
      <c r="EP1770"/>
      <c r="EQ1770"/>
      <c r="ER1770"/>
      <c r="ES1770"/>
    </row>
    <row r="1771" spans="1:149">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c r="EK1771"/>
      <c r="EL1771"/>
      <c r="EM1771"/>
      <c r="EN1771"/>
      <c r="EO1771"/>
      <c r="EP1771"/>
      <c r="EQ1771"/>
      <c r="ER1771"/>
      <c r="ES1771"/>
    </row>
    <row r="1772" spans="1:149">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c r="EK1772"/>
      <c r="EL1772"/>
      <c r="EM1772"/>
      <c r="EN1772"/>
      <c r="EO1772"/>
      <c r="EP1772"/>
      <c r="EQ1772"/>
      <c r="ER1772"/>
      <c r="ES1772"/>
    </row>
    <row r="1773" spans="1:149">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c r="EK1773"/>
      <c r="EL1773"/>
      <c r="EM1773"/>
      <c r="EN1773"/>
      <c r="EO1773"/>
      <c r="EP1773"/>
      <c r="EQ1773"/>
      <c r="ER1773"/>
      <c r="ES1773"/>
    </row>
    <row r="1774" spans="1:149">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c r="EK1774"/>
      <c r="EL1774"/>
      <c r="EM1774"/>
      <c r="EN1774"/>
      <c r="EO1774"/>
      <c r="EP1774"/>
      <c r="EQ1774"/>
      <c r="ER1774"/>
      <c r="ES1774"/>
    </row>
    <row r="1775" spans="1:149">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c r="EK1775"/>
      <c r="EL1775"/>
      <c r="EM1775"/>
      <c r="EN1775"/>
      <c r="EO1775"/>
      <c r="EP1775"/>
      <c r="EQ1775"/>
      <c r="ER1775"/>
      <c r="ES1775"/>
    </row>
    <row r="1776" spans="1:149">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c r="EK1776"/>
      <c r="EL1776"/>
      <c r="EM1776"/>
      <c r="EN1776"/>
      <c r="EO1776"/>
      <c r="EP1776"/>
      <c r="EQ1776"/>
      <c r="ER1776"/>
      <c r="ES1776"/>
    </row>
    <row r="1777" spans="1:149">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c r="EK1777"/>
      <c r="EL1777"/>
      <c r="EM1777"/>
      <c r="EN1777"/>
      <c r="EO1777"/>
      <c r="EP1777"/>
      <c r="EQ1777"/>
      <c r="ER1777"/>
      <c r="ES1777"/>
    </row>
    <row r="1778" spans="1:149">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c r="EK1778"/>
      <c r="EL1778"/>
      <c r="EM1778"/>
      <c r="EN1778"/>
      <c r="EO1778"/>
      <c r="EP1778"/>
      <c r="EQ1778"/>
      <c r="ER1778"/>
      <c r="ES1778"/>
    </row>
    <row r="1779" spans="1:149">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c r="EK1779"/>
      <c r="EL1779"/>
      <c r="EM1779"/>
      <c r="EN1779"/>
      <c r="EO1779"/>
      <c r="EP1779"/>
      <c r="EQ1779"/>
      <c r="ER1779"/>
      <c r="ES1779"/>
    </row>
    <row r="1780" spans="1:149">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c r="EK1780"/>
      <c r="EL1780"/>
      <c r="EM1780"/>
      <c r="EN1780"/>
      <c r="EO1780"/>
      <c r="EP1780"/>
      <c r="EQ1780"/>
      <c r="ER1780"/>
      <c r="ES1780"/>
    </row>
    <row r="1781" spans="1:149">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c r="EK1781"/>
      <c r="EL1781"/>
      <c r="EM1781"/>
      <c r="EN1781"/>
      <c r="EO1781"/>
      <c r="EP1781"/>
      <c r="EQ1781"/>
      <c r="ER1781"/>
      <c r="ES1781"/>
    </row>
    <row r="1782" spans="1:149">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c r="EK1782"/>
      <c r="EL1782"/>
      <c r="EM1782"/>
      <c r="EN1782"/>
      <c r="EO1782"/>
      <c r="EP1782"/>
      <c r="EQ1782"/>
      <c r="ER1782"/>
      <c r="ES1782"/>
    </row>
    <row r="1783" spans="1:149">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c r="EK1783"/>
      <c r="EL1783"/>
      <c r="EM1783"/>
      <c r="EN1783"/>
      <c r="EO1783"/>
      <c r="EP1783"/>
      <c r="EQ1783"/>
      <c r="ER1783"/>
      <c r="ES1783"/>
    </row>
    <row r="1784" spans="1:149">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c r="EK1784"/>
      <c r="EL1784"/>
      <c r="EM1784"/>
      <c r="EN1784"/>
      <c r="EO1784"/>
      <c r="EP1784"/>
      <c r="EQ1784"/>
      <c r="ER1784"/>
      <c r="ES1784"/>
    </row>
    <row r="1785" spans="1:149">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c r="EK1785"/>
      <c r="EL1785"/>
      <c r="EM1785"/>
      <c r="EN1785"/>
      <c r="EO1785"/>
      <c r="EP1785"/>
      <c r="EQ1785"/>
      <c r="ER1785"/>
      <c r="ES1785"/>
    </row>
    <row r="1786" spans="1:149">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c r="EK1786"/>
      <c r="EL1786"/>
      <c r="EM1786"/>
      <c r="EN1786"/>
      <c r="EO1786"/>
      <c r="EP1786"/>
      <c r="EQ1786"/>
      <c r="ER1786"/>
      <c r="ES1786"/>
    </row>
    <row r="1787" spans="1:149">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c r="EK1787"/>
      <c r="EL1787"/>
      <c r="EM1787"/>
      <c r="EN1787"/>
      <c r="EO1787"/>
      <c r="EP1787"/>
      <c r="EQ1787"/>
      <c r="ER1787"/>
      <c r="ES1787"/>
    </row>
    <row r="1788" spans="1:149">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c r="EK1788"/>
      <c r="EL1788"/>
      <c r="EM1788"/>
      <c r="EN1788"/>
      <c r="EO1788"/>
      <c r="EP1788"/>
      <c r="EQ1788"/>
      <c r="ER1788"/>
      <c r="ES1788"/>
    </row>
    <row r="1789" spans="1:149">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c r="EK1789"/>
      <c r="EL1789"/>
      <c r="EM1789"/>
      <c r="EN1789"/>
      <c r="EO1789"/>
      <c r="EP1789"/>
      <c r="EQ1789"/>
      <c r="ER1789"/>
      <c r="ES1789"/>
    </row>
    <row r="1790" spans="1:149">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c r="EK1790"/>
      <c r="EL1790"/>
      <c r="EM1790"/>
      <c r="EN1790"/>
      <c r="EO1790"/>
      <c r="EP1790"/>
      <c r="EQ1790"/>
      <c r="ER1790"/>
      <c r="ES1790"/>
    </row>
    <row r="1791" spans="1:149">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c r="EK1791"/>
      <c r="EL1791"/>
      <c r="EM1791"/>
      <c r="EN1791"/>
      <c r="EO1791"/>
      <c r="EP1791"/>
      <c r="EQ1791"/>
      <c r="ER1791"/>
      <c r="ES1791"/>
    </row>
    <row r="1792" spans="1:149">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c r="EK1792"/>
      <c r="EL1792"/>
      <c r="EM1792"/>
      <c r="EN1792"/>
      <c r="EO1792"/>
      <c r="EP1792"/>
      <c r="EQ1792"/>
      <c r="ER1792"/>
      <c r="ES1792"/>
    </row>
    <row r="1793" spans="1:149">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c r="EK1793"/>
      <c r="EL1793"/>
      <c r="EM1793"/>
      <c r="EN1793"/>
      <c r="EO1793"/>
      <c r="EP1793"/>
      <c r="EQ1793"/>
      <c r="ER1793"/>
      <c r="ES1793"/>
    </row>
    <row r="1794" spans="1:149">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c r="EK1794"/>
      <c r="EL1794"/>
      <c r="EM1794"/>
      <c r="EN1794"/>
      <c r="EO1794"/>
      <c r="EP1794"/>
      <c r="EQ1794"/>
      <c r="ER1794"/>
      <c r="ES1794"/>
    </row>
    <row r="1795" spans="1:149">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c r="EK1795"/>
      <c r="EL1795"/>
      <c r="EM1795"/>
      <c r="EN1795"/>
      <c r="EO1795"/>
      <c r="EP1795"/>
      <c r="EQ1795"/>
      <c r="ER1795"/>
      <c r="ES1795"/>
    </row>
    <row r="1796" spans="1:149">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c r="EK1796"/>
      <c r="EL1796"/>
      <c r="EM1796"/>
      <c r="EN1796"/>
      <c r="EO1796"/>
      <c r="EP1796"/>
      <c r="EQ1796"/>
      <c r="ER1796"/>
      <c r="ES1796"/>
    </row>
    <row r="1797" spans="1:149">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c r="EK1797"/>
      <c r="EL1797"/>
      <c r="EM1797"/>
      <c r="EN1797"/>
      <c r="EO1797"/>
      <c r="EP1797"/>
      <c r="EQ1797"/>
      <c r="ER1797"/>
      <c r="ES1797"/>
    </row>
    <row r="1798" spans="1:149">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c r="EK1798"/>
      <c r="EL1798"/>
      <c r="EM1798"/>
      <c r="EN1798"/>
      <c r="EO1798"/>
      <c r="EP1798"/>
      <c r="EQ1798"/>
      <c r="ER1798"/>
      <c r="ES1798"/>
    </row>
    <row r="1799" spans="1:149">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c r="EK1799"/>
      <c r="EL1799"/>
      <c r="EM1799"/>
      <c r="EN1799"/>
      <c r="EO1799"/>
      <c r="EP1799"/>
      <c r="EQ1799"/>
      <c r="ER1799"/>
      <c r="ES1799"/>
    </row>
    <row r="1800" spans="1:149">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c r="EK1800"/>
      <c r="EL1800"/>
      <c r="EM1800"/>
      <c r="EN1800"/>
      <c r="EO1800"/>
      <c r="EP1800"/>
      <c r="EQ1800"/>
      <c r="ER1800"/>
      <c r="ES1800"/>
    </row>
    <row r="1801" spans="1:149">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c r="EK1801"/>
      <c r="EL1801"/>
      <c r="EM1801"/>
      <c r="EN1801"/>
      <c r="EO1801"/>
      <c r="EP1801"/>
      <c r="EQ1801"/>
      <c r="ER1801"/>
      <c r="ES1801"/>
    </row>
    <row r="1802" spans="1:149">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c r="EK1802"/>
      <c r="EL1802"/>
      <c r="EM1802"/>
      <c r="EN1802"/>
      <c r="EO1802"/>
      <c r="EP1802"/>
      <c r="EQ1802"/>
      <c r="ER1802"/>
      <c r="ES1802"/>
    </row>
    <row r="1803" spans="1:149">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c r="EK1803"/>
      <c r="EL1803"/>
      <c r="EM1803"/>
      <c r="EN1803"/>
      <c r="EO1803"/>
      <c r="EP1803"/>
      <c r="EQ1803"/>
      <c r="ER1803"/>
      <c r="ES1803"/>
    </row>
    <row r="1804" spans="1:149">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c r="EK1804"/>
      <c r="EL1804"/>
      <c r="EM1804"/>
      <c r="EN1804"/>
      <c r="EO1804"/>
      <c r="EP1804"/>
      <c r="EQ1804"/>
      <c r="ER1804"/>
      <c r="ES1804"/>
    </row>
    <row r="1805" spans="1:149">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c r="EK1805"/>
      <c r="EL1805"/>
      <c r="EM1805"/>
      <c r="EN1805"/>
      <c r="EO1805"/>
      <c r="EP1805"/>
      <c r="EQ1805"/>
      <c r="ER1805"/>
      <c r="ES1805"/>
    </row>
    <row r="1806" spans="1:149">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c r="EK1806"/>
      <c r="EL1806"/>
      <c r="EM1806"/>
      <c r="EN1806"/>
      <c r="EO1806"/>
      <c r="EP1806"/>
      <c r="EQ1806"/>
      <c r="ER1806"/>
      <c r="ES1806"/>
    </row>
    <row r="1807" spans="1:149">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c r="EK1807"/>
      <c r="EL1807"/>
      <c r="EM1807"/>
      <c r="EN1807"/>
      <c r="EO1807"/>
      <c r="EP1807"/>
      <c r="EQ1807"/>
      <c r="ER1807"/>
      <c r="ES1807"/>
    </row>
    <row r="1808" spans="1:149">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c r="EK1808"/>
      <c r="EL1808"/>
      <c r="EM1808"/>
      <c r="EN1808"/>
      <c r="EO1808"/>
      <c r="EP1808"/>
      <c r="EQ1808"/>
      <c r="ER1808"/>
      <c r="ES1808"/>
    </row>
    <row r="1809" spans="1:149">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c r="EK1809"/>
      <c r="EL1809"/>
      <c r="EM1809"/>
      <c r="EN1809"/>
      <c r="EO1809"/>
      <c r="EP1809"/>
      <c r="EQ1809"/>
      <c r="ER1809"/>
      <c r="ES1809"/>
    </row>
    <row r="1810" spans="1:149">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c r="EK1810"/>
      <c r="EL1810"/>
      <c r="EM1810"/>
      <c r="EN1810"/>
      <c r="EO1810"/>
      <c r="EP1810"/>
      <c r="EQ1810"/>
      <c r="ER1810"/>
      <c r="ES1810"/>
    </row>
    <row r="1811" spans="1:149">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c r="EK1811"/>
      <c r="EL1811"/>
      <c r="EM1811"/>
      <c r="EN1811"/>
      <c r="EO1811"/>
      <c r="EP1811"/>
      <c r="EQ1811"/>
      <c r="ER1811"/>
      <c r="ES1811"/>
    </row>
    <row r="1812" spans="1:149">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c r="EK1812"/>
      <c r="EL1812"/>
      <c r="EM1812"/>
      <c r="EN1812"/>
      <c r="EO1812"/>
      <c r="EP1812"/>
      <c r="EQ1812"/>
      <c r="ER1812"/>
      <c r="ES1812"/>
    </row>
    <row r="1813" spans="1:149">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c r="EK1813"/>
      <c r="EL1813"/>
      <c r="EM1813"/>
      <c r="EN1813"/>
      <c r="EO1813"/>
      <c r="EP1813"/>
      <c r="EQ1813"/>
      <c r="ER1813"/>
      <c r="ES1813"/>
    </row>
    <row r="1814" spans="1:149">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c r="EK1814"/>
      <c r="EL1814"/>
      <c r="EM1814"/>
      <c r="EN1814"/>
      <c r="EO1814"/>
      <c r="EP1814"/>
      <c r="EQ1814"/>
      <c r="ER1814"/>
      <c r="ES1814"/>
    </row>
    <row r="1815" spans="1:149">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c r="EK1815"/>
      <c r="EL1815"/>
      <c r="EM1815"/>
      <c r="EN1815"/>
      <c r="EO1815"/>
      <c r="EP1815"/>
      <c r="EQ1815"/>
      <c r="ER1815"/>
      <c r="ES1815"/>
    </row>
    <row r="1816" spans="1:149">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c r="EK1816"/>
      <c r="EL1816"/>
      <c r="EM1816"/>
      <c r="EN1816"/>
      <c r="EO1816"/>
      <c r="EP1816"/>
      <c r="EQ1816"/>
      <c r="ER1816"/>
      <c r="ES1816"/>
    </row>
    <row r="1817" spans="1:149">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c r="EK1817"/>
      <c r="EL1817"/>
      <c r="EM1817"/>
      <c r="EN1817"/>
      <c r="EO1817"/>
      <c r="EP1817"/>
      <c r="EQ1817"/>
      <c r="ER1817"/>
      <c r="ES1817"/>
    </row>
    <row r="1818" spans="1:149">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c r="EK1818"/>
      <c r="EL1818"/>
      <c r="EM1818"/>
      <c r="EN1818"/>
      <c r="EO1818"/>
      <c r="EP1818"/>
      <c r="EQ1818"/>
      <c r="ER1818"/>
      <c r="ES1818"/>
    </row>
    <row r="1819" spans="1:149">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c r="EK1819"/>
      <c r="EL1819"/>
      <c r="EM1819"/>
      <c r="EN1819"/>
      <c r="EO1819"/>
      <c r="EP1819"/>
      <c r="EQ1819"/>
      <c r="ER1819"/>
      <c r="ES1819"/>
    </row>
    <row r="1820" spans="1:149">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c r="EK1820"/>
      <c r="EL1820"/>
      <c r="EM1820"/>
      <c r="EN1820"/>
      <c r="EO1820"/>
      <c r="EP1820"/>
      <c r="EQ1820"/>
      <c r="ER1820"/>
      <c r="ES1820"/>
    </row>
    <row r="1821" spans="1:149">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c r="EK1821"/>
      <c r="EL1821"/>
      <c r="EM1821"/>
      <c r="EN1821"/>
      <c r="EO1821"/>
      <c r="EP1821"/>
      <c r="EQ1821"/>
      <c r="ER1821"/>
      <c r="ES1821"/>
    </row>
    <row r="1822" spans="1:149">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c r="EK1822"/>
      <c r="EL1822"/>
      <c r="EM1822"/>
      <c r="EN1822"/>
      <c r="EO1822"/>
      <c r="EP1822"/>
      <c r="EQ1822"/>
      <c r="ER1822"/>
      <c r="ES1822"/>
    </row>
    <row r="1823" spans="1:149">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c r="EK1823"/>
      <c r="EL1823"/>
      <c r="EM1823"/>
      <c r="EN1823"/>
      <c r="EO1823"/>
      <c r="EP1823"/>
      <c r="EQ1823"/>
      <c r="ER1823"/>
      <c r="ES1823"/>
    </row>
    <row r="1824" spans="1:149">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c r="EK1824"/>
      <c r="EL1824"/>
      <c r="EM1824"/>
      <c r="EN1824"/>
      <c r="EO1824"/>
      <c r="EP1824"/>
      <c r="EQ1824"/>
      <c r="ER1824"/>
      <c r="ES1824"/>
    </row>
    <row r="1825" spans="1:149">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c r="EK1825"/>
      <c r="EL1825"/>
      <c r="EM1825"/>
      <c r="EN1825"/>
      <c r="EO1825"/>
      <c r="EP1825"/>
      <c r="EQ1825"/>
      <c r="ER1825"/>
      <c r="ES1825"/>
    </row>
    <row r="1826" spans="1:149">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c r="EK1826"/>
      <c r="EL1826"/>
      <c r="EM1826"/>
      <c r="EN1826"/>
      <c r="EO1826"/>
      <c r="EP1826"/>
      <c r="EQ1826"/>
      <c r="ER1826"/>
      <c r="ES1826"/>
    </row>
    <row r="1827" spans="1:149">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c r="EK1827"/>
      <c r="EL1827"/>
      <c r="EM1827"/>
      <c r="EN1827"/>
      <c r="EO1827"/>
      <c r="EP1827"/>
      <c r="EQ1827"/>
      <c r="ER1827"/>
      <c r="ES1827"/>
    </row>
    <row r="1828" spans="1:149">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c r="EK1828"/>
      <c r="EL1828"/>
      <c r="EM1828"/>
      <c r="EN1828"/>
      <c r="EO1828"/>
      <c r="EP1828"/>
      <c r="EQ1828"/>
      <c r="ER1828"/>
      <c r="ES1828"/>
    </row>
    <row r="1829" spans="1:149">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c r="EK1829"/>
      <c r="EL1829"/>
      <c r="EM1829"/>
      <c r="EN1829"/>
      <c r="EO1829"/>
      <c r="EP1829"/>
      <c r="EQ1829"/>
      <c r="ER1829"/>
      <c r="ES1829"/>
    </row>
    <row r="1830" spans="1:149">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c r="EK1830"/>
      <c r="EL1830"/>
      <c r="EM1830"/>
      <c r="EN1830"/>
      <c r="EO1830"/>
      <c r="EP1830"/>
      <c r="EQ1830"/>
      <c r="ER1830"/>
      <c r="ES1830"/>
    </row>
    <row r="1831" spans="1:149">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c r="EK1831"/>
      <c r="EL1831"/>
      <c r="EM1831"/>
      <c r="EN1831"/>
      <c r="EO1831"/>
      <c r="EP1831"/>
      <c r="EQ1831"/>
      <c r="ER1831"/>
      <c r="ES1831"/>
    </row>
    <row r="1832" spans="1:149">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c r="EK1832"/>
      <c r="EL1832"/>
      <c r="EM1832"/>
      <c r="EN1832"/>
      <c r="EO1832"/>
      <c r="EP1832"/>
      <c r="EQ1832"/>
      <c r="ER1832"/>
      <c r="ES1832"/>
    </row>
    <row r="1833" spans="1:149">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c r="EK1833"/>
      <c r="EL1833"/>
      <c r="EM1833"/>
      <c r="EN1833"/>
      <c r="EO1833"/>
      <c r="EP1833"/>
      <c r="EQ1833"/>
      <c r="ER1833"/>
      <c r="ES1833"/>
    </row>
    <row r="1834" spans="1:149">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c r="EK1834"/>
      <c r="EL1834"/>
      <c r="EM1834"/>
      <c r="EN1834"/>
      <c r="EO1834"/>
      <c r="EP1834"/>
      <c r="EQ1834"/>
      <c r="ER1834"/>
      <c r="ES1834"/>
    </row>
    <row r="1835" spans="1:149">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c r="EK1835"/>
      <c r="EL1835"/>
      <c r="EM1835"/>
      <c r="EN1835"/>
      <c r="EO1835"/>
      <c r="EP1835"/>
      <c r="EQ1835"/>
      <c r="ER1835"/>
      <c r="ES1835"/>
    </row>
    <row r="1836" spans="1:149">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c r="EK1836"/>
      <c r="EL1836"/>
      <c r="EM1836"/>
      <c r="EN1836"/>
      <c r="EO1836"/>
      <c r="EP1836"/>
      <c r="EQ1836"/>
      <c r="ER1836"/>
      <c r="ES1836"/>
    </row>
    <row r="1837" spans="1:149">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c r="EK1837"/>
      <c r="EL1837"/>
      <c r="EM1837"/>
      <c r="EN1837"/>
      <c r="EO1837"/>
      <c r="EP1837"/>
      <c r="EQ1837"/>
      <c r="ER1837"/>
      <c r="ES1837"/>
    </row>
    <row r="1838" spans="1:149">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c r="EK1838"/>
      <c r="EL1838"/>
      <c r="EM1838"/>
      <c r="EN1838"/>
      <c r="EO1838"/>
      <c r="EP1838"/>
      <c r="EQ1838"/>
      <c r="ER1838"/>
      <c r="ES1838"/>
    </row>
    <row r="1839" spans="1:149">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c r="EK1839"/>
      <c r="EL1839"/>
      <c r="EM1839"/>
      <c r="EN1839"/>
      <c r="EO1839"/>
      <c r="EP1839"/>
      <c r="EQ1839"/>
      <c r="ER1839"/>
      <c r="ES1839"/>
    </row>
    <row r="1840" spans="1:149">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c r="EK1840"/>
      <c r="EL1840"/>
      <c r="EM1840"/>
      <c r="EN1840"/>
      <c r="EO1840"/>
      <c r="EP1840"/>
      <c r="EQ1840"/>
      <c r="ER1840"/>
      <c r="ES1840"/>
    </row>
    <row r="1841" spans="1:149">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c r="EK1841"/>
      <c r="EL1841"/>
      <c r="EM1841"/>
      <c r="EN1841"/>
      <c r="EO1841"/>
      <c r="EP1841"/>
      <c r="EQ1841"/>
      <c r="ER1841"/>
      <c r="ES1841"/>
    </row>
    <row r="1842" spans="1:149">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c r="EK1842"/>
      <c r="EL1842"/>
      <c r="EM1842"/>
      <c r="EN1842"/>
      <c r="EO1842"/>
      <c r="EP1842"/>
      <c r="EQ1842"/>
      <c r="ER1842"/>
      <c r="ES1842"/>
    </row>
    <row r="1843" spans="1:149">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c r="EK1843"/>
      <c r="EL1843"/>
      <c r="EM1843"/>
      <c r="EN1843"/>
      <c r="EO1843"/>
      <c r="EP1843"/>
      <c r="EQ1843"/>
      <c r="ER1843"/>
      <c r="ES1843"/>
    </row>
    <row r="1844" spans="1:149">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c r="EK1844"/>
      <c r="EL1844"/>
      <c r="EM1844"/>
      <c r="EN1844"/>
      <c r="EO1844"/>
      <c r="EP1844"/>
      <c r="EQ1844"/>
      <c r="ER1844"/>
      <c r="ES1844"/>
    </row>
    <row r="1845" spans="1:149">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c r="EK1845"/>
      <c r="EL1845"/>
      <c r="EM1845"/>
      <c r="EN1845"/>
      <c r="EO1845"/>
      <c r="EP1845"/>
      <c r="EQ1845"/>
      <c r="ER1845"/>
      <c r="ES1845"/>
    </row>
    <row r="1846" spans="1:149">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c r="EK1846"/>
      <c r="EL1846"/>
      <c r="EM1846"/>
      <c r="EN1846"/>
      <c r="EO1846"/>
      <c r="EP1846"/>
      <c r="EQ1846"/>
      <c r="ER1846"/>
      <c r="ES1846"/>
    </row>
    <row r="1847" spans="1:149">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c r="EK1847"/>
      <c r="EL1847"/>
      <c r="EM1847"/>
      <c r="EN1847"/>
      <c r="EO1847"/>
      <c r="EP1847"/>
      <c r="EQ1847"/>
      <c r="ER1847"/>
      <c r="ES1847"/>
    </row>
    <row r="1848" spans="1:149">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c r="EK1848"/>
      <c r="EL1848"/>
      <c r="EM1848"/>
      <c r="EN1848"/>
      <c r="EO1848"/>
      <c r="EP1848"/>
      <c r="EQ1848"/>
      <c r="ER1848"/>
      <c r="ES1848"/>
    </row>
    <row r="1849" spans="1:149">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c r="EK1849"/>
      <c r="EL1849"/>
      <c r="EM1849"/>
      <c r="EN1849"/>
      <c r="EO1849"/>
      <c r="EP1849"/>
      <c r="EQ1849"/>
      <c r="ER1849"/>
      <c r="ES1849"/>
    </row>
    <row r="1850" spans="1:149">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c r="EK1850"/>
      <c r="EL1850"/>
      <c r="EM1850"/>
      <c r="EN1850"/>
      <c r="EO1850"/>
      <c r="EP1850"/>
      <c r="EQ1850"/>
      <c r="ER1850"/>
      <c r="ES1850"/>
    </row>
    <row r="1851" spans="1:149">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c r="EK1851"/>
      <c r="EL1851"/>
      <c r="EM1851"/>
      <c r="EN1851"/>
      <c r="EO1851"/>
      <c r="EP1851"/>
      <c r="EQ1851"/>
      <c r="ER1851"/>
      <c r="ES1851"/>
    </row>
    <row r="1852" spans="1:149">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c r="EK1852"/>
      <c r="EL1852"/>
      <c r="EM1852"/>
      <c r="EN1852"/>
      <c r="EO1852"/>
      <c r="EP1852"/>
      <c r="EQ1852"/>
      <c r="ER1852"/>
      <c r="ES1852"/>
    </row>
    <row r="1853" spans="1:149">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c r="EK1853"/>
      <c r="EL1853"/>
      <c r="EM1853"/>
      <c r="EN1853"/>
      <c r="EO1853"/>
      <c r="EP1853"/>
      <c r="EQ1853"/>
      <c r="ER1853"/>
      <c r="ES1853"/>
    </row>
    <row r="1854" spans="1:149">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c r="EK1854"/>
      <c r="EL1854"/>
      <c r="EM1854"/>
      <c r="EN1854"/>
      <c r="EO1854"/>
      <c r="EP1854"/>
      <c r="EQ1854"/>
      <c r="ER1854"/>
      <c r="ES1854"/>
    </row>
    <row r="1855" spans="1:149">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c r="EK1855"/>
      <c r="EL1855"/>
      <c r="EM1855"/>
      <c r="EN1855"/>
      <c r="EO1855"/>
      <c r="EP1855"/>
      <c r="EQ1855"/>
      <c r="ER1855"/>
      <c r="ES1855"/>
    </row>
    <row r="1856" spans="1:149">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c r="EK1856"/>
      <c r="EL1856"/>
      <c r="EM1856"/>
      <c r="EN1856"/>
      <c r="EO1856"/>
      <c r="EP1856"/>
      <c r="EQ1856"/>
      <c r="ER1856"/>
      <c r="ES1856"/>
    </row>
    <row r="1857" spans="1:149">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c r="EK1857"/>
      <c r="EL1857"/>
      <c r="EM1857"/>
      <c r="EN1857"/>
      <c r="EO1857"/>
      <c r="EP1857"/>
      <c r="EQ1857"/>
      <c r="ER1857"/>
      <c r="ES1857"/>
    </row>
    <row r="1858" spans="1:149">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c r="EK1858"/>
      <c r="EL1858"/>
      <c r="EM1858"/>
      <c r="EN1858"/>
      <c r="EO1858"/>
      <c r="EP1858"/>
      <c r="EQ1858"/>
      <c r="ER1858"/>
      <c r="ES1858"/>
    </row>
    <row r="1859" spans="1:149">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c r="EK1859"/>
      <c r="EL1859"/>
      <c r="EM1859"/>
      <c r="EN1859"/>
      <c r="EO1859"/>
      <c r="EP1859"/>
      <c r="EQ1859"/>
      <c r="ER1859"/>
      <c r="ES1859"/>
    </row>
    <row r="1860" spans="1:149">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c r="EK1860"/>
      <c r="EL1860"/>
      <c r="EM1860"/>
      <c r="EN1860"/>
      <c r="EO1860"/>
      <c r="EP1860"/>
      <c r="EQ1860"/>
      <c r="ER1860"/>
      <c r="ES1860"/>
    </row>
    <row r="1861" spans="1:149">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c r="EK1861"/>
      <c r="EL1861"/>
      <c r="EM1861"/>
      <c r="EN1861"/>
      <c r="EO1861"/>
      <c r="EP1861"/>
      <c r="EQ1861"/>
      <c r="ER1861"/>
      <c r="ES1861"/>
    </row>
    <row r="1862" spans="1:149">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c r="EK1862"/>
      <c r="EL1862"/>
      <c r="EM1862"/>
      <c r="EN1862"/>
      <c r="EO1862"/>
      <c r="EP1862"/>
      <c r="EQ1862"/>
      <c r="ER1862"/>
      <c r="ES1862"/>
    </row>
    <row r="1863" spans="1:149">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c r="EK1863"/>
      <c r="EL1863"/>
      <c r="EM1863"/>
      <c r="EN1863"/>
      <c r="EO1863"/>
      <c r="EP1863"/>
      <c r="EQ1863"/>
      <c r="ER1863"/>
      <c r="ES1863"/>
    </row>
    <row r="1864" spans="1:149">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c r="EK1864"/>
      <c r="EL1864"/>
      <c r="EM1864"/>
      <c r="EN1864"/>
      <c r="EO1864"/>
      <c r="EP1864"/>
      <c r="EQ1864"/>
      <c r="ER1864"/>
      <c r="ES1864"/>
    </row>
    <row r="1865" spans="1:149">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c r="EK1865"/>
      <c r="EL1865"/>
      <c r="EM1865"/>
      <c r="EN1865"/>
      <c r="EO1865"/>
      <c r="EP1865"/>
      <c r="EQ1865"/>
      <c r="ER1865"/>
      <c r="ES1865"/>
    </row>
    <row r="1866" spans="1:149">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c r="EK1866"/>
      <c r="EL1866"/>
      <c r="EM1866"/>
      <c r="EN1866"/>
      <c r="EO1866"/>
      <c r="EP1866"/>
      <c r="EQ1866"/>
      <c r="ER1866"/>
      <c r="ES1866"/>
    </row>
    <row r="1867" spans="1:149">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c r="EK1867"/>
      <c r="EL1867"/>
      <c r="EM1867"/>
      <c r="EN1867"/>
      <c r="EO1867"/>
      <c r="EP1867"/>
      <c r="EQ1867"/>
      <c r="ER1867"/>
      <c r="ES1867"/>
    </row>
    <row r="1868" spans="1:149">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c r="EK1868"/>
      <c r="EL1868"/>
      <c r="EM1868"/>
      <c r="EN1868"/>
      <c r="EO1868"/>
      <c r="EP1868"/>
      <c r="EQ1868"/>
      <c r="ER1868"/>
      <c r="ES1868"/>
    </row>
    <row r="1869" spans="1:149">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c r="EK1869"/>
      <c r="EL1869"/>
      <c r="EM1869"/>
      <c r="EN1869"/>
      <c r="EO1869"/>
      <c r="EP1869"/>
      <c r="EQ1869"/>
      <c r="ER1869"/>
      <c r="ES1869"/>
    </row>
    <row r="1870" spans="1:149">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c r="EK1870"/>
      <c r="EL1870"/>
      <c r="EM1870"/>
      <c r="EN1870"/>
      <c r="EO1870"/>
      <c r="EP1870"/>
      <c r="EQ1870"/>
      <c r="ER1870"/>
      <c r="ES1870"/>
    </row>
    <row r="1871" spans="1:149">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c r="EK1871"/>
      <c r="EL1871"/>
      <c r="EM1871"/>
      <c r="EN1871"/>
      <c r="EO1871"/>
      <c r="EP1871"/>
      <c r="EQ1871"/>
      <c r="ER1871"/>
      <c r="ES1871"/>
    </row>
    <row r="1872" spans="1:149">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c r="EK1872"/>
      <c r="EL1872"/>
      <c r="EM1872"/>
      <c r="EN1872"/>
      <c r="EO1872"/>
      <c r="EP1872"/>
      <c r="EQ1872"/>
      <c r="ER1872"/>
      <c r="ES1872"/>
    </row>
    <row r="1873" spans="1:149">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c r="EK1873"/>
      <c r="EL1873"/>
      <c r="EM1873"/>
      <c r="EN1873"/>
      <c r="EO1873"/>
      <c r="EP1873"/>
      <c r="EQ1873"/>
      <c r="ER1873"/>
      <c r="ES1873"/>
    </row>
    <row r="1874" spans="1:149">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c r="EK1874"/>
      <c r="EL1874"/>
      <c r="EM1874"/>
      <c r="EN1874"/>
      <c r="EO1874"/>
      <c r="EP1874"/>
      <c r="EQ1874"/>
      <c r="ER1874"/>
      <c r="ES1874"/>
    </row>
    <row r="1875" spans="1:149">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c r="EK1875"/>
      <c r="EL1875"/>
      <c r="EM1875"/>
      <c r="EN1875"/>
      <c r="EO1875"/>
      <c r="EP1875"/>
      <c r="EQ1875"/>
      <c r="ER1875"/>
      <c r="ES1875"/>
    </row>
    <row r="1876" spans="1:149">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c r="EK1876"/>
      <c r="EL1876"/>
      <c r="EM1876"/>
      <c r="EN1876"/>
      <c r="EO1876"/>
      <c r="EP1876"/>
      <c r="EQ1876"/>
      <c r="ER1876"/>
      <c r="ES1876"/>
    </row>
    <row r="1877" spans="1:149">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c r="EK1877"/>
      <c r="EL1877"/>
      <c r="EM1877"/>
      <c r="EN1877"/>
      <c r="EO1877"/>
      <c r="EP1877"/>
      <c r="EQ1877"/>
      <c r="ER1877"/>
      <c r="ES1877"/>
    </row>
    <row r="1878" spans="1:149">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c r="EK1878"/>
      <c r="EL1878"/>
      <c r="EM1878"/>
      <c r="EN1878"/>
      <c r="EO1878"/>
      <c r="EP1878"/>
      <c r="EQ1878"/>
      <c r="ER1878"/>
      <c r="ES1878"/>
    </row>
    <row r="1879" spans="1:149">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c r="EK1879"/>
      <c r="EL1879"/>
      <c r="EM1879"/>
      <c r="EN1879"/>
      <c r="EO1879"/>
      <c r="EP1879"/>
      <c r="EQ1879"/>
      <c r="ER1879"/>
      <c r="ES1879"/>
    </row>
    <row r="1880" spans="1:149">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c r="EK1880"/>
      <c r="EL1880"/>
      <c r="EM1880"/>
      <c r="EN1880"/>
      <c r="EO1880"/>
      <c r="EP1880"/>
      <c r="EQ1880"/>
      <c r="ER1880"/>
      <c r="ES1880"/>
    </row>
    <row r="1881" spans="1:149">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c r="EK1881"/>
      <c r="EL1881"/>
      <c r="EM1881"/>
      <c r="EN1881"/>
      <c r="EO1881"/>
      <c r="EP1881"/>
      <c r="EQ1881"/>
      <c r="ER1881"/>
      <c r="ES1881"/>
    </row>
    <row r="1882" spans="1:149">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c r="EK1882"/>
      <c r="EL1882"/>
      <c r="EM1882"/>
      <c r="EN1882"/>
      <c r="EO1882"/>
      <c r="EP1882"/>
      <c r="EQ1882"/>
      <c r="ER1882"/>
      <c r="ES1882"/>
    </row>
    <row r="1883" spans="1:149">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c r="EK1883"/>
      <c r="EL1883"/>
      <c r="EM1883"/>
      <c r="EN1883"/>
      <c r="EO1883"/>
      <c r="EP1883"/>
      <c r="EQ1883"/>
      <c r="ER1883"/>
      <c r="ES1883"/>
    </row>
    <row r="1884" spans="1:149">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c r="EK1884"/>
      <c r="EL1884"/>
      <c r="EM1884"/>
      <c r="EN1884"/>
      <c r="EO1884"/>
      <c r="EP1884"/>
      <c r="EQ1884"/>
      <c r="ER1884"/>
      <c r="ES1884"/>
    </row>
    <row r="1885" spans="1:149">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c r="EK1885"/>
      <c r="EL1885"/>
      <c r="EM1885"/>
      <c r="EN1885"/>
      <c r="EO1885"/>
      <c r="EP1885"/>
      <c r="EQ1885"/>
      <c r="ER1885"/>
      <c r="ES1885"/>
    </row>
    <row r="1886" spans="1:149">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c r="EK1886"/>
      <c r="EL1886"/>
      <c r="EM1886"/>
      <c r="EN1886"/>
      <c r="EO1886"/>
      <c r="EP1886"/>
      <c r="EQ1886"/>
      <c r="ER1886"/>
      <c r="ES1886"/>
    </row>
    <row r="1887" spans="1:149">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c r="EK1887"/>
      <c r="EL1887"/>
      <c r="EM1887"/>
      <c r="EN1887"/>
      <c r="EO1887"/>
      <c r="EP1887"/>
      <c r="EQ1887"/>
      <c r="ER1887"/>
      <c r="ES1887"/>
    </row>
    <row r="1888" spans="1:149">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c r="EK1888"/>
      <c r="EL1888"/>
      <c r="EM1888"/>
      <c r="EN1888"/>
      <c r="EO1888"/>
      <c r="EP1888"/>
      <c r="EQ1888"/>
      <c r="ER1888"/>
      <c r="ES1888"/>
    </row>
    <row r="1889" spans="1:149">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c r="EK1889"/>
      <c r="EL1889"/>
      <c r="EM1889"/>
      <c r="EN1889"/>
      <c r="EO1889"/>
      <c r="EP1889"/>
      <c r="EQ1889"/>
      <c r="ER1889"/>
      <c r="ES1889"/>
    </row>
    <row r="1890" spans="1:149">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c r="EK1890"/>
      <c r="EL1890"/>
      <c r="EM1890"/>
      <c r="EN1890"/>
      <c r="EO1890"/>
      <c r="EP1890"/>
      <c r="EQ1890"/>
      <c r="ER1890"/>
      <c r="ES1890"/>
    </row>
    <row r="1891" spans="1:149">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c r="EK1891"/>
      <c r="EL1891"/>
      <c r="EM1891"/>
      <c r="EN1891"/>
      <c r="EO1891"/>
      <c r="EP1891"/>
      <c r="EQ1891"/>
      <c r="ER1891"/>
      <c r="ES1891"/>
    </row>
    <row r="1892" spans="1:149">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c r="EK1892"/>
      <c r="EL1892"/>
      <c r="EM1892"/>
      <c r="EN1892"/>
      <c r="EO1892"/>
      <c r="EP1892"/>
      <c r="EQ1892"/>
      <c r="ER1892"/>
      <c r="ES1892"/>
    </row>
    <row r="1893" spans="1:149">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c r="EK1893"/>
      <c r="EL1893"/>
      <c r="EM1893"/>
      <c r="EN1893"/>
      <c r="EO1893"/>
      <c r="EP1893"/>
      <c r="EQ1893"/>
      <c r="ER1893"/>
      <c r="ES1893"/>
    </row>
    <row r="1894" spans="1:149">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c r="EK1894"/>
      <c r="EL1894"/>
      <c r="EM1894"/>
      <c r="EN1894"/>
      <c r="EO1894"/>
      <c r="EP1894"/>
      <c r="EQ1894"/>
      <c r="ER1894"/>
      <c r="ES1894"/>
    </row>
    <row r="1895" spans="1:149">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c r="EK1895"/>
      <c r="EL1895"/>
      <c r="EM1895"/>
      <c r="EN1895"/>
      <c r="EO1895"/>
      <c r="EP1895"/>
      <c r="EQ1895"/>
      <c r="ER1895"/>
      <c r="ES1895"/>
    </row>
    <row r="1896" spans="1:149">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c r="EK1896"/>
      <c r="EL1896"/>
      <c r="EM1896"/>
      <c r="EN1896"/>
      <c r="EO1896"/>
      <c r="EP1896"/>
      <c r="EQ1896"/>
      <c r="ER1896"/>
      <c r="ES1896"/>
    </row>
    <row r="1897" spans="1:149">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c r="EK1897"/>
      <c r="EL1897"/>
      <c r="EM1897"/>
      <c r="EN1897"/>
      <c r="EO1897"/>
      <c r="EP1897"/>
      <c r="EQ1897"/>
      <c r="ER1897"/>
      <c r="ES1897"/>
    </row>
    <row r="1898" spans="1:149">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c r="EK1898"/>
      <c r="EL1898"/>
      <c r="EM1898"/>
      <c r="EN1898"/>
      <c r="EO1898"/>
      <c r="EP1898"/>
      <c r="EQ1898"/>
      <c r="ER1898"/>
      <c r="ES1898"/>
    </row>
    <row r="1899" spans="1:149">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c r="EK1899"/>
      <c r="EL1899"/>
      <c r="EM1899"/>
      <c r="EN1899"/>
      <c r="EO1899"/>
      <c r="EP1899"/>
      <c r="EQ1899"/>
      <c r="ER1899"/>
      <c r="ES1899"/>
    </row>
    <row r="1900" spans="1:149">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c r="EK1900"/>
      <c r="EL1900"/>
      <c r="EM1900"/>
      <c r="EN1900"/>
      <c r="EO1900"/>
      <c r="EP1900"/>
      <c r="EQ1900"/>
      <c r="ER1900"/>
      <c r="ES1900"/>
    </row>
    <row r="1901" spans="1:149">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c r="EK1901"/>
      <c r="EL1901"/>
      <c r="EM1901"/>
      <c r="EN1901"/>
      <c r="EO1901"/>
      <c r="EP1901"/>
      <c r="EQ1901"/>
      <c r="ER1901"/>
      <c r="ES1901"/>
    </row>
    <row r="1902" spans="1:149">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c r="EK1902"/>
      <c r="EL1902"/>
      <c r="EM1902"/>
      <c r="EN1902"/>
      <c r="EO1902"/>
      <c r="EP1902"/>
      <c r="EQ1902"/>
      <c r="ER1902"/>
      <c r="ES1902"/>
    </row>
    <row r="1903" spans="1:149">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c r="EK1903"/>
      <c r="EL1903"/>
      <c r="EM1903"/>
      <c r="EN1903"/>
      <c r="EO1903"/>
      <c r="EP1903"/>
      <c r="EQ1903"/>
      <c r="ER1903"/>
      <c r="ES1903"/>
    </row>
    <row r="1904" spans="1:149">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c r="EK1904"/>
      <c r="EL1904"/>
      <c r="EM1904"/>
      <c r="EN1904"/>
      <c r="EO1904"/>
      <c r="EP1904"/>
      <c r="EQ1904"/>
      <c r="ER1904"/>
      <c r="ES1904"/>
    </row>
    <row r="1905" spans="1:149">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c r="EK1905"/>
      <c r="EL1905"/>
      <c r="EM1905"/>
      <c r="EN1905"/>
      <c r="EO1905"/>
      <c r="EP1905"/>
      <c r="EQ1905"/>
      <c r="ER1905"/>
      <c r="ES1905"/>
    </row>
    <row r="1906" spans="1:149">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c r="EK1906"/>
      <c r="EL1906"/>
      <c r="EM1906"/>
      <c r="EN1906"/>
      <c r="EO1906"/>
      <c r="EP1906"/>
      <c r="EQ1906"/>
      <c r="ER1906"/>
      <c r="ES1906"/>
    </row>
    <row r="1907" spans="1:149">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c r="EK1907"/>
      <c r="EL1907"/>
      <c r="EM1907"/>
      <c r="EN1907"/>
      <c r="EO1907"/>
      <c r="EP1907"/>
      <c r="EQ1907"/>
      <c r="ER1907"/>
      <c r="ES1907"/>
    </row>
    <row r="1908" spans="1:149">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c r="EK1908"/>
      <c r="EL1908"/>
      <c r="EM1908"/>
      <c r="EN1908"/>
      <c r="EO1908"/>
      <c r="EP1908"/>
      <c r="EQ1908"/>
      <c r="ER1908"/>
      <c r="ES1908"/>
    </row>
    <row r="1909" spans="1:149">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c r="EK1909"/>
      <c r="EL1909"/>
      <c r="EM1909"/>
      <c r="EN1909"/>
      <c r="EO1909"/>
      <c r="EP1909"/>
      <c r="EQ1909"/>
      <c r="ER1909"/>
      <c r="ES1909"/>
    </row>
    <row r="1910" spans="1:149">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c r="EK1910"/>
      <c r="EL1910"/>
      <c r="EM1910"/>
      <c r="EN1910"/>
      <c r="EO1910"/>
      <c r="EP1910"/>
      <c r="EQ1910"/>
      <c r="ER1910"/>
      <c r="ES1910"/>
    </row>
    <row r="1911" spans="1:149">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c r="EK1911"/>
      <c r="EL1911"/>
      <c r="EM1911"/>
      <c r="EN1911"/>
      <c r="EO1911"/>
      <c r="EP1911"/>
      <c r="EQ1911"/>
      <c r="ER1911"/>
      <c r="ES1911"/>
    </row>
    <row r="1912" spans="1:149">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c r="EK1912"/>
      <c r="EL1912"/>
      <c r="EM1912"/>
      <c r="EN1912"/>
      <c r="EO1912"/>
      <c r="EP1912"/>
      <c r="EQ1912"/>
      <c r="ER1912"/>
      <c r="ES1912"/>
    </row>
    <row r="1913" spans="1:149">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c r="EK1913"/>
      <c r="EL1913"/>
      <c r="EM1913"/>
      <c r="EN1913"/>
      <c r="EO1913"/>
      <c r="EP1913"/>
      <c r="EQ1913"/>
      <c r="ER1913"/>
      <c r="ES1913"/>
    </row>
    <row r="1914" spans="1:149">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c r="EK1914"/>
      <c r="EL1914"/>
      <c r="EM1914"/>
      <c r="EN1914"/>
      <c r="EO1914"/>
      <c r="EP1914"/>
      <c r="EQ1914"/>
      <c r="ER1914"/>
      <c r="ES1914"/>
    </row>
    <row r="1915" spans="1:149">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c r="EK1915"/>
      <c r="EL1915"/>
      <c r="EM1915"/>
      <c r="EN1915"/>
      <c r="EO1915"/>
      <c r="EP1915"/>
      <c r="EQ1915"/>
      <c r="ER1915"/>
      <c r="ES1915"/>
    </row>
    <row r="1916" spans="1:149">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c r="EK1916"/>
      <c r="EL1916"/>
      <c r="EM1916"/>
      <c r="EN1916"/>
      <c r="EO1916"/>
      <c r="EP1916"/>
      <c r="EQ1916"/>
      <c r="ER1916"/>
      <c r="ES1916"/>
    </row>
    <row r="1917" spans="1:149">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c r="EK1917"/>
      <c r="EL1917"/>
      <c r="EM1917"/>
      <c r="EN1917"/>
      <c r="EO1917"/>
      <c r="EP1917"/>
      <c r="EQ1917"/>
      <c r="ER1917"/>
      <c r="ES1917"/>
    </row>
    <row r="1918" spans="1:149">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c r="EK1918"/>
      <c r="EL1918"/>
      <c r="EM1918"/>
      <c r="EN1918"/>
      <c r="EO1918"/>
      <c r="EP1918"/>
      <c r="EQ1918"/>
      <c r="ER1918"/>
      <c r="ES1918"/>
    </row>
    <row r="1919" spans="1:149">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c r="EK1919"/>
      <c r="EL1919"/>
      <c r="EM1919"/>
      <c r="EN1919"/>
      <c r="EO1919"/>
      <c r="EP1919"/>
      <c r="EQ1919"/>
      <c r="ER1919"/>
      <c r="ES1919"/>
    </row>
    <row r="1920" spans="1:149">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c r="EK1920"/>
      <c r="EL1920"/>
      <c r="EM1920"/>
      <c r="EN1920"/>
      <c r="EO1920"/>
      <c r="EP1920"/>
      <c r="EQ1920"/>
      <c r="ER1920"/>
      <c r="ES1920"/>
    </row>
    <row r="1921" spans="1:149">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c r="EK1921"/>
      <c r="EL1921"/>
      <c r="EM1921"/>
      <c r="EN1921"/>
      <c r="EO1921"/>
      <c r="EP1921"/>
      <c r="EQ1921"/>
      <c r="ER1921"/>
      <c r="ES1921"/>
    </row>
    <row r="1922" spans="1:149">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c r="EK1922"/>
      <c r="EL1922"/>
      <c r="EM1922"/>
      <c r="EN1922"/>
      <c r="EO1922"/>
      <c r="EP1922"/>
      <c r="EQ1922"/>
      <c r="ER1922"/>
      <c r="ES1922"/>
    </row>
    <row r="1923" spans="1:149">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c r="EK1923"/>
      <c r="EL1923"/>
      <c r="EM1923"/>
      <c r="EN1923"/>
      <c r="EO1923"/>
      <c r="EP1923"/>
      <c r="EQ1923"/>
      <c r="ER1923"/>
      <c r="ES1923"/>
    </row>
    <row r="1924" spans="1:149">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c r="EK1924"/>
      <c r="EL1924"/>
      <c r="EM1924"/>
      <c r="EN1924"/>
      <c r="EO1924"/>
      <c r="EP1924"/>
      <c r="EQ1924"/>
      <c r="ER1924"/>
      <c r="ES1924"/>
    </row>
    <row r="1925" spans="1:149">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c r="EK1925"/>
      <c r="EL1925"/>
      <c r="EM1925"/>
      <c r="EN1925"/>
      <c r="EO1925"/>
      <c r="EP1925"/>
      <c r="EQ1925"/>
      <c r="ER1925"/>
      <c r="ES1925"/>
    </row>
    <row r="1926" spans="1:149">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c r="EK1926"/>
      <c r="EL1926"/>
      <c r="EM1926"/>
      <c r="EN1926"/>
      <c r="EO1926"/>
      <c r="EP1926"/>
      <c r="EQ1926"/>
      <c r="ER1926"/>
      <c r="ES1926"/>
    </row>
    <row r="1927" spans="1:149">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c r="EK1927"/>
      <c r="EL1927"/>
      <c r="EM1927"/>
      <c r="EN1927"/>
      <c r="EO1927"/>
      <c r="EP1927"/>
      <c r="EQ1927"/>
      <c r="ER1927"/>
      <c r="ES1927"/>
    </row>
    <row r="1928" spans="1:149">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c r="EK1928"/>
      <c r="EL1928"/>
      <c r="EM1928"/>
      <c r="EN1928"/>
      <c r="EO1928"/>
      <c r="EP1928"/>
      <c r="EQ1928"/>
      <c r="ER1928"/>
      <c r="ES1928"/>
    </row>
    <row r="1929" spans="1:149">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c r="EK1929"/>
      <c r="EL1929"/>
      <c r="EM1929"/>
      <c r="EN1929"/>
      <c r="EO1929"/>
      <c r="EP1929"/>
      <c r="EQ1929"/>
      <c r="ER1929"/>
      <c r="ES1929"/>
    </row>
    <row r="1930" spans="1:149">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c r="EK1930"/>
      <c r="EL1930"/>
      <c r="EM1930"/>
      <c r="EN1930"/>
      <c r="EO1930"/>
      <c r="EP1930"/>
      <c r="EQ1930"/>
      <c r="ER1930"/>
      <c r="ES1930"/>
    </row>
    <row r="1931" spans="1:149">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c r="EK1931"/>
      <c r="EL1931"/>
      <c r="EM1931"/>
      <c r="EN1931"/>
      <c r="EO1931"/>
      <c r="EP1931"/>
      <c r="EQ1931"/>
      <c r="ER1931"/>
      <c r="ES1931"/>
    </row>
    <row r="1932" spans="1:149">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c r="EK1932"/>
      <c r="EL1932"/>
      <c r="EM1932"/>
      <c r="EN1932"/>
      <c r="EO1932"/>
      <c r="EP1932"/>
      <c r="EQ1932"/>
      <c r="ER1932"/>
      <c r="ES1932"/>
    </row>
    <row r="1933" spans="1:149">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c r="EK1933"/>
      <c r="EL1933"/>
      <c r="EM1933"/>
      <c r="EN1933"/>
      <c r="EO1933"/>
      <c r="EP1933"/>
      <c r="EQ1933"/>
      <c r="ER1933"/>
      <c r="ES1933"/>
    </row>
    <row r="1934" spans="1:149">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c r="EK1934"/>
      <c r="EL1934"/>
      <c r="EM1934"/>
      <c r="EN1934"/>
      <c r="EO1934"/>
      <c r="EP1934"/>
      <c r="EQ1934"/>
      <c r="ER1934"/>
      <c r="ES1934"/>
    </row>
    <row r="1935" spans="1:149">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c r="EK1935"/>
      <c r="EL1935"/>
      <c r="EM1935"/>
      <c r="EN1935"/>
      <c r="EO1935"/>
      <c r="EP1935"/>
      <c r="EQ1935"/>
      <c r="ER1935"/>
      <c r="ES1935"/>
    </row>
    <row r="1936" spans="1:149">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c r="EK1936"/>
      <c r="EL1936"/>
      <c r="EM1936"/>
      <c r="EN1936"/>
      <c r="EO1936"/>
      <c r="EP1936"/>
      <c r="EQ1936"/>
      <c r="ER1936"/>
      <c r="ES1936"/>
    </row>
    <row r="1937" spans="1:149">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c r="EK1937"/>
      <c r="EL1937"/>
      <c r="EM1937"/>
      <c r="EN1937"/>
      <c r="EO1937"/>
      <c r="EP1937"/>
      <c r="EQ1937"/>
      <c r="ER1937"/>
      <c r="ES1937"/>
    </row>
    <row r="1938" spans="1:149">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c r="EK1938"/>
      <c r="EL1938"/>
      <c r="EM1938"/>
      <c r="EN1938"/>
      <c r="EO1938"/>
      <c r="EP1938"/>
      <c r="EQ1938"/>
      <c r="ER1938"/>
      <c r="ES1938"/>
    </row>
    <row r="1939" spans="1:149">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c r="EK1939"/>
      <c r="EL1939"/>
      <c r="EM1939"/>
      <c r="EN1939"/>
      <c r="EO1939"/>
      <c r="EP1939"/>
      <c r="EQ1939"/>
      <c r="ER1939"/>
      <c r="ES1939"/>
    </row>
    <row r="1940" spans="1:149">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c r="EK1940"/>
      <c r="EL1940"/>
      <c r="EM1940"/>
      <c r="EN1940"/>
      <c r="EO1940"/>
      <c r="EP1940"/>
      <c r="EQ1940"/>
      <c r="ER1940"/>
      <c r="ES1940"/>
    </row>
    <row r="1941" spans="1:149">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c r="EK1941"/>
      <c r="EL1941"/>
      <c r="EM1941"/>
      <c r="EN1941"/>
      <c r="EO1941"/>
      <c r="EP1941"/>
      <c r="EQ1941"/>
      <c r="ER1941"/>
      <c r="ES1941"/>
    </row>
    <row r="1942" spans="1:149">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c r="EK1942"/>
      <c r="EL1942"/>
      <c r="EM1942"/>
      <c r="EN1942"/>
      <c r="EO1942"/>
      <c r="EP1942"/>
      <c r="EQ1942"/>
      <c r="ER1942"/>
      <c r="ES1942"/>
    </row>
    <row r="1943" spans="1:149">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c r="EK1943"/>
      <c r="EL1943"/>
      <c r="EM1943"/>
      <c r="EN1943"/>
      <c r="EO1943"/>
      <c r="EP1943"/>
      <c r="EQ1943"/>
      <c r="ER1943"/>
      <c r="ES1943"/>
    </row>
    <row r="1944" spans="1:149">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c r="EK1944"/>
      <c r="EL1944"/>
      <c r="EM1944"/>
      <c r="EN1944"/>
      <c r="EO1944"/>
      <c r="EP1944"/>
      <c r="EQ1944"/>
      <c r="ER1944"/>
      <c r="ES1944"/>
    </row>
    <row r="1945" spans="1:149">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c r="EK1945"/>
      <c r="EL1945"/>
      <c r="EM1945"/>
      <c r="EN1945"/>
      <c r="EO1945"/>
      <c r="EP1945"/>
      <c r="EQ1945"/>
      <c r="ER1945"/>
      <c r="ES1945"/>
    </row>
    <row r="1946" spans="1:149">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c r="EK1946"/>
      <c r="EL1946"/>
      <c r="EM1946"/>
      <c r="EN1946"/>
      <c r="EO1946"/>
      <c r="EP1946"/>
      <c r="EQ1946"/>
      <c r="ER1946"/>
      <c r="ES1946"/>
    </row>
    <row r="1947" spans="1:149">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c r="EK1947"/>
      <c r="EL1947"/>
      <c r="EM1947"/>
      <c r="EN1947"/>
      <c r="EO1947"/>
      <c r="EP1947"/>
      <c r="EQ1947"/>
      <c r="ER1947"/>
      <c r="ES1947"/>
    </row>
    <row r="1948" spans="1:149">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c r="EK1948"/>
      <c r="EL1948"/>
      <c r="EM1948"/>
      <c r="EN1948"/>
      <c r="EO1948"/>
      <c r="EP1948"/>
      <c r="EQ1948"/>
      <c r="ER1948"/>
      <c r="ES1948"/>
    </row>
    <row r="1949" spans="1:149">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c r="EK1949"/>
      <c r="EL1949"/>
      <c r="EM1949"/>
      <c r="EN1949"/>
      <c r="EO1949"/>
      <c r="EP1949"/>
      <c r="EQ1949"/>
      <c r="ER1949"/>
      <c r="ES1949"/>
    </row>
    <row r="1950" spans="1:149">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c r="EK1950"/>
      <c r="EL1950"/>
      <c r="EM1950"/>
      <c r="EN1950"/>
      <c r="EO1950"/>
      <c r="EP1950"/>
      <c r="EQ1950"/>
      <c r="ER1950"/>
      <c r="ES1950"/>
    </row>
    <row r="1951" spans="1:149">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c r="EK1951"/>
      <c r="EL1951"/>
      <c r="EM1951"/>
      <c r="EN1951"/>
      <c r="EO1951"/>
      <c r="EP1951"/>
      <c r="EQ1951"/>
      <c r="ER1951"/>
      <c r="ES1951"/>
    </row>
    <row r="1952" spans="1:149">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c r="EK1952"/>
      <c r="EL1952"/>
      <c r="EM1952"/>
      <c r="EN1952"/>
      <c r="EO1952"/>
      <c r="EP1952"/>
      <c r="EQ1952"/>
      <c r="ER1952"/>
      <c r="ES1952"/>
    </row>
    <row r="1953" spans="1:149">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c r="EK1953"/>
      <c r="EL1953"/>
      <c r="EM1953"/>
      <c r="EN1953"/>
      <c r="EO1953"/>
      <c r="EP1953"/>
      <c r="EQ1953"/>
      <c r="ER1953"/>
      <c r="ES1953"/>
    </row>
    <row r="1954" spans="1:149">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c r="EK1954"/>
      <c r="EL1954"/>
      <c r="EM1954"/>
      <c r="EN1954"/>
      <c r="EO1954"/>
      <c r="EP1954"/>
      <c r="EQ1954"/>
      <c r="ER1954"/>
      <c r="ES1954"/>
    </row>
    <row r="1955" spans="1:149">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c r="EK1955"/>
      <c r="EL1955"/>
      <c r="EM1955"/>
      <c r="EN1955"/>
      <c r="EO1955"/>
      <c r="EP1955"/>
      <c r="EQ1955"/>
      <c r="ER1955"/>
      <c r="ES1955"/>
    </row>
    <row r="1956" spans="1:149">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c r="EK1956"/>
      <c r="EL1956"/>
      <c r="EM1956"/>
      <c r="EN1956"/>
      <c r="EO1956"/>
      <c r="EP1956"/>
      <c r="EQ1956"/>
      <c r="ER1956"/>
      <c r="ES1956"/>
    </row>
    <row r="1957" spans="1:149">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c r="EK1957"/>
      <c r="EL1957"/>
      <c r="EM1957"/>
      <c r="EN1957"/>
      <c r="EO1957"/>
      <c r="EP1957"/>
      <c r="EQ1957"/>
      <c r="ER1957"/>
      <c r="ES1957"/>
    </row>
    <row r="1958" spans="1:149">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c r="EK1958"/>
      <c r="EL1958"/>
      <c r="EM1958"/>
      <c r="EN1958"/>
      <c r="EO1958"/>
      <c r="EP1958"/>
      <c r="EQ1958"/>
      <c r="ER1958"/>
      <c r="ES1958"/>
    </row>
    <row r="1959" spans="1:149">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c r="EK1959"/>
      <c r="EL1959"/>
      <c r="EM1959"/>
      <c r="EN1959"/>
      <c r="EO1959"/>
      <c r="EP1959"/>
      <c r="EQ1959"/>
      <c r="ER1959"/>
      <c r="ES1959"/>
    </row>
    <row r="1960" spans="1:149">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c r="EK1960"/>
      <c r="EL1960"/>
      <c r="EM1960"/>
      <c r="EN1960"/>
      <c r="EO1960"/>
      <c r="EP1960"/>
      <c r="EQ1960"/>
      <c r="ER1960"/>
      <c r="ES1960"/>
    </row>
    <row r="1961" spans="1:149">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c r="EK1961"/>
      <c r="EL1961"/>
      <c r="EM1961"/>
      <c r="EN1961"/>
      <c r="EO1961"/>
      <c r="EP1961"/>
      <c r="EQ1961"/>
      <c r="ER1961"/>
      <c r="ES1961"/>
    </row>
    <row r="1962" spans="1:149">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c r="EK1962"/>
      <c r="EL1962"/>
      <c r="EM1962"/>
      <c r="EN1962"/>
      <c r="EO1962"/>
      <c r="EP1962"/>
      <c r="EQ1962"/>
      <c r="ER1962"/>
      <c r="ES1962"/>
    </row>
    <row r="1963" spans="1:149">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c r="EK1963"/>
      <c r="EL1963"/>
      <c r="EM1963"/>
      <c r="EN1963"/>
      <c r="EO1963"/>
      <c r="EP1963"/>
      <c r="EQ1963"/>
      <c r="ER1963"/>
      <c r="ES1963"/>
    </row>
    <row r="1964" spans="1:149">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c r="EK1964"/>
      <c r="EL1964"/>
      <c r="EM1964"/>
      <c r="EN1964"/>
      <c r="EO1964"/>
      <c r="EP1964"/>
      <c r="EQ1964"/>
      <c r="ER1964"/>
      <c r="ES1964"/>
    </row>
    <row r="1965" spans="1:149">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c r="EK1965"/>
      <c r="EL1965"/>
      <c r="EM1965"/>
      <c r="EN1965"/>
      <c r="EO1965"/>
      <c r="EP1965"/>
      <c r="EQ1965"/>
      <c r="ER1965"/>
      <c r="ES1965"/>
    </row>
    <row r="1966" spans="1:149">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c r="EK1966"/>
      <c r="EL1966"/>
      <c r="EM1966"/>
      <c r="EN1966"/>
      <c r="EO1966"/>
      <c r="EP1966"/>
      <c r="EQ1966"/>
      <c r="ER1966"/>
      <c r="ES1966"/>
    </row>
    <row r="1967" spans="1:149">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c r="EK1967"/>
      <c r="EL1967"/>
      <c r="EM1967"/>
      <c r="EN1967"/>
      <c r="EO1967"/>
      <c r="EP1967"/>
      <c r="EQ1967"/>
      <c r="ER1967"/>
      <c r="ES1967"/>
    </row>
    <row r="1968" spans="1:149">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c r="EK1968"/>
      <c r="EL1968"/>
      <c r="EM1968"/>
      <c r="EN1968"/>
      <c r="EO1968"/>
      <c r="EP1968"/>
      <c r="EQ1968"/>
      <c r="ER1968"/>
      <c r="ES1968"/>
    </row>
    <row r="1969" spans="1:149">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c r="EK1969"/>
      <c r="EL1969"/>
      <c r="EM1969"/>
      <c r="EN1969"/>
      <c r="EO1969"/>
      <c r="EP1969"/>
      <c r="EQ1969"/>
      <c r="ER1969"/>
      <c r="ES1969"/>
    </row>
    <row r="1970" spans="1:149">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c r="EK1970"/>
      <c r="EL1970"/>
      <c r="EM1970"/>
      <c r="EN1970"/>
      <c r="EO1970"/>
      <c r="EP1970"/>
      <c r="EQ1970"/>
      <c r="ER1970"/>
      <c r="ES1970"/>
    </row>
    <row r="1971" spans="1:149">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c r="EK1971"/>
      <c r="EL1971"/>
      <c r="EM1971"/>
      <c r="EN1971"/>
      <c r="EO1971"/>
      <c r="EP1971"/>
      <c r="EQ1971"/>
      <c r="ER1971"/>
      <c r="ES1971"/>
    </row>
    <row r="1972" spans="1:149">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c r="EK1972"/>
      <c r="EL1972"/>
      <c r="EM1972"/>
      <c r="EN1972"/>
      <c r="EO1972"/>
      <c r="EP1972"/>
      <c r="EQ1972"/>
      <c r="ER1972"/>
      <c r="ES1972"/>
    </row>
    <row r="1973" spans="1:149">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c r="EK1973"/>
      <c r="EL1973"/>
      <c r="EM1973"/>
      <c r="EN1973"/>
      <c r="EO1973"/>
      <c r="EP1973"/>
      <c r="EQ1973"/>
      <c r="ER1973"/>
      <c r="ES1973"/>
    </row>
    <row r="1974" spans="1:149">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c r="EK1974"/>
      <c r="EL1974"/>
      <c r="EM1974"/>
      <c r="EN1974"/>
      <c r="EO1974"/>
      <c r="EP1974"/>
      <c r="EQ1974"/>
      <c r="ER1974"/>
      <c r="ES1974"/>
    </row>
    <row r="1975" spans="1:149">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c r="EK1975"/>
      <c r="EL1975"/>
      <c r="EM1975"/>
      <c r="EN1975"/>
      <c r="EO1975"/>
      <c r="EP1975"/>
      <c r="EQ1975"/>
      <c r="ER1975"/>
      <c r="ES1975"/>
    </row>
    <row r="1976" spans="1:149">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c r="EK1976"/>
      <c r="EL1976"/>
      <c r="EM1976"/>
      <c r="EN1976"/>
      <c r="EO1976"/>
      <c r="EP1976"/>
      <c r="EQ1976"/>
      <c r="ER1976"/>
      <c r="ES1976"/>
    </row>
    <row r="1977" spans="1:149">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c r="EK1977"/>
      <c r="EL1977"/>
      <c r="EM1977"/>
      <c r="EN1977"/>
      <c r="EO1977"/>
      <c r="EP1977"/>
      <c r="EQ1977"/>
      <c r="ER1977"/>
      <c r="ES1977"/>
    </row>
    <row r="1978" spans="1:149">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c r="EK1978"/>
      <c r="EL1978"/>
      <c r="EM1978"/>
      <c r="EN1978"/>
      <c r="EO1978"/>
      <c r="EP1978"/>
      <c r="EQ1978"/>
      <c r="ER1978"/>
      <c r="ES1978"/>
    </row>
    <row r="1979" spans="1:149">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c r="EK1979"/>
      <c r="EL1979"/>
      <c r="EM1979"/>
      <c r="EN1979"/>
      <c r="EO1979"/>
      <c r="EP1979"/>
      <c r="EQ1979"/>
      <c r="ER1979"/>
      <c r="ES1979"/>
    </row>
    <row r="1980" spans="1:149">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c r="EK1980"/>
      <c r="EL1980"/>
      <c r="EM1980"/>
      <c r="EN1980"/>
      <c r="EO1980"/>
      <c r="EP1980"/>
      <c r="EQ1980"/>
      <c r="ER1980"/>
      <c r="ES1980"/>
    </row>
    <row r="1981" spans="1:149">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c r="EK1981"/>
      <c r="EL1981"/>
      <c r="EM1981"/>
      <c r="EN1981"/>
      <c r="EO1981"/>
      <c r="EP1981"/>
      <c r="EQ1981"/>
      <c r="ER1981"/>
      <c r="ES1981"/>
    </row>
    <row r="1982" spans="1:149">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c r="EK1982"/>
      <c r="EL1982"/>
      <c r="EM1982"/>
      <c r="EN1982"/>
      <c r="EO1982"/>
      <c r="EP1982"/>
      <c r="EQ1982"/>
      <c r="ER1982"/>
      <c r="ES1982"/>
    </row>
    <row r="1983" spans="1:149">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c r="EK1983"/>
      <c r="EL1983"/>
      <c r="EM1983"/>
      <c r="EN1983"/>
      <c r="EO1983"/>
      <c r="EP1983"/>
      <c r="EQ1983"/>
      <c r="ER1983"/>
      <c r="ES1983"/>
    </row>
    <row r="1984" spans="1:149">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c r="EK1984"/>
      <c r="EL1984"/>
      <c r="EM1984"/>
      <c r="EN1984"/>
      <c r="EO1984"/>
      <c r="EP1984"/>
      <c r="EQ1984"/>
      <c r="ER1984"/>
      <c r="ES1984"/>
    </row>
    <row r="1985" spans="1:149">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c r="EK1985"/>
      <c r="EL1985"/>
      <c r="EM1985"/>
      <c r="EN1985"/>
      <c r="EO1985"/>
      <c r="EP1985"/>
      <c r="EQ1985"/>
      <c r="ER1985"/>
      <c r="ES1985"/>
    </row>
    <row r="1986" spans="1:149">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c r="EK1986"/>
      <c r="EL1986"/>
      <c r="EM1986"/>
      <c r="EN1986"/>
      <c r="EO1986"/>
      <c r="EP1986"/>
      <c r="EQ1986"/>
      <c r="ER1986"/>
      <c r="ES1986"/>
    </row>
    <row r="1987" spans="1:149">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c r="EK1987"/>
      <c r="EL1987"/>
      <c r="EM1987"/>
      <c r="EN1987"/>
      <c r="EO1987"/>
      <c r="EP1987"/>
      <c r="EQ1987"/>
      <c r="ER1987"/>
      <c r="ES1987"/>
    </row>
    <row r="1988" spans="1:149">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c r="EK1988"/>
      <c r="EL1988"/>
      <c r="EM1988"/>
      <c r="EN1988"/>
      <c r="EO1988"/>
      <c r="EP1988"/>
      <c r="EQ1988"/>
      <c r="ER1988"/>
      <c r="ES1988"/>
    </row>
    <row r="1989" spans="1:149">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c r="EK1989"/>
      <c r="EL1989"/>
      <c r="EM1989"/>
      <c r="EN1989"/>
      <c r="EO1989"/>
      <c r="EP1989"/>
      <c r="EQ1989"/>
      <c r="ER1989"/>
      <c r="ES1989"/>
    </row>
    <row r="1990" spans="1:149">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c r="EK1990"/>
      <c r="EL1990"/>
      <c r="EM1990"/>
      <c r="EN1990"/>
      <c r="EO1990"/>
      <c r="EP1990"/>
      <c r="EQ1990"/>
      <c r="ER1990"/>
      <c r="ES1990"/>
    </row>
    <row r="1991" spans="1:149">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c r="EK1991"/>
      <c r="EL1991"/>
      <c r="EM1991"/>
      <c r="EN1991"/>
      <c r="EO1991"/>
      <c r="EP1991"/>
      <c r="EQ1991"/>
      <c r="ER1991"/>
      <c r="ES1991"/>
    </row>
    <row r="1992" spans="1:149">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c r="EK1992"/>
      <c r="EL1992"/>
      <c r="EM1992"/>
      <c r="EN1992"/>
      <c r="EO1992"/>
      <c r="EP1992"/>
      <c r="EQ1992"/>
      <c r="ER1992"/>
      <c r="ES1992"/>
    </row>
    <row r="1993" spans="1:149">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c r="EK1993"/>
      <c r="EL1993"/>
      <c r="EM1993"/>
      <c r="EN1993"/>
      <c r="EO1993"/>
      <c r="EP1993"/>
      <c r="EQ1993"/>
      <c r="ER1993"/>
      <c r="ES1993"/>
    </row>
    <row r="1994" spans="1:149">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c r="EK1994"/>
      <c r="EL1994"/>
      <c r="EM1994"/>
      <c r="EN1994"/>
      <c r="EO1994"/>
      <c r="EP1994"/>
      <c r="EQ1994"/>
      <c r="ER1994"/>
      <c r="ES1994"/>
    </row>
    <row r="1995" spans="1:149">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c r="EK1995"/>
      <c r="EL1995"/>
      <c r="EM1995"/>
      <c r="EN1995"/>
      <c r="EO1995"/>
      <c r="EP1995"/>
      <c r="EQ1995"/>
      <c r="ER1995"/>
      <c r="ES1995"/>
    </row>
    <row r="1996" spans="1:149">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c r="EK1996"/>
      <c r="EL1996"/>
      <c r="EM1996"/>
      <c r="EN1996"/>
      <c r="EO1996"/>
      <c r="EP1996"/>
      <c r="EQ1996"/>
      <c r="ER1996"/>
      <c r="ES1996"/>
    </row>
    <row r="1997" spans="1:149">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c r="EK1997"/>
      <c r="EL1997"/>
      <c r="EM1997"/>
      <c r="EN1997"/>
      <c r="EO1997"/>
      <c r="EP1997"/>
      <c r="EQ1997"/>
      <c r="ER1997"/>
      <c r="ES1997"/>
    </row>
    <row r="1998" spans="1:149">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c r="EK1998"/>
      <c r="EL1998"/>
      <c r="EM1998"/>
      <c r="EN1998"/>
      <c r="EO1998"/>
      <c r="EP1998"/>
      <c r="EQ1998"/>
      <c r="ER1998"/>
      <c r="ES1998"/>
    </row>
    <row r="1999" spans="1:149">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c r="EK1999"/>
      <c r="EL1999"/>
      <c r="EM1999"/>
      <c r="EN1999"/>
      <c r="EO1999"/>
      <c r="EP1999"/>
      <c r="EQ1999"/>
      <c r="ER1999"/>
      <c r="ES1999"/>
    </row>
    <row r="2000" spans="1:149">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c r="EK2000"/>
      <c r="EL2000"/>
      <c r="EM2000"/>
      <c r="EN2000"/>
      <c r="EO2000"/>
      <c r="EP2000"/>
      <c r="EQ2000"/>
      <c r="ER2000"/>
      <c r="ES2000"/>
    </row>
    <row r="2001" spans="1:149">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c r="EK2001"/>
      <c r="EL2001"/>
      <c r="EM2001"/>
      <c r="EN2001"/>
      <c r="EO2001"/>
      <c r="EP2001"/>
      <c r="EQ2001"/>
      <c r="ER2001"/>
      <c r="ES2001"/>
    </row>
    <row r="2002" spans="1:149">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c r="EK2002"/>
      <c r="EL2002"/>
      <c r="EM2002"/>
      <c r="EN2002"/>
      <c r="EO2002"/>
      <c r="EP2002"/>
      <c r="EQ2002"/>
      <c r="ER2002"/>
      <c r="ES2002"/>
    </row>
    <row r="2003" spans="1:149">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c r="EK2003"/>
      <c r="EL2003"/>
      <c r="EM2003"/>
      <c r="EN2003"/>
      <c r="EO2003"/>
      <c r="EP2003"/>
      <c r="EQ2003"/>
      <c r="ER2003"/>
      <c r="ES2003"/>
    </row>
    <row r="2004" spans="1:149">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c r="EK2004"/>
      <c r="EL2004"/>
      <c r="EM2004"/>
      <c r="EN2004"/>
      <c r="EO2004"/>
      <c r="EP2004"/>
      <c r="EQ2004"/>
      <c r="ER2004"/>
      <c r="ES2004"/>
    </row>
    <row r="2005" spans="1:149">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c r="EK2005"/>
      <c r="EL2005"/>
      <c r="EM2005"/>
      <c r="EN2005"/>
      <c r="EO2005"/>
      <c r="EP2005"/>
      <c r="EQ2005"/>
      <c r="ER2005"/>
      <c r="ES2005"/>
    </row>
    <row r="2006" spans="1:149">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c r="EK2006"/>
      <c r="EL2006"/>
      <c r="EM2006"/>
      <c r="EN2006"/>
      <c r="EO2006"/>
      <c r="EP2006"/>
      <c r="EQ2006"/>
      <c r="ER2006"/>
      <c r="ES2006"/>
    </row>
    <row r="2007" spans="1:149">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c r="EK2007"/>
      <c r="EL2007"/>
      <c r="EM2007"/>
      <c r="EN2007"/>
      <c r="EO2007"/>
      <c r="EP2007"/>
      <c r="EQ2007"/>
      <c r="ER2007"/>
      <c r="ES2007"/>
    </row>
    <row r="2008" spans="1:149">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c r="EK2008"/>
      <c r="EL2008"/>
      <c r="EM2008"/>
      <c r="EN2008"/>
      <c r="EO2008"/>
      <c r="EP2008"/>
      <c r="EQ2008"/>
      <c r="ER2008"/>
      <c r="ES2008"/>
    </row>
    <row r="2009" spans="1:149">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c r="EK2009"/>
      <c r="EL2009"/>
      <c r="EM2009"/>
      <c r="EN2009"/>
      <c r="EO2009"/>
      <c r="EP2009"/>
      <c r="EQ2009"/>
      <c r="ER2009"/>
      <c r="ES2009"/>
    </row>
    <row r="2010" spans="1:149">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c r="EK2010"/>
      <c r="EL2010"/>
      <c r="EM2010"/>
      <c r="EN2010"/>
      <c r="EO2010"/>
      <c r="EP2010"/>
      <c r="EQ2010"/>
      <c r="ER2010"/>
      <c r="ES2010"/>
    </row>
    <row r="2011" spans="1:149">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c r="EK2011"/>
      <c r="EL2011"/>
      <c r="EM2011"/>
      <c r="EN2011"/>
      <c r="EO2011"/>
      <c r="EP2011"/>
      <c r="EQ2011"/>
      <c r="ER2011"/>
      <c r="ES2011"/>
    </row>
    <row r="2012" spans="1:149">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c r="EK2012"/>
      <c r="EL2012"/>
      <c r="EM2012"/>
      <c r="EN2012"/>
      <c r="EO2012"/>
      <c r="EP2012"/>
      <c r="EQ2012"/>
      <c r="ER2012"/>
      <c r="ES2012"/>
    </row>
    <row r="2013" spans="1:149">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c r="EK2013"/>
      <c r="EL2013"/>
      <c r="EM2013"/>
      <c r="EN2013"/>
      <c r="EO2013"/>
      <c r="EP2013"/>
      <c r="EQ2013"/>
      <c r="ER2013"/>
      <c r="ES2013"/>
    </row>
    <row r="2014" spans="1:149">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c r="EK2014"/>
      <c r="EL2014"/>
      <c r="EM2014"/>
      <c r="EN2014"/>
      <c r="EO2014"/>
      <c r="EP2014"/>
      <c r="EQ2014"/>
      <c r="ER2014"/>
      <c r="ES2014"/>
    </row>
    <row r="2015" spans="1:149">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c r="EK2015"/>
      <c r="EL2015"/>
      <c r="EM2015"/>
      <c r="EN2015"/>
      <c r="EO2015"/>
      <c r="EP2015"/>
      <c r="EQ2015"/>
      <c r="ER2015"/>
      <c r="ES2015"/>
    </row>
    <row r="2016" spans="1:149">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c r="EK2016"/>
      <c r="EL2016"/>
      <c r="EM2016"/>
      <c r="EN2016"/>
      <c r="EO2016"/>
      <c r="EP2016"/>
      <c r="EQ2016"/>
      <c r="ER2016"/>
      <c r="ES2016"/>
    </row>
    <row r="2017" spans="1:149">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c r="EK2017"/>
      <c r="EL2017"/>
      <c r="EM2017"/>
      <c r="EN2017"/>
      <c r="EO2017"/>
      <c r="EP2017"/>
      <c r="EQ2017"/>
      <c r="ER2017"/>
      <c r="ES2017"/>
    </row>
    <row r="2018" spans="1:149">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c r="EK2018"/>
      <c r="EL2018"/>
      <c r="EM2018"/>
      <c r="EN2018"/>
      <c r="EO2018"/>
      <c r="EP2018"/>
      <c r="EQ2018"/>
      <c r="ER2018"/>
      <c r="ES2018"/>
    </row>
    <row r="2019" spans="1:149">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c r="EK2019"/>
      <c r="EL2019"/>
      <c r="EM2019"/>
      <c r="EN2019"/>
      <c r="EO2019"/>
      <c r="EP2019"/>
      <c r="EQ2019"/>
      <c r="ER2019"/>
      <c r="ES2019"/>
    </row>
    <row r="2020" spans="1:149">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c r="EK2020"/>
      <c r="EL2020"/>
      <c r="EM2020"/>
      <c r="EN2020"/>
      <c r="EO2020"/>
      <c r="EP2020"/>
      <c r="EQ2020"/>
      <c r="ER2020"/>
      <c r="ES2020"/>
    </row>
    <row r="2021" spans="1:149">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c r="EK2021"/>
      <c r="EL2021"/>
      <c r="EM2021"/>
      <c r="EN2021"/>
      <c r="EO2021"/>
      <c r="EP2021"/>
      <c r="EQ2021"/>
      <c r="ER2021"/>
      <c r="ES2021"/>
    </row>
    <row r="2022" spans="1:149">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c r="EK2022"/>
      <c r="EL2022"/>
      <c r="EM2022"/>
      <c r="EN2022"/>
      <c r="EO2022"/>
      <c r="EP2022"/>
      <c r="EQ2022"/>
      <c r="ER2022"/>
      <c r="ES2022"/>
    </row>
    <row r="2023" spans="1:149">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c r="EK2023"/>
      <c r="EL2023"/>
      <c r="EM2023"/>
      <c r="EN2023"/>
      <c r="EO2023"/>
      <c r="EP2023"/>
      <c r="EQ2023"/>
      <c r="ER2023"/>
      <c r="ES2023"/>
    </row>
    <row r="2024" spans="1:149">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c r="EK2024"/>
      <c r="EL2024"/>
      <c r="EM2024"/>
      <c r="EN2024"/>
      <c r="EO2024"/>
      <c r="EP2024"/>
      <c r="EQ2024"/>
      <c r="ER2024"/>
      <c r="ES2024"/>
    </row>
    <row r="2025" spans="1:149">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c r="EK2025"/>
      <c r="EL2025"/>
      <c r="EM2025"/>
      <c r="EN2025"/>
      <c r="EO2025"/>
      <c r="EP2025"/>
      <c r="EQ2025"/>
      <c r="ER2025"/>
      <c r="ES2025"/>
    </row>
    <row r="2026" spans="1:149">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c r="EK2026"/>
      <c r="EL2026"/>
      <c r="EM2026"/>
      <c r="EN2026"/>
      <c r="EO2026"/>
      <c r="EP2026"/>
      <c r="EQ2026"/>
      <c r="ER2026"/>
      <c r="ES2026"/>
    </row>
    <row r="2027" spans="1:149">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c r="EK2027"/>
      <c r="EL2027"/>
      <c r="EM2027"/>
      <c r="EN2027"/>
      <c r="EO2027"/>
      <c r="EP2027"/>
      <c r="EQ2027"/>
      <c r="ER2027"/>
      <c r="ES2027"/>
    </row>
    <row r="2028" spans="1:149">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c r="EK2028"/>
      <c r="EL2028"/>
      <c r="EM2028"/>
      <c r="EN2028"/>
      <c r="EO2028"/>
      <c r="EP2028"/>
      <c r="EQ2028"/>
      <c r="ER2028"/>
      <c r="ES2028"/>
    </row>
    <row r="2029" spans="1:149">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c r="EK2029"/>
      <c r="EL2029"/>
      <c r="EM2029"/>
      <c r="EN2029"/>
      <c r="EO2029"/>
      <c r="EP2029"/>
      <c r="EQ2029"/>
      <c r="ER2029"/>
      <c r="ES2029"/>
    </row>
    <row r="2030" spans="1:149">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c r="EK2030"/>
      <c r="EL2030"/>
      <c r="EM2030"/>
      <c r="EN2030"/>
      <c r="EO2030"/>
      <c r="EP2030"/>
      <c r="EQ2030"/>
      <c r="ER2030"/>
      <c r="ES2030"/>
    </row>
    <row r="2031" spans="1:149">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c r="EK2031"/>
      <c r="EL2031"/>
      <c r="EM2031"/>
      <c r="EN2031"/>
      <c r="EO2031"/>
      <c r="EP2031"/>
      <c r="EQ2031"/>
      <c r="ER2031"/>
      <c r="ES2031"/>
    </row>
    <row r="2032" spans="1:149">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c r="EK2032"/>
      <c r="EL2032"/>
      <c r="EM2032"/>
      <c r="EN2032"/>
      <c r="EO2032"/>
      <c r="EP2032"/>
      <c r="EQ2032"/>
      <c r="ER2032"/>
      <c r="ES2032"/>
    </row>
    <row r="2033" spans="1:149">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c r="EK2033"/>
      <c r="EL2033"/>
      <c r="EM2033"/>
      <c r="EN2033"/>
      <c r="EO2033"/>
      <c r="EP2033"/>
      <c r="EQ2033"/>
      <c r="ER2033"/>
      <c r="ES2033"/>
    </row>
    <row r="2034" spans="1:149">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c r="EK2034"/>
      <c r="EL2034"/>
      <c r="EM2034"/>
      <c r="EN2034"/>
      <c r="EO2034"/>
      <c r="EP2034"/>
      <c r="EQ2034"/>
      <c r="ER2034"/>
      <c r="ES2034"/>
    </row>
    <row r="2035" spans="1:149">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c r="EK2035"/>
      <c r="EL2035"/>
      <c r="EM2035"/>
      <c r="EN2035"/>
      <c r="EO2035"/>
      <c r="EP2035"/>
      <c r="EQ2035"/>
      <c r="ER2035"/>
      <c r="ES2035"/>
    </row>
    <row r="2036" spans="1:149">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c r="EK2036"/>
      <c r="EL2036"/>
      <c r="EM2036"/>
      <c r="EN2036"/>
      <c r="EO2036"/>
      <c r="EP2036"/>
      <c r="EQ2036"/>
      <c r="ER2036"/>
      <c r="ES2036"/>
    </row>
    <row r="2037" spans="1:149">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c r="EK2037"/>
      <c r="EL2037"/>
      <c r="EM2037"/>
      <c r="EN2037"/>
      <c r="EO2037"/>
      <c r="EP2037"/>
      <c r="EQ2037"/>
      <c r="ER2037"/>
      <c r="ES2037"/>
    </row>
    <row r="2038" spans="1:149">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c r="EK2038"/>
      <c r="EL2038"/>
      <c r="EM2038"/>
      <c r="EN2038"/>
      <c r="EO2038"/>
      <c r="EP2038"/>
      <c r="EQ2038"/>
      <c r="ER2038"/>
      <c r="ES2038"/>
    </row>
    <row r="2039" spans="1:149">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c r="EK2039"/>
      <c r="EL2039"/>
      <c r="EM2039"/>
      <c r="EN2039"/>
      <c r="EO2039"/>
      <c r="EP2039"/>
      <c r="EQ2039"/>
      <c r="ER2039"/>
      <c r="ES2039"/>
    </row>
    <row r="2040" spans="1:149">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c r="EK2040"/>
      <c r="EL2040"/>
      <c r="EM2040"/>
      <c r="EN2040"/>
      <c r="EO2040"/>
      <c r="EP2040"/>
      <c r="EQ2040"/>
      <c r="ER2040"/>
      <c r="ES2040"/>
    </row>
    <row r="2041" spans="1:149">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c r="EK2041"/>
      <c r="EL2041"/>
      <c r="EM2041"/>
      <c r="EN2041"/>
      <c r="EO2041"/>
      <c r="EP2041"/>
      <c r="EQ2041"/>
      <c r="ER2041"/>
      <c r="ES2041"/>
    </row>
    <row r="2042" spans="1:149">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c r="EK2042"/>
      <c r="EL2042"/>
      <c r="EM2042"/>
      <c r="EN2042"/>
      <c r="EO2042"/>
      <c r="EP2042"/>
      <c r="EQ2042"/>
      <c r="ER2042"/>
      <c r="ES2042"/>
    </row>
    <row r="2043" spans="1:149">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c r="EK2043"/>
      <c r="EL2043"/>
      <c r="EM2043"/>
      <c r="EN2043"/>
      <c r="EO2043"/>
      <c r="EP2043"/>
      <c r="EQ2043"/>
      <c r="ER2043"/>
      <c r="ES2043"/>
    </row>
    <row r="2044" spans="1:149">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c r="EK2044"/>
      <c r="EL2044"/>
      <c r="EM2044"/>
      <c r="EN2044"/>
      <c r="EO2044"/>
      <c r="EP2044"/>
      <c r="EQ2044"/>
      <c r="ER2044"/>
      <c r="ES2044"/>
    </row>
    <row r="2045" spans="1:149">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c r="EK2045"/>
      <c r="EL2045"/>
      <c r="EM2045"/>
      <c r="EN2045"/>
      <c r="EO2045"/>
      <c r="EP2045"/>
      <c r="EQ2045"/>
      <c r="ER2045"/>
      <c r="ES2045"/>
    </row>
    <row r="2046" spans="1:149">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c r="EK2046"/>
      <c r="EL2046"/>
      <c r="EM2046"/>
      <c r="EN2046"/>
      <c r="EO2046"/>
      <c r="EP2046"/>
      <c r="EQ2046"/>
      <c r="ER2046"/>
      <c r="ES2046"/>
    </row>
    <row r="2047" spans="1:149">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c r="EK2047"/>
      <c r="EL2047"/>
      <c r="EM2047"/>
      <c r="EN2047"/>
      <c r="EO2047"/>
      <c r="EP2047"/>
      <c r="EQ2047"/>
      <c r="ER2047"/>
      <c r="ES2047"/>
    </row>
    <row r="2048" spans="1:149">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c r="EK2048"/>
      <c r="EL2048"/>
      <c r="EM2048"/>
      <c r="EN2048"/>
      <c r="EO2048"/>
      <c r="EP2048"/>
      <c r="EQ2048"/>
      <c r="ER2048"/>
      <c r="ES2048"/>
    </row>
    <row r="2049" spans="1:149">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c r="EK2049"/>
      <c r="EL2049"/>
      <c r="EM2049"/>
      <c r="EN2049"/>
      <c r="EO2049"/>
      <c r="EP2049"/>
      <c r="EQ2049"/>
      <c r="ER2049"/>
      <c r="ES2049"/>
    </row>
    <row r="2050" spans="1:149">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c r="EK2050"/>
      <c r="EL2050"/>
      <c r="EM2050"/>
      <c r="EN2050"/>
      <c r="EO2050"/>
      <c r="EP2050"/>
      <c r="EQ2050"/>
      <c r="ER2050"/>
      <c r="ES2050"/>
    </row>
    <row r="2051" spans="1:149">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c r="EK2051"/>
      <c r="EL2051"/>
      <c r="EM2051"/>
      <c r="EN2051"/>
      <c r="EO2051"/>
      <c r="EP2051"/>
      <c r="EQ2051"/>
      <c r="ER2051"/>
      <c r="ES2051"/>
    </row>
    <row r="2052" spans="1:149">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c r="EK2052"/>
      <c r="EL2052"/>
      <c r="EM2052"/>
      <c r="EN2052"/>
      <c r="EO2052"/>
      <c r="EP2052"/>
      <c r="EQ2052"/>
      <c r="ER2052"/>
      <c r="ES2052"/>
    </row>
    <row r="2053" spans="1:149">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c r="EK2053"/>
      <c r="EL2053"/>
      <c r="EM2053"/>
      <c r="EN2053"/>
      <c r="EO2053"/>
      <c r="EP2053"/>
      <c r="EQ2053"/>
      <c r="ER2053"/>
      <c r="ES2053"/>
    </row>
    <row r="2054" spans="1:149">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c r="EK2054"/>
      <c r="EL2054"/>
      <c r="EM2054"/>
      <c r="EN2054"/>
      <c r="EO2054"/>
      <c r="EP2054"/>
      <c r="EQ2054"/>
      <c r="ER2054"/>
      <c r="ES2054"/>
    </row>
    <row r="2055" spans="1:149">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c r="EK2055"/>
      <c r="EL2055"/>
      <c r="EM2055"/>
      <c r="EN2055"/>
      <c r="EO2055"/>
      <c r="EP2055"/>
      <c r="EQ2055"/>
      <c r="ER2055"/>
      <c r="ES2055"/>
    </row>
    <row r="2056" spans="1:149">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c r="EK2056"/>
      <c r="EL2056"/>
      <c r="EM2056"/>
      <c r="EN2056"/>
      <c r="EO2056"/>
      <c r="EP2056"/>
      <c r="EQ2056"/>
      <c r="ER2056"/>
      <c r="ES2056"/>
    </row>
    <row r="2057" spans="1:149">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c r="EK2057"/>
      <c r="EL2057"/>
      <c r="EM2057"/>
      <c r="EN2057"/>
      <c r="EO2057"/>
      <c r="EP2057"/>
      <c r="EQ2057"/>
      <c r="ER2057"/>
      <c r="ES2057"/>
    </row>
    <row r="2058" spans="1:149">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c r="EK2058"/>
      <c r="EL2058"/>
      <c r="EM2058"/>
      <c r="EN2058"/>
      <c r="EO2058"/>
      <c r="EP2058"/>
      <c r="EQ2058"/>
      <c r="ER2058"/>
      <c r="ES2058"/>
    </row>
    <row r="2059" spans="1:149">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c r="EK2059"/>
      <c r="EL2059"/>
      <c r="EM2059"/>
      <c r="EN2059"/>
      <c r="EO2059"/>
      <c r="EP2059"/>
      <c r="EQ2059"/>
      <c r="ER2059"/>
      <c r="ES2059"/>
    </row>
    <row r="2060" spans="1:149">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c r="EK2060"/>
      <c r="EL2060"/>
      <c r="EM2060"/>
      <c r="EN2060"/>
      <c r="EO2060"/>
      <c r="EP2060"/>
      <c r="EQ2060"/>
      <c r="ER2060"/>
      <c r="ES2060"/>
    </row>
    <row r="2061" spans="1:149">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c r="EK2061"/>
      <c r="EL2061"/>
      <c r="EM2061"/>
      <c r="EN2061"/>
      <c r="EO2061"/>
      <c r="EP2061"/>
      <c r="EQ2061"/>
      <c r="ER2061"/>
      <c r="ES2061"/>
    </row>
    <row r="2062" spans="1:149">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c r="EK2062"/>
      <c r="EL2062"/>
      <c r="EM2062"/>
      <c r="EN2062"/>
      <c r="EO2062"/>
      <c r="EP2062"/>
      <c r="EQ2062"/>
      <c r="ER2062"/>
      <c r="ES2062"/>
    </row>
    <row r="2063" spans="1:149">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c r="EK2063"/>
      <c r="EL2063"/>
      <c r="EM2063"/>
      <c r="EN2063"/>
      <c r="EO2063"/>
      <c r="EP2063"/>
      <c r="EQ2063"/>
      <c r="ER2063"/>
      <c r="ES2063"/>
    </row>
    <row r="2064" spans="1:149">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c r="EK2064"/>
      <c r="EL2064"/>
      <c r="EM2064"/>
      <c r="EN2064"/>
      <c r="EO2064"/>
      <c r="EP2064"/>
      <c r="EQ2064"/>
      <c r="ER2064"/>
      <c r="ES2064"/>
    </row>
    <row r="2065" spans="1:149">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c r="EK2065"/>
      <c r="EL2065"/>
      <c r="EM2065"/>
      <c r="EN2065"/>
      <c r="EO2065"/>
      <c r="EP2065"/>
      <c r="EQ2065"/>
      <c r="ER2065"/>
      <c r="ES2065"/>
    </row>
    <row r="2066" spans="1:149">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c r="EK2066"/>
      <c r="EL2066"/>
      <c r="EM2066"/>
      <c r="EN2066"/>
      <c r="EO2066"/>
      <c r="EP2066"/>
      <c r="EQ2066"/>
      <c r="ER2066"/>
      <c r="ES2066"/>
    </row>
    <row r="2067" spans="1:149">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c r="EK2067"/>
      <c r="EL2067"/>
      <c r="EM2067"/>
      <c r="EN2067"/>
      <c r="EO2067"/>
      <c r="EP2067"/>
      <c r="EQ2067"/>
      <c r="ER2067"/>
      <c r="ES2067"/>
    </row>
    <row r="2068" spans="1:149">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c r="EK2068"/>
      <c r="EL2068"/>
      <c r="EM2068"/>
      <c r="EN2068"/>
      <c r="EO2068"/>
      <c r="EP2068"/>
      <c r="EQ2068"/>
      <c r="ER2068"/>
      <c r="ES2068"/>
    </row>
    <row r="2069" spans="1:149">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c r="EK2069"/>
      <c r="EL2069"/>
      <c r="EM2069"/>
      <c r="EN2069"/>
      <c r="EO2069"/>
      <c r="EP2069"/>
      <c r="EQ2069"/>
      <c r="ER2069"/>
      <c r="ES2069"/>
    </row>
    <row r="2070" spans="1:149">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c r="EK2070"/>
      <c r="EL2070"/>
      <c r="EM2070"/>
      <c r="EN2070"/>
      <c r="EO2070"/>
      <c r="EP2070"/>
      <c r="EQ2070"/>
      <c r="ER2070"/>
      <c r="ES2070"/>
    </row>
    <row r="2071" spans="1:149">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c r="EK2071"/>
      <c r="EL2071"/>
      <c r="EM2071"/>
      <c r="EN2071"/>
      <c r="EO2071"/>
      <c r="EP2071"/>
      <c r="EQ2071"/>
      <c r="ER2071"/>
      <c r="ES2071"/>
    </row>
    <row r="2072" spans="1:149">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c r="EK2072"/>
      <c r="EL2072"/>
      <c r="EM2072"/>
      <c r="EN2072"/>
      <c r="EO2072"/>
      <c r="EP2072"/>
      <c r="EQ2072"/>
      <c r="ER2072"/>
      <c r="ES2072"/>
    </row>
    <row r="2073" spans="1:149">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c r="EK2073"/>
      <c r="EL2073"/>
      <c r="EM2073"/>
      <c r="EN2073"/>
      <c r="EO2073"/>
      <c r="EP2073"/>
      <c r="EQ2073"/>
      <c r="ER2073"/>
      <c r="ES2073"/>
    </row>
    <row r="2074" spans="1:149">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c r="EK2074"/>
      <c r="EL2074"/>
      <c r="EM2074"/>
      <c r="EN2074"/>
      <c r="EO2074"/>
      <c r="EP2074"/>
      <c r="EQ2074"/>
      <c r="ER2074"/>
      <c r="ES2074"/>
    </row>
    <row r="2075" spans="1:149">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c r="EK2075"/>
      <c r="EL2075"/>
      <c r="EM2075"/>
      <c r="EN2075"/>
      <c r="EO2075"/>
      <c r="EP2075"/>
      <c r="EQ2075"/>
      <c r="ER2075"/>
      <c r="ES2075"/>
    </row>
    <row r="2076" spans="1:149">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c r="EK2076"/>
      <c r="EL2076"/>
      <c r="EM2076"/>
      <c r="EN2076"/>
      <c r="EO2076"/>
      <c r="EP2076"/>
      <c r="EQ2076"/>
      <c r="ER2076"/>
      <c r="ES2076"/>
    </row>
    <row r="2077" spans="1:149">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c r="EK2077"/>
      <c r="EL2077"/>
      <c r="EM2077"/>
      <c r="EN2077"/>
      <c r="EO2077"/>
      <c r="EP2077"/>
      <c r="EQ2077"/>
      <c r="ER2077"/>
      <c r="ES2077"/>
    </row>
    <row r="2078" spans="1:149">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c r="EK2078"/>
      <c r="EL2078"/>
      <c r="EM2078"/>
      <c r="EN2078"/>
      <c r="EO2078"/>
      <c r="EP2078"/>
      <c r="EQ2078"/>
      <c r="ER2078"/>
      <c r="ES2078"/>
    </row>
    <row r="2079" spans="1:149">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c r="EK2079"/>
      <c r="EL2079"/>
      <c r="EM2079"/>
      <c r="EN2079"/>
      <c r="EO2079"/>
      <c r="EP2079"/>
      <c r="EQ2079"/>
      <c r="ER2079"/>
      <c r="ES2079"/>
    </row>
    <row r="2080" spans="1:149">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c r="EK2080"/>
      <c r="EL2080"/>
      <c r="EM2080"/>
      <c r="EN2080"/>
      <c r="EO2080"/>
      <c r="EP2080"/>
      <c r="EQ2080"/>
      <c r="ER2080"/>
      <c r="ES2080"/>
    </row>
    <row r="2081" spans="1:149">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c r="EK2081"/>
      <c r="EL2081"/>
      <c r="EM2081"/>
      <c r="EN2081"/>
      <c r="EO2081"/>
      <c r="EP2081"/>
      <c r="EQ2081"/>
      <c r="ER2081"/>
      <c r="ES2081"/>
    </row>
    <row r="2082" spans="1:149">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c r="EK2082"/>
      <c r="EL2082"/>
      <c r="EM2082"/>
      <c r="EN2082"/>
      <c r="EO2082"/>
      <c r="EP2082"/>
      <c r="EQ2082"/>
      <c r="ER2082"/>
      <c r="ES2082"/>
    </row>
    <row r="2083" spans="1:149">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c r="EK2083"/>
      <c r="EL2083"/>
      <c r="EM2083"/>
      <c r="EN2083"/>
      <c r="EO2083"/>
      <c r="EP2083"/>
      <c r="EQ2083"/>
      <c r="ER2083"/>
      <c r="ES2083"/>
    </row>
    <row r="2084" spans="1:149">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c r="EK2084"/>
      <c r="EL2084"/>
      <c r="EM2084"/>
      <c r="EN2084"/>
      <c r="EO2084"/>
      <c r="EP2084"/>
      <c r="EQ2084"/>
      <c r="ER2084"/>
      <c r="ES2084"/>
    </row>
    <row r="2085" spans="1:149">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c r="EK2085"/>
      <c r="EL2085"/>
      <c r="EM2085"/>
      <c r="EN2085"/>
      <c r="EO2085"/>
      <c r="EP2085"/>
      <c r="EQ2085"/>
      <c r="ER2085"/>
      <c r="ES2085"/>
    </row>
    <row r="2086" spans="1:149">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c r="EK2086"/>
      <c r="EL2086"/>
      <c r="EM2086"/>
      <c r="EN2086"/>
      <c r="EO2086"/>
      <c r="EP2086"/>
      <c r="EQ2086"/>
      <c r="ER2086"/>
      <c r="ES2086"/>
    </row>
    <row r="2087" spans="1:149">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c r="EK2087"/>
      <c r="EL2087"/>
      <c r="EM2087"/>
      <c r="EN2087"/>
      <c r="EO2087"/>
      <c r="EP2087"/>
      <c r="EQ2087"/>
      <c r="ER2087"/>
      <c r="ES2087"/>
    </row>
    <row r="2088" spans="1:149">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c r="EK2088"/>
      <c r="EL2088"/>
      <c r="EM2088"/>
      <c r="EN2088"/>
      <c r="EO2088"/>
      <c r="EP2088"/>
      <c r="EQ2088"/>
      <c r="ER2088"/>
      <c r="ES2088"/>
    </row>
    <row r="2089" spans="1:149">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c r="EK2089"/>
      <c r="EL2089"/>
      <c r="EM2089"/>
      <c r="EN2089"/>
      <c r="EO2089"/>
      <c r="EP2089"/>
      <c r="EQ2089"/>
      <c r="ER2089"/>
      <c r="ES2089"/>
    </row>
    <row r="2090" spans="1:149">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c r="EK2090"/>
      <c r="EL2090"/>
      <c r="EM2090"/>
      <c r="EN2090"/>
      <c r="EO2090"/>
      <c r="EP2090"/>
      <c r="EQ2090"/>
      <c r="ER2090"/>
      <c r="ES2090"/>
    </row>
    <row r="2091" spans="1:149">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c r="EK2091"/>
      <c r="EL2091"/>
      <c r="EM2091"/>
      <c r="EN2091"/>
      <c r="EO2091"/>
      <c r="EP2091"/>
      <c r="EQ2091"/>
      <c r="ER2091"/>
      <c r="ES2091"/>
    </row>
    <row r="2092" spans="1:149">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c r="EK2092"/>
      <c r="EL2092"/>
      <c r="EM2092"/>
      <c r="EN2092"/>
      <c r="EO2092"/>
      <c r="EP2092"/>
      <c r="EQ2092"/>
      <c r="ER2092"/>
      <c r="ES2092"/>
    </row>
    <row r="2093" spans="1:149">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c r="EK2093"/>
      <c r="EL2093"/>
      <c r="EM2093"/>
      <c r="EN2093"/>
      <c r="EO2093"/>
      <c r="EP2093"/>
      <c r="EQ2093"/>
      <c r="ER2093"/>
      <c r="ES2093"/>
    </row>
    <row r="2094" spans="1:149">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c r="EK2094"/>
      <c r="EL2094"/>
      <c r="EM2094"/>
      <c r="EN2094"/>
      <c r="EO2094"/>
      <c r="EP2094"/>
      <c r="EQ2094"/>
      <c r="ER2094"/>
      <c r="ES2094"/>
    </row>
    <row r="2095" spans="1:149">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c r="EK2095"/>
      <c r="EL2095"/>
      <c r="EM2095"/>
      <c r="EN2095"/>
      <c r="EO2095"/>
      <c r="EP2095"/>
      <c r="EQ2095"/>
      <c r="ER2095"/>
      <c r="ES2095"/>
    </row>
    <row r="2096" spans="1:149">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c r="EK2096"/>
      <c r="EL2096"/>
      <c r="EM2096"/>
      <c r="EN2096"/>
      <c r="EO2096"/>
      <c r="EP2096"/>
      <c r="EQ2096"/>
      <c r="ER2096"/>
      <c r="ES2096"/>
    </row>
    <row r="2097" spans="1:149">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c r="EK2097"/>
      <c r="EL2097"/>
      <c r="EM2097"/>
      <c r="EN2097"/>
      <c r="EO2097"/>
      <c r="EP2097"/>
      <c r="EQ2097"/>
      <c r="ER2097"/>
      <c r="ES2097"/>
    </row>
    <row r="2098" spans="1:149">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c r="EK2098"/>
      <c r="EL2098"/>
      <c r="EM2098"/>
      <c r="EN2098"/>
      <c r="EO2098"/>
      <c r="EP2098"/>
      <c r="EQ2098"/>
      <c r="ER2098"/>
      <c r="ES2098"/>
    </row>
    <row r="2099" spans="1:149">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c r="CW2099"/>
      <c r="CX2099"/>
      <c r="CY2099"/>
      <c r="CZ2099"/>
      <c r="DA2099"/>
      <c r="DB2099"/>
      <c r="DC2099"/>
      <c r="DD2099"/>
      <c r="DE2099"/>
      <c r="DF2099"/>
      <c r="DG2099"/>
      <c r="DH2099"/>
      <c r="DI2099"/>
      <c r="DJ2099"/>
      <c r="DK2099"/>
      <c r="DL2099"/>
      <c r="DM2099"/>
      <c r="DN2099"/>
      <c r="DO2099"/>
      <c r="DP2099"/>
      <c r="DQ2099"/>
      <c r="DR2099"/>
      <c r="DS2099"/>
      <c r="DT2099"/>
      <c r="DU2099"/>
      <c r="DV2099"/>
      <c r="DW2099"/>
      <c r="DX2099"/>
      <c r="DY2099"/>
      <c r="DZ2099"/>
      <c r="EA2099"/>
      <c r="EB2099"/>
      <c r="EC2099"/>
      <c r="ED2099"/>
      <c r="EE2099"/>
      <c r="EF2099"/>
      <c r="EG2099"/>
      <c r="EH2099"/>
      <c r="EI2099"/>
      <c r="EJ2099"/>
      <c r="EK2099"/>
      <c r="EL2099"/>
      <c r="EM2099"/>
      <c r="EN2099"/>
      <c r="EO2099"/>
      <c r="EP2099"/>
      <c r="EQ2099"/>
      <c r="ER2099"/>
      <c r="ES2099"/>
    </row>
    <row r="2100" spans="1:149">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c r="CW2100"/>
      <c r="CX2100"/>
      <c r="CY2100"/>
      <c r="CZ2100"/>
      <c r="DA2100"/>
      <c r="DB2100"/>
      <c r="DC2100"/>
      <c r="DD2100"/>
      <c r="DE2100"/>
      <c r="DF2100"/>
      <c r="DG2100"/>
      <c r="DH2100"/>
      <c r="DI2100"/>
      <c r="DJ2100"/>
      <c r="DK2100"/>
      <c r="DL2100"/>
      <c r="DM2100"/>
      <c r="DN2100"/>
      <c r="DO2100"/>
      <c r="DP2100"/>
      <c r="DQ2100"/>
      <c r="DR2100"/>
      <c r="DS2100"/>
      <c r="DT2100"/>
      <c r="DU2100"/>
      <c r="DV2100"/>
      <c r="DW2100"/>
      <c r="DX2100"/>
      <c r="DY2100"/>
      <c r="DZ2100"/>
      <c r="EA2100"/>
      <c r="EB2100"/>
      <c r="EC2100"/>
      <c r="ED2100"/>
      <c r="EE2100"/>
      <c r="EF2100"/>
      <c r="EG2100"/>
      <c r="EH2100"/>
      <c r="EI2100"/>
      <c r="EJ2100"/>
      <c r="EK2100"/>
      <c r="EL2100"/>
      <c r="EM2100"/>
      <c r="EN2100"/>
      <c r="EO2100"/>
      <c r="EP2100"/>
      <c r="EQ2100"/>
      <c r="ER2100"/>
      <c r="ES2100"/>
    </row>
    <row r="2101" spans="1:149">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c r="CW2101"/>
      <c r="CX2101"/>
      <c r="CY2101"/>
      <c r="CZ2101"/>
      <c r="DA2101"/>
      <c r="DB2101"/>
      <c r="DC2101"/>
      <c r="DD2101"/>
      <c r="DE2101"/>
      <c r="DF2101"/>
      <c r="DG2101"/>
      <c r="DH2101"/>
      <c r="DI2101"/>
      <c r="DJ2101"/>
      <c r="DK2101"/>
      <c r="DL2101"/>
      <c r="DM2101"/>
      <c r="DN2101"/>
      <c r="DO2101"/>
      <c r="DP2101"/>
      <c r="DQ2101"/>
      <c r="DR2101"/>
      <c r="DS2101"/>
      <c r="DT2101"/>
      <c r="DU2101"/>
      <c r="DV2101"/>
      <c r="DW2101"/>
      <c r="DX2101"/>
      <c r="DY2101"/>
      <c r="DZ2101"/>
      <c r="EA2101"/>
      <c r="EB2101"/>
      <c r="EC2101"/>
      <c r="ED2101"/>
      <c r="EE2101"/>
      <c r="EF2101"/>
      <c r="EG2101"/>
      <c r="EH2101"/>
      <c r="EI2101"/>
      <c r="EJ2101"/>
      <c r="EK2101"/>
      <c r="EL2101"/>
      <c r="EM2101"/>
      <c r="EN2101"/>
      <c r="EO2101"/>
      <c r="EP2101"/>
      <c r="EQ2101"/>
      <c r="ER2101"/>
      <c r="ES2101"/>
    </row>
    <row r="2102" spans="1:149">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c r="CW2102"/>
      <c r="CX2102"/>
      <c r="CY2102"/>
      <c r="CZ2102"/>
      <c r="DA2102"/>
      <c r="DB2102"/>
      <c r="DC2102"/>
      <c r="DD2102"/>
      <c r="DE2102"/>
      <c r="DF2102"/>
      <c r="DG2102"/>
      <c r="DH2102"/>
      <c r="DI2102"/>
      <c r="DJ2102"/>
      <c r="DK2102"/>
      <c r="DL2102"/>
      <c r="DM2102"/>
      <c r="DN2102"/>
      <c r="DO2102"/>
      <c r="DP2102"/>
      <c r="DQ2102"/>
      <c r="DR2102"/>
      <c r="DS2102"/>
      <c r="DT2102"/>
      <c r="DU2102"/>
      <c r="DV2102"/>
      <c r="DW2102"/>
      <c r="DX2102"/>
      <c r="DY2102"/>
      <c r="DZ2102"/>
      <c r="EA2102"/>
      <c r="EB2102"/>
      <c r="EC2102"/>
      <c r="ED2102"/>
      <c r="EE2102"/>
      <c r="EF2102"/>
      <c r="EG2102"/>
      <c r="EH2102"/>
      <c r="EI2102"/>
      <c r="EJ2102"/>
      <c r="EK2102"/>
      <c r="EL2102"/>
      <c r="EM2102"/>
      <c r="EN2102"/>
      <c r="EO2102"/>
      <c r="EP2102"/>
      <c r="EQ2102"/>
      <c r="ER2102"/>
      <c r="ES2102"/>
    </row>
    <row r="2103" spans="1:149">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c r="CW2103"/>
      <c r="CX2103"/>
      <c r="CY2103"/>
      <c r="CZ2103"/>
      <c r="DA2103"/>
      <c r="DB2103"/>
      <c r="DC2103"/>
      <c r="DD2103"/>
      <c r="DE2103"/>
      <c r="DF2103"/>
      <c r="DG2103"/>
      <c r="DH2103"/>
      <c r="DI2103"/>
      <c r="DJ2103"/>
      <c r="DK2103"/>
      <c r="DL2103"/>
      <c r="DM2103"/>
      <c r="DN2103"/>
      <c r="DO2103"/>
      <c r="DP2103"/>
      <c r="DQ2103"/>
      <c r="DR2103"/>
      <c r="DS2103"/>
      <c r="DT2103"/>
      <c r="DU2103"/>
      <c r="DV2103"/>
      <c r="DW2103"/>
      <c r="DX2103"/>
      <c r="DY2103"/>
      <c r="DZ2103"/>
      <c r="EA2103"/>
      <c r="EB2103"/>
      <c r="EC2103"/>
      <c r="ED2103"/>
      <c r="EE2103"/>
      <c r="EF2103"/>
      <c r="EG2103"/>
      <c r="EH2103"/>
      <c r="EI2103"/>
      <c r="EJ2103"/>
      <c r="EK2103"/>
      <c r="EL2103"/>
      <c r="EM2103"/>
      <c r="EN2103"/>
      <c r="EO2103"/>
      <c r="EP2103"/>
      <c r="EQ2103"/>
      <c r="ER2103"/>
      <c r="ES2103"/>
    </row>
    <row r="2104" spans="1:149">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c r="CW2104"/>
      <c r="CX2104"/>
      <c r="CY2104"/>
      <c r="CZ2104"/>
      <c r="DA2104"/>
      <c r="DB2104"/>
      <c r="DC2104"/>
      <c r="DD2104"/>
      <c r="DE2104"/>
      <c r="DF2104"/>
      <c r="DG2104"/>
      <c r="DH2104"/>
      <c r="DI2104"/>
      <c r="DJ2104"/>
      <c r="DK2104"/>
      <c r="DL2104"/>
      <c r="DM2104"/>
      <c r="DN2104"/>
      <c r="DO2104"/>
      <c r="DP2104"/>
      <c r="DQ2104"/>
      <c r="DR2104"/>
      <c r="DS2104"/>
      <c r="DT2104"/>
      <c r="DU2104"/>
      <c r="DV2104"/>
      <c r="DW2104"/>
      <c r="DX2104"/>
      <c r="DY2104"/>
      <c r="DZ2104"/>
      <c r="EA2104"/>
      <c r="EB2104"/>
      <c r="EC2104"/>
      <c r="ED2104"/>
      <c r="EE2104"/>
      <c r="EF2104"/>
      <c r="EG2104"/>
      <c r="EH2104"/>
      <c r="EI2104"/>
      <c r="EJ2104"/>
      <c r="EK2104"/>
      <c r="EL2104"/>
      <c r="EM2104"/>
      <c r="EN2104"/>
      <c r="EO2104"/>
      <c r="EP2104"/>
      <c r="EQ2104"/>
      <c r="ER2104"/>
      <c r="ES2104"/>
    </row>
    <row r="2105" spans="1:149">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c r="CW2105"/>
      <c r="CX2105"/>
      <c r="CY2105"/>
      <c r="CZ2105"/>
      <c r="DA2105"/>
      <c r="DB2105"/>
      <c r="DC2105"/>
      <c r="DD2105"/>
      <c r="DE2105"/>
      <c r="DF2105"/>
      <c r="DG2105"/>
      <c r="DH2105"/>
      <c r="DI2105"/>
      <c r="DJ2105"/>
      <c r="DK2105"/>
      <c r="DL2105"/>
      <c r="DM2105"/>
      <c r="DN2105"/>
      <c r="DO2105"/>
      <c r="DP2105"/>
      <c r="DQ2105"/>
      <c r="DR2105"/>
      <c r="DS2105"/>
      <c r="DT2105"/>
      <c r="DU2105"/>
      <c r="DV2105"/>
      <c r="DW2105"/>
      <c r="DX2105"/>
      <c r="DY2105"/>
      <c r="DZ2105"/>
      <c r="EA2105"/>
      <c r="EB2105"/>
      <c r="EC2105"/>
      <c r="ED2105"/>
      <c r="EE2105"/>
      <c r="EF2105"/>
      <c r="EG2105"/>
      <c r="EH2105"/>
      <c r="EI2105"/>
      <c r="EJ2105"/>
      <c r="EK2105"/>
      <c r="EL2105"/>
      <c r="EM2105"/>
      <c r="EN2105"/>
      <c r="EO2105"/>
      <c r="EP2105"/>
      <c r="EQ2105"/>
      <c r="ER2105"/>
      <c r="ES2105"/>
    </row>
    <row r="2106" spans="1:149">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c r="CW2106"/>
      <c r="CX2106"/>
      <c r="CY2106"/>
      <c r="CZ2106"/>
      <c r="DA2106"/>
      <c r="DB2106"/>
      <c r="DC2106"/>
      <c r="DD2106"/>
      <c r="DE2106"/>
      <c r="DF2106"/>
      <c r="DG2106"/>
      <c r="DH2106"/>
      <c r="DI2106"/>
      <c r="DJ2106"/>
      <c r="DK2106"/>
      <c r="DL2106"/>
      <c r="DM2106"/>
      <c r="DN2106"/>
      <c r="DO2106"/>
      <c r="DP2106"/>
      <c r="DQ2106"/>
      <c r="DR2106"/>
      <c r="DS2106"/>
      <c r="DT2106"/>
      <c r="DU2106"/>
      <c r="DV2106"/>
      <c r="DW2106"/>
      <c r="DX2106"/>
      <c r="DY2106"/>
      <c r="DZ2106"/>
      <c r="EA2106"/>
      <c r="EB2106"/>
      <c r="EC2106"/>
      <c r="ED2106"/>
      <c r="EE2106"/>
      <c r="EF2106"/>
      <c r="EG2106"/>
      <c r="EH2106"/>
      <c r="EI2106"/>
      <c r="EJ2106"/>
      <c r="EK2106"/>
      <c r="EL2106"/>
      <c r="EM2106"/>
      <c r="EN2106"/>
      <c r="EO2106"/>
      <c r="EP2106"/>
      <c r="EQ2106"/>
      <c r="ER2106"/>
      <c r="ES2106"/>
    </row>
    <row r="2107" spans="1:149">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c r="CW2107"/>
      <c r="CX2107"/>
      <c r="CY2107"/>
      <c r="CZ2107"/>
      <c r="DA2107"/>
      <c r="DB2107"/>
      <c r="DC2107"/>
      <c r="DD2107"/>
      <c r="DE2107"/>
      <c r="DF2107"/>
      <c r="DG2107"/>
      <c r="DH2107"/>
      <c r="DI2107"/>
      <c r="DJ2107"/>
      <c r="DK2107"/>
      <c r="DL2107"/>
      <c r="DM2107"/>
      <c r="DN2107"/>
      <c r="DO2107"/>
      <c r="DP2107"/>
      <c r="DQ2107"/>
      <c r="DR2107"/>
      <c r="DS2107"/>
      <c r="DT2107"/>
      <c r="DU2107"/>
      <c r="DV2107"/>
      <c r="DW2107"/>
      <c r="DX2107"/>
      <c r="DY2107"/>
      <c r="DZ2107"/>
      <c r="EA2107"/>
      <c r="EB2107"/>
      <c r="EC2107"/>
      <c r="ED2107"/>
      <c r="EE2107"/>
      <c r="EF2107"/>
      <c r="EG2107"/>
      <c r="EH2107"/>
      <c r="EI2107"/>
      <c r="EJ2107"/>
      <c r="EK2107"/>
      <c r="EL2107"/>
      <c r="EM2107"/>
      <c r="EN2107"/>
      <c r="EO2107"/>
      <c r="EP2107"/>
      <c r="EQ2107"/>
      <c r="ER2107"/>
      <c r="ES2107"/>
    </row>
    <row r="2108" spans="1:149">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c r="CW2108"/>
      <c r="CX2108"/>
      <c r="CY2108"/>
      <c r="CZ2108"/>
      <c r="DA2108"/>
      <c r="DB2108"/>
      <c r="DC2108"/>
      <c r="DD2108"/>
      <c r="DE2108"/>
      <c r="DF2108"/>
      <c r="DG2108"/>
      <c r="DH2108"/>
      <c r="DI2108"/>
      <c r="DJ2108"/>
      <c r="DK2108"/>
      <c r="DL2108"/>
      <c r="DM2108"/>
      <c r="DN2108"/>
      <c r="DO2108"/>
      <c r="DP2108"/>
      <c r="DQ2108"/>
      <c r="DR2108"/>
      <c r="DS2108"/>
      <c r="DT2108"/>
      <c r="DU2108"/>
      <c r="DV2108"/>
      <c r="DW2108"/>
      <c r="DX2108"/>
      <c r="DY2108"/>
      <c r="DZ2108"/>
      <c r="EA2108"/>
      <c r="EB2108"/>
      <c r="EC2108"/>
      <c r="ED2108"/>
      <c r="EE2108"/>
      <c r="EF2108"/>
      <c r="EG2108"/>
      <c r="EH2108"/>
      <c r="EI2108"/>
      <c r="EJ2108"/>
      <c r="EK2108"/>
      <c r="EL2108"/>
      <c r="EM2108"/>
      <c r="EN2108"/>
      <c r="EO2108"/>
      <c r="EP2108"/>
      <c r="EQ2108"/>
      <c r="ER2108"/>
      <c r="ES2108"/>
    </row>
    <row r="2109" spans="1:149">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c r="CW2109"/>
      <c r="CX2109"/>
      <c r="CY2109"/>
      <c r="CZ2109"/>
      <c r="DA2109"/>
      <c r="DB2109"/>
      <c r="DC2109"/>
      <c r="DD2109"/>
      <c r="DE2109"/>
      <c r="DF2109"/>
      <c r="DG2109"/>
      <c r="DH2109"/>
      <c r="DI2109"/>
      <c r="DJ2109"/>
      <c r="DK2109"/>
      <c r="DL2109"/>
      <c r="DM2109"/>
      <c r="DN2109"/>
      <c r="DO2109"/>
      <c r="DP2109"/>
      <c r="DQ2109"/>
      <c r="DR2109"/>
      <c r="DS2109"/>
      <c r="DT2109"/>
      <c r="DU2109"/>
      <c r="DV2109"/>
      <c r="DW2109"/>
      <c r="DX2109"/>
      <c r="DY2109"/>
      <c r="DZ2109"/>
      <c r="EA2109"/>
      <c r="EB2109"/>
      <c r="EC2109"/>
      <c r="ED2109"/>
      <c r="EE2109"/>
      <c r="EF2109"/>
      <c r="EG2109"/>
      <c r="EH2109"/>
      <c r="EI2109"/>
      <c r="EJ2109"/>
      <c r="EK2109"/>
      <c r="EL2109"/>
      <c r="EM2109"/>
      <c r="EN2109"/>
      <c r="EO2109"/>
      <c r="EP2109"/>
      <c r="EQ2109"/>
      <c r="ER2109"/>
      <c r="ES2109"/>
    </row>
    <row r="2110" spans="1:149">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c r="CW2110"/>
      <c r="CX2110"/>
      <c r="CY2110"/>
      <c r="CZ2110"/>
      <c r="DA2110"/>
      <c r="DB2110"/>
      <c r="DC2110"/>
      <c r="DD2110"/>
      <c r="DE2110"/>
      <c r="DF2110"/>
      <c r="DG2110"/>
      <c r="DH2110"/>
      <c r="DI2110"/>
      <c r="DJ2110"/>
      <c r="DK2110"/>
      <c r="DL2110"/>
      <c r="DM2110"/>
      <c r="DN2110"/>
      <c r="DO2110"/>
      <c r="DP2110"/>
      <c r="DQ2110"/>
      <c r="DR2110"/>
      <c r="DS2110"/>
      <c r="DT2110"/>
      <c r="DU2110"/>
      <c r="DV2110"/>
      <c r="DW2110"/>
      <c r="DX2110"/>
      <c r="DY2110"/>
      <c r="DZ2110"/>
      <c r="EA2110"/>
      <c r="EB2110"/>
      <c r="EC2110"/>
      <c r="ED2110"/>
      <c r="EE2110"/>
      <c r="EF2110"/>
      <c r="EG2110"/>
      <c r="EH2110"/>
      <c r="EI2110"/>
      <c r="EJ2110"/>
      <c r="EK2110"/>
      <c r="EL2110"/>
      <c r="EM2110"/>
      <c r="EN2110"/>
      <c r="EO2110"/>
      <c r="EP2110"/>
      <c r="EQ2110"/>
      <c r="ER2110"/>
      <c r="ES2110"/>
    </row>
    <row r="2111" spans="1:149">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c r="CW2111"/>
      <c r="CX2111"/>
      <c r="CY2111"/>
      <c r="CZ2111"/>
      <c r="DA2111"/>
      <c r="DB2111"/>
      <c r="DC2111"/>
      <c r="DD2111"/>
      <c r="DE2111"/>
      <c r="DF2111"/>
      <c r="DG2111"/>
      <c r="DH2111"/>
      <c r="DI2111"/>
      <c r="DJ2111"/>
      <c r="DK2111"/>
      <c r="DL2111"/>
      <c r="DM2111"/>
      <c r="DN2111"/>
      <c r="DO2111"/>
      <c r="DP2111"/>
      <c r="DQ2111"/>
      <c r="DR2111"/>
      <c r="DS2111"/>
      <c r="DT2111"/>
      <c r="DU2111"/>
      <c r="DV2111"/>
      <c r="DW2111"/>
      <c r="DX2111"/>
      <c r="DY2111"/>
      <c r="DZ2111"/>
      <c r="EA2111"/>
      <c r="EB2111"/>
      <c r="EC2111"/>
      <c r="ED2111"/>
      <c r="EE2111"/>
      <c r="EF2111"/>
      <c r="EG2111"/>
      <c r="EH2111"/>
      <c r="EI2111"/>
      <c r="EJ2111"/>
      <c r="EK2111"/>
      <c r="EL2111"/>
      <c r="EM2111"/>
      <c r="EN2111"/>
      <c r="EO2111"/>
      <c r="EP2111"/>
      <c r="EQ2111"/>
      <c r="ER2111"/>
      <c r="ES2111"/>
    </row>
    <row r="2112" spans="1:149">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c r="CW2112"/>
      <c r="CX2112"/>
      <c r="CY2112"/>
      <c r="CZ2112"/>
      <c r="DA2112"/>
      <c r="DB2112"/>
      <c r="DC2112"/>
      <c r="DD2112"/>
      <c r="DE2112"/>
      <c r="DF2112"/>
      <c r="DG2112"/>
      <c r="DH2112"/>
      <c r="DI2112"/>
      <c r="DJ2112"/>
      <c r="DK2112"/>
      <c r="DL2112"/>
      <c r="DM2112"/>
      <c r="DN2112"/>
      <c r="DO2112"/>
      <c r="DP2112"/>
      <c r="DQ2112"/>
      <c r="DR2112"/>
      <c r="DS2112"/>
      <c r="DT2112"/>
      <c r="DU2112"/>
      <c r="DV2112"/>
      <c r="DW2112"/>
      <c r="DX2112"/>
      <c r="DY2112"/>
      <c r="DZ2112"/>
      <c r="EA2112"/>
      <c r="EB2112"/>
      <c r="EC2112"/>
      <c r="ED2112"/>
      <c r="EE2112"/>
      <c r="EF2112"/>
      <c r="EG2112"/>
      <c r="EH2112"/>
      <c r="EI2112"/>
      <c r="EJ2112"/>
      <c r="EK2112"/>
      <c r="EL2112"/>
      <c r="EM2112"/>
      <c r="EN2112"/>
      <c r="EO2112"/>
      <c r="EP2112"/>
      <c r="EQ2112"/>
      <c r="ER2112"/>
      <c r="ES2112"/>
    </row>
    <row r="2113" spans="1:149">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c r="CW2113"/>
      <c r="CX2113"/>
      <c r="CY2113"/>
      <c r="CZ2113"/>
      <c r="DA2113"/>
      <c r="DB2113"/>
      <c r="DC2113"/>
      <c r="DD2113"/>
      <c r="DE2113"/>
      <c r="DF2113"/>
      <c r="DG2113"/>
      <c r="DH2113"/>
      <c r="DI2113"/>
      <c r="DJ2113"/>
      <c r="DK2113"/>
      <c r="DL2113"/>
      <c r="DM2113"/>
      <c r="DN2113"/>
      <c r="DO2113"/>
      <c r="DP2113"/>
      <c r="DQ2113"/>
      <c r="DR2113"/>
      <c r="DS2113"/>
      <c r="DT2113"/>
      <c r="DU2113"/>
      <c r="DV2113"/>
      <c r="DW2113"/>
      <c r="DX2113"/>
      <c r="DY2113"/>
      <c r="DZ2113"/>
      <c r="EA2113"/>
      <c r="EB2113"/>
      <c r="EC2113"/>
      <c r="ED2113"/>
      <c r="EE2113"/>
      <c r="EF2113"/>
      <c r="EG2113"/>
      <c r="EH2113"/>
      <c r="EI2113"/>
      <c r="EJ2113"/>
      <c r="EK2113"/>
      <c r="EL2113"/>
      <c r="EM2113"/>
      <c r="EN2113"/>
      <c r="EO2113"/>
      <c r="EP2113"/>
      <c r="EQ2113"/>
      <c r="ER2113"/>
      <c r="ES2113"/>
    </row>
    <row r="2114" spans="1:149">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c r="CW2114"/>
      <c r="CX2114"/>
      <c r="CY2114"/>
      <c r="CZ2114"/>
      <c r="DA2114"/>
      <c r="DB2114"/>
      <c r="DC2114"/>
      <c r="DD2114"/>
      <c r="DE2114"/>
      <c r="DF2114"/>
      <c r="DG2114"/>
      <c r="DH2114"/>
      <c r="DI2114"/>
      <c r="DJ2114"/>
      <c r="DK2114"/>
      <c r="DL2114"/>
      <c r="DM2114"/>
      <c r="DN2114"/>
      <c r="DO2114"/>
      <c r="DP2114"/>
      <c r="DQ2114"/>
      <c r="DR2114"/>
      <c r="DS2114"/>
      <c r="DT2114"/>
      <c r="DU2114"/>
      <c r="DV2114"/>
      <c r="DW2114"/>
      <c r="DX2114"/>
      <c r="DY2114"/>
      <c r="DZ2114"/>
      <c r="EA2114"/>
      <c r="EB2114"/>
      <c r="EC2114"/>
      <c r="ED2114"/>
      <c r="EE2114"/>
      <c r="EF2114"/>
      <c r="EG2114"/>
      <c r="EH2114"/>
      <c r="EI2114"/>
      <c r="EJ2114"/>
      <c r="EK2114"/>
      <c r="EL2114"/>
      <c r="EM2114"/>
      <c r="EN2114"/>
      <c r="EO2114"/>
      <c r="EP2114"/>
      <c r="EQ2114"/>
      <c r="ER2114"/>
      <c r="ES2114"/>
    </row>
    <row r="2115" spans="1:149">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c r="CW2115"/>
      <c r="CX2115"/>
      <c r="CY2115"/>
      <c r="CZ2115"/>
      <c r="DA2115"/>
      <c r="DB2115"/>
      <c r="DC2115"/>
      <c r="DD2115"/>
      <c r="DE2115"/>
      <c r="DF2115"/>
      <c r="DG2115"/>
      <c r="DH2115"/>
      <c r="DI2115"/>
      <c r="DJ2115"/>
      <c r="DK2115"/>
      <c r="DL2115"/>
      <c r="DM2115"/>
      <c r="DN2115"/>
      <c r="DO2115"/>
      <c r="DP2115"/>
      <c r="DQ2115"/>
      <c r="DR2115"/>
      <c r="DS2115"/>
      <c r="DT2115"/>
      <c r="DU2115"/>
      <c r="DV2115"/>
      <c r="DW2115"/>
      <c r="DX2115"/>
      <c r="DY2115"/>
      <c r="DZ2115"/>
      <c r="EA2115"/>
      <c r="EB2115"/>
      <c r="EC2115"/>
      <c r="ED2115"/>
      <c r="EE2115"/>
      <c r="EF2115"/>
      <c r="EG2115"/>
      <c r="EH2115"/>
      <c r="EI2115"/>
      <c r="EJ2115"/>
      <c r="EK2115"/>
      <c r="EL2115"/>
      <c r="EM2115"/>
      <c r="EN2115"/>
      <c r="EO2115"/>
      <c r="EP2115"/>
      <c r="EQ2115"/>
      <c r="ER2115"/>
      <c r="ES2115"/>
    </row>
    <row r="2116" spans="1:149">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c r="CW2116"/>
      <c r="CX2116"/>
      <c r="CY2116"/>
      <c r="CZ2116"/>
      <c r="DA2116"/>
      <c r="DB2116"/>
      <c r="DC2116"/>
      <c r="DD2116"/>
      <c r="DE2116"/>
      <c r="DF2116"/>
      <c r="DG2116"/>
      <c r="DH2116"/>
      <c r="DI2116"/>
      <c r="DJ2116"/>
      <c r="DK2116"/>
      <c r="DL2116"/>
      <c r="DM2116"/>
      <c r="DN2116"/>
      <c r="DO2116"/>
      <c r="DP2116"/>
      <c r="DQ2116"/>
      <c r="DR2116"/>
      <c r="DS2116"/>
      <c r="DT2116"/>
      <c r="DU2116"/>
      <c r="DV2116"/>
      <c r="DW2116"/>
      <c r="DX2116"/>
      <c r="DY2116"/>
      <c r="DZ2116"/>
      <c r="EA2116"/>
      <c r="EB2116"/>
      <c r="EC2116"/>
      <c r="ED2116"/>
      <c r="EE2116"/>
      <c r="EF2116"/>
      <c r="EG2116"/>
      <c r="EH2116"/>
      <c r="EI2116"/>
      <c r="EJ2116"/>
      <c r="EK2116"/>
      <c r="EL2116"/>
      <c r="EM2116"/>
      <c r="EN2116"/>
      <c r="EO2116"/>
      <c r="EP2116"/>
      <c r="EQ2116"/>
      <c r="ER2116"/>
      <c r="ES2116"/>
    </row>
    <row r="2117" spans="1:149">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c r="CW2117"/>
      <c r="CX2117"/>
      <c r="CY2117"/>
      <c r="CZ2117"/>
      <c r="DA2117"/>
      <c r="DB2117"/>
      <c r="DC2117"/>
      <c r="DD2117"/>
      <c r="DE2117"/>
      <c r="DF2117"/>
      <c r="DG2117"/>
      <c r="DH2117"/>
      <c r="DI2117"/>
      <c r="DJ2117"/>
      <c r="DK2117"/>
      <c r="DL2117"/>
      <c r="DM2117"/>
      <c r="DN2117"/>
      <c r="DO2117"/>
      <c r="DP2117"/>
      <c r="DQ2117"/>
      <c r="DR2117"/>
      <c r="DS2117"/>
      <c r="DT2117"/>
      <c r="DU2117"/>
      <c r="DV2117"/>
      <c r="DW2117"/>
      <c r="DX2117"/>
      <c r="DY2117"/>
      <c r="DZ2117"/>
      <c r="EA2117"/>
      <c r="EB2117"/>
      <c r="EC2117"/>
      <c r="ED2117"/>
      <c r="EE2117"/>
      <c r="EF2117"/>
      <c r="EG2117"/>
      <c r="EH2117"/>
      <c r="EI2117"/>
      <c r="EJ2117"/>
      <c r="EK2117"/>
      <c r="EL2117"/>
      <c r="EM2117"/>
      <c r="EN2117"/>
      <c r="EO2117"/>
      <c r="EP2117"/>
      <c r="EQ2117"/>
      <c r="ER2117"/>
      <c r="ES2117"/>
    </row>
    <row r="2118" spans="1:149">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c r="CW2118"/>
      <c r="CX2118"/>
      <c r="CY2118"/>
      <c r="CZ2118"/>
      <c r="DA2118"/>
      <c r="DB2118"/>
      <c r="DC2118"/>
      <c r="DD2118"/>
      <c r="DE2118"/>
      <c r="DF2118"/>
      <c r="DG2118"/>
      <c r="DH2118"/>
      <c r="DI2118"/>
      <c r="DJ2118"/>
      <c r="DK2118"/>
      <c r="DL2118"/>
      <c r="DM2118"/>
      <c r="DN2118"/>
      <c r="DO2118"/>
      <c r="DP2118"/>
      <c r="DQ2118"/>
      <c r="DR2118"/>
      <c r="DS2118"/>
      <c r="DT2118"/>
      <c r="DU2118"/>
      <c r="DV2118"/>
      <c r="DW2118"/>
      <c r="DX2118"/>
      <c r="DY2118"/>
      <c r="DZ2118"/>
      <c r="EA2118"/>
      <c r="EB2118"/>
      <c r="EC2118"/>
      <c r="ED2118"/>
      <c r="EE2118"/>
      <c r="EF2118"/>
      <c r="EG2118"/>
      <c r="EH2118"/>
      <c r="EI2118"/>
      <c r="EJ2118"/>
      <c r="EK2118"/>
      <c r="EL2118"/>
      <c r="EM2118"/>
      <c r="EN2118"/>
      <c r="EO2118"/>
      <c r="EP2118"/>
      <c r="EQ2118"/>
      <c r="ER2118"/>
      <c r="ES2118"/>
    </row>
    <row r="2119" spans="1:149">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c r="CW2119"/>
      <c r="CX2119"/>
      <c r="CY2119"/>
      <c r="CZ2119"/>
      <c r="DA2119"/>
      <c r="DB2119"/>
      <c r="DC2119"/>
      <c r="DD2119"/>
      <c r="DE2119"/>
      <c r="DF2119"/>
      <c r="DG2119"/>
      <c r="DH2119"/>
      <c r="DI2119"/>
      <c r="DJ2119"/>
      <c r="DK2119"/>
      <c r="DL2119"/>
      <c r="DM2119"/>
      <c r="DN2119"/>
      <c r="DO2119"/>
      <c r="DP2119"/>
      <c r="DQ2119"/>
      <c r="DR2119"/>
      <c r="DS2119"/>
      <c r="DT2119"/>
      <c r="DU2119"/>
      <c r="DV2119"/>
      <c r="DW2119"/>
      <c r="DX2119"/>
      <c r="DY2119"/>
      <c r="DZ2119"/>
      <c r="EA2119"/>
      <c r="EB2119"/>
      <c r="EC2119"/>
      <c r="ED2119"/>
      <c r="EE2119"/>
      <c r="EF2119"/>
      <c r="EG2119"/>
      <c r="EH2119"/>
      <c r="EI2119"/>
      <c r="EJ2119"/>
      <c r="EK2119"/>
      <c r="EL2119"/>
      <c r="EM2119"/>
      <c r="EN2119"/>
      <c r="EO2119"/>
      <c r="EP2119"/>
      <c r="EQ2119"/>
      <c r="ER2119"/>
      <c r="ES2119"/>
    </row>
    <row r="2120" spans="1:149">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c r="CW2120"/>
      <c r="CX2120"/>
      <c r="CY2120"/>
      <c r="CZ2120"/>
      <c r="DA2120"/>
      <c r="DB2120"/>
      <c r="DC2120"/>
      <c r="DD2120"/>
      <c r="DE2120"/>
      <c r="DF2120"/>
      <c r="DG2120"/>
      <c r="DH2120"/>
      <c r="DI2120"/>
      <c r="DJ2120"/>
      <c r="DK2120"/>
      <c r="DL2120"/>
      <c r="DM2120"/>
      <c r="DN2120"/>
      <c r="DO2120"/>
      <c r="DP2120"/>
      <c r="DQ2120"/>
      <c r="DR2120"/>
      <c r="DS2120"/>
      <c r="DT2120"/>
      <c r="DU2120"/>
      <c r="DV2120"/>
      <c r="DW2120"/>
      <c r="DX2120"/>
      <c r="DY2120"/>
      <c r="DZ2120"/>
      <c r="EA2120"/>
      <c r="EB2120"/>
      <c r="EC2120"/>
      <c r="ED2120"/>
      <c r="EE2120"/>
      <c r="EF2120"/>
      <c r="EG2120"/>
      <c r="EH2120"/>
      <c r="EI2120"/>
      <c r="EJ2120"/>
      <c r="EK2120"/>
      <c r="EL2120"/>
      <c r="EM2120"/>
      <c r="EN2120"/>
      <c r="EO2120"/>
      <c r="EP2120"/>
      <c r="EQ2120"/>
      <c r="ER2120"/>
      <c r="ES2120"/>
    </row>
    <row r="2121" spans="1:149">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c r="CW2121"/>
      <c r="CX2121"/>
      <c r="CY2121"/>
      <c r="CZ2121"/>
      <c r="DA2121"/>
      <c r="DB2121"/>
      <c r="DC2121"/>
      <c r="DD2121"/>
      <c r="DE2121"/>
      <c r="DF2121"/>
      <c r="DG2121"/>
      <c r="DH2121"/>
      <c r="DI2121"/>
      <c r="DJ2121"/>
      <c r="DK2121"/>
      <c r="DL2121"/>
      <c r="DM2121"/>
      <c r="DN2121"/>
      <c r="DO2121"/>
      <c r="DP2121"/>
      <c r="DQ2121"/>
      <c r="DR2121"/>
      <c r="DS2121"/>
      <c r="DT2121"/>
      <c r="DU2121"/>
      <c r="DV2121"/>
      <c r="DW2121"/>
      <c r="DX2121"/>
      <c r="DY2121"/>
      <c r="DZ2121"/>
      <c r="EA2121"/>
      <c r="EB2121"/>
      <c r="EC2121"/>
      <c r="ED2121"/>
      <c r="EE2121"/>
      <c r="EF2121"/>
      <c r="EG2121"/>
      <c r="EH2121"/>
      <c r="EI2121"/>
      <c r="EJ2121"/>
      <c r="EK2121"/>
      <c r="EL2121"/>
      <c r="EM2121"/>
      <c r="EN2121"/>
      <c r="EO2121"/>
      <c r="EP2121"/>
      <c r="EQ2121"/>
      <c r="ER2121"/>
      <c r="ES2121"/>
    </row>
    <row r="2122" spans="1:149">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c r="CW2122"/>
      <c r="CX2122"/>
      <c r="CY2122"/>
      <c r="CZ2122"/>
      <c r="DA2122"/>
      <c r="DB2122"/>
      <c r="DC2122"/>
      <c r="DD2122"/>
      <c r="DE2122"/>
      <c r="DF2122"/>
      <c r="DG2122"/>
      <c r="DH2122"/>
      <c r="DI2122"/>
      <c r="DJ2122"/>
      <c r="DK2122"/>
      <c r="DL2122"/>
      <c r="DM2122"/>
      <c r="DN2122"/>
      <c r="DO2122"/>
      <c r="DP2122"/>
      <c r="DQ2122"/>
      <c r="DR2122"/>
      <c r="DS2122"/>
      <c r="DT2122"/>
      <c r="DU2122"/>
      <c r="DV2122"/>
      <c r="DW2122"/>
      <c r="DX2122"/>
      <c r="DY2122"/>
      <c r="DZ2122"/>
      <c r="EA2122"/>
      <c r="EB2122"/>
      <c r="EC2122"/>
      <c r="ED2122"/>
      <c r="EE2122"/>
      <c r="EF2122"/>
      <c r="EG2122"/>
      <c r="EH2122"/>
      <c r="EI2122"/>
      <c r="EJ2122"/>
      <c r="EK2122"/>
      <c r="EL2122"/>
      <c r="EM2122"/>
      <c r="EN2122"/>
      <c r="EO2122"/>
      <c r="EP2122"/>
      <c r="EQ2122"/>
      <c r="ER2122"/>
      <c r="ES2122"/>
    </row>
    <row r="2123" spans="1:149">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c r="CW2123"/>
      <c r="CX2123"/>
      <c r="CY2123"/>
      <c r="CZ2123"/>
      <c r="DA2123"/>
      <c r="DB2123"/>
      <c r="DC2123"/>
      <c r="DD2123"/>
      <c r="DE2123"/>
      <c r="DF2123"/>
      <c r="DG2123"/>
      <c r="DH2123"/>
      <c r="DI2123"/>
      <c r="DJ2123"/>
      <c r="DK2123"/>
      <c r="DL2123"/>
      <c r="DM2123"/>
      <c r="DN2123"/>
      <c r="DO2123"/>
      <c r="DP2123"/>
      <c r="DQ2123"/>
      <c r="DR2123"/>
      <c r="DS2123"/>
      <c r="DT2123"/>
      <c r="DU2123"/>
      <c r="DV2123"/>
      <c r="DW2123"/>
      <c r="DX2123"/>
      <c r="DY2123"/>
      <c r="DZ2123"/>
      <c r="EA2123"/>
      <c r="EB2123"/>
      <c r="EC2123"/>
      <c r="ED2123"/>
      <c r="EE2123"/>
      <c r="EF2123"/>
      <c r="EG2123"/>
      <c r="EH2123"/>
      <c r="EI2123"/>
      <c r="EJ2123"/>
      <c r="EK2123"/>
      <c r="EL2123"/>
      <c r="EM2123"/>
      <c r="EN2123"/>
      <c r="EO2123"/>
      <c r="EP2123"/>
      <c r="EQ2123"/>
      <c r="ER2123"/>
      <c r="ES2123"/>
    </row>
    <row r="2124" spans="1:149">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c r="CW2124"/>
      <c r="CX2124"/>
      <c r="CY2124"/>
      <c r="CZ2124"/>
      <c r="DA2124"/>
      <c r="DB2124"/>
      <c r="DC2124"/>
      <c r="DD2124"/>
      <c r="DE2124"/>
      <c r="DF2124"/>
      <c r="DG2124"/>
      <c r="DH2124"/>
      <c r="DI2124"/>
      <c r="DJ2124"/>
      <c r="DK2124"/>
      <c r="DL2124"/>
      <c r="DM2124"/>
      <c r="DN2124"/>
      <c r="DO2124"/>
      <c r="DP2124"/>
      <c r="DQ2124"/>
      <c r="DR2124"/>
      <c r="DS2124"/>
      <c r="DT2124"/>
      <c r="DU2124"/>
      <c r="DV2124"/>
      <c r="DW2124"/>
      <c r="DX2124"/>
      <c r="DY2124"/>
      <c r="DZ2124"/>
      <c r="EA2124"/>
      <c r="EB2124"/>
      <c r="EC2124"/>
      <c r="ED2124"/>
      <c r="EE2124"/>
      <c r="EF2124"/>
      <c r="EG2124"/>
      <c r="EH2124"/>
      <c r="EI2124"/>
      <c r="EJ2124"/>
      <c r="EK2124"/>
      <c r="EL2124"/>
      <c r="EM2124"/>
      <c r="EN2124"/>
      <c r="EO2124"/>
      <c r="EP2124"/>
      <c r="EQ2124"/>
      <c r="ER2124"/>
      <c r="ES2124"/>
    </row>
    <row r="2125" spans="1:149">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c r="CW2125"/>
      <c r="CX2125"/>
      <c r="CY2125"/>
      <c r="CZ2125"/>
      <c r="DA2125"/>
      <c r="DB2125"/>
      <c r="DC2125"/>
      <c r="DD2125"/>
      <c r="DE2125"/>
      <c r="DF2125"/>
      <c r="DG2125"/>
      <c r="DH2125"/>
      <c r="DI2125"/>
      <c r="DJ2125"/>
      <c r="DK2125"/>
      <c r="DL2125"/>
      <c r="DM2125"/>
      <c r="DN2125"/>
      <c r="DO2125"/>
      <c r="DP2125"/>
      <c r="DQ2125"/>
      <c r="DR2125"/>
      <c r="DS2125"/>
      <c r="DT2125"/>
      <c r="DU2125"/>
      <c r="DV2125"/>
      <c r="DW2125"/>
      <c r="DX2125"/>
      <c r="DY2125"/>
      <c r="DZ2125"/>
      <c r="EA2125"/>
      <c r="EB2125"/>
      <c r="EC2125"/>
      <c r="ED2125"/>
      <c r="EE2125"/>
      <c r="EF2125"/>
      <c r="EG2125"/>
      <c r="EH2125"/>
      <c r="EI2125"/>
      <c r="EJ2125"/>
      <c r="EK2125"/>
      <c r="EL2125"/>
      <c r="EM2125"/>
      <c r="EN2125"/>
      <c r="EO2125"/>
      <c r="EP2125"/>
      <c r="EQ2125"/>
      <c r="ER2125"/>
      <c r="ES2125"/>
    </row>
    <row r="2126" spans="1:149">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c r="CW2126"/>
      <c r="CX2126"/>
      <c r="CY2126"/>
      <c r="CZ2126"/>
      <c r="DA2126"/>
      <c r="DB2126"/>
      <c r="DC2126"/>
      <c r="DD2126"/>
      <c r="DE2126"/>
      <c r="DF2126"/>
      <c r="DG2126"/>
      <c r="DH2126"/>
      <c r="DI2126"/>
      <c r="DJ2126"/>
      <c r="DK2126"/>
      <c r="DL2126"/>
      <c r="DM2126"/>
      <c r="DN2126"/>
      <c r="DO2126"/>
      <c r="DP2126"/>
      <c r="DQ2126"/>
      <c r="DR2126"/>
      <c r="DS2126"/>
      <c r="DT2126"/>
      <c r="DU2126"/>
      <c r="DV2126"/>
      <c r="DW2126"/>
      <c r="DX2126"/>
      <c r="DY2126"/>
      <c r="DZ2126"/>
      <c r="EA2126"/>
      <c r="EB2126"/>
      <c r="EC2126"/>
      <c r="ED2126"/>
      <c r="EE2126"/>
      <c r="EF2126"/>
      <c r="EG2126"/>
      <c r="EH2126"/>
      <c r="EI2126"/>
      <c r="EJ2126"/>
      <c r="EK2126"/>
      <c r="EL2126"/>
      <c r="EM2126"/>
      <c r="EN2126"/>
      <c r="EO2126"/>
      <c r="EP2126"/>
      <c r="EQ2126"/>
      <c r="ER2126"/>
      <c r="ES2126"/>
    </row>
    <row r="2127" spans="1:149">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c r="CW2127"/>
      <c r="CX2127"/>
      <c r="CY2127"/>
      <c r="CZ2127"/>
      <c r="DA2127"/>
      <c r="DB2127"/>
      <c r="DC2127"/>
      <c r="DD2127"/>
      <c r="DE2127"/>
      <c r="DF2127"/>
      <c r="DG2127"/>
      <c r="DH2127"/>
      <c r="DI2127"/>
      <c r="DJ2127"/>
      <c r="DK2127"/>
      <c r="DL2127"/>
      <c r="DM2127"/>
      <c r="DN2127"/>
      <c r="DO2127"/>
      <c r="DP2127"/>
      <c r="DQ2127"/>
      <c r="DR2127"/>
      <c r="DS2127"/>
      <c r="DT2127"/>
      <c r="DU2127"/>
      <c r="DV2127"/>
      <c r="DW2127"/>
      <c r="DX2127"/>
      <c r="DY2127"/>
      <c r="DZ2127"/>
      <c r="EA2127"/>
      <c r="EB2127"/>
      <c r="EC2127"/>
      <c r="ED2127"/>
      <c r="EE2127"/>
      <c r="EF2127"/>
      <c r="EG2127"/>
      <c r="EH2127"/>
      <c r="EI2127"/>
      <c r="EJ2127"/>
      <c r="EK2127"/>
      <c r="EL2127"/>
      <c r="EM2127"/>
      <c r="EN2127"/>
      <c r="EO2127"/>
      <c r="EP2127"/>
      <c r="EQ2127"/>
      <c r="ER2127"/>
      <c r="ES2127"/>
    </row>
    <row r="2128" spans="1:149">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c r="CW2128"/>
      <c r="CX2128"/>
      <c r="CY2128"/>
      <c r="CZ2128"/>
      <c r="DA2128"/>
      <c r="DB2128"/>
      <c r="DC2128"/>
      <c r="DD2128"/>
      <c r="DE2128"/>
      <c r="DF2128"/>
      <c r="DG2128"/>
      <c r="DH2128"/>
      <c r="DI2128"/>
      <c r="DJ2128"/>
      <c r="DK2128"/>
      <c r="DL2128"/>
      <c r="DM2128"/>
      <c r="DN2128"/>
      <c r="DO2128"/>
      <c r="DP2128"/>
      <c r="DQ2128"/>
      <c r="DR2128"/>
      <c r="DS2128"/>
      <c r="DT2128"/>
      <c r="DU2128"/>
      <c r="DV2128"/>
      <c r="DW2128"/>
      <c r="DX2128"/>
      <c r="DY2128"/>
      <c r="DZ2128"/>
      <c r="EA2128"/>
      <c r="EB2128"/>
      <c r="EC2128"/>
      <c r="ED2128"/>
      <c r="EE2128"/>
      <c r="EF2128"/>
      <c r="EG2128"/>
      <c r="EH2128"/>
      <c r="EI2128"/>
      <c r="EJ2128"/>
      <c r="EK2128"/>
      <c r="EL2128"/>
      <c r="EM2128"/>
      <c r="EN2128"/>
      <c r="EO2128"/>
      <c r="EP2128"/>
      <c r="EQ2128"/>
      <c r="ER2128"/>
      <c r="ES2128"/>
    </row>
    <row r="2129" spans="1:149">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c r="CW2129"/>
      <c r="CX2129"/>
      <c r="CY2129"/>
      <c r="CZ2129"/>
      <c r="DA2129"/>
      <c r="DB2129"/>
      <c r="DC2129"/>
      <c r="DD2129"/>
      <c r="DE2129"/>
      <c r="DF2129"/>
      <c r="DG2129"/>
      <c r="DH2129"/>
      <c r="DI2129"/>
      <c r="DJ2129"/>
      <c r="DK2129"/>
      <c r="DL2129"/>
      <c r="DM2129"/>
      <c r="DN2129"/>
      <c r="DO2129"/>
      <c r="DP2129"/>
      <c r="DQ2129"/>
      <c r="DR2129"/>
      <c r="DS2129"/>
      <c r="DT2129"/>
      <c r="DU2129"/>
      <c r="DV2129"/>
      <c r="DW2129"/>
      <c r="DX2129"/>
      <c r="DY2129"/>
      <c r="DZ2129"/>
      <c r="EA2129"/>
      <c r="EB2129"/>
      <c r="EC2129"/>
      <c r="ED2129"/>
      <c r="EE2129"/>
      <c r="EF2129"/>
      <c r="EG2129"/>
      <c r="EH2129"/>
      <c r="EI2129"/>
      <c r="EJ2129"/>
      <c r="EK2129"/>
      <c r="EL2129"/>
      <c r="EM2129"/>
      <c r="EN2129"/>
      <c r="EO2129"/>
      <c r="EP2129"/>
      <c r="EQ2129"/>
      <c r="ER2129"/>
      <c r="ES2129"/>
    </row>
    <row r="2130" spans="1:149">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c r="CW2130"/>
      <c r="CX2130"/>
      <c r="CY2130"/>
      <c r="CZ2130"/>
      <c r="DA2130"/>
      <c r="DB2130"/>
      <c r="DC2130"/>
      <c r="DD2130"/>
      <c r="DE2130"/>
      <c r="DF2130"/>
      <c r="DG2130"/>
      <c r="DH2130"/>
      <c r="DI2130"/>
      <c r="DJ2130"/>
      <c r="DK2130"/>
      <c r="DL2130"/>
      <c r="DM2130"/>
      <c r="DN2130"/>
      <c r="DO2130"/>
      <c r="DP2130"/>
      <c r="DQ2130"/>
      <c r="DR2130"/>
      <c r="DS2130"/>
      <c r="DT2130"/>
      <c r="DU2130"/>
      <c r="DV2130"/>
      <c r="DW2130"/>
      <c r="DX2130"/>
      <c r="DY2130"/>
      <c r="DZ2130"/>
      <c r="EA2130"/>
      <c r="EB2130"/>
      <c r="EC2130"/>
      <c r="ED2130"/>
      <c r="EE2130"/>
      <c r="EF2130"/>
      <c r="EG2130"/>
      <c r="EH2130"/>
      <c r="EI2130"/>
      <c r="EJ2130"/>
      <c r="EK2130"/>
      <c r="EL2130"/>
      <c r="EM2130"/>
      <c r="EN2130"/>
      <c r="EO2130"/>
      <c r="EP2130"/>
      <c r="EQ2130"/>
      <c r="ER2130"/>
      <c r="ES2130"/>
    </row>
    <row r="2131" spans="1:149">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c r="CW2131"/>
      <c r="CX2131"/>
      <c r="CY2131"/>
      <c r="CZ2131"/>
      <c r="DA2131"/>
      <c r="DB2131"/>
      <c r="DC2131"/>
      <c r="DD2131"/>
      <c r="DE2131"/>
      <c r="DF2131"/>
      <c r="DG2131"/>
      <c r="DH2131"/>
      <c r="DI2131"/>
      <c r="DJ2131"/>
      <c r="DK2131"/>
      <c r="DL2131"/>
      <c r="DM2131"/>
      <c r="DN2131"/>
      <c r="DO2131"/>
      <c r="DP2131"/>
      <c r="DQ2131"/>
      <c r="DR2131"/>
      <c r="DS2131"/>
      <c r="DT2131"/>
      <c r="DU2131"/>
      <c r="DV2131"/>
      <c r="DW2131"/>
      <c r="DX2131"/>
      <c r="DY2131"/>
      <c r="DZ2131"/>
      <c r="EA2131"/>
      <c r="EB2131"/>
      <c r="EC2131"/>
      <c r="ED2131"/>
      <c r="EE2131"/>
      <c r="EF2131"/>
      <c r="EG2131"/>
      <c r="EH2131"/>
      <c r="EI2131"/>
      <c r="EJ2131"/>
      <c r="EK2131"/>
      <c r="EL2131"/>
      <c r="EM2131"/>
      <c r="EN2131"/>
      <c r="EO2131"/>
      <c r="EP2131"/>
      <c r="EQ2131"/>
      <c r="ER2131"/>
      <c r="ES2131"/>
    </row>
    <row r="2132" spans="1:149">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c r="CW2132"/>
      <c r="CX2132"/>
      <c r="CY2132"/>
      <c r="CZ2132"/>
      <c r="DA2132"/>
      <c r="DB2132"/>
      <c r="DC2132"/>
      <c r="DD2132"/>
      <c r="DE2132"/>
      <c r="DF2132"/>
      <c r="DG2132"/>
      <c r="DH2132"/>
      <c r="DI2132"/>
      <c r="DJ2132"/>
      <c r="DK2132"/>
      <c r="DL2132"/>
      <c r="DM2132"/>
      <c r="DN2132"/>
      <c r="DO2132"/>
      <c r="DP2132"/>
      <c r="DQ2132"/>
      <c r="DR2132"/>
      <c r="DS2132"/>
      <c r="DT2132"/>
      <c r="DU2132"/>
      <c r="DV2132"/>
      <c r="DW2132"/>
      <c r="DX2132"/>
      <c r="DY2132"/>
      <c r="DZ2132"/>
      <c r="EA2132"/>
      <c r="EB2132"/>
      <c r="EC2132"/>
      <c r="ED2132"/>
      <c r="EE2132"/>
      <c r="EF2132"/>
      <c r="EG2132"/>
      <c r="EH2132"/>
      <c r="EI2132"/>
      <c r="EJ2132"/>
      <c r="EK2132"/>
      <c r="EL2132"/>
      <c r="EM2132"/>
      <c r="EN2132"/>
      <c r="EO2132"/>
      <c r="EP2132"/>
      <c r="EQ2132"/>
      <c r="ER2132"/>
      <c r="ES2132"/>
    </row>
    <row r="2133" spans="1:149">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c r="CW2133"/>
      <c r="CX2133"/>
      <c r="CY2133"/>
      <c r="CZ2133"/>
      <c r="DA2133"/>
      <c r="DB2133"/>
      <c r="DC2133"/>
      <c r="DD2133"/>
      <c r="DE2133"/>
      <c r="DF2133"/>
      <c r="DG2133"/>
      <c r="DH2133"/>
      <c r="DI2133"/>
      <c r="DJ2133"/>
      <c r="DK2133"/>
      <c r="DL2133"/>
      <c r="DM2133"/>
      <c r="DN2133"/>
      <c r="DO2133"/>
      <c r="DP2133"/>
      <c r="DQ2133"/>
      <c r="DR2133"/>
      <c r="DS2133"/>
      <c r="DT2133"/>
      <c r="DU2133"/>
      <c r="DV2133"/>
      <c r="DW2133"/>
      <c r="DX2133"/>
      <c r="DY2133"/>
      <c r="DZ2133"/>
      <c r="EA2133"/>
      <c r="EB2133"/>
      <c r="EC2133"/>
      <c r="ED2133"/>
      <c r="EE2133"/>
      <c r="EF2133"/>
      <c r="EG2133"/>
      <c r="EH2133"/>
      <c r="EI2133"/>
      <c r="EJ2133"/>
      <c r="EK2133"/>
      <c r="EL2133"/>
      <c r="EM2133"/>
      <c r="EN2133"/>
      <c r="EO2133"/>
      <c r="EP2133"/>
      <c r="EQ2133"/>
      <c r="ER2133"/>
      <c r="ES2133"/>
    </row>
    <row r="2134" spans="1:149">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c r="CW2134"/>
      <c r="CX2134"/>
      <c r="CY2134"/>
      <c r="CZ2134"/>
      <c r="DA2134"/>
      <c r="DB2134"/>
      <c r="DC2134"/>
      <c r="DD2134"/>
      <c r="DE2134"/>
      <c r="DF2134"/>
      <c r="DG2134"/>
      <c r="DH2134"/>
      <c r="DI2134"/>
      <c r="DJ2134"/>
      <c r="DK2134"/>
      <c r="DL2134"/>
      <c r="DM2134"/>
      <c r="DN2134"/>
      <c r="DO2134"/>
      <c r="DP2134"/>
      <c r="DQ2134"/>
      <c r="DR2134"/>
      <c r="DS2134"/>
      <c r="DT2134"/>
      <c r="DU2134"/>
      <c r="DV2134"/>
      <c r="DW2134"/>
      <c r="DX2134"/>
      <c r="DY2134"/>
      <c r="DZ2134"/>
      <c r="EA2134"/>
      <c r="EB2134"/>
      <c r="EC2134"/>
      <c r="ED2134"/>
      <c r="EE2134"/>
      <c r="EF2134"/>
      <c r="EG2134"/>
      <c r="EH2134"/>
      <c r="EI2134"/>
      <c r="EJ2134"/>
      <c r="EK2134"/>
      <c r="EL2134"/>
      <c r="EM2134"/>
      <c r="EN2134"/>
      <c r="EO2134"/>
      <c r="EP2134"/>
      <c r="EQ2134"/>
      <c r="ER2134"/>
      <c r="ES2134"/>
    </row>
    <row r="2135" spans="1:149">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c r="CW2135"/>
      <c r="CX2135"/>
      <c r="CY2135"/>
      <c r="CZ2135"/>
      <c r="DA2135"/>
      <c r="DB2135"/>
      <c r="DC2135"/>
      <c r="DD2135"/>
      <c r="DE2135"/>
      <c r="DF2135"/>
      <c r="DG2135"/>
      <c r="DH2135"/>
      <c r="DI2135"/>
      <c r="DJ2135"/>
      <c r="DK2135"/>
      <c r="DL2135"/>
      <c r="DM2135"/>
      <c r="DN2135"/>
      <c r="DO2135"/>
      <c r="DP2135"/>
      <c r="DQ2135"/>
      <c r="DR2135"/>
      <c r="DS2135"/>
      <c r="DT2135"/>
      <c r="DU2135"/>
      <c r="DV2135"/>
      <c r="DW2135"/>
      <c r="DX2135"/>
      <c r="DY2135"/>
      <c r="DZ2135"/>
      <c r="EA2135"/>
      <c r="EB2135"/>
      <c r="EC2135"/>
      <c r="ED2135"/>
      <c r="EE2135"/>
      <c r="EF2135"/>
      <c r="EG2135"/>
      <c r="EH2135"/>
      <c r="EI2135"/>
      <c r="EJ2135"/>
      <c r="EK2135"/>
      <c r="EL2135"/>
      <c r="EM2135"/>
      <c r="EN2135"/>
      <c r="EO2135"/>
      <c r="EP2135"/>
      <c r="EQ2135"/>
      <c r="ER2135"/>
      <c r="ES2135"/>
    </row>
    <row r="2136" spans="1:149">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c r="CW2136"/>
      <c r="CX2136"/>
      <c r="CY2136"/>
      <c r="CZ2136"/>
      <c r="DA2136"/>
      <c r="DB2136"/>
      <c r="DC2136"/>
      <c r="DD2136"/>
      <c r="DE2136"/>
      <c r="DF2136"/>
      <c r="DG2136"/>
      <c r="DH2136"/>
      <c r="DI2136"/>
      <c r="DJ2136"/>
      <c r="DK2136"/>
      <c r="DL2136"/>
      <c r="DM2136"/>
      <c r="DN2136"/>
      <c r="DO2136"/>
      <c r="DP2136"/>
      <c r="DQ2136"/>
      <c r="DR2136"/>
      <c r="DS2136"/>
      <c r="DT2136"/>
      <c r="DU2136"/>
      <c r="DV2136"/>
      <c r="DW2136"/>
      <c r="DX2136"/>
      <c r="DY2136"/>
      <c r="DZ2136"/>
      <c r="EA2136"/>
      <c r="EB2136"/>
      <c r="EC2136"/>
      <c r="ED2136"/>
      <c r="EE2136"/>
      <c r="EF2136"/>
      <c r="EG2136"/>
      <c r="EH2136"/>
      <c r="EI2136"/>
      <c r="EJ2136"/>
      <c r="EK2136"/>
      <c r="EL2136"/>
      <c r="EM2136"/>
      <c r="EN2136"/>
      <c r="EO2136"/>
      <c r="EP2136"/>
      <c r="EQ2136"/>
      <c r="ER2136"/>
      <c r="ES2136"/>
    </row>
    <row r="2137" spans="1:149">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c r="CW2137"/>
      <c r="CX2137"/>
      <c r="CY2137"/>
      <c r="CZ2137"/>
      <c r="DA2137"/>
      <c r="DB2137"/>
      <c r="DC2137"/>
      <c r="DD2137"/>
      <c r="DE2137"/>
      <c r="DF2137"/>
      <c r="DG2137"/>
      <c r="DH2137"/>
      <c r="DI2137"/>
      <c r="DJ2137"/>
      <c r="DK2137"/>
      <c r="DL2137"/>
      <c r="DM2137"/>
      <c r="DN2137"/>
      <c r="DO2137"/>
      <c r="DP2137"/>
      <c r="DQ2137"/>
      <c r="DR2137"/>
      <c r="DS2137"/>
      <c r="DT2137"/>
      <c r="DU2137"/>
      <c r="DV2137"/>
      <c r="DW2137"/>
      <c r="DX2137"/>
      <c r="DY2137"/>
      <c r="DZ2137"/>
      <c r="EA2137"/>
      <c r="EB2137"/>
      <c r="EC2137"/>
      <c r="ED2137"/>
      <c r="EE2137"/>
      <c r="EF2137"/>
      <c r="EG2137"/>
      <c r="EH2137"/>
      <c r="EI2137"/>
      <c r="EJ2137"/>
      <c r="EK2137"/>
      <c r="EL2137"/>
      <c r="EM2137"/>
      <c r="EN2137"/>
      <c r="EO2137"/>
      <c r="EP2137"/>
      <c r="EQ2137"/>
      <c r="ER2137"/>
      <c r="ES2137"/>
    </row>
    <row r="2138" spans="1:149">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c r="CW2138"/>
      <c r="CX2138"/>
      <c r="CY2138"/>
      <c r="CZ2138"/>
      <c r="DA2138"/>
      <c r="DB2138"/>
      <c r="DC2138"/>
      <c r="DD2138"/>
      <c r="DE2138"/>
      <c r="DF2138"/>
      <c r="DG2138"/>
      <c r="DH2138"/>
      <c r="DI2138"/>
      <c r="DJ2138"/>
      <c r="DK2138"/>
      <c r="DL2138"/>
      <c r="DM2138"/>
      <c r="DN2138"/>
      <c r="DO2138"/>
      <c r="DP2138"/>
      <c r="DQ2138"/>
      <c r="DR2138"/>
      <c r="DS2138"/>
      <c r="DT2138"/>
      <c r="DU2138"/>
      <c r="DV2138"/>
      <c r="DW2138"/>
      <c r="DX2138"/>
      <c r="DY2138"/>
      <c r="DZ2138"/>
      <c r="EA2138"/>
      <c r="EB2138"/>
      <c r="EC2138"/>
      <c r="ED2138"/>
      <c r="EE2138"/>
      <c r="EF2138"/>
      <c r="EG2138"/>
      <c r="EH2138"/>
      <c r="EI2138"/>
      <c r="EJ2138"/>
      <c r="EK2138"/>
      <c r="EL2138"/>
      <c r="EM2138"/>
      <c r="EN2138"/>
      <c r="EO2138"/>
      <c r="EP2138"/>
      <c r="EQ2138"/>
      <c r="ER2138"/>
      <c r="ES2138"/>
    </row>
    <row r="2139" spans="1:149">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c r="CW2139"/>
      <c r="CX2139"/>
      <c r="CY2139"/>
      <c r="CZ2139"/>
      <c r="DA2139"/>
      <c r="DB2139"/>
      <c r="DC2139"/>
      <c r="DD2139"/>
      <c r="DE2139"/>
      <c r="DF2139"/>
      <c r="DG2139"/>
      <c r="DH2139"/>
      <c r="DI2139"/>
      <c r="DJ2139"/>
      <c r="DK2139"/>
      <c r="DL2139"/>
      <c r="DM2139"/>
      <c r="DN2139"/>
      <c r="DO2139"/>
      <c r="DP2139"/>
      <c r="DQ2139"/>
      <c r="DR2139"/>
      <c r="DS2139"/>
      <c r="DT2139"/>
      <c r="DU2139"/>
      <c r="DV2139"/>
      <c r="DW2139"/>
      <c r="DX2139"/>
      <c r="DY2139"/>
      <c r="DZ2139"/>
      <c r="EA2139"/>
      <c r="EB2139"/>
      <c r="EC2139"/>
      <c r="ED2139"/>
      <c r="EE2139"/>
      <c r="EF2139"/>
      <c r="EG2139"/>
      <c r="EH2139"/>
      <c r="EI2139"/>
      <c r="EJ2139"/>
      <c r="EK2139"/>
      <c r="EL2139"/>
      <c r="EM2139"/>
      <c r="EN2139"/>
      <c r="EO2139"/>
      <c r="EP2139"/>
      <c r="EQ2139"/>
      <c r="ER2139"/>
      <c r="ES2139"/>
    </row>
    <row r="2140" spans="1:149">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c r="CW2140"/>
      <c r="CX2140"/>
      <c r="CY2140"/>
      <c r="CZ2140"/>
      <c r="DA2140"/>
      <c r="DB2140"/>
      <c r="DC2140"/>
      <c r="DD2140"/>
      <c r="DE2140"/>
      <c r="DF2140"/>
      <c r="DG2140"/>
      <c r="DH2140"/>
      <c r="DI2140"/>
      <c r="DJ2140"/>
      <c r="DK2140"/>
      <c r="DL2140"/>
      <c r="DM2140"/>
      <c r="DN2140"/>
      <c r="DO2140"/>
      <c r="DP2140"/>
      <c r="DQ2140"/>
      <c r="DR2140"/>
      <c r="DS2140"/>
      <c r="DT2140"/>
      <c r="DU2140"/>
      <c r="DV2140"/>
      <c r="DW2140"/>
      <c r="DX2140"/>
      <c r="DY2140"/>
      <c r="DZ2140"/>
      <c r="EA2140"/>
      <c r="EB2140"/>
      <c r="EC2140"/>
      <c r="ED2140"/>
      <c r="EE2140"/>
      <c r="EF2140"/>
      <c r="EG2140"/>
      <c r="EH2140"/>
      <c r="EI2140"/>
      <c r="EJ2140"/>
      <c r="EK2140"/>
      <c r="EL2140"/>
      <c r="EM2140"/>
      <c r="EN2140"/>
      <c r="EO2140"/>
      <c r="EP2140"/>
      <c r="EQ2140"/>
      <c r="ER2140"/>
      <c r="ES2140"/>
    </row>
    <row r="2141" spans="1:149">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c r="CW2141"/>
      <c r="CX2141"/>
      <c r="CY2141"/>
      <c r="CZ2141"/>
      <c r="DA2141"/>
      <c r="DB2141"/>
      <c r="DC2141"/>
      <c r="DD2141"/>
      <c r="DE2141"/>
      <c r="DF2141"/>
      <c r="DG2141"/>
      <c r="DH2141"/>
      <c r="DI2141"/>
      <c r="DJ2141"/>
      <c r="DK2141"/>
      <c r="DL2141"/>
      <c r="DM2141"/>
      <c r="DN2141"/>
      <c r="DO2141"/>
      <c r="DP2141"/>
      <c r="DQ2141"/>
      <c r="DR2141"/>
      <c r="DS2141"/>
      <c r="DT2141"/>
      <c r="DU2141"/>
      <c r="DV2141"/>
      <c r="DW2141"/>
      <c r="DX2141"/>
      <c r="DY2141"/>
      <c r="DZ2141"/>
      <c r="EA2141"/>
      <c r="EB2141"/>
      <c r="EC2141"/>
      <c r="ED2141"/>
      <c r="EE2141"/>
      <c r="EF2141"/>
      <c r="EG2141"/>
      <c r="EH2141"/>
      <c r="EI2141"/>
      <c r="EJ2141"/>
      <c r="EK2141"/>
      <c r="EL2141"/>
      <c r="EM2141"/>
      <c r="EN2141"/>
      <c r="EO2141"/>
      <c r="EP2141"/>
      <c r="EQ2141"/>
      <c r="ER2141"/>
      <c r="ES2141"/>
    </row>
    <row r="2142" spans="1:149">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c r="CW2142"/>
      <c r="CX2142"/>
      <c r="CY2142"/>
      <c r="CZ2142"/>
      <c r="DA2142"/>
      <c r="DB2142"/>
      <c r="DC2142"/>
      <c r="DD2142"/>
      <c r="DE2142"/>
      <c r="DF2142"/>
      <c r="DG2142"/>
      <c r="DH2142"/>
      <c r="DI2142"/>
      <c r="DJ2142"/>
      <c r="DK2142"/>
      <c r="DL2142"/>
      <c r="DM2142"/>
      <c r="DN2142"/>
      <c r="DO2142"/>
      <c r="DP2142"/>
      <c r="DQ2142"/>
      <c r="DR2142"/>
      <c r="DS2142"/>
      <c r="DT2142"/>
      <c r="DU2142"/>
      <c r="DV2142"/>
      <c r="DW2142"/>
      <c r="DX2142"/>
      <c r="DY2142"/>
      <c r="DZ2142"/>
      <c r="EA2142"/>
      <c r="EB2142"/>
      <c r="EC2142"/>
      <c r="ED2142"/>
      <c r="EE2142"/>
      <c r="EF2142"/>
      <c r="EG2142"/>
      <c r="EH2142"/>
      <c r="EI2142"/>
      <c r="EJ2142"/>
      <c r="EK2142"/>
      <c r="EL2142"/>
      <c r="EM2142"/>
      <c r="EN2142"/>
      <c r="EO2142"/>
      <c r="EP2142"/>
      <c r="EQ2142"/>
      <c r="ER2142"/>
      <c r="ES2142"/>
    </row>
    <row r="2143" spans="1:149">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c r="CW2143"/>
      <c r="CX2143"/>
      <c r="CY2143"/>
      <c r="CZ2143"/>
      <c r="DA2143"/>
      <c r="DB2143"/>
      <c r="DC2143"/>
      <c r="DD2143"/>
      <c r="DE2143"/>
      <c r="DF2143"/>
      <c r="DG2143"/>
      <c r="DH2143"/>
      <c r="DI2143"/>
      <c r="DJ2143"/>
      <c r="DK2143"/>
      <c r="DL2143"/>
      <c r="DM2143"/>
      <c r="DN2143"/>
      <c r="DO2143"/>
      <c r="DP2143"/>
      <c r="DQ2143"/>
      <c r="DR2143"/>
      <c r="DS2143"/>
      <c r="DT2143"/>
      <c r="DU2143"/>
      <c r="DV2143"/>
      <c r="DW2143"/>
      <c r="DX2143"/>
      <c r="DY2143"/>
      <c r="DZ2143"/>
      <c r="EA2143"/>
      <c r="EB2143"/>
      <c r="EC2143"/>
      <c r="ED2143"/>
      <c r="EE2143"/>
      <c r="EF2143"/>
      <c r="EG2143"/>
      <c r="EH2143"/>
      <c r="EI2143"/>
      <c r="EJ2143"/>
      <c r="EK2143"/>
      <c r="EL2143"/>
      <c r="EM2143"/>
      <c r="EN2143"/>
      <c r="EO2143"/>
      <c r="EP2143"/>
      <c r="EQ2143"/>
      <c r="ER2143"/>
      <c r="ES2143"/>
    </row>
    <row r="2144" spans="1:149">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c r="CW2144"/>
      <c r="CX2144"/>
      <c r="CY2144"/>
      <c r="CZ2144"/>
      <c r="DA2144"/>
      <c r="DB2144"/>
      <c r="DC2144"/>
      <c r="DD2144"/>
      <c r="DE2144"/>
      <c r="DF2144"/>
      <c r="DG2144"/>
      <c r="DH2144"/>
      <c r="DI2144"/>
      <c r="DJ2144"/>
      <c r="DK2144"/>
      <c r="DL2144"/>
      <c r="DM2144"/>
      <c r="DN2144"/>
      <c r="DO2144"/>
      <c r="DP2144"/>
      <c r="DQ2144"/>
      <c r="DR2144"/>
      <c r="DS2144"/>
      <c r="DT2144"/>
      <c r="DU2144"/>
      <c r="DV2144"/>
      <c r="DW2144"/>
      <c r="DX2144"/>
      <c r="DY2144"/>
      <c r="DZ2144"/>
      <c r="EA2144"/>
      <c r="EB2144"/>
      <c r="EC2144"/>
      <c r="ED2144"/>
      <c r="EE2144"/>
      <c r="EF2144"/>
      <c r="EG2144"/>
      <c r="EH2144"/>
      <c r="EI2144"/>
      <c r="EJ2144"/>
      <c r="EK2144"/>
      <c r="EL2144"/>
      <c r="EM2144"/>
      <c r="EN2144"/>
      <c r="EO2144"/>
      <c r="EP2144"/>
      <c r="EQ2144"/>
      <c r="ER2144"/>
      <c r="ES2144"/>
    </row>
    <row r="2145" spans="1:149">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c r="CW2145"/>
      <c r="CX2145"/>
      <c r="CY2145"/>
      <c r="CZ2145"/>
      <c r="DA2145"/>
      <c r="DB2145"/>
      <c r="DC2145"/>
      <c r="DD2145"/>
      <c r="DE2145"/>
      <c r="DF2145"/>
      <c r="DG2145"/>
      <c r="DH2145"/>
      <c r="DI2145"/>
      <c r="DJ2145"/>
      <c r="DK2145"/>
      <c r="DL2145"/>
      <c r="DM2145"/>
      <c r="DN2145"/>
      <c r="DO2145"/>
      <c r="DP2145"/>
      <c r="DQ2145"/>
      <c r="DR2145"/>
      <c r="DS2145"/>
      <c r="DT2145"/>
      <c r="DU2145"/>
      <c r="DV2145"/>
      <c r="DW2145"/>
      <c r="DX2145"/>
      <c r="DY2145"/>
      <c r="DZ2145"/>
      <c r="EA2145"/>
      <c r="EB2145"/>
      <c r="EC2145"/>
      <c r="ED2145"/>
      <c r="EE2145"/>
      <c r="EF2145"/>
      <c r="EG2145"/>
      <c r="EH2145"/>
      <c r="EI2145"/>
      <c r="EJ2145"/>
      <c r="EK2145"/>
      <c r="EL2145"/>
      <c r="EM2145"/>
      <c r="EN2145"/>
      <c r="EO2145"/>
      <c r="EP2145"/>
      <c r="EQ2145"/>
      <c r="ER2145"/>
      <c r="ES2145"/>
    </row>
    <row r="2146" spans="1:149">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c r="CW2146"/>
      <c r="CX2146"/>
      <c r="CY2146"/>
      <c r="CZ2146"/>
      <c r="DA2146"/>
      <c r="DB2146"/>
      <c r="DC2146"/>
      <c r="DD2146"/>
      <c r="DE2146"/>
      <c r="DF2146"/>
      <c r="DG2146"/>
      <c r="DH2146"/>
      <c r="DI2146"/>
      <c r="DJ2146"/>
      <c r="DK2146"/>
      <c r="DL2146"/>
      <c r="DM2146"/>
      <c r="DN2146"/>
      <c r="DO2146"/>
      <c r="DP2146"/>
      <c r="DQ2146"/>
      <c r="DR2146"/>
      <c r="DS2146"/>
      <c r="DT2146"/>
      <c r="DU2146"/>
      <c r="DV2146"/>
      <c r="DW2146"/>
      <c r="DX2146"/>
      <c r="DY2146"/>
      <c r="DZ2146"/>
      <c r="EA2146"/>
      <c r="EB2146"/>
      <c r="EC2146"/>
      <c r="ED2146"/>
      <c r="EE2146"/>
      <c r="EF2146"/>
      <c r="EG2146"/>
      <c r="EH2146"/>
      <c r="EI2146"/>
      <c r="EJ2146"/>
      <c r="EK2146"/>
      <c r="EL2146"/>
      <c r="EM2146"/>
      <c r="EN2146"/>
      <c r="EO2146"/>
      <c r="EP2146"/>
      <c r="EQ2146"/>
      <c r="ER2146"/>
      <c r="ES2146"/>
    </row>
    <row r="2147" spans="1:149">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c r="CW2147"/>
      <c r="CX2147"/>
      <c r="CY2147"/>
      <c r="CZ2147"/>
      <c r="DA2147"/>
      <c r="DB2147"/>
      <c r="DC2147"/>
      <c r="DD2147"/>
      <c r="DE2147"/>
      <c r="DF2147"/>
      <c r="DG2147"/>
      <c r="DH2147"/>
      <c r="DI2147"/>
      <c r="DJ2147"/>
      <c r="DK2147"/>
      <c r="DL2147"/>
      <c r="DM2147"/>
      <c r="DN2147"/>
      <c r="DO2147"/>
      <c r="DP2147"/>
      <c r="DQ2147"/>
      <c r="DR2147"/>
      <c r="DS2147"/>
      <c r="DT2147"/>
      <c r="DU2147"/>
      <c r="DV2147"/>
      <c r="DW2147"/>
      <c r="DX2147"/>
      <c r="DY2147"/>
      <c r="DZ2147"/>
      <c r="EA2147"/>
      <c r="EB2147"/>
      <c r="EC2147"/>
      <c r="ED2147"/>
      <c r="EE2147"/>
      <c r="EF2147"/>
      <c r="EG2147"/>
      <c r="EH2147"/>
      <c r="EI2147"/>
      <c r="EJ2147"/>
      <c r="EK2147"/>
      <c r="EL2147"/>
      <c r="EM2147"/>
      <c r="EN2147"/>
      <c r="EO2147"/>
      <c r="EP2147"/>
      <c r="EQ2147"/>
      <c r="ER2147"/>
      <c r="ES2147"/>
    </row>
    <row r="2148" spans="1:149">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c r="CW2148"/>
      <c r="CX2148"/>
      <c r="CY2148"/>
      <c r="CZ2148"/>
      <c r="DA2148"/>
      <c r="DB2148"/>
      <c r="DC2148"/>
      <c r="DD2148"/>
      <c r="DE2148"/>
      <c r="DF2148"/>
      <c r="DG2148"/>
      <c r="DH2148"/>
      <c r="DI2148"/>
      <c r="DJ2148"/>
      <c r="DK2148"/>
      <c r="DL2148"/>
      <c r="DM2148"/>
      <c r="DN2148"/>
      <c r="DO2148"/>
      <c r="DP2148"/>
      <c r="DQ2148"/>
      <c r="DR2148"/>
      <c r="DS2148"/>
      <c r="DT2148"/>
      <c r="DU2148"/>
      <c r="DV2148"/>
      <c r="DW2148"/>
      <c r="DX2148"/>
      <c r="DY2148"/>
      <c r="DZ2148"/>
      <c r="EA2148"/>
      <c r="EB2148"/>
      <c r="EC2148"/>
      <c r="ED2148"/>
      <c r="EE2148"/>
      <c r="EF2148"/>
      <c r="EG2148"/>
      <c r="EH2148"/>
      <c r="EI2148"/>
      <c r="EJ2148"/>
      <c r="EK2148"/>
      <c r="EL2148"/>
      <c r="EM2148"/>
      <c r="EN2148"/>
      <c r="EO2148"/>
      <c r="EP2148"/>
      <c r="EQ2148"/>
      <c r="ER2148"/>
      <c r="ES2148"/>
    </row>
    <row r="2149" spans="1:149">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c r="CW2149"/>
      <c r="CX2149"/>
      <c r="CY2149"/>
      <c r="CZ2149"/>
      <c r="DA2149"/>
      <c r="DB2149"/>
      <c r="DC2149"/>
      <c r="DD2149"/>
      <c r="DE2149"/>
      <c r="DF2149"/>
      <c r="DG2149"/>
      <c r="DH2149"/>
      <c r="DI2149"/>
      <c r="DJ2149"/>
      <c r="DK2149"/>
      <c r="DL2149"/>
      <c r="DM2149"/>
      <c r="DN2149"/>
      <c r="DO2149"/>
      <c r="DP2149"/>
      <c r="DQ2149"/>
      <c r="DR2149"/>
      <c r="DS2149"/>
      <c r="DT2149"/>
      <c r="DU2149"/>
      <c r="DV2149"/>
      <c r="DW2149"/>
      <c r="DX2149"/>
      <c r="DY2149"/>
      <c r="DZ2149"/>
      <c r="EA2149"/>
      <c r="EB2149"/>
      <c r="EC2149"/>
      <c r="ED2149"/>
      <c r="EE2149"/>
      <c r="EF2149"/>
      <c r="EG2149"/>
      <c r="EH2149"/>
      <c r="EI2149"/>
      <c r="EJ2149"/>
      <c r="EK2149"/>
      <c r="EL2149"/>
      <c r="EM2149"/>
      <c r="EN2149"/>
      <c r="EO2149"/>
      <c r="EP2149"/>
      <c r="EQ2149"/>
      <c r="ER2149"/>
      <c r="ES2149"/>
    </row>
    <row r="2150" spans="1:149">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c r="CW2150"/>
      <c r="CX2150"/>
      <c r="CY2150"/>
      <c r="CZ2150"/>
      <c r="DA2150"/>
      <c r="DB2150"/>
      <c r="DC2150"/>
      <c r="DD2150"/>
      <c r="DE2150"/>
      <c r="DF2150"/>
      <c r="DG2150"/>
      <c r="DH2150"/>
      <c r="DI2150"/>
      <c r="DJ2150"/>
      <c r="DK2150"/>
      <c r="DL2150"/>
      <c r="DM2150"/>
      <c r="DN2150"/>
      <c r="DO2150"/>
      <c r="DP2150"/>
      <c r="DQ2150"/>
      <c r="DR2150"/>
      <c r="DS2150"/>
      <c r="DT2150"/>
      <c r="DU2150"/>
      <c r="DV2150"/>
      <c r="DW2150"/>
      <c r="DX2150"/>
      <c r="DY2150"/>
      <c r="DZ2150"/>
      <c r="EA2150"/>
      <c r="EB2150"/>
      <c r="EC2150"/>
      <c r="ED2150"/>
      <c r="EE2150"/>
      <c r="EF2150"/>
      <c r="EG2150"/>
      <c r="EH2150"/>
      <c r="EI2150"/>
      <c r="EJ2150"/>
      <c r="EK2150"/>
      <c r="EL2150"/>
      <c r="EM2150"/>
      <c r="EN2150"/>
      <c r="EO2150"/>
      <c r="EP2150"/>
      <c r="EQ2150"/>
      <c r="ER2150"/>
      <c r="ES2150"/>
    </row>
    <row r="2151" spans="1:149">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c r="CW2151"/>
      <c r="CX2151"/>
      <c r="CY2151"/>
      <c r="CZ2151"/>
      <c r="DA2151"/>
      <c r="DB2151"/>
      <c r="DC2151"/>
      <c r="DD2151"/>
      <c r="DE2151"/>
      <c r="DF2151"/>
      <c r="DG2151"/>
      <c r="DH2151"/>
      <c r="DI2151"/>
      <c r="DJ2151"/>
      <c r="DK2151"/>
      <c r="DL2151"/>
      <c r="DM2151"/>
      <c r="DN2151"/>
      <c r="DO2151"/>
      <c r="DP2151"/>
      <c r="DQ2151"/>
      <c r="DR2151"/>
      <c r="DS2151"/>
      <c r="DT2151"/>
      <c r="DU2151"/>
      <c r="DV2151"/>
      <c r="DW2151"/>
      <c r="DX2151"/>
      <c r="DY2151"/>
      <c r="DZ2151"/>
      <c r="EA2151"/>
      <c r="EB2151"/>
      <c r="EC2151"/>
      <c r="ED2151"/>
      <c r="EE2151"/>
      <c r="EF2151"/>
      <c r="EG2151"/>
      <c r="EH2151"/>
      <c r="EI2151"/>
      <c r="EJ2151"/>
      <c r="EK2151"/>
      <c r="EL2151"/>
      <c r="EM2151"/>
      <c r="EN2151"/>
      <c r="EO2151"/>
      <c r="EP2151"/>
      <c r="EQ2151"/>
      <c r="ER2151"/>
      <c r="ES2151"/>
    </row>
    <row r="2152" spans="1:149">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c r="CW2152"/>
      <c r="CX2152"/>
      <c r="CY2152"/>
      <c r="CZ2152"/>
      <c r="DA2152"/>
      <c r="DB2152"/>
      <c r="DC2152"/>
      <c r="DD2152"/>
      <c r="DE2152"/>
      <c r="DF2152"/>
      <c r="DG2152"/>
      <c r="DH2152"/>
      <c r="DI2152"/>
      <c r="DJ2152"/>
      <c r="DK2152"/>
      <c r="DL2152"/>
      <c r="DM2152"/>
      <c r="DN2152"/>
      <c r="DO2152"/>
      <c r="DP2152"/>
      <c r="DQ2152"/>
      <c r="DR2152"/>
      <c r="DS2152"/>
      <c r="DT2152"/>
      <c r="DU2152"/>
      <c r="DV2152"/>
      <c r="DW2152"/>
      <c r="DX2152"/>
      <c r="DY2152"/>
      <c r="DZ2152"/>
      <c r="EA2152"/>
      <c r="EB2152"/>
      <c r="EC2152"/>
      <c r="ED2152"/>
      <c r="EE2152"/>
      <c r="EF2152"/>
      <c r="EG2152"/>
      <c r="EH2152"/>
      <c r="EI2152"/>
      <c r="EJ2152"/>
      <c r="EK2152"/>
      <c r="EL2152"/>
      <c r="EM2152"/>
      <c r="EN2152"/>
      <c r="EO2152"/>
      <c r="EP2152"/>
      <c r="EQ2152"/>
      <c r="ER2152"/>
      <c r="ES2152"/>
    </row>
    <row r="2153" spans="1:149">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c r="CW2153"/>
      <c r="CX2153"/>
      <c r="CY2153"/>
      <c r="CZ2153"/>
      <c r="DA2153"/>
      <c r="DB2153"/>
      <c r="DC2153"/>
      <c r="DD2153"/>
      <c r="DE2153"/>
      <c r="DF2153"/>
      <c r="DG2153"/>
      <c r="DH2153"/>
      <c r="DI2153"/>
      <c r="DJ2153"/>
      <c r="DK2153"/>
      <c r="DL2153"/>
      <c r="DM2153"/>
      <c r="DN2153"/>
      <c r="DO2153"/>
      <c r="DP2153"/>
      <c r="DQ2153"/>
      <c r="DR2153"/>
      <c r="DS2153"/>
      <c r="DT2153"/>
      <c r="DU2153"/>
      <c r="DV2153"/>
      <c r="DW2153"/>
      <c r="DX2153"/>
      <c r="DY2153"/>
      <c r="DZ2153"/>
      <c r="EA2153"/>
      <c r="EB2153"/>
      <c r="EC2153"/>
      <c r="ED2153"/>
      <c r="EE2153"/>
      <c r="EF2153"/>
      <c r="EG2153"/>
      <c r="EH2153"/>
      <c r="EI2153"/>
      <c r="EJ2153"/>
      <c r="EK2153"/>
      <c r="EL2153"/>
      <c r="EM2153"/>
      <c r="EN2153"/>
      <c r="EO2153"/>
      <c r="EP2153"/>
      <c r="EQ2153"/>
      <c r="ER2153"/>
      <c r="ES2153"/>
    </row>
    <row r="2154" spans="1:149">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c r="CW2154"/>
      <c r="CX2154"/>
      <c r="CY2154"/>
      <c r="CZ2154"/>
      <c r="DA2154"/>
      <c r="DB2154"/>
      <c r="DC2154"/>
      <c r="DD2154"/>
      <c r="DE2154"/>
      <c r="DF2154"/>
      <c r="DG2154"/>
      <c r="DH2154"/>
      <c r="DI2154"/>
      <c r="DJ2154"/>
      <c r="DK2154"/>
      <c r="DL2154"/>
      <c r="DM2154"/>
      <c r="DN2154"/>
      <c r="DO2154"/>
      <c r="DP2154"/>
      <c r="DQ2154"/>
      <c r="DR2154"/>
      <c r="DS2154"/>
      <c r="DT2154"/>
      <c r="DU2154"/>
      <c r="DV2154"/>
      <c r="DW2154"/>
      <c r="DX2154"/>
      <c r="DY2154"/>
      <c r="DZ2154"/>
      <c r="EA2154"/>
      <c r="EB2154"/>
      <c r="EC2154"/>
      <c r="ED2154"/>
      <c r="EE2154"/>
      <c r="EF2154"/>
      <c r="EG2154"/>
      <c r="EH2154"/>
      <c r="EI2154"/>
      <c r="EJ2154"/>
      <c r="EK2154"/>
      <c r="EL2154"/>
      <c r="EM2154"/>
      <c r="EN2154"/>
      <c r="EO2154"/>
      <c r="EP2154"/>
      <c r="EQ2154"/>
      <c r="ER2154"/>
      <c r="ES2154"/>
    </row>
    <row r="2155" spans="1:149">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c r="CW2155"/>
      <c r="CX2155"/>
      <c r="CY2155"/>
      <c r="CZ2155"/>
      <c r="DA2155"/>
      <c r="DB2155"/>
      <c r="DC2155"/>
      <c r="DD2155"/>
      <c r="DE2155"/>
      <c r="DF2155"/>
      <c r="DG2155"/>
      <c r="DH2155"/>
      <c r="DI2155"/>
      <c r="DJ2155"/>
      <c r="DK2155"/>
      <c r="DL2155"/>
      <c r="DM2155"/>
      <c r="DN2155"/>
      <c r="DO2155"/>
      <c r="DP2155"/>
      <c r="DQ2155"/>
      <c r="DR2155"/>
      <c r="DS2155"/>
      <c r="DT2155"/>
      <c r="DU2155"/>
      <c r="DV2155"/>
      <c r="DW2155"/>
      <c r="DX2155"/>
      <c r="DY2155"/>
      <c r="DZ2155"/>
      <c r="EA2155"/>
      <c r="EB2155"/>
      <c r="EC2155"/>
      <c r="ED2155"/>
      <c r="EE2155"/>
      <c r="EF2155"/>
      <c r="EG2155"/>
      <c r="EH2155"/>
      <c r="EI2155"/>
      <c r="EJ2155"/>
      <c r="EK2155"/>
      <c r="EL2155"/>
      <c r="EM2155"/>
      <c r="EN2155"/>
      <c r="EO2155"/>
      <c r="EP2155"/>
      <c r="EQ2155"/>
      <c r="ER2155"/>
      <c r="ES2155"/>
    </row>
    <row r="2156" spans="1:149">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c r="CW2156"/>
      <c r="CX2156"/>
      <c r="CY2156"/>
      <c r="CZ2156"/>
      <c r="DA2156"/>
      <c r="DB2156"/>
      <c r="DC2156"/>
      <c r="DD2156"/>
      <c r="DE2156"/>
      <c r="DF2156"/>
      <c r="DG2156"/>
      <c r="DH2156"/>
      <c r="DI2156"/>
      <c r="DJ2156"/>
      <c r="DK2156"/>
      <c r="DL2156"/>
      <c r="DM2156"/>
      <c r="DN2156"/>
      <c r="DO2156"/>
      <c r="DP2156"/>
      <c r="DQ2156"/>
      <c r="DR2156"/>
      <c r="DS2156"/>
      <c r="DT2156"/>
      <c r="DU2156"/>
      <c r="DV2156"/>
      <c r="DW2156"/>
      <c r="DX2156"/>
      <c r="DY2156"/>
      <c r="DZ2156"/>
      <c r="EA2156"/>
      <c r="EB2156"/>
      <c r="EC2156"/>
      <c r="ED2156"/>
      <c r="EE2156"/>
      <c r="EF2156"/>
      <c r="EG2156"/>
      <c r="EH2156"/>
      <c r="EI2156"/>
      <c r="EJ2156"/>
      <c r="EK2156"/>
      <c r="EL2156"/>
      <c r="EM2156"/>
      <c r="EN2156"/>
      <c r="EO2156"/>
      <c r="EP2156"/>
      <c r="EQ2156"/>
      <c r="ER2156"/>
      <c r="ES2156"/>
    </row>
    <row r="2157" spans="1:149">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c r="CW2157"/>
      <c r="CX2157"/>
      <c r="CY2157"/>
      <c r="CZ2157"/>
      <c r="DA2157"/>
      <c r="DB2157"/>
      <c r="DC2157"/>
      <c r="DD2157"/>
      <c r="DE2157"/>
      <c r="DF2157"/>
      <c r="DG2157"/>
      <c r="DH2157"/>
      <c r="DI2157"/>
      <c r="DJ2157"/>
      <c r="DK2157"/>
      <c r="DL2157"/>
      <c r="DM2157"/>
      <c r="DN2157"/>
      <c r="DO2157"/>
      <c r="DP2157"/>
      <c r="DQ2157"/>
      <c r="DR2157"/>
      <c r="DS2157"/>
      <c r="DT2157"/>
      <c r="DU2157"/>
      <c r="DV2157"/>
      <c r="DW2157"/>
      <c r="DX2157"/>
      <c r="DY2157"/>
      <c r="DZ2157"/>
      <c r="EA2157"/>
      <c r="EB2157"/>
      <c r="EC2157"/>
      <c r="ED2157"/>
      <c r="EE2157"/>
      <c r="EF2157"/>
      <c r="EG2157"/>
      <c r="EH2157"/>
      <c r="EI2157"/>
      <c r="EJ2157"/>
      <c r="EK2157"/>
      <c r="EL2157"/>
      <c r="EM2157"/>
      <c r="EN2157"/>
      <c r="EO2157"/>
      <c r="EP2157"/>
      <c r="EQ2157"/>
      <c r="ER2157"/>
      <c r="ES2157"/>
    </row>
    <row r="2158" spans="1:149">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c r="CW2158"/>
      <c r="CX2158"/>
      <c r="CY2158"/>
      <c r="CZ2158"/>
      <c r="DA2158"/>
      <c r="DB2158"/>
      <c r="DC2158"/>
      <c r="DD2158"/>
      <c r="DE2158"/>
      <c r="DF2158"/>
      <c r="DG2158"/>
      <c r="DH2158"/>
      <c r="DI2158"/>
      <c r="DJ2158"/>
      <c r="DK2158"/>
      <c r="DL2158"/>
      <c r="DM2158"/>
      <c r="DN2158"/>
      <c r="DO2158"/>
      <c r="DP2158"/>
      <c r="DQ2158"/>
      <c r="DR2158"/>
      <c r="DS2158"/>
      <c r="DT2158"/>
      <c r="DU2158"/>
      <c r="DV2158"/>
      <c r="DW2158"/>
      <c r="DX2158"/>
      <c r="DY2158"/>
      <c r="DZ2158"/>
      <c r="EA2158"/>
      <c r="EB2158"/>
      <c r="EC2158"/>
      <c r="ED2158"/>
      <c r="EE2158"/>
      <c r="EF2158"/>
      <c r="EG2158"/>
      <c r="EH2158"/>
      <c r="EI2158"/>
      <c r="EJ2158"/>
      <c r="EK2158"/>
      <c r="EL2158"/>
      <c r="EM2158"/>
      <c r="EN2158"/>
      <c r="EO2158"/>
      <c r="EP2158"/>
      <c r="EQ2158"/>
      <c r="ER2158"/>
      <c r="ES2158"/>
    </row>
    <row r="2159" spans="1:149">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c r="CW2159"/>
      <c r="CX2159"/>
      <c r="CY2159"/>
      <c r="CZ2159"/>
      <c r="DA2159"/>
      <c r="DB2159"/>
      <c r="DC2159"/>
      <c r="DD2159"/>
      <c r="DE2159"/>
      <c r="DF2159"/>
      <c r="DG2159"/>
      <c r="DH2159"/>
      <c r="DI2159"/>
      <c r="DJ2159"/>
      <c r="DK2159"/>
      <c r="DL2159"/>
      <c r="DM2159"/>
      <c r="DN2159"/>
      <c r="DO2159"/>
      <c r="DP2159"/>
      <c r="DQ2159"/>
      <c r="DR2159"/>
      <c r="DS2159"/>
      <c r="DT2159"/>
      <c r="DU2159"/>
      <c r="DV2159"/>
      <c r="DW2159"/>
      <c r="DX2159"/>
      <c r="DY2159"/>
      <c r="DZ2159"/>
      <c r="EA2159"/>
      <c r="EB2159"/>
      <c r="EC2159"/>
      <c r="ED2159"/>
      <c r="EE2159"/>
      <c r="EF2159"/>
      <c r="EG2159"/>
      <c r="EH2159"/>
      <c r="EI2159"/>
      <c r="EJ2159"/>
      <c r="EK2159"/>
      <c r="EL2159"/>
      <c r="EM2159"/>
      <c r="EN2159"/>
      <c r="EO2159"/>
      <c r="EP2159"/>
      <c r="EQ2159"/>
      <c r="ER2159"/>
      <c r="ES2159"/>
    </row>
    <row r="2160" spans="1:149">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c r="CW2160"/>
      <c r="CX2160"/>
      <c r="CY2160"/>
      <c r="CZ2160"/>
      <c r="DA2160"/>
      <c r="DB2160"/>
      <c r="DC2160"/>
      <c r="DD2160"/>
      <c r="DE2160"/>
      <c r="DF2160"/>
      <c r="DG2160"/>
      <c r="DH2160"/>
      <c r="DI2160"/>
      <c r="DJ2160"/>
      <c r="DK2160"/>
      <c r="DL2160"/>
      <c r="DM2160"/>
      <c r="DN2160"/>
      <c r="DO2160"/>
      <c r="DP2160"/>
      <c r="DQ2160"/>
      <c r="DR2160"/>
      <c r="DS2160"/>
      <c r="DT2160"/>
      <c r="DU2160"/>
      <c r="DV2160"/>
      <c r="DW2160"/>
      <c r="DX2160"/>
      <c r="DY2160"/>
      <c r="DZ2160"/>
      <c r="EA2160"/>
      <c r="EB2160"/>
      <c r="EC2160"/>
      <c r="ED2160"/>
      <c r="EE2160"/>
      <c r="EF2160"/>
      <c r="EG2160"/>
      <c r="EH2160"/>
      <c r="EI2160"/>
      <c r="EJ2160"/>
      <c r="EK2160"/>
      <c r="EL2160"/>
      <c r="EM2160"/>
      <c r="EN2160"/>
      <c r="EO2160"/>
      <c r="EP2160"/>
      <c r="EQ2160"/>
      <c r="ER2160"/>
      <c r="ES2160"/>
    </row>
    <row r="2161" spans="1:149">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c r="CW2161"/>
      <c r="CX2161"/>
      <c r="CY2161"/>
      <c r="CZ2161"/>
      <c r="DA2161"/>
      <c r="DB2161"/>
      <c r="DC2161"/>
      <c r="DD2161"/>
      <c r="DE2161"/>
      <c r="DF2161"/>
      <c r="DG2161"/>
      <c r="DH2161"/>
      <c r="DI2161"/>
      <c r="DJ2161"/>
      <c r="DK2161"/>
      <c r="DL2161"/>
      <c r="DM2161"/>
      <c r="DN2161"/>
      <c r="DO2161"/>
      <c r="DP2161"/>
      <c r="DQ2161"/>
      <c r="DR2161"/>
      <c r="DS2161"/>
      <c r="DT2161"/>
      <c r="DU2161"/>
      <c r="DV2161"/>
      <c r="DW2161"/>
      <c r="DX2161"/>
      <c r="DY2161"/>
      <c r="DZ2161"/>
      <c r="EA2161"/>
      <c r="EB2161"/>
      <c r="EC2161"/>
      <c r="ED2161"/>
      <c r="EE2161"/>
      <c r="EF2161"/>
      <c r="EG2161"/>
      <c r="EH2161"/>
      <c r="EI2161"/>
      <c r="EJ2161"/>
      <c r="EK2161"/>
      <c r="EL2161"/>
      <c r="EM2161"/>
      <c r="EN2161"/>
      <c r="EO2161"/>
      <c r="EP2161"/>
      <c r="EQ2161"/>
      <c r="ER2161"/>
      <c r="ES2161"/>
    </row>
    <row r="2162" spans="1:149">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c r="CW2162"/>
      <c r="CX2162"/>
      <c r="CY2162"/>
      <c r="CZ2162"/>
      <c r="DA2162"/>
      <c r="DB2162"/>
      <c r="DC2162"/>
      <c r="DD2162"/>
      <c r="DE2162"/>
      <c r="DF2162"/>
      <c r="DG2162"/>
      <c r="DH2162"/>
      <c r="DI2162"/>
      <c r="DJ2162"/>
      <c r="DK2162"/>
      <c r="DL2162"/>
      <c r="DM2162"/>
      <c r="DN2162"/>
      <c r="DO2162"/>
      <c r="DP2162"/>
      <c r="DQ2162"/>
      <c r="DR2162"/>
      <c r="DS2162"/>
      <c r="DT2162"/>
      <c r="DU2162"/>
      <c r="DV2162"/>
      <c r="DW2162"/>
      <c r="DX2162"/>
      <c r="DY2162"/>
      <c r="DZ2162"/>
      <c r="EA2162"/>
      <c r="EB2162"/>
      <c r="EC2162"/>
      <c r="ED2162"/>
      <c r="EE2162"/>
      <c r="EF2162"/>
      <c r="EG2162"/>
      <c r="EH2162"/>
      <c r="EI2162"/>
      <c r="EJ2162"/>
      <c r="EK2162"/>
      <c r="EL2162"/>
      <c r="EM2162"/>
      <c r="EN2162"/>
      <c r="EO2162"/>
      <c r="EP2162"/>
      <c r="EQ2162"/>
      <c r="ER2162"/>
      <c r="ES2162"/>
    </row>
    <row r="2163" spans="1:149">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c r="CW2163"/>
      <c r="CX2163"/>
      <c r="CY2163"/>
      <c r="CZ2163"/>
      <c r="DA2163"/>
      <c r="DB2163"/>
      <c r="DC2163"/>
      <c r="DD2163"/>
      <c r="DE2163"/>
      <c r="DF2163"/>
      <c r="DG2163"/>
      <c r="DH2163"/>
      <c r="DI2163"/>
      <c r="DJ2163"/>
      <c r="DK2163"/>
      <c r="DL2163"/>
      <c r="DM2163"/>
      <c r="DN2163"/>
      <c r="DO2163"/>
      <c r="DP2163"/>
      <c r="DQ2163"/>
      <c r="DR2163"/>
      <c r="DS2163"/>
      <c r="DT2163"/>
      <c r="DU2163"/>
      <c r="DV2163"/>
      <c r="DW2163"/>
      <c r="DX2163"/>
      <c r="DY2163"/>
      <c r="DZ2163"/>
      <c r="EA2163"/>
      <c r="EB2163"/>
      <c r="EC2163"/>
      <c r="ED2163"/>
      <c r="EE2163"/>
      <c r="EF2163"/>
      <c r="EG2163"/>
      <c r="EH2163"/>
      <c r="EI2163"/>
      <c r="EJ2163"/>
      <c r="EK2163"/>
      <c r="EL2163"/>
      <c r="EM2163"/>
      <c r="EN2163"/>
      <c r="EO2163"/>
      <c r="EP2163"/>
      <c r="EQ2163"/>
      <c r="ER2163"/>
      <c r="ES2163"/>
    </row>
    <row r="2164" spans="1:149">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c r="CW2164"/>
      <c r="CX2164"/>
      <c r="CY2164"/>
      <c r="CZ2164"/>
      <c r="DA2164"/>
      <c r="DB2164"/>
      <c r="DC2164"/>
      <c r="DD2164"/>
      <c r="DE2164"/>
      <c r="DF2164"/>
      <c r="DG2164"/>
      <c r="DH2164"/>
      <c r="DI2164"/>
      <c r="DJ2164"/>
      <c r="DK2164"/>
      <c r="DL2164"/>
      <c r="DM2164"/>
      <c r="DN2164"/>
      <c r="DO2164"/>
      <c r="DP2164"/>
      <c r="DQ2164"/>
      <c r="DR2164"/>
      <c r="DS2164"/>
      <c r="DT2164"/>
      <c r="DU2164"/>
      <c r="DV2164"/>
      <c r="DW2164"/>
      <c r="DX2164"/>
      <c r="DY2164"/>
      <c r="DZ2164"/>
      <c r="EA2164"/>
      <c r="EB2164"/>
      <c r="EC2164"/>
      <c r="ED2164"/>
      <c r="EE2164"/>
      <c r="EF2164"/>
      <c r="EG2164"/>
      <c r="EH2164"/>
      <c r="EI2164"/>
      <c r="EJ2164"/>
      <c r="EK2164"/>
      <c r="EL2164"/>
      <c r="EM2164"/>
      <c r="EN2164"/>
      <c r="EO2164"/>
      <c r="EP2164"/>
      <c r="EQ2164"/>
      <c r="ER2164"/>
      <c r="ES2164"/>
    </row>
    <row r="2165" spans="1:149">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c r="CW2165"/>
      <c r="CX2165"/>
      <c r="CY2165"/>
      <c r="CZ2165"/>
      <c r="DA2165"/>
      <c r="DB2165"/>
      <c r="DC2165"/>
      <c r="DD2165"/>
      <c r="DE2165"/>
      <c r="DF2165"/>
      <c r="DG2165"/>
      <c r="DH2165"/>
      <c r="DI2165"/>
      <c r="DJ2165"/>
      <c r="DK2165"/>
      <c r="DL2165"/>
      <c r="DM2165"/>
      <c r="DN2165"/>
      <c r="DO2165"/>
      <c r="DP2165"/>
      <c r="DQ2165"/>
      <c r="DR2165"/>
      <c r="DS2165"/>
      <c r="DT2165"/>
      <c r="DU2165"/>
      <c r="DV2165"/>
      <c r="DW2165"/>
      <c r="DX2165"/>
      <c r="DY2165"/>
      <c r="DZ2165"/>
      <c r="EA2165"/>
      <c r="EB2165"/>
      <c r="EC2165"/>
      <c r="ED2165"/>
      <c r="EE2165"/>
      <c r="EF2165"/>
      <c r="EG2165"/>
      <c r="EH2165"/>
      <c r="EI2165"/>
      <c r="EJ2165"/>
      <c r="EK2165"/>
      <c r="EL2165"/>
      <c r="EM2165"/>
      <c r="EN2165"/>
      <c r="EO2165"/>
      <c r="EP2165"/>
      <c r="EQ2165"/>
      <c r="ER2165"/>
      <c r="ES2165"/>
    </row>
    <row r="2166" spans="1:149">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c r="CW2166"/>
      <c r="CX2166"/>
      <c r="CY2166"/>
      <c r="CZ2166"/>
      <c r="DA2166"/>
      <c r="DB2166"/>
      <c r="DC2166"/>
      <c r="DD2166"/>
      <c r="DE2166"/>
      <c r="DF2166"/>
      <c r="DG2166"/>
      <c r="DH2166"/>
      <c r="DI2166"/>
      <c r="DJ2166"/>
      <c r="DK2166"/>
      <c r="DL2166"/>
      <c r="DM2166"/>
      <c r="DN2166"/>
      <c r="DO2166"/>
      <c r="DP2166"/>
      <c r="DQ2166"/>
      <c r="DR2166"/>
      <c r="DS2166"/>
      <c r="DT2166"/>
      <c r="DU2166"/>
      <c r="DV2166"/>
      <c r="DW2166"/>
      <c r="DX2166"/>
      <c r="DY2166"/>
      <c r="DZ2166"/>
      <c r="EA2166"/>
      <c r="EB2166"/>
      <c r="EC2166"/>
      <c r="ED2166"/>
      <c r="EE2166"/>
      <c r="EF2166"/>
      <c r="EG2166"/>
      <c r="EH2166"/>
      <c r="EI2166"/>
      <c r="EJ2166"/>
      <c r="EK2166"/>
      <c r="EL2166"/>
      <c r="EM2166"/>
      <c r="EN2166"/>
      <c r="EO2166"/>
      <c r="EP2166"/>
      <c r="EQ2166"/>
      <c r="ER2166"/>
      <c r="ES2166"/>
    </row>
    <row r="2167" spans="1:149">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c r="CW2167"/>
      <c r="CX2167"/>
      <c r="CY2167"/>
      <c r="CZ2167"/>
      <c r="DA2167"/>
      <c r="DB2167"/>
      <c r="DC2167"/>
      <c r="DD2167"/>
      <c r="DE2167"/>
      <c r="DF2167"/>
      <c r="DG2167"/>
      <c r="DH2167"/>
      <c r="DI2167"/>
      <c r="DJ2167"/>
      <c r="DK2167"/>
      <c r="DL2167"/>
      <c r="DM2167"/>
      <c r="DN2167"/>
      <c r="DO2167"/>
      <c r="DP2167"/>
      <c r="DQ2167"/>
      <c r="DR2167"/>
      <c r="DS2167"/>
      <c r="DT2167"/>
      <c r="DU2167"/>
      <c r="DV2167"/>
      <c r="DW2167"/>
      <c r="DX2167"/>
      <c r="DY2167"/>
      <c r="DZ2167"/>
      <c r="EA2167"/>
      <c r="EB2167"/>
      <c r="EC2167"/>
      <c r="ED2167"/>
      <c r="EE2167"/>
      <c r="EF2167"/>
      <c r="EG2167"/>
      <c r="EH2167"/>
      <c r="EI2167"/>
      <c r="EJ2167"/>
      <c r="EK2167"/>
      <c r="EL2167"/>
      <c r="EM2167"/>
      <c r="EN2167"/>
      <c r="EO2167"/>
      <c r="EP2167"/>
      <c r="EQ2167"/>
      <c r="ER2167"/>
      <c r="ES2167"/>
    </row>
    <row r="2168" spans="1:149">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c r="CW2168"/>
      <c r="CX2168"/>
      <c r="CY2168"/>
      <c r="CZ2168"/>
      <c r="DA2168"/>
      <c r="DB2168"/>
      <c r="DC2168"/>
      <c r="DD2168"/>
      <c r="DE2168"/>
      <c r="DF2168"/>
      <c r="DG2168"/>
      <c r="DH2168"/>
      <c r="DI2168"/>
      <c r="DJ2168"/>
      <c r="DK2168"/>
      <c r="DL2168"/>
      <c r="DM2168"/>
      <c r="DN2168"/>
      <c r="DO2168"/>
      <c r="DP2168"/>
      <c r="DQ2168"/>
      <c r="DR2168"/>
      <c r="DS2168"/>
      <c r="DT2168"/>
      <c r="DU2168"/>
      <c r="DV2168"/>
      <c r="DW2168"/>
      <c r="DX2168"/>
      <c r="DY2168"/>
      <c r="DZ2168"/>
      <c r="EA2168"/>
      <c r="EB2168"/>
      <c r="EC2168"/>
      <c r="ED2168"/>
      <c r="EE2168"/>
      <c r="EF2168"/>
      <c r="EG2168"/>
      <c r="EH2168"/>
      <c r="EI2168"/>
      <c r="EJ2168"/>
      <c r="EK2168"/>
      <c r="EL2168"/>
      <c r="EM2168"/>
      <c r="EN2168"/>
      <c r="EO2168"/>
      <c r="EP2168"/>
      <c r="EQ2168"/>
      <c r="ER2168"/>
      <c r="ES2168"/>
    </row>
    <row r="2169" spans="1:149">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c r="CW2169"/>
      <c r="CX2169"/>
      <c r="CY2169"/>
      <c r="CZ2169"/>
      <c r="DA2169"/>
      <c r="DB2169"/>
      <c r="DC2169"/>
      <c r="DD2169"/>
      <c r="DE2169"/>
      <c r="DF2169"/>
      <c r="DG2169"/>
      <c r="DH2169"/>
      <c r="DI2169"/>
      <c r="DJ2169"/>
      <c r="DK2169"/>
      <c r="DL2169"/>
      <c r="DM2169"/>
      <c r="DN2169"/>
      <c r="DO2169"/>
      <c r="DP2169"/>
      <c r="DQ2169"/>
      <c r="DR2169"/>
      <c r="DS2169"/>
      <c r="DT2169"/>
      <c r="DU2169"/>
      <c r="DV2169"/>
      <c r="DW2169"/>
      <c r="DX2169"/>
      <c r="DY2169"/>
      <c r="DZ2169"/>
      <c r="EA2169"/>
      <c r="EB2169"/>
      <c r="EC2169"/>
      <c r="ED2169"/>
      <c r="EE2169"/>
      <c r="EF2169"/>
      <c r="EG2169"/>
      <c r="EH2169"/>
      <c r="EI2169"/>
      <c r="EJ2169"/>
      <c r="EK2169"/>
      <c r="EL2169"/>
      <c r="EM2169"/>
      <c r="EN2169"/>
      <c r="EO2169"/>
      <c r="EP2169"/>
      <c r="EQ2169"/>
      <c r="ER2169"/>
      <c r="ES2169"/>
    </row>
    <row r="2170" spans="1:149">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c r="CW2170"/>
      <c r="CX2170"/>
      <c r="CY2170"/>
      <c r="CZ2170"/>
      <c r="DA2170"/>
      <c r="DB2170"/>
      <c r="DC2170"/>
      <c r="DD2170"/>
      <c r="DE2170"/>
      <c r="DF2170"/>
      <c r="DG2170"/>
      <c r="DH2170"/>
      <c r="DI2170"/>
      <c r="DJ2170"/>
      <c r="DK2170"/>
      <c r="DL2170"/>
      <c r="DM2170"/>
      <c r="DN2170"/>
      <c r="DO2170"/>
      <c r="DP2170"/>
      <c r="DQ2170"/>
      <c r="DR2170"/>
      <c r="DS2170"/>
      <c r="DT2170"/>
      <c r="DU2170"/>
      <c r="DV2170"/>
      <c r="DW2170"/>
      <c r="DX2170"/>
      <c r="DY2170"/>
      <c r="DZ2170"/>
      <c r="EA2170"/>
      <c r="EB2170"/>
      <c r="EC2170"/>
      <c r="ED2170"/>
      <c r="EE2170"/>
      <c r="EF2170"/>
      <c r="EG2170"/>
      <c r="EH2170"/>
      <c r="EI2170"/>
      <c r="EJ2170"/>
      <c r="EK2170"/>
      <c r="EL2170"/>
      <c r="EM2170"/>
      <c r="EN2170"/>
      <c r="EO2170"/>
      <c r="EP2170"/>
      <c r="EQ2170"/>
      <c r="ER2170"/>
      <c r="ES2170"/>
    </row>
    <row r="2171" spans="1:149">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c r="CW2171"/>
      <c r="CX2171"/>
      <c r="CY2171"/>
      <c r="CZ2171"/>
      <c r="DA2171"/>
      <c r="DB2171"/>
      <c r="DC2171"/>
      <c r="DD2171"/>
      <c r="DE2171"/>
      <c r="DF2171"/>
      <c r="DG2171"/>
      <c r="DH2171"/>
      <c r="DI2171"/>
      <c r="DJ2171"/>
      <c r="DK2171"/>
      <c r="DL2171"/>
      <c r="DM2171"/>
      <c r="DN2171"/>
      <c r="DO2171"/>
      <c r="DP2171"/>
      <c r="DQ2171"/>
      <c r="DR2171"/>
      <c r="DS2171"/>
      <c r="DT2171"/>
      <c r="DU2171"/>
      <c r="DV2171"/>
      <c r="DW2171"/>
      <c r="DX2171"/>
      <c r="DY2171"/>
      <c r="DZ2171"/>
      <c r="EA2171"/>
      <c r="EB2171"/>
      <c r="EC2171"/>
      <c r="ED2171"/>
      <c r="EE2171"/>
      <c r="EF2171"/>
      <c r="EG2171"/>
      <c r="EH2171"/>
      <c r="EI2171"/>
      <c r="EJ2171"/>
      <c r="EK2171"/>
      <c r="EL2171"/>
      <c r="EM2171"/>
      <c r="EN2171"/>
      <c r="EO2171"/>
      <c r="EP2171"/>
      <c r="EQ2171"/>
      <c r="ER2171"/>
      <c r="ES2171"/>
    </row>
    <row r="2172" spans="1:149">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c r="CW2172"/>
      <c r="CX2172"/>
      <c r="CY2172"/>
      <c r="CZ2172"/>
      <c r="DA2172"/>
      <c r="DB2172"/>
      <c r="DC2172"/>
      <c r="DD2172"/>
      <c r="DE2172"/>
      <c r="DF2172"/>
      <c r="DG2172"/>
      <c r="DH2172"/>
      <c r="DI2172"/>
      <c r="DJ2172"/>
      <c r="DK2172"/>
      <c r="DL2172"/>
      <c r="DM2172"/>
      <c r="DN2172"/>
      <c r="DO2172"/>
      <c r="DP2172"/>
      <c r="DQ2172"/>
      <c r="DR2172"/>
      <c r="DS2172"/>
      <c r="DT2172"/>
      <c r="DU2172"/>
      <c r="DV2172"/>
      <c r="DW2172"/>
      <c r="DX2172"/>
      <c r="DY2172"/>
      <c r="DZ2172"/>
      <c r="EA2172"/>
      <c r="EB2172"/>
      <c r="EC2172"/>
      <c r="ED2172"/>
      <c r="EE2172"/>
      <c r="EF2172"/>
      <c r="EG2172"/>
      <c r="EH2172"/>
      <c r="EI2172"/>
      <c r="EJ2172"/>
      <c r="EK2172"/>
      <c r="EL2172"/>
      <c r="EM2172"/>
      <c r="EN2172"/>
      <c r="EO2172"/>
      <c r="EP2172"/>
      <c r="EQ2172"/>
      <c r="ER2172"/>
      <c r="ES2172"/>
    </row>
    <row r="2173" spans="1:149">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c r="CW2173"/>
      <c r="CX2173"/>
      <c r="CY2173"/>
      <c r="CZ2173"/>
      <c r="DA2173"/>
      <c r="DB2173"/>
      <c r="DC2173"/>
      <c r="DD2173"/>
      <c r="DE2173"/>
      <c r="DF2173"/>
      <c r="DG2173"/>
      <c r="DH2173"/>
      <c r="DI2173"/>
      <c r="DJ2173"/>
      <c r="DK2173"/>
      <c r="DL2173"/>
      <c r="DM2173"/>
      <c r="DN2173"/>
      <c r="DO2173"/>
      <c r="DP2173"/>
      <c r="DQ2173"/>
      <c r="DR2173"/>
      <c r="DS2173"/>
      <c r="DT2173"/>
      <c r="DU2173"/>
      <c r="DV2173"/>
      <c r="DW2173"/>
      <c r="DX2173"/>
      <c r="DY2173"/>
      <c r="DZ2173"/>
      <c r="EA2173"/>
      <c r="EB2173"/>
      <c r="EC2173"/>
      <c r="ED2173"/>
      <c r="EE2173"/>
      <c r="EF2173"/>
      <c r="EG2173"/>
      <c r="EH2173"/>
      <c r="EI2173"/>
      <c r="EJ2173"/>
      <c r="EK2173"/>
      <c r="EL2173"/>
      <c r="EM2173"/>
      <c r="EN2173"/>
      <c r="EO2173"/>
      <c r="EP2173"/>
      <c r="EQ2173"/>
      <c r="ER2173"/>
      <c r="ES2173"/>
    </row>
    <row r="2174" spans="1:149">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c r="CW2174"/>
      <c r="CX2174"/>
      <c r="CY2174"/>
      <c r="CZ2174"/>
      <c r="DA2174"/>
      <c r="DB2174"/>
      <c r="DC2174"/>
      <c r="DD2174"/>
      <c r="DE2174"/>
      <c r="DF2174"/>
      <c r="DG2174"/>
      <c r="DH2174"/>
      <c r="DI2174"/>
      <c r="DJ2174"/>
      <c r="DK2174"/>
      <c r="DL2174"/>
      <c r="DM2174"/>
      <c r="DN2174"/>
      <c r="DO2174"/>
      <c r="DP2174"/>
      <c r="DQ2174"/>
      <c r="DR2174"/>
      <c r="DS2174"/>
      <c r="DT2174"/>
      <c r="DU2174"/>
      <c r="DV2174"/>
      <c r="DW2174"/>
      <c r="DX2174"/>
      <c r="DY2174"/>
      <c r="DZ2174"/>
      <c r="EA2174"/>
      <c r="EB2174"/>
      <c r="EC2174"/>
      <c r="ED2174"/>
      <c r="EE2174"/>
      <c r="EF2174"/>
      <c r="EG2174"/>
      <c r="EH2174"/>
      <c r="EI2174"/>
      <c r="EJ2174"/>
      <c r="EK2174"/>
      <c r="EL2174"/>
      <c r="EM2174"/>
      <c r="EN2174"/>
      <c r="EO2174"/>
      <c r="EP2174"/>
      <c r="EQ2174"/>
      <c r="ER2174"/>
      <c r="ES2174"/>
    </row>
    <row r="2175" spans="1:149">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c r="CW2175"/>
      <c r="CX2175"/>
      <c r="CY2175"/>
      <c r="CZ2175"/>
      <c r="DA2175"/>
      <c r="DB2175"/>
      <c r="DC2175"/>
      <c r="DD2175"/>
      <c r="DE2175"/>
      <c r="DF2175"/>
      <c r="DG2175"/>
      <c r="DH2175"/>
      <c r="DI2175"/>
      <c r="DJ2175"/>
      <c r="DK2175"/>
      <c r="DL2175"/>
      <c r="DM2175"/>
      <c r="DN2175"/>
      <c r="DO2175"/>
      <c r="DP2175"/>
      <c r="DQ2175"/>
      <c r="DR2175"/>
      <c r="DS2175"/>
      <c r="DT2175"/>
      <c r="DU2175"/>
      <c r="DV2175"/>
      <c r="DW2175"/>
      <c r="DX2175"/>
      <c r="DY2175"/>
      <c r="DZ2175"/>
      <c r="EA2175"/>
      <c r="EB2175"/>
      <c r="EC2175"/>
      <c r="ED2175"/>
      <c r="EE2175"/>
      <c r="EF2175"/>
      <c r="EG2175"/>
      <c r="EH2175"/>
      <c r="EI2175"/>
      <c r="EJ2175"/>
      <c r="EK2175"/>
      <c r="EL2175"/>
      <c r="EM2175"/>
      <c r="EN2175"/>
      <c r="EO2175"/>
      <c r="EP2175"/>
      <c r="EQ2175"/>
      <c r="ER2175"/>
      <c r="ES2175"/>
    </row>
    <row r="2176" spans="1:149">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c r="CW2176"/>
      <c r="CX2176"/>
      <c r="CY2176"/>
      <c r="CZ2176"/>
      <c r="DA2176"/>
      <c r="DB2176"/>
      <c r="DC2176"/>
      <c r="DD2176"/>
      <c r="DE2176"/>
      <c r="DF2176"/>
      <c r="DG2176"/>
      <c r="DH2176"/>
      <c r="DI2176"/>
      <c r="DJ2176"/>
      <c r="DK2176"/>
      <c r="DL2176"/>
      <c r="DM2176"/>
      <c r="DN2176"/>
      <c r="DO2176"/>
      <c r="DP2176"/>
      <c r="DQ2176"/>
      <c r="DR2176"/>
      <c r="DS2176"/>
      <c r="DT2176"/>
      <c r="DU2176"/>
      <c r="DV2176"/>
      <c r="DW2176"/>
      <c r="DX2176"/>
      <c r="DY2176"/>
      <c r="DZ2176"/>
      <c r="EA2176"/>
      <c r="EB2176"/>
      <c r="EC2176"/>
      <c r="ED2176"/>
      <c r="EE2176"/>
      <c r="EF2176"/>
      <c r="EG2176"/>
      <c r="EH2176"/>
      <c r="EI2176"/>
      <c r="EJ2176"/>
      <c r="EK2176"/>
      <c r="EL2176"/>
      <c r="EM2176"/>
      <c r="EN2176"/>
      <c r="EO2176"/>
      <c r="EP2176"/>
      <c r="EQ2176"/>
      <c r="ER2176"/>
      <c r="ES2176"/>
    </row>
    <row r="2177" spans="1:149">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c r="CW2177"/>
      <c r="CX2177"/>
      <c r="CY2177"/>
      <c r="CZ2177"/>
      <c r="DA2177"/>
      <c r="DB2177"/>
      <c r="DC2177"/>
      <c r="DD2177"/>
      <c r="DE2177"/>
      <c r="DF2177"/>
      <c r="DG2177"/>
      <c r="DH2177"/>
      <c r="DI2177"/>
      <c r="DJ2177"/>
      <c r="DK2177"/>
      <c r="DL2177"/>
      <c r="DM2177"/>
      <c r="DN2177"/>
      <c r="DO2177"/>
      <c r="DP2177"/>
      <c r="DQ2177"/>
      <c r="DR2177"/>
      <c r="DS2177"/>
      <c r="DT2177"/>
      <c r="DU2177"/>
      <c r="DV2177"/>
      <c r="DW2177"/>
      <c r="DX2177"/>
      <c r="DY2177"/>
      <c r="DZ2177"/>
      <c r="EA2177"/>
      <c r="EB2177"/>
      <c r="EC2177"/>
      <c r="ED2177"/>
      <c r="EE2177"/>
      <c r="EF2177"/>
      <c r="EG2177"/>
      <c r="EH2177"/>
      <c r="EI2177"/>
      <c r="EJ2177"/>
      <c r="EK2177"/>
      <c r="EL2177"/>
      <c r="EM2177"/>
      <c r="EN2177"/>
      <c r="EO2177"/>
      <c r="EP2177"/>
      <c r="EQ2177"/>
      <c r="ER2177"/>
      <c r="ES2177"/>
    </row>
    <row r="2178" spans="1:149">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c r="CW2178"/>
      <c r="CX2178"/>
      <c r="CY2178"/>
      <c r="CZ2178"/>
      <c r="DA2178"/>
      <c r="DB2178"/>
      <c r="DC2178"/>
      <c r="DD2178"/>
      <c r="DE2178"/>
      <c r="DF2178"/>
      <c r="DG2178"/>
      <c r="DH2178"/>
      <c r="DI2178"/>
      <c r="DJ2178"/>
      <c r="DK2178"/>
      <c r="DL2178"/>
      <c r="DM2178"/>
      <c r="DN2178"/>
      <c r="DO2178"/>
      <c r="DP2178"/>
      <c r="DQ2178"/>
      <c r="DR2178"/>
      <c r="DS2178"/>
      <c r="DT2178"/>
      <c r="DU2178"/>
      <c r="DV2178"/>
      <c r="DW2178"/>
      <c r="DX2178"/>
      <c r="DY2178"/>
      <c r="DZ2178"/>
      <c r="EA2178"/>
      <c r="EB2178"/>
      <c r="EC2178"/>
      <c r="ED2178"/>
      <c r="EE2178"/>
      <c r="EF2178"/>
      <c r="EG2178"/>
      <c r="EH2178"/>
      <c r="EI2178"/>
      <c r="EJ2178"/>
      <c r="EK2178"/>
      <c r="EL2178"/>
      <c r="EM2178"/>
      <c r="EN2178"/>
      <c r="EO2178"/>
      <c r="EP2178"/>
      <c r="EQ2178"/>
      <c r="ER2178"/>
      <c r="ES2178"/>
    </row>
    <row r="2179" spans="1:149">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c r="CW2179"/>
      <c r="CX2179"/>
      <c r="CY2179"/>
      <c r="CZ2179"/>
      <c r="DA2179"/>
      <c r="DB2179"/>
      <c r="DC2179"/>
      <c r="DD2179"/>
      <c r="DE2179"/>
      <c r="DF2179"/>
      <c r="DG2179"/>
      <c r="DH2179"/>
      <c r="DI2179"/>
      <c r="DJ2179"/>
      <c r="DK2179"/>
      <c r="DL2179"/>
      <c r="DM2179"/>
      <c r="DN2179"/>
      <c r="DO2179"/>
      <c r="DP2179"/>
      <c r="DQ2179"/>
      <c r="DR2179"/>
      <c r="DS2179"/>
      <c r="DT2179"/>
      <c r="DU2179"/>
      <c r="DV2179"/>
      <c r="DW2179"/>
      <c r="DX2179"/>
      <c r="DY2179"/>
      <c r="DZ2179"/>
      <c r="EA2179"/>
      <c r="EB2179"/>
      <c r="EC2179"/>
      <c r="ED2179"/>
      <c r="EE2179"/>
      <c r="EF2179"/>
      <c r="EG2179"/>
      <c r="EH2179"/>
      <c r="EI2179"/>
      <c r="EJ2179"/>
      <c r="EK2179"/>
      <c r="EL2179"/>
      <c r="EM2179"/>
      <c r="EN2179"/>
      <c r="EO2179"/>
      <c r="EP2179"/>
      <c r="EQ2179"/>
      <c r="ER2179"/>
      <c r="ES2179"/>
    </row>
    <row r="2180" spans="1:149">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c r="CW2180"/>
      <c r="CX2180"/>
      <c r="CY2180"/>
      <c r="CZ2180"/>
      <c r="DA2180"/>
      <c r="DB2180"/>
      <c r="DC2180"/>
      <c r="DD2180"/>
      <c r="DE2180"/>
      <c r="DF2180"/>
      <c r="DG2180"/>
      <c r="DH2180"/>
      <c r="DI2180"/>
      <c r="DJ2180"/>
      <c r="DK2180"/>
      <c r="DL2180"/>
      <c r="DM2180"/>
      <c r="DN2180"/>
      <c r="DO2180"/>
      <c r="DP2180"/>
      <c r="DQ2180"/>
      <c r="DR2180"/>
      <c r="DS2180"/>
      <c r="DT2180"/>
      <c r="DU2180"/>
      <c r="DV2180"/>
      <c r="DW2180"/>
      <c r="DX2180"/>
      <c r="DY2180"/>
      <c r="DZ2180"/>
      <c r="EA2180"/>
      <c r="EB2180"/>
      <c r="EC2180"/>
      <c r="ED2180"/>
      <c r="EE2180"/>
      <c r="EF2180"/>
      <c r="EG2180"/>
      <c r="EH2180"/>
      <c r="EI2180"/>
      <c r="EJ2180"/>
      <c r="EK2180"/>
      <c r="EL2180"/>
      <c r="EM2180"/>
      <c r="EN2180"/>
      <c r="EO2180"/>
      <c r="EP2180"/>
      <c r="EQ2180"/>
      <c r="ER2180"/>
      <c r="ES2180"/>
    </row>
    <row r="2181" spans="1:149">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c r="CW2181"/>
      <c r="CX2181"/>
      <c r="CY2181"/>
      <c r="CZ2181"/>
      <c r="DA2181"/>
      <c r="DB2181"/>
      <c r="DC2181"/>
      <c r="DD2181"/>
      <c r="DE2181"/>
      <c r="DF2181"/>
      <c r="DG2181"/>
      <c r="DH2181"/>
      <c r="DI2181"/>
      <c r="DJ2181"/>
      <c r="DK2181"/>
      <c r="DL2181"/>
      <c r="DM2181"/>
      <c r="DN2181"/>
      <c r="DO2181"/>
      <c r="DP2181"/>
      <c r="DQ2181"/>
      <c r="DR2181"/>
      <c r="DS2181"/>
      <c r="DT2181"/>
      <c r="DU2181"/>
      <c r="DV2181"/>
      <c r="DW2181"/>
      <c r="DX2181"/>
      <c r="DY2181"/>
      <c r="DZ2181"/>
      <c r="EA2181"/>
      <c r="EB2181"/>
      <c r="EC2181"/>
      <c r="ED2181"/>
      <c r="EE2181"/>
      <c r="EF2181"/>
      <c r="EG2181"/>
      <c r="EH2181"/>
      <c r="EI2181"/>
      <c r="EJ2181"/>
      <c r="EK2181"/>
      <c r="EL2181"/>
      <c r="EM2181"/>
      <c r="EN2181"/>
      <c r="EO2181"/>
      <c r="EP2181"/>
      <c r="EQ2181"/>
      <c r="ER2181"/>
      <c r="ES2181"/>
    </row>
    <row r="2182" spans="1:149">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c r="CW2182"/>
      <c r="CX2182"/>
      <c r="CY2182"/>
      <c r="CZ2182"/>
      <c r="DA2182"/>
      <c r="DB2182"/>
      <c r="DC2182"/>
      <c r="DD2182"/>
      <c r="DE2182"/>
      <c r="DF2182"/>
      <c r="DG2182"/>
      <c r="DH2182"/>
      <c r="DI2182"/>
      <c r="DJ2182"/>
      <c r="DK2182"/>
      <c r="DL2182"/>
      <c r="DM2182"/>
      <c r="DN2182"/>
      <c r="DO2182"/>
      <c r="DP2182"/>
      <c r="DQ2182"/>
      <c r="DR2182"/>
      <c r="DS2182"/>
      <c r="DT2182"/>
      <c r="DU2182"/>
      <c r="DV2182"/>
      <c r="DW2182"/>
      <c r="DX2182"/>
      <c r="DY2182"/>
      <c r="DZ2182"/>
      <c r="EA2182"/>
      <c r="EB2182"/>
      <c r="EC2182"/>
      <c r="ED2182"/>
      <c r="EE2182"/>
      <c r="EF2182"/>
      <c r="EG2182"/>
      <c r="EH2182"/>
      <c r="EI2182"/>
      <c r="EJ2182"/>
      <c r="EK2182"/>
      <c r="EL2182"/>
      <c r="EM2182"/>
      <c r="EN2182"/>
      <c r="EO2182"/>
      <c r="EP2182"/>
      <c r="EQ2182"/>
      <c r="ER2182"/>
      <c r="ES2182"/>
    </row>
    <row r="2183" spans="1:149">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c r="CW2183"/>
      <c r="CX2183"/>
      <c r="CY2183"/>
      <c r="CZ2183"/>
      <c r="DA2183"/>
      <c r="DB2183"/>
      <c r="DC2183"/>
      <c r="DD2183"/>
      <c r="DE2183"/>
      <c r="DF2183"/>
      <c r="DG2183"/>
      <c r="DH2183"/>
      <c r="DI2183"/>
      <c r="DJ2183"/>
      <c r="DK2183"/>
      <c r="DL2183"/>
      <c r="DM2183"/>
      <c r="DN2183"/>
      <c r="DO2183"/>
      <c r="DP2183"/>
      <c r="DQ2183"/>
      <c r="DR2183"/>
      <c r="DS2183"/>
      <c r="DT2183"/>
      <c r="DU2183"/>
      <c r="DV2183"/>
      <c r="DW2183"/>
      <c r="DX2183"/>
      <c r="DY2183"/>
      <c r="DZ2183"/>
      <c r="EA2183"/>
      <c r="EB2183"/>
      <c r="EC2183"/>
      <c r="ED2183"/>
      <c r="EE2183"/>
      <c r="EF2183"/>
      <c r="EG2183"/>
      <c r="EH2183"/>
      <c r="EI2183"/>
      <c r="EJ2183"/>
      <c r="EK2183"/>
      <c r="EL2183"/>
      <c r="EM2183"/>
      <c r="EN2183"/>
      <c r="EO2183"/>
      <c r="EP2183"/>
      <c r="EQ2183"/>
      <c r="ER2183"/>
      <c r="ES2183"/>
    </row>
    <row r="2184" spans="1:149">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c r="CW2184"/>
      <c r="CX2184"/>
      <c r="CY2184"/>
      <c r="CZ2184"/>
      <c r="DA2184"/>
      <c r="DB2184"/>
      <c r="DC2184"/>
      <c r="DD2184"/>
      <c r="DE2184"/>
      <c r="DF2184"/>
      <c r="DG2184"/>
      <c r="DH2184"/>
      <c r="DI2184"/>
      <c r="DJ2184"/>
      <c r="DK2184"/>
      <c r="DL2184"/>
      <c r="DM2184"/>
      <c r="DN2184"/>
      <c r="DO2184"/>
      <c r="DP2184"/>
      <c r="DQ2184"/>
      <c r="DR2184"/>
      <c r="DS2184"/>
      <c r="DT2184"/>
      <c r="DU2184"/>
      <c r="DV2184"/>
      <c r="DW2184"/>
      <c r="DX2184"/>
      <c r="DY2184"/>
      <c r="DZ2184"/>
      <c r="EA2184"/>
      <c r="EB2184"/>
      <c r="EC2184"/>
      <c r="ED2184"/>
      <c r="EE2184"/>
      <c r="EF2184"/>
      <c r="EG2184"/>
      <c r="EH2184"/>
      <c r="EI2184"/>
      <c r="EJ2184"/>
      <c r="EK2184"/>
      <c r="EL2184"/>
      <c r="EM2184"/>
      <c r="EN2184"/>
      <c r="EO2184"/>
      <c r="EP2184"/>
      <c r="EQ2184"/>
      <c r="ER2184"/>
      <c r="ES2184"/>
    </row>
    <row r="2185" spans="1:149">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c r="CW2185"/>
      <c r="CX2185"/>
      <c r="CY2185"/>
      <c r="CZ2185"/>
      <c r="DA2185"/>
      <c r="DB2185"/>
      <c r="DC2185"/>
      <c r="DD2185"/>
      <c r="DE2185"/>
      <c r="DF2185"/>
      <c r="DG2185"/>
      <c r="DH2185"/>
      <c r="DI2185"/>
      <c r="DJ2185"/>
      <c r="DK2185"/>
      <c r="DL2185"/>
      <c r="DM2185"/>
      <c r="DN2185"/>
      <c r="DO2185"/>
      <c r="DP2185"/>
      <c r="DQ2185"/>
      <c r="DR2185"/>
      <c r="DS2185"/>
      <c r="DT2185"/>
      <c r="DU2185"/>
      <c r="DV2185"/>
      <c r="DW2185"/>
      <c r="DX2185"/>
      <c r="DY2185"/>
      <c r="DZ2185"/>
      <c r="EA2185"/>
      <c r="EB2185"/>
      <c r="EC2185"/>
      <c r="ED2185"/>
      <c r="EE2185"/>
      <c r="EF2185"/>
      <c r="EG2185"/>
      <c r="EH2185"/>
      <c r="EI2185"/>
      <c r="EJ2185"/>
      <c r="EK2185"/>
      <c r="EL2185"/>
      <c r="EM2185"/>
      <c r="EN2185"/>
      <c r="EO2185"/>
      <c r="EP2185"/>
      <c r="EQ2185"/>
      <c r="ER2185"/>
      <c r="ES2185"/>
    </row>
    <row r="2186" spans="1:149">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c r="CW2186"/>
      <c r="CX2186"/>
      <c r="CY2186"/>
      <c r="CZ2186"/>
      <c r="DA2186"/>
      <c r="DB2186"/>
      <c r="DC2186"/>
      <c r="DD2186"/>
      <c r="DE2186"/>
      <c r="DF2186"/>
      <c r="DG2186"/>
      <c r="DH2186"/>
      <c r="DI2186"/>
      <c r="DJ2186"/>
      <c r="DK2186"/>
      <c r="DL2186"/>
      <c r="DM2186"/>
      <c r="DN2186"/>
      <c r="DO2186"/>
      <c r="DP2186"/>
      <c r="DQ2186"/>
      <c r="DR2186"/>
      <c r="DS2186"/>
      <c r="DT2186"/>
      <c r="DU2186"/>
      <c r="DV2186"/>
      <c r="DW2186"/>
      <c r="DX2186"/>
      <c r="DY2186"/>
      <c r="DZ2186"/>
      <c r="EA2186"/>
      <c r="EB2186"/>
      <c r="EC2186"/>
      <c r="ED2186"/>
      <c r="EE2186"/>
      <c r="EF2186"/>
      <c r="EG2186"/>
      <c r="EH2186"/>
      <c r="EI2186"/>
      <c r="EJ2186"/>
      <c r="EK2186"/>
      <c r="EL2186"/>
      <c r="EM2186"/>
      <c r="EN2186"/>
      <c r="EO2186"/>
      <c r="EP2186"/>
      <c r="EQ2186"/>
      <c r="ER2186"/>
      <c r="ES2186"/>
    </row>
    <row r="2187" spans="1:149">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c r="CW2187"/>
      <c r="CX2187"/>
      <c r="CY2187"/>
      <c r="CZ2187"/>
      <c r="DA2187"/>
      <c r="DB2187"/>
      <c r="DC2187"/>
      <c r="DD2187"/>
      <c r="DE2187"/>
      <c r="DF2187"/>
      <c r="DG2187"/>
      <c r="DH2187"/>
      <c r="DI2187"/>
      <c r="DJ2187"/>
      <c r="DK2187"/>
      <c r="DL2187"/>
      <c r="DM2187"/>
      <c r="DN2187"/>
      <c r="DO2187"/>
      <c r="DP2187"/>
      <c r="DQ2187"/>
      <c r="DR2187"/>
      <c r="DS2187"/>
      <c r="DT2187"/>
      <c r="DU2187"/>
      <c r="DV2187"/>
      <c r="DW2187"/>
      <c r="DX2187"/>
      <c r="DY2187"/>
      <c r="DZ2187"/>
      <c r="EA2187"/>
      <c r="EB2187"/>
      <c r="EC2187"/>
      <c r="ED2187"/>
      <c r="EE2187"/>
      <c r="EF2187"/>
      <c r="EG2187"/>
      <c r="EH2187"/>
      <c r="EI2187"/>
      <c r="EJ2187"/>
      <c r="EK2187"/>
      <c r="EL2187"/>
      <c r="EM2187"/>
      <c r="EN2187"/>
      <c r="EO2187"/>
      <c r="EP2187"/>
      <c r="EQ2187"/>
      <c r="ER2187"/>
      <c r="ES2187"/>
    </row>
    <row r="2188" spans="1:149">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c r="CW2188"/>
      <c r="CX2188"/>
      <c r="CY2188"/>
      <c r="CZ2188"/>
      <c r="DA2188"/>
      <c r="DB2188"/>
      <c r="DC2188"/>
      <c r="DD2188"/>
      <c r="DE2188"/>
      <c r="DF2188"/>
      <c r="DG2188"/>
      <c r="DH2188"/>
      <c r="DI2188"/>
      <c r="DJ2188"/>
      <c r="DK2188"/>
      <c r="DL2188"/>
      <c r="DM2188"/>
      <c r="DN2188"/>
      <c r="DO2188"/>
      <c r="DP2188"/>
      <c r="DQ2188"/>
      <c r="DR2188"/>
      <c r="DS2188"/>
      <c r="DT2188"/>
      <c r="DU2188"/>
      <c r="DV2188"/>
      <c r="DW2188"/>
      <c r="DX2188"/>
      <c r="DY2188"/>
      <c r="DZ2188"/>
      <c r="EA2188"/>
      <c r="EB2188"/>
      <c r="EC2188"/>
      <c r="ED2188"/>
      <c r="EE2188"/>
      <c r="EF2188"/>
      <c r="EG2188"/>
      <c r="EH2188"/>
      <c r="EI2188"/>
      <c r="EJ2188"/>
      <c r="EK2188"/>
      <c r="EL2188"/>
      <c r="EM2188"/>
      <c r="EN2188"/>
      <c r="EO2188"/>
      <c r="EP2188"/>
      <c r="EQ2188"/>
      <c r="ER2188"/>
      <c r="ES2188"/>
    </row>
    <row r="2189" spans="1:149">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c r="CW2189"/>
      <c r="CX2189"/>
      <c r="CY2189"/>
      <c r="CZ2189"/>
      <c r="DA2189"/>
      <c r="DB2189"/>
      <c r="DC2189"/>
      <c r="DD2189"/>
      <c r="DE2189"/>
      <c r="DF2189"/>
      <c r="DG2189"/>
      <c r="DH2189"/>
      <c r="DI2189"/>
      <c r="DJ2189"/>
      <c r="DK2189"/>
      <c r="DL2189"/>
      <c r="DM2189"/>
      <c r="DN2189"/>
      <c r="DO2189"/>
      <c r="DP2189"/>
      <c r="DQ2189"/>
      <c r="DR2189"/>
      <c r="DS2189"/>
      <c r="DT2189"/>
      <c r="DU2189"/>
      <c r="DV2189"/>
      <c r="DW2189"/>
      <c r="DX2189"/>
      <c r="DY2189"/>
      <c r="DZ2189"/>
      <c r="EA2189"/>
      <c r="EB2189"/>
      <c r="EC2189"/>
      <c r="ED2189"/>
      <c r="EE2189"/>
      <c r="EF2189"/>
      <c r="EG2189"/>
      <c r="EH2189"/>
      <c r="EI2189"/>
      <c r="EJ2189"/>
      <c r="EK2189"/>
      <c r="EL2189"/>
      <c r="EM2189"/>
      <c r="EN2189"/>
      <c r="EO2189"/>
      <c r="EP2189"/>
      <c r="EQ2189"/>
      <c r="ER2189"/>
      <c r="ES2189"/>
    </row>
    <row r="2190" spans="1:149">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c r="CW2190"/>
      <c r="CX2190"/>
      <c r="CY2190"/>
      <c r="CZ2190"/>
      <c r="DA2190"/>
      <c r="DB2190"/>
      <c r="DC2190"/>
      <c r="DD2190"/>
      <c r="DE2190"/>
      <c r="DF2190"/>
      <c r="DG2190"/>
      <c r="DH2190"/>
      <c r="DI2190"/>
      <c r="DJ2190"/>
      <c r="DK2190"/>
      <c r="DL2190"/>
      <c r="DM2190"/>
      <c r="DN2190"/>
      <c r="DO2190"/>
      <c r="DP2190"/>
      <c r="DQ2190"/>
      <c r="DR2190"/>
      <c r="DS2190"/>
      <c r="DT2190"/>
      <c r="DU2190"/>
      <c r="DV2190"/>
      <c r="DW2190"/>
      <c r="DX2190"/>
      <c r="DY2190"/>
      <c r="DZ2190"/>
      <c r="EA2190"/>
      <c r="EB2190"/>
      <c r="EC2190"/>
      <c r="ED2190"/>
      <c r="EE2190"/>
      <c r="EF2190"/>
      <c r="EG2190"/>
      <c r="EH2190"/>
      <c r="EI2190"/>
      <c r="EJ2190"/>
      <c r="EK2190"/>
      <c r="EL2190"/>
      <c r="EM2190"/>
      <c r="EN2190"/>
      <c r="EO2190"/>
      <c r="EP2190"/>
      <c r="EQ2190"/>
      <c r="ER2190"/>
      <c r="ES2190"/>
    </row>
    <row r="2191" spans="1:149">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c r="CW2191"/>
      <c r="CX2191"/>
      <c r="CY2191"/>
      <c r="CZ2191"/>
      <c r="DA2191"/>
      <c r="DB2191"/>
      <c r="DC2191"/>
      <c r="DD2191"/>
      <c r="DE2191"/>
      <c r="DF2191"/>
      <c r="DG2191"/>
      <c r="DH2191"/>
      <c r="DI2191"/>
      <c r="DJ2191"/>
      <c r="DK2191"/>
      <c r="DL2191"/>
      <c r="DM2191"/>
      <c r="DN2191"/>
      <c r="DO2191"/>
      <c r="DP2191"/>
      <c r="DQ2191"/>
      <c r="DR2191"/>
      <c r="DS2191"/>
      <c r="DT2191"/>
      <c r="DU2191"/>
      <c r="DV2191"/>
      <c r="DW2191"/>
      <c r="DX2191"/>
      <c r="DY2191"/>
      <c r="DZ2191"/>
      <c r="EA2191"/>
      <c r="EB2191"/>
      <c r="EC2191"/>
      <c r="ED2191"/>
      <c r="EE2191"/>
      <c r="EF2191"/>
      <c r="EG2191"/>
      <c r="EH2191"/>
      <c r="EI2191"/>
      <c r="EJ2191"/>
      <c r="EK2191"/>
      <c r="EL2191"/>
      <c r="EM2191"/>
      <c r="EN2191"/>
      <c r="EO2191"/>
      <c r="EP2191"/>
      <c r="EQ2191"/>
      <c r="ER2191"/>
      <c r="ES2191"/>
    </row>
    <row r="2192" spans="1:149">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c r="CW2192"/>
      <c r="CX2192"/>
      <c r="CY2192"/>
      <c r="CZ2192"/>
      <c r="DA2192"/>
      <c r="DB2192"/>
      <c r="DC2192"/>
      <c r="DD2192"/>
      <c r="DE2192"/>
      <c r="DF2192"/>
      <c r="DG2192"/>
      <c r="DH2192"/>
      <c r="DI2192"/>
      <c r="DJ2192"/>
      <c r="DK2192"/>
      <c r="DL2192"/>
      <c r="DM2192"/>
      <c r="DN2192"/>
      <c r="DO2192"/>
      <c r="DP2192"/>
      <c r="DQ2192"/>
      <c r="DR2192"/>
      <c r="DS2192"/>
      <c r="DT2192"/>
      <c r="DU2192"/>
      <c r="DV2192"/>
      <c r="DW2192"/>
      <c r="DX2192"/>
      <c r="DY2192"/>
      <c r="DZ2192"/>
      <c r="EA2192"/>
      <c r="EB2192"/>
      <c r="EC2192"/>
      <c r="ED2192"/>
      <c r="EE2192"/>
      <c r="EF2192"/>
      <c r="EG2192"/>
      <c r="EH2192"/>
      <c r="EI2192"/>
      <c r="EJ2192"/>
      <c r="EK2192"/>
      <c r="EL2192"/>
      <c r="EM2192"/>
      <c r="EN2192"/>
      <c r="EO2192"/>
      <c r="EP2192"/>
      <c r="EQ2192"/>
      <c r="ER2192"/>
      <c r="ES2192"/>
    </row>
    <row r="2193" spans="1:149">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c r="CW2193"/>
      <c r="CX2193"/>
      <c r="CY2193"/>
      <c r="CZ2193"/>
      <c r="DA2193"/>
      <c r="DB2193"/>
      <c r="DC2193"/>
      <c r="DD2193"/>
      <c r="DE2193"/>
      <c r="DF2193"/>
      <c r="DG2193"/>
      <c r="DH2193"/>
      <c r="DI2193"/>
      <c r="DJ2193"/>
      <c r="DK2193"/>
      <c r="DL2193"/>
      <c r="DM2193"/>
      <c r="DN2193"/>
      <c r="DO2193"/>
      <c r="DP2193"/>
      <c r="DQ2193"/>
      <c r="DR2193"/>
      <c r="DS2193"/>
      <c r="DT2193"/>
      <c r="DU2193"/>
      <c r="DV2193"/>
      <c r="DW2193"/>
      <c r="DX2193"/>
      <c r="DY2193"/>
      <c r="DZ2193"/>
      <c r="EA2193"/>
      <c r="EB2193"/>
      <c r="EC2193"/>
      <c r="ED2193"/>
      <c r="EE2193"/>
      <c r="EF2193"/>
      <c r="EG2193"/>
      <c r="EH2193"/>
      <c r="EI2193"/>
      <c r="EJ2193"/>
      <c r="EK2193"/>
      <c r="EL2193"/>
      <c r="EM2193"/>
      <c r="EN2193"/>
      <c r="EO2193"/>
      <c r="EP2193"/>
      <c r="EQ2193"/>
      <c r="ER2193"/>
      <c r="ES2193"/>
    </row>
    <row r="2194" spans="1:149">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c r="CW2194"/>
      <c r="CX2194"/>
      <c r="CY2194"/>
      <c r="CZ2194"/>
      <c r="DA2194"/>
      <c r="DB2194"/>
      <c r="DC2194"/>
      <c r="DD2194"/>
      <c r="DE2194"/>
      <c r="DF2194"/>
      <c r="DG2194"/>
      <c r="DH2194"/>
      <c r="DI2194"/>
      <c r="DJ2194"/>
      <c r="DK2194"/>
      <c r="DL2194"/>
      <c r="DM2194"/>
      <c r="DN2194"/>
      <c r="DO2194"/>
      <c r="DP2194"/>
      <c r="DQ2194"/>
      <c r="DR2194"/>
      <c r="DS2194"/>
      <c r="DT2194"/>
      <c r="DU2194"/>
      <c r="DV2194"/>
      <c r="DW2194"/>
      <c r="DX2194"/>
      <c r="DY2194"/>
      <c r="DZ2194"/>
      <c r="EA2194"/>
      <c r="EB2194"/>
      <c r="EC2194"/>
      <c r="ED2194"/>
      <c r="EE2194"/>
      <c r="EF2194"/>
      <c r="EG2194"/>
      <c r="EH2194"/>
      <c r="EI2194"/>
      <c r="EJ2194"/>
      <c r="EK2194"/>
      <c r="EL2194"/>
      <c r="EM2194"/>
      <c r="EN2194"/>
      <c r="EO2194"/>
      <c r="EP2194"/>
      <c r="EQ2194"/>
      <c r="ER2194"/>
      <c r="ES2194"/>
    </row>
    <row r="2195" spans="1:149">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c r="CW2195"/>
      <c r="CX2195"/>
      <c r="CY2195"/>
      <c r="CZ2195"/>
      <c r="DA2195"/>
      <c r="DB2195"/>
      <c r="DC2195"/>
      <c r="DD2195"/>
      <c r="DE2195"/>
      <c r="DF2195"/>
      <c r="DG2195"/>
      <c r="DH2195"/>
      <c r="DI2195"/>
      <c r="DJ2195"/>
      <c r="DK2195"/>
      <c r="DL2195"/>
      <c r="DM2195"/>
      <c r="DN2195"/>
      <c r="DO2195"/>
      <c r="DP2195"/>
      <c r="DQ2195"/>
      <c r="DR2195"/>
      <c r="DS2195"/>
      <c r="DT2195"/>
      <c r="DU2195"/>
      <c r="DV2195"/>
      <c r="DW2195"/>
      <c r="DX2195"/>
      <c r="DY2195"/>
      <c r="DZ2195"/>
      <c r="EA2195"/>
      <c r="EB2195"/>
      <c r="EC2195"/>
      <c r="ED2195"/>
      <c r="EE2195"/>
      <c r="EF2195"/>
      <c r="EG2195"/>
      <c r="EH2195"/>
      <c r="EI2195"/>
      <c r="EJ2195"/>
      <c r="EK2195"/>
      <c r="EL2195"/>
      <c r="EM2195"/>
      <c r="EN2195"/>
      <c r="EO2195"/>
      <c r="EP2195"/>
      <c r="EQ2195"/>
      <c r="ER2195"/>
      <c r="ES2195"/>
    </row>
    <row r="2196" spans="1:149">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c r="CW2196"/>
      <c r="CX2196"/>
      <c r="CY2196"/>
      <c r="CZ2196"/>
      <c r="DA2196"/>
      <c r="DB2196"/>
      <c r="DC2196"/>
      <c r="DD2196"/>
      <c r="DE2196"/>
      <c r="DF2196"/>
      <c r="DG2196"/>
      <c r="DH2196"/>
      <c r="DI2196"/>
      <c r="DJ2196"/>
      <c r="DK2196"/>
      <c r="DL2196"/>
      <c r="DM2196"/>
      <c r="DN2196"/>
      <c r="DO2196"/>
      <c r="DP2196"/>
      <c r="DQ2196"/>
      <c r="DR2196"/>
      <c r="DS2196"/>
      <c r="DT2196"/>
      <c r="DU2196"/>
      <c r="DV2196"/>
      <c r="DW2196"/>
      <c r="DX2196"/>
      <c r="DY2196"/>
      <c r="DZ2196"/>
      <c r="EA2196"/>
      <c r="EB2196"/>
      <c r="EC2196"/>
      <c r="ED2196"/>
      <c r="EE2196"/>
      <c r="EF2196"/>
      <c r="EG2196"/>
      <c r="EH2196"/>
      <c r="EI2196"/>
      <c r="EJ2196"/>
      <c r="EK2196"/>
      <c r="EL2196"/>
      <c r="EM2196"/>
      <c r="EN2196"/>
      <c r="EO2196"/>
      <c r="EP2196"/>
      <c r="EQ2196"/>
      <c r="ER2196"/>
      <c r="ES2196"/>
    </row>
    <row r="2197" spans="1:149">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c r="CW2197"/>
      <c r="CX2197"/>
      <c r="CY2197"/>
      <c r="CZ2197"/>
      <c r="DA2197"/>
      <c r="DB2197"/>
      <c r="DC2197"/>
      <c r="DD2197"/>
      <c r="DE2197"/>
      <c r="DF2197"/>
      <c r="DG2197"/>
      <c r="DH2197"/>
      <c r="DI2197"/>
      <c r="DJ2197"/>
      <c r="DK2197"/>
      <c r="DL2197"/>
      <c r="DM2197"/>
      <c r="DN2197"/>
      <c r="DO2197"/>
      <c r="DP2197"/>
      <c r="DQ2197"/>
      <c r="DR2197"/>
      <c r="DS2197"/>
      <c r="DT2197"/>
      <c r="DU2197"/>
      <c r="DV2197"/>
      <c r="DW2197"/>
      <c r="DX2197"/>
      <c r="DY2197"/>
      <c r="DZ2197"/>
      <c r="EA2197"/>
      <c r="EB2197"/>
      <c r="EC2197"/>
      <c r="ED2197"/>
      <c r="EE2197"/>
      <c r="EF2197"/>
      <c r="EG2197"/>
      <c r="EH2197"/>
      <c r="EI2197"/>
      <c r="EJ2197"/>
      <c r="EK2197"/>
      <c r="EL2197"/>
      <c r="EM2197"/>
      <c r="EN2197"/>
      <c r="EO2197"/>
      <c r="EP2197"/>
      <c r="EQ2197"/>
      <c r="ER2197"/>
      <c r="ES2197"/>
    </row>
    <row r="2198" spans="1:149">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c r="CW2198"/>
      <c r="CX2198"/>
      <c r="CY2198"/>
      <c r="CZ2198"/>
      <c r="DA2198"/>
      <c r="DB2198"/>
      <c r="DC2198"/>
      <c r="DD2198"/>
      <c r="DE2198"/>
      <c r="DF2198"/>
      <c r="DG2198"/>
      <c r="DH2198"/>
      <c r="DI2198"/>
      <c r="DJ2198"/>
      <c r="DK2198"/>
      <c r="DL2198"/>
      <c r="DM2198"/>
      <c r="DN2198"/>
      <c r="DO2198"/>
      <c r="DP2198"/>
      <c r="DQ2198"/>
      <c r="DR2198"/>
      <c r="DS2198"/>
      <c r="DT2198"/>
      <c r="DU2198"/>
      <c r="DV2198"/>
      <c r="DW2198"/>
      <c r="DX2198"/>
      <c r="DY2198"/>
      <c r="DZ2198"/>
      <c r="EA2198"/>
      <c r="EB2198"/>
      <c r="EC2198"/>
      <c r="ED2198"/>
      <c r="EE2198"/>
      <c r="EF2198"/>
      <c r="EG2198"/>
      <c r="EH2198"/>
      <c r="EI2198"/>
      <c r="EJ2198"/>
      <c r="EK2198"/>
      <c r="EL2198"/>
      <c r="EM2198"/>
      <c r="EN2198"/>
      <c r="EO2198"/>
      <c r="EP2198"/>
      <c r="EQ2198"/>
      <c r="ER2198"/>
      <c r="ES2198"/>
    </row>
    <row r="2199" spans="1:149">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c r="CW2199"/>
      <c r="CX2199"/>
      <c r="CY2199"/>
      <c r="CZ2199"/>
      <c r="DA2199"/>
      <c r="DB2199"/>
      <c r="DC2199"/>
      <c r="DD2199"/>
      <c r="DE2199"/>
      <c r="DF2199"/>
      <c r="DG2199"/>
      <c r="DH2199"/>
      <c r="DI2199"/>
      <c r="DJ2199"/>
      <c r="DK2199"/>
      <c r="DL2199"/>
      <c r="DM2199"/>
      <c r="DN2199"/>
      <c r="DO2199"/>
      <c r="DP2199"/>
      <c r="DQ2199"/>
      <c r="DR2199"/>
      <c r="DS2199"/>
      <c r="DT2199"/>
      <c r="DU2199"/>
      <c r="DV2199"/>
      <c r="DW2199"/>
      <c r="DX2199"/>
      <c r="DY2199"/>
      <c r="DZ2199"/>
      <c r="EA2199"/>
      <c r="EB2199"/>
      <c r="EC2199"/>
      <c r="ED2199"/>
      <c r="EE2199"/>
      <c r="EF2199"/>
      <c r="EG2199"/>
      <c r="EH2199"/>
      <c r="EI2199"/>
      <c r="EJ2199"/>
      <c r="EK2199"/>
      <c r="EL2199"/>
      <c r="EM2199"/>
      <c r="EN2199"/>
      <c r="EO2199"/>
      <c r="EP2199"/>
      <c r="EQ2199"/>
      <c r="ER2199"/>
      <c r="ES2199"/>
    </row>
    <row r="2200" spans="1:149">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c r="CW2200"/>
      <c r="CX2200"/>
      <c r="CY2200"/>
      <c r="CZ2200"/>
      <c r="DA2200"/>
      <c r="DB2200"/>
      <c r="DC2200"/>
      <c r="DD2200"/>
      <c r="DE2200"/>
      <c r="DF2200"/>
      <c r="DG2200"/>
      <c r="DH2200"/>
      <c r="DI2200"/>
      <c r="DJ2200"/>
      <c r="DK2200"/>
      <c r="DL2200"/>
      <c r="DM2200"/>
      <c r="DN2200"/>
      <c r="DO2200"/>
      <c r="DP2200"/>
      <c r="DQ2200"/>
      <c r="DR2200"/>
      <c r="DS2200"/>
      <c r="DT2200"/>
      <c r="DU2200"/>
      <c r="DV2200"/>
      <c r="DW2200"/>
      <c r="DX2200"/>
      <c r="DY2200"/>
      <c r="DZ2200"/>
      <c r="EA2200"/>
      <c r="EB2200"/>
      <c r="EC2200"/>
      <c r="ED2200"/>
      <c r="EE2200"/>
      <c r="EF2200"/>
      <c r="EG2200"/>
      <c r="EH2200"/>
      <c r="EI2200"/>
      <c r="EJ2200"/>
      <c r="EK2200"/>
      <c r="EL2200"/>
      <c r="EM2200"/>
      <c r="EN2200"/>
      <c r="EO2200"/>
      <c r="EP2200"/>
      <c r="EQ2200"/>
      <c r="ER2200"/>
      <c r="ES2200"/>
    </row>
    <row r="2201" spans="1:149">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c r="CW2201"/>
      <c r="CX2201"/>
      <c r="CY2201"/>
      <c r="CZ2201"/>
      <c r="DA2201"/>
      <c r="DB2201"/>
      <c r="DC2201"/>
      <c r="DD2201"/>
      <c r="DE2201"/>
      <c r="DF2201"/>
      <c r="DG2201"/>
      <c r="DH2201"/>
      <c r="DI2201"/>
      <c r="DJ2201"/>
      <c r="DK2201"/>
      <c r="DL2201"/>
      <c r="DM2201"/>
      <c r="DN2201"/>
      <c r="DO2201"/>
      <c r="DP2201"/>
      <c r="DQ2201"/>
      <c r="DR2201"/>
      <c r="DS2201"/>
      <c r="DT2201"/>
      <c r="DU2201"/>
      <c r="DV2201"/>
      <c r="DW2201"/>
      <c r="DX2201"/>
      <c r="DY2201"/>
      <c r="DZ2201"/>
      <c r="EA2201"/>
      <c r="EB2201"/>
      <c r="EC2201"/>
      <c r="ED2201"/>
      <c r="EE2201"/>
      <c r="EF2201"/>
      <c r="EG2201"/>
      <c r="EH2201"/>
      <c r="EI2201"/>
      <c r="EJ2201"/>
      <c r="EK2201"/>
      <c r="EL2201"/>
      <c r="EM2201"/>
      <c r="EN2201"/>
      <c r="EO2201"/>
      <c r="EP2201"/>
      <c r="EQ2201"/>
      <c r="ER2201"/>
      <c r="ES2201"/>
    </row>
    <row r="2202" spans="1:149">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c r="CW2202"/>
      <c r="CX2202"/>
      <c r="CY2202"/>
      <c r="CZ2202"/>
      <c r="DA2202"/>
      <c r="DB2202"/>
      <c r="DC2202"/>
      <c r="DD2202"/>
      <c r="DE2202"/>
      <c r="DF2202"/>
      <c r="DG2202"/>
      <c r="DH2202"/>
      <c r="DI2202"/>
      <c r="DJ2202"/>
      <c r="DK2202"/>
      <c r="DL2202"/>
      <c r="DM2202"/>
      <c r="DN2202"/>
      <c r="DO2202"/>
      <c r="DP2202"/>
      <c r="DQ2202"/>
      <c r="DR2202"/>
      <c r="DS2202"/>
      <c r="DT2202"/>
      <c r="DU2202"/>
      <c r="DV2202"/>
      <c r="DW2202"/>
      <c r="DX2202"/>
      <c r="DY2202"/>
      <c r="DZ2202"/>
      <c r="EA2202"/>
      <c r="EB2202"/>
      <c r="EC2202"/>
      <c r="ED2202"/>
      <c r="EE2202"/>
      <c r="EF2202"/>
      <c r="EG2202"/>
      <c r="EH2202"/>
      <c r="EI2202"/>
      <c r="EJ2202"/>
      <c r="EK2202"/>
      <c r="EL2202"/>
      <c r="EM2202"/>
      <c r="EN2202"/>
      <c r="EO2202"/>
      <c r="EP2202"/>
      <c r="EQ2202"/>
      <c r="ER2202"/>
      <c r="ES2202"/>
    </row>
    <row r="2203" spans="1:149">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c r="CW2203"/>
      <c r="CX2203"/>
      <c r="CY2203"/>
      <c r="CZ2203"/>
      <c r="DA2203"/>
      <c r="DB2203"/>
      <c r="DC2203"/>
      <c r="DD2203"/>
      <c r="DE2203"/>
      <c r="DF2203"/>
      <c r="DG2203"/>
      <c r="DH2203"/>
      <c r="DI2203"/>
      <c r="DJ2203"/>
      <c r="DK2203"/>
      <c r="DL2203"/>
      <c r="DM2203"/>
      <c r="DN2203"/>
      <c r="DO2203"/>
      <c r="DP2203"/>
      <c r="DQ2203"/>
      <c r="DR2203"/>
      <c r="DS2203"/>
      <c r="DT2203"/>
      <c r="DU2203"/>
      <c r="DV2203"/>
      <c r="DW2203"/>
      <c r="DX2203"/>
      <c r="DY2203"/>
      <c r="DZ2203"/>
      <c r="EA2203"/>
      <c r="EB2203"/>
      <c r="EC2203"/>
      <c r="ED2203"/>
      <c r="EE2203"/>
      <c r="EF2203"/>
      <c r="EG2203"/>
      <c r="EH2203"/>
      <c r="EI2203"/>
      <c r="EJ2203"/>
      <c r="EK2203"/>
      <c r="EL2203"/>
      <c r="EM2203"/>
      <c r="EN2203"/>
      <c r="EO2203"/>
      <c r="EP2203"/>
      <c r="EQ2203"/>
      <c r="ER2203"/>
      <c r="ES2203"/>
    </row>
    <row r="2204" spans="1:149">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c r="CW2204"/>
      <c r="CX2204"/>
      <c r="CY2204"/>
      <c r="CZ2204"/>
      <c r="DA2204"/>
      <c r="DB2204"/>
      <c r="DC2204"/>
      <c r="DD2204"/>
      <c r="DE2204"/>
      <c r="DF2204"/>
      <c r="DG2204"/>
      <c r="DH2204"/>
      <c r="DI2204"/>
      <c r="DJ2204"/>
      <c r="DK2204"/>
      <c r="DL2204"/>
      <c r="DM2204"/>
      <c r="DN2204"/>
      <c r="DO2204"/>
      <c r="DP2204"/>
      <c r="DQ2204"/>
      <c r="DR2204"/>
      <c r="DS2204"/>
      <c r="DT2204"/>
      <c r="DU2204"/>
      <c r="DV2204"/>
      <c r="DW2204"/>
      <c r="DX2204"/>
      <c r="DY2204"/>
      <c r="DZ2204"/>
      <c r="EA2204"/>
      <c r="EB2204"/>
      <c r="EC2204"/>
      <c r="ED2204"/>
      <c r="EE2204"/>
      <c r="EF2204"/>
      <c r="EG2204"/>
      <c r="EH2204"/>
      <c r="EI2204"/>
      <c r="EJ2204"/>
      <c r="EK2204"/>
      <c r="EL2204"/>
      <c r="EM2204"/>
      <c r="EN2204"/>
      <c r="EO2204"/>
      <c r="EP2204"/>
      <c r="EQ2204"/>
      <c r="ER2204"/>
      <c r="ES2204"/>
    </row>
    <row r="2205" spans="1:149">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c r="CW2205"/>
      <c r="CX2205"/>
      <c r="CY2205"/>
      <c r="CZ2205"/>
      <c r="DA2205"/>
      <c r="DB2205"/>
      <c r="DC2205"/>
      <c r="DD2205"/>
      <c r="DE2205"/>
      <c r="DF2205"/>
      <c r="DG2205"/>
      <c r="DH2205"/>
      <c r="DI2205"/>
      <c r="DJ2205"/>
      <c r="DK2205"/>
      <c r="DL2205"/>
      <c r="DM2205"/>
      <c r="DN2205"/>
      <c r="DO2205"/>
      <c r="DP2205"/>
      <c r="DQ2205"/>
      <c r="DR2205"/>
      <c r="DS2205"/>
      <c r="DT2205"/>
      <c r="DU2205"/>
      <c r="DV2205"/>
      <c r="DW2205"/>
      <c r="DX2205"/>
      <c r="DY2205"/>
      <c r="DZ2205"/>
      <c r="EA2205"/>
      <c r="EB2205"/>
      <c r="EC2205"/>
      <c r="ED2205"/>
      <c r="EE2205"/>
      <c r="EF2205"/>
      <c r="EG2205"/>
      <c r="EH2205"/>
      <c r="EI2205"/>
      <c r="EJ2205"/>
      <c r="EK2205"/>
      <c r="EL2205"/>
      <c r="EM2205"/>
      <c r="EN2205"/>
      <c r="EO2205"/>
      <c r="EP2205"/>
      <c r="EQ2205"/>
      <c r="ER2205"/>
      <c r="ES2205"/>
    </row>
    <row r="2206" spans="1:149">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c r="CW2206"/>
      <c r="CX2206"/>
      <c r="CY2206"/>
      <c r="CZ2206"/>
      <c r="DA2206"/>
      <c r="DB2206"/>
      <c r="DC2206"/>
      <c r="DD2206"/>
      <c r="DE2206"/>
      <c r="DF2206"/>
      <c r="DG2206"/>
      <c r="DH2206"/>
      <c r="DI2206"/>
      <c r="DJ2206"/>
      <c r="DK2206"/>
      <c r="DL2206"/>
      <c r="DM2206"/>
      <c r="DN2206"/>
      <c r="DO2206"/>
      <c r="DP2206"/>
      <c r="DQ2206"/>
      <c r="DR2206"/>
      <c r="DS2206"/>
      <c r="DT2206"/>
      <c r="DU2206"/>
      <c r="DV2206"/>
      <c r="DW2206"/>
      <c r="DX2206"/>
      <c r="DY2206"/>
      <c r="DZ2206"/>
      <c r="EA2206"/>
      <c r="EB2206"/>
      <c r="EC2206"/>
      <c r="ED2206"/>
      <c r="EE2206"/>
      <c r="EF2206"/>
      <c r="EG2206"/>
      <c r="EH2206"/>
      <c r="EI2206"/>
      <c r="EJ2206"/>
      <c r="EK2206"/>
      <c r="EL2206"/>
      <c r="EM2206"/>
      <c r="EN2206"/>
      <c r="EO2206"/>
      <c r="EP2206"/>
      <c r="EQ2206"/>
      <c r="ER2206"/>
      <c r="ES2206"/>
    </row>
    <row r="2207" spans="1:149">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c r="CW2207"/>
      <c r="CX2207"/>
      <c r="CY2207"/>
      <c r="CZ2207"/>
      <c r="DA2207"/>
      <c r="DB2207"/>
      <c r="DC2207"/>
      <c r="DD2207"/>
      <c r="DE2207"/>
      <c r="DF2207"/>
      <c r="DG2207"/>
      <c r="DH2207"/>
      <c r="DI2207"/>
      <c r="DJ2207"/>
      <c r="DK2207"/>
      <c r="DL2207"/>
      <c r="DM2207"/>
      <c r="DN2207"/>
      <c r="DO2207"/>
      <c r="DP2207"/>
      <c r="DQ2207"/>
      <c r="DR2207"/>
      <c r="DS2207"/>
      <c r="DT2207"/>
      <c r="DU2207"/>
      <c r="DV2207"/>
      <c r="DW2207"/>
      <c r="DX2207"/>
      <c r="DY2207"/>
      <c r="DZ2207"/>
      <c r="EA2207"/>
      <c r="EB2207"/>
      <c r="EC2207"/>
      <c r="ED2207"/>
      <c r="EE2207"/>
      <c r="EF2207"/>
      <c r="EG2207"/>
      <c r="EH2207"/>
      <c r="EI2207"/>
      <c r="EJ2207"/>
      <c r="EK2207"/>
      <c r="EL2207"/>
      <c r="EM2207"/>
      <c r="EN2207"/>
      <c r="EO2207"/>
      <c r="EP2207"/>
      <c r="EQ2207"/>
      <c r="ER2207"/>
      <c r="ES2207"/>
    </row>
    <row r="2208" spans="1:149">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c r="CW2208"/>
      <c r="CX2208"/>
      <c r="CY2208"/>
      <c r="CZ2208"/>
      <c r="DA2208"/>
      <c r="DB2208"/>
      <c r="DC2208"/>
      <c r="DD2208"/>
      <c r="DE2208"/>
      <c r="DF2208"/>
      <c r="DG2208"/>
      <c r="DH2208"/>
      <c r="DI2208"/>
      <c r="DJ2208"/>
      <c r="DK2208"/>
      <c r="DL2208"/>
      <c r="DM2208"/>
      <c r="DN2208"/>
      <c r="DO2208"/>
      <c r="DP2208"/>
      <c r="DQ2208"/>
      <c r="DR2208"/>
      <c r="DS2208"/>
      <c r="DT2208"/>
      <c r="DU2208"/>
      <c r="DV2208"/>
      <c r="DW2208"/>
      <c r="DX2208"/>
      <c r="DY2208"/>
      <c r="DZ2208"/>
      <c r="EA2208"/>
      <c r="EB2208"/>
      <c r="EC2208"/>
      <c r="ED2208"/>
      <c r="EE2208"/>
      <c r="EF2208"/>
      <c r="EG2208"/>
      <c r="EH2208"/>
      <c r="EI2208"/>
      <c r="EJ2208"/>
      <c r="EK2208"/>
      <c r="EL2208"/>
      <c r="EM2208"/>
      <c r="EN2208"/>
      <c r="EO2208"/>
      <c r="EP2208"/>
      <c r="EQ2208"/>
      <c r="ER2208"/>
      <c r="ES2208"/>
    </row>
    <row r="2209" spans="1:149">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c r="CW2209"/>
      <c r="CX2209"/>
      <c r="CY2209"/>
      <c r="CZ2209"/>
      <c r="DA2209"/>
      <c r="DB2209"/>
      <c r="DC2209"/>
      <c r="DD2209"/>
      <c r="DE2209"/>
      <c r="DF2209"/>
      <c r="DG2209"/>
      <c r="DH2209"/>
      <c r="DI2209"/>
      <c r="DJ2209"/>
      <c r="DK2209"/>
      <c r="DL2209"/>
      <c r="DM2209"/>
      <c r="DN2209"/>
      <c r="DO2209"/>
      <c r="DP2209"/>
      <c r="DQ2209"/>
      <c r="DR2209"/>
      <c r="DS2209"/>
      <c r="DT2209"/>
      <c r="DU2209"/>
      <c r="DV2209"/>
      <c r="DW2209"/>
      <c r="DX2209"/>
      <c r="DY2209"/>
      <c r="DZ2209"/>
      <c r="EA2209"/>
      <c r="EB2209"/>
      <c r="EC2209"/>
      <c r="ED2209"/>
      <c r="EE2209"/>
      <c r="EF2209"/>
      <c r="EG2209"/>
      <c r="EH2209"/>
      <c r="EI2209"/>
      <c r="EJ2209"/>
      <c r="EK2209"/>
      <c r="EL2209"/>
      <c r="EM2209"/>
      <c r="EN2209"/>
      <c r="EO2209"/>
      <c r="EP2209"/>
      <c r="EQ2209"/>
      <c r="ER2209"/>
      <c r="ES2209"/>
    </row>
    <row r="2210" spans="1:149">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c r="CW2210"/>
      <c r="CX2210"/>
      <c r="CY2210"/>
      <c r="CZ2210"/>
      <c r="DA2210"/>
      <c r="DB2210"/>
      <c r="DC2210"/>
      <c r="DD2210"/>
      <c r="DE2210"/>
      <c r="DF2210"/>
      <c r="DG2210"/>
      <c r="DH2210"/>
      <c r="DI2210"/>
      <c r="DJ2210"/>
      <c r="DK2210"/>
      <c r="DL2210"/>
      <c r="DM2210"/>
      <c r="DN2210"/>
      <c r="DO2210"/>
      <c r="DP2210"/>
      <c r="DQ2210"/>
      <c r="DR2210"/>
      <c r="DS2210"/>
      <c r="DT2210"/>
      <c r="DU2210"/>
      <c r="DV2210"/>
      <c r="DW2210"/>
      <c r="DX2210"/>
      <c r="DY2210"/>
      <c r="DZ2210"/>
      <c r="EA2210"/>
      <c r="EB2210"/>
      <c r="EC2210"/>
      <c r="ED2210"/>
      <c r="EE2210"/>
      <c r="EF2210"/>
      <c r="EG2210"/>
      <c r="EH2210"/>
      <c r="EI2210"/>
      <c r="EJ2210"/>
      <c r="EK2210"/>
      <c r="EL2210"/>
      <c r="EM2210"/>
      <c r="EN2210"/>
      <c r="EO2210"/>
      <c r="EP2210"/>
      <c r="EQ2210"/>
      <c r="ER2210"/>
      <c r="ES2210"/>
    </row>
    <row r="2211" spans="1:149">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c r="CW2211"/>
      <c r="CX2211"/>
      <c r="CY2211"/>
      <c r="CZ2211"/>
      <c r="DA2211"/>
      <c r="DB2211"/>
      <c r="DC2211"/>
      <c r="DD2211"/>
      <c r="DE2211"/>
      <c r="DF2211"/>
      <c r="DG2211"/>
      <c r="DH2211"/>
      <c r="DI2211"/>
      <c r="DJ2211"/>
      <c r="DK2211"/>
      <c r="DL2211"/>
      <c r="DM2211"/>
      <c r="DN2211"/>
      <c r="DO2211"/>
      <c r="DP2211"/>
      <c r="DQ2211"/>
      <c r="DR2211"/>
      <c r="DS2211"/>
      <c r="DT2211"/>
      <c r="DU2211"/>
      <c r="DV2211"/>
      <c r="DW2211"/>
      <c r="DX2211"/>
      <c r="DY2211"/>
      <c r="DZ2211"/>
      <c r="EA2211"/>
      <c r="EB2211"/>
      <c r="EC2211"/>
      <c r="ED2211"/>
      <c r="EE2211"/>
      <c r="EF2211"/>
      <c r="EG2211"/>
      <c r="EH2211"/>
      <c r="EI2211"/>
      <c r="EJ2211"/>
      <c r="EK2211"/>
      <c r="EL2211"/>
      <c r="EM2211"/>
      <c r="EN2211"/>
      <c r="EO2211"/>
      <c r="EP2211"/>
      <c r="EQ2211"/>
      <c r="ER2211"/>
      <c r="ES2211"/>
    </row>
    <row r="2212" spans="1:149">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c r="CW2212"/>
      <c r="CX2212"/>
      <c r="CY2212"/>
      <c r="CZ2212"/>
      <c r="DA2212"/>
      <c r="DB2212"/>
      <c r="DC2212"/>
      <c r="DD2212"/>
      <c r="DE2212"/>
      <c r="DF2212"/>
      <c r="DG2212"/>
      <c r="DH2212"/>
      <c r="DI2212"/>
      <c r="DJ2212"/>
      <c r="DK2212"/>
      <c r="DL2212"/>
      <c r="DM2212"/>
      <c r="DN2212"/>
      <c r="DO2212"/>
      <c r="DP2212"/>
      <c r="DQ2212"/>
      <c r="DR2212"/>
      <c r="DS2212"/>
      <c r="DT2212"/>
      <c r="DU2212"/>
      <c r="DV2212"/>
      <c r="DW2212"/>
      <c r="DX2212"/>
      <c r="DY2212"/>
      <c r="DZ2212"/>
      <c r="EA2212"/>
      <c r="EB2212"/>
      <c r="EC2212"/>
      <c r="ED2212"/>
      <c r="EE2212"/>
      <c r="EF2212"/>
      <c r="EG2212"/>
      <c r="EH2212"/>
      <c r="EI2212"/>
      <c r="EJ2212"/>
      <c r="EK2212"/>
      <c r="EL2212"/>
      <c r="EM2212"/>
      <c r="EN2212"/>
      <c r="EO2212"/>
      <c r="EP2212"/>
      <c r="EQ2212"/>
      <c r="ER2212"/>
      <c r="ES2212"/>
    </row>
    <row r="2213" spans="1:149">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c r="CW2213"/>
      <c r="CX2213"/>
      <c r="CY2213"/>
      <c r="CZ2213"/>
      <c r="DA2213"/>
      <c r="DB2213"/>
      <c r="DC2213"/>
      <c r="DD2213"/>
      <c r="DE2213"/>
      <c r="DF2213"/>
      <c r="DG2213"/>
      <c r="DH2213"/>
      <c r="DI2213"/>
      <c r="DJ2213"/>
      <c r="DK2213"/>
      <c r="DL2213"/>
      <c r="DM2213"/>
      <c r="DN2213"/>
      <c r="DO2213"/>
      <c r="DP2213"/>
      <c r="DQ2213"/>
      <c r="DR2213"/>
      <c r="DS2213"/>
      <c r="DT2213"/>
      <c r="DU2213"/>
      <c r="DV2213"/>
      <c r="DW2213"/>
      <c r="DX2213"/>
      <c r="DY2213"/>
      <c r="DZ2213"/>
      <c r="EA2213"/>
      <c r="EB2213"/>
      <c r="EC2213"/>
      <c r="ED2213"/>
      <c r="EE2213"/>
      <c r="EF2213"/>
      <c r="EG2213"/>
      <c r="EH2213"/>
      <c r="EI2213"/>
      <c r="EJ2213"/>
      <c r="EK2213"/>
      <c r="EL2213"/>
      <c r="EM2213"/>
      <c r="EN2213"/>
      <c r="EO2213"/>
      <c r="EP2213"/>
      <c r="EQ2213"/>
      <c r="ER2213"/>
      <c r="ES2213"/>
    </row>
    <row r="2214" spans="1:149">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c r="CW2214"/>
      <c r="CX2214"/>
      <c r="CY2214"/>
      <c r="CZ2214"/>
      <c r="DA2214"/>
      <c r="DB2214"/>
      <c r="DC2214"/>
      <c r="DD2214"/>
      <c r="DE2214"/>
      <c r="DF2214"/>
      <c r="DG2214"/>
      <c r="DH2214"/>
      <c r="DI2214"/>
      <c r="DJ2214"/>
      <c r="DK2214"/>
      <c r="DL2214"/>
      <c r="DM2214"/>
      <c r="DN2214"/>
      <c r="DO2214"/>
      <c r="DP2214"/>
      <c r="DQ2214"/>
      <c r="DR2214"/>
      <c r="DS2214"/>
      <c r="DT2214"/>
      <c r="DU2214"/>
      <c r="DV2214"/>
      <c r="DW2214"/>
      <c r="DX2214"/>
      <c r="DY2214"/>
      <c r="DZ2214"/>
      <c r="EA2214"/>
      <c r="EB2214"/>
      <c r="EC2214"/>
      <c r="ED2214"/>
      <c r="EE2214"/>
      <c r="EF2214"/>
      <c r="EG2214"/>
      <c r="EH2214"/>
      <c r="EI2214"/>
      <c r="EJ2214"/>
      <c r="EK2214"/>
      <c r="EL2214"/>
      <c r="EM2214"/>
      <c r="EN2214"/>
      <c r="EO2214"/>
      <c r="EP2214"/>
      <c r="EQ2214"/>
      <c r="ER2214"/>
      <c r="ES2214"/>
    </row>
    <row r="2215" spans="1:149">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c r="CW2215"/>
      <c r="CX2215"/>
      <c r="CY2215"/>
      <c r="CZ2215"/>
      <c r="DA2215"/>
      <c r="DB2215"/>
      <c r="DC2215"/>
      <c r="DD2215"/>
      <c r="DE2215"/>
      <c r="DF2215"/>
      <c r="DG2215"/>
      <c r="DH2215"/>
      <c r="DI2215"/>
      <c r="DJ2215"/>
      <c r="DK2215"/>
      <c r="DL2215"/>
      <c r="DM2215"/>
      <c r="DN2215"/>
      <c r="DO2215"/>
      <c r="DP2215"/>
      <c r="DQ2215"/>
      <c r="DR2215"/>
      <c r="DS2215"/>
      <c r="DT2215"/>
      <c r="DU2215"/>
      <c r="DV2215"/>
      <c r="DW2215"/>
      <c r="DX2215"/>
      <c r="DY2215"/>
      <c r="DZ2215"/>
      <c r="EA2215"/>
      <c r="EB2215"/>
      <c r="EC2215"/>
      <c r="ED2215"/>
      <c r="EE2215"/>
      <c r="EF2215"/>
      <c r="EG2215"/>
      <c r="EH2215"/>
      <c r="EI2215"/>
      <c r="EJ2215"/>
      <c r="EK2215"/>
      <c r="EL2215"/>
      <c r="EM2215"/>
      <c r="EN2215"/>
      <c r="EO2215"/>
      <c r="EP2215"/>
      <c r="EQ2215"/>
      <c r="ER2215"/>
      <c r="ES2215"/>
    </row>
    <row r="2216" spans="1:149">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c r="CW2216"/>
      <c r="CX2216"/>
      <c r="CY2216"/>
      <c r="CZ2216"/>
      <c r="DA2216"/>
      <c r="DB2216"/>
      <c r="DC2216"/>
      <c r="DD2216"/>
      <c r="DE2216"/>
      <c r="DF2216"/>
      <c r="DG2216"/>
      <c r="DH2216"/>
      <c r="DI2216"/>
      <c r="DJ2216"/>
      <c r="DK2216"/>
      <c r="DL2216"/>
      <c r="DM2216"/>
      <c r="DN2216"/>
      <c r="DO2216"/>
      <c r="DP2216"/>
      <c r="DQ2216"/>
      <c r="DR2216"/>
      <c r="DS2216"/>
      <c r="DT2216"/>
      <c r="DU2216"/>
      <c r="DV2216"/>
      <c r="DW2216"/>
      <c r="DX2216"/>
      <c r="DY2216"/>
      <c r="DZ2216"/>
      <c r="EA2216"/>
      <c r="EB2216"/>
      <c r="EC2216"/>
      <c r="ED2216"/>
      <c r="EE2216"/>
      <c r="EF2216"/>
      <c r="EG2216"/>
      <c r="EH2216"/>
      <c r="EI2216"/>
      <c r="EJ2216"/>
      <c r="EK2216"/>
      <c r="EL2216"/>
      <c r="EM2216"/>
      <c r="EN2216"/>
      <c r="EO2216"/>
      <c r="EP2216"/>
      <c r="EQ2216"/>
      <c r="ER2216"/>
      <c r="ES2216"/>
    </row>
    <row r="2217" spans="1:149">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c r="CW2217"/>
      <c r="CX2217"/>
      <c r="CY2217"/>
      <c r="CZ2217"/>
      <c r="DA2217"/>
      <c r="DB2217"/>
      <c r="DC2217"/>
      <c r="DD2217"/>
      <c r="DE2217"/>
      <c r="DF2217"/>
      <c r="DG2217"/>
      <c r="DH2217"/>
      <c r="DI2217"/>
      <c r="DJ2217"/>
      <c r="DK2217"/>
      <c r="DL2217"/>
      <c r="DM2217"/>
      <c r="DN2217"/>
      <c r="DO2217"/>
      <c r="DP2217"/>
      <c r="DQ2217"/>
      <c r="DR2217"/>
      <c r="DS2217"/>
      <c r="DT2217"/>
      <c r="DU2217"/>
      <c r="DV2217"/>
      <c r="DW2217"/>
      <c r="DX2217"/>
      <c r="DY2217"/>
      <c r="DZ2217"/>
      <c r="EA2217"/>
      <c r="EB2217"/>
      <c r="EC2217"/>
      <c r="ED2217"/>
      <c r="EE2217"/>
      <c r="EF2217"/>
      <c r="EG2217"/>
      <c r="EH2217"/>
      <c r="EI2217"/>
      <c r="EJ2217"/>
      <c r="EK2217"/>
      <c r="EL2217"/>
      <c r="EM2217"/>
      <c r="EN2217"/>
      <c r="EO2217"/>
      <c r="EP2217"/>
      <c r="EQ2217"/>
      <c r="ER2217"/>
      <c r="ES2217"/>
    </row>
    <row r="2218" spans="1:149">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c r="CW2218"/>
      <c r="CX2218"/>
      <c r="CY2218"/>
      <c r="CZ2218"/>
      <c r="DA2218"/>
      <c r="DB2218"/>
      <c r="DC2218"/>
      <c r="DD2218"/>
      <c r="DE2218"/>
      <c r="DF2218"/>
      <c r="DG2218"/>
      <c r="DH2218"/>
      <c r="DI2218"/>
      <c r="DJ2218"/>
      <c r="DK2218"/>
      <c r="DL2218"/>
      <c r="DM2218"/>
      <c r="DN2218"/>
      <c r="DO2218"/>
      <c r="DP2218"/>
      <c r="DQ2218"/>
      <c r="DR2218"/>
      <c r="DS2218"/>
      <c r="DT2218"/>
      <c r="DU2218"/>
      <c r="DV2218"/>
      <c r="DW2218"/>
      <c r="DX2218"/>
      <c r="DY2218"/>
      <c r="DZ2218"/>
      <c r="EA2218"/>
      <c r="EB2218"/>
      <c r="EC2218"/>
      <c r="ED2218"/>
      <c r="EE2218"/>
      <c r="EF2218"/>
      <c r="EG2218"/>
      <c r="EH2218"/>
      <c r="EI2218"/>
      <c r="EJ2218"/>
      <c r="EK2218"/>
      <c r="EL2218"/>
      <c r="EM2218"/>
      <c r="EN2218"/>
      <c r="EO2218"/>
      <c r="EP2218"/>
      <c r="EQ2218"/>
      <c r="ER2218"/>
      <c r="ES2218"/>
    </row>
    <row r="2219" spans="1:149">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c r="CW2219"/>
      <c r="CX2219"/>
      <c r="CY2219"/>
      <c r="CZ2219"/>
      <c r="DA2219"/>
      <c r="DB2219"/>
      <c r="DC2219"/>
      <c r="DD2219"/>
      <c r="DE2219"/>
      <c r="DF2219"/>
      <c r="DG2219"/>
      <c r="DH2219"/>
      <c r="DI2219"/>
      <c r="DJ2219"/>
      <c r="DK2219"/>
      <c r="DL2219"/>
      <c r="DM2219"/>
      <c r="DN2219"/>
      <c r="DO2219"/>
      <c r="DP2219"/>
      <c r="DQ2219"/>
      <c r="DR2219"/>
      <c r="DS2219"/>
      <c r="DT2219"/>
      <c r="DU2219"/>
      <c r="DV2219"/>
      <c r="DW2219"/>
      <c r="DX2219"/>
      <c r="DY2219"/>
      <c r="DZ2219"/>
      <c r="EA2219"/>
      <c r="EB2219"/>
      <c r="EC2219"/>
      <c r="ED2219"/>
      <c r="EE2219"/>
      <c r="EF2219"/>
      <c r="EG2219"/>
      <c r="EH2219"/>
      <c r="EI2219"/>
      <c r="EJ2219"/>
      <c r="EK2219"/>
      <c r="EL2219"/>
      <c r="EM2219"/>
      <c r="EN2219"/>
      <c r="EO2219"/>
      <c r="EP2219"/>
      <c r="EQ2219"/>
      <c r="ER2219"/>
      <c r="ES2219"/>
    </row>
    <row r="2220" spans="1:149">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c r="CW2220"/>
      <c r="CX2220"/>
      <c r="CY2220"/>
      <c r="CZ2220"/>
      <c r="DA2220"/>
      <c r="DB2220"/>
      <c r="DC2220"/>
      <c r="DD2220"/>
      <c r="DE2220"/>
      <c r="DF2220"/>
      <c r="DG2220"/>
      <c r="DH2220"/>
      <c r="DI2220"/>
      <c r="DJ2220"/>
      <c r="DK2220"/>
      <c r="DL2220"/>
      <c r="DM2220"/>
      <c r="DN2220"/>
      <c r="DO2220"/>
      <c r="DP2220"/>
      <c r="DQ2220"/>
      <c r="DR2220"/>
      <c r="DS2220"/>
      <c r="DT2220"/>
      <c r="DU2220"/>
      <c r="DV2220"/>
      <c r="DW2220"/>
      <c r="DX2220"/>
      <c r="DY2220"/>
      <c r="DZ2220"/>
      <c r="EA2220"/>
      <c r="EB2220"/>
      <c r="EC2220"/>
      <c r="ED2220"/>
      <c r="EE2220"/>
      <c r="EF2220"/>
      <c r="EG2220"/>
      <c r="EH2220"/>
      <c r="EI2220"/>
      <c r="EJ2220"/>
      <c r="EK2220"/>
      <c r="EL2220"/>
      <c r="EM2220"/>
      <c r="EN2220"/>
      <c r="EO2220"/>
      <c r="EP2220"/>
      <c r="EQ2220"/>
      <c r="ER2220"/>
      <c r="ES2220"/>
    </row>
    <row r="2221" spans="1:149">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c r="CW2221"/>
      <c r="CX2221"/>
      <c r="CY2221"/>
      <c r="CZ2221"/>
      <c r="DA2221"/>
      <c r="DB2221"/>
      <c r="DC2221"/>
      <c r="DD2221"/>
      <c r="DE2221"/>
      <c r="DF2221"/>
      <c r="DG2221"/>
      <c r="DH2221"/>
      <c r="DI2221"/>
      <c r="DJ2221"/>
      <c r="DK2221"/>
      <c r="DL2221"/>
      <c r="DM2221"/>
      <c r="DN2221"/>
      <c r="DO2221"/>
      <c r="DP2221"/>
      <c r="DQ2221"/>
      <c r="DR2221"/>
      <c r="DS2221"/>
      <c r="DT2221"/>
      <c r="DU2221"/>
      <c r="DV2221"/>
      <c r="DW2221"/>
      <c r="DX2221"/>
      <c r="DY2221"/>
      <c r="DZ2221"/>
      <c r="EA2221"/>
      <c r="EB2221"/>
      <c r="EC2221"/>
      <c r="ED2221"/>
      <c r="EE2221"/>
      <c r="EF2221"/>
      <c r="EG2221"/>
      <c r="EH2221"/>
      <c r="EI2221"/>
      <c r="EJ2221"/>
      <c r="EK2221"/>
      <c r="EL2221"/>
      <c r="EM2221"/>
      <c r="EN2221"/>
      <c r="EO2221"/>
      <c r="EP2221"/>
      <c r="EQ2221"/>
      <c r="ER2221"/>
      <c r="ES2221"/>
    </row>
    <row r="2222" spans="1:149">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c r="CW2222"/>
      <c r="CX2222"/>
      <c r="CY2222"/>
      <c r="CZ2222"/>
      <c r="DA2222"/>
      <c r="DB2222"/>
      <c r="DC2222"/>
      <c r="DD2222"/>
      <c r="DE2222"/>
      <c r="DF2222"/>
      <c r="DG2222"/>
      <c r="DH2222"/>
      <c r="DI2222"/>
      <c r="DJ2222"/>
      <c r="DK2222"/>
      <c r="DL2222"/>
      <c r="DM2222"/>
      <c r="DN2222"/>
      <c r="DO2222"/>
      <c r="DP2222"/>
      <c r="DQ2222"/>
      <c r="DR2222"/>
      <c r="DS2222"/>
      <c r="DT2222"/>
      <c r="DU2222"/>
      <c r="DV2222"/>
      <c r="DW2222"/>
      <c r="DX2222"/>
      <c r="DY2222"/>
      <c r="DZ2222"/>
      <c r="EA2222"/>
      <c r="EB2222"/>
      <c r="EC2222"/>
      <c r="ED2222"/>
      <c r="EE2222"/>
      <c r="EF2222"/>
      <c r="EG2222"/>
      <c r="EH2222"/>
      <c r="EI2222"/>
      <c r="EJ2222"/>
      <c r="EK2222"/>
      <c r="EL2222"/>
      <c r="EM2222"/>
      <c r="EN2222"/>
      <c r="EO2222"/>
      <c r="EP2222"/>
      <c r="EQ2222"/>
      <c r="ER2222"/>
      <c r="ES2222"/>
    </row>
    <row r="2223" spans="1:149">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c r="CW2223"/>
      <c r="CX2223"/>
      <c r="CY2223"/>
      <c r="CZ2223"/>
      <c r="DA2223"/>
      <c r="DB2223"/>
      <c r="DC2223"/>
      <c r="DD2223"/>
      <c r="DE2223"/>
      <c r="DF2223"/>
      <c r="DG2223"/>
      <c r="DH2223"/>
      <c r="DI2223"/>
      <c r="DJ2223"/>
      <c r="DK2223"/>
      <c r="DL2223"/>
      <c r="DM2223"/>
      <c r="DN2223"/>
      <c r="DO2223"/>
      <c r="DP2223"/>
      <c r="DQ2223"/>
      <c r="DR2223"/>
      <c r="DS2223"/>
      <c r="DT2223"/>
      <c r="DU2223"/>
      <c r="DV2223"/>
      <c r="DW2223"/>
      <c r="DX2223"/>
      <c r="DY2223"/>
      <c r="DZ2223"/>
      <c r="EA2223"/>
      <c r="EB2223"/>
      <c r="EC2223"/>
      <c r="ED2223"/>
      <c r="EE2223"/>
      <c r="EF2223"/>
      <c r="EG2223"/>
      <c r="EH2223"/>
      <c r="EI2223"/>
      <c r="EJ2223"/>
      <c r="EK2223"/>
      <c r="EL2223"/>
      <c r="EM2223"/>
      <c r="EN2223"/>
      <c r="EO2223"/>
      <c r="EP2223"/>
      <c r="EQ2223"/>
      <c r="ER2223"/>
      <c r="ES2223"/>
    </row>
    <row r="2224" spans="1:149">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c r="CW2224"/>
      <c r="CX2224"/>
      <c r="CY2224"/>
      <c r="CZ2224"/>
      <c r="DA2224"/>
      <c r="DB2224"/>
      <c r="DC2224"/>
      <c r="DD2224"/>
      <c r="DE2224"/>
      <c r="DF2224"/>
      <c r="DG2224"/>
      <c r="DH2224"/>
      <c r="DI2224"/>
      <c r="DJ2224"/>
      <c r="DK2224"/>
      <c r="DL2224"/>
      <c r="DM2224"/>
      <c r="DN2224"/>
      <c r="DO2224"/>
      <c r="DP2224"/>
      <c r="DQ2224"/>
      <c r="DR2224"/>
      <c r="DS2224"/>
      <c r="DT2224"/>
      <c r="DU2224"/>
      <c r="DV2224"/>
      <c r="DW2224"/>
      <c r="DX2224"/>
      <c r="DY2224"/>
      <c r="DZ2224"/>
      <c r="EA2224"/>
      <c r="EB2224"/>
      <c r="EC2224"/>
      <c r="ED2224"/>
      <c r="EE2224"/>
      <c r="EF2224"/>
      <c r="EG2224"/>
      <c r="EH2224"/>
      <c r="EI2224"/>
      <c r="EJ2224"/>
      <c r="EK2224"/>
      <c r="EL2224"/>
      <c r="EM2224"/>
      <c r="EN2224"/>
      <c r="EO2224"/>
      <c r="EP2224"/>
      <c r="EQ2224"/>
      <c r="ER2224"/>
      <c r="ES2224"/>
    </row>
    <row r="2225" spans="1:149">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c r="CW2225"/>
      <c r="CX2225"/>
      <c r="CY2225"/>
      <c r="CZ2225"/>
      <c r="DA2225"/>
      <c r="DB2225"/>
      <c r="DC2225"/>
      <c r="DD2225"/>
      <c r="DE2225"/>
      <c r="DF2225"/>
      <c r="DG2225"/>
      <c r="DH2225"/>
      <c r="DI2225"/>
      <c r="DJ2225"/>
      <c r="DK2225"/>
      <c r="DL2225"/>
      <c r="DM2225"/>
      <c r="DN2225"/>
      <c r="DO2225"/>
      <c r="DP2225"/>
      <c r="DQ2225"/>
      <c r="DR2225"/>
      <c r="DS2225"/>
      <c r="DT2225"/>
      <c r="DU2225"/>
      <c r="DV2225"/>
      <c r="DW2225"/>
      <c r="DX2225"/>
      <c r="DY2225"/>
      <c r="DZ2225"/>
      <c r="EA2225"/>
      <c r="EB2225"/>
      <c r="EC2225"/>
      <c r="ED2225"/>
      <c r="EE2225"/>
      <c r="EF2225"/>
      <c r="EG2225"/>
      <c r="EH2225"/>
      <c r="EI2225"/>
      <c r="EJ2225"/>
      <c r="EK2225"/>
      <c r="EL2225"/>
      <c r="EM2225"/>
      <c r="EN2225"/>
      <c r="EO2225"/>
      <c r="EP2225"/>
      <c r="EQ2225"/>
      <c r="ER2225"/>
      <c r="ES2225"/>
    </row>
    <row r="2226" spans="1:149">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c r="CW2226"/>
      <c r="CX2226"/>
      <c r="CY2226"/>
      <c r="CZ2226"/>
      <c r="DA2226"/>
      <c r="DB2226"/>
      <c r="DC2226"/>
      <c r="DD2226"/>
      <c r="DE2226"/>
      <c r="DF2226"/>
      <c r="DG2226"/>
      <c r="DH2226"/>
      <c r="DI2226"/>
      <c r="DJ2226"/>
      <c r="DK2226"/>
      <c r="DL2226"/>
      <c r="DM2226"/>
      <c r="DN2226"/>
      <c r="DO2226"/>
      <c r="DP2226"/>
      <c r="DQ2226"/>
      <c r="DR2226"/>
      <c r="DS2226"/>
      <c r="DT2226"/>
      <c r="DU2226"/>
      <c r="DV2226"/>
      <c r="DW2226"/>
      <c r="DX2226"/>
      <c r="DY2226"/>
      <c r="DZ2226"/>
      <c r="EA2226"/>
      <c r="EB2226"/>
      <c r="EC2226"/>
      <c r="ED2226"/>
      <c r="EE2226"/>
      <c r="EF2226"/>
      <c r="EG2226"/>
      <c r="EH2226"/>
      <c r="EI2226"/>
      <c r="EJ2226"/>
      <c r="EK2226"/>
      <c r="EL2226"/>
      <c r="EM2226"/>
      <c r="EN2226"/>
      <c r="EO2226"/>
      <c r="EP2226"/>
      <c r="EQ2226"/>
      <c r="ER2226"/>
      <c r="ES2226"/>
    </row>
    <row r="2227" spans="1:149">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c r="CW2227"/>
      <c r="CX2227"/>
      <c r="CY2227"/>
      <c r="CZ2227"/>
      <c r="DA2227"/>
      <c r="DB2227"/>
      <c r="DC2227"/>
      <c r="DD2227"/>
      <c r="DE2227"/>
      <c r="DF2227"/>
      <c r="DG2227"/>
      <c r="DH2227"/>
      <c r="DI2227"/>
      <c r="DJ2227"/>
      <c r="DK2227"/>
      <c r="DL2227"/>
      <c r="DM2227"/>
      <c r="DN2227"/>
      <c r="DO2227"/>
      <c r="DP2227"/>
      <c r="DQ2227"/>
      <c r="DR2227"/>
      <c r="DS2227"/>
      <c r="DT2227"/>
      <c r="DU2227"/>
      <c r="DV2227"/>
      <c r="DW2227"/>
      <c r="DX2227"/>
      <c r="DY2227"/>
      <c r="DZ2227"/>
      <c r="EA2227"/>
      <c r="EB2227"/>
      <c r="EC2227"/>
      <c r="ED2227"/>
      <c r="EE2227"/>
      <c r="EF2227"/>
      <c r="EG2227"/>
      <c r="EH2227"/>
      <c r="EI2227"/>
      <c r="EJ2227"/>
      <c r="EK2227"/>
      <c r="EL2227"/>
      <c r="EM2227"/>
      <c r="EN2227"/>
      <c r="EO2227"/>
      <c r="EP2227"/>
      <c r="EQ2227"/>
      <c r="ER2227"/>
      <c r="ES2227"/>
    </row>
    <row r="2228" spans="1:149">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c r="CW2228"/>
      <c r="CX2228"/>
      <c r="CY2228"/>
      <c r="CZ2228"/>
      <c r="DA2228"/>
      <c r="DB2228"/>
      <c r="DC2228"/>
      <c r="DD2228"/>
      <c r="DE2228"/>
      <c r="DF2228"/>
      <c r="DG2228"/>
      <c r="DH2228"/>
      <c r="DI2228"/>
      <c r="DJ2228"/>
      <c r="DK2228"/>
      <c r="DL2228"/>
      <c r="DM2228"/>
      <c r="DN2228"/>
      <c r="DO2228"/>
      <c r="DP2228"/>
      <c r="DQ2228"/>
      <c r="DR2228"/>
      <c r="DS2228"/>
      <c r="DT2228"/>
      <c r="DU2228"/>
      <c r="DV2228"/>
      <c r="DW2228"/>
      <c r="DX2228"/>
      <c r="DY2228"/>
      <c r="DZ2228"/>
      <c r="EA2228"/>
      <c r="EB2228"/>
      <c r="EC2228"/>
      <c r="ED2228"/>
      <c r="EE2228"/>
      <c r="EF2228"/>
      <c r="EG2228"/>
      <c r="EH2228"/>
      <c r="EI2228"/>
      <c r="EJ2228"/>
      <c r="EK2228"/>
      <c r="EL2228"/>
      <c r="EM2228"/>
      <c r="EN2228"/>
      <c r="EO2228"/>
      <c r="EP2228"/>
      <c r="EQ2228"/>
      <c r="ER2228"/>
      <c r="ES2228"/>
    </row>
    <row r="2229" spans="1:149">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c r="CW2229"/>
      <c r="CX2229"/>
      <c r="CY2229"/>
      <c r="CZ2229"/>
      <c r="DA2229"/>
      <c r="DB2229"/>
      <c r="DC2229"/>
      <c r="DD2229"/>
      <c r="DE2229"/>
      <c r="DF2229"/>
      <c r="DG2229"/>
      <c r="DH2229"/>
      <c r="DI2229"/>
      <c r="DJ2229"/>
      <c r="DK2229"/>
      <c r="DL2229"/>
      <c r="DM2229"/>
      <c r="DN2229"/>
      <c r="DO2229"/>
      <c r="DP2229"/>
      <c r="DQ2229"/>
      <c r="DR2229"/>
      <c r="DS2229"/>
      <c r="DT2229"/>
      <c r="DU2229"/>
      <c r="DV2229"/>
      <c r="DW2229"/>
      <c r="DX2229"/>
      <c r="DY2229"/>
      <c r="DZ2229"/>
      <c r="EA2229"/>
      <c r="EB2229"/>
      <c r="EC2229"/>
      <c r="ED2229"/>
      <c r="EE2229"/>
      <c r="EF2229"/>
      <c r="EG2229"/>
      <c r="EH2229"/>
      <c r="EI2229"/>
      <c r="EJ2229"/>
      <c r="EK2229"/>
      <c r="EL2229"/>
      <c r="EM2229"/>
      <c r="EN2229"/>
      <c r="EO2229"/>
      <c r="EP2229"/>
      <c r="EQ2229"/>
      <c r="ER2229"/>
      <c r="ES2229"/>
    </row>
    <row r="2230" spans="1:149">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c r="CW2230"/>
      <c r="CX2230"/>
      <c r="CY2230"/>
      <c r="CZ2230"/>
      <c r="DA2230"/>
      <c r="DB2230"/>
      <c r="DC2230"/>
      <c r="DD2230"/>
      <c r="DE2230"/>
      <c r="DF2230"/>
      <c r="DG2230"/>
      <c r="DH2230"/>
      <c r="DI2230"/>
      <c r="DJ2230"/>
      <c r="DK2230"/>
      <c r="DL2230"/>
      <c r="DM2230"/>
      <c r="DN2230"/>
      <c r="DO2230"/>
      <c r="DP2230"/>
      <c r="DQ2230"/>
      <c r="DR2230"/>
      <c r="DS2230"/>
      <c r="DT2230"/>
      <c r="DU2230"/>
      <c r="DV2230"/>
      <c r="DW2230"/>
      <c r="DX2230"/>
      <c r="DY2230"/>
      <c r="DZ2230"/>
      <c r="EA2230"/>
      <c r="EB2230"/>
      <c r="EC2230"/>
      <c r="ED2230"/>
      <c r="EE2230"/>
      <c r="EF2230"/>
      <c r="EG2230"/>
      <c r="EH2230"/>
      <c r="EI2230"/>
      <c r="EJ2230"/>
      <c r="EK2230"/>
      <c r="EL2230"/>
      <c r="EM2230"/>
      <c r="EN2230"/>
      <c r="EO2230"/>
      <c r="EP2230"/>
      <c r="EQ2230"/>
      <c r="ER2230"/>
      <c r="ES2230"/>
    </row>
    <row r="2231" spans="1:149">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c r="CW2231"/>
      <c r="CX2231"/>
      <c r="CY2231"/>
      <c r="CZ2231"/>
      <c r="DA2231"/>
      <c r="DB2231"/>
      <c r="DC2231"/>
      <c r="DD2231"/>
      <c r="DE2231"/>
      <c r="DF2231"/>
      <c r="DG2231"/>
      <c r="DH2231"/>
      <c r="DI2231"/>
      <c r="DJ2231"/>
      <c r="DK2231"/>
      <c r="DL2231"/>
      <c r="DM2231"/>
      <c r="DN2231"/>
      <c r="DO2231"/>
      <c r="DP2231"/>
      <c r="DQ2231"/>
      <c r="DR2231"/>
      <c r="DS2231"/>
      <c r="DT2231"/>
      <c r="DU2231"/>
      <c r="DV2231"/>
      <c r="DW2231"/>
      <c r="DX2231"/>
      <c r="DY2231"/>
      <c r="DZ2231"/>
      <c r="EA2231"/>
      <c r="EB2231"/>
      <c r="EC2231"/>
      <c r="ED2231"/>
      <c r="EE2231"/>
      <c r="EF2231"/>
      <c r="EG2231"/>
      <c r="EH2231"/>
      <c r="EI2231"/>
      <c r="EJ2231"/>
      <c r="EK2231"/>
      <c r="EL2231"/>
      <c r="EM2231"/>
      <c r="EN2231"/>
      <c r="EO2231"/>
      <c r="EP2231"/>
      <c r="EQ2231"/>
      <c r="ER2231"/>
      <c r="ES2231"/>
    </row>
    <row r="2232" spans="1:149">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c r="CW2232"/>
      <c r="CX2232"/>
      <c r="CY2232"/>
      <c r="CZ2232"/>
      <c r="DA2232"/>
      <c r="DB2232"/>
      <c r="DC2232"/>
      <c r="DD2232"/>
      <c r="DE2232"/>
      <c r="DF2232"/>
      <c r="DG2232"/>
      <c r="DH2232"/>
      <c r="DI2232"/>
      <c r="DJ2232"/>
      <c r="DK2232"/>
      <c r="DL2232"/>
      <c r="DM2232"/>
      <c r="DN2232"/>
      <c r="DO2232"/>
      <c r="DP2232"/>
      <c r="DQ2232"/>
      <c r="DR2232"/>
      <c r="DS2232"/>
      <c r="DT2232"/>
      <c r="DU2232"/>
      <c r="DV2232"/>
      <c r="DW2232"/>
      <c r="DX2232"/>
      <c r="DY2232"/>
      <c r="DZ2232"/>
      <c r="EA2232"/>
      <c r="EB2232"/>
      <c r="EC2232"/>
      <c r="ED2232"/>
      <c r="EE2232"/>
      <c r="EF2232"/>
      <c r="EG2232"/>
      <c r="EH2232"/>
      <c r="EI2232"/>
      <c r="EJ2232"/>
      <c r="EK2232"/>
      <c r="EL2232"/>
      <c r="EM2232"/>
      <c r="EN2232"/>
      <c r="EO2232"/>
      <c r="EP2232"/>
      <c r="EQ2232"/>
      <c r="ER2232"/>
      <c r="ES2232"/>
    </row>
    <row r="2233" spans="1:149">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c r="CW2233"/>
      <c r="CX2233"/>
      <c r="CY2233"/>
      <c r="CZ2233"/>
      <c r="DA2233"/>
      <c r="DB2233"/>
      <c r="DC2233"/>
      <c r="DD2233"/>
      <c r="DE2233"/>
      <c r="DF2233"/>
      <c r="DG2233"/>
      <c r="DH2233"/>
      <c r="DI2233"/>
      <c r="DJ2233"/>
      <c r="DK2233"/>
      <c r="DL2233"/>
      <c r="DM2233"/>
      <c r="DN2233"/>
      <c r="DO2233"/>
      <c r="DP2233"/>
      <c r="DQ2233"/>
      <c r="DR2233"/>
      <c r="DS2233"/>
      <c r="DT2233"/>
      <c r="DU2233"/>
      <c r="DV2233"/>
      <c r="DW2233"/>
      <c r="DX2233"/>
      <c r="DY2233"/>
      <c r="DZ2233"/>
      <c r="EA2233"/>
      <c r="EB2233"/>
      <c r="EC2233"/>
      <c r="ED2233"/>
      <c r="EE2233"/>
      <c r="EF2233"/>
      <c r="EG2233"/>
      <c r="EH2233"/>
      <c r="EI2233"/>
      <c r="EJ2233"/>
      <c r="EK2233"/>
      <c r="EL2233"/>
      <c r="EM2233"/>
      <c r="EN2233"/>
      <c r="EO2233"/>
      <c r="EP2233"/>
      <c r="EQ2233"/>
      <c r="ER2233"/>
      <c r="ES2233"/>
    </row>
    <row r="2234" spans="1:149">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c r="CW2234"/>
      <c r="CX2234"/>
      <c r="CY2234"/>
      <c r="CZ2234"/>
      <c r="DA2234"/>
      <c r="DB2234"/>
      <c r="DC2234"/>
      <c r="DD2234"/>
      <c r="DE2234"/>
      <c r="DF2234"/>
      <c r="DG2234"/>
      <c r="DH2234"/>
      <c r="DI2234"/>
      <c r="DJ2234"/>
      <c r="DK2234"/>
      <c r="DL2234"/>
      <c r="DM2234"/>
      <c r="DN2234"/>
      <c r="DO2234"/>
      <c r="DP2234"/>
      <c r="DQ2234"/>
      <c r="DR2234"/>
      <c r="DS2234"/>
      <c r="DT2234"/>
      <c r="DU2234"/>
      <c r="DV2234"/>
      <c r="DW2234"/>
      <c r="DX2234"/>
      <c r="DY2234"/>
      <c r="DZ2234"/>
      <c r="EA2234"/>
      <c r="EB2234"/>
      <c r="EC2234"/>
      <c r="ED2234"/>
      <c r="EE2234"/>
      <c r="EF2234"/>
      <c r="EG2234"/>
      <c r="EH2234"/>
      <c r="EI2234"/>
      <c r="EJ2234"/>
      <c r="EK2234"/>
      <c r="EL2234"/>
      <c r="EM2234"/>
      <c r="EN2234"/>
      <c r="EO2234"/>
      <c r="EP2234"/>
      <c r="EQ2234"/>
      <c r="ER2234"/>
      <c r="ES2234"/>
    </row>
    <row r="2235" spans="1:149">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c r="CW2235"/>
      <c r="CX2235"/>
      <c r="CY2235"/>
      <c r="CZ2235"/>
      <c r="DA2235"/>
      <c r="DB2235"/>
      <c r="DC2235"/>
      <c r="DD2235"/>
      <c r="DE2235"/>
      <c r="DF2235"/>
      <c r="DG2235"/>
      <c r="DH2235"/>
      <c r="DI2235"/>
      <c r="DJ2235"/>
      <c r="DK2235"/>
      <c r="DL2235"/>
      <c r="DM2235"/>
      <c r="DN2235"/>
      <c r="DO2235"/>
      <c r="DP2235"/>
      <c r="DQ2235"/>
      <c r="DR2235"/>
      <c r="DS2235"/>
      <c r="DT2235"/>
      <c r="DU2235"/>
      <c r="DV2235"/>
      <c r="DW2235"/>
      <c r="DX2235"/>
      <c r="DY2235"/>
      <c r="DZ2235"/>
      <c r="EA2235"/>
      <c r="EB2235"/>
      <c r="EC2235"/>
      <c r="ED2235"/>
      <c r="EE2235"/>
      <c r="EF2235"/>
      <c r="EG2235"/>
      <c r="EH2235"/>
      <c r="EI2235"/>
      <c r="EJ2235"/>
      <c r="EK2235"/>
      <c r="EL2235"/>
      <c r="EM2235"/>
      <c r="EN2235"/>
      <c r="EO2235"/>
      <c r="EP2235"/>
      <c r="EQ2235"/>
      <c r="ER2235"/>
      <c r="ES2235"/>
    </row>
    <row r="2236" spans="1:149">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c r="CW2236"/>
      <c r="CX2236"/>
      <c r="CY2236"/>
      <c r="CZ2236"/>
      <c r="DA2236"/>
      <c r="DB2236"/>
      <c r="DC2236"/>
      <c r="DD2236"/>
      <c r="DE2236"/>
      <c r="DF2236"/>
      <c r="DG2236"/>
      <c r="DH2236"/>
      <c r="DI2236"/>
      <c r="DJ2236"/>
      <c r="DK2236"/>
      <c r="DL2236"/>
      <c r="DM2236"/>
      <c r="DN2236"/>
      <c r="DO2236"/>
      <c r="DP2236"/>
      <c r="DQ2236"/>
      <c r="DR2236"/>
      <c r="DS2236"/>
      <c r="DT2236"/>
      <c r="DU2236"/>
      <c r="DV2236"/>
      <c r="DW2236"/>
      <c r="DX2236"/>
      <c r="DY2236"/>
      <c r="DZ2236"/>
      <c r="EA2236"/>
      <c r="EB2236"/>
      <c r="EC2236"/>
      <c r="ED2236"/>
      <c r="EE2236"/>
      <c r="EF2236"/>
      <c r="EG2236"/>
      <c r="EH2236"/>
      <c r="EI2236"/>
      <c r="EJ2236"/>
      <c r="EK2236"/>
      <c r="EL2236"/>
      <c r="EM2236"/>
      <c r="EN2236"/>
      <c r="EO2236"/>
      <c r="EP2236"/>
      <c r="EQ2236"/>
      <c r="ER2236"/>
      <c r="ES2236"/>
    </row>
    <row r="2237" spans="1:149">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c r="CW2237"/>
      <c r="CX2237"/>
      <c r="CY2237"/>
      <c r="CZ2237"/>
      <c r="DA2237"/>
      <c r="DB2237"/>
      <c r="DC2237"/>
      <c r="DD2237"/>
      <c r="DE2237"/>
      <c r="DF2237"/>
      <c r="DG2237"/>
      <c r="DH2237"/>
      <c r="DI2237"/>
      <c r="DJ2237"/>
      <c r="DK2237"/>
      <c r="DL2237"/>
      <c r="DM2237"/>
      <c r="DN2237"/>
      <c r="DO2237"/>
      <c r="DP2237"/>
      <c r="DQ2237"/>
      <c r="DR2237"/>
      <c r="DS2237"/>
      <c r="DT2237"/>
      <c r="DU2237"/>
      <c r="DV2237"/>
      <c r="DW2237"/>
      <c r="DX2237"/>
      <c r="DY2237"/>
      <c r="DZ2237"/>
      <c r="EA2237"/>
      <c r="EB2237"/>
      <c r="EC2237"/>
      <c r="ED2237"/>
      <c r="EE2237"/>
      <c r="EF2237"/>
      <c r="EG2237"/>
      <c r="EH2237"/>
      <c r="EI2237"/>
      <c r="EJ2237"/>
      <c r="EK2237"/>
      <c r="EL2237"/>
      <c r="EM2237"/>
      <c r="EN2237"/>
      <c r="EO2237"/>
      <c r="EP2237"/>
      <c r="EQ2237"/>
      <c r="ER2237"/>
      <c r="ES2237"/>
    </row>
    <row r="2238" spans="1:149">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c r="CW2238"/>
      <c r="CX2238"/>
      <c r="CY2238"/>
      <c r="CZ2238"/>
      <c r="DA2238"/>
      <c r="DB2238"/>
      <c r="DC2238"/>
      <c r="DD2238"/>
      <c r="DE2238"/>
      <c r="DF2238"/>
      <c r="DG2238"/>
      <c r="DH2238"/>
      <c r="DI2238"/>
      <c r="DJ2238"/>
      <c r="DK2238"/>
      <c r="DL2238"/>
      <c r="DM2238"/>
      <c r="DN2238"/>
      <c r="DO2238"/>
      <c r="DP2238"/>
      <c r="DQ2238"/>
      <c r="DR2238"/>
      <c r="DS2238"/>
      <c r="DT2238"/>
      <c r="DU2238"/>
      <c r="DV2238"/>
      <c r="DW2238"/>
      <c r="DX2238"/>
      <c r="DY2238"/>
      <c r="DZ2238"/>
      <c r="EA2238"/>
      <c r="EB2238"/>
      <c r="EC2238"/>
      <c r="ED2238"/>
      <c r="EE2238"/>
      <c r="EF2238"/>
      <c r="EG2238"/>
      <c r="EH2238"/>
      <c r="EI2238"/>
      <c r="EJ2238"/>
      <c r="EK2238"/>
      <c r="EL2238"/>
      <c r="EM2238"/>
      <c r="EN2238"/>
      <c r="EO2238"/>
      <c r="EP2238"/>
      <c r="EQ2238"/>
      <c r="ER2238"/>
      <c r="ES2238"/>
    </row>
    <row r="2239" spans="1:149">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c r="CW2239"/>
      <c r="CX2239"/>
      <c r="CY2239"/>
      <c r="CZ2239"/>
      <c r="DA2239"/>
      <c r="DB2239"/>
      <c r="DC2239"/>
      <c r="DD2239"/>
      <c r="DE2239"/>
      <c r="DF2239"/>
      <c r="DG2239"/>
      <c r="DH2239"/>
      <c r="DI2239"/>
      <c r="DJ2239"/>
      <c r="DK2239"/>
      <c r="DL2239"/>
      <c r="DM2239"/>
      <c r="DN2239"/>
      <c r="DO2239"/>
      <c r="DP2239"/>
      <c r="DQ2239"/>
      <c r="DR2239"/>
      <c r="DS2239"/>
      <c r="DT2239"/>
      <c r="DU2239"/>
      <c r="DV2239"/>
      <c r="DW2239"/>
      <c r="DX2239"/>
      <c r="DY2239"/>
      <c r="DZ2239"/>
      <c r="EA2239"/>
      <c r="EB2239"/>
      <c r="EC2239"/>
      <c r="ED2239"/>
      <c r="EE2239"/>
      <c r="EF2239"/>
      <c r="EG2239"/>
      <c r="EH2239"/>
      <c r="EI2239"/>
      <c r="EJ2239"/>
      <c r="EK2239"/>
      <c r="EL2239"/>
      <c r="EM2239"/>
      <c r="EN2239"/>
      <c r="EO2239"/>
      <c r="EP2239"/>
      <c r="EQ2239"/>
      <c r="ER2239"/>
      <c r="ES2239"/>
    </row>
    <row r="2240" spans="1:149">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c r="CW2240"/>
      <c r="CX2240"/>
      <c r="CY2240"/>
      <c r="CZ2240"/>
      <c r="DA2240"/>
      <c r="DB2240"/>
      <c r="DC2240"/>
      <c r="DD2240"/>
      <c r="DE2240"/>
      <c r="DF2240"/>
      <c r="DG2240"/>
      <c r="DH2240"/>
      <c r="DI2240"/>
      <c r="DJ2240"/>
      <c r="DK2240"/>
      <c r="DL2240"/>
      <c r="DM2240"/>
      <c r="DN2240"/>
      <c r="DO2240"/>
      <c r="DP2240"/>
      <c r="DQ2240"/>
      <c r="DR2240"/>
      <c r="DS2240"/>
      <c r="DT2240"/>
      <c r="DU2240"/>
      <c r="DV2240"/>
      <c r="DW2240"/>
      <c r="DX2240"/>
      <c r="DY2240"/>
      <c r="DZ2240"/>
      <c r="EA2240"/>
      <c r="EB2240"/>
      <c r="EC2240"/>
      <c r="ED2240"/>
      <c r="EE2240"/>
      <c r="EF2240"/>
      <c r="EG2240"/>
      <c r="EH2240"/>
      <c r="EI2240"/>
      <c r="EJ2240"/>
      <c r="EK2240"/>
      <c r="EL2240"/>
      <c r="EM2240"/>
      <c r="EN2240"/>
      <c r="EO2240"/>
      <c r="EP2240"/>
      <c r="EQ2240"/>
      <c r="ER2240"/>
      <c r="ES2240"/>
    </row>
    <row r="2241" spans="1:149">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c r="CW2241"/>
      <c r="CX2241"/>
      <c r="CY2241"/>
      <c r="CZ2241"/>
      <c r="DA2241"/>
      <c r="DB2241"/>
      <c r="DC2241"/>
      <c r="DD2241"/>
      <c r="DE2241"/>
      <c r="DF2241"/>
      <c r="DG2241"/>
      <c r="DH2241"/>
      <c r="DI2241"/>
      <c r="DJ2241"/>
      <c r="DK2241"/>
      <c r="DL2241"/>
      <c r="DM2241"/>
      <c r="DN2241"/>
      <c r="DO2241"/>
      <c r="DP2241"/>
      <c r="DQ2241"/>
      <c r="DR2241"/>
      <c r="DS2241"/>
      <c r="DT2241"/>
      <c r="DU2241"/>
      <c r="DV2241"/>
      <c r="DW2241"/>
      <c r="DX2241"/>
      <c r="DY2241"/>
      <c r="DZ2241"/>
      <c r="EA2241"/>
      <c r="EB2241"/>
      <c r="EC2241"/>
      <c r="ED2241"/>
      <c r="EE2241"/>
      <c r="EF2241"/>
      <c r="EG2241"/>
      <c r="EH2241"/>
      <c r="EI2241"/>
      <c r="EJ2241"/>
      <c r="EK2241"/>
      <c r="EL2241"/>
      <c r="EM2241"/>
      <c r="EN2241"/>
      <c r="EO2241"/>
      <c r="EP2241"/>
      <c r="EQ2241"/>
      <c r="ER2241"/>
      <c r="ES2241"/>
    </row>
    <row r="2242" spans="1:149">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c r="CW2242"/>
      <c r="CX2242"/>
      <c r="CY2242"/>
      <c r="CZ2242"/>
      <c r="DA2242"/>
      <c r="DB2242"/>
      <c r="DC2242"/>
      <c r="DD2242"/>
      <c r="DE2242"/>
      <c r="DF2242"/>
      <c r="DG2242"/>
      <c r="DH2242"/>
      <c r="DI2242"/>
      <c r="DJ2242"/>
      <c r="DK2242"/>
      <c r="DL2242"/>
      <c r="DM2242"/>
      <c r="DN2242"/>
      <c r="DO2242"/>
      <c r="DP2242"/>
      <c r="DQ2242"/>
      <c r="DR2242"/>
      <c r="DS2242"/>
      <c r="DT2242"/>
      <c r="DU2242"/>
      <c r="DV2242"/>
      <c r="DW2242"/>
      <c r="DX2242"/>
      <c r="DY2242"/>
      <c r="DZ2242"/>
      <c r="EA2242"/>
      <c r="EB2242"/>
      <c r="EC2242"/>
      <c r="ED2242"/>
      <c r="EE2242"/>
      <c r="EF2242"/>
      <c r="EG2242"/>
      <c r="EH2242"/>
      <c r="EI2242"/>
      <c r="EJ2242"/>
      <c r="EK2242"/>
      <c r="EL2242"/>
      <c r="EM2242"/>
      <c r="EN2242"/>
      <c r="EO2242"/>
      <c r="EP2242"/>
      <c r="EQ2242"/>
      <c r="ER2242"/>
      <c r="ES2242"/>
    </row>
    <row r="2243" spans="1:149">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c r="CW2243"/>
      <c r="CX2243"/>
      <c r="CY2243"/>
      <c r="CZ2243"/>
      <c r="DA2243"/>
      <c r="DB2243"/>
      <c r="DC2243"/>
      <c r="DD2243"/>
      <c r="DE2243"/>
      <c r="DF2243"/>
      <c r="DG2243"/>
      <c r="DH2243"/>
      <c r="DI2243"/>
      <c r="DJ2243"/>
      <c r="DK2243"/>
      <c r="DL2243"/>
      <c r="DM2243"/>
      <c r="DN2243"/>
      <c r="DO2243"/>
      <c r="DP2243"/>
      <c r="DQ2243"/>
      <c r="DR2243"/>
      <c r="DS2243"/>
      <c r="DT2243"/>
      <c r="DU2243"/>
      <c r="DV2243"/>
      <c r="DW2243"/>
      <c r="DX2243"/>
      <c r="DY2243"/>
      <c r="DZ2243"/>
      <c r="EA2243"/>
      <c r="EB2243"/>
      <c r="EC2243"/>
      <c r="ED2243"/>
      <c r="EE2243"/>
      <c r="EF2243"/>
      <c r="EG2243"/>
      <c r="EH2243"/>
      <c r="EI2243"/>
      <c r="EJ2243"/>
      <c r="EK2243"/>
      <c r="EL2243"/>
      <c r="EM2243"/>
      <c r="EN2243"/>
      <c r="EO2243"/>
      <c r="EP2243"/>
      <c r="EQ2243"/>
      <c r="ER2243"/>
      <c r="ES2243"/>
    </row>
    <row r="2244" spans="1:149">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c r="CW2244"/>
      <c r="CX2244"/>
      <c r="CY2244"/>
      <c r="CZ2244"/>
      <c r="DA2244"/>
      <c r="DB2244"/>
      <c r="DC2244"/>
      <c r="DD2244"/>
      <c r="DE2244"/>
      <c r="DF2244"/>
      <c r="DG2244"/>
      <c r="DH2244"/>
      <c r="DI2244"/>
      <c r="DJ2244"/>
      <c r="DK2244"/>
      <c r="DL2244"/>
      <c r="DM2244"/>
      <c r="DN2244"/>
      <c r="DO2244"/>
      <c r="DP2244"/>
      <c r="DQ2244"/>
      <c r="DR2244"/>
      <c r="DS2244"/>
      <c r="DT2244"/>
      <c r="DU2244"/>
      <c r="DV2244"/>
      <c r="DW2244"/>
      <c r="DX2244"/>
      <c r="DY2244"/>
      <c r="DZ2244"/>
      <c r="EA2244"/>
      <c r="EB2244"/>
      <c r="EC2244"/>
      <c r="ED2244"/>
      <c r="EE2244"/>
      <c r="EF2244"/>
      <c r="EG2244"/>
      <c r="EH2244"/>
      <c r="EI2244"/>
      <c r="EJ2244"/>
      <c r="EK2244"/>
      <c r="EL2244"/>
      <c r="EM2244"/>
      <c r="EN2244"/>
      <c r="EO2244"/>
      <c r="EP2244"/>
      <c r="EQ2244"/>
      <c r="ER2244"/>
      <c r="ES2244"/>
    </row>
    <row r="2245" spans="1:149">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c r="CW2245"/>
      <c r="CX2245"/>
      <c r="CY2245"/>
      <c r="CZ2245"/>
      <c r="DA2245"/>
      <c r="DB2245"/>
      <c r="DC2245"/>
      <c r="DD2245"/>
      <c r="DE2245"/>
      <c r="DF2245"/>
      <c r="DG2245"/>
      <c r="DH2245"/>
      <c r="DI2245"/>
      <c r="DJ2245"/>
      <c r="DK2245"/>
      <c r="DL2245"/>
      <c r="DM2245"/>
      <c r="DN2245"/>
      <c r="DO2245"/>
      <c r="DP2245"/>
      <c r="DQ2245"/>
      <c r="DR2245"/>
      <c r="DS2245"/>
      <c r="DT2245"/>
      <c r="DU2245"/>
      <c r="DV2245"/>
      <c r="DW2245"/>
      <c r="DX2245"/>
      <c r="DY2245"/>
      <c r="DZ2245"/>
      <c r="EA2245"/>
      <c r="EB2245"/>
      <c r="EC2245"/>
      <c r="ED2245"/>
      <c r="EE2245"/>
      <c r="EF2245"/>
      <c r="EG2245"/>
      <c r="EH2245"/>
      <c r="EI2245"/>
      <c r="EJ2245"/>
      <c r="EK2245"/>
      <c r="EL2245"/>
      <c r="EM2245"/>
      <c r="EN2245"/>
      <c r="EO2245"/>
      <c r="EP2245"/>
      <c r="EQ2245"/>
      <c r="ER2245"/>
      <c r="ES2245"/>
    </row>
    <row r="2246" spans="1:149">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c r="CW2246"/>
      <c r="CX2246"/>
      <c r="CY2246"/>
      <c r="CZ2246"/>
      <c r="DA2246"/>
      <c r="DB2246"/>
      <c r="DC2246"/>
      <c r="DD2246"/>
      <c r="DE2246"/>
      <c r="DF2246"/>
      <c r="DG2246"/>
      <c r="DH2246"/>
      <c r="DI2246"/>
      <c r="DJ2246"/>
      <c r="DK2246"/>
      <c r="DL2246"/>
      <c r="DM2246"/>
      <c r="DN2246"/>
      <c r="DO2246"/>
      <c r="DP2246"/>
      <c r="DQ2246"/>
      <c r="DR2246"/>
      <c r="DS2246"/>
      <c r="DT2246"/>
      <c r="DU2246"/>
      <c r="DV2246"/>
      <c r="DW2246"/>
      <c r="DX2246"/>
      <c r="DY2246"/>
      <c r="DZ2246"/>
      <c r="EA2246"/>
      <c r="EB2246"/>
      <c r="EC2246"/>
      <c r="ED2246"/>
      <c r="EE2246"/>
      <c r="EF2246"/>
      <c r="EG2246"/>
      <c r="EH2246"/>
      <c r="EI2246"/>
      <c r="EJ2246"/>
      <c r="EK2246"/>
      <c r="EL2246"/>
      <c r="EM2246"/>
      <c r="EN2246"/>
      <c r="EO2246"/>
      <c r="EP2246"/>
      <c r="EQ2246"/>
      <c r="ER2246"/>
      <c r="ES2246"/>
    </row>
    <row r="2247" spans="1:149">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c r="CW2247"/>
      <c r="CX2247"/>
      <c r="CY2247"/>
      <c r="CZ2247"/>
      <c r="DA2247"/>
      <c r="DB2247"/>
      <c r="DC2247"/>
      <c r="DD2247"/>
      <c r="DE2247"/>
      <c r="DF2247"/>
      <c r="DG2247"/>
      <c r="DH2247"/>
      <c r="DI2247"/>
      <c r="DJ2247"/>
      <c r="DK2247"/>
      <c r="DL2247"/>
      <c r="DM2247"/>
      <c r="DN2247"/>
      <c r="DO2247"/>
      <c r="DP2247"/>
      <c r="DQ2247"/>
      <c r="DR2247"/>
      <c r="DS2247"/>
      <c r="DT2247"/>
      <c r="DU2247"/>
      <c r="DV2247"/>
      <c r="DW2247"/>
      <c r="DX2247"/>
      <c r="DY2247"/>
      <c r="DZ2247"/>
      <c r="EA2247"/>
      <c r="EB2247"/>
      <c r="EC2247"/>
      <c r="ED2247"/>
      <c r="EE2247"/>
      <c r="EF2247"/>
      <c r="EG2247"/>
      <c r="EH2247"/>
      <c r="EI2247"/>
      <c r="EJ2247"/>
      <c r="EK2247"/>
      <c r="EL2247"/>
      <c r="EM2247"/>
      <c r="EN2247"/>
      <c r="EO2247"/>
      <c r="EP2247"/>
      <c r="EQ2247"/>
      <c r="ER2247"/>
      <c r="ES2247"/>
    </row>
    <row r="2248" spans="1:149">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c r="CW2248"/>
      <c r="CX2248"/>
      <c r="CY2248"/>
      <c r="CZ2248"/>
      <c r="DA2248"/>
      <c r="DB2248"/>
      <c r="DC2248"/>
      <c r="DD2248"/>
      <c r="DE2248"/>
      <c r="DF2248"/>
      <c r="DG2248"/>
      <c r="DH2248"/>
      <c r="DI2248"/>
      <c r="DJ2248"/>
      <c r="DK2248"/>
      <c r="DL2248"/>
      <c r="DM2248"/>
      <c r="DN2248"/>
      <c r="DO2248"/>
      <c r="DP2248"/>
      <c r="DQ2248"/>
      <c r="DR2248"/>
      <c r="DS2248"/>
      <c r="DT2248"/>
      <c r="DU2248"/>
      <c r="DV2248"/>
      <c r="DW2248"/>
      <c r="DX2248"/>
      <c r="DY2248"/>
      <c r="DZ2248"/>
      <c r="EA2248"/>
      <c r="EB2248"/>
      <c r="EC2248"/>
      <c r="ED2248"/>
      <c r="EE2248"/>
      <c r="EF2248"/>
      <c r="EG2248"/>
      <c r="EH2248"/>
      <c r="EI2248"/>
      <c r="EJ2248"/>
      <c r="EK2248"/>
      <c r="EL2248"/>
      <c r="EM2248"/>
      <c r="EN2248"/>
      <c r="EO2248"/>
      <c r="EP2248"/>
      <c r="EQ2248"/>
      <c r="ER2248"/>
      <c r="ES2248"/>
    </row>
    <row r="2249" spans="1:149">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c r="CW2249"/>
      <c r="CX2249"/>
      <c r="CY2249"/>
      <c r="CZ2249"/>
      <c r="DA2249"/>
      <c r="DB2249"/>
      <c r="DC2249"/>
      <c r="DD2249"/>
      <c r="DE2249"/>
      <c r="DF2249"/>
      <c r="DG2249"/>
      <c r="DH2249"/>
      <c r="DI2249"/>
      <c r="DJ2249"/>
      <c r="DK2249"/>
      <c r="DL2249"/>
      <c r="DM2249"/>
      <c r="DN2249"/>
      <c r="DO2249"/>
      <c r="DP2249"/>
      <c r="DQ2249"/>
      <c r="DR2249"/>
      <c r="DS2249"/>
      <c r="DT2249"/>
      <c r="DU2249"/>
      <c r="DV2249"/>
      <c r="DW2249"/>
      <c r="DX2249"/>
      <c r="DY2249"/>
      <c r="DZ2249"/>
      <c r="EA2249"/>
      <c r="EB2249"/>
      <c r="EC2249"/>
      <c r="ED2249"/>
      <c r="EE2249"/>
      <c r="EF2249"/>
      <c r="EG2249"/>
      <c r="EH2249"/>
      <c r="EI2249"/>
      <c r="EJ2249"/>
      <c r="EK2249"/>
      <c r="EL2249"/>
      <c r="EM2249"/>
      <c r="EN2249"/>
      <c r="EO2249"/>
      <c r="EP2249"/>
      <c r="EQ2249"/>
      <c r="ER2249"/>
      <c r="ES2249"/>
    </row>
    <row r="2250" spans="1:149">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c r="CW2250"/>
      <c r="CX2250"/>
      <c r="CY2250"/>
      <c r="CZ2250"/>
      <c r="DA2250"/>
      <c r="DB2250"/>
      <c r="DC2250"/>
      <c r="DD2250"/>
      <c r="DE2250"/>
      <c r="DF2250"/>
      <c r="DG2250"/>
      <c r="DH2250"/>
      <c r="DI2250"/>
      <c r="DJ2250"/>
      <c r="DK2250"/>
      <c r="DL2250"/>
      <c r="DM2250"/>
      <c r="DN2250"/>
      <c r="DO2250"/>
      <c r="DP2250"/>
      <c r="DQ2250"/>
      <c r="DR2250"/>
      <c r="DS2250"/>
      <c r="DT2250"/>
      <c r="DU2250"/>
      <c r="DV2250"/>
      <c r="DW2250"/>
      <c r="DX2250"/>
      <c r="DY2250"/>
      <c r="DZ2250"/>
      <c r="EA2250"/>
      <c r="EB2250"/>
      <c r="EC2250"/>
      <c r="ED2250"/>
      <c r="EE2250"/>
      <c r="EF2250"/>
      <c r="EG2250"/>
      <c r="EH2250"/>
      <c r="EI2250"/>
      <c r="EJ2250"/>
      <c r="EK2250"/>
      <c r="EL2250"/>
      <c r="EM2250"/>
      <c r="EN2250"/>
      <c r="EO2250"/>
      <c r="EP2250"/>
      <c r="EQ2250"/>
      <c r="ER2250"/>
      <c r="ES2250"/>
    </row>
    <row r="2251" spans="1:149">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c r="CW2251"/>
      <c r="CX2251"/>
      <c r="CY2251"/>
      <c r="CZ2251"/>
      <c r="DA2251"/>
      <c r="DB2251"/>
      <c r="DC2251"/>
      <c r="DD2251"/>
      <c r="DE2251"/>
      <c r="DF2251"/>
      <c r="DG2251"/>
      <c r="DH2251"/>
      <c r="DI2251"/>
      <c r="DJ2251"/>
      <c r="DK2251"/>
      <c r="DL2251"/>
      <c r="DM2251"/>
      <c r="DN2251"/>
      <c r="DO2251"/>
      <c r="DP2251"/>
      <c r="DQ2251"/>
      <c r="DR2251"/>
      <c r="DS2251"/>
      <c r="DT2251"/>
      <c r="DU2251"/>
      <c r="DV2251"/>
      <c r="DW2251"/>
      <c r="DX2251"/>
      <c r="DY2251"/>
      <c r="DZ2251"/>
      <c r="EA2251"/>
      <c r="EB2251"/>
      <c r="EC2251"/>
      <c r="ED2251"/>
      <c r="EE2251"/>
      <c r="EF2251"/>
      <c r="EG2251"/>
      <c r="EH2251"/>
      <c r="EI2251"/>
      <c r="EJ2251"/>
      <c r="EK2251"/>
      <c r="EL2251"/>
      <c r="EM2251"/>
      <c r="EN2251"/>
      <c r="EO2251"/>
      <c r="EP2251"/>
      <c r="EQ2251"/>
      <c r="ER2251"/>
      <c r="ES2251"/>
    </row>
    <row r="2252" spans="1:149">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c r="CW2252"/>
      <c r="CX2252"/>
      <c r="CY2252"/>
      <c r="CZ2252"/>
      <c r="DA2252"/>
      <c r="DB2252"/>
      <c r="DC2252"/>
      <c r="DD2252"/>
      <c r="DE2252"/>
      <c r="DF2252"/>
      <c r="DG2252"/>
      <c r="DH2252"/>
      <c r="DI2252"/>
      <c r="DJ2252"/>
      <c r="DK2252"/>
      <c r="DL2252"/>
      <c r="DM2252"/>
      <c r="DN2252"/>
      <c r="DO2252"/>
      <c r="DP2252"/>
      <c r="DQ2252"/>
      <c r="DR2252"/>
      <c r="DS2252"/>
      <c r="DT2252"/>
      <c r="DU2252"/>
      <c r="DV2252"/>
      <c r="DW2252"/>
      <c r="DX2252"/>
      <c r="DY2252"/>
      <c r="DZ2252"/>
      <c r="EA2252"/>
      <c r="EB2252"/>
      <c r="EC2252"/>
      <c r="ED2252"/>
      <c r="EE2252"/>
      <c r="EF2252"/>
      <c r="EG2252"/>
      <c r="EH2252"/>
      <c r="EI2252"/>
      <c r="EJ2252"/>
      <c r="EK2252"/>
      <c r="EL2252"/>
      <c r="EM2252"/>
      <c r="EN2252"/>
      <c r="EO2252"/>
      <c r="EP2252"/>
      <c r="EQ2252"/>
      <c r="ER2252"/>
      <c r="ES2252"/>
    </row>
    <row r="2253" spans="1:149">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c r="CW2253"/>
      <c r="CX2253"/>
      <c r="CY2253"/>
      <c r="CZ2253"/>
      <c r="DA2253"/>
      <c r="DB2253"/>
      <c r="DC2253"/>
      <c r="DD2253"/>
      <c r="DE2253"/>
      <c r="DF2253"/>
      <c r="DG2253"/>
      <c r="DH2253"/>
      <c r="DI2253"/>
      <c r="DJ2253"/>
      <c r="DK2253"/>
      <c r="DL2253"/>
      <c r="DM2253"/>
      <c r="DN2253"/>
      <c r="DO2253"/>
      <c r="DP2253"/>
      <c r="DQ2253"/>
      <c r="DR2253"/>
      <c r="DS2253"/>
      <c r="DT2253"/>
      <c r="DU2253"/>
      <c r="DV2253"/>
      <c r="DW2253"/>
      <c r="DX2253"/>
      <c r="DY2253"/>
      <c r="DZ2253"/>
      <c r="EA2253"/>
      <c r="EB2253"/>
      <c r="EC2253"/>
      <c r="ED2253"/>
      <c r="EE2253"/>
      <c r="EF2253"/>
      <c r="EG2253"/>
      <c r="EH2253"/>
      <c r="EI2253"/>
      <c r="EJ2253"/>
      <c r="EK2253"/>
      <c r="EL2253"/>
      <c r="EM2253"/>
      <c r="EN2253"/>
      <c r="EO2253"/>
      <c r="EP2253"/>
      <c r="EQ2253"/>
      <c r="ER2253"/>
      <c r="ES2253"/>
    </row>
    <row r="2254" spans="1:149">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c r="CW2254"/>
      <c r="CX2254"/>
      <c r="CY2254"/>
      <c r="CZ2254"/>
      <c r="DA2254"/>
      <c r="DB2254"/>
      <c r="DC2254"/>
      <c r="DD2254"/>
      <c r="DE2254"/>
      <c r="DF2254"/>
      <c r="DG2254"/>
      <c r="DH2254"/>
      <c r="DI2254"/>
      <c r="DJ2254"/>
      <c r="DK2254"/>
      <c r="DL2254"/>
      <c r="DM2254"/>
      <c r="DN2254"/>
      <c r="DO2254"/>
      <c r="DP2254"/>
      <c r="DQ2254"/>
      <c r="DR2254"/>
      <c r="DS2254"/>
      <c r="DT2254"/>
      <c r="DU2254"/>
      <c r="DV2254"/>
      <c r="DW2254"/>
      <c r="DX2254"/>
      <c r="DY2254"/>
      <c r="DZ2254"/>
      <c r="EA2254"/>
      <c r="EB2254"/>
      <c r="EC2254"/>
      <c r="ED2254"/>
      <c r="EE2254"/>
      <c r="EF2254"/>
      <c r="EG2254"/>
      <c r="EH2254"/>
      <c r="EI2254"/>
      <c r="EJ2254"/>
      <c r="EK2254"/>
      <c r="EL2254"/>
      <c r="EM2254"/>
      <c r="EN2254"/>
      <c r="EO2254"/>
      <c r="EP2254"/>
      <c r="EQ2254"/>
      <c r="ER2254"/>
      <c r="ES2254"/>
    </row>
    <row r="2255" spans="1:149">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c r="CW2255"/>
      <c r="CX2255"/>
      <c r="CY2255"/>
      <c r="CZ2255"/>
      <c r="DA2255"/>
      <c r="DB2255"/>
      <c r="DC2255"/>
      <c r="DD2255"/>
      <c r="DE2255"/>
      <c r="DF2255"/>
      <c r="DG2255"/>
      <c r="DH2255"/>
      <c r="DI2255"/>
      <c r="DJ2255"/>
      <c r="DK2255"/>
      <c r="DL2255"/>
      <c r="DM2255"/>
      <c r="DN2255"/>
      <c r="DO2255"/>
      <c r="DP2255"/>
      <c r="DQ2255"/>
      <c r="DR2255"/>
      <c r="DS2255"/>
      <c r="DT2255"/>
      <c r="DU2255"/>
      <c r="DV2255"/>
      <c r="DW2255"/>
      <c r="DX2255"/>
      <c r="DY2255"/>
      <c r="DZ2255"/>
      <c r="EA2255"/>
      <c r="EB2255"/>
      <c r="EC2255"/>
      <c r="ED2255"/>
      <c r="EE2255"/>
      <c r="EF2255"/>
      <c r="EG2255"/>
      <c r="EH2255"/>
      <c r="EI2255"/>
      <c r="EJ2255"/>
      <c r="EK2255"/>
      <c r="EL2255"/>
      <c r="EM2255"/>
      <c r="EN2255"/>
      <c r="EO2255"/>
      <c r="EP2255"/>
      <c r="EQ2255"/>
      <c r="ER2255"/>
      <c r="ES2255"/>
    </row>
    <row r="2256" spans="1:149">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c r="CW2256"/>
      <c r="CX2256"/>
      <c r="CY2256"/>
      <c r="CZ2256"/>
      <c r="DA2256"/>
      <c r="DB2256"/>
      <c r="DC2256"/>
      <c r="DD2256"/>
      <c r="DE2256"/>
      <c r="DF2256"/>
      <c r="DG2256"/>
      <c r="DH2256"/>
      <c r="DI2256"/>
      <c r="DJ2256"/>
      <c r="DK2256"/>
      <c r="DL2256"/>
      <c r="DM2256"/>
      <c r="DN2256"/>
      <c r="DO2256"/>
      <c r="DP2256"/>
      <c r="DQ2256"/>
      <c r="DR2256"/>
      <c r="DS2256"/>
      <c r="DT2256"/>
      <c r="DU2256"/>
      <c r="DV2256"/>
      <c r="DW2256"/>
      <c r="DX2256"/>
      <c r="DY2256"/>
      <c r="DZ2256"/>
      <c r="EA2256"/>
      <c r="EB2256"/>
      <c r="EC2256"/>
      <c r="ED2256"/>
      <c r="EE2256"/>
      <c r="EF2256"/>
      <c r="EG2256"/>
      <c r="EH2256"/>
      <c r="EI2256"/>
      <c r="EJ2256"/>
      <c r="EK2256"/>
      <c r="EL2256"/>
      <c r="EM2256"/>
      <c r="EN2256"/>
      <c r="EO2256"/>
      <c r="EP2256"/>
      <c r="EQ2256"/>
      <c r="ER2256"/>
      <c r="ES2256"/>
    </row>
    <row r="2257" spans="1:149">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c r="CW2257"/>
      <c r="CX2257"/>
      <c r="CY2257"/>
      <c r="CZ2257"/>
      <c r="DA2257"/>
      <c r="DB2257"/>
      <c r="DC2257"/>
      <c r="DD2257"/>
      <c r="DE2257"/>
      <c r="DF2257"/>
      <c r="DG2257"/>
      <c r="DH2257"/>
      <c r="DI2257"/>
      <c r="DJ2257"/>
      <c r="DK2257"/>
      <c r="DL2257"/>
      <c r="DM2257"/>
      <c r="DN2257"/>
      <c r="DO2257"/>
      <c r="DP2257"/>
      <c r="DQ2257"/>
      <c r="DR2257"/>
      <c r="DS2257"/>
      <c r="DT2257"/>
      <c r="DU2257"/>
      <c r="DV2257"/>
      <c r="DW2257"/>
      <c r="DX2257"/>
      <c r="DY2257"/>
      <c r="DZ2257"/>
      <c r="EA2257"/>
      <c r="EB2257"/>
      <c r="EC2257"/>
      <c r="ED2257"/>
      <c r="EE2257"/>
      <c r="EF2257"/>
      <c r="EG2257"/>
      <c r="EH2257"/>
      <c r="EI2257"/>
      <c r="EJ2257"/>
      <c r="EK2257"/>
      <c r="EL2257"/>
      <c r="EM2257"/>
      <c r="EN2257"/>
      <c r="EO2257"/>
      <c r="EP2257"/>
      <c r="EQ2257"/>
      <c r="ER2257"/>
      <c r="ES2257"/>
    </row>
    <row r="2258" spans="1:149">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c r="CW2258"/>
      <c r="CX2258"/>
      <c r="CY2258"/>
      <c r="CZ2258"/>
      <c r="DA2258"/>
      <c r="DB2258"/>
      <c r="DC2258"/>
      <c r="DD2258"/>
      <c r="DE2258"/>
      <c r="DF2258"/>
      <c r="DG2258"/>
      <c r="DH2258"/>
      <c r="DI2258"/>
      <c r="DJ2258"/>
      <c r="DK2258"/>
      <c r="DL2258"/>
      <c r="DM2258"/>
      <c r="DN2258"/>
      <c r="DO2258"/>
      <c r="DP2258"/>
      <c r="DQ2258"/>
      <c r="DR2258"/>
      <c r="DS2258"/>
      <c r="DT2258"/>
      <c r="DU2258"/>
      <c r="DV2258"/>
      <c r="DW2258"/>
      <c r="DX2258"/>
      <c r="DY2258"/>
      <c r="DZ2258"/>
      <c r="EA2258"/>
      <c r="EB2258"/>
      <c r="EC2258"/>
      <c r="ED2258"/>
      <c r="EE2258"/>
      <c r="EF2258"/>
      <c r="EG2258"/>
      <c r="EH2258"/>
      <c r="EI2258"/>
      <c r="EJ2258"/>
      <c r="EK2258"/>
      <c r="EL2258"/>
      <c r="EM2258"/>
      <c r="EN2258"/>
      <c r="EO2258"/>
      <c r="EP2258"/>
      <c r="EQ2258"/>
      <c r="ER2258"/>
      <c r="ES2258"/>
    </row>
    <row r="2259" spans="1:149">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c r="CW2259"/>
      <c r="CX2259"/>
      <c r="CY2259"/>
      <c r="CZ2259"/>
      <c r="DA2259"/>
      <c r="DB2259"/>
      <c r="DC2259"/>
      <c r="DD2259"/>
      <c r="DE2259"/>
      <c r="DF2259"/>
      <c r="DG2259"/>
      <c r="DH2259"/>
      <c r="DI2259"/>
      <c r="DJ2259"/>
      <c r="DK2259"/>
      <c r="DL2259"/>
      <c r="DM2259"/>
      <c r="DN2259"/>
      <c r="DO2259"/>
      <c r="DP2259"/>
      <c r="DQ2259"/>
      <c r="DR2259"/>
      <c r="DS2259"/>
      <c r="DT2259"/>
      <c r="DU2259"/>
      <c r="DV2259"/>
      <c r="DW2259"/>
      <c r="DX2259"/>
      <c r="DY2259"/>
      <c r="DZ2259"/>
      <c r="EA2259"/>
      <c r="EB2259"/>
      <c r="EC2259"/>
      <c r="ED2259"/>
      <c r="EE2259"/>
      <c r="EF2259"/>
      <c r="EG2259"/>
      <c r="EH2259"/>
      <c r="EI2259"/>
      <c r="EJ2259"/>
      <c r="EK2259"/>
      <c r="EL2259"/>
      <c r="EM2259"/>
      <c r="EN2259"/>
      <c r="EO2259"/>
      <c r="EP2259"/>
      <c r="EQ2259"/>
      <c r="ER2259"/>
      <c r="ES2259"/>
    </row>
    <row r="2260" spans="1:149">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c r="CW2260"/>
      <c r="CX2260"/>
      <c r="CY2260"/>
      <c r="CZ2260"/>
      <c r="DA2260"/>
      <c r="DB2260"/>
      <c r="DC2260"/>
      <c r="DD2260"/>
      <c r="DE2260"/>
      <c r="DF2260"/>
      <c r="DG2260"/>
      <c r="DH2260"/>
      <c r="DI2260"/>
      <c r="DJ2260"/>
      <c r="DK2260"/>
      <c r="DL2260"/>
      <c r="DM2260"/>
      <c r="DN2260"/>
      <c r="DO2260"/>
      <c r="DP2260"/>
      <c r="DQ2260"/>
      <c r="DR2260"/>
      <c r="DS2260"/>
      <c r="DT2260"/>
      <c r="DU2260"/>
      <c r="DV2260"/>
      <c r="DW2260"/>
      <c r="DX2260"/>
      <c r="DY2260"/>
      <c r="DZ2260"/>
      <c r="EA2260"/>
      <c r="EB2260"/>
      <c r="EC2260"/>
      <c r="ED2260"/>
      <c r="EE2260"/>
      <c r="EF2260"/>
      <c r="EG2260"/>
      <c r="EH2260"/>
      <c r="EI2260"/>
      <c r="EJ2260"/>
      <c r="EK2260"/>
      <c r="EL2260"/>
      <c r="EM2260"/>
      <c r="EN2260"/>
      <c r="EO2260"/>
      <c r="EP2260"/>
      <c r="EQ2260"/>
      <c r="ER2260"/>
      <c r="ES2260"/>
    </row>
    <row r="2261" spans="1:149">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c r="CW2261"/>
      <c r="CX2261"/>
      <c r="CY2261"/>
      <c r="CZ2261"/>
      <c r="DA2261"/>
      <c r="DB2261"/>
      <c r="DC2261"/>
      <c r="DD2261"/>
      <c r="DE2261"/>
      <c r="DF2261"/>
      <c r="DG2261"/>
      <c r="DH2261"/>
      <c r="DI2261"/>
      <c r="DJ2261"/>
      <c r="DK2261"/>
      <c r="DL2261"/>
      <c r="DM2261"/>
      <c r="DN2261"/>
      <c r="DO2261"/>
      <c r="DP2261"/>
      <c r="DQ2261"/>
      <c r="DR2261"/>
      <c r="DS2261"/>
      <c r="DT2261"/>
      <c r="DU2261"/>
      <c r="DV2261"/>
      <c r="DW2261"/>
      <c r="DX2261"/>
      <c r="DY2261"/>
      <c r="DZ2261"/>
      <c r="EA2261"/>
      <c r="EB2261"/>
      <c r="EC2261"/>
      <c r="ED2261"/>
      <c r="EE2261"/>
      <c r="EF2261"/>
      <c r="EG2261"/>
      <c r="EH2261"/>
      <c r="EI2261"/>
      <c r="EJ2261"/>
      <c r="EK2261"/>
      <c r="EL2261"/>
      <c r="EM2261"/>
      <c r="EN2261"/>
      <c r="EO2261"/>
      <c r="EP2261"/>
      <c r="EQ2261"/>
      <c r="ER2261"/>
      <c r="ES2261"/>
    </row>
    <row r="2262" spans="1:149">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c r="CW2262"/>
      <c r="CX2262"/>
      <c r="CY2262"/>
      <c r="CZ2262"/>
      <c r="DA2262"/>
      <c r="DB2262"/>
      <c r="DC2262"/>
      <c r="DD2262"/>
      <c r="DE2262"/>
      <c r="DF2262"/>
      <c r="DG2262"/>
      <c r="DH2262"/>
      <c r="DI2262"/>
      <c r="DJ2262"/>
      <c r="DK2262"/>
      <c r="DL2262"/>
      <c r="DM2262"/>
      <c r="DN2262"/>
      <c r="DO2262"/>
      <c r="DP2262"/>
      <c r="DQ2262"/>
      <c r="DR2262"/>
      <c r="DS2262"/>
      <c r="DT2262"/>
      <c r="DU2262"/>
      <c r="DV2262"/>
      <c r="DW2262"/>
      <c r="DX2262"/>
      <c r="DY2262"/>
      <c r="DZ2262"/>
      <c r="EA2262"/>
      <c r="EB2262"/>
      <c r="EC2262"/>
      <c r="ED2262"/>
      <c r="EE2262"/>
      <c r="EF2262"/>
      <c r="EG2262"/>
      <c r="EH2262"/>
      <c r="EI2262"/>
      <c r="EJ2262"/>
      <c r="EK2262"/>
      <c r="EL2262"/>
      <c r="EM2262"/>
      <c r="EN2262"/>
      <c r="EO2262"/>
      <c r="EP2262"/>
      <c r="EQ2262"/>
      <c r="ER2262"/>
      <c r="ES2262"/>
    </row>
    <row r="2263" spans="1:149">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c r="CW2263"/>
      <c r="CX2263"/>
      <c r="CY2263"/>
      <c r="CZ2263"/>
      <c r="DA2263"/>
      <c r="DB2263"/>
      <c r="DC2263"/>
      <c r="DD2263"/>
      <c r="DE2263"/>
      <c r="DF2263"/>
      <c r="DG2263"/>
      <c r="DH2263"/>
      <c r="DI2263"/>
      <c r="DJ2263"/>
      <c r="DK2263"/>
      <c r="DL2263"/>
      <c r="DM2263"/>
      <c r="DN2263"/>
      <c r="DO2263"/>
      <c r="DP2263"/>
      <c r="DQ2263"/>
      <c r="DR2263"/>
      <c r="DS2263"/>
      <c r="DT2263"/>
      <c r="DU2263"/>
      <c r="DV2263"/>
      <c r="DW2263"/>
      <c r="DX2263"/>
      <c r="DY2263"/>
      <c r="DZ2263"/>
      <c r="EA2263"/>
      <c r="EB2263"/>
      <c r="EC2263"/>
      <c r="ED2263"/>
      <c r="EE2263"/>
      <c r="EF2263"/>
      <c r="EG2263"/>
      <c r="EH2263"/>
      <c r="EI2263"/>
      <c r="EJ2263"/>
      <c r="EK2263"/>
      <c r="EL2263"/>
      <c r="EM2263"/>
      <c r="EN2263"/>
      <c r="EO2263"/>
      <c r="EP2263"/>
      <c r="EQ2263"/>
      <c r="ER2263"/>
      <c r="ES2263"/>
    </row>
    <row r="2264" spans="1:149">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c r="CW2264"/>
      <c r="CX2264"/>
      <c r="CY2264"/>
      <c r="CZ2264"/>
      <c r="DA2264"/>
      <c r="DB2264"/>
      <c r="DC2264"/>
      <c r="DD2264"/>
      <c r="DE2264"/>
      <c r="DF2264"/>
      <c r="DG2264"/>
      <c r="DH2264"/>
      <c r="DI2264"/>
      <c r="DJ2264"/>
      <c r="DK2264"/>
      <c r="DL2264"/>
      <c r="DM2264"/>
      <c r="DN2264"/>
      <c r="DO2264"/>
      <c r="DP2264"/>
      <c r="DQ2264"/>
      <c r="DR2264"/>
      <c r="DS2264"/>
      <c r="DT2264"/>
      <c r="DU2264"/>
      <c r="DV2264"/>
      <c r="DW2264"/>
      <c r="DX2264"/>
      <c r="DY2264"/>
      <c r="DZ2264"/>
      <c r="EA2264"/>
      <c r="EB2264"/>
      <c r="EC2264"/>
      <c r="ED2264"/>
      <c r="EE2264"/>
      <c r="EF2264"/>
      <c r="EG2264"/>
      <c r="EH2264"/>
      <c r="EI2264"/>
      <c r="EJ2264"/>
      <c r="EK2264"/>
      <c r="EL2264"/>
      <c r="EM2264"/>
      <c r="EN2264"/>
      <c r="EO2264"/>
      <c r="EP2264"/>
      <c r="EQ2264"/>
      <c r="ER2264"/>
      <c r="ES2264"/>
    </row>
    <row r="2265" spans="1:149">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c r="CW2265"/>
      <c r="CX2265"/>
      <c r="CY2265"/>
      <c r="CZ2265"/>
      <c r="DA2265"/>
      <c r="DB2265"/>
      <c r="DC2265"/>
      <c r="DD2265"/>
      <c r="DE2265"/>
      <c r="DF2265"/>
      <c r="DG2265"/>
      <c r="DH2265"/>
      <c r="DI2265"/>
      <c r="DJ2265"/>
      <c r="DK2265"/>
      <c r="DL2265"/>
      <c r="DM2265"/>
      <c r="DN2265"/>
      <c r="DO2265"/>
      <c r="DP2265"/>
      <c r="DQ2265"/>
      <c r="DR2265"/>
      <c r="DS2265"/>
      <c r="DT2265"/>
      <c r="DU2265"/>
      <c r="DV2265"/>
      <c r="DW2265"/>
      <c r="DX2265"/>
      <c r="DY2265"/>
      <c r="DZ2265"/>
      <c r="EA2265"/>
      <c r="EB2265"/>
      <c r="EC2265"/>
      <c r="ED2265"/>
      <c r="EE2265"/>
      <c r="EF2265"/>
      <c r="EG2265"/>
      <c r="EH2265"/>
      <c r="EI2265"/>
      <c r="EJ2265"/>
      <c r="EK2265"/>
      <c r="EL2265"/>
      <c r="EM2265"/>
      <c r="EN2265"/>
      <c r="EO2265"/>
      <c r="EP2265"/>
      <c r="EQ2265"/>
      <c r="ER2265"/>
      <c r="ES2265"/>
    </row>
    <row r="2266" spans="1:149">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c r="CW2266"/>
      <c r="CX2266"/>
      <c r="CY2266"/>
      <c r="CZ2266"/>
      <c r="DA2266"/>
      <c r="DB2266"/>
      <c r="DC2266"/>
      <c r="DD2266"/>
      <c r="DE2266"/>
      <c r="DF2266"/>
      <c r="DG2266"/>
      <c r="DH2266"/>
      <c r="DI2266"/>
      <c r="DJ2266"/>
      <c r="DK2266"/>
      <c r="DL2266"/>
      <c r="DM2266"/>
      <c r="DN2266"/>
      <c r="DO2266"/>
      <c r="DP2266"/>
      <c r="DQ2266"/>
      <c r="DR2266"/>
      <c r="DS2266"/>
      <c r="DT2266"/>
      <c r="DU2266"/>
      <c r="DV2266"/>
      <c r="DW2266"/>
      <c r="DX2266"/>
      <c r="DY2266"/>
      <c r="DZ2266"/>
      <c r="EA2266"/>
      <c r="EB2266"/>
      <c r="EC2266"/>
      <c r="ED2266"/>
      <c r="EE2266"/>
      <c r="EF2266"/>
      <c r="EG2266"/>
      <c r="EH2266"/>
      <c r="EI2266"/>
      <c r="EJ2266"/>
      <c r="EK2266"/>
      <c r="EL2266"/>
      <c r="EM2266"/>
      <c r="EN2266"/>
      <c r="EO2266"/>
      <c r="EP2266"/>
      <c r="EQ2266"/>
      <c r="ER2266"/>
      <c r="ES2266"/>
    </row>
    <row r="2267" spans="1:149">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c r="CW2267"/>
      <c r="CX2267"/>
      <c r="CY2267"/>
      <c r="CZ2267"/>
      <c r="DA2267"/>
      <c r="DB2267"/>
      <c r="DC2267"/>
      <c r="DD2267"/>
      <c r="DE2267"/>
      <c r="DF2267"/>
      <c r="DG2267"/>
      <c r="DH2267"/>
      <c r="DI2267"/>
      <c r="DJ2267"/>
      <c r="DK2267"/>
      <c r="DL2267"/>
      <c r="DM2267"/>
      <c r="DN2267"/>
      <c r="DO2267"/>
      <c r="DP2267"/>
      <c r="DQ2267"/>
      <c r="DR2267"/>
      <c r="DS2267"/>
      <c r="DT2267"/>
      <c r="DU2267"/>
      <c r="DV2267"/>
      <c r="DW2267"/>
      <c r="DX2267"/>
      <c r="DY2267"/>
      <c r="DZ2267"/>
      <c r="EA2267"/>
      <c r="EB2267"/>
      <c r="EC2267"/>
      <c r="ED2267"/>
      <c r="EE2267"/>
      <c r="EF2267"/>
      <c r="EG2267"/>
      <c r="EH2267"/>
      <c r="EI2267"/>
      <c r="EJ2267"/>
      <c r="EK2267"/>
      <c r="EL2267"/>
      <c r="EM2267"/>
      <c r="EN2267"/>
      <c r="EO2267"/>
      <c r="EP2267"/>
      <c r="EQ2267"/>
      <c r="ER2267"/>
      <c r="ES2267"/>
    </row>
    <row r="2268" spans="1:149">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c r="CW2268"/>
      <c r="CX2268"/>
      <c r="CY2268"/>
      <c r="CZ2268"/>
      <c r="DA2268"/>
      <c r="DB2268"/>
      <c r="DC2268"/>
      <c r="DD2268"/>
      <c r="DE2268"/>
      <c r="DF2268"/>
      <c r="DG2268"/>
      <c r="DH2268"/>
      <c r="DI2268"/>
      <c r="DJ2268"/>
      <c r="DK2268"/>
      <c r="DL2268"/>
      <c r="DM2268"/>
      <c r="DN2268"/>
      <c r="DO2268"/>
      <c r="DP2268"/>
      <c r="DQ2268"/>
      <c r="DR2268"/>
      <c r="DS2268"/>
      <c r="DT2268"/>
      <c r="DU2268"/>
      <c r="DV2268"/>
      <c r="DW2268"/>
      <c r="DX2268"/>
      <c r="DY2268"/>
      <c r="DZ2268"/>
      <c r="EA2268"/>
      <c r="EB2268"/>
      <c r="EC2268"/>
      <c r="ED2268"/>
      <c r="EE2268"/>
      <c r="EF2268"/>
      <c r="EG2268"/>
      <c r="EH2268"/>
      <c r="EI2268"/>
      <c r="EJ2268"/>
      <c r="EK2268"/>
      <c r="EL2268"/>
      <c r="EM2268"/>
      <c r="EN2268"/>
      <c r="EO2268"/>
      <c r="EP2268"/>
      <c r="EQ2268"/>
      <c r="ER2268"/>
      <c r="ES2268"/>
    </row>
    <row r="2269" spans="1:149">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c r="CW2269"/>
      <c r="CX2269"/>
      <c r="CY2269"/>
      <c r="CZ2269"/>
      <c r="DA2269"/>
      <c r="DB2269"/>
      <c r="DC2269"/>
      <c r="DD2269"/>
      <c r="DE2269"/>
      <c r="DF2269"/>
      <c r="DG2269"/>
      <c r="DH2269"/>
      <c r="DI2269"/>
      <c r="DJ2269"/>
      <c r="DK2269"/>
      <c r="DL2269"/>
      <c r="DM2269"/>
      <c r="DN2269"/>
      <c r="DO2269"/>
      <c r="DP2269"/>
      <c r="DQ2269"/>
      <c r="DR2269"/>
      <c r="DS2269"/>
      <c r="DT2269"/>
      <c r="DU2269"/>
      <c r="DV2269"/>
      <c r="DW2269"/>
      <c r="DX2269"/>
      <c r="DY2269"/>
      <c r="DZ2269"/>
      <c r="EA2269"/>
      <c r="EB2269"/>
      <c r="EC2269"/>
      <c r="ED2269"/>
      <c r="EE2269"/>
      <c r="EF2269"/>
      <c r="EG2269"/>
      <c r="EH2269"/>
      <c r="EI2269"/>
      <c r="EJ2269"/>
      <c r="EK2269"/>
      <c r="EL2269"/>
      <c r="EM2269"/>
      <c r="EN2269"/>
      <c r="EO2269"/>
      <c r="EP2269"/>
      <c r="EQ2269"/>
      <c r="ER2269"/>
      <c r="ES2269"/>
    </row>
    <row r="2270" spans="1:149">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c r="CW2270"/>
      <c r="CX2270"/>
      <c r="CY2270"/>
      <c r="CZ2270"/>
      <c r="DA2270"/>
      <c r="DB2270"/>
      <c r="DC2270"/>
      <c r="DD2270"/>
      <c r="DE2270"/>
      <c r="DF2270"/>
      <c r="DG2270"/>
      <c r="DH2270"/>
      <c r="DI2270"/>
      <c r="DJ2270"/>
      <c r="DK2270"/>
      <c r="DL2270"/>
      <c r="DM2270"/>
      <c r="DN2270"/>
      <c r="DO2270"/>
      <c r="DP2270"/>
      <c r="DQ2270"/>
      <c r="DR2270"/>
      <c r="DS2270"/>
      <c r="DT2270"/>
      <c r="DU2270"/>
      <c r="DV2270"/>
      <c r="DW2270"/>
      <c r="DX2270"/>
      <c r="DY2270"/>
      <c r="DZ2270"/>
      <c r="EA2270"/>
      <c r="EB2270"/>
      <c r="EC2270"/>
      <c r="ED2270"/>
      <c r="EE2270"/>
      <c r="EF2270"/>
      <c r="EG2270"/>
      <c r="EH2270"/>
      <c r="EI2270"/>
      <c r="EJ2270"/>
      <c r="EK2270"/>
      <c r="EL2270"/>
      <c r="EM2270"/>
      <c r="EN2270"/>
      <c r="EO2270"/>
      <c r="EP2270"/>
      <c r="EQ2270"/>
      <c r="ER2270"/>
      <c r="ES2270"/>
    </row>
    <row r="2271" spans="1:149">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c r="CW2271"/>
      <c r="CX2271"/>
      <c r="CY2271"/>
      <c r="CZ2271"/>
      <c r="DA2271"/>
      <c r="DB2271"/>
      <c r="DC2271"/>
      <c r="DD2271"/>
      <c r="DE2271"/>
      <c r="DF2271"/>
      <c r="DG2271"/>
      <c r="DH2271"/>
      <c r="DI2271"/>
      <c r="DJ2271"/>
      <c r="DK2271"/>
      <c r="DL2271"/>
      <c r="DM2271"/>
      <c r="DN2271"/>
      <c r="DO2271"/>
      <c r="DP2271"/>
      <c r="DQ2271"/>
      <c r="DR2271"/>
      <c r="DS2271"/>
      <c r="DT2271"/>
      <c r="DU2271"/>
      <c r="DV2271"/>
      <c r="DW2271"/>
      <c r="DX2271"/>
      <c r="DY2271"/>
      <c r="DZ2271"/>
      <c r="EA2271"/>
      <c r="EB2271"/>
      <c r="EC2271"/>
      <c r="ED2271"/>
      <c r="EE2271"/>
      <c r="EF2271"/>
      <c r="EG2271"/>
      <c r="EH2271"/>
      <c r="EI2271"/>
      <c r="EJ2271"/>
      <c r="EK2271"/>
      <c r="EL2271"/>
      <c r="EM2271"/>
      <c r="EN2271"/>
      <c r="EO2271"/>
      <c r="EP2271"/>
      <c r="EQ2271"/>
      <c r="ER2271"/>
      <c r="ES2271"/>
    </row>
    <row r="2272" spans="1:149">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c r="CW2272"/>
      <c r="CX2272"/>
      <c r="CY2272"/>
      <c r="CZ2272"/>
      <c r="DA2272"/>
      <c r="DB2272"/>
      <c r="DC2272"/>
      <c r="DD2272"/>
      <c r="DE2272"/>
      <c r="DF2272"/>
      <c r="DG2272"/>
      <c r="DH2272"/>
      <c r="DI2272"/>
      <c r="DJ2272"/>
      <c r="DK2272"/>
      <c r="DL2272"/>
      <c r="DM2272"/>
      <c r="DN2272"/>
      <c r="DO2272"/>
      <c r="DP2272"/>
      <c r="DQ2272"/>
      <c r="DR2272"/>
      <c r="DS2272"/>
      <c r="DT2272"/>
      <c r="DU2272"/>
      <c r="DV2272"/>
      <c r="DW2272"/>
      <c r="DX2272"/>
      <c r="DY2272"/>
      <c r="DZ2272"/>
      <c r="EA2272"/>
      <c r="EB2272"/>
      <c r="EC2272"/>
      <c r="ED2272"/>
      <c r="EE2272"/>
      <c r="EF2272"/>
      <c r="EG2272"/>
      <c r="EH2272"/>
      <c r="EI2272"/>
      <c r="EJ2272"/>
      <c r="EK2272"/>
      <c r="EL2272"/>
      <c r="EM2272"/>
      <c r="EN2272"/>
      <c r="EO2272"/>
      <c r="EP2272"/>
      <c r="EQ2272"/>
      <c r="ER2272"/>
      <c r="ES2272"/>
    </row>
    <row r="2273" spans="1:149">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c r="CW2273"/>
      <c r="CX2273"/>
      <c r="CY2273"/>
      <c r="CZ2273"/>
      <c r="DA2273"/>
      <c r="DB2273"/>
      <c r="DC2273"/>
      <c r="DD2273"/>
      <c r="DE2273"/>
      <c r="DF2273"/>
      <c r="DG2273"/>
      <c r="DH2273"/>
      <c r="DI2273"/>
      <c r="DJ2273"/>
      <c r="DK2273"/>
      <c r="DL2273"/>
      <c r="DM2273"/>
      <c r="DN2273"/>
      <c r="DO2273"/>
      <c r="DP2273"/>
      <c r="DQ2273"/>
      <c r="DR2273"/>
      <c r="DS2273"/>
      <c r="DT2273"/>
      <c r="DU2273"/>
      <c r="DV2273"/>
      <c r="DW2273"/>
      <c r="DX2273"/>
      <c r="DY2273"/>
      <c r="DZ2273"/>
      <c r="EA2273"/>
      <c r="EB2273"/>
      <c r="EC2273"/>
      <c r="ED2273"/>
      <c r="EE2273"/>
      <c r="EF2273"/>
      <c r="EG2273"/>
      <c r="EH2273"/>
      <c r="EI2273"/>
      <c r="EJ2273"/>
      <c r="EK2273"/>
      <c r="EL2273"/>
      <c r="EM2273"/>
      <c r="EN2273"/>
      <c r="EO2273"/>
      <c r="EP2273"/>
      <c r="EQ2273"/>
      <c r="ER2273"/>
      <c r="ES2273"/>
    </row>
    <row r="2274" spans="1:149">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c r="CW2274"/>
      <c r="CX2274"/>
      <c r="CY2274"/>
      <c r="CZ2274"/>
      <c r="DA2274"/>
      <c r="DB2274"/>
      <c r="DC2274"/>
      <c r="DD2274"/>
      <c r="DE2274"/>
      <c r="DF2274"/>
      <c r="DG2274"/>
      <c r="DH2274"/>
      <c r="DI2274"/>
      <c r="DJ2274"/>
      <c r="DK2274"/>
      <c r="DL2274"/>
      <c r="DM2274"/>
      <c r="DN2274"/>
      <c r="DO2274"/>
      <c r="DP2274"/>
      <c r="DQ2274"/>
      <c r="DR2274"/>
      <c r="DS2274"/>
      <c r="DT2274"/>
      <c r="DU2274"/>
      <c r="DV2274"/>
      <c r="DW2274"/>
      <c r="DX2274"/>
      <c r="DY2274"/>
      <c r="DZ2274"/>
      <c r="EA2274"/>
      <c r="EB2274"/>
      <c r="EC2274"/>
      <c r="ED2274"/>
      <c r="EE2274"/>
      <c r="EF2274"/>
      <c r="EG2274"/>
      <c r="EH2274"/>
      <c r="EI2274"/>
      <c r="EJ2274"/>
      <c r="EK2274"/>
      <c r="EL2274"/>
      <c r="EM2274"/>
      <c r="EN2274"/>
      <c r="EO2274"/>
      <c r="EP2274"/>
      <c r="EQ2274"/>
      <c r="ER2274"/>
      <c r="ES2274"/>
    </row>
    <row r="2275" spans="1:149">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c r="CW2275"/>
      <c r="CX2275"/>
      <c r="CY2275"/>
      <c r="CZ2275"/>
      <c r="DA2275"/>
      <c r="DB2275"/>
      <c r="DC2275"/>
      <c r="DD2275"/>
      <c r="DE2275"/>
      <c r="DF2275"/>
      <c r="DG2275"/>
      <c r="DH2275"/>
      <c r="DI2275"/>
      <c r="DJ2275"/>
      <c r="DK2275"/>
      <c r="DL2275"/>
      <c r="DM2275"/>
      <c r="DN2275"/>
      <c r="DO2275"/>
      <c r="DP2275"/>
      <c r="DQ2275"/>
      <c r="DR2275"/>
      <c r="DS2275"/>
      <c r="DT2275"/>
      <c r="DU2275"/>
      <c r="DV2275"/>
      <c r="DW2275"/>
      <c r="DX2275"/>
      <c r="DY2275"/>
      <c r="DZ2275"/>
      <c r="EA2275"/>
      <c r="EB2275"/>
      <c r="EC2275"/>
      <c r="ED2275"/>
      <c r="EE2275"/>
      <c r="EF2275"/>
      <c r="EG2275"/>
      <c r="EH2275"/>
      <c r="EI2275"/>
      <c r="EJ2275"/>
      <c r="EK2275"/>
      <c r="EL2275"/>
      <c r="EM2275"/>
      <c r="EN2275"/>
      <c r="EO2275"/>
      <c r="EP2275"/>
      <c r="EQ2275"/>
      <c r="ER2275"/>
      <c r="ES2275"/>
    </row>
    <row r="2276" spans="1:149">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c r="CW2276"/>
      <c r="CX2276"/>
      <c r="CY2276"/>
      <c r="CZ2276"/>
      <c r="DA2276"/>
      <c r="DB2276"/>
      <c r="DC2276"/>
      <c r="DD2276"/>
      <c r="DE2276"/>
      <c r="DF2276"/>
      <c r="DG2276"/>
      <c r="DH2276"/>
      <c r="DI2276"/>
      <c r="DJ2276"/>
      <c r="DK2276"/>
      <c r="DL2276"/>
      <c r="DM2276"/>
      <c r="DN2276"/>
      <c r="DO2276"/>
      <c r="DP2276"/>
      <c r="DQ2276"/>
      <c r="DR2276"/>
      <c r="DS2276"/>
      <c r="DT2276"/>
      <c r="DU2276"/>
      <c r="DV2276"/>
      <c r="DW2276"/>
      <c r="DX2276"/>
      <c r="DY2276"/>
      <c r="DZ2276"/>
      <c r="EA2276"/>
      <c r="EB2276"/>
      <c r="EC2276"/>
      <c r="ED2276"/>
      <c r="EE2276"/>
      <c r="EF2276"/>
      <c r="EG2276"/>
      <c r="EH2276"/>
      <c r="EI2276"/>
      <c r="EJ2276"/>
      <c r="EK2276"/>
      <c r="EL2276"/>
      <c r="EM2276"/>
      <c r="EN2276"/>
      <c r="EO2276"/>
      <c r="EP2276"/>
      <c r="EQ2276"/>
      <c r="ER2276"/>
      <c r="ES2276"/>
    </row>
    <row r="2277" spans="1:149">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c r="CW2277"/>
      <c r="CX2277"/>
      <c r="CY2277"/>
      <c r="CZ2277"/>
      <c r="DA2277"/>
      <c r="DB2277"/>
      <c r="DC2277"/>
      <c r="DD2277"/>
      <c r="DE2277"/>
      <c r="DF2277"/>
      <c r="DG2277"/>
      <c r="DH2277"/>
      <c r="DI2277"/>
      <c r="DJ2277"/>
      <c r="DK2277"/>
      <c r="DL2277"/>
      <c r="DM2277"/>
      <c r="DN2277"/>
      <c r="DO2277"/>
      <c r="DP2277"/>
      <c r="DQ2277"/>
      <c r="DR2277"/>
      <c r="DS2277"/>
      <c r="DT2277"/>
      <c r="DU2277"/>
      <c r="DV2277"/>
      <c r="DW2277"/>
      <c r="DX2277"/>
      <c r="DY2277"/>
      <c r="DZ2277"/>
      <c r="EA2277"/>
      <c r="EB2277"/>
      <c r="EC2277"/>
      <c r="ED2277"/>
      <c r="EE2277"/>
      <c r="EF2277"/>
      <c r="EG2277"/>
      <c r="EH2277"/>
      <c r="EI2277"/>
      <c r="EJ2277"/>
      <c r="EK2277"/>
      <c r="EL2277"/>
      <c r="EM2277"/>
      <c r="EN2277"/>
      <c r="EO2277"/>
      <c r="EP2277"/>
      <c r="EQ2277"/>
      <c r="ER2277"/>
      <c r="ES2277"/>
    </row>
    <row r="2278" spans="1:149">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c r="CW2278"/>
      <c r="CX2278"/>
      <c r="CY2278"/>
      <c r="CZ2278"/>
      <c r="DA2278"/>
      <c r="DB2278"/>
      <c r="DC2278"/>
      <c r="DD2278"/>
      <c r="DE2278"/>
      <c r="DF2278"/>
      <c r="DG2278"/>
      <c r="DH2278"/>
      <c r="DI2278"/>
      <c r="DJ2278"/>
      <c r="DK2278"/>
      <c r="DL2278"/>
      <c r="DM2278"/>
      <c r="DN2278"/>
      <c r="DO2278"/>
      <c r="DP2278"/>
      <c r="DQ2278"/>
      <c r="DR2278"/>
      <c r="DS2278"/>
      <c r="DT2278"/>
      <c r="DU2278"/>
      <c r="DV2278"/>
      <c r="DW2278"/>
      <c r="DX2278"/>
      <c r="DY2278"/>
      <c r="DZ2278"/>
      <c r="EA2278"/>
      <c r="EB2278"/>
      <c r="EC2278"/>
      <c r="ED2278"/>
      <c r="EE2278"/>
      <c r="EF2278"/>
      <c r="EG2278"/>
      <c r="EH2278"/>
      <c r="EI2278"/>
      <c r="EJ2278"/>
      <c r="EK2278"/>
      <c r="EL2278"/>
      <c r="EM2278"/>
      <c r="EN2278"/>
      <c r="EO2278"/>
      <c r="EP2278"/>
      <c r="EQ2278"/>
      <c r="ER2278"/>
      <c r="ES2278"/>
    </row>
    <row r="2279" spans="1:149">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c r="CW2279"/>
      <c r="CX2279"/>
      <c r="CY2279"/>
      <c r="CZ2279"/>
      <c r="DA2279"/>
      <c r="DB2279"/>
      <c r="DC2279"/>
      <c r="DD2279"/>
      <c r="DE2279"/>
      <c r="DF2279"/>
      <c r="DG2279"/>
      <c r="DH2279"/>
      <c r="DI2279"/>
      <c r="DJ2279"/>
      <c r="DK2279"/>
      <c r="DL2279"/>
      <c r="DM2279"/>
      <c r="DN2279"/>
      <c r="DO2279"/>
      <c r="DP2279"/>
      <c r="DQ2279"/>
      <c r="DR2279"/>
      <c r="DS2279"/>
      <c r="DT2279"/>
      <c r="DU2279"/>
      <c r="DV2279"/>
      <c r="DW2279"/>
      <c r="DX2279"/>
      <c r="DY2279"/>
      <c r="DZ2279"/>
      <c r="EA2279"/>
      <c r="EB2279"/>
      <c r="EC2279"/>
      <c r="ED2279"/>
      <c r="EE2279"/>
      <c r="EF2279"/>
      <c r="EG2279"/>
      <c r="EH2279"/>
      <c r="EI2279"/>
      <c r="EJ2279"/>
      <c r="EK2279"/>
      <c r="EL2279"/>
      <c r="EM2279"/>
      <c r="EN2279"/>
      <c r="EO2279"/>
      <c r="EP2279"/>
      <c r="EQ2279"/>
      <c r="ER2279"/>
      <c r="ES2279"/>
    </row>
    <row r="2280" spans="1:149">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c r="CW2280"/>
      <c r="CX2280"/>
      <c r="CY2280"/>
      <c r="CZ2280"/>
      <c r="DA2280"/>
      <c r="DB2280"/>
      <c r="DC2280"/>
      <c r="DD2280"/>
      <c r="DE2280"/>
      <c r="DF2280"/>
      <c r="DG2280"/>
      <c r="DH2280"/>
      <c r="DI2280"/>
      <c r="DJ2280"/>
      <c r="DK2280"/>
      <c r="DL2280"/>
      <c r="DM2280"/>
      <c r="DN2280"/>
      <c r="DO2280"/>
      <c r="DP2280"/>
      <c r="DQ2280"/>
      <c r="DR2280"/>
      <c r="DS2280"/>
      <c r="DT2280"/>
      <c r="DU2280"/>
      <c r="DV2280"/>
      <c r="DW2280"/>
      <c r="DX2280"/>
      <c r="DY2280"/>
      <c r="DZ2280"/>
      <c r="EA2280"/>
      <c r="EB2280"/>
      <c r="EC2280"/>
      <c r="ED2280"/>
      <c r="EE2280"/>
      <c r="EF2280"/>
      <c r="EG2280"/>
      <c r="EH2280"/>
      <c r="EI2280"/>
      <c r="EJ2280"/>
      <c r="EK2280"/>
      <c r="EL2280"/>
      <c r="EM2280"/>
      <c r="EN2280"/>
      <c r="EO2280"/>
      <c r="EP2280"/>
      <c r="EQ2280"/>
      <c r="ER2280"/>
      <c r="ES2280"/>
    </row>
    <row r="2281" spans="1:149">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c r="CW2281"/>
      <c r="CX2281"/>
      <c r="CY2281"/>
      <c r="CZ2281"/>
      <c r="DA2281"/>
      <c r="DB2281"/>
      <c r="DC2281"/>
      <c r="DD2281"/>
      <c r="DE2281"/>
      <c r="DF2281"/>
      <c r="DG2281"/>
      <c r="DH2281"/>
      <c r="DI2281"/>
      <c r="DJ2281"/>
      <c r="DK2281"/>
      <c r="DL2281"/>
      <c r="DM2281"/>
      <c r="DN2281"/>
      <c r="DO2281"/>
      <c r="DP2281"/>
      <c r="DQ2281"/>
      <c r="DR2281"/>
      <c r="DS2281"/>
      <c r="DT2281"/>
      <c r="DU2281"/>
      <c r="DV2281"/>
      <c r="DW2281"/>
      <c r="DX2281"/>
      <c r="DY2281"/>
      <c r="DZ2281"/>
      <c r="EA2281"/>
      <c r="EB2281"/>
      <c r="EC2281"/>
      <c r="ED2281"/>
      <c r="EE2281"/>
      <c r="EF2281"/>
      <c r="EG2281"/>
      <c r="EH2281"/>
      <c r="EI2281"/>
      <c r="EJ2281"/>
      <c r="EK2281"/>
      <c r="EL2281"/>
      <c r="EM2281"/>
      <c r="EN2281"/>
      <c r="EO2281"/>
      <c r="EP2281"/>
      <c r="EQ2281"/>
      <c r="ER2281"/>
      <c r="ES2281"/>
    </row>
    <row r="2282" spans="1:149">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c r="CW2282"/>
      <c r="CX2282"/>
      <c r="CY2282"/>
      <c r="CZ2282"/>
      <c r="DA2282"/>
      <c r="DB2282"/>
      <c r="DC2282"/>
      <c r="DD2282"/>
      <c r="DE2282"/>
      <c r="DF2282"/>
      <c r="DG2282"/>
      <c r="DH2282"/>
      <c r="DI2282"/>
      <c r="DJ2282"/>
      <c r="DK2282"/>
      <c r="DL2282"/>
      <c r="DM2282"/>
      <c r="DN2282"/>
      <c r="DO2282"/>
      <c r="DP2282"/>
      <c r="DQ2282"/>
      <c r="DR2282"/>
      <c r="DS2282"/>
      <c r="DT2282"/>
      <c r="DU2282"/>
      <c r="DV2282"/>
      <c r="DW2282"/>
      <c r="DX2282"/>
      <c r="DY2282"/>
      <c r="DZ2282"/>
      <c r="EA2282"/>
      <c r="EB2282"/>
      <c r="EC2282"/>
      <c r="ED2282"/>
      <c r="EE2282"/>
      <c r="EF2282"/>
      <c r="EG2282"/>
      <c r="EH2282"/>
      <c r="EI2282"/>
      <c r="EJ2282"/>
      <c r="EK2282"/>
      <c r="EL2282"/>
      <c r="EM2282"/>
      <c r="EN2282"/>
      <c r="EO2282"/>
      <c r="EP2282"/>
      <c r="EQ2282"/>
      <c r="ER2282"/>
      <c r="ES2282"/>
    </row>
    <row r="2283" spans="1:149">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c r="CW2283"/>
      <c r="CX2283"/>
      <c r="CY2283"/>
      <c r="CZ2283"/>
      <c r="DA2283"/>
      <c r="DB2283"/>
      <c r="DC2283"/>
      <c r="DD2283"/>
      <c r="DE2283"/>
      <c r="DF2283"/>
      <c r="DG2283"/>
      <c r="DH2283"/>
      <c r="DI2283"/>
      <c r="DJ2283"/>
      <c r="DK2283"/>
      <c r="DL2283"/>
      <c r="DM2283"/>
      <c r="DN2283"/>
      <c r="DO2283"/>
      <c r="DP2283"/>
      <c r="DQ2283"/>
      <c r="DR2283"/>
      <c r="DS2283"/>
      <c r="DT2283"/>
      <c r="DU2283"/>
      <c r="DV2283"/>
      <c r="DW2283"/>
      <c r="DX2283"/>
      <c r="DY2283"/>
      <c r="DZ2283"/>
      <c r="EA2283"/>
      <c r="EB2283"/>
      <c r="EC2283"/>
      <c r="ED2283"/>
      <c r="EE2283"/>
      <c r="EF2283"/>
      <c r="EG2283"/>
      <c r="EH2283"/>
      <c r="EI2283"/>
      <c r="EJ2283"/>
      <c r="EK2283"/>
      <c r="EL2283"/>
      <c r="EM2283"/>
      <c r="EN2283"/>
      <c r="EO2283"/>
      <c r="EP2283"/>
      <c r="EQ2283"/>
      <c r="ER2283"/>
      <c r="ES2283"/>
    </row>
    <row r="2284" spans="1:149">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c r="CW2284"/>
      <c r="CX2284"/>
      <c r="CY2284"/>
      <c r="CZ2284"/>
      <c r="DA2284"/>
      <c r="DB2284"/>
      <c r="DC2284"/>
      <c r="DD2284"/>
      <c r="DE2284"/>
      <c r="DF2284"/>
      <c r="DG2284"/>
      <c r="DH2284"/>
      <c r="DI2284"/>
      <c r="DJ2284"/>
      <c r="DK2284"/>
      <c r="DL2284"/>
      <c r="DM2284"/>
      <c r="DN2284"/>
      <c r="DO2284"/>
      <c r="DP2284"/>
      <c r="DQ2284"/>
      <c r="DR2284"/>
      <c r="DS2284"/>
      <c r="DT2284"/>
      <c r="DU2284"/>
      <c r="DV2284"/>
      <c r="DW2284"/>
      <c r="DX2284"/>
      <c r="DY2284"/>
      <c r="DZ2284"/>
      <c r="EA2284"/>
      <c r="EB2284"/>
      <c r="EC2284"/>
      <c r="ED2284"/>
      <c r="EE2284"/>
      <c r="EF2284"/>
      <c r="EG2284"/>
      <c r="EH2284"/>
      <c r="EI2284"/>
      <c r="EJ2284"/>
      <c r="EK2284"/>
      <c r="EL2284"/>
      <c r="EM2284"/>
      <c r="EN2284"/>
      <c r="EO2284"/>
      <c r="EP2284"/>
      <c r="EQ2284"/>
      <c r="ER2284"/>
      <c r="ES2284"/>
    </row>
    <row r="2285" spans="1:149">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c r="CW2285"/>
      <c r="CX2285"/>
      <c r="CY2285"/>
      <c r="CZ2285"/>
      <c r="DA2285"/>
      <c r="DB2285"/>
      <c r="DC2285"/>
      <c r="DD2285"/>
      <c r="DE2285"/>
      <c r="DF2285"/>
      <c r="DG2285"/>
      <c r="DH2285"/>
      <c r="DI2285"/>
      <c r="DJ2285"/>
      <c r="DK2285"/>
      <c r="DL2285"/>
      <c r="DM2285"/>
      <c r="DN2285"/>
      <c r="DO2285"/>
      <c r="DP2285"/>
      <c r="DQ2285"/>
      <c r="DR2285"/>
      <c r="DS2285"/>
      <c r="DT2285"/>
      <c r="DU2285"/>
      <c r="DV2285"/>
      <c r="DW2285"/>
      <c r="DX2285"/>
      <c r="DY2285"/>
      <c r="DZ2285"/>
      <c r="EA2285"/>
      <c r="EB2285"/>
      <c r="EC2285"/>
      <c r="ED2285"/>
      <c r="EE2285"/>
      <c r="EF2285"/>
      <c r="EG2285"/>
      <c r="EH2285"/>
      <c r="EI2285"/>
      <c r="EJ2285"/>
      <c r="EK2285"/>
      <c r="EL2285"/>
      <c r="EM2285"/>
      <c r="EN2285"/>
      <c r="EO2285"/>
      <c r="EP2285"/>
      <c r="EQ2285"/>
      <c r="ER2285"/>
      <c r="ES2285"/>
    </row>
    <row r="2286" spans="1:149">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c r="CW2286"/>
      <c r="CX2286"/>
      <c r="CY2286"/>
      <c r="CZ2286"/>
      <c r="DA2286"/>
      <c r="DB2286"/>
      <c r="DC2286"/>
      <c r="DD2286"/>
      <c r="DE2286"/>
      <c r="DF2286"/>
      <c r="DG2286"/>
      <c r="DH2286"/>
      <c r="DI2286"/>
      <c r="DJ2286"/>
      <c r="DK2286"/>
      <c r="DL2286"/>
      <c r="DM2286"/>
      <c r="DN2286"/>
      <c r="DO2286"/>
      <c r="DP2286"/>
      <c r="DQ2286"/>
      <c r="DR2286"/>
      <c r="DS2286"/>
      <c r="DT2286"/>
      <c r="DU2286"/>
      <c r="DV2286"/>
      <c r="DW2286"/>
      <c r="DX2286"/>
      <c r="DY2286"/>
      <c r="DZ2286"/>
      <c r="EA2286"/>
      <c r="EB2286"/>
      <c r="EC2286"/>
      <c r="ED2286"/>
      <c r="EE2286"/>
      <c r="EF2286"/>
      <c r="EG2286"/>
      <c r="EH2286"/>
      <c r="EI2286"/>
      <c r="EJ2286"/>
      <c r="EK2286"/>
      <c r="EL2286"/>
      <c r="EM2286"/>
      <c r="EN2286"/>
      <c r="EO2286"/>
      <c r="EP2286"/>
      <c r="EQ2286"/>
      <c r="ER2286"/>
      <c r="ES2286"/>
    </row>
    <row r="2287" spans="1:149">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c r="CW2287"/>
      <c r="CX2287"/>
      <c r="CY2287"/>
      <c r="CZ2287"/>
      <c r="DA2287"/>
      <c r="DB2287"/>
      <c r="DC2287"/>
      <c r="DD2287"/>
      <c r="DE2287"/>
      <c r="DF2287"/>
      <c r="DG2287"/>
      <c r="DH2287"/>
      <c r="DI2287"/>
      <c r="DJ2287"/>
      <c r="DK2287"/>
      <c r="DL2287"/>
      <c r="DM2287"/>
      <c r="DN2287"/>
      <c r="DO2287"/>
      <c r="DP2287"/>
      <c r="DQ2287"/>
      <c r="DR2287"/>
      <c r="DS2287"/>
      <c r="DT2287"/>
      <c r="DU2287"/>
      <c r="DV2287"/>
      <c r="DW2287"/>
      <c r="DX2287"/>
      <c r="DY2287"/>
      <c r="DZ2287"/>
      <c r="EA2287"/>
      <c r="EB2287"/>
      <c r="EC2287"/>
      <c r="ED2287"/>
      <c r="EE2287"/>
      <c r="EF2287"/>
      <c r="EG2287"/>
      <c r="EH2287"/>
      <c r="EI2287"/>
      <c r="EJ2287"/>
      <c r="EK2287"/>
      <c r="EL2287"/>
      <c r="EM2287"/>
      <c r="EN2287"/>
      <c r="EO2287"/>
      <c r="EP2287"/>
      <c r="EQ2287"/>
      <c r="ER2287"/>
      <c r="ES2287"/>
    </row>
    <row r="2288" spans="1:149">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c r="CW2288"/>
      <c r="CX2288"/>
      <c r="CY2288"/>
      <c r="CZ2288"/>
      <c r="DA2288"/>
      <c r="DB2288"/>
      <c r="DC2288"/>
      <c r="DD2288"/>
      <c r="DE2288"/>
      <c r="DF2288"/>
      <c r="DG2288"/>
      <c r="DH2288"/>
      <c r="DI2288"/>
      <c r="DJ2288"/>
      <c r="DK2288"/>
      <c r="DL2288"/>
      <c r="DM2288"/>
      <c r="DN2288"/>
      <c r="DO2288"/>
      <c r="DP2288"/>
      <c r="DQ2288"/>
      <c r="DR2288"/>
      <c r="DS2288"/>
      <c r="DT2288"/>
      <c r="DU2288"/>
      <c r="DV2288"/>
      <c r="DW2288"/>
      <c r="DX2288"/>
      <c r="DY2288"/>
      <c r="DZ2288"/>
      <c r="EA2288"/>
      <c r="EB2288"/>
      <c r="EC2288"/>
      <c r="ED2288"/>
      <c r="EE2288"/>
      <c r="EF2288"/>
      <c r="EG2288"/>
      <c r="EH2288"/>
      <c r="EI2288"/>
      <c r="EJ2288"/>
      <c r="EK2288"/>
      <c r="EL2288"/>
      <c r="EM2288"/>
      <c r="EN2288"/>
      <c r="EO2288"/>
      <c r="EP2288"/>
      <c r="EQ2288"/>
      <c r="ER2288"/>
      <c r="ES2288"/>
    </row>
    <row r="2289" spans="1:149">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c r="CW2289"/>
      <c r="CX2289"/>
      <c r="CY2289"/>
      <c r="CZ2289"/>
      <c r="DA2289"/>
      <c r="DB2289"/>
      <c r="DC2289"/>
      <c r="DD2289"/>
      <c r="DE2289"/>
      <c r="DF2289"/>
      <c r="DG2289"/>
      <c r="DH2289"/>
      <c r="DI2289"/>
      <c r="DJ2289"/>
      <c r="DK2289"/>
      <c r="DL2289"/>
      <c r="DM2289"/>
      <c r="DN2289"/>
      <c r="DO2289"/>
      <c r="DP2289"/>
      <c r="DQ2289"/>
      <c r="DR2289"/>
      <c r="DS2289"/>
      <c r="DT2289"/>
      <c r="DU2289"/>
      <c r="DV2289"/>
      <c r="DW2289"/>
      <c r="DX2289"/>
      <c r="DY2289"/>
      <c r="DZ2289"/>
      <c r="EA2289"/>
      <c r="EB2289"/>
      <c r="EC2289"/>
      <c r="ED2289"/>
      <c r="EE2289"/>
      <c r="EF2289"/>
      <c r="EG2289"/>
      <c r="EH2289"/>
      <c r="EI2289"/>
      <c r="EJ2289"/>
      <c r="EK2289"/>
      <c r="EL2289"/>
      <c r="EM2289"/>
      <c r="EN2289"/>
      <c r="EO2289"/>
      <c r="EP2289"/>
      <c r="EQ2289"/>
      <c r="ER2289"/>
      <c r="ES2289"/>
    </row>
    <row r="2290" spans="1:149">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c r="CW2290"/>
      <c r="CX2290"/>
      <c r="CY2290"/>
      <c r="CZ2290"/>
      <c r="DA2290"/>
      <c r="DB2290"/>
      <c r="DC2290"/>
      <c r="DD2290"/>
      <c r="DE2290"/>
      <c r="DF2290"/>
      <c r="DG2290"/>
      <c r="DH2290"/>
      <c r="DI2290"/>
      <c r="DJ2290"/>
      <c r="DK2290"/>
      <c r="DL2290"/>
      <c r="DM2290"/>
      <c r="DN2290"/>
      <c r="DO2290"/>
      <c r="DP2290"/>
      <c r="DQ2290"/>
      <c r="DR2290"/>
      <c r="DS2290"/>
      <c r="DT2290"/>
      <c r="DU2290"/>
      <c r="DV2290"/>
      <c r="DW2290"/>
      <c r="DX2290"/>
      <c r="DY2290"/>
      <c r="DZ2290"/>
      <c r="EA2290"/>
      <c r="EB2290"/>
      <c r="EC2290"/>
      <c r="ED2290"/>
      <c r="EE2290"/>
      <c r="EF2290"/>
      <c r="EG2290"/>
      <c r="EH2290"/>
      <c r="EI2290"/>
      <c r="EJ2290"/>
      <c r="EK2290"/>
      <c r="EL2290"/>
      <c r="EM2290"/>
      <c r="EN2290"/>
      <c r="EO2290"/>
      <c r="EP2290"/>
      <c r="EQ2290"/>
      <c r="ER2290"/>
      <c r="ES2290"/>
    </row>
    <row r="2291" spans="1:149">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c r="CW2291"/>
      <c r="CX2291"/>
      <c r="CY2291"/>
      <c r="CZ2291"/>
      <c r="DA2291"/>
      <c r="DB2291"/>
      <c r="DC2291"/>
      <c r="DD2291"/>
      <c r="DE2291"/>
      <c r="DF2291"/>
      <c r="DG2291"/>
      <c r="DH2291"/>
      <c r="DI2291"/>
      <c r="DJ2291"/>
      <c r="DK2291"/>
      <c r="DL2291"/>
      <c r="DM2291"/>
      <c r="DN2291"/>
      <c r="DO2291"/>
      <c r="DP2291"/>
      <c r="DQ2291"/>
      <c r="DR2291"/>
      <c r="DS2291"/>
      <c r="DT2291"/>
      <c r="DU2291"/>
      <c r="DV2291"/>
      <c r="DW2291"/>
      <c r="DX2291"/>
      <c r="DY2291"/>
      <c r="DZ2291"/>
      <c r="EA2291"/>
      <c r="EB2291"/>
      <c r="EC2291"/>
      <c r="ED2291"/>
      <c r="EE2291"/>
      <c r="EF2291"/>
      <c r="EG2291"/>
      <c r="EH2291"/>
      <c r="EI2291"/>
      <c r="EJ2291"/>
      <c r="EK2291"/>
      <c r="EL2291"/>
      <c r="EM2291"/>
      <c r="EN2291"/>
      <c r="EO2291"/>
      <c r="EP2291"/>
      <c r="EQ2291"/>
      <c r="ER2291"/>
      <c r="ES2291"/>
    </row>
    <row r="2292" spans="1:149">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c r="CW2292"/>
      <c r="CX2292"/>
      <c r="CY2292"/>
      <c r="CZ2292"/>
      <c r="DA2292"/>
      <c r="DB2292"/>
      <c r="DC2292"/>
      <c r="DD2292"/>
      <c r="DE2292"/>
      <c r="DF2292"/>
      <c r="DG2292"/>
      <c r="DH2292"/>
      <c r="DI2292"/>
      <c r="DJ2292"/>
      <c r="DK2292"/>
      <c r="DL2292"/>
      <c r="DM2292"/>
      <c r="DN2292"/>
      <c r="DO2292"/>
      <c r="DP2292"/>
      <c r="DQ2292"/>
      <c r="DR2292"/>
      <c r="DS2292"/>
      <c r="DT2292"/>
      <c r="DU2292"/>
      <c r="DV2292"/>
      <c r="DW2292"/>
      <c r="DX2292"/>
      <c r="DY2292"/>
      <c r="DZ2292"/>
      <c r="EA2292"/>
      <c r="EB2292"/>
      <c r="EC2292"/>
      <c r="ED2292"/>
      <c r="EE2292"/>
      <c r="EF2292"/>
      <c r="EG2292"/>
      <c r="EH2292"/>
      <c r="EI2292"/>
      <c r="EJ2292"/>
      <c r="EK2292"/>
      <c r="EL2292"/>
      <c r="EM2292"/>
      <c r="EN2292"/>
      <c r="EO2292"/>
      <c r="EP2292"/>
      <c r="EQ2292"/>
      <c r="ER2292"/>
      <c r="ES2292"/>
    </row>
    <row r="2293" spans="1:149">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c r="CW2293"/>
      <c r="CX2293"/>
      <c r="CY2293"/>
      <c r="CZ2293"/>
      <c r="DA2293"/>
      <c r="DB2293"/>
      <c r="DC2293"/>
      <c r="DD2293"/>
      <c r="DE2293"/>
      <c r="DF2293"/>
      <c r="DG2293"/>
      <c r="DH2293"/>
      <c r="DI2293"/>
      <c r="DJ2293"/>
      <c r="DK2293"/>
      <c r="DL2293"/>
      <c r="DM2293"/>
      <c r="DN2293"/>
      <c r="DO2293"/>
      <c r="DP2293"/>
      <c r="DQ2293"/>
      <c r="DR2293"/>
      <c r="DS2293"/>
      <c r="DT2293"/>
      <c r="DU2293"/>
      <c r="DV2293"/>
      <c r="DW2293"/>
      <c r="DX2293"/>
      <c r="DY2293"/>
      <c r="DZ2293"/>
      <c r="EA2293"/>
      <c r="EB2293"/>
      <c r="EC2293"/>
      <c r="ED2293"/>
      <c r="EE2293"/>
      <c r="EF2293"/>
      <c r="EG2293"/>
      <c r="EH2293"/>
      <c r="EI2293"/>
      <c r="EJ2293"/>
      <c r="EK2293"/>
      <c r="EL2293"/>
      <c r="EM2293"/>
      <c r="EN2293"/>
      <c r="EO2293"/>
      <c r="EP2293"/>
      <c r="EQ2293"/>
      <c r="ER2293"/>
      <c r="ES2293"/>
    </row>
    <row r="2294" spans="1:149">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c r="CW2294"/>
      <c r="CX2294"/>
      <c r="CY2294"/>
      <c r="CZ2294"/>
      <c r="DA2294"/>
      <c r="DB2294"/>
      <c r="DC2294"/>
      <c r="DD2294"/>
      <c r="DE2294"/>
      <c r="DF2294"/>
      <c r="DG2294"/>
      <c r="DH2294"/>
      <c r="DI2294"/>
      <c r="DJ2294"/>
      <c r="DK2294"/>
      <c r="DL2294"/>
      <c r="DM2294"/>
      <c r="DN2294"/>
      <c r="DO2294"/>
      <c r="DP2294"/>
      <c r="DQ2294"/>
      <c r="DR2294"/>
      <c r="DS2294"/>
      <c r="DT2294"/>
      <c r="DU2294"/>
      <c r="DV2294"/>
      <c r="DW2294"/>
      <c r="DX2294"/>
      <c r="DY2294"/>
      <c r="DZ2294"/>
      <c r="EA2294"/>
      <c r="EB2294"/>
      <c r="EC2294"/>
      <c r="ED2294"/>
      <c r="EE2294"/>
      <c r="EF2294"/>
      <c r="EG2294"/>
      <c r="EH2294"/>
      <c r="EI2294"/>
      <c r="EJ2294"/>
      <c r="EK2294"/>
      <c r="EL2294"/>
      <c r="EM2294"/>
      <c r="EN2294"/>
      <c r="EO2294"/>
      <c r="EP2294"/>
      <c r="EQ2294"/>
      <c r="ER2294"/>
      <c r="ES2294"/>
    </row>
    <row r="2295" spans="1:149">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c r="CW2295"/>
      <c r="CX2295"/>
      <c r="CY2295"/>
      <c r="CZ2295"/>
      <c r="DA2295"/>
      <c r="DB2295"/>
      <c r="DC2295"/>
      <c r="DD2295"/>
      <c r="DE2295"/>
      <c r="DF2295"/>
      <c r="DG2295"/>
      <c r="DH2295"/>
      <c r="DI2295"/>
      <c r="DJ2295"/>
      <c r="DK2295"/>
      <c r="DL2295"/>
      <c r="DM2295"/>
      <c r="DN2295"/>
      <c r="DO2295"/>
      <c r="DP2295"/>
      <c r="DQ2295"/>
      <c r="DR2295"/>
      <c r="DS2295"/>
      <c r="DT2295"/>
      <c r="DU2295"/>
      <c r="DV2295"/>
      <c r="DW2295"/>
      <c r="DX2295"/>
      <c r="DY2295"/>
      <c r="DZ2295"/>
      <c r="EA2295"/>
      <c r="EB2295"/>
      <c r="EC2295"/>
      <c r="ED2295"/>
      <c r="EE2295"/>
      <c r="EF2295"/>
      <c r="EG2295"/>
      <c r="EH2295"/>
      <c r="EI2295"/>
      <c r="EJ2295"/>
      <c r="EK2295"/>
      <c r="EL2295"/>
      <c r="EM2295"/>
      <c r="EN2295"/>
      <c r="EO2295"/>
      <c r="EP2295"/>
      <c r="EQ2295"/>
      <c r="ER2295"/>
      <c r="ES2295"/>
    </row>
    <row r="2296" spans="1:149">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c r="CW2296"/>
      <c r="CX2296"/>
      <c r="CY2296"/>
      <c r="CZ2296"/>
      <c r="DA2296"/>
      <c r="DB2296"/>
      <c r="DC2296"/>
      <c r="DD2296"/>
      <c r="DE2296"/>
      <c r="DF2296"/>
      <c r="DG2296"/>
      <c r="DH2296"/>
      <c r="DI2296"/>
      <c r="DJ2296"/>
      <c r="DK2296"/>
      <c r="DL2296"/>
      <c r="DM2296"/>
      <c r="DN2296"/>
      <c r="DO2296"/>
      <c r="DP2296"/>
      <c r="DQ2296"/>
      <c r="DR2296"/>
      <c r="DS2296"/>
      <c r="DT2296"/>
      <c r="DU2296"/>
      <c r="DV2296"/>
      <c r="DW2296"/>
      <c r="DX2296"/>
      <c r="DY2296"/>
      <c r="DZ2296"/>
      <c r="EA2296"/>
      <c r="EB2296"/>
      <c r="EC2296"/>
      <c r="ED2296"/>
      <c r="EE2296"/>
      <c r="EF2296"/>
      <c r="EG2296"/>
      <c r="EH2296"/>
      <c r="EI2296"/>
      <c r="EJ2296"/>
      <c r="EK2296"/>
      <c r="EL2296"/>
      <c r="EM2296"/>
      <c r="EN2296"/>
      <c r="EO2296"/>
      <c r="EP2296"/>
      <c r="EQ2296"/>
      <c r="ER2296"/>
      <c r="ES2296"/>
    </row>
    <row r="2297" spans="1:149">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c r="CW2297"/>
      <c r="CX2297"/>
      <c r="CY2297"/>
      <c r="CZ2297"/>
      <c r="DA2297"/>
      <c r="DB2297"/>
      <c r="DC2297"/>
      <c r="DD2297"/>
      <c r="DE2297"/>
      <c r="DF2297"/>
      <c r="DG2297"/>
      <c r="DH2297"/>
      <c r="DI2297"/>
      <c r="DJ2297"/>
      <c r="DK2297"/>
      <c r="DL2297"/>
      <c r="DM2297"/>
      <c r="DN2297"/>
      <c r="DO2297"/>
      <c r="DP2297"/>
      <c r="DQ2297"/>
      <c r="DR2297"/>
      <c r="DS2297"/>
      <c r="DT2297"/>
      <c r="DU2297"/>
      <c r="DV2297"/>
      <c r="DW2297"/>
      <c r="DX2297"/>
      <c r="DY2297"/>
      <c r="DZ2297"/>
      <c r="EA2297"/>
      <c r="EB2297"/>
      <c r="EC2297"/>
      <c r="ED2297"/>
      <c r="EE2297"/>
      <c r="EF2297"/>
      <c r="EG2297"/>
      <c r="EH2297"/>
      <c r="EI2297"/>
      <c r="EJ2297"/>
      <c r="EK2297"/>
      <c r="EL2297"/>
      <c r="EM2297"/>
      <c r="EN2297"/>
      <c r="EO2297"/>
      <c r="EP2297"/>
      <c r="EQ2297"/>
      <c r="ER2297"/>
      <c r="ES2297"/>
    </row>
    <row r="2298" spans="1:149">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c r="CW2298"/>
      <c r="CX2298"/>
      <c r="CY2298"/>
      <c r="CZ2298"/>
      <c r="DA2298"/>
      <c r="DB2298"/>
      <c r="DC2298"/>
      <c r="DD2298"/>
      <c r="DE2298"/>
      <c r="DF2298"/>
      <c r="DG2298"/>
      <c r="DH2298"/>
      <c r="DI2298"/>
      <c r="DJ2298"/>
      <c r="DK2298"/>
      <c r="DL2298"/>
      <c r="DM2298"/>
      <c r="DN2298"/>
      <c r="DO2298"/>
      <c r="DP2298"/>
      <c r="DQ2298"/>
      <c r="DR2298"/>
      <c r="DS2298"/>
      <c r="DT2298"/>
      <c r="DU2298"/>
      <c r="DV2298"/>
      <c r="DW2298"/>
      <c r="DX2298"/>
      <c r="DY2298"/>
      <c r="DZ2298"/>
      <c r="EA2298"/>
      <c r="EB2298"/>
      <c r="EC2298"/>
      <c r="ED2298"/>
      <c r="EE2298"/>
      <c r="EF2298"/>
      <c r="EG2298"/>
      <c r="EH2298"/>
      <c r="EI2298"/>
      <c r="EJ2298"/>
      <c r="EK2298"/>
      <c r="EL2298"/>
      <c r="EM2298"/>
      <c r="EN2298"/>
      <c r="EO2298"/>
      <c r="EP2298"/>
      <c r="EQ2298"/>
      <c r="ER2298"/>
      <c r="ES2298"/>
    </row>
    <row r="2299" spans="1:149">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c r="CW2299"/>
      <c r="CX2299"/>
      <c r="CY2299"/>
      <c r="CZ2299"/>
      <c r="DA2299"/>
      <c r="DB2299"/>
      <c r="DC2299"/>
      <c r="DD2299"/>
      <c r="DE2299"/>
      <c r="DF2299"/>
      <c r="DG2299"/>
      <c r="DH2299"/>
      <c r="DI2299"/>
      <c r="DJ2299"/>
      <c r="DK2299"/>
      <c r="DL2299"/>
      <c r="DM2299"/>
      <c r="DN2299"/>
      <c r="DO2299"/>
      <c r="DP2299"/>
      <c r="DQ2299"/>
      <c r="DR2299"/>
      <c r="DS2299"/>
      <c r="DT2299"/>
      <c r="DU2299"/>
      <c r="DV2299"/>
      <c r="DW2299"/>
      <c r="DX2299"/>
      <c r="DY2299"/>
      <c r="DZ2299"/>
      <c r="EA2299"/>
      <c r="EB2299"/>
      <c r="EC2299"/>
      <c r="ED2299"/>
      <c r="EE2299"/>
      <c r="EF2299"/>
      <c r="EG2299"/>
      <c r="EH2299"/>
      <c r="EI2299"/>
      <c r="EJ2299"/>
      <c r="EK2299"/>
      <c r="EL2299"/>
      <c r="EM2299"/>
      <c r="EN2299"/>
      <c r="EO2299"/>
      <c r="EP2299"/>
      <c r="EQ2299"/>
      <c r="ER2299"/>
      <c r="ES2299"/>
    </row>
    <row r="2300" spans="1:149">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c r="CW2300"/>
      <c r="CX2300"/>
      <c r="CY2300"/>
      <c r="CZ2300"/>
      <c r="DA2300"/>
      <c r="DB2300"/>
      <c r="DC2300"/>
      <c r="DD2300"/>
      <c r="DE2300"/>
      <c r="DF2300"/>
      <c r="DG2300"/>
      <c r="DH2300"/>
      <c r="DI2300"/>
      <c r="DJ2300"/>
      <c r="DK2300"/>
      <c r="DL2300"/>
      <c r="DM2300"/>
      <c r="DN2300"/>
      <c r="DO2300"/>
      <c r="DP2300"/>
      <c r="DQ2300"/>
      <c r="DR2300"/>
      <c r="DS2300"/>
      <c r="DT2300"/>
      <c r="DU2300"/>
      <c r="DV2300"/>
      <c r="DW2300"/>
      <c r="DX2300"/>
      <c r="DY2300"/>
      <c r="DZ2300"/>
      <c r="EA2300"/>
      <c r="EB2300"/>
      <c r="EC2300"/>
      <c r="ED2300"/>
      <c r="EE2300"/>
      <c r="EF2300"/>
      <c r="EG2300"/>
      <c r="EH2300"/>
      <c r="EI2300"/>
      <c r="EJ2300"/>
      <c r="EK2300"/>
      <c r="EL2300"/>
      <c r="EM2300"/>
      <c r="EN2300"/>
      <c r="EO2300"/>
      <c r="EP2300"/>
      <c r="EQ2300"/>
      <c r="ER2300"/>
      <c r="ES2300"/>
    </row>
    <row r="2301" spans="1:149">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c r="CW2301"/>
      <c r="CX2301"/>
      <c r="CY2301"/>
      <c r="CZ2301"/>
      <c r="DA2301"/>
      <c r="DB2301"/>
      <c r="DC2301"/>
      <c r="DD2301"/>
      <c r="DE2301"/>
      <c r="DF2301"/>
      <c r="DG2301"/>
      <c r="DH2301"/>
      <c r="DI2301"/>
      <c r="DJ2301"/>
      <c r="DK2301"/>
      <c r="DL2301"/>
      <c r="DM2301"/>
      <c r="DN2301"/>
      <c r="DO2301"/>
      <c r="DP2301"/>
      <c r="DQ2301"/>
      <c r="DR2301"/>
      <c r="DS2301"/>
      <c r="DT2301"/>
      <c r="DU2301"/>
      <c r="DV2301"/>
      <c r="DW2301"/>
      <c r="DX2301"/>
      <c r="DY2301"/>
      <c r="DZ2301"/>
      <c r="EA2301"/>
      <c r="EB2301"/>
      <c r="EC2301"/>
      <c r="ED2301"/>
      <c r="EE2301"/>
      <c r="EF2301"/>
      <c r="EG2301"/>
      <c r="EH2301"/>
      <c r="EI2301"/>
      <c r="EJ2301"/>
      <c r="EK2301"/>
      <c r="EL2301"/>
      <c r="EM2301"/>
      <c r="EN2301"/>
      <c r="EO2301"/>
      <c r="EP2301"/>
      <c r="EQ2301"/>
      <c r="ER2301"/>
      <c r="ES2301"/>
    </row>
    <row r="2302" spans="1:149">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c r="CW2302"/>
      <c r="CX2302"/>
      <c r="CY2302"/>
      <c r="CZ2302"/>
      <c r="DA2302"/>
      <c r="DB2302"/>
      <c r="DC2302"/>
      <c r="DD2302"/>
      <c r="DE2302"/>
      <c r="DF2302"/>
      <c r="DG2302"/>
      <c r="DH2302"/>
      <c r="DI2302"/>
      <c r="DJ2302"/>
      <c r="DK2302"/>
      <c r="DL2302"/>
      <c r="DM2302"/>
      <c r="DN2302"/>
      <c r="DO2302"/>
      <c r="DP2302"/>
      <c r="DQ2302"/>
      <c r="DR2302"/>
      <c r="DS2302"/>
      <c r="DT2302"/>
      <c r="DU2302"/>
      <c r="DV2302"/>
      <c r="DW2302"/>
      <c r="DX2302"/>
      <c r="DY2302"/>
      <c r="DZ2302"/>
      <c r="EA2302"/>
      <c r="EB2302"/>
      <c r="EC2302"/>
      <c r="ED2302"/>
      <c r="EE2302"/>
      <c r="EF2302"/>
      <c r="EG2302"/>
      <c r="EH2302"/>
      <c r="EI2302"/>
      <c r="EJ2302"/>
      <c r="EK2302"/>
      <c r="EL2302"/>
      <c r="EM2302"/>
      <c r="EN2302"/>
      <c r="EO2302"/>
      <c r="EP2302"/>
      <c r="EQ2302"/>
      <c r="ER2302"/>
      <c r="ES2302"/>
    </row>
    <row r="2303" spans="1:149">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c r="CW2303"/>
      <c r="CX2303"/>
      <c r="CY2303"/>
      <c r="CZ2303"/>
      <c r="DA2303"/>
      <c r="DB2303"/>
      <c r="DC2303"/>
      <c r="DD2303"/>
      <c r="DE2303"/>
      <c r="DF2303"/>
      <c r="DG2303"/>
      <c r="DH2303"/>
      <c r="DI2303"/>
      <c r="DJ2303"/>
      <c r="DK2303"/>
      <c r="DL2303"/>
      <c r="DM2303"/>
      <c r="DN2303"/>
      <c r="DO2303"/>
      <c r="DP2303"/>
      <c r="DQ2303"/>
      <c r="DR2303"/>
      <c r="DS2303"/>
      <c r="DT2303"/>
      <c r="DU2303"/>
      <c r="DV2303"/>
      <c r="DW2303"/>
      <c r="DX2303"/>
      <c r="DY2303"/>
      <c r="DZ2303"/>
      <c r="EA2303"/>
      <c r="EB2303"/>
      <c r="EC2303"/>
      <c r="ED2303"/>
      <c r="EE2303"/>
      <c r="EF2303"/>
      <c r="EG2303"/>
      <c r="EH2303"/>
      <c r="EI2303"/>
      <c r="EJ2303"/>
      <c r="EK2303"/>
      <c r="EL2303"/>
      <c r="EM2303"/>
      <c r="EN2303"/>
      <c r="EO2303"/>
      <c r="EP2303"/>
      <c r="EQ2303"/>
      <c r="ER2303"/>
      <c r="ES2303"/>
    </row>
    <row r="2304" spans="1:149">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c r="CW2304"/>
      <c r="CX2304"/>
      <c r="CY2304"/>
      <c r="CZ2304"/>
      <c r="DA2304"/>
      <c r="DB2304"/>
      <c r="DC2304"/>
      <c r="DD2304"/>
      <c r="DE2304"/>
      <c r="DF2304"/>
      <c r="DG2304"/>
      <c r="DH2304"/>
      <c r="DI2304"/>
      <c r="DJ2304"/>
      <c r="DK2304"/>
      <c r="DL2304"/>
      <c r="DM2304"/>
      <c r="DN2304"/>
      <c r="DO2304"/>
      <c r="DP2304"/>
      <c r="DQ2304"/>
      <c r="DR2304"/>
      <c r="DS2304"/>
      <c r="DT2304"/>
      <c r="DU2304"/>
      <c r="DV2304"/>
      <c r="DW2304"/>
      <c r="DX2304"/>
      <c r="DY2304"/>
      <c r="DZ2304"/>
      <c r="EA2304"/>
      <c r="EB2304"/>
      <c r="EC2304"/>
      <c r="ED2304"/>
      <c r="EE2304"/>
      <c r="EF2304"/>
      <c r="EG2304"/>
      <c r="EH2304"/>
      <c r="EI2304"/>
      <c r="EJ2304"/>
      <c r="EK2304"/>
      <c r="EL2304"/>
      <c r="EM2304"/>
      <c r="EN2304"/>
      <c r="EO2304"/>
      <c r="EP2304"/>
      <c r="EQ2304"/>
      <c r="ER2304"/>
      <c r="ES2304"/>
    </row>
    <row r="2305" spans="1:149">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c r="CW2305"/>
      <c r="CX2305"/>
      <c r="CY2305"/>
      <c r="CZ2305"/>
      <c r="DA2305"/>
      <c r="DB2305"/>
      <c r="DC2305"/>
      <c r="DD2305"/>
      <c r="DE2305"/>
      <c r="DF2305"/>
      <c r="DG2305"/>
      <c r="DH2305"/>
      <c r="DI2305"/>
      <c r="DJ2305"/>
      <c r="DK2305"/>
      <c r="DL2305"/>
      <c r="DM2305"/>
      <c r="DN2305"/>
      <c r="DO2305"/>
      <c r="DP2305"/>
      <c r="DQ2305"/>
      <c r="DR2305"/>
      <c r="DS2305"/>
      <c r="DT2305"/>
      <c r="DU2305"/>
      <c r="DV2305"/>
      <c r="DW2305"/>
      <c r="DX2305"/>
      <c r="DY2305"/>
      <c r="DZ2305"/>
      <c r="EA2305"/>
      <c r="EB2305"/>
      <c r="EC2305"/>
      <c r="ED2305"/>
      <c r="EE2305"/>
      <c r="EF2305"/>
      <c r="EG2305"/>
      <c r="EH2305"/>
      <c r="EI2305"/>
      <c r="EJ2305"/>
      <c r="EK2305"/>
      <c r="EL2305"/>
      <c r="EM2305"/>
      <c r="EN2305"/>
      <c r="EO2305"/>
      <c r="EP2305"/>
      <c r="EQ2305"/>
      <c r="ER2305"/>
      <c r="ES2305"/>
    </row>
    <row r="2306" spans="1:149">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c r="CW2306"/>
      <c r="CX2306"/>
      <c r="CY2306"/>
      <c r="CZ2306"/>
      <c r="DA2306"/>
      <c r="DB2306"/>
      <c r="DC2306"/>
      <c r="DD2306"/>
      <c r="DE2306"/>
      <c r="DF2306"/>
      <c r="DG2306"/>
      <c r="DH2306"/>
      <c r="DI2306"/>
      <c r="DJ2306"/>
      <c r="DK2306"/>
      <c r="DL2306"/>
      <c r="DM2306"/>
      <c r="DN2306"/>
      <c r="DO2306"/>
      <c r="DP2306"/>
      <c r="DQ2306"/>
      <c r="DR2306"/>
      <c r="DS2306"/>
      <c r="DT2306"/>
      <c r="DU2306"/>
      <c r="DV2306"/>
      <c r="DW2306"/>
      <c r="DX2306"/>
      <c r="DY2306"/>
      <c r="DZ2306"/>
      <c r="EA2306"/>
      <c r="EB2306"/>
      <c r="EC2306"/>
      <c r="ED2306"/>
      <c r="EE2306"/>
      <c r="EF2306"/>
      <c r="EG2306"/>
      <c r="EH2306"/>
      <c r="EI2306"/>
      <c r="EJ2306"/>
      <c r="EK2306"/>
      <c r="EL2306"/>
      <c r="EM2306"/>
      <c r="EN2306"/>
      <c r="EO2306"/>
      <c r="EP2306"/>
      <c r="EQ2306"/>
      <c r="ER2306"/>
      <c r="ES2306"/>
    </row>
    <row r="2307" spans="1:149">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c r="CW2307"/>
      <c r="CX2307"/>
      <c r="CY2307"/>
      <c r="CZ2307"/>
      <c r="DA2307"/>
      <c r="DB2307"/>
      <c r="DC2307"/>
      <c r="DD2307"/>
      <c r="DE2307"/>
      <c r="DF2307"/>
      <c r="DG2307"/>
      <c r="DH2307"/>
      <c r="DI2307"/>
      <c r="DJ2307"/>
      <c r="DK2307"/>
      <c r="DL2307"/>
      <c r="DM2307"/>
      <c r="DN2307"/>
      <c r="DO2307"/>
      <c r="DP2307"/>
      <c r="DQ2307"/>
      <c r="DR2307"/>
      <c r="DS2307"/>
      <c r="DT2307"/>
      <c r="DU2307"/>
      <c r="DV2307"/>
      <c r="DW2307"/>
      <c r="DX2307"/>
      <c r="DY2307"/>
      <c r="DZ2307"/>
      <c r="EA2307"/>
      <c r="EB2307"/>
      <c r="EC2307"/>
      <c r="ED2307"/>
      <c r="EE2307"/>
      <c r="EF2307"/>
      <c r="EG2307"/>
      <c r="EH2307"/>
      <c r="EI2307"/>
      <c r="EJ2307"/>
      <c r="EK2307"/>
      <c r="EL2307"/>
      <c r="EM2307"/>
      <c r="EN2307"/>
      <c r="EO2307"/>
      <c r="EP2307"/>
      <c r="EQ2307"/>
      <c r="ER2307"/>
      <c r="ES2307"/>
    </row>
    <row r="2308" spans="1:149">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c r="CW2308"/>
      <c r="CX2308"/>
      <c r="CY2308"/>
      <c r="CZ2308"/>
      <c r="DA2308"/>
      <c r="DB2308"/>
      <c r="DC2308"/>
      <c r="DD2308"/>
      <c r="DE2308"/>
      <c r="DF2308"/>
      <c r="DG2308"/>
      <c r="DH2308"/>
      <c r="DI2308"/>
      <c r="DJ2308"/>
      <c r="DK2308"/>
      <c r="DL2308"/>
      <c r="DM2308"/>
      <c r="DN2308"/>
      <c r="DO2308"/>
      <c r="DP2308"/>
      <c r="DQ2308"/>
      <c r="DR2308"/>
      <c r="DS2308"/>
      <c r="DT2308"/>
      <c r="DU2308"/>
      <c r="DV2308"/>
      <c r="DW2308"/>
      <c r="DX2308"/>
      <c r="DY2308"/>
      <c r="DZ2308"/>
      <c r="EA2308"/>
      <c r="EB2308"/>
      <c r="EC2308"/>
      <c r="ED2308"/>
      <c r="EE2308"/>
      <c r="EF2308"/>
      <c r="EG2308"/>
      <c r="EH2308"/>
      <c r="EI2308"/>
      <c r="EJ2308"/>
      <c r="EK2308"/>
      <c r="EL2308"/>
      <c r="EM2308"/>
      <c r="EN2308"/>
      <c r="EO2308"/>
      <c r="EP2308"/>
      <c r="EQ2308"/>
      <c r="ER2308"/>
      <c r="ES2308"/>
    </row>
    <row r="2309" spans="1:149">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c r="CW2309"/>
      <c r="CX2309"/>
      <c r="CY2309"/>
      <c r="CZ2309"/>
      <c r="DA2309"/>
      <c r="DB2309"/>
      <c r="DC2309"/>
      <c r="DD2309"/>
      <c r="DE2309"/>
      <c r="DF2309"/>
      <c r="DG2309"/>
      <c r="DH2309"/>
      <c r="DI2309"/>
      <c r="DJ2309"/>
      <c r="DK2309"/>
      <c r="DL2309"/>
      <c r="DM2309"/>
      <c r="DN2309"/>
      <c r="DO2309"/>
      <c r="DP2309"/>
      <c r="DQ2309"/>
      <c r="DR2309"/>
      <c r="DS2309"/>
      <c r="DT2309"/>
      <c r="DU2309"/>
      <c r="DV2309"/>
      <c r="DW2309"/>
      <c r="DX2309"/>
      <c r="DY2309"/>
      <c r="DZ2309"/>
      <c r="EA2309"/>
      <c r="EB2309"/>
      <c r="EC2309"/>
      <c r="ED2309"/>
      <c r="EE2309"/>
      <c r="EF2309"/>
      <c r="EG2309"/>
      <c r="EH2309"/>
      <c r="EI2309"/>
      <c r="EJ2309"/>
      <c r="EK2309"/>
      <c r="EL2309"/>
      <c r="EM2309"/>
      <c r="EN2309"/>
      <c r="EO2309"/>
      <c r="EP2309"/>
      <c r="EQ2309"/>
      <c r="ER2309"/>
      <c r="ES2309"/>
    </row>
    <row r="2310" spans="1:149">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c r="CW2310"/>
      <c r="CX2310"/>
      <c r="CY2310"/>
      <c r="CZ2310"/>
      <c r="DA2310"/>
      <c r="DB2310"/>
      <c r="DC2310"/>
      <c r="DD2310"/>
      <c r="DE2310"/>
      <c r="DF2310"/>
      <c r="DG2310"/>
      <c r="DH2310"/>
      <c r="DI2310"/>
      <c r="DJ2310"/>
      <c r="DK2310"/>
      <c r="DL2310"/>
      <c r="DM2310"/>
      <c r="DN2310"/>
      <c r="DO2310"/>
      <c r="DP2310"/>
      <c r="DQ2310"/>
      <c r="DR2310"/>
      <c r="DS2310"/>
      <c r="DT2310"/>
      <c r="DU2310"/>
      <c r="DV2310"/>
      <c r="DW2310"/>
      <c r="DX2310"/>
      <c r="DY2310"/>
      <c r="DZ2310"/>
      <c r="EA2310"/>
      <c r="EB2310"/>
      <c r="EC2310"/>
      <c r="ED2310"/>
      <c r="EE2310"/>
      <c r="EF2310"/>
      <c r="EG2310"/>
      <c r="EH2310"/>
      <c r="EI2310"/>
      <c r="EJ2310"/>
      <c r="EK2310"/>
      <c r="EL2310"/>
      <c r="EM2310"/>
      <c r="EN2310"/>
      <c r="EO2310"/>
      <c r="EP2310"/>
      <c r="EQ2310"/>
      <c r="ER2310"/>
      <c r="ES2310"/>
    </row>
    <row r="2311" spans="1:149">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c r="CW2311"/>
      <c r="CX2311"/>
      <c r="CY2311"/>
      <c r="CZ2311"/>
      <c r="DA2311"/>
      <c r="DB2311"/>
      <c r="DC2311"/>
      <c r="DD2311"/>
      <c r="DE2311"/>
      <c r="DF2311"/>
      <c r="DG2311"/>
      <c r="DH2311"/>
      <c r="DI2311"/>
      <c r="DJ2311"/>
      <c r="DK2311"/>
      <c r="DL2311"/>
      <c r="DM2311"/>
      <c r="DN2311"/>
      <c r="DO2311"/>
      <c r="DP2311"/>
      <c r="DQ2311"/>
      <c r="DR2311"/>
      <c r="DS2311"/>
      <c r="DT2311"/>
      <c r="DU2311"/>
      <c r="DV2311"/>
      <c r="DW2311"/>
      <c r="DX2311"/>
      <c r="DY2311"/>
      <c r="DZ2311"/>
      <c r="EA2311"/>
      <c r="EB2311"/>
      <c r="EC2311"/>
      <c r="ED2311"/>
      <c r="EE2311"/>
      <c r="EF2311"/>
      <c r="EG2311"/>
      <c r="EH2311"/>
      <c r="EI2311"/>
      <c r="EJ2311"/>
      <c r="EK2311"/>
      <c r="EL2311"/>
      <c r="EM2311"/>
      <c r="EN2311"/>
      <c r="EO2311"/>
      <c r="EP2311"/>
      <c r="EQ2311"/>
      <c r="ER2311"/>
      <c r="ES2311"/>
    </row>
    <row r="2312" spans="1:149">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c r="CW2312"/>
      <c r="CX2312"/>
      <c r="CY2312"/>
      <c r="CZ2312"/>
      <c r="DA2312"/>
      <c r="DB2312"/>
      <c r="DC2312"/>
      <c r="DD2312"/>
      <c r="DE2312"/>
      <c r="DF2312"/>
      <c r="DG2312"/>
      <c r="DH2312"/>
      <c r="DI2312"/>
      <c r="DJ2312"/>
      <c r="DK2312"/>
      <c r="DL2312"/>
      <c r="DM2312"/>
      <c r="DN2312"/>
      <c r="DO2312"/>
      <c r="DP2312"/>
      <c r="DQ2312"/>
      <c r="DR2312"/>
      <c r="DS2312"/>
      <c r="DT2312"/>
      <c r="DU2312"/>
      <c r="DV2312"/>
      <c r="DW2312"/>
      <c r="DX2312"/>
      <c r="DY2312"/>
      <c r="DZ2312"/>
      <c r="EA2312"/>
      <c r="EB2312"/>
      <c r="EC2312"/>
      <c r="ED2312"/>
      <c r="EE2312"/>
      <c r="EF2312"/>
      <c r="EG2312"/>
      <c r="EH2312"/>
      <c r="EI2312"/>
      <c r="EJ2312"/>
      <c r="EK2312"/>
      <c r="EL2312"/>
      <c r="EM2312"/>
      <c r="EN2312"/>
      <c r="EO2312"/>
      <c r="EP2312"/>
      <c r="EQ2312"/>
      <c r="ER2312"/>
      <c r="ES2312"/>
    </row>
    <row r="2313" spans="1:149">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c r="CW2313"/>
      <c r="CX2313"/>
      <c r="CY2313"/>
      <c r="CZ2313"/>
      <c r="DA2313"/>
      <c r="DB2313"/>
      <c r="DC2313"/>
      <c r="DD2313"/>
      <c r="DE2313"/>
      <c r="DF2313"/>
      <c r="DG2313"/>
      <c r="DH2313"/>
      <c r="DI2313"/>
      <c r="DJ2313"/>
      <c r="DK2313"/>
      <c r="DL2313"/>
      <c r="DM2313"/>
      <c r="DN2313"/>
      <c r="DO2313"/>
      <c r="DP2313"/>
      <c r="DQ2313"/>
      <c r="DR2313"/>
      <c r="DS2313"/>
      <c r="DT2313"/>
      <c r="DU2313"/>
      <c r="DV2313"/>
      <c r="DW2313"/>
      <c r="DX2313"/>
      <c r="DY2313"/>
      <c r="DZ2313"/>
      <c r="EA2313"/>
      <c r="EB2313"/>
      <c r="EC2313"/>
      <c r="ED2313"/>
      <c r="EE2313"/>
      <c r="EF2313"/>
      <c r="EG2313"/>
      <c r="EH2313"/>
      <c r="EI2313"/>
      <c r="EJ2313"/>
      <c r="EK2313"/>
      <c r="EL2313"/>
      <c r="EM2313"/>
      <c r="EN2313"/>
      <c r="EO2313"/>
      <c r="EP2313"/>
      <c r="EQ2313"/>
      <c r="ER2313"/>
      <c r="ES2313"/>
    </row>
    <row r="2314" spans="1:149">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c r="CW2314"/>
      <c r="CX2314"/>
      <c r="CY2314"/>
      <c r="CZ2314"/>
      <c r="DA2314"/>
      <c r="DB2314"/>
      <c r="DC2314"/>
      <c r="DD2314"/>
      <c r="DE2314"/>
      <c r="DF2314"/>
      <c r="DG2314"/>
      <c r="DH2314"/>
      <c r="DI2314"/>
      <c r="DJ2314"/>
      <c r="DK2314"/>
      <c r="DL2314"/>
      <c r="DM2314"/>
      <c r="DN2314"/>
      <c r="DO2314"/>
      <c r="DP2314"/>
      <c r="DQ2314"/>
      <c r="DR2314"/>
      <c r="DS2314"/>
      <c r="DT2314"/>
      <c r="DU2314"/>
      <c r="DV2314"/>
      <c r="DW2314"/>
      <c r="DX2314"/>
      <c r="DY2314"/>
      <c r="DZ2314"/>
      <c r="EA2314"/>
      <c r="EB2314"/>
      <c r="EC2314"/>
      <c r="ED2314"/>
      <c r="EE2314"/>
      <c r="EF2314"/>
      <c r="EG2314"/>
      <c r="EH2314"/>
      <c r="EI2314"/>
      <c r="EJ2314"/>
      <c r="EK2314"/>
      <c r="EL2314"/>
      <c r="EM2314"/>
      <c r="EN2314"/>
      <c r="EO2314"/>
      <c r="EP2314"/>
      <c r="EQ2314"/>
      <c r="ER2314"/>
      <c r="ES2314"/>
    </row>
    <row r="2315" spans="1:149">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c r="CW2315"/>
      <c r="CX2315"/>
      <c r="CY2315"/>
      <c r="CZ2315"/>
      <c r="DA2315"/>
      <c r="DB2315"/>
      <c r="DC2315"/>
      <c r="DD2315"/>
      <c r="DE2315"/>
      <c r="DF2315"/>
      <c r="DG2315"/>
      <c r="DH2315"/>
      <c r="DI2315"/>
      <c r="DJ2315"/>
      <c r="DK2315"/>
      <c r="DL2315"/>
      <c r="DM2315"/>
      <c r="DN2315"/>
      <c r="DO2315"/>
      <c r="DP2315"/>
      <c r="DQ2315"/>
      <c r="DR2315"/>
      <c r="DS2315"/>
      <c r="DT2315"/>
      <c r="DU2315"/>
      <c r="DV2315"/>
      <c r="DW2315"/>
      <c r="DX2315"/>
      <c r="DY2315"/>
      <c r="DZ2315"/>
      <c r="EA2315"/>
      <c r="EB2315"/>
      <c r="EC2315"/>
      <c r="ED2315"/>
      <c r="EE2315"/>
      <c r="EF2315"/>
      <c r="EG2315"/>
      <c r="EH2315"/>
      <c r="EI2315"/>
      <c r="EJ2315"/>
      <c r="EK2315"/>
      <c r="EL2315"/>
      <c r="EM2315"/>
      <c r="EN2315"/>
      <c r="EO2315"/>
      <c r="EP2315"/>
      <c r="EQ2315"/>
      <c r="ER2315"/>
      <c r="ES2315"/>
    </row>
    <row r="2316" spans="1:149">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c r="CW2316"/>
      <c r="CX2316"/>
      <c r="CY2316"/>
      <c r="CZ2316"/>
      <c r="DA2316"/>
      <c r="DB2316"/>
      <c r="DC2316"/>
      <c r="DD2316"/>
      <c r="DE2316"/>
      <c r="DF2316"/>
      <c r="DG2316"/>
      <c r="DH2316"/>
      <c r="DI2316"/>
      <c r="DJ2316"/>
      <c r="DK2316"/>
      <c r="DL2316"/>
      <c r="DM2316"/>
      <c r="DN2316"/>
      <c r="DO2316"/>
      <c r="DP2316"/>
      <c r="DQ2316"/>
      <c r="DR2316"/>
      <c r="DS2316"/>
      <c r="DT2316"/>
      <c r="DU2316"/>
      <c r="DV2316"/>
      <c r="DW2316"/>
      <c r="DX2316"/>
      <c r="DY2316"/>
      <c r="DZ2316"/>
      <c r="EA2316"/>
      <c r="EB2316"/>
      <c r="EC2316"/>
      <c r="ED2316"/>
      <c r="EE2316"/>
      <c r="EF2316"/>
      <c r="EG2316"/>
      <c r="EH2316"/>
      <c r="EI2316"/>
      <c r="EJ2316"/>
      <c r="EK2316"/>
      <c r="EL2316"/>
      <c r="EM2316"/>
      <c r="EN2316"/>
      <c r="EO2316"/>
      <c r="EP2316"/>
      <c r="EQ2316"/>
      <c r="ER2316"/>
      <c r="ES2316"/>
    </row>
  </sheetData>
  <protectedRanges>
    <protectedRange sqref="H94:H95 E94:E95" name="Range1"/>
  </protectedRanges>
  <phoneticPr fontId="0" type="noConversion"/>
  <conditionalFormatting sqref="AC303:AG303 C303:G303 C282:G282 C164:G164 C160:G160 AC282:AG282 H281:O282">
    <cfRule type="cellIs" dxfId="8" priority="1" stopIfTrue="1" operator="equal">
      <formula>-9999</formula>
    </cfRule>
  </conditionalFormatting>
  <conditionalFormatting sqref="AT101:BF280">
    <cfRule type="cellIs" dxfId="7" priority="2" stopIfTrue="1" operator="notEqual">
      <formula>0</formula>
    </cfRule>
  </conditionalFormatting>
  <pageMargins left="0.31" right="0.25" top="0.59055118110236227" bottom="0.55000000000000004" header="0.51181102362204722" footer="0.31"/>
  <pageSetup paperSize="9" scale="20" fitToHeight="9" orientation="landscape" horizontalDpi="1200" verticalDpi="1200" r:id="rId1"/>
  <headerFooter alignWithMargins="0">
    <oddFooter>&amp;L&amp;F  &amp;A&amp;CPage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TransferMatrixMacroFDMS.Transfer_forecast">
                <anchor moveWithCells="1" sizeWithCells="1">
                  <from>
                    <xdr:col>8</xdr:col>
                    <xdr:colOff>95250</xdr:colOff>
                    <xdr:row>92</xdr:row>
                    <xdr:rowOff>0</xdr:rowOff>
                  </from>
                  <to>
                    <xdr:col>9</xdr:col>
                    <xdr:colOff>285750</xdr:colOff>
                    <xdr:row>95</xdr:row>
                    <xdr:rowOff>9525</xdr:rowOff>
                  </to>
                </anchor>
              </controlPr>
            </control>
          </mc:Choice>
        </mc:AlternateContent>
        <mc:AlternateContent xmlns:mc="http://schemas.openxmlformats.org/markup-compatibility/2006">
          <mc:Choice Requires="x14">
            <control shapeId="17416" r:id="rId5" name="Button 8">
              <controlPr defaultSize="0" print="0" autoFill="0" autoPict="0" macro="[0]!Save_Values">
                <anchor moveWithCells="1" sizeWithCells="1">
                  <from>
                    <xdr:col>9</xdr:col>
                    <xdr:colOff>352425</xdr:colOff>
                    <xdr:row>92</xdr:row>
                    <xdr:rowOff>0</xdr:rowOff>
                  </from>
                  <to>
                    <xdr:col>10</xdr:col>
                    <xdr:colOff>542925</xdr:colOff>
                    <xdr:row>95</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A89"/>
  <sheetViews>
    <sheetView workbookViewId="0">
      <selection sqref="A1:M1"/>
    </sheetView>
  </sheetViews>
  <sheetFormatPr defaultRowHeight="12.75"/>
  <cols>
    <col min="1" max="1" width="20" customWidth="1"/>
    <col min="2" max="2" width="92.85546875" style="3616" customWidth="1"/>
    <col min="3" max="5" width="7.5703125" style="3616" customWidth="1"/>
    <col min="6" max="7" width="7" style="3616" customWidth="1"/>
    <col min="8" max="9" width="6.5703125" style="3616" customWidth="1"/>
    <col min="10" max="14" width="5" style="3616" customWidth="1"/>
    <col min="15" max="15" width="92.85546875" style="3616" customWidth="1"/>
    <col min="16" max="18" width="7.5703125" style="3616" customWidth="1"/>
    <col min="19" max="19" width="7" style="3616" customWidth="1"/>
    <col min="20" max="21" width="6.5703125" style="3616" customWidth="1"/>
    <col min="22" max="27" width="5" style="3616" customWidth="1"/>
    <col min="28" max="28" width="92.85546875" style="3606" customWidth="1"/>
    <col min="29" max="31" width="7.5703125" style="3606" customWidth="1"/>
    <col min="32" max="32" width="7" style="3606" customWidth="1"/>
    <col min="33" max="34" width="6.5703125" style="3606" customWidth="1"/>
    <col min="35" max="40" width="5" style="3606" customWidth="1"/>
    <col min="41" max="41" width="92.85546875" customWidth="1"/>
    <col min="42" max="44" width="6.5703125" customWidth="1"/>
    <col min="45" max="45" width="6" customWidth="1"/>
    <col min="46" max="53" width="5" customWidth="1"/>
    <col min="54" max="54" width="92.85546875" customWidth="1"/>
    <col min="55" max="57" width="7.5703125" customWidth="1"/>
    <col min="58" max="58" width="7" customWidth="1"/>
    <col min="59" max="59" width="6.5703125" customWidth="1"/>
    <col min="60" max="66" width="5" customWidth="1"/>
    <col min="67" max="67" width="92.85546875" customWidth="1"/>
    <col min="68" max="70" width="7.5703125" customWidth="1"/>
    <col min="71" max="71" width="7" customWidth="1"/>
    <col min="72" max="72" width="6.5703125" customWidth="1"/>
    <col min="73" max="79" width="5" customWidth="1"/>
    <col min="80" max="80" width="92.85546875" customWidth="1"/>
    <col min="81" max="83" width="6.5703125" customWidth="1"/>
    <col min="84" max="84" width="6" customWidth="1"/>
    <col min="85" max="92" width="5" customWidth="1"/>
    <col min="93" max="93" width="92.85546875" customWidth="1"/>
    <col min="94" max="96" width="7.7109375" bestFit="1" customWidth="1"/>
    <col min="97" max="97" width="6.7109375" bestFit="1" customWidth="1"/>
    <col min="98" max="105" width="5" bestFit="1" customWidth="1"/>
  </cols>
  <sheetData>
    <row r="1" spans="1:79" ht="12.75" customHeight="1">
      <c r="A1" s="3788" t="s">
        <v>2607</v>
      </c>
      <c r="B1" s="3788"/>
      <c r="C1" s="3788"/>
      <c r="D1" s="3788"/>
      <c r="E1" s="3788"/>
      <c r="F1" s="3788"/>
      <c r="G1" s="3788"/>
      <c r="H1" s="3788"/>
      <c r="I1" s="3788"/>
      <c r="J1" s="3788"/>
      <c r="K1" s="3788"/>
      <c r="L1" s="3788"/>
      <c r="M1" s="3788"/>
      <c r="N1" s="3728"/>
      <c r="O1"/>
      <c r="P1"/>
      <c r="Q1"/>
      <c r="R1"/>
      <c r="S1"/>
      <c r="T1"/>
      <c r="U1"/>
      <c r="V1"/>
      <c r="W1"/>
      <c r="X1"/>
      <c r="Y1"/>
      <c r="Z1"/>
      <c r="AA1"/>
      <c r="AB1"/>
      <c r="AC1"/>
      <c r="AD1"/>
      <c r="AE1"/>
      <c r="AF1"/>
      <c r="AG1"/>
      <c r="AH1"/>
      <c r="AI1"/>
      <c r="AJ1"/>
      <c r="AK1"/>
      <c r="AL1"/>
      <c r="AM1"/>
      <c r="AN1"/>
    </row>
    <row r="2" spans="1:79">
      <c r="A2" s="3434" t="s">
        <v>2432</v>
      </c>
      <c r="B2" s="3434" t="s">
        <v>2433</v>
      </c>
      <c r="C2" s="3434">
        <v>2014</v>
      </c>
      <c r="D2" s="3434">
        <v>2015</v>
      </c>
      <c r="E2" s="3434">
        <v>2016</v>
      </c>
      <c r="F2" s="3434">
        <v>2017</v>
      </c>
      <c r="G2" s="3434">
        <v>2018</v>
      </c>
      <c r="H2" s="3434">
        <v>2019</v>
      </c>
      <c r="I2" s="3434">
        <v>2020</v>
      </c>
      <c r="J2" s="3434">
        <v>2021</v>
      </c>
      <c r="K2" s="3434">
        <v>2022</v>
      </c>
      <c r="L2" s="3434">
        <v>2023</v>
      </c>
      <c r="M2" s="3434">
        <v>2024</v>
      </c>
      <c r="N2" s="3434">
        <v>2025</v>
      </c>
      <c r="O2"/>
      <c r="P2"/>
      <c r="Q2"/>
      <c r="R2"/>
      <c r="S2"/>
      <c r="T2"/>
      <c r="U2"/>
      <c r="V2"/>
      <c r="W2"/>
      <c r="X2"/>
      <c r="Y2"/>
      <c r="Z2"/>
      <c r="AA2"/>
      <c r="AB2"/>
      <c r="AC2"/>
      <c r="AD2"/>
      <c r="AE2"/>
      <c r="AF2"/>
      <c r="AG2"/>
      <c r="AH2"/>
      <c r="AI2"/>
      <c r="AJ2"/>
      <c r="AK2"/>
      <c r="AL2"/>
      <c r="AM2"/>
      <c r="AN2"/>
    </row>
    <row r="3" spans="1:79">
      <c r="A3" s="3435" t="s">
        <v>2518</v>
      </c>
      <c r="B3" s="3435" t="s">
        <v>2519</v>
      </c>
      <c r="C3" s="3435">
        <v>0.55700000000000005</v>
      </c>
      <c r="D3" s="3435">
        <v>0.2414</v>
      </c>
      <c r="E3" s="3435">
        <v>0.113</v>
      </c>
      <c r="F3" s="3435">
        <v>0.104</v>
      </c>
      <c r="G3" s="3435">
        <v>8.8999999999999996E-2</v>
      </c>
      <c r="H3" s="3435">
        <v>7.8E-2</v>
      </c>
      <c r="I3" s="3435">
        <v>0</v>
      </c>
      <c r="J3" s="3435">
        <v>0</v>
      </c>
      <c r="K3" s="3435">
        <v>0</v>
      </c>
      <c r="L3" s="3435">
        <v>0</v>
      </c>
      <c r="M3" s="3435">
        <v>0</v>
      </c>
      <c r="N3" s="3435">
        <v>0</v>
      </c>
      <c r="O3"/>
      <c r="P3"/>
      <c r="Q3"/>
      <c r="R3"/>
      <c r="S3"/>
      <c r="T3"/>
      <c r="U3"/>
      <c r="V3"/>
      <c r="W3"/>
      <c r="X3"/>
      <c r="Y3"/>
      <c r="Z3"/>
      <c r="AA3"/>
      <c r="AB3"/>
      <c r="AC3"/>
      <c r="AD3"/>
      <c r="AE3"/>
      <c r="AF3"/>
      <c r="AG3"/>
      <c r="AH3"/>
      <c r="AI3"/>
      <c r="AJ3"/>
      <c r="AK3"/>
      <c r="AL3"/>
      <c r="AM3"/>
      <c r="AN3"/>
    </row>
    <row r="4" spans="1:79">
      <c r="A4" s="3435" t="s">
        <v>2520</v>
      </c>
      <c r="B4" s="3435" t="s">
        <v>2521</v>
      </c>
      <c r="C4" s="3435">
        <v>-0.41089999999999999</v>
      </c>
      <c r="D4" s="3435">
        <v>-0.18959999999999999</v>
      </c>
      <c r="E4" s="3435">
        <v>-0.08</v>
      </c>
      <c r="F4" s="3435">
        <v>-6.3E-2</v>
      </c>
      <c r="G4" s="3435">
        <v>-6.2E-2</v>
      </c>
      <c r="H4" s="3435">
        <v>-0.04</v>
      </c>
      <c r="I4" s="3435">
        <v>0</v>
      </c>
      <c r="J4" s="3435">
        <v>0</v>
      </c>
      <c r="K4" s="3435">
        <v>0</v>
      </c>
      <c r="L4" s="3435">
        <v>0</v>
      </c>
      <c r="M4" s="3435">
        <v>0</v>
      </c>
      <c r="N4" s="3435">
        <v>0</v>
      </c>
      <c r="O4"/>
      <c r="P4"/>
      <c r="Q4"/>
      <c r="R4"/>
      <c r="S4"/>
      <c r="T4"/>
      <c r="U4"/>
      <c r="V4"/>
      <c r="W4"/>
      <c r="X4"/>
      <c r="Y4"/>
      <c r="Z4"/>
      <c r="AA4"/>
      <c r="AB4"/>
      <c r="AC4"/>
      <c r="AD4"/>
      <c r="AE4"/>
      <c r="AF4"/>
      <c r="AG4"/>
      <c r="AH4"/>
      <c r="AI4"/>
      <c r="AJ4"/>
      <c r="AK4"/>
      <c r="AL4"/>
      <c r="AM4"/>
      <c r="AN4"/>
    </row>
    <row r="5" spans="1:79">
      <c r="A5" s="3435" t="s">
        <v>2522</v>
      </c>
      <c r="B5" s="3435" t="s">
        <v>2523</v>
      </c>
      <c r="C5" s="3435">
        <v>0.3841</v>
      </c>
      <c r="D5" s="3435">
        <v>-0.2419</v>
      </c>
      <c r="E5" s="3435">
        <v>0.25509999999999999</v>
      </c>
      <c r="F5" s="3435">
        <v>0.3417</v>
      </c>
      <c r="G5" s="3435">
        <v>0</v>
      </c>
      <c r="H5" s="3435">
        <v>0</v>
      </c>
      <c r="I5" s="3435">
        <v>0</v>
      </c>
      <c r="J5" s="3435">
        <v>0</v>
      </c>
      <c r="K5" s="3435">
        <v>0</v>
      </c>
      <c r="L5" s="3435">
        <v>0</v>
      </c>
      <c r="M5" s="3435">
        <v>0</v>
      </c>
      <c r="N5" s="3435">
        <v>0</v>
      </c>
      <c r="O5"/>
      <c r="P5"/>
      <c r="Q5"/>
      <c r="R5"/>
      <c r="S5"/>
      <c r="T5"/>
      <c r="U5"/>
      <c r="V5"/>
      <c r="W5"/>
      <c r="X5"/>
      <c r="Y5"/>
      <c r="Z5"/>
      <c r="AA5"/>
      <c r="AB5"/>
      <c r="AC5"/>
      <c r="AD5"/>
      <c r="AE5"/>
      <c r="AF5"/>
      <c r="AG5"/>
      <c r="AH5"/>
      <c r="AI5"/>
      <c r="AJ5"/>
      <c r="AK5"/>
      <c r="AL5"/>
      <c r="AM5"/>
      <c r="AN5"/>
    </row>
    <row r="6" spans="1:79">
      <c r="A6" s="3435" t="s">
        <v>2524</v>
      </c>
      <c r="B6" s="3435" t="s">
        <v>2525</v>
      </c>
      <c r="C6" s="3435">
        <v>-2.35E-2</v>
      </c>
      <c r="D6" s="3435">
        <v>7.5899999999999995E-2</v>
      </c>
      <c r="E6" s="3435">
        <v>9.3899999999999997E-2</v>
      </c>
      <c r="F6" s="3435">
        <v>5.4199999999999998E-2</v>
      </c>
      <c r="G6" s="3435">
        <v>0.1875</v>
      </c>
      <c r="H6" s="3435">
        <v>0</v>
      </c>
      <c r="I6" s="3435">
        <v>0</v>
      </c>
      <c r="J6" s="3435">
        <v>0</v>
      </c>
      <c r="K6" s="3435">
        <v>0</v>
      </c>
      <c r="L6" s="3435">
        <v>0</v>
      </c>
      <c r="M6" s="3435">
        <v>0</v>
      </c>
      <c r="N6" s="3435">
        <v>0</v>
      </c>
      <c r="O6"/>
      <c r="P6"/>
      <c r="Q6"/>
      <c r="R6"/>
      <c r="S6"/>
      <c r="T6"/>
      <c r="U6"/>
      <c r="V6"/>
      <c r="W6"/>
      <c r="X6"/>
      <c r="Y6"/>
      <c r="Z6"/>
      <c r="AA6"/>
      <c r="AB6"/>
      <c r="AC6"/>
      <c r="AD6"/>
      <c r="AE6"/>
      <c r="AF6"/>
      <c r="AG6"/>
      <c r="AH6"/>
      <c r="AI6"/>
      <c r="AJ6"/>
      <c r="AK6"/>
      <c r="AL6"/>
      <c r="AM6"/>
      <c r="AN6"/>
    </row>
    <row r="7" spans="1:79">
      <c r="A7" s="3435" t="s">
        <v>2526</v>
      </c>
      <c r="B7" s="3435" t="s">
        <v>2527</v>
      </c>
      <c r="C7" s="3435">
        <v>-0.22120000000000001</v>
      </c>
      <c r="D7" s="3435">
        <v>8.0699999999999994E-2</v>
      </c>
      <c r="E7" s="3435">
        <v>-0.1096</v>
      </c>
      <c r="F7" s="3435">
        <v>-1.7000000000000001E-2</v>
      </c>
      <c r="G7" s="3435">
        <v>-1E-3</v>
      </c>
      <c r="H7" s="3435">
        <v>-2.1999999999999999E-2</v>
      </c>
      <c r="I7" s="3435">
        <v>-0.04</v>
      </c>
      <c r="J7" s="3435">
        <v>0</v>
      </c>
      <c r="K7" s="3435">
        <v>0</v>
      </c>
      <c r="L7" s="3435">
        <v>0</v>
      </c>
      <c r="M7" s="3435">
        <v>0</v>
      </c>
      <c r="N7" s="3435">
        <v>0</v>
      </c>
      <c r="O7"/>
      <c r="P7"/>
      <c r="Q7"/>
      <c r="R7"/>
      <c r="S7"/>
      <c r="T7"/>
      <c r="U7"/>
      <c r="V7"/>
      <c r="W7"/>
      <c r="X7"/>
      <c r="Y7"/>
      <c r="Z7"/>
      <c r="AA7"/>
      <c r="AB7"/>
      <c r="AC7"/>
      <c r="AD7"/>
      <c r="AE7"/>
      <c r="AF7"/>
      <c r="AG7"/>
      <c r="AH7"/>
      <c r="AI7"/>
      <c r="AJ7"/>
      <c r="AK7"/>
      <c r="AL7"/>
      <c r="AM7"/>
      <c r="AN7"/>
    </row>
    <row r="8" spans="1:79" ht="12.75" customHeight="1">
      <c r="A8" s="3435" t="s">
        <v>2528</v>
      </c>
      <c r="B8" s="3435" t="s">
        <v>2529</v>
      </c>
      <c r="C8" s="3435">
        <v>0.36470000000000002</v>
      </c>
      <c r="D8" s="3435">
        <v>-0.26829999999999998</v>
      </c>
      <c r="E8" s="3435">
        <v>-0.12839999999999999</v>
      </c>
      <c r="F8" s="3435">
        <v>-8.9999999999999993E-3</v>
      </c>
      <c r="G8" s="3435">
        <v>-1.4999999999999999E-2</v>
      </c>
      <c r="H8" s="3435">
        <v>-1.0999999999999999E-2</v>
      </c>
      <c r="I8" s="3435">
        <v>-7.8E-2</v>
      </c>
      <c r="J8" s="3435">
        <v>0</v>
      </c>
      <c r="K8" s="3435">
        <v>0</v>
      </c>
      <c r="L8" s="3435">
        <v>0</v>
      </c>
      <c r="M8" s="3435">
        <v>0</v>
      </c>
      <c r="N8" s="3435">
        <v>0</v>
      </c>
      <c r="O8"/>
      <c r="P8"/>
      <c r="Q8"/>
      <c r="R8"/>
      <c r="S8"/>
      <c r="T8"/>
      <c r="U8"/>
      <c r="V8"/>
      <c r="W8"/>
      <c r="X8"/>
      <c r="Y8"/>
      <c r="Z8"/>
      <c r="AA8"/>
      <c r="AB8"/>
      <c r="AC8"/>
      <c r="AD8"/>
      <c r="AE8"/>
      <c r="AF8"/>
      <c r="AG8"/>
      <c r="AH8"/>
      <c r="AI8"/>
      <c r="AJ8"/>
      <c r="AK8"/>
      <c r="AL8"/>
      <c r="AM8"/>
      <c r="AN8"/>
    </row>
    <row r="9" spans="1:79">
      <c r="A9" s="3434" t="s">
        <v>2432</v>
      </c>
      <c r="B9" s="3434" t="s">
        <v>2433</v>
      </c>
      <c r="C9" s="3434">
        <v>2014</v>
      </c>
      <c r="D9" s="3434">
        <v>2015</v>
      </c>
      <c r="E9" s="3434">
        <v>2016</v>
      </c>
      <c r="F9" s="3434">
        <v>2017</v>
      </c>
      <c r="G9" s="3434">
        <v>2018</v>
      </c>
      <c r="H9" s="3434">
        <v>2019</v>
      </c>
      <c r="I9" s="3434">
        <v>2020</v>
      </c>
      <c r="J9" s="3434">
        <v>2021</v>
      </c>
      <c r="K9" s="3434">
        <v>2022</v>
      </c>
      <c r="L9" s="3434">
        <v>2023</v>
      </c>
      <c r="M9" s="3434">
        <v>2024</v>
      </c>
      <c r="N9" s="3434">
        <v>2025</v>
      </c>
      <c r="O9"/>
      <c r="P9"/>
      <c r="Q9"/>
      <c r="R9"/>
      <c r="S9"/>
      <c r="T9"/>
      <c r="U9"/>
      <c r="V9"/>
      <c r="W9"/>
      <c r="X9"/>
      <c r="Y9"/>
      <c r="Z9"/>
      <c r="AA9"/>
      <c r="AB9"/>
      <c r="AC9"/>
      <c r="AD9"/>
      <c r="AE9"/>
      <c r="AF9"/>
      <c r="AG9"/>
      <c r="AH9"/>
      <c r="AI9"/>
      <c r="AJ9"/>
      <c r="AK9"/>
      <c r="AL9"/>
      <c r="AM9"/>
      <c r="AN9"/>
      <c r="BO9" s="3388"/>
      <c r="BP9" s="3388"/>
      <c r="BQ9" s="3388"/>
      <c r="BR9" s="3388"/>
      <c r="BS9" s="3388"/>
      <c r="BT9" s="3388"/>
      <c r="BU9" s="3388"/>
      <c r="BV9" s="3388"/>
      <c r="BW9" s="3388"/>
      <c r="BX9" s="3388"/>
      <c r="BY9" s="3388"/>
      <c r="BZ9" s="3388"/>
      <c r="CA9" s="3388"/>
    </row>
    <row r="10" spans="1:79" ht="12.75" customHeight="1">
      <c r="A10" s="3788" t="s">
        <v>2607</v>
      </c>
      <c r="B10" s="3788"/>
      <c r="C10" s="3788"/>
      <c r="D10" s="3788"/>
      <c r="E10" s="3788"/>
      <c r="F10" s="3788"/>
      <c r="G10" s="3788"/>
      <c r="H10" s="3788"/>
      <c r="I10" s="3788"/>
      <c r="J10" s="3788"/>
      <c r="K10" s="3788"/>
      <c r="L10" s="3788"/>
      <c r="M10" s="3788"/>
      <c r="N10" s="3788"/>
      <c r="O10"/>
      <c r="P10"/>
      <c r="Q10"/>
      <c r="R10"/>
      <c r="S10"/>
      <c r="T10"/>
      <c r="U10"/>
      <c r="V10"/>
      <c r="W10"/>
      <c r="X10"/>
      <c r="Y10"/>
      <c r="Z10"/>
      <c r="AA10"/>
      <c r="AB10"/>
      <c r="AC10"/>
      <c r="AD10"/>
      <c r="AE10"/>
      <c r="AF10"/>
      <c r="AG10"/>
      <c r="AH10"/>
      <c r="AI10"/>
      <c r="AJ10"/>
      <c r="AK10"/>
      <c r="AL10"/>
      <c r="AM10"/>
      <c r="AN10"/>
    </row>
    <row r="11" spans="1:79">
      <c r="A11" s="3434" t="s">
        <v>531</v>
      </c>
      <c r="B11" s="3434" t="s">
        <v>2433</v>
      </c>
      <c r="C11" s="3434">
        <v>2014</v>
      </c>
      <c r="D11" s="3434">
        <v>2015</v>
      </c>
      <c r="E11" s="3434">
        <v>2016</v>
      </c>
      <c r="F11" s="3434">
        <v>2017</v>
      </c>
      <c r="G11" s="3434">
        <v>2018</v>
      </c>
      <c r="H11" s="3434">
        <v>2019</v>
      </c>
      <c r="I11" s="3434">
        <v>2020</v>
      </c>
      <c r="J11" s="3434">
        <v>2021</v>
      </c>
      <c r="K11" s="3434">
        <v>2022</v>
      </c>
      <c r="L11" s="3434">
        <v>2023</v>
      </c>
      <c r="M11" s="3434">
        <v>2024</v>
      </c>
      <c r="N11" s="3434">
        <v>2025</v>
      </c>
      <c r="O11"/>
      <c r="P11"/>
      <c r="Q11"/>
      <c r="R11"/>
      <c r="S11"/>
      <c r="T11"/>
      <c r="U11"/>
      <c r="V11"/>
      <c r="W11"/>
      <c r="X11"/>
      <c r="Y11"/>
      <c r="Z11"/>
      <c r="AA11"/>
      <c r="AB11"/>
      <c r="AC11"/>
      <c r="AD11"/>
      <c r="AE11"/>
      <c r="AF11"/>
      <c r="AG11"/>
      <c r="AH11"/>
      <c r="AI11"/>
      <c r="AJ11"/>
      <c r="AK11"/>
      <c r="AL11"/>
      <c r="AM11"/>
      <c r="AN11"/>
    </row>
    <row r="12" spans="1:79">
      <c r="A12" s="3435" t="s">
        <v>2534</v>
      </c>
      <c r="B12" s="3435" t="s">
        <v>2535</v>
      </c>
      <c r="C12" s="3435">
        <v>-1.9199999999999998E-2</v>
      </c>
      <c r="D12" s="3435">
        <v>-4.7300000000000002E-2</v>
      </c>
      <c r="E12" s="3435">
        <v>0</v>
      </c>
      <c r="F12" s="3435">
        <v>0</v>
      </c>
      <c r="G12" s="3435">
        <v>0</v>
      </c>
      <c r="H12" s="3435">
        <v>0</v>
      </c>
      <c r="I12" s="3435">
        <v>0</v>
      </c>
      <c r="J12" s="3435">
        <v>0</v>
      </c>
      <c r="K12" s="3435">
        <v>0</v>
      </c>
      <c r="L12" s="3435">
        <v>0</v>
      </c>
      <c r="M12" s="3435">
        <v>0</v>
      </c>
      <c r="N12" s="3435">
        <v>0</v>
      </c>
      <c r="O12"/>
      <c r="P12"/>
      <c r="Q12"/>
      <c r="R12"/>
      <c r="S12"/>
      <c r="T12"/>
      <c r="U12"/>
      <c r="V12"/>
      <c r="W12"/>
      <c r="X12"/>
      <c r="Y12"/>
      <c r="Z12"/>
      <c r="AA12"/>
      <c r="AB12"/>
      <c r="AC12"/>
      <c r="AD12"/>
      <c r="AE12"/>
      <c r="AF12"/>
      <c r="AG12"/>
      <c r="AH12"/>
      <c r="AI12"/>
      <c r="AJ12"/>
      <c r="AK12"/>
      <c r="AL12"/>
      <c r="AM12"/>
      <c r="AN12"/>
    </row>
    <row r="13" spans="1:79">
      <c r="A13" s="3435" t="s">
        <v>2536</v>
      </c>
      <c r="B13" s="3435" t="s">
        <v>2537</v>
      </c>
      <c r="C13" s="3435">
        <v>1.5900000000000001E-2</v>
      </c>
      <c r="D13" s="3435">
        <v>7.9799999999999996E-2</v>
      </c>
      <c r="E13" s="3435">
        <v>7.3400000000000007E-2</v>
      </c>
      <c r="F13" s="3435">
        <v>0.13700000000000001</v>
      </c>
      <c r="G13" s="3435">
        <v>9.9299999999999999E-2</v>
      </c>
      <c r="H13" s="3435">
        <v>0</v>
      </c>
      <c r="I13" s="3435">
        <v>0</v>
      </c>
      <c r="J13" s="3435">
        <v>0</v>
      </c>
      <c r="K13" s="3435">
        <v>0</v>
      </c>
      <c r="L13" s="3435">
        <v>0</v>
      </c>
      <c r="M13" s="3435">
        <v>0</v>
      </c>
      <c r="N13" s="3435">
        <v>0</v>
      </c>
      <c r="O13"/>
      <c r="P13"/>
      <c r="Q13"/>
      <c r="R13"/>
      <c r="S13"/>
      <c r="T13"/>
      <c r="U13"/>
      <c r="V13"/>
      <c r="W13"/>
      <c r="X13"/>
      <c r="Y13"/>
      <c r="Z13"/>
      <c r="AA13"/>
      <c r="AB13"/>
      <c r="AC13"/>
      <c r="AD13"/>
      <c r="AE13"/>
      <c r="AF13"/>
      <c r="AG13"/>
      <c r="AH13"/>
      <c r="AI13"/>
      <c r="AJ13"/>
      <c r="AK13"/>
      <c r="AL13"/>
      <c r="AM13"/>
      <c r="AN13"/>
    </row>
    <row r="14" spans="1:79">
      <c r="A14" s="3435" t="s">
        <v>2538</v>
      </c>
      <c r="B14" s="3435" t="s">
        <v>2539</v>
      </c>
      <c r="C14" s="3435">
        <v>0</v>
      </c>
      <c r="D14" s="3435">
        <v>0</v>
      </c>
      <c r="E14" s="3435">
        <v>0</v>
      </c>
      <c r="F14" s="3435">
        <v>0</v>
      </c>
      <c r="G14" s="3435">
        <v>0</v>
      </c>
      <c r="H14" s="3435">
        <v>0</v>
      </c>
      <c r="I14" s="3435">
        <v>0</v>
      </c>
      <c r="J14" s="3435">
        <v>0</v>
      </c>
      <c r="K14" s="3435">
        <v>0</v>
      </c>
      <c r="L14" s="3435">
        <v>0</v>
      </c>
      <c r="M14" s="3435">
        <v>0</v>
      </c>
      <c r="N14" s="3435">
        <v>0</v>
      </c>
      <c r="O14"/>
      <c r="P14"/>
      <c r="Q14"/>
      <c r="R14"/>
      <c r="S14"/>
      <c r="T14"/>
      <c r="U14"/>
      <c r="V14"/>
      <c r="W14"/>
      <c r="X14"/>
      <c r="Y14"/>
      <c r="Z14"/>
      <c r="AA14"/>
      <c r="AB14"/>
      <c r="AC14"/>
      <c r="AD14"/>
      <c r="AE14"/>
      <c r="AF14"/>
      <c r="AG14"/>
      <c r="AH14"/>
      <c r="AI14"/>
      <c r="AJ14"/>
      <c r="AK14"/>
      <c r="AL14"/>
      <c r="AM14"/>
      <c r="AN14"/>
    </row>
    <row r="15" spans="1:79">
      <c r="A15" s="3435" t="s">
        <v>2538</v>
      </c>
      <c r="B15" s="3435" t="s">
        <v>2540</v>
      </c>
      <c r="C15" s="3435">
        <v>0</v>
      </c>
      <c r="D15" s="3435">
        <v>0</v>
      </c>
      <c r="E15" s="3435">
        <v>0</v>
      </c>
      <c r="F15" s="3435">
        <v>0</v>
      </c>
      <c r="G15" s="3435">
        <v>0</v>
      </c>
      <c r="H15" s="3435">
        <v>0</v>
      </c>
      <c r="I15" s="3435">
        <v>0</v>
      </c>
      <c r="J15" s="3435">
        <v>0</v>
      </c>
      <c r="K15" s="3435">
        <v>0</v>
      </c>
      <c r="L15" s="3435">
        <v>0</v>
      </c>
      <c r="M15" s="3435">
        <v>0</v>
      </c>
      <c r="N15" s="3435">
        <v>0</v>
      </c>
      <c r="O15"/>
      <c r="P15"/>
      <c r="Q15"/>
      <c r="R15"/>
      <c r="S15"/>
      <c r="T15"/>
      <c r="U15"/>
      <c r="V15"/>
      <c r="W15"/>
      <c r="X15"/>
      <c r="Y15"/>
      <c r="Z15"/>
      <c r="AA15"/>
      <c r="AB15"/>
      <c r="AC15"/>
      <c r="AD15"/>
      <c r="AE15"/>
      <c r="AF15"/>
      <c r="AG15"/>
      <c r="AH15"/>
      <c r="AI15"/>
      <c r="AJ15"/>
      <c r="AK15"/>
      <c r="AL15"/>
      <c r="AM15"/>
      <c r="AN15"/>
    </row>
    <row r="16" spans="1:79" ht="12.75" customHeight="1">
      <c r="A16" s="3435" t="s">
        <v>2538</v>
      </c>
      <c r="B16" s="3435" t="s">
        <v>2541</v>
      </c>
      <c r="C16" s="3435">
        <v>0</v>
      </c>
      <c r="D16" s="3435">
        <v>0</v>
      </c>
      <c r="E16" s="3435">
        <v>0</v>
      </c>
      <c r="F16" s="3435">
        <v>0</v>
      </c>
      <c r="G16" s="3435">
        <v>0</v>
      </c>
      <c r="H16" s="3435">
        <v>0</v>
      </c>
      <c r="I16" s="3435">
        <v>0</v>
      </c>
      <c r="J16" s="3435">
        <v>0</v>
      </c>
      <c r="K16" s="3435">
        <v>0</v>
      </c>
      <c r="L16" s="3435">
        <v>0</v>
      </c>
      <c r="M16" s="3435">
        <v>0</v>
      </c>
      <c r="N16" s="3435">
        <v>0</v>
      </c>
      <c r="O16"/>
      <c r="P16"/>
      <c r="Q16"/>
      <c r="R16"/>
      <c r="S16"/>
      <c r="T16"/>
      <c r="U16"/>
      <c r="V16"/>
      <c r="W16"/>
      <c r="X16"/>
      <c r="Y16"/>
      <c r="Z16"/>
      <c r="AA16"/>
      <c r="AB16"/>
      <c r="AC16"/>
      <c r="AD16"/>
      <c r="AE16"/>
      <c r="AF16"/>
      <c r="AG16"/>
      <c r="AH16"/>
      <c r="AI16"/>
      <c r="AJ16"/>
      <c r="AK16"/>
      <c r="AL16"/>
      <c r="AM16"/>
      <c r="AN16"/>
    </row>
    <row r="17" spans="1:40">
      <c r="A17" s="3435" t="s">
        <v>2542</v>
      </c>
      <c r="B17" s="3435" t="s">
        <v>2543</v>
      </c>
      <c r="C17" s="3435">
        <v>0</v>
      </c>
      <c r="D17" s="3435">
        <v>0</v>
      </c>
      <c r="E17" s="3435">
        <v>0</v>
      </c>
      <c r="F17" s="3435">
        <v>0</v>
      </c>
      <c r="G17" s="3435">
        <v>0</v>
      </c>
      <c r="H17" s="3435">
        <v>0</v>
      </c>
      <c r="I17" s="3435">
        <v>0</v>
      </c>
      <c r="J17" s="3435">
        <v>0</v>
      </c>
      <c r="K17" s="3435">
        <v>0</v>
      </c>
      <c r="L17" s="3435">
        <v>0</v>
      </c>
      <c r="M17" s="3435">
        <v>0</v>
      </c>
      <c r="N17" s="3435">
        <v>0</v>
      </c>
      <c r="O17"/>
      <c r="P17"/>
      <c r="Q17"/>
      <c r="R17"/>
      <c r="S17"/>
      <c r="T17"/>
      <c r="U17"/>
      <c r="V17"/>
      <c r="W17"/>
      <c r="X17"/>
      <c r="Y17"/>
      <c r="Z17"/>
      <c r="AA17"/>
      <c r="AB17"/>
      <c r="AC17"/>
      <c r="AD17"/>
      <c r="AE17"/>
      <c r="AF17"/>
      <c r="AG17"/>
      <c r="AH17"/>
      <c r="AI17"/>
      <c r="AJ17"/>
      <c r="AK17"/>
      <c r="AL17"/>
      <c r="AM17"/>
      <c r="AN17"/>
    </row>
    <row r="18" spans="1:40">
      <c r="A18" s="3435" t="s">
        <v>2544</v>
      </c>
      <c r="B18" s="3435" t="s">
        <v>2545</v>
      </c>
      <c r="C18" s="3435">
        <v>0</v>
      </c>
      <c r="D18" s="3435">
        <v>0</v>
      </c>
      <c r="E18" s="3435">
        <v>0</v>
      </c>
      <c r="F18" s="3435">
        <v>0</v>
      </c>
      <c r="G18" s="3435">
        <v>0</v>
      </c>
      <c r="H18" s="3435">
        <v>0</v>
      </c>
      <c r="I18" s="3435">
        <v>0</v>
      </c>
      <c r="J18" s="3435">
        <v>0</v>
      </c>
      <c r="K18" s="3435">
        <v>0</v>
      </c>
      <c r="L18" s="3435">
        <v>0</v>
      </c>
      <c r="M18" s="3435">
        <v>0</v>
      </c>
      <c r="N18" s="3435">
        <v>0</v>
      </c>
      <c r="O18"/>
      <c r="P18"/>
      <c r="Q18"/>
      <c r="R18"/>
      <c r="S18"/>
      <c r="T18"/>
      <c r="U18"/>
      <c r="V18"/>
      <c r="W18"/>
      <c r="X18"/>
      <c r="Y18"/>
      <c r="Z18"/>
      <c r="AA18"/>
      <c r="AB18"/>
      <c r="AC18"/>
      <c r="AD18"/>
      <c r="AE18"/>
      <c r="AF18"/>
      <c r="AG18"/>
      <c r="AH18"/>
      <c r="AI18"/>
      <c r="AJ18"/>
      <c r="AK18"/>
      <c r="AL18"/>
      <c r="AM18"/>
      <c r="AN18"/>
    </row>
    <row r="19" spans="1:40">
      <c r="A19" s="3435" t="s">
        <v>2546</v>
      </c>
      <c r="B19" s="3435" t="s">
        <v>2547</v>
      </c>
      <c r="C19" s="3435">
        <v>0</v>
      </c>
      <c r="D19" s="3435">
        <v>0</v>
      </c>
      <c r="E19" s="3435">
        <v>0</v>
      </c>
      <c r="F19" s="3435">
        <v>0</v>
      </c>
      <c r="G19" s="3435">
        <v>0</v>
      </c>
      <c r="H19" s="3435">
        <v>0</v>
      </c>
      <c r="I19" s="3435">
        <v>0</v>
      </c>
      <c r="J19" s="3435">
        <v>0</v>
      </c>
      <c r="K19" s="3435">
        <v>0</v>
      </c>
      <c r="L19" s="3435">
        <v>0</v>
      </c>
      <c r="M19" s="3435">
        <v>0</v>
      </c>
      <c r="N19" s="3435">
        <v>0</v>
      </c>
      <c r="O19"/>
      <c r="P19"/>
      <c r="Q19"/>
      <c r="R19"/>
      <c r="S19"/>
      <c r="T19"/>
      <c r="U19"/>
      <c r="V19"/>
      <c r="W19"/>
      <c r="X19"/>
      <c r="Y19"/>
      <c r="Z19"/>
      <c r="AA19"/>
      <c r="AB19"/>
      <c r="AC19"/>
      <c r="AD19"/>
      <c r="AE19"/>
      <c r="AF19"/>
      <c r="AG19"/>
      <c r="AH19"/>
      <c r="AI19"/>
      <c r="AJ19"/>
      <c r="AK19"/>
      <c r="AL19"/>
      <c r="AM19"/>
      <c r="AN19"/>
    </row>
    <row r="20" spans="1:40">
      <c r="A20" s="3435" t="s">
        <v>2548</v>
      </c>
      <c r="B20" s="3435" t="s">
        <v>2549</v>
      </c>
      <c r="C20" s="3435">
        <v>0</v>
      </c>
      <c r="D20" s="3435">
        <v>0</v>
      </c>
      <c r="E20" s="3435">
        <v>0</v>
      </c>
      <c r="F20" s="3435">
        <v>0</v>
      </c>
      <c r="G20" s="3435">
        <v>0</v>
      </c>
      <c r="H20" s="3435">
        <v>0</v>
      </c>
      <c r="I20" s="3435">
        <v>0</v>
      </c>
      <c r="J20" s="3435">
        <v>0</v>
      </c>
      <c r="K20" s="3435">
        <v>0</v>
      </c>
      <c r="L20" s="3435">
        <v>0</v>
      </c>
      <c r="M20" s="3435">
        <v>0</v>
      </c>
      <c r="N20" s="3435">
        <v>0</v>
      </c>
      <c r="O20"/>
      <c r="P20"/>
      <c r="Q20"/>
      <c r="R20"/>
      <c r="S20"/>
      <c r="T20"/>
      <c r="U20"/>
      <c r="V20"/>
      <c r="W20"/>
      <c r="X20"/>
      <c r="Y20"/>
      <c r="Z20"/>
      <c r="AA20"/>
      <c r="AB20"/>
      <c r="AC20"/>
      <c r="AD20"/>
      <c r="AE20"/>
      <c r="AF20"/>
      <c r="AG20"/>
      <c r="AH20"/>
      <c r="AI20"/>
      <c r="AJ20"/>
      <c r="AK20"/>
      <c r="AL20"/>
      <c r="AM20"/>
      <c r="AN20"/>
    </row>
    <row r="21" spans="1:40">
      <c r="A21" s="3435" t="s">
        <v>2550</v>
      </c>
      <c r="B21" s="3435" t="s">
        <v>2551</v>
      </c>
      <c r="C21" s="3435">
        <v>-4.9200000000000001E-2</v>
      </c>
      <c r="D21" s="3435">
        <v>-8.6999999999999994E-3</v>
      </c>
      <c r="E21" s="3435">
        <v>-5.0999999999999997E-2</v>
      </c>
      <c r="F21" s="3435">
        <v>-0.13200000000000001</v>
      </c>
      <c r="G21" s="3435">
        <v>-6.4000000000000003E-3</v>
      </c>
      <c r="H21" s="3435">
        <v>0</v>
      </c>
      <c r="I21" s="3435">
        <v>0</v>
      </c>
      <c r="J21" s="3435">
        <v>0</v>
      </c>
      <c r="K21" s="3435">
        <v>0</v>
      </c>
      <c r="L21" s="3435">
        <v>0</v>
      </c>
      <c r="M21" s="3435">
        <v>0</v>
      </c>
      <c r="N21" s="3435">
        <v>0</v>
      </c>
      <c r="O21"/>
      <c r="P21"/>
      <c r="Q21"/>
      <c r="R21"/>
      <c r="S21"/>
      <c r="T21"/>
      <c r="U21"/>
      <c r="V21"/>
      <c r="W21"/>
      <c r="X21"/>
      <c r="Y21"/>
      <c r="Z21"/>
      <c r="AA21"/>
      <c r="AB21"/>
      <c r="AC21"/>
      <c r="AD21"/>
      <c r="AE21"/>
      <c r="AF21"/>
      <c r="AG21"/>
      <c r="AH21"/>
      <c r="AI21"/>
      <c r="AJ21"/>
      <c r="AK21"/>
      <c r="AL21"/>
      <c r="AM21"/>
      <c r="AN21"/>
    </row>
    <row r="22" spans="1:40">
      <c r="A22" s="3435" t="s">
        <v>2550</v>
      </c>
      <c r="B22" s="3435" t="s">
        <v>2552</v>
      </c>
      <c r="C22" s="3435">
        <v>0</v>
      </c>
      <c r="D22" s="3435">
        <v>1.4E-2</v>
      </c>
      <c r="E22" s="3435">
        <v>0</v>
      </c>
      <c r="F22" s="3435">
        <v>0</v>
      </c>
      <c r="G22" s="3435">
        <v>-0.03</v>
      </c>
      <c r="H22" s="3435">
        <v>0</v>
      </c>
      <c r="I22" s="3435">
        <v>0</v>
      </c>
      <c r="J22" s="3435">
        <v>0</v>
      </c>
      <c r="K22" s="3435">
        <v>0</v>
      </c>
      <c r="L22" s="3435">
        <v>0</v>
      </c>
      <c r="M22" s="3435">
        <v>0</v>
      </c>
      <c r="N22" s="3435">
        <v>0</v>
      </c>
      <c r="O22"/>
      <c r="P22"/>
      <c r="Q22"/>
      <c r="R22"/>
      <c r="S22"/>
      <c r="T22"/>
      <c r="U22"/>
      <c r="V22"/>
      <c r="W22"/>
      <c r="X22"/>
      <c r="Y22"/>
      <c r="Z22"/>
      <c r="AA22"/>
      <c r="AB22"/>
      <c r="AC22"/>
      <c r="AD22"/>
      <c r="AE22"/>
      <c r="AF22"/>
      <c r="AG22"/>
      <c r="AH22"/>
      <c r="AI22"/>
      <c r="AJ22"/>
      <c r="AK22"/>
      <c r="AL22"/>
      <c r="AM22"/>
      <c r="AN22"/>
    </row>
    <row r="23" spans="1:40">
      <c r="A23" s="3435" t="s">
        <v>2550</v>
      </c>
      <c r="B23" s="3435" t="s">
        <v>2553</v>
      </c>
      <c r="C23" s="3435">
        <v>0</v>
      </c>
      <c r="D23" s="3435">
        <v>0</v>
      </c>
      <c r="E23" s="3435">
        <v>0</v>
      </c>
      <c r="F23" s="3435">
        <v>0</v>
      </c>
      <c r="G23" s="3435">
        <v>0</v>
      </c>
      <c r="H23" s="3435">
        <v>0</v>
      </c>
      <c r="I23" s="3435">
        <v>0</v>
      </c>
      <c r="J23" s="3435">
        <v>0</v>
      </c>
      <c r="K23" s="3435">
        <v>0</v>
      </c>
      <c r="L23" s="3435">
        <v>0</v>
      </c>
      <c r="M23" s="3435">
        <v>0</v>
      </c>
      <c r="N23" s="3435">
        <v>0</v>
      </c>
      <c r="O23"/>
      <c r="P23"/>
      <c r="Q23"/>
      <c r="R23"/>
      <c r="S23"/>
      <c r="T23"/>
      <c r="U23"/>
      <c r="V23"/>
      <c r="W23"/>
      <c r="X23"/>
      <c r="Y23"/>
      <c r="Z23"/>
      <c r="AA23"/>
      <c r="AB23"/>
      <c r="AC23"/>
      <c r="AD23"/>
      <c r="AE23"/>
      <c r="AF23"/>
      <c r="AG23"/>
      <c r="AH23"/>
      <c r="AI23"/>
      <c r="AJ23"/>
      <c r="AK23"/>
      <c r="AL23"/>
      <c r="AM23"/>
      <c r="AN23"/>
    </row>
    <row r="24" spans="1:40">
      <c r="A24" s="3435" t="s">
        <v>2550</v>
      </c>
      <c r="B24" s="3435" t="s">
        <v>2554</v>
      </c>
      <c r="C24" s="3435">
        <v>0</v>
      </c>
      <c r="D24" s="3435">
        <v>0</v>
      </c>
      <c r="E24" s="3435">
        <v>0</v>
      </c>
      <c r="F24" s="3435">
        <v>0</v>
      </c>
      <c r="G24" s="3435">
        <v>0</v>
      </c>
      <c r="H24" s="3435">
        <v>0</v>
      </c>
      <c r="I24" s="3435">
        <v>0</v>
      </c>
      <c r="J24" s="3435">
        <v>0</v>
      </c>
      <c r="K24" s="3435">
        <v>0</v>
      </c>
      <c r="L24" s="3435">
        <v>0</v>
      </c>
      <c r="M24" s="3435">
        <v>0</v>
      </c>
      <c r="N24" s="3435">
        <v>0</v>
      </c>
      <c r="O24"/>
      <c r="P24"/>
      <c r="Q24"/>
      <c r="R24"/>
      <c r="S24"/>
      <c r="T24"/>
      <c r="U24"/>
      <c r="V24"/>
      <c r="W24"/>
      <c r="X24"/>
      <c r="Y24"/>
      <c r="Z24"/>
      <c r="AA24"/>
      <c r="AB24"/>
      <c r="AC24"/>
      <c r="AD24"/>
      <c r="AE24"/>
      <c r="AF24"/>
      <c r="AG24"/>
      <c r="AH24"/>
      <c r="AI24"/>
      <c r="AJ24"/>
      <c r="AK24"/>
      <c r="AL24"/>
      <c r="AM24"/>
      <c r="AN24"/>
    </row>
    <row r="25" spans="1:40">
      <c r="A25" s="3435" t="s">
        <v>2555</v>
      </c>
      <c r="B25" s="3435" t="s">
        <v>2556</v>
      </c>
      <c r="C25" s="3435">
        <v>2.9000000000000001E-2</v>
      </c>
      <c r="D25" s="3435">
        <v>3.8100000000000002E-2</v>
      </c>
      <c r="E25" s="3435">
        <v>7.1499999999999994E-2</v>
      </c>
      <c r="F25" s="3435">
        <v>4.9200000000000001E-2</v>
      </c>
      <c r="G25" s="3435">
        <v>0.1246</v>
      </c>
      <c r="H25" s="3435">
        <v>0</v>
      </c>
      <c r="I25" s="3435">
        <v>0</v>
      </c>
      <c r="J25" s="3435">
        <v>0</v>
      </c>
      <c r="K25" s="3435">
        <v>0</v>
      </c>
      <c r="L25" s="3435">
        <v>0</v>
      </c>
      <c r="M25" s="3435">
        <v>0</v>
      </c>
      <c r="N25" s="3435">
        <v>0</v>
      </c>
      <c r="O25"/>
      <c r="P25"/>
      <c r="Q25"/>
      <c r="R25"/>
      <c r="S25"/>
      <c r="T25"/>
      <c r="U25"/>
      <c r="V25"/>
      <c r="W25"/>
      <c r="X25"/>
      <c r="Y25"/>
      <c r="Z25"/>
      <c r="AA25"/>
      <c r="AB25"/>
      <c r="AC25"/>
      <c r="AD25"/>
      <c r="AE25"/>
      <c r="AF25"/>
      <c r="AG25"/>
      <c r="AH25"/>
      <c r="AI25"/>
      <c r="AJ25"/>
      <c r="AK25"/>
      <c r="AL25"/>
      <c r="AM25"/>
      <c r="AN25"/>
    </row>
    <row r="26" spans="1:40">
      <c r="A26" s="3435" t="s">
        <v>2557</v>
      </c>
      <c r="B26" s="3435" t="s">
        <v>2558</v>
      </c>
      <c r="C26" s="3435">
        <v>0</v>
      </c>
      <c r="D26" s="3435">
        <v>0</v>
      </c>
      <c r="E26" s="3435">
        <v>0</v>
      </c>
      <c r="F26" s="3435">
        <v>0</v>
      </c>
      <c r="G26" s="3435">
        <v>0</v>
      </c>
      <c r="H26" s="3435">
        <v>0</v>
      </c>
      <c r="I26" s="3435">
        <v>0</v>
      </c>
      <c r="J26" s="3435">
        <v>0</v>
      </c>
      <c r="K26" s="3435">
        <v>0</v>
      </c>
      <c r="L26" s="3435">
        <v>0</v>
      </c>
      <c r="M26" s="3435">
        <v>0</v>
      </c>
      <c r="N26" s="3435">
        <v>0</v>
      </c>
      <c r="O26"/>
      <c r="P26"/>
      <c r="Q26"/>
      <c r="R26"/>
      <c r="S26"/>
      <c r="T26"/>
      <c r="U26"/>
      <c r="V26"/>
      <c r="W26"/>
      <c r="X26"/>
      <c r="Y26"/>
      <c r="Z26"/>
      <c r="AA26"/>
      <c r="AB26"/>
      <c r="AC26"/>
      <c r="AD26"/>
      <c r="AE26"/>
      <c r="AF26"/>
      <c r="AG26"/>
      <c r="AH26"/>
      <c r="AI26"/>
      <c r="AJ26"/>
      <c r="AK26"/>
      <c r="AL26"/>
      <c r="AM26"/>
      <c r="AN26"/>
    </row>
    <row r="27" spans="1:40">
      <c r="A27" s="3435" t="s">
        <v>1050</v>
      </c>
      <c r="B27" s="3435" t="s">
        <v>2559</v>
      </c>
      <c r="C27" s="3435">
        <v>0</v>
      </c>
      <c r="D27" s="3435">
        <v>0</v>
      </c>
      <c r="E27" s="3435">
        <v>0</v>
      </c>
      <c r="F27" s="3435">
        <v>0</v>
      </c>
      <c r="G27" s="3435">
        <v>0</v>
      </c>
      <c r="H27" s="3435">
        <v>0</v>
      </c>
      <c r="I27" s="3435">
        <v>0</v>
      </c>
      <c r="J27" s="3435">
        <v>0</v>
      </c>
      <c r="K27" s="3435">
        <v>0</v>
      </c>
      <c r="L27" s="3435">
        <v>0</v>
      </c>
      <c r="M27" s="3435">
        <v>0</v>
      </c>
      <c r="N27" s="3435">
        <v>0</v>
      </c>
      <c r="O27"/>
      <c r="P27"/>
      <c r="Q27"/>
      <c r="R27"/>
      <c r="S27"/>
      <c r="T27"/>
      <c r="U27"/>
      <c r="V27"/>
      <c r="W27"/>
      <c r="X27"/>
      <c r="Y27"/>
      <c r="Z27"/>
      <c r="AA27"/>
      <c r="AB27"/>
      <c r="AC27"/>
      <c r="AD27"/>
      <c r="AE27"/>
      <c r="AF27"/>
      <c r="AG27"/>
      <c r="AH27"/>
      <c r="AI27"/>
      <c r="AJ27"/>
      <c r="AK27"/>
      <c r="AL27"/>
      <c r="AM27"/>
      <c r="AN27"/>
    </row>
    <row r="28" spans="1:40">
      <c r="A28" s="3435" t="s">
        <v>2560</v>
      </c>
      <c r="B28" s="3435" t="s">
        <v>2561</v>
      </c>
      <c r="C28" s="3435">
        <v>0.36470000000000002</v>
      </c>
      <c r="D28" s="3435">
        <v>-0.26829999999999998</v>
      </c>
      <c r="E28" s="3435">
        <v>-0.12839999999999999</v>
      </c>
      <c r="F28" s="3435">
        <v>-8.9999999999999993E-3</v>
      </c>
      <c r="G28" s="3435">
        <v>-1.4999999999999999E-2</v>
      </c>
      <c r="H28" s="3435">
        <v>-1.0999999999999999E-2</v>
      </c>
      <c r="I28" s="3435">
        <v>-7.8E-2</v>
      </c>
      <c r="J28" s="3435">
        <v>0</v>
      </c>
      <c r="K28" s="3435">
        <v>0</v>
      </c>
      <c r="L28" s="3435">
        <v>0</v>
      </c>
      <c r="M28" s="3435">
        <v>0</v>
      </c>
      <c r="N28" s="3435">
        <v>0</v>
      </c>
      <c r="O28"/>
      <c r="P28"/>
      <c r="Q28"/>
      <c r="R28"/>
      <c r="S28"/>
      <c r="T28"/>
      <c r="U28"/>
      <c r="V28"/>
      <c r="W28"/>
      <c r="X28"/>
      <c r="Y28"/>
      <c r="Z28"/>
      <c r="AA28"/>
      <c r="AB28"/>
      <c r="AC28"/>
      <c r="AD28"/>
      <c r="AE28"/>
      <c r="AF28"/>
      <c r="AG28"/>
      <c r="AH28"/>
      <c r="AI28"/>
      <c r="AJ28"/>
      <c r="AK28"/>
      <c r="AL28"/>
      <c r="AM28"/>
      <c r="AN28"/>
    </row>
    <row r="29" spans="1:40">
      <c r="A29" s="3435" t="s">
        <v>1627</v>
      </c>
      <c r="B29" s="3435" t="s">
        <v>2480</v>
      </c>
      <c r="C29" s="3435">
        <v>-4.9200000000000001E-2</v>
      </c>
      <c r="D29" s="3435">
        <v>0</v>
      </c>
      <c r="E29" s="3435">
        <v>0</v>
      </c>
      <c r="F29" s="3435">
        <v>0</v>
      </c>
      <c r="G29" s="3435">
        <v>0</v>
      </c>
      <c r="H29" s="3435">
        <v>0</v>
      </c>
      <c r="I29" s="3435">
        <v>0</v>
      </c>
      <c r="J29" s="3435">
        <v>0</v>
      </c>
      <c r="K29" s="3435">
        <v>0</v>
      </c>
      <c r="L29" s="3435">
        <v>0</v>
      </c>
      <c r="M29" s="3435">
        <v>0</v>
      </c>
      <c r="N29" s="3435">
        <v>0</v>
      </c>
      <c r="O29"/>
      <c r="P29"/>
      <c r="Q29"/>
      <c r="R29"/>
      <c r="S29"/>
      <c r="T29"/>
      <c r="U29"/>
      <c r="V29"/>
      <c r="W29"/>
      <c r="X29"/>
      <c r="Y29"/>
      <c r="Z29"/>
      <c r="AA29"/>
      <c r="AB29"/>
      <c r="AC29"/>
      <c r="AD29"/>
      <c r="AE29"/>
      <c r="AF29"/>
      <c r="AG29"/>
      <c r="AH29"/>
      <c r="AI29"/>
      <c r="AJ29"/>
      <c r="AK29"/>
      <c r="AL29"/>
      <c r="AM29"/>
      <c r="AN29"/>
    </row>
    <row r="30" spans="1:40">
      <c r="A30" s="3435" t="s">
        <v>2562</v>
      </c>
      <c r="B30" s="3435" t="s">
        <v>2563</v>
      </c>
      <c r="C30" s="3435">
        <v>6.2600000000000003E-2</v>
      </c>
      <c r="D30" s="3435">
        <v>1.15E-2</v>
      </c>
      <c r="E30" s="3435">
        <v>0.1007</v>
      </c>
      <c r="F30" s="3435">
        <v>8.9399999999999993E-2</v>
      </c>
      <c r="G30" s="3435">
        <v>0</v>
      </c>
      <c r="H30" s="3435">
        <v>0</v>
      </c>
      <c r="I30" s="3435">
        <v>0</v>
      </c>
      <c r="J30" s="3435">
        <v>0</v>
      </c>
      <c r="K30" s="3435">
        <v>0</v>
      </c>
      <c r="L30" s="3435">
        <v>0</v>
      </c>
      <c r="M30" s="3435">
        <v>0</v>
      </c>
      <c r="N30" s="3435">
        <v>0</v>
      </c>
      <c r="O30"/>
      <c r="P30"/>
      <c r="Q30"/>
      <c r="R30"/>
      <c r="S30"/>
      <c r="T30"/>
      <c r="U30"/>
      <c r="V30"/>
      <c r="W30"/>
      <c r="X30"/>
      <c r="Y30"/>
      <c r="Z30"/>
      <c r="AA30"/>
      <c r="AB30"/>
      <c r="AC30"/>
      <c r="AD30"/>
      <c r="AE30"/>
      <c r="AF30"/>
      <c r="AG30"/>
      <c r="AH30"/>
      <c r="AI30"/>
      <c r="AJ30"/>
      <c r="AK30"/>
      <c r="AL30"/>
      <c r="AM30"/>
      <c r="AN30"/>
    </row>
    <row r="31" spans="1:40">
      <c r="A31" s="3435" t="s">
        <v>2538</v>
      </c>
      <c r="B31" s="3435" t="s">
        <v>2564</v>
      </c>
      <c r="C31" s="3435">
        <v>0</v>
      </c>
      <c r="D31" s="3435">
        <v>0</v>
      </c>
      <c r="E31" s="3435">
        <v>0</v>
      </c>
      <c r="F31" s="3435">
        <v>0</v>
      </c>
      <c r="G31" s="3435">
        <v>0</v>
      </c>
      <c r="H31" s="3435">
        <v>0</v>
      </c>
      <c r="I31" s="3435">
        <v>0</v>
      </c>
      <c r="J31" s="3435">
        <v>0</v>
      </c>
      <c r="K31" s="3435">
        <v>0</v>
      </c>
      <c r="L31" s="3435">
        <v>0</v>
      </c>
      <c r="M31" s="3435">
        <v>0</v>
      </c>
      <c r="N31" s="3435">
        <v>0</v>
      </c>
      <c r="O31"/>
      <c r="P31"/>
      <c r="Q31"/>
      <c r="R31"/>
      <c r="S31"/>
      <c r="T31"/>
      <c r="U31"/>
      <c r="V31"/>
      <c r="W31"/>
      <c r="X31"/>
      <c r="Y31"/>
      <c r="Z31"/>
      <c r="AA31"/>
      <c r="AB31"/>
      <c r="AC31"/>
      <c r="AD31"/>
      <c r="AE31"/>
      <c r="AF31"/>
      <c r="AG31"/>
      <c r="AH31"/>
      <c r="AI31"/>
      <c r="AJ31"/>
      <c r="AK31"/>
      <c r="AL31"/>
      <c r="AM31"/>
      <c r="AN31"/>
    </row>
    <row r="32" spans="1:40">
      <c r="A32" s="3435" t="s">
        <v>2542</v>
      </c>
      <c r="B32" s="3435" t="s">
        <v>2565</v>
      </c>
      <c r="C32" s="3435">
        <v>0</v>
      </c>
      <c r="D32" s="3435">
        <v>0</v>
      </c>
      <c r="E32" s="3435">
        <v>0</v>
      </c>
      <c r="F32" s="3435">
        <v>0</v>
      </c>
      <c r="G32" s="3435">
        <v>0</v>
      </c>
      <c r="H32" s="3435">
        <v>0</v>
      </c>
      <c r="I32" s="3435">
        <v>0</v>
      </c>
      <c r="J32" s="3435">
        <v>0</v>
      </c>
      <c r="K32" s="3435">
        <v>0</v>
      </c>
      <c r="L32" s="3435">
        <v>0</v>
      </c>
      <c r="M32" s="3435">
        <v>0</v>
      </c>
      <c r="N32" s="3435">
        <v>0</v>
      </c>
      <c r="O32"/>
      <c r="P32"/>
      <c r="Q32"/>
      <c r="R32"/>
      <c r="S32"/>
      <c r="T32"/>
      <c r="U32"/>
      <c r="V32"/>
      <c r="W32"/>
      <c r="X32"/>
      <c r="Y32"/>
      <c r="Z32"/>
      <c r="AA32"/>
      <c r="AB32"/>
      <c r="AC32"/>
      <c r="AD32"/>
      <c r="AE32"/>
      <c r="AF32"/>
      <c r="AG32"/>
      <c r="AH32"/>
      <c r="AI32"/>
      <c r="AJ32"/>
      <c r="AK32"/>
      <c r="AL32"/>
      <c r="AM32"/>
      <c r="AN32"/>
    </row>
    <row r="33" spans="1:79">
      <c r="A33" s="3435" t="s">
        <v>2566</v>
      </c>
      <c r="B33" s="3435" t="s">
        <v>2567</v>
      </c>
      <c r="C33" s="3435">
        <v>0</v>
      </c>
      <c r="D33" s="3435">
        <v>0</v>
      </c>
      <c r="E33" s="3435">
        <v>0</v>
      </c>
      <c r="F33" s="3435">
        <v>0</v>
      </c>
      <c r="G33" s="3435">
        <v>0</v>
      </c>
      <c r="H33" s="3435">
        <v>0</v>
      </c>
      <c r="I33" s="3435">
        <v>0</v>
      </c>
      <c r="J33" s="3435">
        <v>0</v>
      </c>
      <c r="K33" s="3435">
        <v>0</v>
      </c>
      <c r="L33" s="3435">
        <v>0</v>
      </c>
      <c r="M33" s="3435">
        <v>0</v>
      </c>
      <c r="N33" s="3435">
        <v>0</v>
      </c>
      <c r="O33"/>
      <c r="P33"/>
      <c r="Q33"/>
      <c r="R33"/>
      <c r="S33"/>
      <c r="T33"/>
      <c r="U33"/>
      <c r="V33"/>
      <c r="W33"/>
      <c r="X33"/>
      <c r="Y33"/>
      <c r="Z33"/>
      <c r="AA33"/>
      <c r="AB33"/>
      <c r="AC33"/>
      <c r="AD33"/>
      <c r="AE33"/>
      <c r="AF33"/>
      <c r="AG33"/>
      <c r="AH33"/>
      <c r="AI33"/>
      <c r="AJ33"/>
      <c r="AK33"/>
      <c r="AL33"/>
      <c r="AM33"/>
      <c r="AN33"/>
    </row>
    <row r="34" spans="1:79">
      <c r="A34" s="3435" t="s">
        <v>2544</v>
      </c>
      <c r="B34" s="3435" t="s">
        <v>2568</v>
      </c>
      <c r="C34" s="3435">
        <v>0</v>
      </c>
      <c r="D34" s="3435">
        <v>0</v>
      </c>
      <c r="E34" s="3435">
        <v>0</v>
      </c>
      <c r="F34" s="3435">
        <v>0</v>
      </c>
      <c r="G34" s="3435">
        <v>0</v>
      </c>
      <c r="H34" s="3435">
        <v>0</v>
      </c>
      <c r="I34" s="3435">
        <v>0</v>
      </c>
      <c r="J34" s="3435">
        <v>0</v>
      </c>
      <c r="K34" s="3435">
        <v>0</v>
      </c>
      <c r="L34" s="3435">
        <v>0</v>
      </c>
      <c r="M34" s="3435">
        <v>0</v>
      </c>
      <c r="N34" s="3435">
        <v>0</v>
      </c>
      <c r="O34"/>
      <c r="P34"/>
      <c r="Q34"/>
      <c r="R34"/>
      <c r="S34"/>
      <c r="T34"/>
      <c r="U34"/>
      <c r="V34"/>
      <c r="W34"/>
      <c r="X34"/>
      <c r="Y34"/>
      <c r="Z34"/>
      <c r="AA34"/>
      <c r="AB34"/>
      <c r="AC34"/>
      <c r="AD34"/>
      <c r="AE34"/>
      <c r="AF34"/>
      <c r="AG34"/>
      <c r="AH34"/>
      <c r="AI34"/>
      <c r="AJ34"/>
      <c r="AK34"/>
      <c r="AL34"/>
      <c r="AM34"/>
      <c r="AN34"/>
    </row>
    <row r="35" spans="1:79">
      <c r="A35" s="3435" t="s">
        <v>2544</v>
      </c>
      <c r="B35" s="3435" t="s">
        <v>2569</v>
      </c>
      <c r="C35" s="3435">
        <v>0</v>
      </c>
      <c r="D35" s="3435">
        <v>0</v>
      </c>
      <c r="E35" s="3435">
        <v>0</v>
      </c>
      <c r="F35" s="3435">
        <v>0</v>
      </c>
      <c r="G35" s="3435">
        <v>0</v>
      </c>
      <c r="H35" s="3435">
        <v>0</v>
      </c>
      <c r="I35" s="3435">
        <v>0</v>
      </c>
      <c r="J35" s="3435">
        <v>0</v>
      </c>
      <c r="K35" s="3435">
        <v>0</v>
      </c>
      <c r="L35" s="3435">
        <v>0</v>
      </c>
      <c r="M35" s="3435">
        <v>0</v>
      </c>
      <c r="N35" s="3435">
        <v>0</v>
      </c>
      <c r="O35"/>
      <c r="P35"/>
      <c r="Q35"/>
      <c r="R35"/>
      <c r="S35"/>
      <c r="T35"/>
      <c r="U35"/>
      <c r="V35"/>
      <c r="W35"/>
      <c r="X35"/>
      <c r="Y35"/>
      <c r="Z35"/>
      <c r="AA35"/>
      <c r="AB35"/>
      <c r="AC35"/>
      <c r="AD35"/>
      <c r="AE35"/>
      <c r="AF35"/>
      <c r="AG35"/>
      <c r="AH35"/>
      <c r="AI35"/>
      <c r="AJ35"/>
      <c r="AK35"/>
      <c r="AL35"/>
      <c r="AM35"/>
      <c r="AN35"/>
    </row>
    <row r="36" spans="1:79">
      <c r="A36" s="3435" t="s">
        <v>2544</v>
      </c>
      <c r="B36" s="3435" t="s">
        <v>2570</v>
      </c>
      <c r="C36" s="3435">
        <v>0</v>
      </c>
      <c r="D36" s="3435">
        <v>0</v>
      </c>
      <c r="E36" s="3435">
        <v>0</v>
      </c>
      <c r="F36" s="3435">
        <v>0</v>
      </c>
      <c r="G36" s="3435">
        <v>0</v>
      </c>
      <c r="H36" s="3435">
        <v>0</v>
      </c>
      <c r="I36" s="3435">
        <v>0</v>
      </c>
      <c r="J36" s="3435">
        <v>0</v>
      </c>
      <c r="K36" s="3435">
        <v>0</v>
      </c>
      <c r="L36" s="3435">
        <v>0</v>
      </c>
      <c r="M36" s="3435">
        <v>0</v>
      </c>
      <c r="N36" s="3435">
        <v>0</v>
      </c>
      <c r="O36"/>
      <c r="P36"/>
      <c r="Q36"/>
      <c r="R36"/>
      <c r="S36"/>
      <c r="T36"/>
      <c r="U36"/>
      <c r="V36"/>
      <c r="W36"/>
      <c r="X36"/>
      <c r="Y36"/>
      <c r="Z36"/>
      <c r="AA36"/>
      <c r="AB36"/>
      <c r="AC36"/>
      <c r="AD36"/>
      <c r="AE36"/>
      <c r="AF36"/>
      <c r="AG36"/>
      <c r="AH36"/>
      <c r="AI36"/>
      <c r="AJ36"/>
      <c r="AK36"/>
      <c r="AL36"/>
      <c r="AM36"/>
      <c r="AN36"/>
    </row>
    <row r="37" spans="1:79">
      <c r="A37" s="3435" t="s">
        <v>2546</v>
      </c>
      <c r="B37" s="3435" t="s">
        <v>2571</v>
      </c>
      <c r="C37" s="3435">
        <v>0</v>
      </c>
      <c r="D37" s="3435">
        <v>0</v>
      </c>
      <c r="E37" s="3435">
        <v>0</v>
      </c>
      <c r="F37" s="3435">
        <v>0</v>
      </c>
      <c r="G37" s="3435">
        <v>0</v>
      </c>
      <c r="H37" s="3435">
        <v>0</v>
      </c>
      <c r="I37" s="3435">
        <v>0</v>
      </c>
      <c r="J37" s="3435">
        <v>0</v>
      </c>
      <c r="K37" s="3435">
        <v>0</v>
      </c>
      <c r="L37" s="3435">
        <v>0</v>
      </c>
      <c r="M37" s="3435">
        <v>0</v>
      </c>
      <c r="N37" s="3435">
        <v>0</v>
      </c>
      <c r="O37"/>
      <c r="P37"/>
      <c r="Q37"/>
      <c r="R37"/>
      <c r="S37"/>
      <c r="T37"/>
      <c r="U37"/>
      <c r="V37"/>
      <c r="W37"/>
      <c r="X37"/>
      <c r="Y37"/>
      <c r="Z37"/>
      <c r="AA37"/>
      <c r="AB37"/>
      <c r="AC37"/>
      <c r="AD37"/>
      <c r="AE37"/>
      <c r="AF37"/>
      <c r="AG37"/>
      <c r="AH37"/>
      <c r="AI37"/>
      <c r="AJ37"/>
      <c r="AK37"/>
      <c r="AL37"/>
      <c r="AM37"/>
      <c r="AN37"/>
    </row>
    <row r="38" spans="1:79">
      <c r="A38" s="3435" t="s">
        <v>2572</v>
      </c>
      <c r="B38" s="3435" t="s">
        <v>2573</v>
      </c>
      <c r="C38" s="3435">
        <v>0</v>
      </c>
      <c r="D38" s="3435">
        <v>0</v>
      </c>
      <c r="E38" s="3435">
        <v>0</v>
      </c>
      <c r="F38" s="3435">
        <v>0</v>
      </c>
      <c r="G38" s="3435">
        <v>0</v>
      </c>
      <c r="H38" s="3435">
        <v>0</v>
      </c>
      <c r="I38" s="3435">
        <v>0</v>
      </c>
      <c r="J38" s="3435">
        <v>0</v>
      </c>
      <c r="K38" s="3435">
        <v>0</v>
      </c>
      <c r="L38" s="3435">
        <v>0</v>
      </c>
      <c r="M38" s="3435">
        <v>0</v>
      </c>
      <c r="N38" s="3435">
        <v>0</v>
      </c>
      <c r="O38"/>
      <c r="P38"/>
      <c r="Q38"/>
      <c r="R38"/>
      <c r="S38"/>
      <c r="T38"/>
      <c r="U38"/>
      <c r="V38"/>
      <c r="W38"/>
      <c r="X38"/>
      <c r="Y38"/>
      <c r="Z38"/>
      <c r="AA38"/>
      <c r="AB38"/>
      <c r="AC38"/>
      <c r="AD38"/>
      <c r="AE38"/>
      <c r="AF38"/>
      <c r="AG38"/>
      <c r="AH38"/>
      <c r="AI38"/>
      <c r="AJ38"/>
      <c r="AK38"/>
      <c r="AL38"/>
      <c r="AM38"/>
      <c r="AN38"/>
    </row>
    <row r="39" spans="1:79">
      <c r="A39" s="3435" t="s">
        <v>2574</v>
      </c>
      <c r="B39" s="3435" t="s">
        <v>2575</v>
      </c>
      <c r="C39" s="3435">
        <v>0</v>
      </c>
      <c r="D39" s="3435">
        <v>0</v>
      </c>
      <c r="E39" s="3435">
        <v>0</v>
      </c>
      <c r="F39" s="3435">
        <v>0</v>
      </c>
      <c r="G39" s="3435">
        <v>0</v>
      </c>
      <c r="H39" s="3435">
        <v>0</v>
      </c>
      <c r="I39" s="3435">
        <v>0</v>
      </c>
      <c r="J39" s="3435">
        <v>0</v>
      </c>
      <c r="K39" s="3435">
        <v>0</v>
      </c>
      <c r="L39" s="3435">
        <v>0</v>
      </c>
      <c r="M39" s="3435">
        <v>0</v>
      </c>
      <c r="N39" s="3435">
        <v>0</v>
      </c>
      <c r="O39"/>
      <c r="P39"/>
      <c r="Q39"/>
      <c r="R39"/>
      <c r="S39"/>
      <c r="T39"/>
      <c r="U39"/>
      <c r="V39"/>
      <c r="W39"/>
      <c r="X39"/>
      <c r="Y39"/>
      <c r="Z39"/>
      <c r="AA39"/>
      <c r="AB39"/>
      <c r="AC39"/>
      <c r="AD39"/>
      <c r="AE39"/>
      <c r="AF39"/>
      <c r="AG39"/>
      <c r="AH39"/>
      <c r="AI39"/>
      <c r="AJ39"/>
      <c r="AK39"/>
      <c r="AL39"/>
      <c r="AM39"/>
      <c r="AN39"/>
    </row>
    <row r="40" spans="1:79">
      <c r="A40" s="3435" t="s">
        <v>2550</v>
      </c>
      <c r="B40" s="3435" t="s">
        <v>2576</v>
      </c>
      <c r="C40" s="3435">
        <v>0</v>
      </c>
      <c r="D40" s="3435">
        <v>0</v>
      </c>
      <c r="E40" s="3435">
        <v>0</v>
      </c>
      <c r="F40" s="3435">
        <v>0</v>
      </c>
      <c r="G40" s="3435">
        <v>0</v>
      </c>
      <c r="H40" s="3435">
        <v>0</v>
      </c>
      <c r="I40" s="3435">
        <v>0</v>
      </c>
      <c r="J40" s="3435">
        <v>0</v>
      </c>
      <c r="K40" s="3435">
        <v>0</v>
      </c>
      <c r="L40" s="3435">
        <v>0</v>
      </c>
      <c r="M40" s="3435">
        <v>0</v>
      </c>
      <c r="N40" s="3435">
        <v>0</v>
      </c>
      <c r="O40"/>
      <c r="P40"/>
      <c r="Q40"/>
      <c r="R40"/>
      <c r="S40"/>
      <c r="T40"/>
      <c r="U40"/>
      <c r="V40"/>
      <c r="W40"/>
      <c r="X40"/>
      <c r="Y40"/>
      <c r="Z40"/>
      <c r="AA40"/>
      <c r="AB40"/>
      <c r="AC40"/>
      <c r="AD40"/>
      <c r="AE40"/>
      <c r="AF40"/>
      <c r="AG40"/>
      <c r="AH40"/>
      <c r="AI40"/>
      <c r="AJ40"/>
      <c r="AK40"/>
      <c r="AL40"/>
      <c r="AM40"/>
      <c r="AN40"/>
    </row>
    <row r="41" spans="1:79">
      <c r="A41" s="3435" t="s">
        <v>2550</v>
      </c>
      <c r="B41" s="3435" t="s">
        <v>2577</v>
      </c>
      <c r="C41" s="3435">
        <v>0</v>
      </c>
      <c r="D41" s="3435">
        <v>0</v>
      </c>
      <c r="E41" s="3435">
        <v>0</v>
      </c>
      <c r="F41" s="3435">
        <v>0</v>
      </c>
      <c r="G41" s="3435">
        <v>0</v>
      </c>
      <c r="H41" s="3435">
        <v>0</v>
      </c>
      <c r="I41" s="3435">
        <v>0</v>
      </c>
      <c r="J41" s="3435">
        <v>0</v>
      </c>
      <c r="K41" s="3435">
        <v>0</v>
      </c>
      <c r="L41" s="3435">
        <v>0</v>
      </c>
      <c r="M41" s="3435">
        <v>0</v>
      </c>
      <c r="N41" s="3435">
        <v>0</v>
      </c>
      <c r="O41"/>
      <c r="P41"/>
      <c r="Q41"/>
      <c r="R41"/>
      <c r="S41"/>
      <c r="T41"/>
      <c r="U41"/>
      <c r="V41"/>
      <c r="W41"/>
      <c r="X41"/>
      <c r="Y41"/>
      <c r="Z41"/>
      <c r="AA41"/>
      <c r="AB41"/>
      <c r="AC41"/>
      <c r="AD41"/>
      <c r="AE41"/>
      <c r="AF41"/>
      <c r="AG41"/>
      <c r="AH41"/>
      <c r="AI41"/>
      <c r="AJ41"/>
      <c r="AK41"/>
      <c r="AL41"/>
      <c r="AM41"/>
      <c r="AN41"/>
    </row>
    <row r="42" spans="1:79">
      <c r="A42" s="3435" t="s">
        <v>2578</v>
      </c>
      <c r="B42" s="3435" t="s">
        <v>2579</v>
      </c>
      <c r="C42" s="3435">
        <v>0.37069999999999997</v>
      </c>
      <c r="D42" s="3435">
        <v>-0.25340000000000001</v>
      </c>
      <c r="E42" s="3435">
        <v>0.15440000000000001</v>
      </c>
      <c r="F42" s="3435">
        <v>0.25230000000000002</v>
      </c>
      <c r="G42" s="3435">
        <v>0</v>
      </c>
      <c r="H42" s="3435">
        <v>0</v>
      </c>
      <c r="I42" s="3435">
        <v>0</v>
      </c>
      <c r="J42" s="3435">
        <v>0</v>
      </c>
      <c r="K42" s="3435">
        <v>0</v>
      </c>
      <c r="L42" s="3435">
        <v>0</v>
      </c>
      <c r="M42" s="3435">
        <v>0</v>
      </c>
      <c r="N42" s="3435">
        <v>0</v>
      </c>
      <c r="O42"/>
      <c r="P42"/>
      <c r="Q42"/>
      <c r="R42"/>
      <c r="S42"/>
      <c r="T42"/>
      <c r="U42"/>
      <c r="V42"/>
      <c r="W42"/>
      <c r="X42"/>
      <c r="Y42"/>
      <c r="Z42"/>
      <c r="AA42"/>
      <c r="AB42"/>
      <c r="AC42"/>
      <c r="AD42"/>
      <c r="AE42"/>
      <c r="AF42"/>
      <c r="AG42"/>
      <c r="AH42"/>
      <c r="AI42"/>
      <c r="AJ42"/>
      <c r="AK42"/>
      <c r="AL42"/>
      <c r="AM42"/>
      <c r="AN42"/>
    </row>
    <row r="43" spans="1:79">
      <c r="A43" s="3435" t="s">
        <v>2580</v>
      </c>
      <c r="B43" s="3435" t="s">
        <v>2581</v>
      </c>
      <c r="C43" s="3435">
        <v>0</v>
      </c>
      <c r="D43" s="3435">
        <v>0</v>
      </c>
      <c r="E43" s="3435">
        <v>0</v>
      </c>
      <c r="F43" s="3435">
        <v>0</v>
      </c>
      <c r="G43" s="3435">
        <v>0</v>
      </c>
      <c r="H43" s="3435">
        <v>0</v>
      </c>
      <c r="I43" s="3435">
        <v>0</v>
      </c>
      <c r="J43" s="3435">
        <v>0</v>
      </c>
      <c r="K43" s="3435">
        <v>0</v>
      </c>
      <c r="L43" s="3435">
        <v>0</v>
      </c>
      <c r="M43" s="3435">
        <v>0</v>
      </c>
      <c r="N43" s="3435">
        <v>0</v>
      </c>
      <c r="O43"/>
      <c r="P43"/>
      <c r="Q43"/>
      <c r="R43"/>
      <c r="S43"/>
      <c r="T43"/>
      <c r="U43"/>
      <c r="V43"/>
      <c r="W43"/>
      <c r="X43"/>
      <c r="Y43"/>
      <c r="Z43"/>
      <c r="AA43"/>
      <c r="AB43"/>
      <c r="AC43"/>
      <c r="AD43"/>
      <c r="AE43"/>
      <c r="AF43"/>
      <c r="AG43"/>
      <c r="AH43"/>
      <c r="AI43"/>
      <c r="AJ43"/>
      <c r="AK43"/>
      <c r="AL43"/>
      <c r="AM43"/>
      <c r="AN43"/>
    </row>
    <row r="44" spans="1:79">
      <c r="A44" s="3435" t="s">
        <v>1050</v>
      </c>
      <c r="B44" s="3435" t="s">
        <v>2582</v>
      </c>
      <c r="C44" s="3435">
        <v>0</v>
      </c>
      <c r="D44" s="3435">
        <v>0</v>
      </c>
      <c r="E44" s="3435">
        <v>0</v>
      </c>
      <c r="F44" s="3435">
        <v>0</v>
      </c>
      <c r="G44" s="3435">
        <v>0</v>
      </c>
      <c r="H44" s="3435">
        <v>0</v>
      </c>
      <c r="I44" s="3435">
        <v>0</v>
      </c>
      <c r="J44" s="3435">
        <v>0</v>
      </c>
      <c r="K44" s="3435">
        <v>0</v>
      </c>
      <c r="L44" s="3435">
        <v>0</v>
      </c>
      <c r="M44" s="3435">
        <v>0</v>
      </c>
      <c r="N44" s="3435">
        <v>0</v>
      </c>
      <c r="O44"/>
      <c r="P44"/>
      <c r="Q44"/>
      <c r="R44"/>
      <c r="S44"/>
      <c r="T44"/>
      <c r="U44"/>
      <c r="V44"/>
      <c r="W44"/>
      <c r="X44"/>
      <c r="Y44"/>
      <c r="Z44"/>
      <c r="AA44"/>
      <c r="AB44"/>
      <c r="AC44"/>
      <c r="AD44"/>
      <c r="AE44"/>
      <c r="AF44"/>
      <c r="AG44"/>
      <c r="AH44"/>
      <c r="AI44"/>
      <c r="AJ44"/>
      <c r="AK44"/>
      <c r="AL44"/>
      <c r="AM44"/>
      <c r="AN44"/>
    </row>
    <row r="45" spans="1:79">
      <c r="A45" s="3435" t="s">
        <v>2493</v>
      </c>
      <c r="B45" s="3435" t="s">
        <v>2583</v>
      </c>
      <c r="C45" s="3435">
        <v>0</v>
      </c>
      <c r="D45" s="3435">
        <v>0</v>
      </c>
      <c r="E45" s="3435">
        <v>0</v>
      </c>
      <c r="F45" s="3435">
        <v>0</v>
      </c>
      <c r="G45" s="3435">
        <v>0</v>
      </c>
      <c r="H45" s="3435">
        <v>0</v>
      </c>
      <c r="I45" s="3435">
        <v>0</v>
      </c>
      <c r="J45" s="3435">
        <v>0</v>
      </c>
      <c r="K45" s="3435">
        <v>0</v>
      </c>
      <c r="L45" s="3435">
        <v>0</v>
      </c>
      <c r="M45" s="3435">
        <v>0</v>
      </c>
      <c r="N45" s="3435">
        <v>0</v>
      </c>
      <c r="O45"/>
      <c r="P45"/>
      <c r="Q45"/>
      <c r="R45"/>
      <c r="S45"/>
      <c r="T45"/>
      <c r="U45"/>
      <c r="V45"/>
      <c r="W45"/>
      <c r="X45"/>
      <c r="Y45"/>
      <c r="Z45"/>
      <c r="AA45"/>
      <c r="AB45"/>
      <c r="AC45"/>
      <c r="AD45"/>
      <c r="AE45"/>
      <c r="AF45"/>
      <c r="AG45"/>
      <c r="AH45"/>
      <c r="AI45"/>
      <c r="AJ45"/>
      <c r="AK45"/>
      <c r="AL45"/>
      <c r="AM45"/>
      <c r="AN45"/>
    </row>
    <row r="46" spans="1:79">
      <c r="A46" s="3435" t="s">
        <v>2560</v>
      </c>
      <c r="B46" s="3435" t="s">
        <v>2584</v>
      </c>
      <c r="C46" s="3435">
        <v>-0.24640000000000001</v>
      </c>
      <c r="D46" s="3435">
        <v>7.7100000000000002E-2</v>
      </c>
      <c r="E46" s="3435">
        <v>-0.125</v>
      </c>
      <c r="F46" s="3435">
        <v>8.9999999999999993E-3</v>
      </c>
      <c r="G46" s="3435">
        <v>0</v>
      </c>
      <c r="H46" s="3435">
        <v>-0.03</v>
      </c>
      <c r="I46" s="3435">
        <v>0</v>
      </c>
      <c r="J46" s="3435">
        <v>0</v>
      </c>
      <c r="K46" s="3435">
        <v>0</v>
      </c>
      <c r="L46" s="3435">
        <v>0</v>
      </c>
      <c r="M46" s="3435">
        <v>0</v>
      </c>
      <c r="N46" s="3435">
        <v>0</v>
      </c>
      <c r="O46"/>
      <c r="P46"/>
      <c r="Q46"/>
      <c r="R46"/>
      <c r="S46"/>
      <c r="T46"/>
      <c r="U46"/>
      <c r="V46"/>
      <c r="W46"/>
      <c r="X46"/>
      <c r="Y46"/>
      <c r="Z46"/>
      <c r="AA46"/>
      <c r="AB46"/>
      <c r="AC46"/>
      <c r="AD46"/>
      <c r="AE46"/>
      <c r="AF46"/>
      <c r="AG46"/>
      <c r="AH46"/>
      <c r="AI46"/>
      <c r="AJ46"/>
      <c r="AK46"/>
      <c r="AL46"/>
      <c r="AM46"/>
      <c r="AN46"/>
      <c r="AO46" s="3388"/>
      <c r="AP46" s="3388"/>
      <c r="AQ46" s="3388"/>
      <c r="AR46" s="3388"/>
      <c r="AS46" s="3388"/>
      <c r="AT46" s="3388"/>
      <c r="AU46" s="3388"/>
      <c r="AV46" s="3388"/>
      <c r="AW46" s="3388"/>
      <c r="AX46" s="3388"/>
      <c r="AY46" s="3388"/>
      <c r="AZ46" s="3388"/>
      <c r="BA46" s="3388"/>
      <c r="BB46" s="3388"/>
      <c r="BC46" s="3388"/>
      <c r="BD46" s="3388"/>
      <c r="BE46" s="3388"/>
      <c r="BF46" s="3388"/>
      <c r="BG46" s="3388"/>
      <c r="BH46" s="3388"/>
      <c r="BI46" s="3388"/>
      <c r="BJ46" s="3388"/>
      <c r="BK46" s="3388"/>
      <c r="BL46" s="3388"/>
      <c r="BM46" s="3388"/>
      <c r="BN46" s="3388"/>
      <c r="BO46" s="3388"/>
      <c r="BP46" s="3388"/>
      <c r="BQ46" s="3388"/>
      <c r="BR46" s="3388"/>
      <c r="BS46" s="3388"/>
      <c r="BT46" s="3388"/>
      <c r="BU46" s="3388"/>
      <c r="BV46" s="3388"/>
      <c r="BW46" s="3388"/>
      <c r="BX46" s="3388"/>
      <c r="BY46" s="3388"/>
      <c r="BZ46" s="3388"/>
      <c r="CA46" s="3388"/>
    </row>
    <row r="47" spans="1:79">
      <c r="A47" s="3435" t="s">
        <v>2585</v>
      </c>
      <c r="B47" s="3435" t="s">
        <v>2586</v>
      </c>
      <c r="C47" s="3435">
        <v>2.52E-2</v>
      </c>
      <c r="D47" s="3435">
        <v>3.5999999999999999E-3</v>
      </c>
      <c r="E47" s="3435">
        <v>1.54E-2</v>
      </c>
      <c r="F47" s="3435">
        <v>-2.5999999999999999E-2</v>
      </c>
      <c r="G47" s="3435">
        <v>-1E-3</v>
      </c>
      <c r="H47" s="3435">
        <v>8.0000000000000002E-3</v>
      </c>
      <c r="I47" s="3435">
        <v>-0.04</v>
      </c>
      <c r="J47" s="3435">
        <v>0</v>
      </c>
      <c r="K47" s="3435">
        <v>0</v>
      </c>
      <c r="L47" s="3435">
        <v>0</v>
      </c>
      <c r="M47" s="3435">
        <v>0</v>
      </c>
      <c r="N47" s="3435">
        <v>0</v>
      </c>
      <c r="O47"/>
      <c r="P47"/>
      <c r="Q47"/>
      <c r="R47"/>
      <c r="S47"/>
      <c r="T47"/>
      <c r="U47"/>
      <c r="V47"/>
      <c r="W47"/>
      <c r="X47"/>
      <c r="Y47"/>
      <c r="Z47"/>
      <c r="AA47"/>
      <c r="AB47"/>
      <c r="AC47"/>
      <c r="AD47"/>
      <c r="AE47"/>
      <c r="AF47"/>
      <c r="AG47"/>
      <c r="AH47"/>
      <c r="AI47"/>
      <c r="AJ47"/>
      <c r="AK47"/>
      <c r="AL47"/>
      <c r="AM47"/>
      <c r="AN47"/>
      <c r="AO47" s="3388"/>
      <c r="AP47" s="3388"/>
      <c r="AQ47" s="3388"/>
      <c r="AR47" s="3388"/>
      <c r="AS47" s="3388"/>
      <c r="AT47" s="3388"/>
      <c r="AU47" s="3388"/>
      <c r="AV47" s="3388"/>
      <c r="AW47" s="3388"/>
      <c r="AX47" s="3388"/>
      <c r="AY47" s="3388"/>
      <c r="AZ47" s="3388"/>
      <c r="BA47" s="3388"/>
      <c r="BB47" s="3388"/>
      <c r="BC47" s="3388"/>
      <c r="BD47" s="3388"/>
      <c r="BE47" s="3388"/>
      <c r="BF47" s="3388"/>
      <c r="BG47" s="3388"/>
      <c r="BH47" s="3388"/>
      <c r="BI47" s="3388"/>
      <c r="BJ47" s="3388"/>
      <c r="BK47" s="3388"/>
      <c r="BL47" s="3388"/>
      <c r="BM47" s="3388"/>
      <c r="BN47" s="3388"/>
      <c r="BO47" s="3388"/>
      <c r="BP47" s="3388"/>
      <c r="BQ47" s="3388"/>
      <c r="BR47" s="3388"/>
      <c r="BS47" s="3388"/>
      <c r="BT47" s="3388"/>
      <c r="BU47" s="3388"/>
      <c r="BV47" s="3388"/>
      <c r="BW47" s="3388"/>
      <c r="BX47" s="3388"/>
      <c r="BY47" s="3388"/>
      <c r="BZ47" s="3388"/>
      <c r="CA47" s="3388"/>
    </row>
    <row r="48" spans="1:79">
      <c r="A48" s="3435" t="s">
        <v>2587</v>
      </c>
      <c r="B48" s="3435" t="s">
        <v>2495</v>
      </c>
      <c r="C48" s="3435">
        <v>0</v>
      </c>
      <c r="D48" s="3435">
        <v>0</v>
      </c>
      <c r="E48" s="3435">
        <v>0</v>
      </c>
      <c r="F48" s="3435">
        <v>0</v>
      </c>
      <c r="G48" s="3435">
        <v>0</v>
      </c>
      <c r="H48" s="3435">
        <v>0</v>
      </c>
      <c r="I48" s="3435">
        <v>0</v>
      </c>
      <c r="J48" s="3435">
        <v>0</v>
      </c>
      <c r="K48" s="3435">
        <v>0</v>
      </c>
      <c r="L48" s="3435">
        <v>0</v>
      </c>
      <c r="M48" s="3435">
        <v>0</v>
      </c>
      <c r="N48" s="3435">
        <v>0</v>
      </c>
      <c r="O48"/>
      <c r="P48"/>
      <c r="Q48"/>
      <c r="R48"/>
      <c r="S48"/>
      <c r="T48"/>
      <c r="U48"/>
      <c r="V48"/>
      <c r="W48"/>
      <c r="X48"/>
      <c r="Y48"/>
      <c r="Z48"/>
      <c r="AA48"/>
      <c r="AB48"/>
      <c r="AC48"/>
      <c r="AD48"/>
      <c r="AE48"/>
      <c r="AF48"/>
      <c r="AG48"/>
      <c r="AH48"/>
      <c r="AI48"/>
      <c r="AJ48"/>
      <c r="AK48"/>
      <c r="AL48"/>
      <c r="AM48"/>
      <c r="AN48"/>
      <c r="AO48" s="3388"/>
      <c r="AP48" s="3388"/>
      <c r="AQ48" s="3388"/>
      <c r="AR48" s="3388"/>
      <c r="AS48" s="3388"/>
      <c r="AT48" s="3388"/>
      <c r="AU48" s="3388"/>
      <c r="AV48" s="3388"/>
      <c r="AW48" s="3388"/>
      <c r="AX48" s="3388"/>
      <c r="AY48" s="3388"/>
      <c r="AZ48" s="3388"/>
      <c r="BA48" s="3388"/>
      <c r="BB48" s="3388"/>
      <c r="BC48" s="3388"/>
      <c r="BD48" s="3388"/>
      <c r="BE48" s="3388"/>
      <c r="BF48" s="3388"/>
      <c r="BG48" s="3388"/>
      <c r="BH48" s="3388"/>
      <c r="BI48" s="3388"/>
      <c r="BJ48" s="3388"/>
      <c r="BK48" s="3388"/>
      <c r="BL48" s="3388"/>
      <c r="BM48" s="3388"/>
      <c r="BN48" s="3388"/>
      <c r="BO48" s="3388"/>
      <c r="BP48" s="3388"/>
      <c r="BQ48" s="3388"/>
      <c r="BR48" s="3388"/>
      <c r="BS48" s="3388"/>
      <c r="BT48" s="3388"/>
      <c r="BU48" s="3388"/>
      <c r="BV48" s="3388"/>
      <c r="BW48" s="3388"/>
      <c r="BX48" s="3388"/>
      <c r="BY48" s="3388"/>
      <c r="BZ48" s="3388"/>
      <c r="CA48" s="3388"/>
    </row>
    <row r="49" spans="1:79">
      <c r="A49" s="3435" t="s">
        <v>1075</v>
      </c>
      <c r="B49" s="3435" t="s">
        <v>2588</v>
      </c>
      <c r="C49" s="3435">
        <v>0</v>
      </c>
      <c r="D49" s="3435">
        <v>0</v>
      </c>
      <c r="E49" s="3435">
        <v>0</v>
      </c>
      <c r="F49" s="3435">
        <v>0</v>
      </c>
      <c r="G49" s="3435">
        <v>0</v>
      </c>
      <c r="H49" s="3435">
        <v>0</v>
      </c>
      <c r="I49" s="3435">
        <v>0</v>
      </c>
      <c r="J49" s="3435">
        <v>0</v>
      </c>
      <c r="K49" s="3435">
        <v>0</v>
      </c>
      <c r="L49" s="3435">
        <v>0</v>
      </c>
      <c r="M49" s="3435">
        <v>0</v>
      </c>
      <c r="N49" s="3435">
        <v>0</v>
      </c>
      <c r="O49"/>
      <c r="P49"/>
      <c r="Q49"/>
      <c r="R49"/>
      <c r="S49"/>
      <c r="T49"/>
      <c r="U49"/>
      <c r="V49"/>
      <c r="W49"/>
      <c r="X49"/>
      <c r="Y49"/>
      <c r="Z49"/>
      <c r="AA49"/>
      <c r="AB49"/>
      <c r="AC49"/>
      <c r="AD49"/>
      <c r="AE49"/>
      <c r="AF49"/>
      <c r="AG49"/>
      <c r="AH49"/>
      <c r="AI49"/>
      <c r="AJ49"/>
      <c r="AK49"/>
      <c r="AL49"/>
      <c r="AM49"/>
      <c r="AN49"/>
      <c r="AO49" s="3388"/>
      <c r="AP49" s="3388"/>
      <c r="AQ49" s="3388"/>
      <c r="AR49" s="3388"/>
      <c r="AS49" s="3388"/>
      <c r="AT49" s="3388"/>
      <c r="AU49" s="3388"/>
      <c r="AV49" s="3388"/>
      <c r="AW49" s="3388"/>
      <c r="AX49" s="3388"/>
      <c r="AY49" s="3388"/>
      <c r="AZ49" s="3388"/>
      <c r="BA49" s="3388"/>
      <c r="BB49" s="3388"/>
      <c r="BC49" s="3388"/>
      <c r="BD49" s="3388"/>
      <c r="BE49" s="3388"/>
      <c r="BF49" s="3388"/>
      <c r="BG49" s="3388"/>
      <c r="BH49" s="3388"/>
      <c r="BI49" s="3388"/>
      <c r="BJ49" s="3388"/>
      <c r="BK49" s="3388"/>
      <c r="BL49" s="3388"/>
      <c r="BM49" s="3388"/>
      <c r="BN49" s="3388"/>
      <c r="BO49" s="3388"/>
      <c r="BP49" s="3388"/>
      <c r="BQ49" s="3388"/>
      <c r="BR49" s="3388"/>
      <c r="BS49" s="3388"/>
      <c r="BT49" s="3388"/>
      <c r="BU49" s="3388"/>
      <c r="BV49" s="3388"/>
      <c r="BW49" s="3388"/>
      <c r="BX49" s="3388"/>
      <c r="BY49" s="3388"/>
      <c r="BZ49" s="3388"/>
      <c r="CA49" s="3388"/>
    </row>
    <row r="50" spans="1:79">
      <c r="A50" s="3435" t="s">
        <v>1050</v>
      </c>
      <c r="B50" s="3435" t="s">
        <v>2582</v>
      </c>
      <c r="C50" s="3435">
        <v>0</v>
      </c>
      <c r="D50" s="3435">
        <v>0</v>
      </c>
      <c r="E50" s="3435">
        <v>0</v>
      </c>
      <c r="F50" s="3435">
        <v>0</v>
      </c>
      <c r="G50" s="3435">
        <v>0</v>
      </c>
      <c r="H50" s="3435">
        <v>0</v>
      </c>
      <c r="I50" s="3435">
        <v>0</v>
      </c>
      <c r="J50" s="3435">
        <v>0</v>
      </c>
      <c r="K50" s="3435">
        <v>0</v>
      </c>
      <c r="L50" s="3435">
        <v>0</v>
      </c>
      <c r="M50" s="3435">
        <v>0</v>
      </c>
      <c r="N50" s="3435">
        <v>0</v>
      </c>
      <c r="O50" s="3435"/>
      <c r="P50" s="3435"/>
      <c r="Q50" s="3435"/>
      <c r="R50" s="3435"/>
      <c r="S50" s="3435"/>
      <c r="T50" s="3435"/>
      <c r="U50" s="3435"/>
      <c r="V50" s="3435"/>
      <c r="W50" s="3435"/>
      <c r="X50" s="3435"/>
      <c r="Y50" s="3435"/>
      <c r="Z50" s="3435"/>
      <c r="AA50" s="3435"/>
      <c r="AB50" s="3435"/>
      <c r="AC50" s="3435"/>
      <c r="AD50" s="3435"/>
      <c r="AE50" s="3435"/>
      <c r="AF50" s="3435"/>
      <c r="AG50" s="3435"/>
      <c r="AH50" s="3435"/>
      <c r="AI50" s="3435"/>
      <c r="AJ50" s="3435"/>
      <c r="AK50" s="3435"/>
      <c r="AL50" s="3435"/>
      <c r="AM50" s="3435"/>
      <c r="AN50" s="3435"/>
      <c r="AO50" s="3388"/>
      <c r="AP50" s="3388"/>
      <c r="AQ50" s="3388"/>
      <c r="AR50" s="3388"/>
      <c r="AS50" s="3388"/>
      <c r="AT50" s="3388"/>
      <c r="AU50" s="3388"/>
      <c r="AV50" s="3388"/>
      <c r="AW50" s="3388"/>
      <c r="AX50" s="3388"/>
      <c r="AY50" s="3388"/>
      <c r="AZ50" s="3388"/>
      <c r="BA50" s="3388"/>
      <c r="BB50" s="3388"/>
      <c r="BC50" s="3388"/>
      <c r="BD50" s="3388"/>
      <c r="BE50" s="3388"/>
      <c r="BF50" s="3388"/>
      <c r="BG50" s="3388"/>
      <c r="BH50" s="3388"/>
      <c r="BI50" s="3388"/>
      <c r="BJ50" s="3388"/>
      <c r="BK50" s="3388"/>
      <c r="BL50" s="3388"/>
      <c r="BM50" s="3388"/>
      <c r="BN50" s="3388"/>
      <c r="BO50" s="3388"/>
      <c r="BP50" s="3388"/>
      <c r="BQ50" s="3388"/>
      <c r="BR50" s="3388"/>
      <c r="BS50" s="3388"/>
      <c r="BT50" s="3388"/>
      <c r="BU50" s="3388"/>
      <c r="BV50" s="3388"/>
      <c r="BW50" s="3388"/>
      <c r="BX50" s="3388"/>
      <c r="BY50" s="3388"/>
      <c r="BZ50" s="3388"/>
      <c r="CA50" s="3388"/>
    </row>
    <row r="51" spans="1:79">
      <c r="A51" s="3435" t="s">
        <v>2493</v>
      </c>
      <c r="B51" s="3435" t="s">
        <v>2583</v>
      </c>
      <c r="C51" s="3435">
        <v>0</v>
      </c>
      <c r="D51" s="3435">
        <v>0</v>
      </c>
      <c r="E51" s="3435">
        <v>0</v>
      </c>
      <c r="F51" s="3435">
        <v>0</v>
      </c>
      <c r="G51" s="3435">
        <v>0</v>
      </c>
      <c r="H51" s="3435">
        <v>0</v>
      </c>
      <c r="I51" s="3435">
        <v>0</v>
      </c>
      <c r="J51" s="3435">
        <v>0</v>
      </c>
      <c r="K51" s="3435">
        <v>0</v>
      </c>
      <c r="L51" s="3435">
        <v>0</v>
      </c>
      <c r="M51" s="3435">
        <v>0</v>
      </c>
      <c r="N51" s="3435">
        <v>0</v>
      </c>
      <c r="O51" s="3435"/>
      <c r="P51" s="3435"/>
      <c r="Q51" s="3435"/>
      <c r="R51" s="3435"/>
      <c r="S51" s="3435"/>
      <c r="T51" s="3435"/>
      <c r="U51" s="3435"/>
      <c r="V51" s="3435"/>
      <c r="W51" s="3435"/>
      <c r="X51" s="3435"/>
      <c r="Y51" s="3435"/>
      <c r="Z51" s="3435"/>
      <c r="AA51" s="3435"/>
      <c r="AB51" s="3435"/>
      <c r="AC51" s="3435"/>
      <c r="AD51" s="3435"/>
      <c r="AE51" s="3435"/>
      <c r="AF51" s="3435"/>
      <c r="AG51" s="3435"/>
      <c r="AH51" s="3435"/>
      <c r="AI51" s="3435"/>
      <c r="AJ51" s="3435"/>
      <c r="AK51" s="3435"/>
      <c r="AL51" s="3435"/>
      <c r="AM51" s="3435"/>
      <c r="AN51" s="3435"/>
      <c r="AO51" s="3388"/>
      <c r="AP51" s="3388"/>
      <c r="AQ51" s="3388"/>
      <c r="AR51" s="3388"/>
      <c r="AS51" s="3388"/>
      <c r="AT51" s="3388"/>
      <c r="AU51" s="3388"/>
      <c r="AV51" s="3388"/>
      <c r="AW51" s="3388"/>
      <c r="AX51" s="3388"/>
      <c r="AY51" s="3388"/>
      <c r="AZ51" s="3388"/>
      <c r="BA51" s="3388"/>
      <c r="BB51" s="3388"/>
      <c r="BC51" s="3388"/>
      <c r="BD51" s="3388"/>
      <c r="BE51" s="3388"/>
      <c r="BF51" s="3388"/>
      <c r="BG51" s="3388"/>
      <c r="BH51" s="3388"/>
      <c r="BI51" s="3388"/>
      <c r="BJ51" s="3388"/>
      <c r="BK51" s="3388"/>
      <c r="BL51" s="3388"/>
      <c r="BM51" s="3388"/>
      <c r="BN51" s="3388"/>
      <c r="BO51" s="3388"/>
      <c r="BP51" s="3388"/>
      <c r="BQ51" s="3388"/>
      <c r="BR51" s="3388"/>
      <c r="BS51" s="3388"/>
      <c r="BT51" s="3388"/>
      <c r="BU51" s="3388"/>
      <c r="BV51" s="3388"/>
      <c r="BW51" s="3388"/>
      <c r="BX51" s="3388"/>
      <c r="BY51" s="3388"/>
      <c r="BZ51" s="3388"/>
      <c r="CA51" s="3388"/>
    </row>
    <row r="52" spans="1:79">
      <c r="A52" s="3435" t="s">
        <v>2560</v>
      </c>
      <c r="B52" s="3435" t="s">
        <v>2584</v>
      </c>
      <c r="C52" s="3435">
        <v>-246.4</v>
      </c>
      <c r="D52" s="3435">
        <v>77.099999999999994</v>
      </c>
      <c r="E52" s="3435">
        <v>-125</v>
      </c>
      <c r="F52" s="3435">
        <v>9</v>
      </c>
      <c r="G52" s="3435">
        <v>0</v>
      </c>
      <c r="H52" s="3435">
        <v>-30</v>
      </c>
      <c r="I52" s="3435">
        <v>0</v>
      </c>
      <c r="J52" s="3435">
        <v>0</v>
      </c>
      <c r="K52" s="3435">
        <v>0</v>
      </c>
      <c r="L52" s="3435">
        <v>0</v>
      </c>
      <c r="M52" s="3435">
        <v>0</v>
      </c>
      <c r="N52" s="3435">
        <v>0</v>
      </c>
      <c r="AB52" s="3388"/>
      <c r="AC52" s="3388"/>
      <c r="AD52" s="3388"/>
      <c r="AE52" s="3388"/>
      <c r="AF52" s="3388"/>
      <c r="AG52" s="3388"/>
      <c r="AH52" s="3388"/>
      <c r="AI52" s="3388"/>
      <c r="AJ52" s="3388"/>
      <c r="AK52" s="3388"/>
      <c r="AL52" s="3388"/>
      <c r="AM52" s="3388"/>
      <c r="AN52" s="3388"/>
      <c r="AO52" s="3388"/>
      <c r="AP52" s="3388"/>
      <c r="AQ52" s="3388"/>
      <c r="AR52" s="3388"/>
      <c r="AS52" s="3388"/>
      <c r="AT52" s="3388"/>
      <c r="AU52" s="3388"/>
      <c r="AV52" s="3388"/>
      <c r="AW52" s="3388"/>
      <c r="AX52" s="3388"/>
      <c r="AY52" s="3388"/>
      <c r="AZ52" s="3388"/>
      <c r="BA52" s="3388"/>
      <c r="BB52" s="3388"/>
      <c r="BC52" s="3388"/>
      <c r="BD52" s="3388"/>
      <c r="BE52" s="3388"/>
      <c r="BF52" s="3388"/>
      <c r="BG52" s="3388"/>
      <c r="BH52" s="3388"/>
      <c r="BI52" s="3388"/>
      <c r="BJ52" s="3388"/>
      <c r="BK52" s="3388"/>
      <c r="BL52" s="3388"/>
      <c r="BM52" s="3388"/>
      <c r="BN52" s="3388"/>
      <c r="BO52" s="3388"/>
      <c r="BP52" s="3388"/>
      <c r="BQ52" s="3388"/>
      <c r="BR52" s="3388"/>
      <c r="BS52" s="3388"/>
      <c r="BT52" s="3388"/>
      <c r="BU52" s="3388"/>
      <c r="BV52" s="3388"/>
      <c r="BW52" s="3388"/>
      <c r="BX52" s="3388"/>
      <c r="BY52" s="3388"/>
      <c r="BZ52" s="3388"/>
      <c r="CA52" s="3388"/>
    </row>
    <row r="53" spans="1:79">
      <c r="A53" s="3435" t="s">
        <v>2585</v>
      </c>
      <c r="B53" s="3435" t="s">
        <v>2586</v>
      </c>
      <c r="C53" s="3435">
        <v>25.2</v>
      </c>
      <c r="D53" s="3435">
        <v>3.6</v>
      </c>
      <c r="E53" s="3435">
        <v>15.4</v>
      </c>
      <c r="F53" s="3435">
        <v>-26</v>
      </c>
      <c r="G53" s="3435">
        <v>-1</v>
      </c>
      <c r="H53" s="3435">
        <v>8</v>
      </c>
      <c r="I53" s="3435">
        <v>-40</v>
      </c>
      <c r="J53" s="3435">
        <v>0</v>
      </c>
      <c r="K53" s="3435">
        <v>0</v>
      </c>
      <c r="L53" s="3435">
        <v>0</v>
      </c>
      <c r="M53" s="3435">
        <v>0</v>
      </c>
      <c r="N53" s="3435">
        <v>0</v>
      </c>
      <c r="AB53" s="3388"/>
      <c r="AC53" s="3388"/>
      <c r="AD53" s="3388"/>
      <c r="AE53" s="3388"/>
      <c r="AF53" s="3388"/>
      <c r="AG53" s="3388"/>
      <c r="AH53" s="3388"/>
      <c r="AI53" s="3388"/>
      <c r="AJ53" s="3388"/>
      <c r="AK53" s="3388"/>
      <c r="AL53" s="3388"/>
      <c r="AM53" s="3388"/>
      <c r="AN53" s="3388"/>
      <c r="AO53" s="3388"/>
      <c r="AP53" s="3388"/>
      <c r="AQ53" s="3388"/>
      <c r="AR53" s="3388"/>
      <c r="AS53" s="3388"/>
      <c r="AT53" s="3388"/>
      <c r="AU53" s="3388"/>
      <c r="AV53" s="3388"/>
      <c r="AW53" s="3388"/>
      <c r="AX53" s="3388"/>
      <c r="AY53" s="3388"/>
      <c r="AZ53" s="3388"/>
      <c r="BA53" s="3388"/>
      <c r="BB53" s="3388"/>
      <c r="BC53" s="3388"/>
      <c r="BD53" s="3388"/>
      <c r="BE53" s="3388"/>
      <c r="BF53" s="3388"/>
      <c r="BG53" s="3388"/>
      <c r="BH53" s="3388"/>
      <c r="BI53" s="3388"/>
      <c r="BJ53" s="3388"/>
      <c r="BK53" s="3388"/>
      <c r="BL53" s="3388"/>
      <c r="BM53" s="3388"/>
      <c r="BN53" s="3388"/>
      <c r="BO53" s="3388"/>
      <c r="BP53" s="3388"/>
      <c r="BQ53" s="3388"/>
      <c r="BR53" s="3388"/>
      <c r="BS53" s="3388"/>
      <c r="BT53" s="3388"/>
      <c r="BU53" s="3388"/>
      <c r="BV53" s="3388"/>
      <c r="BW53" s="3388"/>
      <c r="BX53" s="3388"/>
      <c r="BY53" s="3388"/>
      <c r="BZ53" s="3388"/>
      <c r="CA53" s="3388"/>
    </row>
    <row r="54" spans="1:79">
      <c r="A54" s="3435" t="s">
        <v>2587</v>
      </c>
      <c r="B54" s="3435" t="s">
        <v>2495</v>
      </c>
      <c r="C54" s="3435">
        <v>0</v>
      </c>
      <c r="D54" s="3435">
        <v>0</v>
      </c>
      <c r="E54" s="3435">
        <v>0</v>
      </c>
      <c r="F54" s="3435">
        <v>0</v>
      </c>
      <c r="G54" s="3435">
        <v>0</v>
      </c>
      <c r="H54" s="3435">
        <v>0</v>
      </c>
      <c r="I54" s="3435">
        <v>0</v>
      </c>
      <c r="J54" s="3435">
        <v>0</v>
      </c>
      <c r="K54" s="3435">
        <v>0</v>
      </c>
      <c r="L54" s="3435">
        <v>0</v>
      </c>
      <c r="M54" s="3435">
        <v>0</v>
      </c>
      <c r="N54" s="3435">
        <v>0</v>
      </c>
      <c r="AB54" s="3388"/>
      <c r="AC54" s="3388"/>
      <c r="AD54" s="3388"/>
      <c r="AE54" s="3388"/>
      <c r="AF54" s="3388"/>
      <c r="AG54" s="3388"/>
      <c r="AH54" s="3388"/>
      <c r="AI54" s="3388"/>
      <c r="AJ54" s="3388"/>
      <c r="AK54" s="3388"/>
      <c r="AL54" s="3388"/>
      <c r="AM54" s="3388"/>
      <c r="AN54" s="3388"/>
      <c r="AO54" s="3388"/>
      <c r="AP54" s="3388"/>
      <c r="AQ54" s="3388"/>
      <c r="AR54" s="3388"/>
      <c r="AS54" s="3388"/>
      <c r="AT54" s="3388"/>
      <c r="AU54" s="3388"/>
      <c r="AV54" s="3388"/>
      <c r="AW54" s="3388"/>
      <c r="AX54" s="3388"/>
      <c r="AY54" s="3388"/>
      <c r="AZ54" s="3388"/>
      <c r="BA54" s="3388"/>
      <c r="BB54" s="3388"/>
      <c r="BC54" s="3388"/>
      <c r="BD54" s="3388"/>
      <c r="BE54" s="3388"/>
      <c r="BF54" s="3388"/>
      <c r="BG54" s="3388"/>
      <c r="BH54" s="3388"/>
      <c r="BI54" s="3388"/>
      <c r="BJ54" s="3388"/>
      <c r="BK54" s="3388"/>
      <c r="BL54" s="3388"/>
      <c r="BM54" s="3388"/>
      <c r="BN54" s="3388"/>
      <c r="BO54" s="3388"/>
      <c r="BP54" s="3388"/>
      <c r="BQ54" s="3388"/>
      <c r="BR54" s="3388"/>
      <c r="BS54" s="3388"/>
      <c r="BT54" s="3388"/>
      <c r="BU54" s="3388"/>
      <c r="BV54" s="3388"/>
      <c r="BW54" s="3388"/>
      <c r="BX54" s="3388"/>
      <c r="BY54" s="3388"/>
      <c r="BZ54" s="3388"/>
      <c r="CA54" s="3388"/>
    </row>
    <row r="55" spans="1:79">
      <c r="A55" s="3435" t="s">
        <v>1075</v>
      </c>
      <c r="B55" s="3435" t="s">
        <v>2588</v>
      </c>
      <c r="C55" s="3435">
        <v>0</v>
      </c>
      <c r="D55" s="3435">
        <v>0</v>
      </c>
      <c r="E55" s="3435">
        <v>0</v>
      </c>
      <c r="F55" s="3435">
        <v>0</v>
      </c>
      <c r="G55" s="3435">
        <v>0</v>
      </c>
      <c r="H55" s="3435">
        <v>0</v>
      </c>
      <c r="I55" s="3435">
        <v>0</v>
      </c>
      <c r="J55" s="3435">
        <v>0</v>
      </c>
      <c r="K55" s="3435">
        <v>0</v>
      </c>
      <c r="L55" s="3435">
        <v>0</v>
      </c>
      <c r="M55" s="3435">
        <v>0</v>
      </c>
      <c r="N55" s="3435">
        <v>0</v>
      </c>
      <c r="AB55" s="3388"/>
      <c r="AC55" s="3388"/>
      <c r="AD55" s="3388"/>
      <c r="AE55" s="3388"/>
      <c r="AF55" s="3388"/>
      <c r="AG55" s="3388"/>
      <c r="AH55" s="3388"/>
      <c r="AI55" s="3388"/>
      <c r="AJ55" s="3388"/>
      <c r="AK55" s="3388"/>
      <c r="AL55" s="3388"/>
      <c r="AM55" s="3388"/>
      <c r="AN55" s="3388"/>
      <c r="AO55" s="3388"/>
      <c r="AP55" s="3388"/>
      <c r="AQ55" s="3388"/>
      <c r="AR55" s="3388"/>
      <c r="AS55" s="3388"/>
      <c r="AT55" s="3388"/>
      <c r="AU55" s="3388"/>
      <c r="AV55" s="3388"/>
      <c r="AW55" s="3388"/>
      <c r="AX55" s="3388"/>
      <c r="AY55" s="3388"/>
      <c r="AZ55" s="3388"/>
      <c r="BA55" s="3388"/>
      <c r="BB55" s="3388"/>
      <c r="BC55" s="3388"/>
      <c r="BD55" s="3388"/>
      <c r="BE55" s="3388"/>
      <c r="BF55" s="3388"/>
      <c r="BG55" s="3388"/>
      <c r="BH55" s="3388"/>
      <c r="BI55" s="3388"/>
      <c r="BJ55" s="3388"/>
      <c r="BK55" s="3388"/>
      <c r="BL55" s="3388"/>
      <c r="BM55" s="3388"/>
      <c r="BN55" s="3388"/>
      <c r="BO55" s="3388"/>
      <c r="BP55" s="3388"/>
      <c r="BQ55" s="3388"/>
      <c r="BR55" s="3388"/>
      <c r="BS55" s="3388"/>
      <c r="BT55" s="3388"/>
      <c r="BU55" s="3388"/>
      <c r="BV55" s="3388"/>
      <c r="BW55" s="3388"/>
      <c r="BX55" s="3388"/>
      <c r="BY55" s="3388"/>
      <c r="BZ55" s="3388"/>
      <c r="CA55" s="3388"/>
    </row>
    <row r="56" spans="1:79">
      <c r="A56" s="3435" t="s">
        <v>2522</v>
      </c>
      <c r="B56" s="3435"/>
      <c r="C56" s="3435"/>
      <c r="D56" s="3435"/>
      <c r="E56" s="3435"/>
      <c r="F56" s="3435"/>
      <c r="G56" s="3435"/>
      <c r="H56" s="3435"/>
      <c r="I56" s="3435"/>
      <c r="J56" s="3435"/>
      <c r="K56" s="3435"/>
      <c r="L56" s="3435"/>
      <c r="M56" s="3435"/>
      <c r="N56" s="3435"/>
      <c r="AB56" s="3388"/>
      <c r="AC56" s="3388"/>
      <c r="AD56" s="3388"/>
      <c r="AE56" s="3388"/>
      <c r="AF56" s="3388"/>
      <c r="AG56" s="3388"/>
      <c r="AH56" s="3388"/>
      <c r="AI56" s="3388"/>
      <c r="AJ56" s="3388"/>
      <c r="AK56" s="3388"/>
      <c r="AL56" s="3388"/>
      <c r="AM56" s="3388"/>
      <c r="AN56" s="3388"/>
      <c r="AO56" s="3388"/>
      <c r="AP56" s="3388"/>
      <c r="AQ56" s="3388"/>
      <c r="AR56" s="3388"/>
      <c r="AS56" s="3388"/>
      <c r="AT56" s="3388"/>
      <c r="AU56" s="3388"/>
      <c r="AV56" s="3388"/>
      <c r="AW56" s="3388"/>
      <c r="AX56" s="3388"/>
      <c r="AY56" s="3388"/>
      <c r="AZ56" s="3388"/>
      <c r="BA56" s="3388"/>
      <c r="BB56" s="3388"/>
      <c r="BC56" s="3388"/>
      <c r="BD56" s="3388"/>
      <c r="BE56" s="3388"/>
      <c r="BF56" s="3388"/>
      <c r="BG56" s="3388"/>
      <c r="BH56" s="3388"/>
      <c r="BI56" s="3388"/>
      <c r="BJ56" s="3388"/>
      <c r="BK56" s="3388"/>
      <c r="BL56" s="3388"/>
      <c r="BM56" s="3388"/>
      <c r="BN56" s="3388"/>
      <c r="BO56" s="3388"/>
      <c r="BP56" s="3388"/>
      <c r="BQ56" s="3388"/>
      <c r="BR56" s="3388"/>
      <c r="BS56" s="3388"/>
      <c r="BT56" s="3388"/>
      <c r="BU56" s="3388"/>
      <c r="BV56" s="3388"/>
      <c r="BW56" s="3388"/>
      <c r="BX56" s="3388"/>
      <c r="BY56" s="3388"/>
      <c r="BZ56" s="3388"/>
      <c r="CA56" s="3388"/>
    </row>
    <row r="57" spans="1:79">
      <c r="A57" s="3435" t="s">
        <v>2524</v>
      </c>
      <c r="B57" s="3435"/>
      <c r="C57" s="3435"/>
      <c r="D57" s="3435"/>
      <c r="E57" s="3435"/>
      <c r="F57" s="3435"/>
      <c r="G57" s="3435"/>
      <c r="H57" s="3435"/>
      <c r="I57" s="3435"/>
      <c r="J57" s="3435"/>
      <c r="K57" s="3435"/>
      <c r="L57" s="3435"/>
      <c r="M57" s="3435"/>
      <c r="N57" s="3435"/>
      <c r="AB57" s="3388"/>
      <c r="AC57" s="3388"/>
      <c r="AD57" s="3388"/>
      <c r="AE57" s="3388"/>
      <c r="AF57" s="3388"/>
      <c r="AG57" s="3388"/>
      <c r="AH57" s="3388"/>
      <c r="AI57" s="3388"/>
      <c r="AJ57" s="3388"/>
      <c r="AK57" s="3388"/>
      <c r="AL57" s="3388"/>
      <c r="AM57" s="3388"/>
      <c r="AN57" s="3388"/>
      <c r="AO57" s="3388"/>
      <c r="AP57" s="3388"/>
      <c r="AQ57" s="3388"/>
      <c r="AR57" s="3388"/>
      <c r="AS57" s="3388"/>
      <c r="AT57" s="3388"/>
      <c r="AU57" s="3388"/>
      <c r="AV57" s="3388"/>
      <c r="AW57" s="3388"/>
      <c r="AX57" s="3388"/>
      <c r="AY57" s="3388"/>
      <c r="AZ57" s="3388"/>
      <c r="BA57" s="3388"/>
      <c r="BB57" s="3388"/>
      <c r="BC57" s="3388"/>
      <c r="BD57" s="3388"/>
      <c r="BE57" s="3388"/>
      <c r="BF57" s="3388"/>
      <c r="BG57" s="3388"/>
      <c r="BH57" s="3388"/>
      <c r="BI57" s="3388"/>
      <c r="BJ57" s="3388"/>
      <c r="BK57" s="3388"/>
      <c r="BL57" s="3388"/>
      <c r="BM57" s="3388"/>
      <c r="BN57" s="3388"/>
      <c r="BO57" s="3388"/>
      <c r="BP57" s="3388"/>
      <c r="BQ57" s="3388"/>
      <c r="BR57" s="3388"/>
      <c r="BS57" s="3388"/>
      <c r="BT57" s="3388"/>
      <c r="BU57" s="3388"/>
      <c r="BV57" s="3388"/>
      <c r="BW57" s="3388"/>
      <c r="BX57" s="3388"/>
      <c r="BY57" s="3388"/>
      <c r="BZ57" s="3388"/>
      <c r="CA57" s="3388"/>
    </row>
    <row r="58" spans="1:79">
      <c r="A58" s="3435" t="s">
        <v>2526</v>
      </c>
      <c r="B58" s="3435"/>
      <c r="C58" s="3435"/>
      <c r="D58" s="3435"/>
      <c r="E58" s="3435"/>
      <c r="F58" s="3435"/>
      <c r="G58" s="3435"/>
      <c r="H58" s="3435"/>
      <c r="I58" s="3435"/>
      <c r="J58" s="3435"/>
      <c r="K58" s="3435"/>
      <c r="L58" s="3435"/>
      <c r="M58" s="3435"/>
      <c r="N58" s="3435"/>
      <c r="AB58" s="3388"/>
      <c r="AC58" s="3388"/>
      <c r="AD58" s="3388"/>
      <c r="AE58" s="3388"/>
      <c r="AF58" s="3388"/>
      <c r="AG58" s="3388"/>
      <c r="AH58" s="3388"/>
      <c r="AI58" s="3388"/>
      <c r="AJ58" s="3388"/>
      <c r="AK58" s="3388"/>
      <c r="AL58" s="3388"/>
      <c r="AM58" s="3388"/>
      <c r="AN58" s="3388"/>
      <c r="AO58" s="3388"/>
      <c r="AP58" s="3388"/>
      <c r="AQ58" s="3388"/>
      <c r="AR58" s="3388"/>
      <c r="AS58" s="3388"/>
      <c r="AT58" s="3388"/>
      <c r="AU58" s="3388"/>
      <c r="AV58" s="3388"/>
      <c r="AW58" s="3388"/>
      <c r="AX58" s="3388"/>
      <c r="AY58" s="3388"/>
      <c r="AZ58" s="3388"/>
      <c r="BA58" s="3388"/>
      <c r="BB58" s="3388"/>
      <c r="BC58" s="3388"/>
      <c r="BD58" s="3388"/>
      <c r="BE58" s="3388"/>
      <c r="BF58" s="3388"/>
      <c r="BG58" s="3388"/>
      <c r="BH58" s="3388"/>
      <c r="BI58" s="3388"/>
      <c r="BJ58" s="3388"/>
      <c r="BK58" s="3388"/>
      <c r="BL58" s="3388"/>
      <c r="BM58" s="3388"/>
      <c r="BN58" s="3388"/>
      <c r="BO58" s="3388"/>
      <c r="BP58" s="3388"/>
      <c r="BQ58" s="3388"/>
      <c r="BR58" s="3388"/>
      <c r="BS58" s="3388"/>
      <c r="BT58" s="3388"/>
      <c r="BU58" s="3388"/>
      <c r="BV58" s="3388"/>
      <c r="BW58" s="3388"/>
      <c r="BX58" s="3388"/>
      <c r="BY58" s="3388"/>
      <c r="BZ58" s="3388"/>
      <c r="CA58" s="3388"/>
    </row>
    <row r="59" spans="1:79">
      <c r="A59" s="3435" t="s">
        <v>2528</v>
      </c>
      <c r="B59" s="3435"/>
      <c r="C59" s="3435"/>
      <c r="D59" s="3435"/>
      <c r="E59" s="3435"/>
      <c r="F59" s="3435"/>
      <c r="G59" s="3435"/>
      <c r="H59" s="3435"/>
      <c r="I59" s="3435"/>
      <c r="J59" s="3435"/>
      <c r="K59" s="3435"/>
      <c r="L59" s="3435"/>
      <c r="M59" s="3435"/>
      <c r="N59" s="3435"/>
      <c r="AB59" s="3388"/>
      <c r="AC59" s="3388"/>
      <c r="AD59" s="3388"/>
      <c r="AE59" s="3388"/>
      <c r="AF59" s="3388"/>
      <c r="AG59" s="3388"/>
      <c r="AH59" s="3388"/>
      <c r="AI59" s="3388"/>
      <c r="AJ59" s="3388"/>
      <c r="AK59" s="3388"/>
      <c r="AL59" s="3388"/>
      <c r="AM59" s="3388"/>
      <c r="AN59" s="3388"/>
      <c r="AO59" s="3388"/>
      <c r="AP59" s="3388"/>
      <c r="AQ59" s="3388"/>
      <c r="AR59" s="3388"/>
      <c r="AS59" s="3388"/>
      <c r="AT59" s="3388"/>
      <c r="AU59" s="3388"/>
      <c r="AV59" s="3388"/>
      <c r="AW59" s="3388"/>
      <c r="AX59" s="3388"/>
      <c r="AY59" s="3388"/>
      <c r="AZ59" s="3388"/>
      <c r="BA59" s="3388"/>
      <c r="BB59" s="3388"/>
      <c r="BC59" s="3388"/>
      <c r="BD59" s="3388"/>
      <c r="BE59" s="3388"/>
      <c r="BF59" s="3388"/>
      <c r="BG59" s="3388"/>
      <c r="BH59" s="3388"/>
      <c r="BI59" s="3388"/>
      <c r="BJ59" s="3388"/>
      <c r="BK59" s="3388"/>
      <c r="BL59" s="3388"/>
      <c r="BM59" s="3388"/>
      <c r="BN59" s="3388"/>
      <c r="BO59" s="3388"/>
      <c r="BP59" s="3388"/>
      <c r="BQ59" s="3388"/>
      <c r="BR59" s="3388"/>
      <c r="BS59" s="3388"/>
      <c r="BT59" s="3388"/>
      <c r="BU59" s="3388"/>
      <c r="BV59" s="3388"/>
      <c r="BW59" s="3388"/>
      <c r="BX59" s="3388"/>
      <c r="BY59" s="3388"/>
      <c r="BZ59" s="3388"/>
      <c r="CA59" s="3388"/>
    </row>
    <row r="60" spans="1:79">
      <c r="A60" s="3435" t="s">
        <v>2469</v>
      </c>
      <c r="B60" s="3435"/>
      <c r="C60" s="3435"/>
      <c r="D60" s="3435"/>
      <c r="E60" s="3435"/>
      <c r="F60" s="3435"/>
      <c r="G60" s="3435"/>
      <c r="H60" s="3435"/>
      <c r="I60" s="3435"/>
      <c r="J60" s="3435"/>
      <c r="K60" s="3435"/>
      <c r="L60" s="3435"/>
      <c r="M60" s="3435"/>
      <c r="N60" s="3435"/>
      <c r="AB60" s="3388"/>
      <c r="AC60" s="3388"/>
      <c r="AD60" s="3388"/>
      <c r="AE60" s="3388"/>
      <c r="AF60" s="3388"/>
      <c r="AG60" s="3388"/>
      <c r="AH60" s="3388"/>
      <c r="AI60" s="3388"/>
      <c r="AJ60" s="3388"/>
      <c r="AK60" s="3388"/>
      <c r="AL60" s="3388"/>
      <c r="AM60" s="3388"/>
      <c r="AN60" s="3388"/>
      <c r="AO60" s="3388"/>
      <c r="AP60" s="3388"/>
      <c r="AQ60" s="3388"/>
      <c r="AR60" s="3388"/>
      <c r="AS60" s="3388"/>
      <c r="AT60" s="3388"/>
      <c r="AU60" s="3388"/>
      <c r="AV60" s="3388"/>
      <c r="AW60" s="3388"/>
      <c r="AX60" s="3388"/>
      <c r="AY60" s="3388"/>
      <c r="AZ60" s="3388"/>
      <c r="BA60" s="3388"/>
      <c r="BB60" s="3388"/>
      <c r="BC60" s="3388"/>
      <c r="BD60" s="3388"/>
      <c r="BE60" s="3388"/>
      <c r="BF60" s="3388"/>
      <c r="BG60" s="3388"/>
      <c r="BH60" s="3388"/>
      <c r="BI60" s="3388"/>
      <c r="BJ60" s="3388"/>
      <c r="BK60" s="3388"/>
      <c r="BL60" s="3388"/>
      <c r="BM60" s="3388"/>
      <c r="BN60" s="3388"/>
      <c r="BO60" s="3388"/>
      <c r="BP60" s="3388"/>
      <c r="BQ60" s="3388"/>
      <c r="BR60" s="3388"/>
      <c r="BS60" s="3388"/>
      <c r="BT60" s="3388"/>
      <c r="BU60" s="3388"/>
      <c r="BV60" s="3388"/>
      <c r="BW60" s="3388"/>
      <c r="BX60" s="3388"/>
      <c r="BY60" s="3388"/>
      <c r="BZ60" s="3388"/>
      <c r="CA60" s="3388"/>
    </row>
    <row r="61" spans="1:79">
      <c r="A61" s="3435" t="s">
        <v>2470</v>
      </c>
      <c r="B61" s="3435"/>
      <c r="C61" s="3435"/>
      <c r="D61" s="3435"/>
      <c r="E61" s="3435"/>
      <c r="F61" s="3435"/>
      <c r="G61" s="3435"/>
      <c r="H61" s="3435"/>
      <c r="I61" s="3435"/>
      <c r="J61" s="3435"/>
      <c r="K61" s="3435"/>
      <c r="L61" s="3435"/>
      <c r="M61" s="3435"/>
      <c r="N61" s="3435"/>
      <c r="AB61" s="3388"/>
      <c r="AC61" s="3388"/>
      <c r="AD61" s="3388"/>
      <c r="AE61" s="3388"/>
      <c r="AF61" s="3388"/>
      <c r="AG61" s="3388"/>
      <c r="AH61" s="3388"/>
      <c r="AI61" s="3388"/>
      <c r="AJ61" s="3388"/>
      <c r="AK61" s="3388"/>
      <c r="AL61" s="3388"/>
      <c r="AM61" s="3388"/>
      <c r="AN61" s="3388"/>
      <c r="AO61" s="3388"/>
      <c r="AP61" s="3388"/>
      <c r="AQ61" s="3388"/>
      <c r="AR61" s="3388"/>
      <c r="AS61" s="3388"/>
      <c r="AT61" s="3388"/>
      <c r="AU61" s="3388"/>
      <c r="AV61" s="3388"/>
      <c r="AW61" s="3388"/>
      <c r="AX61" s="3388"/>
      <c r="AY61" s="3388"/>
      <c r="AZ61" s="3388"/>
      <c r="BA61" s="3388"/>
      <c r="BB61" s="3388"/>
      <c r="BC61" s="3388"/>
      <c r="BD61" s="3388"/>
      <c r="BE61" s="3388"/>
      <c r="BF61" s="3388"/>
      <c r="BG61" s="3388"/>
      <c r="BH61" s="3388"/>
      <c r="BI61" s="3388"/>
      <c r="BJ61" s="3388"/>
      <c r="BK61" s="3388"/>
      <c r="BL61" s="3388"/>
      <c r="BM61" s="3388"/>
      <c r="BN61" s="3388"/>
      <c r="BO61" s="3388"/>
      <c r="BP61" s="3388"/>
      <c r="BQ61" s="3388"/>
      <c r="BR61" s="3388"/>
      <c r="BS61" s="3388"/>
      <c r="BT61" s="3388"/>
      <c r="BU61" s="3388"/>
      <c r="BV61" s="3388"/>
      <c r="BW61" s="3388"/>
      <c r="BX61" s="3388"/>
      <c r="BY61" s="3388"/>
      <c r="BZ61" s="3388"/>
      <c r="CA61" s="3388"/>
    </row>
    <row r="62" spans="1:79">
      <c r="A62" s="3435" t="s">
        <v>2471</v>
      </c>
      <c r="B62" s="3435"/>
      <c r="C62" s="3435"/>
      <c r="D62" s="3435"/>
      <c r="E62" s="3435"/>
      <c r="F62" s="3435"/>
      <c r="G62" s="3435"/>
      <c r="H62" s="3435"/>
      <c r="I62" s="3435"/>
      <c r="J62" s="3435"/>
      <c r="K62" s="3435"/>
      <c r="L62" s="3435"/>
      <c r="M62" s="3435"/>
      <c r="N62" s="3435"/>
      <c r="AB62" s="3388"/>
      <c r="AC62" s="3388"/>
      <c r="AD62" s="3388"/>
      <c r="AE62" s="3388"/>
      <c r="AF62" s="3388"/>
      <c r="AG62" s="3388"/>
      <c r="AH62" s="3388"/>
      <c r="AI62" s="3388"/>
      <c r="AJ62" s="3388"/>
      <c r="AK62" s="3388"/>
      <c r="AL62" s="3388"/>
      <c r="AM62" s="3388"/>
      <c r="AN62" s="3388"/>
      <c r="AO62" s="3388"/>
      <c r="AP62" s="3388"/>
      <c r="AQ62" s="3388"/>
      <c r="AR62" s="3388"/>
      <c r="AS62" s="3388"/>
      <c r="AT62" s="3388"/>
      <c r="AU62" s="3388"/>
      <c r="AV62" s="3388"/>
      <c r="AW62" s="3388"/>
      <c r="AX62" s="3388"/>
      <c r="AY62" s="3388"/>
      <c r="AZ62" s="3388"/>
      <c r="BA62" s="3388"/>
      <c r="BB62" s="3388"/>
      <c r="BC62" s="3388"/>
      <c r="BD62" s="3388"/>
      <c r="BE62" s="3388"/>
      <c r="BF62" s="3388"/>
      <c r="BG62" s="3388"/>
      <c r="BH62" s="3388"/>
      <c r="BI62" s="3388"/>
      <c r="BJ62" s="3388"/>
      <c r="BK62" s="3388"/>
      <c r="BL62" s="3388"/>
      <c r="BM62" s="3388"/>
      <c r="BN62" s="3388"/>
      <c r="BO62" s="3388"/>
      <c r="BP62" s="3388"/>
      <c r="BQ62" s="3388"/>
      <c r="BR62" s="3388"/>
      <c r="BS62" s="3388"/>
      <c r="BT62" s="3388"/>
      <c r="BU62" s="3388"/>
      <c r="BV62" s="3388"/>
      <c r="BW62" s="3388"/>
      <c r="BX62" s="3388"/>
      <c r="BY62" s="3388"/>
      <c r="BZ62" s="3388"/>
      <c r="CA62" s="3388"/>
    </row>
    <row r="63" spans="1:79">
      <c r="A63" s="3435" t="s">
        <v>2472</v>
      </c>
      <c r="B63" s="3435"/>
      <c r="C63" s="3435"/>
      <c r="D63" s="3435"/>
      <c r="E63" s="3435"/>
      <c r="F63" s="3435"/>
      <c r="G63" s="3435"/>
      <c r="H63" s="3435"/>
      <c r="I63" s="3435"/>
      <c r="J63" s="3435"/>
      <c r="K63" s="3435"/>
      <c r="L63" s="3435"/>
      <c r="M63" s="3435"/>
      <c r="N63" s="3435"/>
      <c r="AB63" s="3388"/>
      <c r="AC63" s="3388"/>
      <c r="AD63" s="3388"/>
      <c r="AE63" s="3388"/>
      <c r="AF63" s="3388"/>
      <c r="AG63" s="3388"/>
      <c r="AH63" s="3388"/>
      <c r="AI63" s="3388"/>
      <c r="AJ63" s="3388"/>
      <c r="AK63" s="3388"/>
      <c r="AL63" s="3388"/>
      <c r="AM63" s="3388"/>
      <c r="AN63" s="3388"/>
      <c r="AO63" s="3388"/>
      <c r="AP63" s="3388"/>
      <c r="AQ63" s="3388"/>
      <c r="AR63" s="3388"/>
      <c r="AS63" s="3388"/>
      <c r="AT63" s="3388"/>
      <c r="AU63" s="3388"/>
      <c r="AV63" s="3388"/>
      <c r="AW63" s="3388"/>
      <c r="AX63" s="3388"/>
      <c r="AY63" s="3388"/>
      <c r="AZ63" s="3388"/>
      <c r="BA63" s="3388"/>
      <c r="BB63" s="3388"/>
      <c r="BC63" s="3388"/>
      <c r="BD63" s="3388"/>
      <c r="BE63" s="3388"/>
      <c r="BF63" s="3388"/>
      <c r="BG63" s="3388"/>
      <c r="BH63" s="3388"/>
      <c r="BI63" s="3388"/>
      <c r="BJ63" s="3388"/>
      <c r="BK63" s="3388"/>
      <c r="BL63" s="3388"/>
      <c r="BM63" s="3388"/>
      <c r="BN63" s="3388"/>
      <c r="BO63" s="3388"/>
      <c r="BP63" s="3388"/>
      <c r="BQ63" s="3388"/>
      <c r="BR63" s="3388"/>
      <c r="BS63" s="3388"/>
      <c r="BT63" s="3388"/>
      <c r="BU63" s="3388"/>
      <c r="BV63" s="3388"/>
      <c r="BW63" s="3388"/>
      <c r="BX63" s="3388"/>
      <c r="BY63" s="3388"/>
      <c r="BZ63" s="3388"/>
      <c r="CA63" s="3388"/>
    </row>
    <row r="64" spans="1:79">
      <c r="A64" s="3435" t="s">
        <v>2473</v>
      </c>
      <c r="B64" s="3435"/>
      <c r="C64" s="3435"/>
      <c r="D64" s="3435"/>
      <c r="E64" s="3435"/>
      <c r="F64" s="3435"/>
      <c r="G64" s="3435"/>
      <c r="H64" s="3435"/>
      <c r="I64" s="3435"/>
      <c r="J64" s="3435"/>
      <c r="K64" s="3435"/>
      <c r="L64" s="3435"/>
      <c r="M64" s="3435"/>
      <c r="N64" s="3435"/>
      <c r="AB64" s="3388"/>
      <c r="AC64" s="3388"/>
      <c r="AD64" s="3388"/>
      <c r="AE64" s="3388"/>
      <c r="AF64" s="3388"/>
      <c r="AG64" s="3388"/>
      <c r="AH64" s="3388"/>
      <c r="AI64" s="3388"/>
      <c r="AJ64" s="3388"/>
      <c r="AK64" s="3388"/>
      <c r="AL64" s="3388"/>
      <c r="AM64" s="3388"/>
      <c r="AN64" s="3388"/>
      <c r="AO64" s="3388"/>
      <c r="AP64" s="3388"/>
      <c r="AQ64" s="3388"/>
      <c r="AR64" s="3388"/>
      <c r="AS64" s="3388"/>
      <c r="AT64" s="3388"/>
      <c r="AU64" s="3388"/>
      <c r="AV64" s="3388"/>
      <c r="AW64" s="3388"/>
      <c r="AX64" s="3388"/>
      <c r="AY64" s="3388"/>
      <c r="AZ64" s="3388"/>
      <c r="BA64" s="3388"/>
      <c r="BB64" s="3388"/>
      <c r="BC64" s="3388"/>
      <c r="BD64" s="3388"/>
      <c r="BE64" s="3388"/>
      <c r="BF64" s="3388"/>
      <c r="BG64" s="3388"/>
      <c r="BH64" s="3388"/>
      <c r="BI64" s="3388"/>
      <c r="BJ64" s="3388"/>
      <c r="BK64" s="3388"/>
      <c r="BL64" s="3388"/>
      <c r="BM64" s="3388"/>
      <c r="BN64" s="3388"/>
      <c r="BO64" s="3388"/>
      <c r="BP64" s="3388"/>
      <c r="BQ64" s="3388"/>
      <c r="BR64" s="3388"/>
      <c r="BS64" s="3388"/>
      <c r="BT64" s="3388"/>
      <c r="BU64" s="3388"/>
      <c r="BV64" s="3388"/>
      <c r="BW64" s="3388"/>
      <c r="BX64" s="3388"/>
      <c r="BY64" s="3388"/>
      <c r="BZ64" s="3388"/>
      <c r="CA64" s="3388"/>
    </row>
    <row r="65" spans="1:79">
      <c r="A65" s="3435" t="s">
        <v>2474</v>
      </c>
      <c r="B65" s="3435"/>
      <c r="C65" s="3435"/>
      <c r="D65" s="3435"/>
      <c r="E65" s="3435"/>
      <c r="F65" s="3435"/>
      <c r="G65" s="3435"/>
      <c r="H65" s="3435"/>
      <c r="I65" s="3435"/>
      <c r="J65" s="3435"/>
      <c r="K65" s="3435"/>
      <c r="L65" s="3435"/>
      <c r="M65" s="3435"/>
      <c r="N65" s="3435"/>
      <c r="AB65" s="3388"/>
      <c r="AC65" s="3388"/>
      <c r="AD65" s="3388"/>
      <c r="AE65" s="3388"/>
      <c r="AF65" s="3388"/>
      <c r="AG65" s="3388"/>
      <c r="AH65" s="3388"/>
      <c r="AI65" s="3388"/>
      <c r="AJ65" s="3388"/>
      <c r="AK65" s="3388"/>
      <c r="AL65" s="3388"/>
      <c r="AM65" s="3388"/>
      <c r="AN65" s="3388"/>
      <c r="AO65" s="3388"/>
      <c r="AP65" s="3388"/>
      <c r="AQ65" s="3388"/>
      <c r="AR65" s="3388"/>
      <c r="AS65" s="3388"/>
      <c r="AT65" s="3388"/>
      <c r="AU65" s="3388"/>
      <c r="AV65" s="3388"/>
      <c r="AW65" s="3388"/>
      <c r="AX65" s="3388"/>
      <c r="AY65" s="3388"/>
      <c r="AZ65" s="3388"/>
      <c r="BA65" s="3388"/>
      <c r="BB65" s="3388"/>
      <c r="BC65" s="3388"/>
      <c r="BD65" s="3388"/>
      <c r="BE65" s="3388"/>
      <c r="BF65" s="3388"/>
      <c r="BG65" s="3388"/>
      <c r="BH65" s="3388"/>
      <c r="BI65" s="3388"/>
      <c r="BJ65" s="3388"/>
      <c r="BK65" s="3388"/>
      <c r="BL65" s="3388"/>
      <c r="BM65" s="3388"/>
      <c r="BN65" s="3388"/>
      <c r="BO65" s="3388"/>
      <c r="BP65" s="3388"/>
      <c r="BQ65" s="3388"/>
      <c r="BR65" s="3388"/>
      <c r="BS65" s="3388"/>
      <c r="BT65" s="3388"/>
      <c r="BU65" s="3388"/>
      <c r="BV65" s="3388"/>
      <c r="BW65" s="3388"/>
      <c r="BX65" s="3388"/>
      <c r="BY65" s="3388"/>
      <c r="BZ65" s="3388"/>
      <c r="CA65" s="3388"/>
    </row>
    <row r="66" spans="1:79">
      <c r="A66" s="3435" t="s">
        <v>2475</v>
      </c>
      <c r="B66" s="3435"/>
      <c r="C66" s="3435"/>
      <c r="D66" s="3435"/>
      <c r="E66" s="3435"/>
      <c r="F66" s="3435"/>
      <c r="G66" s="3435"/>
      <c r="H66" s="3435"/>
      <c r="I66" s="3435"/>
      <c r="J66" s="3435"/>
      <c r="K66" s="3435"/>
      <c r="L66" s="3435"/>
      <c r="M66" s="3435"/>
      <c r="N66" s="3435"/>
      <c r="AB66" s="3388"/>
      <c r="AC66" s="3388"/>
      <c r="AD66" s="3388"/>
      <c r="AE66" s="3388"/>
      <c r="AF66" s="3388"/>
      <c r="AG66" s="3388"/>
      <c r="AH66" s="3388"/>
      <c r="AI66" s="3388"/>
      <c r="AJ66" s="3388"/>
      <c r="AK66" s="3388"/>
      <c r="AL66" s="3388"/>
      <c r="AM66" s="3388"/>
      <c r="AN66" s="3388"/>
      <c r="AO66" s="3388"/>
      <c r="AP66" s="3388"/>
      <c r="AQ66" s="3388"/>
      <c r="AR66" s="3388"/>
      <c r="AS66" s="3388"/>
      <c r="AT66" s="3388"/>
      <c r="AU66" s="3388"/>
      <c r="AV66" s="3388"/>
      <c r="AW66" s="3388"/>
      <c r="AX66" s="3388"/>
      <c r="AY66" s="3388"/>
      <c r="AZ66" s="3388"/>
      <c r="BA66" s="3388"/>
      <c r="BB66" s="3388"/>
      <c r="BC66" s="3388"/>
      <c r="BD66" s="3388"/>
      <c r="BE66" s="3388"/>
      <c r="BF66" s="3388"/>
      <c r="BG66" s="3388"/>
      <c r="BH66" s="3388"/>
      <c r="BI66" s="3388"/>
      <c r="BJ66" s="3388"/>
      <c r="BK66" s="3388"/>
      <c r="BL66" s="3388"/>
      <c r="BM66" s="3388"/>
      <c r="BN66" s="3388"/>
      <c r="BO66" s="3388"/>
      <c r="BP66" s="3388"/>
      <c r="BQ66" s="3388"/>
      <c r="BR66" s="3388"/>
      <c r="BS66" s="3388"/>
      <c r="BT66" s="3388"/>
      <c r="BU66" s="3388"/>
      <c r="BV66" s="3388"/>
      <c r="BW66" s="3388"/>
      <c r="BX66" s="3388"/>
      <c r="BY66" s="3388"/>
      <c r="BZ66" s="3388"/>
      <c r="CA66" s="3388"/>
    </row>
    <row r="67" spans="1:79">
      <c r="A67" s="3435" t="s">
        <v>2476</v>
      </c>
      <c r="B67" s="3435"/>
      <c r="C67" s="3435"/>
      <c r="D67" s="3435"/>
      <c r="E67" s="3435"/>
      <c r="F67" s="3435"/>
      <c r="G67" s="3435"/>
      <c r="H67" s="3435"/>
      <c r="I67" s="3435"/>
      <c r="J67" s="3435"/>
      <c r="K67" s="3435"/>
      <c r="L67" s="3435"/>
      <c r="M67" s="3435"/>
      <c r="N67" s="3435"/>
      <c r="AB67" s="3388"/>
      <c r="AC67" s="3388"/>
      <c r="AD67" s="3388"/>
      <c r="AE67" s="3388"/>
      <c r="AF67" s="3388"/>
      <c r="AG67" s="3388"/>
      <c r="AH67" s="3388"/>
      <c r="AI67" s="3388"/>
      <c r="AJ67" s="3388"/>
      <c r="AK67" s="3388"/>
      <c r="AL67" s="3388"/>
      <c r="AM67" s="3388"/>
      <c r="AN67" s="3388"/>
      <c r="AO67" s="3388"/>
      <c r="AP67" s="3388"/>
      <c r="AQ67" s="3388"/>
      <c r="AR67" s="3388"/>
      <c r="AS67" s="3388"/>
      <c r="AT67" s="3388"/>
      <c r="AU67" s="3388"/>
      <c r="AV67" s="3388"/>
      <c r="AW67" s="3388"/>
      <c r="AX67" s="3388"/>
      <c r="AY67" s="3388"/>
      <c r="AZ67" s="3388"/>
      <c r="BA67" s="3388"/>
      <c r="BB67" s="3388"/>
      <c r="BC67" s="3388"/>
      <c r="BD67" s="3388"/>
      <c r="BE67" s="3388"/>
      <c r="BF67" s="3388"/>
      <c r="BG67" s="3388"/>
      <c r="BH67" s="3388"/>
      <c r="BI67" s="3388"/>
      <c r="BJ67" s="3388"/>
      <c r="BK67" s="3388"/>
      <c r="BL67" s="3388"/>
      <c r="BM67" s="3388"/>
      <c r="BN67" s="3388"/>
      <c r="BO67" s="3388"/>
      <c r="BP67" s="3388"/>
      <c r="BQ67" s="3388"/>
      <c r="BR67" s="3388"/>
      <c r="BS67" s="3388"/>
      <c r="BT67" s="3388"/>
      <c r="BU67" s="3388"/>
      <c r="BV67" s="3388"/>
      <c r="BW67" s="3388"/>
      <c r="BX67" s="3388"/>
      <c r="BY67" s="3388"/>
      <c r="BZ67" s="3388"/>
      <c r="CA67" s="3388"/>
    </row>
    <row r="68" spans="1:79">
      <c r="A68" s="3435" t="s">
        <v>2477</v>
      </c>
      <c r="B68" s="3435"/>
      <c r="C68" s="3435"/>
      <c r="D68" s="3435"/>
      <c r="E68" s="3435"/>
      <c r="F68" s="3435"/>
      <c r="G68" s="3435"/>
      <c r="H68" s="3435"/>
      <c r="I68" s="3435"/>
      <c r="J68" s="3435"/>
      <c r="K68" s="3435"/>
      <c r="L68" s="3435"/>
      <c r="M68" s="3435"/>
      <c r="N68" s="3435"/>
      <c r="AB68" s="3388"/>
      <c r="AC68" s="3388"/>
      <c r="AD68" s="3388"/>
      <c r="AE68" s="3388"/>
      <c r="AF68" s="3388"/>
      <c r="AG68" s="3388"/>
      <c r="AH68" s="3388"/>
      <c r="AI68" s="3388"/>
      <c r="AJ68" s="3388"/>
      <c r="AK68" s="3388"/>
      <c r="AL68" s="3388"/>
      <c r="AM68" s="3388"/>
      <c r="AN68" s="3388"/>
      <c r="AO68" s="3388"/>
      <c r="AP68" s="3388"/>
      <c r="AQ68" s="3388"/>
      <c r="AR68" s="3388"/>
      <c r="AS68" s="3388"/>
      <c r="AT68" s="3388"/>
      <c r="AU68" s="3388"/>
      <c r="AV68" s="3388"/>
      <c r="AW68" s="3388"/>
      <c r="AX68" s="3388"/>
      <c r="AY68" s="3388"/>
      <c r="AZ68" s="3388"/>
      <c r="BA68" s="3388"/>
      <c r="BB68" s="3388"/>
      <c r="BC68" s="3388"/>
      <c r="BD68" s="3388"/>
      <c r="BE68" s="3388"/>
      <c r="BF68" s="3388"/>
      <c r="BG68" s="3388"/>
      <c r="BH68" s="3388"/>
      <c r="BI68" s="3388"/>
      <c r="BJ68" s="3388"/>
      <c r="BK68" s="3388"/>
      <c r="BL68" s="3388"/>
      <c r="BM68" s="3388"/>
      <c r="BN68" s="3388"/>
      <c r="BO68" s="3388"/>
      <c r="BP68" s="3388"/>
      <c r="BQ68" s="3388"/>
      <c r="BR68" s="3388"/>
      <c r="BS68" s="3388"/>
      <c r="BT68" s="3388"/>
      <c r="BU68" s="3388"/>
      <c r="BV68" s="3388"/>
      <c r="BW68" s="3388"/>
      <c r="BX68" s="3388"/>
      <c r="BY68" s="3388"/>
      <c r="BZ68" s="3388"/>
      <c r="CA68" s="3388"/>
    </row>
    <row r="69" spans="1:79">
      <c r="A69" s="3435" t="s">
        <v>2478</v>
      </c>
      <c r="B69" s="3435"/>
      <c r="C69" s="3435"/>
      <c r="D69" s="3435"/>
      <c r="E69" s="3435"/>
      <c r="F69" s="3435"/>
      <c r="G69" s="3435"/>
      <c r="H69" s="3435"/>
      <c r="I69" s="3435"/>
      <c r="J69" s="3435"/>
      <c r="K69" s="3435"/>
      <c r="L69" s="3435"/>
      <c r="M69" s="3435"/>
      <c r="N69" s="3435"/>
      <c r="AB69" s="3388"/>
      <c r="AC69" s="3388"/>
      <c r="AD69" s="3388"/>
      <c r="AE69" s="3388"/>
      <c r="AF69" s="3388"/>
      <c r="AG69" s="3388"/>
      <c r="AH69" s="3388"/>
      <c r="AI69" s="3388"/>
      <c r="AJ69" s="3388"/>
      <c r="AK69" s="3388"/>
      <c r="AL69" s="3388"/>
      <c r="AM69" s="3388"/>
      <c r="AN69" s="3388"/>
      <c r="AO69" s="3388"/>
      <c r="AP69" s="3388"/>
      <c r="AQ69" s="3388"/>
      <c r="AR69" s="3388"/>
      <c r="AS69" s="3388"/>
      <c r="AT69" s="3388"/>
      <c r="AU69" s="3388"/>
      <c r="AV69" s="3388"/>
      <c r="AW69" s="3388"/>
      <c r="AX69" s="3388"/>
      <c r="AY69" s="3388"/>
      <c r="AZ69" s="3388"/>
      <c r="BA69" s="3388"/>
      <c r="BB69" s="3388"/>
      <c r="BC69" s="3388"/>
      <c r="BD69" s="3388"/>
      <c r="BE69" s="3388"/>
      <c r="BF69" s="3388"/>
      <c r="BG69" s="3388"/>
      <c r="BH69" s="3388"/>
      <c r="BI69" s="3388"/>
      <c r="BJ69" s="3388"/>
      <c r="BK69" s="3388"/>
      <c r="BL69" s="3388"/>
      <c r="BM69" s="3388"/>
      <c r="BN69" s="3388"/>
      <c r="BO69" s="3388"/>
      <c r="BP69" s="3388"/>
      <c r="BQ69" s="3388"/>
      <c r="BR69" s="3388"/>
      <c r="BS69" s="3388"/>
      <c r="BT69" s="3388"/>
      <c r="BU69" s="3388"/>
      <c r="BV69" s="3388"/>
      <c r="BW69" s="3388"/>
      <c r="BX69" s="3388"/>
      <c r="BY69" s="3388"/>
      <c r="BZ69" s="3388"/>
      <c r="CA69" s="3388"/>
    </row>
    <row r="70" spans="1:79">
      <c r="A70" s="3435" t="s">
        <v>2479</v>
      </c>
      <c r="B70" s="3435"/>
      <c r="C70" s="3435"/>
      <c r="D70" s="3435"/>
      <c r="E70" s="3435"/>
      <c r="F70" s="3435"/>
      <c r="G70" s="3435"/>
      <c r="H70" s="3435"/>
      <c r="I70" s="3435"/>
      <c r="J70" s="3435"/>
      <c r="K70" s="3435"/>
      <c r="L70" s="3435"/>
      <c r="M70" s="3435"/>
      <c r="N70" s="3435"/>
      <c r="AB70" s="3388"/>
      <c r="AC70" s="3388"/>
      <c r="AD70" s="3388"/>
      <c r="AE70" s="3388"/>
      <c r="AF70" s="3388"/>
      <c r="AG70" s="3388"/>
      <c r="AH70" s="3388"/>
      <c r="AI70" s="3388"/>
      <c r="AJ70" s="3388"/>
      <c r="AK70" s="3388"/>
      <c r="AL70" s="3388"/>
      <c r="AM70" s="3388"/>
      <c r="AN70" s="3388"/>
      <c r="AO70" s="3388"/>
      <c r="AP70" s="3388"/>
      <c r="AQ70" s="3388"/>
      <c r="AR70" s="3388"/>
      <c r="AS70" s="3388"/>
      <c r="AT70" s="3388"/>
      <c r="AU70" s="3388"/>
      <c r="AV70" s="3388"/>
      <c r="AW70" s="3388"/>
      <c r="AX70" s="3388"/>
      <c r="AY70" s="3388"/>
      <c r="AZ70" s="3388"/>
      <c r="BA70" s="3388"/>
      <c r="BB70" s="3388"/>
      <c r="BC70" s="3388"/>
      <c r="BD70" s="3388"/>
      <c r="BE70" s="3388"/>
      <c r="BF70" s="3388"/>
      <c r="BG70" s="3388"/>
      <c r="BH70" s="3388"/>
      <c r="BI70" s="3388"/>
      <c r="BJ70" s="3388"/>
      <c r="BK70" s="3388"/>
      <c r="BL70" s="3388"/>
      <c r="BM70" s="3388"/>
      <c r="BN70" s="3388"/>
      <c r="BO70" s="3388"/>
      <c r="BP70" s="3388"/>
      <c r="BQ70" s="3388"/>
      <c r="BR70" s="3388"/>
      <c r="BS70" s="3388"/>
      <c r="BT70" s="3388"/>
      <c r="BU70" s="3388"/>
      <c r="BV70" s="3388"/>
      <c r="BW70" s="3388"/>
      <c r="BX70" s="3388"/>
      <c r="BY70" s="3388"/>
      <c r="BZ70" s="3388"/>
      <c r="CA70" s="3388"/>
    </row>
    <row r="71" spans="1:79">
      <c r="A71" s="3435" t="s">
        <v>1627</v>
      </c>
      <c r="B71" s="3435"/>
      <c r="C71" s="3435"/>
      <c r="D71" s="3435"/>
      <c r="E71" s="3435"/>
      <c r="F71" s="3435"/>
      <c r="G71" s="3435"/>
      <c r="H71" s="3435"/>
      <c r="I71" s="3435"/>
      <c r="J71" s="3435"/>
      <c r="K71" s="3435"/>
      <c r="L71" s="3435"/>
      <c r="M71" s="3435"/>
      <c r="N71" s="3435"/>
      <c r="AB71" s="3388"/>
      <c r="AC71" s="3388"/>
      <c r="AD71" s="3388"/>
      <c r="AE71" s="3388"/>
      <c r="AF71" s="3388"/>
      <c r="AG71" s="3388"/>
      <c r="AH71" s="3388"/>
      <c r="AI71" s="3388"/>
      <c r="AJ71" s="3388"/>
      <c r="AK71" s="3388"/>
      <c r="AL71" s="3388"/>
      <c r="AM71" s="3388"/>
      <c r="AN71" s="3388"/>
      <c r="AO71" s="3388"/>
      <c r="AP71" s="3388"/>
      <c r="AQ71" s="3388"/>
      <c r="AR71" s="3388"/>
      <c r="AS71" s="3388"/>
      <c r="AT71" s="3388"/>
      <c r="AU71" s="3388"/>
      <c r="AV71" s="3388"/>
      <c r="AW71" s="3388"/>
      <c r="AX71" s="3388"/>
      <c r="AY71" s="3388"/>
      <c r="AZ71" s="3388"/>
      <c r="BA71" s="3388"/>
      <c r="BB71" s="3388"/>
      <c r="BC71" s="3388"/>
      <c r="BD71" s="3388"/>
      <c r="BE71" s="3388"/>
      <c r="BF71" s="3388"/>
      <c r="BG71" s="3388"/>
      <c r="BH71" s="3388"/>
      <c r="BI71" s="3388"/>
      <c r="BJ71" s="3388"/>
      <c r="BK71" s="3388"/>
      <c r="BL71" s="3388"/>
      <c r="BM71" s="3388"/>
      <c r="BN71" s="3388"/>
      <c r="BO71" s="3388"/>
      <c r="BP71" s="3388"/>
      <c r="BQ71" s="3388"/>
      <c r="BR71" s="3388"/>
      <c r="BS71" s="3388"/>
      <c r="BT71" s="3388"/>
      <c r="BU71" s="3388"/>
      <c r="BV71" s="3388"/>
      <c r="BW71" s="3388"/>
      <c r="BX71" s="3388"/>
      <c r="BY71" s="3388"/>
      <c r="BZ71" s="3388"/>
      <c r="CA71" s="3388"/>
    </row>
    <row r="72" spans="1:79">
      <c r="A72" s="3435" t="s">
        <v>35</v>
      </c>
      <c r="B72" s="3435"/>
      <c r="C72" s="3435"/>
      <c r="D72" s="3435"/>
      <c r="E72" s="3435"/>
      <c r="F72" s="3435"/>
      <c r="G72" s="3435"/>
      <c r="H72" s="3435"/>
      <c r="I72" s="3435"/>
      <c r="J72" s="3435"/>
      <c r="K72" s="3435"/>
      <c r="L72" s="3435"/>
      <c r="M72" s="3435"/>
      <c r="N72" s="3435"/>
      <c r="AB72" s="3388"/>
      <c r="AC72" s="3388"/>
      <c r="AD72" s="3388"/>
      <c r="AE72" s="3388"/>
      <c r="AF72" s="3388"/>
      <c r="AG72" s="3388"/>
      <c r="AH72" s="3388"/>
      <c r="AI72" s="3388"/>
      <c r="AJ72" s="3388"/>
      <c r="AK72" s="3388"/>
      <c r="AL72" s="3388"/>
      <c r="AM72" s="3388"/>
      <c r="AN72" s="3388"/>
      <c r="AO72" s="3388"/>
      <c r="AP72" s="3388"/>
      <c r="AQ72" s="3388"/>
      <c r="AR72" s="3388"/>
      <c r="AS72" s="3388"/>
      <c r="AT72" s="3388"/>
      <c r="AU72" s="3388"/>
      <c r="AV72" s="3388"/>
      <c r="AW72" s="3388"/>
      <c r="AX72" s="3388"/>
      <c r="AY72" s="3388"/>
      <c r="AZ72" s="3388"/>
      <c r="BA72" s="3388"/>
      <c r="BB72" s="3388"/>
      <c r="BC72" s="3388"/>
      <c r="BD72" s="3388"/>
      <c r="BE72" s="3388"/>
      <c r="BF72" s="3388"/>
      <c r="BG72" s="3388"/>
      <c r="BH72" s="3388"/>
      <c r="BI72" s="3388"/>
      <c r="BJ72" s="3388"/>
      <c r="BK72" s="3388"/>
      <c r="BL72" s="3388"/>
      <c r="BM72" s="3388"/>
      <c r="BN72" s="3388"/>
      <c r="BO72" s="3388"/>
      <c r="BP72" s="3388"/>
      <c r="BQ72" s="3388"/>
      <c r="BR72" s="3388"/>
      <c r="BS72" s="3388"/>
      <c r="BT72" s="3388"/>
      <c r="BU72" s="3388"/>
      <c r="BV72" s="3388"/>
      <c r="BW72" s="3388"/>
      <c r="BX72" s="3388"/>
      <c r="BY72" s="3388"/>
      <c r="BZ72" s="3388"/>
      <c r="CA72" s="3388"/>
    </row>
    <row r="73" spans="1:79">
      <c r="A73" s="3435" t="s">
        <v>2481</v>
      </c>
      <c r="B73" s="3435"/>
      <c r="C73" s="3435"/>
      <c r="D73" s="3435"/>
      <c r="E73" s="3435"/>
      <c r="F73" s="3435"/>
      <c r="G73" s="3435"/>
      <c r="H73" s="3435"/>
      <c r="I73" s="3435"/>
      <c r="J73" s="3435"/>
      <c r="K73" s="3435"/>
      <c r="L73" s="3435"/>
      <c r="M73" s="3435"/>
      <c r="N73" s="3435"/>
      <c r="AB73" s="3388"/>
      <c r="AC73" s="3388"/>
      <c r="AD73" s="3388"/>
      <c r="AE73" s="3388"/>
      <c r="AF73" s="3388"/>
      <c r="AG73" s="3388"/>
      <c r="AH73" s="3388"/>
      <c r="AI73" s="3388"/>
      <c r="AJ73" s="3388"/>
      <c r="AK73" s="3388"/>
      <c r="AL73" s="3388"/>
      <c r="AM73" s="3388"/>
      <c r="AN73" s="3388"/>
      <c r="AO73" s="3388"/>
      <c r="AP73" s="3388"/>
      <c r="AQ73" s="3388"/>
      <c r="AR73" s="3388"/>
      <c r="AS73" s="3388"/>
      <c r="AT73" s="3388"/>
      <c r="AU73" s="3388"/>
      <c r="AV73" s="3388"/>
      <c r="AW73" s="3388"/>
      <c r="AX73" s="3388"/>
      <c r="AY73" s="3388"/>
      <c r="AZ73" s="3388"/>
      <c r="BA73" s="3388"/>
      <c r="BB73" s="3388"/>
      <c r="BC73" s="3388"/>
      <c r="BD73" s="3388"/>
      <c r="BE73" s="3388"/>
      <c r="BF73" s="3388"/>
      <c r="BG73" s="3388"/>
      <c r="BH73" s="3388"/>
      <c r="BI73" s="3388"/>
      <c r="BJ73" s="3388"/>
      <c r="BK73" s="3388"/>
      <c r="BL73" s="3388"/>
      <c r="BM73" s="3388"/>
      <c r="BN73" s="3388"/>
      <c r="BO73" s="3388"/>
      <c r="BP73" s="3388"/>
      <c r="BQ73" s="3388"/>
      <c r="BR73" s="3388"/>
      <c r="BS73" s="3388"/>
      <c r="BT73" s="3388"/>
      <c r="BU73" s="3388"/>
      <c r="BV73" s="3388"/>
      <c r="BW73" s="3388"/>
      <c r="BX73" s="3388"/>
      <c r="BY73" s="3388"/>
      <c r="BZ73" s="3388"/>
      <c r="CA73" s="3388"/>
    </row>
    <row r="74" spans="1:79">
      <c r="A74" s="3435" t="s">
        <v>2482</v>
      </c>
      <c r="B74" s="3435"/>
      <c r="C74" s="3435"/>
      <c r="D74" s="3435"/>
      <c r="E74" s="3435"/>
      <c r="F74" s="3435"/>
      <c r="G74" s="3435"/>
      <c r="H74" s="3435"/>
      <c r="I74" s="3435"/>
      <c r="J74" s="3435"/>
      <c r="K74" s="3435"/>
      <c r="L74" s="3435"/>
      <c r="M74" s="3435"/>
      <c r="N74" s="3435"/>
      <c r="AB74" s="3388"/>
      <c r="AC74" s="3388"/>
      <c r="AD74" s="3388"/>
      <c r="AE74" s="3388"/>
      <c r="AF74" s="3388"/>
      <c r="AG74" s="3388"/>
      <c r="AH74" s="3388"/>
      <c r="AI74" s="3388"/>
      <c r="AJ74" s="3388"/>
      <c r="AK74" s="3388"/>
      <c r="AL74" s="3388"/>
      <c r="AM74" s="3388"/>
      <c r="AN74" s="3388"/>
      <c r="AO74" s="3388"/>
      <c r="AP74" s="3388"/>
      <c r="AQ74" s="3388"/>
      <c r="AR74" s="3388"/>
      <c r="AS74" s="3388"/>
      <c r="AT74" s="3388"/>
      <c r="AU74" s="3388"/>
      <c r="AV74" s="3388"/>
      <c r="AW74" s="3388"/>
      <c r="AX74" s="3388"/>
      <c r="AY74" s="3388"/>
      <c r="AZ74" s="3388"/>
      <c r="BA74" s="3388"/>
      <c r="BB74" s="3388"/>
      <c r="BC74" s="3388"/>
      <c r="BD74" s="3388"/>
      <c r="BE74" s="3388"/>
      <c r="BF74" s="3388"/>
      <c r="BG74" s="3388"/>
      <c r="BH74" s="3388"/>
      <c r="BI74" s="3388"/>
      <c r="BJ74" s="3388"/>
      <c r="BK74" s="3388"/>
      <c r="BL74" s="3388"/>
      <c r="BM74" s="3388"/>
      <c r="BN74" s="3388"/>
      <c r="BO74" s="3388"/>
      <c r="BP74" s="3388"/>
      <c r="BQ74" s="3388"/>
      <c r="BR74" s="3388"/>
      <c r="BS74" s="3388"/>
      <c r="BT74" s="3388"/>
      <c r="BU74" s="3388"/>
      <c r="BV74" s="3388"/>
      <c r="BW74" s="3388"/>
      <c r="BX74" s="3388"/>
      <c r="BY74" s="3388"/>
      <c r="BZ74" s="3388"/>
      <c r="CA74" s="3388"/>
    </row>
    <row r="75" spans="1:79">
      <c r="A75" s="3435" t="s">
        <v>2483</v>
      </c>
      <c r="B75" s="3435"/>
      <c r="C75" s="3435"/>
      <c r="D75" s="3435"/>
      <c r="E75" s="3435"/>
      <c r="F75" s="3435"/>
      <c r="G75" s="3435"/>
      <c r="H75" s="3435"/>
      <c r="I75" s="3435"/>
      <c r="J75" s="3435"/>
      <c r="K75" s="3435"/>
      <c r="L75" s="3435"/>
      <c r="M75" s="3435"/>
      <c r="N75" s="3435"/>
      <c r="AB75" s="3388"/>
      <c r="AC75" s="3388"/>
      <c r="AD75" s="3388"/>
      <c r="AE75" s="3388"/>
      <c r="AF75" s="3388"/>
      <c r="AG75" s="3388"/>
      <c r="AH75" s="3388"/>
      <c r="AI75" s="3388"/>
      <c r="AJ75" s="3388"/>
      <c r="AK75" s="3388"/>
      <c r="AL75" s="3388"/>
      <c r="AM75" s="3388"/>
      <c r="AN75" s="3388"/>
      <c r="AO75" s="3388"/>
      <c r="AP75" s="3388"/>
      <c r="AQ75" s="3388"/>
      <c r="AR75" s="3388"/>
      <c r="AS75" s="3388"/>
      <c r="AT75" s="3388"/>
      <c r="AU75" s="3388"/>
      <c r="AV75" s="3388"/>
      <c r="AW75" s="3388"/>
      <c r="AX75" s="3388"/>
      <c r="AY75" s="3388"/>
      <c r="AZ75" s="3388"/>
      <c r="BA75" s="3388"/>
      <c r="BO75" s="3388"/>
      <c r="BP75" s="3388"/>
      <c r="BQ75" s="3388"/>
      <c r="BR75" s="3388"/>
      <c r="BS75" s="3388"/>
      <c r="BT75" s="3388"/>
      <c r="BU75" s="3388"/>
      <c r="BV75" s="3388"/>
      <c r="BW75" s="3388"/>
      <c r="BX75" s="3388"/>
      <c r="BY75" s="3388"/>
      <c r="BZ75" s="3388"/>
      <c r="CA75" s="3388"/>
    </row>
    <row r="76" spans="1:79">
      <c r="A76" s="3435" t="s">
        <v>2484</v>
      </c>
      <c r="B76" s="3435"/>
      <c r="C76" s="3435"/>
      <c r="D76" s="3435"/>
      <c r="E76" s="3435"/>
      <c r="F76" s="3435"/>
      <c r="G76" s="3435"/>
      <c r="H76" s="3435"/>
      <c r="I76" s="3435"/>
      <c r="J76" s="3435"/>
      <c r="K76" s="3435"/>
      <c r="L76" s="3435"/>
      <c r="M76" s="3435"/>
      <c r="N76" s="3435"/>
      <c r="AB76" s="3388"/>
      <c r="AC76" s="3388"/>
      <c r="AD76" s="3388"/>
      <c r="AE76" s="3388"/>
      <c r="AF76" s="3388"/>
      <c r="AG76" s="3388"/>
      <c r="AH76" s="3388"/>
      <c r="AI76" s="3388"/>
      <c r="AJ76" s="3388"/>
      <c r="AK76" s="3388"/>
      <c r="AL76" s="3388"/>
      <c r="AM76" s="3388"/>
      <c r="AN76" s="3388"/>
      <c r="AO76" s="3388"/>
      <c r="AP76" s="3388"/>
      <c r="AQ76" s="3388"/>
      <c r="AR76" s="3388"/>
      <c r="AS76" s="3388"/>
      <c r="AT76" s="3388"/>
      <c r="AU76" s="3388"/>
      <c r="AV76" s="3388"/>
      <c r="AW76" s="3388"/>
      <c r="AX76" s="3388"/>
      <c r="AY76" s="3388"/>
      <c r="AZ76" s="3388"/>
      <c r="BA76" s="3388"/>
      <c r="BO76" s="3388"/>
      <c r="BP76" s="3388"/>
      <c r="BQ76" s="3388"/>
      <c r="BR76" s="3388"/>
      <c r="BS76" s="3388"/>
      <c r="BT76" s="3388"/>
      <c r="BU76" s="3388"/>
      <c r="BV76" s="3388"/>
      <c r="BW76" s="3388"/>
      <c r="BX76" s="3388"/>
      <c r="BY76" s="3388"/>
      <c r="BZ76" s="3388"/>
      <c r="CA76" s="3388"/>
    </row>
    <row r="77" spans="1:79">
      <c r="A77" s="3435" t="s">
        <v>2485</v>
      </c>
      <c r="B77" s="3435"/>
      <c r="C77" s="3435"/>
      <c r="D77" s="3435"/>
      <c r="E77" s="3435"/>
      <c r="F77" s="3435"/>
      <c r="G77" s="3435"/>
      <c r="H77" s="3435"/>
      <c r="I77" s="3435"/>
      <c r="J77" s="3435"/>
      <c r="K77" s="3435"/>
      <c r="L77" s="3435"/>
      <c r="M77" s="3435"/>
      <c r="N77" s="3435"/>
      <c r="AB77" s="3388"/>
      <c r="AC77" s="3388"/>
      <c r="AD77" s="3388"/>
      <c r="AE77" s="3388"/>
      <c r="AF77" s="3388"/>
      <c r="AG77" s="3388"/>
      <c r="AH77" s="3388"/>
      <c r="AI77" s="3388"/>
      <c r="AJ77" s="3388"/>
      <c r="AK77" s="3388"/>
      <c r="AL77" s="3388"/>
      <c r="AM77" s="3388"/>
      <c r="AN77" s="3388"/>
      <c r="AO77" s="3388"/>
      <c r="AP77" s="3388"/>
      <c r="AQ77" s="3388"/>
      <c r="AR77" s="3388"/>
      <c r="AS77" s="3388"/>
      <c r="AT77" s="3388"/>
      <c r="AU77" s="3388"/>
      <c r="AV77" s="3388"/>
      <c r="AW77" s="3388"/>
      <c r="AX77" s="3388"/>
      <c r="AY77" s="3388"/>
      <c r="AZ77" s="3388"/>
      <c r="BA77" s="3388"/>
      <c r="BO77" s="3388"/>
      <c r="BP77" s="3388"/>
      <c r="BQ77" s="3388"/>
      <c r="BR77" s="3388"/>
      <c r="BS77" s="3388"/>
      <c r="BT77" s="3388"/>
      <c r="BU77" s="3388"/>
      <c r="BV77" s="3388"/>
      <c r="BW77" s="3388"/>
      <c r="BX77" s="3388"/>
      <c r="BY77" s="3388"/>
      <c r="BZ77" s="3388"/>
      <c r="CA77" s="3388"/>
    </row>
    <row r="78" spans="1:79">
      <c r="A78" s="3435" t="s">
        <v>2486</v>
      </c>
      <c r="B78" s="3435"/>
      <c r="C78" s="3435"/>
      <c r="D78" s="3435"/>
      <c r="E78" s="3435"/>
      <c r="F78" s="3435"/>
      <c r="G78" s="3435"/>
      <c r="H78" s="3435"/>
      <c r="I78" s="3435"/>
      <c r="J78" s="3435"/>
      <c r="K78" s="3435"/>
      <c r="L78" s="3435"/>
      <c r="M78" s="3435"/>
      <c r="N78" s="3435"/>
      <c r="AB78" s="3388"/>
      <c r="AC78" s="3388"/>
      <c r="AD78" s="3388"/>
      <c r="AE78" s="3388"/>
      <c r="AF78" s="3388"/>
      <c r="AG78" s="3388"/>
      <c r="AH78" s="3388"/>
      <c r="AI78" s="3388"/>
      <c r="AJ78" s="3388"/>
      <c r="AK78" s="3388"/>
      <c r="AL78" s="3388"/>
      <c r="AM78" s="3388"/>
      <c r="AN78" s="3388"/>
      <c r="AO78" s="3388"/>
      <c r="AP78" s="3388"/>
      <c r="AQ78" s="3388"/>
      <c r="AR78" s="3388"/>
      <c r="AS78" s="3388"/>
      <c r="AT78" s="3388"/>
      <c r="AU78" s="3388"/>
      <c r="AV78" s="3388"/>
      <c r="AW78" s="3388"/>
      <c r="AX78" s="3388"/>
      <c r="AY78" s="3388"/>
      <c r="AZ78" s="3388"/>
      <c r="BA78" s="3388"/>
      <c r="BO78" s="3388"/>
      <c r="BP78" s="3388"/>
      <c r="BQ78" s="3388"/>
      <c r="BR78" s="3388"/>
      <c r="BS78" s="3388"/>
      <c r="BT78" s="3388"/>
      <c r="BU78" s="3388"/>
      <c r="BV78" s="3388"/>
      <c r="BW78" s="3388"/>
      <c r="BX78" s="3388"/>
      <c r="BY78" s="3388"/>
      <c r="BZ78" s="3388"/>
      <c r="CA78" s="3388"/>
    </row>
    <row r="79" spans="1:79">
      <c r="A79" s="3435" t="s">
        <v>2487</v>
      </c>
      <c r="B79" s="3435"/>
      <c r="C79" s="3435"/>
      <c r="D79" s="3435"/>
      <c r="E79" s="3435"/>
      <c r="F79" s="3435"/>
      <c r="G79" s="3435"/>
      <c r="H79" s="3435"/>
      <c r="I79" s="3435"/>
      <c r="J79" s="3435"/>
      <c r="K79" s="3435"/>
      <c r="L79" s="3435"/>
      <c r="M79" s="3435"/>
      <c r="N79" s="3435"/>
      <c r="AB79" s="3388"/>
      <c r="AC79" s="3388"/>
      <c r="AD79" s="3388"/>
      <c r="AE79" s="3388"/>
      <c r="AF79" s="3388"/>
      <c r="AG79" s="3388"/>
      <c r="AH79" s="3388"/>
      <c r="AI79" s="3388"/>
      <c r="AJ79" s="3388"/>
      <c r="AK79" s="3388"/>
      <c r="AL79" s="3388"/>
      <c r="AM79" s="3388"/>
      <c r="AN79" s="3388"/>
      <c r="AO79" s="3388"/>
      <c r="AP79" s="3388"/>
      <c r="AQ79" s="3388"/>
      <c r="AR79" s="3388"/>
      <c r="AS79" s="3388"/>
      <c r="AT79" s="3388"/>
      <c r="AU79" s="3388"/>
      <c r="AV79" s="3388"/>
      <c r="AW79" s="3388"/>
      <c r="AX79" s="3388"/>
      <c r="AY79" s="3388"/>
      <c r="AZ79" s="3388"/>
      <c r="BA79" s="3388"/>
      <c r="BO79" s="3388"/>
      <c r="BP79" s="3388"/>
      <c r="BQ79" s="3388"/>
      <c r="BR79" s="3388"/>
      <c r="BS79" s="3388"/>
      <c r="BT79" s="3388"/>
      <c r="BU79" s="3388"/>
      <c r="BV79" s="3388"/>
      <c r="BW79" s="3388"/>
      <c r="BX79" s="3388"/>
      <c r="BY79" s="3388"/>
      <c r="BZ79" s="3388"/>
      <c r="CA79" s="3388"/>
    </row>
    <row r="80" spans="1:79">
      <c r="A80" s="3435" t="s">
        <v>2488</v>
      </c>
      <c r="B80" s="3435"/>
      <c r="C80" s="3435"/>
      <c r="D80" s="3435"/>
      <c r="E80" s="3435"/>
      <c r="F80" s="3435"/>
      <c r="G80" s="3435"/>
      <c r="H80" s="3435"/>
      <c r="I80" s="3435"/>
      <c r="J80" s="3435"/>
      <c r="K80" s="3435"/>
      <c r="L80" s="3435"/>
      <c r="M80" s="3435"/>
      <c r="N80" s="3435"/>
      <c r="AB80" s="3388"/>
      <c r="AC80" s="3388"/>
      <c r="AD80" s="3388"/>
      <c r="AE80" s="3388"/>
      <c r="AF80" s="3388"/>
      <c r="AG80" s="3388"/>
      <c r="AH80" s="3388"/>
      <c r="AI80" s="3388"/>
      <c r="AJ80" s="3388"/>
      <c r="AK80" s="3388"/>
      <c r="AL80" s="3388"/>
      <c r="AM80" s="3388"/>
      <c r="AN80" s="3388"/>
      <c r="AO80" s="3388"/>
      <c r="AP80" s="3388"/>
      <c r="AQ80" s="3388"/>
      <c r="AR80" s="3388"/>
      <c r="AS80" s="3388"/>
      <c r="AT80" s="3388"/>
      <c r="AU80" s="3388"/>
      <c r="AV80" s="3388"/>
      <c r="AW80" s="3388"/>
      <c r="AX80" s="3388"/>
      <c r="AY80" s="3388"/>
      <c r="AZ80" s="3388"/>
      <c r="BA80" s="3388"/>
    </row>
    <row r="81" spans="1:53">
      <c r="A81" s="3435" t="s">
        <v>2489</v>
      </c>
      <c r="B81" s="3435"/>
      <c r="C81" s="3435"/>
      <c r="D81" s="3435"/>
      <c r="E81" s="3435"/>
      <c r="F81" s="3435"/>
      <c r="G81" s="3435"/>
      <c r="H81" s="3435"/>
      <c r="I81" s="3435"/>
      <c r="J81" s="3435"/>
      <c r="K81" s="3435"/>
      <c r="L81" s="3435"/>
      <c r="M81" s="3435"/>
      <c r="N81" s="3435"/>
      <c r="AB81" s="3388"/>
      <c r="AC81" s="3388"/>
      <c r="AD81" s="3388"/>
      <c r="AE81" s="3388"/>
      <c r="AF81" s="3388"/>
      <c r="AG81" s="3388"/>
      <c r="AH81" s="3388"/>
      <c r="AI81" s="3388"/>
      <c r="AJ81" s="3388"/>
      <c r="AK81" s="3388"/>
      <c r="AL81" s="3388"/>
      <c r="AM81" s="3388"/>
      <c r="AN81" s="3388"/>
      <c r="AO81" s="3388"/>
      <c r="AP81" s="3388"/>
      <c r="AQ81" s="3388"/>
      <c r="AR81" s="3388"/>
      <c r="AS81" s="3388"/>
      <c r="AT81" s="3388"/>
      <c r="AU81" s="3388"/>
      <c r="AV81" s="3388"/>
      <c r="AW81" s="3388"/>
      <c r="AX81" s="3388"/>
      <c r="AY81" s="3388"/>
      <c r="AZ81" s="3388"/>
      <c r="BA81" s="3388"/>
    </row>
    <row r="82" spans="1:53">
      <c r="A82" s="3435" t="s">
        <v>2490</v>
      </c>
      <c r="B82" s="3435"/>
      <c r="C82" s="3435"/>
      <c r="D82" s="3435"/>
      <c r="E82" s="3435"/>
      <c r="F82" s="3435"/>
      <c r="G82" s="3435"/>
      <c r="H82" s="3435"/>
      <c r="I82" s="3435"/>
      <c r="J82" s="3435"/>
      <c r="K82" s="3435"/>
      <c r="L82" s="3435"/>
      <c r="M82" s="3435"/>
      <c r="N82" s="3435"/>
      <c r="AB82" s="3388"/>
      <c r="AC82" s="3388"/>
      <c r="AD82" s="3388"/>
      <c r="AE82" s="3388"/>
      <c r="AF82" s="3388"/>
      <c r="AG82" s="3388"/>
      <c r="AH82" s="3388"/>
      <c r="AI82" s="3388"/>
      <c r="AJ82" s="3388"/>
      <c r="AK82" s="3388"/>
      <c r="AL82" s="3388"/>
      <c r="AM82" s="3388"/>
      <c r="AN82" s="3388"/>
    </row>
    <row r="83" spans="1:53">
      <c r="A83" s="3435" t="s">
        <v>2491</v>
      </c>
      <c r="B83" s="3435"/>
      <c r="C83" s="3435"/>
      <c r="D83" s="3435"/>
      <c r="E83" s="3435"/>
      <c r="F83" s="3435"/>
      <c r="G83" s="3435"/>
      <c r="H83" s="3435"/>
      <c r="I83" s="3435"/>
      <c r="J83" s="3435"/>
      <c r="K83" s="3435"/>
      <c r="L83" s="3435"/>
      <c r="M83" s="3435"/>
      <c r="N83" s="3435"/>
      <c r="AB83" s="3388"/>
      <c r="AC83" s="3388"/>
      <c r="AD83" s="3388"/>
      <c r="AE83" s="3388"/>
      <c r="AF83" s="3388"/>
      <c r="AG83" s="3388"/>
      <c r="AH83" s="3388"/>
      <c r="AI83" s="3388"/>
      <c r="AJ83" s="3388"/>
      <c r="AK83" s="3388"/>
      <c r="AL83" s="3388"/>
      <c r="AM83" s="3388"/>
      <c r="AN83" s="3388"/>
    </row>
    <row r="84" spans="1:53">
      <c r="A84" s="3435" t="s">
        <v>2492</v>
      </c>
      <c r="B84" s="3435"/>
      <c r="C84" s="3435"/>
      <c r="D84" s="3435"/>
      <c r="E84" s="3435"/>
      <c r="F84" s="3435"/>
      <c r="G84" s="3435"/>
      <c r="H84" s="3435"/>
      <c r="I84" s="3435"/>
      <c r="J84" s="3435"/>
      <c r="K84" s="3435"/>
      <c r="L84" s="3435"/>
      <c r="M84" s="3435"/>
      <c r="N84" s="3435"/>
      <c r="AB84" s="3388"/>
      <c r="AC84" s="3388"/>
      <c r="AD84" s="3388"/>
      <c r="AE84" s="3388"/>
      <c r="AF84" s="3388"/>
      <c r="AG84" s="3388"/>
      <c r="AH84" s="3388"/>
      <c r="AI84" s="3388"/>
      <c r="AJ84" s="3388"/>
      <c r="AK84" s="3388"/>
      <c r="AL84" s="3388"/>
      <c r="AM84" s="3388"/>
      <c r="AN84" s="3388"/>
    </row>
    <row r="85" spans="1:53">
      <c r="A85" s="3435" t="s">
        <v>2493</v>
      </c>
      <c r="B85" s="3435"/>
      <c r="C85" s="3435"/>
      <c r="D85" s="3435"/>
      <c r="E85" s="3435"/>
      <c r="F85" s="3435"/>
      <c r="G85" s="3435"/>
      <c r="H85" s="3435"/>
      <c r="I85" s="3435"/>
      <c r="J85" s="3435"/>
      <c r="K85" s="3435"/>
      <c r="L85" s="3435"/>
      <c r="M85" s="3435"/>
      <c r="N85" s="3435"/>
      <c r="AB85" s="3388"/>
      <c r="AC85" s="3388"/>
      <c r="AD85" s="3388"/>
      <c r="AE85" s="3388"/>
      <c r="AF85" s="3388"/>
      <c r="AG85" s="3388"/>
      <c r="AH85" s="3388"/>
      <c r="AI85" s="3388"/>
      <c r="AJ85" s="3388"/>
      <c r="AK85" s="3388"/>
      <c r="AL85" s="3388"/>
      <c r="AM85" s="3388"/>
      <c r="AN85" s="3388"/>
    </row>
    <row r="86" spans="1:53">
      <c r="A86" s="3435" t="s">
        <v>1211</v>
      </c>
      <c r="B86" s="3435"/>
      <c r="C86" s="3435"/>
      <c r="D86" s="3435"/>
      <c r="E86" s="3435"/>
      <c r="F86" s="3435"/>
      <c r="G86" s="3435"/>
      <c r="H86" s="3435"/>
      <c r="I86" s="3435"/>
      <c r="J86" s="3435"/>
      <c r="K86" s="3435"/>
      <c r="L86" s="3435"/>
      <c r="M86" s="3435"/>
      <c r="N86" s="3435"/>
      <c r="AB86" s="3388"/>
      <c r="AC86" s="3388"/>
      <c r="AD86" s="3388"/>
      <c r="AE86" s="3388"/>
      <c r="AF86" s="3388"/>
      <c r="AG86" s="3388"/>
      <c r="AH86" s="3388"/>
      <c r="AI86" s="3388"/>
      <c r="AJ86" s="3388"/>
      <c r="AK86" s="3388"/>
      <c r="AL86" s="3388"/>
      <c r="AM86" s="3388"/>
      <c r="AN86" s="3388"/>
    </row>
    <row r="87" spans="1:53">
      <c r="A87" s="3435" t="s">
        <v>417</v>
      </c>
      <c r="B87" s="3435"/>
      <c r="C87" s="3435"/>
      <c r="D87" s="3435"/>
      <c r="E87" s="3435"/>
      <c r="F87" s="3435"/>
      <c r="G87" s="3435"/>
      <c r="H87" s="3435"/>
      <c r="I87" s="3435"/>
      <c r="J87" s="3435"/>
      <c r="K87" s="3435"/>
      <c r="L87" s="3435"/>
      <c r="M87" s="3435"/>
      <c r="N87" s="3435"/>
      <c r="AB87" s="3388"/>
      <c r="AC87" s="3388"/>
      <c r="AD87" s="3388"/>
      <c r="AE87" s="3388"/>
      <c r="AF87" s="3388"/>
      <c r="AG87" s="3388"/>
      <c r="AH87" s="3388"/>
      <c r="AI87" s="3388"/>
      <c r="AJ87" s="3388"/>
      <c r="AK87" s="3388"/>
      <c r="AL87" s="3388"/>
      <c r="AM87" s="3388"/>
      <c r="AN87" s="3388"/>
    </row>
    <row r="88" spans="1:53">
      <c r="A88" s="3435" t="s">
        <v>2494</v>
      </c>
      <c r="B88" s="3435"/>
      <c r="C88" s="3435"/>
      <c r="D88" s="3435"/>
      <c r="E88" s="3435"/>
      <c r="F88" s="3435"/>
      <c r="G88" s="3435"/>
      <c r="H88" s="3435"/>
      <c r="I88" s="3435"/>
      <c r="J88" s="3435"/>
      <c r="K88" s="3435"/>
      <c r="L88" s="3435"/>
      <c r="M88" s="3435"/>
      <c r="N88" s="3435"/>
    </row>
    <row r="89" spans="1:53">
      <c r="A89" s="3435" t="s">
        <v>416</v>
      </c>
      <c r="B89" s="3435"/>
      <c r="C89" s="3435"/>
      <c r="D89" s="3435"/>
      <c r="E89" s="3435"/>
      <c r="F89" s="3435"/>
      <c r="G89" s="3435"/>
      <c r="H89" s="3435"/>
      <c r="I89" s="3435"/>
      <c r="J89" s="3435"/>
      <c r="K89" s="3435"/>
      <c r="L89" s="3435"/>
      <c r="M89" s="3435"/>
      <c r="N89" s="3435"/>
    </row>
  </sheetData>
  <mergeCells count="2">
    <mergeCell ref="A1:M1"/>
    <mergeCell ref="A10:N10"/>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indexed="44"/>
    <pageSetUpPr fitToPage="1"/>
  </sheetPr>
  <dimension ref="A1:IV553"/>
  <sheetViews>
    <sheetView showGridLines="0" zoomScale="110" zoomScaleNormal="110" workbookViewId="0">
      <selection activeCell="F359" sqref="F359"/>
    </sheetView>
  </sheetViews>
  <sheetFormatPr defaultRowHeight="12.75"/>
  <cols>
    <col min="1" max="1" width="3.140625" customWidth="1"/>
    <col min="2" max="2" width="2.42578125" customWidth="1"/>
    <col min="3" max="3" width="39.140625" customWidth="1"/>
    <col min="4" max="4" width="14.140625" customWidth="1"/>
    <col min="5" max="7" width="8.7109375" customWidth="1"/>
    <col min="8" max="8" width="8.7109375" style="28" customWidth="1"/>
    <col min="9" max="17" width="8.7109375" customWidth="1"/>
    <col min="18" max="18" width="3.140625" customWidth="1"/>
    <col min="19" max="19" width="2.42578125" customWidth="1"/>
    <col min="20" max="20" width="39.140625" customWidth="1"/>
    <col min="21" max="21" width="14.140625" customWidth="1"/>
    <col min="22" max="26" width="8.7109375" customWidth="1"/>
    <col min="27" max="34" width="9.28515625" customWidth="1"/>
    <col min="35" max="35" width="3.140625" customWidth="1"/>
    <col min="36" max="36" width="2.42578125" customWidth="1"/>
    <col min="37" max="37" width="39.140625" customWidth="1"/>
    <col min="38" max="38" width="14.140625" customWidth="1"/>
    <col min="39" max="52" width="9.28515625" customWidth="1"/>
    <col min="53" max="54" width="48.42578125" customWidth="1"/>
    <col min="55" max="55" width="9.28515625" customWidth="1"/>
  </cols>
  <sheetData>
    <row r="1" spans="1:256" s="45" customFormat="1">
      <c r="A1" s="41"/>
      <c r="B1" s="41"/>
      <c r="C1" s="41"/>
      <c r="D1" s="41"/>
      <c r="E1" s="42"/>
      <c r="F1" s="42"/>
      <c r="G1" s="42"/>
      <c r="H1" s="42"/>
      <c r="I1" s="42"/>
      <c r="J1" s="42"/>
      <c r="K1" s="42"/>
      <c r="L1" s="42"/>
      <c r="M1" s="42"/>
      <c r="N1" s="42"/>
      <c r="O1" s="42"/>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45" customFormat="1">
      <c r="A2" s="41"/>
      <c r="B2" s="41"/>
      <c r="C2" s="41"/>
      <c r="D2" s="41"/>
      <c r="E2" s="42"/>
      <c r="F2" s="42"/>
      <c r="G2" s="42"/>
      <c r="H2" s="42"/>
      <c r="I2" s="42"/>
      <c r="J2" s="42"/>
      <c r="K2" s="42"/>
      <c r="L2" s="42"/>
      <c r="M2" s="42"/>
      <c r="N2" s="42"/>
      <c r="O2" s="42"/>
      <c r="P2" s="43"/>
      <c r="Q2" s="43"/>
      <c r="R2" s="43"/>
      <c r="S2" s="43"/>
      <c r="T2" s="2079" t="s">
        <v>1019</v>
      </c>
      <c r="U2" s="2078">
        <v>5</v>
      </c>
      <c r="V2" s="2039">
        <v>1</v>
      </c>
      <c r="W2" s="2096" t="str">
        <f>+Transfer!CA98</f>
        <v>Final storage</v>
      </c>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c r="A3" s="41"/>
      <c r="B3" s="46"/>
      <c r="C3" s="46"/>
      <c r="D3" s="41"/>
      <c r="E3" s="47"/>
      <c r="F3" s="47"/>
      <c r="G3" s="47"/>
      <c r="H3" s="47"/>
      <c r="I3" s="47"/>
      <c r="J3" s="47"/>
      <c r="K3" s="47"/>
      <c r="L3" s="42"/>
      <c r="M3" s="42"/>
      <c r="N3" s="42"/>
      <c r="O3" s="42"/>
      <c r="P3" s="43"/>
      <c r="Q3" s="43"/>
      <c r="R3" s="43"/>
      <c r="S3" s="43"/>
      <c r="T3" s="43"/>
      <c r="U3" s="43"/>
      <c r="V3" s="2039">
        <v>2</v>
      </c>
      <c r="W3" s="2096" t="str">
        <f>+Transfer!CN98</f>
        <v>TCE1</v>
      </c>
      <c r="X3" s="43"/>
      <c r="Y3" s="43"/>
      <c r="Z3" s="43"/>
      <c r="AA3" s="43"/>
      <c r="AB3" s="4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row>
    <row r="4" spans="1:256">
      <c r="A4" s="41"/>
      <c r="B4" s="46"/>
      <c r="C4" s="46"/>
      <c r="D4" s="41"/>
      <c r="E4" s="47"/>
      <c r="F4" s="47"/>
      <c r="G4" s="47"/>
      <c r="H4" s="47"/>
      <c r="I4" s="47"/>
      <c r="J4" s="47"/>
      <c r="K4" s="47"/>
      <c r="L4" s="42"/>
      <c r="M4" s="42"/>
      <c r="N4" s="42"/>
      <c r="O4" s="42"/>
      <c r="P4" s="43"/>
      <c r="Q4" s="43"/>
      <c r="R4" s="43"/>
      <c r="S4" s="43"/>
      <c r="T4" s="2039" t="str">
        <f>VLOOKUP(U2,V2:W6,2)</f>
        <v>2nd storage</v>
      </c>
      <c r="U4" s="43"/>
      <c r="V4" s="2039">
        <v>3</v>
      </c>
      <c r="W4" s="2096" t="str">
        <f>+Transfer!DA98</f>
        <v>1st storage</v>
      </c>
      <c r="X4" s="43"/>
      <c r="Y4" s="43"/>
      <c r="Z4" s="43"/>
      <c r="AA4" s="43"/>
      <c r="AB4" s="43"/>
      <c r="AC4" s="43"/>
      <c r="AD4" s="43"/>
      <c r="AE4" s="43"/>
      <c r="AF4" s="43"/>
      <c r="AG4" s="43"/>
      <c r="AH4" s="43"/>
      <c r="AI4" s="43"/>
      <c r="AJ4" s="43"/>
      <c r="AK4" s="43"/>
      <c r="AL4" s="43"/>
      <c r="AM4" s="43"/>
      <c r="AN4" s="43"/>
      <c r="AO4" s="43"/>
      <c r="AP4" s="43"/>
      <c r="AQ4" s="43"/>
      <c r="AR4" s="43"/>
      <c r="AS4" s="43"/>
      <c r="AT4" s="43"/>
      <c r="AU4" s="43"/>
      <c r="AV4" s="43"/>
      <c r="AW4" s="43"/>
      <c r="AX4" s="43"/>
      <c r="AY4" s="43"/>
      <c r="AZ4" s="43"/>
      <c r="BA4" s="43"/>
      <c r="BB4" s="43"/>
      <c r="BC4" s="43"/>
    </row>
    <row r="5" spans="1:256" s="1" customFormat="1" ht="13.5" customHeight="1">
      <c r="A5" s="46"/>
      <c r="B5" s="46"/>
      <c r="C5" s="46"/>
      <c r="D5" s="46"/>
      <c r="E5" s="47"/>
      <c r="F5" s="47"/>
      <c r="G5" s="47"/>
      <c r="H5" s="47"/>
      <c r="I5" s="47"/>
      <c r="J5" s="47"/>
      <c r="K5" s="47"/>
      <c r="L5" s="47"/>
      <c r="M5" s="47"/>
      <c r="N5" s="47"/>
      <c r="O5" s="47"/>
      <c r="P5" s="2073"/>
      <c r="Q5" s="2073"/>
      <c r="R5" s="2073"/>
      <c r="S5" s="2073"/>
      <c r="T5" s="2073"/>
      <c r="U5" s="2073"/>
      <c r="V5" s="2077">
        <v>4</v>
      </c>
      <c r="W5" s="2096" t="str">
        <f>Transfer!DN98</f>
        <v>TCE3</v>
      </c>
      <c r="X5" s="2073"/>
      <c r="Y5" s="2073"/>
      <c r="Z5" s="2073"/>
      <c r="AA5" s="2073"/>
      <c r="AB5" s="2073"/>
      <c r="AC5" s="2073"/>
      <c r="AD5" s="2073"/>
      <c r="AE5" s="2073"/>
      <c r="AF5" s="2073"/>
      <c r="AG5" s="2073"/>
      <c r="AH5" s="2073"/>
      <c r="AI5" s="2073"/>
      <c r="AJ5" s="2073"/>
      <c r="AK5" s="2073"/>
      <c r="AL5" s="2073"/>
      <c r="AM5" s="2073"/>
      <c r="AN5" s="2073"/>
      <c r="AO5" s="2073"/>
      <c r="AP5" s="2073"/>
      <c r="AQ5" s="2073"/>
      <c r="AR5" s="2073"/>
      <c r="AS5" s="2073"/>
      <c r="AT5" s="2073"/>
      <c r="AU5" s="2073"/>
      <c r="AV5" s="2073"/>
      <c r="AW5" s="2073"/>
      <c r="AX5" s="2073"/>
      <c r="AY5" s="2073"/>
      <c r="AZ5" s="2073"/>
      <c r="BA5" s="2073"/>
      <c r="BB5" s="2073"/>
      <c r="BC5" s="2073"/>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1" customFormat="1" ht="13.5" customHeight="1">
      <c r="A6" s="46"/>
      <c r="B6" s="46"/>
      <c r="C6" s="46"/>
      <c r="D6" s="46"/>
      <c r="E6" s="47"/>
      <c r="F6" s="47"/>
      <c r="G6" s="47"/>
      <c r="H6" s="47"/>
      <c r="I6" s="47"/>
      <c r="J6" s="47"/>
      <c r="K6" s="47"/>
      <c r="L6" s="47"/>
      <c r="M6" s="47"/>
      <c r="N6" s="47"/>
      <c r="O6" s="47"/>
      <c r="P6" s="2073"/>
      <c r="Q6" s="2073"/>
      <c r="R6" s="2073"/>
      <c r="S6" s="2073"/>
      <c r="T6" s="2073"/>
      <c r="U6" s="2073"/>
      <c r="V6" s="2077">
        <v>5</v>
      </c>
      <c r="W6" s="2096" t="str">
        <f>+Transfer!EA98</f>
        <v>2nd storage</v>
      </c>
      <c r="X6" s="2073"/>
      <c r="Y6" s="2073"/>
      <c r="Z6" s="2073"/>
      <c r="AA6" s="2073"/>
      <c r="AB6" s="2073"/>
      <c r="AC6" s="2073"/>
      <c r="AD6" s="2073"/>
      <c r="AE6" s="2073"/>
      <c r="AF6" s="2073"/>
      <c r="AG6" s="2073"/>
      <c r="AH6" s="2073"/>
      <c r="AI6" s="2073"/>
      <c r="AJ6" s="2073"/>
      <c r="AK6" s="2073"/>
      <c r="AL6" s="2073"/>
      <c r="AM6" s="2073"/>
      <c r="AN6" s="2073"/>
      <c r="AO6" s="2073"/>
      <c r="AP6" s="2073"/>
      <c r="AQ6" s="2073"/>
      <c r="AR6" s="2073"/>
      <c r="AS6" s="2073"/>
      <c r="AT6" s="2073"/>
      <c r="AU6" s="2073"/>
      <c r="AV6" s="2073"/>
      <c r="AW6" s="2073"/>
      <c r="AX6" s="2073"/>
      <c r="AY6" s="2073"/>
      <c r="AZ6" s="2073"/>
      <c r="BA6" s="2073"/>
      <c r="BB6" s="2073"/>
      <c r="BC6" s="2073"/>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113" customFormat="1" ht="13.5" customHeight="1">
      <c r="A7" s="2074"/>
      <c r="B7" s="2074"/>
      <c r="C7" s="2074"/>
      <c r="D7" s="2074"/>
      <c r="E7" s="2075"/>
      <c r="F7" s="2075"/>
      <c r="G7" s="2075"/>
      <c r="H7" s="2075"/>
      <c r="I7" s="2075"/>
      <c r="J7" s="2075"/>
      <c r="K7" s="2075"/>
      <c r="L7" s="2075"/>
      <c r="M7" s="2075"/>
      <c r="N7" s="2075"/>
      <c r="O7" s="2075"/>
      <c r="P7" s="2076"/>
      <c r="Q7" s="2076"/>
      <c r="R7" s="2076"/>
      <c r="S7" s="2076"/>
      <c r="T7" s="2076"/>
      <c r="U7" s="2076"/>
      <c r="V7" s="2076"/>
      <c r="W7" s="2076"/>
      <c r="X7" s="2076"/>
      <c r="Y7" s="2076"/>
      <c r="Z7" s="2076"/>
      <c r="AA7" s="2076"/>
      <c r="AB7" s="2076"/>
      <c r="AC7" s="2076"/>
      <c r="AD7" s="2076"/>
      <c r="AE7" s="2076"/>
      <c r="AF7" s="2076"/>
      <c r="AG7" s="2076"/>
      <c r="AH7" s="2076"/>
      <c r="AI7" s="2076"/>
      <c r="AJ7" s="2076"/>
      <c r="AK7" s="2076"/>
      <c r="AL7" s="2076"/>
      <c r="AM7" s="2076"/>
      <c r="AN7" s="2076"/>
      <c r="AO7" s="2076"/>
      <c r="AP7" s="2076"/>
      <c r="AQ7" s="2076"/>
      <c r="AR7" s="2076"/>
      <c r="AS7" s="2076"/>
      <c r="AT7" s="2076"/>
      <c r="AU7" s="2076"/>
      <c r="AV7" s="2076"/>
      <c r="AW7" s="2076"/>
      <c r="AX7" s="2076"/>
      <c r="AY7" s="2076"/>
      <c r="AZ7" s="2076"/>
      <c r="BA7" s="2076"/>
      <c r="BB7" s="2076"/>
      <c r="BC7" s="2076"/>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c r="A8" s="51"/>
      <c r="B8" s="51"/>
      <c r="C8" s="51"/>
      <c r="D8" s="51"/>
      <c r="E8" s="52"/>
      <c r="F8" s="52"/>
      <c r="G8" s="52"/>
      <c r="H8" s="52"/>
      <c r="I8" s="52"/>
      <c r="J8" s="52"/>
      <c r="K8" s="52"/>
      <c r="L8" s="53"/>
      <c r="M8" s="53"/>
      <c r="N8" s="53"/>
      <c r="O8" s="53"/>
      <c r="P8" s="54"/>
      <c r="Q8" s="54"/>
      <c r="R8" s="54"/>
      <c r="S8" s="54"/>
      <c r="T8" s="54"/>
      <c r="U8" s="54"/>
      <c r="V8" s="54"/>
      <c r="W8" s="54"/>
      <c r="X8" s="54"/>
      <c r="Y8" s="54"/>
      <c r="Z8" s="54"/>
      <c r="AA8" s="54"/>
      <c r="AB8" s="54"/>
      <c r="AC8" s="54"/>
      <c r="AD8" s="54"/>
      <c r="AE8" s="54"/>
      <c r="AF8" s="54"/>
      <c r="AG8" s="54"/>
      <c r="AH8" s="54"/>
      <c r="AI8" s="51"/>
      <c r="AJ8" s="51"/>
      <c r="AK8" s="51"/>
      <c r="AL8" s="51"/>
      <c r="AM8" s="52"/>
      <c r="AN8" s="52"/>
      <c r="AO8" s="52"/>
      <c r="AP8" s="52"/>
      <c r="AQ8" s="52"/>
      <c r="AR8" s="52"/>
      <c r="AS8" s="52"/>
      <c r="AT8" s="53"/>
      <c r="AU8" s="53"/>
      <c r="AV8" s="53"/>
      <c r="AW8" s="53"/>
      <c r="AX8" s="54"/>
      <c r="AY8" s="54"/>
      <c r="AZ8" s="54"/>
      <c r="BA8" s="54"/>
      <c r="BB8" s="54"/>
      <c r="BC8" s="54"/>
    </row>
    <row r="9" spans="1:256">
      <c r="A9" s="45"/>
      <c r="B9" s="2341"/>
      <c r="C9" s="2342" t="s">
        <v>296</v>
      </c>
      <c r="D9" s="2343"/>
      <c r="E9" s="2344"/>
      <c r="F9" s="2342"/>
      <c r="G9" s="2342"/>
      <c r="H9" s="2342"/>
      <c r="I9" s="2345"/>
      <c r="J9" s="53"/>
      <c r="K9" s="53"/>
      <c r="L9" s="53"/>
      <c r="M9" s="53"/>
      <c r="N9" s="54"/>
      <c r="O9" s="54"/>
      <c r="P9" s="54"/>
      <c r="Q9" s="54"/>
      <c r="R9" s="54"/>
      <c r="S9" s="2341"/>
      <c r="T9" s="2342" t="s">
        <v>296</v>
      </c>
      <c r="U9" s="2343"/>
      <c r="V9" s="2344"/>
      <c r="W9" s="2342"/>
      <c r="X9" s="2342"/>
      <c r="Y9" s="2342"/>
      <c r="Z9" s="2345"/>
      <c r="AA9" s="54"/>
      <c r="AB9" s="54"/>
      <c r="AC9" s="54"/>
      <c r="AD9" s="54"/>
      <c r="AE9" s="54"/>
      <c r="AF9" s="54"/>
      <c r="AG9" s="54"/>
      <c r="AH9" s="54"/>
      <c r="AI9" s="45"/>
      <c r="AJ9" s="55"/>
      <c r="AK9" s="56" t="s">
        <v>296</v>
      </c>
      <c r="AL9" s="57"/>
      <c r="AM9" s="58"/>
      <c r="AN9" s="56"/>
      <c r="AO9" s="56"/>
      <c r="AP9" s="56"/>
      <c r="AQ9" s="59"/>
      <c r="AR9" s="53"/>
      <c r="AS9" s="53"/>
      <c r="AT9" s="53"/>
      <c r="AU9" s="53"/>
      <c r="AV9" s="54"/>
      <c r="AW9" s="54"/>
      <c r="AX9" s="54"/>
      <c r="AY9" s="54"/>
      <c r="AZ9" s="54"/>
      <c r="BA9" s="54"/>
      <c r="BB9" s="54"/>
      <c r="BC9" s="54"/>
    </row>
    <row r="10" spans="1:256" ht="15.75">
      <c r="A10" s="45"/>
      <c r="B10" s="1665"/>
      <c r="C10" s="3751" t="str">
        <f>UPPER(Country)</f>
        <v>LITHUANIA</v>
      </c>
      <c r="D10" s="3751"/>
      <c r="E10" s="3751"/>
      <c r="F10" s="3751"/>
      <c r="G10" s="3751"/>
      <c r="H10" s="3751"/>
      <c r="I10" s="2346"/>
      <c r="J10" s="53"/>
      <c r="K10" s="53"/>
      <c r="L10" s="53"/>
      <c r="M10" s="53"/>
      <c r="N10" s="54"/>
      <c r="O10" s="54"/>
      <c r="P10" s="54"/>
      <c r="Q10" s="54"/>
      <c r="R10" s="54"/>
      <c r="S10" s="60"/>
      <c r="T10" s="3751" t="str">
        <f>UPPER(Country)</f>
        <v>LITHUANIA</v>
      </c>
      <c r="U10" s="3751"/>
      <c r="V10" s="3751"/>
      <c r="W10" s="3751"/>
      <c r="X10" s="3751"/>
      <c r="Y10" s="3751"/>
      <c r="Z10" s="2346"/>
      <c r="AA10" s="54"/>
      <c r="AB10" s="54"/>
      <c r="AC10" s="54"/>
      <c r="AD10" s="54"/>
      <c r="AE10" s="54"/>
      <c r="AF10" s="54"/>
      <c r="AG10" s="54"/>
      <c r="AH10" s="54"/>
      <c r="AI10" s="45"/>
      <c r="AJ10" s="60"/>
      <c r="AK10" s="3751" t="str">
        <f>UPPER(Country)</f>
        <v>LITHUANIA</v>
      </c>
      <c r="AL10" s="3751"/>
      <c r="AM10" s="3751"/>
      <c r="AN10" s="3751"/>
      <c r="AO10" s="3751"/>
      <c r="AP10" s="3751"/>
      <c r="AQ10" s="61"/>
      <c r="AR10" s="53"/>
      <c r="AS10" s="53"/>
      <c r="AT10" s="53"/>
      <c r="AU10" s="53"/>
      <c r="AV10" s="54"/>
      <c r="AW10" s="54"/>
      <c r="AX10" s="54"/>
      <c r="AY10" s="54"/>
      <c r="AZ10" s="54"/>
      <c r="BA10" s="54"/>
      <c r="BB10" s="54"/>
      <c r="BC10" s="54"/>
    </row>
    <row r="11" spans="1:256">
      <c r="A11" s="45"/>
      <c r="B11" s="1665"/>
      <c r="C11" s="3751" t="s">
        <v>1014</v>
      </c>
      <c r="D11" s="3751"/>
      <c r="E11" s="3751"/>
      <c r="F11" s="3751"/>
      <c r="G11" s="3751"/>
      <c r="H11" s="3751"/>
      <c r="I11" s="2348"/>
      <c r="J11" s="53"/>
      <c r="K11" s="53"/>
      <c r="L11" s="53"/>
      <c r="M11" s="53"/>
      <c r="N11" s="54"/>
      <c r="O11" s="54"/>
      <c r="P11" s="54"/>
      <c r="Q11" s="54"/>
      <c r="R11" s="54"/>
      <c r="S11" s="1665"/>
      <c r="T11" s="3751" t="s">
        <v>1014</v>
      </c>
      <c r="U11" s="3751"/>
      <c r="V11" s="3751"/>
      <c r="W11" s="3751"/>
      <c r="X11" s="3751"/>
      <c r="Y11" s="3751"/>
      <c r="Z11" s="2348"/>
      <c r="AA11" s="54"/>
      <c r="AB11" s="54"/>
      <c r="AC11" s="54"/>
      <c r="AD11" s="54"/>
      <c r="AE11" s="54"/>
      <c r="AF11" s="54"/>
      <c r="AG11" s="54"/>
      <c r="AH11" s="54"/>
      <c r="AI11" s="45"/>
      <c r="AJ11" s="60"/>
      <c r="AK11" s="3751" t="s">
        <v>1014</v>
      </c>
      <c r="AL11" s="3751"/>
      <c r="AM11" s="3751"/>
      <c r="AN11" s="3751"/>
      <c r="AO11" s="3751"/>
      <c r="AP11" s="3751"/>
      <c r="AQ11" s="62"/>
      <c r="AR11" s="53"/>
      <c r="AS11" s="53"/>
      <c r="AT11" s="53"/>
      <c r="AU11" s="53"/>
      <c r="AV11" s="54"/>
      <c r="AW11" s="54"/>
      <c r="AX11" s="54"/>
      <c r="AY11" s="54"/>
      <c r="AZ11" s="54"/>
      <c r="BA11" s="54"/>
      <c r="BB11" s="54"/>
      <c r="BC11" s="54"/>
    </row>
    <row r="12" spans="1:256" ht="15.75">
      <c r="A12" s="45"/>
      <c r="B12" s="1665"/>
      <c r="C12" s="2349" t="str">
        <f>"Country: " &amp;UPPER(Country)</f>
        <v>Country: LITHUANIA</v>
      </c>
      <c r="D12" s="2350"/>
      <c r="E12" s="2351"/>
      <c r="F12" s="2351"/>
      <c r="G12" s="2351"/>
      <c r="H12" s="2351"/>
      <c r="I12" s="2352"/>
      <c r="J12" s="53"/>
      <c r="K12" s="53"/>
      <c r="L12" s="53"/>
      <c r="M12" s="53"/>
      <c r="N12" s="54"/>
      <c r="O12" s="54"/>
      <c r="P12" s="54"/>
      <c r="Q12" s="54"/>
      <c r="R12" s="54"/>
      <c r="S12" s="1665"/>
      <c r="T12" s="2349" t="str">
        <f>"Country: " &amp;UPPER(Country)</f>
        <v>Country: LITHUANIA</v>
      </c>
      <c r="U12" s="2350"/>
      <c r="V12" s="2006" t="s">
        <v>390</v>
      </c>
      <c r="W12" s="65"/>
      <c r="X12" s="65"/>
      <c r="Y12" s="49"/>
      <c r="Z12" s="2352"/>
      <c r="AA12" s="54"/>
      <c r="AB12" s="54"/>
      <c r="AC12" s="54"/>
      <c r="AD12" s="54"/>
      <c r="AE12" s="54"/>
      <c r="AF12" s="54"/>
      <c r="AG12" s="54"/>
      <c r="AH12" s="54"/>
      <c r="AI12" s="45"/>
      <c r="AJ12" s="60"/>
      <c r="AK12" s="63" t="str">
        <f>"Country: " &amp;UPPER(Country)</f>
        <v>Country: LITHUANIA</v>
      </c>
      <c r="AL12" s="64"/>
      <c r="AM12" s="65"/>
      <c r="AN12" s="65"/>
      <c r="AO12" s="65"/>
      <c r="AP12" s="49"/>
      <c r="AQ12" s="66"/>
      <c r="AR12" s="53"/>
      <c r="AS12" s="53"/>
      <c r="AT12" s="53"/>
      <c r="AU12" s="53"/>
      <c r="AV12" s="54"/>
      <c r="AW12" s="54"/>
      <c r="AX12" s="54"/>
      <c r="AY12" s="54"/>
      <c r="AZ12" s="54"/>
      <c r="BA12" s="54"/>
      <c r="BB12" s="54"/>
      <c r="BC12" s="54"/>
    </row>
    <row r="13" spans="1:256" ht="15.75">
      <c r="A13" s="45"/>
      <c r="B13" s="1665"/>
      <c r="C13" s="2349" t="str">
        <f>"Currency unit: " &amp; Currency</f>
        <v>Currency unit: bn EUR</v>
      </c>
      <c r="D13" s="2353"/>
      <c r="E13" s="2351"/>
      <c r="F13" s="2354"/>
      <c r="G13" s="2351"/>
      <c r="H13" s="2351"/>
      <c r="I13" s="2352"/>
      <c r="J13" s="53"/>
      <c r="K13" s="53"/>
      <c r="L13" s="53"/>
      <c r="M13" s="53"/>
      <c r="N13" s="54"/>
      <c r="O13" s="54"/>
      <c r="P13" s="54"/>
      <c r="Q13" s="54"/>
      <c r="R13" s="54"/>
      <c r="S13" s="1665"/>
      <c r="T13" s="63" t="str">
        <f>"Currency unit: " &amp; Currency</f>
        <v>Currency unit: bn EUR</v>
      </c>
      <c r="U13" s="2353"/>
      <c r="V13" s="2006" t="str">
        <f>$T$4</f>
        <v>2nd storage</v>
      </c>
      <c r="W13" s="68"/>
      <c r="X13" s="65"/>
      <c r="Y13" s="65"/>
      <c r="Z13" s="2352"/>
      <c r="AA13" s="54"/>
      <c r="AB13" s="54"/>
      <c r="AC13" s="54"/>
      <c r="AD13" s="54"/>
      <c r="AE13" s="54"/>
      <c r="AF13" s="54"/>
      <c r="AG13" s="54"/>
      <c r="AH13" s="54"/>
      <c r="AI13" s="45"/>
      <c r="AJ13" s="60"/>
      <c r="AK13" s="63" t="str">
        <f>"Currency unit: " &amp; Currency</f>
        <v>Currency unit: bn EUR</v>
      </c>
      <c r="AL13" s="67"/>
      <c r="AM13" s="65"/>
      <c r="AN13" s="68"/>
      <c r="AO13" s="65"/>
      <c r="AP13" s="65"/>
      <c r="AQ13" s="66"/>
      <c r="AR13" s="53"/>
      <c r="AS13" s="53"/>
      <c r="AT13" s="53"/>
      <c r="AU13" s="53"/>
      <c r="AV13" s="54"/>
      <c r="AW13" s="54"/>
      <c r="AX13" s="54"/>
      <c r="AY13" s="54"/>
      <c r="AZ13" s="54"/>
      <c r="BA13" s="54"/>
      <c r="BB13" s="54"/>
      <c r="BC13" s="54"/>
    </row>
    <row r="14" spans="1:256">
      <c r="A14" s="45"/>
      <c r="B14" s="1665"/>
      <c r="C14" s="2355" t="s">
        <v>297</v>
      </c>
      <c r="D14" s="2351"/>
      <c r="E14" s="2351"/>
      <c r="F14" s="2351"/>
      <c r="G14" s="2351"/>
      <c r="H14" s="2351"/>
      <c r="I14" s="2352"/>
      <c r="J14" s="53"/>
      <c r="K14" s="53"/>
      <c r="L14" s="53"/>
      <c r="M14" s="53"/>
      <c r="N14" s="54"/>
      <c r="O14" s="54"/>
      <c r="P14" s="54"/>
      <c r="Q14" s="54"/>
      <c r="R14" s="54"/>
      <c r="S14" s="1665"/>
      <c r="T14" s="2355" t="s">
        <v>297</v>
      </c>
      <c r="U14" s="2351"/>
      <c r="V14" s="2351"/>
      <c r="W14" s="2351"/>
      <c r="X14" s="2351"/>
      <c r="Y14" s="2351"/>
      <c r="Z14" s="2352"/>
      <c r="AA14" s="54"/>
      <c r="AB14" s="54"/>
      <c r="AC14" s="54"/>
      <c r="AD14" s="54"/>
      <c r="AE14" s="54"/>
      <c r="AF14" s="54"/>
      <c r="AG14" s="54"/>
      <c r="AH14" s="54"/>
      <c r="AI14" s="45"/>
      <c r="AJ14" s="60"/>
      <c r="AK14" s="69" t="s">
        <v>297</v>
      </c>
      <c r="AL14" s="65"/>
      <c r="AM14" s="65"/>
      <c r="AN14" s="65"/>
      <c r="AO14" s="65"/>
      <c r="AP14" s="65"/>
      <c r="AQ14" s="66"/>
      <c r="AR14" s="53"/>
      <c r="AS14" s="53"/>
      <c r="AT14" s="53"/>
      <c r="AU14" s="53"/>
      <c r="AV14" s="54"/>
      <c r="AW14" s="54"/>
      <c r="AX14" s="54"/>
      <c r="AY14" s="54"/>
      <c r="AZ14" s="54"/>
      <c r="BA14" s="54"/>
      <c r="BB14" s="54"/>
      <c r="BC14" s="54"/>
    </row>
    <row r="15" spans="1:256" ht="13.5" thickBot="1">
      <c r="A15" s="45"/>
      <c r="B15" s="1665"/>
      <c r="C15" s="2351"/>
      <c r="D15" s="2351"/>
      <c r="E15" s="2351"/>
      <c r="F15" s="2351"/>
      <c r="G15" s="3789">
        <f ca="1">NOW()</f>
        <v>43392.47578483796</v>
      </c>
      <c r="H15" s="3789"/>
      <c r="I15" s="2356"/>
      <c r="J15" s="53"/>
      <c r="K15" s="53"/>
      <c r="L15" s="53"/>
      <c r="M15" s="53"/>
      <c r="N15" s="53"/>
      <c r="O15" s="54"/>
      <c r="P15" s="54"/>
      <c r="Q15" s="54"/>
      <c r="R15" s="54"/>
      <c r="S15" s="1665"/>
      <c r="T15" s="2351"/>
      <c r="U15" s="2351"/>
      <c r="V15" s="2351"/>
      <c r="W15" s="2351"/>
      <c r="X15" s="3751">
        <f ca="1">NOW()</f>
        <v>43392.47578483796</v>
      </c>
      <c r="Y15" s="3751"/>
      <c r="Z15" s="2356"/>
      <c r="AA15" s="54"/>
      <c r="AB15" s="54"/>
      <c r="AC15" s="54"/>
      <c r="AD15" s="54"/>
      <c r="AE15" s="54"/>
      <c r="AF15" s="54"/>
      <c r="AG15" s="54"/>
      <c r="AH15" s="54"/>
      <c r="AI15" s="45"/>
      <c r="AJ15" s="60"/>
      <c r="AK15" s="65"/>
      <c r="AL15" s="65"/>
      <c r="AM15" s="65"/>
      <c r="AN15" s="65"/>
      <c r="AO15" s="3751">
        <f ca="1">NOW()</f>
        <v>43392.47578483796</v>
      </c>
      <c r="AP15" s="3751"/>
      <c r="AQ15" s="71"/>
      <c r="AR15" s="53"/>
      <c r="AS15" s="53"/>
      <c r="AT15" s="53"/>
      <c r="AU15" s="53"/>
      <c r="AV15" s="53"/>
      <c r="AW15" s="54"/>
      <c r="AX15" s="54"/>
      <c r="AY15" s="54"/>
      <c r="AZ15" s="54"/>
      <c r="BA15" s="54"/>
      <c r="BB15" s="54"/>
      <c r="BC15" s="54"/>
    </row>
    <row r="16" spans="1:256">
      <c r="A16" s="45"/>
      <c r="B16" s="1665"/>
      <c r="C16" s="2357"/>
      <c r="D16" s="2358"/>
      <c r="E16" s="2359">
        <f>Last_forecast_year - 3</f>
        <v>2016</v>
      </c>
      <c r="F16" s="2360">
        <f>E16+1</f>
        <v>2017</v>
      </c>
      <c r="G16" s="2360">
        <f>F16+1</f>
        <v>2018</v>
      </c>
      <c r="H16" s="2361">
        <f>G16+1</f>
        <v>2019</v>
      </c>
      <c r="I16" s="2362"/>
      <c r="J16" s="53"/>
      <c r="K16" s="53"/>
      <c r="L16" s="53"/>
      <c r="M16" s="53"/>
      <c r="N16" s="53"/>
      <c r="O16" s="54"/>
      <c r="P16" s="54"/>
      <c r="Q16" s="54"/>
      <c r="R16" s="54"/>
      <c r="S16" s="1665"/>
      <c r="T16" s="2357"/>
      <c r="U16" s="2358"/>
      <c r="V16" s="2359">
        <f>Last_forecast_year-3</f>
        <v>2016</v>
      </c>
      <c r="W16" s="2360">
        <f>V16+1</f>
        <v>2017</v>
      </c>
      <c r="X16" s="2360">
        <f>W16+1</f>
        <v>2018</v>
      </c>
      <c r="Y16" s="2361">
        <f>X16+1</f>
        <v>2019</v>
      </c>
      <c r="Z16" s="2362"/>
      <c r="AA16" s="54"/>
      <c r="AB16" s="54"/>
      <c r="AC16" s="54"/>
      <c r="AD16" s="54"/>
      <c r="AE16" s="54"/>
      <c r="AF16" s="54"/>
      <c r="AG16" s="54"/>
      <c r="AH16" s="54"/>
      <c r="AI16" s="45"/>
      <c r="AJ16" s="60"/>
      <c r="AK16" s="72"/>
      <c r="AL16" s="73"/>
      <c r="AM16" s="74">
        <f>Last_forecast_year - 3</f>
        <v>2016</v>
      </c>
      <c r="AN16" s="75">
        <f>AM16+1</f>
        <v>2017</v>
      </c>
      <c r="AO16" s="75">
        <f>AN16+1</f>
        <v>2018</v>
      </c>
      <c r="AP16" s="1675">
        <f>AO16+1</f>
        <v>2019</v>
      </c>
      <c r="AQ16" s="76"/>
      <c r="AR16" s="53"/>
      <c r="AS16" s="53"/>
      <c r="AT16" s="53"/>
      <c r="AU16" s="53"/>
      <c r="AV16" s="53"/>
      <c r="AW16" s="54"/>
      <c r="AX16" s="54"/>
      <c r="AY16" s="54"/>
      <c r="AZ16" s="54"/>
      <c r="BA16" s="54"/>
      <c r="BB16" s="54"/>
      <c r="BC16" s="54"/>
    </row>
    <row r="17" spans="1:55">
      <c r="A17" s="45"/>
      <c r="B17" s="1665"/>
      <c r="C17" s="1666"/>
      <c r="D17" s="2351"/>
      <c r="E17" s="3751" t="s">
        <v>298</v>
      </c>
      <c r="F17" s="3751"/>
      <c r="G17" s="3751"/>
      <c r="H17" s="3751"/>
      <c r="I17" s="2363"/>
      <c r="J17" s="53"/>
      <c r="K17" s="53"/>
      <c r="L17" s="53"/>
      <c r="M17" s="53"/>
      <c r="N17" s="53"/>
      <c r="O17" s="54"/>
      <c r="P17" s="54"/>
      <c r="Q17" s="54"/>
      <c r="R17" s="54"/>
      <c r="S17" s="1665"/>
      <c r="T17" s="1666"/>
      <c r="U17" s="2351"/>
      <c r="V17" s="3751" t="s">
        <v>298</v>
      </c>
      <c r="W17" s="3751"/>
      <c r="X17" s="3751"/>
      <c r="Y17" s="3751"/>
      <c r="Z17" s="2363"/>
      <c r="AA17" s="54"/>
      <c r="AB17" s="54"/>
      <c r="AC17" s="54"/>
      <c r="AD17" s="54"/>
      <c r="AE17" s="54"/>
      <c r="AF17" s="54"/>
      <c r="AG17" s="54"/>
      <c r="AH17" s="54"/>
      <c r="AI17" s="45"/>
      <c r="AJ17" s="60"/>
      <c r="AK17" s="40"/>
      <c r="AL17" s="65"/>
      <c r="AM17" s="3751" t="s">
        <v>298</v>
      </c>
      <c r="AN17" s="3751"/>
      <c r="AO17" s="3751"/>
      <c r="AP17" s="3751"/>
      <c r="AQ17" s="77"/>
      <c r="AR17" s="53"/>
      <c r="AS17" s="53"/>
      <c r="AT17" s="53"/>
      <c r="AU17" s="53"/>
      <c r="AV17" s="53"/>
      <c r="AW17" s="54"/>
      <c r="AX17" s="54"/>
      <c r="AY17" s="54"/>
      <c r="AZ17" s="54"/>
      <c r="BA17" s="54"/>
      <c r="BB17" s="54"/>
      <c r="BC17" s="54"/>
    </row>
    <row r="18" spans="1:55">
      <c r="A18" s="45"/>
      <c r="B18" s="1665"/>
      <c r="C18" s="2364" t="s">
        <v>299</v>
      </c>
      <c r="D18" s="2343"/>
      <c r="E18" s="2365"/>
      <c r="F18" s="2366"/>
      <c r="G18" s="2365"/>
      <c r="H18" s="2367"/>
      <c r="I18" s="2368"/>
      <c r="J18" s="53"/>
      <c r="K18" s="53"/>
      <c r="L18" s="53"/>
      <c r="M18" s="53"/>
      <c r="N18" s="53"/>
      <c r="O18" s="54"/>
      <c r="P18" s="54"/>
      <c r="Q18" s="54"/>
      <c r="R18" s="54"/>
      <c r="S18" s="1665"/>
      <c r="T18" s="2364" t="s">
        <v>299</v>
      </c>
      <c r="U18" s="2343"/>
      <c r="V18" s="2365"/>
      <c r="W18" s="2366"/>
      <c r="X18" s="2365"/>
      <c r="Y18" s="2367"/>
      <c r="Z18" s="2368"/>
      <c r="AA18" s="54"/>
      <c r="AB18" s="54"/>
      <c r="AC18" s="54"/>
      <c r="AD18" s="54"/>
      <c r="AE18" s="54"/>
      <c r="AF18" s="54"/>
      <c r="AG18" s="54"/>
      <c r="AH18" s="54"/>
      <c r="AI18" s="45"/>
      <c r="AJ18" s="60"/>
      <c r="AK18" s="78" t="s">
        <v>299</v>
      </c>
      <c r="AL18" s="57"/>
      <c r="AM18" s="79"/>
      <c r="AN18" s="80"/>
      <c r="AO18" s="79"/>
      <c r="AP18" s="81"/>
      <c r="AQ18" s="82"/>
      <c r="AR18" s="53"/>
      <c r="AS18" s="53"/>
      <c r="AT18" s="53"/>
      <c r="AU18" s="53"/>
      <c r="AV18" s="53"/>
      <c r="AW18" s="54"/>
      <c r="AX18" s="54"/>
      <c r="AY18" s="54"/>
      <c r="AZ18" s="54"/>
      <c r="BA18" s="54"/>
      <c r="BB18" s="54"/>
      <c r="BC18" s="54"/>
    </row>
    <row r="19" spans="1:55">
      <c r="A19" s="45"/>
      <c r="B19" s="1665"/>
      <c r="C19" s="1666" t="s">
        <v>300</v>
      </c>
      <c r="D19" s="2351"/>
      <c r="E19" s="2369"/>
      <c r="F19" s="2369"/>
      <c r="G19" s="2369"/>
      <c r="H19" s="2370"/>
      <c r="I19" s="2368"/>
      <c r="J19" s="53"/>
      <c r="K19" s="53"/>
      <c r="L19" s="53"/>
      <c r="M19" s="53"/>
      <c r="N19" s="53"/>
      <c r="O19" s="54"/>
      <c r="P19" s="54"/>
      <c r="Q19" s="54"/>
      <c r="R19" s="54"/>
      <c r="S19" s="1665"/>
      <c r="T19" s="1666" t="s">
        <v>300</v>
      </c>
      <c r="U19" s="2351"/>
      <c r="V19" s="2369"/>
      <c r="W19" s="2369"/>
      <c r="X19" s="2369"/>
      <c r="Y19" s="2370"/>
      <c r="Z19" s="2368"/>
      <c r="AA19" s="54"/>
      <c r="AB19" s="54"/>
      <c r="AC19" s="54"/>
      <c r="AD19" s="54"/>
      <c r="AE19" s="54"/>
      <c r="AF19" s="54"/>
      <c r="AG19" s="54"/>
      <c r="AH19" s="54"/>
      <c r="AI19" s="45"/>
      <c r="AJ19" s="60"/>
      <c r="AK19" s="40" t="s">
        <v>300</v>
      </c>
      <c r="AL19" s="65"/>
      <c r="AM19" s="83"/>
      <c r="AN19" s="83"/>
      <c r="AO19" s="83"/>
      <c r="AP19" s="84"/>
      <c r="AQ19" s="82"/>
      <c r="AR19" s="53"/>
      <c r="AS19" s="53"/>
      <c r="AT19" s="53"/>
      <c r="AU19" s="53"/>
      <c r="AV19" s="53"/>
      <c r="AW19" s="54"/>
      <c r="AX19" s="54"/>
      <c r="AY19" s="54"/>
      <c r="AZ19" s="54"/>
      <c r="BA19" s="1991" t="s">
        <v>405</v>
      </c>
      <c r="BB19" s="1697"/>
      <c r="BC19" s="54"/>
    </row>
    <row r="20" spans="1:55">
      <c r="A20" s="45"/>
      <c r="B20" s="1665"/>
      <c r="C20" s="1666" t="s">
        <v>1172</v>
      </c>
      <c r="D20" s="2351"/>
      <c r="E20" s="2369"/>
      <c r="F20" s="2369"/>
      <c r="G20" s="2369"/>
      <c r="H20" s="2370"/>
      <c r="I20" s="2368"/>
      <c r="J20" s="53"/>
      <c r="K20" s="53"/>
      <c r="L20" s="53"/>
      <c r="M20" s="53"/>
      <c r="N20" s="53"/>
      <c r="O20" s="54"/>
      <c r="P20" s="54"/>
      <c r="Q20" s="54"/>
      <c r="R20" s="54"/>
      <c r="S20" s="1665"/>
      <c r="T20" s="1666" t="s">
        <v>1172</v>
      </c>
      <c r="U20" s="2351"/>
      <c r="V20" s="2369"/>
      <c r="W20" s="2369"/>
      <c r="X20" s="2369"/>
      <c r="Y20" s="2370"/>
      <c r="Z20" s="2368"/>
      <c r="AA20" s="54"/>
      <c r="AB20" s="54"/>
      <c r="AC20" s="54"/>
      <c r="AD20" s="54"/>
      <c r="AE20" s="54"/>
      <c r="AF20" s="54"/>
      <c r="AG20" s="54"/>
      <c r="AH20" s="54"/>
      <c r="AI20" s="45"/>
      <c r="AJ20" s="60"/>
      <c r="AK20" s="40" t="s">
        <v>1172</v>
      </c>
      <c r="AL20" s="65"/>
      <c r="AM20" s="83"/>
      <c r="AN20" s="83"/>
      <c r="AO20" s="83"/>
      <c r="AP20" s="84"/>
      <c r="AQ20" s="82"/>
      <c r="AR20" s="53"/>
      <c r="AS20" s="53"/>
      <c r="AT20" s="53"/>
      <c r="AU20" s="53"/>
      <c r="AV20" s="53"/>
      <c r="AW20" s="54"/>
      <c r="AX20" s="54"/>
      <c r="AY20" s="54"/>
      <c r="AZ20" s="54"/>
      <c r="BA20" s="1673" t="s">
        <v>425</v>
      </c>
      <c r="BB20" s="1699"/>
      <c r="BC20" s="54"/>
    </row>
    <row r="21" spans="1:55">
      <c r="A21" s="45"/>
      <c r="B21" s="1665"/>
      <c r="C21" s="2371" t="s">
        <v>1247</v>
      </c>
      <c r="D21" s="2351"/>
      <c r="E21" s="2369"/>
      <c r="F21" s="2369"/>
      <c r="G21" s="2369"/>
      <c r="H21" s="2370"/>
      <c r="I21" s="2372"/>
      <c r="J21" s="53"/>
      <c r="K21" s="53"/>
      <c r="L21" s="53"/>
      <c r="M21" s="53"/>
      <c r="N21" s="53"/>
      <c r="O21" s="54"/>
      <c r="P21" s="54"/>
      <c r="Q21" s="54"/>
      <c r="R21" s="54"/>
      <c r="S21" s="1665"/>
      <c r="T21" s="2371" t="s">
        <v>1247</v>
      </c>
      <c r="U21" s="2351"/>
      <c r="V21" s="2369"/>
      <c r="W21" s="2369"/>
      <c r="X21" s="2369"/>
      <c r="Y21" s="2370"/>
      <c r="Z21" s="2372"/>
      <c r="AA21" s="54"/>
      <c r="AB21" s="54"/>
      <c r="AC21" s="54"/>
      <c r="AD21" s="54"/>
      <c r="AE21" s="54"/>
      <c r="AF21" s="54"/>
      <c r="AG21" s="54"/>
      <c r="AH21" s="54"/>
      <c r="AI21" s="45"/>
      <c r="AJ21" s="60"/>
      <c r="AK21" s="158" t="s">
        <v>1247</v>
      </c>
      <c r="AL21" s="65"/>
      <c r="AM21" s="83"/>
      <c r="AN21" s="83"/>
      <c r="AO21" s="83"/>
      <c r="AP21" s="84"/>
      <c r="AQ21" s="85"/>
      <c r="AR21" s="53"/>
      <c r="AS21" s="53"/>
      <c r="AT21" s="53"/>
      <c r="AU21" s="53"/>
      <c r="AV21" s="53"/>
      <c r="AW21" s="54"/>
      <c r="AX21" s="54"/>
      <c r="AY21" s="54"/>
      <c r="AZ21" s="54"/>
      <c r="BA21" s="1673" t="s">
        <v>426</v>
      </c>
      <c r="BB21" s="1699"/>
      <c r="BC21" s="54"/>
    </row>
    <row r="22" spans="1:55">
      <c r="A22" s="45"/>
      <c r="B22" s="1665"/>
      <c r="C22" s="2373" t="s">
        <v>1173</v>
      </c>
      <c r="D22" s="2351"/>
      <c r="E22" s="2374"/>
      <c r="F22" s="2374"/>
      <c r="G22" s="2374"/>
      <c r="H22" s="2375"/>
      <c r="I22" s="1664"/>
      <c r="J22" s="53"/>
      <c r="K22" s="53"/>
      <c r="L22" s="53"/>
      <c r="M22" s="53"/>
      <c r="N22" s="53"/>
      <c r="O22" s="54"/>
      <c r="P22" s="54"/>
      <c r="Q22" s="54"/>
      <c r="R22" s="54"/>
      <c r="S22" s="1665"/>
      <c r="T22" s="2373" t="s">
        <v>1173</v>
      </c>
      <c r="U22" s="2351"/>
      <c r="V22" s="2374"/>
      <c r="W22" s="2374"/>
      <c r="X22" s="2374"/>
      <c r="Y22" s="2375"/>
      <c r="Z22" s="1664"/>
      <c r="AA22" s="54"/>
      <c r="AB22" s="54"/>
      <c r="AC22" s="54"/>
      <c r="AD22" s="54"/>
      <c r="AE22" s="54"/>
      <c r="AF22" s="54"/>
      <c r="AG22" s="54"/>
      <c r="AH22" s="54"/>
      <c r="AI22" s="45"/>
      <c r="AJ22" s="60"/>
      <c r="AK22" s="86" t="s">
        <v>1173</v>
      </c>
      <c r="AL22" s="65"/>
      <c r="AM22" s="87"/>
      <c r="AN22" s="88"/>
      <c r="AO22" s="87"/>
      <c r="AP22" s="89"/>
      <c r="AQ22" s="90"/>
      <c r="AR22" s="53"/>
      <c r="AS22" s="53"/>
      <c r="AT22" s="53"/>
      <c r="AU22" s="53"/>
      <c r="AV22" s="53"/>
      <c r="AW22" s="54"/>
      <c r="AX22" s="54"/>
      <c r="AY22" s="54"/>
      <c r="AZ22" s="54"/>
      <c r="BA22" s="1673"/>
      <c r="BB22" s="1699"/>
      <c r="BC22" s="54"/>
    </row>
    <row r="23" spans="1:55">
      <c r="A23" s="45"/>
      <c r="B23" s="1665"/>
      <c r="C23" s="1666" t="s">
        <v>1254</v>
      </c>
      <c r="D23" s="2351"/>
      <c r="E23" s="2376"/>
      <c r="F23" s="2377"/>
      <c r="G23" s="2376"/>
      <c r="H23" s="2378"/>
      <c r="I23" s="2368"/>
      <c r="J23" s="53"/>
      <c r="K23" s="53"/>
      <c r="L23" s="53"/>
      <c r="M23" s="53"/>
      <c r="N23" s="53"/>
      <c r="O23" s="54"/>
      <c r="P23" s="54"/>
      <c r="Q23" s="54"/>
      <c r="R23" s="54"/>
      <c r="S23" s="1665"/>
      <c r="T23" s="1666" t="s">
        <v>1254</v>
      </c>
      <c r="U23" s="2351"/>
      <c r="V23" s="2376"/>
      <c r="W23" s="2377"/>
      <c r="X23" s="2376"/>
      <c r="Y23" s="2378"/>
      <c r="Z23" s="2368"/>
      <c r="AA23" s="54"/>
      <c r="AB23" s="54"/>
      <c r="AC23" s="54"/>
      <c r="AD23" s="54"/>
      <c r="AE23" s="54"/>
      <c r="AF23" s="54"/>
      <c r="AG23" s="54"/>
      <c r="AH23" s="54"/>
      <c r="AI23" s="45"/>
      <c r="AJ23" s="60"/>
      <c r="AK23" s="40" t="s">
        <v>1254</v>
      </c>
      <c r="AL23" s="65"/>
      <c r="AM23" s="91"/>
      <c r="AN23" s="92"/>
      <c r="AO23" s="91"/>
      <c r="AP23" s="93"/>
      <c r="AQ23" s="82"/>
      <c r="AR23" s="53"/>
      <c r="AS23" s="53"/>
      <c r="AT23" s="53"/>
      <c r="AU23" s="53"/>
      <c r="AV23" s="53"/>
      <c r="AW23" s="54"/>
      <c r="AX23" s="54"/>
      <c r="AY23" s="54"/>
      <c r="AZ23" s="54"/>
      <c r="BA23" s="1673" t="s">
        <v>1219</v>
      </c>
      <c r="BB23" s="1699"/>
      <c r="BC23" s="54"/>
    </row>
    <row r="24" spans="1:55">
      <c r="A24" s="45"/>
      <c r="B24" s="1665"/>
      <c r="C24" s="2379" t="s">
        <v>1255</v>
      </c>
      <c r="D24" s="2380"/>
      <c r="E24" s="2381"/>
      <c r="F24" s="2382"/>
      <c r="G24" s="2381"/>
      <c r="H24" s="2383"/>
      <c r="I24" s="2372"/>
      <c r="J24" s="53"/>
      <c r="K24" s="53"/>
      <c r="L24" s="53"/>
      <c r="M24" s="53"/>
      <c r="N24" s="53"/>
      <c r="O24" s="54"/>
      <c r="P24" s="54"/>
      <c r="Q24" s="54"/>
      <c r="R24" s="54"/>
      <c r="S24" s="1665"/>
      <c r="T24" s="2379" t="s">
        <v>1255</v>
      </c>
      <c r="U24" s="2380"/>
      <c r="V24" s="2381"/>
      <c r="W24" s="2382"/>
      <c r="X24" s="2381"/>
      <c r="Y24" s="2383"/>
      <c r="Z24" s="2372"/>
      <c r="AA24" s="54"/>
      <c r="AB24" s="54"/>
      <c r="AC24" s="54"/>
      <c r="AD24" s="54"/>
      <c r="AE24" s="54"/>
      <c r="AF24" s="54"/>
      <c r="AG24" s="54"/>
      <c r="AH24" s="54"/>
      <c r="AI24" s="45"/>
      <c r="AJ24" s="60"/>
      <c r="AK24" s="94" t="s">
        <v>1255</v>
      </c>
      <c r="AL24" s="95"/>
      <c r="AM24" s="96"/>
      <c r="AN24" s="97"/>
      <c r="AO24" s="96"/>
      <c r="AP24" s="98"/>
      <c r="AQ24" s="85"/>
      <c r="AR24" s="53"/>
      <c r="AS24" s="53"/>
      <c r="AT24" s="53"/>
      <c r="AU24" s="53"/>
      <c r="AV24" s="53"/>
      <c r="AW24" s="54"/>
      <c r="AX24" s="54"/>
      <c r="AY24" s="54"/>
      <c r="AZ24" s="54"/>
      <c r="BA24" s="1992" t="s">
        <v>1220</v>
      </c>
      <c r="BB24" s="1699"/>
      <c r="BC24" s="54"/>
    </row>
    <row r="25" spans="1:55">
      <c r="A25" s="45"/>
      <c r="B25" s="1665"/>
      <c r="C25" s="1666"/>
      <c r="D25" s="2351"/>
      <c r="E25" s="3751" t="s">
        <v>408</v>
      </c>
      <c r="F25" s="3751"/>
      <c r="G25" s="3751"/>
      <c r="H25" s="3751"/>
      <c r="I25" s="2372"/>
      <c r="J25" s="53"/>
      <c r="K25" s="53"/>
      <c r="L25" s="53"/>
      <c r="M25" s="53"/>
      <c r="N25" s="53"/>
      <c r="O25" s="54"/>
      <c r="P25" s="54"/>
      <c r="Q25" s="54"/>
      <c r="R25" s="54"/>
      <c r="S25" s="1665"/>
      <c r="T25" s="1666"/>
      <c r="U25" s="2351"/>
      <c r="V25" s="3751" t="s">
        <v>408</v>
      </c>
      <c r="W25" s="3751"/>
      <c r="X25" s="3751"/>
      <c r="Y25" s="3751"/>
      <c r="Z25" s="2372"/>
      <c r="AA25" s="54"/>
      <c r="AB25" s="54"/>
      <c r="AC25" s="54"/>
      <c r="AD25" s="54"/>
      <c r="AE25" s="54"/>
      <c r="AF25" s="54"/>
      <c r="AG25" s="54"/>
      <c r="AH25" s="54"/>
      <c r="AI25" s="45"/>
      <c r="AJ25" s="60"/>
      <c r="AK25" s="40"/>
      <c r="AL25" s="49"/>
      <c r="AM25" s="3751" t="s">
        <v>408</v>
      </c>
      <c r="AN25" s="3751"/>
      <c r="AO25" s="3751"/>
      <c r="AP25" s="3751"/>
      <c r="AQ25" s="85"/>
      <c r="AR25" s="53"/>
      <c r="AS25" s="53"/>
      <c r="AT25" s="53"/>
      <c r="AU25" s="53"/>
      <c r="AV25" s="53"/>
      <c r="AW25" s="54"/>
      <c r="AX25" s="54"/>
      <c r="AY25" s="54"/>
      <c r="AZ25" s="54"/>
      <c r="BA25" s="1993"/>
      <c r="BB25" s="1699"/>
      <c r="BC25" s="54"/>
    </row>
    <row r="26" spans="1:55">
      <c r="A26" s="45"/>
      <c r="B26" s="1665"/>
      <c r="C26" s="2384" t="s">
        <v>44</v>
      </c>
      <c r="D26" s="2343"/>
      <c r="E26" s="2365"/>
      <c r="F26" s="2366"/>
      <c r="G26" s="2365"/>
      <c r="H26" s="2367"/>
      <c r="I26" s="2368"/>
      <c r="J26" s="53"/>
      <c r="K26" s="53"/>
      <c r="L26" s="53"/>
      <c r="M26" s="53"/>
      <c r="N26" s="53"/>
      <c r="O26" s="54"/>
      <c r="P26" s="54"/>
      <c r="Q26" s="54"/>
      <c r="R26" s="54"/>
      <c r="S26" s="1665"/>
      <c r="T26" s="2384" t="s">
        <v>44</v>
      </c>
      <c r="U26" s="2343"/>
      <c r="V26" s="2365"/>
      <c r="W26" s="2366"/>
      <c r="X26" s="2365"/>
      <c r="Y26" s="2367"/>
      <c r="Z26" s="2368"/>
      <c r="AA26" s="54"/>
      <c r="AB26" s="54"/>
      <c r="AC26" s="54"/>
      <c r="AD26" s="54"/>
      <c r="AE26" s="54"/>
      <c r="AF26" s="54"/>
      <c r="AG26" s="54"/>
      <c r="AH26" s="54"/>
      <c r="AI26" s="45"/>
      <c r="AJ26" s="60"/>
      <c r="AK26" s="99" t="s">
        <v>44</v>
      </c>
      <c r="AL26" s="100"/>
      <c r="AM26" s="79"/>
      <c r="AN26" s="80"/>
      <c r="AO26" s="79"/>
      <c r="AP26" s="81"/>
      <c r="AQ26" s="82"/>
      <c r="AR26" s="53"/>
      <c r="AS26" s="53"/>
      <c r="AT26" s="53"/>
      <c r="AU26" s="53"/>
      <c r="AV26" s="53"/>
      <c r="AW26" s="54"/>
      <c r="AX26" s="54"/>
      <c r="AY26" s="54"/>
      <c r="AZ26" s="54"/>
      <c r="BA26" s="1673" t="s">
        <v>137</v>
      </c>
      <c r="BB26" s="1699"/>
      <c r="BC26" s="54"/>
    </row>
    <row r="27" spans="1:55">
      <c r="A27" s="45"/>
      <c r="B27" s="1665"/>
      <c r="C27" s="2385" t="s">
        <v>1138</v>
      </c>
      <c r="D27" s="2386"/>
      <c r="E27" s="2387">
        <f ca="1">(((Transfer!D145/Transfer!D293)/(Transfer!C145/Transfer!C293))-1)*100</f>
        <v>-5.3247162742441345</v>
      </c>
      <c r="F27" s="2388">
        <f ca="1">(((Transfer!E145/Transfer!E293)/(Transfer!D145/Transfer!D293))-1)*100</f>
        <v>4.1311674936495457</v>
      </c>
      <c r="G27" s="2387">
        <f ca="1">(((Transfer!F145/Transfer!F293)/(Transfer!E145/Transfer!E293))-1)*100</f>
        <v>2.4999999999999689</v>
      </c>
      <c r="H27" s="2389">
        <f ca="1">(((Transfer!G145/Transfer!G293)/(Transfer!F145/Transfer!F293))-1)*100</f>
        <v>1.5000000000000124</v>
      </c>
      <c r="I27" s="2390"/>
      <c r="J27" s="53"/>
      <c r="K27" s="53"/>
      <c r="L27" s="53"/>
      <c r="M27" s="53"/>
      <c r="N27" s="53"/>
      <c r="O27" s="54"/>
      <c r="P27" s="54"/>
      <c r="Q27" s="54"/>
      <c r="R27" s="54"/>
      <c r="S27" s="1665"/>
      <c r="T27" s="1666" t="s">
        <v>1138</v>
      </c>
      <c r="U27" s="2392"/>
      <c r="V27" s="2376">
        <f t="shared" ref="V27:Y29" ca="1" si="0">ROUND(E27,1)-ROUND(AM27,1)</f>
        <v>-9.8999999999999986</v>
      </c>
      <c r="W27" s="2376">
        <f t="shared" ca="1" si="0"/>
        <v>4.3</v>
      </c>
      <c r="X27" s="2376">
        <f t="shared" ca="1" si="0"/>
        <v>1.3</v>
      </c>
      <c r="Y27" s="2378">
        <f t="shared" ca="1" si="0"/>
        <v>-0.60000000000000009</v>
      </c>
      <c r="Z27" s="2390"/>
      <c r="AA27" s="54"/>
      <c r="AB27" s="54"/>
      <c r="AC27" s="54"/>
      <c r="AD27" s="54"/>
      <c r="AE27" s="54"/>
      <c r="AF27" s="54"/>
      <c r="AG27" s="54"/>
      <c r="AH27" s="54"/>
      <c r="AI27" s="45"/>
      <c r="AJ27" s="60"/>
      <c r="AK27" s="2111" t="s">
        <v>1138</v>
      </c>
      <c r="AL27" s="2112"/>
      <c r="AM27" s="2113">
        <f>(((Transfer!AD145/Transfer!AD293)/(Transfer!AC145/Transfer!AC293))-1)*100</f>
        <v>4.6290320298688403</v>
      </c>
      <c r="AN27" s="2114">
        <f>(((Transfer!AE145/Transfer!AE293)/(Transfer!AD145/Transfer!AD293))-1)*100</f>
        <v>-0.20000000000000018</v>
      </c>
      <c r="AO27" s="2113">
        <f>(((Transfer!AF145/Transfer!AF293)/(Transfer!AE145/Transfer!AE293))-1)*100</f>
        <v>1.2000000000000011</v>
      </c>
      <c r="AP27" s="2115">
        <f>(((Transfer!AG145/Transfer!AG293)/(Transfer!AF145/Transfer!AF293))-1)*100</f>
        <v>2.0999999999999908</v>
      </c>
      <c r="AQ27" s="103"/>
      <c r="AR27" s="53"/>
      <c r="AS27" s="53"/>
      <c r="AT27" s="53"/>
      <c r="AU27" s="53"/>
      <c r="AV27" s="53"/>
      <c r="AW27" s="54"/>
      <c r="AX27" s="54"/>
      <c r="AY27" s="54"/>
      <c r="AZ27" s="54"/>
      <c r="BA27" s="1673" t="s">
        <v>1221</v>
      </c>
      <c r="BB27" s="1699"/>
      <c r="BC27" s="54"/>
    </row>
    <row r="28" spans="1:55">
      <c r="A28" s="45"/>
      <c r="B28" s="1665"/>
      <c r="C28" s="2385" t="s">
        <v>1139</v>
      </c>
      <c r="D28" s="2386"/>
      <c r="E28" s="2387">
        <f ca="1">IF(Transfer!$C$280=1,((SUM(Transfer!D101,Transfer!D102,Transfer!D103,Transfer!D107,Transfer!D108,Transfer!D109)/SUM(Transfer!C136,Transfer!C137,Transfer!C138,Transfer!C142,Transfer!C143,Transfer!C144))-1)*100,((SUM(Transfer!D101,Transfer!D102,Transfer!D103,Transfer!D107,Transfer!D108,Transfer!D109)/SUM(Transfer!C101,Transfer!C102,Transfer!C103,Transfer!C107,Transfer!C108,Transfer!C109))-1)*100)</f>
        <v>2.8568882486175395</v>
      </c>
      <c r="F28" s="2388">
        <f ca="1">IF(Transfer!$C$280=1,((SUM(Transfer!E101,Transfer!E102,Transfer!E103,Transfer!E107,Transfer!E108,Transfer!E109)/SUM(Transfer!D136,Transfer!D137,Transfer!D138,Transfer!D142,Transfer!D143,Transfer!D144))-1)*100,((SUM(Transfer!E101,Transfer!E102,Transfer!E103,Transfer!E107,Transfer!E108,Transfer!E109)/SUM(Transfer!D101,Transfer!D102,Transfer!D103,Transfer!D107,Transfer!D108,Transfer!D109))-1)*100)</f>
        <v>8.0495832029002123</v>
      </c>
      <c r="G28" s="2387">
        <f ca="1">IF(Transfer!$C$280=1,((SUM(Transfer!F101,Transfer!F102,Transfer!F103,Transfer!F107,Transfer!F108,Transfer!F109)/SUM(Transfer!E136,Transfer!E137,Transfer!E138,Transfer!E142,Transfer!E143,Transfer!E144))-1)*100,((SUM(Transfer!F101,Transfer!F102,Transfer!F103,Transfer!F107,Transfer!F108,Transfer!F109)/SUM(Transfer!E101,Transfer!E102,Transfer!E103,Transfer!E107,Transfer!E108,Transfer!E109))-1)*100)</f>
        <v>4.6078041243743151</v>
      </c>
      <c r="H28" s="2389">
        <f ca="1">IF(Transfer!$C$280=1,((SUM(Transfer!G101,Transfer!G102,Transfer!G103,Transfer!G107,Transfer!G108,Transfer!G109)/SUM(Transfer!F136,Transfer!F137,Transfer!F138,Transfer!F142,Transfer!F143,Transfer!F144))-1)*100,((SUM(Transfer!G101,Transfer!G102,Transfer!G103,Transfer!G107,Transfer!G108,Transfer!G109)/SUM(Transfer!F101,Transfer!F102,Transfer!F103,Transfer!F107,Transfer!F108,Transfer!F109))-1)*100)</f>
        <v>3.764011887397678</v>
      </c>
      <c r="I28" s="2390"/>
      <c r="J28" s="53"/>
      <c r="K28" s="53"/>
      <c r="L28" s="53"/>
      <c r="M28" s="53"/>
      <c r="N28" s="53"/>
      <c r="O28" s="54"/>
      <c r="P28" s="54"/>
      <c r="Q28" s="54"/>
      <c r="R28" s="54"/>
      <c r="S28" s="1665"/>
      <c r="T28" s="1666" t="s">
        <v>1139</v>
      </c>
      <c r="U28" s="2392"/>
      <c r="V28" s="2376">
        <f t="shared" ca="1" si="0"/>
        <v>-1.9</v>
      </c>
      <c r="W28" s="2376">
        <f t="shared" ca="1" si="0"/>
        <v>3.3</v>
      </c>
      <c r="X28" s="2376">
        <f t="shared" ca="1" si="0"/>
        <v>-0.60000000000000053</v>
      </c>
      <c r="Y28" s="2378">
        <f t="shared" ca="1" si="0"/>
        <v>-1.7000000000000002</v>
      </c>
      <c r="Z28" s="2390"/>
      <c r="AA28" s="54"/>
      <c r="AB28" s="54"/>
      <c r="AC28" s="54"/>
      <c r="AD28" s="54"/>
      <c r="AE28" s="54"/>
      <c r="AF28" s="54"/>
      <c r="AG28" s="54"/>
      <c r="AH28" s="54"/>
      <c r="AI28" s="45"/>
      <c r="AJ28" s="60"/>
      <c r="AK28" s="2111" t="s">
        <v>1139</v>
      </c>
      <c r="AL28" s="2112"/>
      <c r="AM28" s="2113">
        <f>IF(Transfer!$C$280=1,((SUM(Transfer!AD101,Transfer!AD102,Transfer!AD103,Transfer!AD107,Transfer!AD108,Transfer!AD109)/SUM(Transfer!AC136,Transfer!AC137,Transfer!AC138,Transfer!AC142,Transfer!AC143,Transfer!AC144))-1)*100,((SUM(Transfer!AD101,Transfer!AD102,Transfer!AD103,Transfer!AD107,Transfer!AD108,Transfer!AD109)/SUM(Transfer!AC101,Transfer!AC102,Transfer!AC103,Transfer!AC107,Transfer!AC108,Transfer!AC109))-1)*100)</f>
        <v>4.7588443421731297</v>
      </c>
      <c r="AN28" s="2114">
        <f>IF(Transfer!$C$280=1,((SUM(Transfer!AE101,Transfer!AE102,Transfer!AE103,Transfer!AE107,Transfer!AE108,Transfer!AE109)/SUM(Transfer!AD136,Transfer!AD137,Transfer!AD138,Transfer!AD142,Transfer!AD143,Transfer!AD144))-1)*100,((SUM(Transfer!AE101,Transfer!AE102,Transfer!AE103,Transfer!AE107,Transfer!AE108,Transfer!AE109)/SUM(Transfer!AD101,Transfer!AD102,Transfer!AD103,Transfer!AD107,Transfer!AD108,Transfer!AD109))-1)*100)</f>
        <v>4.7488083131673964</v>
      </c>
      <c r="AO28" s="2113">
        <f>IF(Transfer!$C$280=1,((SUM(Transfer!AF101,Transfer!AF102,Transfer!AF103,Transfer!AF107,Transfer!AF108,Transfer!AF109)/SUM(Transfer!AE136,Transfer!AE137,Transfer!AE138,Transfer!AE142,Transfer!AE143,Transfer!AE144))-1)*100,((SUM(Transfer!AF101,Transfer!AF102,Transfer!AF103,Transfer!AF107,Transfer!AF108,Transfer!AF109)/SUM(Transfer!AE101,Transfer!AE102,Transfer!AE103,Transfer!AE107,Transfer!AE108,Transfer!AE109))-1)*100)</f>
        <v>5.2135764091778558</v>
      </c>
      <c r="AP28" s="2115">
        <f>IF(Transfer!$C$280=1,((SUM(Transfer!AG101,Transfer!AG102,Transfer!AG103,Transfer!AG107,Transfer!AG108,Transfer!AG109)/SUM(Transfer!AF136,Transfer!AF137,Transfer!AF138,Transfer!AF142,Transfer!AF143,Transfer!AF144))-1)*100,((SUM(Transfer!AG101,Transfer!AG102,Transfer!AG103,Transfer!AG107,Transfer!AG108,Transfer!AG109)/SUM(Transfer!AF101,Transfer!AF102,Transfer!AF103,Transfer!AF107,Transfer!AF108,Transfer!AF109))-1)*100)</f>
        <v>5.5248562395880496</v>
      </c>
      <c r="AQ28" s="103"/>
      <c r="AR28" s="53"/>
      <c r="AS28" s="53"/>
      <c r="AT28" s="53"/>
      <c r="AU28" s="53"/>
      <c r="AV28" s="53"/>
      <c r="AW28" s="54"/>
      <c r="AX28" s="54"/>
      <c r="AY28" s="54"/>
      <c r="AZ28" s="54"/>
      <c r="BA28" s="1673" t="s">
        <v>366</v>
      </c>
      <c r="BB28" s="1699"/>
      <c r="BC28" s="54"/>
    </row>
    <row r="29" spans="1:55">
      <c r="A29" s="45"/>
      <c r="B29" s="1665"/>
      <c r="C29" s="2385" t="s">
        <v>1140</v>
      </c>
      <c r="D29" s="2386"/>
      <c r="E29" s="2387">
        <f ca="1">((Transfer!D295/Transfer!C295)-1)*100</f>
        <v>2.3448829366414126</v>
      </c>
      <c r="F29" s="3743">
        <f ca="1">((Transfer!E295/Transfer!D295)-1)*100</f>
        <v>4.565211033661698</v>
      </c>
      <c r="G29" s="3733">
        <f ca="1">((Transfer!F295/Transfer!E295)-1)*100</f>
        <v>3.1205873424164254</v>
      </c>
      <c r="H29" s="3337">
        <f ca="1">((Transfer!G295/Transfer!F295)-1)*100</f>
        <v>2.6426635456777037</v>
      </c>
      <c r="I29" s="2372"/>
      <c r="J29" s="53"/>
      <c r="K29" s="53"/>
      <c r="L29" s="53"/>
      <c r="M29" s="53"/>
      <c r="N29" s="53"/>
      <c r="O29" s="54"/>
      <c r="P29" s="54"/>
      <c r="Q29" s="54"/>
      <c r="R29" s="54"/>
      <c r="S29" s="1665"/>
      <c r="T29" s="1666" t="s">
        <v>1140</v>
      </c>
      <c r="U29" s="2353"/>
      <c r="V29" s="2376">
        <f t="shared" ca="1" si="0"/>
        <v>-1.4000000000000004</v>
      </c>
      <c r="W29" s="2376">
        <f t="shared" ca="1" si="0"/>
        <v>0.99999999999999956</v>
      </c>
      <c r="X29" s="2376">
        <f t="shared" ca="1" si="0"/>
        <v>-0.5</v>
      </c>
      <c r="Y29" s="2378">
        <f t="shared" ca="1" si="0"/>
        <v>-1.2999999999999998</v>
      </c>
      <c r="Z29" s="2372"/>
      <c r="AA29" s="54"/>
      <c r="AB29" s="54"/>
      <c r="AC29" s="54"/>
      <c r="AD29" s="54"/>
      <c r="AE29" s="54"/>
      <c r="AF29" s="54"/>
      <c r="AG29" s="54"/>
      <c r="AH29" s="54"/>
      <c r="AI29" s="45"/>
      <c r="AJ29" s="60"/>
      <c r="AK29" s="2111" t="s">
        <v>1140</v>
      </c>
      <c r="AL29" s="2112"/>
      <c r="AM29" s="2113">
        <f>((Transfer!AD295/Transfer!AC295)-1)*100</f>
        <v>3.6592993272815288</v>
      </c>
      <c r="AN29" s="2114">
        <f>((Transfer!AE295/Transfer!AD295)-1)*100</f>
        <v>3.584097298361888</v>
      </c>
      <c r="AO29" s="2113">
        <f>((Transfer!AF295/Transfer!AE295)-1)*100</f>
        <v>3.6179854244913212</v>
      </c>
      <c r="AP29" s="2115">
        <f>((Transfer!AG295/Transfer!AF295)-1)*100</f>
        <v>3.9239747887909182</v>
      </c>
      <c r="AQ29" s="85"/>
      <c r="AR29" s="53"/>
      <c r="AS29" s="53"/>
      <c r="AT29" s="53"/>
      <c r="AU29" s="53"/>
      <c r="AV29" s="53"/>
      <c r="AW29" s="54"/>
      <c r="AX29" s="54"/>
      <c r="AY29" s="54"/>
      <c r="AZ29" s="54"/>
      <c r="BA29" s="1673" t="s">
        <v>370</v>
      </c>
      <c r="BB29" s="1699"/>
      <c r="BC29" s="54"/>
    </row>
    <row r="30" spans="1:55">
      <c r="A30" s="45"/>
      <c r="B30" s="1665"/>
      <c r="C30" s="1666" t="s">
        <v>176</v>
      </c>
      <c r="D30" s="2351"/>
      <c r="E30" s="1668"/>
      <c r="F30" s="2391"/>
      <c r="G30" s="1668"/>
      <c r="H30" s="1669"/>
      <c r="I30" s="2368"/>
      <c r="J30" s="53"/>
      <c r="K30" s="53"/>
      <c r="L30" s="53"/>
      <c r="M30" s="53"/>
      <c r="N30" s="53"/>
      <c r="O30" s="54"/>
      <c r="P30" s="54"/>
      <c r="Q30" s="54"/>
      <c r="R30" s="54"/>
      <c r="S30" s="1665"/>
      <c r="T30" s="1666" t="s">
        <v>176</v>
      </c>
      <c r="U30" s="2351"/>
      <c r="V30" s="2376"/>
      <c r="W30" s="2377"/>
      <c r="X30" s="2376"/>
      <c r="Y30" s="2378"/>
      <c r="Z30" s="2368"/>
      <c r="AA30" s="54"/>
      <c r="AB30" s="54"/>
      <c r="AC30" s="54"/>
      <c r="AD30" s="54"/>
      <c r="AE30" s="54"/>
      <c r="AF30" s="54"/>
      <c r="AG30" s="54"/>
      <c r="AH30" s="54"/>
      <c r="AI30" s="45"/>
      <c r="AJ30" s="60"/>
      <c r="AK30" s="101" t="s">
        <v>176</v>
      </c>
      <c r="AL30" s="65"/>
      <c r="AM30" s="1982"/>
      <c r="AN30" s="177"/>
      <c r="AO30" s="1982"/>
      <c r="AP30" s="1983"/>
      <c r="AQ30" s="82"/>
      <c r="AR30" s="53"/>
      <c r="AS30" s="53"/>
      <c r="AT30" s="53"/>
      <c r="AU30" s="53"/>
      <c r="AV30" s="53"/>
      <c r="AW30" s="54"/>
      <c r="AX30" s="54"/>
      <c r="AY30" s="54"/>
      <c r="AZ30" s="54"/>
      <c r="BA30" s="1673" t="s">
        <v>1222</v>
      </c>
      <c r="BB30" s="1699"/>
      <c r="BC30" s="54"/>
    </row>
    <row r="31" spans="1:55">
      <c r="A31" s="45"/>
      <c r="B31" s="1665"/>
      <c r="C31" s="1666" t="s">
        <v>177</v>
      </c>
      <c r="D31" s="2392"/>
      <c r="E31" s="1668">
        <f ca="1">IF(Transfer!C160=-9999,(((Transfer!D159/Transfer!C159))-1)*100,(((Transfer!D160/Transfer!C160))-1)*100)</f>
        <v>1.9839218418706395</v>
      </c>
      <c r="F31" s="2391">
        <f ca="1">IF(Transfer!D160=-9999,(((Transfer!E159/Transfer!D159))-1)*100,(((Transfer!E160/Transfer!D160))-1)*100)</f>
        <v>-0.52159475760537033</v>
      </c>
      <c r="G31" s="1668">
        <f ca="1">IF(Transfer!E160=-9999,(((Transfer!F159/Transfer!E159))-1)*100,(((Transfer!F160/Transfer!E160))-1)*100)</f>
        <v>-0.54332365908232871</v>
      </c>
      <c r="H31" s="1669">
        <f ca="1">IF(Transfer!F160=-9999,(((Transfer!G159/Transfer!F159))-1)*100,(((Transfer!G160/Transfer!F160))-1)*100)</f>
        <v>-0.30321226620060315</v>
      </c>
      <c r="I31" s="2390"/>
      <c r="J31" s="53"/>
      <c r="K31" s="53"/>
      <c r="L31" s="53"/>
      <c r="M31" s="53"/>
      <c r="N31" s="53"/>
      <c r="O31" s="54"/>
      <c r="P31" s="54"/>
      <c r="Q31" s="54"/>
      <c r="R31" s="54"/>
      <c r="S31" s="1665"/>
      <c r="T31" s="1666" t="s">
        <v>177</v>
      </c>
      <c r="U31" s="2392"/>
      <c r="V31" s="2376">
        <f ca="1">ROUND(E31,1)-ROUND(AM31,1)</f>
        <v>0.19999999999999996</v>
      </c>
      <c r="W31" s="2376">
        <f ca="1">ROUND(F31,1)-ROUND(AN31,1)</f>
        <v>-2</v>
      </c>
      <c r="X31" s="2376">
        <f ca="1">ROUND(G31,1)-ROUND(AO31,1)</f>
        <v>-1.9</v>
      </c>
      <c r="Y31" s="2378">
        <f ca="1">ROUND(H31,1)-ROUND(AP31,1)</f>
        <v>-1.5</v>
      </c>
      <c r="Z31" s="2390"/>
      <c r="AA31" s="54"/>
      <c r="AB31" s="54"/>
      <c r="AC31" s="54"/>
      <c r="AD31" s="54"/>
      <c r="AE31" s="54"/>
      <c r="AF31" s="54"/>
      <c r="AG31" s="54"/>
      <c r="AH31" s="54"/>
      <c r="AI31" s="45"/>
      <c r="AJ31" s="60"/>
      <c r="AK31" s="101" t="s">
        <v>177</v>
      </c>
      <c r="AL31" s="105"/>
      <c r="AM31" s="1982">
        <f>IF(Transfer!AC160=-9999,(((Transfer!AD159/Transfer!AC159))-1)*100,(((Transfer!AD160/Transfer!AC160))-1)*100)</f>
        <v>1.7721721082461839</v>
      </c>
      <c r="AN31" s="177">
        <f>IF(Transfer!AD160=-9999,(((Transfer!AE159/Transfer!AD159))-1)*100,(((Transfer!AE160/Transfer!AD160))-1)*100)</f>
        <v>1.5007464809470461</v>
      </c>
      <c r="AO31" s="1982">
        <f>IF(Transfer!AE160=-9999,(((Transfer!AF159/Transfer!AE159))-1)*100,(((Transfer!AF160/Transfer!AE160))-1)*100)</f>
        <v>1.445184684590739</v>
      </c>
      <c r="AP31" s="1983">
        <f>IF(Transfer!AF160=-9999,(((Transfer!AG159/Transfer!AF159))-1)*100,(((Transfer!AG160/Transfer!AF160))-1)*100)</f>
        <v>1.2439434217705214</v>
      </c>
      <c r="AQ31" s="103"/>
      <c r="AR31" s="53"/>
      <c r="AS31" s="53"/>
      <c r="AT31" s="53"/>
      <c r="AU31" s="53"/>
      <c r="AV31" s="53"/>
      <c r="AW31" s="54"/>
      <c r="AX31" s="54"/>
      <c r="AY31" s="54"/>
      <c r="AZ31" s="54"/>
      <c r="BA31" s="1673" t="s">
        <v>1223</v>
      </c>
      <c r="BB31" s="1699"/>
      <c r="BC31" s="54"/>
    </row>
    <row r="32" spans="1:55">
      <c r="A32" s="45"/>
      <c r="B32" s="1665"/>
      <c r="C32" s="1666" t="s">
        <v>178</v>
      </c>
      <c r="D32" s="2392"/>
      <c r="E32" s="1668"/>
      <c r="F32" s="2391"/>
      <c r="G32" s="1668"/>
      <c r="H32" s="1669"/>
      <c r="I32" s="2390"/>
      <c r="J32" s="53"/>
      <c r="K32" s="53"/>
      <c r="L32" s="53"/>
      <c r="M32" s="53"/>
      <c r="N32" s="53"/>
      <c r="O32" s="54"/>
      <c r="P32" s="54"/>
      <c r="Q32" s="54"/>
      <c r="R32" s="54"/>
      <c r="S32" s="1665"/>
      <c r="T32" s="1666" t="s">
        <v>178</v>
      </c>
      <c r="U32" s="2392"/>
      <c r="V32" s="2376"/>
      <c r="W32" s="2377"/>
      <c r="X32" s="2376"/>
      <c r="Y32" s="2378"/>
      <c r="Z32" s="2390"/>
      <c r="AA32" s="54"/>
      <c r="AB32" s="54"/>
      <c r="AC32" s="54"/>
      <c r="AD32" s="54"/>
      <c r="AE32" s="54"/>
      <c r="AF32" s="54"/>
      <c r="AG32" s="54"/>
      <c r="AH32" s="54"/>
      <c r="AI32" s="45"/>
      <c r="AJ32" s="60"/>
      <c r="AK32" s="101" t="s">
        <v>178</v>
      </c>
      <c r="AL32" s="105"/>
      <c r="AM32" s="1982"/>
      <c r="AN32" s="177"/>
      <c r="AO32" s="1982"/>
      <c r="AP32" s="1983"/>
      <c r="AQ32" s="103"/>
      <c r="AR32" s="53"/>
      <c r="AS32" s="53"/>
      <c r="AT32" s="53"/>
      <c r="AU32" s="53"/>
      <c r="AV32" s="53"/>
      <c r="AW32" s="54"/>
      <c r="AX32" s="54"/>
      <c r="AY32" s="54"/>
      <c r="AZ32" s="54"/>
      <c r="BA32" s="1673" t="s">
        <v>942</v>
      </c>
      <c r="BB32" s="1699"/>
      <c r="BC32" s="54"/>
    </row>
    <row r="33" spans="1:256">
      <c r="A33" s="45"/>
      <c r="B33" s="1665"/>
      <c r="C33" s="2385" t="s">
        <v>184</v>
      </c>
      <c r="D33" s="2386"/>
      <c r="E33" s="2387">
        <f ca="1">IF(Transfer!C160=-9999,(((Transfer!D295/Transfer!D159)/(Transfer!C295/Transfer!C159))-1)*100,(((Transfer!D295/Transfer!D160)/(Transfer!C295/Transfer!C160))-1)*100)</f>
        <v>0.3539392173312006</v>
      </c>
      <c r="F33" s="2388">
        <f ca="1">IF(Transfer!D160=-9999,(((Transfer!E295/Transfer!E159)/(Transfer!D295/Transfer!D159))-1)*100,(((Transfer!E295/Transfer!E160)/(Transfer!D295/Transfer!D160))-1)*100)</f>
        <v>5.1134774214285805</v>
      </c>
      <c r="G33" s="2387">
        <f ca="1">IF(Transfer!E160=-9999,(((Transfer!F295/Transfer!F159)/(Transfer!E295/Transfer!E159))-1)*100,(((Transfer!F295/Transfer!F160)/(Transfer!E295/Transfer!E160))-1)*100)</f>
        <v>3.6839266465527265</v>
      </c>
      <c r="H33" s="2389">
        <f ca="1">IF(Transfer!F160=-9999,(((Transfer!G295/Transfer!G159)/(Transfer!F295/Transfer!F159))-1)*100,(((Transfer!G295/Transfer!G160)/(Transfer!F295/Transfer!F160))-1)*100)</f>
        <v>2.9548352347561035</v>
      </c>
      <c r="I33" s="2372"/>
      <c r="J33" s="53"/>
      <c r="K33" s="53"/>
      <c r="L33" s="53"/>
      <c r="M33" s="53"/>
      <c r="N33" s="53"/>
      <c r="O33" s="54"/>
      <c r="P33" s="54"/>
      <c r="Q33" s="54"/>
      <c r="R33" s="54"/>
      <c r="S33" s="1665"/>
      <c r="T33" s="1666" t="s">
        <v>184</v>
      </c>
      <c r="U33" s="2353"/>
      <c r="V33" s="2376">
        <f t="shared" ref="V33:Y35" ca="1" si="1">ROUND(E33,1)-ROUND(AM33,1)</f>
        <v>-1.5</v>
      </c>
      <c r="W33" s="2376">
        <f t="shared" ca="1" si="1"/>
        <v>2.9999999999999996</v>
      </c>
      <c r="X33" s="2376">
        <f t="shared" ca="1" si="1"/>
        <v>1.6</v>
      </c>
      <c r="Y33" s="2378">
        <f t="shared" ca="1" si="1"/>
        <v>0.39999999999999991</v>
      </c>
      <c r="Z33" s="2372"/>
      <c r="AA33" s="54"/>
      <c r="AB33" s="54"/>
      <c r="AC33" s="54"/>
      <c r="AD33" s="54"/>
      <c r="AE33" s="54"/>
      <c r="AF33" s="54"/>
      <c r="AG33" s="54"/>
      <c r="AH33" s="54"/>
      <c r="AI33" s="45"/>
      <c r="AJ33" s="60"/>
      <c r="AK33" s="2111" t="s">
        <v>184</v>
      </c>
      <c r="AL33" s="2112"/>
      <c r="AM33" s="2113">
        <f>IF(Transfer!AC160=-9999,(((Transfer!AD295/Transfer!AD159)/(Transfer!AC295/Transfer!AC159))-1)*100,(((Transfer!AD295/Transfer!AD160)/(Transfer!AC295/Transfer!AC160))-1)*100)</f>
        <v>1.8542664266103737</v>
      </c>
      <c r="AN33" s="2114">
        <f>IF(Transfer!AD160=-9999,(((Transfer!AE295/Transfer!AE159)/(Transfer!AD295/Transfer!AD159))-1)*100,(((Transfer!AE295/Transfer!AE160)/(Transfer!AD295/Transfer!AD160))-1)*100)</f>
        <v>2.0525472862467309</v>
      </c>
      <c r="AO33" s="2113">
        <f>IF(Transfer!AE160=-9999,(((Transfer!AF295/Transfer!AF159)/(Transfer!AE295/Transfer!AE159))-1)*100,(((Transfer!AF295/Transfer!AF160)/(Transfer!AE295/Transfer!AE160))-1)*100)</f>
        <v>2.1418470937345724</v>
      </c>
      <c r="AP33" s="2115">
        <f>IF(Transfer!AF160=-9999,(((Transfer!AG295/Transfer!AG159)/(Transfer!AF295/Transfer!AF159))-1)*100,(((Transfer!AG295/Transfer!AG160)/(Transfer!AF295/Transfer!AF160))-1)*100)</f>
        <v>2.6471029045714856</v>
      </c>
      <c r="AQ33" s="85"/>
      <c r="AR33" s="53"/>
      <c r="AS33" s="53"/>
      <c r="AT33" s="53"/>
      <c r="AU33" s="53"/>
      <c r="AV33" s="53"/>
      <c r="AW33" s="54"/>
      <c r="AX33" s="54"/>
      <c r="AY33" s="54"/>
      <c r="AZ33" s="54"/>
      <c r="BA33" s="1673" t="s">
        <v>943</v>
      </c>
      <c r="BB33" s="1699"/>
      <c r="BC33" s="54"/>
    </row>
    <row r="34" spans="1:256">
      <c r="A34" s="45"/>
      <c r="B34" s="1665"/>
      <c r="C34" s="1666" t="s">
        <v>1773</v>
      </c>
      <c r="D34" s="2351"/>
      <c r="E34" s="1668">
        <f ca="1">IF(Transfer!C164=-9999,(((Transfer!D161/Transfer!D163)/(Transfer!C161/Transfer!C163))-1)*100,(((Transfer!D161/Transfer!D164)/(Transfer!C161/Transfer!C164))-1)*100)</f>
        <v>6.237755320815852</v>
      </c>
      <c r="F34" s="2391">
        <f ca="1">IF(Transfer!D164=-9999,(((Transfer!E161/Transfer!E163)/(Transfer!D161/Transfer!D163))-1)*100,(((Transfer!E161/Transfer!E164)/(Transfer!D161/Transfer!D164))-1)*100)</f>
        <v>9.1283322186715097</v>
      </c>
      <c r="G34" s="1668">
        <f ca="1">IF(Transfer!E164=-9999,(((Transfer!F161/Transfer!F163)/(Transfer!E161/Transfer!E163))-1)*100,(((Transfer!F161/Transfer!F164)/(Transfer!E161/Transfer!E164))-1)*100)</f>
        <v>6.5469593942917959</v>
      </c>
      <c r="H34" s="1669">
        <f ca="1">IF(Transfer!F164=-9999,(((Transfer!G161/Transfer!G163)/(Transfer!F161/Transfer!F163))-1)*100,(((Transfer!G161/Transfer!G164)/(Transfer!F161/Transfer!F164))-1)*100)</f>
        <v>6.0339340403564146</v>
      </c>
      <c r="I34" s="2348"/>
      <c r="J34" s="53"/>
      <c r="K34" s="53"/>
      <c r="L34" s="53"/>
      <c r="M34" s="53"/>
      <c r="N34" s="53"/>
      <c r="O34" s="54"/>
      <c r="P34" s="54"/>
      <c r="Q34" s="54"/>
      <c r="R34" s="54"/>
      <c r="S34" s="1665"/>
      <c r="T34" s="1666" t="s">
        <v>1773</v>
      </c>
      <c r="U34" s="2351"/>
      <c r="V34" s="2376">
        <f t="shared" ca="1" si="1"/>
        <v>2.4000000000000004</v>
      </c>
      <c r="W34" s="2376">
        <f t="shared" ca="1" si="1"/>
        <v>4.8</v>
      </c>
      <c r="X34" s="2376">
        <f t="shared" ca="1" si="1"/>
        <v>2.7</v>
      </c>
      <c r="Y34" s="2378">
        <f t="shared" ca="1" si="1"/>
        <v>1.5999999999999996</v>
      </c>
      <c r="Z34" s="2348"/>
      <c r="AA34" s="54"/>
      <c r="AB34" s="54"/>
      <c r="AC34" s="54"/>
      <c r="AD34" s="54"/>
      <c r="AE34" s="54"/>
      <c r="AF34" s="54"/>
      <c r="AG34" s="54"/>
      <c r="AH34" s="54"/>
      <c r="AI34" s="45"/>
      <c r="AJ34" s="60"/>
      <c r="AK34" s="101" t="s">
        <v>1773</v>
      </c>
      <c r="AL34" s="65"/>
      <c r="AM34" s="1982">
        <f>IF(Transfer!AC164=-9999,(((Transfer!AD161/Transfer!AD163)/(Transfer!AC161/Transfer!AC163))-1)*100,(((Transfer!AD161/Transfer!AD164)/(Transfer!AC161/Transfer!AC164))-1)*100)</f>
        <v>3.7697775426545954</v>
      </c>
      <c r="AN34" s="177">
        <f>IF(Transfer!AD164=-9999,(((Transfer!AE161/Transfer!AE163)/(Transfer!AD161/Transfer!AD163))-1)*100,(((Transfer!AE161/Transfer!AE164)/(Transfer!AD161/Transfer!AD164))-1)*100)</f>
        <v>4.3370500309370952</v>
      </c>
      <c r="AO34" s="1982">
        <f>IF(Transfer!AE164=-9999,(((Transfer!AF161/Transfer!AF163)/(Transfer!AE161/Transfer!AE163))-1)*100,(((Transfer!AF161/Transfer!AF164)/(Transfer!AE161/Transfer!AE164))-1)*100)</f>
        <v>3.7707453790260193</v>
      </c>
      <c r="AP34" s="1983">
        <f>IF(Transfer!AF164=-9999,(((Transfer!AG161/Transfer!AG163)/(Transfer!AF161/Transfer!AF163))-1)*100,(((Transfer!AG161/Transfer!AG164)/(Transfer!AF161/Transfer!AF164))-1)*100)</f>
        <v>4.449614546676961</v>
      </c>
      <c r="AQ34" s="106"/>
      <c r="AR34" s="53"/>
      <c r="AS34" s="53"/>
      <c r="AT34" s="53"/>
      <c r="AU34" s="53"/>
      <c r="AV34" s="53"/>
      <c r="AW34" s="54"/>
      <c r="AX34" s="54"/>
      <c r="AY34" s="54"/>
      <c r="AZ34" s="54"/>
      <c r="BA34" s="1673" t="s">
        <v>944</v>
      </c>
      <c r="BB34" s="1699"/>
      <c r="BC34" s="54"/>
    </row>
    <row r="35" spans="1:256">
      <c r="A35" s="45"/>
      <c r="B35" s="1665"/>
      <c r="C35" s="2385" t="s">
        <v>1774</v>
      </c>
      <c r="D35" s="2386"/>
      <c r="E35" s="2387">
        <f ca="1">IF(Transfer!C164=-9999,((((Transfer!D161/Transfer!D163)/(Transfer!D301/Transfer!D159))/((Transfer!C161/Transfer!C163)/(Transfer!C301/Transfer!C159)))-1)*100,((((Transfer!D161/Transfer!D164)/(Transfer!D301/Transfer!D159))/((Transfer!C161/Transfer!C164)/(Transfer!C301/Transfer!C159)))-1)*100)</f>
        <v>5.863076682845958</v>
      </c>
      <c r="F35" s="2388">
        <f ca="1">IF(Transfer!D164=-9999,((((Transfer!E161/Transfer!E163)/(Transfer!E301/Transfer!E159))/((Transfer!D161/Transfer!D163)/(Transfer!D301/Transfer!D159)))-1)*100,((((Transfer!E161/Transfer!E164)/(Transfer!E301/Transfer!E159))/((Transfer!D161/Transfer!D164)/(Transfer!D301/Transfer!D159)))-1)*100)</f>
        <v>4.5557646632650606</v>
      </c>
      <c r="G35" s="2387">
        <f ca="1">IF(Transfer!E164=-9999,((((Transfer!F161/Transfer!F163)/(Transfer!F301/Transfer!F159))/((Transfer!E161/Transfer!E163)/(Transfer!E301/Transfer!E159)))-1)*100,((((Transfer!F161/Transfer!F164)/(Transfer!F301/Transfer!F159))/((Transfer!E161/Transfer!E164)/(Transfer!E301/Transfer!E159)))-1)*100)</f>
        <v>3.0841293845927265</v>
      </c>
      <c r="H35" s="2389">
        <f ca="1">IF(Transfer!F164=-9999,((((Transfer!G161/Transfer!G163)/(Transfer!G301/Transfer!G159))/((Transfer!F161/Transfer!F163)/(Transfer!F301/Transfer!F159)))-1)*100,((((Transfer!G161/Transfer!G164)/(Transfer!G301/Transfer!G159))/((Transfer!F161/Transfer!F164)/(Transfer!F301/Transfer!F159)))-1)*100)</f>
        <v>3.0213983151606172</v>
      </c>
      <c r="I35" s="2368"/>
      <c r="J35" s="53"/>
      <c r="K35" s="53"/>
      <c r="L35" s="53"/>
      <c r="M35" s="53"/>
      <c r="N35" s="53"/>
      <c r="O35" s="54"/>
      <c r="P35" s="54"/>
      <c r="Q35" s="54"/>
      <c r="R35" s="54"/>
      <c r="S35" s="1665"/>
      <c r="T35" s="1666" t="s">
        <v>1774</v>
      </c>
      <c r="U35" s="2351"/>
      <c r="V35" s="2376">
        <f t="shared" ca="1" si="1"/>
        <v>4</v>
      </c>
      <c r="W35" s="2376">
        <f t="shared" ca="1" si="1"/>
        <v>2.8999999999999995</v>
      </c>
      <c r="X35" s="2376">
        <f t="shared" ca="1" si="1"/>
        <v>1.7000000000000002</v>
      </c>
      <c r="Y35" s="2378">
        <f t="shared" ca="1" si="1"/>
        <v>1.3</v>
      </c>
      <c r="Z35" s="2368"/>
      <c r="AA35" s="54"/>
      <c r="AB35" s="54"/>
      <c r="AC35" s="54"/>
      <c r="AD35" s="54"/>
      <c r="AE35" s="54"/>
      <c r="AF35" s="54"/>
      <c r="AG35" s="54"/>
      <c r="AH35" s="54"/>
      <c r="AI35" s="45"/>
      <c r="AJ35" s="60"/>
      <c r="AK35" s="2111" t="s">
        <v>1774</v>
      </c>
      <c r="AL35" s="2112"/>
      <c r="AM35" s="2113">
        <f>IF(Transfer!AC164=-9999,((((Transfer!AD161/Transfer!AD163)/(Transfer!AD301/Transfer!AD159))/((Transfer!AC161/Transfer!AC163)/(Transfer!AC301/Transfer!AC159)))-1)*100,((((Transfer!AD161/Transfer!AD164)/(Transfer!AD301/Transfer!AD159))/((Transfer!AC161/Transfer!AC164)/(Transfer!AC301/Transfer!AC159)))-1)*100)</f>
        <v>1.8806431352325736</v>
      </c>
      <c r="AN35" s="2114">
        <f>IF(Transfer!AD164=-9999,((((Transfer!AE161/Transfer!AE163)/(Transfer!AE301/Transfer!AE159))/((Transfer!AD161/Transfer!AD163)/(Transfer!AD301/Transfer!AD159)))-1)*100,((((Transfer!AE161/Transfer!AE164)/(Transfer!AE301/Transfer!AE159))/((Transfer!AD161/Transfer!AD164)/(Transfer!AD301/Transfer!AD159)))-1)*100)</f>
        <v>1.7050752165721939</v>
      </c>
      <c r="AO35" s="2113">
        <f>IF(Transfer!AE164=-9999,((((Transfer!AF161/Transfer!AF163)/(Transfer!AF301/Transfer!AF159))/((Transfer!AE161/Transfer!AE163)/(Transfer!AE301/Transfer!AE159)))-1)*100,((((Transfer!AF161/Transfer!AF164)/(Transfer!AF301/Transfer!AF159))/((Transfer!AE161/Transfer!AE164)/(Transfer!AE301/Transfer!AE159)))-1)*100)</f>
        <v>1.3993681258807511</v>
      </c>
      <c r="AP35" s="2115">
        <f>IF(Transfer!AF164=-9999,((((Transfer!AG161/Transfer!AG163)/(Transfer!AG301/Transfer!AG159))/((Transfer!AF161/Transfer!AF163)/(Transfer!AF301/Transfer!AF159)))-1)*100,((((Transfer!AG161/Transfer!AG164)/(Transfer!AG301/Transfer!AG159))/((Transfer!AF161/Transfer!AF164)/(Transfer!AF301/Transfer!AF159)))-1)*100)</f>
        <v>1.6676509001866791</v>
      </c>
      <c r="AQ35" s="82"/>
      <c r="AR35" s="53"/>
      <c r="AS35" s="53"/>
      <c r="AT35" s="53"/>
      <c r="AU35" s="53"/>
      <c r="AV35" s="53"/>
      <c r="AW35" s="54"/>
      <c r="AX35" s="54"/>
      <c r="AY35" s="54"/>
      <c r="AZ35" s="54"/>
      <c r="BA35" s="1673" t="s">
        <v>945</v>
      </c>
      <c r="BB35" s="1699"/>
      <c r="BC35" s="54"/>
    </row>
    <row r="36" spans="1:256">
      <c r="A36" s="45"/>
      <c r="B36" s="1665"/>
      <c r="C36" s="1666" t="s">
        <v>1775</v>
      </c>
      <c r="D36" s="2351"/>
      <c r="E36" s="2393"/>
      <c r="F36" s="2393"/>
      <c r="G36" s="2393"/>
      <c r="H36" s="2378"/>
      <c r="I36" s="2368"/>
      <c r="J36" s="53"/>
      <c r="K36" s="53"/>
      <c r="L36" s="53"/>
      <c r="M36" s="53"/>
      <c r="N36" s="53"/>
      <c r="O36" s="54"/>
      <c r="P36" s="54"/>
      <c r="Q36" s="54"/>
      <c r="R36" s="54"/>
      <c r="S36" s="1665"/>
      <c r="T36" s="1666" t="s">
        <v>1775</v>
      </c>
      <c r="U36" s="2351"/>
      <c r="V36" s="2393"/>
      <c r="W36" s="2393"/>
      <c r="X36" s="2393"/>
      <c r="Y36" s="2378"/>
      <c r="Z36" s="2368"/>
      <c r="AA36" s="54"/>
      <c r="AB36" s="54"/>
      <c r="AC36" s="54"/>
      <c r="AD36" s="54"/>
      <c r="AE36" s="54"/>
      <c r="AF36" s="54"/>
      <c r="AG36" s="54"/>
      <c r="AH36" s="54"/>
      <c r="AI36" s="45"/>
      <c r="AJ36" s="60"/>
      <c r="AK36" s="101" t="s">
        <v>1775</v>
      </c>
      <c r="AL36" s="49"/>
      <c r="AM36" s="107"/>
      <c r="AN36" s="107"/>
      <c r="AO36" s="107"/>
      <c r="AP36" s="93"/>
      <c r="AQ36" s="82"/>
      <c r="AR36" s="53"/>
      <c r="AS36" s="53"/>
      <c r="AT36" s="53"/>
      <c r="AU36" s="53"/>
      <c r="AV36" s="53"/>
      <c r="AW36" s="54"/>
      <c r="AX36" s="54"/>
      <c r="AY36" s="54"/>
      <c r="AZ36" s="54"/>
      <c r="BA36" s="1673" t="s">
        <v>946</v>
      </c>
      <c r="BB36" s="1699"/>
      <c r="BC36" s="54"/>
    </row>
    <row r="37" spans="1:256">
      <c r="A37" s="45"/>
      <c r="B37" s="1665"/>
      <c r="C37" s="1666" t="s">
        <v>568</v>
      </c>
      <c r="D37" s="2351"/>
      <c r="E37" s="2393">
        <f ca="1">(((Transfer!D154/Transfer!C154))-1)*100</f>
        <v>0.67833333333300327</v>
      </c>
      <c r="F37" s="2393">
        <f ca="1">(((Transfer!E154/Transfer!D154))-1)*100</f>
        <v>3.7181121393222716</v>
      </c>
      <c r="G37" s="2393">
        <f ca="1">(((Transfer!F154/Transfer!E154))-1)*100</f>
        <v>2.8095001688776211</v>
      </c>
      <c r="H37" s="2378">
        <f ca="1">(((Transfer!G154/Transfer!F154))-1)*100</f>
        <v>2.3463849329505404</v>
      </c>
      <c r="I37" s="2368"/>
      <c r="J37" s="53"/>
      <c r="K37" s="53"/>
      <c r="L37" s="53"/>
      <c r="M37" s="53"/>
      <c r="N37" s="53"/>
      <c r="O37" s="54"/>
      <c r="P37" s="54"/>
      <c r="Q37" s="54"/>
      <c r="R37" s="54"/>
      <c r="S37" s="1665"/>
      <c r="T37" s="1666" t="s">
        <v>568</v>
      </c>
      <c r="U37" s="2351"/>
      <c r="V37" s="2376">
        <f t="shared" ref="V37:Y38" ca="1" si="2">ROUND(E37,1)-ROUND(AM37,1)</f>
        <v>-2.5</v>
      </c>
      <c r="W37" s="2376">
        <f t="shared" ca="1" si="2"/>
        <v>2.3000000000000003</v>
      </c>
      <c r="X37" s="2376">
        <f t="shared" ca="1" si="2"/>
        <v>0.89999999999999991</v>
      </c>
      <c r="Y37" s="2378">
        <f t="shared" ca="1" si="2"/>
        <v>-0.10000000000000009</v>
      </c>
      <c r="Z37" s="2368"/>
      <c r="AA37" s="54"/>
      <c r="AB37" s="54"/>
      <c r="AC37" s="54"/>
      <c r="AD37" s="54"/>
      <c r="AE37" s="54"/>
      <c r="AF37" s="54"/>
      <c r="AG37" s="54"/>
      <c r="AH37" s="54"/>
      <c r="AI37" s="45"/>
      <c r="AJ37" s="60"/>
      <c r="AK37" s="101" t="s">
        <v>568</v>
      </c>
      <c r="AL37" s="49"/>
      <c r="AM37" s="107">
        <f>(((Transfer!AD154/Transfer!AC154))-1)*100</f>
        <v>3.1665027811039304</v>
      </c>
      <c r="AN37" s="107">
        <f>(((Transfer!AE154/Transfer!AD154))-1)*100</f>
        <v>1.3774287214301184</v>
      </c>
      <c r="AO37" s="107">
        <f>(((Transfer!AF154/Transfer!AE154))-1)*100</f>
        <v>1.9238442789760946</v>
      </c>
      <c r="AP37" s="93">
        <f>(((Transfer!AG154/Transfer!AF154))-1)*100</f>
        <v>2.3673276278389999</v>
      </c>
      <c r="AQ37" s="82"/>
      <c r="AR37" s="53"/>
      <c r="AS37" s="53"/>
      <c r="AT37" s="53"/>
      <c r="AU37" s="53"/>
      <c r="AV37" s="53"/>
      <c r="AW37" s="54"/>
      <c r="AX37" s="54"/>
      <c r="AY37" s="54"/>
      <c r="AZ37" s="54"/>
      <c r="BA37" s="1673" t="s">
        <v>569</v>
      </c>
      <c r="BB37" s="1699"/>
      <c r="BC37" s="54"/>
    </row>
    <row r="38" spans="1:256">
      <c r="A38" s="45"/>
      <c r="B38" s="1665"/>
      <c r="C38" s="2379" t="s">
        <v>570</v>
      </c>
      <c r="D38" s="2380"/>
      <c r="E38" s="2381">
        <f ca="1">(((Transfer!D155/Transfer!C155))-1)*100</f>
        <v>0.90552155371714793</v>
      </c>
      <c r="F38" s="2382">
        <f ca="1">(((Transfer!E155/Transfer!D155))-1)*100</f>
        <v>3.7189943820576055</v>
      </c>
      <c r="G38" s="2381">
        <f ca="1">(((Transfer!F155/Transfer!E155))-1)*100</f>
        <v>2.8095001688776211</v>
      </c>
      <c r="H38" s="2383">
        <f ca="1">(((Transfer!G155/Transfer!F155))-1)*100</f>
        <v>2.3463849329505404</v>
      </c>
      <c r="I38" s="2368"/>
      <c r="J38" s="53"/>
      <c r="K38" s="53"/>
      <c r="L38" s="53"/>
      <c r="M38" s="53"/>
      <c r="N38" s="53"/>
      <c r="O38" s="54"/>
      <c r="P38" s="54"/>
      <c r="Q38" s="54"/>
      <c r="R38" s="54"/>
      <c r="S38" s="1665"/>
      <c r="T38" s="2379" t="s">
        <v>570</v>
      </c>
      <c r="U38" s="2380"/>
      <c r="V38" s="2376">
        <f t="shared" ca="1" si="2"/>
        <v>-2.2000000000000002</v>
      </c>
      <c r="W38" s="2376">
        <f t="shared" ca="1" si="2"/>
        <v>2.3000000000000003</v>
      </c>
      <c r="X38" s="2376">
        <f t="shared" ca="1" si="2"/>
        <v>0.89999999999999991</v>
      </c>
      <c r="Y38" s="2378">
        <f t="shared" ca="1" si="2"/>
        <v>-0.10000000000000009</v>
      </c>
      <c r="Z38" s="2368"/>
      <c r="AA38" s="54"/>
      <c r="AB38" s="54"/>
      <c r="AC38" s="54"/>
      <c r="AD38" s="54"/>
      <c r="AE38" s="54"/>
      <c r="AF38" s="54"/>
      <c r="AG38" s="54"/>
      <c r="AH38" s="54"/>
      <c r="AI38" s="45"/>
      <c r="AJ38" s="60"/>
      <c r="AK38" s="94" t="s">
        <v>570</v>
      </c>
      <c r="AL38" s="95"/>
      <c r="AM38" s="96">
        <f>(((Transfer!AD155/Transfer!AC155))-1)*100</f>
        <v>3.0999999999999917</v>
      </c>
      <c r="AN38" s="97">
        <f>(((Transfer!AE155/Transfer!AD155))-1)*100</f>
        <v>1.3774287214301184</v>
      </c>
      <c r="AO38" s="96">
        <f>(((Transfer!AF155/Transfer!AE155))-1)*100</f>
        <v>1.9238442789760946</v>
      </c>
      <c r="AP38" s="98">
        <f>(((Transfer!AG155/Transfer!AF155))-1)*100</f>
        <v>2.3673276278389999</v>
      </c>
      <c r="AQ38" s="82"/>
      <c r="AR38" s="53"/>
      <c r="AS38" s="53"/>
      <c r="AT38" s="53"/>
      <c r="AU38" s="53"/>
      <c r="AV38" s="53"/>
      <c r="AW38" s="54"/>
      <c r="AX38" s="54"/>
      <c r="AY38" s="54"/>
      <c r="AZ38" s="54"/>
      <c r="BA38" s="1673" t="s">
        <v>947</v>
      </c>
      <c r="BB38" s="1699"/>
      <c r="BC38" s="54"/>
    </row>
    <row r="39" spans="1:256">
      <c r="A39" s="45"/>
      <c r="B39" s="1665"/>
      <c r="C39" s="1666"/>
      <c r="D39" s="2351"/>
      <c r="E39" s="3751" t="s">
        <v>1303</v>
      </c>
      <c r="F39" s="3751"/>
      <c r="G39" s="3751"/>
      <c r="H39" s="3751"/>
      <c r="I39" s="2368"/>
      <c r="J39" s="53"/>
      <c r="K39" s="53"/>
      <c r="L39" s="53"/>
      <c r="M39" s="53"/>
      <c r="N39" s="53"/>
      <c r="O39" s="54"/>
      <c r="P39" s="54"/>
      <c r="Q39" s="54"/>
      <c r="R39" s="54"/>
      <c r="S39" s="1665"/>
      <c r="T39" s="1666"/>
      <c r="U39" s="2351"/>
      <c r="V39" s="3751" t="s">
        <v>1303</v>
      </c>
      <c r="W39" s="3751"/>
      <c r="X39" s="3751"/>
      <c r="Y39" s="3751"/>
      <c r="Z39" s="2368"/>
      <c r="AA39" s="54"/>
      <c r="AB39" s="54"/>
      <c r="AC39" s="54"/>
      <c r="AD39" s="54"/>
      <c r="AE39" s="54"/>
      <c r="AF39" s="54"/>
      <c r="AG39" s="54"/>
      <c r="AH39" s="54"/>
      <c r="AI39" s="45"/>
      <c r="AJ39" s="60"/>
      <c r="AK39" s="40"/>
      <c r="AL39" s="49"/>
      <c r="AM39" s="3751" t="s">
        <v>1303</v>
      </c>
      <c r="AN39" s="3751"/>
      <c r="AO39" s="3751"/>
      <c r="AP39" s="3751"/>
      <c r="AQ39" s="82"/>
      <c r="AR39" s="53"/>
      <c r="AS39" s="53"/>
      <c r="AT39" s="53"/>
      <c r="AU39" s="53"/>
      <c r="AV39" s="53"/>
      <c r="AW39" s="54"/>
      <c r="AX39" s="54"/>
      <c r="AY39" s="54"/>
      <c r="AZ39" s="54"/>
      <c r="BA39" s="1993"/>
      <c r="BB39" s="1699"/>
      <c r="BC39" s="54"/>
    </row>
    <row r="40" spans="1:256">
      <c r="A40" s="108"/>
      <c r="B40" s="1665"/>
      <c r="C40" s="2384" t="s">
        <v>1304</v>
      </c>
      <c r="D40" s="3263"/>
      <c r="E40" s="3263">
        <f ca="1">(((Transfer!D143+Transfer!D144+Transfer!D240+Transfer!D241) - (Transfer!D145+Transfer!D146)) / Transfer!D147)*100</f>
        <v>-0.65950628317961124</v>
      </c>
      <c r="F40" s="2377">
        <f ca="1">(((Transfer!E143+Transfer!E144+Transfer!E240+Transfer!E241) - (Transfer!E145+Transfer!E146)) / Transfer!E147)*100</f>
        <v>0.34241214728970826</v>
      </c>
      <c r="G40" s="2376">
        <f ca="1">(((Transfer!F143+Transfer!F144+Transfer!F240+Transfer!F241) - (Transfer!F145+Transfer!F146)) / Transfer!F147)*100</f>
        <v>-0.45015434686686101</v>
      </c>
      <c r="H40" s="2378">
        <f ca="1">(((Transfer!G143+Transfer!G144+Transfer!G240+Transfer!G241) - (Transfer!G145+Transfer!G146)) / Transfer!G147)*100</f>
        <v>-0.56243314718083859</v>
      </c>
      <c r="I40" s="2394"/>
      <c r="J40" s="108"/>
      <c r="K40" s="53"/>
      <c r="L40" s="53"/>
      <c r="M40" s="53"/>
      <c r="N40" s="53"/>
      <c r="O40" s="54"/>
      <c r="P40" s="54"/>
      <c r="Q40" s="54"/>
      <c r="R40" s="54"/>
      <c r="S40" s="1665"/>
      <c r="T40" s="2384" t="s">
        <v>1304</v>
      </c>
      <c r="U40" s="2343"/>
      <c r="V40" s="2376">
        <f t="shared" ref="V40:Y41" ca="1" si="3">ROUND(E40,1)-ROUND(AM40,1)</f>
        <v>-0.19999999999999996</v>
      </c>
      <c r="W40" s="2376">
        <f t="shared" ca="1" si="3"/>
        <v>0.8</v>
      </c>
      <c r="X40" s="2376">
        <f t="shared" ca="1" si="3"/>
        <v>0.30000000000000004</v>
      </c>
      <c r="Y40" s="2367">
        <f t="shared" ca="1" si="3"/>
        <v>0.70000000000000007</v>
      </c>
      <c r="Z40" s="2368"/>
      <c r="AA40" s="54"/>
      <c r="AB40" s="54"/>
      <c r="AC40" s="54"/>
      <c r="AD40" s="54"/>
      <c r="AE40" s="54"/>
      <c r="AF40" s="54"/>
      <c r="AG40" s="54"/>
      <c r="AH40" s="54"/>
      <c r="AI40" s="108"/>
      <c r="AJ40" s="60"/>
      <c r="AK40" s="99" t="s">
        <v>1304</v>
      </c>
      <c r="AL40" s="100"/>
      <c r="AM40" s="91">
        <f>(((Transfer!AD143+Transfer!AD144+Transfer!AD240+Transfer!AD241) - (Transfer!AD145+Transfer!AD146)) / Transfer!AD147)*100</f>
        <v>-0.50742804876323944</v>
      </c>
      <c r="AN40" s="92">
        <f>(((Transfer!AE143+Transfer!AE144+Transfer!AE240+Transfer!AE241) - (Transfer!AE145+Transfer!AE146)) / Transfer!AE147)*100</f>
        <v>-0.47384617663704587</v>
      </c>
      <c r="AO40" s="91">
        <f>(((Transfer!AF143+Transfer!AF144+Transfer!AF240+Transfer!AF241) - (Transfer!AF145+Transfer!AF146)) / Transfer!AF147)*100</f>
        <v>-0.7643348292718084</v>
      </c>
      <c r="AP40" s="93">
        <f>(((Transfer!AG143+Transfer!AG144+Transfer!AG240+Transfer!AG241) - (Transfer!AG145+Transfer!AG146)) / Transfer!AG147)*100</f>
        <v>-1.2902157562081957</v>
      </c>
      <c r="AQ40" s="242"/>
      <c r="AR40" s="108"/>
      <c r="AS40" s="53"/>
      <c r="AT40" s="53"/>
      <c r="AU40" s="53"/>
      <c r="AV40" s="53"/>
      <c r="AW40" s="54"/>
      <c r="AX40" s="54"/>
      <c r="AY40" s="54"/>
      <c r="AZ40" s="54"/>
      <c r="BA40" s="1673" t="s">
        <v>1193</v>
      </c>
      <c r="BB40" s="1699"/>
      <c r="BC40" s="54"/>
    </row>
    <row r="41" spans="1:256" s="45" customFormat="1">
      <c r="A41" s="108"/>
      <c r="B41" s="1665"/>
      <c r="C41" s="1666" t="s">
        <v>1637</v>
      </c>
      <c r="D41" s="1667"/>
      <c r="E41" s="1668">
        <f ca="1">(((Transfer!D187+Transfer!D189+Transfer!D190+Transfer!D191+Transfer!D194+Transfer!D200+Transfer!D201+Transfer!D205+Transfer!D206)-(Transfer!D192+Transfer!D193+Transfer!D195+Transfer!D196+Transfer!D197+Transfer!D202+Transfer!D203+Transfer!D207+Transfer!D208+Transfer!D209+Transfer!D210))/Transfer!D147)*100</f>
        <v>0.59475043136085981</v>
      </c>
      <c r="F41" s="1668">
        <f ca="1">(((Transfer!E187+Transfer!E189+Transfer!E190+Transfer!E191+Transfer!E194+Transfer!E200+Transfer!E201+Transfer!E205+Transfer!E206)-(Transfer!E192+Transfer!E193+Transfer!E195+Transfer!E196+Transfer!E197+Transfer!E202+Transfer!E203+Transfer!E207+Transfer!E208+Transfer!E209+Transfer!E210))/Transfer!E147)*100</f>
        <v>0.72192599477447228</v>
      </c>
      <c r="G41" s="1668">
        <f ca="1">(((Transfer!F187+Transfer!F189+Transfer!F190+Transfer!F191+Transfer!F194+Transfer!F200+Transfer!F201+Transfer!F205+Transfer!F206)-(Transfer!F192+Transfer!F193+Transfer!F195+Transfer!F196+Transfer!F197+Transfer!F202+Transfer!F203+Transfer!F207+Transfer!F208+Transfer!F209+Transfer!F210))/Transfer!F147)*100</f>
        <v>2.774620599230302E-2</v>
      </c>
      <c r="H41" s="1669">
        <f ca="1">(((Transfer!G187+Transfer!G189+Transfer!G190+Transfer!G191+Transfer!G194+Transfer!G200+Transfer!G201+Transfer!G205+Transfer!G206)-(Transfer!G192+Transfer!G193+Transfer!G195+Transfer!G196+Transfer!G197+Transfer!G202+Transfer!G203+Transfer!G207+Transfer!G208+Transfer!G209+Transfer!G210))/Transfer!G147)*100</f>
        <v>-0.10865523815728595</v>
      </c>
      <c r="I41" s="2368"/>
      <c r="J41" s="108"/>
      <c r="K41" s="53"/>
      <c r="L41" s="53"/>
      <c r="M41" s="53"/>
      <c r="N41" s="53"/>
      <c r="O41" s="54"/>
      <c r="P41" s="54"/>
      <c r="Q41" s="54"/>
      <c r="R41" s="54"/>
      <c r="S41" s="1665"/>
      <c r="T41" s="1666" t="s">
        <v>1637</v>
      </c>
      <c r="U41" s="1667"/>
      <c r="V41" s="2376">
        <f t="shared" ca="1" si="3"/>
        <v>-17582.400000000001</v>
      </c>
      <c r="W41" s="2376">
        <f t="shared" ca="1" si="3"/>
        <v>-16658.8</v>
      </c>
      <c r="X41" s="2376">
        <f t="shared" ca="1" si="3"/>
        <v>-15693.1</v>
      </c>
      <c r="Y41" s="2378">
        <f t="shared" ca="1" si="3"/>
        <v>-14693.7</v>
      </c>
      <c r="Z41" s="2368"/>
      <c r="AA41" s="54"/>
      <c r="AB41" s="54"/>
      <c r="AC41" s="54"/>
      <c r="AD41" s="54"/>
      <c r="AE41" s="54"/>
      <c r="AF41" s="54"/>
      <c r="AG41" s="54"/>
      <c r="AH41" s="54"/>
      <c r="AI41" s="108"/>
      <c r="AJ41" s="1665"/>
      <c r="AK41" s="1666" t="s">
        <v>1637</v>
      </c>
      <c r="AL41" s="1667"/>
      <c r="AM41" s="1668">
        <f>(((Transfer!AD187+Transfer!AD189+Transfer!AD190+Transfer!AD191+Transfer!AD194+Transfer!AD200+Transfer!AD201+Transfer!AD205+Transfer!AD206)-(Transfer!AD192+Transfer!AD193+Transfer!AD195+Transfer!AD196+Transfer!AD197+Transfer!AD202+Transfer!AD203+Transfer!AD207+Transfer!AD208+Transfer!AD209+Transfer!AD210))/Transfer!AD147)*100</f>
        <v>17583.024354044981</v>
      </c>
      <c r="AN41" s="1668">
        <f>(((Transfer!AE187+Transfer!AE189+Transfer!AE190+Transfer!AE191+Transfer!AE194+Transfer!AE200+Transfer!AE201+Transfer!AE205+Transfer!AE206)-(Transfer!AE192+Transfer!AE193+Transfer!AE195+Transfer!AE196+Transfer!AE197+Transfer!AE202+Transfer!AE203+Transfer!AE207+Transfer!AE208+Transfer!AE209+Transfer!AE210))/Transfer!AE147)*100</f>
        <v>16659.479889741971</v>
      </c>
      <c r="AO41" s="1668">
        <f>(((Transfer!AF187+Transfer!AF189+Transfer!AF190+Transfer!AF191+Transfer!AF194+Transfer!AF200+Transfer!AF201+Transfer!AF205+Transfer!AF206)-(Transfer!AF192+Transfer!AF193+Transfer!AF195+Transfer!AF196+Transfer!AF197+Transfer!AF202+Transfer!AF203+Transfer!AF207+Transfer!AF208+Transfer!AF209+Transfer!AF210))/Transfer!AF147)*100</f>
        <v>15693.149082144751</v>
      </c>
      <c r="AP41" s="1669">
        <f>(((Transfer!AG187+Transfer!AG189+Transfer!AG190+Transfer!AG191+Transfer!AG194+Transfer!AG200+Transfer!AG201+Transfer!AG205+Transfer!AG206)-(Transfer!AG192+Transfer!AG193+Transfer!AG195+Transfer!AG196+Transfer!AG197+Transfer!AG202+Transfer!AG203+Transfer!AG207+Transfer!AG208+Transfer!AG209+Transfer!AG210))/Transfer!AG147)*100</f>
        <v>14693.623771528599</v>
      </c>
      <c r="AQ41" s="82"/>
      <c r="AR41" s="108"/>
      <c r="AS41" s="53"/>
      <c r="AT41" s="53"/>
      <c r="AU41" s="53"/>
      <c r="AV41" s="53"/>
      <c r="AW41" s="54"/>
      <c r="AX41" s="54"/>
      <c r="AY41" s="54"/>
      <c r="AZ41" s="54"/>
      <c r="BA41" s="1673" t="s">
        <v>1231</v>
      </c>
      <c r="BB41" s="1699"/>
      <c r="BC41" s="54"/>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c r="A42" s="108"/>
      <c r="B42" s="1665"/>
      <c r="C42" s="2373" t="s">
        <v>1638</v>
      </c>
      <c r="D42" s="1667"/>
      <c r="E42" s="2376"/>
      <c r="F42" s="2376"/>
      <c r="G42" s="2376"/>
      <c r="H42" s="2378"/>
      <c r="I42" s="2368"/>
      <c r="J42" s="108"/>
      <c r="K42" s="53"/>
      <c r="L42" s="53"/>
      <c r="M42" s="53"/>
      <c r="N42" s="53"/>
      <c r="O42" s="54"/>
      <c r="P42" s="54"/>
      <c r="Q42" s="54"/>
      <c r="R42" s="54"/>
      <c r="S42" s="1665"/>
      <c r="T42" s="2373" t="s">
        <v>1638</v>
      </c>
      <c r="U42" s="1667"/>
      <c r="V42" s="2007"/>
      <c r="W42" s="91"/>
      <c r="X42" s="91"/>
      <c r="Y42" s="93"/>
      <c r="Z42" s="82"/>
      <c r="AA42" s="54"/>
      <c r="AB42" s="54"/>
      <c r="AC42" s="54"/>
      <c r="AD42" s="54"/>
      <c r="AE42" s="54"/>
      <c r="AF42" s="54"/>
      <c r="AG42" s="54"/>
      <c r="AH42" s="54"/>
      <c r="AI42" s="108"/>
      <c r="AJ42" s="60"/>
      <c r="AK42" s="86" t="s">
        <v>1638</v>
      </c>
      <c r="AL42" s="44"/>
      <c r="AM42" s="91"/>
      <c r="AN42" s="91"/>
      <c r="AO42" s="91"/>
      <c r="AP42" s="93"/>
      <c r="AQ42" s="82"/>
      <c r="AR42" s="108"/>
      <c r="AS42" s="53"/>
      <c r="AT42" s="53"/>
      <c r="AU42" s="53"/>
      <c r="AV42" s="53"/>
      <c r="AW42" s="54"/>
      <c r="AX42" s="54"/>
      <c r="AY42" s="54"/>
      <c r="AZ42" s="54"/>
      <c r="BA42" s="1673"/>
      <c r="BB42" s="1699"/>
      <c r="BC42" s="54"/>
    </row>
    <row r="43" spans="1:256">
      <c r="A43" s="108"/>
      <c r="B43" s="1665"/>
      <c r="C43" s="1666" t="s">
        <v>181</v>
      </c>
      <c r="D43" s="1667"/>
      <c r="E43" s="3263">
        <f ca="1">100*Transfer!D237/Transfer!D147</f>
        <v>0.266316198893571</v>
      </c>
      <c r="F43" s="3280">
        <f ca="1">100*Transfer!E237/Transfer!E147</f>
        <v>0.80208555861704567</v>
      </c>
      <c r="G43" s="3280">
        <f ca="1">100*Transfer!F237/Transfer!F147</f>
        <v>0.68098825894252502</v>
      </c>
      <c r="H43" s="3281">
        <f ca="1">100*Transfer!G237/Transfer!G147</f>
        <v>0.60186770664689127</v>
      </c>
      <c r="I43" s="2394"/>
      <c r="J43" s="108"/>
      <c r="K43" s="53"/>
      <c r="L43" s="53"/>
      <c r="M43" s="53"/>
      <c r="N43" s="53"/>
      <c r="O43" s="54"/>
      <c r="P43" s="54"/>
      <c r="Q43" s="54"/>
      <c r="R43" s="54"/>
      <c r="S43" s="60"/>
      <c r="T43" s="101" t="s">
        <v>1639</v>
      </c>
      <c r="U43" s="44"/>
      <c r="V43" s="91">
        <f ca="1">ROUND(E43,1)-ROUND(AM43,1)</f>
        <v>3.5</v>
      </c>
      <c r="W43" s="91">
        <f ca="1">ROUND(F43,1)-ROUND(AN43,1)</f>
        <v>3.8</v>
      </c>
      <c r="X43" s="91">
        <f ca="1">ROUND(G43,1)-ROUND(AO43,1)</f>
        <v>3.5</v>
      </c>
      <c r="Y43" s="93">
        <f ca="1">ROUND(H43,1)-ROUND(AP43,1)</f>
        <v>3</v>
      </c>
      <c r="Z43" s="82"/>
      <c r="AA43" s="54"/>
      <c r="AB43" s="54"/>
      <c r="AC43" s="54"/>
      <c r="AD43" s="54"/>
      <c r="AE43" s="54"/>
      <c r="AF43" s="54"/>
      <c r="AG43" s="54"/>
      <c r="AH43" s="54"/>
      <c r="AI43" s="108"/>
      <c r="AJ43" s="60"/>
      <c r="AK43" s="101" t="s">
        <v>181</v>
      </c>
      <c r="AL43" s="44"/>
      <c r="AM43" s="91">
        <f>100*Transfer!AD237/Transfer!AD147</f>
        <v>-3.2466696619413411</v>
      </c>
      <c r="AN43" s="91">
        <f>100*Transfer!AE237/Transfer!AE147</f>
        <v>-2.9551275099119962</v>
      </c>
      <c r="AO43" s="91">
        <f>100*Transfer!AF237/Transfer!AF147</f>
        <v>-2.8105678032449188</v>
      </c>
      <c r="AP43" s="93">
        <f>100*Transfer!AG237/Transfer!AG147</f>
        <v>-2.4040427209747683</v>
      </c>
      <c r="AQ43" s="242"/>
      <c r="AR43" s="108"/>
      <c r="AS43" s="53"/>
      <c r="AT43" s="53"/>
      <c r="AU43" s="53"/>
      <c r="AV43" s="53"/>
      <c r="AW43" s="54"/>
      <c r="AX43" s="54"/>
      <c r="AY43" s="54"/>
      <c r="AZ43" s="54"/>
      <c r="BA43" s="1673" t="s">
        <v>740</v>
      </c>
      <c r="BB43" s="1699"/>
      <c r="BC43" s="54"/>
    </row>
    <row r="44" spans="1:256">
      <c r="A44" s="108"/>
      <c r="B44" s="1665"/>
      <c r="C44" s="1666" t="s">
        <v>1640</v>
      </c>
      <c r="D44" s="1667"/>
      <c r="E44" s="2393"/>
      <c r="F44" s="2393"/>
      <c r="G44" s="2393"/>
      <c r="H44" s="2378"/>
      <c r="I44" s="2368"/>
      <c r="J44" s="108"/>
      <c r="K44" s="53"/>
      <c r="L44" s="53"/>
      <c r="M44" s="53"/>
      <c r="N44" s="53"/>
      <c r="O44" s="54"/>
      <c r="P44" s="54"/>
      <c r="Q44" s="54"/>
      <c r="R44" s="54"/>
      <c r="S44" s="60"/>
      <c r="T44" s="101" t="s">
        <v>1640</v>
      </c>
      <c r="U44" s="44"/>
      <c r="V44" s="107"/>
      <c r="W44" s="107"/>
      <c r="X44" s="107"/>
      <c r="Y44" s="93"/>
      <c r="Z44" s="82"/>
      <c r="AA44" s="54"/>
      <c r="AB44" s="54"/>
      <c r="AC44" s="54"/>
      <c r="AD44" s="54"/>
      <c r="AE44" s="54"/>
      <c r="AF44" s="54"/>
      <c r="AG44" s="54"/>
      <c r="AH44" s="54"/>
      <c r="AI44" s="108"/>
      <c r="AJ44" s="60"/>
      <c r="AK44" s="101" t="s">
        <v>1640</v>
      </c>
      <c r="AL44" s="44"/>
      <c r="AM44" s="107"/>
      <c r="AN44" s="107"/>
      <c r="AO44" s="107"/>
      <c r="AP44" s="93"/>
      <c r="AQ44" s="82"/>
      <c r="AR44" s="108"/>
      <c r="AS44" s="53"/>
      <c r="AT44" s="53"/>
      <c r="AU44" s="53"/>
      <c r="AV44" s="53"/>
      <c r="AW44" s="54"/>
      <c r="AX44" s="54"/>
      <c r="AY44" s="54"/>
      <c r="AZ44" s="54"/>
      <c r="BA44" s="1673" t="s">
        <v>1192</v>
      </c>
      <c r="BB44" s="1699"/>
      <c r="BC44" s="54"/>
    </row>
    <row r="45" spans="1:256" ht="13.5" thickBot="1">
      <c r="A45" s="108"/>
      <c r="B45" s="1665"/>
      <c r="C45" s="2395" t="s">
        <v>1641</v>
      </c>
      <c r="D45" s="2396"/>
      <c r="E45" s="2397">
        <f ca="1">(((Transfer!D228) / Transfer!D147)*100)</f>
        <v>40.119922458487984</v>
      </c>
      <c r="F45" s="2397">
        <f ca="1">(((Transfer!E228) / Transfer!E147)*100)</f>
        <v>40.614543885888274</v>
      </c>
      <c r="G45" s="2397">
        <f ca="1">(((Transfer!F228) / Transfer!F147)*100)</f>
        <v>37.020898990445382</v>
      </c>
      <c r="H45" s="2398">
        <f ca="1">(((Transfer!G228) / Transfer!G147)*100)</f>
        <v>37.67780647795454</v>
      </c>
      <c r="I45" s="2368"/>
      <c r="J45" s="108"/>
      <c r="K45" s="53"/>
      <c r="L45" s="53"/>
      <c r="M45" s="53"/>
      <c r="N45" s="53"/>
      <c r="O45" s="54"/>
      <c r="P45" s="54"/>
      <c r="Q45" s="54"/>
      <c r="R45" s="54"/>
      <c r="S45" s="60"/>
      <c r="T45" s="109" t="s">
        <v>1641</v>
      </c>
      <c r="U45" s="110"/>
      <c r="V45" s="111">
        <f ca="1">ROUND(E45,1)-ROUND(AM45,1)</f>
        <v>-0.39999999999999858</v>
      </c>
      <c r="W45" s="111">
        <f ca="1">ROUND(F45,1)-ROUND(AN45,1)</f>
        <v>0.60000000000000142</v>
      </c>
      <c r="X45" s="111">
        <f ca="1">ROUND(G45,1)-ROUND(AO45,1)</f>
        <v>-2.7999999999999972</v>
      </c>
      <c r="Y45" s="112">
        <f ca="1">ROUND(H45,1)-ROUND(AP45,1)</f>
        <v>-1.2999999999999972</v>
      </c>
      <c r="Z45" s="82"/>
      <c r="AA45" s="54"/>
      <c r="AB45" s="54"/>
      <c r="AC45" s="54"/>
      <c r="AD45" s="54"/>
      <c r="AE45" s="54"/>
      <c r="AF45" s="54"/>
      <c r="AG45" s="54"/>
      <c r="AH45" s="54"/>
      <c r="AI45" s="108"/>
      <c r="AJ45" s="60"/>
      <c r="AK45" s="109" t="s">
        <v>1641</v>
      </c>
      <c r="AL45" s="110"/>
      <c r="AM45" s="111">
        <f>(((Transfer!AD228) / Transfer!AD147)*100)</f>
        <v>40.477092743023888</v>
      </c>
      <c r="AN45" s="111">
        <f>(((Transfer!AE228) / Transfer!AE147)*100)</f>
        <v>39.984524504562984</v>
      </c>
      <c r="AO45" s="111">
        <f>(((Transfer!AF228) / Transfer!AF147)*100)</f>
        <v>39.78012714043934</v>
      </c>
      <c r="AP45" s="112">
        <f>(((Transfer!AG228) / Transfer!AG147)*100)</f>
        <v>38.999140941295835</v>
      </c>
      <c r="AQ45" s="82"/>
      <c r="AR45" s="108"/>
      <c r="AS45" s="53"/>
      <c r="AT45" s="53"/>
      <c r="AU45" s="53"/>
      <c r="AV45" s="53"/>
      <c r="AW45" s="54"/>
      <c r="AX45" s="54"/>
      <c r="AY45" s="54"/>
      <c r="AZ45" s="54"/>
      <c r="BA45" s="1994" t="s">
        <v>1642</v>
      </c>
      <c r="BB45" s="1702"/>
      <c r="BC45" s="54"/>
    </row>
    <row r="46" spans="1:256">
      <c r="A46" s="108"/>
      <c r="B46" s="1701"/>
      <c r="C46" s="2380"/>
      <c r="D46" s="2399"/>
      <c r="E46" s="2399"/>
      <c r="F46" s="2399"/>
      <c r="G46" s="2399"/>
      <c r="H46" s="2400" t="str">
        <f>UPPER(Country)</f>
        <v>LITHUANIA</v>
      </c>
      <c r="I46" s="1702"/>
      <c r="J46" s="108"/>
      <c r="K46" s="53"/>
      <c r="L46" s="53"/>
      <c r="M46" s="53"/>
      <c r="N46" s="53"/>
      <c r="O46" s="54"/>
      <c r="P46" s="54"/>
      <c r="Q46" s="54"/>
      <c r="R46" s="54"/>
      <c r="S46" s="114"/>
      <c r="T46" s="115"/>
      <c r="U46" s="116"/>
      <c r="V46" s="116"/>
      <c r="W46" s="117"/>
      <c r="X46" s="116"/>
      <c r="Y46" s="118" t="str">
        <f>UPPER(Country)</f>
        <v>LITHUANIA</v>
      </c>
      <c r="Z46" s="119"/>
      <c r="AA46" s="54"/>
      <c r="AB46" s="54"/>
      <c r="AC46" s="54"/>
      <c r="AD46" s="54"/>
      <c r="AE46" s="54"/>
      <c r="AF46" s="54"/>
      <c r="AG46" s="54"/>
      <c r="AH46" s="54"/>
      <c r="AI46" s="108"/>
      <c r="AJ46" s="114"/>
      <c r="AK46" s="115"/>
      <c r="AL46" s="116"/>
      <c r="AM46" s="116"/>
      <c r="AN46" s="117"/>
      <c r="AO46" s="116"/>
      <c r="AP46" s="118" t="str">
        <f>UPPER(Country)</f>
        <v>LITHUANIA</v>
      </c>
      <c r="AQ46" s="119"/>
      <c r="AR46" s="108"/>
      <c r="AS46" s="53"/>
      <c r="AT46" s="53"/>
      <c r="AU46" s="53"/>
      <c r="AV46" s="53"/>
      <c r="AW46" s="54"/>
      <c r="AX46" s="54"/>
      <c r="AY46" s="54"/>
      <c r="AZ46" s="54"/>
      <c r="BA46" s="54"/>
      <c r="BB46" s="54"/>
      <c r="BC46" s="54"/>
    </row>
    <row r="47" spans="1:256">
      <c r="A47" s="108"/>
      <c r="B47" s="108"/>
      <c r="C47" s="108"/>
      <c r="D47" s="108"/>
      <c r="E47" s="120"/>
      <c r="F47" s="120"/>
      <c r="G47" s="120"/>
      <c r="H47" s="120"/>
      <c r="I47" s="108"/>
      <c r="J47" s="108"/>
      <c r="K47" s="108"/>
      <c r="L47" s="108"/>
      <c r="M47" s="108"/>
      <c r="N47" s="108"/>
      <c r="O47" s="108"/>
      <c r="P47" s="108"/>
      <c r="Q47" s="108"/>
      <c r="R47" s="54"/>
      <c r="S47" s="54"/>
      <c r="T47" s="54"/>
      <c r="U47" s="54"/>
      <c r="V47" s="54"/>
      <c r="W47" s="54"/>
      <c r="X47" s="54"/>
      <c r="Y47" s="54"/>
      <c r="Z47" s="54"/>
      <c r="AA47" s="54"/>
      <c r="AB47" s="54"/>
      <c r="AC47" s="54"/>
      <c r="AD47" s="54"/>
      <c r="AE47" s="54"/>
      <c r="AF47" s="54"/>
      <c r="AG47" s="54"/>
      <c r="AH47" s="54"/>
      <c r="AI47" s="108"/>
      <c r="AJ47" s="108"/>
      <c r="AK47" s="108"/>
      <c r="AL47" s="108"/>
      <c r="AM47" s="120"/>
      <c r="AN47" s="120"/>
      <c r="AO47" s="120"/>
      <c r="AP47" s="120"/>
      <c r="AQ47" s="108"/>
      <c r="AR47" s="108"/>
      <c r="AS47" s="108"/>
      <c r="AT47" s="108"/>
      <c r="AU47" s="108"/>
      <c r="AV47" s="108"/>
      <c r="AW47" s="108"/>
      <c r="AX47" s="108"/>
      <c r="AY47" s="108"/>
      <c r="AZ47" s="54"/>
      <c r="BA47" s="54"/>
      <c r="BB47" s="54"/>
      <c r="BC47" s="54"/>
    </row>
    <row r="48" spans="1:256" ht="15">
      <c r="A48" s="108"/>
      <c r="B48" s="108"/>
      <c r="C48" s="108"/>
      <c r="D48" s="121"/>
      <c r="E48" s="108"/>
      <c r="F48" s="108"/>
      <c r="G48" s="108"/>
      <c r="H48" s="108"/>
      <c r="I48" s="108"/>
      <c r="J48" s="108"/>
      <c r="K48" s="108"/>
      <c r="L48" s="108"/>
      <c r="M48" s="108"/>
      <c r="N48" s="108"/>
      <c r="O48" s="108"/>
      <c r="P48" s="108"/>
      <c r="Q48" s="108"/>
      <c r="R48" s="54"/>
      <c r="S48" s="54"/>
      <c r="T48" s="54"/>
      <c r="U48" s="54"/>
      <c r="V48" s="54"/>
      <c r="W48" s="54"/>
      <c r="X48" s="54"/>
      <c r="Y48" s="54"/>
      <c r="Z48" s="54"/>
      <c r="AA48" s="54"/>
      <c r="AB48" s="54"/>
      <c r="AC48" s="54"/>
      <c r="AD48" s="54"/>
      <c r="AE48" s="54"/>
      <c r="AF48" s="54"/>
      <c r="AG48" s="54"/>
      <c r="AH48" s="54"/>
      <c r="AI48" s="108"/>
      <c r="AJ48" s="108"/>
      <c r="AK48" s="108"/>
      <c r="AL48" s="121"/>
      <c r="AM48" s="108"/>
      <c r="AN48" s="108"/>
      <c r="AO48" s="108"/>
      <c r="AP48" s="108"/>
      <c r="AQ48" s="108"/>
      <c r="AR48" s="108"/>
      <c r="AS48" s="108"/>
      <c r="AT48" s="108"/>
      <c r="AU48" s="108"/>
      <c r="AV48" s="108"/>
      <c r="AW48" s="108"/>
      <c r="AX48" s="108"/>
      <c r="AY48" s="108"/>
      <c r="AZ48" s="54"/>
      <c r="BA48" s="54"/>
      <c r="BB48" s="54"/>
      <c r="BC48" s="54"/>
    </row>
    <row r="49" spans="1:256" s="45" customFormat="1">
      <c r="A49" s="108"/>
      <c r="B49" s="108"/>
      <c r="C49" s="108"/>
      <c r="D49" s="108"/>
      <c r="E49" s="108"/>
      <c r="F49" s="108"/>
      <c r="G49" s="122"/>
      <c r="H49" s="108"/>
      <c r="I49" s="108"/>
      <c r="J49" s="108"/>
      <c r="K49" s="108"/>
      <c r="L49" s="108"/>
      <c r="M49" s="108"/>
      <c r="N49" s="108"/>
      <c r="O49" s="108"/>
      <c r="P49" s="108"/>
      <c r="Q49" s="108"/>
      <c r="R49" s="54"/>
      <c r="S49" s="54"/>
      <c r="T49" s="54"/>
      <c r="U49" s="54"/>
      <c r="V49" s="54"/>
      <c r="W49" s="54"/>
      <c r="X49" s="54"/>
      <c r="Y49" s="54"/>
      <c r="Z49" s="54"/>
      <c r="AA49" s="54"/>
      <c r="AB49" s="54"/>
      <c r="AC49" s="54"/>
      <c r="AD49" s="54"/>
      <c r="AE49" s="54"/>
      <c r="AF49" s="54"/>
      <c r="AG49" s="54"/>
      <c r="AH49" s="54"/>
      <c r="AI49" s="108"/>
      <c r="AJ49" s="108"/>
      <c r="AK49" s="108"/>
      <c r="AL49" s="108"/>
      <c r="AM49" s="108"/>
      <c r="AN49" s="108"/>
      <c r="AO49" s="122"/>
      <c r="AP49" s="108"/>
      <c r="AQ49" s="108"/>
      <c r="AR49" s="108"/>
      <c r="AS49" s="108"/>
      <c r="AT49" s="108"/>
      <c r="AU49" s="108"/>
      <c r="AV49" s="108"/>
      <c r="AW49" s="108"/>
      <c r="AX49" s="108"/>
      <c r="AY49" s="108"/>
      <c r="AZ49" s="54"/>
      <c r="BA49" s="54"/>
      <c r="BB49" s="54"/>
      <c r="BC49" s="54"/>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c r="A50" s="45"/>
      <c r="B50" s="50"/>
      <c r="C50" s="108"/>
      <c r="D50" s="51"/>
      <c r="E50" s="52"/>
      <c r="F50" s="52"/>
      <c r="G50" s="52"/>
      <c r="H50" s="52"/>
      <c r="I50" s="52"/>
      <c r="J50" s="52"/>
      <c r="K50" s="52"/>
      <c r="L50" s="53"/>
      <c r="M50" s="53"/>
      <c r="N50" s="53"/>
      <c r="O50" s="53"/>
      <c r="P50" s="54"/>
      <c r="Q50" s="54"/>
      <c r="R50" s="54"/>
      <c r="S50" s="54"/>
      <c r="T50" s="54"/>
      <c r="U50" s="54"/>
      <c r="V50" s="54"/>
      <c r="W50" s="54"/>
      <c r="X50" s="54"/>
      <c r="Y50" s="54"/>
      <c r="Z50" s="54"/>
      <c r="AA50" s="54"/>
      <c r="AB50" s="54"/>
      <c r="AC50" s="54"/>
      <c r="AD50" s="54"/>
      <c r="AE50" s="54"/>
      <c r="AF50" s="54"/>
      <c r="AG50" s="54"/>
      <c r="AH50" s="54"/>
      <c r="AI50" s="45"/>
      <c r="AJ50" s="50"/>
      <c r="AK50" s="108"/>
      <c r="AL50" s="51"/>
      <c r="AM50" s="52"/>
      <c r="AN50" s="52"/>
      <c r="AO50" s="52"/>
      <c r="AP50" s="52"/>
      <c r="AQ50" s="52"/>
      <c r="AR50" s="52"/>
      <c r="AS50" s="52"/>
      <c r="AT50" s="53"/>
      <c r="AU50" s="53"/>
      <c r="AV50" s="53"/>
      <c r="AW50" s="53"/>
      <c r="AX50" s="54"/>
      <c r="AY50" s="54"/>
      <c r="AZ50" s="54"/>
      <c r="BA50" s="54"/>
      <c r="BB50" s="54"/>
      <c r="BC50" s="54"/>
    </row>
    <row r="51" spans="1:256">
      <c r="A51" s="45"/>
      <c r="B51" s="2341"/>
      <c r="C51" s="2342" t="s">
        <v>1643</v>
      </c>
      <c r="D51" s="2343"/>
      <c r="E51" s="2344"/>
      <c r="F51" s="2342"/>
      <c r="G51" s="2342"/>
      <c r="H51" s="2342"/>
      <c r="I51" s="2342"/>
      <c r="J51" s="2342"/>
      <c r="K51" s="2345"/>
      <c r="L51" s="123"/>
      <c r="M51" s="123"/>
      <c r="N51" s="123"/>
      <c r="O51" s="123"/>
      <c r="P51" s="54"/>
      <c r="Q51" s="54"/>
      <c r="R51" s="54"/>
      <c r="S51" s="55"/>
      <c r="T51" s="56" t="s">
        <v>1643</v>
      </c>
      <c r="U51" s="57"/>
      <c r="V51" s="58"/>
      <c r="W51" s="56"/>
      <c r="X51" s="56"/>
      <c r="Y51" s="56"/>
      <c r="Z51" s="56"/>
      <c r="AA51" s="56"/>
      <c r="AB51" s="59"/>
      <c r="AC51" s="54"/>
      <c r="AD51" s="54"/>
      <c r="AE51" s="54"/>
      <c r="AF51" s="54"/>
      <c r="AG51" s="54"/>
      <c r="AH51" s="54"/>
      <c r="AI51" s="45"/>
      <c r="AJ51" s="55"/>
      <c r="AK51" s="56" t="s">
        <v>1643</v>
      </c>
      <c r="AL51" s="57"/>
      <c r="AM51" s="58"/>
      <c r="AN51" s="56"/>
      <c r="AO51" s="56"/>
      <c r="AP51" s="56"/>
      <c r="AQ51" s="56"/>
      <c r="AR51" s="56"/>
      <c r="AS51" s="59"/>
      <c r="AT51" s="123"/>
      <c r="AU51" s="123"/>
      <c r="AV51" s="123"/>
      <c r="AW51" s="123"/>
      <c r="AX51" s="54"/>
      <c r="AY51" s="54"/>
      <c r="AZ51" s="54"/>
      <c r="BA51" s="54"/>
      <c r="BB51" s="54"/>
      <c r="BC51" s="54"/>
    </row>
    <row r="52" spans="1:256">
      <c r="A52" s="45"/>
      <c r="B52" s="1665"/>
      <c r="C52" s="3751" t="s">
        <v>759</v>
      </c>
      <c r="D52" s="3751"/>
      <c r="E52" s="3751"/>
      <c r="F52" s="3751"/>
      <c r="G52" s="3751"/>
      <c r="H52" s="3751"/>
      <c r="I52" s="3751"/>
      <c r="J52" s="3751"/>
      <c r="K52" s="2401"/>
      <c r="L52" s="128"/>
      <c r="M52" s="129"/>
      <c r="N52" s="129"/>
      <c r="O52" s="129"/>
      <c r="P52" s="54"/>
      <c r="Q52" s="54"/>
      <c r="R52" s="54"/>
      <c r="S52" s="60"/>
      <c r="T52" s="3751" t="s">
        <v>759</v>
      </c>
      <c r="U52" s="3751"/>
      <c r="V52" s="3751"/>
      <c r="W52" s="3751"/>
      <c r="X52" s="3751"/>
      <c r="Y52" s="3751"/>
      <c r="Z52" s="3751"/>
      <c r="AA52" s="3751"/>
      <c r="AB52" s="127"/>
      <c r="AC52" s="54"/>
      <c r="AD52" s="54"/>
      <c r="AE52" s="54"/>
      <c r="AF52" s="54"/>
      <c r="AG52" s="54"/>
      <c r="AH52" s="54"/>
      <c r="AI52" s="45"/>
      <c r="AJ52" s="60"/>
      <c r="AK52" s="3751" t="s">
        <v>759</v>
      </c>
      <c r="AL52" s="3751"/>
      <c r="AM52" s="3751"/>
      <c r="AN52" s="3751"/>
      <c r="AO52" s="3751"/>
      <c r="AP52" s="3751"/>
      <c r="AQ52" s="3751"/>
      <c r="AR52" s="3751"/>
      <c r="AS52" s="127"/>
      <c r="AT52" s="128"/>
      <c r="AU52" s="129"/>
      <c r="AV52" s="129"/>
      <c r="AW52" s="129"/>
      <c r="AX52" s="54"/>
      <c r="AY52" s="54"/>
      <c r="AZ52" s="54"/>
      <c r="BA52" s="54"/>
      <c r="BB52" s="54"/>
      <c r="BC52" s="54"/>
    </row>
    <row r="53" spans="1:256">
      <c r="A53" s="45"/>
      <c r="B53" s="1665"/>
      <c r="C53" s="3751" t="s">
        <v>1015</v>
      </c>
      <c r="D53" s="3751"/>
      <c r="E53" s="3751"/>
      <c r="F53" s="3751"/>
      <c r="G53" s="3751"/>
      <c r="H53" s="3751"/>
      <c r="I53" s="3751"/>
      <c r="J53" s="3751"/>
      <c r="K53" s="2402"/>
      <c r="L53" s="132"/>
      <c r="M53" s="132"/>
      <c r="N53" s="132"/>
      <c r="O53" s="132"/>
      <c r="P53" s="54"/>
      <c r="Q53" s="54"/>
      <c r="R53" s="54"/>
      <c r="S53" s="60"/>
      <c r="T53" s="3751" t="s">
        <v>1015</v>
      </c>
      <c r="U53" s="3751"/>
      <c r="V53" s="3751"/>
      <c r="W53" s="3751"/>
      <c r="X53" s="3751"/>
      <c r="Y53" s="3751"/>
      <c r="Z53" s="3751"/>
      <c r="AA53" s="3751"/>
      <c r="AB53" s="131"/>
      <c r="AC53" s="54"/>
      <c r="AD53" s="54"/>
      <c r="AE53" s="54"/>
      <c r="AF53" s="54"/>
      <c r="AG53" s="54"/>
      <c r="AH53" s="54"/>
      <c r="AI53" s="45"/>
      <c r="AJ53" s="60"/>
      <c r="AK53" s="3751" t="s">
        <v>1015</v>
      </c>
      <c r="AL53" s="3751"/>
      <c r="AM53" s="3751"/>
      <c r="AN53" s="3751"/>
      <c r="AO53" s="3751"/>
      <c r="AP53" s="3751"/>
      <c r="AQ53" s="3751"/>
      <c r="AR53" s="3751"/>
      <c r="AS53" s="131"/>
      <c r="AT53" s="132"/>
      <c r="AU53" s="132"/>
      <c r="AV53" s="132"/>
      <c r="AW53" s="132"/>
      <c r="AX53" s="54"/>
      <c r="AY53" s="54"/>
      <c r="AZ53" s="54"/>
      <c r="BA53" s="54"/>
      <c r="BB53" s="54"/>
      <c r="BC53" s="54"/>
    </row>
    <row r="54" spans="1:256" ht="15.75">
      <c r="A54" s="45"/>
      <c r="B54" s="1665"/>
      <c r="C54" s="2349" t="str">
        <f>"Country: " &amp;UPPER(Country)</f>
        <v>Country: LITHUANIA</v>
      </c>
      <c r="D54" s="2350"/>
      <c r="E54" s="2351"/>
      <c r="F54" s="2351"/>
      <c r="G54" s="2351"/>
      <c r="H54" s="2351"/>
      <c r="I54" s="2351"/>
      <c r="J54" s="2354"/>
      <c r="K54" s="2352"/>
      <c r="L54" s="133"/>
      <c r="M54" s="133"/>
      <c r="N54" s="133"/>
      <c r="O54" s="133"/>
      <c r="P54" s="54"/>
      <c r="Q54" s="54"/>
      <c r="R54" s="54"/>
      <c r="S54" s="60"/>
      <c r="T54" s="63" t="str">
        <f>"Country: " &amp;UPPER(Country)</f>
        <v>Country: LITHUANIA</v>
      </c>
      <c r="U54" s="64"/>
      <c r="V54" s="65"/>
      <c r="W54" s="65"/>
      <c r="X54" s="2006" t="s">
        <v>390</v>
      </c>
      <c r="Y54" s="49"/>
      <c r="Z54" s="65"/>
      <c r="AA54" s="68"/>
      <c r="AB54" s="66"/>
      <c r="AC54" s="54"/>
      <c r="AD54" s="54"/>
      <c r="AE54" s="54"/>
      <c r="AF54" s="54"/>
      <c r="AG54" s="54"/>
      <c r="AH54" s="54"/>
      <c r="AI54" s="45"/>
      <c r="AJ54" s="60"/>
      <c r="AK54" s="63" t="str">
        <f>"Country: " &amp;UPPER(Country)</f>
        <v>Country: LITHUANIA</v>
      </c>
      <c r="AL54" s="64"/>
      <c r="AM54" s="65"/>
      <c r="AN54" s="65"/>
      <c r="AO54" s="65"/>
      <c r="AP54" s="49"/>
      <c r="AQ54" s="65"/>
      <c r="AR54" s="68"/>
      <c r="AS54" s="66"/>
      <c r="AT54" s="133"/>
      <c r="AU54" s="133"/>
      <c r="AV54" s="133"/>
      <c r="AW54" s="133"/>
      <c r="AX54" s="54"/>
      <c r="AY54" s="54"/>
      <c r="AZ54" s="54"/>
      <c r="BA54" s="54"/>
      <c r="BB54" s="54"/>
      <c r="BC54" s="54"/>
    </row>
    <row r="55" spans="1:256" ht="15.75">
      <c r="A55" s="45"/>
      <c r="B55" s="1665"/>
      <c r="C55" s="2349" t="str">
        <f>"Currency unit: " &amp; Currency</f>
        <v>Currency unit: bn EUR</v>
      </c>
      <c r="D55" s="2353"/>
      <c r="E55" s="2351"/>
      <c r="F55" s="2354"/>
      <c r="G55" s="2351"/>
      <c r="H55" s="2351"/>
      <c r="I55" s="2351"/>
      <c r="J55" s="2354"/>
      <c r="K55" s="2352"/>
      <c r="L55" s="133"/>
      <c r="M55" s="135"/>
      <c r="N55" s="133"/>
      <c r="O55" s="133"/>
      <c r="P55" s="54"/>
      <c r="Q55" s="54"/>
      <c r="R55" s="54"/>
      <c r="S55" s="60"/>
      <c r="T55" s="63" t="str">
        <f>"Currency unit: " &amp; Currency</f>
        <v>Currency unit: bn EUR</v>
      </c>
      <c r="U55" s="67"/>
      <c r="V55" s="65"/>
      <c r="W55" s="68"/>
      <c r="X55" s="2006" t="str">
        <f>$T$4</f>
        <v>2nd storage</v>
      </c>
      <c r="Y55" s="49"/>
      <c r="Z55" s="65"/>
      <c r="AA55" s="68"/>
      <c r="AB55" s="66"/>
      <c r="AC55" s="54"/>
      <c r="AD55" s="54"/>
      <c r="AE55" s="54"/>
      <c r="AF55" s="54"/>
      <c r="AG55" s="54"/>
      <c r="AH55" s="54"/>
      <c r="AI55" s="45"/>
      <c r="AJ55" s="60"/>
      <c r="AK55" s="63" t="str">
        <f>"Currency unit: " &amp; Currency</f>
        <v>Currency unit: bn EUR</v>
      </c>
      <c r="AL55" s="67"/>
      <c r="AM55" s="65"/>
      <c r="AN55" s="68"/>
      <c r="AO55" s="65"/>
      <c r="AP55" s="49"/>
      <c r="AQ55" s="65"/>
      <c r="AR55" s="68"/>
      <c r="AS55" s="66"/>
      <c r="AT55" s="133"/>
      <c r="AU55" s="135"/>
      <c r="AV55" s="133"/>
      <c r="AW55" s="133"/>
      <c r="AX55" s="54"/>
      <c r="AY55" s="54"/>
      <c r="AZ55" s="54"/>
      <c r="BA55" s="54"/>
      <c r="BB55" s="54"/>
      <c r="BC55" s="54"/>
    </row>
    <row r="56" spans="1:256">
      <c r="A56" s="45"/>
      <c r="B56" s="1665"/>
      <c r="C56" s="2355" t="s">
        <v>297</v>
      </c>
      <c r="D56" s="2351"/>
      <c r="E56" s="2351"/>
      <c r="F56" s="2351"/>
      <c r="G56" s="2351"/>
      <c r="H56" s="2351"/>
      <c r="I56" s="2351"/>
      <c r="J56" s="2354"/>
      <c r="K56" s="2352"/>
      <c r="L56" s="133"/>
      <c r="M56" s="135"/>
      <c r="N56" s="135"/>
      <c r="O56" s="133"/>
      <c r="P56" s="54"/>
      <c r="Q56" s="54"/>
      <c r="R56" s="54"/>
      <c r="S56" s="60"/>
      <c r="T56" s="69" t="s">
        <v>297</v>
      </c>
      <c r="U56" s="65"/>
      <c r="V56" s="65"/>
      <c r="W56" s="65"/>
      <c r="X56" s="65"/>
      <c r="Y56" s="49"/>
      <c r="Z56" s="65"/>
      <c r="AA56" s="68"/>
      <c r="AB56" s="66"/>
      <c r="AC56" s="54"/>
      <c r="AD56" s="54"/>
      <c r="AE56" s="54"/>
      <c r="AF56" s="54"/>
      <c r="AG56" s="54"/>
      <c r="AH56" s="54"/>
      <c r="AI56" s="45"/>
      <c r="AJ56" s="60"/>
      <c r="AK56" s="69" t="s">
        <v>297</v>
      </c>
      <c r="AL56" s="65"/>
      <c r="AM56" s="65"/>
      <c r="AN56" s="65"/>
      <c r="AO56" s="65"/>
      <c r="AP56" s="49"/>
      <c r="AQ56" s="65"/>
      <c r="AR56" s="68"/>
      <c r="AS56" s="66"/>
      <c r="AT56" s="133"/>
      <c r="AU56" s="135"/>
      <c r="AV56" s="135"/>
      <c r="AW56" s="133"/>
      <c r="AX56" s="54"/>
      <c r="AY56" s="54"/>
      <c r="AZ56" s="54"/>
      <c r="BA56" s="54"/>
      <c r="BB56" s="54"/>
      <c r="BC56" s="54"/>
    </row>
    <row r="57" spans="1:256" ht="13.5" thickBot="1">
      <c r="A57" s="45"/>
      <c r="B57" s="1665"/>
      <c r="C57" s="2351"/>
      <c r="D57" s="2351"/>
      <c r="E57" s="2351"/>
      <c r="F57" s="2351"/>
      <c r="G57" s="2351"/>
      <c r="H57" s="2351"/>
      <c r="I57" s="3789">
        <f ca="1">NOW()</f>
        <v>43392.47578483796</v>
      </c>
      <c r="J57" s="3789"/>
      <c r="K57" s="2403"/>
      <c r="L57" s="139"/>
      <c r="M57" s="135"/>
      <c r="N57" s="135"/>
      <c r="O57" s="45"/>
      <c r="P57" s="54"/>
      <c r="Q57" s="54"/>
      <c r="R57" s="54"/>
      <c r="S57" s="60"/>
      <c r="T57" s="65"/>
      <c r="U57" s="65"/>
      <c r="V57" s="65"/>
      <c r="W57" s="65"/>
      <c r="X57" s="65"/>
      <c r="Y57" s="49"/>
      <c r="Z57" s="3751">
        <f ca="1">NOW()</f>
        <v>43392.47578483796</v>
      </c>
      <c r="AA57" s="3751"/>
      <c r="AB57" s="138"/>
      <c r="AC57" s="54"/>
      <c r="AD57" s="54"/>
      <c r="AE57" s="54"/>
      <c r="AF57" s="54"/>
      <c r="AG57" s="54"/>
      <c r="AH57" s="54"/>
      <c r="AI57" s="45"/>
      <c r="AJ57" s="60"/>
      <c r="AK57" s="65"/>
      <c r="AL57" s="65"/>
      <c r="AM57" s="65"/>
      <c r="AN57" s="65"/>
      <c r="AO57" s="65"/>
      <c r="AP57" s="49"/>
      <c r="AQ57" s="3751">
        <f ca="1">NOW()</f>
        <v>43392.47578483796</v>
      </c>
      <c r="AR57" s="3751"/>
      <c r="AS57" s="138"/>
      <c r="AT57" s="139"/>
      <c r="AU57" s="135"/>
      <c r="AV57" s="135"/>
      <c r="AW57" s="45"/>
      <c r="AX57" s="54"/>
      <c r="AY57" s="54"/>
      <c r="AZ57" s="54"/>
      <c r="BA57" s="54"/>
      <c r="BB57" s="54"/>
      <c r="BC57" s="54"/>
    </row>
    <row r="58" spans="1:256">
      <c r="A58" s="45"/>
      <c r="B58" s="1665"/>
      <c r="C58" s="2357"/>
      <c r="D58" s="2358"/>
      <c r="E58" s="2404" t="s">
        <v>297</v>
      </c>
      <c r="F58" s="3751">
        <f>E16</f>
        <v>2016</v>
      </c>
      <c r="G58" s="3751"/>
      <c r="H58" s="2360">
        <f>F58+1</f>
        <v>2017</v>
      </c>
      <c r="I58" s="2360">
        <f>H58+1</f>
        <v>2018</v>
      </c>
      <c r="J58" s="2361">
        <f>I58+1</f>
        <v>2019</v>
      </c>
      <c r="K58" s="2362"/>
      <c r="L58" s="143"/>
      <c r="M58" s="135"/>
      <c r="N58" s="135"/>
      <c r="O58" s="45"/>
      <c r="P58" s="54"/>
      <c r="Q58" s="54"/>
      <c r="R58" s="54"/>
      <c r="S58" s="60"/>
      <c r="T58" s="72"/>
      <c r="U58" s="73"/>
      <c r="V58" s="142" t="s">
        <v>297</v>
      </c>
      <c r="W58" s="3751">
        <f>Last_forecast_year - 3</f>
        <v>2016</v>
      </c>
      <c r="X58" s="3751"/>
      <c r="Y58" s="75">
        <f>W58+1</f>
        <v>2017</v>
      </c>
      <c r="Z58" s="75">
        <f>Y58+1</f>
        <v>2018</v>
      </c>
      <c r="AA58" s="1675">
        <f>Z58+1</f>
        <v>2019</v>
      </c>
      <c r="AB58" s="76"/>
      <c r="AC58" s="54"/>
      <c r="AD58" s="54"/>
      <c r="AE58" s="54"/>
      <c r="AF58" s="54"/>
      <c r="AG58" s="54"/>
      <c r="AH58" s="54"/>
      <c r="AI58" s="45"/>
      <c r="AJ58" s="60"/>
      <c r="AK58" s="72"/>
      <c r="AL58" s="73"/>
      <c r="AM58" s="142" t="s">
        <v>297</v>
      </c>
      <c r="AN58" s="3751">
        <f>Last_forecast_year - 3</f>
        <v>2016</v>
      </c>
      <c r="AO58" s="3751"/>
      <c r="AP58" s="75">
        <f>AN58+1</f>
        <v>2017</v>
      </c>
      <c r="AQ58" s="75">
        <f>AP58+1</f>
        <v>2018</v>
      </c>
      <c r="AR58" s="1675">
        <f>AQ58+1</f>
        <v>2019</v>
      </c>
      <c r="AS58" s="76"/>
      <c r="AT58" s="143"/>
      <c r="AU58" s="135"/>
      <c r="AV58" s="135"/>
      <c r="AW58" s="45"/>
      <c r="AX58" s="54"/>
      <c r="AY58" s="54"/>
      <c r="AZ58" s="54"/>
      <c r="BA58" s="54"/>
      <c r="BB58" s="54"/>
      <c r="BC58" s="54"/>
    </row>
    <row r="59" spans="1:256">
      <c r="A59" s="45"/>
      <c r="B59" s="1665"/>
      <c r="C59" s="1666"/>
      <c r="D59" s="2351"/>
      <c r="E59" s="2406" t="s">
        <v>1770</v>
      </c>
      <c r="F59" s="2347" t="s">
        <v>298</v>
      </c>
      <c r="G59" s="3751" t="s">
        <v>647</v>
      </c>
      <c r="H59" s="3751"/>
      <c r="I59" s="3751"/>
      <c r="J59" s="3751"/>
      <c r="K59" s="2363"/>
      <c r="L59" s="147"/>
      <c r="M59" s="135"/>
      <c r="N59" s="135"/>
      <c r="O59" s="45"/>
      <c r="P59" s="54"/>
      <c r="Q59" s="54"/>
      <c r="R59" s="54"/>
      <c r="S59" s="60"/>
      <c r="T59" s="40"/>
      <c r="U59" s="65"/>
      <c r="V59" s="146" t="s">
        <v>1770</v>
      </c>
      <c r="W59" s="126" t="s">
        <v>298</v>
      </c>
      <c r="X59" s="3751" t="s">
        <v>647</v>
      </c>
      <c r="Y59" s="3751"/>
      <c r="Z59" s="3751"/>
      <c r="AA59" s="3751"/>
      <c r="AB59" s="77"/>
      <c r="AC59" s="54"/>
      <c r="AD59" s="54"/>
      <c r="AE59" s="54"/>
      <c r="AF59" s="54"/>
      <c r="AG59" s="54"/>
      <c r="AH59" s="54"/>
      <c r="AI59" s="45"/>
      <c r="AJ59" s="60"/>
      <c r="AK59" s="40"/>
      <c r="AL59" s="65"/>
      <c r="AM59" s="146" t="s">
        <v>1770</v>
      </c>
      <c r="AN59" s="126" t="s">
        <v>298</v>
      </c>
      <c r="AO59" s="3751" t="s">
        <v>647</v>
      </c>
      <c r="AP59" s="3751"/>
      <c r="AQ59" s="3751"/>
      <c r="AR59" s="3751"/>
      <c r="AS59" s="77"/>
      <c r="AT59" s="147"/>
      <c r="AU59" s="135"/>
      <c r="AV59" s="135"/>
      <c r="AW59" s="45"/>
      <c r="AX59" s="54"/>
      <c r="AY59" s="54"/>
      <c r="AZ59" s="54"/>
      <c r="BA59" s="54"/>
      <c r="BB59" s="54"/>
      <c r="BC59" s="54"/>
    </row>
    <row r="60" spans="1:256">
      <c r="A60" s="45"/>
      <c r="B60" s="1665"/>
      <c r="C60" s="2407" t="s">
        <v>525</v>
      </c>
      <c r="D60" s="2408"/>
      <c r="E60" s="2409" t="s">
        <v>649</v>
      </c>
      <c r="F60" s="2410" t="s">
        <v>276</v>
      </c>
      <c r="G60" s="2411">
        <f ca="1">((Transfer!D284/Transfer!C284)-1)*100</f>
        <v>4.9353738145373915</v>
      </c>
      <c r="H60" s="2411">
        <f ca="1">((Transfer!E284/Transfer!D284)-1)*100</f>
        <v>3.8909751369404999</v>
      </c>
      <c r="I60" s="2411">
        <f ca="1">((Transfer!F284/Transfer!E284)-1)*100</f>
        <v>3.4999999999999698</v>
      </c>
      <c r="J60" s="2412">
        <f ca="1">((Transfer!G284/Transfer!F284)-1)*100</f>
        <v>3.2999999999999918</v>
      </c>
      <c r="K60" s="2368"/>
      <c r="L60" s="150"/>
      <c r="M60" s="135"/>
      <c r="N60" s="135"/>
      <c r="O60" s="45"/>
      <c r="P60" s="54"/>
      <c r="Q60" s="54"/>
      <c r="R60" s="54"/>
      <c r="S60" s="60"/>
      <c r="T60" s="148" t="s">
        <v>525</v>
      </c>
      <c r="U60" s="57"/>
      <c r="V60" s="149" t="s">
        <v>649</v>
      </c>
      <c r="W60" s="2008" t="e">
        <f t="shared" ref="W60:AA63" si="4">ROUND(F60,1)-ROUND(AN60,1)</f>
        <v>#VALUE!</v>
      </c>
      <c r="X60" s="2008">
        <f t="shared" ca="1" si="4"/>
        <v>1.0000000000000004</v>
      </c>
      <c r="Y60" s="2008">
        <f t="shared" ca="1" si="4"/>
        <v>-0.30000000000000027</v>
      </c>
      <c r="Z60" s="2008">
        <f t="shared" ca="1" si="4"/>
        <v>-0.39999999999999991</v>
      </c>
      <c r="AA60" s="81">
        <f t="shared" ca="1" si="4"/>
        <v>-1.1000000000000005</v>
      </c>
      <c r="AB60" s="82"/>
      <c r="AC60" s="54"/>
      <c r="AD60" s="54"/>
      <c r="AE60" s="54"/>
      <c r="AF60" s="54"/>
      <c r="AG60" s="54"/>
      <c r="AH60" s="54"/>
      <c r="AI60" s="45"/>
      <c r="AJ60" s="60"/>
      <c r="AK60" s="2116" t="s">
        <v>525</v>
      </c>
      <c r="AL60" s="2117"/>
      <c r="AM60" s="2118" t="s">
        <v>649</v>
      </c>
      <c r="AN60" s="2119" t="s">
        <v>276</v>
      </c>
      <c r="AO60" s="2120">
        <f>((Transfer!AD284/Transfer!AC284)-1)*100</f>
        <v>3.9377757420633319</v>
      </c>
      <c r="AP60" s="2120">
        <f>((Transfer!AE284/Transfer!AD284)-1)*100</f>
        <v>4.2000000000000037</v>
      </c>
      <c r="AQ60" s="2120">
        <f>((Transfer!AF284/Transfer!AE284)-1)*100</f>
        <v>3.8999999999999924</v>
      </c>
      <c r="AR60" s="2121">
        <f>((Transfer!AG284/Transfer!AF284)-1)*100</f>
        <v>4.4499999999999762</v>
      </c>
      <c r="AS60" s="82"/>
      <c r="AT60" s="150"/>
      <c r="AU60" s="135"/>
      <c r="AV60" s="135"/>
      <c r="AW60" s="45"/>
      <c r="AX60" s="54"/>
      <c r="AY60" s="54"/>
      <c r="AZ60" s="54"/>
      <c r="BA60" s="1987" t="s">
        <v>359</v>
      </c>
      <c r="BB60" s="54"/>
      <c r="BC60" s="54"/>
    </row>
    <row r="61" spans="1:256">
      <c r="A61" s="45"/>
      <c r="B61" s="1665"/>
      <c r="C61" s="2385" t="s">
        <v>1413</v>
      </c>
      <c r="D61" s="2413"/>
      <c r="E61" s="2414" t="s">
        <v>649</v>
      </c>
      <c r="F61" s="2415" t="s">
        <v>276</v>
      </c>
      <c r="G61" s="2387">
        <f ca="1">((Transfer!D285/Transfer!C285)-1)*100</f>
        <v>1.2923826522888593</v>
      </c>
      <c r="H61" s="2387">
        <f ca="1">((Transfer!E285/Transfer!D285)-1)*100</f>
        <v>1.1589392464896431</v>
      </c>
      <c r="I61" s="2387">
        <f ca="1">((Transfer!F285/Transfer!E285)-1)*100</f>
        <v>1.639999999999997</v>
      </c>
      <c r="J61" s="2389">
        <f ca="1">((Transfer!G285/Transfer!F285)-1)*100</f>
        <v>1.5400000000000302</v>
      </c>
      <c r="K61" s="2368"/>
      <c r="L61" s="150"/>
      <c r="M61" s="135"/>
      <c r="N61" s="135"/>
      <c r="O61" s="45"/>
      <c r="P61" s="54"/>
      <c r="Q61" s="54"/>
      <c r="R61" s="54"/>
      <c r="S61" s="60"/>
      <c r="T61" s="40" t="s">
        <v>1413</v>
      </c>
      <c r="U61" s="65"/>
      <c r="V61" s="152" t="s">
        <v>649</v>
      </c>
      <c r="W61" s="91" t="e">
        <f t="shared" si="4"/>
        <v>#VALUE!</v>
      </c>
      <c r="X61" s="91">
        <f t="shared" ca="1" si="4"/>
        <v>0.70000000000000007</v>
      </c>
      <c r="Y61" s="91">
        <f t="shared" ca="1" si="4"/>
        <v>-0.19999999999999996</v>
      </c>
      <c r="Z61" s="91">
        <f t="shared" ca="1" si="4"/>
        <v>0</v>
      </c>
      <c r="AA61" s="93">
        <f t="shared" ca="1" si="4"/>
        <v>-0.10000000000000009</v>
      </c>
      <c r="AB61" s="82"/>
      <c r="AC61" s="54"/>
      <c r="AD61" s="54"/>
      <c r="AE61" s="54"/>
      <c r="AF61" s="54"/>
      <c r="AG61" s="54"/>
      <c r="AH61" s="54"/>
      <c r="AI61" s="45"/>
      <c r="AJ61" s="60"/>
      <c r="AK61" s="2122" t="s">
        <v>1413</v>
      </c>
      <c r="AL61" s="2123"/>
      <c r="AM61" s="2124" t="s">
        <v>649</v>
      </c>
      <c r="AN61" s="2140" t="s">
        <v>276</v>
      </c>
      <c r="AO61" s="2113">
        <f>((Transfer!AD285/Transfer!AC285)-1)*100</f>
        <v>0.59336176525126572</v>
      </c>
      <c r="AP61" s="2113">
        <f>((Transfer!AE285/Transfer!AD285)-1)*100</f>
        <v>1.4000000000000012</v>
      </c>
      <c r="AQ61" s="2113">
        <f>((Transfer!AF285/Transfer!AE285)-1)*100</f>
        <v>1.6000000000000014</v>
      </c>
      <c r="AR61" s="2115">
        <f>((Transfer!AG285/Transfer!AF285)-1)*100</f>
        <v>1.6000000000000014</v>
      </c>
      <c r="AS61" s="82"/>
      <c r="AT61" s="150"/>
      <c r="AU61" s="135"/>
      <c r="AV61" s="135"/>
      <c r="AW61" s="45"/>
      <c r="AX61" s="54"/>
      <c r="AY61" s="54"/>
      <c r="AZ61" s="54"/>
      <c r="BA61" s="1988" t="s">
        <v>360</v>
      </c>
      <c r="BB61" s="54"/>
      <c r="BC61" s="54"/>
    </row>
    <row r="62" spans="1:256">
      <c r="A62" s="45"/>
      <c r="B62" s="1665"/>
      <c r="C62" s="2385" t="s">
        <v>1414</v>
      </c>
      <c r="D62" s="2413"/>
      <c r="E62" s="2414" t="s">
        <v>1836</v>
      </c>
      <c r="F62" s="2415" t="s">
        <v>276</v>
      </c>
      <c r="G62" s="2387">
        <f ca="1">((Transfer!D286/Transfer!C286)-1)*100</f>
        <v>-0.47086618171282568</v>
      </c>
      <c r="H62" s="2387">
        <f ca="1">((Transfer!E286/Transfer!D286)-1)*100</f>
        <v>7.3037703461852344</v>
      </c>
      <c r="I62" s="2387">
        <f ca="1">((Transfer!F286/Transfer!E286)-1)*100</f>
        <v>6.6757596465201408</v>
      </c>
      <c r="J62" s="2389">
        <f ca="1">((Transfer!G286/Transfer!F286)-1)*100</f>
        <v>4.0805171917847716</v>
      </c>
      <c r="K62" s="2368"/>
      <c r="L62" s="150"/>
      <c r="M62" s="135"/>
      <c r="N62" s="135"/>
      <c r="O62" s="45"/>
      <c r="P62" s="54"/>
      <c r="Q62" s="54"/>
      <c r="R62" s="54"/>
      <c r="S62" s="60"/>
      <c r="T62" s="40" t="s">
        <v>1414</v>
      </c>
      <c r="U62" s="65"/>
      <c r="V62" s="152" t="s">
        <v>1836</v>
      </c>
      <c r="W62" s="91" t="e">
        <f t="shared" si="4"/>
        <v>#VALUE!</v>
      </c>
      <c r="X62" s="91">
        <f t="shared" ca="1" si="4"/>
        <v>3.1</v>
      </c>
      <c r="Y62" s="91">
        <f t="shared" ca="1" si="4"/>
        <v>2.3999999999999995</v>
      </c>
      <c r="Z62" s="91">
        <f t="shared" ca="1" si="4"/>
        <v>-9.9999999999999645E-2</v>
      </c>
      <c r="AA62" s="93">
        <f t="shared" ca="1" si="4"/>
        <v>-2.7</v>
      </c>
      <c r="AB62" s="82"/>
      <c r="AC62" s="54"/>
      <c r="AD62" s="54"/>
      <c r="AE62" s="54"/>
      <c r="AF62" s="54"/>
      <c r="AG62" s="54"/>
      <c r="AH62" s="54"/>
      <c r="AI62" s="45"/>
      <c r="AJ62" s="60"/>
      <c r="AK62" s="2122" t="s">
        <v>1414</v>
      </c>
      <c r="AL62" s="2123"/>
      <c r="AM62" s="2124" t="s">
        <v>1836</v>
      </c>
      <c r="AN62" s="2140" t="s">
        <v>276</v>
      </c>
      <c r="AO62" s="2113">
        <f>((Transfer!AD286/Transfer!AC286)-1)*100</f>
        <v>-3.6072158443441804</v>
      </c>
      <c r="AP62" s="2113">
        <f>((Transfer!AE286/Transfer!AD286)-1)*100</f>
        <v>4.8738717027290601</v>
      </c>
      <c r="AQ62" s="2113">
        <f>((Transfer!AF286/Transfer!AE286)-1)*100</f>
        <v>6.7721721252337996</v>
      </c>
      <c r="AR62" s="2115">
        <f>((Transfer!AG286/Transfer!AF286)-1)*100</f>
        <v>6.8297691935189198</v>
      </c>
      <c r="AS62" s="82"/>
      <c r="AT62" s="150"/>
      <c r="AU62" s="135"/>
      <c r="AV62" s="135"/>
      <c r="AW62" s="45"/>
      <c r="AX62" s="54"/>
      <c r="AY62" s="54"/>
      <c r="AZ62" s="54"/>
      <c r="BA62" s="1988" t="s">
        <v>2049</v>
      </c>
      <c r="BB62" s="54"/>
      <c r="BC62" s="54"/>
    </row>
    <row r="63" spans="1:256">
      <c r="A63" s="45"/>
      <c r="B63" s="1665"/>
      <c r="C63" s="2416" t="s">
        <v>1965</v>
      </c>
      <c r="D63" s="2417"/>
      <c r="E63" s="2418"/>
      <c r="F63" s="2419" t="s">
        <v>276</v>
      </c>
      <c r="G63" s="2420">
        <f ca="1">+Transfer!D307/Transfer!C307*100-100</f>
        <v>3.2424954432991342</v>
      </c>
      <c r="H63" s="2420">
        <f ca="1">+Transfer!E307/Transfer!D307*100-100</f>
        <v>4.0669329752588226</v>
      </c>
      <c r="I63" s="2420">
        <f ca="1">+Transfer!F307/Transfer!E307*100-100</f>
        <v>3.7928010131768559</v>
      </c>
      <c r="J63" s="2421">
        <f ca="1">+Transfer!G307/Transfer!F307*100-100</f>
        <v>3.1620189999437258</v>
      </c>
      <c r="K63" s="2372"/>
      <c r="L63" s="157"/>
      <c r="M63" s="135"/>
      <c r="N63" s="135"/>
      <c r="O63" s="45"/>
      <c r="P63" s="54"/>
      <c r="Q63" s="54"/>
      <c r="R63" s="54"/>
      <c r="S63" s="60"/>
      <c r="T63" s="154" t="s">
        <v>1965</v>
      </c>
      <c r="U63" s="115"/>
      <c r="V63" s="155"/>
      <c r="W63" s="156" t="e">
        <f t="shared" si="4"/>
        <v>#VALUE!</v>
      </c>
      <c r="X63" s="290">
        <f t="shared" ca="1" si="4"/>
        <v>1.3000000000000003</v>
      </c>
      <c r="Y63" s="290">
        <f t="shared" ca="1" si="4"/>
        <v>0.29999999999999982</v>
      </c>
      <c r="Z63" s="290">
        <f t="shared" ca="1" si="4"/>
        <v>-0.20000000000000018</v>
      </c>
      <c r="AA63" s="317">
        <f t="shared" ca="1" si="4"/>
        <v>-1.2000000000000002</v>
      </c>
      <c r="AB63" s="85"/>
      <c r="AC63" s="54"/>
      <c r="AD63" s="54"/>
      <c r="AE63" s="54"/>
      <c r="AF63" s="54"/>
      <c r="AG63" s="54"/>
      <c r="AH63" s="54"/>
      <c r="AI63" s="45"/>
      <c r="AJ63" s="60"/>
      <c r="AK63" s="2161" t="s">
        <v>1965</v>
      </c>
      <c r="AL63" s="2162"/>
      <c r="AM63" s="2163"/>
      <c r="AN63" s="2164" t="s">
        <v>276</v>
      </c>
      <c r="AO63" s="2165">
        <f>+Transfer!AD307/Transfer!AC307*100-100</f>
        <v>1.9436864633977535</v>
      </c>
      <c r="AP63" s="2165">
        <f>+Transfer!AE307/Transfer!AD307*100-100</f>
        <v>3.8102014245667561</v>
      </c>
      <c r="AQ63" s="2165">
        <f>+Transfer!AF307/Transfer!AE307*100-100</f>
        <v>3.9944822673460294</v>
      </c>
      <c r="AR63" s="2166">
        <f>+Transfer!AG307/Transfer!AF307*100-100</f>
        <v>4.39188186677994</v>
      </c>
      <c r="AS63" s="85"/>
      <c r="AT63" s="157"/>
      <c r="AU63" s="135"/>
      <c r="AV63" s="135"/>
      <c r="AW63" s="45"/>
      <c r="AX63" s="54"/>
      <c r="AY63" s="54"/>
      <c r="AZ63" s="54"/>
      <c r="BA63" s="1988" t="s">
        <v>361</v>
      </c>
      <c r="BB63" s="54"/>
      <c r="BC63" s="54"/>
    </row>
    <row r="64" spans="1:256">
      <c r="A64" s="45"/>
      <c r="B64" s="1665"/>
      <c r="C64" s="2407" t="s">
        <v>862</v>
      </c>
      <c r="D64" s="2408"/>
      <c r="E64" s="2409" t="s">
        <v>1837</v>
      </c>
      <c r="F64" s="2410" t="s">
        <v>276</v>
      </c>
      <c r="G64" s="2410" t="s">
        <v>276</v>
      </c>
      <c r="H64" s="2410" t="s">
        <v>276</v>
      </c>
      <c r="I64" s="2410" t="s">
        <v>276</v>
      </c>
      <c r="J64" s="2412" t="s">
        <v>276</v>
      </c>
      <c r="K64" s="2368"/>
      <c r="L64" s="150"/>
      <c r="M64" s="135"/>
      <c r="N64" s="135"/>
      <c r="O64" s="45"/>
      <c r="P64" s="54"/>
      <c r="Q64" s="54"/>
      <c r="R64" s="54"/>
      <c r="S64" s="60"/>
      <c r="T64" s="99" t="s">
        <v>862</v>
      </c>
      <c r="U64" s="100"/>
      <c r="V64" s="161"/>
      <c r="W64" s="2008"/>
      <c r="X64" s="2008"/>
      <c r="Y64" s="2008"/>
      <c r="Z64" s="2008"/>
      <c r="AA64" s="81"/>
      <c r="AB64" s="82"/>
      <c r="AC64" s="54"/>
      <c r="AD64" s="54"/>
      <c r="AE64" s="54"/>
      <c r="AF64" s="54"/>
      <c r="AG64" s="54"/>
      <c r="AH64" s="54"/>
      <c r="AI64" s="45"/>
      <c r="AJ64" s="60"/>
      <c r="AK64" s="2116" t="s">
        <v>862</v>
      </c>
      <c r="AL64" s="2117"/>
      <c r="AM64" s="2118"/>
      <c r="AN64" s="2410" t="s">
        <v>276</v>
      </c>
      <c r="AO64" s="2410" t="s">
        <v>276</v>
      </c>
      <c r="AP64" s="2410" t="s">
        <v>276</v>
      </c>
      <c r="AQ64" s="2410" t="s">
        <v>276</v>
      </c>
      <c r="AR64" s="2412" t="s">
        <v>276</v>
      </c>
      <c r="AS64" s="82"/>
      <c r="AT64" s="150"/>
      <c r="AU64" s="135"/>
      <c r="AV64" s="135"/>
      <c r="AW64" s="45"/>
      <c r="AX64" s="54"/>
      <c r="AY64" s="54"/>
      <c r="AZ64" s="54"/>
      <c r="BA64" s="1989"/>
      <c r="BB64" s="54"/>
      <c r="BC64" s="54"/>
    </row>
    <row r="65" spans="1:55">
      <c r="A65" s="45"/>
      <c r="B65" s="1665"/>
      <c r="C65" s="2416" t="s">
        <v>865</v>
      </c>
      <c r="D65" s="2417"/>
      <c r="E65" s="2418"/>
      <c r="F65" s="2419" t="s">
        <v>276</v>
      </c>
      <c r="G65" s="2420">
        <f ca="1">+Transfer!D310/Transfer!C310*100-100</f>
        <v>2.4057475537799604</v>
      </c>
      <c r="H65" s="2420">
        <f ca="1">+Transfer!E310/Transfer!D310*100-100</f>
        <v>4.135763612603796</v>
      </c>
      <c r="I65" s="2420">
        <f ca="1">+Transfer!F310/Transfer!E310*100-100</f>
        <v>3.8526423187648078</v>
      </c>
      <c r="J65" s="2421">
        <f ca="1">+Transfer!G310/Transfer!F310*100-100</f>
        <v>3.2087346542352861</v>
      </c>
      <c r="K65" s="2372"/>
      <c r="L65" s="157"/>
      <c r="M65" s="135"/>
      <c r="N65" s="135"/>
      <c r="O65" s="45"/>
      <c r="P65" s="54"/>
      <c r="Q65" s="54"/>
      <c r="R65" s="54"/>
      <c r="S65" s="60"/>
      <c r="T65" s="159" t="s">
        <v>865</v>
      </c>
      <c r="U65" s="95"/>
      <c r="V65" s="160"/>
      <c r="W65" s="290" t="e">
        <f t="shared" ref="W65:AA73" si="5">ROUND(F65,1)-ROUND(AN65,1)</f>
        <v>#VALUE!</v>
      </c>
      <c r="X65" s="290">
        <f t="shared" ca="1" si="5"/>
        <v>2.9</v>
      </c>
      <c r="Y65" s="290">
        <f t="shared" ca="1" si="5"/>
        <v>0.39999999999999947</v>
      </c>
      <c r="Z65" s="290">
        <f t="shared" ca="1" si="5"/>
        <v>0</v>
      </c>
      <c r="AA65" s="317">
        <f t="shared" ca="1" si="5"/>
        <v>-1.0999999999999996</v>
      </c>
      <c r="AB65" s="85"/>
      <c r="AC65" s="54"/>
      <c r="AD65" s="54"/>
      <c r="AE65" s="54"/>
      <c r="AF65" s="54"/>
      <c r="AG65" s="54"/>
      <c r="AH65" s="54"/>
      <c r="AI65" s="45"/>
      <c r="AJ65" s="60"/>
      <c r="AK65" s="2161" t="s">
        <v>865</v>
      </c>
      <c r="AL65" s="2162"/>
      <c r="AM65" s="2163"/>
      <c r="AN65" s="2164" t="s">
        <v>276</v>
      </c>
      <c r="AO65" s="2165">
        <f>+Transfer!AD310/Transfer!AC310*100-100</f>
        <v>-0.51822433466152518</v>
      </c>
      <c r="AP65" s="2165">
        <f>+Transfer!AE310/Transfer!AD310*100-100</f>
        <v>3.7462347992008915</v>
      </c>
      <c r="AQ65" s="2165">
        <f>+Transfer!AF310/Transfer!AE310*100-100</f>
        <v>3.9308271475650258</v>
      </c>
      <c r="AR65" s="2166">
        <f>+Transfer!AG310/Transfer!AF310*100-100</f>
        <v>4.3259787132405449</v>
      </c>
      <c r="AS65" s="85"/>
      <c r="AT65" s="157"/>
      <c r="AU65" s="135"/>
      <c r="AV65" s="135"/>
      <c r="AW65" s="45"/>
      <c r="AX65" s="54"/>
      <c r="AY65" s="54"/>
      <c r="AZ65" s="54"/>
      <c r="BA65" s="1988" t="s">
        <v>362</v>
      </c>
      <c r="BB65" s="54"/>
      <c r="BC65" s="54"/>
    </row>
    <row r="66" spans="1:55">
      <c r="A66" s="45"/>
      <c r="B66" s="1665"/>
      <c r="C66" s="2407" t="s">
        <v>1113</v>
      </c>
      <c r="D66" s="2408"/>
      <c r="E66" s="2409" t="s">
        <v>491</v>
      </c>
      <c r="F66" s="2410" t="s">
        <v>276</v>
      </c>
      <c r="G66" s="2411">
        <f ca="1">+Transfer!D313/Transfer!C313*100-100</f>
        <v>3.4546244444509711</v>
      </c>
      <c r="H66" s="2411">
        <f ca="1">+Transfer!E313/Transfer!D313*100-100</f>
        <v>13.238498222730868</v>
      </c>
      <c r="I66" s="2411">
        <f ca="1">+Transfer!F313/Transfer!E313*100-100</f>
        <v>5.5162869137066224</v>
      </c>
      <c r="J66" s="2412">
        <f ca="1">+Transfer!G313/Transfer!F313*100-100</f>
        <v>4.4245927876736033</v>
      </c>
      <c r="K66" s="2368"/>
      <c r="L66" s="150"/>
      <c r="M66" s="135"/>
      <c r="N66" s="135"/>
      <c r="O66" s="45"/>
      <c r="P66" s="54"/>
      <c r="Q66" s="54"/>
      <c r="R66" s="54"/>
      <c r="S66" s="60"/>
      <c r="T66" s="99" t="s">
        <v>1113</v>
      </c>
      <c r="U66" s="100"/>
      <c r="V66" s="161" t="s">
        <v>491</v>
      </c>
      <c r="W66" s="2008" t="e">
        <f t="shared" si="5"/>
        <v>#VALUE!</v>
      </c>
      <c r="X66" s="2008">
        <f t="shared" ca="1" si="5"/>
        <v>-8.3000000000000007</v>
      </c>
      <c r="Y66" s="2008">
        <f t="shared" ca="1" si="5"/>
        <v>7.2999999999999989</v>
      </c>
      <c r="Z66" s="2008">
        <f t="shared" ca="1" si="5"/>
        <v>-1.2000000000000002</v>
      </c>
      <c r="AA66" s="81">
        <f t="shared" ca="1" si="5"/>
        <v>-2.5</v>
      </c>
      <c r="AB66" s="82"/>
      <c r="AC66" s="54"/>
      <c r="AD66" s="54"/>
      <c r="AE66" s="54"/>
      <c r="AF66" s="54"/>
      <c r="AG66" s="54"/>
      <c r="AH66" s="54"/>
      <c r="AI66" s="45"/>
      <c r="AJ66" s="60"/>
      <c r="AK66" s="2116" t="s">
        <v>1113</v>
      </c>
      <c r="AL66" s="2117"/>
      <c r="AM66" s="2118" t="s">
        <v>491</v>
      </c>
      <c r="AN66" s="2119" t="s">
        <v>276</v>
      </c>
      <c r="AO66" s="2120">
        <f>+Transfer!AD313/Transfer!AC313*100-100</f>
        <v>11.778114507111752</v>
      </c>
      <c r="AP66" s="2120">
        <f>+Transfer!AE313/Transfer!AD313*100-100</f>
        <v>5.9334222979003073</v>
      </c>
      <c r="AQ66" s="2120">
        <f>+Transfer!AF313/Transfer!AE313*100-100</f>
        <v>6.7168802835212631</v>
      </c>
      <c r="AR66" s="2121">
        <f>+Transfer!AG313/Transfer!AF313*100-100</f>
        <v>6.9008102318035753</v>
      </c>
      <c r="AS66" s="82"/>
      <c r="AT66" s="150"/>
      <c r="AU66" s="135"/>
      <c r="AV66" s="135"/>
      <c r="AW66" s="45"/>
      <c r="AX66" s="54"/>
      <c r="AY66" s="54"/>
      <c r="AZ66" s="54"/>
      <c r="BA66" s="1989" t="s">
        <v>363</v>
      </c>
      <c r="BB66" s="54"/>
      <c r="BC66" s="54"/>
    </row>
    <row r="67" spans="1:55">
      <c r="A67" s="45"/>
      <c r="B67" s="1665"/>
      <c r="C67" s="2423" t="s">
        <v>863</v>
      </c>
      <c r="D67" s="2386"/>
      <c r="E67" s="2424" t="s">
        <v>2068</v>
      </c>
      <c r="F67" s="2388" t="s">
        <v>276</v>
      </c>
      <c r="G67" s="2387">
        <f ca="1">((Transfer!D291/Transfer!C291)-1)*100</f>
        <v>1.3673353587009052</v>
      </c>
      <c r="H67" s="2387">
        <f ca="1">((Transfer!E291/Transfer!D291)-1)*100</f>
        <v>12.210331962525679</v>
      </c>
      <c r="I67" s="2387">
        <f ca="1">((Transfer!F291/Transfer!E291)-1)*100</f>
        <v>5.2000000000000046</v>
      </c>
      <c r="J67" s="2389">
        <f ca="1">((Transfer!G291/Transfer!F291)-1)*100</f>
        <v>4.4000000000000261</v>
      </c>
      <c r="K67" s="2390"/>
      <c r="L67" s="150"/>
      <c r="M67" s="135"/>
      <c r="N67" s="135"/>
      <c r="O67" s="45"/>
      <c r="P67" s="54"/>
      <c r="Q67" s="54"/>
      <c r="R67" s="54"/>
      <c r="S67" s="60"/>
      <c r="T67" s="162" t="s">
        <v>863</v>
      </c>
      <c r="U67" s="102"/>
      <c r="V67" s="163" t="s">
        <v>2068</v>
      </c>
      <c r="W67" s="91" t="e">
        <f t="shared" si="5"/>
        <v>#VALUE!</v>
      </c>
      <c r="X67" s="91">
        <f t="shared" ca="1" si="5"/>
        <v>-9</v>
      </c>
      <c r="Y67" s="91">
        <f t="shared" ca="1" si="5"/>
        <v>6.1999999999999993</v>
      </c>
      <c r="Z67" s="91">
        <f t="shared" ca="1" si="5"/>
        <v>-1.7000000000000002</v>
      </c>
      <c r="AA67" s="93">
        <f t="shared" ca="1" si="5"/>
        <v>-2.6999999999999993</v>
      </c>
      <c r="AB67" s="103"/>
      <c r="AC67" s="54"/>
      <c r="AD67" s="54"/>
      <c r="AE67" s="54"/>
      <c r="AF67" s="54"/>
      <c r="AG67" s="54"/>
      <c r="AH67" s="54"/>
      <c r="AI67" s="45"/>
      <c r="AJ67" s="60"/>
      <c r="AK67" s="2125" t="s">
        <v>863</v>
      </c>
      <c r="AL67" s="2112"/>
      <c r="AM67" s="2126" t="s">
        <v>2068</v>
      </c>
      <c r="AN67" s="2114" t="s">
        <v>276</v>
      </c>
      <c r="AO67" s="2113">
        <f>((Transfer!AD291/Transfer!AC291)-1)*100</f>
        <v>10.368962163752649</v>
      </c>
      <c r="AP67" s="2113">
        <f>((Transfer!AE291/Transfer!AD291)-1)*100</f>
        <v>6.0000000000000053</v>
      </c>
      <c r="AQ67" s="2113">
        <f>((Transfer!AF291/Transfer!AE291)-1)*100</f>
        <v>6.8999999999999728</v>
      </c>
      <c r="AR67" s="2115">
        <f>((Transfer!AG291/Transfer!AF291)-1)*100</f>
        <v>7.099999999999973</v>
      </c>
      <c r="AS67" s="103"/>
      <c r="AT67" s="150"/>
      <c r="AU67" s="135"/>
      <c r="AV67" s="135"/>
      <c r="AW67" s="45"/>
      <c r="AX67" s="54"/>
      <c r="AY67" s="54"/>
      <c r="AZ67" s="54"/>
      <c r="BA67" s="1988" t="s">
        <v>364</v>
      </c>
      <c r="BB67" s="54"/>
      <c r="BC67" s="54"/>
    </row>
    <row r="68" spans="1:55">
      <c r="A68" s="45"/>
      <c r="B68" s="1665"/>
      <c r="C68" s="2423" t="s">
        <v>864</v>
      </c>
      <c r="D68" s="2386"/>
      <c r="E68" s="2424" t="s">
        <v>468</v>
      </c>
      <c r="F68" s="2388" t="s">
        <v>276</v>
      </c>
      <c r="G68" s="2387">
        <f ca="1">((Transfer!D292/Transfer!C292)-1)*100</f>
        <v>11.121385987403954</v>
      </c>
      <c r="H68" s="2387">
        <f ca="1">((Transfer!E292/Transfer!D292)-1)*100</f>
        <v>16.52066600259743</v>
      </c>
      <c r="I68" s="2387">
        <f ca="1">((Transfer!F292/Transfer!E292)-1)*100</f>
        <v>6.4999999999999947</v>
      </c>
      <c r="J68" s="2389">
        <f ca="1">((Transfer!G292/Transfer!F292)-1)*100</f>
        <v>4.4999999999999929</v>
      </c>
      <c r="K68" s="2390"/>
      <c r="L68" s="150"/>
      <c r="M68" s="135"/>
      <c r="N68" s="135"/>
      <c r="O68" s="45"/>
      <c r="P68" s="54"/>
      <c r="Q68" s="54"/>
      <c r="R68" s="54"/>
      <c r="S68" s="60"/>
      <c r="T68" s="162" t="s">
        <v>864</v>
      </c>
      <c r="U68" s="102"/>
      <c r="V68" s="163" t="s">
        <v>468</v>
      </c>
      <c r="W68" s="91" t="e">
        <f t="shared" si="5"/>
        <v>#VALUE!</v>
      </c>
      <c r="X68" s="91">
        <f t="shared" ca="1" si="5"/>
        <v>-8.2000000000000011</v>
      </c>
      <c r="Y68" s="91">
        <f t="shared" ca="1" si="5"/>
        <v>10.9</v>
      </c>
      <c r="Z68" s="91">
        <f t="shared" ca="1" si="5"/>
        <v>0.70000000000000018</v>
      </c>
      <c r="AA68" s="93">
        <f t="shared" ca="1" si="5"/>
        <v>-1.4000000000000004</v>
      </c>
      <c r="AB68" s="103"/>
      <c r="AC68" s="54"/>
      <c r="AD68" s="54"/>
      <c r="AE68" s="54"/>
      <c r="AF68" s="54"/>
      <c r="AG68" s="54"/>
      <c r="AH68" s="54"/>
      <c r="AI68" s="45"/>
      <c r="AJ68" s="60"/>
      <c r="AK68" s="2125" t="s">
        <v>864</v>
      </c>
      <c r="AL68" s="2112"/>
      <c r="AM68" s="2126" t="s">
        <v>468</v>
      </c>
      <c r="AN68" s="2114" t="s">
        <v>276</v>
      </c>
      <c r="AO68" s="2113">
        <f>((Transfer!AD292/Transfer!AC292)-1)*100</f>
        <v>19.336168952090759</v>
      </c>
      <c r="AP68" s="2113">
        <f>((Transfer!AE292/Transfer!AD292)-1)*100</f>
        <v>5.600000000000005</v>
      </c>
      <c r="AQ68" s="2113">
        <f>((Transfer!AF292/Transfer!AE292)-1)*100</f>
        <v>5.8000000000000052</v>
      </c>
      <c r="AR68" s="2115">
        <f>((Transfer!AG292/Transfer!AF292)-1)*100</f>
        <v>5.9000000000000163</v>
      </c>
      <c r="AS68" s="103"/>
      <c r="AT68" s="150"/>
      <c r="AU68" s="135"/>
      <c r="AV68" s="135"/>
      <c r="AW68" s="45"/>
      <c r="AX68" s="54"/>
      <c r="AY68" s="54"/>
      <c r="AZ68" s="54"/>
      <c r="BA68" s="1988" t="s">
        <v>365</v>
      </c>
      <c r="BB68" s="54"/>
      <c r="BC68" s="54"/>
    </row>
    <row r="69" spans="1:55">
      <c r="A69" s="45"/>
      <c r="B69" s="1665"/>
      <c r="C69" s="2416" t="s">
        <v>1776</v>
      </c>
      <c r="D69" s="2417"/>
      <c r="E69" s="2418"/>
      <c r="F69" s="2419" t="s">
        <v>276</v>
      </c>
      <c r="G69" s="2420">
        <f ca="1">+Transfer!D316/Transfer!C316*100-100</f>
        <v>2.8568882486175369</v>
      </c>
      <c r="H69" s="2420">
        <f ca="1">+Transfer!E316/Transfer!D316*100-100</f>
        <v>8.0495832029002372</v>
      </c>
      <c r="I69" s="2420">
        <f ca="1">+Transfer!F316/Transfer!E316*100-100</f>
        <v>4.6078041243742973</v>
      </c>
      <c r="J69" s="2421">
        <f ca="1">+Transfer!G316/Transfer!F316*100-100</f>
        <v>3.7640118873977002</v>
      </c>
      <c r="K69" s="2372"/>
      <c r="L69" s="157"/>
      <c r="M69" s="135"/>
      <c r="N69" s="135"/>
      <c r="O69" s="45"/>
      <c r="P69" s="54"/>
      <c r="Q69" s="54"/>
      <c r="R69" s="54"/>
      <c r="S69" s="60"/>
      <c r="T69" s="164" t="s">
        <v>1776</v>
      </c>
      <c r="U69" s="104"/>
      <c r="V69" s="165"/>
      <c r="W69" s="156" t="e">
        <f t="shared" si="5"/>
        <v>#VALUE!</v>
      </c>
      <c r="X69" s="156">
        <f t="shared" ca="1" si="5"/>
        <v>-1.9</v>
      </c>
      <c r="Y69" s="156">
        <f t="shared" ca="1" si="5"/>
        <v>3.3</v>
      </c>
      <c r="Z69" s="156">
        <f t="shared" ca="1" si="5"/>
        <v>-0.60000000000000053</v>
      </c>
      <c r="AA69" s="283">
        <f t="shared" ca="1" si="5"/>
        <v>-1.7000000000000002</v>
      </c>
      <c r="AB69" s="85"/>
      <c r="AC69" s="54"/>
      <c r="AD69" s="54"/>
      <c r="AE69" s="54"/>
      <c r="AF69" s="54"/>
      <c r="AG69" s="54"/>
      <c r="AH69" s="54"/>
      <c r="AI69" s="45"/>
      <c r="AJ69" s="60"/>
      <c r="AK69" s="2161" t="s">
        <v>1776</v>
      </c>
      <c r="AL69" s="2162"/>
      <c r="AM69" s="2163"/>
      <c r="AN69" s="2164" t="s">
        <v>276</v>
      </c>
      <c r="AO69" s="2165">
        <f>+Transfer!AD316/Transfer!AC316*100-100</f>
        <v>4.7588443421731341</v>
      </c>
      <c r="AP69" s="2165">
        <f>+Transfer!AE316/Transfer!AD316*100-100</f>
        <v>4.7488083131674017</v>
      </c>
      <c r="AQ69" s="2165">
        <f>+Transfer!AF316/Transfer!AE316*100-100</f>
        <v>5.2135764091778327</v>
      </c>
      <c r="AR69" s="2166">
        <f>+Transfer!AG316/Transfer!AF316*100-100</f>
        <v>5.5248562395880469</v>
      </c>
      <c r="AS69" s="85"/>
      <c r="AT69" s="157"/>
      <c r="AU69" s="135"/>
      <c r="AV69" s="135"/>
      <c r="AW69" s="45"/>
      <c r="AX69" s="54"/>
      <c r="AY69" s="54"/>
      <c r="AZ69" s="54"/>
      <c r="BA69" s="1988" t="s">
        <v>366</v>
      </c>
      <c r="BB69" s="54"/>
      <c r="BC69" s="54"/>
    </row>
    <row r="70" spans="1:55">
      <c r="A70" s="45"/>
      <c r="B70" s="1665"/>
      <c r="C70" s="2407" t="s">
        <v>1245</v>
      </c>
      <c r="D70" s="2408"/>
      <c r="E70" s="2409" t="s">
        <v>264</v>
      </c>
      <c r="F70" s="2410" t="s">
        <v>276</v>
      </c>
      <c r="G70" s="2411">
        <f ca="1">+Transfer!D319/Transfer!C319*100-100</f>
        <v>3.5277850497208192</v>
      </c>
      <c r="H70" s="2411">
        <f ca="1">+Transfer!E319/Transfer!D319*100-100</f>
        <v>12.812335214460774</v>
      </c>
      <c r="I70" s="2411">
        <f ca="1">+Transfer!F319/Transfer!E319*100-100</f>
        <v>6.4999999999999716</v>
      </c>
      <c r="J70" s="2412">
        <f ca="1">+Transfer!G319/Transfer!F319*100-100</f>
        <v>5.1512076881462718</v>
      </c>
      <c r="K70" s="2368"/>
      <c r="L70" s="150"/>
      <c r="M70" s="135"/>
      <c r="N70" s="135"/>
      <c r="O70" s="45"/>
      <c r="P70" s="54"/>
      <c r="Q70" s="54"/>
      <c r="R70" s="54"/>
      <c r="S70" s="60"/>
      <c r="T70" s="166" t="s">
        <v>1245</v>
      </c>
      <c r="U70" s="57"/>
      <c r="V70" s="149" t="s">
        <v>264</v>
      </c>
      <c r="W70" s="91" t="e">
        <f t="shared" si="5"/>
        <v>#VALUE!</v>
      </c>
      <c r="X70" s="91">
        <f t="shared" ca="1" si="5"/>
        <v>-2.5999999999999996</v>
      </c>
      <c r="Y70" s="91">
        <f t="shared" ca="1" si="5"/>
        <v>6.6000000000000005</v>
      </c>
      <c r="Z70" s="91">
        <f t="shared" ca="1" si="5"/>
        <v>-0.59999999999999964</v>
      </c>
      <c r="AA70" s="93">
        <f t="shared" ca="1" si="5"/>
        <v>-2.2000000000000002</v>
      </c>
      <c r="AB70" s="82"/>
      <c r="AC70" s="54"/>
      <c r="AD70" s="54"/>
      <c r="AE70" s="54"/>
      <c r="AF70" s="54"/>
      <c r="AG70" s="54"/>
      <c r="AH70" s="54"/>
      <c r="AI70" s="45"/>
      <c r="AJ70" s="60"/>
      <c r="AK70" s="2116" t="s">
        <v>1245</v>
      </c>
      <c r="AL70" s="2117"/>
      <c r="AM70" s="2118" t="s">
        <v>264</v>
      </c>
      <c r="AN70" s="2119" t="s">
        <v>276</v>
      </c>
      <c r="AO70" s="2120">
        <f>+Transfer!AD319/Transfer!AC319*100-100</f>
        <v>6.1342034387134703</v>
      </c>
      <c r="AP70" s="2120">
        <f>+Transfer!AE319/Transfer!AD319*100-100</f>
        <v>6.1500342774792927</v>
      </c>
      <c r="AQ70" s="2120">
        <f>+Transfer!AF319/Transfer!AE319*100-100</f>
        <v>7.1250853186673311</v>
      </c>
      <c r="AR70" s="2121">
        <f>+Transfer!AG319/Transfer!AF319*100-100</f>
        <v>7.4010156936979143</v>
      </c>
      <c r="AS70" s="82"/>
      <c r="AT70" s="150"/>
      <c r="AU70" s="135"/>
      <c r="AV70" s="135"/>
      <c r="AW70" s="45"/>
      <c r="AX70" s="54"/>
      <c r="AY70" s="54"/>
      <c r="AZ70" s="54"/>
      <c r="BA70" s="1989" t="s">
        <v>367</v>
      </c>
      <c r="BB70" s="54"/>
      <c r="BC70" s="54"/>
    </row>
    <row r="71" spans="1:55">
      <c r="A71" s="45"/>
      <c r="B71" s="1665"/>
      <c r="C71" s="2423" t="s">
        <v>866</v>
      </c>
      <c r="D71" s="2386"/>
      <c r="E71" s="2424" t="s">
        <v>1326</v>
      </c>
      <c r="F71" s="2388" t="s">
        <v>276</v>
      </c>
      <c r="G71" s="2387">
        <f ca="1">((Transfer!D293/Transfer!C293)-1)*100</f>
        <v>2.9900046588454465</v>
      </c>
      <c r="H71" s="2387">
        <f ca="1">((Transfer!E293/Transfer!D293)-1)*100</f>
        <v>12.748093204046373</v>
      </c>
      <c r="I71" s="2387">
        <f ca="1">((Transfer!F293/Transfer!E293)-1)*100</f>
        <v>6.4999999999999947</v>
      </c>
      <c r="J71" s="2389">
        <f ca="1">((Transfer!G293/Transfer!F293)-1)*100</f>
        <v>5.2000000000000046</v>
      </c>
      <c r="K71" s="2390"/>
      <c r="L71" s="150"/>
      <c r="M71" s="135"/>
      <c r="N71" s="135"/>
      <c r="O71" s="45"/>
      <c r="P71" s="54"/>
      <c r="Q71" s="54"/>
      <c r="R71" s="54"/>
      <c r="S71" s="60"/>
      <c r="T71" s="168" t="s">
        <v>866</v>
      </c>
      <c r="U71" s="105"/>
      <c r="V71" s="169" t="s">
        <v>1326</v>
      </c>
      <c r="W71" s="91" t="e">
        <f t="shared" si="5"/>
        <v>#VALUE!</v>
      </c>
      <c r="X71" s="91">
        <f t="shared" ca="1" si="5"/>
        <v>-1.2999999999999998</v>
      </c>
      <c r="Y71" s="91">
        <f t="shared" ca="1" si="5"/>
        <v>6.4999999999999991</v>
      </c>
      <c r="Z71" s="91">
        <f t="shared" ca="1" si="5"/>
        <v>-0.79999999999999982</v>
      </c>
      <c r="AA71" s="93">
        <f t="shared" ca="1" si="5"/>
        <v>-2.3999999999999995</v>
      </c>
      <c r="AB71" s="103"/>
      <c r="AC71" s="54"/>
      <c r="AD71" s="54"/>
      <c r="AE71" s="54"/>
      <c r="AF71" s="54"/>
      <c r="AG71" s="54"/>
      <c r="AH71" s="54"/>
      <c r="AI71" s="45"/>
      <c r="AJ71" s="60"/>
      <c r="AK71" s="2125" t="s">
        <v>866</v>
      </c>
      <c r="AL71" s="2112"/>
      <c r="AM71" s="2126" t="s">
        <v>1326</v>
      </c>
      <c r="AN71" s="2114" t="s">
        <v>276</v>
      </c>
      <c r="AO71" s="2113">
        <f>((Transfer!AD293/Transfer!AC293)-1)*100</f>
        <v>4.2858447042246395</v>
      </c>
      <c r="AP71" s="2113">
        <f>((Transfer!AE293/Transfer!AD293)-1)*100</f>
        <v>6.2000000000000055</v>
      </c>
      <c r="AQ71" s="2113">
        <f>((Transfer!AF293/Transfer!AE293)-1)*100</f>
        <v>7.2999999999999954</v>
      </c>
      <c r="AR71" s="2115">
        <f>((Transfer!AG293/Transfer!AF293)-1)*100</f>
        <v>7.6000000000000068</v>
      </c>
      <c r="AS71" s="103"/>
      <c r="AT71" s="150"/>
      <c r="AU71" s="135"/>
      <c r="AV71" s="135"/>
      <c r="AW71" s="45"/>
      <c r="AX71" s="54"/>
      <c r="AY71" s="54"/>
      <c r="AZ71" s="54"/>
      <c r="BA71" s="1988" t="s">
        <v>368</v>
      </c>
      <c r="BB71" s="54"/>
      <c r="BC71" s="54"/>
    </row>
    <row r="72" spans="1:55">
      <c r="A72" s="45"/>
      <c r="B72" s="1665"/>
      <c r="C72" s="2423" t="s">
        <v>867</v>
      </c>
      <c r="D72" s="2386"/>
      <c r="E72" s="2424" t="s">
        <v>1327</v>
      </c>
      <c r="F72" s="2388" t="s">
        <v>276</v>
      </c>
      <c r="G72" s="2387">
        <f ca="1">((Transfer!D294/Transfer!C294)-1)*100</f>
        <v>6.5903564992710661</v>
      </c>
      <c r="H72" s="2387">
        <f ca="1">((Transfer!E294/Transfer!D294)-1)*100</f>
        <v>13.143267030777173</v>
      </c>
      <c r="I72" s="2387">
        <f ca="1">((Transfer!F294/Transfer!E294)-1)*100</f>
        <v>6.4999999999999725</v>
      </c>
      <c r="J72" s="2389">
        <f ca="1">((Transfer!G294/Transfer!F294)-1)*100</f>
        <v>4.8999999999999932</v>
      </c>
      <c r="K72" s="2390"/>
      <c r="L72" s="150"/>
      <c r="M72" s="135"/>
      <c r="N72" s="135"/>
      <c r="O72" s="45"/>
      <c r="P72" s="54"/>
      <c r="Q72" s="54"/>
      <c r="R72" s="54"/>
      <c r="S72" s="60"/>
      <c r="T72" s="170" t="s">
        <v>867</v>
      </c>
      <c r="U72" s="171"/>
      <c r="V72" s="172" t="s">
        <v>1327</v>
      </c>
      <c r="W72" s="156" t="e">
        <f t="shared" si="5"/>
        <v>#VALUE!</v>
      </c>
      <c r="X72" s="156">
        <f t="shared" ca="1" si="5"/>
        <v>-14.1</v>
      </c>
      <c r="Y72" s="156">
        <f t="shared" ca="1" si="5"/>
        <v>7.3</v>
      </c>
      <c r="Z72" s="156">
        <f t="shared" ca="1" si="5"/>
        <v>0.59999999999999964</v>
      </c>
      <c r="AA72" s="283">
        <f t="shared" ca="1" si="5"/>
        <v>-1.0999999999999996</v>
      </c>
      <c r="AB72" s="103"/>
      <c r="AC72" s="54"/>
      <c r="AD72" s="54"/>
      <c r="AE72" s="54"/>
      <c r="AF72" s="54"/>
      <c r="AG72" s="54"/>
      <c r="AH72" s="54"/>
      <c r="AI72" s="45"/>
      <c r="AJ72" s="60"/>
      <c r="AK72" s="2125" t="s">
        <v>867</v>
      </c>
      <c r="AL72" s="2112"/>
      <c r="AM72" s="2126" t="s">
        <v>1327</v>
      </c>
      <c r="AN72" s="2114" t="s">
        <v>276</v>
      </c>
      <c r="AO72" s="2113">
        <f>((Transfer!AD294/Transfer!AC294)-1)*100</f>
        <v>20.672855323822127</v>
      </c>
      <c r="AP72" s="2113">
        <f>((Transfer!AE294/Transfer!AD294)-1)*100</f>
        <v>5.8000000000000052</v>
      </c>
      <c r="AQ72" s="2113">
        <f>((Transfer!AF294/Transfer!AE294)-1)*100</f>
        <v>5.8999999999999941</v>
      </c>
      <c r="AR72" s="2115">
        <f>((Transfer!AG294/Transfer!AF294)-1)*100</f>
        <v>6.0000000000000053</v>
      </c>
      <c r="AS72" s="103"/>
      <c r="AT72" s="150"/>
      <c r="AU72" s="135"/>
      <c r="AV72" s="135"/>
      <c r="AW72" s="45"/>
      <c r="AX72" s="54"/>
      <c r="AY72" s="54"/>
      <c r="AZ72" s="54"/>
      <c r="BA72" s="1988" t="s">
        <v>369</v>
      </c>
      <c r="BB72" s="54"/>
      <c r="BC72" s="54"/>
    </row>
    <row r="73" spans="1:55">
      <c r="A73" s="45"/>
      <c r="B73" s="1665"/>
      <c r="C73" s="2425" t="s">
        <v>1777</v>
      </c>
      <c r="D73" s="2426"/>
      <c r="E73" s="2427" t="s">
        <v>1328</v>
      </c>
      <c r="F73" s="2428" t="s">
        <v>276</v>
      </c>
      <c r="G73" s="2429">
        <f ca="1">((Transfer!D295/Transfer!C295)-1)*100</f>
        <v>2.3448829366414126</v>
      </c>
      <c r="H73" s="2429">
        <f ca="1">((Transfer!E295/Transfer!D295)-1)*100</f>
        <v>4.565211033661698</v>
      </c>
      <c r="I73" s="2429">
        <f ca="1">((Transfer!F295/Transfer!E295)-1)*100</f>
        <v>3.1205873424164254</v>
      </c>
      <c r="J73" s="2430">
        <f ca="1">((Transfer!G295/Transfer!F295)-1)*100</f>
        <v>2.6426635456777037</v>
      </c>
      <c r="K73" s="2372"/>
      <c r="L73" s="157"/>
      <c r="M73" s="135"/>
      <c r="N73" s="135"/>
      <c r="O73" s="45"/>
      <c r="P73" s="54"/>
      <c r="Q73" s="54"/>
      <c r="R73" s="54"/>
      <c r="S73" s="60"/>
      <c r="T73" s="173" t="s">
        <v>1777</v>
      </c>
      <c r="U73" s="174"/>
      <c r="V73" s="175" t="s">
        <v>1328</v>
      </c>
      <c r="W73" s="290" t="e">
        <f t="shared" si="5"/>
        <v>#VALUE!</v>
      </c>
      <c r="X73" s="290">
        <f t="shared" ca="1" si="5"/>
        <v>-1.4000000000000004</v>
      </c>
      <c r="Y73" s="290">
        <f t="shared" ca="1" si="5"/>
        <v>0.99999999999999956</v>
      </c>
      <c r="Z73" s="290">
        <f t="shared" ca="1" si="5"/>
        <v>-0.5</v>
      </c>
      <c r="AA73" s="283">
        <f t="shared" ca="1" si="5"/>
        <v>-1.2999999999999998</v>
      </c>
      <c r="AB73" s="85"/>
      <c r="AC73" s="54"/>
      <c r="AD73" s="54"/>
      <c r="AE73" s="54"/>
      <c r="AF73" s="54"/>
      <c r="AG73" s="54"/>
      <c r="AH73" s="54"/>
      <c r="AI73" s="45"/>
      <c r="AJ73" s="60"/>
      <c r="AK73" s="2128" t="s">
        <v>1777</v>
      </c>
      <c r="AL73" s="2129"/>
      <c r="AM73" s="2130" t="s">
        <v>1328</v>
      </c>
      <c r="AN73" s="2131" t="s">
        <v>276</v>
      </c>
      <c r="AO73" s="2132">
        <f>((Transfer!AD295/Transfer!AC295)-1)*100</f>
        <v>3.6592993272815288</v>
      </c>
      <c r="AP73" s="2132">
        <f>((Transfer!AE295/Transfer!AD295)-1)*100</f>
        <v>3.584097298361888</v>
      </c>
      <c r="AQ73" s="2132">
        <f>((Transfer!AF295/Transfer!AE295)-1)*100</f>
        <v>3.6179854244913212</v>
      </c>
      <c r="AR73" s="2133">
        <f>((Transfer!AG295/Transfer!AF295)-1)*100</f>
        <v>3.9239747887909182</v>
      </c>
      <c r="AS73" s="85"/>
      <c r="AT73" s="157"/>
      <c r="AU73" s="135"/>
      <c r="AV73" s="135"/>
      <c r="AW73" s="45"/>
      <c r="AX73" s="54"/>
      <c r="AY73" s="54"/>
      <c r="AZ73" s="54"/>
      <c r="BA73" s="1988" t="s">
        <v>370</v>
      </c>
      <c r="BB73" s="54"/>
      <c r="BC73" s="54"/>
    </row>
    <row r="74" spans="1:55">
      <c r="A74" s="45"/>
      <c r="B74" s="1665"/>
      <c r="C74" s="1666"/>
      <c r="D74" s="2351"/>
      <c r="E74" s="2422"/>
      <c r="F74" s="2431"/>
      <c r="G74" s="3751" t="s">
        <v>1944</v>
      </c>
      <c r="H74" s="3751"/>
      <c r="I74" s="3751"/>
      <c r="J74" s="3751"/>
      <c r="K74" s="2348"/>
      <c r="L74" s="178"/>
      <c r="M74" s="135"/>
      <c r="N74" s="135"/>
      <c r="O74" s="45"/>
      <c r="P74" s="54"/>
      <c r="Q74" s="54"/>
      <c r="R74" s="54"/>
      <c r="S74" s="60"/>
      <c r="T74" s="40"/>
      <c r="U74" s="65"/>
      <c r="V74" s="152"/>
      <c r="W74" s="2010"/>
      <c r="X74" s="3751" t="s">
        <v>1944</v>
      </c>
      <c r="Y74" s="3751"/>
      <c r="Z74" s="3751"/>
      <c r="AA74" s="3751"/>
      <c r="AB74" s="106"/>
      <c r="AC74" s="54"/>
      <c r="AD74" s="54"/>
      <c r="AE74" s="54"/>
      <c r="AF74" s="54"/>
      <c r="AG74" s="54"/>
      <c r="AH74" s="54"/>
      <c r="AI74" s="45"/>
      <c r="AJ74" s="60"/>
      <c r="AK74" s="40"/>
      <c r="AL74" s="65"/>
      <c r="AM74" s="152"/>
      <c r="AN74" s="1984"/>
      <c r="AO74" s="3751" t="s">
        <v>1944</v>
      </c>
      <c r="AP74" s="3751"/>
      <c r="AQ74" s="3751"/>
      <c r="AR74" s="3751"/>
      <c r="AS74" s="106"/>
      <c r="AT74" s="178"/>
      <c r="AU74" s="135"/>
      <c r="AV74" s="135"/>
      <c r="AW74" s="45"/>
      <c r="AX74" s="54"/>
      <c r="AY74" s="54"/>
      <c r="AZ74" s="54"/>
      <c r="BA74" s="1989"/>
      <c r="BB74" s="54"/>
      <c r="BC74" s="54"/>
    </row>
    <row r="75" spans="1:55">
      <c r="A75" s="45"/>
      <c r="B75" s="1665"/>
      <c r="C75" s="2432" t="s">
        <v>1978</v>
      </c>
      <c r="D75" s="2433"/>
      <c r="E75" s="2434"/>
      <c r="F75" s="2435" t="s">
        <v>276</v>
      </c>
      <c r="G75" s="2436">
        <f ca="1">IF(Transfer!$C$280=1,(((Transfer!D101+Transfer!D102+Transfer!D103) - (Transfer!C136+Transfer!C137+Transfer!C138))/Transfer!C147)*100,(((Transfer!D101+Transfer!D102+Transfer!D103) - (Transfer!C101+Transfer!C102+Transfer!C103))/Transfer!C112)*100)</f>
        <v>3.2252565925641221</v>
      </c>
      <c r="H75" s="2436">
        <f ca="1">IF(Transfer!$C$280=1,(((Transfer!E101+Transfer!E102+Transfer!E103) - (Transfer!D136+Transfer!D137+Transfer!D138))/Transfer!D147)*100,(((Transfer!E101+Transfer!E102+Transfer!E103) - (Transfer!D101+Transfer!D102+Transfer!D103))/Transfer!D112)*100)</f>
        <v>4.0822979623685622</v>
      </c>
      <c r="I75" s="2436">
        <f ca="1">IF(Transfer!$C$280=1,(((Transfer!F101+Transfer!F102+Transfer!F103) - (Transfer!E136+Transfer!E137+Transfer!E138))/Transfer!E147)*100,(((Transfer!F101+Transfer!F102+Transfer!F103) - (Transfer!E101+Transfer!E102+Transfer!E103))/Transfer!E112)*100)</f>
        <v>3.7754831507363558</v>
      </c>
      <c r="J75" s="2437">
        <f ca="1">IF(Transfer!$C$280=1,(((Transfer!G101+Transfer!G102+Transfer!G103) - (Transfer!F136+Transfer!F137+Transfer!F138))/Transfer!F147)*100,(((Transfer!G101+Transfer!G102+Transfer!G103) - (Transfer!F101+Transfer!F102+Transfer!F103))/Transfer!F112)*100)</f>
        <v>3.1733581685091994</v>
      </c>
      <c r="K75" s="2368"/>
      <c r="L75" s="150"/>
      <c r="M75" s="135"/>
      <c r="N75" s="135"/>
      <c r="O75" s="45"/>
      <c r="P75" s="54"/>
      <c r="Q75" s="54"/>
      <c r="R75" s="54"/>
      <c r="S75" s="60"/>
      <c r="T75" s="179" t="s">
        <v>1978</v>
      </c>
      <c r="U75" s="65"/>
      <c r="V75" s="152"/>
      <c r="W75" s="91" t="e">
        <f t="shared" ref="W75:AA77" si="6">ROUND(F75,1)-ROUND(AN75,1)</f>
        <v>#VALUE!</v>
      </c>
      <c r="X75" s="91">
        <f t="shared" ca="1" si="6"/>
        <v>1.3000000000000003</v>
      </c>
      <c r="Y75" s="91">
        <f t="shared" ca="1" si="6"/>
        <v>0.39999999999999947</v>
      </c>
      <c r="Z75" s="91">
        <f t="shared" ca="1" si="6"/>
        <v>-0.10000000000000009</v>
      </c>
      <c r="AA75" s="81">
        <f t="shared" ca="1" si="6"/>
        <v>-1.0999999999999996</v>
      </c>
      <c r="AB75" s="82"/>
      <c r="AC75" s="54"/>
      <c r="AD75" s="54"/>
      <c r="AE75" s="54"/>
      <c r="AF75" s="54"/>
      <c r="AG75" s="54"/>
      <c r="AH75" s="54"/>
      <c r="AI75" s="45"/>
      <c r="AJ75" s="60"/>
      <c r="AK75" s="2134" t="s">
        <v>1978</v>
      </c>
      <c r="AL75" s="2135"/>
      <c r="AM75" s="2136"/>
      <c r="AN75" s="2102" t="s">
        <v>276</v>
      </c>
      <c r="AO75" s="2104">
        <f>IF(Transfer!$C$280=1,(((Transfer!AD101+Transfer!AD102+Transfer!AD103) - (Transfer!AC136+Transfer!AC137+Transfer!AC138))/Transfer!AC147)*100,(((Transfer!AD101+Transfer!AD102+Transfer!AD103) - (Transfer!AC101+Transfer!AC102+Transfer!AC103))/Transfer!AC112)*100)</f>
        <v>1.9338541493069936</v>
      </c>
      <c r="AP75" s="2104">
        <f>IF(Transfer!$C$280=1,(((Transfer!AE101+Transfer!AE102+Transfer!AE103) - (Transfer!AD136+Transfer!AD137+Transfer!AD138))/Transfer!AD147)*100,(((Transfer!AE101+Transfer!AE102+Transfer!AE103) - (Transfer!AD101+Transfer!AD102+Transfer!AD103))/Transfer!AD112)*100)</f>
        <v>3.7155553494228224</v>
      </c>
      <c r="AQ75" s="2104">
        <f>IF(Transfer!$C$280=1,(((Transfer!AF101+Transfer!AF102+Transfer!AF103) - (Transfer!AE136+Transfer!AE137+Transfer!AE138))/Transfer!AE147)*100,(((Transfer!AF101+Transfer!AF102+Transfer!AF103) - (Transfer!AE101+Transfer!AE102+Transfer!AE103))/Transfer!AE112)*100)</f>
        <v>3.8914657422270365</v>
      </c>
      <c r="AR75" s="2100">
        <f>IF(Transfer!$C$280=1,(((Transfer!AG101+Transfer!AG102+Transfer!AG103) - (Transfer!AF136+Transfer!AF137+Transfer!AF138))/Transfer!AF147)*100,(((Transfer!AG101+Transfer!AG102+Transfer!AG103) - (Transfer!AF101+Transfer!AF102+Transfer!AF103))/Transfer!AF112)*100)</f>
        <v>4.2842973012031917</v>
      </c>
      <c r="AS75" s="82"/>
      <c r="AT75" s="150"/>
      <c r="AU75" s="135"/>
      <c r="AV75" s="135"/>
      <c r="AW75" s="45"/>
      <c r="AX75" s="54"/>
      <c r="AY75" s="54"/>
      <c r="AZ75" s="54"/>
      <c r="BA75" s="1988" t="s">
        <v>305</v>
      </c>
      <c r="BB75" s="54"/>
      <c r="BC75" s="54"/>
    </row>
    <row r="76" spans="1:55">
      <c r="A76" s="45"/>
      <c r="B76" s="1665"/>
      <c r="C76" s="2432" t="s">
        <v>537</v>
      </c>
      <c r="D76" s="2433"/>
      <c r="E76" s="2434" t="s">
        <v>1837</v>
      </c>
      <c r="F76" s="2435" t="s">
        <v>276</v>
      </c>
      <c r="G76" s="2435">
        <f ca="1">IF(Transfer!$C$280=1,((Transfer!D107 - Transfer!C142)/Transfer!C147)*100,((Transfer!D107 - Transfer!C107)/Transfer!C112)*100)</f>
        <v>-0.80797158913461642</v>
      </c>
      <c r="H76" s="2435">
        <f ca="1">IF(Transfer!$C$280=1,((Transfer!E107 - Transfer!D142)/Transfer!D147)*100,((Transfer!E107 - Transfer!D107)/Transfer!D112)*100)</f>
        <v>0</v>
      </c>
      <c r="I76" s="2435">
        <f ca="1">IF(Transfer!$C$280=1,((Transfer!F107 - Transfer!E142)/Transfer!E147)*100,((Transfer!F107 - Transfer!E107)/Transfer!E112)*100)</f>
        <v>0</v>
      </c>
      <c r="J76" s="1669">
        <f ca="1">IF(Transfer!$C$280=1,((Transfer!G107 - Transfer!F142)/Transfer!F147)*100,((Transfer!G107 - Transfer!F107)/Transfer!F112)*100)</f>
        <v>0</v>
      </c>
      <c r="K76" s="2368"/>
      <c r="L76" s="150"/>
      <c r="M76" s="135"/>
      <c r="N76" s="135"/>
      <c r="O76" s="45"/>
      <c r="P76" s="54"/>
      <c r="Q76" s="54"/>
      <c r="R76" s="54"/>
      <c r="S76" s="60"/>
      <c r="T76" s="180" t="s">
        <v>537</v>
      </c>
      <c r="U76" s="49"/>
      <c r="V76" s="181" t="s">
        <v>1837</v>
      </c>
      <c r="W76" s="91" t="e">
        <f t="shared" si="6"/>
        <v>#VALUE!</v>
      </c>
      <c r="X76" s="91">
        <f t="shared" ca="1" si="6"/>
        <v>1.7</v>
      </c>
      <c r="Y76" s="91">
        <f t="shared" ca="1" si="6"/>
        <v>0</v>
      </c>
      <c r="Z76" s="91">
        <f t="shared" ca="1" si="6"/>
        <v>0</v>
      </c>
      <c r="AA76" s="93">
        <f t="shared" ca="1" si="6"/>
        <v>0</v>
      </c>
      <c r="AB76" s="82"/>
      <c r="AC76" s="54"/>
      <c r="AD76" s="54"/>
      <c r="AE76" s="54"/>
      <c r="AF76" s="54"/>
      <c r="AG76" s="54"/>
      <c r="AH76" s="54"/>
      <c r="AI76" s="45"/>
      <c r="AJ76" s="60"/>
      <c r="AK76" s="2134" t="s">
        <v>537</v>
      </c>
      <c r="AL76" s="2135"/>
      <c r="AM76" s="2136" t="s">
        <v>1837</v>
      </c>
      <c r="AN76" s="2102" t="s">
        <v>276</v>
      </c>
      <c r="AO76" s="2102">
        <f>IF(Transfer!$C$280=1,((Transfer!AD107 - Transfer!AC142)/Transfer!AC147)*100,((Transfer!AD107 - Transfer!AC107)/Transfer!AC112)*100)</f>
        <v>-2.4661804846873978</v>
      </c>
      <c r="AP76" s="2102">
        <f>IF(Transfer!$C$280=1,((Transfer!AE107 - Transfer!AD142)/Transfer!AD147)*100,((Transfer!AE107 - Transfer!AD107)/Transfer!AD112)*100)</f>
        <v>0</v>
      </c>
      <c r="AQ76" s="2102">
        <f>IF(Transfer!$C$280=1,((Transfer!AF107 - Transfer!AE142)/Transfer!AE147)*100,((Transfer!AF107 - Transfer!AE107)/Transfer!AE112)*100)</f>
        <v>0</v>
      </c>
      <c r="AR76" s="2101">
        <f>IF(Transfer!$C$280=1,((Transfer!AG107 - Transfer!AF142)/Transfer!AF147)*100,((Transfer!AG107 - Transfer!AF107)/Transfer!AF112)*100)</f>
        <v>0</v>
      </c>
      <c r="AS76" s="82"/>
      <c r="AT76" s="150"/>
      <c r="AU76" s="135"/>
      <c r="AV76" s="135"/>
      <c r="AW76" s="45"/>
      <c r="AX76" s="54"/>
      <c r="AY76" s="54"/>
      <c r="AZ76" s="54"/>
      <c r="BA76" s="1989" t="s">
        <v>306</v>
      </c>
      <c r="BB76" s="54"/>
      <c r="BC76" s="54"/>
    </row>
    <row r="77" spans="1:55" ht="13.5" thickBot="1">
      <c r="A77" s="45"/>
      <c r="B77" s="1665"/>
      <c r="C77" s="2438" t="s">
        <v>538</v>
      </c>
      <c r="D77" s="2439"/>
      <c r="E77" s="2440" t="s">
        <v>1393</v>
      </c>
      <c r="F77" s="2441" t="s">
        <v>276</v>
      </c>
      <c r="G77" s="2441">
        <f ca="1">IF(Transfer!$C$280=1,(((Transfer!D108+Transfer!D109-Transfer!D110-Transfer!D111) - (Transfer!C143+Transfer!C144-Transfer!C145-Transfer!C146)) / Transfer!C147)*100,(((Transfer!D108+Transfer!D109-Transfer!D110-Transfer!D111) - (Transfer!C108+Transfer!C109-Transfer!C110-Transfer!C111)) / Transfer!C112)*100)</f>
        <v>-7.2401195396681717E-2</v>
      </c>
      <c r="H77" s="2441">
        <f ca="1">IF(Transfer!$C$280=1,(((Transfer!E108+Transfer!E109-Transfer!E110-Transfer!E111) - (Transfer!D143+Transfer!D144-Transfer!D145-Transfer!D146)) / Transfer!D147)*100,(((Transfer!E108+Transfer!E109-Transfer!E110-Transfer!E111) - (Transfer!D108+Transfer!D109-Transfer!D110-Transfer!D111)) / Transfer!D112)*100)</f>
        <v>0.48292112561361816</v>
      </c>
      <c r="I77" s="2441">
        <f ca="1">IF(Transfer!$C$280=1,(((Transfer!F108+Transfer!F109-Transfer!F110-Transfer!F111) - (Transfer!E143+Transfer!E144-Transfer!E145-Transfer!E146)) / Transfer!E147)*100,(((Transfer!F108+Transfer!F109-Transfer!F110-Transfer!F111) - (Transfer!E108+Transfer!E109-Transfer!E110-Transfer!E111)) / Transfer!E112)*100)</f>
        <v>-0.67014654096356385</v>
      </c>
      <c r="J77" s="2442">
        <f ca="1">IF(Transfer!$C$280=1,(((Transfer!G108+Transfer!G109-Transfer!G110-Transfer!G111) - (Transfer!F143+Transfer!F144-Transfer!F145-Transfer!F146)) / Transfer!F147)*100,(((Transfer!G108+Transfer!G109-Transfer!G110-Transfer!G111) - (Transfer!F108+Transfer!F109-Transfer!F110-Transfer!F111)) / Transfer!F112)*100)</f>
        <v>-0.54644546145823425</v>
      </c>
      <c r="K77" s="2368"/>
      <c r="L77" s="150"/>
      <c r="M77" s="135"/>
      <c r="N77" s="135"/>
      <c r="O77" s="45"/>
      <c r="P77" s="54"/>
      <c r="Q77" s="54"/>
      <c r="R77" s="54"/>
      <c r="S77" s="60"/>
      <c r="T77" s="182" t="s">
        <v>538</v>
      </c>
      <c r="U77" s="183"/>
      <c r="V77" s="184" t="s">
        <v>1393</v>
      </c>
      <c r="W77" s="405" t="e">
        <f t="shared" si="6"/>
        <v>#VALUE!</v>
      </c>
      <c r="X77" s="405">
        <f t="shared" ca="1" si="6"/>
        <v>-4.3</v>
      </c>
      <c r="Y77" s="405">
        <f t="shared" ca="1" si="6"/>
        <v>0.6</v>
      </c>
      <c r="Z77" s="405">
        <f t="shared" ca="1" si="6"/>
        <v>-0.39999999999999997</v>
      </c>
      <c r="AA77" s="112">
        <f t="shared" ca="1" si="6"/>
        <v>-9.9999999999999978E-2</v>
      </c>
      <c r="AB77" s="82"/>
      <c r="AC77" s="54"/>
      <c r="AD77" s="54"/>
      <c r="AE77" s="54"/>
      <c r="AF77" s="54"/>
      <c r="AG77" s="54"/>
      <c r="AH77" s="54"/>
      <c r="AI77" s="45"/>
      <c r="AJ77" s="60"/>
      <c r="AK77" s="2137" t="s">
        <v>538</v>
      </c>
      <c r="AL77" s="2138"/>
      <c r="AM77" s="2139" t="s">
        <v>1393</v>
      </c>
      <c r="AN77" s="2103" t="s">
        <v>276</v>
      </c>
      <c r="AO77" s="2103">
        <f>IF(Transfer!$C$280=1,(((Transfer!AD108+Transfer!AD109-Transfer!AD110-Transfer!AD111) - (Transfer!AC143+Transfer!AC144-Transfer!AC145-Transfer!AC146)) / Transfer!AC147)*100,(((Transfer!AD108+Transfer!AD109-Transfer!AD110-Transfer!AD111) - (Transfer!AC108+Transfer!AC109-Transfer!AC110-Transfer!AC111)) / Transfer!AC112)*100)</f>
        <v>4.1916157437749542</v>
      </c>
      <c r="AP77" s="2103">
        <f>IF(Transfer!$C$280=1,(((Transfer!AE108+Transfer!AE109-Transfer!AE110-Transfer!AE111) - (Transfer!AD143+Transfer!AD144-Transfer!AD145-Transfer!AD146)) / Transfer!AD147)*100,(((Transfer!AE108+Transfer!AE109-Transfer!AE110-Transfer!AE111) - (Transfer!AD108+Transfer!AD109-Transfer!AD110-Transfer!AD111)) / Transfer!AD112)*100)</f>
        <v>-0.13145805106093536</v>
      </c>
      <c r="AQ77" s="2103">
        <f>IF(Transfer!$C$280=1,(((Transfer!AF108+Transfer!AF109-Transfer!AF110-Transfer!AF111) - (Transfer!AE143+Transfer!AE144-Transfer!AE145-Transfer!AE146)) / Transfer!AE147)*100,(((Transfer!AF108+Transfer!AF109-Transfer!AF110-Transfer!AF111) - (Transfer!AE108+Transfer!AE109-Transfer!AE110-Transfer!AE111)) / Transfer!AE112)*100)</f>
        <v>-0.27348031773578924</v>
      </c>
      <c r="AR77" s="2105">
        <f>IF(Transfer!$C$280=1,(((Transfer!AG108+Transfer!AG109-Transfer!AG110-Transfer!AG111) - (Transfer!AF143+Transfer!AF144-Transfer!AF145-Transfer!AF146)) / Transfer!AF147)*100,(((Transfer!AG108+Transfer!AG109-Transfer!AG110-Transfer!AG111) - (Transfer!AF108+Transfer!AF109-Transfer!AF110-Transfer!AF111)) / Transfer!AF112)*100)</f>
        <v>-0.36032251241223912</v>
      </c>
      <c r="AS77" s="82"/>
      <c r="AT77" s="150"/>
      <c r="AU77" s="135"/>
      <c r="AV77" s="135"/>
      <c r="AW77" s="45"/>
      <c r="AX77" s="54"/>
      <c r="AY77" s="54"/>
      <c r="AZ77" s="54"/>
      <c r="BA77" s="1990" t="s">
        <v>307</v>
      </c>
      <c r="BB77" s="54"/>
      <c r="BC77" s="54"/>
    </row>
    <row r="78" spans="1:55">
      <c r="A78" s="45"/>
      <c r="B78" s="1701"/>
      <c r="C78" s="2399"/>
      <c r="D78" s="2399"/>
      <c r="E78" s="2399"/>
      <c r="F78" s="2399"/>
      <c r="G78" s="2399"/>
      <c r="H78" s="2776"/>
      <c r="I78" s="2399"/>
      <c r="J78" s="2400" t="str">
        <f>UPPER(Country)</f>
        <v>LITHUANIA</v>
      </c>
      <c r="K78" s="1702"/>
      <c r="L78" s="54"/>
      <c r="M78" s="135"/>
      <c r="N78" s="135"/>
      <c r="O78" s="45"/>
      <c r="P78" s="54"/>
      <c r="Q78" s="54"/>
      <c r="R78" s="54"/>
      <c r="S78" s="114"/>
      <c r="T78" s="116"/>
      <c r="U78" s="116"/>
      <c r="V78" s="116"/>
      <c r="W78" s="116"/>
      <c r="X78" s="116"/>
      <c r="Y78" s="117"/>
      <c r="Z78" s="116"/>
      <c r="AA78" s="118" t="str">
        <f>UPPER(Country)</f>
        <v>LITHUANIA</v>
      </c>
      <c r="AB78" s="119"/>
      <c r="AC78" s="54"/>
      <c r="AD78" s="54"/>
      <c r="AE78" s="54"/>
      <c r="AF78" s="54"/>
      <c r="AG78" s="54"/>
      <c r="AH78" s="54"/>
      <c r="AI78" s="45"/>
      <c r="AJ78" s="114"/>
      <c r="AK78" s="116"/>
      <c r="AL78" s="116"/>
      <c r="AM78" s="116"/>
      <c r="AN78" s="116"/>
      <c r="AO78" s="116"/>
      <c r="AP78" s="117"/>
      <c r="AQ78" s="116"/>
      <c r="AR78" s="118" t="str">
        <f>UPPER(Country)</f>
        <v>LITHUANIA</v>
      </c>
      <c r="AS78" s="119"/>
      <c r="AT78" s="54"/>
      <c r="AU78" s="135"/>
      <c r="AV78" s="135"/>
      <c r="AW78" s="45"/>
      <c r="AX78" s="54"/>
      <c r="AY78" s="54"/>
      <c r="AZ78" s="54"/>
      <c r="BA78" s="54"/>
      <c r="BB78" s="54"/>
      <c r="BC78" s="54"/>
    </row>
    <row r="79" spans="1:55">
      <c r="A79" s="45"/>
      <c r="B79" s="45"/>
      <c r="C79" s="185"/>
      <c r="D79" s="185"/>
      <c r="E79" s="186"/>
      <c r="F79" s="186"/>
      <c r="G79" s="186"/>
      <c r="H79" s="186"/>
      <c r="I79" s="186"/>
      <c r="J79" s="186"/>
      <c r="K79" s="50"/>
      <c r="L79" s="54"/>
      <c r="M79" s="135"/>
      <c r="N79" s="135"/>
      <c r="O79" s="45"/>
      <c r="P79" s="54"/>
      <c r="Q79" s="54"/>
      <c r="R79" s="54"/>
      <c r="S79" s="54"/>
      <c r="T79" s="54"/>
      <c r="U79" s="54"/>
      <c r="V79" s="54"/>
      <c r="W79" s="54"/>
      <c r="X79" s="54"/>
      <c r="Y79" s="54"/>
      <c r="Z79" s="54"/>
      <c r="AA79" s="54"/>
      <c r="AB79" s="54"/>
      <c r="AC79" s="54"/>
      <c r="AD79" s="54"/>
      <c r="AE79" s="54"/>
      <c r="AF79" s="54"/>
      <c r="AG79" s="54"/>
      <c r="AH79" s="54"/>
      <c r="AI79" s="45"/>
      <c r="AJ79" s="45"/>
      <c r="AK79" s="185"/>
      <c r="AL79" s="185"/>
      <c r="AM79" s="186"/>
      <c r="AN79" s="186"/>
      <c r="AO79" s="186"/>
      <c r="AP79" s="186"/>
      <c r="AQ79" s="186"/>
      <c r="AR79" s="186"/>
      <c r="AS79" s="50"/>
      <c r="AT79" s="54"/>
      <c r="AU79" s="135"/>
      <c r="AV79" s="135"/>
      <c r="AW79" s="45"/>
      <c r="AX79" s="54"/>
      <c r="AY79" s="54"/>
      <c r="AZ79" s="54"/>
      <c r="BA79" s="54"/>
      <c r="BB79" s="54"/>
      <c r="BC79" s="54"/>
    </row>
    <row r="80" spans="1:55">
      <c r="A80" s="45"/>
      <c r="B80" s="45"/>
      <c r="C80" s="54"/>
      <c r="D80" s="54"/>
      <c r="E80" s="54"/>
      <c r="F80" s="54"/>
      <c r="G80" s="54"/>
      <c r="H80" s="54"/>
      <c r="I80" s="54"/>
      <c r="J80" s="54"/>
      <c r="K80" s="54"/>
      <c r="L80" s="54"/>
      <c r="M80" s="135"/>
      <c r="N80" s="135"/>
      <c r="O80" s="45"/>
      <c r="P80" s="54"/>
      <c r="Q80" s="54"/>
      <c r="R80" s="54"/>
      <c r="S80" s="54"/>
      <c r="T80" s="54"/>
      <c r="U80" s="54"/>
      <c r="V80" s="54"/>
      <c r="W80" s="54"/>
      <c r="X80" s="54"/>
      <c r="Y80" s="54"/>
      <c r="Z80" s="54"/>
      <c r="AA80" s="54"/>
      <c r="AB80" s="54"/>
      <c r="AC80" s="54"/>
      <c r="AD80" s="54"/>
      <c r="AE80" s="54"/>
      <c r="AF80" s="54"/>
      <c r="AG80" s="54"/>
      <c r="AH80" s="54"/>
      <c r="AI80" s="45"/>
      <c r="AJ80" s="45"/>
      <c r="AK80" s="54"/>
      <c r="AL80" s="54"/>
      <c r="AM80" s="54"/>
      <c r="AN80" s="54"/>
      <c r="AO80" s="54"/>
      <c r="AP80" s="54"/>
      <c r="AQ80" s="54"/>
      <c r="AR80" s="54"/>
      <c r="AS80" s="54"/>
      <c r="AT80" s="54"/>
      <c r="AU80" s="135"/>
      <c r="AV80" s="135"/>
      <c r="AW80" s="45"/>
      <c r="AX80" s="54"/>
      <c r="AY80" s="54"/>
      <c r="AZ80" s="54"/>
      <c r="BA80" s="54"/>
      <c r="BB80" s="54"/>
      <c r="BC80" s="54"/>
    </row>
    <row r="81" spans="1:55">
      <c r="A81" s="45"/>
      <c r="B81" s="45"/>
      <c r="C81" s="54"/>
      <c r="D81" s="54"/>
      <c r="E81" s="54"/>
      <c r="F81" s="54"/>
      <c r="G81" s="54"/>
      <c r="H81" s="54"/>
      <c r="I81" s="54"/>
      <c r="J81" s="54"/>
      <c r="K81" s="54"/>
      <c r="L81" s="54"/>
      <c r="M81" s="135"/>
      <c r="N81" s="135"/>
      <c r="O81" s="45"/>
      <c r="P81" s="54"/>
      <c r="Q81" s="54"/>
      <c r="R81" s="54"/>
      <c r="S81" s="54"/>
      <c r="T81" s="54"/>
      <c r="U81" s="54"/>
      <c r="V81" s="54"/>
      <c r="W81" s="54"/>
      <c r="X81" s="54"/>
      <c r="Y81" s="54"/>
      <c r="Z81" s="54"/>
      <c r="AA81" s="54"/>
      <c r="AB81" s="54"/>
      <c r="AC81" s="54"/>
      <c r="AD81" s="54"/>
      <c r="AE81" s="54"/>
      <c r="AF81" s="54"/>
      <c r="AG81" s="54"/>
      <c r="AH81" s="54"/>
      <c r="AI81" s="45"/>
      <c r="AJ81" s="45"/>
      <c r="AK81" s="54"/>
      <c r="AL81" s="54"/>
      <c r="AM81" s="54"/>
      <c r="AN81" s="54"/>
      <c r="AO81" s="54"/>
      <c r="AP81" s="54"/>
      <c r="AQ81" s="54"/>
      <c r="AR81" s="54"/>
      <c r="AS81" s="54"/>
      <c r="AT81" s="54"/>
      <c r="AU81" s="135"/>
      <c r="AV81" s="135"/>
      <c r="AW81" s="45"/>
      <c r="AX81" s="54"/>
      <c r="AY81" s="54"/>
      <c r="AZ81" s="54"/>
      <c r="BA81" s="54"/>
      <c r="BB81" s="54"/>
      <c r="BC81" s="54"/>
    </row>
    <row r="82" spans="1:55">
      <c r="A82" s="45"/>
      <c r="B82" s="45"/>
      <c r="C82" s="54"/>
      <c r="D82" s="54"/>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45"/>
      <c r="AJ82" s="45"/>
      <c r="AK82" s="54"/>
      <c r="AL82" s="54"/>
      <c r="AM82" s="54"/>
      <c r="AN82" s="54"/>
      <c r="AO82" s="54"/>
      <c r="AP82" s="54"/>
      <c r="AQ82" s="54"/>
      <c r="AR82" s="54"/>
      <c r="AS82" s="54"/>
      <c r="AT82" s="54"/>
      <c r="AU82" s="54"/>
      <c r="AV82" s="54"/>
      <c r="AW82" s="54"/>
      <c r="AX82" s="54"/>
      <c r="AY82" s="54"/>
      <c r="AZ82" s="54"/>
      <c r="BA82" s="54"/>
      <c r="BB82" s="54"/>
      <c r="BC82" s="54"/>
    </row>
    <row r="83" spans="1:55">
      <c r="A83" s="45"/>
      <c r="B83" s="45"/>
      <c r="C83" s="54"/>
      <c r="D83" s="54"/>
      <c r="E83" s="54"/>
      <c r="F83" s="54"/>
      <c r="G83" s="54"/>
      <c r="H83" s="54"/>
      <c r="I83" s="54"/>
      <c r="J83" s="54"/>
      <c r="K83" s="54"/>
      <c r="L83" s="54"/>
      <c r="M83" s="54"/>
      <c r="N83" s="54"/>
      <c r="O83" s="54"/>
      <c r="P83" s="54"/>
      <c r="Q83" s="54"/>
      <c r="R83" s="54"/>
      <c r="S83" s="54"/>
      <c r="T83" s="54"/>
      <c r="U83" s="54"/>
      <c r="V83" s="54"/>
      <c r="W83" s="54"/>
      <c r="X83" s="54"/>
      <c r="Y83" s="54"/>
      <c r="Z83" s="54"/>
      <c r="AA83" s="54"/>
      <c r="AB83" s="54"/>
      <c r="AC83" s="54"/>
      <c r="AD83" s="54"/>
      <c r="AE83" s="54"/>
      <c r="AF83" s="54"/>
      <c r="AG83" s="54"/>
      <c r="AH83" s="54"/>
      <c r="AI83" s="45"/>
      <c r="AJ83" s="45"/>
      <c r="AK83" s="54"/>
      <c r="AL83" s="54"/>
      <c r="AM83" s="54"/>
      <c r="AN83" s="54"/>
      <c r="AO83" s="54"/>
      <c r="AP83" s="54"/>
      <c r="AQ83" s="54"/>
      <c r="AR83" s="54"/>
      <c r="AS83" s="54"/>
      <c r="AT83" s="54"/>
      <c r="AU83" s="54"/>
      <c r="AV83" s="54"/>
      <c r="AW83" s="54"/>
      <c r="AX83" s="54"/>
      <c r="AY83" s="54"/>
      <c r="AZ83" s="54"/>
      <c r="BA83" s="54"/>
      <c r="BB83" s="54"/>
      <c r="BC83" s="54"/>
    </row>
    <row r="84" spans="1:55" ht="14.25" customHeight="1">
      <c r="A84" s="45"/>
      <c r="B84" s="45"/>
      <c r="C84" s="45"/>
      <c r="D84" s="54"/>
      <c r="E84" s="54"/>
      <c r="F84" s="54"/>
      <c r="G84" s="54"/>
      <c r="H84" s="54"/>
      <c r="I84" s="54"/>
      <c r="J84" s="54"/>
      <c r="K84" s="54"/>
      <c r="L84" s="54"/>
      <c r="M84" s="54"/>
      <c r="N84" s="45"/>
      <c r="O84" s="45"/>
      <c r="P84" s="54"/>
      <c r="Q84" s="54"/>
      <c r="R84" s="54"/>
      <c r="S84" s="54"/>
      <c r="T84" s="54"/>
      <c r="U84" s="54"/>
      <c r="V84" s="54"/>
      <c r="W84" s="54"/>
      <c r="X84" s="54"/>
      <c r="Y84" s="54"/>
      <c r="Z84" s="54"/>
      <c r="AA84" s="54"/>
      <c r="AB84" s="54"/>
      <c r="AC84" s="54"/>
      <c r="AD84" s="54"/>
      <c r="AE84" s="54"/>
      <c r="AF84" s="54"/>
      <c r="AG84" s="54"/>
      <c r="AH84" s="54"/>
      <c r="AI84" s="45"/>
      <c r="AJ84" s="45"/>
      <c r="AK84" s="45"/>
      <c r="AL84" s="54"/>
      <c r="AM84" s="54"/>
      <c r="AN84" s="54"/>
      <c r="AO84" s="54"/>
      <c r="AP84" s="54"/>
      <c r="AQ84" s="54"/>
      <c r="AR84" s="54"/>
      <c r="AS84" s="54"/>
      <c r="AT84" s="54"/>
      <c r="AU84" s="54"/>
      <c r="AV84" s="45"/>
      <c r="AW84" s="45"/>
      <c r="AX84" s="54"/>
      <c r="AY84" s="54"/>
      <c r="AZ84" s="54"/>
      <c r="BA84" s="54"/>
      <c r="BB84" s="54"/>
      <c r="BC84" s="54"/>
    </row>
    <row r="85" spans="1:55">
      <c r="A85" s="45"/>
      <c r="B85" s="45"/>
      <c r="C85" s="45"/>
      <c r="D85" s="54"/>
      <c r="E85" s="54"/>
      <c r="F85" s="54"/>
      <c r="G85" s="54"/>
      <c r="H85" s="54"/>
      <c r="I85" s="54"/>
      <c r="J85" s="54"/>
      <c r="K85" s="54"/>
      <c r="L85" s="54"/>
      <c r="M85" s="54"/>
      <c r="N85" s="45"/>
      <c r="O85" s="45"/>
      <c r="P85" s="54"/>
      <c r="Q85" s="54"/>
      <c r="R85" s="54"/>
      <c r="S85" s="54"/>
      <c r="T85" s="54"/>
      <c r="U85" s="54"/>
      <c r="V85" s="54"/>
      <c r="W85" s="54"/>
      <c r="X85" s="54"/>
      <c r="Y85" s="54"/>
      <c r="Z85" s="54"/>
      <c r="AA85" s="54"/>
      <c r="AB85" s="54"/>
      <c r="AC85" s="54"/>
      <c r="AD85" s="54"/>
      <c r="AE85" s="54"/>
      <c r="AF85" s="54"/>
      <c r="AG85" s="54"/>
      <c r="AH85" s="54"/>
      <c r="AI85" s="45"/>
      <c r="AJ85" s="45"/>
      <c r="AK85" s="45"/>
      <c r="AL85" s="54"/>
      <c r="AM85" s="54"/>
      <c r="AN85" s="54"/>
      <c r="AO85" s="54"/>
      <c r="AP85" s="54"/>
      <c r="AQ85" s="54"/>
      <c r="AR85" s="54"/>
      <c r="AS85" s="54"/>
      <c r="AT85" s="54"/>
      <c r="AU85" s="54"/>
      <c r="AV85" s="45"/>
      <c r="AW85" s="45"/>
      <c r="AX85" s="54"/>
      <c r="AY85" s="54"/>
      <c r="AZ85" s="54"/>
      <c r="BA85" s="54"/>
      <c r="BB85" s="54"/>
      <c r="BC85" s="54"/>
    </row>
    <row r="86" spans="1:55">
      <c r="A86" s="45"/>
      <c r="B86" s="45"/>
      <c r="C86" s="45"/>
      <c r="D86" s="54"/>
      <c r="E86" s="54"/>
      <c r="F86" s="54"/>
      <c r="G86" s="54"/>
      <c r="H86" s="54"/>
      <c r="I86" s="54"/>
      <c r="J86" s="54"/>
      <c r="K86" s="54"/>
      <c r="L86" s="54"/>
      <c r="M86" s="54"/>
      <c r="N86" s="45"/>
      <c r="O86" s="45"/>
      <c r="P86" s="54"/>
      <c r="Q86" s="54"/>
      <c r="R86" s="54"/>
      <c r="S86" s="54"/>
      <c r="T86" s="54"/>
      <c r="U86" s="54"/>
      <c r="V86" s="54"/>
      <c r="W86" s="54"/>
      <c r="X86" s="54"/>
      <c r="Y86" s="54"/>
      <c r="Z86" s="54"/>
      <c r="AA86" s="54"/>
      <c r="AB86" s="54"/>
      <c r="AC86" s="54"/>
      <c r="AD86" s="54"/>
      <c r="AE86" s="54"/>
      <c r="AF86" s="54"/>
      <c r="AG86" s="54"/>
      <c r="AH86" s="54"/>
      <c r="AI86" s="45"/>
      <c r="AJ86" s="45"/>
      <c r="AK86" s="45"/>
      <c r="AL86" s="54"/>
      <c r="AM86" s="54"/>
      <c r="AN86" s="54"/>
      <c r="AO86" s="54"/>
      <c r="AP86" s="54"/>
      <c r="AQ86" s="54"/>
      <c r="AR86" s="54"/>
      <c r="AS86" s="54"/>
      <c r="AT86" s="54"/>
      <c r="AU86" s="54"/>
      <c r="AV86" s="45"/>
      <c r="AW86" s="45"/>
      <c r="AX86" s="54"/>
      <c r="AY86" s="54"/>
      <c r="AZ86" s="54"/>
      <c r="BA86" s="54"/>
      <c r="BB86" s="54"/>
      <c r="BC86" s="54"/>
    </row>
    <row r="87" spans="1:55">
      <c r="A87" s="45"/>
      <c r="B87" s="45"/>
      <c r="C87" s="45"/>
      <c r="D87" s="45"/>
      <c r="E87" s="45"/>
      <c r="F87" s="45"/>
      <c r="G87" s="45"/>
      <c r="H87" s="45"/>
      <c r="I87" s="45"/>
      <c r="J87" s="45"/>
      <c r="K87" s="187"/>
      <c r="L87" s="45"/>
      <c r="M87" s="45"/>
      <c r="N87" s="45"/>
      <c r="O87" s="45"/>
      <c r="P87" s="54"/>
      <c r="Q87" s="54"/>
      <c r="R87" s="54"/>
      <c r="S87" s="54"/>
      <c r="T87" s="54"/>
      <c r="U87" s="54"/>
      <c r="V87" s="54"/>
      <c r="W87" s="54"/>
      <c r="X87" s="54"/>
      <c r="Y87" s="54"/>
      <c r="Z87" s="54"/>
      <c r="AA87" s="54"/>
      <c r="AB87" s="54"/>
      <c r="AC87" s="54"/>
      <c r="AD87" s="54"/>
      <c r="AE87" s="54"/>
      <c r="AF87" s="54"/>
      <c r="AG87" s="54"/>
      <c r="AH87" s="54"/>
      <c r="AI87" s="45"/>
      <c r="AJ87" s="45"/>
      <c r="AK87" s="45"/>
      <c r="AL87" s="45"/>
      <c r="AM87" s="45"/>
      <c r="AN87" s="45"/>
      <c r="AO87" s="45"/>
      <c r="AP87" s="45"/>
      <c r="AQ87" s="45"/>
      <c r="AR87" s="45"/>
      <c r="AS87" s="187"/>
      <c r="AT87" s="45"/>
      <c r="AU87" s="45"/>
      <c r="AV87" s="45"/>
      <c r="AW87" s="45"/>
      <c r="AX87" s="54"/>
      <c r="AY87" s="54"/>
      <c r="AZ87" s="54"/>
      <c r="BA87" s="54"/>
      <c r="BB87" s="54"/>
      <c r="BC87" s="54"/>
    </row>
    <row r="88" spans="1:55">
      <c r="A88" s="45"/>
      <c r="B88" s="45"/>
      <c r="C88" s="45"/>
      <c r="D88" s="45"/>
      <c r="E88" s="45"/>
      <c r="F88" s="45"/>
      <c r="G88" s="45"/>
      <c r="H88" s="45"/>
      <c r="I88" s="45"/>
      <c r="J88" s="45"/>
      <c r="K88" s="54"/>
      <c r="L88" s="45"/>
      <c r="M88" s="45"/>
      <c r="N88" s="45"/>
      <c r="O88" s="45"/>
      <c r="P88" s="54"/>
      <c r="Q88" s="54"/>
      <c r="R88" s="54"/>
      <c r="S88" s="54"/>
      <c r="T88" s="54"/>
      <c r="U88" s="54"/>
      <c r="V88" s="54"/>
      <c r="W88" s="54"/>
      <c r="X88" s="54"/>
      <c r="Y88" s="54"/>
      <c r="Z88" s="54"/>
      <c r="AA88" s="54"/>
      <c r="AB88" s="54"/>
      <c r="AC88" s="54"/>
      <c r="AD88" s="54"/>
      <c r="AE88" s="54"/>
      <c r="AF88" s="54"/>
      <c r="AG88" s="54"/>
      <c r="AH88" s="54"/>
      <c r="AI88" s="45"/>
      <c r="AJ88" s="45"/>
      <c r="AK88" s="45"/>
      <c r="AL88" s="45"/>
      <c r="AM88" s="45"/>
      <c r="AN88" s="45"/>
      <c r="AO88" s="45"/>
      <c r="AP88" s="45"/>
      <c r="AQ88" s="45"/>
      <c r="AR88" s="45"/>
      <c r="AS88" s="54"/>
      <c r="AT88" s="45"/>
      <c r="AU88" s="45"/>
      <c r="AV88" s="45"/>
      <c r="AW88" s="45"/>
      <c r="AX88" s="54"/>
      <c r="AY88" s="54"/>
      <c r="AZ88" s="54"/>
      <c r="BA88" s="54"/>
      <c r="BB88" s="54"/>
      <c r="BC88" s="54"/>
    </row>
    <row r="89" spans="1:55">
      <c r="A89" s="45"/>
      <c r="B89" s="45"/>
      <c r="C89" s="45"/>
      <c r="D89" s="45"/>
      <c r="E89" s="45"/>
      <c r="F89" s="45"/>
      <c r="G89" s="45"/>
      <c r="H89" s="45"/>
      <c r="I89" s="45"/>
      <c r="J89" s="45"/>
      <c r="K89" s="45"/>
      <c r="L89" s="45"/>
      <c r="M89" s="45"/>
      <c r="N89" s="45"/>
      <c r="O89" s="45"/>
      <c r="P89" s="54"/>
      <c r="Q89" s="54"/>
      <c r="R89" s="54"/>
      <c r="S89" s="54"/>
      <c r="T89" s="54"/>
      <c r="U89" s="54"/>
      <c r="V89" s="54"/>
      <c r="W89" s="54"/>
      <c r="X89" s="54"/>
      <c r="Y89" s="54"/>
      <c r="Z89" s="54"/>
      <c r="AA89" s="54"/>
      <c r="AB89" s="54"/>
      <c r="AC89" s="54"/>
      <c r="AD89" s="54"/>
      <c r="AE89" s="54"/>
      <c r="AF89" s="54"/>
      <c r="AG89" s="54"/>
      <c r="AH89" s="54"/>
      <c r="AI89" s="45"/>
      <c r="AJ89" s="45"/>
      <c r="AK89" s="45"/>
      <c r="AL89" s="45"/>
      <c r="AM89" s="45"/>
      <c r="AN89" s="45"/>
      <c r="AO89" s="45"/>
      <c r="AP89" s="45"/>
      <c r="AQ89" s="45"/>
      <c r="AR89" s="45"/>
      <c r="AS89" s="45"/>
      <c r="AT89" s="45"/>
      <c r="AU89" s="45"/>
      <c r="AV89" s="45"/>
      <c r="AW89" s="45"/>
      <c r="AX89" s="54"/>
      <c r="AY89" s="54"/>
      <c r="AZ89" s="54"/>
      <c r="BA89" s="54"/>
      <c r="BB89" s="54"/>
      <c r="BC89" s="54"/>
    </row>
    <row r="90" spans="1:55">
      <c r="A90" s="45"/>
      <c r="B90" s="45"/>
      <c r="C90" s="45"/>
      <c r="D90" s="45"/>
      <c r="E90" s="45"/>
      <c r="F90" s="45"/>
      <c r="G90" s="45"/>
      <c r="H90" s="45"/>
      <c r="I90" s="45"/>
      <c r="J90" s="45"/>
      <c r="K90" s="45"/>
      <c r="L90" s="45"/>
      <c r="M90" s="45"/>
      <c r="N90" s="45"/>
      <c r="O90" s="45"/>
      <c r="P90" s="54"/>
      <c r="Q90" s="54"/>
      <c r="R90" s="54"/>
      <c r="S90" s="54"/>
      <c r="T90" s="54"/>
      <c r="U90" s="54"/>
      <c r="V90" s="54"/>
      <c r="W90" s="54"/>
      <c r="X90" s="54"/>
      <c r="Y90" s="54"/>
      <c r="Z90" s="54"/>
      <c r="AA90" s="54"/>
      <c r="AB90" s="54"/>
      <c r="AC90" s="54"/>
      <c r="AD90" s="54"/>
      <c r="AE90" s="54"/>
      <c r="AF90" s="54"/>
      <c r="AG90" s="54"/>
      <c r="AH90" s="54"/>
      <c r="AI90" s="45"/>
      <c r="AJ90" s="45"/>
      <c r="AK90" s="45"/>
      <c r="AL90" s="45"/>
      <c r="AM90" s="45"/>
      <c r="AN90" s="45"/>
      <c r="AO90" s="45"/>
      <c r="AP90" s="45"/>
      <c r="AQ90" s="45"/>
      <c r="AR90" s="45"/>
      <c r="AS90" s="45"/>
      <c r="AT90" s="45"/>
      <c r="AU90" s="45"/>
      <c r="AV90" s="45"/>
      <c r="AW90" s="45"/>
      <c r="AX90" s="54"/>
      <c r="AY90" s="54"/>
      <c r="AZ90" s="54"/>
      <c r="BA90" s="54"/>
      <c r="BB90" s="54"/>
      <c r="BC90" s="54"/>
    </row>
    <row r="91" spans="1:5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54"/>
      <c r="AD91" s="54"/>
      <c r="AE91" s="54"/>
      <c r="AF91" s="54"/>
      <c r="AG91" s="54"/>
      <c r="AH91" s="54"/>
      <c r="AI91" s="45"/>
      <c r="AJ91" s="45"/>
      <c r="AK91" s="45"/>
      <c r="AL91" s="45"/>
      <c r="AM91" s="45"/>
      <c r="AN91" s="45"/>
      <c r="AO91" s="45"/>
      <c r="AP91" s="45"/>
      <c r="AQ91" s="45"/>
      <c r="AR91" s="45"/>
      <c r="AS91" s="45"/>
      <c r="AT91" s="45"/>
      <c r="AU91" s="45"/>
      <c r="AV91" s="45"/>
      <c r="AW91" s="45"/>
      <c r="AX91" s="45"/>
      <c r="AY91" s="45"/>
      <c r="AZ91" s="54"/>
      <c r="BA91" s="45"/>
      <c r="BB91" s="54"/>
      <c r="BC91" s="54"/>
    </row>
    <row r="92" spans="1:55">
      <c r="A92" s="45"/>
      <c r="B92" s="2341" t="s">
        <v>1706</v>
      </c>
      <c r="C92" s="2342" t="s">
        <v>1394</v>
      </c>
      <c r="D92" s="2443"/>
      <c r="E92" s="2443"/>
      <c r="F92" s="2443"/>
      <c r="G92" s="2443"/>
      <c r="H92" s="2443"/>
      <c r="I92" s="2443"/>
      <c r="J92" s="2443"/>
      <c r="K92" s="2443"/>
      <c r="L92" s="2443"/>
      <c r="M92" s="2443"/>
      <c r="N92" s="2443"/>
      <c r="O92" s="2443"/>
      <c r="P92" s="2443"/>
      <c r="Q92" s="2444"/>
      <c r="R92" s="45"/>
      <c r="S92" s="188"/>
      <c r="T92" s="56" t="s">
        <v>1394</v>
      </c>
      <c r="U92" s="23"/>
      <c r="V92" s="23"/>
      <c r="W92" s="23"/>
      <c r="X92" s="23"/>
      <c r="Y92" s="23"/>
      <c r="Z92" s="23"/>
      <c r="AA92" s="23"/>
      <c r="AB92" s="23"/>
      <c r="AC92" s="23"/>
      <c r="AD92" s="23"/>
      <c r="AE92" s="23"/>
      <c r="AF92" s="23"/>
      <c r="AG92" s="23"/>
      <c r="AH92" s="189"/>
      <c r="AI92" s="45"/>
      <c r="AJ92" s="188"/>
      <c r="AK92" s="56" t="s">
        <v>1394</v>
      </c>
      <c r="AL92" s="23"/>
      <c r="AM92" s="23"/>
      <c r="AN92" s="23"/>
      <c r="AO92" s="23"/>
      <c r="AP92" s="23"/>
      <c r="AQ92" s="23"/>
      <c r="AR92" s="23"/>
      <c r="AS92" s="23"/>
      <c r="AT92" s="23"/>
      <c r="AU92" s="23"/>
      <c r="AV92" s="23"/>
      <c r="AW92" s="23"/>
      <c r="AX92" s="23"/>
      <c r="AY92" s="189"/>
      <c r="AZ92" s="54"/>
      <c r="BA92" s="45"/>
      <c r="BB92" s="54"/>
      <c r="BC92" s="54"/>
    </row>
    <row r="93" spans="1:55">
      <c r="A93" s="45"/>
      <c r="B93" s="1665"/>
      <c r="C93" s="3751" t="s">
        <v>1031</v>
      </c>
      <c r="D93" s="3751"/>
      <c r="E93" s="3751"/>
      <c r="F93" s="3751"/>
      <c r="G93" s="3751"/>
      <c r="H93" s="3751"/>
      <c r="I93" s="3751"/>
      <c r="J93" s="3751"/>
      <c r="K93" s="3751"/>
      <c r="L93" s="3751"/>
      <c r="M93" s="3751"/>
      <c r="N93" s="3751"/>
      <c r="O93" s="3751"/>
      <c r="P93" s="3751"/>
      <c r="Q93" s="1664"/>
      <c r="R93" s="45"/>
      <c r="S93" s="190"/>
      <c r="T93" s="3751" t="s">
        <v>1031</v>
      </c>
      <c r="U93" s="3751"/>
      <c r="V93" s="3751"/>
      <c r="W93" s="3751"/>
      <c r="X93" s="3751"/>
      <c r="Y93" s="3751"/>
      <c r="Z93" s="3751"/>
      <c r="AA93" s="3751"/>
      <c r="AB93" s="3751"/>
      <c r="AC93" s="3751"/>
      <c r="AD93" s="3751"/>
      <c r="AE93" s="3751"/>
      <c r="AF93" s="3751"/>
      <c r="AG93" s="3751"/>
      <c r="AH93" s="90"/>
      <c r="AI93" s="45"/>
      <c r="AJ93" s="190"/>
      <c r="AK93" s="3751" t="s">
        <v>1031</v>
      </c>
      <c r="AL93" s="3751"/>
      <c r="AM93" s="3751"/>
      <c r="AN93" s="3751"/>
      <c r="AO93" s="3751"/>
      <c r="AP93" s="3751"/>
      <c r="AQ93" s="3751"/>
      <c r="AR93" s="3751"/>
      <c r="AS93" s="3751"/>
      <c r="AT93" s="3751"/>
      <c r="AU93" s="3751"/>
      <c r="AV93" s="3751"/>
      <c r="AW93" s="3751"/>
      <c r="AX93" s="3751"/>
      <c r="AY93" s="90"/>
      <c r="AZ93" s="54"/>
      <c r="BA93" s="45"/>
      <c r="BB93" s="54"/>
      <c r="BC93" s="54"/>
    </row>
    <row r="94" spans="1:55">
      <c r="A94" s="45"/>
      <c r="B94" s="1665"/>
      <c r="C94" s="2445"/>
      <c r="D94" s="2445"/>
      <c r="E94" s="2445"/>
      <c r="F94" s="2445"/>
      <c r="G94" s="2445"/>
      <c r="H94" s="2445"/>
      <c r="I94" s="2445"/>
      <c r="J94" s="2445"/>
      <c r="K94" s="2445"/>
      <c r="L94" s="2445"/>
      <c r="M94" s="2445"/>
      <c r="N94" s="2445"/>
      <c r="O94" s="2445"/>
      <c r="P94" s="2445"/>
      <c r="Q94" s="1664"/>
      <c r="R94" s="45"/>
      <c r="S94" s="190"/>
      <c r="T94" s="1"/>
      <c r="U94" s="1"/>
      <c r="V94" s="1"/>
      <c r="W94" s="1"/>
      <c r="X94" s="1"/>
      <c r="Y94" s="1"/>
      <c r="Z94" s="1"/>
      <c r="AA94" s="1"/>
      <c r="AB94" s="1"/>
      <c r="AC94" s="1"/>
      <c r="AD94" s="1"/>
      <c r="AE94" s="1"/>
      <c r="AF94" s="1"/>
      <c r="AG94" s="1"/>
      <c r="AH94" s="90"/>
      <c r="AI94" s="45"/>
      <c r="AJ94" s="190"/>
      <c r="AK94" s="1"/>
      <c r="AL94" s="1"/>
      <c r="AM94" s="1"/>
      <c r="AN94" s="1"/>
      <c r="AO94" s="1"/>
      <c r="AP94" s="1"/>
      <c r="AQ94" s="1"/>
      <c r="AR94" s="1"/>
      <c r="AS94" s="1"/>
      <c r="AT94" s="1"/>
      <c r="AU94" s="1"/>
      <c r="AV94" s="1"/>
      <c r="AW94" s="1"/>
      <c r="AX94" s="1"/>
      <c r="AY94" s="90"/>
      <c r="AZ94" s="54"/>
      <c r="BA94" s="45"/>
      <c r="BB94" s="54"/>
      <c r="BC94" s="54"/>
    </row>
    <row r="95" spans="1:55" ht="15.75">
      <c r="A95" s="45"/>
      <c r="B95" s="1665"/>
      <c r="C95" s="2349" t="str">
        <f>"Country: " &amp;UPPER(Country)</f>
        <v>Country: LITHUANIA</v>
      </c>
      <c r="D95" s="2350"/>
      <c r="E95" s="2445"/>
      <c r="F95" s="2445"/>
      <c r="G95" s="2445"/>
      <c r="H95" s="2445"/>
      <c r="I95" s="2445"/>
      <c r="J95" s="2445"/>
      <c r="K95" s="2445"/>
      <c r="L95" s="2445"/>
      <c r="M95" s="2445"/>
      <c r="N95" s="2445"/>
      <c r="O95" s="2445"/>
      <c r="P95" s="2445"/>
      <c r="Q95" s="1664"/>
      <c r="R95" s="45"/>
      <c r="S95" s="190"/>
      <c r="T95" s="63" t="str">
        <f>"Country: " &amp;UPPER(Country)</f>
        <v>Country: LITHUANIA</v>
      </c>
      <c r="U95" s="64"/>
      <c r="V95" s="1"/>
      <c r="W95" s="1"/>
      <c r="X95" s="2006" t="s">
        <v>390</v>
      </c>
      <c r="Y95" s="1"/>
      <c r="Z95" s="1"/>
      <c r="AA95" s="1"/>
      <c r="AB95" s="1"/>
      <c r="AC95" s="1"/>
      <c r="AD95" s="1"/>
      <c r="AE95" s="1"/>
      <c r="AF95" s="1"/>
      <c r="AG95" s="1"/>
      <c r="AH95" s="90"/>
      <c r="AI95" s="45"/>
      <c r="AJ95" s="190"/>
      <c r="AK95" s="63" t="str">
        <f>"Country: " &amp;UPPER(Country)</f>
        <v>Country: LITHUANIA</v>
      </c>
      <c r="AL95" s="64"/>
      <c r="AM95" s="1"/>
      <c r="AN95" s="1"/>
      <c r="AO95" s="1"/>
      <c r="AP95" s="1"/>
      <c r="AQ95" s="1"/>
      <c r="AR95" s="1"/>
      <c r="AS95" s="1"/>
      <c r="AT95" s="1"/>
      <c r="AU95" s="1"/>
      <c r="AV95" s="1"/>
      <c r="AW95" s="1"/>
      <c r="AX95" s="1"/>
      <c r="AY95" s="90"/>
      <c r="AZ95" s="54"/>
      <c r="BA95" s="45"/>
      <c r="BB95" s="54"/>
      <c r="BC95" s="54"/>
    </row>
    <row r="96" spans="1:55" ht="15.75">
      <c r="A96" s="45"/>
      <c r="B96" s="1665"/>
      <c r="C96" s="2349" t="str">
        <f>"Currency unit: " &amp; Currency</f>
        <v>Currency unit: bn EUR</v>
      </c>
      <c r="D96" s="2353"/>
      <c r="E96" s="2445"/>
      <c r="F96" s="2445"/>
      <c r="G96" s="2445"/>
      <c r="H96" s="2445"/>
      <c r="I96" s="2445"/>
      <c r="J96" s="2445"/>
      <c r="K96" s="2445"/>
      <c r="L96" s="2445"/>
      <c r="M96" s="2445"/>
      <c r="N96" s="2445"/>
      <c r="O96" s="2445"/>
      <c r="P96" s="2445"/>
      <c r="Q96" s="1664"/>
      <c r="R96" s="45"/>
      <c r="S96" s="190"/>
      <c r="T96" s="63" t="str">
        <f>"Currency unit: " &amp; Currency</f>
        <v>Currency unit: bn EUR</v>
      </c>
      <c r="U96" s="67"/>
      <c r="V96" s="1"/>
      <c r="W96" s="1"/>
      <c r="X96" s="2006" t="str">
        <f>$T$4</f>
        <v>2nd storage</v>
      </c>
      <c r="Y96" s="1"/>
      <c r="Z96" s="1"/>
      <c r="AA96" s="1"/>
      <c r="AB96" s="1"/>
      <c r="AC96" s="1"/>
      <c r="AD96" s="1"/>
      <c r="AE96" s="1"/>
      <c r="AF96" s="1"/>
      <c r="AG96" s="1"/>
      <c r="AH96" s="90"/>
      <c r="AI96" s="45"/>
      <c r="AJ96" s="190"/>
      <c r="AK96" s="63" t="str">
        <f>"Currency unit: " &amp; Currency</f>
        <v>Currency unit: bn EUR</v>
      </c>
      <c r="AL96" s="67"/>
      <c r="AM96" s="1"/>
      <c r="AN96" s="1"/>
      <c r="AO96" s="1"/>
      <c r="AP96" s="1"/>
      <c r="AQ96" s="1"/>
      <c r="AR96" s="1"/>
      <c r="AS96" s="1"/>
      <c r="AT96" s="1"/>
      <c r="AU96" s="1"/>
      <c r="AV96" s="1"/>
      <c r="AW96" s="1"/>
      <c r="AX96" s="1"/>
      <c r="AY96" s="90"/>
      <c r="AZ96" s="54"/>
      <c r="BA96" s="45"/>
      <c r="BB96" s="54"/>
      <c r="BC96" s="54"/>
    </row>
    <row r="97" spans="1:256">
      <c r="A97" s="45"/>
      <c r="B97" s="1665"/>
      <c r="C97" s="2355" t="s">
        <v>297</v>
      </c>
      <c r="D97" s="2445"/>
      <c r="E97" s="2445"/>
      <c r="F97" s="2445"/>
      <c r="G97" s="2445"/>
      <c r="H97" s="2445"/>
      <c r="I97" s="2445"/>
      <c r="J97" s="2445"/>
      <c r="K97" s="2445"/>
      <c r="L97" s="2445"/>
      <c r="M97" s="2445"/>
      <c r="N97" s="2445"/>
      <c r="O97" s="2445"/>
      <c r="P97" s="2445"/>
      <c r="Q97" s="1664"/>
      <c r="R97" s="45"/>
      <c r="S97" s="190"/>
      <c r="T97" s="69" t="s">
        <v>297</v>
      </c>
      <c r="U97" s="1"/>
      <c r="V97" s="1"/>
      <c r="W97" s="1"/>
      <c r="X97" s="1"/>
      <c r="Y97" s="1"/>
      <c r="Z97" s="1"/>
      <c r="AA97" s="1"/>
      <c r="AB97" s="1"/>
      <c r="AC97" s="1"/>
      <c r="AD97" s="1"/>
      <c r="AE97" s="1"/>
      <c r="AF97" s="1"/>
      <c r="AG97" s="1"/>
      <c r="AH97" s="90"/>
      <c r="AI97" s="45"/>
      <c r="AJ97" s="190"/>
      <c r="AK97" s="69" t="s">
        <v>297</v>
      </c>
      <c r="AL97" s="1"/>
      <c r="AM97" s="1"/>
      <c r="AN97" s="1"/>
      <c r="AO97" s="1"/>
      <c r="AP97" s="1"/>
      <c r="AQ97" s="1"/>
      <c r="AR97" s="1"/>
      <c r="AS97" s="1"/>
      <c r="AT97" s="1"/>
      <c r="AU97" s="1"/>
      <c r="AV97" s="1"/>
      <c r="AW97" s="1"/>
      <c r="AX97" s="1"/>
      <c r="AY97" s="90"/>
      <c r="AZ97" s="54"/>
      <c r="BA97" s="45"/>
      <c r="BB97" s="54"/>
      <c r="BC97" s="54"/>
    </row>
    <row r="98" spans="1:256" ht="13.5" thickBot="1">
      <c r="A98" s="45"/>
      <c r="B98" s="1665"/>
      <c r="C98" s="2445"/>
      <c r="D98" s="2445"/>
      <c r="E98" s="2445"/>
      <c r="F98" s="2445"/>
      <c r="G98" s="2445"/>
      <c r="H98" s="2445"/>
      <c r="I98" s="2445"/>
      <c r="J98" s="2445"/>
      <c r="K98" s="2445"/>
      <c r="L98" s="2445"/>
      <c r="M98" s="2445"/>
      <c r="N98" s="2445"/>
      <c r="O98" s="3789">
        <f ca="1">NOW()</f>
        <v>43392.47578483796</v>
      </c>
      <c r="P98" s="3789"/>
      <c r="Q98" s="1664"/>
      <c r="R98" s="45"/>
      <c r="S98" s="190"/>
      <c r="T98" s="1"/>
      <c r="U98" s="1"/>
      <c r="V98" s="1"/>
      <c r="W98" s="1"/>
      <c r="X98" s="1"/>
      <c r="Y98" s="1"/>
      <c r="Z98" s="1"/>
      <c r="AA98" s="1"/>
      <c r="AB98" s="1"/>
      <c r="AC98" s="1"/>
      <c r="AD98" s="1"/>
      <c r="AE98" s="1"/>
      <c r="AF98" s="3751">
        <f ca="1">NOW()</f>
        <v>43392.47578483796</v>
      </c>
      <c r="AG98" s="3751"/>
      <c r="AH98" s="90"/>
      <c r="AI98" s="45"/>
      <c r="AJ98" s="190"/>
      <c r="AK98" s="1"/>
      <c r="AL98" s="1"/>
      <c r="AM98" s="1"/>
      <c r="AN98" s="1"/>
      <c r="AO98" s="1"/>
      <c r="AP98" s="1"/>
      <c r="AQ98" s="1"/>
      <c r="AR98" s="1"/>
      <c r="AS98" s="1"/>
      <c r="AT98" s="1"/>
      <c r="AU98" s="1"/>
      <c r="AV98" s="1"/>
      <c r="AW98" s="3751">
        <f ca="1">NOW()</f>
        <v>43392.47578483796</v>
      </c>
      <c r="AX98" s="3751"/>
      <c r="AY98" s="90"/>
      <c r="AZ98" s="54"/>
      <c r="BA98" s="45"/>
      <c r="BB98" s="54"/>
      <c r="BC98" s="54"/>
    </row>
    <row r="99" spans="1:256">
      <c r="A99" s="45"/>
      <c r="B99" s="1665"/>
      <c r="C99" s="2357"/>
      <c r="D99" s="2358"/>
      <c r="E99" s="3751">
        <f>F16</f>
        <v>2017</v>
      </c>
      <c r="F99" s="3751"/>
      <c r="G99" s="3751"/>
      <c r="H99" s="3751"/>
      <c r="I99" s="3751">
        <f>E99+1</f>
        <v>2018</v>
      </c>
      <c r="J99" s="3751"/>
      <c r="K99" s="3751"/>
      <c r="L99" s="3751"/>
      <c r="M99" s="3751">
        <f>I99+1</f>
        <v>2019</v>
      </c>
      <c r="N99" s="3751"/>
      <c r="O99" s="3751"/>
      <c r="P99" s="3751"/>
      <c r="Q99" s="2447"/>
      <c r="R99" s="45"/>
      <c r="S99" s="190"/>
      <c r="T99" s="191"/>
      <c r="U99" s="73"/>
      <c r="V99" s="3751">
        <f>Last_forecast_year-2</f>
        <v>2017</v>
      </c>
      <c r="W99" s="3751"/>
      <c r="X99" s="3751"/>
      <c r="Y99" s="3751"/>
      <c r="Z99" s="3751">
        <f>V99+1</f>
        <v>2018</v>
      </c>
      <c r="AA99" s="3751"/>
      <c r="AB99" s="3751"/>
      <c r="AC99" s="3751"/>
      <c r="AD99" s="3751">
        <f>Z99+1</f>
        <v>2019</v>
      </c>
      <c r="AE99" s="3751"/>
      <c r="AF99" s="3751"/>
      <c r="AG99" s="3751"/>
      <c r="AH99" s="192"/>
      <c r="AI99" s="45"/>
      <c r="AJ99" s="190"/>
      <c r="AK99" s="191"/>
      <c r="AL99" s="73"/>
      <c r="AM99" s="3751">
        <f>Last_forecast_year - 2</f>
        <v>2017</v>
      </c>
      <c r="AN99" s="3751"/>
      <c r="AO99" s="3751"/>
      <c r="AP99" s="3751"/>
      <c r="AQ99" s="3751">
        <f>AM99+1</f>
        <v>2018</v>
      </c>
      <c r="AR99" s="3751"/>
      <c r="AS99" s="3751"/>
      <c r="AT99" s="3751"/>
      <c r="AU99" s="3751">
        <f>AQ99+1</f>
        <v>2019</v>
      </c>
      <c r="AV99" s="3751"/>
      <c r="AW99" s="3751"/>
      <c r="AX99" s="3751"/>
      <c r="AY99" s="192"/>
      <c r="AZ99" s="54"/>
      <c r="BA99" s="45"/>
      <c r="BB99" s="54"/>
      <c r="BC99" s="54"/>
    </row>
    <row r="100" spans="1:256">
      <c r="A100" s="45"/>
      <c r="B100" s="1665"/>
      <c r="C100" s="1666"/>
      <c r="D100" s="2351"/>
      <c r="E100" s="2448" t="s">
        <v>1395</v>
      </c>
      <c r="F100" s="2448" t="s">
        <v>1396</v>
      </c>
      <c r="G100" s="2448" t="s">
        <v>1397</v>
      </c>
      <c r="H100" s="2448" t="s">
        <v>1398</v>
      </c>
      <c r="I100" s="2448" t="s">
        <v>1395</v>
      </c>
      <c r="J100" s="2448" t="s">
        <v>1396</v>
      </c>
      <c r="K100" s="2448" t="s">
        <v>1397</v>
      </c>
      <c r="L100" s="2448" t="s">
        <v>1398</v>
      </c>
      <c r="M100" s="2448" t="s">
        <v>1395</v>
      </c>
      <c r="N100" s="2448" t="s">
        <v>1396</v>
      </c>
      <c r="O100" s="2448" t="s">
        <v>1397</v>
      </c>
      <c r="P100" s="2449" t="s">
        <v>1398</v>
      </c>
      <c r="Q100" s="2447"/>
      <c r="R100" s="45"/>
      <c r="S100" s="190"/>
      <c r="T100" s="40"/>
      <c r="U100" s="65"/>
      <c r="V100" s="193" t="s">
        <v>1395</v>
      </c>
      <c r="W100" s="193" t="s">
        <v>1396</v>
      </c>
      <c r="X100" s="193" t="s">
        <v>1397</v>
      </c>
      <c r="Y100" s="193" t="s">
        <v>1398</v>
      </c>
      <c r="Z100" s="193" t="s">
        <v>1395</v>
      </c>
      <c r="AA100" s="193" t="s">
        <v>1396</v>
      </c>
      <c r="AB100" s="193" t="s">
        <v>1397</v>
      </c>
      <c r="AC100" s="193" t="s">
        <v>1398</v>
      </c>
      <c r="AD100" s="193" t="s">
        <v>1395</v>
      </c>
      <c r="AE100" s="193" t="s">
        <v>1396</v>
      </c>
      <c r="AF100" s="193" t="s">
        <v>1397</v>
      </c>
      <c r="AG100" s="194" t="s">
        <v>1398</v>
      </c>
      <c r="AH100" s="192"/>
      <c r="AI100" s="45"/>
      <c r="AJ100" s="190"/>
      <c r="AK100" s="40"/>
      <c r="AL100" s="65"/>
      <c r="AM100" s="193" t="s">
        <v>1395</v>
      </c>
      <c r="AN100" s="193" t="s">
        <v>1396</v>
      </c>
      <c r="AO100" s="193" t="s">
        <v>1397</v>
      </c>
      <c r="AP100" s="193" t="s">
        <v>1398</v>
      </c>
      <c r="AQ100" s="193" t="s">
        <v>1395</v>
      </c>
      <c r="AR100" s="193" t="s">
        <v>1396</v>
      </c>
      <c r="AS100" s="193" t="s">
        <v>1397</v>
      </c>
      <c r="AT100" s="193" t="s">
        <v>1398</v>
      </c>
      <c r="AU100" s="193" t="s">
        <v>1395</v>
      </c>
      <c r="AV100" s="193" t="s">
        <v>1396</v>
      </c>
      <c r="AW100" s="193" t="s">
        <v>1397</v>
      </c>
      <c r="AX100" s="194" t="s">
        <v>1398</v>
      </c>
      <c r="AY100" s="192"/>
      <c r="AZ100" s="54"/>
      <c r="BA100" s="45"/>
      <c r="BB100" s="54"/>
      <c r="BC100" s="54"/>
    </row>
    <row r="101" spans="1:256" s="45" customFormat="1">
      <c r="B101" s="1665"/>
      <c r="C101" s="1666"/>
      <c r="D101" s="2351"/>
      <c r="E101" s="3751" t="s">
        <v>267</v>
      </c>
      <c r="F101" s="3751"/>
      <c r="G101" s="3751"/>
      <c r="H101" s="3751"/>
      <c r="I101" s="3751"/>
      <c r="J101" s="3751"/>
      <c r="K101" s="3751"/>
      <c r="L101" s="3751"/>
      <c r="M101" s="3751"/>
      <c r="N101" s="3751"/>
      <c r="O101" s="3751"/>
      <c r="P101" s="3751"/>
      <c r="Q101" s="2447"/>
      <c r="S101" s="190"/>
      <c r="T101" s="40"/>
      <c r="U101" s="65"/>
      <c r="V101" s="3751" t="s">
        <v>267</v>
      </c>
      <c r="W101" s="3751"/>
      <c r="X101" s="3751"/>
      <c r="Y101" s="3751"/>
      <c r="Z101" s="3751"/>
      <c r="AA101" s="3751"/>
      <c r="AB101" s="3751"/>
      <c r="AC101" s="3751"/>
      <c r="AD101" s="3751"/>
      <c r="AE101" s="3751"/>
      <c r="AF101" s="3751"/>
      <c r="AG101" s="3751"/>
      <c r="AH101" s="192"/>
      <c r="AJ101" s="190"/>
      <c r="AK101" s="40"/>
      <c r="AL101" s="65"/>
      <c r="AM101" s="3751" t="s">
        <v>267</v>
      </c>
      <c r="AN101" s="3751"/>
      <c r="AO101" s="3751"/>
      <c r="AP101" s="3751"/>
      <c r="AQ101" s="3751"/>
      <c r="AR101" s="3751"/>
      <c r="AS101" s="3751"/>
      <c r="AT101" s="3751"/>
      <c r="AU101" s="3751"/>
      <c r="AV101" s="3751"/>
      <c r="AW101" s="3751"/>
      <c r="AX101" s="3751"/>
      <c r="AY101" s="192"/>
      <c r="AZ101" s="54"/>
      <c r="BB101" s="54"/>
      <c r="BC101" s="54"/>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45" customFormat="1">
      <c r="B102" s="1665"/>
      <c r="C102" s="1666"/>
      <c r="D102" s="2351"/>
      <c r="E102" s="3751" t="s">
        <v>268</v>
      </c>
      <c r="F102" s="3751"/>
      <c r="G102" s="3751"/>
      <c r="H102" s="3751"/>
      <c r="I102" s="3751"/>
      <c r="J102" s="3751"/>
      <c r="K102" s="3751"/>
      <c r="L102" s="3751"/>
      <c r="M102" s="3751"/>
      <c r="N102" s="3751"/>
      <c r="O102" s="3751"/>
      <c r="P102" s="3751"/>
      <c r="Q102" s="2348"/>
      <c r="S102" s="190"/>
      <c r="T102" s="40"/>
      <c r="U102" s="65"/>
      <c r="V102" s="3751" t="s">
        <v>268</v>
      </c>
      <c r="W102" s="3751"/>
      <c r="X102" s="3751"/>
      <c r="Y102" s="3751"/>
      <c r="Z102" s="3751"/>
      <c r="AA102" s="3751"/>
      <c r="AB102" s="3751"/>
      <c r="AC102" s="3751"/>
      <c r="AD102" s="3751"/>
      <c r="AE102" s="3751"/>
      <c r="AF102" s="3751"/>
      <c r="AG102" s="3751"/>
      <c r="AH102" s="62"/>
      <c r="AJ102" s="190"/>
      <c r="AK102" s="40"/>
      <c r="AL102" s="65"/>
      <c r="AM102" s="3751" t="s">
        <v>268</v>
      </c>
      <c r="AN102" s="3751"/>
      <c r="AO102" s="3751"/>
      <c r="AP102" s="3751"/>
      <c r="AQ102" s="3751"/>
      <c r="AR102" s="3751"/>
      <c r="AS102" s="3751"/>
      <c r="AT102" s="3751"/>
      <c r="AU102" s="3751"/>
      <c r="AV102" s="3751"/>
      <c r="AW102" s="3751"/>
      <c r="AX102" s="3751"/>
      <c r="AY102" s="62"/>
      <c r="AZ102" s="54"/>
      <c r="BB102" s="54"/>
      <c r="BC102" s="54"/>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45" customFormat="1">
      <c r="B103" s="1665"/>
      <c r="C103" s="2384" t="s">
        <v>648</v>
      </c>
      <c r="D103" s="2343"/>
      <c r="E103" s="2450">
        <f ca="1">Transfer!D115</f>
        <v>0.71497153830328841</v>
      </c>
      <c r="F103" s="2450">
        <f ca="1">Transfer!E115</f>
        <v>1.1508145928738056</v>
      </c>
      <c r="G103" s="2450">
        <f ca="1">Transfer!F115</f>
        <v>-2.1879260144408441E-2</v>
      </c>
      <c r="H103" s="2450">
        <f ca="1">Transfer!G115</f>
        <v>1.7574574102754204</v>
      </c>
      <c r="I103" s="2450">
        <f ca="1">Transfer!H115</f>
        <v>0.75</v>
      </c>
      <c r="J103" s="2450">
        <f ca="1">Transfer!I115</f>
        <v>0.75</v>
      </c>
      <c r="K103" s="2450">
        <f ca="1">Transfer!J115</f>
        <v>0.75</v>
      </c>
      <c r="L103" s="2450">
        <f ca="1">Transfer!K115</f>
        <v>0.75</v>
      </c>
      <c r="M103" s="2450">
        <f ca="1">Transfer!L115</f>
        <v>0.84</v>
      </c>
      <c r="N103" s="2450">
        <f ca="1">Transfer!M115</f>
        <v>0.84</v>
      </c>
      <c r="O103" s="2450">
        <f ca="1">Transfer!N115</f>
        <v>0.84</v>
      </c>
      <c r="P103" s="2451">
        <f ca="1">Transfer!O115</f>
        <v>0.84</v>
      </c>
      <c r="Q103" s="2452"/>
      <c r="S103" s="190"/>
      <c r="T103" s="2384" t="s">
        <v>648</v>
      </c>
      <c r="U103" s="57"/>
      <c r="V103" s="195">
        <f t="shared" ref="V103:AG107" ca="1" si="7">ROUND(E103,1)-ROUND(AM103,1)</f>
        <v>9999.7000000000007</v>
      </c>
      <c r="W103" s="195">
        <f t="shared" ca="1" si="7"/>
        <v>10000.200000000001</v>
      </c>
      <c r="X103" s="195">
        <f t="shared" ca="1" si="7"/>
        <v>9999</v>
      </c>
      <c r="Y103" s="195">
        <f t="shared" ca="1" si="7"/>
        <v>10000.799999999999</v>
      </c>
      <c r="Z103" s="195">
        <f t="shared" ca="1" si="7"/>
        <v>9999.7999999999993</v>
      </c>
      <c r="AA103" s="195">
        <f t="shared" ca="1" si="7"/>
        <v>9999.7999999999993</v>
      </c>
      <c r="AB103" s="195">
        <f t="shared" ca="1" si="7"/>
        <v>9999.7999999999993</v>
      </c>
      <c r="AC103" s="195">
        <f t="shared" ca="1" si="7"/>
        <v>9999.7999999999993</v>
      </c>
      <c r="AD103" s="195">
        <f t="shared" ca="1" si="7"/>
        <v>9999.7999999999993</v>
      </c>
      <c r="AE103" s="195">
        <f t="shared" ca="1" si="7"/>
        <v>9999.7999999999993</v>
      </c>
      <c r="AF103" s="195">
        <f t="shared" ca="1" si="7"/>
        <v>9999.7999999999993</v>
      </c>
      <c r="AG103" s="358">
        <f t="shared" ca="1" si="7"/>
        <v>9999.7999999999993</v>
      </c>
      <c r="AH103" s="196"/>
      <c r="AJ103" s="190"/>
      <c r="AK103" s="2384" t="s">
        <v>648</v>
      </c>
      <c r="AL103" s="57"/>
      <c r="AM103" s="195">
        <f>Transfer!AD115</f>
        <v>-9999</v>
      </c>
      <c r="AN103" s="195">
        <f>Transfer!AE115</f>
        <v>-9999</v>
      </c>
      <c r="AO103" s="195">
        <f>Transfer!AF115</f>
        <v>-9999</v>
      </c>
      <c r="AP103" s="195">
        <f>Transfer!AG115</f>
        <v>-9999</v>
      </c>
      <c r="AQ103" s="195">
        <f>Transfer!AH115</f>
        <v>-9999</v>
      </c>
      <c r="AR103" s="195">
        <f>Transfer!AI115</f>
        <v>-9999</v>
      </c>
      <c r="AS103" s="195">
        <f>Transfer!AJ115</f>
        <v>-9999</v>
      </c>
      <c r="AT103" s="195">
        <f>Transfer!AK115</f>
        <v>-9999</v>
      </c>
      <c r="AU103" s="195">
        <f>Transfer!AL115</f>
        <v>-9999</v>
      </c>
      <c r="AV103" s="195">
        <f>Transfer!AM115</f>
        <v>-9999</v>
      </c>
      <c r="AW103" s="195">
        <f>Transfer!AN115</f>
        <v>-9999</v>
      </c>
      <c r="AX103" s="358">
        <f>Transfer!AO115</f>
        <v>-9999</v>
      </c>
      <c r="AY103" s="196"/>
      <c r="AZ103" s="54"/>
      <c r="BA103" s="519" t="s">
        <v>948</v>
      </c>
      <c r="BB103" s="54"/>
      <c r="BC103" s="54"/>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45" customFormat="1">
      <c r="B104" s="1665"/>
      <c r="C104" s="1666" t="s">
        <v>1834</v>
      </c>
      <c r="D104" s="2351"/>
      <c r="E104" s="2453">
        <f ca="1">Transfer!D116</f>
        <v>8.9630446773303341E-2</v>
      </c>
      <c r="F104" s="2453">
        <f ca="1">Transfer!E116</f>
        <v>0.22731969415168418</v>
      </c>
      <c r="G104" s="2453">
        <f ca="1">Transfer!F116</f>
        <v>9.6219931271490644E-2</v>
      </c>
      <c r="H104" s="2453">
        <f ca="1">Transfer!G116</f>
        <v>0.15105740181267091</v>
      </c>
      <c r="I104" s="2453">
        <f ca="1">Transfer!H116</f>
        <v>0.5</v>
      </c>
      <c r="J104" s="2453">
        <f ca="1">Transfer!I116</f>
        <v>0.6</v>
      </c>
      <c r="K104" s="2453">
        <f ca="1">Transfer!J116</f>
        <v>0.6</v>
      </c>
      <c r="L104" s="2453">
        <f ca="1">Transfer!K116</f>
        <v>0.6</v>
      </c>
      <c r="M104" s="2453">
        <f ca="1">Transfer!L116</f>
        <v>0.3</v>
      </c>
      <c r="N104" s="2453">
        <f ca="1">Transfer!M116</f>
        <v>0.25</v>
      </c>
      <c r="O104" s="2453">
        <f ca="1">Transfer!N116</f>
        <v>0.2</v>
      </c>
      <c r="P104" s="2454">
        <f ca="1">Transfer!O116</f>
        <v>0.18</v>
      </c>
      <c r="Q104" s="2452"/>
      <c r="S104" s="190"/>
      <c r="T104" s="1666" t="s">
        <v>1834</v>
      </c>
      <c r="U104" s="65"/>
      <c r="V104" s="197">
        <f t="shared" ca="1" si="7"/>
        <v>9999.1</v>
      </c>
      <c r="W104" s="197">
        <f t="shared" ca="1" si="7"/>
        <v>9999.2000000000007</v>
      </c>
      <c r="X104" s="197">
        <f t="shared" ca="1" si="7"/>
        <v>9999.1</v>
      </c>
      <c r="Y104" s="197">
        <f t="shared" ca="1" si="7"/>
        <v>9999.2000000000007</v>
      </c>
      <c r="Z104" s="197">
        <f t="shared" ca="1" si="7"/>
        <v>9999.5</v>
      </c>
      <c r="AA104" s="197">
        <f t="shared" ca="1" si="7"/>
        <v>9999.6</v>
      </c>
      <c r="AB104" s="197">
        <f t="shared" ca="1" si="7"/>
        <v>9999.6</v>
      </c>
      <c r="AC104" s="197">
        <f t="shared" ca="1" si="7"/>
        <v>9999.6</v>
      </c>
      <c r="AD104" s="197">
        <f t="shared" ca="1" si="7"/>
        <v>9999.2999999999993</v>
      </c>
      <c r="AE104" s="197">
        <f t="shared" ca="1" si="7"/>
        <v>9999.2999999999993</v>
      </c>
      <c r="AF104" s="197">
        <f t="shared" ca="1" si="7"/>
        <v>9999.2000000000007</v>
      </c>
      <c r="AG104" s="341">
        <f t="shared" ca="1" si="7"/>
        <v>9999.2000000000007</v>
      </c>
      <c r="AH104" s="196"/>
      <c r="AJ104" s="190"/>
      <c r="AK104" s="1666" t="s">
        <v>1834</v>
      </c>
      <c r="AL104" s="65"/>
      <c r="AM104" s="197">
        <f>Transfer!AD116</f>
        <v>-9999</v>
      </c>
      <c r="AN104" s="197">
        <f>Transfer!AE116</f>
        <v>-9999</v>
      </c>
      <c r="AO104" s="197">
        <f>Transfer!AF116</f>
        <v>-9999</v>
      </c>
      <c r="AP104" s="197">
        <f>Transfer!AG116</f>
        <v>-9999</v>
      </c>
      <c r="AQ104" s="197">
        <f>Transfer!AH116</f>
        <v>-9999</v>
      </c>
      <c r="AR104" s="197">
        <f>Transfer!AI116</f>
        <v>-9999</v>
      </c>
      <c r="AS104" s="197">
        <f>Transfer!AJ116</f>
        <v>-9999</v>
      </c>
      <c r="AT104" s="197">
        <f>Transfer!AK116</f>
        <v>-9999</v>
      </c>
      <c r="AU104" s="197">
        <f>Transfer!AL116</f>
        <v>-9999</v>
      </c>
      <c r="AV104" s="197">
        <f>Transfer!AM116</f>
        <v>-9999</v>
      </c>
      <c r="AW104" s="197">
        <f>Transfer!AN116</f>
        <v>-9999</v>
      </c>
      <c r="AX104" s="341">
        <f>Transfer!AO116</f>
        <v>-9999</v>
      </c>
      <c r="AY104" s="196"/>
      <c r="AZ104" s="54"/>
      <c r="BA104" s="1677" t="s">
        <v>269</v>
      </c>
      <c r="BB104" s="54"/>
      <c r="BC104" s="5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45" customFormat="1">
      <c r="B105" s="1665"/>
      <c r="C105" s="2455" t="s">
        <v>973</v>
      </c>
      <c r="D105" s="2433"/>
      <c r="E105" s="2453">
        <f ca="1">Transfer!D117</f>
        <v>-0.68142108328480555</v>
      </c>
      <c r="F105" s="2453">
        <f ca="1">Transfer!E117</f>
        <v>2.738521081334655</v>
      </c>
      <c r="G105" s="2453">
        <f ca="1">Transfer!F117</f>
        <v>1.2557077625570789</v>
      </c>
      <c r="H105" s="2453">
        <f ca="1">Transfer!G117</f>
        <v>7.5479143179256081</v>
      </c>
      <c r="I105" s="2453">
        <f ca="1">Transfer!H117</f>
        <v>-1.5</v>
      </c>
      <c r="J105" s="2453">
        <f ca="1">Transfer!I117</f>
        <v>0.8</v>
      </c>
      <c r="K105" s="2453">
        <f ca="1">Transfer!J117</f>
        <v>1</v>
      </c>
      <c r="L105" s="2453">
        <f ca="1">Transfer!K117</f>
        <v>1.1499999999999999</v>
      </c>
      <c r="M105" s="2453">
        <f ca="1">Transfer!L117</f>
        <v>1.03</v>
      </c>
      <c r="N105" s="2453">
        <f ca="1">Transfer!M117</f>
        <v>1</v>
      </c>
      <c r="O105" s="2453">
        <f ca="1">Transfer!N117</f>
        <v>1</v>
      </c>
      <c r="P105" s="2454">
        <f ca="1">Transfer!O117</f>
        <v>1</v>
      </c>
      <c r="Q105" s="2452"/>
      <c r="S105" s="190"/>
      <c r="T105" s="2455" t="s">
        <v>973</v>
      </c>
      <c r="U105" s="198"/>
      <c r="V105" s="197">
        <f t="shared" ca="1" si="7"/>
        <v>9998.2999999999993</v>
      </c>
      <c r="W105" s="197">
        <f t="shared" ca="1" si="7"/>
        <v>10001.700000000001</v>
      </c>
      <c r="X105" s="197">
        <f t="shared" ca="1" si="7"/>
        <v>10000.299999999999</v>
      </c>
      <c r="Y105" s="197">
        <f t="shared" ca="1" si="7"/>
        <v>10006.5</v>
      </c>
      <c r="Z105" s="197">
        <f t="shared" ca="1" si="7"/>
        <v>9997.5</v>
      </c>
      <c r="AA105" s="197">
        <f t="shared" ca="1" si="7"/>
        <v>9999.7999999999993</v>
      </c>
      <c r="AB105" s="197">
        <f t="shared" ca="1" si="7"/>
        <v>10000</v>
      </c>
      <c r="AC105" s="197">
        <f t="shared" ca="1" si="7"/>
        <v>10000.200000000001</v>
      </c>
      <c r="AD105" s="197">
        <f t="shared" ca="1" si="7"/>
        <v>10000</v>
      </c>
      <c r="AE105" s="197">
        <f t="shared" ca="1" si="7"/>
        <v>10000</v>
      </c>
      <c r="AF105" s="197">
        <f t="shared" ca="1" si="7"/>
        <v>10000</v>
      </c>
      <c r="AG105" s="341">
        <f t="shared" ca="1" si="7"/>
        <v>10000</v>
      </c>
      <c r="AH105" s="199"/>
      <c r="AJ105" s="190"/>
      <c r="AK105" s="2455" t="s">
        <v>973</v>
      </c>
      <c r="AL105" s="198"/>
      <c r="AM105" s="197">
        <f>Transfer!AD117</f>
        <v>-9999</v>
      </c>
      <c r="AN105" s="197">
        <f>Transfer!AE117</f>
        <v>-9999</v>
      </c>
      <c r="AO105" s="197">
        <f>Transfer!AF117</f>
        <v>-9999</v>
      </c>
      <c r="AP105" s="197">
        <f>Transfer!AG117</f>
        <v>-9999</v>
      </c>
      <c r="AQ105" s="197">
        <f>Transfer!AH117</f>
        <v>-9999</v>
      </c>
      <c r="AR105" s="197">
        <f>Transfer!AI117</f>
        <v>-9999</v>
      </c>
      <c r="AS105" s="197">
        <f>Transfer!AJ117</f>
        <v>-9999</v>
      </c>
      <c r="AT105" s="197">
        <f>Transfer!AK117</f>
        <v>-9999</v>
      </c>
      <c r="AU105" s="197">
        <f>Transfer!AL117</f>
        <v>-9999</v>
      </c>
      <c r="AV105" s="197">
        <f>Transfer!AM117</f>
        <v>-9999</v>
      </c>
      <c r="AW105" s="197">
        <f>Transfer!AN117</f>
        <v>-9999</v>
      </c>
      <c r="AX105" s="341">
        <f>Transfer!AO117</f>
        <v>-9999</v>
      </c>
      <c r="AY105" s="199"/>
      <c r="AZ105" s="54"/>
      <c r="BA105" s="1677" t="s">
        <v>949</v>
      </c>
      <c r="BB105" s="54"/>
      <c r="BC105" s="54"/>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45" customFormat="1">
      <c r="B106" s="1665"/>
      <c r="C106" s="2456" t="s">
        <v>1654</v>
      </c>
      <c r="D106" s="2457"/>
      <c r="E106" s="2458">
        <f ca="1">Transfer!D118</f>
        <v>0.34778550634460004</v>
      </c>
      <c r="F106" s="2458">
        <f ca="1">Transfer!E118</f>
        <v>1.3021669564062144</v>
      </c>
      <c r="G106" s="2458">
        <f ca="1">Transfer!F118</f>
        <v>0.24156437526641206</v>
      </c>
      <c r="H106" s="2458">
        <f ca="1">Transfer!G118</f>
        <v>2.6224538753434778</v>
      </c>
      <c r="I106" s="2458">
        <f ca="1">Transfer!H118</f>
        <v>0.25512415925536319</v>
      </c>
      <c r="J106" s="2458">
        <f ca="1">Transfer!I118</f>
        <v>0.73665440050966002</v>
      </c>
      <c r="K106" s="2458">
        <f ca="1">Transfer!J118</f>
        <v>0.77655240047236962</v>
      </c>
      <c r="L106" s="2458">
        <f ca="1">Transfer!K118</f>
        <v>0.80666502587561029</v>
      </c>
      <c r="M106" s="2458">
        <f ca="1">Transfer!L118</f>
        <v>0.79461665962858952</v>
      </c>
      <c r="N106" s="2458">
        <f ca="1">Transfer!M118</f>
        <v>0.7813982376775449</v>
      </c>
      <c r="O106" s="2458">
        <f ca="1">Transfer!N118</f>
        <v>0.77429678563838522</v>
      </c>
      <c r="P106" s="2459">
        <f ca="1">Transfer!O118</f>
        <v>0.77188451507112787</v>
      </c>
      <c r="Q106" s="2460"/>
      <c r="S106" s="190"/>
      <c r="T106" s="2456" t="s">
        <v>1654</v>
      </c>
      <c r="U106" s="201"/>
      <c r="V106" s="202">
        <f t="shared" ca="1" si="7"/>
        <v>9999.2999999999993</v>
      </c>
      <c r="W106" s="202">
        <f t="shared" ca="1" si="7"/>
        <v>10000.299999999999</v>
      </c>
      <c r="X106" s="202">
        <f t="shared" ca="1" si="7"/>
        <v>9999.2000000000007</v>
      </c>
      <c r="Y106" s="202">
        <f t="shared" ca="1" si="7"/>
        <v>10001.6</v>
      </c>
      <c r="Z106" s="202">
        <f t="shared" ca="1" si="7"/>
        <v>9999.2999999999993</v>
      </c>
      <c r="AA106" s="202">
        <f t="shared" ca="1" si="7"/>
        <v>9999.7000000000007</v>
      </c>
      <c r="AB106" s="202">
        <f t="shared" ca="1" si="7"/>
        <v>9999.7999999999993</v>
      </c>
      <c r="AC106" s="202">
        <f t="shared" ca="1" si="7"/>
        <v>9999.7999999999993</v>
      </c>
      <c r="AD106" s="202">
        <f t="shared" ca="1" si="7"/>
        <v>9999.7999999999993</v>
      </c>
      <c r="AE106" s="202">
        <f t="shared" ca="1" si="7"/>
        <v>9999.7999999999993</v>
      </c>
      <c r="AF106" s="202">
        <f t="shared" ca="1" si="7"/>
        <v>9999.7999999999993</v>
      </c>
      <c r="AG106" s="345">
        <f t="shared" ca="1" si="7"/>
        <v>9999.7999999999993</v>
      </c>
      <c r="AH106" s="203"/>
      <c r="AJ106" s="190"/>
      <c r="AK106" s="2456" t="s">
        <v>1654</v>
      </c>
      <c r="AL106" s="201"/>
      <c r="AM106" s="202">
        <f>Transfer!AD118</f>
        <v>-9999</v>
      </c>
      <c r="AN106" s="202">
        <f>Transfer!AE118</f>
        <v>-9999</v>
      </c>
      <c r="AO106" s="202">
        <f>Transfer!AF118</f>
        <v>-9999</v>
      </c>
      <c r="AP106" s="202">
        <f>Transfer!AG118</f>
        <v>-9999</v>
      </c>
      <c r="AQ106" s="202">
        <f>Transfer!AH118</f>
        <v>-9999</v>
      </c>
      <c r="AR106" s="202">
        <f>Transfer!AI118</f>
        <v>-9999</v>
      </c>
      <c r="AS106" s="202">
        <f>Transfer!AJ118</f>
        <v>-9999</v>
      </c>
      <c r="AT106" s="202">
        <f>Transfer!AK118</f>
        <v>-9999</v>
      </c>
      <c r="AU106" s="202">
        <f>Transfer!AL118</f>
        <v>-9999</v>
      </c>
      <c r="AV106" s="202">
        <f>Transfer!AM118</f>
        <v>-9999</v>
      </c>
      <c r="AW106" s="202">
        <f>Transfer!AN118</f>
        <v>-9999</v>
      </c>
      <c r="AX106" s="345">
        <f>Transfer!AO118</f>
        <v>-9999</v>
      </c>
      <c r="AY106" s="203"/>
      <c r="AZ106" s="54"/>
      <c r="BA106" s="1677" t="s">
        <v>950</v>
      </c>
      <c r="BB106" s="54"/>
      <c r="BC106" s="54"/>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45" customFormat="1">
      <c r="B107" s="1665"/>
      <c r="C107" s="2461" t="s">
        <v>1656</v>
      </c>
      <c r="D107" s="2462"/>
      <c r="E107" s="2453">
        <f ca="1">Transfer!D119</f>
        <v>-3.4982790723917051E-2</v>
      </c>
      <c r="F107" s="2453">
        <f ca="1">Transfer!E119</f>
        <v>-1.8397552968594193</v>
      </c>
      <c r="G107" s="2453">
        <f ca="1">Transfer!F119</f>
        <v>-9.1375083574772059E-2</v>
      </c>
      <c r="H107" s="2453">
        <f ca="1">Transfer!G119</f>
        <v>-1.8988037646230984</v>
      </c>
      <c r="I107" s="2453">
        <f ca="1">Transfer!H119</f>
        <v>-1.1408173679182696</v>
      </c>
      <c r="J107" s="2453">
        <f ca="1">Transfer!I119</f>
        <v>-0.87782655901667106</v>
      </c>
      <c r="K107" s="2453">
        <f ca="1">Transfer!J119</f>
        <v>-0.78985290792442342</v>
      </c>
      <c r="L107" s="2453">
        <f ca="1">Transfer!K119</f>
        <v>-1.0063826224170245</v>
      </c>
      <c r="M107" s="2453">
        <f ca="1">Transfer!L119</f>
        <v>-0.99440241878043356</v>
      </c>
      <c r="N107" s="2453">
        <f ca="1">Transfer!M119</f>
        <v>-0.83737945049919571</v>
      </c>
      <c r="O107" s="2453">
        <f ca="1">Transfer!N119</f>
        <v>-0.66858942834525592</v>
      </c>
      <c r="P107" s="2454">
        <f ca="1">Transfer!O119</f>
        <v>-0.51741238415788593</v>
      </c>
      <c r="Q107" s="2452"/>
      <c r="S107" s="190"/>
      <c r="T107" s="2461" t="s">
        <v>1656</v>
      </c>
      <c r="U107" s="205"/>
      <c r="V107" s="195">
        <f t="shared" ca="1" si="7"/>
        <v>9999</v>
      </c>
      <c r="W107" s="195">
        <f t="shared" ca="1" si="7"/>
        <v>9997.2000000000007</v>
      </c>
      <c r="X107" s="195">
        <f t="shared" ca="1" si="7"/>
        <v>9998.9</v>
      </c>
      <c r="Y107" s="195">
        <f t="shared" ca="1" si="7"/>
        <v>9997.1</v>
      </c>
      <c r="Z107" s="195">
        <f t="shared" ca="1" si="7"/>
        <v>9997.9</v>
      </c>
      <c r="AA107" s="195">
        <f t="shared" ca="1" si="7"/>
        <v>9998.1</v>
      </c>
      <c r="AB107" s="195">
        <f t="shared" ca="1" si="7"/>
        <v>9998.2000000000007</v>
      </c>
      <c r="AC107" s="195">
        <f t="shared" ca="1" si="7"/>
        <v>9998</v>
      </c>
      <c r="AD107" s="195">
        <f t="shared" ca="1" si="7"/>
        <v>9998</v>
      </c>
      <c r="AE107" s="195">
        <f t="shared" ca="1" si="7"/>
        <v>9998.2000000000007</v>
      </c>
      <c r="AF107" s="195">
        <f t="shared" ca="1" si="7"/>
        <v>9998.2999999999993</v>
      </c>
      <c r="AG107" s="358">
        <f t="shared" ca="1" si="7"/>
        <v>9998.5</v>
      </c>
      <c r="AH107" s="196"/>
      <c r="AJ107" s="190"/>
      <c r="AK107" s="2461" t="s">
        <v>1656</v>
      </c>
      <c r="AL107" s="205"/>
      <c r="AM107" s="197">
        <f>Transfer!AD119</f>
        <v>-9999</v>
      </c>
      <c r="AN107" s="197">
        <f>Transfer!AE119</f>
        <v>-9999</v>
      </c>
      <c r="AO107" s="197">
        <f>Transfer!AF119</f>
        <v>-9999</v>
      </c>
      <c r="AP107" s="197">
        <f>Transfer!AG119</f>
        <v>-9999</v>
      </c>
      <c r="AQ107" s="197">
        <f>Transfer!AH119</f>
        <v>-9999</v>
      </c>
      <c r="AR107" s="197">
        <f>Transfer!AI119</f>
        <v>-9999</v>
      </c>
      <c r="AS107" s="197">
        <f>Transfer!AJ119</f>
        <v>-9999</v>
      </c>
      <c r="AT107" s="197">
        <f>Transfer!AK119</f>
        <v>-9999</v>
      </c>
      <c r="AU107" s="197">
        <f>Transfer!AL119</f>
        <v>-9999</v>
      </c>
      <c r="AV107" s="197">
        <f>Transfer!AM119</f>
        <v>-9999</v>
      </c>
      <c r="AW107" s="197">
        <f>Transfer!AN119</f>
        <v>-9999</v>
      </c>
      <c r="AX107" s="341">
        <f>Transfer!AO119</f>
        <v>-9999</v>
      </c>
      <c r="AY107" s="196"/>
      <c r="AZ107" s="54"/>
      <c r="BA107" s="1677" t="s">
        <v>270</v>
      </c>
      <c r="BB107" s="54"/>
      <c r="BC107" s="54"/>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45" customFormat="1">
      <c r="B108" s="1665"/>
      <c r="C108" s="1666" t="s">
        <v>1657</v>
      </c>
      <c r="D108" s="2351"/>
      <c r="E108" s="2453"/>
      <c r="F108" s="2453"/>
      <c r="G108" s="2453"/>
      <c r="H108" s="2453"/>
      <c r="I108" s="2453"/>
      <c r="J108" s="2453"/>
      <c r="K108" s="2453"/>
      <c r="L108" s="2453"/>
      <c r="M108" s="2453"/>
      <c r="N108" s="2453"/>
      <c r="O108" s="2453"/>
      <c r="P108" s="2454"/>
      <c r="Q108" s="2452"/>
      <c r="S108" s="190"/>
      <c r="T108" s="1666" t="s">
        <v>1657</v>
      </c>
      <c r="U108" s="65"/>
      <c r="V108" s="197"/>
      <c r="W108" s="197"/>
      <c r="X108" s="197"/>
      <c r="Y108" s="197"/>
      <c r="Z108" s="197"/>
      <c r="AA108" s="197"/>
      <c r="AB108" s="197"/>
      <c r="AC108" s="197"/>
      <c r="AD108" s="197"/>
      <c r="AE108" s="197"/>
      <c r="AF108" s="197"/>
      <c r="AG108" s="341"/>
      <c r="AH108" s="196"/>
      <c r="AJ108" s="190"/>
      <c r="AK108" s="1666" t="s">
        <v>1657</v>
      </c>
      <c r="AL108" s="65"/>
      <c r="AM108" s="197"/>
      <c r="AN108" s="197"/>
      <c r="AO108" s="197"/>
      <c r="AP108" s="197"/>
      <c r="AQ108" s="197"/>
      <c r="AR108" s="197"/>
      <c r="AS108" s="197"/>
      <c r="AT108" s="197"/>
      <c r="AU108" s="197"/>
      <c r="AV108" s="197"/>
      <c r="AW108" s="197"/>
      <c r="AX108" s="341"/>
      <c r="AY108" s="196"/>
      <c r="AZ108" s="54"/>
      <c r="BA108" s="1677"/>
      <c r="BB108" s="54"/>
      <c r="BC108" s="54"/>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45" customFormat="1">
      <c r="B109" s="1665"/>
      <c r="C109" s="2463" t="s">
        <v>1655</v>
      </c>
      <c r="D109" s="2464"/>
      <c r="E109" s="2458">
        <f ca="1">Transfer!D120</f>
        <v>0.96963227363200399</v>
      </c>
      <c r="F109" s="2458">
        <f ca="1">Transfer!E120</f>
        <v>-0.78411506227766825</v>
      </c>
      <c r="G109" s="2458">
        <f ca="1">Transfer!F120</f>
        <v>2.0301694952880922</v>
      </c>
      <c r="H109" s="2458">
        <f ca="1">Transfer!G120</f>
        <v>0.52436901653614143</v>
      </c>
      <c r="I109" s="2458">
        <f ca="1">Transfer!H120</f>
        <v>0.99892643016384974</v>
      </c>
      <c r="J109" s="2458">
        <f ca="1">Transfer!I120</f>
        <v>0.99737581391350105</v>
      </c>
      <c r="K109" s="2458">
        <f ca="1">Transfer!J120</f>
        <v>0.86426948405353454</v>
      </c>
      <c r="L109" s="2458">
        <f ca="1">Transfer!K120</f>
        <v>0.59457503831887559</v>
      </c>
      <c r="M109" s="2458">
        <f ca="1">Transfer!L120</f>
        <v>0.8079110092352495</v>
      </c>
      <c r="N109" s="2458">
        <f ca="1">Transfer!M120</f>
        <v>0.93684187936210372</v>
      </c>
      <c r="O109" s="2458">
        <f ca="1">Transfer!N120</f>
        <v>0.94052166190287134</v>
      </c>
      <c r="P109" s="2459">
        <f ca="1">Transfer!O120</f>
        <v>0.92032399104302232</v>
      </c>
      <c r="Q109" s="2465"/>
      <c r="S109" s="190"/>
      <c r="T109" s="2463" t="s">
        <v>1655</v>
      </c>
      <c r="U109" s="207"/>
      <c r="V109" s="202">
        <f t="shared" ref="V109:AG113" ca="1" si="8">ROUND(E109,1)-ROUND(AM109,1)</f>
        <v>10000</v>
      </c>
      <c r="W109" s="202">
        <f t="shared" ca="1" si="8"/>
        <v>9998.2000000000007</v>
      </c>
      <c r="X109" s="202">
        <f t="shared" ca="1" si="8"/>
        <v>10001</v>
      </c>
      <c r="Y109" s="202">
        <f t="shared" ca="1" si="8"/>
        <v>9999.5</v>
      </c>
      <c r="Z109" s="202">
        <f t="shared" ca="1" si="8"/>
        <v>10000</v>
      </c>
      <c r="AA109" s="202">
        <f t="shared" ca="1" si="8"/>
        <v>10000</v>
      </c>
      <c r="AB109" s="202">
        <f t="shared" ca="1" si="8"/>
        <v>9999.9</v>
      </c>
      <c r="AC109" s="202">
        <f t="shared" ca="1" si="8"/>
        <v>9999.6</v>
      </c>
      <c r="AD109" s="202">
        <f t="shared" ca="1" si="8"/>
        <v>9999.7999999999993</v>
      </c>
      <c r="AE109" s="202">
        <f t="shared" ca="1" si="8"/>
        <v>9999.9</v>
      </c>
      <c r="AF109" s="202">
        <f t="shared" ca="1" si="8"/>
        <v>9999.9</v>
      </c>
      <c r="AG109" s="345">
        <f t="shared" ca="1" si="8"/>
        <v>9999.9</v>
      </c>
      <c r="AH109" s="208"/>
      <c r="AJ109" s="190"/>
      <c r="AK109" s="2463" t="s">
        <v>1655</v>
      </c>
      <c r="AL109" s="207"/>
      <c r="AM109" s="202">
        <f>Transfer!AD120</f>
        <v>-9999</v>
      </c>
      <c r="AN109" s="202">
        <f>Transfer!AE120</f>
        <v>-9999</v>
      </c>
      <c r="AO109" s="202">
        <f>Transfer!AF120</f>
        <v>-9999</v>
      </c>
      <c r="AP109" s="202">
        <f>Transfer!AG120</f>
        <v>-9999</v>
      </c>
      <c r="AQ109" s="202">
        <f>Transfer!AH120</f>
        <v>-9999</v>
      </c>
      <c r="AR109" s="202">
        <f>Transfer!AI120</f>
        <v>-9999</v>
      </c>
      <c r="AS109" s="202">
        <f>Transfer!AJ120</f>
        <v>-9999</v>
      </c>
      <c r="AT109" s="202">
        <f>Transfer!AK120</f>
        <v>-9999</v>
      </c>
      <c r="AU109" s="202">
        <f>Transfer!AL120</f>
        <v>-9999</v>
      </c>
      <c r="AV109" s="202">
        <f>Transfer!AM120</f>
        <v>-9999</v>
      </c>
      <c r="AW109" s="202">
        <f>Transfer!AN120</f>
        <v>-9999</v>
      </c>
      <c r="AX109" s="345">
        <f>Transfer!AO120</f>
        <v>-9999</v>
      </c>
      <c r="AY109" s="208"/>
      <c r="AZ109" s="54"/>
      <c r="BA109" s="1677" t="s">
        <v>951</v>
      </c>
      <c r="BB109" s="54"/>
      <c r="BC109" s="54"/>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45" customFormat="1">
      <c r="B110" s="1665"/>
      <c r="C110" s="1666" t="s">
        <v>490</v>
      </c>
      <c r="D110" s="2351"/>
      <c r="E110" s="2453">
        <f ca="1">Transfer!D121</f>
        <v>4.7914073535376023</v>
      </c>
      <c r="F110" s="2453">
        <f ca="1">Transfer!E121</f>
        <v>3.7902547745198856</v>
      </c>
      <c r="G110" s="2453">
        <f ca="1">Transfer!F121</f>
        <v>2.7967442039887436</v>
      </c>
      <c r="H110" s="2453">
        <f ca="1">Transfer!G121</f>
        <v>2.593065145601936</v>
      </c>
      <c r="I110" s="2453">
        <f ca="1">Transfer!H121</f>
        <v>0.4</v>
      </c>
      <c r="J110" s="2453">
        <f ca="1">Transfer!I121</f>
        <v>0.4</v>
      </c>
      <c r="K110" s="2453">
        <f ca="1">Transfer!J121</f>
        <v>0.55000000000000004</v>
      </c>
      <c r="L110" s="2453">
        <f ca="1">Transfer!K121</f>
        <v>0.9</v>
      </c>
      <c r="M110" s="2453">
        <f ca="1">Transfer!L121</f>
        <v>1.34</v>
      </c>
      <c r="N110" s="2453">
        <f ca="1">Transfer!M121</f>
        <v>1.3</v>
      </c>
      <c r="O110" s="2453">
        <f ca="1">Transfer!N121</f>
        <v>1.3</v>
      </c>
      <c r="P110" s="2454">
        <f ca="1">Transfer!O121</f>
        <v>1.3</v>
      </c>
      <c r="Q110" s="2452"/>
      <c r="S110" s="190"/>
      <c r="T110" s="1666" t="s">
        <v>490</v>
      </c>
      <c r="U110" s="65"/>
      <c r="V110" s="195">
        <f t="shared" ca="1" si="8"/>
        <v>10003.799999999999</v>
      </c>
      <c r="W110" s="195">
        <f t="shared" ca="1" si="8"/>
        <v>10002.799999999999</v>
      </c>
      <c r="X110" s="195">
        <f t="shared" ca="1" si="8"/>
        <v>10001.799999999999</v>
      </c>
      <c r="Y110" s="195">
        <f t="shared" ca="1" si="8"/>
        <v>10001.6</v>
      </c>
      <c r="Z110" s="195">
        <f t="shared" ca="1" si="8"/>
        <v>9999.4</v>
      </c>
      <c r="AA110" s="195">
        <f t="shared" ca="1" si="8"/>
        <v>9999.4</v>
      </c>
      <c r="AB110" s="195">
        <f t="shared" ca="1" si="8"/>
        <v>9999.6</v>
      </c>
      <c r="AC110" s="195">
        <f t="shared" ca="1" si="8"/>
        <v>9999.9</v>
      </c>
      <c r="AD110" s="195">
        <f t="shared" ca="1" si="8"/>
        <v>10000.299999999999</v>
      </c>
      <c r="AE110" s="195">
        <f t="shared" ca="1" si="8"/>
        <v>10000.299999999999</v>
      </c>
      <c r="AF110" s="195">
        <f t="shared" ca="1" si="8"/>
        <v>10000.299999999999</v>
      </c>
      <c r="AG110" s="358">
        <f t="shared" ca="1" si="8"/>
        <v>10000.299999999999</v>
      </c>
      <c r="AH110" s="196"/>
      <c r="AJ110" s="190"/>
      <c r="AK110" s="1666" t="s">
        <v>490</v>
      </c>
      <c r="AL110" s="65"/>
      <c r="AM110" s="197">
        <f>Transfer!AD121</f>
        <v>-9999</v>
      </c>
      <c r="AN110" s="197">
        <f>Transfer!AE121</f>
        <v>-9999</v>
      </c>
      <c r="AO110" s="197">
        <f>Transfer!AF121</f>
        <v>-9999</v>
      </c>
      <c r="AP110" s="197">
        <f>Transfer!AG121</f>
        <v>-9999</v>
      </c>
      <c r="AQ110" s="197">
        <f>Transfer!AH121</f>
        <v>-9999</v>
      </c>
      <c r="AR110" s="197">
        <f>Transfer!AI121</f>
        <v>-9999</v>
      </c>
      <c r="AS110" s="197">
        <f>Transfer!AJ121</f>
        <v>-9999</v>
      </c>
      <c r="AT110" s="197">
        <f>Transfer!AK121</f>
        <v>-9999</v>
      </c>
      <c r="AU110" s="197">
        <f>Transfer!AL121</f>
        <v>-9999</v>
      </c>
      <c r="AV110" s="197">
        <f>Transfer!AM121</f>
        <v>-9999</v>
      </c>
      <c r="AW110" s="197">
        <f>Transfer!AN121</f>
        <v>-9999</v>
      </c>
      <c r="AX110" s="341">
        <f>Transfer!AO121</f>
        <v>-9999</v>
      </c>
      <c r="AY110" s="196"/>
      <c r="AZ110" s="54"/>
      <c r="BA110" s="1677" t="s">
        <v>271</v>
      </c>
      <c r="BB110" s="54"/>
      <c r="BC110" s="54"/>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45" customFormat="1">
      <c r="B111" s="1665"/>
      <c r="C111" s="2466" t="s">
        <v>1139</v>
      </c>
      <c r="D111" s="2467"/>
      <c r="E111" s="2458">
        <f ca="1">Transfer!D122</f>
        <v>2.6623883444627463</v>
      </c>
      <c r="F111" s="2458">
        <f ca="1">Transfer!E122</f>
        <v>1.2840006757898377</v>
      </c>
      <c r="G111" s="2458">
        <f ca="1">Transfer!F122</f>
        <v>2.385321100917432</v>
      </c>
      <c r="H111" s="2458">
        <f ca="1">Transfer!G122</f>
        <v>1.4866405995438448</v>
      </c>
      <c r="I111" s="2458">
        <f ca="1">Transfer!H122</f>
        <v>0.7172934141349282</v>
      </c>
      <c r="J111" s="2458">
        <f ca="1">Transfer!I122</f>
        <v>0.71735688560220434</v>
      </c>
      <c r="K111" s="2458">
        <f ca="1">Transfer!J122</f>
        <v>0.71742036040082702</v>
      </c>
      <c r="L111" s="2458">
        <f ca="1">Transfer!K122</f>
        <v>0.73705413590036328</v>
      </c>
      <c r="M111" s="2458">
        <f ca="1">Transfer!L122</f>
        <v>1.0565291535579697</v>
      </c>
      <c r="N111" s="2458">
        <f ca="1">Transfer!M122</f>
        <v>1.107003192825434</v>
      </c>
      <c r="O111" s="2458">
        <f ca="1">Transfer!N122</f>
        <v>1.1092802960500661</v>
      </c>
      <c r="P111" s="2459">
        <f ca="1">Transfer!O122</f>
        <v>1.0989007179173624</v>
      </c>
      <c r="Q111" s="2460"/>
      <c r="S111" s="190"/>
      <c r="T111" s="2466" t="s">
        <v>1139</v>
      </c>
      <c r="U111" s="210"/>
      <c r="V111" s="202">
        <f t="shared" ca="1" si="8"/>
        <v>10001.700000000001</v>
      </c>
      <c r="W111" s="202">
        <f t="shared" ca="1" si="8"/>
        <v>10000.299999999999</v>
      </c>
      <c r="X111" s="202">
        <f t="shared" ca="1" si="8"/>
        <v>10001.4</v>
      </c>
      <c r="Y111" s="202">
        <f t="shared" ca="1" si="8"/>
        <v>10000.5</v>
      </c>
      <c r="Z111" s="202">
        <f t="shared" ca="1" si="8"/>
        <v>9999.7000000000007</v>
      </c>
      <c r="AA111" s="202">
        <f t="shared" ca="1" si="8"/>
        <v>9999.7000000000007</v>
      </c>
      <c r="AB111" s="202">
        <f t="shared" ca="1" si="8"/>
        <v>9999.7000000000007</v>
      </c>
      <c r="AC111" s="202">
        <f t="shared" ca="1" si="8"/>
        <v>9999.7000000000007</v>
      </c>
      <c r="AD111" s="202">
        <f t="shared" ca="1" si="8"/>
        <v>10000.1</v>
      </c>
      <c r="AE111" s="202">
        <f t="shared" ca="1" si="8"/>
        <v>10000.1</v>
      </c>
      <c r="AF111" s="202">
        <f t="shared" ca="1" si="8"/>
        <v>10000.1</v>
      </c>
      <c r="AG111" s="345">
        <f t="shared" ca="1" si="8"/>
        <v>10000.1</v>
      </c>
      <c r="AH111" s="203"/>
      <c r="AJ111" s="190"/>
      <c r="AK111" s="2466" t="s">
        <v>1139</v>
      </c>
      <c r="AL111" s="210"/>
      <c r="AM111" s="202">
        <f>Transfer!AD122</f>
        <v>-9999</v>
      </c>
      <c r="AN111" s="202">
        <f>Transfer!AE122</f>
        <v>-9999</v>
      </c>
      <c r="AO111" s="202">
        <f>Transfer!AF122</f>
        <v>-9999</v>
      </c>
      <c r="AP111" s="202">
        <f>Transfer!AG122</f>
        <v>-9999</v>
      </c>
      <c r="AQ111" s="202">
        <f>Transfer!AH122</f>
        <v>-9999</v>
      </c>
      <c r="AR111" s="202">
        <f>Transfer!AI122</f>
        <v>-9999</v>
      </c>
      <c r="AS111" s="202">
        <f>Transfer!AJ122</f>
        <v>-9999</v>
      </c>
      <c r="AT111" s="202">
        <f>Transfer!AK122</f>
        <v>-9999</v>
      </c>
      <c r="AU111" s="202">
        <f>Transfer!AL122</f>
        <v>-9999</v>
      </c>
      <c r="AV111" s="202">
        <f>Transfer!AM122</f>
        <v>-9999</v>
      </c>
      <c r="AW111" s="202">
        <f>Transfer!AN122</f>
        <v>-9999</v>
      </c>
      <c r="AX111" s="345">
        <f>Transfer!AO122</f>
        <v>-9999</v>
      </c>
      <c r="AY111" s="203"/>
      <c r="AZ111" s="54"/>
      <c r="BA111" s="1677" t="s">
        <v>952</v>
      </c>
      <c r="BB111" s="54"/>
      <c r="BC111" s="54"/>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45" customFormat="1">
      <c r="B112" s="1665"/>
      <c r="C112" s="2468" t="s">
        <v>263</v>
      </c>
      <c r="D112" s="2349"/>
      <c r="E112" s="2453">
        <f ca="1">Transfer!D123</f>
        <v>6.1610076670317593</v>
      </c>
      <c r="F112" s="2453">
        <f ca="1">Transfer!E123</f>
        <v>2.1382512251741037</v>
      </c>
      <c r="G112" s="2453">
        <f ca="1">Transfer!F123</f>
        <v>3.3043763731407383</v>
      </c>
      <c r="H112" s="2453">
        <f ca="1">Transfer!G123</f>
        <v>2.9872272810609335</v>
      </c>
      <c r="I112" s="2453">
        <f ca="1">Transfer!H123</f>
        <v>0.8</v>
      </c>
      <c r="J112" s="2453">
        <f ca="1">Transfer!I123</f>
        <v>0.8</v>
      </c>
      <c r="K112" s="2453">
        <f ca="1">Transfer!J123</f>
        <v>0.8</v>
      </c>
      <c r="L112" s="2453">
        <f ca="1">Transfer!K123</f>
        <v>0.75</v>
      </c>
      <c r="M112" s="2453">
        <f ca="1">Transfer!L123</f>
        <v>1.5</v>
      </c>
      <c r="N112" s="2453">
        <f ca="1">Transfer!M123</f>
        <v>1.6</v>
      </c>
      <c r="O112" s="2453">
        <f ca="1">Transfer!N123</f>
        <v>1.6</v>
      </c>
      <c r="P112" s="2454">
        <f ca="1">Transfer!O123</f>
        <v>1.6</v>
      </c>
      <c r="Q112" s="2452"/>
      <c r="S112" s="190"/>
      <c r="T112" s="2468" t="s">
        <v>263</v>
      </c>
      <c r="U112" s="63"/>
      <c r="V112" s="195">
        <f t="shared" ca="1" si="8"/>
        <v>10005.200000000001</v>
      </c>
      <c r="W112" s="195">
        <f t="shared" ca="1" si="8"/>
        <v>10001.1</v>
      </c>
      <c r="X112" s="195">
        <f t="shared" ca="1" si="8"/>
        <v>10002.299999999999</v>
      </c>
      <c r="Y112" s="195">
        <f t="shared" ca="1" si="8"/>
        <v>10002</v>
      </c>
      <c r="Z112" s="195">
        <f t="shared" ca="1" si="8"/>
        <v>9999.7999999999993</v>
      </c>
      <c r="AA112" s="195">
        <f t="shared" ca="1" si="8"/>
        <v>9999.7999999999993</v>
      </c>
      <c r="AB112" s="195">
        <f t="shared" ca="1" si="8"/>
        <v>9999.7999999999993</v>
      </c>
      <c r="AC112" s="195">
        <f t="shared" ca="1" si="8"/>
        <v>9999.7999999999993</v>
      </c>
      <c r="AD112" s="195">
        <f t="shared" ca="1" si="8"/>
        <v>10000.5</v>
      </c>
      <c r="AE112" s="195">
        <f t="shared" ca="1" si="8"/>
        <v>10000.6</v>
      </c>
      <c r="AF112" s="195">
        <f t="shared" ca="1" si="8"/>
        <v>10000.6</v>
      </c>
      <c r="AG112" s="358">
        <f t="shared" ca="1" si="8"/>
        <v>10000.6</v>
      </c>
      <c r="AH112" s="196"/>
      <c r="AJ112" s="190"/>
      <c r="AK112" s="2468" t="s">
        <v>263</v>
      </c>
      <c r="AL112" s="63"/>
      <c r="AM112" s="197">
        <f>Transfer!AD123</f>
        <v>-9999</v>
      </c>
      <c r="AN112" s="197">
        <f>Transfer!AE123</f>
        <v>-9999</v>
      </c>
      <c r="AO112" s="197">
        <f>Transfer!AF123</f>
        <v>-9999</v>
      </c>
      <c r="AP112" s="197">
        <f>Transfer!AG123</f>
        <v>-9999</v>
      </c>
      <c r="AQ112" s="197">
        <f>Transfer!AH123</f>
        <v>-9999</v>
      </c>
      <c r="AR112" s="197">
        <f>Transfer!AI123</f>
        <v>-9999</v>
      </c>
      <c r="AS112" s="197">
        <f>Transfer!AJ123</f>
        <v>-9999</v>
      </c>
      <c r="AT112" s="197">
        <f>Transfer!AK123</f>
        <v>-9999</v>
      </c>
      <c r="AU112" s="197">
        <f>Transfer!AL123</f>
        <v>-9999</v>
      </c>
      <c r="AV112" s="197">
        <f>Transfer!AM123</f>
        <v>-9999</v>
      </c>
      <c r="AW112" s="197">
        <f>Transfer!AN123</f>
        <v>-9999</v>
      </c>
      <c r="AX112" s="341">
        <f>Transfer!AO123</f>
        <v>-9999</v>
      </c>
      <c r="AY112" s="196"/>
      <c r="AZ112" s="54"/>
      <c r="BA112" s="1677" t="s">
        <v>953</v>
      </c>
      <c r="BB112" s="54"/>
      <c r="BC112" s="54"/>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2:256" s="45" customFormat="1" ht="13.5" thickBot="1">
      <c r="B113" s="1665"/>
      <c r="C113" s="2469" t="s">
        <v>221</v>
      </c>
      <c r="D113" s="2470"/>
      <c r="E113" s="2471">
        <f ca="1">Transfer!D124</f>
        <v>1.0859769800257935</v>
      </c>
      <c r="F113" s="2471">
        <f ca="1">Transfer!E124</f>
        <v>0.71771144840040435</v>
      </c>
      <c r="G113" s="2471">
        <f ca="1">Transfer!F124</f>
        <v>0.54789302080648916</v>
      </c>
      <c r="H113" s="2471">
        <f ca="1">Transfer!G124</f>
        <v>1.3505683084466202</v>
      </c>
      <c r="I113" s="2471">
        <f ca="1">Transfer!H124</f>
        <v>0.64000000000000046</v>
      </c>
      <c r="J113" s="2471">
        <f ca="1">Transfer!I124</f>
        <v>0.64000000000000268</v>
      </c>
      <c r="K113" s="2471">
        <f ca="1">Transfer!J124</f>
        <v>0.63999999999999979</v>
      </c>
      <c r="L113" s="2471">
        <f ca="1">Transfer!K124</f>
        <v>0.72489778708730856</v>
      </c>
      <c r="M113" s="2471">
        <f ca="1">Transfer!L124</f>
        <v>0.64000000000000046</v>
      </c>
      <c r="N113" s="2471">
        <f ca="1">Transfer!M124</f>
        <v>0.64000000000000123</v>
      </c>
      <c r="O113" s="2471">
        <f ca="1">Transfer!N124</f>
        <v>0.64000000000000123</v>
      </c>
      <c r="P113" s="2472">
        <f ca="1">Transfer!O124</f>
        <v>0.61512319845919095</v>
      </c>
      <c r="Q113" s="2460"/>
      <c r="S113" s="190"/>
      <c r="T113" s="2469" t="s">
        <v>221</v>
      </c>
      <c r="U113" s="1784"/>
      <c r="V113" s="371">
        <f t="shared" ca="1" si="8"/>
        <v>-0.19999999999999996</v>
      </c>
      <c r="W113" s="371">
        <f t="shared" ca="1" si="8"/>
        <v>0</v>
      </c>
      <c r="X113" s="371">
        <f t="shared" ca="1" si="8"/>
        <v>-9.9999999999999978E-2</v>
      </c>
      <c r="Y113" s="371">
        <f t="shared" ca="1" si="8"/>
        <v>0.7</v>
      </c>
      <c r="Z113" s="371">
        <f t="shared" ca="1" si="8"/>
        <v>-0.30000000000000004</v>
      </c>
      <c r="AA113" s="371">
        <f t="shared" ca="1" si="8"/>
        <v>-0.4</v>
      </c>
      <c r="AB113" s="371">
        <f t="shared" ca="1" si="8"/>
        <v>-0.4</v>
      </c>
      <c r="AC113" s="371">
        <f t="shared" ca="1" si="8"/>
        <v>-0.30000000000000004</v>
      </c>
      <c r="AD113" s="371">
        <f t="shared" ca="1" si="8"/>
        <v>-0.30000000000000004</v>
      </c>
      <c r="AE113" s="371">
        <f t="shared" ca="1" si="8"/>
        <v>-0.30000000000000004</v>
      </c>
      <c r="AF113" s="371">
        <f t="shared" ca="1" si="8"/>
        <v>-0.30000000000000004</v>
      </c>
      <c r="AG113" s="372">
        <f t="shared" ca="1" si="8"/>
        <v>-0.30000000000000004</v>
      </c>
      <c r="AH113" s="203"/>
      <c r="AJ113" s="190"/>
      <c r="AK113" s="2469" t="s">
        <v>221</v>
      </c>
      <c r="AL113" s="1784"/>
      <c r="AM113" s="371">
        <f>Transfer!AD124</f>
        <v>1.3274296767201044</v>
      </c>
      <c r="AN113" s="371">
        <f>Transfer!AE124</f>
        <v>0.65827731385639243</v>
      </c>
      <c r="AO113" s="371">
        <f>Transfer!AF124</f>
        <v>0.55097498174093107</v>
      </c>
      <c r="AP113" s="371">
        <f>Transfer!AG124</f>
        <v>0.65245996286750474</v>
      </c>
      <c r="AQ113" s="371">
        <f>Transfer!AH124</f>
        <v>0.9048774582723097</v>
      </c>
      <c r="AR113" s="371">
        <f>Transfer!AI124</f>
        <v>1.0254289488434061</v>
      </c>
      <c r="AS113" s="371">
        <f>Transfer!AJ124</f>
        <v>1.0384112999085053</v>
      </c>
      <c r="AT113" s="371">
        <f>Transfer!AK124</f>
        <v>1.0282209125557213</v>
      </c>
      <c r="AU113" s="371">
        <f>Transfer!AL124</f>
        <v>0.85916693003306777</v>
      </c>
      <c r="AV113" s="371">
        <f>Transfer!AM124</f>
        <v>0.85487385952160422</v>
      </c>
      <c r="AW113" s="371">
        <f>Transfer!AN124</f>
        <v>0.90795138538825038</v>
      </c>
      <c r="AX113" s="372">
        <f>Transfer!AO124</f>
        <v>0.86473203465440174</v>
      </c>
      <c r="AY113" s="203"/>
      <c r="AZ113" s="54"/>
      <c r="BA113" s="1677" t="s">
        <v>222</v>
      </c>
      <c r="BB113" s="54"/>
      <c r="BC113" s="54"/>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2:256" s="45" customFormat="1" ht="13.5" thickBot="1">
      <c r="B114" s="1665"/>
      <c r="C114" s="2468"/>
      <c r="D114" s="2349"/>
      <c r="E114" s="2351"/>
      <c r="F114" s="2351"/>
      <c r="G114" s="2351"/>
      <c r="H114" s="2351"/>
      <c r="I114" s="2351"/>
      <c r="J114" s="2351"/>
      <c r="K114" s="2351"/>
      <c r="L114" s="2351"/>
      <c r="M114" s="2351"/>
      <c r="N114" s="2351"/>
      <c r="O114" s="2351"/>
      <c r="P114" s="2473"/>
      <c r="Q114" s="2452"/>
      <c r="S114" s="190"/>
      <c r="T114" s="2468"/>
      <c r="U114" s="63"/>
      <c r="V114" s="65"/>
      <c r="W114" s="65"/>
      <c r="X114" s="65"/>
      <c r="Y114" s="65"/>
      <c r="Z114" s="65"/>
      <c r="AA114" s="49"/>
      <c r="AB114" s="65"/>
      <c r="AC114" s="65"/>
      <c r="AD114" s="65"/>
      <c r="AE114" s="65"/>
      <c r="AF114" s="65"/>
      <c r="AG114" s="1783"/>
      <c r="AH114" s="196"/>
      <c r="AJ114" s="190"/>
      <c r="AK114" s="2468"/>
      <c r="AL114" s="63"/>
      <c r="AM114" s="65"/>
      <c r="AN114" s="65"/>
      <c r="AO114" s="65"/>
      <c r="AP114" s="65"/>
      <c r="AQ114" s="65"/>
      <c r="AR114" s="49"/>
      <c r="AS114" s="65"/>
      <c r="AT114" s="65"/>
      <c r="AU114" s="65"/>
      <c r="AV114" s="65"/>
      <c r="AW114" s="65"/>
      <c r="AX114" s="1783"/>
      <c r="AY114" s="196"/>
      <c r="AZ114" s="54"/>
      <c r="BA114" s="1677"/>
      <c r="BB114" s="54"/>
      <c r="BC114" s="5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2:256" s="45" customFormat="1">
      <c r="B115" s="1665"/>
      <c r="C115" s="2474"/>
      <c r="D115" s="2475"/>
      <c r="E115" s="3751" t="s">
        <v>349</v>
      </c>
      <c r="F115" s="3751"/>
      <c r="G115" s="3751"/>
      <c r="H115" s="3751"/>
      <c r="I115" s="3751"/>
      <c r="J115" s="3751"/>
      <c r="K115" s="3751"/>
      <c r="L115" s="3751"/>
      <c r="M115" s="3751"/>
      <c r="N115" s="3751"/>
      <c r="O115" s="3751"/>
      <c r="P115" s="3751"/>
      <c r="Q115" s="2348"/>
      <c r="S115" s="190"/>
      <c r="T115" s="2474"/>
      <c r="U115" s="212"/>
      <c r="V115" s="3751" t="s">
        <v>349</v>
      </c>
      <c r="W115" s="3751"/>
      <c r="X115" s="3751"/>
      <c r="Y115" s="3751"/>
      <c r="Z115" s="3751"/>
      <c r="AA115" s="3751"/>
      <c r="AB115" s="3751"/>
      <c r="AC115" s="3751"/>
      <c r="AD115" s="3751"/>
      <c r="AE115" s="3751"/>
      <c r="AF115" s="3751"/>
      <c r="AG115" s="3751"/>
      <c r="AH115" s="62"/>
      <c r="AJ115" s="190"/>
      <c r="AK115" s="2474"/>
      <c r="AL115" s="2475"/>
      <c r="AM115" s="3751" t="s">
        <v>349</v>
      </c>
      <c r="AN115" s="3751"/>
      <c r="AO115" s="3751"/>
      <c r="AP115" s="3751"/>
      <c r="AQ115" s="3751"/>
      <c r="AR115" s="3751"/>
      <c r="AS115" s="3751"/>
      <c r="AT115" s="3751"/>
      <c r="AU115" s="3751"/>
      <c r="AV115" s="3751"/>
      <c r="AW115" s="3751"/>
      <c r="AX115" s="3751"/>
      <c r="AY115" s="62"/>
      <c r="AZ115" s="54"/>
      <c r="BA115" s="1677"/>
      <c r="BB115" s="54"/>
      <c r="BC115" s="54"/>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2:256" s="45" customFormat="1">
      <c r="B116" s="1665"/>
      <c r="C116" s="3027"/>
      <c r="D116" s="2545"/>
      <c r="E116" s="3751" t="s">
        <v>350</v>
      </c>
      <c r="F116" s="3751"/>
      <c r="G116" s="3751"/>
      <c r="H116" s="3751"/>
      <c r="I116" s="3751"/>
      <c r="J116" s="3751"/>
      <c r="K116" s="3751"/>
      <c r="L116" s="3751"/>
      <c r="M116" s="3751"/>
      <c r="N116" s="3751"/>
      <c r="O116" s="3751"/>
      <c r="P116" s="3751"/>
      <c r="Q116" s="2348"/>
      <c r="S116" s="190"/>
      <c r="T116" s="3027"/>
      <c r="U116" s="63"/>
      <c r="V116" s="3751" t="s">
        <v>350</v>
      </c>
      <c r="W116" s="3751"/>
      <c r="X116" s="3751"/>
      <c r="Y116" s="3751"/>
      <c r="Z116" s="3751"/>
      <c r="AA116" s="3751"/>
      <c r="AB116" s="3751"/>
      <c r="AC116" s="3751"/>
      <c r="AD116" s="3751"/>
      <c r="AE116" s="3751"/>
      <c r="AF116" s="3751"/>
      <c r="AG116" s="3751"/>
      <c r="AH116" s="62"/>
      <c r="AJ116" s="190"/>
      <c r="AK116" s="3027"/>
      <c r="AL116" s="2545"/>
      <c r="AM116" s="3751" t="s">
        <v>350</v>
      </c>
      <c r="AN116" s="3751"/>
      <c r="AO116" s="3751"/>
      <c r="AP116" s="3751"/>
      <c r="AQ116" s="3751"/>
      <c r="AR116" s="3751"/>
      <c r="AS116" s="3751"/>
      <c r="AT116" s="3751"/>
      <c r="AU116" s="3751"/>
      <c r="AV116" s="3751"/>
      <c r="AW116" s="3751"/>
      <c r="AX116" s="3751"/>
      <c r="AY116" s="62"/>
      <c r="AZ116" s="54"/>
      <c r="BA116" s="1677"/>
      <c r="BB116" s="54"/>
      <c r="BC116" s="54"/>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2:256" s="45" customFormat="1">
      <c r="B117" s="1665"/>
      <c r="C117" s="3025" t="s">
        <v>1034</v>
      </c>
      <c r="D117" s="3026"/>
      <c r="E117" s="2740">
        <f ca="1">Transfer!D125</f>
        <v>2.9554663441353313</v>
      </c>
      <c r="F117" s="2740">
        <f ca="1">Transfer!E125</f>
        <v>3.4071082454399431</v>
      </c>
      <c r="G117" s="2740">
        <f ca="1">Transfer!F125</f>
        <v>4.4491285396125306</v>
      </c>
      <c r="H117" s="2740">
        <f ca="1">Transfer!G125</f>
        <v>4.0591318491850217</v>
      </c>
      <c r="I117" s="2740">
        <f ca="1">Transfer!H125</f>
        <v>3.2003427940795461</v>
      </c>
      <c r="J117" s="2740">
        <f ca="1">Transfer!I125</f>
        <v>2.7000996405354982</v>
      </c>
      <c r="K117" s="2740">
        <f ca="1">Transfer!J125</f>
        <v>2.6728413706528471</v>
      </c>
      <c r="L117" s="2740">
        <f ca="1">Transfer!K125</f>
        <v>2.6731374763846674</v>
      </c>
      <c r="M117" s="2740">
        <f ca="1">Transfer!L125</f>
        <v>2.7085884536913909</v>
      </c>
      <c r="N117" s="2740">
        <f ca="1">Transfer!M125</f>
        <v>2.5208338919720461</v>
      </c>
      <c r="O117" s="2740">
        <f ca="1">Transfer!N125</f>
        <v>2.2255013487630464</v>
      </c>
      <c r="P117" s="2746">
        <f ca="1">Transfer!O125</f>
        <v>1.939395359138814</v>
      </c>
      <c r="Q117" s="2452"/>
      <c r="S117" s="190"/>
      <c r="T117" s="3025" t="s">
        <v>1034</v>
      </c>
      <c r="U117" s="57"/>
      <c r="V117" s="195">
        <f t="shared" ref="V117:AG123" ca="1" si="9">ROUND(E117,1)-ROUND(AM117,1)</f>
        <v>0.79999999999999982</v>
      </c>
      <c r="W117" s="195">
        <f t="shared" ca="1" si="9"/>
        <v>2</v>
      </c>
      <c r="X117" s="195">
        <f t="shared" ca="1" si="9"/>
        <v>3.9000000000000004</v>
      </c>
      <c r="Y117" s="195">
        <f t="shared" ca="1" si="9"/>
        <v>2.6999999999999997</v>
      </c>
      <c r="Z117" s="195">
        <f t="shared" ca="1" si="9"/>
        <v>1.2000000000000002</v>
      </c>
      <c r="AA117" s="195">
        <f t="shared" ca="1" si="9"/>
        <v>0.80000000000000027</v>
      </c>
      <c r="AB117" s="195">
        <f t="shared" ca="1" si="9"/>
        <v>0.40000000000000036</v>
      </c>
      <c r="AC117" s="195">
        <f t="shared" ca="1" si="9"/>
        <v>1.2000000000000002</v>
      </c>
      <c r="AD117" s="195">
        <f t="shared" ca="1" si="9"/>
        <v>0.70000000000000018</v>
      </c>
      <c r="AE117" s="195">
        <f t="shared" ca="1" si="9"/>
        <v>0.20000000000000018</v>
      </c>
      <c r="AF117" s="195">
        <f t="shared" ca="1" si="9"/>
        <v>-0.29999999999999982</v>
      </c>
      <c r="AG117" s="358">
        <f t="shared" ca="1" si="9"/>
        <v>-0.70000000000000018</v>
      </c>
      <c r="AH117" s="196"/>
      <c r="AJ117" s="190"/>
      <c r="AK117" s="3025" t="s">
        <v>1034</v>
      </c>
      <c r="AL117" s="3026"/>
      <c r="AM117" s="2740">
        <f>Transfer!AD125</f>
        <v>2.2134737160631772</v>
      </c>
      <c r="AN117" s="2740">
        <f>Transfer!AE125</f>
        <v>1.39533830231791</v>
      </c>
      <c r="AO117" s="2740">
        <f>Transfer!AF125</f>
        <v>0.49804025579864231</v>
      </c>
      <c r="AP117" s="2740">
        <f>Transfer!AG125</f>
        <v>1.4179761867012246</v>
      </c>
      <c r="AQ117" s="2740">
        <f>Transfer!AH125</f>
        <v>1.9671138069317493</v>
      </c>
      <c r="AR117" s="2740">
        <f>Transfer!AI125</f>
        <v>1.9129540310224797</v>
      </c>
      <c r="AS117" s="2740">
        <f>Transfer!AJ125</f>
        <v>2.2710103148114484</v>
      </c>
      <c r="AT117" s="2740">
        <f>Transfer!AK125</f>
        <v>1.5486865442106108</v>
      </c>
      <c r="AU117" s="2740">
        <f>Transfer!AL125</f>
        <v>2.0402918476092395</v>
      </c>
      <c r="AV117" s="2740">
        <f>Transfer!AM125</f>
        <v>2.2687971222933783</v>
      </c>
      <c r="AW117" s="2740">
        <f>Transfer!AN125</f>
        <v>2.5171582254108102</v>
      </c>
      <c r="AX117" s="2746">
        <f>Transfer!AO125</f>
        <v>2.640625269942646</v>
      </c>
      <c r="AY117" s="196"/>
      <c r="AZ117" s="54"/>
      <c r="BA117" s="1677" t="s">
        <v>1874</v>
      </c>
      <c r="BB117" s="54"/>
      <c r="BC117" s="54"/>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2:256" s="45" customFormat="1">
      <c r="B118" s="1665"/>
      <c r="C118" s="2373" t="s">
        <v>1937</v>
      </c>
      <c r="D118" s="2351"/>
      <c r="E118" s="2453">
        <f ca="1">+Transfer!D267</f>
        <v>0.30318174246211527</v>
      </c>
      <c r="F118" s="2453">
        <f ca="1">+Transfer!E267</f>
        <v>0.75598211937943915</v>
      </c>
      <c r="G118" s="2453">
        <f ca="1">+Transfer!F267</f>
        <v>0.95461396750964411</v>
      </c>
      <c r="H118" s="2453">
        <f ca="1">+Transfer!G267</f>
        <v>0.86144775630528159</v>
      </c>
      <c r="I118" s="2453">
        <f ca="1">+Transfer!H267</f>
        <v>0.50017933037722617</v>
      </c>
      <c r="J118" s="2453">
        <f ca="1">+Transfer!I267</f>
        <v>0.26043123305408145</v>
      </c>
      <c r="K118" s="2453">
        <f ca="1">+Transfer!J267</f>
        <v>1.1982917800306581</v>
      </c>
      <c r="L118" s="2453">
        <f ca="1">+Transfer!K267</f>
        <v>1.1634348438419595</v>
      </c>
      <c r="M118" s="2453">
        <f ca="1">+Transfer!L267</f>
        <v>1.7218447881152787</v>
      </c>
      <c r="N118" s="2453">
        <f ca="1">+Transfer!M267</f>
        <v>1.2585629927081454</v>
      </c>
      <c r="O118" s="2453">
        <f ca="1">+Transfer!N267</f>
        <v>0.80168970103717818</v>
      </c>
      <c r="P118" s="2454">
        <f ca="1">+Transfer!O267</f>
        <v>0.3529386997682904</v>
      </c>
      <c r="Q118" s="2452"/>
      <c r="S118" s="190"/>
      <c r="T118" s="2373" t="s">
        <v>1937</v>
      </c>
      <c r="U118" s="65"/>
      <c r="V118" s="197">
        <f t="shared" ca="1" si="9"/>
        <v>-1.4</v>
      </c>
      <c r="W118" s="197">
        <f t="shared" ca="1" si="9"/>
        <v>-0.5</v>
      </c>
      <c r="X118" s="197">
        <f t="shared" ca="1" si="9"/>
        <v>0.8</v>
      </c>
      <c r="Y118" s="197">
        <f t="shared" ca="1" si="9"/>
        <v>0.4</v>
      </c>
      <c r="Z118" s="197">
        <f t="shared" ca="1" si="9"/>
        <v>-0.8</v>
      </c>
      <c r="AA118" s="197">
        <f t="shared" ca="1" si="9"/>
        <v>-0.2</v>
      </c>
      <c r="AB118" s="197">
        <f t="shared" ca="1" si="9"/>
        <v>-0.60000000000000009</v>
      </c>
      <c r="AC118" s="197">
        <f t="shared" ca="1" si="9"/>
        <v>0.29999999999999993</v>
      </c>
      <c r="AD118" s="197">
        <f t="shared" ca="1" si="9"/>
        <v>0.7</v>
      </c>
      <c r="AE118" s="197">
        <f t="shared" ca="1" si="9"/>
        <v>0.4</v>
      </c>
      <c r="AF118" s="197">
        <f t="shared" ca="1" si="9"/>
        <v>0</v>
      </c>
      <c r="AG118" s="341">
        <f t="shared" ca="1" si="9"/>
        <v>-0.5</v>
      </c>
      <c r="AH118" s="196"/>
      <c r="AJ118" s="190"/>
      <c r="AK118" s="2373" t="s">
        <v>1937</v>
      </c>
      <c r="AL118" s="2351"/>
      <c r="AM118" s="2453">
        <f>+Transfer!AD267</f>
        <v>1.6630198817839954</v>
      </c>
      <c r="AN118" s="2453">
        <f>+Transfer!AE267</f>
        <v>1.256323503915695</v>
      </c>
      <c r="AO118" s="2453">
        <f>+Transfer!AF267</f>
        <v>0.17985189298335147</v>
      </c>
      <c r="AP118" s="2453">
        <f>+Transfer!AG267</f>
        <v>0.48219844810535317</v>
      </c>
      <c r="AQ118" s="2453">
        <f>+Transfer!AH267</f>
        <v>1.293250863781803</v>
      </c>
      <c r="AR118" s="2453">
        <f>+Transfer!AI267</f>
        <v>0.45767318152818426</v>
      </c>
      <c r="AS118" s="2453">
        <f>+Transfer!AJ267</f>
        <v>1.7547381290330621</v>
      </c>
      <c r="AT118" s="2453">
        <f>+Transfer!AK267</f>
        <v>0.90804538282844849</v>
      </c>
      <c r="AU118" s="2453">
        <f>+Transfer!AL267</f>
        <v>0.98274810154332926</v>
      </c>
      <c r="AV118" s="2453">
        <f>+Transfer!AM267</f>
        <v>0.89309343757149051</v>
      </c>
      <c r="AW118" s="2453">
        <f>+Transfer!AN267</f>
        <v>0.81132197694764319</v>
      </c>
      <c r="AX118" s="2454">
        <f>+Transfer!AO267</f>
        <v>0.86369435144708628</v>
      </c>
      <c r="AY118" s="196"/>
      <c r="AZ118" s="54"/>
      <c r="BA118" s="1677" t="s">
        <v>1980</v>
      </c>
      <c r="BB118" s="54"/>
      <c r="BC118" s="54"/>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2:256" s="45" customFormat="1">
      <c r="B119" s="1665"/>
      <c r="C119" s="2373" t="s">
        <v>871</v>
      </c>
      <c r="D119" s="2351"/>
      <c r="E119" s="2453">
        <f ca="1">+Transfer!D268</f>
        <v>5.9690174412306334</v>
      </c>
      <c r="F119" s="2453">
        <f ca="1">+Transfer!E268</f>
        <v>3.989104333178048</v>
      </c>
      <c r="G119" s="2453">
        <f ca="1">+Transfer!F268</f>
        <v>4.9638923335035372</v>
      </c>
      <c r="H119" s="2453">
        <f ca="1">+Transfer!G268</f>
        <v>3.8391031516604528</v>
      </c>
      <c r="I119" s="2453">
        <f ca="1">+Transfer!H268</f>
        <v>4.4749096980849057</v>
      </c>
      <c r="J119" s="2453">
        <f ca="1">+Transfer!I268</f>
        <v>5.8556735405155713</v>
      </c>
      <c r="K119" s="2453">
        <f ca="1">+Transfer!J268</f>
        <v>7.0405371486731649</v>
      </c>
      <c r="L119" s="2453">
        <f ca="1">+Transfer!K268</f>
        <v>4.8979942996721926</v>
      </c>
      <c r="M119" s="2453">
        <f ca="1">+Transfer!L268</f>
        <v>1.0805336799536436</v>
      </c>
      <c r="N119" s="2453">
        <f ca="1">+Transfer!M268</f>
        <v>1.2066220495791535</v>
      </c>
      <c r="O119" s="2453">
        <f ca="1">+Transfer!N268</f>
        <v>1.2066220495791535</v>
      </c>
      <c r="P119" s="2454">
        <f ca="1">+Transfer!O268</f>
        <v>1.2066220495791535</v>
      </c>
      <c r="Q119" s="2452"/>
      <c r="S119" s="190"/>
      <c r="T119" s="2373" t="s">
        <v>871</v>
      </c>
      <c r="U119" s="198"/>
      <c r="V119" s="197">
        <f t="shared" ca="1" si="9"/>
        <v>4.3</v>
      </c>
      <c r="W119" s="197">
        <f t="shared" ca="1" si="9"/>
        <v>5.0999999999999996</v>
      </c>
      <c r="X119" s="197">
        <f t="shared" ca="1" si="9"/>
        <v>8.5</v>
      </c>
      <c r="Y119" s="197">
        <f t="shared" ca="1" si="9"/>
        <v>4.3</v>
      </c>
      <c r="Z119" s="197">
        <f t="shared" ca="1" si="9"/>
        <v>4.7</v>
      </c>
      <c r="AA119" s="197">
        <f t="shared" ca="1" si="9"/>
        <v>4.7</v>
      </c>
      <c r="AB119" s="197">
        <f t="shared" ca="1" si="9"/>
        <v>5.5</v>
      </c>
      <c r="AC119" s="197">
        <f t="shared" ca="1" si="9"/>
        <v>4.9000000000000004</v>
      </c>
      <c r="AD119" s="197">
        <f t="shared" ca="1" si="9"/>
        <v>-0.29999999999999982</v>
      </c>
      <c r="AE119" s="197">
        <f t="shared" ca="1" si="9"/>
        <v>-1.0000000000000002</v>
      </c>
      <c r="AF119" s="197">
        <f t="shared" ca="1" si="9"/>
        <v>-2.2000000000000002</v>
      </c>
      <c r="AG119" s="341">
        <f t="shared" ca="1" si="9"/>
        <v>-2.5999999999999996</v>
      </c>
      <c r="AH119" s="196"/>
      <c r="AJ119" s="190"/>
      <c r="AK119" s="2373" t="s">
        <v>871</v>
      </c>
      <c r="AL119" s="2351"/>
      <c r="AM119" s="2453">
        <f>+Transfer!AD268</f>
        <v>1.6519042749865633</v>
      </c>
      <c r="AN119" s="2453">
        <f>+Transfer!AE268</f>
        <v>-1.1213109249616764</v>
      </c>
      <c r="AO119" s="2453">
        <f>+Transfer!AF268</f>
        <v>-3.5050684393386988</v>
      </c>
      <c r="AP119" s="2453">
        <f>+Transfer!AG268</f>
        <v>-0.53371695964132826</v>
      </c>
      <c r="AQ119" s="2453">
        <f>+Transfer!AH268</f>
        <v>-0.15544656656797384</v>
      </c>
      <c r="AR119" s="2453">
        <f>+Transfer!AI268</f>
        <v>1.1833414186617874</v>
      </c>
      <c r="AS119" s="2453">
        <f>+Transfer!AJ268</f>
        <v>1.5424490758541687</v>
      </c>
      <c r="AT119" s="2453">
        <f>+Transfer!AK268</f>
        <v>-3.5880231144402863E-2</v>
      </c>
      <c r="AU119" s="2453">
        <f>+Transfer!AL268</f>
        <v>1.4084981431489618</v>
      </c>
      <c r="AV119" s="2453">
        <f>+Transfer!AM268</f>
        <v>2.2181686795003319</v>
      </c>
      <c r="AW119" s="2453">
        <f>+Transfer!AN268</f>
        <v>3.4272708009092989</v>
      </c>
      <c r="AX119" s="2454">
        <f>+Transfer!AO268</f>
        <v>3.8319251861760106</v>
      </c>
      <c r="AY119" s="196"/>
      <c r="AZ119" s="54"/>
      <c r="BA119" s="1677" t="s">
        <v>1981</v>
      </c>
      <c r="BB119" s="54"/>
      <c r="BC119" s="54"/>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2:256" s="45" customFormat="1">
      <c r="B120" s="1665"/>
      <c r="C120" s="2373" t="s">
        <v>868</v>
      </c>
      <c r="D120" s="2351"/>
      <c r="E120" s="2453">
        <f ca="1">+Transfer!D269</f>
        <v>5.159778159249953</v>
      </c>
      <c r="F120" s="2453">
        <f ca="1">+Transfer!E269</f>
        <v>7.270708126469799</v>
      </c>
      <c r="G120" s="2453">
        <f ca="1">+Transfer!F269</f>
        <v>7.9678814082767104</v>
      </c>
      <c r="H120" s="2453">
        <f ca="1">+Transfer!G269</f>
        <v>8.0436044636522013</v>
      </c>
      <c r="I120" s="2453">
        <f ca="1">+Transfer!H269</f>
        <v>5.8525665620107192</v>
      </c>
      <c r="J120" s="2453">
        <f ca="1">+Transfer!I269</f>
        <v>3.6582005931588002</v>
      </c>
      <c r="K120" s="2453">
        <f ca="1">+Transfer!J269</f>
        <v>2.7083941013876567</v>
      </c>
      <c r="L120" s="2453">
        <f ca="1">+Transfer!K269</f>
        <v>2.2995686980041175</v>
      </c>
      <c r="M120" s="2453">
        <f ca="1">+Transfer!L269</f>
        <v>2.9087304281936177</v>
      </c>
      <c r="N120" s="2453">
        <f ca="1">+Transfer!M269</f>
        <v>3.0843222015192628</v>
      </c>
      <c r="O120" s="2453">
        <f ca="1">+Transfer!N269</f>
        <v>3.0843222015192628</v>
      </c>
      <c r="P120" s="2454">
        <f ca="1">+Transfer!O269</f>
        <v>3.0843222015192628</v>
      </c>
      <c r="Q120" s="2452"/>
      <c r="S120" s="190"/>
      <c r="T120" s="2373" t="s">
        <v>868</v>
      </c>
      <c r="U120" s="63"/>
      <c r="V120" s="197">
        <f t="shared" ca="1" si="9"/>
        <v>3.3000000000000003</v>
      </c>
      <c r="W120" s="197">
        <f t="shared" ca="1" si="9"/>
        <v>6.5</v>
      </c>
      <c r="X120" s="197">
        <f t="shared" ca="1" si="9"/>
        <v>6.8</v>
      </c>
      <c r="Y120" s="197">
        <f t="shared" ca="1" si="9"/>
        <v>5.5</v>
      </c>
      <c r="Z120" s="197">
        <f t="shared" ca="1" si="9"/>
        <v>3.0000000000000004</v>
      </c>
      <c r="AA120" s="197">
        <f t="shared" ca="1" si="9"/>
        <v>0.70000000000000018</v>
      </c>
      <c r="AB120" s="197">
        <f t="shared" ca="1" si="9"/>
        <v>0.10000000000000009</v>
      </c>
      <c r="AC120" s="197">
        <f t="shared" ca="1" si="9"/>
        <v>0.49999999999999978</v>
      </c>
      <c r="AD120" s="197">
        <f t="shared" ca="1" si="9"/>
        <v>0.89999999999999991</v>
      </c>
      <c r="AE120" s="197">
        <f t="shared" ca="1" si="9"/>
        <v>1.3</v>
      </c>
      <c r="AF120" s="197">
        <f t="shared" ca="1" si="9"/>
        <v>1.7000000000000002</v>
      </c>
      <c r="AG120" s="341">
        <f t="shared" ca="1" si="9"/>
        <v>1.6</v>
      </c>
      <c r="AH120" s="196"/>
      <c r="AJ120" s="190"/>
      <c r="AK120" s="2373" t="s">
        <v>868</v>
      </c>
      <c r="AL120" s="2351"/>
      <c r="AM120" s="2453">
        <f>+Transfer!AD269</f>
        <v>1.885263890651089</v>
      </c>
      <c r="AN120" s="2453">
        <f>+Transfer!AE269</f>
        <v>0.83297721330831109</v>
      </c>
      <c r="AO120" s="2453">
        <f>+Transfer!AF269</f>
        <v>1.241702971353531</v>
      </c>
      <c r="AP120" s="2453">
        <f>+Transfer!AG269</f>
        <v>2.4696192329283218</v>
      </c>
      <c r="AQ120" s="2453">
        <f>+Transfer!AH269</f>
        <v>2.8637622597915025</v>
      </c>
      <c r="AR120" s="2453">
        <f>+Transfer!AI269</f>
        <v>3.0091700093565432</v>
      </c>
      <c r="AS120" s="2453">
        <f>+Transfer!AJ269</f>
        <v>2.6054812212739087</v>
      </c>
      <c r="AT120" s="2453">
        <f>+Transfer!AK269</f>
        <v>1.8238385825870784</v>
      </c>
      <c r="AU120" s="2453">
        <f>+Transfer!AL269</f>
        <v>2.0181166145320173</v>
      </c>
      <c r="AV120" s="2453">
        <f>+Transfer!AM269</f>
        <v>1.8459264148334098</v>
      </c>
      <c r="AW120" s="2453">
        <f>+Transfer!AN269</f>
        <v>1.4126617856792922</v>
      </c>
      <c r="AX120" s="2454">
        <f>+Transfer!AO269</f>
        <v>1.5233018265618847</v>
      </c>
      <c r="AY120" s="196"/>
      <c r="AZ120" s="54"/>
      <c r="BA120" s="1677" t="s">
        <v>1982</v>
      </c>
      <c r="BB120" s="54"/>
      <c r="BC120" s="54"/>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2:256" s="45" customFormat="1">
      <c r="B121" s="1665"/>
      <c r="C121" s="2373" t="s">
        <v>869</v>
      </c>
      <c r="D121" s="2351"/>
      <c r="E121" s="2453">
        <f ca="1">+Transfer!D270</f>
        <v>2.6624876278455503</v>
      </c>
      <c r="F121" s="2453">
        <f ca="1">+Transfer!E270</f>
        <v>-1.3645839914081819</v>
      </c>
      <c r="G121" s="2453">
        <f ca="1">+Transfer!F270</f>
        <v>1.8733095134737994</v>
      </c>
      <c r="H121" s="2453">
        <f ca="1">+Transfer!G270</f>
        <v>3.541332263242353</v>
      </c>
      <c r="I121" s="2453">
        <f ca="1">+Transfer!H270</f>
        <v>0.88129809486945376</v>
      </c>
      <c r="J121" s="2453">
        <f ca="1">+Transfer!I270</f>
        <v>1.7331686884269448</v>
      </c>
      <c r="K121" s="2453">
        <f ca="1">+Transfer!J270</f>
        <v>0.53986218291028898</v>
      </c>
      <c r="L121" s="2453">
        <f ca="1">+Transfer!K270</f>
        <v>-1.0495737090258195</v>
      </c>
      <c r="M121" s="2453">
        <f ca="1">+Transfer!L270</f>
        <v>5.2763268782429762E-2</v>
      </c>
      <c r="N121" s="2453">
        <f ca="1">+Transfer!M270</f>
        <v>0.87057816280209366</v>
      </c>
      <c r="O121" s="2453">
        <f ca="1">+Transfer!N270</f>
        <v>1.1772288664503527</v>
      </c>
      <c r="P121" s="2454">
        <f ca="1">+Transfer!O270</f>
        <v>1.4816359193452033</v>
      </c>
      <c r="Q121" s="2452"/>
      <c r="S121" s="190"/>
      <c r="T121" s="2373" t="s">
        <v>869</v>
      </c>
      <c r="U121" s="63"/>
      <c r="V121" s="197">
        <f t="shared" ca="1" si="9"/>
        <v>-2.0999999999999996</v>
      </c>
      <c r="W121" s="197">
        <f t="shared" ca="1" si="9"/>
        <v>-6.4</v>
      </c>
      <c r="X121" s="197">
        <f t="shared" ca="1" si="9"/>
        <v>0.29999999999999982</v>
      </c>
      <c r="Y121" s="197">
        <f t="shared" ca="1" si="9"/>
        <v>3.5</v>
      </c>
      <c r="Z121" s="197">
        <f t="shared" ca="1" si="9"/>
        <v>0.7</v>
      </c>
      <c r="AA121" s="197">
        <f t="shared" ca="1" si="9"/>
        <v>1.5</v>
      </c>
      <c r="AB121" s="197">
        <f t="shared" ca="1" si="9"/>
        <v>-1.7999999999999998</v>
      </c>
      <c r="AC121" s="197">
        <f t="shared" ca="1" si="9"/>
        <v>-4.4000000000000004</v>
      </c>
      <c r="AD121" s="197">
        <f t="shared" ca="1" si="9"/>
        <v>-3.1</v>
      </c>
      <c r="AE121" s="197">
        <f t="shared" ca="1" si="9"/>
        <v>-1.6</v>
      </c>
      <c r="AF121" s="197">
        <f t="shared" ca="1" si="9"/>
        <v>-0.5</v>
      </c>
      <c r="AG121" s="341">
        <f t="shared" ca="1" si="9"/>
        <v>0.39999999999999991</v>
      </c>
      <c r="AH121" s="196"/>
      <c r="AJ121" s="190"/>
      <c r="AK121" s="2373" t="s">
        <v>869</v>
      </c>
      <c r="AL121" s="2351"/>
      <c r="AM121" s="2453">
        <f>+Transfer!AD270</f>
        <v>4.8136091374777976</v>
      </c>
      <c r="AN121" s="2453">
        <f>+Transfer!AE270</f>
        <v>4.9528098310653803</v>
      </c>
      <c r="AO121" s="2453">
        <f>+Transfer!AF270</f>
        <v>1.6050865539179116</v>
      </c>
      <c r="AP121" s="2453">
        <f>+Transfer!AG270</f>
        <v>-2.1591315588098681E-2</v>
      </c>
      <c r="AQ121" s="2453">
        <f>+Transfer!AH270</f>
        <v>0.15012170482944232</v>
      </c>
      <c r="AR121" s="2453">
        <f>+Transfer!AI270</f>
        <v>0.24255676002540305</v>
      </c>
      <c r="AS121" s="2453">
        <f>+Transfer!AJ270</f>
        <v>2.2875642083795888</v>
      </c>
      <c r="AT121" s="2453">
        <f>+Transfer!AK270</f>
        <v>3.4416983089633479</v>
      </c>
      <c r="AU121" s="2453">
        <f>+Transfer!AL270</f>
        <v>3.165436980964631</v>
      </c>
      <c r="AV121" s="2453">
        <f>+Transfer!AM270</f>
        <v>2.4691251642328993</v>
      </c>
      <c r="AW121" s="2453">
        <f>+Transfer!AN270</f>
        <v>1.6878979124821614</v>
      </c>
      <c r="AX121" s="2454">
        <f>+Transfer!AO270</f>
        <v>1.0625140027820335</v>
      </c>
      <c r="AY121" s="196"/>
      <c r="AZ121" s="54"/>
      <c r="BA121" s="1677" t="s">
        <v>1983</v>
      </c>
      <c r="BB121" s="54"/>
      <c r="BC121" s="54"/>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2:256" s="45" customFormat="1">
      <c r="B122" s="1665"/>
      <c r="C122" s="2747" t="s">
        <v>870</v>
      </c>
      <c r="D122" s="2380"/>
      <c r="E122" s="2695">
        <f ca="1">+Transfer!D271</f>
        <v>3.3563413916058806</v>
      </c>
      <c r="F122" s="2695">
        <f ca="1">+Transfer!E271</f>
        <v>5.2597360379689206</v>
      </c>
      <c r="G122" s="2695">
        <f ca="1">+Transfer!F271</f>
        <v>6.4145631378571295</v>
      </c>
      <c r="H122" s="2695">
        <f ca="1">+Transfer!G271</f>
        <v>5.0900698762741143</v>
      </c>
      <c r="I122" s="2695">
        <f ca="1">+Transfer!H271</f>
        <v>4.5240739011595199</v>
      </c>
      <c r="J122" s="2695">
        <f ca="1">+Transfer!I271</f>
        <v>3.7792475150509652</v>
      </c>
      <c r="K122" s="2695">
        <f ca="1">+Transfer!J271</f>
        <v>3.1866599149859898</v>
      </c>
      <c r="L122" s="2695">
        <f ca="1">+Transfer!K271</f>
        <v>4.9446622371182691</v>
      </c>
      <c r="M122" s="2695">
        <f ca="1">+Transfer!L271</f>
        <v>5.326212852339629</v>
      </c>
      <c r="N122" s="2695">
        <f ca="1">+Transfer!M271</f>
        <v>4.695714436014331</v>
      </c>
      <c r="O122" s="2695">
        <f ca="1">+Transfer!N271</f>
        <v>4.0738347686796184</v>
      </c>
      <c r="P122" s="2750">
        <f ca="1">+Transfer!O271</f>
        <v>3.4509956826684673</v>
      </c>
      <c r="Q122" s="2452"/>
      <c r="S122" s="190"/>
      <c r="T122" s="2747" t="s">
        <v>870</v>
      </c>
      <c r="U122" s="210"/>
      <c r="V122" s="197">
        <f t="shared" ca="1" si="9"/>
        <v>1.1999999999999997</v>
      </c>
      <c r="W122" s="197">
        <f t="shared" ca="1" si="9"/>
        <v>3.1999999999999997</v>
      </c>
      <c r="X122" s="197">
        <f t="shared" ca="1" si="9"/>
        <v>4.1000000000000005</v>
      </c>
      <c r="Y122" s="197">
        <f t="shared" ca="1" si="9"/>
        <v>1.7999999999999998</v>
      </c>
      <c r="Z122" s="197">
        <f t="shared" ca="1" si="9"/>
        <v>0.5</v>
      </c>
      <c r="AA122" s="197">
        <f t="shared" ca="1" si="9"/>
        <v>0.29999999999999982</v>
      </c>
      <c r="AB122" s="197">
        <f t="shared" ca="1" si="9"/>
        <v>0.30000000000000027</v>
      </c>
      <c r="AC122" s="197">
        <f t="shared" ca="1" si="9"/>
        <v>2.8000000000000003</v>
      </c>
      <c r="AD122" s="197">
        <f t="shared" ca="1" si="9"/>
        <v>2.2999999999999998</v>
      </c>
      <c r="AE122" s="197">
        <f t="shared" ca="1" si="9"/>
        <v>0.80000000000000027</v>
      </c>
      <c r="AF122" s="197">
        <f t="shared" ca="1" si="9"/>
        <v>-0.80000000000000071</v>
      </c>
      <c r="AG122" s="341">
        <f t="shared" ca="1" si="9"/>
        <v>-1.7999999999999998</v>
      </c>
      <c r="AH122" s="196"/>
      <c r="AJ122" s="190"/>
      <c r="AK122" s="2747" t="s">
        <v>870</v>
      </c>
      <c r="AL122" s="2380"/>
      <c r="AM122" s="2695">
        <f>+Transfer!AD271</f>
        <v>2.2207801825738755</v>
      </c>
      <c r="AN122" s="2695">
        <f>+Transfer!AE271</f>
        <v>2.1305290801911383</v>
      </c>
      <c r="AO122" s="2695">
        <f>+Transfer!AF271</f>
        <v>2.3023260974900595</v>
      </c>
      <c r="AP122" s="2695">
        <f>+Transfer!AG271</f>
        <v>3.3075255876064524</v>
      </c>
      <c r="AQ122" s="2695">
        <f>+Transfer!AH271</f>
        <v>4.0474842375427533</v>
      </c>
      <c r="AR122" s="2695">
        <f>+Transfer!AI271</f>
        <v>3.5489918827460221</v>
      </c>
      <c r="AS122" s="2695">
        <f>+Transfer!AJ271</f>
        <v>2.937685111895183</v>
      </c>
      <c r="AT122" s="2695">
        <f>+Transfer!AK271</f>
        <v>2.118841570876917</v>
      </c>
      <c r="AU122" s="2695">
        <f>+Transfer!AL271</f>
        <v>2.9733795658627438</v>
      </c>
      <c r="AV122" s="2695">
        <f>+Transfer!AM271</f>
        <v>3.9101176484675593</v>
      </c>
      <c r="AW122" s="2695">
        <f>+Transfer!AN271</f>
        <v>4.8817717631724822</v>
      </c>
      <c r="AX122" s="2750">
        <f>+Transfer!AO271</f>
        <v>5.2649365081705035</v>
      </c>
      <c r="AY122" s="196"/>
      <c r="AZ122" s="54"/>
      <c r="BA122" s="1677" t="s">
        <v>1984</v>
      </c>
      <c r="BB122" s="54"/>
      <c r="BC122" s="54"/>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2:256" s="45" customFormat="1" ht="13.5" thickBot="1">
      <c r="B123" s="1665"/>
      <c r="C123" s="2469" t="s">
        <v>1829</v>
      </c>
      <c r="D123" s="2470"/>
      <c r="E123" s="2471">
        <f ca="1">+Transfer!D266</f>
        <v>2.5798694213839894</v>
      </c>
      <c r="F123" s="2471">
        <f ca="1">+Transfer!E266</f>
        <v>3.9280031204877304</v>
      </c>
      <c r="G123" s="2471">
        <f ca="1">+Transfer!F266</f>
        <v>4.6690657980823573</v>
      </c>
      <c r="H123" s="2471">
        <f ca="1">+Transfer!G266</f>
        <v>4.1447203044817655</v>
      </c>
      <c r="I123" s="2471">
        <f ca="1">+Transfer!H266</f>
        <v>3.2439609580513888</v>
      </c>
      <c r="J123" s="2471">
        <f ca="1">+Transfer!I266</f>
        <v>2.326162886456558</v>
      </c>
      <c r="K123" s="2471">
        <f ca="1">+Transfer!J266</f>
        <v>2.242313401862873</v>
      </c>
      <c r="L123" s="2471">
        <f ca="1">+Transfer!K266</f>
        <v>2.7157272103636387</v>
      </c>
      <c r="M123" s="2471">
        <f ca="1">+Transfer!L266</f>
        <v>3.2296186870492534</v>
      </c>
      <c r="N123" s="2471">
        <f ca="1">+Transfer!M266</f>
        <v>2.8796785292082916</v>
      </c>
      <c r="O123" s="2471">
        <f ca="1">+Transfer!N266</f>
        <v>2.4855516659156649</v>
      </c>
      <c r="P123" s="2472">
        <f ca="1">+Transfer!O266</f>
        <v>2.0960435063473284</v>
      </c>
      <c r="Q123" s="2452"/>
      <c r="S123" s="190"/>
      <c r="T123" s="2469" t="s">
        <v>1829</v>
      </c>
      <c r="U123" s="214"/>
      <c r="V123" s="1709">
        <f t="shared" ca="1" si="9"/>
        <v>0.70000000000000018</v>
      </c>
      <c r="W123" s="1709">
        <f t="shared" ca="1" si="9"/>
        <v>2.5</v>
      </c>
      <c r="X123" s="1709">
        <f t="shared" ca="1" si="9"/>
        <v>3.4000000000000004</v>
      </c>
      <c r="Y123" s="1709">
        <f t="shared" ca="1" si="9"/>
        <v>1.9999999999999996</v>
      </c>
      <c r="Z123" s="1709">
        <f t="shared" ca="1" si="9"/>
        <v>0.40000000000000036</v>
      </c>
      <c r="AA123" s="1709">
        <f t="shared" ca="1" si="9"/>
        <v>0</v>
      </c>
      <c r="AB123" s="1709">
        <f t="shared" ca="1" si="9"/>
        <v>-0.19999999999999973</v>
      </c>
      <c r="AC123" s="1709">
        <f t="shared" ca="1" si="9"/>
        <v>1.1000000000000001</v>
      </c>
      <c r="AD123" s="1709">
        <f t="shared" ca="1" si="9"/>
        <v>1.2000000000000002</v>
      </c>
      <c r="AE123" s="1709">
        <f t="shared" ca="1" si="9"/>
        <v>0.69999999999999973</v>
      </c>
      <c r="AF123" s="1709">
        <f t="shared" ca="1" si="9"/>
        <v>0.10000000000000009</v>
      </c>
      <c r="AG123" s="1710">
        <f t="shared" ca="1" si="9"/>
        <v>-0.5</v>
      </c>
      <c r="AH123" s="196"/>
      <c r="AJ123" s="190"/>
      <c r="AK123" s="2469" t="s">
        <v>1829</v>
      </c>
      <c r="AL123" s="2470"/>
      <c r="AM123" s="2471">
        <f>+Transfer!AD266</f>
        <v>1.9309154656732943</v>
      </c>
      <c r="AN123" s="2471">
        <f>+Transfer!AE266</f>
        <v>1.4257380737751078</v>
      </c>
      <c r="AO123" s="2471">
        <f>+Transfer!AF266</f>
        <v>1.2711152538744273</v>
      </c>
      <c r="AP123" s="2471">
        <f>+Transfer!AG266</f>
        <v>2.1014960795098006</v>
      </c>
      <c r="AQ123" s="2471">
        <f>+Transfer!AH266</f>
        <v>2.7543994143757686</v>
      </c>
      <c r="AR123" s="2471">
        <f>+Transfer!AI266</f>
        <v>2.3440350913196681</v>
      </c>
      <c r="AS123" s="2471">
        <f>+Transfer!AJ266</f>
        <v>2.434953385395076</v>
      </c>
      <c r="AT123" s="2471">
        <f>+Transfer!AK266</f>
        <v>1.6224250817945745</v>
      </c>
      <c r="AU123" s="2471">
        <f>+Transfer!AL266</f>
        <v>2.0073092919113122</v>
      </c>
      <c r="AV123" s="2471">
        <f>+Transfer!AM266</f>
        <v>2.2497004524319095</v>
      </c>
      <c r="AW123" s="2471">
        <f>+Transfer!AN266</f>
        <v>2.4283641781051415</v>
      </c>
      <c r="AX123" s="2472">
        <f>+Transfer!AO266</f>
        <v>2.6095353228604523</v>
      </c>
      <c r="AY123" s="196"/>
      <c r="AZ123" s="54"/>
      <c r="BA123" s="1678" t="s">
        <v>1985</v>
      </c>
      <c r="BB123" s="54"/>
      <c r="BC123" s="54"/>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2:256" s="45" customFormat="1">
      <c r="B124" s="1701"/>
      <c r="C124" s="2477"/>
      <c r="D124" s="2477"/>
      <c r="E124" s="2477"/>
      <c r="F124" s="2477"/>
      <c r="G124" s="2477"/>
      <c r="H124" s="2477"/>
      <c r="I124" s="2477"/>
      <c r="J124" s="2477"/>
      <c r="K124" s="2477"/>
      <c r="L124" s="2477"/>
      <c r="M124" s="2477"/>
      <c r="N124" s="2477"/>
      <c r="O124" s="2477"/>
      <c r="P124" s="2400" t="str">
        <f>UPPER(Country)</f>
        <v>LITHUANIA</v>
      </c>
      <c r="Q124" s="2478"/>
      <c r="S124" s="215"/>
      <c r="T124" s="113"/>
      <c r="U124" s="113"/>
      <c r="V124" s="113"/>
      <c r="W124" s="113"/>
      <c r="X124" s="113"/>
      <c r="Y124" s="113"/>
      <c r="Z124" s="113"/>
      <c r="AA124" s="113"/>
      <c r="AB124" s="113"/>
      <c r="AC124" s="113"/>
      <c r="AD124" s="113"/>
      <c r="AE124" s="113"/>
      <c r="AF124" s="113"/>
      <c r="AG124" s="118" t="str">
        <f>UPPER(Country)</f>
        <v>LITHUANIA</v>
      </c>
      <c r="AH124" s="216"/>
      <c r="AJ124" s="215"/>
      <c r="AK124" s="113"/>
      <c r="AL124" s="113"/>
      <c r="AM124" s="113"/>
      <c r="AN124" s="113"/>
      <c r="AO124" s="113"/>
      <c r="AP124" s="113"/>
      <c r="AQ124" s="113"/>
      <c r="AR124" s="113"/>
      <c r="AS124" s="113"/>
      <c r="AT124" s="113"/>
      <c r="AU124" s="113"/>
      <c r="AV124" s="113"/>
      <c r="AW124" s="113"/>
      <c r="AX124" s="118" t="str">
        <f>UPPER(Country)</f>
        <v>LITHUANIA</v>
      </c>
      <c r="AY124" s="216"/>
      <c r="AZ124" s="54"/>
      <c r="BB124" s="54"/>
      <c r="BC124" s="5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2:256" s="45" customFormat="1">
      <c r="AZ125" s="54"/>
      <c r="BB125" s="54"/>
      <c r="BC125" s="54"/>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2:256" s="45" customFormat="1">
      <c r="AZ126" s="54"/>
      <c r="BB126" s="54"/>
      <c r="BC126" s="54"/>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2:256" s="45" customFormat="1">
      <c r="AZ127" s="54"/>
      <c r="BB127" s="54"/>
      <c r="BC127" s="54"/>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2:256" s="45" customFormat="1">
      <c r="AZ128" s="54"/>
      <c r="BB128" s="54"/>
      <c r="BC128" s="54"/>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45" customFormat="1">
      <c r="AZ129" s="54"/>
      <c r="BB129" s="54"/>
      <c r="BC129" s="54"/>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45" customFormat="1">
      <c r="AZ130" s="54"/>
      <c r="BB130" s="54"/>
      <c r="BC130" s="54"/>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45" customFormat="1">
      <c r="AZ131" s="54"/>
      <c r="BB131" s="54"/>
      <c r="BC131" s="54"/>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45" customFormat="1">
      <c r="AZ132" s="54"/>
      <c r="BB132" s="54"/>
      <c r="BC132" s="54"/>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45" customFormat="1">
      <c r="Q133" s="187"/>
      <c r="AY133" s="187"/>
      <c r="AZ133" s="54"/>
      <c r="BB133" s="54"/>
      <c r="BC133" s="54"/>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45" customFormat="1">
      <c r="AZ134" s="54"/>
      <c r="BB134" s="54"/>
      <c r="BC134" s="5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45" customFormat="1">
      <c r="AZ135" s="54"/>
      <c r="BB135" s="54"/>
      <c r="BC135" s="54"/>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c r="A136" s="45"/>
      <c r="B136" s="2341"/>
      <c r="C136" s="2342" t="s">
        <v>60</v>
      </c>
      <c r="D136" s="2343"/>
      <c r="E136" s="2343"/>
      <c r="F136" s="2343"/>
      <c r="G136" s="2343"/>
      <c r="H136" s="2343"/>
      <c r="I136" s="2479"/>
      <c r="J136" s="2479"/>
      <c r="K136" s="1697"/>
      <c r="L136" s="54"/>
      <c r="M136" s="54"/>
      <c r="N136" s="54"/>
      <c r="O136" s="54"/>
      <c r="P136" s="45"/>
      <c r="Q136" s="45"/>
      <c r="R136" s="45"/>
      <c r="S136" s="188"/>
      <c r="T136" s="56" t="s">
        <v>60</v>
      </c>
      <c r="U136" s="57"/>
      <c r="V136" s="100"/>
      <c r="W136" s="100"/>
      <c r="X136" s="100"/>
      <c r="Y136" s="100"/>
      <c r="Z136" s="218"/>
      <c r="AA136" s="218"/>
      <c r="AB136" s="219"/>
      <c r="AC136" s="45"/>
      <c r="AD136" s="45"/>
      <c r="AE136" s="45"/>
      <c r="AF136" s="45"/>
      <c r="AG136" s="45"/>
      <c r="AH136" s="45"/>
      <c r="AI136" s="45"/>
      <c r="AJ136" s="188"/>
      <c r="AK136" s="56" t="s">
        <v>60</v>
      </c>
      <c r="AL136" s="57"/>
      <c r="AM136" s="100"/>
      <c r="AN136" s="100"/>
      <c r="AO136" s="100"/>
      <c r="AP136" s="100"/>
      <c r="AQ136" s="218"/>
      <c r="AR136" s="218"/>
      <c r="AS136" s="219"/>
      <c r="AT136" s="54"/>
      <c r="AU136" s="54"/>
      <c r="AV136" s="54"/>
      <c r="AW136" s="54"/>
      <c r="AX136" s="45"/>
      <c r="AY136" s="45"/>
      <c r="AZ136" s="54"/>
      <c r="BA136" s="45"/>
      <c r="BB136" s="54"/>
      <c r="BC136" s="54"/>
    </row>
    <row r="137" spans="1:256">
      <c r="A137" s="45"/>
      <c r="B137" s="1665"/>
      <c r="C137" s="3751" t="s">
        <v>1032</v>
      </c>
      <c r="D137" s="3751"/>
      <c r="E137" s="3751"/>
      <c r="F137" s="3751"/>
      <c r="G137" s="3751"/>
      <c r="H137" s="3751"/>
      <c r="I137" s="3751"/>
      <c r="J137" s="3751"/>
      <c r="K137" s="1699"/>
      <c r="L137" s="54"/>
      <c r="M137" s="54"/>
      <c r="N137" s="54"/>
      <c r="O137" s="54"/>
      <c r="P137" s="45"/>
      <c r="Q137" s="45"/>
      <c r="R137" s="45"/>
      <c r="S137" s="190"/>
      <c r="T137" s="3751" t="s">
        <v>1032</v>
      </c>
      <c r="U137" s="3751"/>
      <c r="V137" s="3751"/>
      <c r="W137" s="3751"/>
      <c r="X137" s="3751"/>
      <c r="Y137" s="3751"/>
      <c r="Z137" s="3751"/>
      <c r="AA137" s="3751"/>
      <c r="AB137" s="221"/>
      <c r="AC137" s="45"/>
      <c r="AD137" s="45"/>
      <c r="AE137" s="45"/>
      <c r="AF137" s="45"/>
      <c r="AG137" s="45"/>
      <c r="AH137" s="45"/>
      <c r="AI137" s="45"/>
      <c r="AJ137" s="190"/>
      <c r="AK137" s="3751" t="s">
        <v>1032</v>
      </c>
      <c r="AL137" s="3751"/>
      <c r="AM137" s="3751"/>
      <c r="AN137" s="3751"/>
      <c r="AO137" s="3751"/>
      <c r="AP137" s="3751"/>
      <c r="AQ137" s="3751"/>
      <c r="AR137" s="3751"/>
      <c r="AS137" s="221"/>
      <c r="AT137" s="54"/>
      <c r="AU137" s="54"/>
      <c r="AV137" s="54"/>
      <c r="AW137" s="54"/>
      <c r="AX137" s="45"/>
      <c r="AY137" s="45"/>
      <c r="AZ137" s="54"/>
      <c r="BA137" s="45"/>
      <c r="BB137" s="54"/>
      <c r="BC137" s="54"/>
    </row>
    <row r="138" spans="1:256">
      <c r="A138" s="45"/>
      <c r="B138" s="1665"/>
      <c r="C138" s="3751" t="s">
        <v>1015</v>
      </c>
      <c r="D138" s="3751"/>
      <c r="E138" s="3751"/>
      <c r="F138" s="3751"/>
      <c r="G138" s="3751"/>
      <c r="H138" s="3751"/>
      <c r="I138" s="3751"/>
      <c r="J138" s="3751"/>
      <c r="K138" s="1699"/>
      <c r="L138" s="54"/>
      <c r="M138" s="54"/>
      <c r="N138" s="54"/>
      <c r="O138" s="54"/>
      <c r="P138" s="45"/>
      <c r="Q138" s="45"/>
      <c r="R138" s="45"/>
      <c r="S138" s="190"/>
      <c r="T138" s="3751" t="s">
        <v>1015</v>
      </c>
      <c r="U138" s="3751"/>
      <c r="V138" s="3751"/>
      <c r="W138" s="3751"/>
      <c r="X138" s="3751"/>
      <c r="Y138" s="3751"/>
      <c r="Z138" s="3751"/>
      <c r="AA138" s="3751"/>
      <c r="AB138" s="221"/>
      <c r="AC138" s="45"/>
      <c r="AD138" s="45"/>
      <c r="AE138" s="45"/>
      <c r="AF138" s="45"/>
      <c r="AG138" s="45"/>
      <c r="AH138" s="45"/>
      <c r="AI138" s="45"/>
      <c r="AJ138" s="190"/>
      <c r="AK138" s="3751" t="s">
        <v>1015</v>
      </c>
      <c r="AL138" s="3751"/>
      <c r="AM138" s="3751"/>
      <c r="AN138" s="3751"/>
      <c r="AO138" s="3751"/>
      <c r="AP138" s="3751"/>
      <c r="AQ138" s="3751"/>
      <c r="AR138" s="3751"/>
      <c r="AS138" s="221"/>
      <c r="AT138" s="54"/>
      <c r="AU138" s="54"/>
      <c r="AV138" s="54"/>
      <c r="AW138" s="54"/>
      <c r="AX138" s="45"/>
      <c r="AY138" s="45"/>
      <c r="AZ138" s="54"/>
      <c r="BA138" s="45"/>
      <c r="BB138" s="54"/>
      <c r="BC138" s="54"/>
    </row>
    <row r="139" spans="1:256" ht="15.75">
      <c r="A139" s="45"/>
      <c r="B139" s="1665"/>
      <c r="C139" s="2349" t="str">
        <f>"Country: " &amp;UPPER(Country)</f>
        <v>Country: LITHUANIA</v>
      </c>
      <c r="D139" s="2480"/>
      <c r="E139" s="2354"/>
      <c r="F139" s="2354"/>
      <c r="G139" s="2354"/>
      <c r="H139" s="2351"/>
      <c r="I139" s="2481"/>
      <c r="J139" s="2481"/>
      <c r="K139" s="1699"/>
      <c r="L139" s="54"/>
      <c r="M139" s="54"/>
      <c r="N139" s="54"/>
      <c r="O139" s="54"/>
      <c r="P139" s="45"/>
      <c r="Q139" s="45"/>
      <c r="R139" s="45"/>
      <c r="S139" s="190"/>
      <c r="T139" s="63" t="str">
        <f>"Country: " &amp;UPPER(Country)</f>
        <v>Country: LITHUANIA</v>
      </c>
      <c r="U139" s="222"/>
      <c r="V139" s="68"/>
      <c r="W139" s="68"/>
      <c r="X139" s="2006" t="s">
        <v>390</v>
      </c>
      <c r="Y139" s="65"/>
      <c r="Z139" s="220"/>
      <c r="AA139" s="220"/>
      <c r="AB139" s="221"/>
      <c r="AC139" s="45"/>
      <c r="AD139" s="45"/>
      <c r="AE139" s="45"/>
      <c r="AF139" s="45"/>
      <c r="AG139" s="45"/>
      <c r="AH139" s="45"/>
      <c r="AI139" s="45"/>
      <c r="AJ139" s="190"/>
      <c r="AK139" s="63" t="str">
        <f>"Country: " &amp;UPPER(Country)</f>
        <v>Country: LITHUANIA</v>
      </c>
      <c r="AL139" s="222"/>
      <c r="AM139" s="68"/>
      <c r="AN139" s="68"/>
      <c r="AO139" s="68"/>
      <c r="AP139" s="65"/>
      <c r="AQ139" s="220"/>
      <c r="AR139" s="220"/>
      <c r="AS139" s="221"/>
      <c r="AT139" s="54"/>
      <c r="AU139" s="54"/>
      <c r="AV139" s="54"/>
      <c r="AW139" s="54"/>
      <c r="AX139" s="45"/>
      <c r="AY139" s="45"/>
      <c r="AZ139" s="54"/>
      <c r="BA139" s="45"/>
      <c r="BB139" s="54"/>
      <c r="BC139" s="54"/>
    </row>
    <row r="140" spans="1:256" ht="15.75">
      <c r="A140" s="45"/>
      <c r="B140" s="1665"/>
      <c r="C140" s="2349" t="str">
        <f>"Currency unit: " &amp; Currency</f>
        <v>Currency unit: bn EUR</v>
      </c>
      <c r="D140" s="2480"/>
      <c r="E140" s="2354"/>
      <c r="F140" s="2354"/>
      <c r="G140" s="2354"/>
      <c r="H140" s="2351"/>
      <c r="I140" s="2481"/>
      <c r="J140" s="2481"/>
      <c r="K140" s="1699"/>
      <c r="L140" s="54"/>
      <c r="M140" s="54"/>
      <c r="N140" s="54"/>
      <c r="O140" s="54"/>
      <c r="P140" s="45"/>
      <c r="Q140" s="45"/>
      <c r="R140" s="45"/>
      <c r="S140" s="190"/>
      <c r="T140" s="63" t="str">
        <f>"Currency unit: " &amp; Currency</f>
        <v>Currency unit: bn EUR</v>
      </c>
      <c r="U140" s="222"/>
      <c r="V140" s="68"/>
      <c r="W140" s="68"/>
      <c r="X140" s="2006" t="str">
        <f>$T$4</f>
        <v>2nd storage</v>
      </c>
      <c r="Y140" s="65"/>
      <c r="Z140" s="220"/>
      <c r="AA140" s="220"/>
      <c r="AB140" s="221"/>
      <c r="AC140" s="45"/>
      <c r="AD140" s="45"/>
      <c r="AE140" s="45"/>
      <c r="AF140" s="45"/>
      <c r="AG140" s="45"/>
      <c r="AH140" s="45"/>
      <c r="AI140" s="45"/>
      <c r="AJ140" s="190"/>
      <c r="AK140" s="63" t="str">
        <f>"Currency unit: " &amp; Currency</f>
        <v>Currency unit: bn EUR</v>
      </c>
      <c r="AL140" s="222"/>
      <c r="AM140" s="68"/>
      <c r="AN140" s="68"/>
      <c r="AO140" s="68"/>
      <c r="AP140" s="65"/>
      <c r="AQ140" s="220"/>
      <c r="AR140" s="220"/>
      <c r="AS140" s="221"/>
      <c r="AT140" s="54"/>
      <c r="AU140" s="54"/>
      <c r="AV140" s="54"/>
      <c r="AW140" s="54"/>
      <c r="AX140" s="45"/>
      <c r="AY140" s="45"/>
      <c r="AZ140" s="54"/>
      <c r="BA140" s="45"/>
      <c r="BB140" s="54"/>
      <c r="BC140" s="54"/>
    </row>
    <row r="141" spans="1:256">
      <c r="A141" s="45"/>
      <c r="B141" s="1665"/>
      <c r="C141" s="2355" t="s">
        <v>297</v>
      </c>
      <c r="D141" s="2355"/>
      <c r="E141" s="2354"/>
      <c r="F141" s="2354"/>
      <c r="G141" s="2354"/>
      <c r="H141" s="2351"/>
      <c r="I141" s="2481"/>
      <c r="J141" s="2481"/>
      <c r="K141" s="1699"/>
      <c r="L141" s="54"/>
      <c r="M141" s="54"/>
      <c r="N141" s="54"/>
      <c r="O141" s="54"/>
      <c r="P141" s="54"/>
      <c r="Q141" s="54"/>
      <c r="R141" s="54"/>
      <c r="S141" s="190"/>
      <c r="T141" s="69" t="s">
        <v>297</v>
      </c>
      <c r="U141" s="69"/>
      <c r="V141" s="68"/>
      <c r="W141" s="68"/>
      <c r="X141" s="68"/>
      <c r="Y141" s="65"/>
      <c r="Z141" s="220"/>
      <c r="AA141" s="220"/>
      <c r="AB141" s="221"/>
      <c r="AC141" s="45"/>
      <c r="AD141" s="45"/>
      <c r="AE141" s="45"/>
      <c r="AF141" s="45"/>
      <c r="AG141" s="45"/>
      <c r="AH141" s="45"/>
      <c r="AI141" s="45"/>
      <c r="AJ141" s="190"/>
      <c r="AK141" s="69" t="s">
        <v>297</v>
      </c>
      <c r="AL141" s="69"/>
      <c r="AM141" s="68"/>
      <c r="AN141" s="68"/>
      <c r="AO141" s="68"/>
      <c r="AP141" s="65"/>
      <c r="AQ141" s="220"/>
      <c r="AR141" s="220"/>
      <c r="AS141" s="221"/>
      <c r="AT141" s="54"/>
      <c r="AU141" s="54"/>
      <c r="AV141" s="54"/>
      <c r="AW141" s="54"/>
      <c r="AX141" s="54"/>
      <c r="AY141" s="54"/>
      <c r="AZ141" s="54"/>
      <c r="BA141" s="45"/>
      <c r="BB141" s="54"/>
      <c r="BC141" s="54"/>
    </row>
    <row r="142" spans="1:256" ht="13.5" thickBot="1">
      <c r="A142" s="45"/>
      <c r="B142" s="1665"/>
      <c r="C142" s="2354"/>
      <c r="D142" s="2351"/>
      <c r="E142" s="2354"/>
      <c r="F142" s="2354"/>
      <c r="G142" s="2354"/>
      <c r="H142" s="2482"/>
      <c r="I142" s="3789">
        <f ca="1">NOW()</f>
        <v>43392.47578483796</v>
      </c>
      <c r="J142" s="3789"/>
      <c r="K142" s="1699"/>
      <c r="L142" s="54"/>
      <c r="M142" s="54"/>
      <c r="N142" s="54"/>
      <c r="O142" s="54"/>
      <c r="P142" s="54"/>
      <c r="Q142" s="54"/>
      <c r="R142" s="54"/>
      <c r="S142" s="190"/>
      <c r="T142" s="68"/>
      <c r="U142" s="65"/>
      <c r="V142" s="68"/>
      <c r="W142" s="68"/>
      <c r="X142" s="68"/>
      <c r="Y142" s="153"/>
      <c r="Z142" s="3751">
        <f ca="1">NOW()</f>
        <v>43392.47578483796</v>
      </c>
      <c r="AA142" s="3751"/>
      <c r="AB142" s="221"/>
      <c r="AC142" s="45"/>
      <c r="AD142" s="45"/>
      <c r="AE142" s="45"/>
      <c r="AF142" s="45"/>
      <c r="AG142" s="45"/>
      <c r="AH142" s="45"/>
      <c r="AI142" s="45"/>
      <c r="AJ142" s="190"/>
      <c r="AK142" s="68"/>
      <c r="AL142" s="65"/>
      <c r="AM142" s="68"/>
      <c r="AN142" s="68"/>
      <c r="AO142" s="68"/>
      <c r="AP142" s="153"/>
      <c r="AQ142" s="3751">
        <f ca="1">NOW()</f>
        <v>43392.47578483796</v>
      </c>
      <c r="AR142" s="3751"/>
      <c r="AS142" s="221"/>
      <c r="AT142" s="54"/>
      <c r="AU142" s="54"/>
      <c r="AV142" s="54"/>
      <c r="AW142" s="54"/>
      <c r="AX142" s="54"/>
      <c r="AY142" s="54"/>
      <c r="AZ142" s="54"/>
      <c r="BA142" s="45"/>
      <c r="BB142" s="54"/>
      <c r="BC142" s="54"/>
    </row>
    <row r="143" spans="1:256">
      <c r="A143" s="45"/>
      <c r="B143" s="1665"/>
      <c r="C143" s="2483"/>
      <c r="D143" s="2484"/>
      <c r="E143" s="2485" t="s">
        <v>297</v>
      </c>
      <c r="F143" s="3751">
        <f>E16</f>
        <v>2016</v>
      </c>
      <c r="G143" s="3751"/>
      <c r="H143" s="2405">
        <f>F143+1</f>
        <v>2017</v>
      </c>
      <c r="I143" s="2405">
        <f>H143+1</f>
        <v>2018</v>
      </c>
      <c r="J143" s="2446">
        <f>I143+1</f>
        <v>2019</v>
      </c>
      <c r="K143" s="2447"/>
      <c r="L143" s="228"/>
      <c r="M143" s="54"/>
      <c r="N143" s="54"/>
      <c r="O143" s="54"/>
      <c r="P143" s="54"/>
      <c r="Q143" s="54"/>
      <c r="R143" s="54"/>
      <c r="S143" s="190"/>
      <c r="T143" s="223"/>
      <c r="U143" s="224"/>
      <c r="V143" s="225" t="s">
        <v>297</v>
      </c>
      <c r="W143" s="3751">
        <f>Last_forecast_year-3</f>
        <v>2016</v>
      </c>
      <c r="X143" s="3751"/>
      <c r="Y143" s="226">
        <f>W143+1</f>
        <v>2017</v>
      </c>
      <c r="Z143" s="226">
        <f>Y143+1</f>
        <v>2018</v>
      </c>
      <c r="AA143" s="2011">
        <f>Z143+1</f>
        <v>2019</v>
      </c>
      <c r="AB143" s="227"/>
      <c r="AC143" s="45"/>
      <c r="AD143" s="45"/>
      <c r="AE143" s="45"/>
      <c r="AF143" s="45"/>
      <c r="AG143" s="45"/>
      <c r="AH143" s="45"/>
      <c r="AI143" s="45"/>
      <c r="AJ143" s="190"/>
      <c r="AK143" s="223"/>
      <c r="AL143" s="224"/>
      <c r="AM143" s="225" t="s">
        <v>297</v>
      </c>
      <c r="AN143" s="3751">
        <f>Last_forecast_year - 3</f>
        <v>2016</v>
      </c>
      <c r="AO143" s="3751"/>
      <c r="AP143" s="226">
        <f>AN143+1</f>
        <v>2017</v>
      </c>
      <c r="AQ143" s="226">
        <f>AP143+1</f>
        <v>2018</v>
      </c>
      <c r="AR143" s="226">
        <f>AQ143+1</f>
        <v>2019</v>
      </c>
      <c r="AS143" s="227"/>
      <c r="AT143" s="228"/>
      <c r="AU143" s="54"/>
      <c r="AV143" s="54"/>
      <c r="AW143" s="54"/>
      <c r="AX143" s="54"/>
      <c r="AY143" s="54"/>
      <c r="AZ143" s="54"/>
      <c r="BA143" s="45"/>
      <c r="BB143" s="54"/>
      <c r="BC143" s="54"/>
    </row>
    <row r="144" spans="1:256">
      <c r="A144" s="45"/>
      <c r="B144" s="1665"/>
      <c r="C144" s="2486"/>
      <c r="D144" s="2352"/>
      <c r="E144" s="2487" t="s">
        <v>1770</v>
      </c>
      <c r="F144" s="2488" t="s">
        <v>298</v>
      </c>
      <c r="G144" s="3751" t="s">
        <v>647</v>
      </c>
      <c r="H144" s="3751"/>
      <c r="I144" s="3751"/>
      <c r="J144" s="3751"/>
      <c r="K144" s="2363"/>
      <c r="L144" s="147"/>
      <c r="M144" s="54"/>
      <c r="N144" s="54"/>
      <c r="O144" s="54"/>
      <c r="P144" s="54"/>
      <c r="Q144" s="54"/>
      <c r="R144" s="54"/>
      <c r="S144" s="190"/>
      <c r="T144" s="229"/>
      <c r="U144" s="230"/>
      <c r="V144" s="231" t="s">
        <v>1770</v>
      </c>
      <c r="W144" s="1724" t="s">
        <v>298</v>
      </c>
      <c r="X144" s="3751" t="s">
        <v>647</v>
      </c>
      <c r="Y144" s="3751"/>
      <c r="Z144" s="3751"/>
      <c r="AA144" s="3751"/>
      <c r="AB144" s="77"/>
      <c r="AC144" s="45"/>
      <c r="AD144" s="45"/>
      <c r="AE144" s="45"/>
      <c r="AF144" s="45"/>
      <c r="AG144" s="45"/>
      <c r="AH144" s="45"/>
      <c r="AI144" s="45"/>
      <c r="AJ144" s="190"/>
      <c r="AK144" s="229"/>
      <c r="AL144" s="230"/>
      <c r="AM144" s="231" t="s">
        <v>1770</v>
      </c>
      <c r="AN144" s="1724" t="s">
        <v>298</v>
      </c>
      <c r="AO144" s="3751" t="s">
        <v>647</v>
      </c>
      <c r="AP144" s="3751"/>
      <c r="AQ144" s="3751"/>
      <c r="AR144" s="3751"/>
      <c r="AS144" s="77"/>
      <c r="AT144" s="147"/>
      <c r="AU144" s="54"/>
      <c r="AV144" s="54"/>
      <c r="AW144" s="54"/>
      <c r="AX144" s="54"/>
      <c r="AY144" s="54"/>
      <c r="AZ144" s="54"/>
      <c r="BA144" s="45"/>
      <c r="BB144" s="54"/>
      <c r="BC144" s="54"/>
    </row>
    <row r="145" spans="1:55">
      <c r="A145" s="45"/>
      <c r="B145" s="1665"/>
      <c r="C145" s="2489" t="s">
        <v>61</v>
      </c>
      <c r="D145" s="2490"/>
      <c r="E145" s="2491"/>
      <c r="F145" s="2492"/>
      <c r="G145" s="2493"/>
      <c r="H145" s="2494"/>
      <c r="I145" s="2495"/>
      <c r="J145" s="2496"/>
      <c r="K145" s="2452"/>
      <c r="L145" s="240"/>
      <c r="M145" s="54"/>
      <c r="N145" s="54"/>
      <c r="O145" s="54"/>
      <c r="P145" s="54"/>
      <c r="Q145" s="54"/>
      <c r="R145" s="54"/>
      <c r="S145" s="190"/>
      <c r="T145" s="232" t="s">
        <v>61</v>
      </c>
      <c r="U145" s="233"/>
      <c r="V145" s="234"/>
      <c r="W145" s="235"/>
      <c r="X145" s="236"/>
      <c r="Y145" s="237"/>
      <c r="Z145" s="238"/>
      <c r="AA145" s="239"/>
      <c r="AB145" s="199"/>
      <c r="AC145" s="45"/>
      <c r="AD145" s="45"/>
      <c r="AE145" s="45"/>
      <c r="AF145" s="45"/>
      <c r="AG145" s="45"/>
      <c r="AH145" s="45"/>
      <c r="AI145" s="45"/>
      <c r="AJ145" s="190"/>
      <c r="AK145" s="232" t="s">
        <v>61</v>
      </c>
      <c r="AL145" s="233"/>
      <c r="AM145" s="234"/>
      <c r="AN145" s="235"/>
      <c r="AO145" s="236"/>
      <c r="AP145" s="237"/>
      <c r="AQ145" s="238"/>
      <c r="AR145" s="239"/>
      <c r="AS145" s="199"/>
      <c r="AT145" s="240"/>
      <c r="AU145" s="54"/>
      <c r="AV145" s="54"/>
      <c r="AW145" s="54"/>
      <c r="AX145" s="54"/>
      <c r="AY145" s="54"/>
      <c r="AZ145" s="54"/>
      <c r="BA145" s="45"/>
      <c r="BB145" s="54"/>
      <c r="BC145" s="54"/>
    </row>
    <row r="146" spans="1:55">
      <c r="A146" s="45"/>
      <c r="B146" s="1665"/>
      <c r="C146" s="2497" t="s">
        <v>62</v>
      </c>
      <c r="D146" s="2498"/>
      <c r="E146" s="2499" t="s">
        <v>63</v>
      </c>
      <c r="F146" s="3036" t="s">
        <v>276</v>
      </c>
      <c r="G146" s="2501">
        <f ca="1">((Transfer!D296/Transfer!C296)-1)*100</f>
        <v>-15.22488565071013</v>
      </c>
      <c r="H146" s="2502">
        <f ca="1">((Transfer!E296/Transfer!D296)-1)*100</f>
        <v>3.0000000000000027</v>
      </c>
      <c r="I146" s="2500">
        <f ca="1">((Transfer!F296/Transfer!E296)-1)*100</f>
        <v>6.3399999999999901</v>
      </c>
      <c r="J146" s="2503">
        <f ca="1">((Transfer!G296/Transfer!F296)-1)*100</f>
        <v>4.4999999999999929</v>
      </c>
      <c r="K146" s="2368"/>
      <c r="L146" s="150"/>
      <c r="M146" s="54"/>
      <c r="N146" s="54"/>
      <c r="O146" s="54"/>
      <c r="P146" s="54"/>
      <c r="Q146" s="54"/>
      <c r="R146" s="54"/>
      <c r="S146" s="190"/>
      <c r="T146" s="229" t="s">
        <v>62</v>
      </c>
      <c r="U146" s="230"/>
      <c r="V146" s="241" t="s">
        <v>63</v>
      </c>
      <c r="W146" s="242" t="e">
        <f t="shared" ref="W146:AA147" si="10">ROUND(F146,1)-ROUND(AN146,1)</f>
        <v>#VALUE!</v>
      </c>
      <c r="X146" s="242">
        <f t="shared" ca="1" si="10"/>
        <v>-6.5</v>
      </c>
      <c r="Y146" s="242">
        <f t="shared" ca="1" si="10"/>
        <v>-1.0999999999999996</v>
      </c>
      <c r="Z146" s="242">
        <f t="shared" ca="1" si="10"/>
        <v>0.29999999999999982</v>
      </c>
      <c r="AA146" s="93">
        <f t="shared" ca="1" si="10"/>
        <v>-1.5</v>
      </c>
      <c r="AB146" s="82"/>
      <c r="AC146" s="45"/>
      <c r="AD146" s="45"/>
      <c r="AE146" s="45"/>
      <c r="AF146" s="45"/>
      <c r="AG146" s="45"/>
      <c r="AH146" s="45"/>
      <c r="AI146" s="45"/>
      <c r="AJ146" s="190"/>
      <c r="AK146" s="2167" t="s">
        <v>62</v>
      </c>
      <c r="AL146" s="2168"/>
      <c r="AM146" s="2169" t="s">
        <v>63</v>
      </c>
      <c r="AN146" s="3036" t="s">
        <v>276</v>
      </c>
      <c r="AO146" s="2170">
        <f>((Transfer!AD296/Transfer!AC296)-1)*100</f>
        <v>-8.7423142886201113</v>
      </c>
      <c r="AP146" s="2145">
        <f>((Transfer!AE296/Transfer!AD296)-1)*100</f>
        <v>4.1448773237421355</v>
      </c>
      <c r="AQ146" s="2144">
        <f>((Transfer!AF296/Transfer!AE296)-1)*100</f>
        <v>5.9509253695039677</v>
      </c>
      <c r="AR146" s="2146">
        <f>((Transfer!AG296/Transfer!AF296)-1)*100</f>
        <v>5.9509253695039677</v>
      </c>
      <c r="AS146" s="82"/>
      <c r="AT146" s="150"/>
      <c r="AU146" s="54"/>
      <c r="AV146" s="54"/>
      <c r="AW146" s="54"/>
      <c r="AX146" s="54"/>
      <c r="AY146" s="54"/>
      <c r="AZ146" s="54"/>
      <c r="BA146" s="519" t="s">
        <v>1191</v>
      </c>
      <c r="BB146" s="54"/>
      <c r="BC146" s="54"/>
    </row>
    <row r="147" spans="1:55">
      <c r="A147" s="45"/>
      <c r="B147" s="1665"/>
      <c r="C147" s="2497" t="s">
        <v>64</v>
      </c>
      <c r="D147" s="2498"/>
      <c r="E147" s="2499" t="s">
        <v>65</v>
      </c>
      <c r="F147" s="3036" t="s">
        <v>276</v>
      </c>
      <c r="G147" s="2388">
        <f ca="1">+Transfer!D322/Transfer!C322*100-100</f>
        <v>2.9370544362187161</v>
      </c>
      <c r="H147" s="2502">
        <f ca="1">+Transfer!E322/Transfer!D322*100-100</f>
        <v>8.1096623655884486</v>
      </c>
      <c r="I147" s="2500">
        <f ca="1">+Transfer!F322/Transfer!E322*100-100</f>
        <v>6.7382729648539907</v>
      </c>
      <c r="J147" s="2503">
        <f ca="1">+Transfer!G322/Transfer!F322*100-100</f>
        <v>4.0022126372564912</v>
      </c>
      <c r="K147" s="2368"/>
      <c r="L147" s="150"/>
      <c r="M147" s="54"/>
      <c r="N147" s="54"/>
      <c r="O147" s="54"/>
      <c r="P147" s="54"/>
      <c r="Q147" s="54"/>
      <c r="R147" s="54"/>
      <c r="S147" s="190"/>
      <c r="T147" s="229" t="s">
        <v>64</v>
      </c>
      <c r="U147" s="230"/>
      <c r="V147" s="241" t="s">
        <v>65</v>
      </c>
      <c r="W147" s="242" t="e">
        <f t="shared" si="10"/>
        <v>#VALUE!</v>
      </c>
      <c r="X147" s="242">
        <f t="shared" ca="1" si="10"/>
        <v>4.9000000000000004</v>
      </c>
      <c r="Y147" s="242">
        <f t="shared" ca="1" si="10"/>
        <v>3</v>
      </c>
      <c r="Z147" s="242">
        <f t="shared" ca="1" si="10"/>
        <v>-0.29999999999999982</v>
      </c>
      <c r="AA147" s="93">
        <f t="shared" ca="1" si="10"/>
        <v>-3</v>
      </c>
      <c r="AB147" s="82"/>
      <c r="AC147" s="45"/>
      <c r="AD147" s="45"/>
      <c r="AE147" s="45"/>
      <c r="AF147" s="45"/>
      <c r="AG147" s="45"/>
      <c r="AH147" s="45"/>
      <c r="AI147" s="45"/>
      <c r="AJ147" s="190"/>
      <c r="AK147" s="2167" t="s">
        <v>64</v>
      </c>
      <c r="AL147" s="2168"/>
      <c r="AM147" s="2169" t="s">
        <v>65</v>
      </c>
      <c r="AN147" s="3036" t="s">
        <v>276</v>
      </c>
      <c r="AO147" s="2114">
        <f>+Transfer!AD322/Transfer!AC322*100-100</f>
        <v>-1.9705230029426417</v>
      </c>
      <c r="AP147" s="2145">
        <f>+Transfer!AE322/Transfer!AD322*100-100</f>
        <v>5.07997907655961</v>
      </c>
      <c r="AQ147" s="2144">
        <f>+Transfer!AF322/Transfer!AE322*100-100</f>
        <v>6.9887773317183814</v>
      </c>
      <c r="AR147" s="2146">
        <f>+Transfer!AG322/Transfer!AF322*100-100</f>
        <v>7.0444415712743478</v>
      </c>
      <c r="AS147" s="82"/>
      <c r="AT147" s="150"/>
      <c r="AU147" s="54"/>
      <c r="AV147" s="54"/>
      <c r="AW147" s="54"/>
      <c r="AX147" s="54"/>
      <c r="AY147" s="54"/>
      <c r="AZ147" s="54"/>
      <c r="BA147" s="1677" t="s">
        <v>2043</v>
      </c>
      <c r="BB147" s="54"/>
      <c r="BC147" s="54"/>
    </row>
    <row r="148" spans="1:55">
      <c r="A148" s="45"/>
      <c r="B148" s="1665"/>
      <c r="C148" s="2507" t="s">
        <v>346</v>
      </c>
      <c r="D148" s="2508"/>
      <c r="E148" s="2509"/>
      <c r="F148" s="2510"/>
      <c r="G148" s="2511"/>
      <c r="H148" s="2512"/>
      <c r="I148" s="2510"/>
      <c r="J148" s="2513"/>
      <c r="K148" s="2452"/>
      <c r="L148" s="54"/>
      <c r="M148" s="54"/>
      <c r="N148" s="54"/>
      <c r="O148" s="54"/>
      <c r="P148" s="54"/>
      <c r="Q148" s="54"/>
      <c r="R148" s="54"/>
      <c r="S148" s="190"/>
      <c r="T148" s="246" t="s">
        <v>346</v>
      </c>
      <c r="U148" s="247"/>
      <c r="V148" s="241" t="s">
        <v>347</v>
      </c>
      <c r="W148" s="248"/>
      <c r="X148" s="141"/>
      <c r="Y148" s="245"/>
      <c r="Z148" s="248"/>
      <c r="AA148" s="320"/>
      <c r="AB148" s="199"/>
      <c r="AC148" s="45"/>
      <c r="AD148" s="45"/>
      <c r="AE148" s="45"/>
      <c r="AF148" s="45"/>
      <c r="AG148" s="45"/>
      <c r="AH148" s="45"/>
      <c r="AI148" s="45"/>
      <c r="AJ148" s="190"/>
      <c r="AK148" s="246" t="s">
        <v>346</v>
      </c>
      <c r="AL148" s="247"/>
      <c r="AM148" s="241"/>
      <c r="AN148" s="2510"/>
      <c r="AO148" s="145"/>
      <c r="AP148" s="450"/>
      <c r="AQ148" s="451"/>
      <c r="AR148" s="452"/>
      <c r="AS148" s="199"/>
      <c r="AT148" s="54"/>
      <c r="AU148" s="54"/>
      <c r="AV148" s="54"/>
      <c r="AW148" s="54"/>
      <c r="AX148" s="54"/>
      <c r="AY148" s="54"/>
      <c r="AZ148" s="54"/>
      <c r="BA148" s="1986"/>
      <c r="BB148" s="54"/>
      <c r="BC148" s="54"/>
    </row>
    <row r="149" spans="1:55">
      <c r="A149" s="45"/>
      <c r="B149" s="1665"/>
      <c r="C149" s="2497" t="s">
        <v>348</v>
      </c>
      <c r="D149" s="2498"/>
      <c r="E149" s="2499" t="s">
        <v>1136</v>
      </c>
      <c r="F149" s="3036" t="s">
        <v>276</v>
      </c>
      <c r="G149" s="2388">
        <f ca="1">((Transfer!D287/Transfer!C287)-1)*100</f>
        <v>-6.6149115453877805</v>
      </c>
      <c r="H149" s="2502">
        <f ca="1">((Transfer!E287/Transfer!D287)-1)*100</f>
        <v>4.536354102938045</v>
      </c>
      <c r="I149" s="2500">
        <f ca="1">((Transfer!F287/Transfer!E287)-1)*100</f>
        <v>5.6757013314071347</v>
      </c>
      <c r="J149" s="2503">
        <f ca="1">((Transfer!G287/Transfer!F287)-1)*100</f>
        <v>4.0657614617618298</v>
      </c>
      <c r="K149" s="2368"/>
      <c r="L149" s="54"/>
      <c r="M149" s="54"/>
      <c r="N149" s="54"/>
      <c r="O149" s="54"/>
      <c r="P149" s="54"/>
      <c r="Q149" s="54"/>
      <c r="R149" s="54"/>
      <c r="S149" s="190"/>
      <c r="T149" s="229" t="s">
        <v>348</v>
      </c>
      <c r="U149" s="247"/>
      <c r="V149" s="241" t="s">
        <v>1136</v>
      </c>
      <c r="W149" s="242" t="e">
        <f t="shared" ref="W149:AA154" si="11">ROUND(F149,1)-ROUND(AN149,1)</f>
        <v>#VALUE!</v>
      </c>
      <c r="X149" s="242">
        <f t="shared" ca="1" si="11"/>
        <v>-2.5</v>
      </c>
      <c r="Y149" s="242">
        <f t="shared" ca="1" si="11"/>
        <v>2.7</v>
      </c>
      <c r="Z149" s="242">
        <f t="shared" ca="1" si="11"/>
        <v>0.90000000000000036</v>
      </c>
      <c r="AA149" s="93">
        <f t="shared" ca="1" si="11"/>
        <v>-0.70000000000000018</v>
      </c>
      <c r="AB149" s="82"/>
      <c r="AC149" s="45"/>
      <c r="AD149" s="45"/>
      <c r="AE149" s="45"/>
      <c r="AF149" s="45"/>
      <c r="AG149" s="45"/>
      <c r="AH149" s="45"/>
      <c r="AI149" s="45"/>
      <c r="AJ149" s="190"/>
      <c r="AK149" s="2167" t="s">
        <v>348</v>
      </c>
      <c r="AL149" s="2168"/>
      <c r="AM149" s="2169" t="s">
        <v>1136</v>
      </c>
      <c r="AN149" s="3036" t="s">
        <v>276</v>
      </c>
      <c r="AO149" s="2114">
        <f>((Transfer!AD287/Transfer!AC287)-1)*100</f>
        <v>-4.0549804196426624</v>
      </c>
      <c r="AP149" s="2145">
        <f>((Transfer!AE287/Transfer!AD287)-1)*100</f>
        <v>1.7661248513040739</v>
      </c>
      <c r="AQ149" s="2144">
        <f>((Transfer!AF287/Transfer!AE287)-1)*100</f>
        <v>4.820493123293268</v>
      </c>
      <c r="AR149" s="2146">
        <f>((Transfer!AG287/Transfer!AF287)-1)*100</f>
        <v>4.8226059978180524</v>
      </c>
      <c r="AS149" s="82"/>
      <c r="AT149" s="54"/>
      <c r="AU149" s="54"/>
      <c r="AV149" s="54"/>
      <c r="AW149" s="54"/>
      <c r="AX149" s="54"/>
      <c r="AY149" s="54"/>
      <c r="AZ149" s="54"/>
      <c r="BA149" s="1677" t="s">
        <v>2044</v>
      </c>
      <c r="BB149" s="54"/>
      <c r="BC149" s="54"/>
    </row>
    <row r="150" spans="1:55">
      <c r="A150" s="45"/>
      <c r="B150" s="1665"/>
      <c r="C150" s="2504" t="s">
        <v>901</v>
      </c>
      <c r="D150" s="2505"/>
      <c r="E150" s="2506" t="s">
        <v>902</v>
      </c>
      <c r="F150" s="3036" t="s">
        <v>276</v>
      </c>
      <c r="G150" s="2388">
        <f ca="1">((Transfer!D299/Transfer!C299)-1)*100</f>
        <v>6.7760091460733696</v>
      </c>
      <c r="H150" s="2387">
        <f ca="1">((Transfer!E299/Transfer!D299)-1)*100</f>
        <v>-4.6091916155335255</v>
      </c>
      <c r="I150" s="2500">
        <f ca="1">((Transfer!F299/Transfer!E299)-1)*100</f>
        <v>3.499999999999992</v>
      </c>
      <c r="J150" s="2503">
        <f ca="1">((Transfer!G299/Transfer!F299)-1)*100</f>
        <v>1.8000000000000016</v>
      </c>
      <c r="K150" s="2390"/>
      <c r="L150" s="54"/>
      <c r="M150" s="54"/>
      <c r="N150" s="54"/>
      <c r="O150" s="54"/>
      <c r="P150" s="54"/>
      <c r="Q150" s="54"/>
      <c r="R150" s="54"/>
      <c r="S150" s="190"/>
      <c r="T150" s="244" t="s">
        <v>901</v>
      </c>
      <c r="U150" s="230"/>
      <c r="V150" s="250" t="s">
        <v>902</v>
      </c>
      <c r="W150" s="242" t="e">
        <f t="shared" si="11"/>
        <v>#VALUE!</v>
      </c>
      <c r="X150" s="242">
        <f t="shared" ca="1" si="11"/>
        <v>4.5</v>
      </c>
      <c r="Y150" s="242">
        <f t="shared" ca="1" si="11"/>
        <v>-7.6</v>
      </c>
      <c r="Z150" s="242">
        <f t="shared" ca="1" si="11"/>
        <v>-0.5</v>
      </c>
      <c r="AA150" s="93">
        <f t="shared" ca="1" si="11"/>
        <v>-2.2000000000000002</v>
      </c>
      <c r="AB150" s="103"/>
      <c r="AC150" s="45"/>
      <c r="AD150" s="45"/>
      <c r="AE150" s="45"/>
      <c r="AF150" s="45"/>
      <c r="AG150" s="45"/>
      <c r="AH150" s="45"/>
      <c r="AI150" s="45"/>
      <c r="AJ150" s="190"/>
      <c r="AK150" s="2141" t="s">
        <v>901</v>
      </c>
      <c r="AL150" s="2142"/>
      <c r="AM150" s="2143" t="s">
        <v>902</v>
      </c>
      <c r="AN150" s="3036" t="s">
        <v>276</v>
      </c>
      <c r="AO150" s="2114">
        <f>((Transfer!AD299/Transfer!AC299)-1)*100</f>
        <v>2.2742403497092001</v>
      </c>
      <c r="AP150" s="2113">
        <f>((Transfer!AE299/Transfer!AD299)-1)*100</f>
        <v>3.0000000000000027</v>
      </c>
      <c r="AQ150" s="2144">
        <f>((Transfer!AF299/Transfer!AE299)-1)*100</f>
        <v>4.0000000000000036</v>
      </c>
      <c r="AR150" s="2146">
        <f>((Transfer!AG299/Transfer!AF299)-1)*100</f>
        <v>4.0000000000000258</v>
      </c>
      <c r="AS150" s="103"/>
      <c r="AT150" s="54"/>
      <c r="AU150" s="54"/>
      <c r="AV150" s="54"/>
      <c r="AW150" s="54"/>
      <c r="AX150" s="54"/>
      <c r="AY150" s="54"/>
      <c r="AZ150" s="54"/>
      <c r="BA150" s="1677" t="s">
        <v>2045</v>
      </c>
      <c r="BB150" s="54"/>
      <c r="BC150" s="54"/>
    </row>
    <row r="151" spans="1:55">
      <c r="A151" s="45"/>
      <c r="B151" s="1665"/>
      <c r="C151" s="2504" t="s">
        <v>1958</v>
      </c>
      <c r="D151" s="2505"/>
      <c r="E151" s="2506" t="s">
        <v>1743</v>
      </c>
      <c r="F151" s="3036" t="s">
        <v>276</v>
      </c>
      <c r="G151" s="2388">
        <f ca="1">(((Transfer!D287-Transfer!D299)/(Transfer!C287-Transfer!C299))-1)*100</f>
        <v>-11.24833716289757</v>
      </c>
      <c r="H151" s="2387">
        <f ca="1">(((Transfer!E287-Transfer!E299)/(Transfer!D287-Transfer!D299))-1)*100</f>
        <v>8.3434916593285067</v>
      </c>
      <c r="I151" s="2500">
        <f ca="1">(((Transfer!F287-Transfer!F299)/(Transfer!E287-Transfer!E299))-1)*100</f>
        <v>6.4731301421788512</v>
      </c>
      <c r="J151" s="2503">
        <f ca="1">(((Transfer!G287-Transfer!G299)/(Transfer!F287-Transfer!F299))-1)*100</f>
        <v>4.8730097979637454</v>
      </c>
      <c r="K151" s="2390"/>
      <c r="L151" s="54"/>
      <c r="M151" s="54"/>
      <c r="N151" s="54"/>
      <c r="O151" s="54"/>
      <c r="P151" s="54"/>
      <c r="Q151" s="54"/>
      <c r="R151" s="54"/>
      <c r="S151" s="190"/>
      <c r="T151" s="244" t="s">
        <v>1958</v>
      </c>
      <c r="U151" s="230"/>
      <c r="V151" s="250" t="s">
        <v>1743</v>
      </c>
      <c r="W151" s="242" t="e">
        <f t="shared" si="11"/>
        <v>#VALUE!</v>
      </c>
      <c r="X151" s="242">
        <f t="shared" ca="1" si="11"/>
        <v>-5.8999999999999995</v>
      </c>
      <c r="Y151" s="242">
        <f t="shared" ca="1" si="11"/>
        <v>6.8000000000000007</v>
      </c>
      <c r="Z151" s="242">
        <f t="shared" ca="1" si="11"/>
        <v>1.5</v>
      </c>
      <c r="AA151" s="93">
        <f t="shared" ca="1" si="11"/>
        <v>-9.9999999999999645E-2</v>
      </c>
      <c r="AB151" s="103"/>
      <c r="AC151" s="45"/>
      <c r="AD151" s="45"/>
      <c r="AE151" s="45"/>
      <c r="AF151" s="45"/>
      <c r="AG151" s="45"/>
      <c r="AH151" s="45"/>
      <c r="AI151" s="45"/>
      <c r="AJ151" s="190"/>
      <c r="AK151" s="2141" t="s">
        <v>1958</v>
      </c>
      <c r="AL151" s="2142"/>
      <c r="AM151" s="2143" t="s">
        <v>1743</v>
      </c>
      <c r="AN151" s="3036" t="s">
        <v>276</v>
      </c>
      <c r="AO151" s="2114">
        <f>(((Transfer!AD287-Transfer!AD299)/(Transfer!AC287-Transfer!AC299))-1)*100</f>
        <v>-5.3256900300668875</v>
      </c>
      <c r="AP151" s="2113">
        <f>(((Transfer!AE287-Transfer!AE299)/(Transfer!AD287-Transfer!AD299))-1)*100</f>
        <v>1.4985154285869218</v>
      </c>
      <c r="AQ151" s="2144">
        <f>(((Transfer!AF287-Transfer!AF299)/(Transfer!AE287-Transfer!AE299))-1)*100</f>
        <v>5.0010785351772613</v>
      </c>
      <c r="AR151" s="2146">
        <f>(((Transfer!AG287-Transfer!AG299)/(Transfer!AF287-Transfer!AF299))-1)*100</f>
        <v>5.0019303082843081</v>
      </c>
      <c r="AS151" s="103"/>
      <c r="AT151" s="54"/>
      <c r="AU151" s="54"/>
      <c r="AV151" s="54"/>
      <c r="AW151" s="54"/>
      <c r="AX151" s="54"/>
      <c r="AY151" s="54"/>
      <c r="AZ151" s="54"/>
      <c r="BA151" s="1677" t="s">
        <v>2046</v>
      </c>
      <c r="BB151" s="54"/>
      <c r="BC151" s="54"/>
    </row>
    <row r="152" spans="1:55">
      <c r="A152" s="45"/>
      <c r="B152" s="1665"/>
      <c r="C152" s="2497" t="s">
        <v>156</v>
      </c>
      <c r="D152" s="2498"/>
      <c r="E152" s="2499" t="s">
        <v>157</v>
      </c>
      <c r="F152" s="3036" t="s">
        <v>276</v>
      </c>
      <c r="G152" s="2388">
        <f ca="1">((Transfer!D288/Transfer!C288)-1)*100</f>
        <v>8.9751886920784294</v>
      </c>
      <c r="H152" s="2502">
        <f ca="1">((Transfer!E288/Transfer!D288)-1)*100</f>
        <v>8.8692106338230658</v>
      </c>
      <c r="I152" s="2500">
        <f ca="1">((Transfer!F288/Transfer!E288)-1)*100</f>
        <v>8.4999999999999964</v>
      </c>
      <c r="J152" s="2503">
        <f ca="1">((Transfer!G288/Transfer!F288)-1)*100</f>
        <v>4.2000000000000037</v>
      </c>
      <c r="K152" s="2368"/>
      <c r="L152" s="54"/>
      <c r="M152" s="54"/>
      <c r="N152" s="54"/>
      <c r="O152" s="54"/>
      <c r="P152" s="54"/>
      <c r="Q152" s="54"/>
      <c r="R152" s="54"/>
      <c r="S152" s="190"/>
      <c r="T152" s="229" t="s">
        <v>156</v>
      </c>
      <c r="U152" s="230"/>
      <c r="V152" s="241" t="s">
        <v>157</v>
      </c>
      <c r="W152" s="242" t="e">
        <f t="shared" si="11"/>
        <v>#VALUE!</v>
      </c>
      <c r="X152" s="242">
        <f t="shared" ca="1" si="11"/>
        <v>13.8</v>
      </c>
      <c r="Y152" s="242">
        <f t="shared" ca="1" si="11"/>
        <v>-0.79999999999999893</v>
      </c>
      <c r="Z152" s="242">
        <f t="shared" ca="1" si="11"/>
        <v>-1.3000000000000007</v>
      </c>
      <c r="AA152" s="93">
        <f t="shared" ca="1" si="11"/>
        <v>-5.6000000000000005</v>
      </c>
      <c r="AB152" s="82"/>
      <c r="AC152" s="45"/>
      <c r="AD152" s="45"/>
      <c r="AE152" s="45"/>
      <c r="AF152" s="45"/>
      <c r="AG152" s="45"/>
      <c r="AH152" s="45"/>
      <c r="AI152" s="45"/>
      <c r="AJ152" s="190"/>
      <c r="AK152" s="2167" t="s">
        <v>156</v>
      </c>
      <c r="AL152" s="2168"/>
      <c r="AM152" s="2169" t="s">
        <v>157</v>
      </c>
      <c r="AN152" s="3036" t="s">
        <v>276</v>
      </c>
      <c r="AO152" s="2114">
        <f>((Transfer!AD288/Transfer!AC288)-1)*100</f>
        <v>-4.7552060927355981</v>
      </c>
      <c r="AP152" s="2145">
        <f>((Transfer!AE288/Transfer!AD288)-1)*100</f>
        <v>9.6999999999999975</v>
      </c>
      <c r="AQ152" s="2144">
        <f>((Transfer!AF288/Transfer!AE288)-1)*100</f>
        <v>9.8000000000000078</v>
      </c>
      <c r="AR152" s="2146">
        <f>((Transfer!AG288/Transfer!AF288)-1)*100</f>
        <v>9.8000000000000078</v>
      </c>
      <c r="AS152" s="82"/>
      <c r="AT152" s="54"/>
      <c r="AU152" s="54"/>
      <c r="AV152" s="54"/>
      <c r="AW152" s="54"/>
      <c r="AX152" s="54"/>
      <c r="AY152" s="54"/>
      <c r="AZ152" s="54"/>
      <c r="BA152" s="1677" t="s">
        <v>2047</v>
      </c>
      <c r="BB152" s="54"/>
      <c r="BC152" s="54"/>
    </row>
    <row r="153" spans="1:55">
      <c r="A153" s="45"/>
      <c r="B153" s="1665"/>
      <c r="C153" s="2514" t="s">
        <v>277</v>
      </c>
      <c r="D153" s="2515"/>
      <c r="E153" s="2516" t="s">
        <v>751</v>
      </c>
      <c r="F153" s="3037" t="s">
        <v>276</v>
      </c>
      <c r="G153" s="2518">
        <f ca="1">((Transfer!D289/Transfer!C289)-1)*100</f>
        <v>1.9946367355965888</v>
      </c>
      <c r="H153" s="2519">
        <f ca="1">((Transfer!E289/Transfer!D289)-1)*100</f>
        <v>15.468849526339357</v>
      </c>
      <c r="I153" s="2517">
        <f ca="1">((Transfer!F289/Transfer!E289)-1)*100</f>
        <v>6.2000000000000055</v>
      </c>
      <c r="J153" s="2520">
        <f ca="1">((Transfer!G289/Transfer!F289)-1)*100</f>
        <v>4.4999999999999929</v>
      </c>
      <c r="K153" s="2452"/>
      <c r="L153" s="54"/>
      <c r="M153" s="54"/>
      <c r="N153" s="54"/>
      <c r="O153" s="54"/>
      <c r="P153" s="54"/>
      <c r="Q153" s="54"/>
      <c r="R153" s="54"/>
      <c r="S153" s="190"/>
      <c r="T153" s="229" t="s">
        <v>277</v>
      </c>
      <c r="U153" s="230"/>
      <c r="V153" s="241" t="s">
        <v>751</v>
      </c>
      <c r="W153" s="96" t="e">
        <f t="shared" si="11"/>
        <v>#VALUE!</v>
      </c>
      <c r="X153" s="2012">
        <f t="shared" ca="1" si="11"/>
        <v>-1.5</v>
      </c>
      <c r="Y153" s="2012">
        <f t="shared" ca="1" si="11"/>
        <v>7.1</v>
      </c>
      <c r="Z153" s="2012">
        <f t="shared" ca="1" si="11"/>
        <v>-1.7999999999999998</v>
      </c>
      <c r="AA153" s="98">
        <f t="shared" ca="1" si="11"/>
        <v>-3.5</v>
      </c>
      <c r="AB153" s="199"/>
      <c r="AC153" s="45"/>
      <c r="AD153" s="45"/>
      <c r="AE153" s="45"/>
      <c r="AF153" s="45"/>
      <c r="AG153" s="45"/>
      <c r="AH153" s="45"/>
      <c r="AI153" s="45"/>
      <c r="AJ153" s="190"/>
      <c r="AK153" s="2171" t="s">
        <v>277</v>
      </c>
      <c r="AL153" s="2172"/>
      <c r="AM153" s="2173" t="s">
        <v>751</v>
      </c>
      <c r="AN153" s="3037" t="s">
        <v>276</v>
      </c>
      <c r="AO153" s="2127">
        <f>((Transfer!AD289/Transfer!AC289)-1)*100</f>
        <v>3.5080663770199028</v>
      </c>
      <c r="AP153" s="2174">
        <f>((Transfer!AE289/Transfer!AD289)-1)*100</f>
        <v>8.4000000000000075</v>
      </c>
      <c r="AQ153" s="2147">
        <f>((Transfer!AF289/Transfer!AE289)-1)*100</f>
        <v>8.0000000000000284</v>
      </c>
      <c r="AR153" s="2148">
        <f>((Transfer!AG289/Transfer!AF289)-1)*100</f>
        <v>8.0000000000000071</v>
      </c>
      <c r="AS153" s="199"/>
      <c r="AT153" s="54"/>
      <c r="AU153" s="54"/>
      <c r="AV153" s="54"/>
      <c r="AW153" s="54"/>
      <c r="AX153" s="54"/>
      <c r="AY153" s="54"/>
      <c r="AZ153" s="54"/>
      <c r="BA153" s="1677" t="s">
        <v>2048</v>
      </c>
      <c r="BB153" s="54"/>
      <c r="BC153" s="54"/>
    </row>
    <row r="154" spans="1:55">
      <c r="A154" s="45"/>
      <c r="B154" s="1665"/>
      <c r="C154" s="2497" t="s">
        <v>1889</v>
      </c>
      <c r="D154" s="2498"/>
      <c r="E154" s="2499" t="s">
        <v>1836</v>
      </c>
      <c r="F154" s="3036" t="s">
        <v>276</v>
      </c>
      <c r="G154" s="2388">
        <f ca="1">((Transfer!D286/Transfer!C286)-1)*100</f>
        <v>-0.47086618171282568</v>
      </c>
      <c r="H154" s="2502">
        <f ca="1">((Transfer!E286/Transfer!D286)-1)*100</f>
        <v>7.3037703461852344</v>
      </c>
      <c r="I154" s="2500">
        <f ca="1">((Transfer!F286/Transfer!E286)-1)*100</f>
        <v>6.6757596465201408</v>
      </c>
      <c r="J154" s="2503">
        <f ca="1">((Transfer!G286/Transfer!F286)-1)*100</f>
        <v>4.0805171917847716</v>
      </c>
      <c r="K154" s="2368"/>
      <c r="L154" s="54"/>
      <c r="M154" s="54"/>
      <c r="N154" s="54"/>
      <c r="O154" s="54"/>
      <c r="P154" s="54"/>
      <c r="Q154" s="54"/>
      <c r="R154" s="54"/>
      <c r="S154" s="190"/>
      <c r="T154" s="251" t="s">
        <v>1889</v>
      </c>
      <c r="U154" s="252"/>
      <c r="V154" s="253" t="s">
        <v>1836</v>
      </c>
      <c r="W154" s="3028" t="e">
        <f t="shared" si="11"/>
        <v>#VALUE!</v>
      </c>
      <c r="X154" s="3028">
        <f t="shared" ca="1" si="11"/>
        <v>3.1</v>
      </c>
      <c r="Y154" s="3028">
        <f t="shared" ca="1" si="11"/>
        <v>2.3999999999999995</v>
      </c>
      <c r="Z154" s="3028">
        <f t="shared" ca="1" si="11"/>
        <v>-9.9999999999999645E-2</v>
      </c>
      <c r="AA154" s="81">
        <f t="shared" ca="1" si="11"/>
        <v>-2.7</v>
      </c>
      <c r="AB154" s="82"/>
      <c r="AC154" s="45"/>
      <c r="AD154" s="45"/>
      <c r="AE154" s="45"/>
      <c r="AF154" s="45"/>
      <c r="AG154" s="45"/>
      <c r="AH154" s="45"/>
      <c r="AI154" s="45"/>
      <c r="AJ154" s="190"/>
      <c r="AK154" s="2167" t="s">
        <v>1889</v>
      </c>
      <c r="AL154" s="2168"/>
      <c r="AM154" s="2169" t="s">
        <v>1836</v>
      </c>
      <c r="AN154" s="3036" t="s">
        <v>276</v>
      </c>
      <c r="AO154" s="2114">
        <f>((Transfer!AD286/Transfer!AC286)-1)*100</f>
        <v>-3.6072158443441804</v>
      </c>
      <c r="AP154" s="2145">
        <f>((Transfer!AE286/Transfer!AD286)-1)*100</f>
        <v>4.8738717027290601</v>
      </c>
      <c r="AQ154" s="2144">
        <f>((Transfer!AF286/Transfer!AE286)-1)*100</f>
        <v>6.7721721252337996</v>
      </c>
      <c r="AR154" s="2146">
        <f>((Transfer!AG286/Transfer!AF286)-1)*100</f>
        <v>6.8297691935189198</v>
      </c>
      <c r="AS154" s="82"/>
      <c r="AT154" s="54"/>
      <c r="AU154" s="54"/>
      <c r="AV154" s="54"/>
      <c r="AW154" s="54"/>
      <c r="AX154" s="54"/>
      <c r="AY154" s="54"/>
      <c r="AZ154" s="54"/>
      <c r="BA154" s="1986" t="s">
        <v>2049</v>
      </c>
      <c r="BB154" s="54"/>
      <c r="BC154" s="54"/>
    </row>
    <row r="155" spans="1:55" ht="13.5" thickBot="1">
      <c r="A155" s="45"/>
      <c r="B155" s="1665"/>
      <c r="C155" s="2522" t="s">
        <v>1890</v>
      </c>
      <c r="D155" s="2523"/>
      <c r="E155" s="2524"/>
      <c r="F155" s="2525"/>
      <c r="G155" s="2526"/>
      <c r="H155" s="2527"/>
      <c r="I155" s="2525"/>
      <c r="J155" s="2528"/>
      <c r="K155" s="2368"/>
      <c r="L155" s="54"/>
      <c r="M155" s="54"/>
      <c r="N155" s="54"/>
      <c r="O155" s="54"/>
      <c r="P155" s="54"/>
      <c r="Q155" s="54"/>
      <c r="R155" s="54"/>
      <c r="S155" s="190"/>
      <c r="T155" s="109" t="s">
        <v>1890</v>
      </c>
      <c r="U155" s="3029"/>
      <c r="V155" s="386"/>
      <c r="W155" s="405"/>
      <c r="X155" s="3030"/>
      <c r="Y155" s="3030"/>
      <c r="Z155" s="3030"/>
      <c r="AA155" s="112"/>
      <c r="AB155" s="82"/>
      <c r="AC155" s="45"/>
      <c r="AD155" s="45"/>
      <c r="AE155" s="45"/>
      <c r="AF155" s="45"/>
      <c r="AG155" s="45"/>
      <c r="AH155" s="45"/>
      <c r="AI155" s="45"/>
      <c r="AJ155" s="190"/>
      <c r="AK155" s="2175" t="s">
        <v>1890</v>
      </c>
      <c r="AL155" s="2176"/>
      <c r="AM155" s="2177"/>
      <c r="AN155" s="2178"/>
      <c r="AO155" s="2179"/>
      <c r="AP155" s="2180"/>
      <c r="AQ155" s="2178"/>
      <c r="AR155" s="2181"/>
      <c r="AS155" s="82"/>
      <c r="AT155" s="54"/>
      <c r="AU155" s="54"/>
      <c r="AV155" s="54"/>
      <c r="AW155" s="54"/>
      <c r="AX155" s="54"/>
      <c r="AY155" s="54"/>
      <c r="AZ155" s="54"/>
      <c r="BA155" s="1678"/>
      <c r="BB155" s="54"/>
      <c r="BC155" s="54"/>
    </row>
    <row r="156" spans="1:55">
      <c r="A156" s="45"/>
      <c r="B156" s="1701"/>
      <c r="C156" s="2399"/>
      <c r="D156" s="2399"/>
      <c r="E156" s="2399"/>
      <c r="F156" s="2399"/>
      <c r="G156" s="2399"/>
      <c r="H156" s="2399"/>
      <c r="I156" s="2477"/>
      <c r="J156" s="2400" t="str">
        <f>UPPER(Country)</f>
        <v>LITHUANIA</v>
      </c>
      <c r="K156" s="2478"/>
      <c r="L156" s="256"/>
      <c r="M156" s="54"/>
      <c r="N156" s="54"/>
      <c r="O156" s="54"/>
      <c r="P156" s="54"/>
      <c r="Q156" s="54"/>
      <c r="R156" s="54"/>
      <c r="S156" s="215"/>
      <c r="T156" s="117"/>
      <c r="U156" s="117"/>
      <c r="V156" s="117"/>
      <c r="W156" s="117"/>
      <c r="X156" s="117"/>
      <c r="Y156" s="117"/>
      <c r="Z156" s="255"/>
      <c r="AA156" s="118" t="str">
        <f>UPPER(Country)</f>
        <v>LITHUANIA</v>
      </c>
      <c r="AB156" s="216"/>
      <c r="AC156" s="45"/>
      <c r="AD156" s="45"/>
      <c r="AE156" s="45"/>
      <c r="AF156" s="45"/>
      <c r="AG156" s="45"/>
      <c r="AH156" s="45"/>
      <c r="AI156" s="45"/>
      <c r="AJ156" s="215"/>
      <c r="AK156" s="117"/>
      <c r="AL156" s="117"/>
      <c r="AM156" s="117"/>
      <c r="AN156" s="117"/>
      <c r="AO156" s="117"/>
      <c r="AP156" s="117"/>
      <c r="AQ156" s="255"/>
      <c r="AR156" s="118" t="str">
        <f>UPPER(Country)</f>
        <v>LITHUANIA</v>
      </c>
      <c r="AS156" s="216"/>
      <c r="AT156" s="256"/>
      <c r="AU156" s="54"/>
      <c r="AV156" s="54"/>
      <c r="AW156" s="54"/>
      <c r="AX156" s="54"/>
      <c r="AY156" s="54"/>
      <c r="AZ156" s="54"/>
      <c r="BA156" s="45"/>
      <c r="BB156" s="54"/>
      <c r="BC156" s="54"/>
    </row>
    <row r="157" spans="1:55">
      <c r="A157" s="45"/>
      <c r="B157" s="45"/>
      <c r="C157" s="54"/>
      <c r="D157" s="54"/>
      <c r="E157" s="54"/>
      <c r="F157" s="54"/>
      <c r="G157" s="54"/>
      <c r="H157" s="54"/>
      <c r="I157" s="45"/>
      <c r="J157" s="45"/>
      <c r="K157" s="45"/>
      <c r="L157" s="54"/>
      <c r="M157" s="54"/>
      <c r="N157" s="54"/>
      <c r="O157" s="54"/>
      <c r="P157" s="54"/>
      <c r="Q157" s="54"/>
      <c r="R157" s="54"/>
      <c r="S157" s="45"/>
      <c r="T157" s="45"/>
      <c r="U157" s="45"/>
      <c r="V157" s="45"/>
      <c r="W157" s="45"/>
      <c r="X157" s="54"/>
      <c r="Y157" s="54"/>
      <c r="Z157" s="54"/>
      <c r="AA157" s="45"/>
      <c r="AB157" s="45"/>
      <c r="AC157" s="45"/>
      <c r="AD157" s="45"/>
      <c r="AE157" s="45"/>
      <c r="AF157" s="45"/>
      <c r="AG157" s="45"/>
      <c r="AH157" s="45"/>
      <c r="AI157" s="45"/>
      <c r="AJ157" s="45"/>
      <c r="AK157" s="54"/>
      <c r="AL157" s="54"/>
      <c r="AM157" s="54"/>
      <c r="AN157" s="54"/>
      <c r="AO157" s="54"/>
      <c r="AP157" s="54"/>
      <c r="AQ157" s="45"/>
      <c r="AR157" s="45"/>
      <c r="AS157" s="45"/>
      <c r="AT157" s="54"/>
      <c r="AU157" s="54"/>
      <c r="AV157" s="54"/>
      <c r="AW157" s="54"/>
      <c r="AX157" s="54"/>
      <c r="AY157" s="54"/>
      <c r="AZ157" s="54"/>
      <c r="BA157" s="54"/>
      <c r="BB157" s="54"/>
      <c r="BC157" s="54"/>
    </row>
    <row r="158" spans="1:55">
      <c r="A158" s="45"/>
      <c r="B158" s="45"/>
      <c r="C158" s="54"/>
      <c r="D158" s="54"/>
      <c r="E158" s="45"/>
      <c r="F158" s="45"/>
      <c r="G158" s="45"/>
      <c r="H158" s="45"/>
      <c r="I158" s="45"/>
      <c r="J158" s="45"/>
      <c r="K158" s="187"/>
      <c r="L158" s="54"/>
      <c r="M158" s="54"/>
      <c r="N158" s="54"/>
      <c r="O158" s="54"/>
      <c r="P158" s="54"/>
      <c r="Q158" s="54"/>
      <c r="R158" s="54"/>
      <c r="S158" s="45"/>
      <c r="T158" s="45"/>
      <c r="U158" s="45"/>
      <c r="V158" s="45"/>
      <c r="W158" s="45"/>
      <c r="X158" s="54"/>
      <c r="Y158" s="54"/>
      <c r="Z158" s="54"/>
      <c r="AA158" s="45"/>
      <c r="AB158" s="45"/>
      <c r="AC158" s="45"/>
      <c r="AD158" s="45"/>
      <c r="AE158" s="45"/>
      <c r="AF158" s="45"/>
      <c r="AG158" s="45"/>
      <c r="AH158" s="45"/>
      <c r="AI158" s="45"/>
      <c r="AJ158" s="45"/>
      <c r="AK158" s="54"/>
      <c r="AL158" s="54"/>
      <c r="AM158" s="45"/>
      <c r="AN158" s="45"/>
      <c r="AO158" s="45"/>
      <c r="AP158" s="45"/>
      <c r="AQ158" s="45"/>
      <c r="AR158" s="45"/>
      <c r="AS158" s="187"/>
      <c r="AT158" s="54"/>
      <c r="AU158" s="54"/>
      <c r="AV158" s="54"/>
      <c r="AW158" s="54"/>
      <c r="AX158" s="54"/>
      <c r="AY158" s="54"/>
      <c r="AZ158" s="54"/>
      <c r="BA158" s="54"/>
      <c r="BB158" s="54"/>
      <c r="BC158" s="54"/>
    </row>
    <row r="159" spans="1:55">
      <c r="A159" s="45"/>
      <c r="B159" s="45"/>
      <c r="C159" s="54"/>
      <c r="D159" s="54"/>
      <c r="E159" s="54"/>
      <c r="F159" s="54"/>
      <c r="G159" s="54"/>
      <c r="H159" s="54"/>
      <c r="I159" s="54"/>
      <c r="J159" s="54"/>
      <c r="K159" s="54"/>
      <c r="L159" s="54"/>
      <c r="M159" s="54"/>
      <c r="N159" s="54"/>
      <c r="O159" s="54"/>
      <c r="P159" s="54"/>
      <c r="Q159" s="54"/>
      <c r="R159" s="54"/>
      <c r="S159" s="45"/>
      <c r="T159" s="45"/>
      <c r="U159" s="45"/>
      <c r="V159" s="45"/>
      <c r="W159" s="45"/>
      <c r="X159" s="54"/>
      <c r="Y159" s="54"/>
      <c r="Z159" s="54"/>
      <c r="AA159" s="45"/>
      <c r="AB159" s="45"/>
      <c r="AC159" s="45"/>
      <c r="AD159" s="45"/>
      <c r="AE159" s="45"/>
      <c r="AF159" s="45"/>
      <c r="AG159" s="45"/>
      <c r="AH159" s="45"/>
      <c r="AI159" s="45"/>
      <c r="AJ159" s="45"/>
      <c r="AK159" s="54"/>
      <c r="AL159" s="54"/>
      <c r="AM159" s="54"/>
      <c r="AN159" s="54"/>
      <c r="AO159" s="54"/>
      <c r="AP159" s="54"/>
      <c r="AQ159" s="54"/>
      <c r="AR159" s="54"/>
      <c r="AS159" s="54"/>
      <c r="AT159" s="54"/>
      <c r="AU159" s="54"/>
      <c r="AV159" s="54"/>
      <c r="AW159" s="54"/>
      <c r="AX159" s="54"/>
      <c r="AY159" s="54"/>
      <c r="AZ159" s="54"/>
      <c r="BA159" s="54"/>
      <c r="BB159" s="54"/>
      <c r="BC159" s="54"/>
    </row>
    <row r="160" spans="1:55">
      <c r="A160" s="45"/>
      <c r="B160" s="45"/>
      <c r="C160" s="54"/>
      <c r="D160" s="54"/>
      <c r="E160" s="54"/>
      <c r="F160" s="54"/>
      <c r="G160" s="54"/>
      <c r="H160" s="54"/>
      <c r="I160" s="54"/>
      <c r="J160" s="54"/>
      <c r="K160" s="54"/>
      <c r="L160" s="54"/>
      <c r="M160" s="54"/>
      <c r="N160" s="54"/>
      <c r="O160" s="54"/>
      <c r="P160" s="54"/>
      <c r="Q160" s="54"/>
      <c r="R160" s="54"/>
      <c r="S160" s="45"/>
      <c r="T160" s="45"/>
      <c r="U160" s="45"/>
      <c r="V160" s="45"/>
      <c r="W160" s="45"/>
      <c r="X160" s="54"/>
      <c r="Y160" s="54"/>
      <c r="Z160" s="54"/>
      <c r="AA160" s="45"/>
      <c r="AB160" s="45"/>
      <c r="AC160" s="45"/>
      <c r="AD160" s="45"/>
      <c r="AE160" s="45"/>
      <c r="AF160" s="45"/>
      <c r="AG160" s="45"/>
      <c r="AH160" s="45"/>
      <c r="AI160" s="45"/>
      <c r="AJ160" s="45"/>
      <c r="AK160" s="54"/>
      <c r="AL160" s="54"/>
      <c r="AM160" s="54"/>
      <c r="AN160" s="54"/>
      <c r="AO160" s="54"/>
      <c r="AP160" s="54"/>
      <c r="AQ160" s="54"/>
      <c r="AR160" s="54"/>
      <c r="AS160" s="54"/>
      <c r="AT160" s="54"/>
      <c r="AU160" s="54"/>
      <c r="AV160" s="54"/>
      <c r="AW160" s="54"/>
      <c r="AX160" s="54"/>
      <c r="AY160" s="54"/>
      <c r="AZ160" s="54"/>
      <c r="BA160" s="54"/>
      <c r="BB160" s="54"/>
      <c r="BC160" s="54"/>
    </row>
    <row r="161" spans="1:55">
      <c r="A161" s="45"/>
      <c r="B161" s="45"/>
      <c r="C161" s="54"/>
      <c r="D161" s="54"/>
      <c r="E161" s="54"/>
      <c r="F161" s="54"/>
      <c r="G161" s="54"/>
      <c r="H161" s="54"/>
      <c r="I161" s="54"/>
      <c r="J161" s="54"/>
      <c r="K161" s="54"/>
      <c r="L161" s="54"/>
      <c r="M161" s="54"/>
      <c r="N161" s="54"/>
      <c r="O161" s="54"/>
      <c r="P161" s="54"/>
      <c r="Q161" s="54"/>
      <c r="R161" s="54"/>
      <c r="S161" s="45"/>
      <c r="T161" s="45"/>
      <c r="U161" s="45"/>
      <c r="V161" s="45"/>
      <c r="W161" s="45"/>
      <c r="X161" s="54"/>
      <c r="Y161" s="54"/>
      <c r="Z161" s="54"/>
      <c r="AA161" s="45"/>
      <c r="AB161" s="45"/>
      <c r="AC161" s="45"/>
      <c r="AD161" s="45"/>
      <c r="AE161" s="45"/>
      <c r="AF161" s="45"/>
      <c r="AG161" s="45"/>
      <c r="AH161" s="45"/>
      <c r="AI161" s="45"/>
      <c r="AJ161" s="45"/>
      <c r="AK161" s="54"/>
      <c r="AL161" s="54"/>
      <c r="AM161" s="54"/>
      <c r="AN161" s="54"/>
      <c r="AO161" s="54"/>
      <c r="AP161" s="54"/>
      <c r="AQ161" s="54"/>
      <c r="AR161" s="54"/>
      <c r="AS161" s="54"/>
      <c r="AT161" s="54"/>
      <c r="AU161" s="54"/>
      <c r="AV161" s="54"/>
      <c r="AW161" s="54"/>
      <c r="AX161" s="54"/>
      <c r="AY161" s="54"/>
      <c r="AZ161" s="54"/>
      <c r="BA161" s="54"/>
      <c r="BB161" s="54"/>
      <c r="BC161" s="54"/>
    </row>
    <row r="162" spans="1:55">
      <c r="A162" s="45"/>
      <c r="B162" s="45"/>
      <c r="C162" s="54"/>
      <c r="D162" s="54"/>
      <c r="E162" s="54"/>
      <c r="F162" s="54"/>
      <c r="G162" s="54"/>
      <c r="H162" s="54"/>
      <c r="I162" s="54"/>
      <c r="J162" s="54"/>
      <c r="K162" s="54"/>
      <c r="L162" s="54"/>
      <c r="M162" s="54"/>
      <c r="N162" s="54"/>
      <c r="O162" s="54"/>
      <c r="P162" s="54"/>
      <c r="Q162" s="54"/>
      <c r="R162" s="54"/>
      <c r="S162" s="45"/>
      <c r="T162" s="45"/>
      <c r="U162" s="45"/>
      <c r="V162" s="45"/>
      <c r="W162" s="45"/>
      <c r="X162" s="54"/>
      <c r="Y162" s="54"/>
      <c r="Z162" s="54"/>
      <c r="AA162" s="45"/>
      <c r="AB162" s="45"/>
      <c r="AC162" s="45"/>
      <c r="AD162" s="45"/>
      <c r="AE162" s="45"/>
      <c r="AF162" s="45"/>
      <c r="AG162" s="45"/>
      <c r="AH162" s="45"/>
      <c r="AI162" s="45"/>
      <c r="AJ162" s="45"/>
      <c r="AK162" s="54"/>
      <c r="AL162" s="54"/>
      <c r="AM162" s="54"/>
      <c r="AN162" s="54"/>
      <c r="AO162" s="54"/>
      <c r="AP162" s="54"/>
      <c r="AQ162" s="54"/>
      <c r="AR162" s="54"/>
      <c r="AS162" s="54"/>
      <c r="AT162" s="54"/>
      <c r="AU162" s="54"/>
      <c r="AV162" s="54"/>
      <c r="AW162" s="54"/>
      <c r="AX162" s="54"/>
      <c r="AY162" s="54"/>
      <c r="AZ162" s="54"/>
      <c r="BA162" s="54"/>
      <c r="BB162" s="54"/>
      <c r="BC162" s="54"/>
    </row>
    <row r="163" spans="1:55">
      <c r="A163" s="45"/>
      <c r="B163" s="45"/>
      <c r="C163" s="54"/>
      <c r="D163" s="54"/>
      <c r="E163" s="54"/>
      <c r="F163" s="54"/>
      <c r="G163" s="54"/>
      <c r="H163" s="54"/>
      <c r="I163" s="54"/>
      <c r="J163" s="54"/>
      <c r="K163" s="54"/>
      <c r="L163" s="54"/>
      <c r="M163" s="54"/>
      <c r="N163" s="54"/>
      <c r="O163" s="54"/>
      <c r="P163" s="54"/>
      <c r="Q163" s="54"/>
      <c r="R163" s="54"/>
      <c r="S163" s="45"/>
      <c r="T163" s="45"/>
      <c r="U163" s="45"/>
      <c r="V163" s="45"/>
      <c r="W163" s="45"/>
      <c r="X163" s="54"/>
      <c r="Y163" s="54"/>
      <c r="Z163" s="54"/>
      <c r="AA163" s="45"/>
      <c r="AB163" s="45"/>
      <c r="AC163" s="45"/>
      <c r="AD163" s="45"/>
      <c r="AE163" s="45"/>
      <c r="AF163" s="45"/>
      <c r="AG163" s="45"/>
      <c r="AH163" s="45"/>
      <c r="AI163" s="45"/>
      <c r="AJ163" s="45"/>
      <c r="AK163" s="54"/>
      <c r="AL163" s="54"/>
      <c r="AM163" s="54"/>
      <c r="AN163" s="54"/>
      <c r="AO163" s="54"/>
      <c r="AP163" s="54"/>
      <c r="AQ163" s="54"/>
      <c r="AR163" s="54"/>
      <c r="AS163" s="54"/>
      <c r="AT163" s="54"/>
      <c r="AU163" s="54"/>
      <c r="AV163" s="54"/>
      <c r="AW163" s="54"/>
      <c r="AX163" s="54"/>
      <c r="AY163" s="54"/>
      <c r="AZ163" s="54"/>
      <c r="BA163" s="54"/>
      <c r="BB163" s="54"/>
      <c r="BC163" s="54"/>
    </row>
    <row r="164" spans="1:55">
      <c r="A164" s="45"/>
      <c r="B164" s="45"/>
      <c r="C164" s="54"/>
      <c r="D164" s="54"/>
      <c r="E164" s="54"/>
      <c r="F164" s="54"/>
      <c r="G164" s="54"/>
      <c r="H164" s="54"/>
      <c r="I164" s="54"/>
      <c r="J164" s="54"/>
      <c r="K164" s="54"/>
      <c r="L164" s="54"/>
      <c r="M164" s="54"/>
      <c r="N164" s="54"/>
      <c r="O164" s="54"/>
      <c r="P164" s="54"/>
      <c r="Q164" s="54"/>
      <c r="R164" s="54"/>
      <c r="S164" s="45"/>
      <c r="T164" s="45"/>
      <c r="U164" s="45"/>
      <c r="V164" s="45"/>
      <c r="W164" s="45"/>
      <c r="X164" s="54"/>
      <c r="Y164" s="54"/>
      <c r="Z164" s="54"/>
      <c r="AA164" s="45"/>
      <c r="AB164" s="45"/>
      <c r="AC164" s="45"/>
      <c r="AD164" s="45"/>
      <c r="AE164" s="45"/>
      <c r="AF164" s="45"/>
      <c r="AG164" s="45"/>
      <c r="AH164" s="45"/>
      <c r="AI164" s="45"/>
      <c r="AJ164" s="45"/>
      <c r="AK164" s="54"/>
      <c r="AL164" s="54"/>
      <c r="AM164" s="54"/>
      <c r="AN164" s="54"/>
      <c r="AO164" s="54"/>
      <c r="AP164" s="54"/>
      <c r="AQ164" s="54"/>
      <c r="AR164" s="54"/>
      <c r="AS164" s="54"/>
      <c r="AT164" s="54"/>
      <c r="AU164" s="54"/>
      <c r="AV164" s="54"/>
      <c r="AW164" s="54"/>
      <c r="AX164" s="54"/>
      <c r="AY164" s="54"/>
      <c r="AZ164" s="54"/>
      <c r="BA164" s="54"/>
      <c r="BB164" s="54"/>
      <c r="BC164" s="54"/>
    </row>
    <row r="165" spans="1:55">
      <c r="A165" s="45"/>
      <c r="B165" s="45"/>
      <c r="C165" s="54"/>
      <c r="D165" s="54"/>
      <c r="E165" s="54"/>
      <c r="F165" s="54"/>
      <c r="G165" s="54"/>
      <c r="H165" s="54"/>
      <c r="I165" s="54"/>
      <c r="J165" s="54"/>
      <c r="K165" s="54"/>
      <c r="L165" s="54"/>
      <c r="M165" s="54"/>
      <c r="N165" s="54"/>
      <c r="O165" s="54"/>
      <c r="P165" s="54"/>
      <c r="Q165" s="54"/>
      <c r="R165" s="54"/>
      <c r="S165" s="45"/>
      <c r="T165" s="45"/>
      <c r="U165" s="45"/>
      <c r="V165" s="45"/>
      <c r="W165" s="45"/>
      <c r="X165" s="54"/>
      <c r="Y165" s="54"/>
      <c r="Z165" s="54"/>
      <c r="AA165" s="45"/>
      <c r="AB165" s="45"/>
      <c r="AC165" s="45"/>
      <c r="AD165" s="45"/>
      <c r="AE165" s="45"/>
      <c r="AF165" s="45"/>
      <c r="AG165" s="45"/>
      <c r="AH165" s="45"/>
      <c r="AI165" s="45"/>
      <c r="AJ165" s="45"/>
      <c r="AK165" s="54"/>
      <c r="AL165" s="54"/>
      <c r="AM165" s="54"/>
      <c r="AN165" s="54"/>
      <c r="AO165" s="54"/>
      <c r="AP165" s="54"/>
      <c r="AQ165" s="54"/>
      <c r="AR165" s="54"/>
      <c r="AS165" s="54"/>
      <c r="AT165" s="54"/>
      <c r="AU165" s="54"/>
      <c r="AV165" s="54"/>
      <c r="AW165" s="54"/>
      <c r="AX165" s="54"/>
      <c r="AY165" s="54"/>
      <c r="AZ165" s="54"/>
      <c r="BA165" s="54"/>
      <c r="BB165" s="54"/>
      <c r="BC165" s="54"/>
    </row>
    <row r="166" spans="1:55">
      <c r="A166" s="45"/>
      <c r="B166" s="2529"/>
      <c r="C166" s="2342" t="s">
        <v>1891</v>
      </c>
      <c r="D166" s="2342"/>
      <c r="E166" s="2343"/>
      <c r="F166" s="2343"/>
      <c r="G166" s="2343"/>
      <c r="H166" s="2343"/>
      <c r="I166" s="2343"/>
      <c r="J166" s="2343"/>
      <c r="K166" s="2343"/>
      <c r="L166" s="2343"/>
      <c r="M166" s="2343"/>
      <c r="N166" s="2495"/>
      <c r="O166" s="258"/>
      <c r="P166" s="258"/>
      <c r="Q166" s="258"/>
      <c r="R166" s="54"/>
      <c r="S166" s="257"/>
      <c r="T166" s="56" t="s">
        <v>1891</v>
      </c>
      <c r="U166" s="56"/>
      <c r="V166" s="100"/>
      <c r="W166" s="100"/>
      <c r="X166" s="100"/>
      <c r="Y166" s="100"/>
      <c r="Z166" s="100"/>
      <c r="AA166" s="100"/>
      <c r="AB166" s="100"/>
      <c r="AC166" s="100"/>
      <c r="AD166" s="100"/>
      <c r="AE166" s="238"/>
      <c r="AF166" s="45"/>
      <c r="AG166" s="45"/>
      <c r="AH166" s="45"/>
      <c r="AI166" s="45"/>
      <c r="AJ166" s="257"/>
      <c r="AK166" s="56" t="s">
        <v>1891</v>
      </c>
      <c r="AL166" s="56"/>
      <c r="AM166" s="100"/>
      <c r="AN166" s="100"/>
      <c r="AO166" s="100"/>
      <c r="AP166" s="100"/>
      <c r="AQ166" s="100"/>
      <c r="AR166" s="100"/>
      <c r="AS166" s="100"/>
      <c r="AT166" s="100"/>
      <c r="AU166" s="100"/>
      <c r="AV166" s="238"/>
      <c r="AW166" s="258"/>
      <c r="AX166" s="258"/>
      <c r="AY166" s="258"/>
      <c r="AZ166" s="54"/>
      <c r="BA166" s="45"/>
      <c r="BB166" s="54"/>
      <c r="BC166" s="54"/>
    </row>
    <row r="167" spans="1:55">
      <c r="A167" s="45"/>
      <c r="B167" s="1992"/>
      <c r="C167" s="3751" t="s">
        <v>1033</v>
      </c>
      <c r="D167" s="3751"/>
      <c r="E167" s="3751"/>
      <c r="F167" s="3751"/>
      <c r="G167" s="3751"/>
      <c r="H167" s="3751"/>
      <c r="I167" s="3751"/>
      <c r="J167" s="3751"/>
      <c r="K167" s="3751"/>
      <c r="L167" s="3751"/>
      <c r="M167" s="3751"/>
      <c r="N167" s="2530"/>
      <c r="O167" s="261"/>
      <c r="P167" s="261"/>
      <c r="Q167" s="261"/>
      <c r="R167" s="54"/>
      <c r="S167" s="259"/>
      <c r="T167" s="3751" t="s">
        <v>1033</v>
      </c>
      <c r="U167" s="3751"/>
      <c r="V167" s="3751"/>
      <c r="W167" s="3751"/>
      <c r="X167" s="3751"/>
      <c r="Y167" s="3751"/>
      <c r="Z167" s="3751"/>
      <c r="AA167" s="3751"/>
      <c r="AB167" s="3751"/>
      <c r="AC167" s="3751"/>
      <c r="AD167" s="3751"/>
      <c r="AE167" s="260"/>
      <c r="AF167" s="45"/>
      <c r="AG167" s="45"/>
      <c r="AH167" s="45"/>
      <c r="AI167" s="45"/>
      <c r="AJ167" s="259"/>
      <c r="AK167" s="3751" t="s">
        <v>1033</v>
      </c>
      <c r="AL167" s="3751"/>
      <c r="AM167" s="3751"/>
      <c r="AN167" s="3751"/>
      <c r="AO167" s="3751"/>
      <c r="AP167" s="3751"/>
      <c r="AQ167" s="3751"/>
      <c r="AR167" s="3751"/>
      <c r="AS167" s="3751"/>
      <c r="AT167" s="3751"/>
      <c r="AU167" s="3751"/>
      <c r="AV167" s="260"/>
      <c r="AW167" s="261"/>
      <c r="AX167" s="261"/>
      <c r="AY167" s="261"/>
      <c r="AZ167" s="54"/>
      <c r="BA167" s="45"/>
      <c r="BB167" s="54"/>
      <c r="BC167" s="54"/>
    </row>
    <row r="168" spans="1:55" ht="15.75">
      <c r="A168" s="45"/>
      <c r="B168" s="1992"/>
      <c r="C168" s="2349" t="str">
        <f>"Country: " &amp;UPPER(Country)</f>
        <v>Country: LITHUANIA</v>
      </c>
      <c r="D168" s="2480"/>
      <c r="E168" s="2353"/>
      <c r="F168" s="2445"/>
      <c r="G168" s="2445"/>
      <c r="H168" s="2351"/>
      <c r="I168" s="2351"/>
      <c r="J168" s="2351"/>
      <c r="K168" s="2351"/>
      <c r="L168" s="2351"/>
      <c r="M168" s="2351"/>
      <c r="N168" s="2452"/>
      <c r="O168" s="258"/>
      <c r="P168" s="258"/>
      <c r="Q168" s="258"/>
      <c r="R168" s="54"/>
      <c r="S168" s="259"/>
      <c r="T168" s="63" t="str">
        <f>"Country: " &amp;UPPER(Country)</f>
        <v>Country: LITHUANIA</v>
      </c>
      <c r="U168" s="222"/>
      <c r="V168" s="67"/>
      <c r="W168" s="1"/>
      <c r="X168" s="2006" t="s">
        <v>390</v>
      </c>
      <c r="Y168" s="65"/>
      <c r="Z168" s="65"/>
      <c r="AA168" s="65"/>
      <c r="AB168" s="65"/>
      <c r="AC168" s="65"/>
      <c r="AD168" s="65"/>
      <c r="AE168" s="196"/>
      <c r="AF168" s="45"/>
      <c r="AG168" s="45"/>
      <c r="AH168" s="45"/>
      <c r="AI168" s="45"/>
      <c r="AJ168" s="259"/>
      <c r="AK168" s="63" t="str">
        <f>"Country: " &amp;UPPER(Country)</f>
        <v>Country: LITHUANIA</v>
      </c>
      <c r="AL168" s="222"/>
      <c r="AM168" s="67"/>
      <c r="AN168" s="1"/>
      <c r="AO168" s="1"/>
      <c r="AP168" s="65"/>
      <c r="AQ168" s="65"/>
      <c r="AR168" s="65"/>
      <c r="AS168" s="65"/>
      <c r="AT168" s="65"/>
      <c r="AU168" s="65"/>
      <c r="AV168" s="196"/>
      <c r="AW168" s="258"/>
      <c r="AX168" s="258"/>
      <c r="AY168" s="258"/>
      <c r="AZ168" s="54"/>
      <c r="BA168" s="45"/>
      <c r="BB168" s="54"/>
      <c r="BC168" s="54"/>
    </row>
    <row r="169" spans="1:55" ht="15.75">
      <c r="A169" s="45"/>
      <c r="B169" s="1992"/>
      <c r="C169" s="2349" t="str">
        <f>"Currency unit: " &amp; Currency</f>
        <v>Currency unit: bn EUR</v>
      </c>
      <c r="D169" s="2480"/>
      <c r="E169" s="2351"/>
      <c r="F169" s="2351"/>
      <c r="G169" s="2351"/>
      <c r="H169" s="2351"/>
      <c r="I169" s="2351"/>
      <c r="J169" s="2351"/>
      <c r="K169" s="2351"/>
      <c r="L169" s="2351"/>
      <c r="M169" s="2351"/>
      <c r="N169" s="2452"/>
      <c r="O169" s="258"/>
      <c r="P169" s="258"/>
      <c r="Q169" s="258"/>
      <c r="R169" s="54"/>
      <c r="S169" s="259"/>
      <c r="T169" s="63" t="str">
        <f>"Currency unit: " &amp; Currency</f>
        <v>Currency unit: bn EUR</v>
      </c>
      <c r="U169" s="222"/>
      <c r="V169" s="65"/>
      <c r="W169" s="65"/>
      <c r="X169" s="2006" t="str">
        <f>$T$4</f>
        <v>2nd storage</v>
      </c>
      <c r="Y169" s="65"/>
      <c r="Z169" s="65"/>
      <c r="AA169" s="65"/>
      <c r="AB169" s="65"/>
      <c r="AC169" s="65"/>
      <c r="AD169" s="65"/>
      <c r="AE169" s="196"/>
      <c r="AF169" s="45"/>
      <c r="AG169" s="45"/>
      <c r="AH169" s="45"/>
      <c r="AI169" s="45"/>
      <c r="AJ169" s="259"/>
      <c r="AK169" s="63" t="str">
        <f>"Currency unit: " &amp; Currency</f>
        <v>Currency unit: bn EUR</v>
      </c>
      <c r="AL169" s="222"/>
      <c r="AM169" s="65"/>
      <c r="AN169" s="65"/>
      <c r="AO169" s="65"/>
      <c r="AP169" s="65"/>
      <c r="AQ169" s="65"/>
      <c r="AR169" s="65"/>
      <c r="AS169" s="65"/>
      <c r="AT169" s="65"/>
      <c r="AU169" s="65"/>
      <c r="AV169" s="196"/>
      <c r="AW169" s="258"/>
      <c r="AX169" s="258"/>
      <c r="AY169" s="258"/>
      <c r="AZ169" s="54"/>
      <c r="BA169" s="45"/>
      <c r="BB169" s="54"/>
      <c r="BC169" s="54"/>
    </row>
    <row r="170" spans="1:55" ht="13.5" thickBot="1">
      <c r="A170" s="45"/>
      <c r="B170" s="1992"/>
      <c r="C170" s="2355" t="s">
        <v>297</v>
      </c>
      <c r="D170" s="2355"/>
      <c r="E170" s="2351"/>
      <c r="F170" s="2351"/>
      <c r="G170" s="2351"/>
      <c r="H170" s="2351"/>
      <c r="I170" s="2351"/>
      <c r="J170" s="2351"/>
      <c r="K170" s="2351"/>
      <c r="L170" s="3789">
        <f ca="1">NOW()</f>
        <v>43392.47578483796</v>
      </c>
      <c r="M170" s="3789"/>
      <c r="N170" s="2403"/>
      <c r="O170" s="139"/>
      <c r="P170" s="54"/>
      <c r="Q170" s="54"/>
      <c r="R170" s="54"/>
      <c r="S170" s="259"/>
      <c r="T170" s="69" t="s">
        <v>297</v>
      </c>
      <c r="U170" s="69"/>
      <c r="V170" s="65"/>
      <c r="W170" s="65"/>
      <c r="X170" s="65"/>
      <c r="Y170" s="65"/>
      <c r="Z170" s="65"/>
      <c r="AA170" s="65"/>
      <c r="AB170" s="65"/>
      <c r="AC170" s="3751">
        <f ca="1">NOW()</f>
        <v>43392.47578483796</v>
      </c>
      <c r="AD170" s="3751"/>
      <c r="AE170" s="138"/>
      <c r="AF170" s="45"/>
      <c r="AG170" s="45"/>
      <c r="AH170" s="45"/>
      <c r="AI170" s="45"/>
      <c r="AJ170" s="259"/>
      <c r="AK170" s="69" t="s">
        <v>297</v>
      </c>
      <c r="AL170" s="69"/>
      <c r="AM170" s="65"/>
      <c r="AN170" s="65"/>
      <c r="AO170" s="65"/>
      <c r="AP170" s="65"/>
      <c r="AQ170" s="65"/>
      <c r="AR170" s="65"/>
      <c r="AS170" s="65"/>
      <c r="AT170" s="3751">
        <f ca="1">NOW()</f>
        <v>43392.47578483796</v>
      </c>
      <c r="AU170" s="3751"/>
      <c r="AV170" s="138"/>
      <c r="AW170" s="139"/>
      <c r="AX170" s="54"/>
      <c r="AY170" s="54"/>
      <c r="AZ170" s="54"/>
      <c r="BA170" s="45"/>
      <c r="BB170" s="54"/>
      <c r="BC170" s="54"/>
    </row>
    <row r="171" spans="1:55">
      <c r="A171" s="45"/>
      <c r="B171" s="1992"/>
      <c r="C171" s="2357"/>
      <c r="D171" s="2358"/>
      <c r="E171" s="2531"/>
      <c r="F171" s="2358"/>
      <c r="G171" s="2532"/>
      <c r="H171" s="2533" t="s">
        <v>1168</v>
      </c>
      <c r="I171" s="2534"/>
      <c r="J171" s="2534"/>
      <c r="K171" s="2534"/>
      <c r="L171" s="2534"/>
      <c r="M171" s="2535"/>
      <c r="N171" s="2363"/>
      <c r="O171" s="147"/>
      <c r="P171" s="54"/>
      <c r="Q171" s="54"/>
      <c r="R171" s="54"/>
      <c r="S171" s="259"/>
      <c r="T171" s="191"/>
      <c r="U171" s="73"/>
      <c r="V171" s="262"/>
      <c r="W171" s="73"/>
      <c r="X171" s="263"/>
      <c r="Y171" s="264" t="s">
        <v>1168</v>
      </c>
      <c r="Z171" s="265"/>
      <c r="AA171" s="265"/>
      <c r="AB171" s="265"/>
      <c r="AC171" s="265"/>
      <c r="AD171" s="266"/>
      <c r="AE171" s="267"/>
      <c r="AF171" s="45"/>
      <c r="AG171" s="45"/>
      <c r="AH171" s="45"/>
      <c r="AI171" s="45"/>
      <c r="AJ171" s="259"/>
      <c r="AK171" s="191"/>
      <c r="AL171" s="73"/>
      <c r="AM171" s="262"/>
      <c r="AN171" s="73"/>
      <c r="AO171" s="263"/>
      <c r="AP171" s="264" t="s">
        <v>1168</v>
      </c>
      <c r="AQ171" s="265"/>
      <c r="AR171" s="265"/>
      <c r="AS171" s="265"/>
      <c r="AT171" s="265"/>
      <c r="AU171" s="266"/>
      <c r="AV171" s="267"/>
      <c r="AW171" s="147"/>
      <c r="AX171" s="54"/>
      <c r="AY171" s="54"/>
      <c r="AZ171" s="54"/>
      <c r="BA171" s="45"/>
      <c r="BB171" s="54"/>
      <c r="BC171" s="54"/>
    </row>
    <row r="172" spans="1:55">
      <c r="A172" s="45"/>
      <c r="B172" s="1992"/>
      <c r="C172" s="1666"/>
      <c r="D172" s="2351"/>
      <c r="E172" s="2406" t="s">
        <v>297</v>
      </c>
      <c r="F172" s="3751">
        <f>E16</f>
        <v>2016</v>
      </c>
      <c r="G172" s="3751"/>
      <c r="H172" s="3751">
        <f>F172+1</f>
        <v>2017</v>
      </c>
      <c r="I172" s="3751"/>
      <c r="J172" s="3751">
        <f>H172+1</f>
        <v>2018</v>
      </c>
      <c r="K172" s="3751"/>
      <c r="L172" s="3751">
        <f>J172+1</f>
        <v>2019</v>
      </c>
      <c r="M172" s="3751"/>
      <c r="N172" s="2447"/>
      <c r="O172" s="228"/>
      <c r="P172" s="54"/>
      <c r="Q172" s="54"/>
      <c r="R172" s="54"/>
      <c r="S172" s="259"/>
      <c r="T172" s="40"/>
      <c r="U172" s="65"/>
      <c r="V172" s="146" t="s">
        <v>297</v>
      </c>
      <c r="W172" s="3751">
        <f>Last_forecast_year - 3</f>
        <v>2016</v>
      </c>
      <c r="X172" s="3751"/>
      <c r="Y172" s="3751">
        <f>W172+1</f>
        <v>2017</v>
      </c>
      <c r="Z172" s="3751"/>
      <c r="AA172" s="3751">
        <f>Y172+1</f>
        <v>2018</v>
      </c>
      <c r="AB172" s="3751"/>
      <c r="AC172" s="3751">
        <f>AA172+1</f>
        <v>2019</v>
      </c>
      <c r="AD172" s="3751"/>
      <c r="AE172" s="192"/>
      <c r="AF172" s="45"/>
      <c r="AG172" s="45"/>
      <c r="AH172" s="45"/>
      <c r="AI172" s="45"/>
      <c r="AJ172" s="259"/>
      <c r="AK172" s="40"/>
      <c r="AL172" s="65"/>
      <c r="AM172" s="146" t="s">
        <v>297</v>
      </c>
      <c r="AN172" s="3751">
        <f>Last_forecast_year - 3</f>
        <v>2016</v>
      </c>
      <c r="AO172" s="3751"/>
      <c r="AP172" s="3751">
        <f>AN172+1</f>
        <v>2017</v>
      </c>
      <c r="AQ172" s="3751"/>
      <c r="AR172" s="3751">
        <f>AP172+1</f>
        <v>2018</v>
      </c>
      <c r="AS172" s="3751"/>
      <c r="AT172" s="3751">
        <f>AR172+1</f>
        <v>2019</v>
      </c>
      <c r="AU172" s="3751"/>
      <c r="AV172" s="192"/>
      <c r="AW172" s="228"/>
      <c r="AX172" s="54"/>
      <c r="AY172" s="54"/>
      <c r="AZ172" s="54"/>
      <c r="BA172" s="45"/>
      <c r="BB172" s="54"/>
      <c r="BC172" s="54"/>
    </row>
    <row r="173" spans="1:55">
      <c r="A173" s="45"/>
      <c r="B173" s="2536"/>
      <c r="C173" s="1666"/>
      <c r="D173" s="2351"/>
      <c r="E173" s="2537" t="s">
        <v>1770</v>
      </c>
      <c r="F173" s="2537" t="s">
        <v>1169</v>
      </c>
      <c r="G173" s="2538" t="s">
        <v>1170</v>
      </c>
      <c r="H173" s="2539" t="s">
        <v>1169</v>
      </c>
      <c r="I173" s="2538" t="s">
        <v>1170</v>
      </c>
      <c r="J173" s="2539" t="s">
        <v>1169</v>
      </c>
      <c r="K173" s="2538" t="s">
        <v>1170</v>
      </c>
      <c r="L173" s="2539" t="s">
        <v>1169</v>
      </c>
      <c r="M173" s="2540" t="s">
        <v>1170</v>
      </c>
      <c r="N173" s="2541"/>
      <c r="O173" s="178"/>
      <c r="P173" s="54"/>
      <c r="Q173" s="54"/>
      <c r="R173" s="54"/>
      <c r="S173" s="268"/>
      <c r="T173" s="40"/>
      <c r="U173" s="65"/>
      <c r="V173" s="269" t="s">
        <v>1770</v>
      </c>
      <c r="W173" s="269" t="s">
        <v>1169</v>
      </c>
      <c r="X173" s="270" t="s">
        <v>1170</v>
      </c>
      <c r="Y173" s="271" t="s">
        <v>1169</v>
      </c>
      <c r="Z173" s="270" t="s">
        <v>1170</v>
      </c>
      <c r="AA173" s="271" t="s">
        <v>1169</v>
      </c>
      <c r="AB173" s="270" t="s">
        <v>1170</v>
      </c>
      <c r="AC173" s="271" t="s">
        <v>1169</v>
      </c>
      <c r="AD173" s="272" t="s">
        <v>1170</v>
      </c>
      <c r="AE173" s="273"/>
      <c r="AF173" s="45"/>
      <c r="AG173" s="45"/>
      <c r="AH173" s="45"/>
      <c r="AI173" s="45"/>
      <c r="AJ173" s="268"/>
      <c r="AK173" s="40"/>
      <c r="AL173" s="65"/>
      <c r="AM173" s="269" t="s">
        <v>1770</v>
      </c>
      <c r="AN173" s="269" t="s">
        <v>1169</v>
      </c>
      <c r="AO173" s="270" t="s">
        <v>1170</v>
      </c>
      <c r="AP173" s="271" t="s">
        <v>1169</v>
      </c>
      <c r="AQ173" s="270" t="s">
        <v>1170</v>
      </c>
      <c r="AR173" s="271" t="s">
        <v>1169</v>
      </c>
      <c r="AS173" s="270" t="s">
        <v>1170</v>
      </c>
      <c r="AT173" s="271" t="s">
        <v>1169</v>
      </c>
      <c r="AU173" s="272" t="s">
        <v>1170</v>
      </c>
      <c r="AV173" s="273"/>
      <c r="AW173" s="178"/>
      <c r="AX173" s="54"/>
      <c r="AY173" s="54"/>
      <c r="AZ173" s="54"/>
      <c r="BA173" s="45"/>
      <c r="BB173" s="54"/>
      <c r="BC173" s="54"/>
    </row>
    <row r="174" spans="1:55">
      <c r="A174" s="45"/>
      <c r="B174" s="2542"/>
      <c r="C174" s="2384" t="s">
        <v>648</v>
      </c>
      <c r="D174" s="2343"/>
      <c r="E174" s="2422" t="s">
        <v>649</v>
      </c>
      <c r="F174" s="2376">
        <f ca="1">Transfer!D136</f>
        <v>24.863340000000001</v>
      </c>
      <c r="G174" s="2376">
        <f ca="1">100*((Transfer!D136/Transfer!C136)-1)</f>
        <v>5.9202577870326012</v>
      </c>
      <c r="H174" s="2366">
        <f ca="1">Transfer!E136</f>
        <v>26.80039</v>
      </c>
      <c r="I174" s="2376">
        <f ca="1">100*((Transfer!E136/Transfer!D136)-1)</f>
        <v>7.790787561124124</v>
      </c>
      <c r="J174" s="2366">
        <f ca="1">Transfer!F136</f>
        <v>28.459602144899996</v>
      </c>
      <c r="K174" s="2376">
        <f ca="1">100*((Transfer!F136/Transfer!E136)-1)</f>
        <v>6.190999999999991</v>
      </c>
      <c r="L174" s="2366">
        <f ca="1">Transfer!G136</f>
        <v>30.045541934026691</v>
      </c>
      <c r="M174" s="2378">
        <f ca="1">100*((Transfer!G136/Transfer!F136)-1)</f>
        <v>5.5725999999999942</v>
      </c>
      <c r="N174" s="2368"/>
      <c r="O174" s="150"/>
      <c r="P174" s="54"/>
      <c r="Q174" s="54"/>
      <c r="R174" s="54"/>
      <c r="S174" s="274"/>
      <c r="T174" s="148" t="s">
        <v>648</v>
      </c>
      <c r="U174" s="57"/>
      <c r="V174" s="152" t="s">
        <v>649</v>
      </c>
      <c r="W174" s="2081">
        <f t="shared" ref="W174:AD201" ca="1" si="12">ROUND(F174,1)-ROUND(AN174,1)</f>
        <v>-47.1</v>
      </c>
      <c r="X174" s="2081">
        <f t="shared" ca="1" si="12"/>
        <v>-1.2999999999999998</v>
      </c>
      <c r="Y174" s="2081">
        <f t="shared" ca="1" si="12"/>
        <v>-49.2</v>
      </c>
      <c r="Z174" s="2081">
        <f t="shared" ca="1" si="12"/>
        <v>2.2000000000000002</v>
      </c>
      <c r="AA174" s="2081">
        <f t="shared" ca="1" si="12"/>
        <v>-52</v>
      </c>
      <c r="AB174" s="2081">
        <f t="shared" ca="1" si="12"/>
        <v>0.29999999999999982</v>
      </c>
      <c r="AC174" s="2081">
        <f t="shared" ca="1" si="12"/>
        <v>-56.099999999999994</v>
      </c>
      <c r="AD174" s="2082">
        <f t="shared" ca="1" si="12"/>
        <v>-1.3000000000000007</v>
      </c>
      <c r="AE174" s="82"/>
      <c r="AF174" s="45"/>
      <c r="AG174" s="45"/>
      <c r="AH174" s="45"/>
      <c r="AI174" s="45"/>
      <c r="AJ174" s="274"/>
      <c r="AK174" s="148" t="s">
        <v>648</v>
      </c>
      <c r="AL174" s="57"/>
      <c r="AM174" s="152" t="s">
        <v>649</v>
      </c>
      <c r="AN174" s="91">
        <f>Transfer!AD136</f>
        <v>71.978759999999994</v>
      </c>
      <c r="AO174" s="91">
        <f>100*((Transfer!AD136/Transfer!AC136)-1)</f>
        <v>7.2009031362538334</v>
      </c>
      <c r="AP174" s="80">
        <f>Transfer!AE136</f>
        <v>76.03496519033915</v>
      </c>
      <c r="AQ174" s="91">
        <f>100*((Transfer!AE136/Transfer!AD136)-1)</f>
        <v>5.6352807277301853</v>
      </c>
      <c r="AR174" s="80">
        <f>Transfer!AF136</f>
        <v>80.520172139383774</v>
      </c>
      <c r="AS174" s="91">
        <f>100*((Transfer!AF136/Transfer!AE136)-1)</f>
        <v>5.8988742058561527</v>
      </c>
      <c r="AT174" s="80">
        <f>Transfer!AG136</f>
        <v>86.094320925131726</v>
      </c>
      <c r="AU174" s="93">
        <f>100*((Transfer!AG136/Transfer!AF136)-1)</f>
        <v>6.9226737072778155</v>
      </c>
      <c r="AV174" s="82"/>
      <c r="AW174" s="150"/>
      <c r="AX174" s="54"/>
      <c r="AY174" s="54"/>
      <c r="AZ174" s="54"/>
      <c r="BA174" s="1706" t="s">
        <v>954</v>
      </c>
      <c r="BB174" s="54"/>
      <c r="BC174" s="54"/>
    </row>
    <row r="175" spans="1:55">
      <c r="A175" s="45"/>
      <c r="B175" s="2542"/>
      <c r="C175" s="1666" t="s">
        <v>1834</v>
      </c>
      <c r="D175" s="2351"/>
      <c r="E175" s="2422" t="s">
        <v>649</v>
      </c>
      <c r="F175" s="2376">
        <f ca="1">Transfer!D137</f>
        <v>6.63687</v>
      </c>
      <c r="G175" s="2376">
        <f ca="1">100*((Transfer!D137/Transfer!C137)-1)</f>
        <v>3.2370111234341969</v>
      </c>
      <c r="H175" s="2377">
        <f ca="1">Transfer!E137</f>
        <v>6.9080500000000002</v>
      </c>
      <c r="I175" s="2376">
        <f ca="1">100*((Transfer!E137/Transfer!D137)-1)</f>
        <v>4.0859622080890556</v>
      </c>
      <c r="J175" s="2377">
        <f ca="1">Transfer!F137</f>
        <v>7.2979828955879995</v>
      </c>
      <c r="K175" s="2376">
        <f ca="1">100*((Transfer!F137/Transfer!E137)-1)</f>
        <v>5.6446159999999912</v>
      </c>
      <c r="L175" s="2377">
        <f ca="1">Transfer!G137</f>
        <v>7.6726989950392293</v>
      </c>
      <c r="M175" s="2378">
        <f ca="1">100*((Transfer!G137/Transfer!F137)-1)</f>
        <v>5.1345160000000112</v>
      </c>
      <c r="N175" s="2368"/>
      <c r="O175" s="150"/>
      <c r="P175" s="54"/>
      <c r="Q175" s="54"/>
      <c r="R175" s="54"/>
      <c r="S175" s="274"/>
      <c r="T175" s="40" t="s">
        <v>1834</v>
      </c>
      <c r="U175" s="65"/>
      <c r="V175" s="152" t="s">
        <v>649</v>
      </c>
      <c r="W175" s="2081">
        <f t="shared" ca="1" si="12"/>
        <v>-13.4</v>
      </c>
      <c r="X175" s="2081">
        <f t="shared" ca="1" si="12"/>
        <v>2.9000000000000004</v>
      </c>
      <c r="Y175" s="2081">
        <f t="shared" ca="1" si="12"/>
        <v>-13.700000000000001</v>
      </c>
      <c r="Z175" s="2081">
        <f t="shared" ca="1" si="12"/>
        <v>1.1999999999999997</v>
      </c>
      <c r="AA175" s="2081">
        <f t="shared" ca="1" si="12"/>
        <v>-14</v>
      </c>
      <c r="AB175" s="2081">
        <f t="shared" ca="1" si="12"/>
        <v>2.0999999999999996</v>
      </c>
      <c r="AC175" s="2081">
        <f t="shared" ca="1" si="12"/>
        <v>-14.400000000000002</v>
      </c>
      <c r="AD175" s="2083">
        <f t="shared" ca="1" si="12"/>
        <v>1.5999999999999996</v>
      </c>
      <c r="AE175" s="82"/>
      <c r="AF175" s="45"/>
      <c r="AG175" s="45"/>
      <c r="AH175" s="45"/>
      <c r="AI175" s="45"/>
      <c r="AJ175" s="274"/>
      <c r="AK175" s="40" t="s">
        <v>1834</v>
      </c>
      <c r="AL175" s="65"/>
      <c r="AM175" s="152" t="s">
        <v>649</v>
      </c>
      <c r="AN175" s="91">
        <f>Transfer!AD137</f>
        <v>19.99691</v>
      </c>
      <c r="AO175" s="91">
        <f>100*((Transfer!AD137/Transfer!AC137)-1)</f>
        <v>0.29209571149932945</v>
      </c>
      <c r="AP175" s="92">
        <f>Transfer!AE137</f>
        <v>20.5810197411</v>
      </c>
      <c r="AQ175" s="91">
        <f>100*((Transfer!AE137/Transfer!AD137)-1)</f>
        <v>2.9209999999999958</v>
      </c>
      <c r="AR175" s="92">
        <f>Transfer!AF137</f>
        <v>21.307612062039794</v>
      </c>
      <c r="AS175" s="91">
        <f>100*((Transfer!AF137/Transfer!AE137)-1)</f>
        <v>3.5304000000000002</v>
      </c>
      <c r="AT175" s="92">
        <f>Transfer!AG137</f>
        <v>22.059855998278046</v>
      </c>
      <c r="AU175" s="93">
        <f>100*((Transfer!AG137/Transfer!AF137)-1)</f>
        <v>3.5304000000000002</v>
      </c>
      <c r="AV175" s="82"/>
      <c r="AW175" s="150"/>
      <c r="AX175" s="54"/>
      <c r="AY175" s="54"/>
      <c r="AZ175" s="54"/>
      <c r="BA175" s="1707" t="s">
        <v>955</v>
      </c>
      <c r="BB175" s="54"/>
      <c r="BC175" s="54"/>
    </row>
    <row r="176" spans="1:55">
      <c r="A176" s="45"/>
      <c r="B176" s="1673"/>
      <c r="C176" s="1666" t="s">
        <v>973</v>
      </c>
      <c r="D176" s="2351"/>
      <c r="E176" s="2422" t="s">
        <v>1836</v>
      </c>
      <c r="F176" s="2376">
        <f ca="1">Transfer!D138</f>
        <v>7.3141999999999996</v>
      </c>
      <c r="G176" s="2376">
        <f ca="1">100*((Transfer!D138/Transfer!C138)-1)</f>
        <v>-0.15043916769735821</v>
      </c>
      <c r="H176" s="2377">
        <f ca="1">Transfer!E138</f>
        <v>7.8803900000000002</v>
      </c>
      <c r="I176" s="2376">
        <f ca="1">100*((Transfer!E138/Transfer!D138)-1)</f>
        <v>7.7409696207377587</v>
      </c>
      <c r="J176" s="2377">
        <f ca="1">Transfer!F138</f>
        <v>8.6125183729499977</v>
      </c>
      <c r="K176" s="2376">
        <f ca="1">100*((Transfer!F138/Transfer!E138)-1)</f>
        <v>9.2905093903981495</v>
      </c>
      <c r="L176" s="2377">
        <f ca="1">Transfer!G138</f>
        <v>9.1844008740182197</v>
      </c>
      <c r="M176" s="2378">
        <f ca="1">100*((Transfer!G138/Transfer!F138)-1)</f>
        <v>6.6401309849669188</v>
      </c>
      <c r="N176" s="2368"/>
      <c r="O176" s="150"/>
      <c r="P176" s="54"/>
      <c r="Q176" s="54"/>
      <c r="R176" s="54"/>
      <c r="S176" s="275"/>
      <c r="T176" s="40" t="s">
        <v>973</v>
      </c>
      <c r="U176" s="65"/>
      <c r="V176" s="152" t="s">
        <v>1836</v>
      </c>
      <c r="W176" s="2081">
        <f t="shared" ca="1" si="12"/>
        <v>-11.599999999999998</v>
      </c>
      <c r="X176" s="2081">
        <f t="shared" ca="1" si="12"/>
        <v>1.5</v>
      </c>
      <c r="Y176" s="2081">
        <f t="shared" ca="1" si="12"/>
        <v>-12.4</v>
      </c>
      <c r="Z176" s="2081">
        <f t="shared" ca="1" si="12"/>
        <v>0.29999999999999982</v>
      </c>
      <c r="AA176" s="2081">
        <f t="shared" ca="1" si="12"/>
        <v>-13.9</v>
      </c>
      <c r="AB176" s="2081">
        <f t="shared" ca="1" si="12"/>
        <v>-1.2999999999999989</v>
      </c>
      <c r="AC176" s="2081">
        <f t="shared" ca="1" si="12"/>
        <v>-15.900000000000002</v>
      </c>
      <c r="AD176" s="2083">
        <f t="shared" ca="1" si="12"/>
        <v>-5.0999999999999996</v>
      </c>
      <c r="AE176" s="82"/>
      <c r="AF176" s="45"/>
      <c r="AG176" s="45"/>
      <c r="AH176" s="45"/>
      <c r="AI176" s="45"/>
      <c r="AJ176" s="275"/>
      <c r="AK176" s="40" t="s">
        <v>973</v>
      </c>
      <c r="AL176" s="65"/>
      <c r="AM176" s="152" t="s">
        <v>1836</v>
      </c>
      <c r="AN176" s="91">
        <f>Transfer!AD138</f>
        <v>18.93384</v>
      </c>
      <c r="AO176" s="91">
        <f>100*((Transfer!AD138/Transfer!AC138)-1)</f>
        <v>-1.7455440288403623</v>
      </c>
      <c r="AP176" s="92">
        <f>Transfer!AE138</f>
        <v>20.327986784549996</v>
      </c>
      <c r="AQ176" s="91">
        <f>100*((Transfer!AE138/Transfer!AD138)-1)</f>
        <v>7.3632542820156743</v>
      </c>
      <c r="AR176" s="92">
        <f>Transfer!AF138</f>
        <v>22.482029028966686</v>
      </c>
      <c r="AS176" s="91">
        <f>100*((Transfer!AF138/Transfer!AE138)-1)</f>
        <v>10.596436662649932</v>
      </c>
      <c r="AT176" s="92">
        <f>Transfer!AG138</f>
        <v>25.119582686416322</v>
      </c>
      <c r="AU176" s="93">
        <f>100*((Transfer!AG138/Transfer!AF138)-1)</f>
        <v>11.731831028468619</v>
      </c>
      <c r="AV176" s="82"/>
      <c r="AW176" s="150"/>
      <c r="AX176" s="54"/>
      <c r="AY176" s="54"/>
      <c r="AZ176" s="54"/>
      <c r="BA176" s="1707" t="s">
        <v>956</v>
      </c>
      <c r="BB176" s="54"/>
      <c r="BC176" s="54"/>
    </row>
    <row r="177" spans="1:55">
      <c r="A177" s="45"/>
      <c r="B177" s="2543"/>
      <c r="C177" s="2544" t="s">
        <v>1859</v>
      </c>
      <c r="D177" s="2545"/>
      <c r="E177" s="2546"/>
      <c r="F177" s="2381">
        <f ca="1">SUM(Transfer!D136,Transfer!D137,Transfer!D138)</f>
        <v>38.814410000000002</v>
      </c>
      <c r="G177" s="2381">
        <f ca="1">100*((SUM(Transfer!D136,Transfer!D137,Transfer!D138)/SUM(Transfer!C136,Transfer!C137,Transfer!C138))-1)</f>
        <v>4.2623717921339788</v>
      </c>
      <c r="H177" s="2382">
        <f ca="1">SUM(Transfer!E136,Transfer!E137,Transfer!E138)</f>
        <v>41.588830000000002</v>
      </c>
      <c r="I177" s="2381">
        <f ca="1">100*((SUM(Transfer!E136,Transfer!E137,Transfer!E138)/SUM(Transfer!D136,Transfer!D137,Transfer!D138))-1)</f>
        <v>7.1479123346200435</v>
      </c>
      <c r="J177" s="2382">
        <f ca="1">SUM(Transfer!F136,Transfer!F137,Transfer!F138)</f>
        <v>44.370103413437995</v>
      </c>
      <c r="K177" s="2381">
        <f ca="1">100*((SUM(Transfer!F136,Transfer!F137,Transfer!F138)/SUM(Transfer!E136,Transfer!E137,Transfer!E138))-1)</f>
        <v>6.6875490689158434</v>
      </c>
      <c r="L177" s="2382">
        <f ca="1">SUM(Transfer!G136,Transfer!G137,Transfer!G138)</f>
        <v>46.902641803084137</v>
      </c>
      <c r="M177" s="2383">
        <f ca="1">100*((SUM(Transfer!G136,Transfer!G137,Transfer!G138)/SUM(Transfer!F136,Transfer!F137,Transfer!F138))-1)</f>
        <v>5.7077585915184859</v>
      </c>
      <c r="N177" s="2368"/>
      <c r="O177" s="150"/>
      <c r="P177" s="54"/>
      <c r="Q177" s="54"/>
      <c r="R177" s="54"/>
      <c r="S177" s="276"/>
      <c r="T177" s="154" t="s">
        <v>1859</v>
      </c>
      <c r="U177" s="277"/>
      <c r="V177" s="155"/>
      <c r="W177" s="2084">
        <f t="shared" ca="1" si="12"/>
        <v>-72.100000000000009</v>
      </c>
      <c r="X177" s="2084">
        <f t="shared" ca="1" si="12"/>
        <v>0</v>
      </c>
      <c r="Y177" s="2084">
        <f t="shared" ca="1" si="12"/>
        <v>-75.300000000000011</v>
      </c>
      <c r="Z177" s="2084">
        <f t="shared" ca="1" si="12"/>
        <v>1.6999999999999993</v>
      </c>
      <c r="AA177" s="2084">
        <f t="shared" ca="1" si="12"/>
        <v>-79.900000000000006</v>
      </c>
      <c r="AB177" s="2084">
        <f t="shared" ca="1" si="12"/>
        <v>0.40000000000000036</v>
      </c>
      <c r="AC177" s="2084">
        <f t="shared" ca="1" si="12"/>
        <v>-86.4</v>
      </c>
      <c r="AD177" s="2085">
        <f t="shared" ca="1" si="12"/>
        <v>-1.5</v>
      </c>
      <c r="AE177" s="82"/>
      <c r="AF177" s="45"/>
      <c r="AG177" s="45"/>
      <c r="AH177" s="45"/>
      <c r="AI177" s="45"/>
      <c r="AJ177" s="276"/>
      <c r="AK177" s="154" t="s">
        <v>1859</v>
      </c>
      <c r="AL177" s="277"/>
      <c r="AM177" s="155"/>
      <c r="AN177" s="96">
        <f>SUM(Transfer!AD136,Transfer!AD137,Transfer!AD138)</f>
        <v>110.90951</v>
      </c>
      <c r="AO177" s="96">
        <f>100*((SUM(Transfer!AD136,Transfer!AD137,Transfer!AD138)/SUM(Transfer!AC136,Transfer!AC137,Transfer!AC138))-1)</f>
        <v>4.2846404998915011</v>
      </c>
      <c r="AP177" s="97">
        <f>SUM(Transfer!AE136,Transfer!AE137,Transfer!AE138)</f>
        <v>116.94397171598915</v>
      </c>
      <c r="AQ177" s="96">
        <f>100*((SUM(Transfer!AE136,Transfer!AE137,Transfer!AE138)/SUM(Transfer!AD136,Transfer!AD137,Transfer!AD138))-1)</f>
        <v>5.440887545161055</v>
      </c>
      <c r="AR177" s="97">
        <f>SUM(Transfer!AF136,Transfer!AF137,Transfer!AF138)</f>
        <v>124.30981323039026</v>
      </c>
      <c r="AS177" s="96">
        <f>100*((SUM(Transfer!AF136,Transfer!AF137,Transfer!AF138)/SUM(Transfer!AE136,Transfer!AE137,Transfer!AE138))-1)</f>
        <v>6.2986072786118896</v>
      </c>
      <c r="AT177" s="97">
        <f>SUM(Transfer!AG136,Transfer!AG137,Transfer!AG138)</f>
        <v>133.2737596098261</v>
      </c>
      <c r="AU177" s="98">
        <f>100*((SUM(Transfer!AG136,Transfer!AG137,Transfer!AG138)/SUM(Transfer!AF136,Transfer!AF137,Transfer!AF138))-1)</f>
        <v>7.2109724457734226</v>
      </c>
      <c r="AV177" s="82"/>
      <c r="AW177" s="150"/>
      <c r="AX177" s="54"/>
      <c r="AY177" s="54"/>
      <c r="AZ177" s="54"/>
      <c r="BA177" s="1707" t="s">
        <v>957</v>
      </c>
      <c r="BB177" s="54"/>
      <c r="BC177" s="54"/>
    </row>
    <row r="178" spans="1:55">
      <c r="A178" s="45"/>
      <c r="B178" s="2543"/>
      <c r="C178" s="2384" t="s">
        <v>1658</v>
      </c>
      <c r="D178" s="2343"/>
      <c r="E178" s="2547" t="s">
        <v>1837</v>
      </c>
      <c r="F178" s="2365">
        <f ca="1">100*Transfer!D142/Transfer!D147</f>
        <v>-1.6705664999151759</v>
      </c>
      <c r="G178" s="2548"/>
      <c r="H178" s="2365">
        <f ca="1">100*Transfer!E142/Transfer!E147</f>
        <v>-1.5461614734745484</v>
      </c>
      <c r="I178" s="2548"/>
      <c r="J178" s="2365">
        <f ca="1">100*Transfer!F142/Transfer!F147</f>
        <v>-1.46111112847475</v>
      </c>
      <c r="K178" s="2548"/>
      <c r="L178" s="2549">
        <f ca="1">100*Transfer!G142/Transfer!G147</f>
        <v>-1.3839586544883216</v>
      </c>
      <c r="M178" s="2550"/>
      <c r="N178" s="2551"/>
      <c r="O178" s="150"/>
      <c r="P178" s="54"/>
      <c r="Q178" s="54"/>
      <c r="R178" s="54"/>
      <c r="S178" s="276"/>
      <c r="T178" s="148" t="s">
        <v>1658</v>
      </c>
      <c r="U178" s="57"/>
      <c r="V178" s="149" t="s">
        <v>1837</v>
      </c>
      <c r="W178" s="2081">
        <f t="shared" ca="1" si="12"/>
        <v>-3.4</v>
      </c>
      <c r="X178" s="2086">
        <f t="shared" si="12"/>
        <v>0</v>
      </c>
      <c r="Y178" s="2081">
        <f t="shared" ca="1" si="12"/>
        <v>-3.1</v>
      </c>
      <c r="Z178" s="2086">
        <f t="shared" si="12"/>
        <v>0</v>
      </c>
      <c r="AA178" s="2081">
        <f t="shared" ca="1" si="12"/>
        <v>-3</v>
      </c>
      <c r="AB178" s="2086">
        <f t="shared" si="12"/>
        <v>0</v>
      </c>
      <c r="AC178" s="2081">
        <f t="shared" ca="1" si="12"/>
        <v>-2.8</v>
      </c>
      <c r="AD178" s="2083">
        <f t="shared" si="12"/>
        <v>0</v>
      </c>
      <c r="AE178" s="281"/>
      <c r="AF178" s="45"/>
      <c r="AG178" s="45"/>
      <c r="AH178" s="45"/>
      <c r="AI178" s="45"/>
      <c r="AJ178" s="276"/>
      <c r="AK178" s="148" t="s">
        <v>1658</v>
      </c>
      <c r="AL178" s="57"/>
      <c r="AM178" s="149" t="s">
        <v>1837</v>
      </c>
      <c r="AN178" s="79">
        <f>100*Transfer!AD142/Transfer!AD147</f>
        <v>1.6650767092189103</v>
      </c>
      <c r="AO178" s="278"/>
      <c r="AP178" s="79">
        <f>100*Transfer!AE142/Transfer!AE147</f>
        <v>1.577618923432176</v>
      </c>
      <c r="AQ178" s="278"/>
      <c r="AR178" s="79">
        <f>100*Transfer!AF142/Transfer!AF147</f>
        <v>1.4861093578004434</v>
      </c>
      <c r="AS178" s="278"/>
      <c r="AT178" s="279">
        <f>100*Transfer!AG142/Transfer!AG147</f>
        <v>1.3914563401243982</v>
      </c>
      <c r="AU178" s="280"/>
      <c r="AV178" s="281"/>
      <c r="AW178" s="150"/>
      <c r="AX178" s="54"/>
      <c r="AY178" s="54"/>
      <c r="AZ178" s="54"/>
      <c r="BA178" s="1707" t="s">
        <v>1190</v>
      </c>
      <c r="BB178" s="54"/>
      <c r="BC178" s="54"/>
    </row>
    <row r="179" spans="1:55">
      <c r="A179" s="45"/>
      <c r="B179" s="1673"/>
      <c r="C179" s="2463" t="s">
        <v>1243</v>
      </c>
      <c r="D179" s="2351"/>
      <c r="E179" s="2546"/>
      <c r="F179" s="2552">
        <f ca="1">SUM(Transfer!D136,Transfer!D137,Transfer!D138,Transfer!D142)</f>
        <v>38.168430000000001</v>
      </c>
      <c r="G179" s="2552">
        <f ca="1">100*((SUM(Transfer!D136,Transfer!D137,Transfer!D138,Transfer!D142)/SUM(Transfer!C136,Transfer!C137,Transfer!C138,Transfer!C142))-1)</f>
        <v>1.4953159194917909</v>
      </c>
      <c r="H179" s="2553">
        <f ca="1">SUM(Transfer!E136,Transfer!E137,Transfer!E138,Transfer!E142)</f>
        <v>40.94285</v>
      </c>
      <c r="I179" s="2552">
        <f ca="1">100*((SUM(Transfer!E136,Transfer!E137,Transfer!E138,Transfer!E142)/SUM(Transfer!D136,Transfer!D137,Transfer!D138,Transfer!D142))-1)</f>
        <v>7.2688868785014238</v>
      </c>
      <c r="J179" s="2552">
        <f ca="1">SUM(Transfer!F136,Transfer!F137,Transfer!F138,Transfer!F142)</f>
        <v>43.724123413437994</v>
      </c>
      <c r="K179" s="2552">
        <f ca="1">100*((SUM(Transfer!F136,Transfer!F137,Transfer!F138,Transfer!F142)/SUM(Transfer!E136,Transfer!E137,Transfer!E138,Transfer!E142))-1)</f>
        <v>6.7930625577799164</v>
      </c>
      <c r="L179" s="2552">
        <f ca="1">SUM(Transfer!G136,Transfer!G137,Transfer!G138,Transfer!G142)</f>
        <v>46.256661803084135</v>
      </c>
      <c r="M179" s="2554">
        <f ca="1">100*((SUM(Transfer!G136,Transfer!G137,Transfer!G138,Transfer!G142)/SUM(Transfer!F136,Transfer!F137,Transfer!F138,Transfer!F142))-1)</f>
        <v>5.7920849909315786</v>
      </c>
      <c r="N179" s="2372"/>
      <c r="O179" s="157"/>
      <c r="P179" s="54"/>
      <c r="Q179" s="54"/>
      <c r="R179" s="54"/>
      <c r="S179" s="275"/>
      <c r="T179" s="206" t="s">
        <v>1243</v>
      </c>
      <c r="U179" s="65"/>
      <c r="V179" s="155"/>
      <c r="W179" s="2084">
        <f t="shared" ca="1" si="12"/>
        <v>-74.599999999999994</v>
      </c>
      <c r="X179" s="2084">
        <f t="shared" ca="1" si="12"/>
        <v>-1.2000000000000002</v>
      </c>
      <c r="Y179" s="2084">
        <f t="shared" ca="1" si="12"/>
        <v>-77.900000000000006</v>
      </c>
      <c r="Z179" s="2084">
        <f t="shared" ca="1" si="12"/>
        <v>2</v>
      </c>
      <c r="AA179" s="2084">
        <f t="shared" ca="1" si="12"/>
        <v>-82.5</v>
      </c>
      <c r="AB179" s="2084">
        <f t="shared" ca="1" si="12"/>
        <v>0.59999999999999964</v>
      </c>
      <c r="AC179" s="2084">
        <f t="shared" ca="1" si="12"/>
        <v>-88.899999999999991</v>
      </c>
      <c r="AD179" s="2085">
        <f t="shared" ca="1" si="12"/>
        <v>-1.2999999999999998</v>
      </c>
      <c r="AE179" s="85"/>
      <c r="AF179" s="45"/>
      <c r="AG179" s="45"/>
      <c r="AH179" s="45"/>
      <c r="AI179" s="45"/>
      <c r="AJ179" s="275"/>
      <c r="AK179" s="206" t="s">
        <v>1243</v>
      </c>
      <c r="AL179" s="65"/>
      <c r="AM179" s="155"/>
      <c r="AN179" s="156">
        <f>SUM(Transfer!AD136,Transfer!AD137,Transfer!AD138,Transfer!AD142)</f>
        <v>112.80328</v>
      </c>
      <c r="AO179" s="156">
        <f>100*((SUM(Transfer!AD136,Transfer!AD137,Transfer!AD138,Transfer!AD142)/SUM(Transfer!AC136,Transfer!AC137,Transfer!AC138,Transfer!AC142))-1)</f>
        <v>2.7331599245589144</v>
      </c>
      <c r="AP179" s="282">
        <f>SUM(Transfer!AE136,Transfer!AE137,Transfer!AE138,Transfer!AE142)</f>
        <v>118.83774171598915</v>
      </c>
      <c r="AQ179" s="156">
        <f>100*((SUM(Transfer!AE136,Transfer!AE137,Transfer!AE138,Transfer!AE142)/SUM(Transfer!AD136,Transfer!AD137,Transfer!AD138,Transfer!AD142))-1)</f>
        <v>5.3495445486950066</v>
      </c>
      <c r="AR179" s="156">
        <f>SUM(Transfer!AF136,Transfer!AF137,Transfer!AF138,Transfer!AF142)</f>
        <v>126.20358323039027</v>
      </c>
      <c r="AS179" s="156">
        <f>100*((SUM(Transfer!AF136,Transfer!AF137,Transfer!AF138,Transfer!AF142)/SUM(Transfer!AE136,Transfer!AE137,Transfer!AE138,Transfer!AE142))-1)</f>
        <v>6.1982341704243771</v>
      </c>
      <c r="AT179" s="156">
        <f>SUM(Transfer!AG136,Transfer!AG137,Transfer!AG138,Transfer!AG142)</f>
        <v>135.16752960982609</v>
      </c>
      <c r="AU179" s="283">
        <f>100*((SUM(Transfer!AG136,Transfer!AG137,Transfer!AG138,Transfer!AG142)/SUM(Transfer!AF136,Transfer!AF137,Transfer!AF138,Transfer!AF142))-1)</f>
        <v>7.1027669341778843</v>
      </c>
      <c r="AV179" s="85"/>
      <c r="AW179" s="157"/>
      <c r="AX179" s="54"/>
      <c r="AY179" s="54"/>
      <c r="AZ179" s="54"/>
      <c r="BA179" s="1707" t="s">
        <v>958</v>
      </c>
      <c r="BB179" s="54"/>
      <c r="BC179" s="54"/>
    </row>
    <row r="180" spans="1:55">
      <c r="A180" s="45"/>
      <c r="B180" s="2543"/>
      <c r="C180" s="2384" t="s">
        <v>490</v>
      </c>
      <c r="D180" s="2343"/>
      <c r="E180" s="2422" t="s">
        <v>491</v>
      </c>
      <c r="F180" s="2376">
        <f ca="1">SUM(Transfer!D143,Transfer!D144)</f>
        <v>28.78913</v>
      </c>
      <c r="G180" s="2376">
        <f ca="1">100*((SUM(Transfer!D143,Transfer!D144)/SUM(Transfer!C143,Transfer!C144))-1)</f>
        <v>1.4303199502803787</v>
      </c>
      <c r="H180" s="2366">
        <f ca="1">SUM(Transfer!E143,Transfer!E144)</f>
        <v>34.033090000000001</v>
      </c>
      <c r="I180" s="2376">
        <f ca="1">100*((SUM(Transfer!E143,Transfer!E144)/SUM(Transfer!D143,Transfer!D144))-1)</f>
        <v>18.215069368195568</v>
      </c>
      <c r="J180" s="2366">
        <f ca="1">SUM(Transfer!F143,Transfer!F144)</f>
        <v>36.754030068569996</v>
      </c>
      <c r="K180" s="2376">
        <f ca="1">100*((SUM(Transfer!F143,Transfer!F144)/SUM(Transfer!E143,Transfer!E144))-1)</f>
        <v>7.9949839070445616</v>
      </c>
      <c r="L180" s="2366">
        <f ca="1">SUM(Transfer!G143,Transfer!G144)</f>
        <v>39.157296745208775</v>
      </c>
      <c r="M180" s="2378">
        <f ca="1">100*((SUM(Transfer!G143,Transfer!G144)/SUM(Transfer!F143,Transfer!F144))-1)</f>
        <v>6.5387841065459584</v>
      </c>
      <c r="N180" s="2368"/>
      <c r="O180" s="150"/>
      <c r="P180" s="54"/>
      <c r="Q180" s="54"/>
      <c r="R180" s="54"/>
      <c r="S180" s="276"/>
      <c r="T180" s="148" t="s">
        <v>490</v>
      </c>
      <c r="U180" s="57"/>
      <c r="V180" s="152" t="s">
        <v>491</v>
      </c>
      <c r="W180" s="2081">
        <f t="shared" ca="1" si="12"/>
        <v>-66.7</v>
      </c>
      <c r="X180" s="2081">
        <f t="shared" ca="1" si="12"/>
        <v>-14.299999999999999</v>
      </c>
      <c r="Y180" s="2081">
        <f t="shared" ca="1" si="12"/>
        <v>-67.400000000000006</v>
      </c>
      <c r="Z180" s="2081">
        <f t="shared" ca="1" si="12"/>
        <v>12</v>
      </c>
      <c r="AA180" s="2081">
        <f t="shared" ca="1" si="12"/>
        <v>-73.2</v>
      </c>
      <c r="AB180" s="2081">
        <f t="shared" ca="1" si="12"/>
        <v>-0.40000000000000036</v>
      </c>
      <c r="AC180" s="2081">
        <f t="shared" ca="1" si="12"/>
        <v>-81.099999999999994</v>
      </c>
      <c r="AD180" s="2083">
        <f t="shared" ca="1" si="12"/>
        <v>-2.9000000000000004</v>
      </c>
      <c r="AE180" s="82"/>
      <c r="AF180" s="45"/>
      <c r="AG180" s="45"/>
      <c r="AH180" s="45"/>
      <c r="AI180" s="45"/>
      <c r="AJ180" s="276"/>
      <c r="AK180" s="148" t="s">
        <v>490</v>
      </c>
      <c r="AL180" s="57"/>
      <c r="AM180" s="152" t="s">
        <v>491</v>
      </c>
      <c r="AN180" s="91">
        <f>SUM(Transfer!AD143,Transfer!AD144)</f>
        <v>95.468720000000005</v>
      </c>
      <c r="AO180" s="91">
        <f>100*((SUM(Transfer!AD143,Transfer!AD144)/SUM(Transfer!AC143,Transfer!AC144))-1)</f>
        <v>15.650956928496186</v>
      </c>
      <c r="AP180" s="80">
        <f>SUM(Transfer!AE143,Transfer!AE144)</f>
        <v>101.40266917392003</v>
      </c>
      <c r="AQ180" s="91">
        <f>100*((SUM(Transfer!AE143,Transfer!AE144)/SUM(Transfer!AD143,Transfer!AD144))-1)</f>
        <v>6.2155951959134148</v>
      </c>
      <c r="AR180" s="80">
        <f>SUM(Transfer!AF143,Transfer!AF144)</f>
        <v>109.9619903975223</v>
      </c>
      <c r="AS180" s="91">
        <f>100*((SUM(Transfer!AF143,Transfer!AF144)/SUM(Transfer!AE143,Transfer!AE144))-1)</f>
        <v>8.4409229987051138</v>
      </c>
      <c r="AT180" s="80">
        <f>SUM(Transfer!AG143,Transfer!AG144)</f>
        <v>120.25234236435765</v>
      </c>
      <c r="AU180" s="93">
        <f>100*((SUM(Transfer!AG143,Transfer!AG144)/SUM(Transfer!AF143,Transfer!AF144))-1)</f>
        <v>9.358099039163271</v>
      </c>
      <c r="AV180" s="82"/>
      <c r="AW180" s="150"/>
      <c r="AX180" s="54"/>
      <c r="AY180" s="54"/>
      <c r="AZ180" s="54"/>
      <c r="BA180" s="1707" t="s">
        <v>959</v>
      </c>
      <c r="BB180" s="54"/>
      <c r="BC180" s="54"/>
    </row>
    <row r="181" spans="1:55">
      <c r="A181" s="45"/>
      <c r="B181" s="2543"/>
      <c r="C181" s="2373" t="s">
        <v>1199</v>
      </c>
      <c r="D181" s="2351"/>
      <c r="E181" s="2422" t="s">
        <v>2068</v>
      </c>
      <c r="F181" s="2376">
        <f ca="1">Transfer!D143</f>
        <v>21.92191</v>
      </c>
      <c r="G181" s="2376">
        <f ca="1">100*((Transfer!D143/Transfer!C143)-1)</f>
        <v>-1.7368471302890875</v>
      </c>
      <c r="H181" s="2377">
        <f ca="1">Transfer!E143</f>
        <v>25.75292</v>
      </c>
      <c r="I181" s="2376">
        <f ca="1">100*((Transfer!E143/Transfer!D143)-1)</f>
        <v>17.475712654599885</v>
      </c>
      <c r="J181" s="2377">
        <f ca="1">Transfer!F143</f>
        <v>27.715189492319997</v>
      </c>
      <c r="K181" s="2376">
        <f ca="1">100*((Transfer!F143/Transfer!E143)-1)</f>
        <v>7.619599999999993</v>
      </c>
      <c r="L181" s="2377">
        <f ca="1">Transfer!G143</f>
        <v>29.51335098658172</v>
      </c>
      <c r="M181" s="2378">
        <f ca="1">100*((Transfer!G143/Transfer!F143)-1)</f>
        <v>6.4880000000000049</v>
      </c>
      <c r="N181" s="2368"/>
      <c r="O181" s="150"/>
      <c r="P181" s="54"/>
      <c r="Q181" s="54"/>
      <c r="R181" s="54"/>
      <c r="S181" s="276"/>
      <c r="T181" s="86" t="s">
        <v>1199</v>
      </c>
      <c r="U181" s="65"/>
      <c r="V181" s="152" t="s">
        <v>2068</v>
      </c>
      <c r="W181" s="2081">
        <f t="shared" ca="1" si="12"/>
        <v>-57.699999999999996</v>
      </c>
      <c r="X181" s="2081">
        <f t="shared" ca="1" si="12"/>
        <v>-16.100000000000001</v>
      </c>
      <c r="Y181" s="2081">
        <f t="shared" ca="1" si="12"/>
        <v>-58.7</v>
      </c>
      <c r="Z181" s="2081">
        <f t="shared" ca="1" si="12"/>
        <v>11.3</v>
      </c>
      <c r="AA181" s="2081">
        <f t="shared" ca="1" si="12"/>
        <v>-64</v>
      </c>
      <c r="AB181" s="2081">
        <f t="shared" ca="1" si="12"/>
        <v>-0.90000000000000036</v>
      </c>
      <c r="AC181" s="2081">
        <f t="shared" ca="1" si="12"/>
        <v>-70.900000000000006</v>
      </c>
      <c r="AD181" s="2083">
        <f t="shared" ca="1" si="12"/>
        <v>-3</v>
      </c>
      <c r="AE181" s="82"/>
      <c r="AF181" s="45"/>
      <c r="AG181" s="45"/>
      <c r="AH181" s="45"/>
      <c r="AI181" s="45"/>
      <c r="AJ181" s="276"/>
      <c r="AK181" s="86" t="s">
        <v>1199</v>
      </c>
      <c r="AL181" s="65"/>
      <c r="AM181" s="152" t="s">
        <v>2068</v>
      </c>
      <c r="AN181" s="91">
        <f>Transfer!AD143</f>
        <v>79.578500000000005</v>
      </c>
      <c r="AO181" s="91">
        <f>100*((Transfer!AD143/Transfer!AC143)-1)</f>
        <v>14.374984549456427</v>
      </c>
      <c r="AP181" s="92">
        <f>Transfer!AE143</f>
        <v>84.521916420000025</v>
      </c>
      <c r="AQ181" s="91">
        <f>100*((Transfer!AE143/Transfer!AD143)-1)</f>
        <v>6.2120000000000175</v>
      </c>
      <c r="AR181" s="92">
        <f>Transfer!AF143</f>
        <v>91.709237582774705</v>
      </c>
      <c r="AS181" s="91">
        <f>100*((Transfer!AF143/Transfer!AE143)-1)</f>
        <v>8.5034999999999741</v>
      </c>
      <c r="AT181" s="92">
        <f>Transfer!AG143</f>
        <v>100.38144650707704</v>
      </c>
      <c r="AU181" s="93">
        <f>100*((Transfer!AG143/Transfer!AF143)-1)</f>
        <v>9.4562000000000026</v>
      </c>
      <c r="AV181" s="82"/>
      <c r="AW181" s="150"/>
      <c r="AX181" s="54"/>
      <c r="AY181" s="54"/>
      <c r="AZ181" s="54"/>
      <c r="BA181" s="1707" t="s">
        <v>196</v>
      </c>
      <c r="BB181" s="54"/>
      <c r="BC181" s="54"/>
    </row>
    <row r="182" spans="1:55">
      <c r="A182" s="45"/>
      <c r="B182" s="2543"/>
      <c r="C182" s="2373" t="s">
        <v>437</v>
      </c>
      <c r="D182" s="2351"/>
      <c r="E182" s="2422" t="s">
        <v>468</v>
      </c>
      <c r="F182" s="2376">
        <f ca="1">Transfer!D144</f>
        <v>6.8672200000000005</v>
      </c>
      <c r="G182" s="2376">
        <f ca="1">100*((Transfer!D144/Transfer!C144)-1)</f>
        <v>13.063550315537142</v>
      </c>
      <c r="H182" s="2377">
        <f ca="1">Transfer!E144</f>
        <v>8.28017</v>
      </c>
      <c r="I182" s="2376">
        <f ca="1">100*((Transfer!E144/Transfer!D144)-1)</f>
        <v>20.575283739271487</v>
      </c>
      <c r="J182" s="2377">
        <f ca="1">Transfer!F144</f>
        <v>9.0388405762499993</v>
      </c>
      <c r="K182" s="2376">
        <f ca="1">100*((Transfer!F144/Transfer!E144)-1)</f>
        <v>9.1624999999999837</v>
      </c>
      <c r="L182" s="2377">
        <f ca="1">Transfer!G144</f>
        <v>9.6439457586270549</v>
      </c>
      <c r="M182" s="2378">
        <f ca="1">100*((Transfer!G144/Transfer!F144)-1)</f>
        <v>6.6945000000000032</v>
      </c>
      <c r="N182" s="2368"/>
      <c r="O182" s="150"/>
      <c r="P182" s="54"/>
      <c r="Q182" s="54"/>
      <c r="R182" s="54"/>
      <c r="S182" s="276"/>
      <c r="T182" s="86" t="s">
        <v>437</v>
      </c>
      <c r="U182" s="65"/>
      <c r="V182" s="152" t="s">
        <v>468</v>
      </c>
      <c r="W182" s="2081">
        <f t="shared" ca="1" si="12"/>
        <v>-9</v>
      </c>
      <c r="X182" s="2081">
        <f t="shared" ca="1" si="12"/>
        <v>-9.4</v>
      </c>
      <c r="Y182" s="2081">
        <f t="shared" ca="1" si="12"/>
        <v>-8.5999999999999979</v>
      </c>
      <c r="Z182" s="2081">
        <f t="shared" ca="1" si="12"/>
        <v>14.400000000000002</v>
      </c>
      <c r="AA182" s="2081">
        <f t="shared" ca="1" si="12"/>
        <v>-9.3000000000000007</v>
      </c>
      <c r="AB182" s="2081">
        <f t="shared" ca="1" si="12"/>
        <v>1.0999999999999996</v>
      </c>
      <c r="AC182" s="2081">
        <f t="shared" ca="1" si="12"/>
        <v>-10.299999999999999</v>
      </c>
      <c r="AD182" s="2083">
        <f t="shared" ca="1" si="12"/>
        <v>-2.2000000000000002</v>
      </c>
      <c r="AE182" s="82"/>
      <c r="AF182" s="45"/>
      <c r="AG182" s="45"/>
      <c r="AH182" s="45"/>
      <c r="AI182" s="45"/>
      <c r="AJ182" s="276"/>
      <c r="AK182" s="86" t="s">
        <v>437</v>
      </c>
      <c r="AL182" s="65"/>
      <c r="AM182" s="152" t="s">
        <v>468</v>
      </c>
      <c r="AN182" s="91">
        <f>Transfer!AD144</f>
        <v>15.890219999999999</v>
      </c>
      <c r="AO182" s="91">
        <f>100*((Transfer!AD144/Transfer!AC144)-1)</f>
        <v>22.494694411189474</v>
      </c>
      <c r="AP182" s="92">
        <f>Transfer!AE144</f>
        <v>16.88075275392</v>
      </c>
      <c r="AQ182" s="91">
        <f>100*((Transfer!AE144/Transfer!AD144)-1)</f>
        <v>6.2335999999999947</v>
      </c>
      <c r="AR182" s="92">
        <f>Transfer!AF144</f>
        <v>18.252752814747602</v>
      </c>
      <c r="AS182" s="91">
        <f>100*((Transfer!AF144/Transfer!AE144)-1)</f>
        <v>8.1276000000000117</v>
      </c>
      <c r="AT182" s="92">
        <f>Transfer!AG144</f>
        <v>19.870895857280608</v>
      </c>
      <c r="AU182" s="93">
        <f>100*((Transfer!AG144/Transfer!AF144)-1)</f>
        <v>8.8652000000000175</v>
      </c>
      <c r="AV182" s="82"/>
      <c r="AW182" s="150"/>
      <c r="AX182" s="54"/>
      <c r="AY182" s="54"/>
      <c r="AZ182" s="54"/>
      <c r="BA182" s="1707" t="s">
        <v>2125</v>
      </c>
      <c r="BB182" s="54"/>
      <c r="BC182" s="54"/>
    </row>
    <row r="183" spans="1:55">
      <c r="A183" s="45"/>
      <c r="B183" s="1673"/>
      <c r="C183" s="2555" t="s">
        <v>438</v>
      </c>
      <c r="D183" s="2480"/>
      <c r="E183" s="2539"/>
      <c r="F183" s="2552">
        <f ca="1">SUM(Transfer!D136,Transfer!D137,Transfer!D138,Transfer!D142,Transfer!D143,Transfer!D144)</f>
        <v>66.957560000000001</v>
      </c>
      <c r="G183" s="2552">
        <f ca="1">100*((SUM(Transfer!D136,Transfer!D137,Transfer!D138,Transfer!D142,Transfer!D143,Transfer!D144)/SUM(Transfer!C136,Transfer!C137,Transfer!C138,Transfer!C142,Transfer!C143,Transfer!C144))-1)</f>
        <v>1.4673599916107616</v>
      </c>
      <c r="H183" s="2552">
        <f ca="1">SUM(Transfer!E136,Transfer!E137,Transfer!E138,Transfer!E142,Transfer!E143,Transfer!E144)</f>
        <v>74.975939999999994</v>
      </c>
      <c r="I183" s="2552">
        <f ca="1">100*((SUM(Transfer!E136,Transfer!E137,Transfer!E138,Transfer!E142,Transfer!E143,Transfer!E144)/SUM(Transfer!D136,Transfer!D137,Transfer!D138,Transfer!D142,Transfer!D143,Transfer!D144))-1)</f>
        <v>11.975316902228794</v>
      </c>
      <c r="J183" s="2552">
        <f ca="1">SUM(Transfer!F136,Transfer!F137,Transfer!F138,Transfer!F142,Transfer!F143,Transfer!F144)</f>
        <v>80.478153482007983</v>
      </c>
      <c r="K183" s="2552">
        <f ca="1">100*((SUM(Transfer!F136,Transfer!F137,Transfer!F138,Transfer!F142,Transfer!F143,Transfer!F144)/SUM(Transfer!E136,Transfer!E137,Transfer!E138,Transfer!E142,Transfer!E143,Transfer!E144))-1)</f>
        <v>7.338638878029391</v>
      </c>
      <c r="L183" s="2552">
        <f ca="1">SUM(Transfer!G136,Transfer!G137,Transfer!G138,Transfer!G142,Transfer!G143,Transfer!G144)</f>
        <v>85.413958548292911</v>
      </c>
      <c r="M183" s="2554">
        <f ca="1">100*((SUM(Transfer!G136,Transfer!G137,Transfer!G138,Transfer!G142,Transfer!G143,Transfer!G144)/SUM(Transfer!F136,Transfer!F137,Transfer!F138,Transfer!F142,Transfer!F143,Transfer!F144))-1)</f>
        <v>6.1330992980453969</v>
      </c>
      <c r="N183" s="2372"/>
      <c r="O183" s="157"/>
      <c r="P183" s="54"/>
      <c r="Q183" s="54"/>
      <c r="R183" s="54"/>
      <c r="S183" s="275"/>
      <c r="T183" s="1679" t="s">
        <v>438</v>
      </c>
      <c r="U183" s="124"/>
      <c r="V183" s="284"/>
      <c r="W183" s="2084">
        <f t="shared" ca="1" si="12"/>
        <v>-141.30000000000001</v>
      </c>
      <c r="X183" s="2084">
        <f t="shared" ca="1" si="12"/>
        <v>-6.8000000000000007</v>
      </c>
      <c r="Y183" s="2084">
        <f t="shared" ca="1" si="12"/>
        <v>-145.19999999999999</v>
      </c>
      <c r="Z183" s="2084">
        <f t="shared" ca="1" si="12"/>
        <v>6.3</v>
      </c>
      <c r="AA183" s="2084">
        <f t="shared" ca="1" si="12"/>
        <v>-155.69999999999999</v>
      </c>
      <c r="AB183" s="2084">
        <f t="shared" ca="1" si="12"/>
        <v>9.9999999999999645E-2</v>
      </c>
      <c r="AC183" s="2084">
        <f t="shared" ca="1" si="12"/>
        <v>-170</v>
      </c>
      <c r="AD183" s="2085">
        <f t="shared" ca="1" si="12"/>
        <v>-2.0999999999999996</v>
      </c>
      <c r="AE183" s="85"/>
      <c r="AF183" s="45"/>
      <c r="AG183" s="45"/>
      <c r="AH183" s="45"/>
      <c r="AI183" s="45"/>
      <c r="AJ183" s="275"/>
      <c r="AK183" s="1679" t="s">
        <v>438</v>
      </c>
      <c r="AL183" s="124"/>
      <c r="AM183" s="284"/>
      <c r="AN183" s="156">
        <f>SUM(Transfer!AD136,Transfer!AD137,Transfer!AD138,Transfer!AD142,Transfer!AD143,Transfer!AD144)</f>
        <v>208.27199999999999</v>
      </c>
      <c r="AO183" s="156">
        <f>100*((SUM(Transfer!AD136,Transfer!AD137,Transfer!AD138,Transfer!AD142,Transfer!AD143,Transfer!AD144)/SUM(Transfer!AC136,Transfer!AC137,Transfer!AC138,Transfer!AC142,Transfer!AC143,Transfer!AC144))-1)</f>
        <v>8.276932166065798</v>
      </c>
      <c r="AP183" s="156">
        <f>SUM(Transfer!AE136,Transfer!AE137,Transfer!AE138,Transfer!AE142,Transfer!AE143,Transfer!AE144)</f>
        <v>220.24041088990919</v>
      </c>
      <c r="AQ183" s="156">
        <f>100*((SUM(Transfer!AE136,Transfer!AE137,Transfer!AE138,Transfer!AE142,Transfer!AE143,Transfer!AE144)/SUM(Transfer!AD136,Transfer!AD137,Transfer!AD138,Transfer!AD142,Transfer!AD143,Transfer!AD144))-1)</f>
        <v>5.7465290052955753</v>
      </c>
      <c r="AR183" s="156">
        <f>SUM(Transfer!AF136,Transfer!AF137,Transfer!AF138,Transfer!AF142,Transfer!AF143,Transfer!AF144)</f>
        <v>236.16557362791255</v>
      </c>
      <c r="AS183" s="156">
        <f>100*((SUM(Transfer!AF136,Transfer!AF137,Transfer!AF138,Transfer!AF142,Transfer!AF143,Transfer!AF144)/SUM(Transfer!AE136,Transfer!AE137,Transfer!AE138,Transfer!AE142,Transfer!AE143,Transfer!AE144))-1)</f>
        <v>7.2308086756902368</v>
      </c>
      <c r="AT183" s="156">
        <f>SUM(Transfer!AG136,Transfer!AG137,Transfer!AG138,Transfer!AG142,Transfer!AG143,Transfer!AG144)</f>
        <v>255.41987197418374</v>
      </c>
      <c r="AU183" s="283">
        <f>100*((SUM(Transfer!AG136,Transfer!AG137,Transfer!AG138,Transfer!AG142,Transfer!AG143,Transfer!AG144)/SUM(Transfer!AF136,Transfer!AF137,Transfer!AF138,Transfer!AF142,Transfer!AF143,Transfer!AF144))-1)</f>
        <v>8.1528810700441277</v>
      </c>
      <c r="AV183" s="85"/>
      <c r="AW183" s="157"/>
      <c r="AX183" s="54"/>
      <c r="AY183" s="54"/>
      <c r="AZ183" s="54"/>
      <c r="BA183" s="1707" t="s">
        <v>2</v>
      </c>
      <c r="BB183" s="54"/>
      <c r="BC183" s="54"/>
    </row>
    <row r="184" spans="1:55">
      <c r="A184" s="45"/>
      <c r="B184" s="2543"/>
      <c r="C184" s="2556" t="s">
        <v>263</v>
      </c>
      <c r="D184" s="2557"/>
      <c r="E184" s="2422" t="s">
        <v>264</v>
      </c>
      <c r="F184" s="2376">
        <f ca="1">SUM(Transfer!D145,Transfer!D146)</f>
        <v>28.28923</v>
      </c>
      <c r="G184" s="2376">
        <f ca="1">100*((SUM(Transfer!D145,Transfer!D146)/SUM(Transfer!C145,Transfer!C146))-1)</f>
        <v>-0.95726411940068035</v>
      </c>
      <c r="H184" s="2366">
        <f ca="1">SUM(Transfer!E145,Transfer!E146)</f>
        <v>33.189959999999999</v>
      </c>
      <c r="I184" s="2376">
        <f ca="1">100*((SUM(Transfer!E145,Transfer!E146)/SUM(Transfer!D145,Transfer!D146))-1)</f>
        <v>17.323659922875233</v>
      </c>
      <c r="J184" s="2366">
        <f ca="1">SUM(Transfer!F145,Transfer!F146)</f>
        <v>36.259617764249995</v>
      </c>
      <c r="K184" s="2376">
        <f ca="1">100*((SUM(Transfer!F145,Transfer!F146)/SUM(Transfer!E145,Transfer!E146))-1)</f>
        <v>9.2487540335993046</v>
      </c>
      <c r="L184" s="2366">
        <f ca="1">SUM(Transfer!G145,Transfer!G146)</f>
        <v>38.73026872054696</v>
      </c>
      <c r="M184" s="2378">
        <f ca="1">100*((SUM(Transfer!G145,Transfer!G146)/SUM(Transfer!F145,Transfer!F146))-1)</f>
        <v>6.8137810286927225</v>
      </c>
      <c r="N184" s="2368"/>
      <c r="O184" s="150"/>
      <c r="P184" s="54"/>
      <c r="Q184" s="54"/>
      <c r="R184" s="54"/>
      <c r="S184" s="276"/>
      <c r="T184" s="285" t="s">
        <v>263</v>
      </c>
      <c r="U184" s="286"/>
      <c r="V184" s="181" t="s">
        <v>264</v>
      </c>
      <c r="W184" s="2081">
        <f t="shared" ca="1" si="12"/>
        <v>-66.2</v>
      </c>
      <c r="X184" s="2081">
        <f t="shared" ca="1" si="12"/>
        <v>-11.6</v>
      </c>
      <c r="Y184" s="2081">
        <f t="shared" ca="1" si="12"/>
        <v>-67</v>
      </c>
      <c r="Z184" s="2081">
        <f t="shared" ca="1" si="12"/>
        <v>11.3</v>
      </c>
      <c r="AA184" s="2081">
        <f t="shared" ca="1" si="12"/>
        <v>-72.400000000000006</v>
      </c>
      <c r="AB184" s="2081">
        <f t="shared" ca="1" si="12"/>
        <v>0.69999999999999929</v>
      </c>
      <c r="AC184" s="2081">
        <f t="shared" ca="1" si="12"/>
        <v>-80.599999999999994</v>
      </c>
      <c r="AD184" s="2083">
        <f t="shared" ca="1" si="12"/>
        <v>-2.8999999999999995</v>
      </c>
      <c r="AE184" s="82"/>
      <c r="AF184" s="45"/>
      <c r="AG184" s="45"/>
      <c r="AH184" s="45"/>
      <c r="AI184" s="45"/>
      <c r="AJ184" s="276"/>
      <c r="AK184" s="285" t="s">
        <v>263</v>
      </c>
      <c r="AL184" s="286"/>
      <c r="AM184" s="181" t="s">
        <v>264</v>
      </c>
      <c r="AN184" s="91">
        <f>SUM(Transfer!AD145,Transfer!AD146)</f>
        <v>94.537289999999999</v>
      </c>
      <c r="AO184" s="91">
        <f>100*((SUM(Transfer!AD145,Transfer!AD146)/SUM(Transfer!AC145,Transfer!AC146))-1)</f>
        <v>10.624517525080513</v>
      </c>
      <c r="AP184" s="80">
        <f>SUM(Transfer!AE145,Transfer!AE146)</f>
        <v>100.20063895044001</v>
      </c>
      <c r="AQ184" s="91">
        <f>100*((SUM(Transfer!AE145,Transfer!AE146)/SUM(Transfer!AD145,Transfer!AD146))-1)</f>
        <v>5.9905979433512613</v>
      </c>
      <c r="AR184" s="80">
        <f>SUM(Transfer!AF145,Transfer!AF146)</f>
        <v>108.73416094817132</v>
      </c>
      <c r="AS184" s="91">
        <f>100*((SUM(Transfer!AF145,Transfer!AF146)/SUM(Transfer!AE145,Transfer!AE146))-1)</f>
        <v>8.5164347125092235</v>
      </c>
      <c r="AT184" s="80">
        <f>SUM(Transfer!AG145,Transfer!AG146)</f>
        <v>119.32001137946844</v>
      </c>
      <c r="AU184" s="93">
        <f>100*((SUM(Transfer!AG145,Transfer!AG146)/SUM(Transfer!AF145,Transfer!AF146))-1)</f>
        <v>9.7355332850206366</v>
      </c>
      <c r="AV184" s="82"/>
      <c r="AW184" s="150"/>
      <c r="AX184" s="54"/>
      <c r="AY184" s="54"/>
      <c r="AZ184" s="54"/>
      <c r="BA184" s="1707" t="s">
        <v>3</v>
      </c>
      <c r="BB184" s="54"/>
      <c r="BC184" s="54"/>
    </row>
    <row r="185" spans="1:55">
      <c r="A185" s="45"/>
      <c r="B185" s="1673"/>
      <c r="C185" s="2558" t="s">
        <v>1325</v>
      </c>
      <c r="D185" s="2349"/>
      <c r="E185" s="2422" t="s">
        <v>1326</v>
      </c>
      <c r="F185" s="2376">
        <f ca="1">Transfer!D145</f>
        <v>23.690349999999999</v>
      </c>
      <c r="G185" s="2376">
        <f ca="1">100*((Transfer!D145/Transfer!C145)-1)</f>
        <v>-2.4939208800688895</v>
      </c>
      <c r="H185" s="2377">
        <f ca="1">Transfer!E145</f>
        <v>27.813869999999998</v>
      </c>
      <c r="I185" s="2376">
        <f ca="1">100*((Transfer!E145/Transfer!D145)-1)</f>
        <v>17.405905780201646</v>
      </c>
      <c r="J185" s="2377">
        <f ca="1">Transfer!F145</f>
        <v>30.362315838749993</v>
      </c>
      <c r="K185" s="2376">
        <f ca="1">100*((Transfer!F145/Transfer!E145)-1)</f>
        <v>9.1624999999999837</v>
      </c>
      <c r="L185" s="2377">
        <f ca="1">Transfer!G145</f>
        <v>32.420273606300469</v>
      </c>
      <c r="M185" s="2378">
        <f ca="1">100*((Transfer!G145/Transfer!F145)-1)</f>
        <v>6.7780000000000173</v>
      </c>
      <c r="N185" s="2368"/>
      <c r="O185" s="150"/>
      <c r="P185" s="54"/>
      <c r="Q185" s="54"/>
      <c r="R185" s="54"/>
      <c r="S185" s="275"/>
      <c r="T185" s="287" t="s">
        <v>1325</v>
      </c>
      <c r="U185" s="130"/>
      <c r="V185" s="181" t="s">
        <v>1326</v>
      </c>
      <c r="W185" s="2081">
        <f t="shared" ca="1" si="12"/>
        <v>-59</v>
      </c>
      <c r="X185" s="2081">
        <f t="shared" ca="1" si="12"/>
        <v>-11.6</v>
      </c>
      <c r="Y185" s="2081">
        <f t="shared" ca="1" si="12"/>
        <v>-59.900000000000006</v>
      </c>
      <c r="Z185" s="2081">
        <f t="shared" ca="1" si="12"/>
        <v>11.399999999999999</v>
      </c>
      <c r="AA185" s="2081">
        <f t="shared" ca="1" si="12"/>
        <v>-64.800000000000011</v>
      </c>
      <c r="AB185" s="2081">
        <f t="shared" ca="1" si="12"/>
        <v>0.59999999999999964</v>
      </c>
      <c r="AC185" s="2081">
        <f t="shared" ca="1" si="12"/>
        <v>-72.199999999999989</v>
      </c>
      <c r="AD185" s="2083">
        <f t="shared" ca="1" si="12"/>
        <v>-3.1000000000000005</v>
      </c>
      <c r="AE185" s="82"/>
      <c r="AF185" s="45"/>
      <c r="AG185" s="45"/>
      <c r="AH185" s="45"/>
      <c r="AI185" s="45"/>
      <c r="AJ185" s="275"/>
      <c r="AK185" s="287" t="s">
        <v>1325</v>
      </c>
      <c r="AL185" s="130"/>
      <c r="AM185" s="181" t="s">
        <v>1326</v>
      </c>
      <c r="AN185" s="91">
        <f>Transfer!AD145</f>
        <v>82.728229999999996</v>
      </c>
      <c r="AO185" s="91">
        <f>100*((Transfer!AD145/Transfer!AC145)-1)</f>
        <v>9.1132698582024663</v>
      </c>
      <c r="AP185" s="92">
        <f>Transfer!AE145</f>
        <v>87.681665499480005</v>
      </c>
      <c r="AQ185" s="91">
        <f>100*((Transfer!AE145/Transfer!AD145)-1)</f>
        <v>5.987600000000004</v>
      </c>
      <c r="AR185" s="92">
        <f>Transfer!AF145</f>
        <v>95.211416205913352</v>
      </c>
      <c r="AS185" s="91">
        <f>100*((Transfer!AF145/Transfer!AE145)-1)</f>
        <v>8.5876000000000055</v>
      </c>
      <c r="AT185" s="92">
        <f>Transfer!AG145</f>
        <v>104.59888099815157</v>
      </c>
      <c r="AU185" s="93">
        <f>100*((Transfer!AG145/Transfer!AF145)-1)</f>
        <v>9.8595999999999897</v>
      </c>
      <c r="AV185" s="82"/>
      <c r="AW185" s="150"/>
      <c r="AX185" s="54"/>
      <c r="AY185" s="54"/>
      <c r="AZ185" s="54"/>
      <c r="BA185" s="1707" t="s">
        <v>197</v>
      </c>
      <c r="BB185" s="54"/>
      <c r="BC185" s="54"/>
    </row>
    <row r="186" spans="1:55">
      <c r="A186" s="45"/>
      <c r="B186" s="1673"/>
      <c r="C186" s="2558" t="s">
        <v>439</v>
      </c>
      <c r="D186" s="2349"/>
      <c r="E186" s="2422" t="s">
        <v>1327</v>
      </c>
      <c r="F186" s="2376">
        <f ca="1">Transfer!D146</f>
        <v>4.5988800000000003</v>
      </c>
      <c r="G186" s="2376">
        <f ca="1">100*((Transfer!D146/Transfer!C146)-1)</f>
        <v>7.7937450338343872</v>
      </c>
      <c r="H186" s="2377">
        <f ca="1">Transfer!E146</f>
        <v>5.3760900000000005</v>
      </c>
      <c r="I186" s="2376">
        <f ca="1">100*((Transfer!E146/Transfer!D146)-1)</f>
        <v>16.899984344014207</v>
      </c>
      <c r="J186" s="2377">
        <f ca="1">Transfer!F146</f>
        <v>5.8973019254999999</v>
      </c>
      <c r="K186" s="2376">
        <f ca="1">100*((Transfer!F146/Transfer!E146)-1)</f>
        <v>9.6949999999999861</v>
      </c>
      <c r="L186" s="2377">
        <f ca="1">Transfer!G146</f>
        <v>6.3099951142464894</v>
      </c>
      <c r="M186" s="2378">
        <f ca="1">100*((Transfer!G146/Transfer!F146)-1)</f>
        <v>6.9979999999999931</v>
      </c>
      <c r="N186" s="2368"/>
      <c r="O186" s="150"/>
      <c r="P186" s="54"/>
      <c r="Q186" s="54"/>
      <c r="R186" s="54"/>
      <c r="S186" s="275"/>
      <c r="T186" s="287" t="s">
        <v>439</v>
      </c>
      <c r="U186" s="130"/>
      <c r="V186" s="181" t="s">
        <v>1327</v>
      </c>
      <c r="W186" s="2081">
        <f t="shared" ca="1" si="12"/>
        <v>-7.2000000000000011</v>
      </c>
      <c r="X186" s="2081">
        <f t="shared" ca="1" si="12"/>
        <v>-14.7</v>
      </c>
      <c r="Y186" s="2081">
        <f t="shared" ca="1" si="12"/>
        <v>-7.1</v>
      </c>
      <c r="Z186" s="2081">
        <f t="shared" ca="1" si="12"/>
        <v>10.899999999999999</v>
      </c>
      <c r="AA186" s="2081">
        <f t="shared" ca="1" si="12"/>
        <v>-7.6</v>
      </c>
      <c r="AB186" s="2081">
        <f t="shared" ca="1" si="12"/>
        <v>1.6999999999999993</v>
      </c>
      <c r="AC186" s="2081">
        <f t="shared" ca="1" si="12"/>
        <v>-8.3999999999999986</v>
      </c>
      <c r="AD186" s="2083">
        <f t="shared" ca="1" si="12"/>
        <v>-1.9000000000000004</v>
      </c>
      <c r="AE186" s="82"/>
      <c r="AF186" s="45"/>
      <c r="AG186" s="45"/>
      <c r="AH186" s="45"/>
      <c r="AI186" s="45"/>
      <c r="AJ186" s="275"/>
      <c r="AK186" s="287" t="s">
        <v>439</v>
      </c>
      <c r="AL186" s="130"/>
      <c r="AM186" s="181" t="s">
        <v>1327</v>
      </c>
      <c r="AN186" s="91">
        <f>Transfer!AD146</f>
        <v>11.809059999999999</v>
      </c>
      <c r="AO186" s="91">
        <f>100*((Transfer!AD146/Transfer!AC146)-1)</f>
        <v>22.511551860435674</v>
      </c>
      <c r="AP186" s="92">
        <f>Transfer!AE146</f>
        <v>12.518973450959999</v>
      </c>
      <c r="AQ186" s="91">
        <f>100*((Transfer!AE146/Transfer!AD146)-1)</f>
        <v>6.0116000000000058</v>
      </c>
      <c r="AR186" s="92">
        <f>Transfer!AF146</f>
        <v>13.52274474225797</v>
      </c>
      <c r="AS186" s="91">
        <f>100*((Transfer!AF146/Transfer!AE146)-1)</f>
        <v>8.0179999999999918</v>
      </c>
      <c r="AT186" s="92">
        <f>Transfer!AG146</f>
        <v>14.72113038131687</v>
      </c>
      <c r="AU186" s="93">
        <f>100*((Transfer!AG146/Transfer!AF146)-1)</f>
        <v>8.8619999999999912</v>
      </c>
      <c r="AV186" s="82"/>
      <c r="AW186" s="150"/>
      <c r="AX186" s="54"/>
      <c r="AY186" s="54"/>
      <c r="AZ186" s="54"/>
      <c r="BA186" s="1707" t="s">
        <v>120</v>
      </c>
      <c r="BB186" s="54"/>
      <c r="BC186" s="54"/>
    </row>
    <row r="187" spans="1:55">
      <c r="A187" s="45"/>
      <c r="B187" s="2543"/>
      <c r="C187" s="2466" t="s">
        <v>440</v>
      </c>
      <c r="D187" s="2467"/>
      <c r="E187" s="2559" t="s">
        <v>1328</v>
      </c>
      <c r="F187" s="2560">
        <f ca="1">Transfer!D147</f>
        <v>38.668320000000001</v>
      </c>
      <c r="G187" s="2560">
        <f ca="1">100*((Transfer!D147/Transfer!C147)-1)</f>
        <v>3.3177196652328211</v>
      </c>
      <c r="H187" s="3301">
        <f ca="1">Transfer!E147</f>
        <v>41.779594892398123</v>
      </c>
      <c r="I187" s="2552">
        <f ca="1">100*((Transfer!E147/Transfer!D147)-1)</f>
        <v>8.0460565455083621</v>
      </c>
      <c r="J187" s="3301">
        <f ca="1">Transfer!F147</f>
        <v>44.211558409957277</v>
      </c>
      <c r="K187" s="2552">
        <f ca="1">100*((Transfer!F147/Transfer!E147)-1)</f>
        <v>5.8209360905068452</v>
      </c>
      <c r="L187" s="3301">
        <f ca="1">Transfer!G147</f>
        <v>46.676249894100508</v>
      </c>
      <c r="M187" s="2554">
        <f ca="1">100*((Transfer!G147/Transfer!F147)-1)</f>
        <v>5.5747672617397104</v>
      </c>
      <c r="N187" s="2372"/>
      <c r="O187" s="157"/>
      <c r="P187" s="54"/>
      <c r="Q187" s="54"/>
      <c r="R187" s="54"/>
      <c r="S187" s="276"/>
      <c r="T187" s="209" t="s">
        <v>440</v>
      </c>
      <c r="U187" s="210"/>
      <c r="V187" s="289" t="s">
        <v>1328</v>
      </c>
      <c r="W187" s="2084">
        <f t="shared" ca="1" si="12"/>
        <v>-75</v>
      </c>
      <c r="X187" s="2084">
        <f t="shared" ca="1" si="12"/>
        <v>-3.1000000000000005</v>
      </c>
      <c r="Y187" s="2084">
        <f t="shared" ca="1" si="12"/>
        <v>-78.2</v>
      </c>
      <c r="Z187" s="2084">
        <f t="shared" ca="1" si="12"/>
        <v>2.5</v>
      </c>
      <c r="AA187" s="2084">
        <f t="shared" ca="1" si="12"/>
        <v>-83.2</v>
      </c>
      <c r="AB187" s="2084">
        <f t="shared" ca="1" si="12"/>
        <v>-0.40000000000000036</v>
      </c>
      <c r="AC187" s="2084">
        <f t="shared" ca="1" si="12"/>
        <v>-89.399999999999991</v>
      </c>
      <c r="AD187" s="2085">
        <f t="shared" ca="1" si="12"/>
        <v>-1.2000000000000002</v>
      </c>
      <c r="AE187" s="85"/>
      <c r="AF187" s="45"/>
      <c r="AG187" s="45"/>
      <c r="AH187" s="45"/>
      <c r="AI187" s="45"/>
      <c r="AJ187" s="276"/>
      <c r="AK187" s="209" t="s">
        <v>440</v>
      </c>
      <c r="AL187" s="210"/>
      <c r="AM187" s="289" t="s">
        <v>1328</v>
      </c>
      <c r="AN187" s="290">
        <f>Transfer!AD147</f>
        <v>113.7347</v>
      </c>
      <c r="AO187" s="290">
        <f>100*((Transfer!AD147/Transfer!AC147)-1)</f>
        <v>6.4001045527502631</v>
      </c>
      <c r="AP187" s="156">
        <f>Transfer!AE147</f>
        <v>120.03976193946914</v>
      </c>
      <c r="AQ187" s="156">
        <f>100*((Transfer!AE147/Transfer!AD147)-1)</f>
        <v>5.5436572474971468</v>
      </c>
      <c r="AR187" s="156">
        <f>Transfer!AF147</f>
        <v>127.43140267974128</v>
      </c>
      <c r="AS187" s="156">
        <f>100*((Transfer!AF147/Transfer!AE147)-1)</f>
        <v>6.1576602792659862</v>
      </c>
      <c r="AT187" s="156">
        <f>Transfer!AG147</f>
        <v>136.09985059471535</v>
      </c>
      <c r="AU187" s="283">
        <f>100*((Transfer!AG147/Transfer!AF147)-1)</f>
        <v>6.8024425162763746</v>
      </c>
      <c r="AV187" s="85"/>
      <c r="AW187" s="157"/>
      <c r="AX187" s="54"/>
      <c r="AY187" s="54"/>
      <c r="AZ187" s="54"/>
      <c r="BA187" s="1707" t="s">
        <v>121</v>
      </c>
      <c r="BB187" s="54"/>
      <c r="BC187" s="54"/>
    </row>
    <row r="188" spans="1:55">
      <c r="A188" s="45"/>
      <c r="B188" s="2561"/>
      <c r="C188" s="2558" t="s">
        <v>106</v>
      </c>
      <c r="D188" s="2349"/>
      <c r="E188" s="2547" t="s">
        <v>122</v>
      </c>
      <c r="F188" s="2365">
        <f ca="1">(SUM(Transfer!D143,Transfer!D144)-SUM(Transfer!D145,Transfer!D146))</f>
        <v>0.49990000000000023</v>
      </c>
      <c r="G188" s="2548"/>
      <c r="H188" s="2365">
        <f ca="1">(SUM(Transfer!E143,Transfer!E144)-SUM(Transfer!E145,Transfer!E146))</f>
        <v>0.84313000000000216</v>
      </c>
      <c r="I188" s="2548"/>
      <c r="J188" s="2365">
        <f ca="1">(SUM(Transfer!F143,Transfer!F144)-SUM(Transfer!F145,Transfer!F146))</f>
        <v>0.49441230432000083</v>
      </c>
      <c r="K188" s="2548"/>
      <c r="L188" s="2365">
        <f ca="1">(SUM(Transfer!G143,Transfer!G144)-SUM(Transfer!G145,Transfer!G146))</f>
        <v>0.42702802466181566</v>
      </c>
      <c r="M188" s="2562"/>
      <c r="N188" s="2551"/>
      <c r="O188" s="150"/>
      <c r="P188" s="54"/>
      <c r="Q188" s="54"/>
      <c r="R188" s="54"/>
      <c r="S188" s="291"/>
      <c r="T188" s="287" t="s">
        <v>106</v>
      </c>
      <c r="U188" s="130"/>
      <c r="V188" s="161" t="s">
        <v>122</v>
      </c>
      <c r="W188" s="2081">
        <f t="shared" ca="1" si="12"/>
        <v>-0.4</v>
      </c>
      <c r="X188" s="2086">
        <f t="shared" si="12"/>
        <v>0</v>
      </c>
      <c r="Y188" s="2081">
        <f t="shared" ca="1" si="12"/>
        <v>-0.39999999999999991</v>
      </c>
      <c r="Z188" s="2086">
        <f t="shared" si="12"/>
        <v>0</v>
      </c>
      <c r="AA188" s="2081">
        <f t="shared" ca="1" si="12"/>
        <v>-0.7</v>
      </c>
      <c r="AB188" s="2086">
        <f t="shared" si="12"/>
        <v>0</v>
      </c>
      <c r="AC188" s="2081">
        <f t="shared" ca="1" si="12"/>
        <v>-0.5</v>
      </c>
      <c r="AD188" s="2087">
        <f t="shared" si="12"/>
        <v>0</v>
      </c>
      <c r="AE188" s="281"/>
      <c r="AF188" s="45"/>
      <c r="AG188" s="45"/>
      <c r="AH188" s="45"/>
      <c r="AI188" s="45"/>
      <c r="AJ188" s="291"/>
      <c r="AK188" s="287" t="s">
        <v>106</v>
      </c>
      <c r="AL188" s="130"/>
      <c r="AM188" s="161" t="s">
        <v>122</v>
      </c>
      <c r="AN188" s="79">
        <f>(SUM(Transfer!AD143,Transfer!AD144)-SUM(Transfer!AD145,Transfer!AD146))</f>
        <v>0.93143000000000598</v>
      </c>
      <c r="AO188" s="278"/>
      <c r="AP188" s="79">
        <f>(SUM(Transfer!AE143,Transfer!AE144)-SUM(Transfer!AE145,Transfer!AE146))</f>
        <v>1.2020302234800226</v>
      </c>
      <c r="AQ188" s="278"/>
      <c r="AR188" s="79">
        <f>(SUM(Transfer!AF143,Transfer!AF144)-SUM(Transfer!AF145,Transfer!AF146))</f>
        <v>1.2278294493509776</v>
      </c>
      <c r="AS188" s="278"/>
      <c r="AT188" s="79">
        <f>(SUM(Transfer!AG143,Transfer!AG144)-SUM(Transfer!AG145,Transfer!AG146))</f>
        <v>0.93233098488920518</v>
      </c>
      <c r="AU188" s="292"/>
      <c r="AV188" s="281"/>
      <c r="AW188" s="150"/>
      <c r="AX188" s="54"/>
      <c r="AY188" s="54"/>
      <c r="AZ188" s="54"/>
      <c r="BA188" s="1707" t="s">
        <v>1117</v>
      </c>
      <c r="BB188" s="54"/>
      <c r="BC188" s="54"/>
    </row>
    <row r="189" spans="1:55">
      <c r="A189" s="45"/>
      <c r="B189" s="1665"/>
      <c r="C189" s="2558" t="s">
        <v>107</v>
      </c>
      <c r="D189" s="2445"/>
      <c r="E189" s="2369"/>
      <c r="F189" s="2563">
        <f ca="1">(Transfer!D143-Transfer!D145)</f>
        <v>-1.7684399999999982</v>
      </c>
      <c r="G189" s="2564"/>
      <c r="H189" s="2563">
        <f ca="1">(Transfer!E143-Transfer!E145)</f>
        <v>-2.0609499999999983</v>
      </c>
      <c r="I189" s="2564"/>
      <c r="J189" s="2563">
        <f ca="1">(Transfer!F143-Transfer!F145)</f>
        <v>-2.6471263464299959</v>
      </c>
      <c r="K189" s="2564"/>
      <c r="L189" s="2563">
        <f ca="1">(Transfer!G143-Transfer!G145)</f>
        <v>-2.906922619718749</v>
      </c>
      <c r="M189" s="2565"/>
      <c r="N189" s="2566"/>
      <c r="O189" s="50"/>
      <c r="P189" s="54"/>
      <c r="Q189" s="54"/>
      <c r="R189" s="54"/>
      <c r="S189" s="190"/>
      <c r="T189" s="287" t="s">
        <v>107</v>
      </c>
      <c r="U189" s="29"/>
      <c r="V189" s="293"/>
      <c r="W189" s="2081">
        <f t="shared" ca="1" si="12"/>
        <v>1.3</v>
      </c>
      <c r="X189" s="2088">
        <f t="shared" si="12"/>
        <v>0</v>
      </c>
      <c r="Y189" s="2081">
        <f t="shared" ca="1" si="12"/>
        <v>1.1000000000000001</v>
      </c>
      <c r="Z189" s="2088">
        <f t="shared" si="12"/>
        <v>0</v>
      </c>
      <c r="AA189" s="2081">
        <f t="shared" ca="1" si="12"/>
        <v>0.89999999999999991</v>
      </c>
      <c r="AB189" s="2088">
        <f t="shared" si="12"/>
        <v>0</v>
      </c>
      <c r="AC189" s="2081">
        <f t="shared" ca="1" si="12"/>
        <v>1.3000000000000003</v>
      </c>
      <c r="AD189" s="2089">
        <f t="shared" si="12"/>
        <v>0</v>
      </c>
      <c r="AE189" s="297"/>
      <c r="AF189" s="45"/>
      <c r="AG189" s="45"/>
      <c r="AH189" s="45"/>
      <c r="AI189" s="45"/>
      <c r="AJ189" s="190"/>
      <c r="AK189" s="287" t="s">
        <v>107</v>
      </c>
      <c r="AL189" s="29"/>
      <c r="AM189" s="293"/>
      <c r="AN189" s="294">
        <f>(Transfer!AD143-Transfer!AD145)</f>
        <v>-3.149729999999991</v>
      </c>
      <c r="AO189" s="295"/>
      <c r="AP189" s="294">
        <f>(Transfer!AE143-Transfer!AE145)</f>
        <v>-3.1597490794799796</v>
      </c>
      <c r="AQ189" s="295"/>
      <c r="AR189" s="294">
        <f>(Transfer!AF143-Transfer!AF145)</f>
        <v>-3.5021786231386471</v>
      </c>
      <c r="AS189" s="295"/>
      <c r="AT189" s="294">
        <f>(Transfer!AG143-Transfer!AG145)</f>
        <v>-4.2174344910745276</v>
      </c>
      <c r="AU189" s="296"/>
      <c r="AV189" s="297"/>
      <c r="AW189" s="50"/>
      <c r="AX189" s="54"/>
      <c r="AY189" s="54"/>
      <c r="AZ189" s="54"/>
      <c r="BA189" s="1707" t="s">
        <v>1118</v>
      </c>
      <c r="BB189" s="54"/>
      <c r="BC189" s="54"/>
    </row>
    <row r="190" spans="1:55">
      <c r="A190" s="45"/>
      <c r="B190" s="1992"/>
      <c r="C190" s="2567" t="s">
        <v>108</v>
      </c>
      <c r="D190" s="2477"/>
      <c r="E190" s="2568"/>
      <c r="F190" s="2569">
        <f ca="1">(Transfer!D144-Transfer!D146)</f>
        <v>2.2683400000000002</v>
      </c>
      <c r="G190" s="2570"/>
      <c r="H190" s="2569">
        <f ca="1">(Transfer!E144-Transfer!E146)</f>
        <v>2.9040799999999996</v>
      </c>
      <c r="I190" s="2570"/>
      <c r="J190" s="2569">
        <f ca="1">(Transfer!F144-Transfer!F146)</f>
        <v>3.1415386507499994</v>
      </c>
      <c r="K190" s="2570"/>
      <c r="L190" s="2569">
        <f ca="1">(Transfer!G144-Transfer!G146)</f>
        <v>3.3339506443805655</v>
      </c>
      <c r="M190" s="2571"/>
      <c r="N190" s="2566"/>
      <c r="O190" s="50"/>
      <c r="P190" s="54"/>
      <c r="Q190" s="54"/>
      <c r="R190" s="54"/>
      <c r="S190" s="259"/>
      <c r="T190" s="298" t="s">
        <v>108</v>
      </c>
      <c r="U190" s="255"/>
      <c r="V190" s="299"/>
      <c r="W190" s="2084">
        <f t="shared" ca="1" si="12"/>
        <v>-1.7999999999999998</v>
      </c>
      <c r="X190" s="2090">
        <f t="shared" si="12"/>
        <v>0</v>
      </c>
      <c r="Y190" s="2084">
        <f t="shared" ca="1" si="12"/>
        <v>-1.5000000000000004</v>
      </c>
      <c r="Z190" s="2090">
        <f t="shared" si="12"/>
        <v>0</v>
      </c>
      <c r="AA190" s="2084">
        <f t="shared" ca="1" si="12"/>
        <v>-1.6</v>
      </c>
      <c r="AB190" s="2090">
        <f t="shared" si="12"/>
        <v>0</v>
      </c>
      <c r="AC190" s="2084">
        <f t="shared" ca="1" si="12"/>
        <v>-1.7999999999999998</v>
      </c>
      <c r="AD190" s="2091">
        <f t="shared" si="12"/>
        <v>0</v>
      </c>
      <c r="AE190" s="297"/>
      <c r="AF190" s="45"/>
      <c r="AG190" s="45"/>
      <c r="AH190" s="45"/>
      <c r="AI190" s="45"/>
      <c r="AJ190" s="259"/>
      <c r="AK190" s="298" t="s">
        <v>108</v>
      </c>
      <c r="AL190" s="255"/>
      <c r="AM190" s="299"/>
      <c r="AN190" s="300">
        <f>(Transfer!AD144-Transfer!AD146)</f>
        <v>4.0811600000000006</v>
      </c>
      <c r="AO190" s="301"/>
      <c r="AP190" s="300">
        <f>(Transfer!AE144-Transfer!AE146)</f>
        <v>4.3617793029600005</v>
      </c>
      <c r="AQ190" s="301"/>
      <c r="AR190" s="300">
        <f>(Transfer!AF144-Transfer!AF146)</f>
        <v>4.7300080724896318</v>
      </c>
      <c r="AS190" s="301"/>
      <c r="AT190" s="300">
        <f>(Transfer!AG144-Transfer!AG146)</f>
        <v>5.1497654759637381</v>
      </c>
      <c r="AU190" s="302"/>
      <c r="AV190" s="297"/>
      <c r="AW190" s="50"/>
      <c r="AX190" s="54"/>
      <c r="AY190" s="54"/>
      <c r="AZ190" s="54"/>
      <c r="BA190" s="1707" t="s">
        <v>1119</v>
      </c>
      <c r="BB190" s="54"/>
      <c r="BC190" s="54"/>
    </row>
    <row r="191" spans="1:55">
      <c r="A191" s="45"/>
      <c r="B191" s="1992"/>
      <c r="C191" s="2468" t="s">
        <v>1402</v>
      </c>
      <c r="D191" s="2349"/>
      <c r="E191" s="2572" t="s">
        <v>1403</v>
      </c>
      <c r="F191" s="2381">
        <f ca="1">Transfer!D240</f>
        <v>-1.5429999999999999</v>
      </c>
      <c r="G191" s="2381"/>
      <c r="H191" s="2381">
        <f ca="1">Transfer!E240</f>
        <v>-1.5165699999999998</v>
      </c>
      <c r="I191" s="2381"/>
      <c r="J191" s="2381">
        <f ca="1">Transfer!F240</f>
        <v>-1.546837625</v>
      </c>
      <c r="K191" s="2381"/>
      <c r="L191" s="2381">
        <f ca="1">Transfer!G240</f>
        <v>-1.5777439521250001</v>
      </c>
      <c r="M191" s="2383"/>
      <c r="N191" s="2368"/>
      <c r="O191" s="150"/>
      <c r="P191" s="54"/>
      <c r="Q191" s="54"/>
      <c r="R191" s="54"/>
      <c r="S191" s="259"/>
      <c r="T191" s="179" t="s">
        <v>1402</v>
      </c>
      <c r="U191" s="63"/>
      <c r="V191" s="303" t="s">
        <v>1403</v>
      </c>
      <c r="W191" s="2092">
        <f t="shared" ca="1" si="12"/>
        <v>3.3</v>
      </c>
      <c r="X191" s="2092">
        <f t="shared" si="12"/>
        <v>0</v>
      </c>
      <c r="Y191" s="2092">
        <f t="shared" ca="1" si="12"/>
        <v>3.9000000000000004</v>
      </c>
      <c r="Z191" s="2092">
        <f t="shared" si="12"/>
        <v>0</v>
      </c>
      <c r="AA191" s="2092">
        <f t="shared" ca="1" si="12"/>
        <v>4.5999999999999996</v>
      </c>
      <c r="AB191" s="2092">
        <f t="shared" si="12"/>
        <v>0</v>
      </c>
      <c r="AC191" s="2092">
        <f t="shared" ca="1" si="12"/>
        <v>5.1999999999999993</v>
      </c>
      <c r="AD191" s="2085">
        <f t="shared" si="12"/>
        <v>0</v>
      </c>
      <c r="AE191" s="82"/>
      <c r="AF191" s="45"/>
      <c r="AG191" s="45"/>
      <c r="AH191" s="45"/>
      <c r="AI191" s="45"/>
      <c r="AJ191" s="259"/>
      <c r="AK191" s="179" t="s">
        <v>1402</v>
      </c>
      <c r="AL191" s="63"/>
      <c r="AM191" s="303" t="s">
        <v>1403</v>
      </c>
      <c r="AN191" s="96">
        <f>Transfer!AD240</f>
        <v>-4.8091617689767387</v>
      </c>
      <c r="AO191" s="96"/>
      <c r="AP191" s="96">
        <f>Transfer!AE240</f>
        <v>-5.4019541458744129</v>
      </c>
      <c r="AQ191" s="96"/>
      <c r="AR191" s="96">
        <f>Transfer!AF240</f>
        <v>-6.061800908461854</v>
      </c>
      <c r="AS191" s="96"/>
      <c r="AT191" s="96">
        <f>Transfer!AG240</f>
        <v>-6.7900928487280403</v>
      </c>
      <c r="AU191" s="98"/>
      <c r="AV191" s="82"/>
      <c r="AW191" s="150"/>
      <c r="AX191" s="54"/>
      <c r="AY191" s="54"/>
      <c r="AZ191" s="54"/>
      <c r="BA191" s="1707" t="s">
        <v>1404</v>
      </c>
      <c r="BB191" s="54"/>
      <c r="BC191" s="54"/>
    </row>
    <row r="192" spans="1:55" ht="13.5" thickBot="1">
      <c r="A192" s="45"/>
      <c r="B192" s="1992"/>
      <c r="C192" s="2573" t="s">
        <v>109</v>
      </c>
      <c r="D192" s="2574"/>
      <c r="E192" s="2575" t="s">
        <v>1405</v>
      </c>
      <c r="F192" s="2576">
        <f ca="1">SUM(Transfer!D147,Transfer!D240)</f>
        <v>37.125320000000002</v>
      </c>
      <c r="G192" s="2576">
        <f ca="1">100*((SUM(Transfer!D147,Transfer!D240)/SUM(Transfer!C147,Transfer!C240))-1)</f>
        <v>3.4921072093722749</v>
      </c>
      <c r="H192" s="2576">
        <f ca="1">SUM(Transfer!E147,Transfer!E240)</f>
        <v>40.263024892398121</v>
      </c>
      <c r="I192" s="2576">
        <f ca="1">100*((SUM(Transfer!E147,Transfer!E240)/SUM(Transfer!D147,Transfer!D240))-1)</f>
        <v>8.4516575005902048</v>
      </c>
      <c r="J192" s="2576">
        <f ca="1">SUM(Transfer!F147,Transfer!F240)</f>
        <v>42.664720784957275</v>
      </c>
      <c r="K192" s="2576">
        <f ca="1">100*((SUM(Transfer!F147,Transfer!F240)/SUM(Transfer!E147,Transfer!E240))-1)</f>
        <v>5.9650160388535767</v>
      </c>
      <c r="L192" s="2576">
        <f ca="1">SUM(Transfer!G147,Transfer!G240)</f>
        <v>45.09850594197551</v>
      </c>
      <c r="M192" s="2577">
        <f ca="1">100*((SUM(Transfer!G147,Transfer!G240)/SUM(Transfer!F147,Transfer!F240))-1)</f>
        <v>5.7044441220774011</v>
      </c>
      <c r="N192" s="2372"/>
      <c r="O192" s="157"/>
      <c r="P192" s="54"/>
      <c r="Q192" s="54"/>
      <c r="R192" s="54"/>
      <c r="S192" s="259"/>
      <c r="T192" s="1680" t="s">
        <v>109</v>
      </c>
      <c r="U192" s="304"/>
      <c r="V192" s="305" t="s">
        <v>1405</v>
      </c>
      <c r="W192" s="2093">
        <f t="shared" ca="1" si="12"/>
        <v>-71.800000000000011</v>
      </c>
      <c r="X192" s="2093">
        <f t="shared" ca="1" si="12"/>
        <v>-2.2999999999999998</v>
      </c>
      <c r="Y192" s="2093">
        <f t="shared" ca="1" si="12"/>
        <v>-74.3</v>
      </c>
      <c r="Z192" s="2093">
        <f t="shared" ca="1" si="12"/>
        <v>3.3</v>
      </c>
      <c r="AA192" s="2093">
        <f t="shared" ca="1" si="12"/>
        <v>-78.7</v>
      </c>
      <c r="AB192" s="2093">
        <f t="shared" ca="1" si="12"/>
        <v>9.9999999999999645E-2</v>
      </c>
      <c r="AC192" s="2093">
        <f t="shared" ca="1" si="12"/>
        <v>-84.200000000000017</v>
      </c>
      <c r="AD192" s="2094">
        <f t="shared" ca="1" si="12"/>
        <v>-0.79999999999999982</v>
      </c>
      <c r="AE192" s="85"/>
      <c r="AF192" s="45"/>
      <c r="AG192" s="45"/>
      <c r="AH192" s="45"/>
      <c r="AI192" s="45"/>
      <c r="AJ192" s="259"/>
      <c r="AK192" s="1680" t="s">
        <v>109</v>
      </c>
      <c r="AL192" s="304"/>
      <c r="AM192" s="305" t="s">
        <v>1405</v>
      </c>
      <c r="AN192" s="306">
        <f>SUM(Transfer!AD147,Transfer!AD240)</f>
        <v>108.92553823102327</v>
      </c>
      <c r="AO192" s="306">
        <f>100*((SUM(Transfer!AD147,Transfer!AD240)/SUM(Transfer!AC147,Transfer!AC240))-1)</f>
        <v>5.7988052350161468</v>
      </c>
      <c r="AP192" s="306">
        <f>SUM(Transfer!AE147,Transfer!AE240)</f>
        <v>114.63780779359473</v>
      </c>
      <c r="AQ192" s="306">
        <f>100*((SUM(Transfer!AE147,Transfer!AE240)/SUM(Transfer!AD147,Transfer!AD240))-1)</f>
        <v>5.2441967745490148</v>
      </c>
      <c r="AR192" s="306">
        <f>SUM(Transfer!AF147,Transfer!AF240)</f>
        <v>121.36960177127943</v>
      </c>
      <c r="AS192" s="306">
        <f>100*((SUM(Transfer!AF147,Transfer!AF240)/SUM(Transfer!AE147,Transfer!AE240))-1)</f>
        <v>5.8722284621887555</v>
      </c>
      <c r="AT192" s="306">
        <f>SUM(Transfer!AG147,Transfer!AG240)</f>
        <v>129.3097577459873</v>
      </c>
      <c r="AU192" s="307">
        <f>100*((SUM(Transfer!AG147,Transfer!AG240)/SUM(Transfer!AF147,Transfer!AF240))-1)</f>
        <v>6.5421290494724227</v>
      </c>
      <c r="AV192" s="85"/>
      <c r="AW192" s="157"/>
      <c r="AX192" s="54"/>
      <c r="AY192" s="54"/>
      <c r="AZ192" s="54"/>
      <c r="BA192" s="1707" t="s">
        <v>1406</v>
      </c>
      <c r="BB192" s="54"/>
      <c r="BC192" s="54"/>
    </row>
    <row r="193" spans="1:55" ht="13.5" thickBot="1">
      <c r="A193" s="45"/>
      <c r="B193" s="1992"/>
      <c r="C193" s="2349"/>
      <c r="D193" s="2349"/>
      <c r="E193" s="2578"/>
      <c r="F193" s="2377"/>
      <c r="G193" s="2377"/>
      <c r="H193" s="2377"/>
      <c r="I193" s="2377"/>
      <c r="J193" s="2377"/>
      <c r="K193" s="2377"/>
      <c r="L193" s="2377"/>
      <c r="M193" s="2579"/>
      <c r="N193" s="2368"/>
      <c r="O193" s="150"/>
      <c r="P193" s="54"/>
      <c r="Q193" s="54"/>
      <c r="R193" s="54"/>
      <c r="S193" s="259"/>
      <c r="T193" s="63"/>
      <c r="U193" s="63"/>
      <c r="V193" s="308"/>
      <c r="W193" s="2013"/>
      <c r="X193" s="2013"/>
      <c r="Y193" s="2013"/>
      <c r="Z193" s="2013"/>
      <c r="AA193" s="2013"/>
      <c r="AB193" s="2013"/>
      <c r="AC193" s="2013"/>
      <c r="AD193" s="2014"/>
      <c r="AE193" s="82"/>
      <c r="AF193" s="45"/>
      <c r="AG193" s="45"/>
      <c r="AH193" s="45"/>
      <c r="AI193" s="45"/>
      <c r="AJ193" s="259"/>
      <c r="AK193" s="63"/>
      <c r="AL193" s="63"/>
      <c r="AM193" s="308"/>
      <c r="AN193" s="92"/>
      <c r="AO193" s="92"/>
      <c r="AP193" s="92"/>
      <c r="AQ193" s="92"/>
      <c r="AR193" s="92"/>
      <c r="AS193" s="92"/>
      <c r="AT193" s="92"/>
      <c r="AU193" s="136"/>
      <c r="AV193" s="82"/>
      <c r="AW193" s="150"/>
      <c r="AX193" s="54"/>
      <c r="AY193" s="54"/>
      <c r="AZ193" s="54"/>
      <c r="BA193" s="83"/>
      <c r="BB193" s="54"/>
      <c r="BC193" s="54"/>
    </row>
    <row r="194" spans="1:55">
      <c r="A194" s="45"/>
      <c r="B194" s="1992"/>
      <c r="C194" s="2580" t="s">
        <v>110</v>
      </c>
      <c r="D194" s="2581"/>
      <c r="E194" s="2582" t="s">
        <v>1407</v>
      </c>
      <c r="F194" s="2583">
        <f ca="1">Transfer!D161</f>
        <v>16.92906</v>
      </c>
      <c r="G194" s="2583">
        <f ca="1">100*((Transfer!D161/Transfer!C161)-1)</f>
        <v>8.2608995937912368</v>
      </c>
      <c r="H194" s="2583">
        <f ca="1">Transfer!E161</f>
        <v>18.449630000000003</v>
      </c>
      <c r="I194" s="2583">
        <f ca="1">100*((Transfer!E161/Transfer!D161)-1)</f>
        <v>8.9820108145402209</v>
      </c>
      <c r="J194" s="2583">
        <f ca="1">Transfer!F161</f>
        <v>19.549555182988733</v>
      </c>
      <c r="K194" s="2583">
        <f ca="1">100*((Transfer!F161/Transfer!E161)-1)</f>
        <v>5.961773666944703</v>
      </c>
      <c r="L194" s="2584">
        <f ca="1">Transfer!G161</f>
        <v>20.686003495864497</v>
      </c>
      <c r="M194" s="2585">
        <f ca="1">100*((Transfer!G161/Transfer!F161)-1)</f>
        <v>5.8131671142300778</v>
      </c>
      <c r="N194" s="2368"/>
      <c r="O194" s="150"/>
      <c r="P194" s="54"/>
      <c r="Q194" s="54"/>
      <c r="R194" s="54"/>
      <c r="S194" s="259"/>
      <c r="T194" s="309" t="s">
        <v>110</v>
      </c>
      <c r="U194" s="310"/>
      <c r="V194" s="311" t="s">
        <v>1407</v>
      </c>
      <c r="W194" s="91">
        <f t="shared" ca="1" si="12"/>
        <v>-27.700000000000003</v>
      </c>
      <c r="X194" s="91">
        <f t="shared" ca="1" si="12"/>
        <v>3.2000000000000011</v>
      </c>
      <c r="Y194" s="91">
        <f t="shared" ca="1" si="12"/>
        <v>-28.9</v>
      </c>
      <c r="Z194" s="91">
        <f t="shared" ca="1" si="12"/>
        <v>2.8</v>
      </c>
      <c r="AA194" s="91">
        <f t="shared" ca="1" si="12"/>
        <v>-30.5</v>
      </c>
      <c r="AB194" s="91">
        <f t="shared" ca="1" si="12"/>
        <v>0.40000000000000036</v>
      </c>
      <c r="AC194" s="91">
        <f t="shared" ca="1" si="12"/>
        <v>-32.299999999999997</v>
      </c>
      <c r="AD194" s="93">
        <f t="shared" ca="1" si="12"/>
        <v>-0.20000000000000018</v>
      </c>
      <c r="AE194" s="82"/>
      <c r="AF194" s="45"/>
      <c r="AG194" s="45"/>
      <c r="AH194" s="45"/>
      <c r="AI194" s="45"/>
      <c r="AJ194" s="259"/>
      <c r="AK194" s="309" t="s">
        <v>110</v>
      </c>
      <c r="AL194" s="310"/>
      <c r="AM194" s="311" t="s">
        <v>1407</v>
      </c>
      <c r="AN194" s="312">
        <f>Transfer!AD161</f>
        <v>44.567869999999999</v>
      </c>
      <c r="AO194" s="312">
        <f>100*((Transfer!AD161/Transfer!AC161)-1)</f>
        <v>5.0585381055180401</v>
      </c>
      <c r="AP194" s="312">
        <f>Transfer!AE161</f>
        <v>47.343227412261797</v>
      </c>
      <c r="AQ194" s="312">
        <f>100*((Transfer!AE161/Transfer!AD161)-1)</f>
        <v>6.2272606078365378</v>
      </c>
      <c r="AR194" s="312">
        <f>Transfer!AF161</f>
        <v>49.983635120116261</v>
      </c>
      <c r="AS194" s="312">
        <f>100*((Transfer!AF161/Transfer!AE161)-1)</f>
        <v>5.5771603504382261</v>
      </c>
      <c r="AT194" s="313">
        <f>Transfer!AG161</f>
        <v>52.994953639946218</v>
      </c>
      <c r="AU194" s="314">
        <f>100*((Transfer!AG161/Transfer!AF161)-1)</f>
        <v>6.0246088796731545</v>
      </c>
      <c r="AV194" s="82"/>
      <c r="AW194" s="150"/>
      <c r="AX194" s="54"/>
      <c r="AY194" s="54"/>
      <c r="AZ194" s="54"/>
      <c r="BA194" s="1707" t="s">
        <v>4</v>
      </c>
      <c r="BB194" s="54"/>
      <c r="BC194" s="54"/>
    </row>
    <row r="195" spans="1:55">
      <c r="A195" s="45"/>
      <c r="B195" s="1992"/>
      <c r="C195" s="2586" t="s">
        <v>111</v>
      </c>
      <c r="D195" s="2349"/>
      <c r="E195" s="2422" t="s">
        <v>1408</v>
      </c>
      <c r="F195" s="2376">
        <f ca="1">(SUM(Transfer!D147,Transfer!D223,Transfer!D233)-SUM(Transfer!D161,Transfer!D213,Transfer!D231))</f>
        <v>17.723930000000003</v>
      </c>
      <c r="G195" s="2376">
        <f ca="1">100*((((SUM(Transfer!D147,Transfer!D223,Transfer!D233)-SUM(Transfer!D161,Transfer!D213,Transfer!D231)))/((SUM(Transfer!C147,Transfer!C223,Transfer!C233)-SUM(Transfer!C161,Transfer!C213,Transfer!C231))))-1)</f>
        <v>-1.0459336495960536</v>
      </c>
      <c r="H195" s="2376">
        <f ca="1">(SUM(Transfer!E147,Transfer!E223,Transfer!E233)-SUM(Transfer!E161,Transfer!E213,Transfer!E231))</f>
        <v>18.92298919239812</v>
      </c>
      <c r="I195" s="2376">
        <f ca="1">100*((((SUM(Transfer!E147,Transfer!E223,Transfer!E233)-SUM(Transfer!E161,Transfer!E213,Transfer!E231)))/((SUM(Transfer!D147,Transfer!D223,Transfer!D233)-SUM(Transfer!D161,Transfer!D213,Transfer!D231))))-1)</f>
        <v>6.7651993231643059</v>
      </c>
      <c r="J195" s="2376">
        <f ca="1">(SUM(Transfer!F147,Transfer!F223,Transfer!F233)-SUM(Transfer!F161,Transfer!F213,Transfer!F231))</f>
        <v>19.951920099949334</v>
      </c>
      <c r="K195" s="2376">
        <f ca="1">100*((((SUM(Transfer!F147,Transfer!F223,Transfer!F233)-SUM(Transfer!F161,Transfer!F213,Transfer!F231)))/((SUM(Transfer!E147,Transfer!E223,Transfer!E233)-SUM(Transfer!E161,Transfer!E213,Transfer!E231))))-1)</f>
        <v>5.4374649643860851</v>
      </c>
      <c r="L195" s="2376">
        <f ca="1">(SUM(Transfer!G147,Transfer!G223,Transfer!G233)-SUM(Transfer!G161,Transfer!G213,Transfer!G231))</f>
        <v>21.000859178637722</v>
      </c>
      <c r="M195" s="2378">
        <f ca="1">100*((((SUM(Transfer!G147,Transfer!G223,Transfer!G233)-SUM(Transfer!G161,Transfer!G213,Transfer!G231)))/((SUM(Transfer!F147,Transfer!F223,Transfer!F233)-SUM(Transfer!F161,Transfer!F213,Transfer!F231))))-1)</f>
        <v>5.2573339981000222</v>
      </c>
      <c r="N195" s="2368"/>
      <c r="O195" s="150"/>
      <c r="P195" s="54"/>
      <c r="Q195" s="54"/>
      <c r="R195" s="54"/>
      <c r="S195" s="259"/>
      <c r="T195" s="315" t="s">
        <v>111</v>
      </c>
      <c r="U195" s="130"/>
      <c r="V195" s="181" t="s">
        <v>1408</v>
      </c>
      <c r="W195" s="91">
        <f t="shared" ca="1" si="12"/>
        <v>-40.099999999999994</v>
      </c>
      <c r="X195" s="91">
        <f t="shared" ca="1" si="12"/>
        <v>-9.4</v>
      </c>
      <c r="Y195" s="91">
        <f t="shared" ca="1" si="12"/>
        <v>-42.300000000000004</v>
      </c>
      <c r="Z195" s="91">
        <f t="shared" ca="1" si="12"/>
        <v>0.89999999999999947</v>
      </c>
      <c r="AA195" s="91">
        <f t="shared" ca="1" si="12"/>
        <v>-45.5</v>
      </c>
      <c r="AB195" s="91">
        <f t="shared" ca="1" si="12"/>
        <v>-1.5</v>
      </c>
      <c r="AC195" s="91">
        <f t="shared" ca="1" si="12"/>
        <v>-49.400000000000006</v>
      </c>
      <c r="AD195" s="93">
        <f t="shared" ca="1" si="12"/>
        <v>-2.2000000000000002</v>
      </c>
      <c r="AE195" s="82"/>
      <c r="AF195" s="45"/>
      <c r="AG195" s="45"/>
      <c r="AH195" s="45"/>
      <c r="AI195" s="45"/>
      <c r="AJ195" s="259"/>
      <c r="AK195" s="315" t="s">
        <v>111</v>
      </c>
      <c r="AL195" s="130"/>
      <c r="AM195" s="181" t="s">
        <v>1408</v>
      </c>
      <c r="AN195" s="91">
        <f>(SUM(Transfer!AD147,Transfer!AD223,Transfer!AD233)-SUM(Transfer!AD161,Transfer!AD213,Transfer!AD231))</f>
        <v>57.820630000000008</v>
      </c>
      <c r="AO195" s="91">
        <f>100*((((SUM(Transfer!AD147,Transfer!AD223,Transfer!AD233)-SUM(Transfer!AD161,Transfer!AD213,Transfer!AD231)))/((SUM(Transfer!AC147,Transfer!AC223,Transfer!AC233)-SUM(Transfer!AC161,Transfer!AC213,Transfer!AC231))))-1)</f>
        <v>8.3635476673983078</v>
      </c>
      <c r="AP195" s="91">
        <f>(SUM(Transfer!AE147,Transfer!AE223,Transfer!AE233)-SUM(Transfer!AE161,Transfer!AE213,Transfer!AE231))</f>
        <v>61.241066627207353</v>
      </c>
      <c r="AQ195" s="91">
        <f>100*((((SUM(Transfer!AE147,Transfer!AE223,Transfer!AE233)-SUM(Transfer!AE161,Transfer!AE213,Transfer!AE231)))/((SUM(Transfer!AD147,Transfer!AD223,Transfer!AD233)-SUM(Transfer!AD161,Transfer!AD213,Transfer!AD231))))-1)</f>
        <v>5.9155990296324124</v>
      </c>
      <c r="AR195" s="91">
        <f>(SUM(Transfer!AF147,Transfer!AF223,Transfer!AF233)-SUM(Transfer!AF161,Transfer!AF213,Transfer!AF231))</f>
        <v>65.49693402862502</v>
      </c>
      <c r="AS195" s="91">
        <f>100*((((SUM(Transfer!AF147,Transfer!AF223,Transfer!AF233)-SUM(Transfer!AF161,Transfer!AF213,Transfer!AF231)))/((SUM(Transfer!AE147,Transfer!AE223,Transfer!AE233)-SUM(Transfer!AE161,Transfer!AE213,Transfer!AE231))))-1)</f>
        <v>6.9493685133284799</v>
      </c>
      <c r="AT195" s="91">
        <f>(SUM(Transfer!AG147,Transfer!AG223,Transfer!AG233)-SUM(Transfer!AG161,Transfer!AG213,Transfer!AG231))</f>
        <v>70.438365833839143</v>
      </c>
      <c r="AU195" s="93">
        <f>100*((((SUM(Transfer!AG147,Transfer!AG223,Transfer!AG233)-SUM(Transfer!AG161,Transfer!AG213,Transfer!AG231)))/((SUM(Transfer!AF147,Transfer!AF223,Transfer!AF233)-SUM(Transfer!AF161,Transfer!AF213,Transfer!AF231))))-1)</f>
        <v>7.5445238445123186</v>
      </c>
      <c r="AV195" s="82"/>
      <c r="AW195" s="150"/>
      <c r="AX195" s="54"/>
      <c r="AY195" s="54"/>
      <c r="AZ195" s="54"/>
      <c r="BA195" s="1707" t="s">
        <v>513</v>
      </c>
      <c r="BB195" s="54"/>
      <c r="BC195" s="54"/>
    </row>
    <row r="196" spans="1:55">
      <c r="A196" s="45"/>
      <c r="B196" s="1992"/>
      <c r="C196" s="2555" t="s">
        <v>2001</v>
      </c>
      <c r="D196" s="2480"/>
      <c r="E196" s="2559" t="s">
        <v>514</v>
      </c>
      <c r="F196" s="2560">
        <f ca="1">SUM(Transfer!D147,Transfer!D151)-Transfer!D150</f>
        <v>34.789370000000005</v>
      </c>
      <c r="G196" s="2560">
        <f ca="1">100*(((SUM(Transfer!D147,Transfer!D151)-Transfer!D150))/(SUM(Transfer!C147,Transfer!C151)-Transfer!C150)-1)</f>
        <v>3.204530520644977</v>
      </c>
      <c r="H196" s="2560">
        <f ca="1">SUM(Transfer!E147,Transfer!E151)-Transfer!E150</f>
        <v>37.512294892398124</v>
      </c>
      <c r="I196" s="2560">
        <f ca="1">100*(((SUM(Transfer!E147,Transfer!E151)-Transfer!E150))/(SUM(Transfer!D147,Transfer!D151)-Transfer!D150)-1)</f>
        <v>7.8268876165280332</v>
      </c>
      <c r="J196" s="2560">
        <f ca="1">SUM(Transfer!F147,Transfer!F151)-Transfer!F150</f>
        <v>39.653234851938059</v>
      </c>
      <c r="K196" s="2560">
        <f ca="1">100*(((SUM(Transfer!F147,Transfer!F151)-Transfer!F150))/(SUM(Transfer!E147,Transfer!E151)-Transfer!E150)-1)</f>
        <v>5.7073020077313297</v>
      </c>
      <c r="L196" s="2560">
        <f ca="1">SUM(Transfer!G147,Transfer!G151)-Transfer!G150</f>
        <v>41.851347096832214</v>
      </c>
      <c r="M196" s="2587">
        <f ca="1">100*(((SUM(Transfer!G147,Transfer!G151)-Transfer!G150))/(SUM(Transfer!F147,Transfer!F151)-Transfer!F150)-1)</f>
        <v>5.543336509875485</v>
      </c>
      <c r="N196" s="2372"/>
      <c r="O196" s="157"/>
      <c r="P196" s="54"/>
      <c r="Q196" s="54"/>
      <c r="R196" s="54"/>
      <c r="S196" s="259"/>
      <c r="T196" s="316" t="s">
        <v>2001</v>
      </c>
      <c r="U196" s="222"/>
      <c r="V196" s="289" t="s">
        <v>514</v>
      </c>
      <c r="W196" s="91">
        <f t="shared" ca="1" si="12"/>
        <v>-67.900000000000006</v>
      </c>
      <c r="X196" s="91">
        <f t="shared" ca="1" si="12"/>
        <v>-3.7</v>
      </c>
      <c r="Y196" s="91">
        <f t="shared" ca="1" si="12"/>
        <v>-71.400000000000006</v>
      </c>
      <c r="Z196" s="91">
        <f t="shared" ca="1" si="12"/>
        <v>1.7000000000000002</v>
      </c>
      <c r="AA196" s="91">
        <f t="shared" ca="1" si="12"/>
        <v>-76.2</v>
      </c>
      <c r="AB196" s="91">
        <f t="shared" ca="1" si="12"/>
        <v>-0.70000000000000018</v>
      </c>
      <c r="AC196" s="91">
        <f t="shared" ca="1" si="12"/>
        <v>-82</v>
      </c>
      <c r="AD196" s="93">
        <f t="shared" ca="1" si="12"/>
        <v>-1.4000000000000004</v>
      </c>
      <c r="AE196" s="85"/>
      <c r="AF196" s="45"/>
      <c r="AG196" s="45"/>
      <c r="AH196" s="45"/>
      <c r="AI196" s="45"/>
      <c r="AJ196" s="259"/>
      <c r="AK196" s="316" t="s">
        <v>2001</v>
      </c>
      <c r="AL196" s="222"/>
      <c r="AM196" s="289" t="s">
        <v>514</v>
      </c>
      <c r="AN196" s="290">
        <f>SUM(Transfer!AD147,Transfer!AD151)-Transfer!AD150</f>
        <v>102.67786000000001</v>
      </c>
      <c r="AO196" s="290">
        <f>100*(((SUM(Transfer!AD147,Transfer!AD151)-Transfer!AD150))/(SUM(Transfer!AC147,Transfer!AC151)-Transfer!AC150)-1)</f>
        <v>6.8824777265410919</v>
      </c>
      <c r="AP196" s="290">
        <f>SUM(Transfer!AE147,Transfer!AE151)-Transfer!AE150</f>
        <v>108.93840853946915</v>
      </c>
      <c r="AQ196" s="290">
        <f>100*(((SUM(Transfer!AE147,Transfer!AE151)-Transfer!AE150))/(SUM(Transfer!AD147,Transfer!AD151)-Transfer!AD150)-1)</f>
        <v>6.0972721280606601</v>
      </c>
      <c r="AR196" s="290">
        <f>SUM(Transfer!AF147,Transfer!AF151)-Transfer!AF150</f>
        <v>115.86928976574129</v>
      </c>
      <c r="AS196" s="290">
        <f>100*(((SUM(Transfer!AF147,Transfer!AF151)-Transfer!AF150))/(SUM(Transfer!AE147,Transfer!AE151)-Transfer!AE150)-1)</f>
        <v>6.3622016506336587</v>
      </c>
      <c r="AT196" s="290">
        <f>SUM(Transfer!AG147,Transfer!AG151)-Transfer!AG150</f>
        <v>123.85880512209536</v>
      </c>
      <c r="AU196" s="317">
        <f>100*(((SUM(Transfer!AG147,Transfer!AG151)-Transfer!AG150))/(SUM(Transfer!AF147,Transfer!AF151)-Transfer!AF150)-1)</f>
        <v>6.895282928295221</v>
      </c>
      <c r="AV196" s="85"/>
      <c r="AW196" s="157"/>
      <c r="AX196" s="54"/>
      <c r="AY196" s="54"/>
      <c r="AZ196" s="54"/>
      <c r="BA196" s="1995" t="s">
        <v>75</v>
      </c>
      <c r="BB196" s="54"/>
      <c r="BC196" s="54"/>
    </row>
    <row r="197" spans="1:55">
      <c r="A197" s="45"/>
      <c r="B197" s="1992"/>
      <c r="C197" s="2558" t="s">
        <v>2077</v>
      </c>
      <c r="D197" s="2588"/>
      <c r="E197" s="2589"/>
      <c r="F197" s="2376">
        <f ca="1">(Transfer!D159*Transfer!D161)/Transfer!D163</f>
        <v>19.311158771976874</v>
      </c>
      <c r="G197" s="2376">
        <f ca="1">100*((((Transfer!D159*Transfer!D161)/Transfer!D163)/((Transfer!C159*Transfer!C161)/Transfer!C163))-1)</f>
        <v>8.3454293529386057</v>
      </c>
      <c r="H197" s="2376">
        <f ca="1">(Transfer!E159*Transfer!E161)/Transfer!E163</f>
        <v>20.964024905009651</v>
      </c>
      <c r="I197" s="2376">
        <f ca="1">100*((((Transfer!E159*Transfer!E161)/Transfer!E163)/((Transfer!D159*Transfer!D161)/Transfer!D163))-1)</f>
        <v>8.5591245587567357</v>
      </c>
      <c r="J197" s="2376">
        <f ca="1">(Transfer!F159*Transfer!F161)/Transfer!F163</f>
        <v>22.215171444849243</v>
      </c>
      <c r="K197" s="2376">
        <f ca="1">100*((((Transfer!F159*Transfer!F161)/Transfer!F163)/((Transfer!E159*Transfer!E161)/Transfer!E163))-1)</f>
        <v>5.9680645558697787</v>
      </c>
      <c r="L197" s="2376">
        <f ca="1">(Transfer!G159*Transfer!G161)/Transfer!G163</f>
        <v>23.484196706845978</v>
      </c>
      <c r="M197" s="2378">
        <f ca="1">100*((((Transfer!G159*Transfer!G161)/Transfer!G163)/((Transfer!F159*Transfer!F161)/Transfer!F163))-1)</f>
        <v>5.712426146010996</v>
      </c>
      <c r="N197" s="2390"/>
      <c r="O197" s="150"/>
      <c r="P197" s="54"/>
      <c r="Q197" s="54"/>
      <c r="R197" s="54"/>
      <c r="S197" s="259"/>
      <c r="T197" s="318" t="s">
        <v>2077</v>
      </c>
      <c r="U197" s="319"/>
      <c r="V197" s="169"/>
      <c r="W197" s="96">
        <f t="shared" ca="1" si="12"/>
        <v>-30.8</v>
      </c>
      <c r="X197" s="96">
        <f t="shared" ca="1" si="12"/>
        <v>2.7000000000000011</v>
      </c>
      <c r="Y197" s="96">
        <f t="shared" ca="1" si="12"/>
        <v>-32.1</v>
      </c>
      <c r="Z197" s="96">
        <f t="shared" ca="1" si="12"/>
        <v>2.6999999999999993</v>
      </c>
      <c r="AA197" s="96">
        <f t="shared" ca="1" si="12"/>
        <v>-33.700000000000003</v>
      </c>
      <c r="AB197" s="96">
        <f t="shared" ca="1" si="12"/>
        <v>0.70000000000000018</v>
      </c>
      <c r="AC197" s="96">
        <f t="shared" ca="1" si="12"/>
        <v>-35.6</v>
      </c>
      <c r="AD197" s="98">
        <f t="shared" ca="1" si="12"/>
        <v>0</v>
      </c>
      <c r="AE197" s="103"/>
      <c r="AF197" s="45"/>
      <c r="AG197" s="45"/>
      <c r="AH197" s="45"/>
      <c r="AI197" s="45"/>
      <c r="AJ197" s="259"/>
      <c r="AK197" s="318" t="s">
        <v>2077</v>
      </c>
      <c r="AL197" s="319"/>
      <c r="AM197" s="169"/>
      <c r="AN197" s="91">
        <f>(Transfer!AD159*Transfer!AD161)/Transfer!AD163</f>
        <v>50.108540618027568</v>
      </c>
      <c r="AO197" s="91">
        <f>100*((((Transfer!AD159*Transfer!AD161)/Transfer!AD163)/((Transfer!AC159*Transfer!AC161)/Transfer!AC163))-1)</f>
        <v>5.6087565970546427</v>
      </c>
      <c r="AP197" s="91">
        <f>(Transfer!AE159*Transfer!AE161)/Transfer!AE163</f>
        <v>53.066389964294849</v>
      </c>
      <c r="AQ197" s="91">
        <f>100*((((Transfer!AE159*Transfer!AE161)/Transfer!AE163)/((Transfer!AD159*Transfer!AD161)/Transfer!AD163))-1)</f>
        <v>5.9028846376003585</v>
      </c>
      <c r="AR197" s="91">
        <f>(Transfer!AF159*Transfer!AF161)/Transfer!AF163</f>
        <v>55.863213875219259</v>
      </c>
      <c r="AS197" s="91">
        <f>100*((((Transfer!AF159*Transfer!AF161)/Transfer!AF163)/((Transfer!AE159*Transfer!AE161)/Transfer!AE163))-1)</f>
        <v>5.270424298329357</v>
      </c>
      <c r="AT197" s="91">
        <f>(Transfer!AG159*Transfer!AG161)/Transfer!AG163</f>
        <v>59.074739013152886</v>
      </c>
      <c r="AU197" s="93">
        <f>100*((((Transfer!AG159*Transfer!AG161)/Transfer!AG163)/((Transfer!AF159*Transfer!AF161)/Transfer!AF163))-1)</f>
        <v>5.7489086558950131</v>
      </c>
      <c r="AV197" s="103"/>
      <c r="AW197" s="150"/>
      <c r="AX197" s="54"/>
      <c r="AY197" s="54"/>
      <c r="AZ197" s="54"/>
      <c r="BA197" s="1707" t="s">
        <v>515</v>
      </c>
      <c r="BB197" s="54"/>
      <c r="BC197" s="54"/>
    </row>
    <row r="198" spans="1:55">
      <c r="A198" s="45"/>
      <c r="B198" s="1992"/>
      <c r="C198" s="2384" t="s">
        <v>798</v>
      </c>
      <c r="D198" s="2343"/>
      <c r="E198" s="2547"/>
      <c r="F198" s="2365">
        <f ca="1">(Transfer!D150-Transfer!D151)</f>
        <v>3.8789499999999997</v>
      </c>
      <c r="G198" s="2365">
        <f ca="1">100*(((Transfer!D150-Transfer!D151)/(Transfer!C150-Transfer!C151))-1)</f>
        <v>4.3440951617502055</v>
      </c>
      <c r="H198" s="2366">
        <f ca="1">(Transfer!E150-Transfer!E151)</f>
        <v>4.2672999999999996</v>
      </c>
      <c r="I198" s="2365">
        <f ca="1">100*(((Transfer!E150-Transfer!E151)/(Transfer!D150-Transfer!D151))-1)</f>
        <v>10.01172997847355</v>
      </c>
      <c r="J198" s="2365">
        <f ca="1">(Transfer!F150-Transfer!F151)</f>
        <v>4.5583235580192163</v>
      </c>
      <c r="K198" s="2365">
        <f ca="1">100*(((Transfer!F150-Transfer!F151)/(Transfer!E150-Transfer!E151))-1)</f>
        <v>6.8198523192467553</v>
      </c>
      <c r="L198" s="2366">
        <f ca="1">(Transfer!G150-Transfer!G151)</f>
        <v>4.824902797268293</v>
      </c>
      <c r="M198" s="2367">
        <f ca="1">100*(((Transfer!G150-Transfer!G151)/(Transfer!F150-Transfer!F151))-1)</f>
        <v>5.848185980130749</v>
      </c>
      <c r="N198" s="2368"/>
      <c r="O198" s="150"/>
      <c r="P198" s="54"/>
      <c r="Q198" s="54"/>
      <c r="R198" s="54"/>
      <c r="S198" s="259"/>
      <c r="T198" s="148" t="s">
        <v>798</v>
      </c>
      <c r="U198" s="57"/>
      <c r="V198" s="149"/>
      <c r="W198" s="91">
        <f t="shared" ca="1" si="12"/>
        <v>-7.1999999999999993</v>
      </c>
      <c r="X198" s="91">
        <f t="shared" ca="1" si="12"/>
        <v>2.1999999999999997</v>
      </c>
      <c r="Y198" s="91">
        <f t="shared" ca="1" si="12"/>
        <v>-6.8</v>
      </c>
      <c r="Z198" s="91">
        <f t="shared" ca="1" si="12"/>
        <v>9.6</v>
      </c>
      <c r="AA198" s="91">
        <f t="shared" ca="1" si="12"/>
        <v>-7</v>
      </c>
      <c r="AB198" s="91">
        <f t="shared" ca="1" si="12"/>
        <v>2.5999999999999996</v>
      </c>
      <c r="AC198" s="91">
        <f t="shared" ca="1" si="12"/>
        <v>-7.3999999999999995</v>
      </c>
      <c r="AD198" s="93">
        <f t="shared" ca="1" si="12"/>
        <v>-0.10000000000000053</v>
      </c>
      <c r="AE198" s="82"/>
      <c r="AF198" s="45"/>
      <c r="AG198" s="45"/>
      <c r="AH198" s="45"/>
      <c r="AI198" s="45"/>
      <c r="AJ198" s="259"/>
      <c r="AK198" s="148" t="s">
        <v>798</v>
      </c>
      <c r="AL198" s="57"/>
      <c r="AM198" s="149"/>
      <c r="AN198" s="79">
        <f>(Transfer!AD150-Transfer!AD151)</f>
        <v>11.056839999999999</v>
      </c>
      <c r="AO198" s="79">
        <f>100*(((Transfer!AD150-Transfer!AD151)/(Transfer!AC150-Transfer!AC151))-1)</f>
        <v>2.1202000871871629</v>
      </c>
      <c r="AP198" s="80">
        <f>(Transfer!AE150-Transfer!AE151)</f>
        <v>11.101353400000001</v>
      </c>
      <c r="AQ198" s="79">
        <f>100*(((Transfer!AE150-Transfer!AE151)/(Transfer!AD150-Transfer!AD151))-1)</f>
        <v>0.40258699592290448</v>
      </c>
      <c r="AR198" s="79">
        <f>(Transfer!AF150-Transfer!AF151)</f>
        <v>11.562112914000002</v>
      </c>
      <c r="AS198" s="79">
        <f>100*(((Transfer!AF150-Transfer!AF151)/(Transfer!AE150-Transfer!AE151))-1)</f>
        <v>4.1504805531188849</v>
      </c>
      <c r="AT198" s="80">
        <f>(Transfer!AG150-Transfer!AG151)</f>
        <v>12.241045472620002</v>
      </c>
      <c r="AU198" s="81">
        <f>100*(((Transfer!AG150-Transfer!AG151)/(Transfer!AF150-Transfer!AF151))-1)</f>
        <v>5.8720457382656521</v>
      </c>
      <c r="AV198" s="82"/>
      <c r="AW198" s="150"/>
      <c r="AX198" s="54"/>
      <c r="AY198" s="54"/>
      <c r="AZ198" s="54"/>
      <c r="BA198" s="1707" t="s">
        <v>516</v>
      </c>
      <c r="BB198" s="54"/>
      <c r="BC198" s="54"/>
    </row>
    <row r="199" spans="1:55">
      <c r="A199" s="45"/>
      <c r="B199" s="1992"/>
      <c r="C199" s="2558" t="s">
        <v>213</v>
      </c>
      <c r="D199" s="2349"/>
      <c r="E199" s="2422" t="s">
        <v>517</v>
      </c>
      <c r="F199" s="2376">
        <f ca="1">Transfer!D150</f>
        <v>4.4171499999999995</v>
      </c>
      <c r="G199" s="2376">
        <f ca="1">100*((Transfer!D150/Transfer!C150)-1)</f>
        <v>4.8932699134903057</v>
      </c>
      <c r="H199" s="2377">
        <f ca="1">Transfer!E150</f>
        <v>4.8132999999999999</v>
      </c>
      <c r="I199" s="2376">
        <f ca="1">100*((Transfer!E150/Transfer!D150)-1)</f>
        <v>8.9684525089707368</v>
      </c>
      <c r="J199" s="2377">
        <f ca="1">Transfer!F150</f>
        <v>5.123979558019216</v>
      </c>
      <c r="K199" s="2376">
        <f ca="1">100*((Transfer!F150/Transfer!E150)-1)</f>
        <v>6.4546061541814526</v>
      </c>
      <c r="L199" s="2377">
        <f ca="1">Transfer!G150</f>
        <v>5.4109224132682927</v>
      </c>
      <c r="M199" s="2378">
        <f ca="1">100*((Transfer!G150/Transfer!F150)-1)</f>
        <v>5.600000000000005</v>
      </c>
      <c r="N199" s="2368"/>
      <c r="O199" s="150"/>
      <c r="P199" s="54"/>
      <c r="Q199" s="54"/>
      <c r="R199" s="54"/>
      <c r="S199" s="259"/>
      <c r="T199" s="287" t="s">
        <v>213</v>
      </c>
      <c r="U199" s="130"/>
      <c r="V199" s="181" t="s">
        <v>517</v>
      </c>
      <c r="W199" s="91">
        <f t="shared" ca="1" si="12"/>
        <v>-8.1</v>
      </c>
      <c r="X199" s="91">
        <f t="shared" ca="1" si="12"/>
        <v>2.4000000000000004</v>
      </c>
      <c r="Y199" s="91">
        <f t="shared" ca="1" si="12"/>
        <v>-8</v>
      </c>
      <c r="Z199" s="91">
        <f t="shared" ca="1" si="12"/>
        <v>6.6</v>
      </c>
      <c r="AA199" s="91">
        <f t="shared" ca="1" si="12"/>
        <v>-8.2000000000000011</v>
      </c>
      <c r="AB199" s="91">
        <f t="shared" ca="1" si="12"/>
        <v>2.5</v>
      </c>
      <c r="AC199" s="91">
        <f t="shared" ca="1" si="12"/>
        <v>-8.6</v>
      </c>
      <c r="AD199" s="93">
        <f t="shared" ca="1" si="12"/>
        <v>9.9999999999999645E-2</v>
      </c>
      <c r="AE199" s="82"/>
      <c r="AF199" s="45"/>
      <c r="AG199" s="45"/>
      <c r="AH199" s="45"/>
      <c r="AI199" s="45"/>
      <c r="AJ199" s="259"/>
      <c r="AK199" s="287" t="s">
        <v>213</v>
      </c>
      <c r="AL199" s="130"/>
      <c r="AM199" s="181" t="s">
        <v>517</v>
      </c>
      <c r="AN199" s="91">
        <f>Transfer!AD150</f>
        <v>12.47255</v>
      </c>
      <c r="AO199" s="91">
        <f>100*((Transfer!AD150/Transfer!AC150)-1)</f>
        <v>2.5440861753285082</v>
      </c>
      <c r="AP199" s="92">
        <f>Transfer!AE150</f>
        <v>12.771891200000001</v>
      </c>
      <c r="AQ199" s="91">
        <f>100*((Transfer!AE150/Transfer!AD150)-1)</f>
        <v>2.4000000000000021</v>
      </c>
      <c r="AR199" s="92">
        <f>Transfer!AF150</f>
        <v>13.282766848000001</v>
      </c>
      <c r="AS199" s="91">
        <f>100*((Transfer!AF150/Transfer!AE150)-1)</f>
        <v>4.0000000000000036</v>
      </c>
      <c r="AT199" s="92">
        <f>Transfer!AG150</f>
        <v>14.013319024640001</v>
      </c>
      <c r="AU199" s="93">
        <f>100*((Transfer!AG150/Transfer!AF150)-1)</f>
        <v>5.4999999999999938</v>
      </c>
      <c r="AV199" s="82"/>
      <c r="AW199" s="150"/>
      <c r="AX199" s="54"/>
      <c r="AY199" s="54"/>
      <c r="AZ199" s="54"/>
      <c r="BA199" s="1707" t="s">
        <v>518</v>
      </c>
      <c r="BB199" s="54"/>
      <c r="BC199" s="54"/>
    </row>
    <row r="200" spans="1:55">
      <c r="A200" s="45"/>
      <c r="B200" s="1992"/>
      <c r="C200" s="2558" t="s">
        <v>214</v>
      </c>
      <c r="D200" s="2349"/>
      <c r="E200" s="2422" t="s">
        <v>519</v>
      </c>
      <c r="F200" s="2453">
        <f ca="1">Transfer!D151</f>
        <v>0.53820000000000001</v>
      </c>
      <c r="G200" s="2453">
        <f ca="1">100*((Transfer!D151/Transfer!C151)-1)</f>
        <v>9.0290298401636946</v>
      </c>
      <c r="H200" s="2377">
        <f ca="1">Transfer!E151</f>
        <v>0.54600000000000004</v>
      </c>
      <c r="I200" s="2453">
        <f ca="1">100*((Transfer!E151/Transfer!D151)-1)</f>
        <v>1.449275362318847</v>
      </c>
      <c r="J200" s="2376">
        <f ca="1">Transfer!F151</f>
        <v>0.56565600000000005</v>
      </c>
      <c r="K200" s="2453">
        <f ca="1">100*((Transfer!F151/Transfer!E151)-1)</f>
        <v>3.6000000000000032</v>
      </c>
      <c r="L200" s="2377">
        <f ca="1">Transfer!G151</f>
        <v>0.58601961600000008</v>
      </c>
      <c r="M200" s="2454">
        <f ca="1">100*((Transfer!G151/Transfer!F151)-1)</f>
        <v>3.6000000000000032</v>
      </c>
      <c r="N200" s="2452"/>
      <c r="O200" s="240"/>
      <c r="P200" s="54"/>
      <c r="Q200" s="54"/>
      <c r="R200" s="54"/>
      <c r="S200" s="259"/>
      <c r="T200" s="318" t="s">
        <v>214</v>
      </c>
      <c r="U200" s="63"/>
      <c r="V200" s="152" t="s">
        <v>519</v>
      </c>
      <c r="W200" s="91">
        <f t="shared" ca="1" si="12"/>
        <v>-0.89999999999999991</v>
      </c>
      <c r="X200" s="91">
        <f t="shared" ca="1" si="12"/>
        <v>3</v>
      </c>
      <c r="Y200" s="91">
        <f t="shared" ca="1" si="12"/>
        <v>-1.2</v>
      </c>
      <c r="Z200" s="91">
        <f t="shared" ca="1" si="12"/>
        <v>-16.600000000000001</v>
      </c>
      <c r="AA200" s="91">
        <f t="shared" ca="1" si="12"/>
        <v>-1.1000000000000001</v>
      </c>
      <c r="AB200" s="91">
        <f t="shared" ca="1" si="12"/>
        <v>0.60000000000000009</v>
      </c>
      <c r="AC200" s="91">
        <f t="shared" ca="1" si="12"/>
        <v>-1.2000000000000002</v>
      </c>
      <c r="AD200" s="93">
        <f t="shared" ca="1" si="12"/>
        <v>0.60000000000000009</v>
      </c>
      <c r="AE200" s="199"/>
      <c r="AF200" s="45"/>
      <c r="AG200" s="45"/>
      <c r="AH200" s="45"/>
      <c r="AI200" s="45"/>
      <c r="AJ200" s="259"/>
      <c r="AK200" s="318" t="s">
        <v>214</v>
      </c>
      <c r="AL200" s="63"/>
      <c r="AM200" s="152" t="s">
        <v>519</v>
      </c>
      <c r="AN200" s="245">
        <f>Transfer!AD151</f>
        <v>1.41571</v>
      </c>
      <c r="AO200" s="245">
        <f>100*((Transfer!AD151/Transfer!AC151)-1)</f>
        <v>5.979802819221014</v>
      </c>
      <c r="AP200" s="92">
        <f>Transfer!AE151</f>
        <v>1.6705378</v>
      </c>
      <c r="AQ200" s="245">
        <f>100*((Transfer!AE151/Transfer!AD151)-1)</f>
        <v>17.999999999999993</v>
      </c>
      <c r="AR200" s="91">
        <f>Transfer!AF151</f>
        <v>1.720653934</v>
      </c>
      <c r="AS200" s="245">
        <f>100*((Transfer!AF151/Transfer!AE151)-1)</f>
        <v>3.0000000000000027</v>
      </c>
      <c r="AT200" s="92">
        <f>Transfer!AG151</f>
        <v>1.7722735520200001</v>
      </c>
      <c r="AU200" s="320">
        <f>100*((Transfer!AG151/Transfer!AF151)-1)</f>
        <v>3.0000000000000027</v>
      </c>
      <c r="AV200" s="199"/>
      <c r="AW200" s="240"/>
      <c r="AX200" s="54"/>
      <c r="AY200" s="54"/>
      <c r="AZ200" s="54"/>
      <c r="BA200" s="1707" t="s">
        <v>520</v>
      </c>
      <c r="BB200" s="54"/>
      <c r="BC200" s="54"/>
    </row>
    <row r="201" spans="1:55" ht="13.5" thickBot="1">
      <c r="A201" s="45"/>
      <c r="B201" s="1992"/>
      <c r="C201" s="2469" t="s">
        <v>74</v>
      </c>
      <c r="D201" s="2470"/>
      <c r="E201" s="2590" t="s">
        <v>1328</v>
      </c>
      <c r="F201" s="2591">
        <f ca="1">Transfer!D147</f>
        <v>38.668320000000001</v>
      </c>
      <c r="G201" s="2591">
        <f ca="1">100*((Transfer!D147/Transfer!C147)-1)</f>
        <v>3.3177196652328211</v>
      </c>
      <c r="H201" s="2592">
        <f ca="1">Transfer!E147</f>
        <v>41.779594892398123</v>
      </c>
      <c r="I201" s="2591">
        <f ca="1">100*((Transfer!E147/Transfer!D147)-1)</f>
        <v>8.0460565455083621</v>
      </c>
      <c r="J201" s="2592">
        <f ca="1">Transfer!F147</f>
        <v>44.211558409957277</v>
      </c>
      <c r="K201" s="2591">
        <f ca="1">100*((Transfer!F147/Transfer!E147)-1)</f>
        <v>5.8209360905068452</v>
      </c>
      <c r="L201" s="2592">
        <f ca="1">Transfer!G147</f>
        <v>46.676249894100508</v>
      </c>
      <c r="M201" s="2593">
        <f ca="1">100*((Transfer!G147/Transfer!F147)-1)</f>
        <v>5.5747672617397104</v>
      </c>
      <c r="N201" s="2372"/>
      <c r="O201" s="157"/>
      <c r="P201" s="54"/>
      <c r="Q201" s="54"/>
      <c r="R201" s="54"/>
      <c r="S201" s="259"/>
      <c r="T201" s="321" t="s">
        <v>74</v>
      </c>
      <c r="U201" s="322"/>
      <c r="V201" s="323" t="s">
        <v>1328</v>
      </c>
      <c r="W201" s="91">
        <f t="shared" ca="1" si="12"/>
        <v>-75</v>
      </c>
      <c r="X201" s="91">
        <f t="shared" ca="1" si="12"/>
        <v>-3.1000000000000005</v>
      </c>
      <c r="Y201" s="91">
        <f t="shared" ca="1" si="12"/>
        <v>-78.2</v>
      </c>
      <c r="Z201" s="91">
        <f t="shared" ca="1" si="12"/>
        <v>2.5</v>
      </c>
      <c r="AA201" s="91">
        <f t="shared" ca="1" si="12"/>
        <v>-83.2</v>
      </c>
      <c r="AB201" s="91">
        <f t="shared" ca="1" si="12"/>
        <v>-0.40000000000000036</v>
      </c>
      <c r="AC201" s="91">
        <f t="shared" ca="1" si="12"/>
        <v>-89.399999999999991</v>
      </c>
      <c r="AD201" s="112">
        <f t="shared" ca="1" si="12"/>
        <v>-1.2000000000000002</v>
      </c>
      <c r="AE201" s="85"/>
      <c r="AF201" s="45"/>
      <c r="AG201" s="45"/>
      <c r="AH201" s="45"/>
      <c r="AI201" s="45"/>
      <c r="AJ201" s="259"/>
      <c r="AK201" s="321" t="s">
        <v>74</v>
      </c>
      <c r="AL201" s="322"/>
      <c r="AM201" s="323" t="s">
        <v>1328</v>
      </c>
      <c r="AN201" s="324">
        <f>Transfer!AD147</f>
        <v>113.7347</v>
      </c>
      <c r="AO201" s="324">
        <f>100*((Transfer!AD147/Transfer!AC147)-1)</f>
        <v>6.4001045527502631</v>
      </c>
      <c r="AP201" s="325">
        <f>Transfer!AE147</f>
        <v>120.03976193946914</v>
      </c>
      <c r="AQ201" s="324">
        <f>100*((Transfer!AE147/Transfer!AD147)-1)</f>
        <v>5.5436572474971468</v>
      </c>
      <c r="AR201" s="325">
        <f>Transfer!AF147</f>
        <v>127.43140267974128</v>
      </c>
      <c r="AS201" s="324">
        <f>100*((Transfer!AF147/Transfer!AE147)-1)</f>
        <v>6.1576602792659862</v>
      </c>
      <c r="AT201" s="325">
        <f>Transfer!AG147</f>
        <v>136.09985059471535</v>
      </c>
      <c r="AU201" s="326">
        <f>100*((Transfer!AG147/Transfer!AF147)-1)</f>
        <v>6.8024425162763746</v>
      </c>
      <c r="AV201" s="85"/>
      <c r="AW201" s="157"/>
      <c r="AX201" s="54"/>
      <c r="AY201" s="54"/>
      <c r="AZ201" s="54"/>
      <c r="BA201" s="1708" t="s">
        <v>522</v>
      </c>
      <c r="BB201" s="54"/>
      <c r="BC201" s="54"/>
    </row>
    <row r="202" spans="1:55" ht="13.5" thickBot="1">
      <c r="A202" s="45"/>
      <c r="B202" s="1665"/>
      <c r="C202" s="2594" t="s">
        <v>2002</v>
      </c>
      <c r="D202" s="2595"/>
      <c r="E202" s="2595"/>
      <c r="F202" s="2595"/>
      <c r="G202" s="2595"/>
      <c r="H202" s="2595"/>
      <c r="I202" s="2595"/>
      <c r="J202" s="2595"/>
      <c r="K202" s="2595"/>
      <c r="L202" s="2595"/>
      <c r="M202" s="2596"/>
      <c r="N202" s="1664"/>
      <c r="O202" s="331"/>
      <c r="P202" s="54"/>
      <c r="Q202" s="54"/>
      <c r="R202" s="54"/>
      <c r="S202" s="60"/>
      <c r="T202" s="1681" t="s">
        <v>2002</v>
      </c>
      <c r="U202" s="1682"/>
      <c r="V202" s="1682"/>
      <c r="W202" s="1682"/>
      <c r="X202" s="1682"/>
      <c r="Y202" s="1683"/>
      <c r="Z202" s="1682"/>
      <c r="AA202" s="1682"/>
      <c r="AB202" s="1682"/>
      <c r="AC202" s="1682"/>
      <c r="AD202" s="1684"/>
      <c r="AE202" s="90"/>
      <c r="AF202" s="45"/>
      <c r="AG202" s="45"/>
      <c r="AH202" s="45"/>
      <c r="AI202" s="45"/>
      <c r="AJ202" s="60"/>
      <c r="AK202" s="1681" t="s">
        <v>2002</v>
      </c>
      <c r="AL202" s="1682"/>
      <c r="AM202" s="1682"/>
      <c r="AN202" s="1682"/>
      <c r="AO202" s="1682"/>
      <c r="AP202" s="1683"/>
      <c r="AQ202" s="1682"/>
      <c r="AR202" s="1682"/>
      <c r="AS202" s="1682"/>
      <c r="AT202" s="1682"/>
      <c r="AU202" s="1684"/>
      <c r="AV202" s="90"/>
      <c r="AW202" s="331"/>
      <c r="AX202" s="54"/>
      <c r="AY202" s="54"/>
      <c r="AZ202" s="54"/>
      <c r="BA202" s="45"/>
      <c r="BB202" s="54"/>
      <c r="BC202" s="54"/>
    </row>
    <row r="203" spans="1:55">
      <c r="A203" s="45"/>
      <c r="B203" s="2597"/>
      <c r="C203" s="2598"/>
      <c r="D203" s="2477"/>
      <c r="E203" s="2477"/>
      <c r="F203" s="2477"/>
      <c r="G203" s="2477"/>
      <c r="H203" s="2477"/>
      <c r="I203" s="2477"/>
      <c r="J203" s="2477"/>
      <c r="K203" s="2477"/>
      <c r="L203" s="2477"/>
      <c r="M203" s="2599" t="str">
        <f>UPPER(Country)</f>
        <v>LITHUANIA</v>
      </c>
      <c r="N203" s="2600"/>
      <c r="O203" s="45"/>
      <c r="P203" s="45"/>
      <c r="Q203" s="45"/>
      <c r="R203" s="45"/>
      <c r="S203" s="327"/>
      <c r="T203" s="328"/>
      <c r="U203" s="113"/>
      <c r="V203" s="113"/>
      <c r="W203" s="113"/>
      <c r="X203" s="113"/>
      <c r="Y203" s="113"/>
      <c r="Z203" s="113"/>
      <c r="AA203" s="113"/>
      <c r="AB203" s="113"/>
      <c r="AC203" s="113"/>
      <c r="AD203" s="329" t="str">
        <f>UPPER(Country)</f>
        <v>LITHUANIA</v>
      </c>
      <c r="AE203" s="330"/>
      <c r="AF203" s="45"/>
      <c r="AG203" s="45"/>
      <c r="AH203" s="45"/>
      <c r="AI203" s="45"/>
      <c r="AJ203" s="327"/>
      <c r="AK203" s="328"/>
      <c r="AL203" s="113"/>
      <c r="AM203" s="113"/>
      <c r="AN203" s="113"/>
      <c r="AO203" s="113"/>
      <c r="AP203" s="113"/>
      <c r="AQ203" s="113"/>
      <c r="AR203" s="113"/>
      <c r="AS203" s="113"/>
      <c r="AT203" s="113"/>
      <c r="AU203" s="329" t="str">
        <f>UPPER(Country)</f>
        <v>LITHUANIA</v>
      </c>
      <c r="AV203" s="330"/>
      <c r="AW203" s="45"/>
      <c r="AX203" s="45"/>
      <c r="AY203" s="45"/>
      <c r="AZ203" s="54"/>
      <c r="BA203" s="45"/>
      <c r="BB203" s="54"/>
      <c r="BC203" s="54"/>
    </row>
    <row r="204" spans="1:55">
      <c r="A204" s="45"/>
      <c r="B204" s="54"/>
      <c r="C204" s="45"/>
      <c r="D204" s="45"/>
      <c r="E204" s="45"/>
      <c r="F204" s="45"/>
      <c r="G204" s="45"/>
      <c r="H204" s="45"/>
      <c r="I204" s="45"/>
      <c r="J204" s="45"/>
      <c r="K204" s="45"/>
      <c r="L204" s="45"/>
      <c r="M204" s="45"/>
      <c r="N204" s="187"/>
      <c r="O204" s="45"/>
      <c r="P204" s="45"/>
      <c r="Q204" s="45"/>
      <c r="R204" s="45"/>
      <c r="S204" s="45"/>
      <c r="T204" s="45"/>
      <c r="U204" s="45"/>
      <c r="V204" s="45"/>
      <c r="W204" s="45"/>
      <c r="X204" s="45"/>
      <c r="Y204" s="45"/>
      <c r="Z204" s="45"/>
      <c r="AA204" s="45"/>
      <c r="AB204" s="45"/>
      <c r="AC204" s="45"/>
      <c r="AD204" s="45"/>
      <c r="AE204" s="45"/>
      <c r="AF204" s="45"/>
      <c r="AG204" s="45"/>
      <c r="AH204" s="45"/>
      <c r="AI204" s="45"/>
      <c r="AJ204" s="54"/>
      <c r="AK204" s="45"/>
      <c r="AL204" s="45"/>
      <c r="AM204" s="45"/>
      <c r="AN204" s="45"/>
      <c r="AO204" s="45"/>
      <c r="AP204" s="45"/>
      <c r="AQ204" s="45"/>
      <c r="AR204" s="45"/>
      <c r="AS204" s="45"/>
      <c r="AT204" s="45"/>
      <c r="AU204" s="45"/>
      <c r="AV204" s="187"/>
      <c r="AW204" s="45"/>
      <c r="AX204" s="45"/>
      <c r="AY204" s="45"/>
      <c r="AZ204" s="54"/>
      <c r="BA204" s="45"/>
      <c r="BB204" s="54"/>
      <c r="BC204" s="54"/>
    </row>
    <row r="205" spans="1:55">
      <c r="A205" s="45"/>
      <c r="B205" s="54"/>
      <c r="C205" s="332"/>
      <c r="D205" s="332"/>
      <c r="E205" s="45"/>
      <c r="F205" s="45"/>
      <c r="G205" s="45"/>
      <c r="H205" s="45"/>
      <c r="I205" s="45"/>
      <c r="J205" s="45"/>
      <c r="K205" s="45"/>
      <c r="L205" s="45"/>
      <c r="M205" s="45"/>
      <c r="N205" s="187"/>
      <c r="O205" s="240"/>
      <c r="P205" s="45"/>
      <c r="Q205" s="45"/>
      <c r="R205" s="45"/>
      <c r="S205" s="45"/>
      <c r="T205" s="45"/>
      <c r="U205" s="45"/>
      <c r="V205" s="45"/>
      <c r="W205" s="45"/>
      <c r="X205" s="45"/>
      <c r="Y205" s="45"/>
      <c r="Z205" s="45"/>
      <c r="AA205" s="45"/>
      <c r="AB205" s="45"/>
      <c r="AC205" s="45"/>
      <c r="AD205" s="45"/>
      <c r="AE205" s="45"/>
      <c r="AF205" s="45"/>
      <c r="AG205" s="45"/>
      <c r="AH205" s="45"/>
      <c r="AI205" s="45"/>
      <c r="AJ205" s="54"/>
      <c r="AK205" s="332"/>
      <c r="AL205" s="332"/>
      <c r="AM205" s="45"/>
      <c r="AN205" s="45"/>
      <c r="AO205" s="45"/>
      <c r="AP205" s="45"/>
      <c r="AQ205" s="45"/>
      <c r="AR205" s="45"/>
      <c r="AS205" s="45"/>
      <c r="AT205" s="45"/>
      <c r="AU205" s="45"/>
      <c r="AV205" s="187"/>
      <c r="AW205" s="240"/>
      <c r="AX205" s="45"/>
      <c r="AY205" s="45"/>
      <c r="AZ205" s="54"/>
      <c r="BA205" s="45"/>
      <c r="BB205" s="54"/>
      <c r="BC205" s="54"/>
    </row>
    <row r="206" spans="1:55">
      <c r="A206" s="45"/>
      <c r="B206" s="54"/>
      <c r="C206" s="333"/>
      <c r="D206" s="333"/>
      <c r="E206" s="45"/>
      <c r="F206" s="45"/>
      <c r="G206" s="45"/>
      <c r="H206" s="45"/>
      <c r="I206" s="45"/>
      <c r="J206" s="45"/>
      <c r="K206" s="45"/>
      <c r="L206" s="45"/>
      <c r="M206" s="45"/>
      <c r="N206" s="187"/>
      <c r="O206" s="240"/>
      <c r="P206" s="45"/>
      <c r="Q206" s="45"/>
      <c r="R206" s="45"/>
      <c r="S206" s="45"/>
      <c r="T206" s="45"/>
      <c r="U206" s="45"/>
      <c r="V206" s="45"/>
      <c r="W206" s="45"/>
      <c r="X206" s="45"/>
      <c r="Y206" s="45"/>
      <c r="Z206" s="45"/>
      <c r="AA206" s="45"/>
      <c r="AB206" s="45"/>
      <c r="AC206" s="45"/>
      <c r="AD206" s="45"/>
      <c r="AE206" s="45"/>
      <c r="AF206" s="45"/>
      <c r="AG206" s="45"/>
      <c r="AH206" s="45"/>
      <c r="AI206" s="45"/>
      <c r="AJ206" s="54"/>
      <c r="AK206" s="333"/>
      <c r="AL206" s="333"/>
      <c r="AM206" s="45"/>
      <c r="AN206" s="45"/>
      <c r="AO206" s="45"/>
      <c r="AP206" s="45"/>
      <c r="AQ206" s="45"/>
      <c r="AR206" s="45"/>
      <c r="AS206" s="45"/>
      <c r="AT206" s="45"/>
      <c r="AU206" s="45"/>
      <c r="AV206" s="187"/>
      <c r="AW206" s="240"/>
      <c r="AX206" s="45"/>
      <c r="AY206" s="45"/>
      <c r="AZ206" s="54"/>
      <c r="BA206" s="45"/>
      <c r="BB206" s="54"/>
      <c r="BC206" s="54"/>
    </row>
    <row r="207" spans="1:55">
      <c r="A207" s="45"/>
      <c r="B207" s="54"/>
      <c r="C207" s="54"/>
      <c r="D207" s="54"/>
      <c r="E207" s="45"/>
      <c r="F207" s="45"/>
      <c r="G207" s="45"/>
      <c r="H207" s="45"/>
      <c r="I207" s="45"/>
      <c r="J207" s="45"/>
      <c r="K207" s="45"/>
      <c r="L207" s="45"/>
      <c r="M207" s="45"/>
      <c r="N207" s="334"/>
      <c r="O207" s="334"/>
      <c r="P207" s="45"/>
      <c r="Q207" s="45"/>
      <c r="R207" s="45"/>
      <c r="S207" s="45"/>
      <c r="T207" s="45"/>
      <c r="U207" s="45"/>
      <c r="V207" s="45"/>
      <c r="W207" s="45"/>
      <c r="X207" s="45"/>
      <c r="Y207" s="45"/>
      <c r="Z207" s="45"/>
      <c r="AA207" s="45"/>
      <c r="AB207" s="45"/>
      <c r="AC207" s="45"/>
      <c r="AD207" s="45"/>
      <c r="AE207" s="45"/>
      <c r="AF207" s="45"/>
      <c r="AG207" s="45"/>
      <c r="AH207" s="45"/>
      <c r="AI207" s="45"/>
      <c r="AJ207" s="54"/>
      <c r="AK207" s="54"/>
      <c r="AL207" s="54"/>
      <c r="AM207" s="45"/>
      <c r="AN207" s="45"/>
      <c r="AO207" s="45"/>
      <c r="AP207" s="45"/>
      <c r="AQ207" s="45"/>
      <c r="AR207" s="45"/>
      <c r="AS207" s="45"/>
      <c r="AT207" s="45"/>
      <c r="AU207" s="45"/>
      <c r="AV207" s="334"/>
      <c r="AW207" s="334"/>
      <c r="AX207" s="45"/>
      <c r="AY207" s="45"/>
      <c r="AZ207" s="54"/>
      <c r="BA207" s="45"/>
      <c r="BB207" s="54"/>
      <c r="BC207" s="54"/>
    </row>
    <row r="208" spans="1:55">
      <c r="A208" s="45"/>
      <c r="B208" s="54"/>
      <c r="C208" s="54"/>
      <c r="D208" s="54"/>
      <c r="E208" s="54"/>
      <c r="F208" s="54"/>
      <c r="G208" s="54"/>
      <c r="H208" s="54"/>
      <c r="I208" s="54"/>
      <c r="J208" s="54"/>
      <c r="K208" s="54"/>
      <c r="L208" s="54"/>
      <c r="M208" s="54"/>
      <c r="N208" s="54"/>
      <c r="O208" s="54"/>
      <c r="P208" s="45"/>
      <c r="Q208" s="45"/>
      <c r="R208" s="45"/>
      <c r="S208" s="54"/>
      <c r="T208" s="54"/>
      <c r="U208" s="54"/>
      <c r="V208" s="54"/>
      <c r="W208" s="54"/>
      <c r="X208" s="54"/>
      <c r="Y208" s="54"/>
      <c r="Z208" s="54"/>
      <c r="AA208" s="45"/>
      <c r="AB208" s="45"/>
      <c r="AC208" s="45"/>
      <c r="AD208" s="45"/>
      <c r="AE208" s="45"/>
      <c r="AF208" s="45"/>
      <c r="AG208" s="45"/>
      <c r="AH208" s="45"/>
      <c r="AI208" s="45"/>
      <c r="AJ208" s="54"/>
      <c r="AK208" s="54"/>
      <c r="AL208" s="54"/>
      <c r="AM208" s="54"/>
      <c r="AN208" s="54"/>
      <c r="AO208" s="54"/>
      <c r="AP208" s="54"/>
      <c r="AQ208" s="54"/>
      <c r="AR208" s="54"/>
      <c r="AS208" s="54"/>
      <c r="AT208" s="54"/>
      <c r="AU208" s="54"/>
      <c r="AV208" s="54"/>
      <c r="AW208" s="54"/>
      <c r="AX208" s="45"/>
      <c r="AY208" s="45"/>
      <c r="AZ208" s="54"/>
      <c r="BA208" s="45"/>
      <c r="BB208" s="54"/>
      <c r="BC208" s="54"/>
    </row>
    <row r="209" spans="1:55">
      <c r="A209" s="45"/>
      <c r="B209" s="54"/>
      <c r="C209" s="54"/>
      <c r="D209" s="54"/>
      <c r="E209" s="54"/>
      <c r="F209" s="54"/>
      <c r="G209" s="54"/>
      <c r="H209" s="54"/>
      <c r="I209" s="54"/>
      <c r="J209" s="54"/>
      <c r="K209" s="54"/>
      <c r="L209" s="54"/>
      <c r="M209" s="54"/>
      <c r="N209" s="54"/>
      <c r="O209" s="54"/>
      <c r="P209" s="54"/>
      <c r="Q209" s="54"/>
      <c r="R209" s="54"/>
      <c r="S209" s="54"/>
      <c r="T209" s="54"/>
      <c r="U209" s="54"/>
      <c r="V209" s="54"/>
      <c r="W209" s="54"/>
      <c r="X209" s="54"/>
      <c r="Y209" s="54"/>
      <c r="Z209" s="54"/>
      <c r="AA209" s="54"/>
      <c r="AB209" s="45"/>
      <c r="AC209" s="45"/>
      <c r="AD209" s="45"/>
      <c r="AE209" s="45"/>
      <c r="AF209" s="45"/>
      <c r="AG209" s="45"/>
      <c r="AH209" s="45"/>
      <c r="AI209" s="45"/>
      <c r="AJ209" s="54"/>
      <c r="AK209" s="54"/>
      <c r="AL209" s="54"/>
      <c r="AM209" s="54"/>
      <c r="AN209" s="54"/>
      <c r="AO209" s="54"/>
      <c r="AP209" s="54"/>
      <c r="AQ209" s="54"/>
      <c r="AR209" s="54"/>
      <c r="AS209" s="54"/>
      <c r="AT209" s="54"/>
      <c r="AU209" s="54"/>
      <c r="AV209" s="54"/>
      <c r="AW209" s="54"/>
      <c r="AX209" s="54"/>
      <c r="AY209" s="54"/>
      <c r="AZ209" s="54"/>
      <c r="BA209" s="54"/>
      <c r="BB209" s="54"/>
      <c r="BC209" s="54"/>
    </row>
    <row r="210" spans="1:55">
      <c r="A210" s="45"/>
      <c r="B210" s="54"/>
      <c r="C210" s="54"/>
      <c r="D210" s="54"/>
      <c r="E210" s="54"/>
      <c r="F210" s="54"/>
      <c r="G210" s="54"/>
      <c r="H210" s="54"/>
      <c r="I210" s="54"/>
      <c r="J210" s="54"/>
      <c r="K210" s="54"/>
      <c r="L210" s="54"/>
      <c r="M210" s="54"/>
      <c r="N210" s="54"/>
      <c r="O210" s="54"/>
      <c r="P210" s="54"/>
      <c r="Q210" s="54"/>
      <c r="R210" s="54"/>
      <c r="S210" s="54"/>
      <c r="T210" s="54"/>
      <c r="U210" s="54"/>
      <c r="V210" s="54"/>
      <c r="W210" s="54"/>
      <c r="X210" s="54"/>
      <c r="Y210" s="54"/>
      <c r="Z210" s="54"/>
      <c r="AA210" s="54"/>
      <c r="AB210" s="45"/>
      <c r="AC210" s="45"/>
      <c r="AD210" s="45"/>
      <c r="AE210" s="45"/>
      <c r="AF210" s="45"/>
      <c r="AG210" s="45"/>
      <c r="AH210" s="45"/>
      <c r="AI210" s="45"/>
      <c r="AJ210" s="54"/>
      <c r="AK210" s="54"/>
      <c r="AL210" s="54"/>
      <c r="AM210" s="54"/>
      <c r="AN210" s="54"/>
      <c r="AO210" s="54"/>
      <c r="AP210" s="54"/>
      <c r="AQ210" s="54"/>
      <c r="AR210" s="54"/>
      <c r="AS210" s="54"/>
      <c r="AT210" s="54"/>
      <c r="AU210" s="54"/>
      <c r="AV210" s="54"/>
      <c r="AW210" s="54"/>
      <c r="AX210" s="54"/>
      <c r="AY210" s="54"/>
      <c r="AZ210" s="54"/>
      <c r="BA210" s="54"/>
      <c r="BB210" s="54"/>
      <c r="BC210" s="54"/>
    </row>
    <row r="211" spans="1:55">
      <c r="A211" s="45"/>
      <c r="B211" s="45"/>
      <c r="C211" s="45"/>
      <c r="D211" s="54"/>
      <c r="E211" s="54"/>
      <c r="F211" s="54"/>
      <c r="G211" s="54"/>
      <c r="H211" s="54"/>
      <c r="I211" s="54"/>
      <c r="J211" s="54"/>
      <c r="K211" s="54"/>
      <c r="L211" s="54"/>
      <c r="M211" s="54"/>
      <c r="N211" s="54"/>
      <c r="O211" s="54"/>
      <c r="P211" s="54"/>
      <c r="Q211" s="54"/>
      <c r="R211" s="54"/>
      <c r="S211" s="54"/>
      <c r="T211" s="54"/>
      <c r="U211" s="54"/>
      <c r="V211" s="54"/>
      <c r="W211" s="54"/>
      <c r="X211" s="54"/>
      <c r="Y211" s="54"/>
      <c r="Z211" s="54"/>
      <c r="AA211" s="54"/>
      <c r="AB211" s="45"/>
      <c r="AC211" s="45"/>
      <c r="AD211" s="45"/>
      <c r="AE211" s="45"/>
      <c r="AF211" s="45"/>
      <c r="AG211" s="45"/>
      <c r="AH211" s="45"/>
      <c r="AI211" s="45"/>
      <c r="AJ211" s="45"/>
      <c r="AK211" s="45"/>
      <c r="AL211" s="54"/>
      <c r="AM211" s="54"/>
      <c r="AN211" s="54"/>
      <c r="AO211" s="54"/>
      <c r="AP211" s="54"/>
      <c r="AQ211" s="54"/>
      <c r="AR211" s="54"/>
      <c r="AS211" s="54"/>
      <c r="AT211" s="54"/>
      <c r="AU211" s="54"/>
      <c r="AV211" s="54"/>
      <c r="AW211" s="54"/>
      <c r="AX211" s="54"/>
      <c r="AY211" s="54"/>
      <c r="AZ211" s="54"/>
      <c r="BA211" s="54"/>
      <c r="BB211" s="54"/>
      <c r="BC211" s="54"/>
    </row>
    <row r="212" spans="1:55">
      <c r="A212" s="45"/>
      <c r="B212" s="45"/>
      <c r="C212" s="45"/>
      <c r="D212" s="54"/>
      <c r="E212" s="54"/>
      <c r="F212" s="54"/>
      <c r="G212" s="54"/>
      <c r="H212" s="54"/>
      <c r="I212" s="54"/>
      <c r="J212" s="54"/>
      <c r="K212" s="54"/>
      <c r="L212" s="54"/>
      <c r="M212" s="54"/>
      <c r="N212" s="54"/>
      <c r="O212" s="54"/>
      <c r="P212" s="54"/>
      <c r="Q212" s="54"/>
      <c r="R212" s="54"/>
      <c r="S212" s="54"/>
      <c r="T212" s="54"/>
      <c r="U212" s="54"/>
      <c r="V212" s="54"/>
      <c r="W212" s="54"/>
      <c r="X212" s="54"/>
      <c r="Y212" s="54"/>
      <c r="Z212" s="54"/>
      <c r="AA212" s="54"/>
      <c r="AB212" s="45"/>
      <c r="AC212" s="45"/>
      <c r="AD212" s="45"/>
      <c r="AE212" s="45"/>
      <c r="AF212" s="45"/>
      <c r="AG212" s="45"/>
      <c r="AH212" s="45"/>
      <c r="AI212" s="45"/>
      <c r="AJ212" s="45"/>
      <c r="AK212" s="45"/>
      <c r="AL212" s="54"/>
      <c r="AM212" s="54"/>
      <c r="AN212" s="54"/>
      <c r="AO212" s="54"/>
      <c r="AP212" s="54"/>
      <c r="AQ212" s="54"/>
      <c r="AR212" s="54"/>
      <c r="AS212" s="54"/>
      <c r="AT212" s="54"/>
      <c r="AU212" s="54"/>
      <c r="AV212" s="54"/>
      <c r="AW212" s="54"/>
      <c r="AX212" s="54"/>
      <c r="AY212" s="54"/>
      <c r="AZ212" s="54"/>
      <c r="BA212" s="54"/>
      <c r="BB212" s="54"/>
      <c r="BC212" s="54"/>
    </row>
    <row r="213" spans="1:55">
      <c r="A213" s="45"/>
      <c r="B213" s="45"/>
      <c r="C213" s="45"/>
      <c r="D213" s="54"/>
      <c r="E213" s="54"/>
      <c r="F213" s="54"/>
      <c r="G213" s="54"/>
      <c r="H213" s="54"/>
      <c r="I213" s="54"/>
      <c r="J213" s="54"/>
      <c r="K213" s="54"/>
      <c r="L213" s="54"/>
      <c r="M213" s="54"/>
      <c r="N213" s="54"/>
      <c r="O213" s="54"/>
      <c r="P213" s="54"/>
      <c r="Q213" s="54"/>
      <c r="R213" s="54"/>
      <c r="S213" s="54"/>
      <c r="T213" s="54"/>
      <c r="U213" s="54"/>
      <c r="V213" s="54"/>
      <c r="W213" s="54"/>
      <c r="X213" s="54"/>
      <c r="Y213" s="54"/>
      <c r="Z213" s="54"/>
      <c r="AA213" s="54"/>
      <c r="AB213" s="45"/>
      <c r="AC213" s="45"/>
      <c r="AD213" s="45"/>
      <c r="AE213" s="45"/>
      <c r="AF213" s="45"/>
      <c r="AG213" s="45"/>
      <c r="AH213" s="45"/>
      <c r="AI213" s="45"/>
      <c r="AJ213" s="45"/>
      <c r="AK213" s="45"/>
      <c r="AL213" s="54"/>
      <c r="AM213" s="54"/>
      <c r="AN213" s="54"/>
      <c r="AO213" s="54"/>
      <c r="AP213" s="54"/>
      <c r="AQ213" s="54"/>
      <c r="AR213" s="54"/>
      <c r="AS213" s="54"/>
      <c r="AT213" s="54"/>
      <c r="AU213" s="54"/>
      <c r="AV213" s="54"/>
      <c r="AW213" s="54"/>
      <c r="AX213" s="54"/>
      <c r="AY213" s="54"/>
      <c r="AZ213" s="54"/>
      <c r="BA213" s="54"/>
      <c r="BB213" s="54"/>
      <c r="BC213" s="54"/>
    </row>
    <row r="214" spans="1:55">
      <c r="A214" s="45"/>
      <c r="B214" s="1991"/>
      <c r="C214" s="2601" t="s">
        <v>523</v>
      </c>
      <c r="D214" s="2601"/>
      <c r="E214" s="2343"/>
      <c r="F214" s="2343"/>
      <c r="G214" s="2343"/>
      <c r="H214" s="2343"/>
      <c r="I214" s="2495"/>
      <c r="J214" s="258"/>
      <c r="K214" s="258"/>
      <c r="L214" s="258"/>
      <c r="M214" s="258"/>
      <c r="N214" s="54"/>
      <c r="O214" s="54"/>
      <c r="P214" s="54"/>
      <c r="Q214" s="54"/>
      <c r="R214" s="54"/>
      <c r="S214" s="335"/>
      <c r="T214" s="336" t="s">
        <v>523</v>
      </c>
      <c r="U214" s="336"/>
      <c r="V214" s="100"/>
      <c r="W214" s="100"/>
      <c r="X214" s="100"/>
      <c r="Y214" s="100"/>
      <c r="Z214" s="238"/>
      <c r="AA214" s="54"/>
      <c r="AB214" s="45"/>
      <c r="AC214" s="45"/>
      <c r="AD214" s="45"/>
      <c r="AE214" s="45"/>
      <c r="AF214" s="45"/>
      <c r="AG214" s="45"/>
      <c r="AH214" s="45"/>
      <c r="AI214" s="45"/>
      <c r="AJ214" s="335"/>
      <c r="AK214" s="336" t="s">
        <v>523</v>
      </c>
      <c r="AL214" s="336"/>
      <c r="AM214" s="100"/>
      <c r="AN214" s="100"/>
      <c r="AO214" s="100"/>
      <c r="AP214" s="100"/>
      <c r="AQ214" s="238"/>
      <c r="AR214" s="258"/>
      <c r="AS214" s="258"/>
      <c r="AT214" s="258"/>
      <c r="AU214" s="258"/>
      <c r="AV214" s="54"/>
      <c r="AW214" s="54"/>
      <c r="AX214" s="54"/>
      <c r="AY214" s="54"/>
      <c r="AZ214" s="54"/>
      <c r="BA214" s="54"/>
      <c r="BB214" s="54"/>
      <c r="BC214" s="54"/>
    </row>
    <row r="215" spans="1:55">
      <c r="A215" s="45"/>
      <c r="B215" s="1673"/>
      <c r="C215" s="3751" t="s">
        <v>388</v>
      </c>
      <c r="D215" s="3751"/>
      <c r="E215" s="3751"/>
      <c r="F215" s="3751"/>
      <c r="G215" s="3751"/>
      <c r="H215" s="3751"/>
      <c r="I215" s="2530"/>
      <c r="J215" s="258"/>
      <c r="K215" s="258"/>
      <c r="L215" s="258"/>
      <c r="M215" s="258"/>
      <c r="N215" s="54"/>
      <c r="O215" s="54"/>
      <c r="P215" s="54"/>
      <c r="Q215" s="54"/>
      <c r="R215" s="54"/>
      <c r="S215" s="275"/>
      <c r="T215" s="3751" t="s">
        <v>388</v>
      </c>
      <c r="U215" s="3751"/>
      <c r="V215" s="3751"/>
      <c r="W215" s="3751"/>
      <c r="X215" s="3751"/>
      <c r="Y215" s="3751"/>
      <c r="Z215" s="260"/>
      <c r="AA215" s="54"/>
      <c r="AB215" s="45"/>
      <c r="AC215" s="45"/>
      <c r="AD215" s="45"/>
      <c r="AE215" s="45"/>
      <c r="AF215" s="45"/>
      <c r="AG215" s="45"/>
      <c r="AH215" s="45"/>
      <c r="AI215" s="45"/>
      <c r="AJ215" s="275"/>
      <c r="AK215" s="3751" t="s">
        <v>388</v>
      </c>
      <c r="AL215" s="3751"/>
      <c r="AM215" s="3751"/>
      <c r="AN215" s="3751"/>
      <c r="AO215" s="3751"/>
      <c r="AP215" s="3751"/>
      <c r="AQ215" s="260"/>
      <c r="AR215" s="258"/>
      <c r="AS215" s="258"/>
      <c r="AT215" s="258"/>
      <c r="AU215" s="258"/>
      <c r="AV215" s="54"/>
      <c r="AW215" s="54"/>
      <c r="AX215" s="54"/>
      <c r="AY215" s="54"/>
      <c r="AZ215" s="54"/>
      <c r="BA215" s="54"/>
      <c r="BB215" s="54"/>
      <c r="BC215" s="54"/>
    </row>
    <row r="216" spans="1:55" ht="15.75">
      <c r="A216" s="45"/>
      <c r="B216" s="1673"/>
      <c r="C216" s="2349" t="str">
        <f>"Country: " &amp;UPPER(Country)</f>
        <v>Country: LITHUANIA</v>
      </c>
      <c r="D216" s="2480"/>
      <c r="E216" s="2351"/>
      <c r="F216" s="2351"/>
      <c r="G216" s="2351"/>
      <c r="H216" s="2351"/>
      <c r="I216" s="2452"/>
      <c r="J216" s="258"/>
      <c r="K216" s="258"/>
      <c r="L216" s="258"/>
      <c r="M216" s="258"/>
      <c r="N216" s="54"/>
      <c r="O216" s="54"/>
      <c r="P216" s="54"/>
      <c r="Q216" s="54"/>
      <c r="R216" s="54"/>
      <c r="S216" s="275"/>
      <c r="T216" s="63" t="str">
        <f>"Country: " &amp;UPPER(Country)</f>
        <v>Country: LITHUANIA</v>
      </c>
      <c r="U216" s="222"/>
      <c r="V216" s="2006" t="s">
        <v>390</v>
      </c>
      <c r="W216" s="65"/>
      <c r="X216" s="65"/>
      <c r="Y216" s="65"/>
      <c r="Z216" s="196"/>
      <c r="AA216" s="54"/>
      <c r="AB216" s="45"/>
      <c r="AC216" s="45"/>
      <c r="AD216" s="45"/>
      <c r="AE216" s="45"/>
      <c r="AF216" s="45"/>
      <c r="AG216" s="45"/>
      <c r="AH216" s="45"/>
      <c r="AI216" s="45"/>
      <c r="AJ216" s="275"/>
      <c r="AK216" s="63" t="str">
        <f>"Country: " &amp;UPPER(Country)</f>
        <v>Country: LITHUANIA</v>
      </c>
      <c r="AL216" s="222"/>
      <c r="AM216" s="65"/>
      <c r="AN216" s="65"/>
      <c r="AO216" s="65"/>
      <c r="AP216" s="65"/>
      <c r="AQ216" s="196"/>
      <c r="AR216" s="258"/>
      <c r="AS216" s="258"/>
      <c r="AT216" s="258"/>
      <c r="AU216" s="258"/>
      <c r="AV216" s="54"/>
      <c r="AW216" s="54"/>
      <c r="AX216" s="54"/>
      <c r="AY216" s="54"/>
      <c r="AZ216" s="54"/>
      <c r="BA216" s="54"/>
      <c r="BB216" s="54"/>
      <c r="BC216" s="54"/>
    </row>
    <row r="217" spans="1:55" ht="15.75">
      <c r="A217" s="45"/>
      <c r="B217" s="1673"/>
      <c r="C217" s="2349" t="str">
        <f>"Currency unit: " &amp; Currency</f>
        <v>Currency unit: bn EUR</v>
      </c>
      <c r="D217" s="2480"/>
      <c r="E217" s="2351"/>
      <c r="F217" s="2445"/>
      <c r="G217" s="2445"/>
      <c r="H217" s="2445"/>
      <c r="I217" s="1664"/>
      <c r="J217" s="54"/>
      <c r="K217" s="54"/>
      <c r="L217" s="54"/>
      <c r="M217" s="54"/>
      <c r="N217" s="54"/>
      <c r="O217" s="54"/>
      <c r="P217" s="54"/>
      <c r="Q217" s="54"/>
      <c r="R217" s="54"/>
      <c r="S217" s="275"/>
      <c r="T217" s="63" t="str">
        <f>"Currency unit: " &amp; Currency</f>
        <v>Currency unit: bn EUR</v>
      </c>
      <c r="U217" s="222"/>
      <c r="V217" s="2006" t="str">
        <f>$T$4</f>
        <v>2nd storage</v>
      </c>
      <c r="W217" s="1"/>
      <c r="X217" s="1"/>
      <c r="Y217" s="1"/>
      <c r="Z217" s="90"/>
      <c r="AA217" s="54"/>
      <c r="AB217" s="45"/>
      <c r="AC217" s="45"/>
      <c r="AD217" s="45"/>
      <c r="AE217" s="45"/>
      <c r="AF217" s="45"/>
      <c r="AG217" s="45"/>
      <c r="AH217" s="45"/>
      <c r="AI217" s="45"/>
      <c r="AJ217" s="275"/>
      <c r="AK217" s="63" t="str">
        <f>"Currency unit: " &amp; Currency</f>
        <v>Currency unit: bn EUR</v>
      </c>
      <c r="AL217" s="222"/>
      <c r="AM217" s="65"/>
      <c r="AN217" s="1"/>
      <c r="AO217" s="1"/>
      <c r="AP217" s="1"/>
      <c r="AQ217" s="90"/>
      <c r="AR217" s="54"/>
      <c r="AS217" s="54"/>
      <c r="AT217" s="54"/>
      <c r="AU217" s="54"/>
      <c r="AV217" s="54"/>
      <c r="AW217" s="54"/>
      <c r="AX217" s="54"/>
      <c r="AY217" s="54"/>
      <c r="AZ217" s="54"/>
      <c r="BA217" s="54"/>
      <c r="BB217" s="54"/>
      <c r="BC217" s="54"/>
    </row>
    <row r="218" spans="1:55" ht="13.5" thickBot="1">
      <c r="A218" s="45"/>
      <c r="B218" s="1665"/>
      <c r="C218" s="2355" t="s">
        <v>297</v>
      </c>
      <c r="D218" s="2355"/>
      <c r="E218" s="2351"/>
      <c r="F218" s="2445"/>
      <c r="G218" s="3751">
        <f ca="1">NOW()</f>
        <v>43392.47578483796</v>
      </c>
      <c r="H218" s="3751"/>
      <c r="I218" s="2602"/>
      <c r="J218" s="54"/>
      <c r="K218" s="54"/>
      <c r="L218" s="54"/>
      <c r="M218" s="54"/>
      <c r="N218" s="54"/>
      <c r="O218" s="54"/>
      <c r="P218" s="54"/>
      <c r="Q218" s="54"/>
      <c r="R218" s="54"/>
      <c r="S218" s="190"/>
      <c r="T218" s="69" t="s">
        <v>297</v>
      </c>
      <c r="U218" s="69"/>
      <c r="V218" s="65"/>
      <c r="W218" s="1"/>
      <c r="X218" s="3751">
        <f ca="1">NOW()</f>
        <v>43392.47578483796</v>
      </c>
      <c r="Y218" s="3751"/>
      <c r="Z218" s="337"/>
      <c r="AA218" s="54"/>
      <c r="AB218" s="45"/>
      <c r="AC218" s="45"/>
      <c r="AD218" s="45"/>
      <c r="AE218" s="45"/>
      <c r="AF218" s="45"/>
      <c r="AG218" s="45"/>
      <c r="AH218" s="45"/>
      <c r="AI218" s="45"/>
      <c r="AJ218" s="190"/>
      <c r="AK218" s="69" t="s">
        <v>297</v>
      </c>
      <c r="AL218" s="69"/>
      <c r="AM218" s="65"/>
      <c r="AN218" s="1"/>
      <c r="AO218" s="3751">
        <f ca="1">NOW()</f>
        <v>43392.47578483796</v>
      </c>
      <c r="AP218" s="3751"/>
      <c r="AQ218" s="337"/>
      <c r="AR218" s="54"/>
      <c r="AS218" s="54"/>
      <c r="AT218" s="54"/>
      <c r="AU218" s="54"/>
      <c r="AV218" s="54"/>
      <c r="AW218" s="54"/>
      <c r="AX218" s="54"/>
      <c r="AY218" s="54"/>
      <c r="AZ218" s="54"/>
      <c r="BA218" s="54"/>
      <c r="BB218" s="54"/>
      <c r="BC218" s="54"/>
    </row>
    <row r="219" spans="1:55">
      <c r="A219" s="45"/>
      <c r="B219" s="1673"/>
      <c r="C219" s="2357"/>
      <c r="D219" s="2358"/>
      <c r="E219" s="2603">
        <f>E16</f>
        <v>2016</v>
      </c>
      <c r="F219" s="2603">
        <f>E219+1</f>
        <v>2017</v>
      </c>
      <c r="G219" s="2603">
        <f>F219+1</f>
        <v>2018</v>
      </c>
      <c r="H219" s="2604">
        <f>G219+1</f>
        <v>2019</v>
      </c>
      <c r="I219" s="2605"/>
      <c r="J219" s="54"/>
      <c r="K219" s="54"/>
      <c r="L219" s="54"/>
      <c r="M219" s="54"/>
      <c r="N219" s="54"/>
      <c r="O219" s="54"/>
      <c r="P219" s="54"/>
      <c r="Q219" s="54"/>
      <c r="R219" s="54"/>
      <c r="S219" s="275"/>
      <c r="T219" s="191"/>
      <c r="U219" s="73"/>
      <c r="V219" s="338">
        <f>Last_forecast_year - 3</f>
        <v>2016</v>
      </c>
      <c r="W219" s="338">
        <f>V219+1</f>
        <v>2017</v>
      </c>
      <c r="X219" s="338">
        <f>W219+1</f>
        <v>2018</v>
      </c>
      <c r="Y219" s="338">
        <f>X219+1</f>
        <v>2019</v>
      </c>
      <c r="Z219" s="339"/>
      <c r="AA219" s="54"/>
      <c r="AB219" s="45"/>
      <c r="AC219" s="45"/>
      <c r="AD219" s="45"/>
      <c r="AE219" s="45"/>
      <c r="AF219" s="45"/>
      <c r="AG219" s="45"/>
      <c r="AH219" s="45"/>
      <c r="AI219" s="45"/>
      <c r="AJ219" s="275"/>
      <c r="AK219" s="191"/>
      <c r="AL219" s="73"/>
      <c r="AM219" s="338">
        <f>AM16</f>
        <v>2016</v>
      </c>
      <c r="AN219" s="338">
        <f>AM219+1</f>
        <v>2017</v>
      </c>
      <c r="AO219" s="338">
        <f>AN219+1</f>
        <v>2018</v>
      </c>
      <c r="AP219" s="2149">
        <f>AO219+1</f>
        <v>2019</v>
      </c>
      <c r="AQ219" s="339"/>
      <c r="AR219" s="54"/>
      <c r="AS219" s="54"/>
      <c r="AT219" s="54"/>
      <c r="AU219" s="54"/>
      <c r="AV219" s="54"/>
      <c r="AW219" s="54"/>
      <c r="AX219" s="54"/>
      <c r="AY219" s="54"/>
      <c r="AZ219" s="54"/>
      <c r="BA219" s="54"/>
      <c r="BB219" s="54"/>
      <c r="BC219" s="54"/>
    </row>
    <row r="220" spans="1:55">
      <c r="A220" s="45"/>
      <c r="B220" s="1673"/>
      <c r="C220" s="2379"/>
      <c r="D220" s="2380"/>
      <c r="E220" s="3751" t="s">
        <v>524</v>
      </c>
      <c r="F220" s="3751"/>
      <c r="G220" s="3751"/>
      <c r="H220" s="3751"/>
      <c r="I220" s="2541"/>
      <c r="J220" s="54"/>
      <c r="K220" s="54"/>
      <c r="L220" s="54"/>
      <c r="M220" s="54"/>
      <c r="N220" s="54"/>
      <c r="O220" s="54"/>
      <c r="P220" s="54"/>
      <c r="Q220" s="54"/>
      <c r="R220" s="54"/>
      <c r="S220" s="275"/>
      <c r="T220" s="94"/>
      <c r="U220" s="115"/>
      <c r="V220" s="3751" t="s">
        <v>524</v>
      </c>
      <c r="W220" s="3751"/>
      <c r="X220" s="3751"/>
      <c r="Y220" s="3751"/>
      <c r="Z220" s="273"/>
      <c r="AA220" s="54"/>
      <c r="AB220" s="45"/>
      <c r="AC220" s="45"/>
      <c r="AD220" s="45"/>
      <c r="AE220" s="45"/>
      <c r="AF220" s="45"/>
      <c r="AG220" s="45"/>
      <c r="AH220" s="45"/>
      <c r="AI220" s="45"/>
      <c r="AJ220" s="275"/>
      <c r="AK220" s="94"/>
      <c r="AL220" s="115"/>
      <c r="AM220" s="3751" t="s">
        <v>524</v>
      </c>
      <c r="AN220" s="3751"/>
      <c r="AO220" s="3751"/>
      <c r="AP220" s="3751"/>
      <c r="AQ220" s="273"/>
      <c r="AR220" s="54"/>
      <c r="AS220" s="54"/>
      <c r="AT220" s="54"/>
      <c r="AU220" s="54"/>
      <c r="AV220" s="54"/>
      <c r="AW220" s="54"/>
      <c r="AX220" s="54"/>
      <c r="AY220" s="54"/>
      <c r="AZ220" s="54"/>
      <c r="BA220" s="54"/>
      <c r="BB220" s="54"/>
      <c r="BC220" s="54"/>
    </row>
    <row r="221" spans="1:55">
      <c r="A221" s="45"/>
      <c r="B221" s="1673"/>
      <c r="C221" s="2385" t="s">
        <v>525</v>
      </c>
      <c r="D221" s="2413"/>
      <c r="E221" s="2411">
        <f ca="1">100*(((1000*(Transfer!D136)/Transfer!D284)/((1000*(Transfer!C136)/Transfer!C284)))-1)</f>
        <v>0.93856240912231215</v>
      </c>
      <c r="F221" s="2606">
        <f ca="1">100*(((1000*(Transfer!E136)/Transfer!E284)/((1000*(Transfer!D136)/Transfer!D284)))-1)</f>
        <v>3.7537547597789045</v>
      </c>
      <c r="G221" s="2502">
        <f ca="1">100*(((1000*(Transfer!F136)/Transfer!F284)/((1000*(Transfer!E136)/Transfer!E284)))-1)</f>
        <v>2.6000000000000245</v>
      </c>
      <c r="H221" s="2607">
        <f ca="1">100*(((1000*(Transfer!G136)/Transfer!G284)/((1000*(Transfer!F136)/Transfer!F284)))-1)</f>
        <v>2.200000000000002</v>
      </c>
      <c r="I221" s="2452"/>
      <c r="J221" s="54"/>
      <c r="K221" s="54"/>
      <c r="L221" s="54"/>
      <c r="M221" s="54"/>
      <c r="N221" s="54"/>
      <c r="O221" s="54"/>
      <c r="P221" s="54"/>
      <c r="Q221" s="54"/>
      <c r="R221" s="54"/>
      <c r="S221" s="275"/>
      <c r="T221" s="40" t="s">
        <v>525</v>
      </c>
      <c r="U221" s="65"/>
      <c r="V221" s="79">
        <f t="shared" ref="V221:Y226" ca="1" si="13">ROUND(E221,1)-ROUND(AM221,1)</f>
        <v>-2.2000000000000002</v>
      </c>
      <c r="W221" s="79">
        <f t="shared" ca="1" si="13"/>
        <v>2.4</v>
      </c>
      <c r="X221" s="79">
        <f t="shared" ca="1" si="13"/>
        <v>0.70000000000000018</v>
      </c>
      <c r="Y221" s="81">
        <f t="shared" ca="1" si="13"/>
        <v>-0.19999999999999973</v>
      </c>
      <c r="Z221" s="196"/>
      <c r="AA221" s="54"/>
      <c r="AB221" s="45"/>
      <c r="AC221" s="45"/>
      <c r="AD221" s="45"/>
      <c r="AE221" s="45"/>
      <c r="AF221" s="45"/>
      <c r="AG221" s="45"/>
      <c r="AH221" s="45"/>
      <c r="AI221" s="45"/>
      <c r="AJ221" s="275"/>
      <c r="AK221" s="2122" t="s">
        <v>525</v>
      </c>
      <c r="AL221" s="2123"/>
      <c r="AM221" s="2120">
        <f>100*(((1000*(Transfer!AD136)/Transfer!AD284)/((1000*(Transfer!AC136)/Transfer!AC284)))-1)</f>
        <v>3.1395008897327381</v>
      </c>
      <c r="AN221" s="2198">
        <f>100*(((1000*(Transfer!AE136)/Transfer!AE284)/((1000*(Transfer!AD136)/Transfer!AD284)))-1)</f>
        <v>1.3774287214300962</v>
      </c>
      <c r="AO221" s="2145">
        <f>100*(((1000*(Transfer!AF136)/Transfer!AF284)/((1000*(Transfer!AE136)/Transfer!AE284)))-1)</f>
        <v>1.9238442789761168</v>
      </c>
      <c r="AP221" s="2199">
        <f>100*(((1000*(Transfer!AG136)/Transfer!AG284)/((1000*(Transfer!AF136)/Transfer!AF284)))-1)</f>
        <v>2.3673276278389777</v>
      </c>
      <c r="AQ221" s="196"/>
      <c r="AR221" s="54"/>
      <c r="AS221" s="54"/>
      <c r="AT221" s="54"/>
      <c r="AU221" s="54"/>
      <c r="AV221" s="54"/>
      <c r="AW221" s="54"/>
      <c r="AX221" s="54"/>
      <c r="AY221" s="54"/>
      <c r="AZ221" s="54"/>
      <c r="BA221" s="1991" t="s">
        <v>5</v>
      </c>
      <c r="BB221" s="1697"/>
      <c r="BC221" s="54"/>
    </row>
    <row r="222" spans="1:55">
      <c r="A222" s="45"/>
      <c r="B222" s="1673"/>
      <c r="C222" s="2385" t="s">
        <v>1413</v>
      </c>
      <c r="D222" s="2413"/>
      <c r="E222" s="2387">
        <f ca="1">100*(((1000*(Transfer!D137)/Transfer!D285)/((1000*(Transfer!C137)/Transfer!C285)))-1)</f>
        <v>1.9198170881425058</v>
      </c>
      <c r="F222" s="2606">
        <f ca="1">100*(((1000*(Transfer!E137)/Transfer!E285)/((1000*(Transfer!D137)/Transfer!D285)))-1)</f>
        <v>2.8934891799006213</v>
      </c>
      <c r="G222" s="2502">
        <f ca="1">100*(((1000*(Transfer!F137)/Transfer!F285)/((1000*(Transfer!E137)/Transfer!E285)))-1)</f>
        <v>3.9399999999999658</v>
      </c>
      <c r="H222" s="2607">
        <f ca="1">100*(((1000*(Transfer!G137)/Transfer!G285)/((1000*(Transfer!F137)/Transfer!F285)))-1)</f>
        <v>3.5399999999999654</v>
      </c>
      <c r="I222" s="2452"/>
      <c r="J222" s="54"/>
      <c r="K222" s="54"/>
      <c r="L222" s="54"/>
      <c r="M222" s="54"/>
      <c r="N222" s="54"/>
      <c r="O222" s="54"/>
      <c r="P222" s="54"/>
      <c r="Q222" s="54"/>
      <c r="R222" s="54"/>
      <c r="S222" s="275"/>
      <c r="T222" s="40" t="s">
        <v>1413</v>
      </c>
      <c r="U222" s="65"/>
      <c r="V222" s="91">
        <f t="shared" ca="1" si="13"/>
        <v>2.1999999999999997</v>
      </c>
      <c r="W222" s="91">
        <f t="shared" ca="1" si="13"/>
        <v>1.4</v>
      </c>
      <c r="X222" s="91">
        <f t="shared" ca="1" si="13"/>
        <v>2</v>
      </c>
      <c r="Y222" s="93">
        <f t="shared" ca="1" si="13"/>
        <v>1.6</v>
      </c>
      <c r="Z222" s="196"/>
      <c r="AA222" s="54"/>
      <c r="AB222" s="45"/>
      <c r="AC222" s="45"/>
      <c r="AD222" s="45"/>
      <c r="AE222" s="45"/>
      <c r="AF222" s="45"/>
      <c r="AG222" s="45"/>
      <c r="AH222" s="45"/>
      <c r="AI222" s="45"/>
      <c r="AJ222" s="275"/>
      <c r="AK222" s="2122" t="s">
        <v>1413</v>
      </c>
      <c r="AL222" s="2123"/>
      <c r="AM222" s="2113">
        <f>100*(((1000*(Transfer!AD137)/Transfer!AD285)/((1000*(Transfer!AC137)/Transfer!AC285)))-1)</f>
        <v>-0.29948900053164973</v>
      </c>
      <c r="AN222" s="2198">
        <f>100*(((1000*(Transfer!AE137)/Transfer!AE285)/((1000*(Transfer!AD137)/Transfer!AD285)))-1)</f>
        <v>1.5000000000000124</v>
      </c>
      <c r="AO222" s="2145">
        <f>100*(((1000*(Transfer!AF137)/Transfer!AF285)/((1000*(Transfer!AE137)/Transfer!AE285)))-1)</f>
        <v>1.9000000000000128</v>
      </c>
      <c r="AP222" s="2199">
        <f>100*(((1000*(Transfer!AG137)/Transfer!AG285)/((1000*(Transfer!AF137)/Transfer!AF285)))-1)</f>
        <v>1.8999999999999684</v>
      </c>
      <c r="AQ222" s="196"/>
      <c r="AR222" s="54"/>
      <c r="AS222" s="54"/>
      <c r="AT222" s="54"/>
      <c r="AU222" s="54"/>
      <c r="AV222" s="54"/>
      <c r="AW222" s="54"/>
      <c r="AX222" s="54"/>
      <c r="AY222" s="54"/>
      <c r="AZ222" s="54"/>
      <c r="BA222" s="1673" t="s">
        <v>6</v>
      </c>
      <c r="BB222" s="1699"/>
      <c r="BC222" s="54"/>
    </row>
    <row r="223" spans="1:55">
      <c r="A223" s="45"/>
      <c r="B223" s="1673"/>
      <c r="C223" s="2385" t="s">
        <v>1414</v>
      </c>
      <c r="D223" s="2413"/>
      <c r="E223" s="2387">
        <f ca="1">100*(((1000*(Transfer!D138)/Transfer!D286)/((1000*(Transfer!C138)/Transfer!C286)))-1)</f>
        <v>0.32194293441807353</v>
      </c>
      <c r="F223" s="2606">
        <f ca="1">100*(((1000*(Transfer!E138)/Transfer!E286)/((1000*(Transfer!D138)/Transfer!D286)))-1)</f>
        <v>0.40744073870100372</v>
      </c>
      <c r="G223" s="2502">
        <f ca="1">100*(((1000*(Transfer!F138)/Transfer!F286)/((1000*(Transfer!E138)/Transfer!E286)))-1)</f>
        <v>2.4511189351191121</v>
      </c>
      <c r="H223" s="2607">
        <f ca="1">100*(((1000*(Transfer!G138)/Transfer!G286)/((1000*(Transfer!F138)/Transfer!F286)))-1)</f>
        <v>2.4592631380430996</v>
      </c>
      <c r="I223" s="2452"/>
      <c r="J223" s="54"/>
      <c r="K223" s="54"/>
      <c r="L223" s="54"/>
      <c r="M223" s="54"/>
      <c r="N223" s="54"/>
      <c r="O223" s="54"/>
      <c r="P223" s="54"/>
      <c r="Q223" s="54"/>
      <c r="R223" s="54"/>
      <c r="S223" s="275"/>
      <c r="T223" s="40" t="s">
        <v>1414</v>
      </c>
      <c r="U223" s="65"/>
      <c r="V223" s="91">
        <f t="shared" ca="1" si="13"/>
        <v>-1.5999999999999999</v>
      </c>
      <c r="W223" s="91">
        <f t="shared" ca="1" si="13"/>
        <v>-2</v>
      </c>
      <c r="X223" s="91">
        <f t="shared" ca="1" si="13"/>
        <v>-1.1000000000000001</v>
      </c>
      <c r="Y223" s="93">
        <f t="shared" ca="1" si="13"/>
        <v>-2.0999999999999996</v>
      </c>
      <c r="Z223" s="196"/>
      <c r="AA223" s="54"/>
      <c r="AB223" s="45"/>
      <c r="AC223" s="45"/>
      <c r="AD223" s="45"/>
      <c r="AE223" s="45"/>
      <c r="AF223" s="45"/>
      <c r="AG223" s="45"/>
      <c r="AH223" s="45"/>
      <c r="AI223" s="45"/>
      <c r="AJ223" s="275"/>
      <c r="AK223" s="2122" t="s">
        <v>1414</v>
      </c>
      <c r="AL223" s="2123"/>
      <c r="AM223" s="2113">
        <f>100*(((1000*(Transfer!AD138)/Transfer!AD286)/((1000*(Transfer!AC138)/Transfer!AC286)))-1)</f>
        <v>1.9313393962120395</v>
      </c>
      <c r="AN223" s="2198">
        <f>100*(((1000*(Transfer!AE138)/Transfer!AE286)/((1000*(Transfer!AD138)/Transfer!AD286)))-1)</f>
        <v>2.3736918823240583</v>
      </c>
      <c r="AO223" s="2145">
        <f>100*(((1000*(Transfer!AF138)/Transfer!AF286)/((1000*(Transfer!AE138)/Transfer!AE286)))-1)</f>
        <v>3.5817052901486512</v>
      </c>
      <c r="AP223" s="2199">
        <f>100*(((1000*(Transfer!AG138)/Transfer!AG286)/((1000*(Transfer!AF138)/Transfer!AF286)))-1)</f>
        <v>4.5886665036875218</v>
      </c>
      <c r="AQ223" s="196"/>
      <c r="AR223" s="54"/>
      <c r="AS223" s="54"/>
      <c r="AT223" s="54"/>
      <c r="AU223" s="54"/>
      <c r="AV223" s="54"/>
      <c r="AW223" s="54"/>
      <c r="AX223" s="54"/>
      <c r="AY223" s="54"/>
      <c r="AZ223" s="54"/>
      <c r="BA223" s="1673" t="s">
        <v>7</v>
      </c>
      <c r="BB223" s="1699"/>
      <c r="BC223" s="54"/>
    </row>
    <row r="224" spans="1:55">
      <c r="A224" s="45"/>
      <c r="B224" s="1673"/>
      <c r="C224" s="2608" t="s">
        <v>637</v>
      </c>
      <c r="D224" s="2609"/>
      <c r="E224" s="2502">
        <f ca="1">100*(((1000*(Transfer!D139)/Transfer!D287)/((1000*(Transfer!C139)/Transfer!C287)))-1)</f>
        <v>-1.0859705595325786</v>
      </c>
      <c r="F224" s="2502">
        <f ca="1">100*(((1000*(Transfer!E139)/Transfer!E287)/((1000*(Transfer!D139)/Transfer!D287)))-1)</f>
        <v>3.5652789632236725</v>
      </c>
      <c r="G224" s="2502">
        <f ca="1">100*(((1000*(Transfer!F139)/Transfer!F287)/((1000*(Transfer!E139)/Transfer!E287)))-1)</f>
        <v>3.2999999999999696</v>
      </c>
      <c r="H224" s="2607">
        <f ca="1">100*(((1000*(Transfer!G139)/Transfer!G287)/((1000*(Transfer!F139)/Transfer!F287)))-1)</f>
        <v>3.300000000000014</v>
      </c>
      <c r="I224" s="2610"/>
      <c r="J224" s="54"/>
      <c r="K224" s="54"/>
      <c r="L224" s="54"/>
      <c r="M224" s="54"/>
      <c r="N224" s="54"/>
      <c r="O224" s="54"/>
      <c r="P224" s="54"/>
      <c r="Q224" s="54"/>
      <c r="R224" s="54"/>
      <c r="S224" s="275"/>
      <c r="T224" s="318" t="s">
        <v>637</v>
      </c>
      <c r="U224" s="342"/>
      <c r="V224" s="91">
        <f t="shared" ca="1" si="13"/>
        <v>-4.8000000000000007</v>
      </c>
      <c r="W224" s="91">
        <f t="shared" ca="1" si="13"/>
        <v>1.1000000000000001</v>
      </c>
      <c r="X224" s="91">
        <f t="shared" ca="1" si="13"/>
        <v>-0.10000000000000009</v>
      </c>
      <c r="Y224" s="93">
        <f t="shared" ca="1" si="13"/>
        <v>-1.1000000000000005</v>
      </c>
      <c r="Z224" s="343"/>
      <c r="AA224" s="54"/>
      <c r="AB224" s="45"/>
      <c r="AC224" s="45"/>
      <c r="AD224" s="45"/>
      <c r="AE224" s="45"/>
      <c r="AF224" s="45"/>
      <c r="AG224" s="45"/>
      <c r="AH224" s="45"/>
      <c r="AI224" s="45"/>
      <c r="AJ224" s="275"/>
      <c r="AK224" s="2150" t="s">
        <v>637</v>
      </c>
      <c r="AL224" s="2151"/>
      <c r="AM224" s="2145">
        <f>100*(((1000*(Transfer!AD139)/Transfer!AD287)/((1000*(Transfer!AC139)/Transfer!AC287)))-1)</f>
        <v>3.6738716522144665</v>
      </c>
      <c r="AN224" s="2145">
        <f>100*(((1000*(Transfer!AE139)/Transfer!AE287)/((1000*(Transfer!AD139)/Transfer!AD287)))-1)</f>
        <v>2.5000000000000133</v>
      </c>
      <c r="AO224" s="2145">
        <f>100*(((1000*(Transfer!AF139)/Transfer!AF287)/((1000*(Transfer!AE139)/Transfer!AE287)))-1)</f>
        <v>3.4109491158587524</v>
      </c>
      <c r="AP224" s="2199">
        <f>100*(((1000*(Transfer!AG139)/Transfer!AG287)/((1000*(Transfer!AF139)/Transfer!AF287)))-1)</f>
        <v>4.4119990575921308</v>
      </c>
      <c r="AQ224" s="343"/>
      <c r="AR224" s="54"/>
      <c r="AS224" s="54"/>
      <c r="AT224" s="54"/>
      <c r="AU224" s="54"/>
      <c r="AV224" s="54"/>
      <c r="AW224" s="54"/>
      <c r="AX224" s="54"/>
      <c r="AY224" s="54"/>
      <c r="AZ224" s="54"/>
      <c r="BA224" s="1673" t="s">
        <v>8</v>
      </c>
      <c r="BB224" s="1699"/>
      <c r="BC224" s="54"/>
    </row>
    <row r="225" spans="1:55">
      <c r="A225" s="45"/>
      <c r="B225" s="1673"/>
      <c r="C225" s="2608" t="s">
        <v>288</v>
      </c>
      <c r="D225" s="2609"/>
      <c r="E225" s="2502">
        <f ca="1">100*(((1000*(Transfer!D140)/Transfer!D288)/((1000*(Transfer!C140)/Transfer!C288)))-1)</f>
        <v>-0.50696313058546938</v>
      </c>
      <c r="F225" s="2502">
        <f ca="1">100*(((1000*(Transfer!E140)/Transfer!E288)/((1000*(Transfer!D140)/Transfer!D288)))-1)</f>
        <v>-2.070203284820038</v>
      </c>
      <c r="G225" s="2502">
        <f ca="1">100*(((1000*(Transfer!F140)/Transfer!F288)/((1000*(Transfer!E140)/Transfer!E288)))-1)</f>
        <v>1.4999999999999902</v>
      </c>
      <c r="H225" s="2607">
        <f ca="1">100*(((1000*(Transfer!G140)/Transfer!G288)/((1000*(Transfer!F140)/Transfer!F288)))-1)</f>
        <v>1.4999999999999902</v>
      </c>
      <c r="I225" s="2610"/>
      <c r="J225" s="54"/>
      <c r="K225" s="54"/>
      <c r="L225" s="54"/>
      <c r="M225" s="54"/>
      <c r="N225" s="54"/>
      <c r="O225" s="54"/>
      <c r="P225" s="54"/>
      <c r="Q225" s="54"/>
      <c r="R225" s="54"/>
      <c r="S225" s="275"/>
      <c r="T225" s="168" t="s">
        <v>288</v>
      </c>
      <c r="U225" s="319"/>
      <c r="V225" s="91">
        <f t="shared" ca="1" si="13"/>
        <v>-1.9</v>
      </c>
      <c r="W225" s="91">
        <f t="shared" ca="1" si="13"/>
        <v>-4.5999999999999996</v>
      </c>
      <c r="X225" s="91">
        <f t="shared" ca="1" si="13"/>
        <v>-2.5</v>
      </c>
      <c r="Y225" s="93">
        <f t="shared" ca="1" si="13"/>
        <v>-3.5</v>
      </c>
      <c r="Z225" s="343"/>
      <c r="AA225" s="54"/>
      <c r="AB225" s="45"/>
      <c r="AC225" s="45"/>
      <c r="AD225" s="45"/>
      <c r="AE225" s="45"/>
      <c r="AF225" s="45"/>
      <c r="AG225" s="45"/>
      <c r="AH225" s="45"/>
      <c r="AI225" s="45"/>
      <c r="AJ225" s="275"/>
      <c r="AK225" s="2150" t="s">
        <v>288</v>
      </c>
      <c r="AL225" s="2151"/>
      <c r="AM225" s="2145">
        <f>100*(((1000*(Transfer!AD140)/Transfer!AD288)/((1000*(Transfer!AC140)/Transfer!AC288)))-1)</f>
        <v>1.4206597115491881</v>
      </c>
      <c r="AN225" s="2145">
        <f>100*(((1000*(Transfer!AE140)/Transfer!AE288)/((1000*(Transfer!AD140)/Transfer!AD288)))-1)</f>
        <v>2.4999999999999911</v>
      </c>
      <c r="AO225" s="2145">
        <f>100*(((1000*(Transfer!AF140)/Transfer!AF288)/((1000*(Transfer!AE140)/Transfer!AE288)))-1)</f>
        <v>4.0000000000000036</v>
      </c>
      <c r="AP225" s="2199">
        <f>100*(((1000*(Transfer!AG140)/Transfer!AG288)/((1000*(Transfer!AF140)/Transfer!AF288)))-1)</f>
        <v>4.9999999999999822</v>
      </c>
      <c r="AQ225" s="343"/>
      <c r="AR225" s="54"/>
      <c r="AS225" s="54"/>
      <c r="AT225" s="54"/>
      <c r="AU225" s="54"/>
      <c r="AV225" s="54"/>
      <c r="AW225" s="54"/>
      <c r="AX225" s="54"/>
      <c r="AY225" s="54"/>
      <c r="AZ225" s="54"/>
      <c r="BA225" s="1673" t="s">
        <v>9</v>
      </c>
      <c r="BB225" s="1699"/>
      <c r="BC225" s="54"/>
    </row>
    <row r="226" spans="1:55">
      <c r="A226" s="45"/>
      <c r="B226" s="2611"/>
      <c r="C226" s="2612" t="s">
        <v>1800</v>
      </c>
      <c r="D226" s="2613"/>
      <c r="E226" s="2614">
        <f ca="1">(Transfer!D305/Transfer!D307)/(Transfer!C305/Transfer!C307)*100-100</f>
        <v>0.98784550340025135</v>
      </c>
      <c r="F226" s="2615">
        <f ca="1">(Transfer!E305/Transfer!E307)/(Transfer!D305/Transfer!D307)*100-100</f>
        <v>2.9605747678695451</v>
      </c>
      <c r="G226" s="2615">
        <f ca="1">(Transfer!F305/Transfer!F307)/(Transfer!E305/Transfer!E307)*100-100</f>
        <v>2.788968047380763</v>
      </c>
      <c r="H226" s="2616">
        <f ca="1">(Transfer!G305/Transfer!G307)/(Transfer!F305/Transfer!F307)*100-100</f>
        <v>2.4677101284496388</v>
      </c>
      <c r="I226" s="2460"/>
      <c r="J226" s="54"/>
      <c r="K226" s="54"/>
      <c r="L226" s="54"/>
      <c r="M226" s="54"/>
      <c r="N226" s="54"/>
      <c r="O226" s="54"/>
      <c r="P226" s="54"/>
      <c r="Q226" s="54"/>
      <c r="R226" s="54"/>
      <c r="S226" s="344"/>
      <c r="T226" s="200" t="s">
        <v>1800</v>
      </c>
      <c r="U226" s="201"/>
      <c r="V226" s="156">
        <f t="shared" ca="1" si="13"/>
        <v>-1.2999999999999998</v>
      </c>
      <c r="W226" s="156">
        <f t="shared" ca="1" si="13"/>
        <v>1.4</v>
      </c>
      <c r="X226" s="156">
        <f t="shared" ca="1" si="13"/>
        <v>0.59999999999999964</v>
      </c>
      <c r="Y226" s="283">
        <f t="shared" ca="1" si="13"/>
        <v>-0.20000000000000018</v>
      </c>
      <c r="Z226" s="203"/>
      <c r="AA226" s="54"/>
      <c r="AB226" s="45"/>
      <c r="AC226" s="45"/>
      <c r="AD226" s="45"/>
      <c r="AE226" s="45"/>
      <c r="AF226" s="45"/>
      <c r="AG226" s="45"/>
      <c r="AH226" s="45"/>
      <c r="AI226" s="45"/>
      <c r="AJ226" s="344"/>
      <c r="AK226" s="2182" t="s">
        <v>1800</v>
      </c>
      <c r="AL226" s="2183"/>
      <c r="AM226" s="2184">
        <f>(Transfer!AD305/Transfer!AD307)/(Transfer!AC305/Transfer!AC307)*100-100</f>
        <v>2.2963207607115947</v>
      </c>
      <c r="AN226" s="2185">
        <f>(Transfer!AE305/Transfer!AE307)/(Transfer!AD305/Transfer!AD307)*100-100</f>
        <v>1.5708341744999075</v>
      </c>
      <c r="AO226" s="2185">
        <f>(Transfer!AF305/Transfer!AF307)/(Transfer!AE305/Transfer!AE307)*100-100</f>
        <v>2.2156223686392167</v>
      </c>
      <c r="AP226" s="2186">
        <f>(Transfer!AG305/Transfer!AG307)/(Transfer!AF305/Transfer!AF307)*100-100</f>
        <v>2.7004883220623128</v>
      </c>
      <c r="AQ226" s="203"/>
      <c r="AR226" s="54"/>
      <c r="AS226" s="54"/>
      <c r="AT226" s="54"/>
      <c r="AU226" s="54"/>
      <c r="AV226" s="54"/>
      <c r="AW226" s="54"/>
      <c r="AX226" s="54"/>
      <c r="AY226" s="54"/>
      <c r="AZ226" s="54"/>
      <c r="BA226" s="1673" t="s">
        <v>1949</v>
      </c>
      <c r="BB226" s="1699"/>
      <c r="BC226" s="54"/>
    </row>
    <row r="227" spans="1:55" s="220" customFormat="1">
      <c r="A227" s="334"/>
      <c r="B227" s="2611"/>
      <c r="C227" s="2385" t="s">
        <v>862</v>
      </c>
      <c r="D227" s="2413"/>
      <c r="E227" s="3016" t="s">
        <v>276</v>
      </c>
      <c r="F227" s="3016" t="s">
        <v>276</v>
      </c>
      <c r="G227" s="3016" t="s">
        <v>276</v>
      </c>
      <c r="H227" s="2389" t="s">
        <v>276</v>
      </c>
      <c r="I227" s="2452"/>
      <c r="J227" s="334"/>
      <c r="K227" s="334"/>
      <c r="L227" s="334"/>
      <c r="M227" s="334"/>
      <c r="N227" s="334"/>
      <c r="O227" s="334"/>
      <c r="P227" s="334"/>
      <c r="Q227" s="334"/>
      <c r="R227" s="334"/>
      <c r="S227" s="344"/>
      <c r="T227" s="204" t="s">
        <v>796</v>
      </c>
      <c r="U227" s="205"/>
      <c r="V227" s="3016" t="s">
        <v>276</v>
      </c>
      <c r="W227" s="3016" t="s">
        <v>276</v>
      </c>
      <c r="X227" s="3016" t="s">
        <v>276</v>
      </c>
      <c r="Y227" s="2389" t="s">
        <v>276</v>
      </c>
      <c r="Z227" s="196"/>
      <c r="AA227" s="334"/>
      <c r="AB227" s="334"/>
      <c r="AC227" s="334"/>
      <c r="AD227" s="334"/>
      <c r="AE227" s="334"/>
      <c r="AF227" s="334"/>
      <c r="AG227" s="334"/>
      <c r="AH227" s="334"/>
      <c r="AI227" s="334"/>
      <c r="AJ227" s="344"/>
      <c r="AK227" s="3031" t="s">
        <v>796</v>
      </c>
      <c r="AL227" s="3032"/>
      <c r="AM227" s="3016" t="s">
        <v>276</v>
      </c>
      <c r="AN227" s="3016" t="s">
        <v>276</v>
      </c>
      <c r="AO227" s="3016" t="s">
        <v>276</v>
      </c>
      <c r="AP227" s="2389" t="s">
        <v>276</v>
      </c>
      <c r="AQ227" s="196"/>
      <c r="AR227" s="334"/>
      <c r="AS227" s="334"/>
      <c r="AT227" s="334"/>
      <c r="AU227" s="334"/>
      <c r="AV227" s="334"/>
      <c r="AW227" s="334"/>
      <c r="AX227" s="334"/>
      <c r="AY227" s="334"/>
      <c r="AZ227" s="334"/>
      <c r="BA227" s="1673"/>
      <c r="BB227" s="1699"/>
      <c r="BC227" s="334"/>
    </row>
    <row r="228" spans="1:55">
      <c r="A228" s="45"/>
      <c r="B228" s="1673"/>
      <c r="C228" s="2612" t="s">
        <v>797</v>
      </c>
      <c r="D228" s="2613"/>
      <c r="E228" s="2614">
        <f ca="1">(Transfer!D308/Transfer!D310)/(Transfer!C308/Transfer!C310)*100-100</f>
        <v>-0.88904349222201517</v>
      </c>
      <c r="F228" s="2615">
        <f ca="1">(Transfer!E308/Transfer!E310)/(Transfer!D308/Transfer!D310)*100-100</f>
        <v>3.0086909215485207</v>
      </c>
      <c r="G228" s="2615">
        <f ca="1">(Transfer!F308/Transfer!F310)/(Transfer!E308/Transfer!E310)*100-100</f>
        <v>2.8313388791685981</v>
      </c>
      <c r="H228" s="2616">
        <f ca="1">(Transfer!G308/Transfer!G310)/(Transfer!F308/Transfer!F310)*100-100</f>
        <v>2.5030345981383277</v>
      </c>
      <c r="I228" s="2460"/>
      <c r="J228" s="54"/>
      <c r="K228" s="54"/>
      <c r="L228" s="54"/>
      <c r="M228" s="54"/>
      <c r="N228" s="54"/>
      <c r="O228" s="54"/>
      <c r="P228" s="54"/>
      <c r="Q228" s="54"/>
      <c r="R228" s="54"/>
      <c r="S228" s="275"/>
      <c r="T228" s="206" t="s">
        <v>797</v>
      </c>
      <c r="U228" s="207"/>
      <c r="V228" s="156">
        <f t="shared" ref="V228:Y239" ca="1" si="14">ROUND(E228,1)-ROUND(AM228,1)</f>
        <v>-4.2</v>
      </c>
      <c r="W228" s="156">
        <f t="shared" ca="1" si="14"/>
        <v>1.5</v>
      </c>
      <c r="X228" s="156">
        <f t="shared" ca="1" si="14"/>
        <v>0.59999999999999964</v>
      </c>
      <c r="Y228" s="283">
        <f t="shared" ca="1" si="14"/>
        <v>-0.20000000000000018</v>
      </c>
      <c r="Z228" s="203"/>
      <c r="AA228" s="54"/>
      <c r="AB228" s="45"/>
      <c r="AC228" s="45"/>
      <c r="AD228" s="45"/>
      <c r="AE228" s="45"/>
      <c r="AF228" s="45"/>
      <c r="AG228" s="45"/>
      <c r="AH228" s="45"/>
      <c r="AI228" s="45"/>
      <c r="AJ228" s="275"/>
      <c r="AK228" s="2182" t="s">
        <v>797</v>
      </c>
      <c r="AL228" s="2183"/>
      <c r="AM228" s="2184">
        <f>(Transfer!AD308/Transfer!AD310)/(Transfer!AC308/Transfer!AC310)*100-100</f>
        <v>3.268321496550513</v>
      </c>
      <c r="AN228" s="2185">
        <f>(Transfer!AE308/Transfer!AE310)/(Transfer!AD308/Transfer!AD310)*100-100</f>
        <v>1.5454148794867564</v>
      </c>
      <c r="AO228" s="2185">
        <f>(Transfer!AF308/Transfer!AF310)/(Transfer!AE308/Transfer!AE310)*100-100</f>
        <v>2.1816501273871154</v>
      </c>
      <c r="AP228" s="2186">
        <f>(Transfer!AG308/Transfer!AG310)/(Transfer!AF308/Transfer!AF310)*100-100</f>
        <v>2.6616459823203513</v>
      </c>
      <c r="AQ228" s="203"/>
      <c r="AR228" s="54"/>
      <c r="AS228" s="54"/>
      <c r="AT228" s="54"/>
      <c r="AU228" s="54"/>
      <c r="AV228" s="54"/>
      <c r="AW228" s="54"/>
      <c r="AX228" s="54"/>
      <c r="AY228" s="54"/>
      <c r="AZ228" s="54"/>
      <c r="BA228" s="1673" t="s">
        <v>1613</v>
      </c>
      <c r="BB228" s="1699"/>
      <c r="BC228" s="54"/>
    </row>
    <row r="229" spans="1:55">
      <c r="A229" s="45"/>
      <c r="B229" s="1673"/>
      <c r="C229" s="2385" t="s">
        <v>1113</v>
      </c>
      <c r="D229" s="2413"/>
      <c r="E229" s="2387">
        <f ca="1">(Transfer!D311/Transfer!D313)/(Transfer!C311/Transfer!C313)*100-100</f>
        <v>-1.956707595277706</v>
      </c>
      <c r="F229" s="2606">
        <f ca="1">(Transfer!E311/Transfer!E313)/(Transfer!D311/Transfer!D313)*100-100</f>
        <v>4.3947696442213413</v>
      </c>
      <c r="G229" s="2502">
        <f ca="1">(Transfer!F311/Transfer!F313)/(Transfer!E311/Transfer!E313)*100-100</f>
        <v>2.3491131709032516</v>
      </c>
      <c r="H229" s="2607">
        <f ca="1">(Transfer!G311/Transfer!G313)/(Transfer!F311/Transfer!F313)*100-100</f>
        <v>2.024610546646926</v>
      </c>
      <c r="I229" s="2452"/>
      <c r="J229" s="54"/>
      <c r="K229" s="54"/>
      <c r="L229" s="54"/>
      <c r="M229" s="54"/>
      <c r="N229" s="54"/>
      <c r="O229" s="54"/>
      <c r="P229" s="54"/>
      <c r="Q229" s="54"/>
      <c r="R229" s="54"/>
      <c r="S229" s="275"/>
      <c r="T229" s="40" t="s">
        <v>1113</v>
      </c>
      <c r="U229" s="65"/>
      <c r="V229" s="91">
        <f t="shared" ca="1" si="14"/>
        <v>-5.5</v>
      </c>
      <c r="W229" s="91">
        <f t="shared" ca="1" si="14"/>
        <v>4.1000000000000005</v>
      </c>
      <c r="X229" s="91">
        <f t="shared" ca="1" si="14"/>
        <v>0.69999999999999973</v>
      </c>
      <c r="Y229" s="93">
        <f t="shared" ca="1" si="14"/>
        <v>-0.29999999999999982</v>
      </c>
      <c r="Z229" s="196"/>
      <c r="AA229" s="54"/>
      <c r="AB229" s="45"/>
      <c r="AC229" s="45"/>
      <c r="AD229" s="45"/>
      <c r="AE229" s="45"/>
      <c r="AF229" s="45"/>
      <c r="AG229" s="45"/>
      <c r="AH229" s="45"/>
      <c r="AI229" s="45"/>
      <c r="AJ229" s="275"/>
      <c r="AK229" s="2122" t="s">
        <v>1113</v>
      </c>
      <c r="AL229" s="2123"/>
      <c r="AM229" s="2113">
        <f>(Transfer!AD311/Transfer!AD313)/(Transfer!AC311/Transfer!AC313)*100-100</f>
        <v>3.4647591243257381</v>
      </c>
      <c r="AN229" s="2198">
        <f>(Transfer!AE311/Transfer!AE313)/(Transfer!AD311/Transfer!AD313)*100-100</f>
        <v>0.26636815076135179</v>
      </c>
      <c r="AO229" s="2145">
        <f>(Transfer!AF311/Transfer!AF313)/(Transfer!AE311/Transfer!AE313)*100-100</f>
        <v>1.6155295306641904</v>
      </c>
      <c r="AP229" s="2199">
        <f>(Transfer!AG311/Transfer!AG313)/(Transfer!AF311/Transfer!AF313)*100-100</f>
        <v>2.2986624722780817</v>
      </c>
      <c r="AQ229" s="196"/>
      <c r="AR229" s="54"/>
      <c r="AS229" s="54"/>
      <c r="AT229" s="54"/>
      <c r="AU229" s="54"/>
      <c r="AV229" s="54"/>
      <c r="AW229" s="54"/>
      <c r="AX229" s="54"/>
      <c r="AY229" s="54"/>
      <c r="AZ229" s="54"/>
      <c r="BA229" s="1673" t="s">
        <v>1614</v>
      </c>
      <c r="BB229" s="1699"/>
      <c r="BC229" s="54"/>
    </row>
    <row r="230" spans="1:55">
      <c r="A230" s="45"/>
      <c r="B230" s="1673"/>
      <c r="C230" s="2608" t="s">
        <v>2124</v>
      </c>
      <c r="D230" s="2609"/>
      <c r="E230" s="2502">
        <f ca="1">100*(((1000*(Transfer!D143)/Transfer!D291)/((1000*(Transfer!C143)/Transfer!C291)))-1)</f>
        <v>-3.0623104356106934</v>
      </c>
      <c r="F230" s="2502">
        <f ca="1">100*(((1000*(Transfer!E143)/Transfer!E291)/((1000*(Transfer!D143)/Transfer!D291)))-1)</f>
        <v>4.6924205641176275</v>
      </c>
      <c r="G230" s="2502">
        <f ca="1">100*(((1000*(Transfer!F143)/Transfer!F291)/((1000*(Transfer!E143)/Transfer!E291)))-1)</f>
        <v>2.2999999999999909</v>
      </c>
      <c r="H230" s="2607">
        <f ca="1">100*(((1000*(Transfer!G143)/Transfer!G291)/((1000*(Transfer!F143)/Transfer!F291)))-1)</f>
        <v>2.0000000000000018</v>
      </c>
      <c r="I230" s="2610"/>
      <c r="J230" s="54"/>
      <c r="K230" s="54"/>
      <c r="L230" s="54"/>
      <c r="M230" s="54"/>
      <c r="N230" s="54"/>
      <c r="O230" s="54"/>
      <c r="P230" s="54"/>
      <c r="Q230" s="54"/>
      <c r="R230" s="54"/>
      <c r="S230" s="275"/>
      <c r="T230" s="86" t="s">
        <v>2124</v>
      </c>
      <c r="U230" s="105"/>
      <c r="V230" s="91">
        <f t="shared" ca="1" si="14"/>
        <v>-6.7</v>
      </c>
      <c r="W230" s="91">
        <f t="shared" ca="1" si="14"/>
        <v>4.5</v>
      </c>
      <c r="X230" s="91">
        <f t="shared" ca="1" si="14"/>
        <v>0.79999999999999982</v>
      </c>
      <c r="Y230" s="93">
        <f t="shared" ca="1" si="14"/>
        <v>-0.20000000000000018</v>
      </c>
      <c r="Z230" s="343"/>
      <c r="AA230" s="54"/>
      <c r="AB230" s="45"/>
      <c r="AC230" s="45"/>
      <c r="AD230" s="45"/>
      <c r="AE230" s="45"/>
      <c r="AF230" s="45"/>
      <c r="AG230" s="45"/>
      <c r="AH230" s="45"/>
      <c r="AI230" s="45"/>
      <c r="AJ230" s="275"/>
      <c r="AK230" s="2150" t="s">
        <v>2124</v>
      </c>
      <c r="AL230" s="2151"/>
      <c r="AM230" s="2145">
        <f>100*(((1000*(Transfer!AD143)/Transfer!AD291)/((1000*(Transfer!AC143)/Transfer!AC291)))-1)</f>
        <v>3.6296639083731597</v>
      </c>
      <c r="AN230" s="2145">
        <f>100*(((1000*(Transfer!AE143)/Transfer!AE291)/((1000*(Transfer!AD143)/Transfer!AD291)))-1)</f>
        <v>0.20000000000004459</v>
      </c>
      <c r="AO230" s="2145">
        <f>100*(((1000*(Transfer!AF143)/Transfer!AF291)/((1000*(Transfer!AE143)/Transfer!AE291)))-1)</f>
        <v>1.5000000000000124</v>
      </c>
      <c r="AP230" s="2199">
        <f>100*(((1000*(Transfer!AG143)/Transfer!AG291)/((1000*(Transfer!AF143)/Transfer!AF291)))-1)</f>
        <v>2.200000000000002</v>
      </c>
      <c r="AQ230" s="343"/>
      <c r="AR230" s="54"/>
      <c r="AS230" s="54"/>
      <c r="AT230" s="54"/>
      <c r="AU230" s="54"/>
      <c r="AV230" s="54"/>
      <c r="AW230" s="54"/>
      <c r="AX230" s="54"/>
      <c r="AY230" s="54"/>
      <c r="AZ230" s="54"/>
      <c r="BA230" s="1673" t="s">
        <v>1615</v>
      </c>
      <c r="BB230" s="1699"/>
      <c r="BC230" s="54"/>
    </row>
    <row r="231" spans="1:55">
      <c r="A231" s="45"/>
      <c r="B231" s="2611"/>
      <c r="C231" s="2608" t="s">
        <v>391</v>
      </c>
      <c r="D231" s="2609"/>
      <c r="E231" s="2502">
        <f ca="1">100*(((1000*(Transfer!D144)/Transfer!D292)/((1000*(Transfer!C144)/Transfer!C292)))-1)</f>
        <v>1.7477862707304004</v>
      </c>
      <c r="F231" s="2502">
        <f ca="1">100*(((1000*(Transfer!E144)/Transfer!E292)/((1000*(Transfer!D144)/Transfer!D292)))-1)</f>
        <v>3.4797412989243215</v>
      </c>
      <c r="G231" s="2502">
        <f ca="1">100*(((1000*(Transfer!F144)/Transfer!F292)/((1000*(Transfer!E144)/Transfer!E292)))-1)</f>
        <v>2.4999999999999911</v>
      </c>
      <c r="H231" s="2607">
        <f ca="1">100*(((1000*(Transfer!G144)/Transfer!G292)/((1000*(Transfer!F144)/Transfer!F292)))-1)</f>
        <v>2.100000000000013</v>
      </c>
      <c r="I231" s="2610"/>
      <c r="J231" s="54"/>
      <c r="K231" s="54"/>
      <c r="L231" s="54"/>
      <c r="M231" s="54"/>
      <c r="N231" s="54"/>
      <c r="O231" s="54"/>
      <c r="P231" s="54"/>
      <c r="Q231" s="54"/>
      <c r="R231" s="54"/>
      <c r="S231" s="344"/>
      <c r="T231" s="86" t="s">
        <v>391</v>
      </c>
      <c r="U231" s="105"/>
      <c r="V231" s="91">
        <f t="shared" ca="1" si="14"/>
        <v>-0.90000000000000013</v>
      </c>
      <c r="W231" s="91">
        <f t="shared" ca="1" si="14"/>
        <v>2.9</v>
      </c>
      <c r="X231" s="91">
        <f t="shared" ca="1" si="14"/>
        <v>0.29999999999999982</v>
      </c>
      <c r="Y231" s="93">
        <f t="shared" ca="1" si="14"/>
        <v>-0.69999999999999973</v>
      </c>
      <c r="Z231" s="343"/>
      <c r="AA231" s="54"/>
      <c r="AB231" s="45"/>
      <c r="AC231" s="45"/>
      <c r="AD231" s="45"/>
      <c r="AE231" s="45"/>
      <c r="AF231" s="45"/>
      <c r="AG231" s="45"/>
      <c r="AH231" s="45"/>
      <c r="AI231" s="45"/>
      <c r="AJ231" s="344"/>
      <c r="AK231" s="2150" t="s">
        <v>391</v>
      </c>
      <c r="AL231" s="2151"/>
      <c r="AM231" s="2145">
        <f>100*(((1000*(Transfer!AD144)/Transfer!AD292)/((1000*(Transfer!AC144)/Transfer!AC292)))-1)</f>
        <v>2.6467461515098156</v>
      </c>
      <c r="AN231" s="2145">
        <f>100*(((1000*(Transfer!AE144)/Transfer!AE292)/((1000*(Transfer!AD144)/Transfer!AD292)))-1)</f>
        <v>0.59999999999997833</v>
      </c>
      <c r="AO231" s="2145">
        <f>100*(((1000*(Transfer!AF144)/Transfer!AF292)/((1000*(Transfer!AE144)/Transfer!AE292)))-1)</f>
        <v>2.200000000000002</v>
      </c>
      <c r="AP231" s="2199">
        <f>100*(((1000*(Transfer!AG144)/Transfer!AG292)/((1000*(Transfer!AF144)/Transfer!AF292)))-1)</f>
        <v>2.8000000000000025</v>
      </c>
      <c r="AQ231" s="343"/>
      <c r="AR231" s="54"/>
      <c r="AS231" s="54"/>
      <c r="AT231" s="54"/>
      <c r="AU231" s="54"/>
      <c r="AV231" s="54"/>
      <c r="AW231" s="54"/>
      <c r="AX231" s="54"/>
      <c r="AY231" s="54"/>
      <c r="AZ231" s="54"/>
      <c r="BA231" s="1673" t="s">
        <v>1616</v>
      </c>
      <c r="BB231" s="1699"/>
      <c r="BC231" s="54"/>
    </row>
    <row r="232" spans="1:55">
      <c r="A232" s="45"/>
      <c r="B232" s="2617"/>
      <c r="C232" s="2612" t="s">
        <v>392</v>
      </c>
      <c r="D232" s="2613"/>
      <c r="E232" s="2614">
        <f ca="1">(Transfer!D314/Transfer!D316)/(Transfer!C314/Transfer!C316)*100-100</f>
        <v>-1.3509335939155847</v>
      </c>
      <c r="F232" s="2615">
        <f ca="1">(Transfer!E314/Transfer!E316)/(Transfer!D314/Transfer!D316)*100-100</f>
        <v>3.6332705624200941</v>
      </c>
      <c r="G232" s="2615">
        <f ca="1">(Transfer!F314/Transfer!F316)/(Transfer!E314/Transfer!E316)*100-100</f>
        <v>2.6105459114773595</v>
      </c>
      <c r="H232" s="2616">
        <f ca="1">(Transfer!G314/Transfer!G316)/(Transfer!F314/Transfer!F316)*100-100</f>
        <v>2.2831493959761104</v>
      </c>
      <c r="I232" s="2460"/>
      <c r="J232" s="54"/>
      <c r="K232" s="54"/>
      <c r="L232" s="54"/>
      <c r="M232" s="54"/>
      <c r="N232" s="54"/>
      <c r="O232" s="54"/>
      <c r="P232" s="54"/>
      <c r="Q232" s="54"/>
      <c r="R232" s="54"/>
      <c r="S232" s="346"/>
      <c r="T232" s="288" t="s">
        <v>392</v>
      </c>
      <c r="U232" s="210"/>
      <c r="V232" s="156">
        <f t="shared" ca="1" si="14"/>
        <v>-4.8</v>
      </c>
      <c r="W232" s="156">
        <f t="shared" ca="1" si="14"/>
        <v>2.6</v>
      </c>
      <c r="X232" s="156">
        <f t="shared" ca="1" si="14"/>
        <v>0.70000000000000018</v>
      </c>
      <c r="Y232" s="283">
        <f t="shared" ca="1" si="14"/>
        <v>-0.20000000000000018</v>
      </c>
      <c r="Z232" s="203"/>
      <c r="AA232" s="54"/>
      <c r="AB232" s="45"/>
      <c r="AC232" s="45"/>
      <c r="AD232" s="45"/>
      <c r="AE232" s="45"/>
      <c r="AF232" s="45"/>
      <c r="AG232" s="45"/>
      <c r="AH232" s="45"/>
      <c r="AI232" s="45"/>
      <c r="AJ232" s="346"/>
      <c r="AK232" s="2182" t="s">
        <v>392</v>
      </c>
      <c r="AL232" s="2183"/>
      <c r="AM232" s="2184">
        <f>(Transfer!AD314/Transfer!AD316)/(Transfer!AC314/Transfer!AC316)*100-100</f>
        <v>3.3582728465403591</v>
      </c>
      <c r="AN232" s="2185">
        <f>(Transfer!AE314/Transfer!AE316)/(Transfer!AD314/Transfer!AD316)*100-100</f>
        <v>0.95248882368692023</v>
      </c>
      <c r="AO232" s="2185">
        <f>(Transfer!AF314/Transfer!AF316)/(Transfer!AE314/Transfer!AE316)*100-100</f>
        <v>1.9172737353469813</v>
      </c>
      <c r="AP232" s="2186">
        <f>(Transfer!AG314/Transfer!AG316)/(Transfer!AF314/Transfer!AF316)*100-100</f>
        <v>2.4904320404751417</v>
      </c>
      <c r="AQ232" s="203"/>
      <c r="AR232" s="54"/>
      <c r="AS232" s="54"/>
      <c r="AT232" s="54"/>
      <c r="AU232" s="54"/>
      <c r="AV232" s="54"/>
      <c r="AW232" s="54"/>
      <c r="AX232" s="54"/>
      <c r="AY232" s="54"/>
      <c r="AZ232" s="54"/>
      <c r="BA232" s="1673" t="s">
        <v>855</v>
      </c>
      <c r="BB232" s="1699"/>
      <c r="BC232" s="54"/>
    </row>
    <row r="233" spans="1:55">
      <c r="A233" s="45"/>
      <c r="B233" s="2618"/>
      <c r="C233" s="2385" t="s">
        <v>1245</v>
      </c>
      <c r="D233" s="2413"/>
      <c r="E233" s="2387">
        <f ca="1">(Transfer!D317/Transfer!D319)/(Transfer!C317/Transfer!C319)*100-100</f>
        <v>-4.3322178359823766</v>
      </c>
      <c r="F233" s="2606">
        <f ca="1">(Transfer!E317/Transfer!E319)/(Transfer!D317/Transfer!D319)*100-100</f>
        <v>3.9989640315824175</v>
      </c>
      <c r="G233" s="2502">
        <f ca="1">(Transfer!F317/Transfer!F319)/(Transfer!E317/Transfer!E319)*100-100</f>
        <v>2.5809897029101592</v>
      </c>
      <c r="H233" s="2607">
        <f ca="1">(Transfer!G317/Transfer!G319)/(Transfer!F317/Transfer!F319)*100-100</f>
        <v>1.5811262439108305</v>
      </c>
      <c r="I233" s="2452"/>
      <c r="J233" s="54"/>
      <c r="K233" s="54"/>
      <c r="L233" s="54"/>
      <c r="M233" s="54"/>
      <c r="N233" s="54"/>
      <c r="O233" s="54"/>
      <c r="P233" s="54"/>
      <c r="Q233" s="54"/>
      <c r="R233" s="54"/>
      <c r="S233" s="347"/>
      <c r="T233" s="179" t="s">
        <v>1245</v>
      </c>
      <c r="U233" s="63"/>
      <c r="V233" s="91">
        <f t="shared" ca="1" si="14"/>
        <v>-8.5</v>
      </c>
      <c r="W233" s="91">
        <f t="shared" ca="1" si="14"/>
        <v>4.2</v>
      </c>
      <c r="X233" s="91">
        <f t="shared" ca="1" si="14"/>
        <v>1.3</v>
      </c>
      <c r="Y233" s="93">
        <f t="shared" ca="1" si="14"/>
        <v>-0.60000000000000009</v>
      </c>
      <c r="Z233" s="196"/>
      <c r="AA233" s="54"/>
      <c r="AB233" s="45"/>
      <c r="AC233" s="45"/>
      <c r="AD233" s="45"/>
      <c r="AE233" s="45"/>
      <c r="AF233" s="45"/>
      <c r="AG233" s="45"/>
      <c r="AH233" s="45"/>
      <c r="AI233" s="45"/>
      <c r="AJ233" s="347"/>
      <c r="AK233" s="2122" t="s">
        <v>1245</v>
      </c>
      <c r="AL233" s="2123"/>
      <c r="AM233" s="2113">
        <f>(Transfer!AD317/Transfer!AD319)/(Transfer!AC317/Transfer!AC319)*100-100</f>
        <v>4.2307888888617668</v>
      </c>
      <c r="AN233" s="2198">
        <f>(Transfer!AE317/Transfer!AE319)/(Transfer!AD317/Transfer!AD319)*100-100</f>
        <v>-0.15019904158603481</v>
      </c>
      <c r="AO233" s="2145">
        <f>(Transfer!AF317/Transfer!AF319)/(Transfer!AE317/Transfer!AE319)*100-100</f>
        <v>1.2988082013685158</v>
      </c>
      <c r="AP233" s="2199">
        <f>(Transfer!AG317/Transfer!AG319)/(Transfer!AF317/Transfer!AF319)*100-100</f>
        <v>2.1736457297393201</v>
      </c>
      <c r="AQ233" s="196"/>
      <c r="AR233" s="54"/>
      <c r="AS233" s="54"/>
      <c r="AT233" s="54"/>
      <c r="AU233" s="54"/>
      <c r="AV233" s="54"/>
      <c r="AW233" s="54"/>
      <c r="AX233" s="54"/>
      <c r="AY233" s="54"/>
      <c r="AZ233" s="54"/>
      <c r="BA233" s="1673" t="s">
        <v>856</v>
      </c>
      <c r="BB233" s="1699"/>
      <c r="BC233" s="54"/>
    </row>
    <row r="234" spans="1:55">
      <c r="A234" s="45"/>
      <c r="B234" s="2619"/>
      <c r="C234" s="2608" t="s">
        <v>1246</v>
      </c>
      <c r="D234" s="2609"/>
      <c r="E234" s="2502">
        <f ca="1">100*(((1000*(Transfer!D145)/Transfer!D293)/((1000*(Transfer!C145)/Transfer!C293)))-1)</f>
        <v>-5.3247162742441345</v>
      </c>
      <c r="F234" s="2502">
        <f ca="1">100*(((1000*(Transfer!E145)/Transfer!E293)/((1000*(Transfer!D145)/Transfer!D293)))-1)</f>
        <v>4.1311674936495457</v>
      </c>
      <c r="G234" s="2502">
        <f ca="1">100*(((1000*(Transfer!F145)/Transfer!F293)/((1000*(Transfer!E145)/Transfer!E293)))-1)</f>
        <v>2.4999999999999911</v>
      </c>
      <c r="H234" s="2607">
        <f ca="1">100*(((1000*(Transfer!G145)/Transfer!G293)/((1000*(Transfer!F145)/Transfer!F293)))-1)</f>
        <v>1.4999999999999902</v>
      </c>
      <c r="I234" s="2610"/>
      <c r="J234" s="54"/>
      <c r="K234" s="54"/>
      <c r="L234" s="54"/>
      <c r="M234" s="54"/>
      <c r="N234" s="54"/>
      <c r="O234" s="54"/>
      <c r="P234" s="54"/>
      <c r="Q234" s="54"/>
      <c r="R234" s="54"/>
      <c r="S234" s="348"/>
      <c r="T234" s="168" t="s">
        <v>1246</v>
      </c>
      <c r="U234" s="319"/>
      <c r="V234" s="91">
        <f t="shared" ca="1" si="14"/>
        <v>-9.8999999999999986</v>
      </c>
      <c r="W234" s="91">
        <f t="shared" ca="1" si="14"/>
        <v>4.3</v>
      </c>
      <c r="X234" s="91">
        <f t="shared" ca="1" si="14"/>
        <v>1.3</v>
      </c>
      <c r="Y234" s="93">
        <f t="shared" ca="1" si="14"/>
        <v>-0.60000000000000009</v>
      </c>
      <c r="Z234" s="343"/>
      <c r="AA234" s="54"/>
      <c r="AB234" s="45"/>
      <c r="AC234" s="45"/>
      <c r="AD234" s="45"/>
      <c r="AE234" s="45"/>
      <c r="AF234" s="45"/>
      <c r="AG234" s="45"/>
      <c r="AH234" s="45"/>
      <c r="AI234" s="45"/>
      <c r="AJ234" s="348"/>
      <c r="AK234" s="2150" t="s">
        <v>1246</v>
      </c>
      <c r="AL234" s="2151"/>
      <c r="AM234" s="2145">
        <f>100*(((1000*(Transfer!AD145)/Transfer!AD293)/((1000*(Transfer!AC145)/Transfer!AC293)))-1)</f>
        <v>4.6290320298688403</v>
      </c>
      <c r="AN234" s="2145">
        <f>100*(((1000*(Transfer!AE145)/Transfer!AE293)/((1000*(Transfer!AD145)/Transfer!AD293)))-1)</f>
        <v>-0.20000000000000018</v>
      </c>
      <c r="AO234" s="2145">
        <f>100*(((1000*(Transfer!AF145)/Transfer!AF293)/((1000*(Transfer!AE145)/Transfer!AE293)))-1)</f>
        <v>1.2000000000000233</v>
      </c>
      <c r="AP234" s="2199">
        <f>100*(((1000*(Transfer!AG145)/Transfer!AG293)/((1000*(Transfer!AF145)/Transfer!AF293)))-1)</f>
        <v>2.0999999999999686</v>
      </c>
      <c r="AQ234" s="343"/>
      <c r="AR234" s="54"/>
      <c r="AS234" s="54"/>
      <c r="AT234" s="54"/>
      <c r="AU234" s="54"/>
      <c r="AV234" s="54"/>
      <c r="AW234" s="54"/>
      <c r="AX234" s="54"/>
      <c r="AY234" s="54"/>
      <c r="AZ234" s="54"/>
      <c r="BA234" s="1673" t="s">
        <v>1221</v>
      </c>
      <c r="BB234" s="1699"/>
      <c r="BC234" s="54"/>
    </row>
    <row r="235" spans="1:55">
      <c r="A235" s="45"/>
      <c r="B235" s="2619"/>
      <c r="C235" s="2608" t="s">
        <v>119</v>
      </c>
      <c r="D235" s="2609"/>
      <c r="E235" s="2502">
        <f ca="1">100*(((1000*(Transfer!D146)/Transfer!D294)/((1000*(Transfer!C146)/Transfer!C294)))-1)</f>
        <v>1.1289844354461565</v>
      </c>
      <c r="F235" s="2502">
        <f ca="1">100*(((1000*(Transfer!E146)/Transfer!E294)/((1000*(Transfer!D146)/Transfer!D294)))-1)</f>
        <v>3.3203189299944258</v>
      </c>
      <c r="G235" s="2502">
        <f ca="1">100*(((1000*(Transfer!F146)/Transfer!F294)/((1000*(Transfer!E146)/Transfer!E294)))-1)</f>
        <v>3.0000000000000027</v>
      </c>
      <c r="H235" s="2607">
        <f ca="1">100*(((1000*(Transfer!G146)/Transfer!G294)/((1000*(Transfer!F146)/Transfer!F294)))-1)</f>
        <v>2.000000000000024</v>
      </c>
      <c r="I235" s="2610"/>
      <c r="J235" s="54"/>
      <c r="K235" s="54"/>
      <c r="L235" s="54"/>
      <c r="M235" s="54"/>
      <c r="N235" s="54"/>
      <c r="O235" s="54"/>
      <c r="P235" s="54"/>
      <c r="Q235" s="54"/>
      <c r="R235" s="54"/>
      <c r="S235" s="348"/>
      <c r="T235" s="168" t="s">
        <v>119</v>
      </c>
      <c r="U235" s="319"/>
      <c r="V235" s="91">
        <f t="shared" ca="1" si="14"/>
        <v>-0.39999999999999991</v>
      </c>
      <c r="W235" s="91">
        <f t="shared" ca="1" si="14"/>
        <v>3.0999999999999996</v>
      </c>
      <c r="X235" s="91">
        <f t="shared" ca="1" si="14"/>
        <v>1</v>
      </c>
      <c r="Y235" s="93">
        <f t="shared" ca="1" si="14"/>
        <v>-0.70000000000000018</v>
      </c>
      <c r="Z235" s="343"/>
      <c r="AA235" s="54"/>
      <c r="AB235" s="45"/>
      <c r="AC235" s="45"/>
      <c r="AD235" s="45"/>
      <c r="AE235" s="45"/>
      <c r="AF235" s="45"/>
      <c r="AG235" s="45"/>
      <c r="AH235" s="45"/>
      <c r="AI235" s="45"/>
      <c r="AJ235" s="348"/>
      <c r="AK235" s="2150" t="s">
        <v>119</v>
      </c>
      <c r="AL235" s="2151"/>
      <c r="AM235" s="2145">
        <f>100*(((1000*(Transfer!AD146)/Transfer!AD294)/((1000*(Transfer!AC146)/Transfer!AC294)))-1)</f>
        <v>1.5237035136688171</v>
      </c>
      <c r="AN235" s="2145">
        <f>100*(((1000*(Transfer!AE146)/Transfer!AE294)/((1000*(Transfer!AD146)/Transfer!AD294)))-1)</f>
        <v>0.19999999999997797</v>
      </c>
      <c r="AO235" s="2145">
        <f>100*(((1000*(Transfer!AF146)/Transfer!AF294)/((1000*(Transfer!AE146)/Transfer!AE294)))-1)</f>
        <v>2.0000000000000018</v>
      </c>
      <c r="AP235" s="2199">
        <f>100*(((1000*(Transfer!AG146)/Transfer!AG294)/((1000*(Transfer!AF146)/Transfer!AF294)))-1)</f>
        <v>2.6999999999999913</v>
      </c>
      <c r="AQ235" s="343"/>
      <c r="AR235" s="54"/>
      <c r="AS235" s="54"/>
      <c r="AT235" s="54"/>
      <c r="AU235" s="54"/>
      <c r="AV235" s="54"/>
      <c r="AW235" s="54"/>
      <c r="AX235" s="54"/>
      <c r="AY235" s="54"/>
      <c r="AZ235" s="54"/>
      <c r="BA235" s="1673" t="s">
        <v>857</v>
      </c>
      <c r="BB235" s="1699"/>
      <c r="BC235" s="54"/>
    </row>
    <row r="236" spans="1:55">
      <c r="A236" s="45"/>
      <c r="B236" s="2618"/>
      <c r="C236" s="2612" t="s">
        <v>613</v>
      </c>
      <c r="D236" s="2613"/>
      <c r="E236" s="2614">
        <f ca="1">100*(((1000*(Transfer!D147)/Transfer!D295)/((1000*(Transfer!C147)/Transfer!C295)))-1)</f>
        <v>0.95054750240290975</v>
      </c>
      <c r="F236" s="2615">
        <f ca="1">100*(((1000*(Transfer!E147)/Transfer!E295)/((1000*(Transfer!D147)/Transfer!D295)))-1)</f>
        <v>3.3288753280726446</v>
      </c>
      <c r="G236">
        <f ca="1">100*(((1000*(Transfer!F147)/Transfer!F295)/((1000*(Transfer!E147)/Transfer!E295)))-1)</f>
        <v>2.6186320478604586</v>
      </c>
      <c r="H236" s="2616">
        <f ca="1">100*(((1000*(Transfer!G147)/Transfer!G295)/((1000*(Transfer!F147)/Transfer!F295)))-1)</f>
        <v>2.856613044494094</v>
      </c>
      <c r="I236" s="2460"/>
      <c r="J236" s="54"/>
      <c r="K236" s="54"/>
      <c r="L236" s="54"/>
      <c r="M236" s="54"/>
      <c r="N236" s="54"/>
      <c r="O236" s="54"/>
      <c r="P236" s="54"/>
      <c r="Q236" s="54"/>
      <c r="R236" s="54"/>
      <c r="S236" s="347"/>
      <c r="T236" s="288" t="s">
        <v>613</v>
      </c>
      <c r="U236" s="210"/>
      <c r="V236" s="156">
        <f t="shared" ca="1" si="14"/>
        <v>-1.6</v>
      </c>
      <c r="W236" s="156">
        <f t="shared" ca="1" si="14"/>
        <v>1.4</v>
      </c>
      <c r="X236" s="156">
        <f t="shared" ca="1" si="14"/>
        <v>0.10000000000000009</v>
      </c>
      <c r="Y236" s="283">
        <f t="shared" ca="1" si="14"/>
        <v>0.10000000000000009</v>
      </c>
      <c r="Z236" s="203"/>
      <c r="AA236" s="54"/>
      <c r="AB236" s="45"/>
      <c r="AC236" s="45"/>
      <c r="AD236" s="45"/>
      <c r="AE236" s="45"/>
      <c r="AF236" s="45"/>
      <c r="AG236" s="45"/>
      <c r="AH236" s="45"/>
      <c r="AI236" s="45"/>
      <c r="AJ236" s="347"/>
      <c r="AK236" s="2156" t="s">
        <v>613</v>
      </c>
      <c r="AL236" s="2157"/>
      <c r="AM236" s="2184">
        <f>100*(((1000*(Transfer!AD147)/Transfer!AD295)/((1000*(Transfer!AC147)/Transfer!AC295)))-1)</f>
        <v>2.6440514678911953</v>
      </c>
      <c r="AN236" s="2185">
        <f>100*(((1000*(Transfer!AE147)/Transfer!AE295)/((1000*(Transfer!AD147)/Transfer!AD295)))-1)</f>
        <v>1.8917575190050329</v>
      </c>
      <c r="AO236" s="2185">
        <f>100*(((1000*(Transfer!AF147)/Transfer!AF295)/((1000*(Transfer!AE147)/Transfer!AE295)))-1)</f>
        <v>2.4509981007355242</v>
      </c>
      <c r="AP236" s="2186">
        <f>100*(((1000*(Transfer!AG147)/Transfer!AG295)/((1000*(Transfer!AF147)/Transfer!AF295)))-1)</f>
        <v>2.7697821733007055</v>
      </c>
      <c r="AQ236" s="203"/>
      <c r="AR236" s="54"/>
      <c r="AS236" s="54"/>
      <c r="AT236" s="54"/>
      <c r="AU236" s="54"/>
      <c r="AV236" s="54"/>
      <c r="AW236" s="54"/>
      <c r="AX236" s="54"/>
      <c r="AY236" s="54"/>
      <c r="AZ236" s="54"/>
      <c r="BA236" s="1673" t="s">
        <v>858</v>
      </c>
      <c r="BB236" s="1699"/>
      <c r="BC236" s="54"/>
    </row>
    <row r="237" spans="1:55">
      <c r="A237" s="45"/>
      <c r="B237" s="2619"/>
      <c r="C237" s="2385" t="s">
        <v>301</v>
      </c>
      <c r="D237" s="2413"/>
      <c r="E237" s="2387">
        <f ca="1">100*((((Transfer!D311/Transfer!D313)/(SUM(Transfer!D145,Transfer!D146)/Transfer!D319))/((SUM(Transfer!C143,Transfer!C144)/Transfer!C313)/(SUM(Transfer!C145,Transfer!C146)/Transfer!C319)))-1)</f>
        <v>2.4830827964967161</v>
      </c>
      <c r="F237" s="2606">
        <f ca="1">100*((((Transfer!E311/Transfer!E313)/(SUM(Transfer!E145,Transfer!E146)/Transfer!E319))/((SUM(Transfer!D143,Transfer!D144)/Transfer!D313)/(SUM(Transfer!D145,Transfer!D146)/Transfer!D319)))-1)</f>
        <v>0.38058611095272976</v>
      </c>
      <c r="G237" s="2502">
        <f ca="1">100*((((Transfer!F311/Transfer!F313)/(SUM(Transfer!F145,Transfer!F146)/Transfer!F319))/((SUM(Transfer!E143,Transfer!E144)/Transfer!E313)/(SUM(Transfer!E145,Transfer!E146)/Transfer!E319)))-1)</f>
        <v>-0.22604240091504968</v>
      </c>
      <c r="H237" s="2607">
        <f ca="1">100*((((Transfer!G311/Transfer!G313)/(SUM(Transfer!G145,Transfer!G146)/Transfer!G319))/((SUM(Transfer!F143,Transfer!F144)/Transfer!F313)/(SUM(Transfer!F145,Transfer!F146)/Transfer!F319)))-1)</f>
        <v>0.43658139965021547</v>
      </c>
      <c r="I237" s="2452"/>
      <c r="J237" s="54"/>
      <c r="K237" s="54"/>
      <c r="L237" s="54"/>
      <c r="M237" s="54"/>
      <c r="N237" s="54"/>
      <c r="O237" s="54"/>
      <c r="P237" s="54"/>
      <c r="Q237" s="54"/>
      <c r="R237" s="54"/>
      <c r="S237" s="348"/>
      <c r="T237" s="349" t="s">
        <v>301</v>
      </c>
      <c r="U237" s="69"/>
      <c r="V237" s="91">
        <f t="shared" ca="1" si="14"/>
        <v>3.2</v>
      </c>
      <c r="W237" s="91">
        <f t="shared" ca="1" si="14"/>
        <v>0</v>
      </c>
      <c r="X237" s="91">
        <f t="shared" ca="1" si="14"/>
        <v>-0.5</v>
      </c>
      <c r="Y237" s="93">
        <f t="shared" ca="1" si="14"/>
        <v>0.30000000000000004</v>
      </c>
      <c r="Z237" s="196"/>
      <c r="AA237" s="54"/>
      <c r="AB237" s="45"/>
      <c r="AC237" s="45"/>
      <c r="AD237" s="45"/>
      <c r="AE237" s="45"/>
      <c r="AF237" s="45"/>
      <c r="AG237" s="45"/>
      <c r="AH237" s="45"/>
      <c r="AI237" s="45"/>
      <c r="AJ237" s="348"/>
      <c r="AK237" s="2122" t="s">
        <v>301</v>
      </c>
      <c r="AL237" s="2123"/>
      <c r="AM237" s="2113">
        <f>100*((((Transfer!AD311/Transfer!AD313)/(SUM(Transfer!AD145,Transfer!AD146)/Transfer!AD319))/((SUM(Transfer!AC143,Transfer!AC144)/Transfer!AC313)/(SUM(Transfer!AC145,Transfer!AC146)/Transfer!AC319)))-1)</f>
        <v>-0.73493616684877638</v>
      </c>
      <c r="AN237" s="2198">
        <f>100*((((Transfer!AE311/Transfer!AE313)/(SUM(Transfer!AE145,Transfer!AE146)/Transfer!AE319))/((SUM(Transfer!AD143,Transfer!AD144)/Transfer!AD313)/(SUM(Transfer!AD145,Transfer!AD146)/Transfer!AD319)))-1)</f>
        <v>0.4171938134567732</v>
      </c>
      <c r="AO237" s="2145">
        <f>100*((((Transfer!AF311/Transfer!AF313)/(SUM(Transfer!AF145,Transfer!AF146)/Transfer!AF319))/((SUM(Transfer!AE143,Transfer!AE144)/Transfer!AE313)/(SUM(Transfer!AE145,Transfer!AE146)/Transfer!AE319)))-1)</f>
        <v>0.3126604694756896</v>
      </c>
      <c r="AP237" s="2199">
        <f>100*((((Transfer!AG311/Transfer!AG313)/(SUM(Transfer!AG145,Transfer!AG146)/Transfer!AG319))/((SUM(Transfer!AF143,Transfer!AF144)/Transfer!AF313)/(SUM(Transfer!AF145,Transfer!AF146)/Transfer!AF319)))-1)</f>
        <v>0.12235713196477871</v>
      </c>
      <c r="AQ237" s="196"/>
      <c r="AR237" s="54"/>
      <c r="AS237" s="54"/>
      <c r="AT237" s="54"/>
      <c r="AU237" s="54"/>
      <c r="AV237" s="54"/>
      <c r="AW237" s="54"/>
      <c r="AX237" s="54"/>
      <c r="AY237" s="54"/>
      <c r="AZ237" s="54"/>
      <c r="BA237" s="1673" t="s">
        <v>859</v>
      </c>
      <c r="BB237" s="1699"/>
      <c r="BC237" s="54"/>
    </row>
    <row r="238" spans="1:55">
      <c r="A238" s="45"/>
      <c r="B238" s="1673"/>
      <c r="C238" s="2608" t="s">
        <v>2028</v>
      </c>
      <c r="D238" s="2609"/>
      <c r="E238" s="2502">
        <f ca="1">100*(((((Transfer!D143)/Transfer!D291)/(((Transfer!D145)/Transfer!D293)))/(((Transfer!C143)/Transfer!C291)/(((Transfer!C145)/Transfer!C293))))-1)</f>
        <v>2.3896478041586011</v>
      </c>
      <c r="F238" s="2502">
        <f ca="1">100*(((((Transfer!E143)/Transfer!E291)/(((Transfer!E145)/Transfer!E293)))/(((Transfer!D143)/Transfer!D291)/(((Transfer!D145)/Transfer!D293))))-1)</f>
        <v>0.53898663001381575</v>
      </c>
      <c r="G238">
        <f ca="1">100*(((((Transfer!F143)/Transfer!F291)/(((Transfer!F145)/Transfer!F293)))/(((Transfer!E143)/Transfer!E291)/(((Transfer!E145)/Transfer!E293))))-1)</f>
        <v>-0.19512195121950127</v>
      </c>
      <c r="H238" s="2607">
        <f ca="1">100*(((((Transfer!G143)/Transfer!G291)/(((Transfer!G145)/Transfer!G293)))/(((Transfer!F143)/Transfer!F291)/(((Transfer!F145)/Transfer!F293))))-1)</f>
        <v>0.49261083743841194</v>
      </c>
      <c r="I238" s="2610"/>
      <c r="J238" s="54"/>
      <c r="K238" s="54"/>
      <c r="L238" s="54"/>
      <c r="M238" s="54"/>
      <c r="N238" s="54"/>
      <c r="O238" s="54"/>
      <c r="P238" s="54"/>
      <c r="Q238" s="54"/>
      <c r="R238" s="54"/>
      <c r="S238" s="275"/>
      <c r="T238" s="318" t="s">
        <v>2028</v>
      </c>
      <c r="U238" s="342"/>
      <c r="V238" s="91">
        <f t="shared" ca="1" si="14"/>
        <v>3.4</v>
      </c>
      <c r="W238" s="91">
        <f t="shared" ca="1" si="14"/>
        <v>9.9999999999999978E-2</v>
      </c>
      <c r="X238" s="91">
        <f t="shared" ca="1" si="14"/>
        <v>-0.5</v>
      </c>
      <c r="Y238" s="93">
        <f t="shared" ca="1" si="14"/>
        <v>0.4</v>
      </c>
      <c r="Z238" s="343"/>
      <c r="AA238" s="54"/>
      <c r="AB238" s="45"/>
      <c r="AC238" s="45"/>
      <c r="AD238" s="45"/>
      <c r="AE238" s="45"/>
      <c r="AF238" s="45"/>
      <c r="AG238" s="45"/>
      <c r="AH238" s="45"/>
      <c r="AI238" s="45"/>
      <c r="AJ238" s="275"/>
      <c r="AK238" s="2150" t="s">
        <v>2028</v>
      </c>
      <c r="AL238" s="2151"/>
      <c r="AM238" s="2145">
        <f>100*(((((Transfer!AD143)/Transfer!AD291)/(((Transfer!AD145)/Transfer!AD293)))/(((Transfer!AC143)/Transfer!AC291)/(((Transfer!AC145)/Transfer!AC293))))-1)</f>
        <v>-0.95515374854119317</v>
      </c>
      <c r="AN238" s="2145">
        <f>100*(((((Transfer!AE143)/Transfer!AE291)/(((Transfer!AE145)/Transfer!AE293)))/(((Transfer!AD143)/Transfer!AD291)/(((Transfer!AD145)/Transfer!AD293))))-1)</f>
        <v>0.40080160320643543</v>
      </c>
      <c r="AO238" s="2145">
        <f>100*(((((Transfer!AF143)/Transfer!AF291)/(((Transfer!AF145)/Transfer!AF293)))/(((Transfer!AE143)/Transfer!AE291)/(((Transfer!AE145)/Transfer!AE293))))-1)</f>
        <v>0.29644268774704496</v>
      </c>
      <c r="AP238" s="2199">
        <f>100*(((((Transfer!AG143)/Transfer!AG291)/(((Transfer!AG145)/Transfer!AG293)))/(((Transfer!AF143)/Transfer!AF291)/(((Transfer!AF145)/Transfer!AF293))))-1)</f>
        <v>9.7943192948113378E-2</v>
      </c>
      <c r="AQ238" s="343"/>
      <c r="AR238" s="54"/>
      <c r="AS238" s="54"/>
      <c r="AT238" s="54"/>
      <c r="AU238" s="54"/>
      <c r="AV238" s="54"/>
      <c r="AW238" s="54"/>
      <c r="AX238" s="54"/>
      <c r="AY238" s="54"/>
      <c r="AZ238" s="54"/>
      <c r="BA238" s="1673" t="s">
        <v>860</v>
      </c>
      <c r="BB238" s="1699"/>
      <c r="BC238" s="54"/>
    </row>
    <row r="239" spans="1:55" ht="13.5" thickBot="1">
      <c r="A239" s="45"/>
      <c r="B239" s="1673"/>
      <c r="C239" s="2620" t="s">
        <v>1659</v>
      </c>
      <c r="D239" s="2621"/>
      <c r="E239" s="2527">
        <f ca="1">100*(((((Transfer!D144)/Transfer!D292)/(((Transfer!D146)/Transfer!D294)))/(((Transfer!C144)/Transfer!C292)/(((Transfer!C146)/Transfer!C294))))-1)</f>
        <v>0.61189365120073447</v>
      </c>
      <c r="F239" s="2527">
        <f ca="1">100*(((((Transfer!E144)/Transfer!E292)/(((Transfer!E146)/Transfer!E294)))/(((Transfer!D144)/Transfer!D292)/(((Transfer!D146)/Transfer!D294))))-1)</f>
        <v>0.15429914520290744</v>
      </c>
      <c r="G239" s="2527">
        <f ca="1">100*(((((Transfer!F144)/Transfer!F292)/(((Transfer!F146)/Transfer!F294)))/(((Transfer!E144)/Transfer!E292)/(((Transfer!E146)/Transfer!E294))))-1)</f>
        <v>-0.48543689320389438</v>
      </c>
      <c r="H239" s="2622">
        <f ca="1">100*(((((Transfer!G144)/Transfer!G292)/(((Transfer!G146)/Transfer!G294)))/(((Transfer!F144)/Transfer!F292)/(((Transfer!F146)/Transfer!F294))))-1)</f>
        <v>9.8039215686251957E-2</v>
      </c>
      <c r="I239" s="2610"/>
      <c r="J239" s="54"/>
      <c r="K239" s="54"/>
      <c r="L239" s="54"/>
      <c r="M239" s="54"/>
      <c r="N239" s="54"/>
      <c r="O239" s="54"/>
      <c r="P239" s="54"/>
      <c r="Q239" s="54"/>
      <c r="R239" s="54"/>
      <c r="S239" s="275"/>
      <c r="T239" s="350" t="s">
        <v>1659</v>
      </c>
      <c r="U239" s="351"/>
      <c r="V239" s="405">
        <f t="shared" ca="1" si="14"/>
        <v>-0.50000000000000011</v>
      </c>
      <c r="W239" s="405">
        <f t="shared" ca="1" si="14"/>
        <v>-0.2</v>
      </c>
      <c r="X239" s="405">
        <f t="shared" ca="1" si="14"/>
        <v>-0.7</v>
      </c>
      <c r="Y239" s="112">
        <f t="shared" ca="1" si="14"/>
        <v>0</v>
      </c>
      <c r="Z239" s="343"/>
      <c r="AA239" s="54"/>
      <c r="AB239" s="45"/>
      <c r="AC239" s="45"/>
      <c r="AD239" s="45"/>
      <c r="AE239" s="45"/>
      <c r="AF239" s="45"/>
      <c r="AG239" s="45"/>
      <c r="AH239" s="45"/>
      <c r="AI239" s="45"/>
      <c r="AJ239" s="275"/>
      <c r="AK239" s="2152" t="s">
        <v>1659</v>
      </c>
      <c r="AL239" s="2153"/>
      <c r="AM239" s="2180">
        <f>100*(((((Transfer!AD144)/Transfer!AD292)/(((Transfer!AD146)/Transfer!AD294)))/(((Transfer!AC144)/Transfer!AC292)/(((Transfer!AC146)/Transfer!AC294))))-1)</f>
        <v>1.1061876182342001</v>
      </c>
      <c r="AN239" s="2180">
        <f>100*(((((Transfer!AE144)/Transfer!AE292)/(((Transfer!AE146)/Transfer!AE294)))/(((Transfer!AD144)/Transfer!AD292)/(((Transfer!AD146)/Transfer!AD294))))-1)</f>
        <v>0.39920159680639777</v>
      </c>
      <c r="AO239" s="2180">
        <f>100*(((((Transfer!AF144)/Transfer!AF292)/(((Transfer!AF146)/Transfer!AF294)))/(((Transfer!AE144)/Transfer!AE292)/(((Transfer!AE146)/Transfer!AE294))))-1)</f>
        <v>0.19607843137254832</v>
      </c>
      <c r="AP239" s="2200">
        <f>100*(((((Transfer!AG144)/Transfer!AG292)/(((Transfer!AG146)/Transfer!AG294)))/(((Transfer!AF144)/Transfer!AF292)/(((Transfer!AF146)/Transfer!AF294))))-1)</f>
        <v>9.7370983446931625E-2</v>
      </c>
      <c r="AQ239" s="343"/>
      <c r="AR239" s="54"/>
      <c r="AS239" s="54"/>
      <c r="AT239" s="54"/>
      <c r="AU239" s="54"/>
      <c r="AV239" s="54"/>
      <c r="AW239" s="54"/>
      <c r="AX239" s="54"/>
      <c r="AY239" s="54"/>
      <c r="AZ239" s="54"/>
      <c r="BA239" s="1673" t="s">
        <v>861</v>
      </c>
      <c r="BB239" s="1699"/>
      <c r="BC239" s="54"/>
    </row>
    <row r="240" spans="1:55" ht="13.5" thickBot="1">
      <c r="A240" s="45"/>
      <c r="B240" s="2617"/>
      <c r="C240" s="2558"/>
      <c r="D240" s="2623"/>
      <c r="E240" s="2392"/>
      <c r="F240" s="2392"/>
      <c r="G240" s="2392"/>
      <c r="H240" s="2624"/>
      <c r="I240" s="2610"/>
      <c r="J240" s="54"/>
      <c r="K240" s="54"/>
      <c r="L240" s="54"/>
      <c r="M240" s="54"/>
      <c r="N240" s="54"/>
      <c r="O240" s="54"/>
      <c r="P240" s="54"/>
      <c r="Q240" s="54"/>
      <c r="R240" s="54"/>
      <c r="S240" s="346"/>
      <c r="T240" s="342"/>
      <c r="U240" s="342"/>
      <c r="V240" s="105"/>
      <c r="W240" s="105"/>
      <c r="X240" s="105"/>
      <c r="Y240" s="105"/>
      <c r="Z240" s="343"/>
      <c r="AA240" s="54"/>
      <c r="AB240" s="45"/>
      <c r="AC240" s="45"/>
      <c r="AD240" s="45"/>
      <c r="AE240" s="45"/>
      <c r="AF240" s="45"/>
      <c r="AG240" s="45"/>
      <c r="AH240" s="45"/>
      <c r="AI240" s="45"/>
      <c r="AJ240" s="346"/>
      <c r="AK240" s="318"/>
      <c r="AL240" s="342"/>
      <c r="AM240" s="102"/>
      <c r="AN240" s="102"/>
      <c r="AO240" s="102"/>
      <c r="AP240" s="2201"/>
      <c r="AQ240" s="343"/>
      <c r="AR240" s="54"/>
      <c r="AS240" s="54"/>
      <c r="AT240" s="54"/>
      <c r="AU240" s="54"/>
      <c r="AV240" s="54"/>
      <c r="AW240" s="54"/>
      <c r="AX240" s="54"/>
      <c r="AY240" s="54"/>
      <c r="AZ240" s="54"/>
      <c r="BA240" s="1673"/>
      <c r="BB240" s="1699"/>
      <c r="BC240" s="54"/>
    </row>
    <row r="241" spans="1:55">
      <c r="A241" s="45"/>
      <c r="B241" s="1673"/>
      <c r="C241" s="2625"/>
      <c r="D241" s="2626"/>
      <c r="E241" s="3751" t="s">
        <v>1170</v>
      </c>
      <c r="F241" s="3751"/>
      <c r="G241" s="3751"/>
      <c r="H241" s="3751"/>
      <c r="I241" s="2541"/>
      <c r="J241" s="54"/>
      <c r="K241" s="54"/>
      <c r="L241" s="54"/>
      <c r="M241" s="54"/>
      <c r="N241" s="54"/>
      <c r="O241" s="54"/>
      <c r="P241" s="54"/>
      <c r="Q241" s="54"/>
      <c r="R241" s="54"/>
      <c r="S241" s="275"/>
      <c r="T241" s="2625"/>
      <c r="U241" s="2626"/>
      <c r="V241" s="3751" t="s">
        <v>1170</v>
      </c>
      <c r="W241" s="3751"/>
      <c r="X241" s="3751"/>
      <c r="Y241" s="3751"/>
      <c r="Z241" s="273"/>
      <c r="AA241" s="54"/>
      <c r="AB241" s="45"/>
      <c r="AC241" s="45"/>
      <c r="AD241" s="45"/>
      <c r="AE241" s="45"/>
      <c r="AF241" s="45"/>
      <c r="AG241" s="45"/>
      <c r="AH241" s="45"/>
      <c r="AI241" s="45"/>
      <c r="AJ241" s="275"/>
      <c r="AK241" s="2625"/>
      <c r="AL241" s="2626"/>
      <c r="AM241" s="3751" t="s">
        <v>1170</v>
      </c>
      <c r="AN241" s="3751"/>
      <c r="AO241" s="3751"/>
      <c r="AP241" s="3751"/>
      <c r="AQ241" s="273"/>
      <c r="AR241" s="54"/>
      <c r="AS241" s="54"/>
      <c r="AT241" s="54"/>
      <c r="AU241" s="54"/>
      <c r="AV241" s="54"/>
      <c r="AW241" s="54"/>
      <c r="AX241" s="54"/>
      <c r="AY241" s="54"/>
      <c r="AZ241" s="54"/>
      <c r="BA241" s="1673"/>
      <c r="BB241" s="1699"/>
      <c r="BC241" s="54"/>
    </row>
    <row r="242" spans="1:55">
      <c r="A242" s="45"/>
      <c r="B242" s="1673"/>
      <c r="C242" s="3014" t="s">
        <v>229</v>
      </c>
      <c r="D242" s="3015"/>
      <c r="E242" s="2627">
        <f ca="1">((Transfer!D154/Transfer!C154)-1)*100</f>
        <v>0.67833333333300327</v>
      </c>
      <c r="F242" s="3380">
        <f ca="1">((Transfer!E154/Transfer!D154)-1)*100</f>
        <v>3.7181121393222716</v>
      </c>
      <c r="G242" s="2628">
        <f ca="1">((Transfer!F154/Transfer!E154)-1)*100</f>
        <v>2.8095001688776211</v>
      </c>
      <c r="H242" s="2690">
        <f ca="1">((Transfer!G154/Transfer!F154)-1)*100</f>
        <v>2.3463849329505404</v>
      </c>
      <c r="I242" s="2460"/>
      <c r="J242" s="54"/>
      <c r="K242" s="54"/>
      <c r="L242" s="54"/>
      <c r="M242" s="54"/>
      <c r="N242" s="54"/>
      <c r="O242" s="54"/>
      <c r="P242" s="54"/>
      <c r="Q242" s="54"/>
      <c r="R242" s="54"/>
      <c r="S242" s="275"/>
      <c r="T242" s="3014" t="s">
        <v>229</v>
      </c>
      <c r="U242" s="3015"/>
      <c r="V242" s="2057">
        <f t="shared" ref="V242:W249" ca="1" si="15">ROUND(E242,1)-ROUND(AM242,1)</f>
        <v>-2.5</v>
      </c>
      <c r="W242" s="2057">
        <f t="shared" ca="1" si="15"/>
        <v>2.3000000000000003</v>
      </c>
      <c r="X242" s="2057">
        <f t="shared" ref="X242:X249" ca="1" si="16">ROUND(G242,1)-ROUND(AO242,1)</f>
        <v>0.89999999999999991</v>
      </c>
      <c r="Y242" s="2015">
        <f t="shared" ref="Y242:Y249" ca="1" si="17">ROUND(H242,1)-ROUND(AP242,1)</f>
        <v>-0.10000000000000009</v>
      </c>
      <c r="Z242" s="203"/>
      <c r="AA242" s="54"/>
      <c r="AB242" s="45"/>
      <c r="AC242" s="45"/>
      <c r="AD242" s="45"/>
      <c r="AE242" s="45"/>
      <c r="AF242" s="45"/>
      <c r="AG242" s="45"/>
      <c r="AH242" s="45"/>
      <c r="AI242" s="45"/>
      <c r="AJ242" s="275"/>
      <c r="AK242" s="3014" t="s">
        <v>229</v>
      </c>
      <c r="AL242" s="3015"/>
      <c r="AM242" s="2627">
        <f>((Transfer!AD154/Transfer!AC154)-1)*100</f>
        <v>3.1665027811039304</v>
      </c>
      <c r="AN242" s="2628">
        <f>((Transfer!AE154/Transfer!AD154)-1)*100</f>
        <v>1.3774287214301184</v>
      </c>
      <c r="AO242" s="2628">
        <f>((Transfer!AF154/Transfer!AE154)-1)*100</f>
        <v>1.9238442789760946</v>
      </c>
      <c r="AP242" s="2690">
        <f>((Transfer!AG154/Transfer!AF154)-1)*100</f>
        <v>2.3673276278389999</v>
      </c>
      <c r="AQ242" s="203"/>
      <c r="AR242" s="54"/>
      <c r="AS242" s="54"/>
      <c r="AT242" s="54"/>
      <c r="AU242" s="54"/>
      <c r="AV242" s="54"/>
      <c r="AW242" s="54"/>
      <c r="AX242" s="54"/>
      <c r="AY242" s="54"/>
      <c r="AZ242" s="54"/>
      <c r="BA242" s="1673" t="s">
        <v>569</v>
      </c>
      <c r="BB242" s="1699"/>
      <c r="BC242" s="54"/>
    </row>
    <row r="243" spans="1:55" s="217" customFormat="1">
      <c r="A243" s="54"/>
      <c r="B243" s="1673"/>
      <c r="C243" s="3035" t="s">
        <v>1860</v>
      </c>
      <c r="D243" s="2481"/>
      <c r="E243" s="2727">
        <f ca="1">+Transfer!D272/Transfer!C272*100-100</f>
        <v>0.68666666666665321</v>
      </c>
      <c r="F243" s="2453">
        <f ca="1">+Transfer!E272/Transfer!D272*100-100</f>
        <v>0.71922796795338684</v>
      </c>
      <c r="G243" s="2453">
        <f ca="1">+Transfer!F272/Transfer!E272*100-100</f>
        <v>0.78052000801136501</v>
      </c>
      <c r="H243" s="2693">
        <f ca="1">+Transfer!G272/Transfer!F272*100-100</f>
        <v>1.0292044895203247</v>
      </c>
      <c r="I243" s="2452"/>
      <c r="J243" s="54"/>
      <c r="K243" s="54"/>
      <c r="L243" s="54"/>
      <c r="M243" s="54"/>
      <c r="N243" s="54"/>
      <c r="O243" s="54"/>
      <c r="P243" s="54"/>
      <c r="Q243" s="54"/>
      <c r="R243" s="54"/>
      <c r="S243" s="275"/>
      <c r="T243" s="3035" t="s">
        <v>1860</v>
      </c>
      <c r="U243" s="2481"/>
      <c r="V243" s="91">
        <f t="shared" ca="1" si="15"/>
        <v>-0.40000000000000013</v>
      </c>
      <c r="W243" s="91">
        <f t="shared" ca="1" si="15"/>
        <v>-0.20000000000000007</v>
      </c>
      <c r="X243" s="91">
        <f t="shared" ca="1" si="16"/>
        <v>-0.30000000000000004</v>
      </c>
      <c r="Y243" s="93">
        <f t="shared" ca="1" si="17"/>
        <v>9.9999999999999978E-2</v>
      </c>
      <c r="Z243" s="196"/>
      <c r="AA243" s="54"/>
      <c r="AB243" s="54"/>
      <c r="AC243" s="54"/>
      <c r="AD243" s="54"/>
      <c r="AE243" s="54"/>
      <c r="AF243" s="54"/>
      <c r="AG243" s="54"/>
      <c r="AH243" s="54"/>
      <c r="AI243" s="54"/>
      <c r="AJ243" s="275"/>
      <c r="AK243" s="3035" t="s">
        <v>1860</v>
      </c>
      <c r="AL243" s="2481"/>
      <c r="AM243" s="2727">
        <f>((Transfer!AD272/Transfer!AC272)-1)*100</f>
        <v>1.1191039674451453</v>
      </c>
      <c r="AN243" s="2453">
        <f>((Transfer!AE272/Transfer!AD272)-1)*100</f>
        <v>0.89114458188359613</v>
      </c>
      <c r="AO243" s="2453">
        <f>((Transfer!AF272/Transfer!AE272)-1)*100</f>
        <v>1.0999737509157281</v>
      </c>
      <c r="AP243" s="2693">
        <f>((Transfer!AG272/Transfer!AF272)-1)*100</f>
        <v>0.88753823288187927</v>
      </c>
      <c r="AQ243" s="196"/>
      <c r="AR243" s="54"/>
      <c r="AS243" s="54"/>
      <c r="AT243" s="54"/>
      <c r="AU243" s="54"/>
      <c r="AV243" s="54"/>
      <c r="AW243" s="54"/>
      <c r="AX243" s="54"/>
      <c r="AY243" s="54"/>
      <c r="AZ243" s="54"/>
      <c r="BA243" s="1673" t="s">
        <v>1986</v>
      </c>
      <c r="BB243" s="1699"/>
      <c r="BC243" s="54"/>
    </row>
    <row r="244" spans="1:55" s="217" customFormat="1">
      <c r="A244" s="54"/>
      <c r="B244" s="1673"/>
      <c r="C244" s="3035" t="s">
        <v>1861</v>
      </c>
      <c r="D244" s="2481"/>
      <c r="E244" s="2727">
        <f ca="1">+Transfer!D273/Transfer!C273*100-100</f>
        <v>-7.1842265352211285</v>
      </c>
      <c r="F244" s="2453">
        <f ca="1">+Transfer!E273/Transfer!D273*100-100</f>
        <v>4.6831510711271562</v>
      </c>
      <c r="G244" s="2453">
        <f ca="1">+Transfer!F273/Transfer!E273*100-100</f>
        <v>5.5586672796458458</v>
      </c>
      <c r="H244" s="2693">
        <f ca="1">+Transfer!G273/Transfer!F273*100-100</f>
        <v>1.1752122007345776</v>
      </c>
      <c r="I244" s="2452"/>
      <c r="J244" s="54"/>
      <c r="K244" s="54"/>
      <c r="L244" s="54"/>
      <c r="M244" s="54"/>
      <c r="N244" s="54"/>
      <c r="O244" s="54"/>
      <c r="P244" s="54"/>
      <c r="Q244" s="54"/>
      <c r="R244" s="54"/>
      <c r="S244" s="275"/>
      <c r="T244" s="3035" t="s">
        <v>1861</v>
      </c>
      <c r="U244" s="2481"/>
      <c r="V244" s="91">
        <f t="shared" ca="1" si="15"/>
        <v>-13.9</v>
      </c>
      <c r="W244" s="91">
        <f t="shared" ca="1" si="15"/>
        <v>5.6000000000000005</v>
      </c>
      <c r="X244" s="91">
        <f t="shared" ca="1" si="16"/>
        <v>5</v>
      </c>
      <c r="Y244" s="93">
        <f t="shared" ca="1" si="17"/>
        <v>-1.5000000000000002</v>
      </c>
      <c r="Z244" s="196"/>
      <c r="AA244" s="54"/>
      <c r="AB244" s="54"/>
      <c r="AC244" s="54"/>
      <c r="AD244" s="54"/>
      <c r="AE244" s="54"/>
      <c r="AF244" s="54"/>
      <c r="AG244" s="54"/>
      <c r="AH244" s="54"/>
      <c r="AI244" s="54"/>
      <c r="AJ244" s="275"/>
      <c r="AK244" s="3035" t="s">
        <v>1861</v>
      </c>
      <c r="AL244" s="2481"/>
      <c r="AM244" s="2727">
        <f>((Transfer!AD273/Transfer!AC273)-1)*100</f>
        <v>6.6581823544397789</v>
      </c>
      <c r="AN244" s="2453">
        <f>((Transfer!AE273/Transfer!AD273)-1)*100</f>
        <v>-0.89581721319744734</v>
      </c>
      <c r="AO244" s="2453">
        <f>((Transfer!AF273/Transfer!AE273)-1)*100</f>
        <v>0.6279881645614882</v>
      </c>
      <c r="AP244" s="2693">
        <f>((Transfer!AG273/Transfer!AF273)-1)*100</f>
        <v>2.7180014379909245</v>
      </c>
      <c r="AQ244" s="196"/>
      <c r="AR244" s="54"/>
      <c r="AS244" s="54"/>
      <c r="AT244" s="54"/>
      <c r="AU244" s="54"/>
      <c r="AV244" s="54"/>
      <c r="AW244" s="54"/>
      <c r="AX244" s="54"/>
      <c r="AY244" s="54"/>
      <c r="AZ244" s="54"/>
      <c r="BA244" s="1673" t="s">
        <v>1987</v>
      </c>
      <c r="BB244" s="1699"/>
      <c r="BC244" s="54"/>
    </row>
    <row r="245" spans="1:55" s="217" customFormat="1">
      <c r="A245" s="54"/>
      <c r="B245" s="1673"/>
      <c r="C245" s="3035" t="s">
        <v>765</v>
      </c>
      <c r="D245" s="2481"/>
      <c r="E245" s="2727">
        <f ca="1">+Transfer!D274/Transfer!C274*100-100</f>
        <v>2.2291666666666856</v>
      </c>
      <c r="F245" s="2453">
        <f ca="1">+Transfer!E274/Transfer!D274*100-100</f>
        <v>7.1196250254737805</v>
      </c>
      <c r="G245" s="2453">
        <f ca="1">+Transfer!F274/Transfer!E274*100-100</f>
        <v>3.6037323774764047</v>
      </c>
      <c r="H245" s="2693">
        <f ca="1">+Transfer!G274/Transfer!F274*100-100</f>
        <v>3.0408328777084392</v>
      </c>
      <c r="I245" s="2452"/>
      <c r="J245" s="54"/>
      <c r="K245" s="54"/>
      <c r="L245" s="54"/>
      <c r="M245" s="54"/>
      <c r="N245" s="54"/>
      <c r="O245" s="54"/>
      <c r="P245" s="54"/>
      <c r="Q245" s="54"/>
      <c r="R245" s="54"/>
      <c r="S245" s="275"/>
      <c r="T245" s="3035" t="s">
        <v>765</v>
      </c>
      <c r="U245" s="2481"/>
      <c r="V245" s="91">
        <f t="shared" ca="1" si="15"/>
        <v>-1</v>
      </c>
      <c r="W245" s="91">
        <f t="shared" ca="1" si="15"/>
        <v>5.5</v>
      </c>
      <c r="X245" s="91">
        <f t="shared" ca="1" si="16"/>
        <v>1</v>
      </c>
      <c r="Y245" s="93">
        <f t="shared" ca="1" si="17"/>
        <v>1.3</v>
      </c>
      <c r="Z245" s="196"/>
      <c r="AA245" s="54"/>
      <c r="AB245" s="54"/>
      <c r="AC245" s="54"/>
      <c r="AD245" s="54"/>
      <c r="AE245" s="54"/>
      <c r="AF245" s="54"/>
      <c r="AG245" s="54"/>
      <c r="AH245" s="54"/>
      <c r="AI245" s="54"/>
      <c r="AJ245" s="275"/>
      <c r="AK245" s="3035" t="s">
        <v>765</v>
      </c>
      <c r="AL245" s="2481"/>
      <c r="AM245" s="2727">
        <f>((Transfer!AD274/Transfer!AC274)-1)*100</f>
        <v>3.1806446292988566</v>
      </c>
      <c r="AN245" s="2453">
        <f>((Transfer!AE274/Transfer!AD274)-1)*100</f>
        <v>1.6067786022680774</v>
      </c>
      <c r="AO245" s="2453">
        <f>((Transfer!AF274/Transfer!AE274)-1)*100</f>
        <v>2.5721299968793687</v>
      </c>
      <c r="AP245" s="2693">
        <f>((Transfer!AG274/Transfer!AF274)-1)*100</f>
        <v>1.6993323338340582</v>
      </c>
      <c r="AQ245" s="196"/>
      <c r="AR245" s="54"/>
      <c r="AS245" s="54"/>
      <c r="AT245" s="54"/>
      <c r="AU245" s="54"/>
      <c r="AV245" s="54"/>
      <c r="AW245" s="54"/>
      <c r="AX245" s="54"/>
      <c r="AY245" s="54"/>
      <c r="AZ245" s="54"/>
      <c r="BA245" s="1673" t="s">
        <v>1988</v>
      </c>
      <c r="BB245" s="1699"/>
      <c r="BC245" s="54"/>
    </row>
    <row r="246" spans="1:55" s="217" customFormat="1">
      <c r="A246" s="54"/>
      <c r="B246" s="1673"/>
      <c r="C246" s="3035" t="s">
        <v>766</v>
      </c>
      <c r="D246" s="2481"/>
      <c r="E246" s="2727">
        <f ca="1">+Transfer!D275/Transfer!C275*100-100</f>
        <v>1.514987375105207</v>
      </c>
      <c r="F246" s="2453">
        <f ca="1">+Transfer!E275/Transfer!D275*100-100</f>
        <v>1.637675567850664</v>
      </c>
      <c r="G246" s="2453">
        <f ca="1">+Transfer!F275/Transfer!E275*100-100</f>
        <v>0.52914406292126159</v>
      </c>
      <c r="H246" s="2693">
        <f ca="1">+Transfer!G275/Transfer!F275*100-100</f>
        <v>0.89030342846490385</v>
      </c>
      <c r="I246" s="2452"/>
      <c r="J246" s="54"/>
      <c r="K246" s="54"/>
      <c r="L246" s="54"/>
      <c r="M246" s="54"/>
      <c r="N246" s="54"/>
      <c r="O246" s="54"/>
      <c r="P246" s="54"/>
      <c r="Q246" s="54"/>
      <c r="R246" s="54"/>
      <c r="S246" s="275"/>
      <c r="T246" s="3035" t="s">
        <v>766</v>
      </c>
      <c r="U246" s="2481"/>
      <c r="V246" s="91">
        <f t="shared" ca="1" si="15"/>
        <v>-1.7999999999999998</v>
      </c>
      <c r="W246" s="91">
        <f t="shared" ca="1" si="15"/>
        <v>-1.1999999999999997</v>
      </c>
      <c r="X246" s="91">
        <f t="shared" ca="1" si="16"/>
        <v>-1</v>
      </c>
      <c r="Y246" s="93">
        <f t="shared" ca="1" si="17"/>
        <v>-1.2000000000000002</v>
      </c>
      <c r="Z246" s="196"/>
      <c r="AA246" s="54"/>
      <c r="AB246" s="54"/>
      <c r="AC246" s="54"/>
      <c r="AD246" s="54"/>
      <c r="AE246" s="54"/>
      <c r="AF246" s="54"/>
      <c r="AG246" s="54"/>
      <c r="AH246" s="54"/>
      <c r="AI246" s="54"/>
      <c r="AJ246" s="275"/>
      <c r="AK246" s="3035" t="s">
        <v>766</v>
      </c>
      <c r="AL246" s="2481"/>
      <c r="AM246" s="2727">
        <f>((Transfer!AD275/Transfer!AC275)-1)*100</f>
        <v>3.2574256285610836</v>
      </c>
      <c r="AN246" s="2453">
        <f>((Transfer!AE275/Transfer!AD275)-1)*100</f>
        <v>2.8299985701307317</v>
      </c>
      <c r="AO246" s="2453">
        <f>((Transfer!AF275/Transfer!AE275)-1)*100</f>
        <v>1.5070223737591038</v>
      </c>
      <c r="AP246" s="2693">
        <f>((Transfer!AG275/Transfer!AF275)-1)*100</f>
        <v>2.0969923330059981</v>
      </c>
      <c r="AQ246" s="196"/>
      <c r="AR246" s="54"/>
      <c r="AS246" s="54"/>
      <c r="AT246" s="54"/>
      <c r="AU246" s="54"/>
      <c r="AV246" s="54"/>
      <c r="AW246" s="54"/>
      <c r="AX246" s="54"/>
      <c r="AY246" s="54"/>
      <c r="AZ246" s="54"/>
      <c r="BA246" s="1673" t="s">
        <v>1989</v>
      </c>
      <c r="BB246" s="1699"/>
      <c r="BC246" s="54"/>
    </row>
    <row r="247" spans="1:55" s="217" customFormat="1">
      <c r="A247" s="54"/>
      <c r="B247" s="1673"/>
      <c r="C247" s="3035" t="s">
        <v>776</v>
      </c>
      <c r="D247" s="2481"/>
      <c r="E247" s="2727">
        <f ca="1">+Transfer!D276/Transfer!C276*100-100</f>
        <v>3.1532807786537091</v>
      </c>
      <c r="F247" s="2453">
        <f ca="1">+Transfer!E276/Transfer!D276*100-100</f>
        <v>5.0385342445834027</v>
      </c>
      <c r="G247" s="2453">
        <f ca="1">+Transfer!F276/Transfer!E276*100-100</f>
        <v>4.1025089995070658</v>
      </c>
      <c r="H247" s="2693">
        <f ca="1">+Transfer!G276/Transfer!F276*100-100</f>
        <v>4.3754541714286432</v>
      </c>
      <c r="I247" s="2452"/>
      <c r="J247" s="54"/>
      <c r="K247" s="54"/>
      <c r="L247" s="54"/>
      <c r="M247" s="54"/>
      <c r="N247" s="54"/>
      <c r="O247" s="54"/>
      <c r="P247" s="54"/>
      <c r="Q247" s="54"/>
      <c r="R247" s="54"/>
      <c r="S247" s="275"/>
      <c r="T247" s="3035" t="s">
        <v>776</v>
      </c>
      <c r="U247" s="2481"/>
      <c r="V247" s="91">
        <f t="shared" ca="1" si="15"/>
        <v>0.30000000000000027</v>
      </c>
      <c r="W247" s="91">
        <f t="shared" ca="1" si="15"/>
        <v>2.5</v>
      </c>
      <c r="X247" s="91">
        <f t="shared" ca="1" si="16"/>
        <v>0.89999999999999947</v>
      </c>
      <c r="Y247" s="93">
        <f t="shared" ca="1" si="17"/>
        <v>0.10000000000000053</v>
      </c>
      <c r="Z247" s="196"/>
      <c r="AA247" s="54"/>
      <c r="AB247" s="54"/>
      <c r="AC247" s="54"/>
      <c r="AD247" s="54"/>
      <c r="AE247" s="54"/>
      <c r="AF247" s="54"/>
      <c r="AG247" s="54"/>
      <c r="AH247" s="54"/>
      <c r="AI247" s="54"/>
      <c r="AJ247" s="275"/>
      <c r="AK247" s="3035" t="s">
        <v>776</v>
      </c>
      <c r="AL247" s="2481"/>
      <c r="AM247" s="2727">
        <f>((Transfer!AD276/Transfer!AC276)-1)*100</f>
        <v>2.8910888717050609</v>
      </c>
      <c r="AN247" s="2453">
        <f>((Transfer!AE276/Transfer!AD276)-1)*100</f>
        <v>2.492600355306851</v>
      </c>
      <c r="AO247" s="2453">
        <f>((Transfer!AF276/Transfer!AE276)-1)*100</f>
        <v>3.1543978554374519</v>
      </c>
      <c r="AP247" s="2693">
        <f>((Transfer!AG276/Transfer!AF276)-1)*100</f>
        <v>4.2626969705621853</v>
      </c>
      <c r="AQ247" s="196"/>
      <c r="AR247" s="54"/>
      <c r="AS247" s="54"/>
      <c r="AT247" s="54"/>
      <c r="AU247" s="54"/>
      <c r="AV247" s="54"/>
      <c r="AW247" s="54"/>
      <c r="AX247" s="54"/>
      <c r="AY247" s="54"/>
      <c r="AZ247" s="54"/>
      <c r="BA247" s="1673" t="s">
        <v>1990</v>
      </c>
      <c r="BB247" s="1699"/>
      <c r="BC247" s="54"/>
    </row>
    <row r="248" spans="1:55" s="217" customFormat="1">
      <c r="A248" s="54"/>
      <c r="B248" s="1673"/>
      <c r="C248" s="3017" t="s">
        <v>777</v>
      </c>
      <c r="D248" s="3018"/>
      <c r="E248" s="3019">
        <f ca="1">+Transfer!D277/Transfer!C277*100-100</f>
        <v>1.8596689009513909</v>
      </c>
      <c r="F248" s="3020">
        <f ca="1">+Transfer!E277/Transfer!D277*100-100</f>
        <v>3.8340515646518014</v>
      </c>
      <c r="G248" s="3020">
        <f ca="1">+Transfer!F277/Transfer!E277*100-100</f>
        <v>2.6281814945884605</v>
      </c>
      <c r="H248" s="3021">
        <f ca="1">+Transfer!G277/Transfer!F277*100-100</f>
        <v>2.6683069675598574</v>
      </c>
      <c r="I248" s="2452"/>
      <c r="J248" s="54"/>
      <c r="K248" s="54"/>
      <c r="L248" s="54"/>
      <c r="M248" s="54"/>
      <c r="N248" s="54"/>
      <c r="O248" s="54"/>
      <c r="P248" s="54"/>
      <c r="Q248" s="54"/>
      <c r="R248" s="54"/>
      <c r="S248" s="275"/>
      <c r="T248" s="3017" t="s">
        <v>777</v>
      </c>
      <c r="U248" s="3018"/>
      <c r="V248" s="3033">
        <f t="shared" ca="1" si="15"/>
        <v>-0.5</v>
      </c>
      <c r="W248" s="3033">
        <f t="shared" ca="1" si="15"/>
        <v>2.0999999999999996</v>
      </c>
      <c r="X248" s="3033">
        <f t="shared" ca="1" si="16"/>
        <v>0.30000000000000027</v>
      </c>
      <c r="Y248" s="3034">
        <f t="shared" ca="1" si="17"/>
        <v>0.40000000000000036</v>
      </c>
      <c r="Z248" s="196"/>
      <c r="AA248" s="54"/>
      <c r="AB248" s="54"/>
      <c r="AC248" s="54"/>
      <c r="AD248" s="54"/>
      <c r="AE248" s="54"/>
      <c r="AF248" s="54"/>
      <c r="AG248" s="54"/>
      <c r="AH248" s="54"/>
      <c r="AI248" s="54"/>
      <c r="AJ248" s="275"/>
      <c r="AK248" s="3017" t="s">
        <v>777</v>
      </c>
      <c r="AL248" s="3018"/>
      <c r="AM248" s="3019">
        <f>((Transfer!AD277/Transfer!AC277)-1)*100</f>
        <v>2.3907243249966958</v>
      </c>
      <c r="AN248" s="3020">
        <f>((Transfer!AE277/Transfer!AD277)-1)*100</f>
        <v>1.6819777537696146</v>
      </c>
      <c r="AO248" s="3020">
        <f>((Transfer!AF277/Transfer!AE277)-1)*100</f>
        <v>2.2854336548294718</v>
      </c>
      <c r="AP248" s="3021">
        <f>((Transfer!AG277/Transfer!AF277)-1)*100</f>
        <v>2.3247790797527701</v>
      </c>
      <c r="AQ248" s="196"/>
      <c r="AR248" s="54"/>
      <c r="AS248" s="54"/>
      <c r="AT248" s="54"/>
      <c r="AU248" s="54"/>
      <c r="AV248" s="54"/>
      <c r="AW248" s="54"/>
      <c r="AX248" s="54"/>
      <c r="AY248" s="54"/>
      <c r="AZ248" s="54"/>
      <c r="BA248" s="1673" t="s">
        <v>1991</v>
      </c>
      <c r="BB248" s="1699"/>
      <c r="BC248" s="54"/>
    </row>
    <row r="249" spans="1:55" ht="13.5" thickBot="1">
      <c r="A249" s="45"/>
      <c r="B249" s="1673"/>
      <c r="C249" s="2469" t="s">
        <v>1979</v>
      </c>
      <c r="D249" s="3022"/>
      <c r="E249" s="3023" t="s">
        <v>276</v>
      </c>
      <c r="F249" s="2591" t="s">
        <v>276</v>
      </c>
      <c r="G249" s="2591" t="s">
        <v>276</v>
      </c>
      <c r="H249" s="3024" t="s">
        <v>276</v>
      </c>
      <c r="I249" s="2452"/>
      <c r="J249" s="54"/>
      <c r="K249" s="54"/>
      <c r="L249" s="54"/>
      <c r="M249" s="54"/>
      <c r="N249" s="54"/>
      <c r="O249" s="54"/>
      <c r="P249" s="54"/>
      <c r="Q249" s="54"/>
      <c r="R249" s="54"/>
      <c r="S249" s="275"/>
      <c r="T249" s="2469" t="s">
        <v>1979</v>
      </c>
      <c r="U249" s="3022"/>
      <c r="V249" s="290" t="e">
        <f t="shared" si="15"/>
        <v>#VALUE!</v>
      </c>
      <c r="W249" s="290" t="e">
        <f t="shared" si="15"/>
        <v>#VALUE!</v>
      </c>
      <c r="X249" s="290" t="e">
        <f t="shared" si="16"/>
        <v>#VALUE!</v>
      </c>
      <c r="Y249" s="317" t="e">
        <f t="shared" si="17"/>
        <v>#VALUE!</v>
      </c>
      <c r="Z249" s="196"/>
      <c r="AA249" s="54"/>
      <c r="AB249" s="45"/>
      <c r="AC249" s="45"/>
      <c r="AD249" s="45"/>
      <c r="AE249" s="45"/>
      <c r="AF249" s="45"/>
      <c r="AG249" s="45"/>
      <c r="AH249" s="45"/>
      <c r="AI249" s="45"/>
      <c r="AJ249" s="275"/>
      <c r="AK249" s="2469" t="s">
        <v>1979</v>
      </c>
      <c r="AL249" s="3022"/>
      <c r="AM249" s="3023" t="s">
        <v>276</v>
      </c>
      <c r="AN249" s="2591" t="s">
        <v>276</v>
      </c>
      <c r="AO249" s="2591" t="s">
        <v>276</v>
      </c>
      <c r="AP249" s="3024" t="s">
        <v>276</v>
      </c>
      <c r="AQ249" s="196"/>
      <c r="AR249" s="54"/>
      <c r="AS249" s="54"/>
      <c r="AT249" s="54"/>
      <c r="AU249" s="54"/>
      <c r="AV249" s="54"/>
      <c r="AW249" s="54"/>
      <c r="AX249" s="54"/>
      <c r="AY249" s="54"/>
      <c r="AZ249" s="54"/>
      <c r="BA249" s="1673" t="s">
        <v>947</v>
      </c>
      <c r="BB249" s="1699"/>
      <c r="BC249" s="54"/>
    </row>
    <row r="250" spans="1:55" ht="13.5" thickBot="1">
      <c r="A250" s="45"/>
      <c r="B250" s="1673"/>
      <c r="C250" s="2580"/>
      <c r="D250" s="2631"/>
      <c r="E250" s="2358"/>
      <c r="F250" s="2358"/>
      <c r="G250" s="2358"/>
      <c r="H250" s="2632"/>
      <c r="I250" s="2452"/>
      <c r="J250" s="54"/>
      <c r="K250" s="54"/>
      <c r="L250" s="54"/>
      <c r="M250" s="54"/>
      <c r="N250" s="54"/>
      <c r="O250" s="54"/>
      <c r="P250" s="54"/>
      <c r="Q250" s="54"/>
      <c r="R250" s="54"/>
      <c r="S250" s="275"/>
      <c r="T250" s="2580"/>
      <c r="U250" s="2631"/>
      <c r="V250" s="2358"/>
      <c r="W250" s="2358"/>
      <c r="X250" s="2358"/>
      <c r="Y250" s="2632"/>
      <c r="Z250" s="196"/>
      <c r="AA250" s="54"/>
      <c r="AB250" s="45"/>
      <c r="AC250" s="45"/>
      <c r="AD250" s="45"/>
      <c r="AE250" s="45"/>
      <c r="AF250" s="45"/>
      <c r="AG250" s="45"/>
      <c r="AH250" s="45"/>
      <c r="AI250" s="45"/>
      <c r="AJ250" s="275"/>
      <c r="AK250" s="2154"/>
      <c r="AL250" s="2155"/>
      <c r="AM250" s="211"/>
      <c r="AN250" s="211"/>
      <c r="AO250" s="211"/>
      <c r="AP250" s="2202"/>
      <c r="AQ250" s="196"/>
      <c r="AR250" s="54"/>
      <c r="AS250" s="54"/>
      <c r="AT250" s="54"/>
      <c r="AU250" s="54"/>
      <c r="AV250" s="54"/>
      <c r="AW250" s="54"/>
      <c r="AX250" s="54"/>
      <c r="AY250" s="54"/>
      <c r="AZ250" s="54"/>
      <c r="BA250" s="1673"/>
      <c r="BB250" s="1699"/>
      <c r="BC250" s="54"/>
    </row>
    <row r="251" spans="1:55">
      <c r="A251" s="45"/>
      <c r="B251" s="1673"/>
      <c r="C251" s="2357"/>
      <c r="D251" s="2633"/>
      <c r="E251" s="3751" t="s">
        <v>40</v>
      </c>
      <c r="F251" s="3751"/>
      <c r="G251" s="3751"/>
      <c r="H251" s="3751"/>
      <c r="I251" s="2541"/>
      <c r="J251" s="54"/>
      <c r="K251" s="54"/>
      <c r="L251" s="54"/>
      <c r="M251" s="54"/>
      <c r="N251" s="54"/>
      <c r="O251" s="54"/>
      <c r="P251" s="54"/>
      <c r="Q251" s="54"/>
      <c r="R251" s="54"/>
      <c r="S251" s="275"/>
      <c r="T251" s="191"/>
      <c r="U251" s="355"/>
      <c r="V251" s="3751" t="s">
        <v>40</v>
      </c>
      <c r="W251" s="3751"/>
      <c r="X251" s="3751"/>
      <c r="Y251" s="3751"/>
      <c r="Z251" s="273"/>
      <c r="AA251" s="54"/>
      <c r="AB251" s="45"/>
      <c r="AC251" s="45"/>
      <c r="AD251" s="45"/>
      <c r="AE251" s="45"/>
      <c r="AF251" s="45"/>
      <c r="AG251" s="45"/>
      <c r="AH251" s="45"/>
      <c r="AI251" s="45"/>
      <c r="AJ251" s="275"/>
      <c r="AK251" s="191"/>
      <c r="AL251" s="355"/>
      <c r="AM251" s="3751" t="s">
        <v>40</v>
      </c>
      <c r="AN251" s="3751"/>
      <c r="AO251" s="3751"/>
      <c r="AP251" s="3751"/>
      <c r="AQ251" s="273"/>
      <c r="AR251" s="54"/>
      <c r="AS251" s="54"/>
      <c r="AT251" s="54"/>
      <c r="AU251" s="54"/>
      <c r="AV251" s="54"/>
      <c r="AW251" s="54"/>
      <c r="AX251" s="54"/>
      <c r="AY251" s="54"/>
      <c r="AZ251" s="54"/>
      <c r="BA251" s="1673"/>
      <c r="BB251" s="1699"/>
      <c r="BC251" s="54"/>
    </row>
    <row r="252" spans="1:55">
      <c r="A252" s="45"/>
      <c r="B252" s="2634"/>
      <c r="C252" s="2635"/>
      <c r="D252" s="1664"/>
      <c r="E252" s="3751" t="s">
        <v>1778</v>
      </c>
      <c r="F252" s="3751"/>
      <c r="G252" s="3751"/>
      <c r="H252" s="3751"/>
      <c r="I252" s="2541"/>
      <c r="J252" s="54"/>
      <c r="K252" s="54"/>
      <c r="L252" s="54"/>
      <c r="M252" s="54"/>
      <c r="N252" s="54"/>
      <c r="O252" s="54"/>
      <c r="P252" s="54"/>
      <c r="Q252" s="54"/>
      <c r="R252" s="54"/>
      <c r="S252" s="356"/>
      <c r="T252" s="39"/>
      <c r="U252" s="90"/>
      <c r="V252" s="3751" t="s">
        <v>1820</v>
      </c>
      <c r="W252" s="3751"/>
      <c r="X252" s="3751"/>
      <c r="Y252" s="3751"/>
      <c r="Z252" s="273"/>
      <c r="AA252" s="54"/>
      <c r="AB252" s="45"/>
      <c r="AC252" s="45"/>
      <c r="AD252" s="45"/>
      <c r="AE252" s="45"/>
      <c r="AF252" s="45"/>
      <c r="AG252" s="45"/>
      <c r="AH252" s="45"/>
      <c r="AI252" s="45"/>
      <c r="AJ252" s="356"/>
      <c r="AK252" s="39"/>
      <c r="AL252" s="90"/>
      <c r="AM252" s="3751" t="s">
        <v>1820</v>
      </c>
      <c r="AN252" s="3751"/>
      <c r="AO252" s="3751"/>
      <c r="AP252" s="3751"/>
      <c r="AQ252" s="273"/>
      <c r="AR252" s="54"/>
      <c r="AS252" s="54"/>
      <c r="AT252" s="54"/>
      <c r="AU252" s="54"/>
      <c r="AV252" s="54"/>
      <c r="AW252" s="54"/>
      <c r="AX252" s="54"/>
      <c r="AY252" s="54"/>
      <c r="AZ252" s="54"/>
      <c r="BA252" s="1673"/>
      <c r="BB252" s="1699"/>
      <c r="BC252" s="54"/>
    </row>
    <row r="253" spans="1:55">
      <c r="A253" s="45"/>
      <c r="B253" s="2611"/>
      <c r="C253" s="2385" t="s">
        <v>175</v>
      </c>
      <c r="D253" s="2413"/>
      <c r="E253" s="2387">
        <f ca="1">IF(Transfer!$C$280=1,(Transfer!D161/Transfer!D147)*100*(((Transfer!D161/Transfer!D295)/(Transfer!C161/Transfer!C295))-1),(Transfer!D161/Transfer!D147)*100*(((Transfer!D161/Transfer!D112)/(Transfer!C161/Transfer!C112))-1))</f>
        <v>2.5307007559829562</v>
      </c>
      <c r="F253" s="2606">
        <f ca="1">IF(Transfer!$C$280=1,(Transfer!E161/Transfer!E147)*100*(((Transfer!E161/Transfer!E295)/(Transfer!D161/Transfer!D295))-1),(Transfer!E161/Transfer!E147)*100*(((Transfer!E161/Transfer!E112)/(Transfer!D161/Transfer!D112))-1))</f>
        <v>1.8652795577274488</v>
      </c>
      <c r="G253" s="2502">
        <f ca="1">IF(Transfer!$C$280=1,(Transfer!F161/Transfer!F147)*100*(((Transfer!F161/Transfer!F295)/(Transfer!E161/Transfer!E295))-1),(Transfer!F161/Transfer!F147)*100*(((Transfer!F161/Transfer!F112)/(Transfer!E161/Transfer!E112))-1))</f>
        <v>1.2183032262244842</v>
      </c>
      <c r="H253" s="2607">
        <f ca="1">IF(Transfer!$C$280=1,(Transfer!G161/Transfer!G147)*100*(((Transfer!G161/Transfer!G295)/(Transfer!F161/Transfer!F295))-1),(Transfer!G161/Transfer!G147)*100*(((Transfer!G161/Transfer!G112)/(Transfer!F161/Transfer!F112))-1))</f>
        <v>1.368929146870199</v>
      </c>
      <c r="I253" s="2452"/>
      <c r="J253" s="54"/>
      <c r="K253" s="54"/>
      <c r="L253" s="54"/>
      <c r="M253" s="54"/>
      <c r="N253" s="54"/>
      <c r="O253" s="54"/>
      <c r="P253" s="54"/>
      <c r="Q253" s="54"/>
      <c r="R253" s="54"/>
      <c r="S253" s="344"/>
      <c r="T253" s="285" t="s">
        <v>175</v>
      </c>
      <c r="U253" s="357"/>
      <c r="V253" s="91">
        <f t="shared" ref="V253:Y254" ca="1" si="18">ROUND(E253,1)-ROUND(AM253,1)</f>
        <v>2</v>
      </c>
      <c r="W253" s="91">
        <f t="shared" ca="1" si="18"/>
        <v>0.89999999999999991</v>
      </c>
      <c r="X253" s="91">
        <f t="shared" ca="1" si="18"/>
        <v>0.5</v>
      </c>
      <c r="Y253" s="81">
        <f t="shared" ca="1" si="18"/>
        <v>0.59999999999999987</v>
      </c>
      <c r="Z253" s="196"/>
      <c r="AA253" s="54"/>
      <c r="AB253" s="45"/>
      <c r="AC253" s="45"/>
      <c r="AD253" s="45"/>
      <c r="AE253" s="45"/>
      <c r="AF253" s="45"/>
      <c r="AG253" s="45"/>
      <c r="AH253" s="45"/>
      <c r="AI253" s="45"/>
      <c r="AJ253" s="344"/>
      <c r="AK253" s="2385" t="s">
        <v>175</v>
      </c>
      <c r="AL253" s="2123"/>
      <c r="AM253" s="2113">
        <f>IF(Transfer!$C$280=1,(Transfer!AD161/Transfer!AD147)*100*(((Transfer!AD161/Transfer!AD295)/(Transfer!AC161/Transfer!AC295))-1),(Transfer!AD161/Transfer!AD147)*100*(((Transfer!AD161/Transfer!AD112)/(Transfer!AC161/Transfer!AC112))-1))</f>
        <v>0.52894736244132545</v>
      </c>
      <c r="AN253" s="2198">
        <f>IF(Transfer!$C$280=1,(Transfer!AE161/Transfer!AE147)*100*(((Transfer!AE161/Transfer!AE295)/(Transfer!AD161/Transfer!AD295))-1),(Transfer!AE161/Transfer!AE147)*100*(((Transfer!AE161/Transfer!AE112)/(Transfer!AD161/Transfer!AD112))-1))</f>
        <v>1.0063838218899226</v>
      </c>
      <c r="AO253" s="2145">
        <f>IF(Transfer!$C$280=1,(Transfer!AF161/Transfer!AF147)*100*(((Transfer!AF161/Transfer!AF295)/(Transfer!AE161/Transfer!AE295))-1),(Transfer!AF161/Transfer!AF147)*100*(((Transfer!AF161/Transfer!AF112)/(Transfer!AE161/Transfer!AE112))-1))</f>
        <v>0.74163367873660746</v>
      </c>
      <c r="AP253" s="2199">
        <f>IF(Transfer!$C$280=1,(Transfer!AG161/Transfer!AG147)*100*(((Transfer!AG161/Transfer!AG295)/(Transfer!AF161/Transfer!AF295))-1),(Transfer!AG161/Transfer!AG147)*100*(((Transfer!AG161/Transfer!AG112)/(Transfer!AF161/Transfer!AF112))-1))</f>
        <v>0.78706668246306088</v>
      </c>
      <c r="AQ253" s="196"/>
      <c r="AR253" s="54"/>
      <c r="AS253" s="54"/>
      <c r="AT253" s="54"/>
      <c r="AU253" s="54"/>
      <c r="AV253" s="54"/>
      <c r="AW253" s="54"/>
      <c r="AX253" s="54"/>
      <c r="AY253" s="54"/>
      <c r="AZ253" s="54"/>
      <c r="BA253" s="1673" t="s">
        <v>896</v>
      </c>
      <c r="BB253" s="1699"/>
      <c r="BC253" s="54"/>
    </row>
    <row r="254" spans="1:55">
      <c r="A254" s="45"/>
      <c r="B254" s="1673"/>
      <c r="C254" s="2608" t="s">
        <v>1353</v>
      </c>
      <c r="D254" s="2609"/>
      <c r="E254" s="2502">
        <f ca="1">(Transfer!D162/Transfer!D147)*100*(((Transfer!D162/Transfer!D295)/(Transfer!C162/Transfer!C295))-1)</f>
        <v>1.8860690665535658</v>
      </c>
      <c r="F254" s="2502">
        <f ca="1">(Transfer!E162/Transfer!E147)*100*(((Transfer!E162/Transfer!E295)/(Transfer!D162/Transfer!D295))-1)</f>
        <v>1.1542357866052984</v>
      </c>
      <c r="G254" s="2502">
        <f ca="1">(Transfer!F162/Transfer!F147)*100*(((Transfer!F162/Transfer!F295)/(Transfer!E162/Transfer!E295))-1)</f>
        <v>0.85102281526290213</v>
      </c>
      <c r="H254" s="2607">
        <f ca="1">(Transfer!G162/Transfer!G147)*100*(((Transfer!G162/Transfer!G295)/(Transfer!F162/Transfer!F295))-1)</f>
        <v>1.0343704818660715</v>
      </c>
      <c r="I254" s="2390"/>
      <c r="J254" s="54"/>
      <c r="K254" s="54"/>
      <c r="L254" s="54"/>
      <c r="M254" s="54"/>
      <c r="N254" s="54"/>
      <c r="O254" s="54"/>
      <c r="P254" s="54"/>
      <c r="Q254" s="54"/>
      <c r="R254" s="54"/>
      <c r="S254" s="275"/>
      <c r="T254" s="86" t="s">
        <v>1353</v>
      </c>
      <c r="U254" s="343"/>
      <c r="V254" s="91">
        <f t="shared" ca="1" si="18"/>
        <v>1.7999999999999998</v>
      </c>
      <c r="W254" s="91">
        <f t="shared" ca="1" si="18"/>
        <v>0.29999999999999993</v>
      </c>
      <c r="X254" s="91">
        <f t="shared" ca="1" si="18"/>
        <v>0.20000000000000007</v>
      </c>
      <c r="Y254" s="93">
        <f t="shared" ca="1" si="18"/>
        <v>0.19999999999999996</v>
      </c>
      <c r="Z254" s="361"/>
      <c r="AA254" s="54"/>
      <c r="AB254" s="45"/>
      <c r="AC254" s="45"/>
      <c r="AD254" s="45"/>
      <c r="AE254" s="45"/>
      <c r="AF254" s="45"/>
      <c r="AG254" s="45"/>
      <c r="AH254" s="45"/>
      <c r="AI254" s="45"/>
      <c r="AJ254" s="275"/>
      <c r="AK254" s="2608" t="s">
        <v>1353</v>
      </c>
      <c r="AL254" s="2151"/>
      <c r="AM254" s="2145">
        <f>(Transfer!AD162/Transfer!AD147)*100*(((Transfer!AD162/Transfer!AD295)/(Transfer!AC162/Transfer!AC295))-1)</f>
        <v>5.0905138408437238E-2</v>
      </c>
      <c r="AN254" s="2145">
        <f>(Transfer!AE162/Transfer!AE147)*100*(((Transfer!AE162/Transfer!AE295)/(Transfer!AD162/Transfer!AD295))-1)</f>
        <v>0.91118035917465434</v>
      </c>
      <c r="AO254" s="2145">
        <f>(Transfer!AF162/Transfer!AF147)*100*(((Transfer!AF162/Transfer!AF295)/(Transfer!AE162/Transfer!AE295))-1)</f>
        <v>0.7210502408036219</v>
      </c>
      <c r="AP254" s="2199">
        <f>(Transfer!AG162/Transfer!AG147)*100*(((Transfer!AG162/Transfer!AG295)/(Transfer!AF162/Transfer!AF295))-1)</f>
        <v>0.81290640910458944</v>
      </c>
      <c r="AQ254" s="361"/>
      <c r="AR254" s="54"/>
      <c r="AS254" s="54"/>
      <c r="AT254" s="54"/>
      <c r="AU254" s="54"/>
      <c r="AV254" s="54"/>
      <c r="AW254" s="54"/>
      <c r="AX254" s="54"/>
      <c r="AY254" s="54"/>
      <c r="AZ254" s="54"/>
      <c r="BA254" s="1673" t="s">
        <v>897</v>
      </c>
      <c r="BB254" s="1699"/>
      <c r="BC254" s="54"/>
    </row>
    <row r="255" spans="1:55">
      <c r="A255" s="45"/>
      <c r="B255" s="1673"/>
      <c r="C255" s="2608" t="s">
        <v>1354</v>
      </c>
      <c r="D255" s="2609"/>
      <c r="E255" s="2502">
        <f ca="1">+E253-E254</f>
        <v>0.64463168942939042</v>
      </c>
      <c r="F255" s="2502">
        <f ca="1">+F253-F254</f>
        <v>0.71104377112215045</v>
      </c>
      <c r="G255" s="2502">
        <f ca="1">+G253-G254</f>
        <v>0.36728041096158204</v>
      </c>
      <c r="H255" s="2607">
        <f ca="1">+H253-H254</f>
        <v>0.33455866500412745</v>
      </c>
      <c r="I255" s="2390"/>
      <c r="J255" s="54"/>
      <c r="K255" s="54"/>
      <c r="L255" s="54"/>
      <c r="M255" s="54"/>
      <c r="N255" s="54"/>
      <c r="O255" s="54"/>
      <c r="P255" s="54"/>
      <c r="Q255" s="54"/>
      <c r="R255" s="54"/>
      <c r="S255" s="275"/>
      <c r="T255" s="86" t="s">
        <v>1354</v>
      </c>
      <c r="U255" s="343"/>
      <c r="V255" s="91">
        <f ca="1">ROUND(E255,1)-ROUND(AM255,1)</f>
        <v>9.9999999999999978E-2</v>
      </c>
      <c r="W255" s="91">
        <f ca="1">ROUND(F255,1)-ROUND(AN255,1)</f>
        <v>0.6</v>
      </c>
      <c r="X255" s="91">
        <f ca="1">ROUND(G255,1)-ROUND(AO255,1)</f>
        <v>0.4</v>
      </c>
      <c r="Y255" s="93">
        <f ca="1">ROUND(H255,1)-ROUND(AP255,1)</f>
        <v>0.3</v>
      </c>
      <c r="Z255" s="361"/>
      <c r="AA255" s="54"/>
      <c r="AB255" s="45"/>
      <c r="AC255" s="45"/>
      <c r="AD255" s="45"/>
      <c r="AE255" s="45"/>
      <c r="AF255" s="45"/>
      <c r="AG255" s="45"/>
      <c r="AH255" s="45"/>
      <c r="AI255" s="45"/>
      <c r="AJ255" s="275"/>
      <c r="AK255" s="2608" t="s">
        <v>1354</v>
      </c>
      <c r="AL255" s="2151"/>
      <c r="AM255" s="2145">
        <f>+AM253-AM254</f>
        <v>0.47804222403288821</v>
      </c>
      <c r="AN255" s="2145">
        <f>+AN253-AN254</f>
        <v>9.520346271526825E-2</v>
      </c>
      <c r="AO255" s="2145">
        <f>+AO253-AO254</f>
        <v>2.058343793298556E-2</v>
      </c>
      <c r="AP255" s="2199">
        <f>+AP253-AP254</f>
        <v>-2.583972664152856E-2</v>
      </c>
      <c r="AQ255" s="361"/>
      <c r="AR255" s="54"/>
      <c r="AS255" s="54"/>
      <c r="AT255" s="54"/>
      <c r="AU255" s="54"/>
      <c r="AV255" s="54"/>
      <c r="AW255" s="54"/>
      <c r="AX255" s="54"/>
      <c r="AY255" s="54"/>
      <c r="AZ255" s="54"/>
      <c r="BA255" s="1996" t="s">
        <v>898</v>
      </c>
      <c r="BB255" s="1699"/>
      <c r="BC255" s="54"/>
    </row>
    <row r="256" spans="1:55">
      <c r="A256" s="45"/>
      <c r="B256" s="2618"/>
      <c r="C256" s="2385" t="s">
        <v>1355</v>
      </c>
      <c r="D256" s="2413"/>
      <c r="E256" s="2387">
        <f ca="1">1*((SUM(Transfer!D147,Transfer!D223,Transfer!D233)-SUM(Transfer!D161,Transfer!D213,Transfer!D231))/Transfer!D147)*100*((((SUM(Transfer!D147,Transfer!D223,Transfer!D233)-SUM(Transfer!D161,Transfer!D213,Transfer!D231))/Transfer!D295)/((SUM(Transfer!C147,Transfer!C223,Transfer!C233)-SUM(Transfer!C161,Transfer!C213,Transfer!C231))/Transfer!C295))-1)</f>
        <v>-1.5185982233699993</v>
      </c>
      <c r="F256" s="2606">
        <f ca="1">1*((SUM(Transfer!E147,Transfer!E223,Transfer!E233)-SUM(Transfer!E161,Transfer!E213,Transfer!E231))/Transfer!E147)*100*((((SUM(Transfer!E147,Transfer!E223,Transfer!E233)-SUM(Transfer!E161,Transfer!E213,Transfer!E231))/Transfer!E295)/((SUM(Transfer!D147,Transfer!D223,Transfer!D233)-SUM(Transfer!D161,Transfer!D213,Transfer!D231))/Transfer!D295))-1)</f>
        <v>0.95292488303686607</v>
      </c>
      <c r="G256" s="2502">
        <f ca="1">1*((SUM(Transfer!F147,Transfer!F223,Transfer!F233)-SUM(Transfer!F161,Transfer!F213,Transfer!F231))/Transfer!F147)*100*((((SUM(Transfer!F147,Transfer!F223,Transfer!F233)-SUM(Transfer!F161,Transfer!F213,Transfer!F231))/Transfer!F295)/((SUM(Transfer!E147,Transfer!E223,Transfer!E233)-SUM(Transfer!E161,Transfer!E213,Transfer!E231))/Transfer!E295))-1)</f>
        <v>1.0139267715876563</v>
      </c>
      <c r="H256" s="2607">
        <f ca="1">1*((SUM(Transfer!G147,Transfer!G223,Transfer!G233)-SUM(Transfer!G161,Transfer!G213,Transfer!G231))/Transfer!G147)*100*((((SUM(Transfer!G147,Transfer!G223,Transfer!G233)-SUM(Transfer!G161,Transfer!G213,Transfer!G231))/Transfer!G295)/((SUM(Transfer!F147,Transfer!F223,Transfer!F233)-SUM(Transfer!F161,Transfer!F213,Transfer!F231))/Transfer!F295))-1)</f>
        <v>1.1461201613480785</v>
      </c>
      <c r="I256" s="2368"/>
      <c r="J256" s="54"/>
      <c r="K256" s="54"/>
      <c r="L256" s="54"/>
      <c r="M256" s="54"/>
      <c r="N256" s="54"/>
      <c r="O256" s="54"/>
      <c r="P256" s="54"/>
      <c r="Q256" s="54"/>
      <c r="R256" s="54"/>
      <c r="S256" s="347"/>
      <c r="T256" s="180" t="s">
        <v>1355</v>
      </c>
      <c r="U256" s="363"/>
      <c r="V256" s="91">
        <f t="shared" ref="V256:Y259" ca="1" si="19">ROUND(E256,1)-ROUND(AM256,1)</f>
        <v>-3.8</v>
      </c>
      <c r="W256" s="91">
        <f t="shared" ca="1" si="19"/>
        <v>-0.10000000000000009</v>
      </c>
      <c r="X256" s="91">
        <f t="shared" ca="1" si="19"/>
        <v>-0.7</v>
      </c>
      <c r="Y256" s="93">
        <f t="shared" ca="1" si="19"/>
        <v>-0.7</v>
      </c>
      <c r="Z256" s="364"/>
      <c r="AA256" s="54"/>
      <c r="AB256" s="45"/>
      <c r="AC256" s="45"/>
      <c r="AD256" s="45"/>
      <c r="AE256" s="45"/>
      <c r="AF256" s="45"/>
      <c r="AG256" s="45"/>
      <c r="AH256" s="45"/>
      <c r="AI256" s="45"/>
      <c r="AJ256" s="347"/>
      <c r="AK256" s="2385" t="s">
        <v>1355</v>
      </c>
      <c r="AL256" s="2123"/>
      <c r="AM256" s="2113">
        <f>1*((SUM(Transfer!AD147,Transfer!AD223,Transfer!AD233)-SUM(Transfer!AD161,Transfer!AD213,Transfer!AD231))/Transfer!AD147)*100*((((SUM(Transfer!AD147,Transfer!AD223,Transfer!AD233)-SUM(Transfer!AD161,Transfer!AD213,Transfer!AD231))/Transfer!AD295)/((SUM(Transfer!AC147,Transfer!AC223,Transfer!AC233)-SUM(Transfer!AC161,Transfer!AC213,Transfer!AC231))/Transfer!AC295))-1)</f>
        <v>2.3071286075556126</v>
      </c>
      <c r="AN256" s="2198">
        <f>1*((SUM(Transfer!AE147,Transfer!AE223,Transfer!AE233)-SUM(Transfer!AE161,Transfer!AE213,Transfer!AE231))/Transfer!AE147)*100*((((SUM(Transfer!AE147,Transfer!AE223,Transfer!AE233)-SUM(Transfer!AE161,Transfer!AE213,Transfer!AE231))/Transfer!AE295)/((SUM(Transfer!AD147,Transfer!AD223,Transfer!AD233)-SUM(Transfer!AD161,Transfer!AD213,Transfer!AD231))/Transfer!AD295))-1)</f>
        <v>1.1483129889063057</v>
      </c>
      <c r="AO256" s="2145">
        <f>1*((SUM(Transfer!AF147,Transfer!AF223,Transfer!AF233)-SUM(Transfer!AF161,Transfer!AF213,Transfer!AF231))/Transfer!AF147)*100*((((SUM(Transfer!AF147,Transfer!AF223,Transfer!AF233)-SUM(Transfer!AF161,Transfer!AF213,Transfer!AF231))/Transfer!AF295)/((SUM(Transfer!AE147,Transfer!AE223,Transfer!AE233)-SUM(Transfer!AE161,Transfer!AE213,Transfer!AE231))/Transfer!AE295))-1)</f>
        <v>1.6524713541006673</v>
      </c>
      <c r="AP256" s="2199">
        <f>1*((SUM(Transfer!AG147,Transfer!AG223,Transfer!AG233)-SUM(Transfer!AG161,Transfer!AG213,Transfer!AG231))/Transfer!AG147)*100*((((SUM(Transfer!AG147,Transfer!AG223,Transfer!AG233)-SUM(Transfer!AG161,Transfer!AG213,Transfer!AG231))/Transfer!AG295)/((SUM(Transfer!AF147,Transfer!AF223,Transfer!AF233)-SUM(Transfer!AF161,Transfer!AF213,Transfer!AF231))/Transfer!AF295))-1)</f>
        <v>1.803060547263813</v>
      </c>
      <c r="AQ256" s="364"/>
      <c r="AR256" s="54"/>
      <c r="AS256" s="54"/>
      <c r="AT256" s="54"/>
      <c r="AU256" s="54"/>
      <c r="AV256" s="54"/>
      <c r="AW256" s="54"/>
      <c r="AX256" s="54"/>
      <c r="AY256" s="54"/>
      <c r="AZ256" s="54"/>
      <c r="BA256" s="1673" t="s">
        <v>535</v>
      </c>
      <c r="BB256" s="1699"/>
      <c r="BC256" s="54"/>
    </row>
    <row r="257" spans="1:55">
      <c r="A257" s="45"/>
      <c r="B257" s="1665"/>
      <c r="C257" s="2612" t="s">
        <v>591</v>
      </c>
      <c r="D257" s="2613"/>
      <c r="E257" s="2614">
        <f ca="1">((SUM(Transfer!D147,Transfer!D223,Transfer!D233)-SUM(Transfer!D213,Transfer!D231))/Transfer!D147)*100*((((SUM(Transfer!D147,Transfer!D223,Transfer!D233)-SUM(Transfer!D213,Transfer!D231))/Transfer!D295)/((SUM(Transfer!C147,Transfer!C223,Transfer!C233)-SUM(Transfer!C213,Transfer!C231))/Transfer!C295))-1)</f>
        <v>0.82937824962909457</v>
      </c>
      <c r="F257" s="2615">
        <f ca="1">((SUM(Transfer!E147,Transfer!E223,Transfer!E233)-SUM(Transfer!E213,Transfer!E231))/Transfer!E147)*100*((((SUM(Transfer!E147,Transfer!E223,Transfer!E233)-SUM(Transfer!E213,Transfer!E231))/Transfer!E295)/((SUM(Transfer!D147,Transfer!D223,Transfer!D233)-SUM(Transfer!D213,Transfer!D231))/Transfer!D295))-1)</f>
        <v>2.8084644567901518</v>
      </c>
      <c r="G257" s="2615">
        <f ca="1">((SUM(Transfer!F147,Transfer!F223,Transfer!F233)-SUM(Transfer!F213,Transfer!F231))/Transfer!F147)*100*((((SUM(Transfer!F147,Transfer!F223,Transfer!F233)-SUM(Transfer!F213,Transfer!F231))/Transfer!F295)/((SUM(Transfer!E147,Transfer!E223,Transfer!E233)-SUM(Transfer!E213,Transfer!E231))/Transfer!E295))-1)</f>
        <v>2.2316667275832689</v>
      </c>
      <c r="H257" s="2616">
        <f ca="1">((SUM(Transfer!G147,Transfer!G223,Transfer!G233)-SUM(Transfer!G213,Transfer!G231))/Transfer!G147)*100*((((SUM(Transfer!G147,Transfer!G223,Transfer!G233)-SUM(Transfer!G213,Transfer!G231))/Transfer!G295)/((SUM(Transfer!F147,Transfer!F223,Transfer!F233)-SUM(Transfer!F213,Transfer!F231))/Transfer!F295))-1)</f>
        <v>2.5144125519511413</v>
      </c>
      <c r="I257" s="2834"/>
      <c r="J257" s="54"/>
      <c r="K257" s="54"/>
      <c r="L257" s="54"/>
      <c r="M257" s="54"/>
      <c r="N257" s="54"/>
      <c r="O257" s="54"/>
      <c r="P257" s="54"/>
      <c r="Q257" s="54"/>
      <c r="R257" s="54"/>
      <c r="S257" s="190"/>
      <c r="T257" s="288" t="s">
        <v>591</v>
      </c>
      <c r="U257" s="365"/>
      <c r="V257" s="156">
        <f t="shared" ca="1" si="19"/>
        <v>-1.9999999999999998</v>
      </c>
      <c r="W257" s="156">
        <f t="shared" ca="1" si="19"/>
        <v>0.59999999999999964</v>
      </c>
      <c r="X257" s="156">
        <f t="shared" ca="1" si="19"/>
        <v>-0.19999999999999973</v>
      </c>
      <c r="Y257" s="283">
        <f t="shared" ca="1" si="19"/>
        <v>-0.10000000000000009</v>
      </c>
      <c r="Z257" s="366"/>
      <c r="AA257" s="54"/>
      <c r="AB257" s="45"/>
      <c r="AC257" s="45"/>
      <c r="AD257" s="45"/>
      <c r="AE257" s="45"/>
      <c r="AF257" s="45"/>
      <c r="AG257" s="45"/>
      <c r="AH257" s="45"/>
      <c r="AI257" s="45"/>
      <c r="AJ257" s="190"/>
      <c r="AK257" s="2612" t="s">
        <v>591</v>
      </c>
      <c r="AL257" s="2157"/>
      <c r="AM257" s="2184">
        <f>((SUM(Transfer!AD147,Transfer!AD223,Transfer!AD233)-SUM(Transfer!AD213,Transfer!AD231))/Transfer!AD147)*100*((((SUM(Transfer!AD147,Transfer!AD223,Transfer!AD233)-SUM(Transfer!AD213,Transfer!AD231))/Transfer!AD295)/((SUM(Transfer!AC147,Transfer!AC223,Transfer!AC233)-SUM(Transfer!AC213,Transfer!AC231))/Transfer!AC295))-1)</f>
        <v>2.8141802253258166</v>
      </c>
      <c r="AN257" s="2185">
        <f>((SUM(Transfer!AE147,Transfer!AE223,Transfer!AE233)-SUM(Transfer!AE213,Transfer!AE231))/Transfer!AE147)*100*((((SUM(Transfer!AE147,Transfer!AE223,Transfer!AE233)-SUM(Transfer!AE213,Transfer!AE231))/Transfer!AE295)/((SUM(Transfer!AD147,Transfer!AD223,Transfer!AD233)-SUM(Transfer!AD213,Transfer!AD231))/Transfer!AD295))-1)</f>
        <v>2.1545002025010733</v>
      </c>
      <c r="AO257" s="2185">
        <f>((SUM(Transfer!AF147,Transfer!AF223,Transfer!AF233)-SUM(Transfer!AF213,Transfer!AF231))/Transfer!AF147)*100*((((SUM(Transfer!AF147,Transfer!AF223,Transfer!AF233)-SUM(Transfer!AF213,Transfer!AF231))/Transfer!AF295)/((SUM(Transfer!AE147,Transfer!AE223,Transfer!AE233)-SUM(Transfer!AE213,Transfer!AE231))/Transfer!AE295))-1)</f>
        <v>2.3902973393269522</v>
      </c>
      <c r="AP257" s="2186">
        <f>((SUM(Transfer!AG147,Transfer!AG223,Transfer!AG233)-SUM(Transfer!AG213,Transfer!AG231))/Transfer!AG147)*100*((((SUM(Transfer!AG147,Transfer!AG223,Transfer!AG233)-SUM(Transfer!AG213,Transfer!AG231))/Transfer!AG295)/((SUM(Transfer!AF147,Transfer!AF223,Transfer!AF233)-SUM(Transfer!AF213,Transfer!AF231))/Transfer!AF295))-1)</f>
        <v>2.5854969729363591</v>
      </c>
      <c r="AQ257" s="366"/>
      <c r="AR257" s="54"/>
      <c r="AS257" s="54"/>
      <c r="AT257" s="54"/>
      <c r="AU257" s="54"/>
      <c r="AV257" s="54"/>
      <c r="AW257" s="54"/>
      <c r="AX257" s="54"/>
      <c r="AY257" s="54"/>
      <c r="AZ257" s="54"/>
      <c r="BA257" s="1673" t="s">
        <v>186</v>
      </c>
      <c r="BB257" s="1699"/>
      <c r="BC257" s="54"/>
    </row>
    <row r="258" spans="1:55">
      <c r="A258" s="45"/>
      <c r="B258" s="1673"/>
      <c r="C258" s="2385" t="s">
        <v>592</v>
      </c>
      <c r="D258" s="2413"/>
      <c r="E258" s="2387">
        <f ca="1">((Transfer!D150-Transfer!D151)/Transfer!D147)*100*((((Transfer!D150-Transfer!D151)/Transfer!D295)/((Transfer!C150-Transfer!C151)/Transfer!C295))-1)</f>
        <v>0.195952876377257</v>
      </c>
      <c r="F258" s="2606">
        <f ca="1">((Transfer!E150-Transfer!E151)/Transfer!E147)*100*((((Transfer!E150-Transfer!E151)/Transfer!E295)/((Transfer!D150-Transfer!D151)/Transfer!D295))-1)</f>
        <v>0.53201117082348282</v>
      </c>
      <c r="G258" s="2502">
        <f ca="1">((Transfer!F150-Transfer!F151)/Transfer!F147)*100*((((Transfer!F150-Transfer!F151)/Transfer!F295)/((Transfer!E150-Transfer!E151)/Transfer!E295))-1)</f>
        <v>0.36986172271758044</v>
      </c>
      <c r="H258" s="2607">
        <f ca="1">((Transfer!G150-Transfer!G151)/Transfer!G147)*100*((((Transfer!G150-Transfer!G151)/Transfer!G295)/((Transfer!F150-Transfer!F151)/Transfer!F295))-1)</f>
        <v>0.32282229417926533</v>
      </c>
      <c r="I258" s="2368"/>
      <c r="J258" s="54"/>
      <c r="K258" s="54"/>
      <c r="L258" s="54"/>
      <c r="M258" s="54"/>
      <c r="N258" s="54"/>
      <c r="O258" s="54"/>
      <c r="P258" s="54"/>
      <c r="Q258" s="54"/>
      <c r="R258" s="54"/>
      <c r="S258" s="275"/>
      <c r="T258" s="40" t="s">
        <v>592</v>
      </c>
      <c r="U258" s="196"/>
      <c r="V258" s="91">
        <f t="shared" ca="1" si="19"/>
        <v>0.30000000000000004</v>
      </c>
      <c r="W258" s="91">
        <f t="shared" ca="1" si="19"/>
        <v>0.8</v>
      </c>
      <c r="X258" s="91">
        <f t="shared" ca="1" si="19"/>
        <v>0.4</v>
      </c>
      <c r="Y258" s="93">
        <f t="shared" ca="1" si="19"/>
        <v>9.9999999999999978E-2</v>
      </c>
      <c r="Z258" s="364"/>
      <c r="AA258" s="54"/>
      <c r="AB258" s="45"/>
      <c r="AC258" s="45"/>
      <c r="AD258" s="45"/>
      <c r="AE258" s="45"/>
      <c r="AF258" s="45"/>
      <c r="AG258" s="45"/>
      <c r="AH258" s="45"/>
      <c r="AI258" s="45"/>
      <c r="AJ258" s="275"/>
      <c r="AK258" s="2385" t="s">
        <v>592</v>
      </c>
      <c r="AL258" s="2123"/>
      <c r="AM258" s="2113">
        <f>((Transfer!AD150-Transfer!AD151)/Transfer!AD147)*100*((((Transfer!AD150-Transfer!AD151)/Transfer!AD295)/((Transfer!AC150-Transfer!AC151)/Transfer!AC295))-1)</f>
        <v>-0.1443432213997973</v>
      </c>
      <c r="AN258" s="2198">
        <f>((Transfer!AE150-Transfer!AE151)/Transfer!AE147)*100*((((Transfer!AE150-Transfer!AE151)/Transfer!AE295)/((Transfer!AD150-Transfer!AD151)/Transfer!AD295))-1)</f>
        <v>-0.28404755213696936</v>
      </c>
      <c r="AO258" s="2145">
        <f>((Transfer!AF150-Transfer!AF151)/Transfer!AF147)*100*((((Transfer!AF150-Transfer!AF151)/Transfer!AF295)/((Transfer!AE150-Transfer!AE151)/Transfer!AE295))-1)</f>
        <v>4.6627404101092507E-2</v>
      </c>
      <c r="AP258" s="2199">
        <f>((Transfer!AG150-Transfer!AG151)/Transfer!AG147)*100*((((Transfer!AG150-Transfer!AG151)/Transfer!AG295)/((Transfer!AF150-Transfer!AF151)/Transfer!AF295))-1)</f>
        <v>0.16859701605187583</v>
      </c>
      <c r="AQ258" s="364"/>
      <c r="AR258" s="54"/>
      <c r="AS258" s="54"/>
      <c r="AT258" s="54"/>
      <c r="AU258" s="54"/>
      <c r="AV258" s="54"/>
      <c r="AW258" s="54"/>
      <c r="AX258" s="54"/>
      <c r="AY258" s="54"/>
      <c r="AZ258" s="54"/>
      <c r="BA258" s="1673" t="s">
        <v>536</v>
      </c>
      <c r="BB258" s="1699"/>
      <c r="BC258" s="54"/>
    </row>
    <row r="259" spans="1:55" ht="13.5" thickBot="1">
      <c r="A259" s="45"/>
      <c r="B259" s="1673"/>
      <c r="C259" s="2612" t="s">
        <v>593</v>
      </c>
      <c r="D259" s="2613"/>
      <c r="E259" s="2614">
        <f ca="1">100*(((1000*(Transfer!D147)/Transfer!D295)/((1000*(Transfer!C147)/Transfer!C295)))-1)</f>
        <v>0.95054750240290975</v>
      </c>
      <c r="F259" s="2615">
        <f ca="1">100*(((1000*(Transfer!E147)/Transfer!E295)/((1000*(Transfer!D147)/Transfer!D295)))-1)</f>
        <v>3.3288753280726446</v>
      </c>
      <c r="G259" s="2615">
        <f ca="1">100*(((1000*(Transfer!F147)/Transfer!F295)/((1000*(Transfer!E147)/Transfer!E295)))-1)</f>
        <v>2.6186320478604586</v>
      </c>
      <c r="H259" s="2616">
        <f ca="1">100*(((1000*(Transfer!G147)/Transfer!G295)/((1000*(Transfer!F147)/Transfer!F295)))-1)</f>
        <v>2.856613044494094</v>
      </c>
      <c r="I259" s="2460"/>
      <c r="J259" s="54"/>
      <c r="K259" s="54"/>
      <c r="L259" s="54"/>
      <c r="M259" s="54"/>
      <c r="N259" s="54"/>
      <c r="O259" s="54"/>
      <c r="P259" s="54"/>
      <c r="Q259" s="54"/>
      <c r="R259" s="54"/>
      <c r="S259" s="275"/>
      <c r="T259" s="369" t="s">
        <v>593</v>
      </c>
      <c r="U259" s="370"/>
      <c r="V259" s="290">
        <f t="shared" ca="1" si="19"/>
        <v>-1.6</v>
      </c>
      <c r="W259" s="290">
        <f t="shared" ca="1" si="19"/>
        <v>1.4</v>
      </c>
      <c r="X259" s="290">
        <f t="shared" ca="1" si="19"/>
        <v>0.10000000000000009</v>
      </c>
      <c r="Y259" s="317">
        <f t="shared" ca="1" si="19"/>
        <v>0.10000000000000009</v>
      </c>
      <c r="Z259" s="203"/>
      <c r="AA259" s="54"/>
      <c r="AB259" s="45"/>
      <c r="AC259" s="45"/>
      <c r="AD259" s="45"/>
      <c r="AE259" s="45"/>
      <c r="AF259" s="45"/>
      <c r="AG259" s="45"/>
      <c r="AH259" s="45"/>
      <c r="AI259" s="45"/>
      <c r="AJ259" s="275"/>
      <c r="AK259" s="2612" t="s">
        <v>593</v>
      </c>
      <c r="AL259" s="2157"/>
      <c r="AM259" s="2184">
        <f>100*(((1000*(Transfer!AD147)/Transfer!AD295)/((1000*(Transfer!AC147)/Transfer!AC295)))-1)</f>
        <v>2.6440514678911953</v>
      </c>
      <c r="AN259" s="2185">
        <f>100*(((1000*(Transfer!AE147)/Transfer!AE295)/((1000*(Transfer!AD147)/Transfer!AD295)))-1)</f>
        <v>1.8917575190050329</v>
      </c>
      <c r="AO259" s="2185">
        <f>100*(((1000*(Transfer!AF147)/Transfer!AF295)/((1000*(Transfer!AE147)/Transfer!AE295)))-1)</f>
        <v>2.4509981007355242</v>
      </c>
      <c r="AP259" s="2186">
        <f>100*(((1000*(Transfer!AG147)/Transfer!AG295)/((1000*(Transfer!AF147)/Transfer!AF295)))-1)</f>
        <v>2.7697821733007055</v>
      </c>
      <c r="AQ259" s="203"/>
      <c r="AR259" s="54"/>
      <c r="AS259" s="54"/>
      <c r="AT259" s="54"/>
      <c r="AU259" s="54"/>
      <c r="AV259" s="54"/>
      <c r="AW259" s="54"/>
      <c r="AX259" s="54"/>
      <c r="AY259" s="54"/>
      <c r="AZ259" s="54"/>
      <c r="BA259" s="1994" t="s">
        <v>1689</v>
      </c>
      <c r="BB259" s="1702"/>
      <c r="BC259" s="54"/>
    </row>
    <row r="260" spans="1:55" ht="13.5" thickBot="1">
      <c r="A260" s="45"/>
      <c r="B260" s="1665"/>
      <c r="C260" s="2636" t="s">
        <v>1959</v>
      </c>
      <c r="D260" s="2595"/>
      <c r="E260" s="2595"/>
      <c r="F260" s="2595"/>
      <c r="G260" s="2595"/>
      <c r="H260" s="2596"/>
      <c r="I260" s="1664"/>
      <c r="J260" s="54"/>
      <c r="K260" s="54"/>
      <c r="L260" s="54"/>
      <c r="M260" s="54"/>
      <c r="N260" s="54"/>
      <c r="O260" s="54"/>
      <c r="P260" s="54"/>
      <c r="Q260" s="54"/>
      <c r="R260" s="54"/>
      <c r="S260" s="60"/>
      <c r="T260" s="1694" t="s">
        <v>1959</v>
      </c>
      <c r="U260" s="1682"/>
      <c r="V260" s="1682"/>
      <c r="W260" s="1682"/>
      <c r="X260" s="1682"/>
      <c r="Y260" s="1695"/>
      <c r="Z260" s="90"/>
      <c r="AA260" s="54"/>
      <c r="AB260" s="45"/>
      <c r="AC260" s="45"/>
      <c r="AD260" s="45"/>
      <c r="AE260" s="45"/>
      <c r="AF260" s="45"/>
      <c r="AG260" s="45"/>
      <c r="AH260" s="45"/>
      <c r="AI260" s="45"/>
      <c r="AJ260" s="60"/>
      <c r="AK260" s="1694" t="s">
        <v>1959</v>
      </c>
      <c r="AL260" s="1682"/>
      <c r="AM260" s="1682"/>
      <c r="AN260" s="1682"/>
      <c r="AO260" s="1682"/>
      <c r="AP260" s="1695"/>
      <c r="AQ260" s="90"/>
      <c r="AR260" s="54"/>
      <c r="AS260" s="54"/>
      <c r="AT260" s="54"/>
      <c r="AU260" s="54"/>
      <c r="AV260" s="54"/>
      <c r="AW260" s="54"/>
      <c r="AX260" s="54"/>
      <c r="AY260" s="54"/>
      <c r="AZ260" s="54"/>
      <c r="BA260" s="54"/>
      <c r="BB260" s="54"/>
      <c r="BC260" s="54"/>
    </row>
    <row r="261" spans="1:55">
      <c r="A261" s="45"/>
      <c r="B261" s="2597"/>
      <c r="C261" s="2399"/>
      <c r="D261" s="2399"/>
      <c r="E261" s="2637"/>
      <c r="F261" s="2637"/>
      <c r="G261" s="2399"/>
      <c r="H261" s="2400" t="str">
        <f>UPPER(Country)</f>
        <v>LITHUANIA</v>
      </c>
      <c r="I261" s="2478"/>
      <c r="J261" s="54"/>
      <c r="K261" s="54"/>
      <c r="L261" s="54"/>
      <c r="M261" s="54"/>
      <c r="N261" s="54"/>
      <c r="O261" s="54"/>
      <c r="P261" s="54"/>
      <c r="Q261" s="54"/>
      <c r="R261" s="54"/>
      <c r="S261" s="327"/>
      <c r="T261" s="116"/>
      <c r="U261" s="116"/>
      <c r="V261" s="1685"/>
      <c r="W261" s="1685"/>
      <c r="X261" s="116"/>
      <c r="Y261" s="118" t="str">
        <f>UPPER(Country)</f>
        <v>LITHUANIA</v>
      </c>
      <c r="Z261" s="216"/>
      <c r="AA261" s="54"/>
      <c r="AB261" s="45"/>
      <c r="AC261" s="45"/>
      <c r="AD261" s="45"/>
      <c r="AE261" s="45"/>
      <c r="AF261" s="45"/>
      <c r="AG261" s="45"/>
      <c r="AH261" s="45"/>
      <c r="AI261" s="45"/>
      <c r="AJ261" s="327"/>
      <c r="AK261" s="116"/>
      <c r="AL261" s="116"/>
      <c r="AM261" s="1685"/>
      <c r="AN261" s="1685"/>
      <c r="AO261" s="116"/>
      <c r="AP261" s="118" t="str">
        <f>UPPER(Country)</f>
        <v>LITHUANIA</v>
      </c>
      <c r="AQ261" s="216"/>
      <c r="AR261" s="54"/>
      <c r="AS261" s="54"/>
      <c r="AT261" s="54"/>
      <c r="AU261" s="54"/>
      <c r="AV261" s="54"/>
      <c r="AW261" s="54"/>
      <c r="AX261" s="54"/>
      <c r="AY261" s="54"/>
      <c r="AZ261" s="54"/>
      <c r="BA261" s="54"/>
      <c r="BB261" s="54"/>
      <c r="BC261" s="54"/>
    </row>
    <row r="262" spans="1:55">
      <c r="A262" s="45"/>
      <c r="B262" s="54"/>
      <c r="C262" s="54"/>
      <c r="D262" s="373"/>
      <c r="E262" s="373"/>
      <c r="F262" s="373"/>
      <c r="G262" s="373"/>
      <c r="H262" s="373"/>
      <c r="I262" s="187"/>
      <c r="J262" s="54"/>
      <c r="K262" s="54"/>
      <c r="L262" s="54"/>
      <c r="M262" s="54"/>
      <c r="N262" s="54"/>
      <c r="O262" s="54"/>
      <c r="P262" s="54"/>
      <c r="Q262" s="54"/>
      <c r="R262" s="54"/>
      <c r="S262" s="54"/>
      <c r="T262" s="54"/>
      <c r="U262" s="54"/>
      <c r="V262" s="54"/>
      <c r="W262" s="54"/>
      <c r="X262" s="54"/>
      <c r="Y262" s="54"/>
      <c r="Z262" s="54"/>
      <c r="AA262" s="54"/>
      <c r="AB262" s="45"/>
      <c r="AC262" s="45"/>
      <c r="AD262" s="45"/>
      <c r="AE262" s="45"/>
      <c r="AF262" s="45"/>
      <c r="AG262" s="45"/>
      <c r="AH262" s="45"/>
      <c r="AI262" s="45"/>
      <c r="AJ262" s="54"/>
      <c r="AK262" s="54"/>
      <c r="AL262" s="373"/>
      <c r="AM262" s="373"/>
      <c r="AN262" s="373"/>
      <c r="AO262" s="373"/>
      <c r="AP262" s="373"/>
      <c r="AQ262" s="187"/>
      <c r="AR262" s="54"/>
      <c r="AS262" s="54"/>
      <c r="AT262" s="54"/>
      <c r="AU262" s="54"/>
      <c r="AV262" s="54"/>
      <c r="AW262" s="54"/>
      <c r="AX262" s="54"/>
      <c r="AY262" s="54"/>
      <c r="AZ262" s="54"/>
      <c r="BA262" s="54"/>
      <c r="BB262" s="54"/>
      <c r="BC262" s="54"/>
    </row>
    <row r="263" spans="1:55">
      <c r="A263" s="45"/>
      <c r="B263" s="54"/>
      <c r="C263" s="54"/>
      <c r="D263" s="373"/>
      <c r="E263" s="373"/>
      <c r="F263" s="373"/>
      <c r="G263" s="373"/>
      <c r="H263" s="373"/>
      <c r="I263" s="187"/>
      <c r="J263" s="54"/>
      <c r="K263" s="54"/>
      <c r="L263" s="54"/>
      <c r="M263" s="54"/>
      <c r="N263" s="54"/>
      <c r="O263" s="54"/>
      <c r="P263" s="54"/>
      <c r="Q263" s="54"/>
      <c r="R263" s="54"/>
      <c r="S263" s="54"/>
      <c r="T263" s="54"/>
      <c r="U263" s="54"/>
      <c r="V263" s="54"/>
      <c r="W263" s="54"/>
      <c r="X263" s="54"/>
      <c r="Y263" s="54"/>
      <c r="Z263" s="54"/>
      <c r="AA263" s="54"/>
      <c r="AB263" s="45"/>
      <c r="AC263" s="45"/>
      <c r="AD263" s="45"/>
      <c r="AE263" s="45"/>
      <c r="AF263" s="45"/>
      <c r="AG263" s="45"/>
      <c r="AH263" s="45"/>
      <c r="AI263" s="45"/>
      <c r="AJ263" s="54"/>
      <c r="AK263" s="54"/>
      <c r="AL263" s="373"/>
      <c r="AM263" s="373"/>
      <c r="AN263" s="373"/>
      <c r="AO263" s="373"/>
      <c r="AP263" s="373"/>
      <c r="AQ263" s="187"/>
      <c r="AR263" s="54"/>
      <c r="AS263" s="54"/>
      <c r="AT263" s="54"/>
      <c r="AU263" s="54"/>
      <c r="AV263" s="54"/>
      <c r="AW263" s="54"/>
      <c r="AX263" s="54"/>
      <c r="AY263" s="54"/>
      <c r="AZ263" s="54"/>
      <c r="BA263" s="54"/>
      <c r="BB263" s="54"/>
      <c r="BC263" s="54"/>
    </row>
    <row r="264" spans="1:55">
      <c r="A264" s="45"/>
      <c r="B264" s="54"/>
      <c r="C264" s="54"/>
      <c r="D264" s="54"/>
      <c r="E264" s="54"/>
      <c r="F264" s="54"/>
      <c r="G264" s="54"/>
      <c r="H264" s="54"/>
      <c r="I264" s="54"/>
      <c r="J264" s="54"/>
      <c r="K264" s="54"/>
      <c r="L264" s="54"/>
      <c r="M264" s="54"/>
      <c r="N264" s="54"/>
      <c r="O264" s="54"/>
      <c r="P264" s="54"/>
      <c r="Q264" s="54"/>
      <c r="R264" s="54"/>
      <c r="S264" s="54"/>
      <c r="T264" s="54"/>
      <c r="U264" s="54"/>
      <c r="V264" s="54"/>
      <c r="W264" s="54"/>
      <c r="X264" s="54"/>
      <c r="Y264" s="54"/>
      <c r="Z264" s="54"/>
      <c r="AA264" s="54"/>
      <c r="AB264" s="45"/>
      <c r="AC264" s="45"/>
      <c r="AD264" s="45"/>
      <c r="AE264" s="45"/>
      <c r="AF264" s="45"/>
      <c r="AG264" s="45"/>
      <c r="AH264" s="45"/>
      <c r="AI264" s="45"/>
      <c r="AJ264" s="54"/>
      <c r="AK264" s="54"/>
      <c r="AL264" s="54"/>
      <c r="AM264" s="54"/>
      <c r="AN264" s="54"/>
      <c r="AO264" s="54"/>
      <c r="AP264" s="54"/>
      <c r="AQ264" s="54"/>
      <c r="AR264" s="54"/>
      <c r="AS264" s="54"/>
      <c r="AT264" s="54"/>
      <c r="AU264" s="54"/>
      <c r="AV264" s="54"/>
      <c r="AW264" s="54"/>
      <c r="AX264" s="54"/>
      <c r="AY264" s="54"/>
      <c r="AZ264" s="54"/>
      <c r="BA264" s="54"/>
      <c r="BB264" s="54"/>
      <c r="BC264" s="54"/>
    </row>
    <row r="265" spans="1:55">
      <c r="A265" s="45"/>
      <c r="B265" s="54"/>
      <c r="C265" s="54"/>
      <c r="D265" s="54"/>
      <c r="E265" s="54"/>
      <c r="F265" s="54"/>
      <c r="G265" s="54"/>
      <c r="H265" s="54"/>
      <c r="I265" s="54"/>
      <c r="J265" s="54"/>
      <c r="K265" s="54"/>
      <c r="L265" s="54"/>
      <c r="M265" s="54"/>
      <c r="N265" s="54"/>
      <c r="O265" s="54"/>
      <c r="P265" s="54"/>
      <c r="Q265" s="54"/>
      <c r="R265" s="54"/>
      <c r="S265" s="54"/>
      <c r="T265" s="54"/>
      <c r="U265" s="54"/>
      <c r="V265" s="54"/>
      <c r="W265" s="54"/>
      <c r="X265" s="54"/>
      <c r="Y265" s="54"/>
      <c r="Z265" s="54"/>
      <c r="AA265" s="54"/>
      <c r="AB265" s="45"/>
      <c r="AC265" s="45"/>
      <c r="AD265" s="45"/>
      <c r="AE265" s="45"/>
      <c r="AF265" s="45"/>
      <c r="AG265" s="45"/>
      <c r="AH265" s="45"/>
      <c r="AI265" s="45"/>
      <c r="AJ265" s="54"/>
      <c r="AK265" s="54"/>
      <c r="AL265" s="54"/>
      <c r="AM265" s="54"/>
      <c r="AN265" s="54"/>
      <c r="AO265" s="54"/>
      <c r="AP265" s="54"/>
      <c r="AQ265" s="54"/>
      <c r="AR265" s="54"/>
      <c r="AS265" s="54"/>
      <c r="AT265" s="54"/>
      <c r="AU265" s="54"/>
      <c r="AV265" s="54"/>
      <c r="AW265" s="54"/>
      <c r="AX265" s="54"/>
      <c r="AY265" s="54"/>
      <c r="AZ265" s="54"/>
      <c r="BA265" s="54"/>
      <c r="BB265" s="54"/>
      <c r="BC265" s="54"/>
    </row>
    <row r="266" spans="1:55">
      <c r="A266" s="45"/>
      <c r="B266" s="54"/>
      <c r="C266" s="54"/>
      <c r="D266" s="54"/>
      <c r="E266" s="54"/>
      <c r="F266" s="54"/>
      <c r="G266" s="54"/>
      <c r="H266" s="54"/>
      <c r="I266" s="54"/>
      <c r="J266" s="54"/>
      <c r="K266" s="54"/>
      <c r="L266" s="54"/>
      <c r="M266" s="54"/>
      <c r="N266" s="54"/>
      <c r="O266" s="54"/>
      <c r="P266" s="54"/>
      <c r="Q266" s="54"/>
      <c r="R266" s="54"/>
      <c r="S266" s="54"/>
      <c r="T266" s="54"/>
      <c r="U266" s="54"/>
      <c r="V266" s="54"/>
      <c r="W266" s="54"/>
      <c r="X266" s="54"/>
      <c r="Y266" s="54"/>
      <c r="Z266" s="54"/>
      <c r="AA266" s="54"/>
      <c r="AB266" s="45"/>
      <c r="AC266" s="45"/>
      <c r="AD266" s="45"/>
      <c r="AE266" s="45"/>
      <c r="AF266" s="45"/>
      <c r="AG266" s="45"/>
      <c r="AH266" s="45"/>
      <c r="AI266" s="45"/>
      <c r="AJ266" s="54"/>
      <c r="AK266" s="54"/>
      <c r="AL266" s="54"/>
      <c r="AM266" s="54"/>
      <c r="AN266" s="54"/>
      <c r="AO266" s="54"/>
      <c r="AP266" s="54"/>
      <c r="AQ266" s="54"/>
      <c r="AR266" s="54"/>
      <c r="AS266" s="54"/>
      <c r="AT266" s="54"/>
      <c r="AU266" s="54"/>
      <c r="AV266" s="54"/>
      <c r="AW266" s="54"/>
      <c r="AX266" s="54"/>
      <c r="AY266" s="54"/>
      <c r="AZ266" s="54"/>
      <c r="BA266" s="54"/>
      <c r="BB266" s="54"/>
      <c r="BC266" s="54"/>
    </row>
    <row r="267" spans="1:55">
      <c r="A267" s="45"/>
      <c r="B267" s="54"/>
      <c r="C267" s="54"/>
      <c r="D267" s="54"/>
      <c r="E267" s="54"/>
      <c r="F267" s="54"/>
      <c r="G267" s="54"/>
      <c r="H267" s="54"/>
      <c r="I267" s="54"/>
      <c r="J267" s="54"/>
      <c r="K267" s="54"/>
      <c r="L267" s="54"/>
      <c r="M267" s="54"/>
      <c r="N267" s="54"/>
      <c r="O267" s="54"/>
      <c r="P267" s="54"/>
      <c r="Q267" s="54"/>
      <c r="R267" s="54"/>
      <c r="S267" s="54"/>
      <c r="T267" s="54"/>
      <c r="U267" s="54"/>
      <c r="V267" s="54"/>
      <c r="W267" s="54"/>
      <c r="X267" s="54"/>
      <c r="Y267" s="54"/>
      <c r="Z267" s="54"/>
      <c r="AA267" s="54"/>
      <c r="AB267" s="45"/>
      <c r="AC267" s="45"/>
      <c r="AD267" s="45"/>
      <c r="AE267" s="45"/>
      <c r="AF267" s="45"/>
      <c r="AG267" s="45"/>
      <c r="AH267" s="45"/>
      <c r="AI267" s="45"/>
      <c r="AJ267" s="54"/>
      <c r="AK267" s="54"/>
      <c r="AL267" s="54"/>
      <c r="AM267" s="54"/>
      <c r="AN267" s="54"/>
      <c r="AO267" s="54"/>
      <c r="AP267" s="54"/>
      <c r="AQ267" s="54"/>
      <c r="AR267" s="54"/>
      <c r="AS267" s="54"/>
      <c r="AT267" s="54"/>
      <c r="AU267" s="54"/>
      <c r="AV267" s="54"/>
      <c r="AW267" s="54"/>
      <c r="AX267" s="54"/>
      <c r="AY267" s="54"/>
      <c r="AZ267" s="54"/>
      <c r="BA267" s="54"/>
      <c r="BB267" s="54"/>
      <c r="BC267" s="54"/>
    </row>
    <row r="268" spans="1:55">
      <c r="A268" s="45"/>
      <c r="B268" s="54"/>
      <c r="C268" s="54"/>
      <c r="D268" s="54"/>
      <c r="E268" s="54"/>
      <c r="F268" s="54"/>
      <c r="G268" s="54"/>
      <c r="H268" s="54"/>
      <c r="I268" s="54"/>
      <c r="J268" s="54"/>
      <c r="K268" s="54"/>
      <c r="L268" s="54"/>
      <c r="M268" s="54"/>
      <c r="N268" s="54"/>
      <c r="O268" s="54"/>
      <c r="P268" s="54"/>
      <c r="Q268" s="54"/>
      <c r="R268" s="54"/>
      <c r="S268" s="54"/>
      <c r="T268" s="54"/>
      <c r="U268" s="54"/>
      <c r="V268" s="54"/>
      <c r="W268" s="54"/>
      <c r="X268" s="54"/>
      <c r="Y268" s="54"/>
      <c r="Z268" s="54"/>
      <c r="AA268" s="54"/>
      <c r="AB268" s="45"/>
      <c r="AC268" s="45"/>
      <c r="AD268" s="45"/>
      <c r="AE268" s="45"/>
      <c r="AF268" s="45"/>
      <c r="AG268" s="45"/>
      <c r="AH268" s="45"/>
      <c r="AI268" s="45"/>
      <c r="AJ268" s="54"/>
      <c r="AK268" s="54"/>
      <c r="AL268" s="54"/>
      <c r="AM268" s="54"/>
      <c r="AN268" s="54"/>
      <c r="AO268" s="54"/>
      <c r="AP268" s="54"/>
      <c r="AQ268" s="54"/>
      <c r="AR268" s="54"/>
      <c r="AS268" s="54"/>
      <c r="AT268" s="54"/>
      <c r="AU268" s="54"/>
      <c r="AV268" s="54"/>
      <c r="AW268" s="54"/>
      <c r="AX268" s="54"/>
      <c r="AY268" s="54"/>
      <c r="AZ268" s="54"/>
      <c r="BA268" s="54"/>
      <c r="BB268" s="54"/>
      <c r="BC268" s="54"/>
    </row>
    <row r="269" spans="1:55">
      <c r="A269" s="45"/>
      <c r="B269" s="1991"/>
      <c r="C269" s="2342" t="s">
        <v>187</v>
      </c>
      <c r="D269" s="2342"/>
      <c r="E269" s="2343"/>
      <c r="F269" s="2343"/>
      <c r="G269" s="2343"/>
      <c r="H269" s="2343"/>
      <c r="I269" s="2343"/>
      <c r="J269" s="2343"/>
      <c r="K269" s="2343"/>
      <c r="L269" s="2343"/>
      <c r="M269" s="2343"/>
      <c r="N269" s="2495"/>
      <c r="O269" s="258"/>
      <c r="P269" s="258"/>
      <c r="Q269" s="123"/>
      <c r="R269" s="54"/>
      <c r="S269" s="335"/>
      <c r="T269" s="56" t="s">
        <v>187</v>
      </c>
      <c r="U269" s="56"/>
      <c r="V269" s="100"/>
      <c r="W269" s="100"/>
      <c r="X269" s="100"/>
      <c r="Y269" s="100"/>
      <c r="Z269" s="100"/>
      <c r="AA269" s="100"/>
      <c r="AB269" s="100"/>
      <c r="AC269" s="100"/>
      <c r="AD269" s="100"/>
      <c r="AE269" s="238"/>
      <c r="AF269" s="45"/>
      <c r="AG269" s="45"/>
      <c r="AH269" s="45"/>
      <c r="AI269" s="45"/>
      <c r="AJ269" s="335"/>
      <c r="AK269" s="56" t="s">
        <v>187</v>
      </c>
      <c r="AL269" s="56"/>
      <c r="AM269" s="100"/>
      <c r="AN269" s="100"/>
      <c r="AO269" s="100"/>
      <c r="AP269" s="100"/>
      <c r="AQ269" s="100"/>
      <c r="AR269" s="100"/>
      <c r="AS269" s="100"/>
      <c r="AT269" s="100"/>
      <c r="AU269" s="100"/>
      <c r="AV269" s="238"/>
      <c r="AW269" s="258"/>
      <c r="AX269" s="258"/>
      <c r="AY269" s="123"/>
      <c r="AZ269" s="54"/>
      <c r="BA269" s="54"/>
      <c r="BB269" s="54"/>
      <c r="BC269" s="54"/>
    </row>
    <row r="270" spans="1:55">
      <c r="A270" s="45"/>
      <c r="B270" s="1673"/>
      <c r="C270" s="3751" t="s">
        <v>389</v>
      </c>
      <c r="D270" s="3751"/>
      <c r="E270" s="3751"/>
      <c r="F270" s="3751"/>
      <c r="G270" s="3751"/>
      <c r="H270" s="3751"/>
      <c r="I270" s="3751"/>
      <c r="J270" s="3751"/>
      <c r="K270" s="3751"/>
      <c r="L270" s="3751"/>
      <c r="M270" s="3751"/>
      <c r="N270" s="2530"/>
      <c r="O270" s="261"/>
      <c r="P270" s="258"/>
      <c r="Q270" s="45"/>
      <c r="R270" s="54"/>
      <c r="S270" s="275"/>
      <c r="T270" s="3751" t="s">
        <v>389</v>
      </c>
      <c r="U270" s="3751"/>
      <c r="V270" s="3751"/>
      <c r="W270" s="3751"/>
      <c r="X270" s="3751"/>
      <c r="Y270" s="3751"/>
      <c r="Z270" s="3751"/>
      <c r="AA270" s="3751"/>
      <c r="AB270" s="3751"/>
      <c r="AC270" s="3751"/>
      <c r="AD270" s="3751"/>
      <c r="AE270" s="260"/>
      <c r="AF270" s="45"/>
      <c r="AG270" s="45"/>
      <c r="AH270" s="45"/>
      <c r="AI270" s="45"/>
      <c r="AJ270" s="275"/>
      <c r="AK270" s="3751" t="s">
        <v>389</v>
      </c>
      <c r="AL270" s="3751"/>
      <c r="AM270" s="3751"/>
      <c r="AN270" s="3751"/>
      <c r="AO270" s="3751"/>
      <c r="AP270" s="3751"/>
      <c r="AQ270" s="3751"/>
      <c r="AR270" s="3751"/>
      <c r="AS270" s="3751"/>
      <c r="AT270" s="3751"/>
      <c r="AU270" s="3751"/>
      <c r="AV270" s="260"/>
      <c r="AW270" s="261"/>
      <c r="AX270" s="258"/>
      <c r="AY270" s="45"/>
      <c r="AZ270" s="54"/>
      <c r="BA270" s="54"/>
      <c r="BB270" s="54"/>
      <c r="BC270" s="54"/>
    </row>
    <row r="271" spans="1:55">
      <c r="A271" s="45"/>
      <c r="B271" s="1673"/>
      <c r="C271" s="2351"/>
      <c r="D271" s="2351"/>
      <c r="E271" s="2351"/>
      <c r="F271" s="2351"/>
      <c r="G271" s="2351"/>
      <c r="H271" s="2351"/>
      <c r="I271" s="2351"/>
      <c r="J271" s="2351"/>
      <c r="K271" s="2351"/>
      <c r="L271" s="2351"/>
      <c r="M271" s="2351"/>
      <c r="N271" s="2452"/>
      <c r="O271" s="258"/>
      <c r="P271" s="258"/>
      <c r="Q271" s="45"/>
      <c r="R271" s="54"/>
      <c r="S271" s="275"/>
      <c r="T271" s="65"/>
      <c r="U271" s="65"/>
      <c r="V271" s="65"/>
      <c r="W271" s="65"/>
      <c r="X271" s="65"/>
      <c r="Y271" s="65"/>
      <c r="Z271" s="65"/>
      <c r="AA271" s="65"/>
      <c r="AB271" s="65"/>
      <c r="AC271" s="65"/>
      <c r="AD271" s="65"/>
      <c r="AE271" s="196"/>
      <c r="AF271" s="45"/>
      <c r="AG271" s="45"/>
      <c r="AH271" s="45"/>
      <c r="AI271" s="45"/>
      <c r="AJ271" s="275"/>
      <c r="AK271" s="65"/>
      <c r="AL271" s="65"/>
      <c r="AM271" s="65"/>
      <c r="AN271" s="65"/>
      <c r="AO271" s="65"/>
      <c r="AP271" s="65"/>
      <c r="AQ271" s="65"/>
      <c r="AR271" s="65"/>
      <c r="AS271" s="65"/>
      <c r="AT271" s="65"/>
      <c r="AU271" s="65"/>
      <c r="AV271" s="196"/>
      <c r="AW271" s="258"/>
      <c r="AX271" s="258"/>
      <c r="AY271" s="45"/>
      <c r="AZ271" s="54"/>
      <c r="BA271" s="54"/>
      <c r="BB271" s="54"/>
      <c r="BC271" s="54"/>
    </row>
    <row r="272" spans="1:55" ht="15.75">
      <c r="A272" s="45"/>
      <c r="B272" s="1665"/>
      <c r="C272" s="2349" t="str">
        <f>"Country: " &amp;UPPER(Country)</f>
        <v>Country: LITHUANIA</v>
      </c>
      <c r="D272" s="2480"/>
      <c r="E272" s="2351"/>
      <c r="F272" s="2351"/>
      <c r="G272" s="2351"/>
      <c r="H272" s="2351"/>
      <c r="I272" s="2351"/>
      <c r="J272" s="2351"/>
      <c r="K272" s="2351"/>
      <c r="L272" s="2351"/>
      <c r="M272" s="2351"/>
      <c r="N272" s="2452"/>
      <c r="O272" s="258"/>
      <c r="P272" s="258"/>
      <c r="Q272" s="45"/>
      <c r="R272" s="54"/>
      <c r="S272" s="190"/>
      <c r="T272" s="63" t="str">
        <f>"Country: " &amp;UPPER(Country)</f>
        <v>Country: LITHUANIA</v>
      </c>
      <c r="U272" s="222"/>
      <c r="V272" s="65"/>
      <c r="W272" s="2006" t="s">
        <v>390</v>
      </c>
      <c r="X272" s="65"/>
      <c r="Y272" s="65"/>
      <c r="Z272" s="65"/>
      <c r="AA272" s="65"/>
      <c r="AB272" s="65"/>
      <c r="AC272" s="65"/>
      <c r="AD272" s="65"/>
      <c r="AE272" s="196"/>
      <c r="AF272" s="45"/>
      <c r="AG272" s="45"/>
      <c r="AH272" s="45"/>
      <c r="AI272" s="45"/>
      <c r="AJ272" s="190"/>
      <c r="AK272" s="63" t="str">
        <f>"Country: " &amp;UPPER(Country)</f>
        <v>Country: LITHUANIA</v>
      </c>
      <c r="AL272" s="222"/>
      <c r="AM272" s="65"/>
      <c r="AN272" s="65"/>
      <c r="AO272" s="65"/>
      <c r="AP272" s="65"/>
      <c r="AQ272" s="65"/>
      <c r="AR272" s="65"/>
      <c r="AS272" s="65"/>
      <c r="AT272" s="65"/>
      <c r="AU272" s="65"/>
      <c r="AV272" s="196"/>
      <c r="AW272" s="258"/>
      <c r="AX272" s="258"/>
      <c r="AY272" s="45"/>
      <c r="AZ272" s="54"/>
      <c r="BA272" s="54"/>
      <c r="BB272" s="54"/>
      <c r="BC272" s="54"/>
    </row>
    <row r="273" spans="1:55" ht="15.75">
      <c r="A273" s="45"/>
      <c r="B273" s="1673"/>
      <c r="C273" s="2349" t="str">
        <f>"Currency unit: " &amp; Currency</f>
        <v>Currency unit: bn EUR</v>
      </c>
      <c r="D273" s="2355"/>
      <c r="E273" s="2351"/>
      <c r="F273" s="2351"/>
      <c r="G273" s="2351"/>
      <c r="H273" s="2351"/>
      <c r="I273" s="2351"/>
      <c r="J273" s="2351"/>
      <c r="K273" s="2351"/>
      <c r="L273" s="2579"/>
      <c r="M273" s="2638"/>
      <c r="N273" s="2639"/>
      <c r="O273" s="376"/>
      <c r="P273" s="258"/>
      <c r="Q273" s="45"/>
      <c r="R273" s="54"/>
      <c r="S273" s="275"/>
      <c r="T273" s="63" t="str">
        <f>"Currency unit: " &amp; Currency</f>
        <v>Currency unit: bn EUR</v>
      </c>
      <c r="U273" s="69"/>
      <c r="V273" s="65"/>
      <c r="W273" s="2006" t="str">
        <f>$T$4</f>
        <v>2nd storage</v>
      </c>
      <c r="X273" s="65"/>
      <c r="Y273" s="65"/>
      <c r="Z273" s="65"/>
      <c r="AA273" s="65"/>
      <c r="AB273" s="65"/>
      <c r="AC273" s="70"/>
      <c r="AD273" s="374"/>
      <c r="AE273" s="375"/>
      <c r="AF273" s="45"/>
      <c r="AG273" s="45"/>
      <c r="AH273" s="45"/>
      <c r="AI273" s="45"/>
      <c r="AJ273" s="275"/>
      <c r="AK273" s="63" t="str">
        <f>"Currency unit: " &amp; Currency</f>
        <v>Currency unit: bn EUR</v>
      </c>
      <c r="AL273" s="69"/>
      <c r="AM273" s="65"/>
      <c r="AN273" s="65"/>
      <c r="AO273" s="65"/>
      <c r="AP273" s="65"/>
      <c r="AQ273" s="65"/>
      <c r="AR273" s="65"/>
      <c r="AS273" s="65"/>
      <c r="AT273" s="70"/>
      <c r="AU273" s="374"/>
      <c r="AV273" s="375"/>
      <c r="AW273" s="376"/>
      <c r="AX273" s="258"/>
      <c r="AY273" s="45"/>
      <c r="AZ273" s="54"/>
      <c r="BA273" s="54"/>
      <c r="BB273" s="54"/>
      <c r="BC273" s="54"/>
    </row>
    <row r="274" spans="1:55" ht="13.5" thickBot="1">
      <c r="A274" s="45"/>
      <c r="B274" s="1673"/>
      <c r="C274" s="2355" t="s">
        <v>297</v>
      </c>
      <c r="D274" s="2351"/>
      <c r="E274" s="2351"/>
      <c r="F274" s="2351"/>
      <c r="G274" s="2351"/>
      <c r="H274" s="2351"/>
      <c r="I274" s="2351"/>
      <c r="J274" s="2351"/>
      <c r="K274" s="2351"/>
      <c r="L274" s="3789">
        <f ca="1">NOW()</f>
        <v>43392.47578483796</v>
      </c>
      <c r="M274" s="3789"/>
      <c r="N274" s="2403"/>
      <c r="O274" s="54"/>
      <c r="P274" s="54"/>
      <c r="Q274" s="54"/>
      <c r="R274" s="54"/>
      <c r="S274" s="275"/>
      <c r="T274" s="69" t="s">
        <v>297</v>
      </c>
      <c r="U274" s="65"/>
      <c r="V274" s="65"/>
      <c r="W274" s="65"/>
      <c r="X274" s="65"/>
      <c r="Y274" s="65"/>
      <c r="Z274" s="65"/>
      <c r="AA274" s="65"/>
      <c r="AB274" s="65"/>
      <c r="AC274" s="3751">
        <f ca="1">NOW()</f>
        <v>43392.47578483796</v>
      </c>
      <c r="AD274" s="3751"/>
      <c r="AE274" s="138"/>
      <c r="AF274" s="45"/>
      <c r="AG274" s="45"/>
      <c r="AH274" s="45"/>
      <c r="AI274" s="45"/>
      <c r="AJ274" s="275"/>
      <c r="AK274" s="69" t="s">
        <v>297</v>
      </c>
      <c r="AL274" s="65"/>
      <c r="AM274" s="65"/>
      <c r="AN274" s="65"/>
      <c r="AO274" s="65"/>
      <c r="AP274" s="65"/>
      <c r="AQ274" s="65"/>
      <c r="AR274" s="65"/>
      <c r="AS274" s="65"/>
      <c r="AT274" s="3751">
        <f ca="1">NOW()</f>
        <v>43392.47578483796</v>
      </c>
      <c r="AU274" s="3751"/>
      <c r="AV274" s="138"/>
      <c r="AW274" s="54"/>
      <c r="AX274" s="54"/>
      <c r="AY274" s="54"/>
      <c r="AZ274" s="54"/>
      <c r="BA274" s="54"/>
      <c r="BB274" s="54"/>
      <c r="BC274" s="54"/>
    </row>
    <row r="275" spans="1:55">
      <c r="A275" s="45"/>
      <c r="B275" s="1673"/>
      <c r="C275" s="2357"/>
      <c r="D275" s="2358"/>
      <c r="E275" s="2404" t="s">
        <v>188</v>
      </c>
      <c r="F275" s="3751">
        <f>E16</f>
        <v>2016</v>
      </c>
      <c r="G275" s="3751"/>
      <c r="H275" s="3751">
        <f>F275+1</f>
        <v>2017</v>
      </c>
      <c r="I275" s="3751"/>
      <c r="J275" s="3751">
        <f>H275+1</f>
        <v>2018</v>
      </c>
      <c r="K275" s="3751"/>
      <c r="L275" s="3751">
        <f>J275+1</f>
        <v>2019</v>
      </c>
      <c r="M275" s="3751"/>
      <c r="N275" s="2447"/>
      <c r="O275" s="54"/>
      <c r="P275" s="54"/>
      <c r="Q275" s="54"/>
      <c r="R275" s="54"/>
      <c r="S275" s="275"/>
      <c r="T275" s="191"/>
      <c r="U275" s="73"/>
      <c r="V275" s="142" t="s">
        <v>188</v>
      </c>
      <c r="W275" s="3751">
        <f>Last_forecast_year - 3</f>
        <v>2016</v>
      </c>
      <c r="X275" s="3751"/>
      <c r="Y275" s="3751">
        <f>W275+1</f>
        <v>2017</v>
      </c>
      <c r="Z275" s="3751"/>
      <c r="AA275" s="3751">
        <f>Y275+1</f>
        <v>2018</v>
      </c>
      <c r="AB275" s="3751"/>
      <c r="AC275" s="3751">
        <f>AA275+1</f>
        <v>2019</v>
      </c>
      <c r="AD275" s="3751"/>
      <c r="AE275" s="192"/>
      <c r="AF275" s="45"/>
      <c r="AG275" s="45"/>
      <c r="AH275" s="45"/>
      <c r="AI275" s="45"/>
      <c r="AJ275" s="275"/>
      <c r="AK275" s="191"/>
      <c r="AL275" s="73"/>
      <c r="AM275" s="142" t="s">
        <v>188</v>
      </c>
      <c r="AN275" s="3751">
        <f>Last_forecast_year - 3</f>
        <v>2016</v>
      </c>
      <c r="AO275" s="3751"/>
      <c r="AP275" s="3751">
        <f>AN275+1</f>
        <v>2017</v>
      </c>
      <c r="AQ275" s="3751"/>
      <c r="AR275" s="3751">
        <f>AP275+1</f>
        <v>2018</v>
      </c>
      <c r="AS275" s="3751"/>
      <c r="AT275" s="3751">
        <f>AR275+1</f>
        <v>2019</v>
      </c>
      <c r="AU275" s="3751"/>
      <c r="AV275" s="192"/>
      <c r="AW275" s="54"/>
      <c r="AX275" s="54"/>
      <c r="AY275" s="54"/>
      <c r="AZ275" s="54"/>
      <c r="BA275" s="54"/>
      <c r="BB275" s="54"/>
      <c r="BC275" s="54"/>
    </row>
    <row r="276" spans="1:55">
      <c r="A276" s="45"/>
      <c r="B276" s="1673"/>
      <c r="C276" s="1666"/>
      <c r="D276" s="2351"/>
      <c r="E276" s="2640"/>
      <c r="F276" s="2641" t="s">
        <v>1169</v>
      </c>
      <c r="G276" s="2642" t="s">
        <v>1170</v>
      </c>
      <c r="H276" s="2641" t="s">
        <v>1169</v>
      </c>
      <c r="I276" s="2642" t="s">
        <v>1170</v>
      </c>
      <c r="J276" s="2641" t="s">
        <v>1169</v>
      </c>
      <c r="K276" s="2642" t="s">
        <v>1170</v>
      </c>
      <c r="L276" s="2641" t="s">
        <v>1169</v>
      </c>
      <c r="M276" s="2643" t="s">
        <v>1170</v>
      </c>
      <c r="N276" s="2644"/>
      <c r="O276" s="54"/>
      <c r="P276" s="54"/>
      <c r="Q276" s="54"/>
      <c r="R276" s="54"/>
      <c r="S276" s="275"/>
      <c r="T276" s="40"/>
      <c r="U276" s="65"/>
      <c r="V276" s="377"/>
      <c r="W276" s="489" t="s">
        <v>1169</v>
      </c>
      <c r="X276" s="1748" t="s">
        <v>1170</v>
      </c>
      <c r="Y276" s="489" t="s">
        <v>1169</v>
      </c>
      <c r="Z276" s="1748" t="s">
        <v>1170</v>
      </c>
      <c r="AA276" s="489" t="s">
        <v>1169</v>
      </c>
      <c r="AB276" s="1748" t="s">
        <v>1170</v>
      </c>
      <c r="AC276" s="489" t="s">
        <v>1169</v>
      </c>
      <c r="AD276" s="1749" t="s">
        <v>1170</v>
      </c>
      <c r="AE276" s="378"/>
      <c r="AF276" s="45"/>
      <c r="AG276" s="45"/>
      <c r="AH276" s="45"/>
      <c r="AI276" s="45"/>
      <c r="AJ276" s="275"/>
      <c r="AK276" s="40"/>
      <c r="AL276" s="65"/>
      <c r="AM276" s="377"/>
      <c r="AN276" s="489" t="s">
        <v>1169</v>
      </c>
      <c r="AO276" s="1748" t="s">
        <v>1170</v>
      </c>
      <c r="AP276" s="489" t="s">
        <v>1169</v>
      </c>
      <c r="AQ276" s="1748" t="s">
        <v>1170</v>
      </c>
      <c r="AR276" s="489" t="s">
        <v>1169</v>
      </c>
      <c r="AS276" s="1748" t="s">
        <v>1170</v>
      </c>
      <c r="AT276" s="489" t="s">
        <v>1169</v>
      </c>
      <c r="AU276" s="1749" t="s">
        <v>1170</v>
      </c>
      <c r="AV276" s="378"/>
      <c r="AW276" s="54"/>
      <c r="AX276" s="54"/>
      <c r="AY276" s="54"/>
      <c r="AZ276" s="54"/>
      <c r="BA276" s="54"/>
      <c r="BB276" s="54"/>
      <c r="BC276" s="54"/>
    </row>
    <row r="277" spans="1:55">
      <c r="A277" s="45"/>
      <c r="B277" s="1673"/>
      <c r="C277" s="2384"/>
      <c r="D277" s="2343"/>
      <c r="E277" s="2645"/>
      <c r="F277" s="2646"/>
      <c r="G277" s="3751" t="s">
        <v>189</v>
      </c>
      <c r="H277" s="3751"/>
      <c r="I277" s="3751"/>
      <c r="J277" s="3751"/>
      <c r="K277" s="3751"/>
      <c r="L277" s="3751"/>
      <c r="M277" s="2647"/>
      <c r="N277" s="2363"/>
      <c r="O277" s="334"/>
      <c r="P277" s="54"/>
      <c r="Q277" s="54"/>
      <c r="R277" s="54"/>
      <c r="S277" s="275"/>
      <c r="T277" s="148"/>
      <c r="U277" s="57"/>
      <c r="V277" s="379"/>
      <c r="W277" s="380"/>
      <c r="X277" s="3751" t="s">
        <v>189</v>
      </c>
      <c r="Y277" s="3751"/>
      <c r="Z277" s="3751"/>
      <c r="AA277" s="3751"/>
      <c r="AB277" s="3751"/>
      <c r="AC277" s="3751"/>
      <c r="AD277" s="381"/>
      <c r="AE277" s="267"/>
      <c r="AF277" s="45"/>
      <c r="AG277" s="45"/>
      <c r="AH277" s="45"/>
      <c r="AI277" s="45"/>
      <c r="AJ277" s="275"/>
      <c r="AK277" s="148"/>
      <c r="AL277" s="57"/>
      <c r="AM277" s="379"/>
      <c r="AN277" s="380"/>
      <c r="AO277" s="3751" t="s">
        <v>189</v>
      </c>
      <c r="AP277" s="3751"/>
      <c r="AQ277" s="3751"/>
      <c r="AR277" s="3751"/>
      <c r="AS277" s="3751"/>
      <c r="AT277" s="3751"/>
      <c r="AU277" s="381"/>
      <c r="AV277" s="267"/>
      <c r="AW277" s="334"/>
      <c r="AX277" s="54"/>
      <c r="AY277" s="54"/>
      <c r="AZ277" s="54"/>
      <c r="BA277" s="334"/>
      <c r="BB277" s="334"/>
      <c r="BC277" s="54"/>
    </row>
    <row r="278" spans="1:55">
      <c r="A278" s="45"/>
      <c r="B278" s="1673"/>
      <c r="C278" s="2648" t="s">
        <v>1060</v>
      </c>
      <c r="D278" s="2649"/>
      <c r="E278" s="2650" t="s">
        <v>514</v>
      </c>
      <c r="F278" s="2415">
        <f ca="1">Transfer!D301</f>
        <v>34.499586109841616</v>
      </c>
      <c r="G278" s="2411">
        <f ca="1">100*((Transfer!D301/Transfer!C301)-1)</f>
        <v>2.3448710805274331</v>
      </c>
      <c r="H278" s="2411">
        <f ca="1">Transfer!E301</f>
        <v>35.820548754876221</v>
      </c>
      <c r="I278" s="2388">
        <f ca="1">100*((Transfer!E301/Transfer!D301)-1)</f>
        <v>3.8289231668717782</v>
      </c>
      <c r="J278" s="2411">
        <f ca="1">Transfer!F301</f>
        <v>36.822683040971974</v>
      </c>
      <c r="K278" s="2388">
        <f ca="1">100*((Transfer!F301/Transfer!E301)-1)</f>
        <v>2.7976519649474563</v>
      </c>
      <c r="L278" s="2411">
        <f ca="1">Transfer!G301</f>
        <v>37.784530448310605</v>
      </c>
      <c r="M278" s="2412">
        <f ca="1">100*((Transfer!G301/Transfer!F301)-1)</f>
        <v>2.612105712852042</v>
      </c>
      <c r="N278" s="2368"/>
      <c r="O278" s="334"/>
      <c r="P278" s="54"/>
      <c r="Q278" s="54"/>
      <c r="R278" s="54"/>
      <c r="S278" s="275"/>
      <c r="T278" s="179" t="s">
        <v>1060</v>
      </c>
      <c r="U278" s="63"/>
      <c r="V278" s="382" t="s">
        <v>514</v>
      </c>
      <c r="W278" s="107">
        <f t="shared" ref="W278:AD284" ca="1" si="20">ROUND(F278,1)-ROUND(AN278,1)</f>
        <v>-65.099999999999994</v>
      </c>
      <c r="X278" s="107">
        <f t="shared" ca="1" si="20"/>
        <v>-1.4000000000000004</v>
      </c>
      <c r="Y278" s="107">
        <f t="shared" ca="1" si="20"/>
        <v>-67.900000000000006</v>
      </c>
      <c r="Z278" s="107">
        <f t="shared" ca="1" si="20"/>
        <v>-0.29999999999999982</v>
      </c>
      <c r="AA278" s="107">
        <f t="shared" ca="1" si="20"/>
        <v>-70.900000000000006</v>
      </c>
      <c r="AB278" s="107">
        <f t="shared" ca="1" si="20"/>
        <v>-1</v>
      </c>
      <c r="AC278" s="107">
        <f t="shared" ca="1" si="20"/>
        <v>-74.2</v>
      </c>
      <c r="AD278" s="81">
        <f t="shared" ca="1" si="20"/>
        <v>-1.4</v>
      </c>
      <c r="AE278" s="82"/>
      <c r="AF278" s="45"/>
      <c r="AG278" s="45"/>
      <c r="AH278" s="45"/>
      <c r="AI278" s="45"/>
      <c r="AJ278" s="275"/>
      <c r="AK278" s="2187" t="s">
        <v>1060</v>
      </c>
      <c r="AL278" s="2188"/>
      <c r="AM278" s="2189" t="s">
        <v>514</v>
      </c>
      <c r="AN278" s="2140">
        <f>Transfer!AD301</f>
        <v>99.581462897096031</v>
      </c>
      <c r="AO278" s="2120">
        <f>100*((Transfer!AD301/Transfer!AC301)-1)</f>
        <v>3.6592951782543404</v>
      </c>
      <c r="AP278" s="2120">
        <f>Transfer!AE301</f>
        <v>103.69162163026689</v>
      </c>
      <c r="AQ278" s="2114">
        <f>100*((Transfer!AE301/Transfer!AD301)-1)</f>
        <v>4.1274335740760781</v>
      </c>
      <c r="AR278" s="2120">
        <f>Transfer!AF301</f>
        <v>107.65018763873299</v>
      </c>
      <c r="AS278" s="2114">
        <f>100*((Transfer!AF301/Transfer!AE301)-1)</f>
        <v>3.8176334271067258</v>
      </c>
      <c r="AT278" s="2120">
        <f>Transfer!AG301</f>
        <v>111.97160314616288</v>
      </c>
      <c r="AU278" s="2121">
        <f>100*((Transfer!AG301/Transfer!AF301)-1)</f>
        <v>4.0143130283546435</v>
      </c>
      <c r="AV278" s="82"/>
      <c r="AW278" s="334"/>
      <c r="AX278" s="54"/>
      <c r="AY278" s="54"/>
      <c r="AZ278" s="54"/>
      <c r="BA278" s="1696" t="s">
        <v>1745</v>
      </c>
      <c r="BB278" s="1997" t="s">
        <v>1745</v>
      </c>
      <c r="BC278" s="54"/>
    </row>
    <row r="279" spans="1:55">
      <c r="A279" s="45"/>
      <c r="B279" s="1673"/>
      <c r="C279" s="1666" t="str">
        <f>IF(Transfer!C160=-9999,"  2. Employment ('000)","  2. Full-time equivalent employment ('000)")</f>
        <v xml:space="preserve">  2. Employment ('000)</v>
      </c>
      <c r="D279" s="2351"/>
      <c r="E279" s="2521"/>
      <c r="F279" s="1668">
        <f ca="1">IF(Transfer!D160=-9999,Transfer!D159,Transfer!D160)</f>
        <v>1361.21</v>
      </c>
      <c r="G279" s="1668">
        <f ca="1">IF(Transfer!D160=-9999,100*(Transfer!D159/Transfer!C159-1),100*(Transfer!D160/Transfer!C160-1))</f>
        <v>1.9839218418706395</v>
      </c>
      <c r="H279" s="1668">
        <f ca="1">IF(Transfer!E160=-9999,Transfer!E159,Transfer!E160)</f>
        <v>1354.11</v>
      </c>
      <c r="I279" s="1668">
        <f ca="1">IF(Transfer!E160=-9999,100*(Transfer!E159/Transfer!D159-1),100*(Transfer!E160/Transfer!D160-1))</f>
        <v>-0.52159475760537033</v>
      </c>
      <c r="J279" s="1668">
        <f ca="1">IF(Transfer!F160=-9999,Transfer!F159,Transfer!F160)</f>
        <v>1346.7528000000002</v>
      </c>
      <c r="K279" s="1668">
        <f ca="1">IF(Transfer!F160=-9999,100*(Transfer!F159/Transfer!E159-1),100*(Transfer!F160/Transfer!E160-1))</f>
        <v>-0.54332365908232871</v>
      </c>
      <c r="L279" s="1668">
        <f ca="1">IF(Transfer!G160=-9999,Transfer!G159,Transfer!G160)</f>
        <v>1342.6692803150002</v>
      </c>
      <c r="M279" s="1669">
        <f ca="1">IF(Transfer!G160=-9999,100*(Transfer!G159/Transfer!F159-1),100*(Transfer!G160/Transfer!F160-1))</f>
        <v>-0.30321226620060315</v>
      </c>
      <c r="N279" s="2368"/>
      <c r="O279" s="334"/>
      <c r="P279" s="54"/>
      <c r="Q279" s="54"/>
      <c r="R279" s="54"/>
      <c r="S279" s="275"/>
      <c r="T279" s="40" t="str">
        <f>IF(Transfer!T160=-9999,"  2. Employment ('000)","  2. Full-time equivalent employment ('000)")</f>
        <v xml:space="preserve">  2. Full-time equivalent employment ('000)</v>
      </c>
      <c r="U279" s="65"/>
      <c r="V279" s="382"/>
      <c r="W279" s="107">
        <f t="shared" ca="1" si="20"/>
        <v>86.299999999999955</v>
      </c>
      <c r="X279" s="107">
        <f t="shared" ca="1" si="20"/>
        <v>0.19999999999999996</v>
      </c>
      <c r="Y279" s="107">
        <f t="shared" ca="1" si="20"/>
        <v>60.099999999999909</v>
      </c>
      <c r="Z279" s="107">
        <f t="shared" ca="1" si="20"/>
        <v>-2</v>
      </c>
      <c r="AA279" s="107">
        <f t="shared" ca="1" si="20"/>
        <v>34.099999999999909</v>
      </c>
      <c r="AB279" s="107">
        <f t="shared" ca="1" si="20"/>
        <v>-1.9</v>
      </c>
      <c r="AC279" s="107">
        <f t="shared" ca="1" si="20"/>
        <v>13.600000000000136</v>
      </c>
      <c r="AD279" s="93">
        <f t="shared" ca="1" si="20"/>
        <v>-1.5</v>
      </c>
      <c r="AE279" s="82"/>
      <c r="AF279" s="45"/>
      <c r="AG279" s="45"/>
      <c r="AH279" s="45"/>
      <c r="AI279" s="45"/>
      <c r="AJ279" s="275"/>
      <c r="AK279" s="40" t="str">
        <f>IF(Transfer!AK160=-9999,"  2. Employment ('000)","  2. Full-time equivalent employment ('000)")</f>
        <v xml:space="preserve">  2. Employment ('000)</v>
      </c>
      <c r="AL279" s="65"/>
      <c r="AM279" s="382"/>
      <c r="AN279" s="1982">
        <f>IF(Transfer!AD160=-9999,Transfer!AD159,Transfer!AD160)</f>
        <v>1274.9000000000001</v>
      </c>
      <c r="AO279" s="1982">
        <f>IF(Transfer!AD160=-9999,100*(Transfer!AD159/Transfer!AC159-1),100*(Transfer!AD160/Transfer!AC160-1))</f>
        <v>1.7721721082461839</v>
      </c>
      <c r="AP279" s="1982">
        <f>IF(Transfer!AE160=-9999,Transfer!AE159,Transfer!AE160)</f>
        <v>1294.033016885594</v>
      </c>
      <c r="AQ279" s="1982">
        <f>IF(Transfer!AE160=-9999,100*(Transfer!AE159/Transfer!AD159-1),100*(Transfer!AE160/Transfer!AD160-1))</f>
        <v>1.5007464809470461</v>
      </c>
      <c r="AR279" s="1982">
        <f>IF(Transfer!AF160=-9999,Transfer!AF159,Transfer!AF160)</f>
        <v>1312.7341838591722</v>
      </c>
      <c r="AS279" s="1982">
        <f>IF(Transfer!AF160=-9999,100*(Transfer!AF159/Transfer!AE159-1),100*(Transfer!AF160/Transfer!AE160-1))</f>
        <v>1.445184684590739</v>
      </c>
      <c r="AT279" s="1982">
        <f>IF(Transfer!AG160=-9999,Transfer!AG159,Transfer!AG160)</f>
        <v>1329.0638543846212</v>
      </c>
      <c r="AU279" s="1983">
        <f>IF(Transfer!AG160=-9999,100*(Transfer!AG159/Transfer!AF159-1),100*(Transfer!AG160/Transfer!AF160-1))</f>
        <v>1.2439434217705214</v>
      </c>
      <c r="AV279" s="82"/>
      <c r="AW279" s="334"/>
      <c r="AX279" s="54"/>
      <c r="AY279" s="54"/>
      <c r="AZ279" s="54"/>
      <c r="BA279" s="1698" t="s">
        <v>1223</v>
      </c>
      <c r="BB279" s="1735" t="s">
        <v>1746</v>
      </c>
      <c r="BC279" s="54"/>
    </row>
    <row r="280" spans="1:55">
      <c r="A280" s="45"/>
      <c r="B280" s="1673"/>
      <c r="C280" s="2648" t="str">
        <f>IF(Transfer!C160=-9999,"  3. GVA per occupied person (1:2)","  3. GVA per occupied f.t.e (1:2)")</f>
        <v xml:space="preserve">  3. GVA per occupied person (1:2)</v>
      </c>
      <c r="D280" s="2649"/>
      <c r="E280" s="2650"/>
      <c r="F280" s="2415">
        <f ca="1">IF(Transfer!D160=-9999,1000*(Transfer!D301)/Transfer!D159,1000*(Transfer!D301)/Transfer!D160)</f>
        <v>25.344793316124338</v>
      </c>
      <c r="G280" s="2387">
        <f ca="1">IF(Transfer!D160=-9999,100*(((1000*(Transfer!D301)/Transfer!D159)/((1000*(Transfer!C301)/Transfer!C159)))-1),100*(((1000*(Transfer!D301)/Transfer!D160)/((1000*(Transfer!C301)/Transfer!C160)))-1))</f>
        <v>0.35392759185752798</v>
      </c>
      <c r="H280" s="2387">
        <f ca="1">IF(Transfer!E160=-9999,1000*(Transfer!E301)/Transfer!E159,1000*(Transfer!E301)/Transfer!E160)</f>
        <v>26.45320450692796</v>
      </c>
      <c r="I280" s="2388">
        <f ca="1">IF(Transfer!E160=-9999,100*(((1000*(Transfer!E301)/Transfer!E159)/((1000*(Transfer!D301)/Transfer!D159)))-1),100*(((1000*(Transfer!E301)/Transfer!E160)/((1000*(Transfer!D301)/Transfer!D160)))-1))</f>
        <v>4.373328979165314</v>
      </c>
      <c r="J280" s="2387">
        <f ca="1">IF(Transfer!F160=-9999,1000*(Transfer!F301)/Transfer!F159,1000*(Transfer!F301)/Transfer!F160)</f>
        <v>27.341827721443735</v>
      </c>
      <c r="K280" s="2388">
        <f ca="1">IF(Transfer!F160=-9999,100*(((1000*(Transfer!F301)/Transfer!F159)/((1000*(Transfer!E301)/Transfer!E159)))-1),100*(((1000*(Transfer!F301)/Transfer!F160)/((1000*(Transfer!E301)/Transfer!E160)))-1))</f>
        <v>3.3592270996243512</v>
      </c>
      <c r="L280" s="2387">
        <f ca="1">IF(Transfer!G160=-9999,1000*(Transfer!G301)/Transfer!G159,1000*(Transfer!G301)/Transfer!G160)</f>
        <v>28.141353200131366</v>
      </c>
      <c r="M280" s="2389">
        <f ca="1">IF(Transfer!G160=-9999,100*(((1000*(Transfer!G301)/Transfer!G159)/((1000*(Transfer!F301)/Transfer!F159)))-1),100*(((1000*(Transfer!G301)/Transfer!G160)/((1000*(Transfer!F301)/Transfer!F160)))-1))</f>
        <v>2.9241844650369719</v>
      </c>
      <c r="N280" s="2368"/>
      <c r="O280" s="334"/>
      <c r="P280" s="54"/>
      <c r="Q280" s="54"/>
      <c r="R280" s="54"/>
      <c r="S280" s="275"/>
      <c r="T280" s="40" t="str">
        <f>IF(Transfer!T160=-9999,"  3. GVA per occupied person (1:2)","  3. GVA per occupied f.t.e (1:2)")</f>
        <v xml:space="preserve">  3. GVA per occupied f.t.e (1:2)</v>
      </c>
      <c r="U280" s="65"/>
      <c r="V280" s="382"/>
      <c r="W280" s="107">
        <f t="shared" ca="1" si="20"/>
        <v>-52.8</v>
      </c>
      <c r="X280" s="107">
        <f t="shared" ca="1" si="20"/>
        <v>-1.5</v>
      </c>
      <c r="Y280" s="107">
        <f t="shared" ca="1" si="20"/>
        <v>-53.599999999999994</v>
      </c>
      <c r="Z280" s="107">
        <f t="shared" ca="1" si="20"/>
        <v>1.8000000000000003</v>
      </c>
      <c r="AA280" s="107">
        <f t="shared" ca="1" si="20"/>
        <v>-54.7</v>
      </c>
      <c r="AB280" s="107">
        <f t="shared" ca="1" si="20"/>
        <v>1.1000000000000001</v>
      </c>
      <c r="AC280" s="107">
        <f t="shared" ca="1" si="20"/>
        <v>-56.1</v>
      </c>
      <c r="AD280" s="93">
        <f t="shared" ca="1" si="20"/>
        <v>0.19999999999999973</v>
      </c>
      <c r="AE280" s="82"/>
      <c r="AF280" s="45"/>
      <c r="AG280" s="45"/>
      <c r="AH280" s="45"/>
      <c r="AI280" s="45"/>
      <c r="AJ280" s="275"/>
      <c r="AK280" s="2187" t="str">
        <f>IF(Transfer!AK160=-9999,"  3. GVA per occupied person (1:2)","  3. GVA per occupied f.t.e (1:2)")</f>
        <v xml:space="preserve">  3. GVA per occupied person (1:2)</v>
      </c>
      <c r="AL280" s="2188"/>
      <c r="AM280" s="2189"/>
      <c r="AN280" s="2140">
        <f>IF(Transfer!AD160=-9999,1000*(Transfer!AD301)/Transfer!AD159,1000*(Transfer!AD301)/Transfer!AD160)</f>
        <v>78.109234369045438</v>
      </c>
      <c r="AO280" s="2113">
        <f>IF(Transfer!AD160=-9999,100*(((1000*(Transfer!AD301)/Transfer!AD159)/((1000*(Transfer!AC301)/Transfer!AC159)))-1),100*(((1000*(Transfer!AD301)/Transfer!AD160)/((1000*(Transfer!AC301)/Transfer!AC160)))-1))</f>
        <v>1.8542623498307487</v>
      </c>
      <c r="AP280" s="2113">
        <f>IF(Transfer!AE160=-9999,1000*(Transfer!AE301)/Transfer!AE159,1000*(Transfer!AE301)/Transfer!AE160)</f>
        <v>80.130584210151042</v>
      </c>
      <c r="AQ280" s="2114">
        <f>IF(Transfer!AE160=-9999,100*(((1000*(Transfer!AE301)/Transfer!AE159)/((1000*(Transfer!AD301)/Transfer!AD159)))-1),100*(((1000*(Transfer!AE301)/Transfer!AE160)/((1000*(Transfer!AD301)/Transfer!AD160)))-1))</f>
        <v>2.5878500249474579</v>
      </c>
      <c r="AR280" s="2113">
        <f>IF(Transfer!AF160=-9999,1000*(Transfer!AF301)/Transfer!AF159,1000*(Transfer!AF301)/Transfer!AF160)</f>
        <v>82.004558853082713</v>
      </c>
      <c r="AS280" s="2114">
        <f>IF(Transfer!AF160=-9999,100*(((1000*(Transfer!AF301)/Transfer!AF159)/((1000*(Transfer!AE301)/Transfer!AE159)))-1),100*(((1000*(Transfer!AF301)/Transfer!AF160)/((1000*(Transfer!AE301)/Transfer!AE160)))-1))</f>
        <v>2.338650917628371</v>
      </c>
      <c r="AT280" s="2113">
        <f>IF(Transfer!AG160=-9999,1000*(Transfer!AG301)/Transfer!AG159,1000*(Transfer!AG301)/Transfer!AG160)</f>
        <v>84.248475178047485</v>
      </c>
      <c r="AU280" s="2115">
        <f>IF(Transfer!AG160=-9999,100*(((1000*(Transfer!AG301)/Transfer!AG159)/((1000*(Transfer!AF301)/Transfer!AF159)))-1),100*(((1000*(Transfer!AG301)/Transfer!AG160)/((1000*(Transfer!AF301)/Transfer!AF160)))-1))</f>
        <v>2.7363311946899449</v>
      </c>
      <c r="AV280" s="82"/>
      <c r="AW280" s="334"/>
      <c r="AX280" s="54"/>
      <c r="AY280" s="54"/>
      <c r="AZ280" s="54"/>
      <c r="BA280" s="1698" t="s">
        <v>1677</v>
      </c>
      <c r="BB280" s="1735" t="s">
        <v>1747</v>
      </c>
      <c r="BC280" s="54"/>
    </row>
    <row r="281" spans="1:55">
      <c r="A281" s="45"/>
      <c r="B281" s="1673"/>
      <c r="C281" s="1666" t="str">
        <f>IF(Transfer!D164=-9999,"  4. Compensation of employees per head","  4. Compensation of employees / f.t.e")</f>
        <v xml:space="preserve">  4. Compensation of employees per head</v>
      </c>
      <c r="D281" s="2351"/>
      <c r="E281" s="2521"/>
      <c r="F281" s="1668">
        <f ca="1">IF(Transfer!D164=-9999,1000*(Transfer!D161)/Transfer!D163,1000*(Transfer!D161)/Transfer!D164)</f>
        <v>14.18675940668734</v>
      </c>
      <c r="G281" s="1668">
        <f ca="1">IF(Transfer!D164=-9999,100*(((1000*(Transfer!D161)/Transfer!D163)/((1000*(Transfer!C161)/Transfer!C163)))-1),100*(((1000*(Transfer!D161)/Transfer!D164)/((1000*(Transfer!C161)/Transfer!C164)))-1))</f>
        <v>6.2377553208158742</v>
      </c>
      <c r="H281" s="1668">
        <f ca="1">IF(Transfer!E164=-9999,1000*(Transfer!E161)/Transfer!E163,1000*(Transfer!E161)/Transfer!E164)</f>
        <v>15.481773936393388</v>
      </c>
      <c r="I281" s="1668">
        <f ca="1">IF(Transfer!E164=-9999,100*(((1000*(Transfer!E161)/Transfer!E163)/((1000*(Transfer!D161)/Transfer!D163)))-1),100*(((1000*(Transfer!E161)/Transfer!E164)/((1000*(Transfer!D161)/Transfer!D164)))-1))</f>
        <v>9.1283322186714866</v>
      </c>
      <c r="J281" s="1668">
        <f ca="1">IF(Transfer!F164=-9999,1000*(Transfer!F161)/Transfer!F163,1000*(Transfer!F161)/Transfer!F164)</f>
        <v>16.495359389525113</v>
      </c>
      <c r="K281" s="1668">
        <f ca="1">IF(Transfer!F164=-9999,100*(((1000*(Transfer!F161)/Transfer!F163)/((1000*(Transfer!E161)/Transfer!E163)))-1),100*(((1000*(Transfer!F161)/Transfer!F164)/((1000*(Transfer!E161)/Transfer!E164)))-1))</f>
        <v>6.5469593942917959</v>
      </c>
      <c r="L281" s="1668">
        <f ca="1">IF(Transfer!G164=-9999,1000*(Transfer!G161)/Transfer!G163,1000*(Transfer!G161)/Transfer!G164)</f>
        <v>17.490678494808797</v>
      </c>
      <c r="M281" s="1669">
        <f ca="1">IF(Transfer!G164=-9999,100*(((1000*(Transfer!G161)/Transfer!G163)/((1000*(Transfer!F161)/Transfer!F163)))-1),100*(((1000*(Transfer!G161)/Transfer!G164)/((1000*(Transfer!F161)/Transfer!F164)))-1))</f>
        <v>6.0339340403564146</v>
      </c>
      <c r="N281" s="2368"/>
      <c r="O281" s="334"/>
      <c r="P281" s="54"/>
      <c r="Q281" s="54"/>
      <c r="R281" s="54"/>
      <c r="S281" s="275"/>
      <c r="T281" s="40" t="str">
        <f>IF(Transfer!U164=-9999,"  4. Compensation of employees per head","  4. Compensation of employees / f.t.e")</f>
        <v xml:space="preserve">  4. Compensation of employees / f.t.e</v>
      </c>
      <c r="U281" s="65"/>
      <c r="V281" s="382"/>
      <c r="W281" s="107">
        <f t="shared" ca="1" si="20"/>
        <v>-25.099999999999998</v>
      </c>
      <c r="X281" s="107">
        <f t="shared" ca="1" si="20"/>
        <v>2.4000000000000004</v>
      </c>
      <c r="Y281" s="107">
        <f t="shared" ca="1" si="20"/>
        <v>-25.5</v>
      </c>
      <c r="Z281" s="107">
        <f t="shared" ca="1" si="20"/>
        <v>4.8</v>
      </c>
      <c r="AA281" s="107">
        <f t="shared" ca="1" si="20"/>
        <v>-26.1</v>
      </c>
      <c r="AB281" s="107">
        <f t="shared" ca="1" si="20"/>
        <v>2.7</v>
      </c>
      <c r="AC281" s="107">
        <f t="shared" ca="1" si="20"/>
        <v>-26.9</v>
      </c>
      <c r="AD281" s="93">
        <f t="shared" ca="1" si="20"/>
        <v>1.5999999999999996</v>
      </c>
      <c r="AE281" s="82"/>
      <c r="AF281" s="45"/>
      <c r="AG281" s="45"/>
      <c r="AH281" s="45"/>
      <c r="AI281" s="45"/>
      <c r="AJ281" s="275"/>
      <c r="AK281" s="40" t="str">
        <f>IF(Transfer!AL164=-9999,"  4. Compensation of employees per head","  4. Compensation of employees / f.t.e")</f>
        <v xml:space="preserve">  4. Compensation of employees per head</v>
      </c>
      <c r="AL281" s="65"/>
      <c r="AM281" s="382"/>
      <c r="AN281" s="1982">
        <f>IF(Transfer!AD164=-9999,1000*(Transfer!AD161)/Transfer!AD163,1000*(Transfer!AD161)/Transfer!AD164)</f>
        <v>39.303898829733761</v>
      </c>
      <c r="AO281" s="1982">
        <f>IF(Transfer!AD164=-9999,100*(((1000*(Transfer!AD161)/Transfer!AD163)/((1000*(Transfer!AC161)/Transfer!AC163)))-1),100*(((1000*(Transfer!AD161)/Transfer!AD164)/((1000*(Transfer!AC161)/Transfer!AC164)))-1))</f>
        <v>3.7697775426545954</v>
      </c>
      <c r="AP281" s="1982">
        <f>IF(Transfer!AE164=-9999,1000*(Transfer!AE161)/Transfer!AE163,1000*(Transfer!AE161)/Transfer!AE164)</f>
        <v>41.008528586088211</v>
      </c>
      <c r="AQ281" s="1982">
        <f>IF(Transfer!AE164=-9999,100*(((1000*(Transfer!AE161)/Transfer!AE163)/((1000*(Transfer!AD161)/Transfer!AD163)))-1),100*(((1000*(Transfer!AE161)/Transfer!AE164)/((1000*(Transfer!AD161)/Transfer!AD164)))-1))</f>
        <v>4.3370500309370952</v>
      </c>
      <c r="AR281" s="1982">
        <f>IF(Transfer!AF164=-9999,1000*(Transfer!AF161)/Transfer!AF163,1000*(Transfer!AF161)/Transfer!AF164)</f>
        <v>42.554855782754693</v>
      </c>
      <c r="AS281" s="1982">
        <f>IF(Transfer!AF164=-9999,100*(((1000*(Transfer!AF161)/Transfer!AF163)/((1000*(Transfer!AE161)/Transfer!AE163)))-1),100*(((1000*(Transfer!AF161)/Transfer!AF164)/((1000*(Transfer!AE161)/Transfer!AE164)))-1))</f>
        <v>3.7707453790260193</v>
      </c>
      <c r="AT281" s="1982">
        <f>IF(Transfer!AG164=-9999,1000*(Transfer!AG161)/Transfer!AG163,1000*(Transfer!AG161)/Transfer!AG164)</f>
        <v>44.448382835981548</v>
      </c>
      <c r="AU281" s="1983">
        <f>IF(Transfer!AG164=-9999,100*(((1000*(Transfer!AG161)/Transfer!AG163)/((1000*(Transfer!AF161)/Transfer!AF163)))-1),100*(((1000*(Transfer!AG161)/Transfer!AG164)/((1000*(Transfer!AF161)/Transfer!AF164)))-1))</f>
        <v>4.449614546676961</v>
      </c>
      <c r="AV281" s="82"/>
      <c r="AW281" s="334"/>
      <c r="AX281" s="54"/>
      <c r="AY281" s="54"/>
      <c r="AZ281" s="54"/>
      <c r="BA281" s="1698" t="s">
        <v>944</v>
      </c>
      <c r="BB281" s="1735" t="s">
        <v>1748</v>
      </c>
      <c r="BC281" s="54"/>
    </row>
    <row r="282" spans="1:55">
      <c r="A282" s="45"/>
      <c r="B282" s="1673"/>
      <c r="C282" s="2373" t="str">
        <f>IF(Transfer!D164=-9999,"  4a. - of which, wages and salaries per head","  4a. - of which, wages and salaries / f.t.e")</f>
        <v xml:space="preserve">  4a. - of which, wages and salaries per head</v>
      </c>
      <c r="D282" s="2351"/>
      <c r="E282" s="2521"/>
      <c r="F282" s="1668">
        <f ca="1">IF(Transfer!D164=-9999,1000*(Transfer!D162)/Transfer!D163,1000*(Transfer!D162)/Transfer!D164)</f>
        <v>11.136344590631024</v>
      </c>
      <c r="G282" s="1668">
        <f ca="1">IF(Transfer!D164=-9999,100*(((1000*(Transfer!D162)/Transfer!D163)/((1000*(Transfer!C162)/Transfer!C163)))-1),100*(((1000*(Transfer!D162)/Transfer!D164)/((1000*(Transfer!C162)/Transfer!C164)))-1))</f>
        <v>5.944102003647167</v>
      </c>
      <c r="H282" s="1668">
        <f ca="1">IF(Transfer!E164=-9999,1000*(Transfer!E162)/Transfer!E163,1000*(Transfer!E162)/Transfer!E164)</f>
        <v>12.051892360992221</v>
      </c>
      <c r="I282" s="1668">
        <f ca="1">IF(Transfer!E164=-9999,100*(((1000*(Transfer!E162)/Transfer!E163)/((1000*(Transfer!D162)/Transfer!D163)))-1),100*(((1000*(Transfer!E162)/Transfer!E164)/((1000*(Transfer!D162)/Transfer!D164)))-1))</f>
        <v>8.2212593451126192</v>
      </c>
      <c r="J282" s="1668">
        <f ca="1">IF(Transfer!F164=-9999,1000*(Transfer!F162)/Transfer!F163,1000*(Transfer!F162)/Transfer!F164)</f>
        <v>12.806406894744773</v>
      </c>
      <c r="K282" s="1668">
        <f ca="1">IF(Transfer!F164=-9999,100*(((1000*(Transfer!F162)/Transfer!F163)/((1000*(Transfer!E162)/Transfer!E163)))-1),100*(((1000*(Transfer!F162)/Transfer!F164)/((1000*(Transfer!E162)/Transfer!E164)))-1))</f>
        <v>6.2605482288794034</v>
      </c>
      <c r="L282" s="1668">
        <f ca="1">IF(Transfer!G164=-9999,1000*(Transfer!G162)/Transfer!G163,1000*(Transfer!G162)/Transfer!G164)</f>
        <v>13.568566403468552</v>
      </c>
      <c r="M282" s="1669">
        <f ca="1">IF(Transfer!G164=-9999,100*(((1000*(Transfer!G162)/Transfer!G163)/((1000*(Transfer!F162)/Transfer!F163)))-1),100*(((1000*(Transfer!G162)/Transfer!G164)/((1000*(Transfer!F162)/Transfer!F164)))-1))</f>
        <v>5.9513922600455293</v>
      </c>
      <c r="N282" s="2368"/>
      <c r="O282" s="334"/>
      <c r="P282" s="54"/>
      <c r="Q282" s="54"/>
      <c r="R282" s="54"/>
      <c r="S282" s="275"/>
      <c r="T282" s="86" t="str">
        <f>IF(Transfer!U164=-9999,"  4a. - of which, wages and salaries per head","  4a. - of which, wages and salaries / f.t.e")</f>
        <v xml:space="preserve">  4a. - of which, wages and salaries / f.t.e</v>
      </c>
      <c r="U282" s="65"/>
      <c r="V282" s="382"/>
      <c r="W282" s="107">
        <f t="shared" ca="1" si="20"/>
        <v>-19.200000000000003</v>
      </c>
      <c r="X282" s="107">
        <f t="shared" ca="1" si="20"/>
        <v>3.3000000000000003</v>
      </c>
      <c r="Y282" s="107">
        <f t="shared" ca="1" si="20"/>
        <v>-19.700000000000003</v>
      </c>
      <c r="Z282" s="107">
        <f t="shared" ca="1" si="20"/>
        <v>3.3999999999999995</v>
      </c>
      <c r="AA282" s="107">
        <f t="shared" ca="1" si="20"/>
        <v>-20.3</v>
      </c>
      <c r="AB282" s="107">
        <f t="shared" ca="1" si="20"/>
        <v>2.0999999999999996</v>
      </c>
      <c r="AC282" s="107">
        <f t="shared" ca="1" si="20"/>
        <v>-21.199999999999996</v>
      </c>
      <c r="AD282" s="93">
        <f t="shared" ca="1" si="20"/>
        <v>0.90000000000000036</v>
      </c>
      <c r="AE282" s="82"/>
      <c r="AF282" s="45"/>
      <c r="AG282" s="45"/>
      <c r="AH282" s="45"/>
      <c r="AI282" s="45"/>
      <c r="AJ282" s="275"/>
      <c r="AK282" s="86" t="str">
        <f>IF(Transfer!AL164=-9999,"  4a. - of which, wages and salaries per head","  4a. - of which, wages and salaries / f.t.e")</f>
        <v xml:space="preserve">  4a. - of which, wages and salaries per head</v>
      </c>
      <c r="AL282" s="65"/>
      <c r="AM282" s="382"/>
      <c r="AN282" s="1982">
        <f>IF(Transfer!AD164=-9999,1000*(Transfer!AD162)/Transfer!AD163,1000*(Transfer!AD162)/Transfer!AD164)</f>
        <v>30.339184639650682</v>
      </c>
      <c r="AO282" s="1982">
        <f>IF(Transfer!AD164=-9999,100*(((1000*(Transfer!AD162)/Transfer!AD163)/((1000*(Transfer!AC162)/Transfer!AC163)))-1),100*(((1000*(Transfer!AD162)/Transfer!AD164)/((1000*(Transfer!AC162)/Transfer!AC164)))-1))</f>
        <v>2.5600140313267516</v>
      </c>
      <c r="AP282" s="1982">
        <f>IF(Transfer!AE164=-9999,1000*(Transfer!AE162)/Transfer!AE163,1000*(Transfer!AE162)/Transfer!AE164)</f>
        <v>31.787371523482179</v>
      </c>
      <c r="AQ282" s="1982">
        <f>IF(Transfer!AE164=-9999,100*(((1000*(Transfer!AE162)/Transfer!AE163)/((1000*(Transfer!AD162)/Transfer!AD163)))-1),100*(((1000*(Transfer!AE162)/Transfer!AE164)/((1000*(Transfer!AD162)/Transfer!AD164)))-1))</f>
        <v>4.7733216994198413</v>
      </c>
      <c r="AR282" s="1982">
        <f>IF(Transfer!AF164=-9999,1000*(Transfer!AF162)/Transfer!AF163,1000*(Transfer!AF162)/Transfer!AF164)</f>
        <v>33.13811837313002</v>
      </c>
      <c r="AS282" s="1982">
        <f>IF(Transfer!AF164=-9999,100*(((1000*(Transfer!AF162)/Transfer!AF163)/((1000*(Transfer!AE162)/Transfer!AE163)))-1),100*(((1000*(Transfer!AF162)/Transfer!AF164)/((1000*(Transfer!AE162)/Transfer!AE164)))-1))</f>
        <v>4.2493191003540876</v>
      </c>
      <c r="AT282" s="1982">
        <f>IF(Transfer!AG164=-9999,1000*(Transfer!AG162)/Transfer!AG163,1000*(Transfer!AG162)/Transfer!AG164)</f>
        <v>34.830726391180569</v>
      </c>
      <c r="AU282" s="1983">
        <f>IF(Transfer!AG164=-9999,100*(((1000*(Transfer!AG162)/Transfer!AG163)/((1000*(Transfer!AF162)/Transfer!AF163)))-1),100*(((1000*(Transfer!AG162)/Transfer!AG164)/((1000*(Transfer!AF162)/Transfer!AF164)))-1))</f>
        <v>5.1077372559058754</v>
      </c>
      <c r="AV282" s="82"/>
      <c r="AW282" s="334"/>
      <c r="AX282" s="54"/>
      <c r="AY282" s="54"/>
      <c r="AZ282" s="54"/>
      <c r="BA282" s="1698" t="s">
        <v>1956</v>
      </c>
      <c r="BB282" s="1735" t="s">
        <v>1749</v>
      </c>
      <c r="BC282" s="54"/>
    </row>
    <row r="283" spans="1:55">
      <c r="A283" s="45"/>
      <c r="B283" s="1673"/>
      <c r="C283" s="2373" t="str">
        <f>IF(Transfer!D164=-9999,"  4b. - of which, employers' contribution per head","  4b. - of which, employers' contribution / f.t.e")</f>
        <v xml:space="preserve">  4b. - of which, employers' contribution per head</v>
      </c>
      <c r="D283" s="2392"/>
      <c r="E283" s="2651"/>
      <c r="F283" s="1668">
        <f ca="1">IF(Transfer!D164=-9999,1000*(Transfer!D161-Transfer!D162)/Transfer!D163,1000*(Transfer!D161-Transfer!D162)/Transfer!D164)</f>
        <v>3.0504148160563145</v>
      </c>
      <c r="G283" s="1668">
        <f ca="1">IF(Transfer!D164=-9999,100*(((1000*(Transfer!D161-Transfer!D162)/Transfer!D163)/((1000*(Transfer!C161-Transfer!C162)/Transfer!C163)))-1),100*(((1000*(Transfer!D161-Transfer!D162)/Transfer!D164)/((1000*(Transfer!C161-Transfer!C162)/Transfer!C164)))-1))</f>
        <v>7.3237753314608023</v>
      </c>
      <c r="H283" s="1668">
        <f ca="1">IF(Transfer!E164=-9999,1000*(Transfer!E161-Transfer!E162)/Transfer!E163,1000*(Transfer!E161-Transfer!E162)/Transfer!E164)</f>
        <v>3.4298815754011662</v>
      </c>
      <c r="I283" s="1668">
        <f ca="1">IF(Transfer!E164=-9999,100*(((1000*(Transfer!E161-Transfer!E162)/Transfer!E163)/((1000*(Transfer!D161-Transfer!D162)/Transfer!D163)))-1),100*(((1000*(Transfer!E161-Transfer!E162)/Transfer!E164)/((1000*(Transfer!D161-Transfer!D162)/Transfer!D164)))-1))</f>
        <v>12.439841209381486</v>
      </c>
      <c r="J283" s="1668">
        <f ca="1">IF(Transfer!F164=-9999,1000*(Transfer!F161-Transfer!F162)/Transfer!F163,1000*(Transfer!F161-Transfer!F162)/Transfer!F164)</f>
        <v>3.6889524947803412</v>
      </c>
      <c r="K283" s="1668">
        <f ca="1">IF(Transfer!F164=-9999,100*(((1000*(Transfer!F161-Transfer!F162)/Transfer!F163)/((1000*(Transfer!E161-Transfer!E162)/Transfer!E163)))-1),100*(((1000*(Transfer!F161-Transfer!F162)/Transfer!F164)/((1000*(Transfer!E161-Transfer!E162)/Transfer!E164)))-1))</f>
        <v>7.5533488163909368</v>
      </c>
      <c r="L283" s="1668">
        <f ca="1">IF(Transfer!G164=-9999,1000*(Transfer!G161-Transfer!G162)/Transfer!G163,1000*(Transfer!G161-Transfer!G162)/Transfer!G164)</f>
        <v>3.9221120913402454</v>
      </c>
      <c r="M283" s="1669">
        <f ca="1">IF(Transfer!G164=-9999,100*(((1000*(Transfer!G161-Transfer!G162)/Transfer!G163)/((1000*(Transfer!F161-Transfer!F162)/Transfer!F163)))-1),100*(((1000*(Transfer!G161-Transfer!G162)/Transfer!G164)/((1000*(Transfer!F161-Transfer!F162)/Transfer!F164)))-1))</f>
        <v>6.3204824917049374</v>
      </c>
      <c r="N283" s="2390"/>
      <c r="O283" s="334"/>
      <c r="P283" s="54"/>
      <c r="Q283" s="54"/>
      <c r="R283" s="54"/>
      <c r="S283" s="275"/>
      <c r="T283" s="86" t="str">
        <f>IF(Transfer!U164=-9999,"  4b. - of which, employers' contribution per head","  4b. - of which, employers' contribution / f.t.e")</f>
        <v xml:space="preserve">  4b. - of which, employers' contribution / f.t.e</v>
      </c>
      <c r="U283" s="102"/>
      <c r="V283" s="383"/>
      <c r="W283" s="107">
        <f t="shared" ca="1" si="20"/>
        <v>-5.9</v>
      </c>
      <c r="X283" s="107">
        <f t="shared" ca="1" si="20"/>
        <v>-0.79999999999999982</v>
      </c>
      <c r="Y283" s="107">
        <f t="shared" ca="1" si="20"/>
        <v>-5.7999999999999989</v>
      </c>
      <c r="Z283" s="107">
        <f t="shared" ca="1" si="20"/>
        <v>9.5</v>
      </c>
      <c r="AA283" s="107">
        <f t="shared" ca="1" si="20"/>
        <v>-5.7</v>
      </c>
      <c r="AB283" s="107">
        <f t="shared" ca="1" si="20"/>
        <v>5.5</v>
      </c>
      <c r="AC283" s="107">
        <f t="shared" ca="1" si="20"/>
        <v>-5.6999999999999993</v>
      </c>
      <c r="AD283" s="93">
        <f t="shared" ca="1" si="20"/>
        <v>4.1999999999999993</v>
      </c>
      <c r="AE283" s="103"/>
      <c r="AF283" s="45"/>
      <c r="AG283" s="45"/>
      <c r="AH283" s="45"/>
      <c r="AI283" s="45"/>
      <c r="AJ283" s="275"/>
      <c r="AK283" s="86" t="str">
        <f>IF(Transfer!AL164=-9999,"  4b. - of which, employers' contribution per head","  4b. - of which, employers' contribution / f.t.e")</f>
        <v xml:space="preserve">  4b. - of which, employers' contribution per head</v>
      </c>
      <c r="AL283" s="102"/>
      <c r="AM283" s="383"/>
      <c r="AN283" s="1982">
        <f>IF(Transfer!AD164=-9999,1000*(Transfer!AD161-Transfer!AD162)/Transfer!AD163,1000*(Transfer!AD161-Transfer!AD162)/Transfer!AD164)</f>
        <v>8.9647141900830718</v>
      </c>
      <c r="AO283" s="1982">
        <f>IF(Transfer!AD164=-9999,100*(((1000*(Transfer!AD161-Transfer!AD162)/Transfer!AD163)/((1000*(Transfer!AC161-Transfer!AC162)/Transfer!AC163)))-1),100*(((1000*(Transfer!AD161-Transfer!AD162)/Transfer!AD164)/((1000*(Transfer!AC161-Transfer!AC162)/Transfer!AC164)))-1))</f>
        <v>8.0845043388864557</v>
      </c>
      <c r="AP283" s="1982">
        <f>IF(Transfer!AE164=-9999,1000*(Transfer!AE161-Transfer!AE162)/Transfer!AE163,1000*(Transfer!AE161-Transfer!AE162)/Transfer!AE164)</f>
        <v>9.2211570626060286</v>
      </c>
      <c r="AQ283" s="1982">
        <f>IF(Transfer!AE164=-9999,100*(((1000*(Transfer!AE161-Transfer!AE162)/Transfer!AE163)/((1000*(Transfer!AD161-Transfer!AD162)/Transfer!AD163)))-1),100*(((1000*(Transfer!AE161-Transfer!AE162)/Transfer!AE164)/((1000*(Transfer!AD161-Transfer!AD162)/Transfer!AD164)))-1))</f>
        <v>2.8605805727374811</v>
      </c>
      <c r="AR283" s="1982">
        <f>IF(Transfer!AF164=-9999,1000*(Transfer!AF161-Transfer!AF162)/Transfer!AF163,1000*(Transfer!AF161-Transfer!AF162)/Transfer!AF164)</f>
        <v>9.4167374096246768</v>
      </c>
      <c r="AS283" s="1982">
        <f>IF(Transfer!AF164=-9999,100*(((1000*(Transfer!AF161-Transfer!AF162)/Transfer!AF163)/((1000*(Transfer!AE161-Transfer!AE162)/Transfer!AE163)))-1),100*(((1000*(Transfer!AF161-Transfer!AF162)/Transfer!AF164)/((1000*(Transfer!AE161-Transfer!AE162)/Transfer!AE164)))-1))</f>
        <v>2.1209957241892452</v>
      </c>
      <c r="AT283" s="1982">
        <f>IF(Transfer!AG164=-9999,1000*(Transfer!AG161-Transfer!AG162)/Transfer!AG163,1000*(Transfer!AG161-Transfer!AG162)/Transfer!AG164)</f>
        <v>9.6176564448009803</v>
      </c>
      <c r="AU283" s="1983">
        <f>IF(Transfer!AG164=-9999,100*(((1000*(Transfer!AG161-Transfer!AG162)/Transfer!AG163)/((1000*(Transfer!AF161-Transfer!AF162)/Transfer!AF163)))-1),100*(((1000*(Transfer!AG161-Transfer!AG162)/Transfer!AG164)/((1000*(Transfer!AF161-Transfer!AF162)/Transfer!AF164)))-1))</f>
        <v>2.1336374418909454</v>
      </c>
      <c r="AV283" s="103"/>
      <c r="AW283" s="334"/>
      <c r="AX283" s="54"/>
      <c r="AY283" s="54"/>
      <c r="AZ283" s="54"/>
      <c r="BA283" s="1698" t="s">
        <v>1957</v>
      </c>
      <c r="BB283" s="1735" t="s">
        <v>1750</v>
      </c>
      <c r="BC283" s="54"/>
    </row>
    <row r="284" spans="1:55" ht="13.5" thickBot="1">
      <c r="A284" s="45"/>
      <c r="B284" s="2634"/>
      <c r="C284" s="2652" t="s">
        <v>1814</v>
      </c>
      <c r="D284" s="2653"/>
      <c r="E284" s="2654"/>
      <c r="F284" s="2655">
        <f ca="1">IF(Transfer!D160=-9999,100*(Transfer!D161/Transfer!D163)/(Transfer!D301/Transfer!D159),100*(Transfer!D161/Transfer!D164)/(Transfer!D301/Transfer!D160))</f>
        <v>55.975044774429989</v>
      </c>
      <c r="G284" s="2656">
        <f ca="1">IF(Transfer!D160=-9999,100*((((Transfer!D161/Transfer!D163)/(Transfer!D301/Transfer!D159))/((Transfer!C161/Transfer!C163)/(Transfer!C301/Transfer!C159)))-1),100*((((Transfer!D161/Transfer!D164)/(Transfer!D301/Transfer!D160))/((Transfer!C161/Transfer!C164)/(Transfer!C301/Transfer!C160)))-1))</f>
        <v>5.863076682845958</v>
      </c>
      <c r="H284" s="2656">
        <f ca="1">IF(Transfer!E160=-9999,100*(Transfer!E161/Transfer!E163)/(Transfer!E301/Transfer!E159),100*(Transfer!E161/Transfer!E164)/(Transfer!E301/Transfer!E160))</f>
        <v>58.525136084510251</v>
      </c>
      <c r="I284" s="2526">
        <f ca="1">IF(Transfer!E160=-9999,100*((((Transfer!E161/Transfer!E163)/(Transfer!E301/Transfer!E159))/((Transfer!D161/Transfer!D163)/(Transfer!D301/Transfer!D159)))-1),100*((((Transfer!E161/Transfer!E164)/(Transfer!E301/Transfer!E160))/((Transfer!D161/Transfer!D164)/(Transfer!D301/Transfer!D160)))-1))</f>
        <v>4.5557646632650606</v>
      </c>
      <c r="J284" s="2656">
        <f ca="1">IF(Transfer!F160=-9999,100*(Transfer!F161/Transfer!F163)/(Transfer!F301/Transfer!F159),100*(Transfer!F161/Transfer!F164)/(Transfer!F301/Transfer!F160))</f>
        <v>60.33012700386552</v>
      </c>
      <c r="K284" s="2526">
        <f ca="1">IF(Transfer!F160=-9999,100*((((Transfer!F161/Transfer!F163)/(Transfer!F301/Transfer!F159))/((Transfer!E161/Transfer!E163)/(Transfer!E301/Transfer!E159)))-1),100*((((Transfer!F161/Transfer!F164)/(Transfer!F301/Transfer!F160))/((Transfer!E161/Transfer!E164)/(Transfer!E301/Transfer!E160)))-1))</f>
        <v>3.0841293845927265</v>
      </c>
      <c r="L284" s="2656">
        <f ca="1">IF(Transfer!G160=-9999,100*(Transfer!G161/Transfer!G163)/(Transfer!G301/Transfer!G159),100*(Transfer!G161/Transfer!G164)/(Transfer!G301/Transfer!G160))</f>
        <v>62.152940444694579</v>
      </c>
      <c r="M284" s="2657">
        <f ca="1">IF(Transfer!G160=-9999,100*((((Transfer!G161/Transfer!G163)/(Transfer!G301/Transfer!G159))/((Transfer!F161/Transfer!F163)/(Transfer!F301/Transfer!F159)))-1),100*((((Transfer!G161/Transfer!G164)/(Transfer!G301/Transfer!G160))/((Transfer!F161/Transfer!F164)/(Transfer!F301/Transfer!F160)))-1))</f>
        <v>3.0213983151606172</v>
      </c>
      <c r="N284" s="2368"/>
      <c r="O284" s="334"/>
      <c r="P284" s="54"/>
      <c r="Q284" s="54"/>
      <c r="R284" s="54"/>
      <c r="S284" s="356"/>
      <c r="T284" s="213" t="s">
        <v>1814</v>
      </c>
      <c r="U284" s="385"/>
      <c r="V284" s="386"/>
      <c r="W284" s="111">
        <f t="shared" ca="1" si="20"/>
        <v>5.7000000000000028</v>
      </c>
      <c r="X284" s="111">
        <f t="shared" ca="1" si="20"/>
        <v>4</v>
      </c>
      <c r="Y284" s="111">
        <f t="shared" ca="1" si="20"/>
        <v>7.2999999999999972</v>
      </c>
      <c r="Z284" s="111">
        <f t="shared" ca="1" si="20"/>
        <v>2.8999999999999995</v>
      </c>
      <c r="AA284" s="111">
        <f t="shared" ca="1" si="20"/>
        <v>8.3999999999999986</v>
      </c>
      <c r="AB284" s="111">
        <f t="shared" ca="1" si="20"/>
        <v>1.7000000000000002</v>
      </c>
      <c r="AC284" s="111">
        <f t="shared" ca="1" si="20"/>
        <v>9.4000000000000057</v>
      </c>
      <c r="AD284" s="112">
        <f t="shared" ca="1" si="20"/>
        <v>1.3</v>
      </c>
      <c r="AE284" s="82"/>
      <c r="AF284" s="45"/>
      <c r="AG284" s="45"/>
      <c r="AH284" s="45"/>
      <c r="AI284" s="45"/>
      <c r="AJ284" s="356"/>
      <c r="AK284" s="2190" t="s">
        <v>1814</v>
      </c>
      <c r="AL284" s="2191"/>
      <c r="AM284" s="2192"/>
      <c r="AN284" s="2193">
        <f>IF(Transfer!AD160=-9999,100*(Transfer!AD161/Transfer!AD163)/(Transfer!AD301/Transfer!AD159),100*(Transfer!AD161/Transfer!AD164)/(Transfer!AD301/Transfer!AD160))</f>
        <v>50.319144909337162</v>
      </c>
      <c r="AO284" s="2194">
        <f>IF(Transfer!AD160=-9999,100*((((Transfer!AD161/Transfer!AD163)/(Transfer!AD301/Transfer!AD159))/((Transfer!AC161/Transfer!AC163)/(Transfer!AC301/Transfer!AC159)))-1),100*((((Transfer!AD161/Transfer!AD164)/(Transfer!AD301/Transfer!AD160))/((Transfer!AC161/Transfer!AC164)/(Transfer!AC301/Transfer!AC160)))-1))</f>
        <v>1.8806431352325736</v>
      </c>
      <c r="AP284" s="2194">
        <f>IF(Transfer!AE160=-9999,100*(Transfer!AE161/Transfer!AE163)/(Transfer!AE301/Transfer!AE159),100*(Transfer!AE161/Transfer!AE164)/(Transfer!AE301/Transfer!AE160))</f>
        <v>51.177124178377326</v>
      </c>
      <c r="AQ284" s="2179">
        <f>IF(Transfer!AE160=-9999,100*((((Transfer!AE161/Transfer!AE163)/(Transfer!AE301/Transfer!AE159))/((Transfer!AD161/Transfer!AD163)/(Transfer!AD301/Transfer!AD159)))-1),100*((((Transfer!AE161/Transfer!AE164)/(Transfer!AE301/Transfer!AE160))/((Transfer!AD161/Transfer!AD164)/(Transfer!AD301/Transfer!AD160)))-1))</f>
        <v>1.7050752165721939</v>
      </c>
      <c r="AR284" s="2194">
        <f>IF(Transfer!AF160=-9999,100*(Transfer!AF161/Transfer!AF163)/(Transfer!AF301/Transfer!AF159),100*(Transfer!AF161/Transfer!AF164)/(Transfer!AF301/Transfer!AF160))</f>
        <v>51.893280541871945</v>
      </c>
      <c r="AS284" s="2179">
        <f>IF(Transfer!AF160=-9999,100*((((Transfer!AF161/Transfer!AF163)/(Transfer!AF301/Transfer!AF159))/((Transfer!AE161/Transfer!AE163)/(Transfer!AE301/Transfer!AE159)))-1),100*((((Transfer!AF161/Transfer!AF164)/(Transfer!AF301/Transfer!AF160))/((Transfer!AE161/Transfer!AE164)/(Transfer!AE301/Transfer!AE160)))-1))</f>
        <v>1.3993681258807511</v>
      </c>
      <c r="AT284" s="2194">
        <f>IF(Transfer!AG160=-9999,100*(Transfer!AG161/Transfer!AG163)/(Transfer!AG301/Transfer!AG159),100*(Transfer!AG161/Transfer!AG164)/(Transfer!AG301/Transfer!AG160))</f>
        <v>52.758679301964868</v>
      </c>
      <c r="AU284" s="2195">
        <f>IF(Transfer!AG160=-9999,100*((((Transfer!AG161/Transfer!AG163)/(Transfer!AG301/Transfer!AG159))/((Transfer!AF161/Transfer!AF163)/(Transfer!AF301/Transfer!AF159)))-1),100*((((Transfer!AG161/Transfer!AG164)/(Transfer!AG301/Transfer!AG160))/((Transfer!AF161/Transfer!AF164)/(Transfer!AF301/Transfer!AF160)))-1))</f>
        <v>1.6676509001866791</v>
      </c>
      <c r="AV284" s="82"/>
      <c r="AW284" s="334"/>
      <c r="AX284" s="54"/>
      <c r="AY284" s="54"/>
      <c r="AZ284" s="54"/>
      <c r="BA284" s="1701" t="s">
        <v>945</v>
      </c>
      <c r="BB284" s="1998" t="s">
        <v>1751</v>
      </c>
      <c r="BC284" s="54"/>
    </row>
    <row r="285" spans="1:55">
      <c r="A285" s="45"/>
      <c r="B285" s="2658"/>
      <c r="C285" s="2399"/>
      <c r="D285" s="2399"/>
      <c r="E285" s="2399"/>
      <c r="F285" s="2399"/>
      <c r="G285" s="2399"/>
      <c r="H285" s="2399"/>
      <c r="I285" s="2399"/>
      <c r="J285" s="2399"/>
      <c r="K285" s="2399"/>
      <c r="L285" s="2399"/>
      <c r="M285" s="2400" t="str">
        <f>UPPER(Country)</f>
        <v>LITHUANIA</v>
      </c>
      <c r="N285" s="2478"/>
      <c r="O285" s="334"/>
      <c r="P285" s="54"/>
      <c r="Q285" s="54"/>
      <c r="R285" s="54"/>
      <c r="S285" s="387"/>
      <c r="T285" s="116"/>
      <c r="U285" s="116"/>
      <c r="V285" s="116"/>
      <c r="W285" s="116"/>
      <c r="X285" s="116"/>
      <c r="Y285" s="116"/>
      <c r="Z285" s="116"/>
      <c r="AA285" s="116"/>
      <c r="AB285" s="116"/>
      <c r="AC285" s="116"/>
      <c r="AD285" s="118" t="str">
        <f>UPPER(Country)</f>
        <v>LITHUANIA</v>
      </c>
      <c r="AE285" s="216"/>
      <c r="AF285" s="45"/>
      <c r="AG285" s="45"/>
      <c r="AH285" s="45"/>
      <c r="AI285" s="45"/>
      <c r="AJ285" s="387"/>
      <c r="AK285" s="116"/>
      <c r="AL285" s="116"/>
      <c r="AM285" s="116"/>
      <c r="AN285" s="116"/>
      <c r="AO285" s="116"/>
      <c r="AP285" s="116"/>
      <c r="AQ285" s="116"/>
      <c r="AR285" s="116"/>
      <c r="AS285" s="116"/>
      <c r="AT285" s="116"/>
      <c r="AU285" s="118" t="str">
        <f>UPPER(Country)</f>
        <v>LITHUANIA</v>
      </c>
      <c r="AV285" s="216"/>
      <c r="AW285" s="334"/>
      <c r="AX285" s="54"/>
      <c r="AY285" s="54"/>
      <c r="AZ285" s="54"/>
      <c r="BA285" s="334"/>
      <c r="BB285" s="334"/>
      <c r="BC285" s="54"/>
    </row>
    <row r="286" spans="1:55">
      <c r="A286" s="45"/>
      <c r="B286" s="332"/>
      <c r="C286" s="54"/>
      <c r="D286" s="54"/>
      <c r="E286" s="45"/>
      <c r="F286" s="45"/>
      <c r="G286" s="45"/>
      <c r="H286" s="45"/>
      <c r="I286" s="45"/>
      <c r="J286" s="45"/>
      <c r="K286" s="45"/>
      <c r="L286" s="45"/>
      <c r="M286" s="45"/>
      <c r="N286" s="45"/>
      <c r="O286" s="54"/>
      <c r="P286" s="54" t="s">
        <v>1706</v>
      </c>
      <c r="Q286" s="54"/>
      <c r="R286" s="54"/>
      <c r="S286" s="54"/>
      <c r="T286" s="54"/>
      <c r="U286" s="54"/>
      <c r="V286" s="54"/>
      <c r="W286" s="54"/>
      <c r="X286" s="54"/>
      <c r="Y286" s="54"/>
      <c r="Z286" s="54"/>
      <c r="AA286" s="54"/>
      <c r="AB286" s="45"/>
      <c r="AC286" s="45"/>
      <c r="AD286" s="45"/>
      <c r="AE286" s="45"/>
      <c r="AF286" s="45"/>
      <c r="AG286" s="45"/>
      <c r="AH286" s="45"/>
      <c r="AI286" s="45"/>
      <c r="AJ286" s="332"/>
      <c r="AK286" s="54"/>
      <c r="AL286" s="54"/>
      <c r="AM286" s="45"/>
      <c r="AN286" s="45"/>
      <c r="AO286" s="45"/>
      <c r="AP286" s="45"/>
      <c r="AQ286" s="45"/>
      <c r="AR286" s="45"/>
      <c r="AS286" s="45"/>
      <c r="AT286" s="45"/>
      <c r="AU286" s="45"/>
      <c r="AV286" s="45"/>
      <c r="AW286" s="54"/>
      <c r="AX286" s="54"/>
      <c r="AY286" s="54"/>
      <c r="AZ286" s="54"/>
      <c r="BA286" s="54"/>
      <c r="BB286" s="54"/>
      <c r="BC286" s="54"/>
    </row>
    <row r="287" spans="1:55">
      <c r="A287" s="45"/>
      <c r="B287" s="50"/>
      <c r="C287" s="54"/>
      <c r="D287" s="54"/>
      <c r="E287" s="45"/>
      <c r="F287" s="45"/>
      <c r="G287" s="45"/>
      <c r="H287" s="45"/>
      <c r="I287" s="45"/>
      <c r="J287" s="45"/>
      <c r="K287" s="45"/>
      <c r="L287" s="45"/>
      <c r="M287" s="45"/>
      <c r="N287" s="187"/>
      <c r="O287" s="54"/>
      <c r="P287" s="54" t="s">
        <v>1706</v>
      </c>
      <c r="Q287" s="54"/>
      <c r="R287" s="54"/>
      <c r="S287" s="54"/>
      <c r="T287" s="54"/>
      <c r="U287" s="54"/>
      <c r="V287" s="54"/>
      <c r="W287" s="54"/>
      <c r="X287" s="54"/>
      <c r="Y287" s="54"/>
      <c r="Z287" s="54"/>
      <c r="AA287" s="54"/>
      <c r="AB287" s="45"/>
      <c r="AC287" s="45"/>
      <c r="AD287" s="45"/>
      <c r="AE287" s="45"/>
      <c r="AF287" s="45"/>
      <c r="AG287" s="45"/>
      <c r="AH287" s="45"/>
      <c r="AI287" s="45"/>
      <c r="AJ287" s="50"/>
      <c r="AK287" s="54"/>
      <c r="AL287" s="54"/>
      <c r="AM287" s="45"/>
      <c r="AN287" s="45"/>
      <c r="AO287" s="45"/>
      <c r="AP287" s="45"/>
      <c r="AQ287" s="45"/>
      <c r="AR287" s="45"/>
      <c r="AS287" s="45"/>
      <c r="AT287" s="45"/>
      <c r="AU287" s="45"/>
      <c r="AV287" s="187"/>
      <c r="AW287" s="54"/>
      <c r="AX287" s="54"/>
      <c r="AY287" s="54"/>
      <c r="AZ287" s="54"/>
      <c r="BA287" s="54"/>
      <c r="BB287" s="54"/>
      <c r="BC287" s="54"/>
    </row>
    <row r="288" spans="1:55">
      <c r="A288" s="45"/>
      <c r="B288" s="240"/>
      <c r="C288" s="45"/>
      <c r="D288" s="54"/>
      <c r="E288" s="45"/>
      <c r="F288" s="45"/>
      <c r="G288" s="45"/>
      <c r="H288" s="45"/>
      <c r="I288" s="45"/>
      <c r="J288" s="45"/>
      <c r="K288" s="45"/>
      <c r="L288" s="45"/>
      <c r="M288" s="45"/>
      <c r="N288" s="187"/>
      <c r="O288" s="54"/>
      <c r="P288" s="54" t="s">
        <v>1706</v>
      </c>
      <c r="Q288" s="54"/>
      <c r="R288" s="54"/>
      <c r="S288" s="54"/>
      <c r="T288" s="54"/>
      <c r="U288" s="54"/>
      <c r="V288" s="54"/>
      <c r="W288" s="54"/>
      <c r="X288" s="54"/>
      <c r="Y288" s="54"/>
      <c r="Z288" s="54"/>
      <c r="AA288" s="54"/>
      <c r="AB288" s="45"/>
      <c r="AC288" s="45"/>
      <c r="AD288" s="45"/>
      <c r="AE288" s="45"/>
      <c r="AF288" s="45"/>
      <c r="AG288" s="45"/>
      <c r="AH288" s="45"/>
      <c r="AI288" s="45"/>
      <c r="AJ288" s="240"/>
      <c r="AK288" s="45"/>
      <c r="AL288" s="54"/>
      <c r="AM288" s="45"/>
      <c r="AN288" s="45"/>
      <c r="AO288" s="45"/>
      <c r="AP288" s="45"/>
      <c r="AQ288" s="45"/>
      <c r="AR288" s="45"/>
      <c r="AS288" s="45"/>
      <c r="AT288" s="45"/>
      <c r="AU288" s="45"/>
      <c r="AV288" s="187"/>
      <c r="AW288" s="54"/>
      <c r="AX288" s="54"/>
      <c r="AY288" s="54"/>
      <c r="AZ288" s="54"/>
      <c r="BA288" s="54"/>
      <c r="BB288" s="54"/>
      <c r="BC288" s="54"/>
    </row>
    <row r="289" spans="1:55">
      <c r="A289" s="45"/>
      <c r="B289" s="54"/>
      <c r="C289" s="54"/>
      <c r="D289" s="54"/>
      <c r="E289" s="54"/>
      <c r="F289" s="54"/>
      <c r="G289" s="54"/>
      <c r="H289" s="54"/>
      <c r="I289" s="54"/>
      <c r="J289" s="54"/>
      <c r="K289" s="54"/>
      <c r="L289" s="54"/>
      <c r="M289" s="54"/>
      <c r="N289" s="54"/>
      <c r="O289" s="54"/>
      <c r="P289" s="54"/>
      <c r="Q289" s="54"/>
      <c r="R289" s="54"/>
      <c r="S289" s="54"/>
      <c r="T289" s="54"/>
      <c r="U289" s="54"/>
      <c r="V289" s="54"/>
      <c r="W289" s="54"/>
      <c r="X289" s="54"/>
      <c r="Y289" s="54"/>
      <c r="Z289" s="54"/>
      <c r="AA289" s="54"/>
      <c r="AB289" s="45"/>
      <c r="AC289" s="45"/>
      <c r="AD289" s="45"/>
      <c r="AE289" s="45"/>
      <c r="AF289" s="45"/>
      <c r="AG289" s="45"/>
      <c r="AH289" s="45"/>
      <c r="AI289" s="45"/>
      <c r="AJ289" s="54"/>
      <c r="AK289" s="54"/>
      <c r="AL289" s="54"/>
      <c r="AM289" s="54"/>
      <c r="AN289" s="54"/>
      <c r="AO289" s="54"/>
      <c r="AP289" s="54"/>
      <c r="AQ289" s="54"/>
      <c r="AR289" s="54"/>
      <c r="AS289" s="54"/>
      <c r="AT289" s="54"/>
      <c r="AU289" s="54"/>
      <c r="AV289" s="54"/>
      <c r="AW289" s="54"/>
      <c r="AX289" s="54"/>
      <c r="AY289" s="54"/>
      <c r="AZ289" s="54"/>
      <c r="BA289" s="54"/>
      <c r="BB289" s="54"/>
      <c r="BC289" s="54"/>
    </row>
    <row r="290" spans="1:55">
      <c r="A290" s="45"/>
      <c r="B290" s="54"/>
      <c r="C290" s="54"/>
      <c r="D290" s="54"/>
      <c r="E290" s="54"/>
      <c r="F290" s="54"/>
      <c r="G290" s="54"/>
      <c r="H290" s="54"/>
      <c r="I290" s="54"/>
      <c r="J290" s="54"/>
      <c r="K290" s="54"/>
      <c r="L290" s="54"/>
      <c r="M290" s="54"/>
      <c r="N290" s="54"/>
      <c r="O290" s="54"/>
      <c r="P290" s="54"/>
      <c r="Q290" s="54"/>
      <c r="R290" s="54"/>
      <c r="S290" s="54"/>
      <c r="T290" s="54"/>
      <c r="U290" s="54"/>
      <c r="V290" s="54"/>
      <c r="W290" s="54"/>
      <c r="X290" s="54"/>
      <c r="Y290" s="54"/>
      <c r="Z290" s="54"/>
      <c r="AA290" s="54"/>
      <c r="AB290" s="45"/>
      <c r="AC290" s="45"/>
      <c r="AD290" s="45"/>
      <c r="AE290" s="45"/>
      <c r="AF290" s="45"/>
      <c r="AG290" s="45"/>
      <c r="AH290" s="45"/>
      <c r="AI290" s="45"/>
      <c r="AJ290" s="54"/>
      <c r="AK290" s="54"/>
      <c r="AL290" s="54"/>
      <c r="AM290" s="54"/>
      <c r="AN290" s="54"/>
      <c r="AO290" s="54"/>
      <c r="AP290" s="54"/>
      <c r="AQ290" s="54"/>
      <c r="AR290" s="54"/>
      <c r="AS290" s="54"/>
      <c r="AT290" s="54"/>
      <c r="AU290" s="54"/>
      <c r="AV290" s="54"/>
      <c r="AW290" s="54"/>
      <c r="AX290" s="54"/>
      <c r="AY290" s="54"/>
      <c r="AZ290" s="54"/>
      <c r="BA290" s="54"/>
      <c r="BB290" s="54"/>
      <c r="BC290" s="54"/>
    </row>
    <row r="291" spans="1:55">
      <c r="A291" s="45"/>
      <c r="B291" s="54"/>
      <c r="C291" s="54"/>
      <c r="D291" s="54"/>
      <c r="E291" s="54"/>
      <c r="F291" s="54"/>
      <c r="G291" s="54"/>
      <c r="H291" s="54"/>
      <c r="I291" s="54"/>
      <c r="J291" s="54"/>
      <c r="K291" s="54"/>
      <c r="L291" s="54"/>
      <c r="M291" s="54"/>
      <c r="N291" s="54"/>
      <c r="O291" s="54"/>
      <c r="P291" s="54"/>
      <c r="Q291" s="54"/>
      <c r="R291" s="54"/>
      <c r="S291" s="54"/>
      <c r="T291" s="54"/>
      <c r="U291" s="54"/>
      <c r="V291" s="54"/>
      <c r="W291" s="54"/>
      <c r="X291" s="54"/>
      <c r="Y291" s="54"/>
      <c r="Z291" s="54"/>
      <c r="AA291" s="54"/>
      <c r="AB291" s="45"/>
      <c r="AC291" s="45"/>
      <c r="AD291" s="45"/>
      <c r="AE291" s="45"/>
      <c r="AF291" s="45"/>
      <c r="AG291" s="45"/>
      <c r="AH291" s="45"/>
      <c r="AI291" s="45"/>
      <c r="AJ291" s="54"/>
      <c r="AK291" s="54"/>
      <c r="AL291" s="54"/>
      <c r="AM291" s="54"/>
      <c r="AN291" s="54"/>
      <c r="AO291" s="54"/>
      <c r="AP291" s="54"/>
      <c r="AQ291" s="54"/>
      <c r="AR291" s="54"/>
      <c r="AS291" s="54"/>
      <c r="AT291" s="54"/>
      <c r="AU291" s="54"/>
      <c r="AV291" s="54"/>
      <c r="AW291" s="54"/>
      <c r="AX291" s="54"/>
      <c r="AY291" s="54"/>
      <c r="AZ291" s="54"/>
      <c r="BA291" s="54"/>
      <c r="BB291" s="54"/>
      <c r="BC291" s="54"/>
    </row>
    <row r="292" spans="1:55">
      <c r="A292" s="45"/>
      <c r="B292" s="54"/>
      <c r="C292" s="54"/>
      <c r="D292" s="54"/>
      <c r="E292" s="54"/>
      <c r="F292" s="54"/>
      <c r="G292" s="54"/>
      <c r="H292" s="54"/>
      <c r="I292" s="54"/>
      <c r="J292" s="54"/>
      <c r="K292" s="54"/>
      <c r="L292" s="54"/>
      <c r="M292" s="54"/>
      <c r="N292" s="54"/>
      <c r="O292" s="54"/>
      <c r="P292" s="54"/>
      <c r="Q292" s="54"/>
      <c r="R292" s="54"/>
      <c r="S292" s="54"/>
      <c r="T292" s="54"/>
      <c r="U292" s="54"/>
      <c r="V292" s="54"/>
      <c r="W292" s="54"/>
      <c r="X292" s="54"/>
      <c r="Y292" s="54"/>
      <c r="Z292" s="54"/>
      <c r="AA292" s="54"/>
      <c r="AB292" s="45"/>
      <c r="AC292" s="45"/>
      <c r="AD292" s="45"/>
      <c r="AE292" s="45"/>
      <c r="AF292" s="45"/>
      <c r="AG292" s="45"/>
      <c r="AH292" s="45"/>
      <c r="AI292" s="45"/>
      <c r="AJ292" s="54"/>
      <c r="AK292" s="54"/>
      <c r="AL292" s="54"/>
      <c r="AM292" s="54"/>
      <c r="AN292" s="54"/>
      <c r="AO292" s="54"/>
      <c r="AP292" s="54"/>
      <c r="AQ292" s="54"/>
      <c r="AR292" s="54"/>
      <c r="AS292" s="54"/>
      <c r="AT292" s="54"/>
      <c r="AU292" s="54"/>
      <c r="AV292" s="54"/>
      <c r="AW292" s="54"/>
      <c r="AX292" s="54"/>
      <c r="AY292" s="54"/>
      <c r="AZ292" s="54"/>
      <c r="BA292" s="54"/>
      <c r="BB292" s="54"/>
      <c r="BC292" s="54"/>
    </row>
    <row r="293" spans="1:55">
      <c r="A293" s="45"/>
      <c r="B293" s="54"/>
      <c r="C293" s="54"/>
      <c r="D293" s="54"/>
      <c r="E293" s="54"/>
      <c r="F293" s="54"/>
      <c r="G293" s="54"/>
      <c r="H293" s="54"/>
      <c r="I293" s="54"/>
      <c r="J293" s="54"/>
      <c r="K293" s="54"/>
      <c r="L293" s="54"/>
      <c r="M293" s="54"/>
      <c r="N293" s="54"/>
      <c r="O293" s="54"/>
      <c r="P293" s="54"/>
      <c r="Q293" s="54"/>
      <c r="R293" s="54"/>
      <c r="S293" s="54"/>
      <c r="T293" s="54"/>
      <c r="U293" s="54"/>
      <c r="V293" s="54"/>
      <c r="W293" s="54"/>
      <c r="X293" s="54"/>
      <c r="Y293" s="54"/>
      <c r="Z293" s="54"/>
      <c r="AA293" s="54"/>
      <c r="AB293" s="45"/>
      <c r="AC293" s="45"/>
      <c r="AD293" s="45"/>
      <c r="AE293" s="45"/>
      <c r="AF293" s="45"/>
      <c r="AG293" s="45"/>
      <c r="AH293" s="45"/>
      <c r="AI293" s="45"/>
      <c r="AJ293" s="54"/>
      <c r="AK293" s="54"/>
      <c r="AL293" s="54"/>
      <c r="AM293" s="54"/>
      <c r="AN293" s="54"/>
      <c r="AO293" s="54"/>
      <c r="AP293" s="54"/>
      <c r="AQ293" s="54"/>
      <c r="AR293" s="54"/>
      <c r="AS293" s="54"/>
      <c r="AT293" s="54"/>
      <c r="AU293" s="54"/>
      <c r="AV293" s="54"/>
      <c r="AW293" s="54"/>
      <c r="AX293" s="54"/>
      <c r="AY293" s="54"/>
      <c r="AZ293" s="54"/>
      <c r="BA293" s="54"/>
      <c r="BB293" s="54"/>
      <c r="BC293" s="54"/>
    </row>
    <row r="294" spans="1:55">
      <c r="A294" s="45"/>
      <c r="B294" s="54"/>
      <c r="C294" s="54"/>
      <c r="D294" s="54"/>
      <c r="E294" s="54"/>
      <c r="F294" s="54"/>
      <c r="G294" s="54"/>
      <c r="H294" s="54"/>
      <c r="I294" s="54"/>
      <c r="J294" s="54"/>
      <c r="K294" s="54"/>
      <c r="L294" s="54"/>
      <c r="M294" s="54"/>
      <c r="N294" s="54"/>
      <c r="O294" s="54"/>
      <c r="P294" s="54"/>
      <c r="Q294" s="54"/>
      <c r="R294" s="54"/>
      <c r="S294" s="54"/>
      <c r="T294" s="54"/>
      <c r="U294" s="54"/>
      <c r="V294" s="54"/>
      <c r="W294" s="54"/>
      <c r="X294" s="54"/>
      <c r="Y294" s="54"/>
      <c r="Z294" s="54"/>
      <c r="AA294" s="54"/>
      <c r="AB294" s="45"/>
      <c r="AC294" s="45"/>
      <c r="AD294" s="45"/>
      <c r="AE294" s="45"/>
      <c r="AF294" s="45"/>
      <c r="AG294" s="45"/>
      <c r="AH294" s="45"/>
      <c r="AI294" s="45"/>
      <c r="AJ294" s="54"/>
      <c r="AK294" s="54"/>
      <c r="AL294" s="54"/>
      <c r="AM294" s="54"/>
      <c r="AN294" s="54"/>
      <c r="AO294" s="54"/>
      <c r="AP294" s="54"/>
      <c r="AQ294" s="54"/>
      <c r="AR294" s="54"/>
      <c r="AS294" s="54"/>
      <c r="AT294" s="54"/>
      <c r="AU294" s="54"/>
      <c r="AV294" s="54"/>
      <c r="AW294" s="54"/>
      <c r="AX294" s="54"/>
      <c r="AY294" s="54"/>
      <c r="AZ294" s="54"/>
      <c r="BA294" s="54"/>
      <c r="BB294" s="54"/>
      <c r="BC294" s="54"/>
    </row>
    <row r="295" spans="1:55">
      <c r="A295" s="45"/>
      <c r="B295" s="54"/>
      <c r="C295" s="54"/>
      <c r="D295" s="54"/>
      <c r="E295" s="54"/>
      <c r="F295" s="54"/>
      <c r="G295" s="54"/>
      <c r="H295" s="54"/>
      <c r="I295" s="54"/>
      <c r="J295" s="54"/>
      <c r="K295" s="54"/>
      <c r="L295" s="54"/>
      <c r="M295" s="54"/>
      <c r="N295" s="54"/>
      <c r="O295" s="54"/>
      <c r="P295" s="54"/>
      <c r="Q295" s="54"/>
      <c r="R295" s="54"/>
      <c r="S295" s="54"/>
      <c r="T295" s="54"/>
      <c r="U295" s="54"/>
      <c r="V295" s="54"/>
      <c r="W295" s="54"/>
      <c r="X295" s="54"/>
      <c r="Y295" s="54"/>
      <c r="Z295" s="54"/>
      <c r="AA295" s="54"/>
      <c r="AB295" s="45"/>
      <c r="AC295" s="45"/>
      <c r="AD295" s="45"/>
      <c r="AE295" s="45"/>
      <c r="AF295" s="45"/>
      <c r="AG295" s="45"/>
      <c r="AH295" s="45"/>
      <c r="AI295" s="45"/>
      <c r="AJ295" s="54"/>
      <c r="AK295" s="54"/>
      <c r="AL295" s="54"/>
      <c r="AM295" s="54"/>
      <c r="AN295" s="54"/>
      <c r="AO295" s="54"/>
      <c r="AP295" s="54"/>
      <c r="AQ295" s="54"/>
      <c r="AR295" s="54"/>
      <c r="AS295" s="54"/>
      <c r="AT295" s="54"/>
      <c r="AU295" s="54"/>
      <c r="AV295" s="54"/>
      <c r="AW295" s="54"/>
      <c r="AX295" s="54"/>
      <c r="AY295" s="54"/>
      <c r="AZ295" s="54"/>
      <c r="BA295" s="54"/>
      <c r="BB295" s="54"/>
      <c r="BC295" s="54"/>
    </row>
    <row r="296" spans="1:55">
      <c r="A296" s="45"/>
      <c r="B296" s="2341"/>
      <c r="C296" s="2601" t="s">
        <v>190</v>
      </c>
      <c r="D296" s="2601"/>
      <c r="E296" s="2343"/>
      <c r="F296" s="2343"/>
      <c r="G296" s="2343"/>
      <c r="H296" s="2343"/>
      <c r="I296" s="2343"/>
      <c r="J296" s="2343"/>
      <c r="K296" s="2343"/>
      <c r="L296" s="2343"/>
      <c r="M296" s="2495"/>
      <c r="N296" s="258"/>
      <c r="O296" s="45"/>
      <c r="P296" s="54"/>
      <c r="Q296" s="54"/>
      <c r="R296" s="54"/>
      <c r="S296" s="188"/>
      <c r="T296" s="336" t="s">
        <v>190</v>
      </c>
      <c r="U296" s="336"/>
      <c r="V296" s="100"/>
      <c r="W296" s="100"/>
      <c r="X296" s="100"/>
      <c r="Y296" s="100"/>
      <c r="Z296" s="100"/>
      <c r="AA296" s="100"/>
      <c r="AB296" s="100"/>
      <c r="AC296" s="100"/>
      <c r="AD296" s="238"/>
      <c r="AE296" s="45"/>
      <c r="AF296" s="45"/>
      <c r="AG296" s="45"/>
      <c r="AH296" s="45"/>
      <c r="AI296" s="45"/>
      <c r="AJ296" s="188"/>
      <c r="AK296" s="336" t="s">
        <v>190</v>
      </c>
      <c r="AL296" s="336"/>
      <c r="AM296" s="100"/>
      <c r="AN296" s="100"/>
      <c r="AO296" s="100"/>
      <c r="AP296" s="100"/>
      <c r="AQ296" s="100"/>
      <c r="AR296" s="100"/>
      <c r="AS296" s="100"/>
      <c r="AT296" s="100"/>
      <c r="AU296" s="238"/>
      <c r="AV296" s="258"/>
      <c r="AW296" s="45"/>
      <c r="AX296" s="54"/>
      <c r="AY296" s="54"/>
      <c r="AZ296" s="54"/>
      <c r="BA296" s="54"/>
      <c r="BB296" s="54"/>
      <c r="BC296" s="54"/>
    </row>
    <row r="297" spans="1:55">
      <c r="A297" s="45"/>
      <c r="B297" s="1665"/>
      <c r="C297" s="3751" t="s">
        <v>1771</v>
      </c>
      <c r="D297" s="3751"/>
      <c r="E297" s="3751"/>
      <c r="F297" s="3751"/>
      <c r="G297" s="3751"/>
      <c r="H297" s="3751"/>
      <c r="I297" s="3751"/>
      <c r="J297" s="3751"/>
      <c r="K297" s="3751"/>
      <c r="L297" s="3751"/>
      <c r="M297" s="2530"/>
      <c r="N297" s="258"/>
      <c r="O297" s="45"/>
      <c r="P297" s="54"/>
      <c r="Q297" s="54"/>
      <c r="R297" s="54"/>
      <c r="S297" s="190"/>
      <c r="T297" s="3751" t="s">
        <v>1771</v>
      </c>
      <c r="U297" s="3751"/>
      <c r="V297" s="3751"/>
      <c r="W297" s="3751"/>
      <c r="X297" s="3751"/>
      <c r="Y297" s="3751"/>
      <c r="Z297" s="3751"/>
      <c r="AA297" s="3751"/>
      <c r="AB297" s="3751"/>
      <c r="AC297" s="3751"/>
      <c r="AD297" s="260"/>
      <c r="AE297" s="45"/>
      <c r="AF297" s="45"/>
      <c r="AG297" s="45"/>
      <c r="AH297" s="45"/>
      <c r="AI297" s="45"/>
      <c r="AJ297" s="190"/>
      <c r="AK297" s="3751" t="s">
        <v>1771</v>
      </c>
      <c r="AL297" s="3751"/>
      <c r="AM297" s="3751"/>
      <c r="AN297" s="3751"/>
      <c r="AO297" s="3751"/>
      <c r="AP297" s="3751"/>
      <c r="AQ297" s="3751"/>
      <c r="AR297" s="3751"/>
      <c r="AS297" s="3751"/>
      <c r="AT297" s="3751"/>
      <c r="AU297" s="260"/>
      <c r="AV297" s="258"/>
      <c r="AW297" s="45"/>
      <c r="AX297" s="54"/>
      <c r="AY297" s="54"/>
      <c r="AZ297" s="54"/>
      <c r="BA297" s="54"/>
      <c r="BB297" s="54"/>
      <c r="BC297" s="54"/>
    </row>
    <row r="298" spans="1:55" ht="15.75">
      <c r="A298" s="45"/>
      <c r="B298" s="1665"/>
      <c r="C298" s="2445"/>
      <c r="D298" s="2445"/>
      <c r="E298" s="2351"/>
      <c r="F298" s="2351"/>
      <c r="G298" s="2351"/>
      <c r="H298" s="2351"/>
      <c r="I298" s="2351"/>
      <c r="J298" s="2351"/>
      <c r="K298" s="2351"/>
      <c r="L298" s="2351"/>
      <c r="M298" s="2452"/>
      <c r="N298" s="258"/>
      <c r="O298" s="45"/>
      <c r="P298" s="54"/>
      <c r="Q298" s="54"/>
      <c r="R298" s="54"/>
      <c r="S298" s="190"/>
      <c r="T298" s="1"/>
      <c r="U298" s="1"/>
      <c r="V298" s="65"/>
      <c r="W298" s="2006" t="s">
        <v>390</v>
      </c>
      <c r="X298" s="65"/>
      <c r="Y298" s="65"/>
      <c r="Z298" s="65"/>
      <c r="AA298" s="65"/>
      <c r="AB298" s="65"/>
      <c r="AC298" s="65"/>
      <c r="AD298" s="196"/>
      <c r="AE298" s="45"/>
      <c r="AF298" s="45"/>
      <c r="AG298" s="45"/>
      <c r="AH298" s="45"/>
      <c r="AI298" s="45"/>
      <c r="AJ298" s="190"/>
      <c r="AK298" s="1"/>
      <c r="AL298" s="1"/>
      <c r="AM298" s="65"/>
      <c r="AN298" s="65"/>
      <c r="AO298" s="65"/>
      <c r="AP298" s="65"/>
      <c r="AQ298" s="65"/>
      <c r="AR298" s="65"/>
      <c r="AS298" s="65"/>
      <c r="AT298" s="65"/>
      <c r="AU298" s="196"/>
      <c r="AV298" s="258"/>
      <c r="AW298" s="45"/>
      <c r="AX298" s="54"/>
      <c r="AY298" s="54"/>
      <c r="AZ298" s="54"/>
      <c r="BA298" s="54"/>
      <c r="BB298" s="54"/>
      <c r="BC298" s="54"/>
    </row>
    <row r="299" spans="1:55" ht="15.75">
      <c r="A299" s="45"/>
      <c r="B299" s="1665"/>
      <c r="C299" s="2349" t="str">
        <f>"Country: " &amp;UPPER(Country)</f>
        <v>Country: LITHUANIA</v>
      </c>
      <c r="D299" s="2480"/>
      <c r="E299" s="2351"/>
      <c r="F299" s="2351"/>
      <c r="G299" s="2351"/>
      <c r="H299" s="2351"/>
      <c r="I299" s="2351"/>
      <c r="J299" s="2445"/>
      <c r="K299" s="2445"/>
      <c r="L299" s="2445"/>
      <c r="M299" s="1664"/>
      <c r="N299" s="258"/>
      <c r="O299" s="45"/>
      <c r="P299" s="54"/>
      <c r="Q299" s="54"/>
      <c r="R299" s="54"/>
      <c r="S299" s="190"/>
      <c r="T299" s="63" t="str">
        <f>"Country: " &amp;UPPER(Country)</f>
        <v>Country: LITHUANIA</v>
      </c>
      <c r="U299" s="222"/>
      <c r="V299" s="65"/>
      <c r="W299" s="2006" t="str">
        <f>$T$4</f>
        <v>2nd storage</v>
      </c>
      <c r="X299" s="65"/>
      <c r="Y299" s="65"/>
      <c r="Z299" s="65"/>
      <c r="AA299" s="1"/>
      <c r="AB299" s="1"/>
      <c r="AC299" s="1"/>
      <c r="AD299" s="90"/>
      <c r="AE299" s="45"/>
      <c r="AF299" s="45"/>
      <c r="AG299" s="45"/>
      <c r="AH299" s="45"/>
      <c r="AI299" s="45"/>
      <c r="AJ299" s="190"/>
      <c r="AK299" s="63" t="str">
        <f>"Country: " &amp;UPPER(Country)</f>
        <v>Country: LITHUANIA</v>
      </c>
      <c r="AL299" s="222"/>
      <c r="AM299" s="65"/>
      <c r="AN299" s="65"/>
      <c r="AO299" s="65"/>
      <c r="AP299" s="65"/>
      <c r="AQ299" s="65"/>
      <c r="AR299" s="1"/>
      <c r="AS299" s="1"/>
      <c r="AT299" s="1"/>
      <c r="AU299" s="90"/>
      <c r="AV299" s="258"/>
      <c r="AW299" s="45"/>
      <c r="AX299" s="54"/>
      <c r="AY299" s="54"/>
      <c r="AZ299" s="54"/>
      <c r="BA299" s="54"/>
      <c r="BB299" s="54"/>
      <c r="BC299" s="54"/>
    </row>
    <row r="300" spans="1:55" ht="13.5" thickBot="1">
      <c r="A300" s="45"/>
      <c r="B300" s="1673"/>
      <c r="C300" s="2351" t="s">
        <v>1548</v>
      </c>
      <c r="D300" s="2659"/>
      <c r="E300" s="2351"/>
      <c r="F300" s="2351"/>
      <c r="G300" s="2351"/>
      <c r="H300" s="2351"/>
      <c r="I300" s="2351"/>
      <c r="J300" s="2445"/>
      <c r="K300" s="3789">
        <f ca="1">NOW()</f>
        <v>43392.47578483796</v>
      </c>
      <c r="L300" s="3789"/>
      <c r="M300" s="2602"/>
      <c r="N300" s="54"/>
      <c r="O300" s="54"/>
      <c r="P300" s="54"/>
      <c r="Q300" s="54"/>
      <c r="R300" s="54"/>
      <c r="S300" s="275"/>
      <c r="T300" s="65" t="s">
        <v>1548</v>
      </c>
      <c r="U300" s="388"/>
      <c r="V300" s="65"/>
      <c r="W300" s="65"/>
      <c r="X300" s="65"/>
      <c r="Y300" s="65"/>
      <c r="Z300" s="65"/>
      <c r="AA300" s="1"/>
      <c r="AB300" s="3751">
        <f ca="1">NOW()</f>
        <v>43392.47578483796</v>
      </c>
      <c r="AC300" s="3751"/>
      <c r="AD300" s="337"/>
      <c r="AE300" s="45"/>
      <c r="AF300" s="45"/>
      <c r="AG300" s="45"/>
      <c r="AH300" s="45"/>
      <c r="AI300" s="45"/>
      <c r="AJ300" s="275"/>
      <c r="AK300" s="65" t="s">
        <v>1548</v>
      </c>
      <c r="AL300" s="388"/>
      <c r="AM300" s="65"/>
      <c r="AN300" s="65"/>
      <c r="AO300" s="65"/>
      <c r="AP300" s="65"/>
      <c r="AQ300" s="65"/>
      <c r="AR300" s="1"/>
      <c r="AS300" s="3751">
        <f ca="1">NOW()</f>
        <v>43392.47578483796</v>
      </c>
      <c r="AT300" s="3751"/>
      <c r="AU300" s="337"/>
      <c r="AV300" s="54"/>
      <c r="AW300" s="54"/>
      <c r="AX300" s="54"/>
      <c r="AY300" s="54"/>
      <c r="AZ300" s="54"/>
      <c r="BA300" s="54"/>
      <c r="BB300" s="54"/>
      <c r="BC300" s="54"/>
    </row>
    <row r="301" spans="1:55">
      <c r="A301" s="45"/>
      <c r="B301" s="2660"/>
      <c r="C301" s="2357"/>
      <c r="D301" s="2358"/>
      <c r="E301" s="3751">
        <f>E16</f>
        <v>2016</v>
      </c>
      <c r="F301" s="3751"/>
      <c r="G301" s="3751">
        <f>E301+1</f>
        <v>2017</v>
      </c>
      <c r="H301" s="3751"/>
      <c r="I301" s="3751">
        <f>G301+1</f>
        <v>2018</v>
      </c>
      <c r="J301" s="3751"/>
      <c r="K301" s="3751">
        <f>I301+1</f>
        <v>2019</v>
      </c>
      <c r="L301" s="3751"/>
      <c r="M301" s="2605"/>
      <c r="N301" s="54"/>
      <c r="O301" s="54"/>
      <c r="P301" s="54"/>
      <c r="Q301" s="54"/>
      <c r="R301" s="54"/>
      <c r="S301" s="389"/>
      <c r="T301" s="191"/>
      <c r="U301" s="73"/>
      <c r="V301" s="3751">
        <f>Last_forecast_year - 3</f>
        <v>2016</v>
      </c>
      <c r="W301" s="3751"/>
      <c r="X301" s="3751">
        <f>V301+1</f>
        <v>2017</v>
      </c>
      <c r="Y301" s="3751"/>
      <c r="Z301" s="3751">
        <f>X301+1</f>
        <v>2018</v>
      </c>
      <c r="AA301" s="3751"/>
      <c r="AB301" s="3751">
        <f>Z301+1</f>
        <v>2019</v>
      </c>
      <c r="AC301" s="3751"/>
      <c r="AD301" s="339"/>
      <c r="AE301" s="45"/>
      <c r="AF301" s="45"/>
      <c r="AG301" s="45"/>
      <c r="AH301" s="45"/>
      <c r="AI301" s="45"/>
      <c r="AJ301" s="389"/>
      <c r="AK301" s="191"/>
      <c r="AL301" s="73"/>
      <c r="AM301" s="3751">
        <f>Last_forecast_year - 3</f>
        <v>2016</v>
      </c>
      <c r="AN301" s="3751"/>
      <c r="AO301" s="3751">
        <f>AM301+1</f>
        <v>2017</v>
      </c>
      <c r="AP301" s="3751"/>
      <c r="AQ301" s="3751">
        <f>AO301+1</f>
        <v>2018</v>
      </c>
      <c r="AR301" s="3751"/>
      <c r="AS301" s="3751">
        <f>AQ301+1</f>
        <v>2019</v>
      </c>
      <c r="AT301" s="3751"/>
      <c r="AU301" s="339"/>
      <c r="AV301" s="54"/>
      <c r="AW301" s="54"/>
      <c r="AX301" s="54"/>
      <c r="AY301" s="54"/>
      <c r="AZ301" s="54"/>
      <c r="BA301" s="54"/>
      <c r="BB301" s="54"/>
      <c r="BC301" s="54"/>
    </row>
    <row r="302" spans="1:55">
      <c r="A302" s="45"/>
      <c r="B302" s="1673"/>
      <c r="C302" s="1666"/>
      <c r="D302" s="2351"/>
      <c r="E302" s="2641" t="s">
        <v>298</v>
      </c>
      <c r="F302" s="2642" t="s">
        <v>1170</v>
      </c>
      <c r="G302" s="2641" t="s">
        <v>298</v>
      </c>
      <c r="H302" s="2642" t="s">
        <v>1170</v>
      </c>
      <c r="I302" s="2641" t="s">
        <v>298</v>
      </c>
      <c r="J302" s="2642" t="s">
        <v>1170</v>
      </c>
      <c r="K302" s="2641" t="s">
        <v>298</v>
      </c>
      <c r="L302" s="2643" t="s">
        <v>1170</v>
      </c>
      <c r="M302" s="2661"/>
      <c r="N302" s="54"/>
      <c r="O302" s="54"/>
      <c r="P302" s="54"/>
      <c r="Q302" s="54"/>
      <c r="R302" s="54"/>
      <c r="S302" s="275"/>
      <c r="T302" s="40"/>
      <c r="U302" s="65"/>
      <c r="V302" s="390" t="s">
        <v>298</v>
      </c>
      <c r="W302" s="391" t="s">
        <v>1170</v>
      </c>
      <c r="X302" s="390" t="s">
        <v>298</v>
      </c>
      <c r="Y302" s="391" t="s">
        <v>1170</v>
      </c>
      <c r="Z302" s="390" t="s">
        <v>298</v>
      </c>
      <c r="AA302" s="391" t="s">
        <v>1170</v>
      </c>
      <c r="AB302" s="390" t="s">
        <v>298</v>
      </c>
      <c r="AC302" s="392" t="s">
        <v>1170</v>
      </c>
      <c r="AD302" s="393"/>
      <c r="AE302" s="45"/>
      <c r="AF302" s="45"/>
      <c r="AG302" s="45"/>
      <c r="AH302" s="45"/>
      <c r="AI302" s="45"/>
      <c r="AJ302" s="275"/>
      <c r="AK302" s="40"/>
      <c r="AL302" s="65"/>
      <c r="AM302" s="390" t="s">
        <v>298</v>
      </c>
      <c r="AN302" s="391" t="s">
        <v>1170</v>
      </c>
      <c r="AO302" s="390" t="s">
        <v>298</v>
      </c>
      <c r="AP302" s="391" t="s">
        <v>1170</v>
      </c>
      <c r="AQ302" s="390" t="s">
        <v>298</v>
      </c>
      <c r="AR302" s="391" t="s">
        <v>1170</v>
      </c>
      <c r="AS302" s="390" t="s">
        <v>298</v>
      </c>
      <c r="AT302" s="392" t="s">
        <v>1170</v>
      </c>
      <c r="AU302" s="393"/>
      <c r="AV302" s="54"/>
      <c r="AW302" s="54"/>
      <c r="AX302" s="54"/>
      <c r="AY302" s="54"/>
      <c r="AZ302" s="54"/>
      <c r="BA302" s="54"/>
      <c r="BB302" s="54"/>
      <c r="BC302" s="54"/>
    </row>
    <row r="303" spans="1:55">
      <c r="A303" s="45"/>
      <c r="B303" s="1673"/>
      <c r="C303" s="2384" t="s">
        <v>1772</v>
      </c>
      <c r="D303" s="2343"/>
      <c r="E303" s="2662">
        <f ca="1">Transfer!D175</f>
        <v>2868.2310000000002</v>
      </c>
      <c r="F303" s="2365">
        <f ca="1">100*((Transfer!D175/Transfer!C175)-1)</f>
        <v>-1.2626552974102312</v>
      </c>
      <c r="G303" s="2366">
        <f ca="1">Transfer!E175</f>
        <v>2828.9999999999986</v>
      </c>
      <c r="H303" s="2365">
        <v>-1.3</v>
      </c>
      <c r="I303" s="2662">
        <f ca="1">Transfer!F175</f>
        <v>2803.5389999999989</v>
      </c>
      <c r="J303" s="2365">
        <f ca="1">100*((Transfer!F175/Transfer!E175)-1)</f>
        <v>-0.8999999999999897</v>
      </c>
      <c r="K303" s="2366">
        <f ca="1">Transfer!G175</f>
        <v>2783.9142269999988</v>
      </c>
      <c r="L303" s="2367">
        <f ca="1">100*((Transfer!G175/Transfer!F175)-1)</f>
        <v>-0.70000000000000062</v>
      </c>
      <c r="M303" s="2368"/>
      <c r="N303" s="54"/>
      <c r="O303" s="54"/>
      <c r="P303" s="54"/>
      <c r="Q303" s="54"/>
      <c r="R303" s="54"/>
      <c r="S303" s="275"/>
      <c r="T303" s="2384" t="s">
        <v>1772</v>
      </c>
      <c r="U303" s="1676"/>
      <c r="V303" s="367">
        <f t="shared" ref="V303:AC312" ca="1" si="21">ROUND(E303,1)-ROUND(AM303,1)</f>
        <v>-121.60000000000036</v>
      </c>
      <c r="W303" s="394">
        <f t="shared" ca="1" si="21"/>
        <v>0</v>
      </c>
      <c r="X303" s="394">
        <f t="shared" ca="1" si="21"/>
        <v>-136.90000000000009</v>
      </c>
      <c r="Y303" s="394">
        <f t="shared" si="21"/>
        <v>-0.5</v>
      </c>
      <c r="Z303" s="394">
        <f t="shared" ca="1" si="21"/>
        <v>-141.69999999999982</v>
      </c>
      <c r="AA303" s="394">
        <f t="shared" ca="1" si="21"/>
        <v>-0.20000000000000007</v>
      </c>
      <c r="AB303" s="394">
        <f t="shared" ca="1" si="21"/>
        <v>-158.29999999999973</v>
      </c>
      <c r="AC303" s="368">
        <f t="shared" ca="1" si="21"/>
        <v>-0.6</v>
      </c>
      <c r="AD303" s="364"/>
      <c r="AE303" s="45"/>
      <c r="AF303" s="45"/>
      <c r="AG303" s="45"/>
      <c r="AH303" s="45"/>
      <c r="AI303" s="45"/>
      <c r="AJ303" s="275"/>
      <c r="AK303" s="2384" t="s">
        <v>1772</v>
      </c>
      <c r="AL303" s="57"/>
      <c r="AM303" s="394">
        <f>Transfer!AD175</f>
        <v>2989.8314999999998</v>
      </c>
      <c r="AN303" s="367">
        <f>100*((Transfer!AD175/Transfer!AC175)-1)</f>
        <v>-1.3313266272255708</v>
      </c>
      <c r="AO303" s="395">
        <f>Transfer!AE175</f>
        <v>2965.9128479999999</v>
      </c>
      <c r="AP303" s="367">
        <f>100*((Transfer!AE175/Transfer!AD175)-1)</f>
        <v>-0.79999999999998961</v>
      </c>
      <c r="AQ303" s="394">
        <f>Transfer!AF175</f>
        <v>2945.1514580640001</v>
      </c>
      <c r="AR303" s="367">
        <f>100*((Transfer!AF175/Transfer!AE175)-1)</f>
        <v>-0.70000000000000062</v>
      </c>
      <c r="AS303" s="395">
        <f>Transfer!AG175</f>
        <v>2942.2063066059359</v>
      </c>
      <c r="AT303" s="368">
        <f>100*((Transfer!AG175/Transfer!AF175)-1)</f>
        <v>-0.10000000000001119</v>
      </c>
      <c r="AU303" s="364"/>
      <c r="AV303" s="54"/>
      <c r="AW303" s="54"/>
      <c r="AX303" s="54"/>
      <c r="AY303" s="54"/>
      <c r="AZ303" s="54"/>
      <c r="BA303" s="1670" t="s">
        <v>1690</v>
      </c>
      <c r="BB303" s="1676"/>
      <c r="BC303" s="54"/>
    </row>
    <row r="304" spans="1:55">
      <c r="A304" s="45"/>
      <c r="B304" s="1665"/>
      <c r="C304" s="1666" t="s">
        <v>1809</v>
      </c>
      <c r="D304" s="2351"/>
      <c r="E304" s="2393">
        <f ca="1">Transfer!D176</f>
        <v>1895.9345000000001</v>
      </c>
      <c r="F304" s="2376">
        <f ca="1">100*((Transfer!D176/Transfer!C176)-1)</f>
        <v>-1.8913476408219498</v>
      </c>
      <c r="G304" s="2377">
        <f ca="1">Transfer!E176</f>
        <v>1855.4</v>
      </c>
      <c r="H304" s="2376">
        <f ca="1">100*((Transfer!E176/Transfer!D176)-1)</f>
        <v>-2.1379694287961937</v>
      </c>
      <c r="I304" s="2393">
        <f ca="1">Transfer!F176</f>
        <v>1820.1474000000001</v>
      </c>
      <c r="J304" s="2376">
        <f ca="1">100*((Transfer!F176/Transfer!E176)-1)</f>
        <v>-1.9000000000000017</v>
      </c>
      <c r="K304" s="2377">
        <f ca="1">Transfer!G176</f>
        <v>1787.3847468000001</v>
      </c>
      <c r="L304" s="2378">
        <f ca="1">100*((Transfer!G176/Transfer!F176)-1)</f>
        <v>-1.8000000000000016</v>
      </c>
      <c r="M304" s="2368"/>
      <c r="N304" s="54"/>
      <c r="O304" s="54"/>
      <c r="P304" s="54"/>
      <c r="Q304" s="54"/>
      <c r="R304" s="54"/>
      <c r="S304" s="190"/>
      <c r="T304" s="1666" t="s">
        <v>1809</v>
      </c>
      <c r="U304" s="196"/>
      <c r="V304" s="359">
        <f t="shared" ca="1" si="21"/>
        <v>-108.09999999999991</v>
      </c>
      <c r="W304" s="396">
        <f t="shared" ca="1" si="21"/>
        <v>-0.39999999999999991</v>
      </c>
      <c r="X304" s="396">
        <f t="shared" ca="1" si="21"/>
        <v>-138.59999999999991</v>
      </c>
      <c r="Y304" s="396">
        <f t="shared" ca="1" si="21"/>
        <v>-1.6</v>
      </c>
      <c r="Z304" s="396">
        <f t="shared" ca="1" si="21"/>
        <v>-163.90000000000009</v>
      </c>
      <c r="AA304" s="396">
        <f t="shared" ca="1" si="21"/>
        <v>-1.4</v>
      </c>
      <c r="AB304" s="396">
        <f t="shared" ca="1" si="21"/>
        <v>-188.69999999999982</v>
      </c>
      <c r="AC304" s="360">
        <f t="shared" ca="1" si="21"/>
        <v>-1.4</v>
      </c>
      <c r="AD304" s="364"/>
      <c r="AE304" s="45"/>
      <c r="AF304" s="45"/>
      <c r="AG304" s="45"/>
      <c r="AH304" s="45"/>
      <c r="AI304" s="45"/>
      <c r="AJ304" s="190"/>
      <c r="AK304" s="1666" t="s">
        <v>1809</v>
      </c>
      <c r="AL304" s="65"/>
      <c r="AM304" s="396">
        <f>Transfer!AD176</f>
        <v>2004.0366750000001</v>
      </c>
      <c r="AN304" s="359">
        <f>100*((Transfer!AD176/Transfer!AC176)-1)</f>
        <v>-1.5000000000000013</v>
      </c>
      <c r="AO304" s="397">
        <f>Transfer!AE176</f>
        <v>1994.0164916250001</v>
      </c>
      <c r="AP304" s="359">
        <f>100*((Transfer!AE176/Transfer!AD176)-1)</f>
        <v>-0.50000000000000044</v>
      </c>
      <c r="AQ304" s="396">
        <f>Transfer!AF176</f>
        <v>1984.046409166875</v>
      </c>
      <c r="AR304" s="359">
        <f>100*((Transfer!AF176/Transfer!AE176)-1)</f>
        <v>-0.50000000000000044</v>
      </c>
      <c r="AS304" s="397">
        <f>Transfer!AG176</f>
        <v>1976.1102235302076</v>
      </c>
      <c r="AT304" s="360">
        <f>100*((Transfer!AG176/Transfer!AF176)-1)</f>
        <v>-0.40000000000000036</v>
      </c>
      <c r="AU304" s="364"/>
      <c r="AV304" s="54"/>
      <c r="AW304" s="54"/>
      <c r="AX304" s="54"/>
      <c r="AY304" s="54"/>
      <c r="AZ304" s="54"/>
      <c r="BA304" s="1671" t="s">
        <v>1725</v>
      </c>
      <c r="BB304" s="196"/>
      <c r="BC304" s="54"/>
    </row>
    <row r="305" spans="1:55">
      <c r="A305" s="45"/>
      <c r="B305" s="1665"/>
      <c r="C305" s="1666" t="s">
        <v>1810</v>
      </c>
      <c r="D305" s="2351"/>
      <c r="E305" s="2393">
        <f ca="1">SUM(Transfer!D178,Transfer!D179)</f>
        <v>1478.11</v>
      </c>
      <c r="F305" s="2376">
        <f ca="1">100*((SUM(Transfer!D178,Transfer!D179)/SUM(Transfer!C178,Transfer!C179))-1)</f>
        <v>0.57427857954506223</v>
      </c>
      <c r="G305" s="2377">
        <f ca="1">SUM(Transfer!E178,Transfer!E179)</f>
        <v>1458.72</v>
      </c>
      <c r="H305" s="2376">
        <f ca="1">100*((SUM(Transfer!E178,Transfer!E179)/SUM(Transfer!D178,Transfer!D179))-1)</f>
        <v>-1.3118103524094926</v>
      </c>
      <c r="I305" s="2393">
        <f ca="1">SUM(Transfer!F178,Transfer!F179)</f>
        <v>1443.4231926299999</v>
      </c>
      <c r="J305" s="2376">
        <f ca="1">100*((SUM(Transfer!F178,Transfer!F179)/SUM(Transfer!E178,Transfer!E179))-1)</f>
        <v>-1.0486458929746756</v>
      </c>
      <c r="K305" s="2377">
        <f ca="1">SUM(Transfer!G178,Transfer!G179)</f>
        <v>1439.8948312410075</v>
      </c>
      <c r="L305" s="2378">
        <f ca="1">100*((SUM(Transfer!G178,Transfer!G179)/SUM(Transfer!F178,Transfer!F179))-1)</f>
        <v>-0.24444399999998812</v>
      </c>
      <c r="M305" s="2368"/>
      <c r="N305" s="54"/>
      <c r="O305" s="54"/>
      <c r="P305" s="54"/>
      <c r="Q305" s="54"/>
      <c r="R305" s="54"/>
      <c r="S305" s="190"/>
      <c r="T305" s="1666" t="s">
        <v>1810</v>
      </c>
      <c r="U305" s="196"/>
      <c r="V305" s="359">
        <f t="shared" ca="1" si="21"/>
        <v>5.2999999999999545</v>
      </c>
      <c r="W305" s="396">
        <f t="shared" ca="1" si="21"/>
        <v>1.2</v>
      </c>
      <c r="X305" s="396">
        <f t="shared" ca="1" si="21"/>
        <v>-7.5999999999999091</v>
      </c>
      <c r="Y305" s="396">
        <f t="shared" ca="1" si="21"/>
        <v>-0.9</v>
      </c>
      <c r="Z305" s="396">
        <f t="shared" ca="1" si="21"/>
        <v>-22.199999999999818</v>
      </c>
      <c r="AA305" s="396">
        <f t="shared" ca="1" si="21"/>
        <v>-1</v>
      </c>
      <c r="AB305" s="359">
        <f t="shared" ca="1" si="21"/>
        <v>-30.099999999999909</v>
      </c>
      <c r="AC305" s="360">
        <f t="shared" ca="1" si="21"/>
        <v>-0.5</v>
      </c>
      <c r="AD305" s="364"/>
      <c r="AE305" s="45"/>
      <c r="AF305" s="45"/>
      <c r="AG305" s="45"/>
      <c r="AH305" s="45"/>
      <c r="AI305" s="45"/>
      <c r="AJ305" s="190"/>
      <c r="AK305" s="1666" t="s">
        <v>1810</v>
      </c>
      <c r="AL305" s="65"/>
      <c r="AM305" s="396">
        <f>SUM(Transfer!AD178,Transfer!AD179)</f>
        <v>1472.8</v>
      </c>
      <c r="AN305" s="359">
        <f>100*((SUM(Transfer!AD178,Transfer!AD179)/SUM(Transfer!AC178,Transfer!AC179))-1)</f>
        <v>-0.59596525448323279</v>
      </c>
      <c r="AO305" s="397">
        <f>SUM(Transfer!AE178,Transfer!AE179)</f>
        <v>1466.3196800000001</v>
      </c>
      <c r="AP305" s="359">
        <f>100*((SUM(Transfer!AE178,Transfer!AE179)/SUM(Transfer!AD178,Transfer!AD179))-1)</f>
        <v>-0.43999999999999595</v>
      </c>
      <c r="AQ305" s="396">
        <f>SUM(Transfer!AF178,Transfer!AF179)</f>
        <v>1465.5865201600002</v>
      </c>
      <c r="AR305" s="359">
        <f>100*((SUM(Transfer!AF178,Transfer!AF179)/SUM(Transfer!AE178,Transfer!AE179))-1)</f>
        <v>-4.9999999999994493E-2</v>
      </c>
      <c r="AS305" s="397">
        <f>SUM(Transfer!AG178,Transfer!AG179)</f>
        <v>1469.9832797204801</v>
      </c>
      <c r="AT305" s="360">
        <f>100*((SUM(Transfer!AG178,Transfer!AG179)/SUM(Transfer!AF178,Transfer!AF179))-1)</f>
        <v>0.29999999999998916</v>
      </c>
      <c r="AU305" s="364"/>
      <c r="AV305" s="54"/>
      <c r="AW305" s="54"/>
      <c r="AX305" s="54"/>
      <c r="AY305" s="54"/>
      <c r="AZ305" s="54"/>
      <c r="BA305" s="1671" t="s">
        <v>1726</v>
      </c>
      <c r="BB305" s="196"/>
      <c r="BC305" s="54"/>
    </row>
    <row r="306" spans="1:55">
      <c r="A306" s="45"/>
      <c r="B306" s="1665"/>
      <c r="C306" s="2373" t="s">
        <v>1835</v>
      </c>
      <c r="D306" s="2392"/>
      <c r="E306" s="2393">
        <f ca="1">100*(SUM(Transfer!D178,Transfer!D179))/Transfer!D176</f>
        <v>77.962081495958856</v>
      </c>
      <c r="F306" s="2376"/>
      <c r="G306" s="2377">
        <f ca="1">100*(SUM(Transfer!E178,Transfer!E179))/Transfer!E176</f>
        <v>78.620243613237037</v>
      </c>
      <c r="H306" s="2376"/>
      <c r="I306" s="2393">
        <f ca="1">100*(SUM(Transfer!F178,Transfer!F179))/Transfer!F176</f>
        <v>79.302543993415028</v>
      </c>
      <c r="J306" s="2376"/>
      <c r="K306" s="2377">
        <f ca="1">100*(SUM(Transfer!G178,Transfer!G179))/Transfer!G176</f>
        <v>80.558751204455973</v>
      </c>
      <c r="L306" s="2378"/>
      <c r="M306" s="2390"/>
      <c r="N306" s="54"/>
      <c r="O306" s="54"/>
      <c r="P306" s="54"/>
      <c r="Q306" s="54"/>
      <c r="R306" s="54"/>
      <c r="S306" s="190"/>
      <c r="T306" s="2373" t="s">
        <v>1835</v>
      </c>
      <c r="U306" s="343"/>
      <c r="V306" s="359">
        <f t="shared" ca="1" si="21"/>
        <v>4.5</v>
      </c>
      <c r="W306" s="91"/>
      <c r="X306" s="396">
        <f t="shared" ca="1" si="21"/>
        <v>5.0999999999999943</v>
      </c>
      <c r="Y306" s="91"/>
      <c r="Z306" s="396">
        <f t="shared" ca="1" si="21"/>
        <v>5.3999999999999915</v>
      </c>
      <c r="AA306" s="91"/>
      <c r="AB306" s="396">
        <f t="shared" ca="1" si="21"/>
        <v>6.1999999999999886</v>
      </c>
      <c r="AC306" s="93"/>
      <c r="AD306" s="103"/>
      <c r="AE306" s="45"/>
      <c r="AF306" s="45"/>
      <c r="AG306" s="45"/>
      <c r="AH306" s="45"/>
      <c r="AI306" s="45"/>
      <c r="AJ306" s="190"/>
      <c r="AK306" s="2373" t="s">
        <v>1835</v>
      </c>
      <c r="AL306" s="105"/>
      <c r="AM306" s="396">
        <f>100*(SUM(Transfer!AD178,Transfer!AD179))/Transfer!AD176</f>
        <v>73.491669008502555</v>
      </c>
      <c r="AN306" s="91"/>
      <c r="AO306" s="397">
        <f>100*(SUM(Transfer!AE178,Transfer!AE179))/Transfer!AE176</f>
        <v>73.535985592829277</v>
      </c>
      <c r="AP306" s="91"/>
      <c r="AQ306" s="396">
        <f>100*(SUM(Transfer!AF178,Transfer!AF179))/Transfer!AF176</f>
        <v>73.868560402043087</v>
      </c>
      <c r="AR306" s="91"/>
      <c r="AS306" s="397">
        <f>100*(SUM(Transfer!AG178,Transfer!AG179))/Transfer!AG176</f>
        <v>74.387716951053434</v>
      </c>
      <c r="AT306" s="93"/>
      <c r="AU306" s="103"/>
      <c r="AV306" s="54"/>
      <c r="AW306" s="54"/>
      <c r="AX306" s="54"/>
      <c r="AY306" s="54"/>
      <c r="AZ306" s="54"/>
      <c r="BA306" s="1671" t="s">
        <v>1727</v>
      </c>
      <c r="BB306" s="196"/>
      <c r="BC306" s="54"/>
    </row>
    <row r="307" spans="1:55">
      <c r="A307" s="45"/>
      <c r="B307" s="1665"/>
      <c r="C307" s="2663" t="s">
        <v>778</v>
      </c>
      <c r="D307" s="2353"/>
      <c r="E307" s="2664">
        <f ca="1">Transfer!D179</f>
        <v>1362.11</v>
      </c>
      <c r="F307" s="2560">
        <f ca="1">100*((Transfer!D179/Transfer!C179)-1)</f>
        <v>1.979530872146551</v>
      </c>
      <c r="G307" s="2665">
        <f ca="1">Transfer!E179</f>
        <v>1355.72</v>
      </c>
      <c r="H307" s="2560">
        <f ca="1">100*((Transfer!E179/Transfer!D179)-1)</f>
        <v>-0.46912510737017188</v>
      </c>
      <c r="I307" s="2664">
        <f ca="1">Transfer!F179</f>
        <v>1348.3540524890891</v>
      </c>
      <c r="J307" s="2560">
        <f ca="1">100*((Transfer!F179/Transfer!E179)-1)</f>
        <v>-0.54332365908232871</v>
      </c>
      <c r="K307" s="2665">
        <f ca="1">Transfer!G179</f>
        <v>1344.2656776101294</v>
      </c>
      <c r="L307" s="2587">
        <f ca="1">100*((Transfer!G179/Transfer!F179)-1)</f>
        <v>-0.30321226620059205</v>
      </c>
      <c r="M307" s="2372"/>
      <c r="N307" s="54"/>
      <c r="O307" s="54"/>
      <c r="P307" s="54"/>
      <c r="Q307" s="54"/>
      <c r="R307" s="54"/>
      <c r="S307" s="190"/>
      <c r="T307" s="2663" t="s">
        <v>778</v>
      </c>
      <c r="U307" s="203"/>
      <c r="V307" s="400">
        <f t="shared" ca="1" si="21"/>
        <v>86.099999999999909</v>
      </c>
      <c r="W307" s="399">
        <f ca="1">ROUND(F307,1)-ROUND(AN307,1)</f>
        <v>0.19999999999999996</v>
      </c>
      <c r="X307" s="399">
        <f t="shared" ca="1" si="21"/>
        <v>60.600000000000136</v>
      </c>
      <c r="Y307" s="399">
        <f ca="1">ROUND(H307,1)-ROUND(AP307,1)</f>
        <v>-2</v>
      </c>
      <c r="Z307" s="399">
        <f t="shared" ca="1" si="21"/>
        <v>34.600000000000136</v>
      </c>
      <c r="AA307" s="399">
        <f ca="1">ROUND(J307,1)-ROUND(AR307,1)</f>
        <v>-1.9</v>
      </c>
      <c r="AB307" s="399">
        <f t="shared" ca="1" si="21"/>
        <v>14.099999999999909</v>
      </c>
      <c r="AC307" s="402">
        <f t="shared" ca="1" si="21"/>
        <v>-1.5</v>
      </c>
      <c r="AD307" s="366"/>
      <c r="AE307" s="45"/>
      <c r="AF307" s="45"/>
      <c r="AG307" s="45"/>
      <c r="AH307" s="45"/>
      <c r="AI307" s="45"/>
      <c r="AJ307" s="190"/>
      <c r="AK307" s="2663" t="s">
        <v>778</v>
      </c>
      <c r="AL307" s="67"/>
      <c r="AM307" s="399">
        <f>Transfer!AD179</f>
        <v>1276</v>
      </c>
      <c r="AN307" s="400">
        <f>100*((Transfer!AD179/Transfer!AC179)-1)</f>
        <v>1.7868538608806661</v>
      </c>
      <c r="AO307" s="401">
        <f>Transfer!AE179</f>
        <v>1295.1330168855939</v>
      </c>
      <c r="AP307" s="400">
        <f>100*((Transfer!AE179/Transfer!AD179)-1)</f>
        <v>1.4994527339807107</v>
      </c>
      <c r="AQ307" s="399">
        <f>Transfer!AF179</f>
        <v>1313.8341838591721</v>
      </c>
      <c r="AR307" s="400">
        <f>100*((Transfer!AF179/Transfer!AE179)-1)</f>
        <v>1.443957240666216</v>
      </c>
      <c r="AS307" s="401">
        <f>Transfer!AG179</f>
        <v>1330.1638543846211</v>
      </c>
      <c r="AT307" s="402">
        <f>100*((Transfer!AG179/Transfer!AF179)-1)</f>
        <v>1.2429019374030403</v>
      </c>
      <c r="AU307" s="366"/>
      <c r="AV307" s="54"/>
      <c r="AW307" s="54"/>
      <c r="AX307" s="54"/>
      <c r="AY307" s="54"/>
      <c r="AZ307" s="54"/>
      <c r="BA307" s="1671" t="s">
        <v>1728</v>
      </c>
      <c r="BB307" s="196"/>
      <c r="BC307" s="54"/>
    </row>
    <row r="308" spans="1:55">
      <c r="A308" s="45"/>
      <c r="B308" s="1665"/>
      <c r="C308" s="2373" t="s">
        <v>779</v>
      </c>
      <c r="D308" s="2392"/>
      <c r="E308" s="2393">
        <f ca="1">+IF(Transfer!C183=-9999,Transfer!D163,Transfer!D183)</f>
        <v>1194.1999999999998</v>
      </c>
      <c r="F308" s="2376">
        <f ca="1">IF(Transfer!C183=-9999,100*((Transfer!D163/Transfer!C163)-1),100*((Transfer!D183/Transfer!C183)-1))</f>
        <v>1.8994146458009675</v>
      </c>
      <c r="G308" s="2377">
        <f ca="1">IF(Transfer!D183=-9999,Transfer!E163,Transfer!E183)</f>
        <v>1193.3100000000002</v>
      </c>
      <c r="H308" s="2376">
        <f ca="1">IF(Transfer!D183=-9999,100*((Transfer!E163/Transfer!D163)-1),100*((Transfer!E183/Transfer!D183)-1))</f>
        <v>-7.4526879919578626E-2</v>
      </c>
      <c r="I308" s="2393">
        <f ca="1">IF(Transfer!E183=-9999,Transfer!F163,Transfer!F183)</f>
        <v>1186.7561024890892</v>
      </c>
      <c r="J308" s="2376">
        <f ca="1">IF(Transfer!E183=-9999,100*((Transfer!F163/Transfer!E163)-1),100*((Transfer!F183/Transfer!E183)-1))</f>
        <v>-0.54922002756290222</v>
      </c>
      <c r="K308" s="2377">
        <f ca="1">IF(Transfer!F183=-9999,Transfer!G163,Transfer!G183)</f>
        <v>1184.2837071101296</v>
      </c>
      <c r="L308" s="2378">
        <f ca="1">IF(Transfer!F183=-9999,100*((Transfer!G163/Transfer!F163)-1),100*((Transfer!G183/Transfer!F183)-1))</f>
        <v>-0.2083322237630858</v>
      </c>
      <c r="M308" s="2390"/>
      <c r="N308" s="54"/>
      <c r="O308" s="54"/>
      <c r="P308" s="54"/>
      <c r="Q308" s="54"/>
      <c r="R308" s="54"/>
      <c r="S308" s="190"/>
      <c r="T308" s="2373" t="s">
        <v>779</v>
      </c>
      <c r="U308" s="343"/>
      <c r="V308" s="359">
        <f t="shared" ca="1" si="21"/>
        <v>59.200000000000045</v>
      </c>
      <c r="W308" s="396">
        <f ca="1">ROUND(F308,1)-ROUND(AN308,1)</f>
        <v>0.59999999999999987</v>
      </c>
      <c r="X308" s="396">
        <f t="shared" ca="1" si="21"/>
        <v>37.700000000000045</v>
      </c>
      <c r="Y308" s="396">
        <f ca="1">ROUND(H308,1)-ROUND(AP308,1)</f>
        <v>-1.9000000000000001</v>
      </c>
      <c r="Z308" s="396">
        <f t="shared" ca="1" si="21"/>
        <v>11.099999999999909</v>
      </c>
      <c r="AA308" s="396">
        <f ca="1">ROUND(J308,1)-ROUND(AR308,1)</f>
        <v>-2.2000000000000002</v>
      </c>
      <c r="AB308" s="396">
        <f t="shared" ca="1" si="21"/>
        <v>-9.1000000000001364</v>
      </c>
      <c r="AC308" s="360">
        <f t="shared" ca="1" si="21"/>
        <v>-1.7</v>
      </c>
      <c r="AD308" s="361"/>
      <c r="AE308" s="45"/>
      <c r="AF308" s="45"/>
      <c r="AG308" s="45"/>
      <c r="AH308" s="45"/>
      <c r="AI308" s="45"/>
      <c r="AJ308" s="190"/>
      <c r="AK308" s="2373" t="s">
        <v>779</v>
      </c>
      <c r="AL308" s="105"/>
      <c r="AM308" s="396">
        <f>+IF(Transfer!AC183=-9999,Transfer!AD163,Transfer!AD183)</f>
        <v>1135.03</v>
      </c>
      <c r="AN308" s="359">
        <f>IF(Transfer!AC183=-9999,100*((Transfer!AD163/Transfer!AC163)-1),100*((Transfer!AD183/Transfer!AC183)-1))</f>
        <v>1.2587874246155151</v>
      </c>
      <c r="AO308" s="397">
        <f>IF(Transfer!AD183=-9999,Transfer!AE163,Transfer!AE183)</f>
        <v>1155.5727168855938</v>
      </c>
      <c r="AP308" s="359">
        <f>IF(Transfer!AD183=-9999,100*((Transfer!AE163/Transfer!AD163)-1),100*((Transfer!AE183/Transfer!AD183)-1))</f>
        <v>1.8098831648144742</v>
      </c>
      <c r="AQ308" s="396">
        <f>IF(Transfer!AE183=-9999,Transfer!AF163,Transfer!AF183)</f>
        <v>1175.6694868591721</v>
      </c>
      <c r="AR308" s="359">
        <f>IF(Transfer!AE183=-9999,100*((Transfer!AF163/Transfer!AE163)-1),100*((Transfer!AF183/Transfer!AE183)-1))</f>
        <v>1.7391177275058567</v>
      </c>
      <c r="AS308" s="397">
        <f>IF(Transfer!AF183=-9999,Transfer!AG163,Transfer!AG183)</f>
        <v>1193.380804354621</v>
      </c>
      <c r="AT308" s="360">
        <f>IF(Transfer!AF183=-9999,100*((Transfer!AG163/Transfer!AF163)-1),100*((Transfer!AG183/Transfer!AF183)-1))</f>
        <v>1.5064878091516132</v>
      </c>
      <c r="AU308" s="361"/>
      <c r="AV308" s="54"/>
      <c r="AW308" s="54"/>
      <c r="AX308" s="54"/>
      <c r="AY308" s="54"/>
      <c r="AZ308" s="54"/>
      <c r="BA308" s="1671" t="s">
        <v>1729</v>
      </c>
      <c r="BB308" s="196"/>
      <c r="BC308" s="54"/>
    </row>
    <row r="309" spans="1:55">
      <c r="A309" s="45"/>
      <c r="B309" s="1665"/>
      <c r="C309" s="2373" t="s">
        <v>780</v>
      </c>
      <c r="D309" s="2392"/>
      <c r="E309" s="2393">
        <f ca="1">IF(Transfer!C183=-9999,Transfer!D179-Transfer!D163,Transfer!D179-Transfer!D183)</f>
        <v>167.91000000000008</v>
      </c>
      <c r="F309" s="2376">
        <f ca="1">IF(Transfer!C183=-9999,100*(((Transfer!D179-Transfer!D163)/(Transfer!C179-Transfer!C163))-1),100*(((Transfer!D179-Transfer!D183)/(Transfer!C179-Transfer!C183))-1))</f>
        <v>2.5529835705124571</v>
      </c>
      <c r="G309" s="2377">
        <f ca="1">IF(Transfer!D183=-9999,Transfer!E179-Transfer!E163,Transfer!E179-Transfer!E183)</f>
        <v>162.40999999999985</v>
      </c>
      <c r="H309" s="2376">
        <f ca="1">IF(Transfer!D183=-9999,100*(((Transfer!E179-Transfer!E163)/(Transfer!D179-Transfer!D163))-1),100*(((Transfer!E179-Transfer!E183)/(Transfer!D179-Transfer!D183))-1))</f>
        <v>-3.2755642903937954</v>
      </c>
      <c r="I309" s="2393">
        <f ca="1">IF(Transfer!E183=-9999,Transfer!F179-Transfer!F163,Transfer!F179-Transfer!F183)</f>
        <v>161.59794999999986</v>
      </c>
      <c r="J309" s="2376">
        <f ca="1">IF(Transfer!E183=-9999,100*(((Transfer!F179-Transfer!F163)/(Transfer!E179-Transfer!E163))-1),100*(((Transfer!F179-Transfer!F183)/(Transfer!E179-Transfer!E183))-1))</f>
        <v>-0.50000000000000044</v>
      </c>
      <c r="K309" s="2377">
        <f ca="1">IF(Transfer!F183=-9999,Transfer!G179-Transfer!G163,Transfer!G179-Transfer!G183)</f>
        <v>159.98197049999976</v>
      </c>
      <c r="L309" s="2378">
        <f ca="1">IF(Transfer!F183=-9999,100*(((Transfer!G179-Transfer!G163)/(Transfer!F179-Transfer!F163))-1),100*(((Transfer!G179-Transfer!G183)/(Transfer!F179-Transfer!F183))-1))</f>
        <v>-1.0000000000000564</v>
      </c>
      <c r="M309" s="2390"/>
      <c r="N309" s="54"/>
      <c r="O309" s="54"/>
      <c r="P309" s="54"/>
      <c r="Q309" s="54"/>
      <c r="R309" s="54"/>
      <c r="S309" s="190"/>
      <c r="T309" s="2373" t="s">
        <v>780</v>
      </c>
      <c r="U309" s="343"/>
      <c r="V309" s="359">
        <f t="shared" ca="1" si="21"/>
        <v>26.900000000000006</v>
      </c>
      <c r="W309" s="396">
        <f ca="1">ROUND(F309,1)-ROUND(AN309,1)</f>
        <v>-3.6</v>
      </c>
      <c r="X309" s="396">
        <f t="shared" ca="1" si="21"/>
        <v>22.800000000000011</v>
      </c>
      <c r="Y309" s="396">
        <f ca="1">ROUND(H309,1)-ROUND(AP309,1)</f>
        <v>-2.2999999999999998</v>
      </c>
      <c r="Z309" s="396">
        <f t="shared" ca="1" si="21"/>
        <v>23.400000000000006</v>
      </c>
      <c r="AA309" s="396">
        <f ca="1">ROUND(J309,1)-ROUND(AR309,1)</f>
        <v>0.5</v>
      </c>
      <c r="AB309" s="396">
        <f t="shared" ca="1" si="21"/>
        <v>23.199999999999989</v>
      </c>
      <c r="AC309" s="360">
        <f t="shared" ca="1" si="21"/>
        <v>0</v>
      </c>
      <c r="AD309" s="361"/>
      <c r="AE309" s="45"/>
      <c r="AF309" s="45"/>
      <c r="AG309" s="45"/>
      <c r="AH309" s="45"/>
      <c r="AI309" s="45"/>
      <c r="AJ309" s="190"/>
      <c r="AK309" s="2373" t="s">
        <v>780</v>
      </c>
      <c r="AL309" s="105"/>
      <c r="AM309" s="396">
        <f>IF(Transfer!AC183=-9999,Transfer!AD179-Transfer!AD163,Transfer!AD179-Transfer!AD183)</f>
        <v>140.97000000000003</v>
      </c>
      <c r="AN309" s="359">
        <f>IF(Transfer!AC183=-9999,100*(((Transfer!AD179-Transfer!AD163)/(Transfer!AC179-Transfer!AC163))-1),100*(((Transfer!AD179-Transfer!AD183)/(Transfer!AC179-Transfer!AC183))-1))</f>
        <v>6.2481157672595433</v>
      </c>
      <c r="AO309" s="397">
        <f>IF(Transfer!AD183=-9999,Transfer!AE179-Transfer!AE163,Transfer!AE179-Transfer!AE183)</f>
        <v>139.5603000000001</v>
      </c>
      <c r="AP309" s="359">
        <f>IF(Transfer!AD183=-9999,100*(((Transfer!AE179-Transfer!AE163)/(Transfer!AD179-Transfer!AD163))-1),100*(((Transfer!AE179-Transfer!AE183)/(Transfer!AD179-Transfer!AD183))-1))</f>
        <v>-0.99999999999994538</v>
      </c>
      <c r="AQ309" s="396">
        <f>IF(Transfer!AE183=-9999,Transfer!AF179-Transfer!AF163,Transfer!AF179-Transfer!AF183)</f>
        <v>138.16469699999993</v>
      </c>
      <c r="AR309" s="359">
        <f>IF(Transfer!AE183=-9999,100*(((Transfer!AF179-Transfer!AF163)/(Transfer!AE179-Transfer!AE163))-1),100*(((Transfer!AF179-Transfer!AF183)/(Transfer!AE179-Transfer!AE183))-1))</f>
        <v>-1.0000000000001119</v>
      </c>
      <c r="AS309" s="397">
        <f>IF(Transfer!AF183=-9999,Transfer!AG179-Transfer!AG163,Transfer!AG179-Transfer!AG183)</f>
        <v>136.78305003000014</v>
      </c>
      <c r="AT309" s="360">
        <f>IF(Transfer!AF183=-9999,100*(((Transfer!AG179-Transfer!AG163)/(Transfer!AF179-Transfer!AF163))-1),100*(((Transfer!AG179-Transfer!AG183)/(Transfer!AF179-Transfer!AF183))-1))</f>
        <v>-0.99999999999984546</v>
      </c>
      <c r="AU309" s="361"/>
      <c r="AV309" s="54"/>
      <c r="AW309" s="54"/>
      <c r="AX309" s="54"/>
      <c r="AY309" s="54"/>
      <c r="AZ309" s="54"/>
      <c r="BA309" s="1671" t="s">
        <v>1730</v>
      </c>
      <c r="BB309" s="196"/>
      <c r="BC309" s="54"/>
    </row>
    <row r="310" spans="1:55">
      <c r="A310" s="45"/>
      <c r="B310" s="1665"/>
      <c r="C310" s="2373" t="s">
        <v>482</v>
      </c>
      <c r="D310" s="2392"/>
      <c r="E310" s="2393">
        <f ca="1">100*Transfer!D179/Transfer!D176</f>
        <v>71.843726668827429</v>
      </c>
      <c r="F310" s="2376"/>
      <c r="G310" s="2393">
        <f ca="1">100*Transfer!E179/Transfer!E176</f>
        <v>73.068880025870428</v>
      </c>
      <c r="H310" s="2376"/>
      <c r="I310" s="2393">
        <f ca="1">100*Transfer!F179/Transfer!F176</f>
        <v>74.079387883041178</v>
      </c>
      <c r="J310" s="2376"/>
      <c r="K310" s="2393">
        <f ca="1">100*Transfer!G179/Transfer!G176</f>
        <v>75.208523515533074</v>
      </c>
      <c r="L310" s="2378"/>
      <c r="M310" s="2390"/>
      <c r="N310" s="54"/>
      <c r="O310" s="54"/>
      <c r="P310" s="54"/>
      <c r="Q310" s="54"/>
      <c r="R310" s="54"/>
      <c r="S310" s="190"/>
      <c r="T310" s="2373" t="s">
        <v>482</v>
      </c>
      <c r="U310" s="343"/>
      <c r="V310" s="359">
        <f t="shared" ca="1" si="21"/>
        <v>8.0999999999999943</v>
      </c>
      <c r="W310" s="396"/>
      <c r="X310" s="396">
        <f t="shared" ca="1" si="21"/>
        <v>8.0999999999999943</v>
      </c>
      <c r="Y310" s="396"/>
      <c r="Z310" s="396">
        <f t="shared" ca="1" si="21"/>
        <v>7.8999999999999915</v>
      </c>
      <c r="AA310" s="396"/>
      <c r="AB310" s="396">
        <f t="shared" ca="1" si="21"/>
        <v>7.9000000000000057</v>
      </c>
      <c r="AC310" s="360"/>
      <c r="AD310" s="103"/>
      <c r="AE310" s="45"/>
      <c r="AF310" s="45"/>
      <c r="AG310" s="45"/>
      <c r="AH310" s="45"/>
      <c r="AI310" s="45"/>
      <c r="AJ310" s="190"/>
      <c r="AK310" s="2373" t="s">
        <v>482</v>
      </c>
      <c r="AL310" s="105"/>
      <c r="AM310" s="396">
        <f>100*Transfer!AD179/Transfer!AD176</f>
        <v>63.67148944517195</v>
      </c>
      <c r="AN310" s="91"/>
      <c r="AO310" s="396">
        <f>100*Transfer!AE179/Transfer!AE176</f>
        <v>64.950968175300318</v>
      </c>
      <c r="AP310" s="91"/>
      <c r="AQ310" s="396">
        <f>100*Transfer!AF179/Transfer!AF176</f>
        <v>66.219932043367209</v>
      </c>
      <c r="AR310" s="91"/>
      <c r="AS310" s="396">
        <f>100*Transfer!AG179/Transfer!AG176</f>
        <v>67.312229780804415</v>
      </c>
      <c r="AT310" s="93"/>
      <c r="AU310" s="103"/>
      <c r="AV310" s="54"/>
      <c r="AW310" s="54"/>
      <c r="AX310" s="54"/>
      <c r="AY310" s="54"/>
      <c r="AZ310" s="54"/>
      <c r="BA310" s="1671" t="s">
        <v>1675</v>
      </c>
      <c r="BB310" s="196"/>
      <c r="BC310" s="54"/>
    </row>
    <row r="311" spans="1:55">
      <c r="A311" s="45"/>
      <c r="B311" s="1665"/>
      <c r="C311" s="1666" t="s">
        <v>452</v>
      </c>
      <c r="D311" s="2351"/>
      <c r="E311" s="2393">
        <f ca="1">Transfer!D178</f>
        <v>116</v>
      </c>
      <c r="F311" s="2376">
        <f ca="1">100*((Transfer!D178/Transfer!C178)-1)</f>
        <v>-13.432835820895528</v>
      </c>
      <c r="G311" s="2377">
        <f ca="1">Transfer!E178</f>
        <v>103</v>
      </c>
      <c r="H311" s="2376">
        <f ca="1">100*((Transfer!E178/Transfer!D178)-1)</f>
        <v>-11.206896551724132</v>
      </c>
      <c r="I311" s="2393">
        <f ca="1">Transfer!F178</f>
        <v>95.069140140910804</v>
      </c>
      <c r="J311" s="2376">
        <f ca="1">100*((Transfer!F178/Transfer!E178)-1)</f>
        <v>-7.6998639408632936</v>
      </c>
      <c r="K311" s="2377">
        <f ca="1">Transfer!G178</f>
        <v>95.629153630878136</v>
      </c>
      <c r="L311" s="2378">
        <f ca="1">100*((Transfer!G178/Transfer!F178)-1)</f>
        <v>0.58905917223748272</v>
      </c>
      <c r="M311" s="2368"/>
      <c r="N311" s="54"/>
      <c r="O311" s="54"/>
      <c r="P311" s="54"/>
      <c r="Q311" s="54"/>
      <c r="R311" s="54"/>
      <c r="S311" s="190"/>
      <c r="T311" s="1666" t="s">
        <v>452</v>
      </c>
      <c r="U311" s="196"/>
      <c r="V311" s="359">
        <f t="shared" ca="1" si="21"/>
        <v>-80.800000000000011</v>
      </c>
      <c r="W311" s="396">
        <f ca="1">ROUND(F311,1)-ROUND(AN311,1)</f>
        <v>0.29999999999999893</v>
      </c>
      <c r="X311" s="396">
        <f t="shared" ca="1" si="21"/>
        <v>-68.199999999999989</v>
      </c>
      <c r="Y311" s="396">
        <f ca="1">ROUND(H311,1)-ROUND(AP311,1)</f>
        <v>1.8000000000000007</v>
      </c>
      <c r="Z311" s="396">
        <f t="shared" ca="1" si="21"/>
        <v>-56.700000000000017</v>
      </c>
      <c r="AA311" s="396">
        <f ca="1">ROUND(J311,1)-ROUND(AR311,1)</f>
        <v>3.7</v>
      </c>
      <c r="AB311" s="396">
        <f t="shared" ca="1" si="21"/>
        <v>-44.200000000000017</v>
      </c>
      <c r="AC311" s="360">
        <f t="shared" ca="1" si="21"/>
        <v>8.5</v>
      </c>
      <c r="AD311" s="364"/>
      <c r="AE311" s="45"/>
      <c r="AF311" s="45"/>
      <c r="AG311" s="45"/>
      <c r="AH311" s="45"/>
      <c r="AI311" s="45"/>
      <c r="AJ311" s="190"/>
      <c r="AK311" s="1666" t="s">
        <v>452</v>
      </c>
      <c r="AL311" s="65"/>
      <c r="AM311" s="396">
        <f>Transfer!AD178</f>
        <v>196.8</v>
      </c>
      <c r="AN311" s="359">
        <f>100*((Transfer!AD178/Transfer!AC178)-1)</f>
        <v>-13.695566372845668</v>
      </c>
      <c r="AO311" s="397">
        <f>Transfer!AE178</f>
        <v>171.1866631144062</v>
      </c>
      <c r="AP311" s="359">
        <f>100*((Transfer!AE178/Transfer!AD178)-1)</f>
        <v>-13.0149069540619</v>
      </c>
      <c r="AQ311" s="396">
        <f>Transfer!AF178</f>
        <v>151.75233630082812</v>
      </c>
      <c r="AR311" s="359">
        <f>100*((Transfer!AF178/Transfer!AE178)-1)</f>
        <v>-11.352710812868573</v>
      </c>
      <c r="AS311" s="397">
        <f>Transfer!AG178</f>
        <v>139.81942533585902</v>
      </c>
      <c r="AT311" s="360">
        <f>100*((Transfer!AG178/Transfer!AF178)-1)</f>
        <v>-7.8634116981986635</v>
      </c>
      <c r="AU311" s="364"/>
      <c r="AV311" s="54"/>
      <c r="AW311" s="54"/>
      <c r="AX311" s="54"/>
      <c r="AY311" s="54"/>
      <c r="AZ311" s="54"/>
      <c r="BA311" s="1671" t="s">
        <v>1676</v>
      </c>
      <c r="BB311" s="196"/>
      <c r="BC311" s="54"/>
    </row>
    <row r="312" spans="1:55" ht="13.5" thickBot="1">
      <c r="A312" s="45"/>
      <c r="B312" s="1665"/>
      <c r="C312" s="2666" t="s">
        <v>1827</v>
      </c>
      <c r="D312" s="2667"/>
      <c r="E312" s="2397">
        <f ca="1">100*Transfer!D178/SUM(Transfer!D178,Transfer!D179)</f>
        <v>7.8478597668644419</v>
      </c>
      <c r="F312" s="2668"/>
      <c r="G312" s="2669">
        <f ca="1">100*Transfer!E178/SUM(Transfer!E178,Transfer!E179)</f>
        <v>7.060984973127125</v>
      </c>
      <c r="H312" s="2668"/>
      <c r="I312" s="2397">
        <f ca="1">100*Transfer!F178/SUM(Transfer!F178,Transfer!F179)</f>
        <v>6.5863663980408527</v>
      </c>
      <c r="J312" s="2668"/>
      <c r="K312" s="2669">
        <f ca="1">100*Transfer!G178/SUM(Transfer!G178,Transfer!G179)</f>
        <v>6.6413984935592749</v>
      </c>
      <c r="L312" s="2398"/>
      <c r="M312" s="2390"/>
      <c r="N312" s="54"/>
      <c r="O312" s="54"/>
      <c r="P312" s="54"/>
      <c r="Q312" s="54"/>
      <c r="R312" s="54"/>
      <c r="S312" s="190"/>
      <c r="T312" s="2666" t="s">
        <v>1883</v>
      </c>
      <c r="U312" s="2095"/>
      <c r="V312" s="2065">
        <f t="shared" ca="1" si="21"/>
        <v>-5.6000000000000005</v>
      </c>
      <c r="W312" s="404"/>
      <c r="X312" s="404">
        <f t="shared" ca="1" si="21"/>
        <v>-4.5999999999999996</v>
      </c>
      <c r="Y312" s="404"/>
      <c r="Z312" s="404">
        <f t="shared" ca="1" si="21"/>
        <v>-3.8000000000000007</v>
      </c>
      <c r="AA312" s="404"/>
      <c r="AB312" s="404">
        <f t="shared" ca="1" si="21"/>
        <v>-2.9000000000000004</v>
      </c>
      <c r="AC312" s="2016"/>
      <c r="AD312" s="103"/>
      <c r="AE312" s="45"/>
      <c r="AF312" s="45"/>
      <c r="AG312" s="45"/>
      <c r="AH312" s="45"/>
      <c r="AI312" s="45"/>
      <c r="AJ312" s="190"/>
      <c r="AK312" s="2666" t="s">
        <v>1883</v>
      </c>
      <c r="AL312" s="403"/>
      <c r="AM312" s="404">
        <f>100*Transfer!AD178/SUM(Transfer!AD178,Transfer!AD179)</f>
        <v>13.362303096143402</v>
      </c>
      <c r="AN312" s="405"/>
      <c r="AO312" s="406">
        <f>100*Transfer!AE178/SUM(Transfer!AE178,Transfer!AE179)</f>
        <v>11.674579932965653</v>
      </c>
      <c r="AP312" s="405"/>
      <c r="AQ312" s="404">
        <f>100*Transfer!AF178/SUM(Transfer!AF178,Transfer!AF179)</f>
        <v>10.354375822470113</v>
      </c>
      <c r="AR312" s="405"/>
      <c r="AS312" s="406">
        <f>100*Transfer!AG178/SUM(Transfer!AG178,Transfer!AG179)</f>
        <v>9.5116337216057261</v>
      </c>
      <c r="AT312" s="112"/>
      <c r="AU312" s="103"/>
      <c r="AV312" s="54"/>
      <c r="AW312" s="54"/>
      <c r="AX312" s="54"/>
      <c r="AY312" s="54"/>
      <c r="AZ312" s="54"/>
      <c r="BA312" s="1671" t="s">
        <v>481</v>
      </c>
      <c r="BB312" s="196"/>
      <c r="BC312" s="54"/>
    </row>
    <row r="313" spans="1:55" ht="13.5" thickBot="1">
      <c r="A313" s="45"/>
      <c r="B313" s="1665"/>
      <c r="C313" s="2635"/>
      <c r="D313" s="2445"/>
      <c r="E313" s="2445"/>
      <c r="F313" s="2445"/>
      <c r="G313" s="2445"/>
      <c r="H313" s="2445"/>
      <c r="I313" s="2445"/>
      <c r="J313" s="2445"/>
      <c r="K313" s="2445"/>
      <c r="L313" s="2670"/>
      <c r="M313" s="1664"/>
      <c r="N313" s="54"/>
      <c r="O313" s="54"/>
      <c r="P313" s="54"/>
      <c r="Q313" s="54"/>
      <c r="R313" s="54"/>
      <c r="S313" s="190"/>
      <c r="T313" s="2635"/>
      <c r="U313" s="1"/>
      <c r="V313" s="1"/>
      <c r="W313" s="1"/>
      <c r="X313" s="1"/>
      <c r="Y313" s="1"/>
      <c r="Z313" s="1"/>
      <c r="AA313" s="1"/>
      <c r="AB313" s="1"/>
      <c r="AC313" s="2017"/>
      <c r="AD313" s="90"/>
      <c r="AE313" s="45"/>
      <c r="AF313" s="45"/>
      <c r="AG313" s="45"/>
      <c r="AH313" s="45"/>
      <c r="AI313" s="45"/>
      <c r="AJ313" s="190"/>
      <c r="AK313" s="2635"/>
      <c r="AL313" s="1"/>
      <c r="AM313" s="1"/>
      <c r="AN313" s="1"/>
      <c r="AO313" s="1"/>
      <c r="AP313" s="1"/>
      <c r="AQ313" s="1"/>
      <c r="AR313" s="1"/>
      <c r="AS313" s="1"/>
      <c r="AT313" s="407"/>
      <c r="AU313" s="90"/>
      <c r="AV313" s="54"/>
      <c r="AW313" s="54"/>
      <c r="AX313" s="54"/>
      <c r="AY313" s="54"/>
      <c r="AZ313" s="54"/>
      <c r="BA313" s="1671"/>
      <c r="BB313" s="196"/>
      <c r="BC313" s="54"/>
    </row>
    <row r="314" spans="1:55">
      <c r="A314" s="45"/>
      <c r="B314" s="1665"/>
      <c r="C314" s="2671" t="s">
        <v>574</v>
      </c>
      <c r="D314" s="2532"/>
      <c r="E314" s="2672"/>
      <c r="F314" s="2672"/>
      <c r="G314" s="2672"/>
      <c r="H314" s="2672"/>
      <c r="I314" s="2672"/>
      <c r="J314" s="2672"/>
      <c r="K314" s="2672"/>
      <c r="L314" s="2673"/>
      <c r="M314" s="1664"/>
      <c r="N314" s="54"/>
      <c r="O314" s="54"/>
      <c r="P314" s="54"/>
      <c r="Q314" s="54"/>
      <c r="R314" s="54"/>
      <c r="S314" s="190"/>
      <c r="T314" s="2671" t="s">
        <v>574</v>
      </c>
      <c r="U314" s="263"/>
      <c r="V314" s="408"/>
      <c r="W314" s="408"/>
      <c r="X314" s="408"/>
      <c r="Y314" s="408"/>
      <c r="Z314" s="408"/>
      <c r="AA314" s="408"/>
      <c r="AB314" s="408"/>
      <c r="AC314" s="409"/>
      <c r="AD314" s="90"/>
      <c r="AE314" s="45"/>
      <c r="AF314" s="45"/>
      <c r="AG314" s="45"/>
      <c r="AH314" s="45"/>
      <c r="AI314" s="45"/>
      <c r="AJ314" s="190"/>
      <c r="AK314" s="2671" t="s">
        <v>574</v>
      </c>
      <c r="AL314" s="263"/>
      <c r="AM314" s="408"/>
      <c r="AN314" s="408"/>
      <c r="AO314" s="408"/>
      <c r="AP314" s="408"/>
      <c r="AQ314" s="408"/>
      <c r="AR314" s="408"/>
      <c r="AS314" s="408"/>
      <c r="AT314" s="409"/>
      <c r="AU314" s="90"/>
      <c r="AV314" s="54"/>
      <c r="AW314" s="54"/>
      <c r="AX314" s="54"/>
      <c r="AY314" s="54"/>
      <c r="AZ314" s="54"/>
      <c r="BA314" s="60"/>
      <c r="BB314" s="221"/>
      <c r="BC314" s="54"/>
    </row>
    <row r="315" spans="1:55">
      <c r="A315" s="45"/>
      <c r="B315" s="1665"/>
      <c r="C315" s="2663" t="s">
        <v>960</v>
      </c>
      <c r="D315" s="2353"/>
      <c r="E315" s="2674"/>
      <c r="F315" s="2675"/>
      <c r="G315" s="2676"/>
      <c r="H315" s="2675"/>
      <c r="I315" s="2674"/>
      <c r="J315" s="2675"/>
      <c r="K315" s="2676"/>
      <c r="L315" s="2677"/>
      <c r="M315" s="2372"/>
      <c r="N315" s="54"/>
      <c r="O315" s="54"/>
      <c r="P315" s="54"/>
      <c r="Q315" s="54"/>
      <c r="R315" s="54"/>
      <c r="S315" s="190"/>
      <c r="T315" s="2663" t="s">
        <v>960</v>
      </c>
      <c r="U315" s="67"/>
      <c r="V315" s="410"/>
      <c r="W315" s="411"/>
      <c r="X315" s="412"/>
      <c r="Y315" s="411"/>
      <c r="Z315" s="410"/>
      <c r="AA315" s="411"/>
      <c r="AB315" s="412"/>
      <c r="AC315" s="413"/>
      <c r="AD315" s="366"/>
      <c r="AE315" s="45"/>
      <c r="AF315" s="45"/>
      <c r="AG315" s="45"/>
      <c r="AH315" s="45"/>
      <c r="AI315" s="45"/>
      <c r="AJ315" s="190"/>
      <c r="AK315" s="2663" t="s">
        <v>960</v>
      </c>
      <c r="AL315" s="67"/>
      <c r="AM315" s="410"/>
      <c r="AN315" s="411"/>
      <c r="AO315" s="412"/>
      <c r="AP315" s="411"/>
      <c r="AQ315" s="410"/>
      <c r="AR315" s="411"/>
      <c r="AS315" s="412"/>
      <c r="AT315" s="413"/>
      <c r="AU315" s="366"/>
      <c r="AV315" s="54"/>
      <c r="AW315" s="54"/>
      <c r="AX315" s="54"/>
      <c r="AY315" s="54"/>
      <c r="AZ315" s="54"/>
      <c r="BA315" s="1672" t="s">
        <v>1733</v>
      </c>
      <c r="BB315" s="196"/>
      <c r="BC315" s="54"/>
    </row>
    <row r="316" spans="1:55">
      <c r="A316" s="45"/>
      <c r="B316" s="1665"/>
      <c r="C316" s="2663" t="s">
        <v>961</v>
      </c>
      <c r="D316" s="2353"/>
      <c r="E316" s="2543"/>
      <c r="F316" s="2675"/>
      <c r="G316" s="2579"/>
      <c r="H316" s="2675"/>
      <c r="I316" s="2543"/>
      <c r="J316" s="2675"/>
      <c r="K316" s="2579"/>
      <c r="L316" s="2677"/>
      <c r="M316" s="2372"/>
      <c r="N316" s="54"/>
      <c r="O316" s="54"/>
      <c r="P316" s="54"/>
      <c r="Q316" s="54"/>
      <c r="R316" s="54"/>
      <c r="S316" s="190"/>
      <c r="T316" s="2663" t="s">
        <v>961</v>
      </c>
      <c r="U316" s="67"/>
      <c r="V316" s="414"/>
      <c r="W316" s="411"/>
      <c r="X316" s="70"/>
      <c r="Y316" s="411"/>
      <c r="Z316" s="414"/>
      <c r="AA316" s="411"/>
      <c r="AB316" s="70"/>
      <c r="AC316" s="413"/>
      <c r="AD316" s="366"/>
      <c r="AE316" s="45"/>
      <c r="AF316" s="45"/>
      <c r="AG316" s="45"/>
      <c r="AH316" s="45"/>
      <c r="AI316" s="45"/>
      <c r="AJ316" s="190"/>
      <c r="AK316" s="2663" t="s">
        <v>961</v>
      </c>
      <c r="AL316" s="67"/>
      <c r="AM316" s="414"/>
      <c r="AN316" s="411"/>
      <c r="AO316" s="70"/>
      <c r="AP316" s="411"/>
      <c r="AQ316" s="414"/>
      <c r="AR316" s="411"/>
      <c r="AS316" s="70"/>
      <c r="AT316" s="413"/>
      <c r="AU316" s="366"/>
      <c r="AV316" s="54"/>
      <c r="AW316" s="54"/>
      <c r="AX316" s="54"/>
      <c r="AY316" s="54"/>
      <c r="AZ316" s="54"/>
      <c r="BA316" s="1671" t="s">
        <v>1546</v>
      </c>
      <c r="BB316" s="196"/>
      <c r="BC316" s="54"/>
    </row>
    <row r="317" spans="1:55" ht="13.5" thickBot="1">
      <c r="A317" s="45"/>
      <c r="B317" s="1665"/>
      <c r="C317" s="2678" t="s">
        <v>962</v>
      </c>
      <c r="D317" s="2679"/>
      <c r="E317" s="2680"/>
      <c r="F317" s="2681"/>
      <c r="G317" s="2680"/>
      <c r="H317" s="2681"/>
      <c r="I317" s="2680"/>
      <c r="J317" s="2681"/>
      <c r="K317" s="2680"/>
      <c r="L317" s="2682"/>
      <c r="M317" s="2372"/>
      <c r="N317" s="54"/>
      <c r="O317" s="54"/>
      <c r="P317" s="54"/>
      <c r="Q317" s="54"/>
      <c r="R317" s="54"/>
      <c r="S317" s="190"/>
      <c r="T317" s="2678" t="s">
        <v>962</v>
      </c>
      <c r="U317" s="415"/>
      <c r="V317" s="416"/>
      <c r="W317" s="417"/>
      <c r="X317" s="416"/>
      <c r="Y317" s="417"/>
      <c r="Z317" s="416"/>
      <c r="AA317" s="417"/>
      <c r="AB317" s="416"/>
      <c r="AC317" s="418"/>
      <c r="AD317" s="366"/>
      <c r="AE317" s="45"/>
      <c r="AF317" s="45"/>
      <c r="AG317" s="45"/>
      <c r="AH317" s="45"/>
      <c r="AI317" s="45"/>
      <c r="AJ317" s="190"/>
      <c r="AK317" s="2678" t="s">
        <v>962</v>
      </c>
      <c r="AL317" s="415"/>
      <c r="AM317" s="416"/>
      <c r="AN317" s="417"/>
      <c r="AO317" s="416"/>
      <c r="AP317" s="417"/>
      <c r="AQ317" s="416"/>
      <c r="AR317" s="417"/>
      <c r="AS317" s="416"/>
      <c r="AT317" s="418"/>
      <c r="AU317" s="366"/>
      <c r="AV317" s="54"/>
      <c r="AW317" s="54"/>
      <c r="AX317" s="54"/>
      <c r="AY317" s="54"/>
      <c r="AZ317" s="54"/>
      <c r="BA317" s="1674" t="s">
        <v>1547</v>
      </c>
      <c r="BB317" s="488"/>
      <c r="BC317" s="54"/>
    </row>
    <row r="318" spans="1:55">
      <c r="A318" s="45"/>
      <c r="B318" s="1701"/>
      <c r="C318" s="2545"/>
      <c r="D318" s="2545"/>
      <c r="E318" s="2477"/>
      <c r="F318" s="2477"/>
      <c r="G318" s="2477"/>
      <c r="H318" s="2477"/>
      <c r="I318" s="2477"/>
      <c r="J318" s="2477"/>
      <c r="K318" s="2477"/>
      <c r="L318" s="2400" t="str">
        <f>UPPER(Country)</f>
        <v>LITHUANIA</v>
      </c>
      <c r="M318" s="2478"/>
      <c r="N318" s="54"/>
      <c r="O318" s="54"/>
      <c r="P318" s="54"/>
      <c r="Q318" s="54"/>
      <c r="R318" s="54"/>
      <c r="S318" s="215"/>
      <c r="T318" s="277"/>
      <c r="U318" s="277"/>
      <c r="V318" s="113"/>
      <c r="W318" s="113"/>
      <c r="X318" s="113"/>
      <c r="Y318" s="113"/>
      <c r="Z318" s="113"/>
      <c r="AA318" s="113"/>
      <c r="AB318" s="113"/>
      <c r="AC318" s="118" t="str">
        <f>UPPER(Country)</f>
        <v>LITHUANIA</v>
      </c>
      <c r="AD318" s="216"/>
      <c r="AE318" s="45"/>
      <c r="AF318" s="45"/>
      <c r="AG318" s="45"/>
      <c r="AH318" s="45"/>
      <c r="AI318" s="45"/>
      <c r="AJ318" s="215"/>
      <c r="AK318" s="277"/>
      <c r="AL318" s="277"/>
      <c r="AM318" s="113"/>
      <c r="AN318" s="113"/>
      <c r="AO318" s="113"/>
      <c r="AP318" s="113"/>
      <c r="AQ318" s="113"/>
      <c r="AR318" s="113"/>
      <c r="AS318" s="113"/>
      <c r="AT318" s="118" t="str">
        <f>UPPER(Country)</f>
        <v>LITHUANIA</v>
      </c>
      <c r="AU318" s="216"/>
      <c r="AV318" s="54"/>
      <c r="AW318" s="54"/>
      <c r="AX318" s="54"/>
      <c r="AY318" s="54"/>
      <c r="AZ318" s="54"/>
      <c r="BA318" s="54"/>
      <c r="BB318" s="54"/>
      <c r="BC318" s="54"/>
    </row>
    <row r="319" spans="1:55">
      <c r="A319" s="45"/>
      <c r="B319" s="45"/>
      <c r="C319" s="45"/>
      <c r="D319" s="45"/>
      <c r="E319" s="45"/>
      <c r="F319" s="45"/>
      <c r="G319" s="45"/>
      <c r="H319" s="45"/>
      <c r="I319" s="45"/>
      <c r="J319" s="45"/>
      <c r="K319" s="45"/>
      <c r="L319" s="45"/>
      <c r="M319" s="45"/>
      <c r="N319" s="54"/>
      <c r="O319" s="54"/>
      <c r="P319" s="54"/>
      <c r="Q319" s="54"/>
      <c r="R319" s="54"/>
      <c r="S319" s="54"/>
      <c r="T319" s="54"/>
      <c r="U319" s="54"/>
      <c r="V319" s="54"/>
      <c r="W319" s="54"/>
      <c r="X319" s="54"/>
      <c r="Y319" s="54"/>
      <c r="Z319" s="54"/>
      <c r="AA319" s="54"/>
      <c r="AB319" s="45"/>
      <c r="AC319" s="45"/>
      <c r="AD319" s="45"/>
      <c r="AE319" s="45"/>
      <c r="AF319" s="45"/>
      <c r="AG319" s="45"/>
      <c r="AH319" s="45"/>
      <c r="AI319" s="45"/>
      <c r="AJ319" s="45"/>
      <c r="AK319" s="45"/>
      <c r="AL319" s="45"/>
      <c r="AM319" s="45"/>
      <c r="AN319" s="45"/>
      <c r="AO319" s="45"/>
      <c r="AP319" s="45"/>
      <c r="AQ319" s="45"/>
      <c r="AR319" s="45"/>
      <c r="AS319" s="45"/>
      <c r="AT319" s="45"/>
      <c r="AU319" s="45"/>
      <c r="AV319" s="54"/>
      <c r="AW319" s="54"/>
      <c r="AX319" s="54"/>
      <c r="AY319" s="54"/>
      <c r="AZ319" s="54"/>
      <c r="BA319" s="54"/>
      <c r="BB319" s="54"/>
      <c r="BC319" s="54"/>
    </row>
    <row r="320" spans="1:55">
      <c r="A320" s="45"/>
      <c r="B320" s="45"/>
      <c r="C320" s="45"/>
      <c r="D320" s="45"/>
      <c r="E320" s="1721"/>
      <c r="F320" s="45"/>
      <c r="G320" s="45"/>
      <c r="H320" s="45"/>
      <c r="I320" s="45"/>
      <c r="J320" s="45"/>
      <c r="K320" s="45"/>
      <c r="L320" s="45"/>
      <c r="M320" s="187"/>
      <c r="N320" s="54"/>
      <c r="O320" s="54"/>
      <c r="P320" s="54"/>
      <c r="Q320" s="54"/>
      <c r="R320" s="54"/>
      <c r="S320" s="54"/>
      <c r="T320" s="54"/>
      <c r="U320" s="54"/>
      <c r="V320" s="54"/>
      <c r="W320" s="54"/>
      <c r="X320" s="54"/>
      <c r="Y320" s="54"/>
      <c r="Z320" s="54"/>
      <c r="AA320" s="54"/>
      <c r="AB320" s="45"/>
      <c r="AC320" s="45"/>
      <c r="AD320" s="45"/>
      <c r="AE320" s="45"/>
      <c r="AF320" s="45"/>
      <c r="AG320" s="45"/>
      <c r="AH320" s="45"/>
      <c r="AI320" s="45"/>
      <c r="AJ320" s="45"/>
      <c r="AK320" s="45"/>
      <c r="AL320" s="45"/>
      <c r="AM320" s="45"/>
      <c r="AN320" s="45"/>
      <c r="AO320" s="45"/>
      <c r="AP320" s="45"/>
      <c r="AQ320" s="45"/>
      <c r="AR320" s="45"/>
      <c r="AS320" s="45"/>
      <c r="AT320" s="45"/>
      <c r="AU320" s="187"/>
      <c r="AV320" s="54"/>
      <c r="AW320" s="54"/>
      <c r="AX320" s="54"/>
      <c r="AY320" s="54"/>
      <c r="AZ320" s="54"/>
      <c r="BA320" s="54"/>
      <c r="BB320" s="54"/>
      <c r="BC320" s="54"/>
    </row>
    <row r="321" spans="1:55">
      <c r="A321" s="45"/>
      <c r="B321" s="45"/>
      <c r="C321" s="45"/>
      <c r="D321" s="45"/>
      <c r="E321" s="45"/>
      <c r="F321" s="45"/>
      <c r="G321" s="45"/>
      <c r="H321" s="45"/>
      <c r="I321" s="45"/>
      <c r="J321" s="45"/>
      <c r="K321" s="45"/>
      <c r="L321" s="45"/>
      <c r="M321" s="187"/>
      <c r="N321" s="54"/>
      <c r="O321" s="54"/>
      <c r="P321" s="54"/>
      <c r="Q321" s="54"/>
      <c r="R321" s="54"/>
      <c r="S321" s="54"/>
      <c r="T321" s="54"/>
      <c r="U321" s="54"/>
      <c r="V321" s="54"/>
      <c r="W321" s="54"/>
      <c r="X321" s="54"/>
      <c r="Y321" s="54"/>
      <c r="Z321" s="54"/>
      <c r="AA321" s="54"/>
      <c r="AB321" s="45"/>
      <c r="AC321" s="45"/>
      <c r="AD321" s="45"/>
      <c r="AE321" s="45"/>
      <c r="AF321" s="45"/>
      <c r="AG321" s="45"/>
      <c r="AH321" s="45"/>
      <c r="AI321" s="45"/>
      <c r="AJ321" s="45"/>
      <c r="AK321" s="45"/>
      <c r="AL321" s="45"/>
      <c r="AM321" s="45"/>
      <c r="AN321" s="45"/>
      <c r="AO321" s="45"/>
      <c r="AP321" s="45"/>
      <c r="AQ321" s="45"/>
      <c r="AR321" s="45"/>
      <c r="AS321" s="45"/>
      <c r="AT321" s="45"/>
      <c r="AU321" s="187"/>
      <c r="AV321" s="54"/>
      <c r="AW321" s="54"/>
      <c r="AX321" s="54"/>
      <c r="AY321" s="54"/>
      <c r="AZ321" s="54"/>
      <c r="BA321" s="54"/>
      <c r="BB321" s="54"/>
      <c r="BC321" s="54"/>
    </row>
    <row r="322" spans="1:55">
      <c r="A322" s="45"/>
      <c r="B322" s="45"/>
      <c r="C322" s="45"/>
      <c r="D322" s="45"/>
      <c r="E322" s="45"/>
      <c r="F322" s="45"/>
      <c r="G322" s="45"/>
      <c r="H322" s="45"/>
      <c r="I322" s="45"/>
      <c r="J322" s="45"/>
      <c r="K322" s="45"/>
      <c r="L322" s="45"/>
      <c r="M322" s="187"/>
      <c r="N322" s="54"/>
      <c r="O322" s="54"/>
      <c r="P322" s="54"/>
      <c r="Q322" s="54"/>
      <c r="R322" s="54"/>
      <c r="S322" s="54"/>
      <c r="T322" s="54"/>
      <c r="U322" s="54"/>
      <c r="V322" s="54"/>
      <c r="W322" s="54"/>
      <c r="X322" s="54"/>
      <c r="Y322" s="54"/>
      <c r="Z322" s="54"/>
      <c r="AA322" s="54"/>
      <c r="AB322" s="45"/>
      <c r="AC322" s="45"/>
      <c r="AD322" s="45"/>
      <c r="AE322" s="45"/>
      <c r="AF322" s="45"/>
      <c r="AG322" s="45"/>
      <c r="AH322" s="45"/>
      <c r="AI322" s="45"/>
      <c r="AJ322" s="45"/>
      <c r="AK322" s="45"/>
      <c r="AL322" s="45"/>
      <c r="AM322" s="45"/>
      <c r="AN322" s="45"/>
      <c r="AO322" s="45"/>
      <c r="AP322" s="45"/>
      <c r="AQ322" s="45"/>
      <c r="AR322" s="45"/>
      <c r="AS322" s="45"/>
      <c r="AT322" s="45"/>
      <c r="AU322" s="187"/>
      <c r="AV322" s="54"/>
      <c r="AW322" s="54"/>
      <c r="AX322" s="54"/>
      <c r="AY322" s="54"/>
      <c r="AZ322" s="54"/>
      <c r="BA322" s="54"/>
      <c r="BB322" s="54"/>
      <c r="BC322" s="54"/>
    </row>
    <row r="323" spans="1:55">
      <c r="A323" s="45"/>
      <c r="B323" s="45"/>
      <c r="C323" s="54"/>
      <c r="D323" s="54"/>
      <c r="E323" s="54"/>
      <c r="F323" s="54"/>
      <c r="G323" s="54"/>
      <c r="H323" s="54"/>
      <c r="I323" s="54"/>
      <c r="J323" s="54"/>
      <c r="K323" s="54"/>
      <c r="L323" s="54"/>
      <c r="M323" s="54"/>
      <c r="N323" s="54"/>
      <c r="O323" s="54"/>
      <c r="P323" s="54"/>
      <c r="Q323" s="54"/>
      <c r="R323" s="54"/>
      <c r="S323" s="54"/>
      <c r="T323" s="54"/>
      <c r="U323" s="54"/>
      <c r="V323" s="54"/>
      <c r="W323" s="54"/>
      <c r="X323" s="54"/>
      <c r="Y323" s="54"/>
      <c r="Z323" s="54"/>
      <c r="AA323" s="54"/>
      <c r="AB323" s="45"/>
      <c r="AC323" s="45"/>
      <c r="AD323" s="45"/>
      <c r="AE323" s="45"/>
      <c r="AF323" s="45"/>
      <c r="AG323" s="45"/>
      <c r="AH323" s="45"/>
      <c r="AI323" s="45"/>
      <c r="AJ323" s="45"/>
      <c r="AK323" s="54"/>
      <c r="AL323" s="54"/>
      <c r="AM323" s="54"/>
      <c r="AN323" s="54"/>
      <c r="AO323" s="54"/>
      <c r="AP323" s="54"/>
      <c r="AQ323" s="54"/>
      <c r="AR323" s="54"/>
      <c r="AS323" s="54"/>
      <c r="AT323" s="54"/>
      <c r="AU323" s="54"/>
      <c r="AV323" s="54"/>
      <c r="AW323" s="54"/>
      <c r="AX323" s="54"/>
      <c r="AY323" s="54"/>
      <c r="AZ323" s="54"/>
      <c r="BA323" s="54"/>
      <c r="BB323" s="54"/>
      <c r="BC323" s="54"/>
    </row>
    <row r="324" spans="1:55">
      <c r="A324" s="45"/>
      <c r="B324" s="54"/>
      <c r="C324" s="54"/>
      <c r="D324" s="54"/>
      <c r="E324" s="54"/>
      <c r="F324" s="54"/>
      <c r="G324" s="54"/>
      <c r="H324" s="54"/>
      <c r="I324" s="54"/>
      <c r="J324" s="54"/>
      <c r="K324" s="54"/>
      <c r="L324" s="54"/>
      <c r="M324" s="54"/>
      <c r="N324" s="54"/>
      <c r="O324" s="54"/>
      <c r="P324" s="54"/>
      <c r="Q324" s="54"/>
      <c r="R324" s="54"/>
      <c r="S324" s="54"/>
      <c r="T324" s="54"/>
      <c r="U324" s="54"/>
      <c r="V324" s="54"/>
      <c r="W324" s="54"/>
      <c r="X324" s="54"/>
      <c r="Y324" s="54"/>
      <c r="Z324" s="54"/>
      <c r="AA324" s="54"/>
      <c r="AB324" s="45"/>
      <c r="AC324" s="45"/>
      <c r="AD324" s="45"/>
      <c r="AE324" s="45"/>
      <c r="AF324" s="45"/>
      <c r="AG324" s="45"/>
      <c r="AH324" s="45"/>
      <c r="AI324" s="45"/>
      <c r="AJ324" s="54"/>
      <c r="AK324" s="54"/>
      <c r="AL324" s="54"/>
      <c r="AM324" s="54"/>
      <c r="AN324" s="54"/>
      <c r="AO324" s="54"/>
      <c r="AP324" s="54"/>
      <c r="AQ324" s="54"/>
      <c r="AR324" s="54"/>
      <c r="AS324" s="54"/>
      <c r="AT324" s="54"/>
      <c r="AU324" s="54"/>
      <c r="AV324" s="54"/>
      <c r="AW324" s="54"/>
      <c r="AX324" s="54"/>
      <c r="AY324" s="54"/>
      <c r="AZ324" s="54"/>
      <c r="BA324" s="54"/>
      <c r="BB324" s="54"/>
      <c r="BC324" s="54"/>
    </row>
    <row r="325" spans="1:55">
      <c r="A325" s="45"/>
      <c r="B325" s="54"/>
      <c r="C325" s="54"/>
      <c r="D325" s="54"/>
      <c r="E325" s="54"/>
      <c r="F325" s="54"/>
      <c r="G325" s="54"/>
      <c r="H325" s="54"/>
      <c r="I325" s="54"/>
      <c r="J325" s="54"/>
      <c r="K325" s="54"/>
      <c r="L325" s="54"/>
      <c r="M325" s="54"/>
      <c r="N325" s="54"/>
      <c r="O325" s="54"/>
      <c r="P325" s="54"/>
      <c r="Q325" s="54"/>
      <c r="R325" s="54"/>
      <c r="S325" s="54"/>
      <c r="T325" s="54"/>
      <c r="U325" s="54"/>
      <c r="V325" s="54"/>
      <c r="W325" s="54"/>
      <c r="X325" s="54"/>
      <c r="Y325" s="54"/>
      <c r="Z325" s="54"/>
      <c r="AA325" s="54"/>
      <c r="AB325" s="45"/>
      <c r="AC325" s="45"/>
      <c r="AD325" s="45"/>
      <c r="AE325" s="45"/>
      <c r="AF325" s="45"/>
      <c r="AG325" s="45"/>
      <c r="AH325" s="45"/>
      <c r="AI325" s="45"/>
      <c r="AJ325" s="54"/>
      <c r="AK325" s="54"/>
      <c r="AL325" s="54"/>
      <c r="AM325" s="54"/>
      <c r="AN325" s="54"/>
      <c r="AO325" s="54"/>
      <c r="AP325" s="54"/>
      <c r="AQ325" s="54"/>
      <c r="AR325" s="54"/>
      <c r="AS325" s="54"/>
      <c r="AT325" s="54"/>
      <c r="AU325" s="54"/>
      <c r="AV325" s="54"/>
      <c r="AW325" s="54"/>
      <c r="AX325" s="54"/>
      <c r="AY325" s="54"/>
      <c r="AZ325" s="54"/>
      <c r="BA325" s="54"/>
      <c r="BB325" s="54"/>
      <c r="BC325" s="54"/>
    </row>
    <row r="326" spans="1:55">
      <c r="A326" s="45"/>
      <c r="B326" s="54"/>
      <c r="C326" s="54"/>
      <c r="D326" s="54"/>
      <c r="E326" s="54"/>
      <c r="F326" s="54"/>
      <c r="G326" s="54"/>
      <c r="H326" s="54"/>
      <c r="I326" s="54"/>
      <c r="J326" s="54"/>
      <c r="K326" s="54"/>
      <c r="L326" s="54"/>
      <c r="M326" s="54"/>
      <c r="N326" s="54"/>
      <c r="O326" s="54"/>
      <c r="P326" s="54"/>
      <c r="Q326" s="54"/>
      <c r="R326" s="54"/>
      <c r="S326" s="54"/>
      <c r="T326" s="54"/>
      <c r="U326" s="54"/>
      <c r="V326" s="54"/>
      <c r="W326" s="54"/>
      <c r="X326" s="54"/>
      <c r="Y326" s="54"/>
      <c r="Z326" s="54"/>
      <c r="AA326" s="54"/>
      <c r="AB326" s="45"/>
      <c r="AC326" s="45"/>
      <c r="AD326" s="45"/>
      <c r="AE326" s="45"/>
      <c r="AF326" s="45"/>
      <c r="AG326" s="45"/>
      <c r="AH326" s="45"/>
      <c r="AI326" s="45"/>
      <c r="AJ326" s="54"/>
      <c r="AK326" s="54"/>
      <c r="AL326" s="54"/>
      <c r="AM326" s="54"/>
      <c r="AN326" s="54"/>
      <c r="AO326" s="54"/>
      <c r="AP326" s="54"/>
      <c r="AQ326" s="54"/>
      <c r="AR326" s="54"/>
      <c r="AS326" s="54"/>
      <c r="AT326" s="54"/>
      <c r="AU326" s="54"/>
      <c r="AV326" s="54"/>
      <c r="AW326" s="54"/>
      <c r="AX326" s="54"/>
      <c r="AY326" s="54"/>
      <c r="AZ326" s="54"/>
      <c r="BA326" s="54"/>
      <c r="BB326" s="54"/>
      <c r="BC326" s="54"/>
    </row>
    <row r="327" spans="1:55">
      <c r="A327" s="45"/>
      <c r="B327" s="54"/>
      <c r="C327" s="54"/>
      <c r="D327" s="54"/>
      <c r="E327" s="54"/>
      <c r="F327" s="54"/>
      <c r="G327" s="54"/>
      <c r="H327" s="54"/>
      <c r="I327" s="54"/>
      <c r="J327" s="54"/>
      <c r="K327" s="54"/>
      <c r="L327" s="54"/>
      <c r="M327" s="54"/>
      <c r="N327" s="54"/>
      <c r="O327" s="54"/>
      <c r="P327" s="54"/>
      <c r="Q327" s="54"/>
      <c r="R327" s="54"/>
      <c r="S327" s="54"/>
      <c r="T327" s="54"/>
      <c r="U327" s="54"/>
      <c r="V327" s="54"/>
      <c r="W327" s="54"/>
      <c r="X327" s="54"/>
      <c r="Y327" s="54"/>
      <c r="Z327" s="54"/>
      <c r="AA327" s="54"/>
      <c r="AB327" s="45"/>
      <c r="AC327" s="45"/>
      <c r="AD327" s="45"/>
      <c r="AE327" s="45"/>
      <c r="AF327" s="45"/>
      <c r="AG327" s="45"/>
      <c r="AH327" s="45"/>
      <c r="AI327" s="45"/>
      <c r="AJ327" s="54"/>
      <c r="AK327" s="54"/>
      <c r="AL327" s="54"/>
      <c r="AM327" s="54"/>
      <c r="AN327" s="54"/>
      <c r="AO327" s="54"/>
      <c r="AP327" s="54"/>
      <c r="AQ327" s="54"/>
      <c r="AR327" s="54"/>
      <c r="AS327" s="54"/>
      <c r="AT327" s="54"/>
      <c r="AU327" s="54"/>
      <c r="AV327" s="54"/>
      <c r="AW327" s="54"/>
      <c r="AX327" s="54"/>
      <c r="AY327" s="54"/>
      <c r="AZ327" s="54"/>
      <c r="BA327" s="54"/>
      <c r="BB327" s="54"/>
      <c r="BC327" s="54"/>
    </row>
    <row r="328" spans="1:55">
      <c r="A328" s="45"/>
      <c r="B328" s="54"/>
      <c r="C328" s="54"/>
      <c r="D328" s="54"/>
      <c r="E328" s="54"/>
      <c r="F328" s="54"/>
      <c r="G328" s="54"/>
      <c r="H328" s="54"/>
      <c r="I328" s="54"/>
      <c r="J328" s="54"/>
      <c r="K328" s="54"/>
      <c r="L328" s="54"/>
      <c r="M328" s="54"/>
      <c r="N328" s="54"/>
      <c r="O328" s="54"/>
      <c r="P328" s="54"/>
      <c r="Q328" s="54"/>
      <c r="R328" s="54"/>
      <c r="S328" s="54"/>
      <c r="T328" s="54"/>
      <c r="U328" s="54"/>
      <c r="V328" s="54"/>
      <c r="W328" s="54"/>
      <c r="X328" s="54"/>
      <c r="Y328" s="54"/>
      <c r="Z328" s="54"/>
      <c r="AA328" s="54"/>
      <c r="AB328" s="45"/>
      <c r="AC328" s="45"/>
      <c r="AD328" s="45"/>
      <c r="AE328" s="45"/>
      <c r="AF328" s="45"/>
      <c r="AG328" s="45"/>
      <c r="AH328" s="45"/>
      <c r="AI328" s="45"/>
      <c r="AJ328" s="54"/>
      <c r="AK328" s="54"/>
      <c r="AL328" s="54"/>
      <c r="AM328" s="54"/>
      <c r="AN328" s="54"/>
      <c r="AO328" s="54"/>
      <c r="AP328" s="54"/>
      <c r="AQ328" s="54"/>
      <c r="AR328" s="54"/>
      <c r="AS328" s="54"/>
      <c r="AT328" s="54"/>
      <c r="AU328" s="54"/>
      <c r="AV328" s="54"/>
      <c r="AW328" s="54"/>
      <c r="AX328" s="54"/>
      <c r="AY328" s="54"/>
      <c r="AZ328" s="54"/>
      <c r="BA328" s="54"/>
      <c r="BB328" s="54"/>
      <c r="BC328" s="54"/>
    </row>
    <row r="329" spans="1:55">
      <c r="A329" s="45"/>
      <c r="B329" s="2341"/>
      <c r="C329" s="2443"/>
      <c r="D329" s="2443"/>
      <c r="E329" s="2443"/>
      <c r="F329" s="2443"/>
      <c r="G329" s="2443"/>
      <c r="H329" s="2443"/>
      <c r="I329" s="2443"/>
      <c r="J329" s="2443"/>
      <c r="K329" s="2443"/>
      <c r="L329" s="2443"/>
      <c r="M329" s="2443"/>
      <c r="N329" s="2495"/>
      <c r="O329" s="54"/>
      <c r="P329" s="54"/>
      <c r="Q329" s="54"/>
      <c r="R329" s="54"/>
      <c r="S329" s="188"/>
      <c r="T329" s="23"/>
      <c r="U329" s="23"/>
      <c r="V329" s="23"/>
      <c r="W329" s="23"/>
      <c r="X329" s="23"/>
      <c r="Y329" s="23"/>
      <c r="Z329" s="23"/>
      <c r="AA329" s="23"/>
      <c r="AB329" s="23"/>
      <c r="AC329" s="23"/>
      <c r="AD329" s="23"/>
      <c r="AE329" s="238"/>
      <c r="AF329" s="45"/>
      <c r="AG329" s="45"/>
      <c r="AH329" s="45"/>
      <c r="AI329" s="45"/>
      <c r="AJ329" s="188"/>
      <c r="AK329" s="23"/>
      <c r="AL329" s="23"/>
      <c r="AM329" s="23"/>
      <c r="AN329" s="23"/>
      <c r="AO329" s="23"/>
      <c r="AP329" s="23"/>
      <c r="AQ329" s="23"/>
      <c r="AR329" s="23"/>
      <c r="AS329" s="23"/>
      <c r="AT329" s="23"/>
      <c r="AU329" s="23"/>
      <c r="AV329" s="238"/>
      <c r="AW329" s="54"/>
      <c r="AX329" s="54"/>
      <c r="AY329" s="54"/>
      <c r="AZ329" s="54"/>
      <c r="BA329" s="54"/>
      <c r="BB329" s="54"/>
      <c r="BC329" s="54"/>
    </row>
    <row r="330" spans="1:55">
      <c r="A330" s="45"/>
      <c r="B330" s="1665"/>
      <c r="C330" s="2480" t="s">
        <v>963</v>
      </c>
      <c r="D330" s="2480"/>
      <c r="E330" s="2683"/>
      <c r="F330" s="2351"/>
      <c r="G330" s="2351"/>
      <c r="H330" s="2351"/>
      <c r="I330" s="2351"/>
      <c r="J330" s="2351"/>
      <c r="K330" s="2351"/>
      <c r="L330" s="2351"/>
      <c r="M330" s="2351"/>
      <c r="N330" s="2530"/>
      <c r="O330" s="54"/>
      <c r="P330" s="54"/>
      <c r="Q330" s="54"/>
      <c r="R330" s="54"/>
      <c r="S330" s="190"/>
      <c r="T330" s="124" t="s">
        <v>963</v>
      </c>
      <c r="U330" s="124"/>
      <c r="V330" s="125"/>
      <c r="W330" s="49"/>
      <c r="X330" s="49"/>
      <c r="Y330" s="49"/>
      <c r="Z330" s="49"/>
      <c r="AA330" s="49"/>
      <c r="AB330" s="49"/>
      <c r="AC330" s="49"/>
      <c r="AD330" s="49"/>
      <c r="AE330" s="260"/>
      <c r="AF330" s="45"/>
      <c r="AG330" s="45"/>
      <c r="AH330" s="45"/>
      <c r="AI330" s="45"/>
      <c r="AJ330" s="190"/>
      <c r="AK330" s="124" t="s">
        <v>963</v>
      </c>
      <c r="AL330" s="124"/>
      <c r="AM330" s="125"/>
      <c r="AN330" s="49"/>
      <c r="AO330" s="49"/>
      <c r="AP330" s="49"/>
      <c r="AQ330" s="49"/>
      <c r="AR330" s="49"/>
      <c r="AS330" s="49"/>
      <c r="AT330" s="49"/>
      <c r="AU330" s="49"/>
      <c r="AV330" s="260"/>
      <c r="AW330" s="54"/>
      <c r="AX330" s="54"/>
      <c r="AY330" s="54"/>
      <c r="AZ330" s="54"/>
      <c r="BA330" s="54"/>
      <c r="BB330" s="54"/>
      <c r="BC330" s="54"/>
    </row>
    <row r="331" spans="1:55">
      <c r="A331" s="45"/>
      <c r="B331" s="1665"/>
      <c r="C331" s="3751" t="s">
        <v>539</v>
      </c>
      <c r="D331" s="3751"/>
      <c r="E331" s="3751"/>
      <c r="F331" s="3751"/>
      <c r="G331" s="3751"/>
      <c r="H331" s="3751"/>
      <c r="I331" s="3751"/>
      <c r="J331" s="3751"/>
      <c r="K331" s="3751"/>
      <c r="L331" s="3751"/>
      <c r="M331" s="3751"/>
      <c r="N331" s="2452"/>
      <c r="O331" s="54"/>
      <c r="P331" s="54"/>
      <c r="Q331" s="54"/>
      <c r="R331" s="54"/>
      <c r="S331" s="190"/>
      <c r="T331" s="3751" t="s">
        <v>539</v>
      </c>
      <c r="U331" s="3751"/>
      <c r="V331" s="3751"/>
      <c r="W331" s="3751"/>
      <c r="X331" s="3751"/>
      <c r="Y331" s="3751"/>
      <c r="Z331" s="3751"/>
      <c r="AA331" s="3751"/>
      <c r="AB331" s="3751"/>
      <c r="AC331" s="3751"/>
      <c r="AD331" s="3751"/>
      <c r="AE331" s="196"/>
      <c r="AF331" s="45"/>
      <c r="AG331" s="45"/>
      <c r="AH331" s="45"/>
      <c r="AI331" s="45"/>
      <c r="AJ331" s="190"/>
      <c r="AK331" s="3751" t="s">
        <v>539</v>
      </c>
      <c r="AL331" s="3751"/>
      <c r="AM331" s="3751"/>
      <c r="AN331" s="3751"/>
      <c r="AO331" s="3751"/>
      <c r="AP331" s="3751"/>
      <c r="AQ331" s="3751"/>
      <c r="AR331" s="3751"/>
      <c r="AS331" s="3751"/>
      <c r="AT331" s="3751"/>
      <c r="AU331" s="3751"/>
      <c r="AV331" s="196"/>
      <c r="AW331" s="54"/>
      <c r="AX331" s="54"/>
      <c r="AY331" s="54"/>
      <c r="AZ331" s="54"/>
      <c r="BA331" s="54"/>
      <c r="BB331" s="54"/>
      <c r="BC331" s="54"/>
    </row>
    <row r="332" spans="1:55">
      <c r="A332" s="45"/>
      <c r="B332" s="1665"/>
      <c r="C332" s="2445"/>
      <c r="D332" s="2349"/>
      <c r="E332" s="2684"/>
      <c r="F332" s="2351"/>
      <c r="G332" s="2351"/>
      <c r="H332" s="2351"/>
      <c r="I332" s="2351"/>
      <c r="J332" s="2351"/>
      <c r="K332" s="2351"/>
      <c r="L332" s="2351"/>
      <c r="M332" s="2351"/>
      <c r="N332" s="1664"/>
      <c r="O332" s="54"/>
      <c r="P332" s="54"/>
      <c r="Q332" s="54"/>
      <c r="R332" s="54"/>
      <c r="S332" s="190"/>
      <c r="T332" s="1"/>
      <c r="U332" s="130"/>
      <c r="V332" s="48"/>
      <c r="W332" s="49"/>
      <c r="X332" s="49"/>
      <c r="Y332" s="49"/>
      <c r="Z332" s="49"/>
      <c r="AA332" s="49"/>
      <c r="AB332" s="49"/>
      <c r="AC332" s="49"/>
      <c r="AD332" s="49"/>
      <c r="AE332" s="90"/>
      <c r="AF332" s="45"/>
      <c r="AG332" s="45"/>
      <c r="AH332" s="45"/>
      <c r="AI332" s="45"/>
      <c r="AJ332" s="190"/>
      <c r="AK332" s="1"/>
      <c r="AL332" s="130"/>
      <c r="AM332" s="48"/>
      <c r="AN332" s="49"/>
      <c r="AO332" s="49"/>
      <c r="AP332" s="49"/>
      <c r="AQ332" s="49"/>
      <c r="AR332" s="49"/>
      <c r="AS332" s="49"/>
      <c r="AT332" s="49"/>
      <c r="AU332" s="49"/>
      <c r="AV332" s="90"/>
      <c r="AW332" s="54"/>
      <c r="AX332" s="54"/>
      <c r="AY332" s="54"/>
      <c r="AZ332" s="54"/>
      <c r="BA332" s="54"/>
      <c r="BB332" s="54"/>
      <c r="BC332" s="54"/>
    </row>
    <row r="333" spans="1:55" ht="15.75">
      <c r="A333" s="45"/>
      <c r="B333" s="1665"/>
      <c r="C333" s="2349" t="str">
        <f>"Country: " &amp;UPPER(Country)</f>
        <v>Country: LITHUANIA</v>
      </c>
      <c r="D333" s="2349"/>
      <c r="E333" s="2684"/>
      <c r="F333" s="2351"/>
      <c r="G333" s="2351"/>
      <c r="H333" s="2351"/>
      <c r="I333" s="2351"/>
      <c r="J333" s="2351"/>
      <c r="K333" s="2351"/>
      <c r="L333" s="2351"/>
      <c r="M333" s="2351"/>
      <c r="N333" s="2602"/>
      <c r="O333" s="54"/>
      <c r="P333" s="54"/>
      <c r="Q333" s="54"/>
      <c r="R333" s="54"/>
      <c r="S333" s="190"/>
      <c r="T333" s="63" t="str">
        <f>"Country: " &amp;UPPER(Country)</f>
        <v>Country: LITHUANIA</v>
      </c>
      <c r="U333" s="130"/>
      <c r="V333" s="48"/>
      <c r="W333" s="2006" t="s">
        <v>390</v>
      </c>
      <c r="X333" s="49"/>
      <c r="Y333" s="49"/>
      <c r="Z333" s="49"/>
      <c r="AA333" s="49"/>
      <c r="AB333" s="49"/>
      <c r="AC333" s="49"/>
      <c r="AD333" s="49"/>
      <c r="AE333" s="337"/>
      <c r="AF333" s="45"/>
      <c r="AG333" s="45"/>
      <c r="AH333" s="45"/>
      <c r="AI333" s="45"/>
      <c r="AJ333" s="190"/>
      <c r="AK333" s="63" t="str">
        <f>"Country: " &amp;UPPER(Country)</f>
        <v>Country: LITHUANIA</v>
      </c>
      <c r="AL333" s="130"/>
      <c r="AM333" s="48"/>
      <c r="AN333" s="49"/>
      <c r="AO333" s="49"/>
      <c r="AP333" s="49"/>
      <c r="AQ333" s="49"/>
      <c r="AR333" s="49"/>
      <c r="AS333" s="49"/>
      <c r="AT333" s="49"/>
      <c r="AU333" s="49"/>
      <c r="AV333" s="337"/>
      <c r="AW333" s="54"/>
      <c r="AX333" s="54"/>
      <c r="AY333" s="54"/>
      <c r="AZ333" s="54"/>
      <c r="BA333" s="54"/>
      <c r="BB333" s="54"/>
      <c r="BC333" s="54"/>
    </row>
    <row r="334" spans="1:55" ht="15.75">
      <c r="A334" s="45"/>
      <c r="B334" s="1665"/>
      <c r="C334" s="2349" t="str">
        <f>"Currency unit: " &amp; Currency</f>
        <v>Currency unit: bn EUR</v>
      </c>
      <c r="D334" s="2355"/>
      <c r="E334" s="2349"/>
      <c r="F334" s="2351"/>
      <c r="G334" s="2351"/>
      <c r="H334" s="2351"/>
      <c r="I334" s="2351"/>
      <c r="J334" s="2445"/>
      <c r="K334" s="2445"/>
      <c r="L334" s="2445"/>
      <c r="M334" s="2445"/>
      <c r="N334" s="2605"/>
      <c r="O334" s="54"/>
      <c r="P334" s="54"/>
      <c r="Q334" s="54"/>
      <c r="R334" s="54"/>
      <c r="S334" s="190"/>
      <c r="T334" s="63" t="str">
        <f>"Currency unit: " &amp; Currency</f>
        <v>Currency unit: bn EUR</v>
      </c>
      <c r="U334" s="134"/>
      <c r="V334" s="130"/>
      <c r="W334" s="2006" t="str">
        <f>$T$4</f>
        <v>2nd storage</v>
      </c>
      <c r="X334" s="49"/>
      <c r="Y334" s="49"/>
      <c r="Z334" s="49"/>
      <c r="AA334" s="1"/>
      <c r="AB334" s="1"/>
      <c r="AC334" s="1"/>
      <c r="AD334" s="1"/>
      <c r="AE334" s="339"/>
      <c r="AF334" s="45"/>
      <c r="AG334" s="45"/>
      <c r="AH334" s="45"/>
      <c r="AI334" s="45"/>
      <c r="AJ334" s="190"/>
      <c r="AK334" s="63" t="str">
        <f>"Currency unit: " &amp; Currency</f>
        <v>Currency unit: bn EUR</v>
      </c>
      <c r="AL334" s="134"/>
      <c r="AM334" s="130"/>
      <c r="AN334" s="49"/>
      <c r="AO334" s="49"/>
      <c r="AP334" s="49"/>
      <c r="AQ334" s="49"/>
      <c r="AR334" s="1"/>
      <c r="AS334" s="1"/>
      <c r="AT334" s="1"/>
      <c r="AU334" s="1"/>
      <c r="AV334" s="339"/>
      <c r="AW334" s="54"/>
      <c r="AX334" s="54"/>
      <c r="AY334" s="54"/>
      <c r="AZ334" s="54"/>
      <c r="BA334" s="54"/>
      <c r="BB334" s="54"/>
      <c r="BC334" s="54"/>
    </row>
    <row r="335" spans="1:55" ht="13.5" thickBot="1">
      <c r="A335" s="45"/>
      <c r="B335" s="1665"/>
      <c r="C335" s="2355" t="s">
        <v>297</v>
      </c>
      <c r="D335" s="2351"/>
      <c r="E335" s="2351"/>
      <c r="F335" s="2351"/>
      <c r="G335" s="2351"/>
      <c r="H335" s="2351"/>
      <c r="I335" s="2351"/>
      <c r="J335" s="2445"/>
      <c r="K335" s="2445"/>
      <c r="L335" s="3789">
        <f ca="1">NOW()</f>
        <v>43392.47578483796</v>
      </c>
      <c r="M335" s="3789"/>
      <c r="N335" s="2661"/>
      <c r="O335" s="54"/>
      <c r="P335" s="54"/>
      <c r="Q335" s="54"/>
      <c r="R335" s="54"/>
      <c r="S335" s="190"/>
      <c r="T335" s="69" t="s">
        <v>297</v>
      </c>
      <c r="U335" s="49"/>
      <c r="V335" s="49"/>
      <c r="W335" s="49"/>
      <c r="X335" s="49"/>
      <c r="Y335" s="49"/>
      <c r="Z335" s="49"/>
      <c r="AA335" s="1"/>
      <c r="AB335" s="1"/>
      <c r="AC335" s="3751">
        <f ca="1">NOW()</f>
        <v>43392.47578483796</v>
      </c>
      <c r="AD335" s="3751"/>
      <c r="AE335" s="393"/>
      <c r="AF335" s="45"/>
      <c r="AG335" s="45"/>
      <c r="AH335" s="45"/>
      <c r="AI335" s="45"/>
      <c r="AJ335" s="190"/>
      <c r="AK335" s="69" t="s">
        <v>297</v>
      </c>
      <c r="AL335" s="49"/>
      <c r="AM335" s="49"/>
      <c r="AN335" s="49"/>
      <c r="AO335" s="49"/>
      <c r="AP335" s="49"/>
      <c r="AQ335" s="49"/>
      <c r="AR335" s="1"/>
      <c r="AS335" s="1"/>
      <c r="AT335" s="3751">
        <f ca="1">NOW()</f>
        <v>43392.47578483796</v>
      </c>
      <c r="AU335" s="3751"/>
      <c r="AV335" s="393"/>
      <c r="AW335" s="54"/>
      <c r="AX335" s="54"/>
      <c r="AY335" s="54"/>
      <c r="AZ335" s="54"/>
      <c r="BA335" s="54"/>
      <c r="BB335" s="54"/>
      <c r="BC335" s="54"/>
    </row>
    <row r="336" spans="1:55">
      <c r="A336" s="45"/>
      <c r="B336" s="1665"/>
      <c r="C336" s="2357"/>
      <c r="D336" s="2633"/>
      <c r="E336" s="2404" t="s">
        <v>540</v>
      </c>
      <c r="F336" s="3751">
        <f>E16</f>
        <v>2016</v>
      </c>
      <c r="G336" s="3751"/>
      <c r="H336" s="3751">
        <f>F336+1</f>
        <v>2017</v>
      </c>
      <c r="I336" s="3751"/>
      <c r="J336" s="3751">
        <f>H336+1</f>
        <v>2018</v>
      </c>
      <c r="K336" s="3751"/>
      <c r="L336" s="3751">
        <f>J336+1</f>
        <v>2019</v>
      </c>
      <c r="M336" s="3751"/>
      <c r="N336" s="2368"/>
      <c r="O336" s="54"/>
      <c r="P336" s="54"/>
      <c r="Q336" s="54"/>
      <c r="R336" s="54"/>
      <c r="S336" s="190"/>
      <c r="T336" s="72"/>
      <c r="U336" s="419"/>
      <c r="V336" s="420" t="s">
        <v>540</v>
      </c>
      <c r="W336" s="3751">
        <f>Last_forecast_year - 3</f>
        <v>2016</v>
      </c>
      <c r="X336" s="3751"/>
      <c r="Y336" s="3751">
        <f>W336+1</f>
        <v>2017</v>
      </c>
      <c r="Z336" s="3751"/>
      <c r="AA336" s="3751">
        <f>Y336+1</f>
        <v>2018</v>
      </c>
      <c r="AB336" s="3751"/>
      <c r="AC336" s="3751">
        <f>AA336+1</f>
        <v>2019</v>
      </c>
      <c r="AD336" s="3751"/>
      <c r="AE336" s="364"/>
      <c r="AF336" s="45"/>
      <c r="AG336" s="45"/>
      <c r="AH336" s="45"/>
      <c r="AI336" s="45"/>
      <c r="AJ336" s="190"/>
      <c r="AK336" s="72"/>
      <c r="AL336" s="419"/>
      <c r="AM336" s="420" t="s">
        <v>540</v>
      </c>
      <c r="AN336" s="3751">
        <f>Last_forecast_year - 3</f>
        <v>2016</v>
      </c>
      <c r="AO336" s="3751"/>
      <c r="AP336" s="3751">
        <f>AN336+1</f>
        <v>2017</v>
      </c>
      <c r="AQ336" s="3751"/>
      <c r="AR336" s="3751">
        <f>AP336+1</f>
        <v>2018</v>
      </c>
      <c r="AS336" s="3751"/>
      <c r="AT336" s="3751">
        <f>AR336+1</f>
        <v>2019</v>
      </c>
      <c r="AU336" s="3751"/>
      <c r="AV336" s="364"/>
      <c r="AW336" s="54"/>
      <c r="AX336" s="54"/>
      <c r="AY336" s="54"/>
      <c r="AZ336" s="54"/>
      <c r="BA336" s="54"/>
      <c r="BB336" s="54"/>
      <c r="BC336" s="54"/>
    </row>
    <row r="337" spans="1:55">
      <c r="A337" s="45"/>
      <c r="B337" s="1665"/>
      <c r="C337" s="1666"/>
      <c r="D337" s="2685"/>
      <c r="E337" s="2406" t="s">
        <v>541</v>
      </c>
      <c r="F337" s="2641" t="s">
        <v>298</v>
      </c>
      <c r="G337" s="2642" t="s">
        <v>1170</v>
      </c>
      <c r="H337" s="2641" t="s">
        <v>298</v>
      </c>
      <c r="I337" s="2642" t="s">
        <v>1170</v>
      </c>
      <c r="J337" s="2641" t="s">
        <v>298</v>
      </c>
      <c r="K337" s="2642" t="s">
        <v>1170</v>
      </c>
      <c r="L337" s="2641" t="s">
        <v>298</v>
      </c>
      <c r="M337" s="2643" t="s">
        <v>1170</v>
      </c>
      <c r="N337" s="2368"/>
      <c r="O337" s="54"/>
      <c r="P337" s="54"/>
      <c r="Q337" s="54"/>
      <c r="R337" s="54"/>
      <c r="S337" s="190"/>
      <c r="T337" s="101"/>
      <c r="U337" s="422"/>
      <c r="V337" s="423" t="s">
        <v>541</v>
      </c>
      <c r="W337" s="390" t="s">
        <v>298</v>
      </c>
      <c r="X337" s="391" t="s">
        <v>1170</v>
      </c>
      <c r="Y337" s="390" t="s">
        <v>298</v>
      </c>
      <c r="Z337" s="391" t="s">
        <v>1170</v>
      </c>
      <c r="AA337" s="390" t="s">
        <v>298</v>
      </c>
      <c r="AB337" s="391" t="s">
        <v>1170</v>
      </c>
      <c r="AC337" s="390" t="s">
        <v>298</v>
      </c>
      <c r="AD337" s="392" t="s">
        <v>1170</v>
      </c>
      <c r="AE337" s="364"/>
      <c r="AF337" s="45"/>
      <c r="AG337" s="45"/>
      <c r="AH337" s="45"/>
      <c r="AI337" s="45"/>
      <c r="AJ337" s="190"/>
      <c r="AK337" s="101"/>
      <c r="AL337" s="422"/>
      <c r="AM337" s="423" t="s">
        <v>541</v>
      </c>
      <c r="AN337" s="390" t="s">
        <v>298</v>
      </c>
      <c r="AO337" s="391" t="s">
        <v>1170</v>
      </c>
      <c r="AP337" s="390" t="s">
        <v>298</v>
      </c>
      <c r="AQ337" s="391" t="s">
        <v>1170</v>
      </c>
      <c r="AR337" s="390" t="s">
        <v>298</v>
      </c>
      <c r="AS337" s="391" t="s">
        <v>1170</v>
      </c>
      <c r="AT337" s="390" t="s">
        <v>298</v>
      </c>
      <c r="AU337" s="392" t="s">
        <v>1170</v>
      </c>
      <c r="AV337" s="364"/>
      <c r="AW337" s="54"/>
      <c r="AX337" s="54"/>
      <c r="AY337" s="54"/>
      <c r="AZ337" s="54"/>
      <c r="BA337" s="54"/>
      <c r="BB337" s="54"/>
      <c r="BC337" s="54"/>
    </row>
    <row r="338" spans="1:55">
      <c r="A338" s="45"/>
      <c r="B338" s="1665"/>
      <c r="C338" s="2686" t="s">
        <v>542</v>
      </c>
      <c r="D338" s="2342"/>
      <c r="E338" s="2687" t="s">
        <v>1407</v>
      </c>
      <c r="F338" s="2628">
        <f ca="1">Transfer!D187</f>
        <v>16.892139999999998</v>
      </c>
      <c r="G338" s="2688">
        <f ca="1">100*((Transfer!D187/Transfer!C187)-1)</f>
        <v>7.9213430384218908</v>
      </c>
      <c r="H338" s="2688">
        <f ca="1">Transfer!E187</f>
        <v>18.449630000000003</v>
      </c>
      <c r="I338" s="2689">
        <f ca="1">100*((Transfer!E187/Transfer!D187)-1)</f>
        <v>9.2202053736235143</v>
      </c>
      <c r="J338" s="2628">
        <f ca="1">Transfer!F187</f>
        <v>19.549555182988733</v>
      </c>
      <c r="K338" s="2688">
        <f ca="1">100*((Transfer!F187/Transfer!E187)-1)</f>
        <v>5.961773666944703</v>
      </c>
      <c r="L338" s="2688">
        <f ca="1">Transfer!G187</f>
        <v>20.686003495864497</v>
      </c>
      <c r="M338" s="2690">
        <f ca="1">100*((Transfer!G187/Transfer!F187)-1)</f>
        <v>5.8131671142300778</v>
      </c>
      <c r="N338" s="2368"/>
      <c r="O338" s="54"/>
      <c r="P338" s="54"/>
      <c r="Q338" s="54"/>
      <c r="R338" s="54"/>
      <c r="S338" s="190"/>
      <c r="T338" s="424" t="s">
        <v>542</v>
      </c>
      <c r="U338" s="56"/>
      <c r="V338" s="425" t="s">
        <v>1407</v>
      </c>
      <c r="W338" s="426">
        <f t="shared" ref="W338:AD353" ca="1" si="22">ROUND(F338,1)-ROUND(AN338,1)</f>
        <v>10015.9</v>
      </c>
      <c r="X338" s="426">
        <f t="shared" ca="1" si="22"/>
        <v>7.9</v>
      </c>
      <c r="Y338" s="426">
        <f t="shared" ca="1" si="22"/>
        <v>10017.4</v>
      </c>
      <c r="Z338" s="426">
        <f t="shared" ca="1" si="22"/>
        <v>9.1999999999999993</v>
      </c>
      <c r="AA338" s="426">
        <f t="shared" ca="1" si="22"/>
        <v>10018.5</v>
      </c>
      <c r="AB338" s="426">
        <f t="shared" ca="1" si="22"/>
        <v>6</v>
      </c>
      <c r="AC338" s="426">
        <f t="shared" ca="1" si="22"/>
        <v>10019.700000000001</v>
      </c>
      <c r="AD338" s="441">
        <f t="shared" ca="1" si="22"/>
        <v>5.8</v>
      </c>
      <c r="AE338" s="364"/>
      <c r="AF338" s="45"/>
      <c r="AG338" s="45"/>
      <c r="AH338" s="45"/>
      <c r="AI338" s="45"/>
      <c r="AJ338" s="190"/>
      <c r="AK338" s="424" t="s">
        <v>542</v>
      </c>
      <c r="AL338" s="56"/>
      <c r="AM338" s="425" t="s">
        <v>1407</v>
      </c>
      <c r="AN338" s="2057">
        <f>Transfer!AD187</f>
        <v>-9999</v>
      </c>
      <c r="AO338" s="2058">
        <f>100*((Transfer!AD187/Transfer!AC187)-1)</f>
        <v>0</v>
      </c>
      <c r="AP338" s="2058">
        <f>Transfer!AE187</f>
        <v>-9999</v>
      </c>
      <c r="AQ338" s="2063">
        <f>100*((Transfer!AE187/Transfer!AD187)-1)</f>
        <v>0</v>
      </c>
      <c r="AR338" s="2057">
        <f>Transfer!AF187</f>
        <v>-9999</v>
      </c>
      <c r="AS338" s="2058">
        <f>100*((Transfer!AF187/Transfer!AE187)-1)</f>
        <v>0</v>
      </c>
      <c r="AT338" s="2058">
        <f>Transfer!AG187</f>
        <v>-9999</v>
      </c>
      <c r="AU338" s="2064">
        <f>100*((Transfer!AG187/Transfer!AF187)-1)</f>
        <v>0</v>
      </c>
      <c r="AV338" s="364"/>
      <c r="AW338" s="54"/>
      <c r="AX338" s="54"/>
      <c r="AY338" s="54"/>
      <c r="AZ338" s="54"/>
      <c r="BA338" s="1696" t="s">
        <v>1005</v>
      </c>
      <c r="BB338" s="1697"/>
      <c r="BC338" s="54"/>
    </row>
    <row r="339" spans="1:55">
      <c r="A339" s="45"/>
      <c r="B339" s="1665"/>
      <c r="C339" s="1666" t="s">
        <v>1580</v>
      </c>
      <c r="D339" s="2351"/>
      <c r="E339" s="2521" t="s">
        <v>1581</v>
      </c>
      <c r="F339" s="2453">
        <f ca="1">Transfer!D188</f>
        <v>13.25775</v>
      </c>
      <c r="G339" s="2691">
        <f ca="1">100*((Transfer!D188/Transfer!C188)-1)</f>
        <v>7.5805205638630468</v>
      </c>
      <c r="H339" s="2691">
        <f ca="1">Transfer!E188</f>
        <v>14.362240126594433</v>
      </c>
      <c r="I339" s="2692">
        <f ca="1">100*((Transfer!E188/Transfer!D188)-1)</f>
        <v>8.3309017487464452</v>
      </c>
      <c r="J339" s="2453">
        <f ca="1">Transfer!F188</f>
        <v>15.177575242380211</v>
      </c>
      <c r="K339" s="2691">
        <f ca="1">100*((Transfer!F188/Transfer!E188)-1)</f>
        <v>5.6769355518296205</v>
      </c>
      <c r="L339" s="2691">
        <f ca="1">Transfer!G188</f>
        <v>16.047371297764418</v>
      </c>
      <c r="M339" s="2693">
        <f ca="1">100*((Transfer!G188/Transfer!F188)-1)</f>
        <v>5.7307971892340381</v>
      </c>
      <c r="N339" s="2390"/>
      <c r="O339" s="54"/>
      <c r="P339" s="54"/>
      <c r="Q339" s="54"/>
      <c r="R339" s="54"/>
      <c r="S339" s="190"/>
      <c r="T339" s="101" t="s">
        <v>1580</v>
      </c>
      <c r="U339" s="49"/>
      <c r="V339" s="254" t="s">
        <v>1581</v>
      </c>
      <c r="W339" s="245">
        <f t="shared" ca="1" si="22"/>
        <v>10012.299999999999</v>
      </c>
      <c r="X339" s="245">
        <f t="shared" ca="1" si="22"/>
        <v>7.6</v>
      </c>
      <c r="Y339" s="245">
        <f t="shared" ca="1" si="22"/>
        <v>10013.4</v>
      </c>
      <c r="Z339" s="245">
        <f t="shared" ca="1" si="22"/>
        <v>8.3000000000000007</v>
      </c>
      <c r="AA339" s="245">
        <f t="shared" ca="1" si="22"/>
        <v>10014.200000000001</v>
      </c>
      <c r="AB339" s="245">
        <f t="shared" ca="1" si="22"/>
        <v>5.7</v>
      </c>
      <c r="AC339" s="245">
        <f t="shared" ca="1" si="22"/>
        <v>10015</v>
      </c>
      <c r="AD339" s="320">
        <f t="shared" ca="1" si="22"/>
        <v>5.7</v>
      </c>
      <c r="AE339" s="103"/>
      <c r="AF339" s="45"/>
      <c r="AG339" s="45"/>
      <c r="AH339" s="45"/>
      <c r="AI339" s="45"/>
      <c r="AJ339" s="190"/>
      <c r="AK339" s="101" t="s">
        <v>1580</v>
      </c>
      <c r="AL339" s="49"/>
      <c r="AM339" s="254" t="s">
        <v>1581</v>
      </c>
      <c r="AN339" s="91">
        <f>Transfer!AD188</f>
        <v>-9999</v>
      </c>
      <c r="AO339" s="242">
        <f>100*((Transfer!AD188/Transfer!AC188)-1)</f>
        <v>0</v>
      </c>
      <c r="AP339" s="242">
        <f>Transfer!AE188</f>
        <v>-9999</v>
      </c>
      <c r="AQ339" s="92">
        <f>100*((Transfer!AE188/Transfer!AD188)-1)</f>
        <v>0</v>
      </c>
      <c r="AR339" s="91">
        <f>Transfer!AF188</f>
        <v>-9999</v>
      </c>
      <c r="AS339" s="242">
        <f>100*((Transfer!AF188/Transfer!AE188)-1)</f>
        <v>0</v>
      </c>
      <c r="AT339" s="242">
        <f>Transfer!AG188</f>
        <v>-9999</v>
      </c>
      <c r="AU339" s="243">
        <f>100*((Transfer!AG188/Transfer!AF188)-1)</f>
        <v>0</v>
      </c>
      <c r="AV339" s="103"/>
      <c r="AW339" s="54"/>
      <c r="AX339" s="54"/>
      <c r="AY339" s="54"/>
      <c r="AZ339" s="54"/>
      <c r="BA339" s="1698" t="s">
        <v>1006</v>
      </c>
      <c r="BB339" s="1699"/>
      <c r="BC339" s="54"/>
    </row>
    <row r="340" spans="1:55">
      <c r="A340" s="45"/>
      <c r="B340" s="1665"/>
      <c r="C340" s="1666" t="s">
        <v>261</v>
      </c>
      <c r="D340" s="2351"/>
      <c r="E340" s="2422" t="s">
        <v>262</v>
      </c>
      <c r="F340" s="2453">
        <f ca="1">SUM(Transfer!D189,Transfer!D190)</f>
        <v>8.6885700000000003</v>
      </c>
      <c r="G340" s="2691">
        <f ca="1">100*((SUM(Transfer!D189,Transfer!D190)/SUM(Transfer!C189,Transfer!C190))-1)</f>
        <v>3.0952654991688311</v>
      </c>
      <c r="H340" s="2691">
        <f ca="1">SUM(Transfer!E189,Transfer!E190)</f>
        <v>8.9648717500000004</v>
      </c>
      <c r="I340" s="2692">
        <f ca="1">100*((SUM(Transfer!E189,Transfer!E190)/SUM(Transfer!D189,Transfer!D190))-1)</f>
        <v>3.1800601249687865</v>
      </c>
      <c r="J340" s="2453">
        <f ca="1">SUM(Transfer!F189,Transfer!F190)</f>
        <v>9.1689010662499992</v>
      </c>
      <c r="K340" s="2691">
        <f ca="1">100*((SUM(Transfer!F189,Transfer!F190)/SUM(Transfer!E189,Transfer!E190))-1)</f>
        <v>2.2758754607950626</v>
      </c>
      <c r="L340" s="2691">
        <f ca="1">SUM(Transfer!G189,Transfer!G190)</f>
        <v>9.5260688408937479</v>
      </c>
      <c r="M340" s="2693">
        <f ca="1">100*((SUM(Transfer!G189,Transfer!G190)/SUM(Transfer!F189,Transfer!F190))-1)</f>
        <v>3.8954262028025877</v>
      </c>
      <c r="N340" s="2368"/>
      <c r="O340" s="54"/>
      <c r="P340" s="54"/>
      <c r="Q340" s="54"/>
      <c r="R340" s="54"/>
      <c r="S340" s="190"/>
      <c r="T340" s="101" t="s">
        <v>261</v>
      </c>
      <c r="U340" s="49"/>
      <c r="V340" s="181" t="s">
        <v>262</v>
      </c>
      <c r="W340" s="245">
        <f t="shared" ca="1" si="22"/>
        <v>20006.7</v>
      </c>
      <c r="X340" s="245">
        <f t="shared" ca="1" si="22"/>
        <v>3.1</v>
      </c>
      <c r="Y340" s="245">
        <f t="shared" ca="1" si="22"/>
        <v>20007</v>
      </c>
      <c r="Z340" s="245">
        <f t="shared" ca="1" si="22"/>
        <v>3.2</v>
      </c>
      <c r="AA340" s="245">
        <f t="shared" ca="1" si="22"/>
        <v>20007.2</v>
      </c>
      <c r="AB340" s="245">
        <f t="shared" ca="1" si="22"/>
        <v>2.2999999999999998</v>
      </c>
      <c r="AC340" s="245">
        <f t="shared" ca="1" si="22"/>
        <v>20007.5</v>
      </c>
      <c r="AD340" s="320">
        <f t="shared" ca="1" si="22"/>
        <v>3.9</v>
      </c>
      <c r="AE340" s="364"/>
      <c r="AF340" s="45"/>
      <c r="AG340" s="45"/>
      <c r="AH340" s="45"/>
      <c r="AI340" s="45"/>
      <c r="AJ340" s="190"/>
      <c r="AK340" s="101" t="s">
        <v>261</v>
      </c>
      <c r="AL340" s="49"/>
      <c r="AM340" s="181" t="s">
        <v>262</v>
      </c>
      <c r="AN340" s="91">
        <f>SUM(Transfer!AD189,Transfer!AD190)</f>
        <v>-19998</v>
      </c>
      <c r="AO340" s="242">
        <f>100*((SUM(Transfer!AD189,Transfer!AD190)/SUM(Transfer!AC189,Transfer!AC190))-1)</f>
        <v>0</v>
      </c>
      <c r="AP340" s="242">
        <f>SUM(Transfer!AE189,Transfer!AE190)</f>
        <v>-19998</v>
      </c>
      <c r="AQ340" s="92">
        <f>100*((SUM(Transfer!AE189,Transfer!AE190)/SUM(Transfer!AD189,Transfer!AD190))-1)</f>
        <v>0</v>
      </c>
      <c r="AR340" s="91">
        <f>SUM(Transfer!AF189,Transfer!AF190)</f>
        <v>-19998</v>
      </c>
      <c r="AS340" s="242">
        <f>100*((SUM(Transfer!AF189,Transfer!AF190)/SUM(Transfer!AE189,Transfer!AE190))-1)</f>
        <v>0</v>
      </c>
      <c r="AT340" s="242">
        <f>SUM(Transfer!AG189,Transfer!AG190)</f>
        <v>-19998</v>
      </c>
      <c r="AU340" s="243">
        <f>100*((SUM(Transfer!AG189,Transfer!AG190)/SUM(Transfer!AF189,Transfer!AF190))-1)</f>
        <v>0</v>
      </c>
      <c r="AV340" s="364"/>
      <c r="AW340" s="54"/>
      <c r="AX340" s="54"/>
      <c r="AY340" s="54"/>
      <c r="AZ340" s="54"/>
      <c r="BA340" s="1698" t="s">
        <v>1612</v>
      </c>
      <c r="BB340" s="1699"/>
      <c r="BC340" s="54"/>
    </row>
    <row r="341" spans="1:55">
      <c r="A341" s="45"/>
      <c r="B341" s="1665"/>
      <c r="C341" s="1666" t="s">
        <v>1021</v>
      </c>
      <c r="D341" s="2351"/>
      <c r="E341" s="2521" t="s">
        <v>735</v>
      </c>
      <c r="F341" s="2453">
        <f ca="1">Transfer!D191</f>
        <v>5.9196899999999992</v>
      </c>
      <c r="G341" s="2691">
        <f ca="1">100*((Transfer!D191/Transfer!C191)-1)</f>
        <v>5.0605638427203559</v>
      </c>
      <c r="H341" s="2691">
        <f ca="1">Transfer!E191</f>
        <v>6.5123086200000007</v>
      </c>
      <c r="I341" s="2692">
        <f ca="1">100*((Transfer!E191/Transfer!D191)-1)</f>
        <v>10.010973885456863</v>
      </c>
      <c r="J341" s="2453">
        <f ca="1">Transfer!F191</f>
        <v>7.1705756549000021</v>
      </c>
      <c r="K341" s="2691">
        <f ca="1">100*((Transfer!F191/Transfer!E191)-1)</f>
        <v>10.10804421765874</v>
      </c>
      <c r="L341" s="2691">
        <f ca="1">Transfer!G191</f>
        <v>7.5811514782427016</v>
      </c>
      <c r="M341" s="2693">
        <f ca="1">100*((Transfer!G191/Transfer!F191)-1)</f>
        <v>5.7258418724322802</v>
      </c>
      <c r="N341" s="2372"/>
      <c r="O341" s="54"/>
      <c r="P341" s="54"/>
      <c r="Q341" s="54"/>
      <c r="R341" s="54"/>
      <c r="S341" s="190"/>
      <c r="T341" s="101" t="s">
        <v>1021</v>
      </c>
      <c r="U341" s="49"/>
      <c r="V341" s="254" t="s">
        <v>735</v>
      </c>
      <c r="W341" s="245">
        <f t="shared" ca="1" si="22"/>
        <v>10004.9</v>
      </c>
      <c r="X341" s="245">
        <f t="shared" ca="1" si="22"/>
        <v>5.0999999999999996</v>
      </c>
      <c r="Y341" s="245">
        <f t="shared" ca="1" si="22"/>
        <v>10005.5</v>
      </c>
      <c r="Z341" s="245">
        <f t="shared" ca="1" si="22"/>
        <v>10</v>
      </c>
      <c r="AA341" s="245">
        <f t="shared" ca="1" si="22"/>
        <v>10006.200000000001</v>
      </c>
      <c r="AB341" s="245">
        <f t="shared" ca="1" si="22"/>
        <v>10.1</v>
      </c>
      <c r="AC341" s="245">
        <f t="shared" ca="1" si="22"/>
        <v>10006.6</v>
      </c>
      <c r="AD341" s="320">
        <f t="shared" ca="1" si="22"/>
        <v>5.7</v>
      </c>
      <c r="AE341" s="366"/>
      <c r="AF341" s="45"/>
      <c r="AG341" s="45"/>
      <c r="AH341" s="45"/>
      <c r="AI341" s="45"/>
      <c r="AJ341" s="190"/>
      <c r="AK341" s="101" t="s">
        <v>1021</v>
      </c>
      <c r="AL341" s="49"/>
      <c r="AM341" s="254" t="s">
        <v>735</v>
      </c>
      <c r="AN341" s="91">
        <f>Transfer!AD191</f>
        <v>-9999</v>
      </c>
      <c r="AO341" s="242">
        <f>100*((Transfer!AD191/Transfer!AC191)-1)</f>
        <v>0</v>
      </c>
      <c r="AP341" s="242">
        <f>Transfer!AE191</f>
        <v>-9999</v>
      </c>
      <c r="AQ341" s="92">
        <f>100*((Transfer!AE191/Transfer!AD191)-1)</f>
        <v>0</v>
      </c>
      <c r="AR341" s="91">
        <f>Transfer!AF191</f>
        <v>-9999</v>
      </c>
      <c r="AS341" s="242">
        <f>100*((Transfer!AF191/Transfer!AE191)-1)</f>
        <v>0</v>
      </c>
      <c r="AT341" s="242">
        <f>Transfer!AG191</f>
        <v>-9999</v>
      </c>
      <c r="AU341" s="243">
        <f>100*((Transfer!AG191/Transfer!AF191)-1)</f>
        <v>0</v>
      </c>
      <c r="AV341" s="366"/>
      <c r="AW341" s="54"/>
      <c r="AX341" s="54"/>
      <c r="AY341" s="54"/>
      <c r="AZ341" s="54"/>
      <c r="BA341" s="1698" t="s">
        <v>1265</v>
      </c>
      <c r="BB341" s="1699"/>
      <c r="BC341" s="54"/>
    </row>
    <row r="342" spans="1:55">
      <c r="A342" s="45"/>
      <c r="B342" s="1665"/>
      <c r="C342" s="1666" t="s">
        <v>2098</v>
      </c>
      <c r="D342" s="2351"/>
      <c r="E342" s="2521" t="s">
        <v>2099</v>
      </c>
      <c r="F342" s="2453">
        <f ca="1">Transfer!D192</f>
        <v>1.5573599999999999</v>
      </c>
      <c r="G342" s="2691">
        <f ca="1">100*((Transfer!D192/Transfer!C192)-1)</f>
        <v>6.8903271858720361</v>
      </c>
      <c r="H342" s="2691">
        <f ca="1">Transfer!E192</f>
        <v>1.6732275839999999</v>
      </c>
      <c r="I342" s="2692">
        <f ca="1">100*((Transfer!E192/Transfer!D192)-1)</f>
        <v>7.4400000000000022</v>
      </c>
      <c r="J342" s="2453">
        <f ca="1">Transfer!F192</f>
        <v>1.733463777024</v>
      </c>
      <c r="K342" s="2691">
        <f ca="1">100*((Transfer!F192/Transfer!E192)-1)</f>
        <v>3.6000000000000032</v>
      </c>
      <c r="L342" s="2691">
        <f ca="1">Transfer!G192</f>
        <v>1.8262040890947842</v>
      </c>
      <c r="M342" s="2693">
        <f ca="1">100*((Transfer!G192/Transfer!F192)-1)</f>
        <v>5.3500000000000103</v>
      </c>
      <c r="N342" s="2390"/>
      <c r="O342" s="54"/>
      <c r="P342" s="54"/>
      <c r="Q342" s="54"/>
      <c r="R342" s="54"/>
      <c r="S342" s="190"/>
      <c r="T342" s="101" t="s">
        <v>2098</v>
      </c>
      <c r="U342" s="49"/>
      <c r="V342" s="254" t="s">
        <v>2099</v>
      </c>
      <c r="W342" s="245">
        <f t="shared" ca="1" si="22"/>
        <v>10000.6</v>
      </c>
      <c r="X342" s="245">
        <f t="shared" ca="1" si="22"/>
        <v>6.9</v>
      </c>
      <c r="Y342" s="245">
        <f t="shared" ca="1" si="22"/>
        <v>10000.700000000001</v>
      </c>
      <c r="Z342" s="245">
        <f t="shared" ca="1" si="22"/>
        <v>7.4</v>
      </c>
      <c r="AA342" s="245">
        <f t="shared" ca="1" si="22"/>
        <v>10000.700000000001</v>
      </c>
      <c r="AB342" s="245">
        <f t="shared" ca="1" si="22"/>
        <v>3.6</v>
      </c>
      <c r="AC342" s="245">
        <f t="shared" ca="1" si="22"/>
        <v>10000.799999999999</v>
      </c>
      <c r="AD342" s="320">
        <f t="shared" ca="1" si="22"/>
        <v>5.4</v>
      </c>
      <c r="AE342" s="361"/>
      <c r="AF342" s="45"/>
      <c r="AG342" s="45"/>
      <c r="AH342" s="45"/>
      <c r="AI342" s="45"/>
      <c r="AJ342" s="190"/>
      <c r="AK342" s="101" t="s">
        <v>2098</v>
      </c>
      <c r="AL342" s="49"/>
      <c r="AM342" s="254" t="s">
        <v>2099</v>
      </c>
      <c r="AN342" s="91">
        <f>Transfer!AD192</f>
        <v>-9999</v>
      </c>
      <c r="AO342" s="242">
        <f>100*((Transfer!AD192/Transfer!AC192)-1)</f>
        <v>0</v>
      </c>
      <c r="AP342" s="242">
        <f>Transfer!AE192</f>
        <v>-9999</v>
      </c>
      <c r="AQ342" s="92">
        <f>100*((Transfer!AE192/Transfer!AD192)-1)</f>
        <v>0</v>
      </c>
      <c r="AR342" s="91">
        <f>Transfer!AF192</f>
        <v>-9999</v>
      </c>
      <c r="AS342" s="242">
        <f>100*((Transfer!AF192/Transfer!AE192)-1)</f>
        <v>0</v>
      </c>
      <c r="AT342" s="242">
        <f>Transfer!AG192</f>
        <v>-9999</v>
      </c>
      <c r="AU342" s="243">
        <f>100*((Transfer!AG192/Transfer!AF192)-1)</f>
        <v>0</v>
      </c>
      <c r="AV342" s="361"/>
      <c r="AW342" s="54"/>
      <c r="AX342" s="54"/>
      <c r="AY342" s="54"/>
      <c r="AZ342" s="54"/>
      <c r="BA342" s="1698" t="s">
        <v>934</v>
      </c>
      <c r="BB342" s="1699"/>
      <c r="BC342" s="54"/>
    </row>
    <row r="343" spans="1:55">
      <c r="A343" s="45"/>
      <c r="B343" s="1665"/>
      <c r="C343" s="1666" t="s">
        <v>2101</v>
      </c>
      <c r="D343" s="2351"/>
      <c r="E343" s="2521" t="s">
        <v>657</v>
      </c>
      <c r="F343" s="2453">
        <f ca="1">Transfer!D193</f>
        <v>5.3306200000000006</v>
      </c>
      <c r="G343" s="2691">
        <f ca="1">100*((Transfer!D193/Transfer!C193)-1)</f>
        <v>8.5069310155311939</v>
      </c>
      <c r="H343" s="2691">
        <f ca="1">Transfer!E193</f>
        <v>5.9556341507806332</v>
      </c>
      <c r="I343" s="2692">
        <f ca="1">100*((Transfer!E193/Transfer!D193)-1)</f>
        <v>11.724980410920915</v>
      </c>
      <c r="J343" s="2453">
        <f ca="1">Transfer!F193</f>
        <v>6.3460517382429362</v>
      </c>
      <c r="K343" s="2691">
        <f ca="1">100*((Transfer!F193/Transfer!E193)-1)</f>
        <v>6.5554326806848806</v>
      </c>
      <c r="L343" s="2691">
        <f ca="1">Transfer!G193</f>
        <v>6.7061137957011194</v>
      </c>
      <c r="M343" s="2693">
        <f ca="1">100*((Transfer!G193/Transfer!F193)-1)</f>
        <v>5.6737964376867067</v>
      </c>
      <c r="N343" s="2390"/>
      <c r="O343" s="54"/>
      <c r="P343" s="54"/>
      <c r="Q343" s="54"/>
      <c r="R343" s="54"/>
      <c r="S343" s="190"/>
      <c r="T343" s="101" t="s">
        <v>2101</v>
      </c>
      <c r="U343" s="49"/>
      <c r="V343" s="254" t="s">
        <v>657</v>
      </c>
      <c r="W343" s="245">
        <f t="shared" ca="1" si="22"/>
        <v>10004.299999999999</v>
      </c>
      <c r="X343" s="245">
        <f t="shared" ca="1" si="22"/>
        <v>8.5</v>
      </c>
      <c r="Y343" s="245">
        <f t="shared" ca="1" si="22"/>
        <v>10005</v>
      </c>
      <c r="Z343" s="245">
        <f t="shared" ca="1" si="22"/>
        <v>11.7</v>
      </c>
      <c r="AA343" s="245">
        <f t="shared" ca="1" si="22"/>
        <v>10005.299999999999</v>
      </c>
      <c r="AB343" s="245">
        <f t="shared" ca="1" si="22"/>
        <v>6.6</v>
      </c>
      <c r="AC343" s="245">
        <f t="shared" ca="1" si="22"/>
        <v>10005.700000000001</v>
      </c>
      <c r="AD343" s="320">
        <f t="shared" ca="1" si="22"/>
        <v>5.7</v>
      </c>
      <c r="AE343" s="361"/>
      <c r="AF343" s="45"/>
      <c r="AG343" s="45"/>
      <c r="AH343" s="45"/>
      <c r="AI343" s="45"/>
      <c r="AJ343" s="190"/>
      <c r="AK343" s="101" t="s">
        <v>2101</v>
      </c>
      <c r="AL343" s="49"/>
      <c r="AM343" s="254" t="s">
        <v>657</v>
      </c>
      <c r="AN343" s="91">
        <f>Transfer!AD193</f>
        <v>-9999</v>
      </c>
      <c r="AO343" s="242">
        <f>100*((Transfer!AD193/Transfer!AC193)-1)</f>
        <v>0</v>
      </c>
      <c r="AP343" s="242">
        <f>Transfer!AE193</f>
        <v>-9999</v>
      </c>
      <c r="AQ343" s="92">
        <f>100*((Transfer!AE193/Transfer!AD193)-1)</f>
        <v>0</v>
      </c>
      <c r="AR343" s="91">
        <f>Transfer!AF193</f>
        <v>-9999</v>
      </c>
      <c r="AS343" s="242">
        <f>100*((Transfer!AF193/Transfer!AE193)-1)</f>
        <v>0</v>
      </c>
      <c r="AT343" s="242">
        <f>Transfer!AG193</f>
        <v>-9999</v>
      </c>
      <c r="AU343" s="243">
        <f>100*((Transfer!AG193/Transfer!AF193)-1)</f>
        <v>0</v>
      </c>
      <c r="AV343" s="361"/>
      <c r="AW343" s="54"/>
      <c r="AX343" s="54"/>
      <c r="AY343" s="54"/>
      <c r="AZ343" s="54"/>
      <c r="BA343" s="1698" t="s">
        <v>1266</v>
      </c>
      <c r="BB343" s="1699"/>
      <c r="BC343" s="54"/>
    </row>
    <row r="344" spans="1:55">
      <c r="A344" s="45"/>
      <c r="B344" s="1665"/>
      <c r="C344" s="2379" t="s">
        <v>658</v>
      </c>
      <c r="D344" s="2380"/>
      <c r="E344" s="2694" t="s">
        <v>659</v>
      </c>
      <c r="F344" s="2695">
        <f ca="1">SUM(Transfer!D187,Transfer!D189,Transfer!D190,Transfer!D191)-(SUM(Transfer!D192,Transfer!D193))</f>
        <v>24.61242</v>
      </c>
      <c r="G344" s="2696">
        <f ca="1">100*(((SUM(Transfer!D187,Transfer!D189,Transfer!D190,Transfer!D191)-(SUM(Transfer!D192,Transfer!D193)))/(SUM(Transfer!C187,Transfer!C189,Transfer!C190,Transfer!C191)-(SUM(Transfer!C192,Transfer!C193))))-1)</f>
        <v>5.4297177194465807</v>
      </c>
      <c r="H344" s="2696">
        <f ca="1">SUM(Transfer!E187,Transfer!E189,Transfer!E190,Transfer!E191)-(SUM(Transfer!E192,Transfer!E193))</f>
        <v>26.29794863521937</v>
      </c>
      <c r="I344" s="2697">
        <f ca="1">100*(((SUM(Transfer!E187,Transfer!E189,Transfer!E190,Transfer!E191)-(SUM(Transfer!E192,Transfer!E193)))/(SUM(Transfer!D187,Transfer!D189,Transfer!D190,Transfer!D191)-(SUM(Transfer!D192,Transfer!D193))))-1)</f>
        <v>6.8482848708878219</v>
      </c>
      <c r="J344" s="2695">
        <f ca="1">SUM(Transfer!F187,Transfer!F189,Transfer!F190,Transfer!F191)-(SUM(Transfer!F192,Transfer!F193))</f>
        <v>27.809516388871799</v>
      </c>
      <c r="K344" s="2696">
        <f ca="1">100*(((SUM(Transfer!F187,Transfer!F189,Transfer!F190,Transfer!F191)-(SUM(Transfer!F192,Transfer!F193)))/(SUM(Transfer!E187,Transfer!E189,Transfer!E190,Transfer!E191)-(SUM(Transfer!E192,Transfer!E193))))-1)</f>
        <v>5.7478542323566195</v>
      </c>
      <c r="L344" s="2696">
        <f ca="1">SUM(Transfer!G187,Transfer!G189,Transfer!G190,Transfer!G191)-(SUM(Transfer!G192,Transfer!G193))</f>
        <v>29.260905930205048</v>
      </c>
      <c r="M344" s="2698">
        <f ca="1">100*(((SUM(Transfer!G187,Transfer!G189,Transfer!G190,Transfer!G191)-(SUM(Transfer!G192,Transfer!G193)))/(SUM(Transfer!F187,Transfer!F189,Transfer!F190,Transfer!F191)-(SUM(Transfer!F192,Transfer!F193))))-1)</f>
        <v>5.2190391268869263</v>
      </c>
      <c r="N344" s="2390"/>
      <c r="O344" s="54"/>
      <c r="P344" s="54"/>
      <c r="Q344" s="54"/>
      <c r="R344" s="54"/>
      <c r="S344" s="190"/>
      <c r="T344" s="427" t="s">
        <v>658</v>
      </c>
      <c r="U344" s="95"/>
      <c r="V344" s="384" t="s">
        <v>659</v>
      </c>
      <c r="W344" s="428">
        <f t="shared" ca="1" si="22"/>
        <v>20022.599999999999</v>
      </c>
      <c r="X344" s="428">
        <f t="shared" ca="1" si="22"/>
        <v>5.4</v>
      </c>
      <c r="Y344" s="428">
        <f t="shared" ca="1" si="22"/>
        <v>20024.3</v>
      </c>
      <c r="Z344" s="428">
        <f t="shared" ca="1" si="22"/>
        <v>6.8</v>
      </c>
      <c r="AA344" s="428">
        <f t="shared" ca="1" si="22"/>
        <v>20025.8</v>
      </c>
      <c r="AB344" s="428">
        <f t="shared" ca="1" si="22"/>
        <v>5.7</v>
      </c>
      <c r="AC344" s="428">
        <f t="shared" ca="1" si="22"/>
        <v>20027.3</v>
      </c>
      <c r="AD344" s="467">
        <f t="shared" ca="1" si="22"/>
        <v>5.2</v>
      </c>
      <c r="AE344" s="103"/>
      <c r="AF344" s="45"/>
      <c r="AG344" s="45"/>
      <c r="AH344" s="45"/>
      <c r="AI344" s="45"/>
      <c r="AJ344" s="190"/>
      <c r="AK344" s="427" t="s">
        <v>658</v>
      </c>
      <c r="AL344" s="95"/>
      <c r="AM344" s="384" t="s">
        <v>659</v>
      </c>
      <c r="AN344" s="96">
        <f>SUM(Transfer!AD187,Transfer!AD189,Transfer!AD190,Transfer!AD191)-(SUM(Transfer!AD192,Transfer!AD193))</f>
        <v>-19998</v>
      </c>
      <c r="AO344" s="2012">
        <f>100*(((SUM(Transfer!AD187,Transfer!AD189,Transfer!AD190,Transfer!AD191)-(SUM(Transfer!AD192,Transfer!AD193)))/(SUM(Transfer!AC187,Transfer!AC189,Transfer!AC190,Transfer!AC191)-(SUM(Transfer!AC192,Transfer!AC193))))-1)</f>
        <v>0</v>
      </c>
      <c r="AP344" s="2012">
        <f>SUM(Transfer!AE187,Transfer!AE189,Transfer!AE190,Transfer!AE191)-(SUM(Transfer!AE192,Transfer!AE193))</f>
        <v>-19998</v>
      </c>
      <c r="AQ344" s="97">
        <f>100*(((SUM(Transfer!AE187,Transfer!AE189,Transfer!AE190,Transfer!AE191)-(SUM(Transfer!AE192,Transfer!AE193)))/(SUM(Transfer!AD187,Transfer!AD189,Transfer!AD190,Transfer!AD191)-(SUM(Transfer!AD192,Transfer!AD193))))-1)</f>
        <v>0</v>
      </c>
      <c r="AR344" s="96">
        <f>SUM(Transfer!AF187,Transfer!AF189,Transfer!AF190,Transfer!AF191)-(SUM(Transfer!AF192,Transfer!AF193))</f>
        <v>-19998</v>
      </c>
      <c r="AS344" s="2012">
        <f>100*(((SUM(Transfer!AF187,Transfer!AF189,Transfer!AF190,Transfer!AF191)-(SUM(Transfer!AF192,Transfer!AF193)))/(SUM(Transfer!AE187,Transfer!AE189,Transfer!AE190,Transfer!AE191)-(SUM(Transfer!AE192,Transfer!AE193))))-1)</f>
        <v>0</v>
      </c>
      <c r="AT344" s="2012">
        <f>SUM(Transfer!AG187,Transfer!AG189,Transfer!AG190,Transfer!AG191)-(SUM(Transfer!AG192,Transfer!AG193))</f>
        <v>-19998</v>
      </c>
      <c r="AU344" s="2056">
        <f>100*(((SUM(Transfer!AG187,Transfer!AG189,Transfer!AG190,Transfer!AG191)-(SUM(Transfer!AG192,Transfer!AG193)))/(SUM(Transfer!AF187,Transfer!AF189,Transfer!AF190,Transfer!AF191)-(SUM(Transfer!AF192,Transfer!AF193))))-1)</f>
        <v>0</v>
      </c>
      <c r="AV344" s="103"/>
      <c r="AW344" s="54"/>
      <c r="AX344" s="54"/>
      <c r="AY344" s="54"/>
      <c r="AZ344" s="54"/>
      <c r="BA344" s="1698" t="s">
        <v>927</v>
      </c>
      <c r="BB344" s="1699"/>
      <c r="BC344" s="54"/>
    </row>
    <row r="345" spans="1:55">
      <c r="A345" s="45"/>
      <c r="B345" s="1665"/>
      <c r="C345" s="1666" t="s">
        <v>1596</v>
      </c>
      <c r="D345" s="2351"/>
      <c r="E345" s="2521" t="s">
        <v>1597</v>
      </c>
      <c r="F345" s="2453">
        <f ca="1">Transfer!D194</f>
        <v>0.13106000000000001</v>
      </c>
      <c r="G345" s="2691">
        <f ca="1">100*((Transfer!D194/Transfer!C194)-1)</f>
        <v>1.8178993163455726</v>
      </c>
      <c r="H345" s="2691">
        <f ca="1">Transfer!E194</f>
        <v>0.13106000000000001</v>
      </c>
      <c r="I345" s="2692">
        <f ca="1">100*((Transfer!E194/Transfer!D194)-1)</f>
        <v>0</v>
      </c>
      <c r="J345" s="2453">
        <f ca="1">Transfer!F194</f>
        <v>0.13106000000000001</v>
      </c>
      <c r="K345" s="2691">
        <f ca="1">100*((Transfer!F194/Transfer!E194)-1)</f>
        <v>0</v>
      </c>
      <c r="L345" s="2691">
        <f ca="1">Transfer!G194</f>
        <v>0.13106000000000001</v>
      </c>
      <c r="M345" s="2693">
        <f ca="1">100*((Transfer!G194/Transfer!F194)-1)</f>
        <v>0</v>
      </c>
      <c r="N345" s="2368"/>
      <c r="O345" s="54"/>
      <c r="P345" s="54"/>
      <c r="Q345" s="54"/>
      <c r="R345" s="54"/>
      <c r="S345" s="190"/>
      <c r="T345" s="101" t="s">
        <v>1596</v>
      </c>
      <c r="U345" s="49"/>
      <c r="V345" s="254" t="s">
        <v>1597</v>
      </c>
      <c r="W345" s="245">
        <f t="shared" ca="1" si="22"/>
        <v>9999.1</v>
      </c>
      <c r="X345" s="245">
        <f t="shared" ca="1" si="22"/>
        <v>1.8</v>
      </c>
      <c r="Y345" s="245">
        <f t="shared" ca="1" si="22"/>
        <v>9999.1</v>
      </c>
      <c r="Z345" s="245">
        <f t="shared" ca="1" si="22"/>
        <v>0</v>
      </c>
      <c r="AA345" s="245">
        <f t="shared" ca="1" si="22"/>
        <v>9999.1</v>
      </c>
      <c r="AB345" s="245">
        <f t="shared" ca="1" si="22"/>
        <v>0</v>
      </c>
      <c r="AC345" s="245">
        <f t="shared" ca="1" si="22"/>
        <v>9999.1</v>
      </c>
      <c r="AD345" s="320">
        <f t="shared" ca="1" si="22"/>
        <v>0</v>
      </c>
      <c r="AE345" s="364"/>
      <c r="AF345" s="45"/>
      <c r="AG345" s="45"/>
      <c r="AH345" s="45"/>
      <c r="AI345" s="45"/>
      <c r="AJ345" s="190"/>
      <c r="AK345" s="101" t="s">
        <v>1596</v>
      </c>
      <c r="AL345" s="49"/>
      <c r="AM345" s="254" t="s">
        <v>1597</v>
      </c>
      <c r="AN345" s="91">
        <f>Transfer!AD194</f>
        <v>-9999</v>
      </c>
      <c r="AO345" s="242">
        <f>100*((Transfer!AD194/Transfer!AC194)-1)</f>
        <v>0</v>
      </c>
      <c r="AP345" s="242">
        <f>Transfer!AE194</f>
        <v>-9999</v>
      </c>
      <c r="AQ345" s="92">
        <f>100*((Transfer!AE194/Transfer!AD194)-1)</f>
        <v>0</v>
      </c>
      <c r="AR345" s="91">
        <f>Transfer!AF194</f>
        <v>-9999</v>
      </c>
      <c r="AS345" s="242">
        <f>100*((Transfer!AF194/Transfer!AE194)-1)</f>
        <v>0</v>
      </c>
      <c r="AT345" s="242">
        <f>Transfer!AG194</f>
        <v>-9999</v>
      </c>
      <c r="AU345" s="243">
        <f>100*((Transfer!AG194/Transfer!AF194)-1)</f>
        <v>0</v>
      </c>
      <c r="AV345" s="364"/>
      <c r="AW345" s="54"/>
      <c r="AX345" s="54"/>
      <c r="AY345" s="54"/>
      <c r="AZ345" s="54"/>
      <c r="BA345" s="1698" t="s">
        <v>928</v>
      </c>
      <c r="BB345" s="1699"/>
      <c r="BC345" s="54"/>
    </row>
    <row r="346" spans="1:55">
      <c r="A346" s="45"/>
      <c r="B346" s="1665"/>
      <c r="C346" s="1666" t="s">
        <v>1598</v>
      </c>
      <c r="D346" s="2351"/>
      <c r="E346" s="2521" t="s">
        <v>1599</v>
      </c>
      <c r="F346" s="2453">
        <f ca="1">SUM(Transfer!D187,Transfer!D189,Transfer!D190,Transfer!D191,Transfer!D194)-(SUM(Transfer!D192,Transfer!D193))</f>
        <v>24.743479999999998</v>
      </c>
      <c r="G346" s="2691">
        <f ca="1">100*(((SUM(Transfer!D187,Transfer!D189,Transfer!D190,Transfer!D191,Transfer!D194)-(SUM(Transfer!D192,Transfer!D193)))/(SUM(Transfer!C187,Transfer!C189,Transfer!C190,Transfer!C191,Transfer!C194)-(SUM(Transfer!C192,Transfer!C193))))-1)</f>
        <v>5.4099119094743742</v>
      </c>
      <c r="H346" s="2691">
        <f ca="1">SUM(Transfer!E187,Transfer!E189,Transfer!E190,Transfer!E191,Transfer!E194)-(SUM(Transfer!E192,Transfer!E193))</f>
        <v>26.429008635219368</v>
      </c>
      <c r="I346" s="2692">
        <f ca="1">100*(((SUM(Transfer!E187,Transfer!E189,Transfer!E190,Transfer!E191,Transfer!E194)-(SUM(Transfer!E192,Transfer!E193)))/(SUM(Transfer!D187,Transfer!D189,Transfer!D190,Transfer!D191,Transfer!D194)-(SUM(Transfer!D192,Transfer!D193))))-1)</f>
        <v>6.8120112256617515</v>
      </c>
      <c r="J346" s="2453">
        <f ca="1">SUM(Transfer!F187,Transfer!F189,Transfer!F190,Transfer!F191,Transfer!F194)-(SUM(Transfer!F192,Transfer!F193))</f>
        <v>27.940576388871797</v>
      </c>
      <c r="K346" s="2691">
        <f ca="1">100*(((SUM(Transfer!F187,Transfer!F189,Transfer!F190,Transfer!F191,Transfer!F194)-(SUM(Transfer!F192,Transfer!F193)))/(SUM(Transfer!E187,Transfer!E189,Transfer!E190,Transfer!E191,Transfer!E194)-(SUM(Transfer!E192,Transfer!E193))))-1)</f>
        <v>5.7193509393996367</v>
      </c>
      <c r="L346" s="2691">
        <f ca="1">SUM(Transfer!G187,Transfer!G189,Transfer!G190,Transfer!G191,Transfer!G194)-(SUM(Transfer!G192,Transfer!G193))</f>
        <v>29.391965930205046</v>
      </c>
      <c r="M346" s="2693">
        <f ca="1">100*(((SUM(Transfer!G187,Transfer!G189,Transfer!G190,Transfer!G191,Transfer!G194)-(SUM(Transfer!G192,Transfer!G193)))/(SUM(Transfer!F187,Transfer!F189,Transfer!F190,Transfer!F191,Transfer!F194)-(SUM(Transfer!F192,Transfer!F193))))-1)</f>
        <v>5.1945583410058394</v>
      </c>
      <c r="N346" s="2390"/>
      <c r="O346" s="54"/>
      <c r="P346" s="54"/>
      <c r="Q346" s="54"/>
      <c r="R346" s="54"/>
      <c r="S346" s="190"/>
      <c r="T346" s="101" t="s">
        <v>1598</v>
      </c>
      <c r="U346" s="49"/>
      <c r="V346" s="254" t="s">
        <v>1599</v>
      </c>
      <c r="W346" s="245">
        <f t="shared" ca="1" si="22"/>
        <v>30021.7</v>
      </c>
      <c r="X346" s="245">
        <f t="shared" ca="1" si="22"/>
        <v>5.4</v>
      </c>
      <c r="Y346" s="245">
        <f t="shared" ca="1" si="22"/>
        <v>30023.4</v>
      </c>
      <c r="Z346" s="245">
        <f t="shared" ca="1" si="22"/>
        <v>6.8</v>
      </c>
      <c r="AA346" s="245">
        <f t="shared" ca="1" si="22"/>
        <v>30024.9</v>
      </c>
      <c r="AB346" s="245">
        <f t="shared" ca="1" si="22"/>
        <v>5.7</v>
      </c>
      <c r="AC346" s="245">
        <f t="shared" ca="1" si="22"/>
        <v>30026.400000000001</v>
      </c>
      <c r="AD346" s="320">
        <f t="shared" ca="1" si="22"/>
        <v>5.2</v>
      </c>
      <c r="AE346" s="103"/>
      <c r="AF346" s="45"/>
      <c r="AG346" s="45"/>
      <c r="AH346" s="45"/>
      <c r="AI346" s="45"/>
      <c r="AJ346" s="190"/>
      <c r="AK346" s="101" t="s">
        <v>1598</v>
      </c>
      <c r="AL346" s="49"/>
      <c r="AM346" s="254" t="s">
        <v>1599</v>
      </c>
      <c r="AN346" s="91">
        <f>SUM(Transfer!AD187,Transfer!AD189,Transfer!AD190,Transfer!AD191,Transfer!AD194)-(SUM(Transfer!AD192,Transfer!AD193))</f>
        <v>-29997</v>
      </c>
      <c r="AO346" s="242">
        <f>100*(((SUM(Transfer!AD187,Transfer!AD189,Transfer!AD190,Transfer!AD191,Transfer!AD194)-(SUM(Transfer!AD192,Transfer!AD193)))/(SUM(Transfer!AC187,Transfer!AC189,Transfer!AC190,Transfer!AC191,Transfer!AC194)-(SUM(Transfer!AC192,Transfer!AC193))))-1)</f>
        <v>0</v>
      </c>
      <c r="AP346" s="242">
        <f>SUM(Transfer!AE187,Transfer!AE189,Transfer!AE190,Transfer!AE191,Transfer!AE194)-(SUM(Transfer!AE192,Transfer!AE193))</f>
        <v>-29997</v>
      </c>
      <c r="AQ346" s="92">
        <f>100*(((SUM(Transfer!AE187,Transfer!AE189,Transfer!AE190,Transfer!AE191,Transfer!AE194)-(SUM(Transfer!AE192,Transfer!AE193)))/(SUM(Transfer!AD187,Transfer!AD189,Transfer!AD190,Transfer!AD191,Transfer!AD194)-(SUM(Transfer!AD192,Transfer!AD193))))-1)</f>
        <v>0</v>
      </c>
      <c r="AR346" s="91">
        <f>SUM(Transfer!AF187,Transfer!AF189,Transfer!AF190,Transfer!AF191,Transfer!AF194)-(SUM(Transfer!AF192,Transfer!AF193))</f>
        <v>-29997</v>
      </c>
      <c r="AS346" s="242">
        <f>100*(((SUM(Transfer!AF187,Transfer!AF189,Transfer!AF190,Transfer!AF191,Transfer!AF194)-(SUM(Transfer!AF192,Transfer!AF193)))/(SUM(Transfer!AE187,Transfer!AE189,Transfer!AE190,Transfer!AE191,Transfer!AE194)-(SUM(Transfer!AE192,Transfer!AE193))))-1)</f>
        <v>0</v>
      </c>
      <c r="AT346" s="242">
        <f>SUM(Transfer!AG187,Transfer!AG189,Transfer!AG190,Transfer!AG191,Transfer!AG194)-(SUM(Transfer!AG192,Transfer!AG193))</f>
        <v>-29997</v>
      </c>
      <c r="AU346" s="243">
        <f>100*(((SUM(Transfer!AG187,Transfer!AG189,Transfer!AG190,Transfer!AG191,Transfer!AG194)-(SUM(Transfer!AG192,Transfer!AG193)))/(SUM(Transfer!AF187,Transfer!AF189,Transfer!AF190,Transfer!AF191,Transfer!AF194)-(SUM(Transfer!AF192,Transfer!AF193))))-1)</f>
        <v>0</v>
      </c>
      <c r="AV346" s="103"/>
      <c r="AW346" s="54"/>
      <c r="AX346" s="54"/>
      <c r="AY346" s="54"/>
      <c r="AZ346" s="54"/>
      <c r="BA346" s="1698" t="s">
        <v>1823</v>
      </c>
      <c r="BB346" s="1699"/>
      <c r="BC346" s="54"/>
    </row>
    <row r="347" spans="1:55">
      <c r="A347" s="45"/>
      <c r="B347" s="1665"/>
      <c r="C347" s="2923" t="s">
        <v>1600</v>
      </c>
      <c r="D347" s="2924"/>
      <c r="E347" s="2925"/>
      <c r="F347" s="2926">
        <f ca="1">(SUM(Transfer!D187,Transfer!D189,Transfer!D190,Transfer!D191,Transfer!D194)-(SUM(Transfer!D192,Transfer!D193)))/(Transfer!D136/Transfer!D284)</f>
        <v>24.513406382498477</v>
      </c>
      <c r="G347" s="2927">
        <f ca="1">100*((((SUM(Transfer!D187,Transfer!D189,Transfer!D190,Transfer!D191,Transfer!D194)-(SUM(Transfer!D192,Transfer!D193)))/(Transfer!D136/Transfer!D284))/((SUM(Transfer!C187,Transfer!C189,Transfer!C190,Transfer!C191,Transfer!C194)-(SUM(Transfer!C192,Transfer!C193)))/(Transfer!C136/Transfer!C284)))-1)</f>
        <v>4.4297733132248052</v>
      </c>
      <c r="H347" s="2926">
        <f ca="1">(SUM(Transfer!E187,Transfer!E189,Transfer!E190,Transfer!E191,Transfer!E194)-(SUM(Transfer!E192,Transfer!E193)))/(Transfer!E136/Transfer!E284)</f>
        <v>25.235966098468893</v>
      </c>
      <c r="I347" s="2927">
        <f ca="1">100*((((SUM(Transfer!E187,Transfer!E189,Transfer!E190,Transfer!E191,Transfer!E194)-(SUM(Transfer!E192,Transfer!E193)))/(Transfer!E136/Transfer!E284))/((SUM(Transfer!D187,Transfer!D189,Transfer!D190,Transfer!D191,Transfer!D194)-(SUM(Transfer!D192,Transfer!D193)))/(Transfer!D136/Transfer!D284)))-1)</f>
        <v>2.9476104001861403</v>
      </c>
      <c r="J347" s="2926">
        <f ca="1">(SUM(Transfer!F187,Transfer!F189,Transfer!F190,Transfer!F191,Transfer!F194)-(SUM(Transfer!F192,Transfer!F193)))/(Transfer!F136/Transfer!F284)</f>
        <v>26.003215947941754</v>
      </c>
      <c r="K347" s="2927">
        <f ca="1">100*((((SUM(Transfer!F187,Transfer!F189,Transfer!F190,Transfer!F191,Transfer!F194)-(SUM(Transfer!F192,Transfer!F193)))/(Transfer!F136/Transfer!F284))/((SUM(Transfer!E187,Transfer!E189,Transfer!E190,Transfer!E191,Transfer!E194)-(SUM(Transfer!E192,Transfer!E193)))/(Transfer!E136/Transfer!E284)))-1)</f>
        <v>3.0403030598436631</v>
      </c>
      <c r="L347" s="2928">
        <f ca="1">(SUM(Transfer!G187,Transfer!G189,Transfer!G190,Transfer!G191,Transfer!G194)-(SUM(Transfer!G192,Transfer!G193)))/(Transfer!G136/Transfer!G284)</f>
        <v>26.765135196570768</v>
      </c>
      <c r="M347" s="2929">
        <f ca="1">100*((((SUM(Transfer!G187,Transfer!G189,Transfer!G190,Transfer!G191,Transfer!G194)-(SUM(Transfer!G192,Transfer!G193)))/(Transfer!G136/Transfer!G284))/((SUM(Transfer!F187,Transfer!F189,Transfer!F190,Transfer!F191,Transfer!F194)-(SUM(Transfer!F192,Transfer!F193)))/(Transfer!F136/Transfer!F284)))-1)</f>
        <v>2.9300962240761619</v>
      </c>
      <c r="N347" s="2390"/>
      <c r="O347" s="54"/>
      <c r="P347" s="54"/>
      <c r="Q347" s="54"/>
      <c r="R347" s="54"/>
      <c r="S347" s="190"/>
      <c r="T347" s="432" t="s">
        <v>1600</v>
      </c>
      <c r="U347" s="1703"/>
      <c r="V347" s="433"/>
      <c r="W347" s="443">
        <f t="shared" ca="1" si="22"/>
        <v>29108.400000000001</v>
      </c>
      <c r="X347" s="443">
        <f t="shared" ca="1" si="22"/>
        <v>7.4</v>
      </c>
      <c r="Y347" s="443">
        <f t="shared" ca="1" si="22"/>
        <v>28713.9</v>
      </c>
      <c r="Z347" s="443">
        <f t="shared" ca="1" si="22"/>
        <v>4.3</v>
      </c>
      <c r="AA347" s="443">
        <f t="shared" ca="1" si="22"/>
        <v>28173.200000000001</v>
      </c>
      <c r="AB347" s="443">
        <f t="shared" ca="1" si="22"/>
        <v>4.9000000000000004</v>
      </c>
      <c r="AC347" s="443">
        <f t="shared" ca="1" si="22"/>
        <v>27523.1</v>
      </c>
      <c r="AD347" s="444">
        <f t="shared" ca="1" si="22"/>
        <v>5.1999999999999993</v>
      </c>
      <c r="AE347" s="103"/>
      <c r="AF347" s="45"/>
      <c r="AG347" s="45"/>
      <c r="AH347" s="45"/>
      <c r="AI347" s="45"/>
      <c r="AJ347" s="190"/>
      <c r="AK347" s="2923" t="s">
        <v>1600</v>
      </c>
      <c r="AL347" s="2924"/>
      <c r="AM347" s="2925"/>
      <c r="AN347" s="2926">
        <f>(SUM(Transfer!AD187,Transfer!AD189,Transfer!AD190,Transfer!AD191,Transfer!AD194)-(SUM(Transfer!AD192,Transfer!AD193)))/(Transfer!AD136/Transfer!AD284)</f>
        <v>-29083.910375007566</v>
      </c>
      <c r="AO347" s="2927">
        <f>100*((((SUM(Transfer!AD187,Transfer!AD189,Transfer!AD190,Transfer!AD191,Transfer!AD194)-(SUM(Transfer!AD192,Transfer!AD193)))/(Transfer!AD136/Transfer!AD284))/((SUM(Transfer!AC187,Transfer!AC189,Transfer!AC190,Transfer!AC191,Transfer!AC194)-(SUM(Transfer!AC192,Transfer!AC193)))/(Transfer!AC136/Transfer!AC284)))-1)</f>
        <v>-3.0439364769558108</v>
      </c>
      <c r="AP347" s="2926">
        <f>(SUM(Transfer!AE187,Transfer!AE189,Transfer!AE190,Transfer!AE191,Transfer!AE194)-(SUM(Transfer!AE192,Transfer!AE193)))/(Transfer!AE136/Transfer!AE284)</f>
        <v>-28688.743383821427</v>
      </c>
      <c r="AQ347" s="2927">
        <f>100*((((SUM(Transfer!AE187,Transfer!AE189,Transfer!AE190,Transfer!AE191,Transfer!AE194)-(SUM(Transfer!AE192,Transfer!AE193)))/(Transfer!AE136/Transfer!AE284))/((SUM(Transfer!AD187,Transfer!AD189,Transfer!AD190,Transfer!AD191,Transfer!AD194)-(SUM(Transfer!AD192,Transfer!AD193)))/(Transfer!AD136/Transfer!AD284)))-1)</f>
        <v>-1.3587134126424538</v>
      </c>
      <c r="AR347" s="2926">
        <f>(SUM(Transfer!AF187,Transfer!AF189,Transfer!AF190,Transfer!AF191,Transfer!AF194)-(SUM(Transfer!AF192,Transfer!AF193)))/(Transfer!AF136/Transfer!AF284)</f>
        <v>-28147.234424652757</v>
      </c>
      <c r="AS347" s="2927">
        <f>100*((((SUM(Transfer!AF187,Transfer!AF189,Transfer!AF190,Transfer!AF191,Transfer!AF194)-(SUM(Transfer!AF192,Transfer!AF193)))/(Transfer!AF136/Transfer!AF284))/((SUM(Transfer!AE187,Transfer!AE189,Transfer!AE190,Transfer!AE191,Transfer!AE194)-(SUM(Transfer!AE192,Transfer!AE193)))/(Transfer!AE136/Transfer!AE284)))-1)</f>
        <v>-1.8875311195193256</v>
      </c>
      <c r="AT347" s="2928">
        <f>(SUM(Transfer!AG187,Transfer!AG189,Transfer!AG190,Transfer!AG191,Transfer!AG194)-(SUM(Transfer!AG192,Transfer!AG193)))/(Transfer!AG136/Transfer!AG284)</f>
        <v>-27496.306758132137</v>
      </c>
      <c r="AU347" s="2929">
        <f>100*((((SUM(Transfer!AG187,Transfer!AG189,Transfer!AG190,Transfer!AG191,Transfer!AG194)-(SUM(Transfer!AG192,Transfer!AG193)))/(Transfer!AG136/Transfer!AG284))/((SUM(Transfer!AF187,Transfer!AF189,Transfer!AF190,Transfer!AF191,Transfer!AF194)-(SUM(Transfer!AF192,Transfer!AF193)))/(Transfer!AF136/Transfer!AF284)))-1)</f>
        <v>-2.31258125292233</v>
      </c>
      <c r="AV347" s="103"/>
      <c r="AW347" s="54"/>
      <c r="AX347" s="54"/>
      <c r="AY347" s="54"/>
      <c r="AZ347" s="54"/>
      <c r="BA347" s="1698" t="s">
        <v>1506</v>
      </c>
      <c r="BB347" s="1699"/>
      <c r="BC347" s="54"/>
    </row>
    <row r="348" spans="1:55">
      <c r="A348" s="45"/>
      <c r="B348" s="1665"/>
      <c r="C348" s="1666" t="s">
        <v>1601</v>
      </c>
      <c r="D348" s="2351"/>
      <c r="E348" s="2521" t="s">
        <v>649</v>
      </c>
      <c r="F348" s="2453">
        <f ca="1">Transfer!D195</f>
        <v>24.863340000000001</v>
      </c>
      <c r="G348" s="2691">
        <f ca="1">100*((Transfer!D195/Transfer!C195)-1)</f>
        <v>5.9202577870326012</v>
      </c>
      <c r="H348" s="2691">
        <f ca="1">Transfer!E195</f>
        <v>26.80039</v>
      </c>
      <c r="I348" s="2692">
        <f ca="1">100*((Transfer!E195/Transfer!D195)-1)</f>
        <v>7.790787561124124</v>
      </c>
      <c r="J348" s="2453">
        <f ca="1">Transfer!F195</f>
        <v>28.459602144899996</v>
      </c>
      <c r="K348" s="2691">
        <f ca="1">100*((Transfer!F195/Transfer!E195)-1)</f>
        <v>6.190999999999991</v>
      </c>
      <c r="L348" s="2691">
        <f ca="1">Transfer!G195</f>
        <v>30.045541934026691</v>
      </c>
      <c r="M348" s="2693">
        <f ca="1">100*((Transfer!G195/Transfer!F195)-1)</f>
        <v>5.5725999999999942</v>
      </c>
      <c r="N348" s="2390"/>
      <c r="O348" s="54"/>
      <c r="P348" s="54"/>
      <c r="Q348" s="54"/>
      <c r="R348" s="54"/>
      <c r="S348" s="190"/>
      <c r="T348" s="101" t="s">
        <v>1601</v>
      </c>
      <c r="U348" s="49"/>
      <c r="V348" s="254" t="s">
        <v>649</v>
      </c>
      <c r="W348" s="245">
        <f t="shared" ca="1" si="22"/>
        <v>10023.9</v>
      </c>
      <c r="X348" s="245">
        <f t="shared" ca="1" si="22"/>
        <v>5.9</v>
      </c>
      <c r="Y348" s="245">
        <f t="shared" ca="1" si="22"/>
        <v>10025.799999999999</v>
      </c>
      <c r="Z348" s="245">
        <f t="shared" ca="1" si="22"/>
        <v>7.8</v>
      </c>
      <c r="AA348" s="245">
        <f t="shared" ca="1" si="22"/>
        <v>10027.5</v>
      </c>
      <c r="AB348" s="245">
        <f t="shared" ca="1" si="22"/>
        <v>6.2</v>
      </c>
      <c r="AC348" s="245">
        <f t="shared" ca="1" si="22"/>
        <v>10029</v>
      </c>
      <c r="AD348" s="320">
        <f t="shared" ca="1" si="22"/>
        <v>5.6</v>
      </c>
      <c r="AE348" s="103"/>
      <c r="AF348" s="45"/>
      <c r="AG348" s="45"/>
      <c r="AH348" s="45"/>
      <c r="AI348" s="45"/>
      <c r="AJ348" s="190"/>
      <c r="AK348" s="101" t="s">
        <v>1601</v>
      </c>
      <c r="AL348" s="49"/>
      <c r="AM348" s="254" t="s">
        <v>649</v>
      </c>
      <c r="AN348" s="91">
        <f>Transfer!AD195</f>
        <v>-9999</v>
      </c>
      <c r="AO348" s="242">
        <f>100*((Transfer!AD195/Transfer!AC195)-1)</f>
        <v>0</v>
      </c>
      <c r="AP348" s="242">
        <f>Transfer!AE195</f>
        <v>-9999</v>
      </c>
      <c r="AQ348" s="92">
        <f>100*((Transfer!AE195/Transfer!AD195)-1)</f>
        <v>0</v>
      </c>
      <c r="AR348" s="91">
        <f>Transfer!AF195</f>
        <v>-9999</v>
      </c>
      <c r="AS348" s="242">
        <f>100*((Transfer!AF195/Transfer!AE195)-1)</f>
        <v>0</v>
      </c>
      <c r="AT348" s="242">
        <f>Transfer!AG195</f>
        <v>-9999</v>
      </c>
      <c r="AU348" s="243">
        <f>100*((Transfer!AG195/Transfer!AF195)-1)</f>
        <v>0</v>
      </c>
      <c r="AV348" s="103"/>
      <c r="AW348" s="54"/>
      <c r="AX348" s="54"/>
      <c r="AY348" s="54"/>
      <c r="AZ348" s="54"/>
      <c r="BA348" s="1698" t="s">
        <v>1507</v>
      </c>
      <c r="BB348" s="1699"/>
      <c r="BC348" s="54"/>
    </row>
    <row r="349" spans="1:55">
      <c r="A349" s="45"/>
      <c r="B349" s="1665"/>
      <c r="C349" s="1666" t="s">
        <v>1602</v>
      </c>
      <c r="D349" s="2351"/>
      <c r="E349" s="2521" t="s">
        <v>1603</v>
      </c>
      <c r="F349" s="2691">
        <f ca="1">SUM(Transfer!D187,Transfer!D189,Transfer!D190,Transfer!D191,Transfer!D194)-(SUM(Transfer!D192,Transfer!D193,Transfer!D195))</f>
        <v>-0.11985999999999919</v>
      </c>
      <c r="G349" s="2394">
        <f ca="1">100*(((SUM(Transfer!D187,Transfer!D189,Transfer!D190,Transfer!D191,Transfer!D194)-(SUM(Transfer!D192,Transfer!D193,Transfer!D195)))/(SUM(Transfer!C187,Transfer!C189,Transfer!C190,Transfer!C191,Transfer!C194)-(SUM(Transfer!C192,Transfer!C193,Transfer!C195))))-1)</f>
        <v>199666.66667422804</v>
      </c>
      <c r="H349" s="2691">
        <f ca="1">SUM(Transfer!E187,Transfer!E189,Transfer!E190,Transfer!E191,Transfer!E194)-(SUM(Transfer!E192,Transfer!E193,Transfer!E195))</f>
        <v>-0.37138136478063188</v>
      </c>
      <c r="I349" s="2394">
        <f ca="1">100*(((SUM(Transfer!E187,Transfer!E189,Transfer!E190,Transfer!E191,Transfer!E194)-(SUM(Transfer!E192,Transfer!E193,Transfer!E195)))/(SUM(Transfer!D187,Transfer!D189,Transfer!D190,Transfer!D191,Transfer!D194)-(SUM(Transfer!D192,Transfer!D193,Transfer!D195))))-1)</f>
        <v>209.84595760106322</v>
      </c>
      <c r="J349" s="2691">
        <f ca="1">SUM(Transfer!F187,Transfer!F189,Transfer!F190,Transfer!F191,Transfer!F194)-(SUM(Transfer!F192,Transfer!F193,Transfer!F195))</f>
        <v>-0.51902575602819923</v>
      </c>
      <c r="K349" s="2394">
        <f ca="1">100*(((SUM(Transfer!F187,Transfer!F189,Transfer!F190,Transfer!F191,Transfer!F194)-(SUM(Transfer!F192,Transfer!F193,Transfer!F195)))/(SUM(Transfer!E187,Transfer!E189,Transfer!E190,Transfer!E191,Transfer!E194)-(SUM(Transfer!E192,Transfer!E193,Transfer!E195))))-1)</f>
        <v>39.75546574200839</v>
      </c>
      <c r="L349" s="2691">
        <f ca="1">SUM(Transfer!G187,Transfer!G189,Transfer!G190,Transfer!G191,Transfer!G194)-(SUM(Transfer!G192,Transfer!G193,Transfer!G195))</f>
        <v>-0.65357600382164804</v>
      </c>
      <c r="M349" s="2378">
        <f ca="1">100*(((SUM(Transfer!G187,Transfer!G189,Transfer!G190,Transfer!G191,Transfer!G194)-(SUM(Transfer!G192,Transfer!G193,Transfer!G195)))/(SUM(Transfer!F187,Transfer!F189,Transfer!F190,Transfer!F191,Transfer!F194)-(SUM(Transfer!F192,Transfer!F193,Transfer!F195))))-1)</f>
        <v>25.92361674362429</v>
      </c>
      <c r="N349" s="2390"/>
      <c r="O349" s="54"/>
      <c r="P349" s="54"/>
      <c r="Q349" s="54"/>
      <c r="R349" s="54"/>
      <c r="S349" s="190"/>
      <c r="T349" s="101" t="s">
        <v>1602</v>
      </c>
      <c r="U349" s="49"/>
      <c r="V349" s="254" t="s">
        <v>1603</v>
      </c>
      <c r="W349" s="245">
        <f t="shared" ca="1" si="22"/>
        <v>19997.900000000001</v>
      </c>
      <c r="X349" s="245">
        <f t="shared" ca="1" si="22"/>
        <v>199666.7</v>
      </c>
      <c r="Y349" s="245">
        <f t="shared" ca="1" si="22"/>
        <v>19997.599999999999</v>
      </c>
      <c r="Z349" s="245">
        <f t="shared" ca="1" si="22"/>
        <v>209.8</v>
      </c>
      <c r="AA349" s="245">
        <f t="shared" ca="1" si="22"/>
        <v>19997.5</v>
      </c>
      <c r="AB349" s="245">
        <f t="shared" ca="1" si="22"/>
        <v>39.799999999999997</v>
      </c>
      <c r="AC349" s="245">
        <f t="shared" ca="1" si="22"/>
        <v>19997.3</v>
      </c>
      <c r="AD349" s="320">
        <f t="shared" ca="1" si="22"/>
        <v>25.9</v>
      </c>
      <c r="AE349" s="103"/>
      <c r="AF349" s="45"/>
      <c r="AG349" s="45"/>
      <c r="AH349" s="45"/>
      <c r="AI349" s="45"/>
      <c r="AJ349" s="190"/>
      <c r="AK349" s="101" t="s">
        <v>1602</v>
      </c>
      <c r="AL349" s="49"/>
      <c r="AM349" s="254" t="s">
        <v>1603</v>
      </c>
      <c r="AN349" s="242">
        <f>SUM(Transfer!AD187,Transfer!AD189,Transfer!AD190,Transfer!AD191,Transfer!AD194)-(SUM(Transfer!AD192,Transfer!AD193,Transfer!AD195))</f>
        <v>-19998</v>
      </c>
      <c r="AO349" s="242">
        <f>100*(((SUM(Transfer!AD187,Transfer!AD189,Transfer!AD190,Transfer!AD191,Transfer!AD194)-(SUM(Transfer!AD192,Transfer!AD193,Transfer!AD195)))/(SUM(Transfer!AC187,Transfer!AC189,Transfer!AC190,Transfer!AC191,Transfer!AC194)-(SUM(Transfer!AC192,Transfer!AC193,Transfer!AC195))))-1)</f>
        <v>0</v>
      </c>
      <c r="AP349" s="242">
        <f>SUM(Transfer!AE187,Transfer!AE189,Transfer!AE190,Transfer!AE191,Transfer!AE194)-(SUM(Transfer!AE192,Transfer!AE193,Transfer!AE195))</f>
        <v>-19998</v>
      </c>
      <c r="AQ349" s="242">
        <f>100*(((SUM(Transfer!AE187,Transfer!AE189,Transfer!AE190,Transfer!AE191,Transfer!AE194)-(SUM(Transfer!AE192,Transfer!AE193,Transfer!AE195)))/(SUM(Transfer!AD187,Transfer!AD189,Transfer!AD190,Transfer!AD191,Transfer!AD194)-(SUM(Transfer!AD192,Transfer!AD193,Transfer!AD195))))-1)</f>
        <v>0</v>
      </c>
      <c r="AR349" s="242">
        <f>SUM(Transfer!AF187,Transfer!AF189,Transfer!AF190,Transfer!AF191,Transfer!AF194)-(SUM(Transfer!AF192,Transfer!AF193,Transfer!AF195))</f>
        <v>-19998</v>
      </c>
      <c r="AS349" s="242">
        <f>100*(((SUM(Transfer!AF187,Transfer!AF189,Transfer!AF190,Transfer!AF191,Transfer!AF194)-(SUM(Transfer!AF192,Transfer!AF193,Transfer!AF195)))/(SUM(Transfer!AE187,Transfer!AE189,Transfer!AE190,Transfer!AE191,Transfer!AE194)-(SUM(Transfer!AE192,Transfer!AE193,Transfer!AE195))))-1)</f>
        <v>0</v>
      </c>
      <c r="AT349" s="242">
        <f>SUM(Transfer!AG187,Transfer!AG189,Transfer!AG190,Transfer!AG191,Transfer!AG194)-(SUM(Transfer!AG192,Transfer!AG193,Transfer!AG195))</f>
        <v>-19998</v>
      </c>
      <c r="AU349" s="93">
        <f>100*(((SUM(Transfer!AG187,Transfer!AG189,Transfer!AG190,Transfer!AG191,Transfer!AG194)-(SUM(Transfer!AG192,Transfer!AG193,Transfer!AG195)))/(SUM(Transfer!AF187,Transfer!AF189,Transfer!AF190,Transfer!AF191,Transfer!AF194)-(SUM(Transfer!AF192,Transfer!AF193,Transfer!AF195))))-1)</f>
        <v>0</v>
      </c>
      <c r="AV349" s="103"/>
      <c r="AW349" s="54"/>
      <c r="AX349" s="54"/>
      <c r="AY349" s="54"/>
      <c r="AZ349" s="54"/>
      <c r="BA349" s="1698" t="s">
        <v>1719</v>
      </c>
      <c r="BB349" s="1699"/>
      <c r="BC349" s="54"/>
    </row>
    <row r="350" spans="1:55">
      <c r="A350" s="45"/>
      <c r="B350" s="1665"/>
      <c r="C350" s="2463" t="s">
        <v>1819</v>
      </c>
      <c r="D350" s="2464"/>
      <c r="E350" s="2537"/>
      <c r="F350" s="3673">
        <f ca="1">100*(SUM(Transfer!D187,Transfer!D189,Transfer!D190,Transfer!D191,Transfer!D194)-(SUM(Transfer!D192,Transfer!D193,Transfer!D195)))/(SUM(Transfer!D187,Transfer!D189,Transfer!D190,Transfer!D191,Transfer!D194)-(SUM(Transfer!D192,Transfer!D193)))</f>
        <v>-0.48441043862867794</v>
      </c>
      <c r="G350" s="3674"/>
      <c r="H350" s="3673">
        <f ca="1">100*(SUM(Transfer!E187,Transfer!E189,Transfer!E190,Transfer!E191,Transfer!E194)-(SUM(Transfer!E192,Transfer!E193,Transfer!E195)))/(SUM(Transfer!E187,Transfer!E189,Transfer!E190,Transfer!E191,Transfer!E194)-(SUM(Transfer!E192,Transfer!E193)))</f>
        <v>-1.4052035394385851</v>
      </c>
      <c r="I350" s="3674"/>
      <c r="J350" s="3673">
        <f ca="1">100*(SUM(Transfer!F187,Transfer!F189,Transfer!F190,Transfer!F191,Transfer!F194)-(SUM(Transfer!F192,Transfer!F193,Transfer!F195)))/(SUM(Transfer!F187,Transfer!F189,Transfer!F190,Transfer!F191,Transfer!F194)-(SUM(Transfer!F192,Transfer!F193)))</f>
        <v>-1.857605758752054</v>
      </c>
      <c r="K350" s="3674"/>
      <c r="L350" s="3673">
        <f ca="1">100*(SUM(Transfer!G187,Transfer!G189,Transfer!G190,Transfer!G191,Transfer!G194)-(SUM(Transfer!G192,Transfer!G193,Transfer!G195)))/(SUM(Transfer!G187,Transfer!G189,Transfer!G190,Transfer!G191,Transfer!G194)-(SUM(Transfer!G192,Transfer!G193)))</f>
        <v>-2.2236552851675428</v>
      </c>
      <c r="M350" s="3675"/>
      <c r="N350" s="2390"/>
      <c r="O350" s="54"/>
      <c r="P350" s="54"/>
      <c r="Q350" s="54"/>
      <c r="R350" s="54"/>
      <c r="S350" s="190"/>
      <c r="T350" s="159" t="s">
        <v>1819</v>
      </c>
      <c r="U350" s="1704"/>
      <c r="V350" s="433"/>
      <c r="W350" s="443">
        <f ca="1">ROUND(F350,1)-ROUND(AN350,1)</f>
        <v>-67.2</v>
      </c>
      <c r="X350" s="282"/>
      <c r="Y350" s="443">
        <f ca="1">ROUND(H350,1)-ROUND(AP350,1)</f>
        <v>-68.100000000000009</v>
      </c>
      <c r="Z350" s="282"/>
      <c r="AA350" s="443">
        <f ca="1">ROUND(J350,1)-ROUND(AR350,1)</f>
        <v>-68.600000000000009</v>
      </c>
      <c r="AB350" s="282"/>
      <c r="AC350" s="443">
        <f t="shared" ca="1" si="22"/>
        <v>-68.900000000000006</v>
      </c>
      <c r="AD350" s="283"/>
      <c r="AE350" s="103"/>
      <c r="AF350" s="45"/>
      <c r="AG350" s="45"/>
      <c r="AH350" s="45"/>
      <c r="AI350" s="45"/>
      <c r="AJ350" s="190"/>
      <c r="AK350" s="159" t="s">
        <v>1819</v>
      </c>
      <c r="AL350" s="1704"/>
      <c r="AM350" s="433"/>
      <c r="AN350" s="282">
        <f>100*(SUM(Transfer!AD187,Transfer!AD189,Transfer!AD190,Transfer!AD191,Transfer!AD194)-(SUM(Transfer!AD192,Transfer!AD193,Transfer!AD195)))/(SUM(Transfer!AD187,Transfer!AD189,Transfer!AD190,Transfer!AD191,Transfer!AD194)-(SUM(Transfer!AD192,Transfer!AD193)))</f>
        <v>66.666666666666671</v>
      </c>
      <c r="AO350" s="282"/>
      <c r="AP350" s="282">
        <f>100*(SUM(Transfer!AE187,Transfer!AE189,Transfer!AE190,Transfer!AE191,Transfer!AE194)-(SUM(Transfer!AE192,Transfer!AE193,Transfer!AE195)))/(SUM(Transfer!AE187,Transfer!AE189,Transfer!AE190,Transfer!AE191,Transfer!AE194)-(SUM(Transfer!AE192,Transfer!AE193)))</f>
        <v>66.666666666666671</v>
      </c>
      <c r="AQ350" s="282"/>
      <c r="AR350" s="282">
        <f>100*(SUM(Transfer!AF187,Transfer!AF189,Transfer!AF190,Transfer!AF191,Transfer!AF194)-(SUM(Transfer!AF192,Transfer!AF193,Transfer!AF195)))/(SUM(Transfer!AF187,Transfer!AF189,Transfer!AF190,Transfer!AF191,Transfer!AF194)-(SUM(Transfer!AF192,Transfer!AF193)))</f>
        <v>66.666666666666671</v>
      </c>
      <c r="AS350" s="282"/>
      <c r="AT350" s="282">
        <f>100*(SUM(Transfer!AG187,Transfer!AG189,Transfer!AG190,Transfer!AG191,Transfer!AG194)-(SUM(Transfer!AG192,Transfer!AG193,Transfer!AG195)))/(SUM(Transfer!AG187,Transfer!AG189,Transfer!AG190,Transfer!AG191,Transfer!AG194)-(SUM(Transfer!AG192,Transfer!AG193)))</f>
        <v>66.666666666666671</v>
      </c>
      <c r="AU350" s="283"/>
      <c r="AV350" s="103"/>
      <c r="AW350" s="54"/>
      <c r="AX350" s="54"/>
      <c r="AY350" s="54"/>
      <c r="AZ350" s="54"/>
      <c r="BA350" s="1698" t="s">
        <v>1720</v>
      </c>
      <c r="BB350" s="1699"/>
      <c r="BC350" s="54"/>
    </row>
    <row r="351" spans="1:55">
      <c r="A351" s="45"/>
      <c r="B351" s="1665"/>
      <c r="C351" s="1666" t="s">
        <v>1061</v>
      </c>
      <c r="D351" s="2351"/>
      <c r="E351" s="2521" t="s">
        <v>1062</v>
      </c>
      <c r="F351" s="2376">
        <f ca="1">Transfer!D196</f>
        <v>1.73797</v>
      </c>
      <c r="G351" s="2691">
        <f ca="1">100*((Transfer!D196/Transfer!C196)-1)</f>
        <v>9.1374351632066197</v>
      </c>
      <c r="H351" s="2394">
        <f ca="1">Transfer!E196</f>
        <v>1.7989497999999999</v>
      </c>
      <c r="I351" s="2692">
        <f ca="1">100*((Transfer!E196/Transfer!D196)-1)</f>
        <v>3.5086796665074749</v>
      </c>
      <c r="J351" s="2376">
        <f ca="1">Transfer!F196</f>
        <v>1.8620638929999997</v>
      </c>
      <c r="K351" s="2691">
        <f ca="1">100*((Transfer!F196/Transfer!E196)-1)</f>
        <v>3.5083854479985854</v>
      </c>
      <c r="L351" s="2394">
        <f ca="1">Transfer!G196</f>
        <v>1.9273869792549996</v>
      </c>
      <c r="M351" s="2693">
        <f ca="1">100*((Transfer!G196/Transfer!F196)-1)</f>
        <v>3.5081012257724753</v>
      </c>
      <c r="N351" s="2390"/>
      <c r="O351" s="54"/>
      <c r="P351" s="54"/>
      <c r="Q351" s="54"/>
      <c r="R351" s="54"/>
      <c r="S351" s="190"/>
      <c r="T351" s="101" t="s">
        <v>1061</v>
      </c>
      <c r="U351" s="49"/>
      <c r="V351" s="254" t="s">
        <v>1062</v>
      </c>
      <c r="W351" s="245">
        <f ca="1">ROUND(F351,1)-ROUND(AN351,1)</f>
        <v>10000.700000000001</v>
      </c>
      <c r="X351" s="245">
        <f ca="1">ROUND(G351,1)-ROUND(AO351,1)</f>
        <v>9.1</v>
      </c>
      <c r="Y351" s="245">
        <f ca="1">ROUND(H351,1)-ROUND(AP351,1)</f>
        <v>10000.799999999999</v>
      </c>
      <c r="Z351" s="245">
        <f ca="1">ROUND(I351,1)-ROUND(AQ351,1)</f>
        <v>3.5</v>
      </c>
      <c r="AA351" s="245">
        <f ca="1">ROUND(J351,1)-ROUND(AR351,1)</f>
        <v>10000.9</v>
      </c>
      <c r="AB351" s="245">
        <f ca="1">ROUND(K351,1)-ROUND(AS351,1)</f>
        <v>3.5</v>
      </c>
      <c r="AC351" s="245">
        <f t="shared" ca="1" si="22"/>
        <v>10000.9</v>
      </c>
      <c r="AD351" s="320">
        <f t="shared" ca="1" si="22"/>
        <v>3.5</v>
      </c>
      <c r="AE351" s="103"/>
      <c r="AF351" s="45"/>
      <c r="AG351" s="45"/>
      <c r="AH351" s="45"/>
      <c r="AI351" s="45"/>
      <c r="AJ351" s="190"/>
      <c r="AK351" s="101" t="s">
        <v>1061</v>
      </c>
      <c r="AL351" s="49"/>
      <c r="AM351" s="254" t="s">
        <v>1062</v>
      </c>
      <c r="AN351" s="91">
        <f>Transfer!AD196</f>
        <v>-9999</v>
      </c>
      <c r="AO351" s="242">
        <f>100*((Transfer!AD196/Transfer!AC196)-1)</f>
        <v>0</v>
      </c>
      <c r="AP351" s="242">
        <f>Transfer!AE196</f>
        <v>-9999</v>
      </c>
      <c r="AQ351" s="92">
        <f>100*((Transfer!AE196/Transfer!AD196)-1)</f>
        <v>0</v>
      </c>
      <c r="AR351" s="91">
        <f>Transfer!AF196</f>
        <v>-9999</v>
      </c>
      <c r="AS351" s="242">
        <f>100*((Transfer!AF196/Transfer!AE196)-1)</f>
        <v>0</v>
      </c>
      <c r="AT351" s="242">
        <f>Transfer!AG196</f>
        <v>-9999</v>
      </c>
      <c r="AU351" s="243">
        <f>100*((Transfer!AG196/Transfer!AF196)-1)</f>
        <v>0</v>
      </c>
      <c r="AV351" s="103"/>
      <c r="AW351" s="54"/>
      <c r="AX351" s="54"/>
      <c r="AY351" s="54"/>
      <c r="AZ351" s="54"/>
      <c r="BA351" s="1698" t="s">
        <v>1721</v>
      </c>
      <c r="BB351" s="1699"/>
      <c r="BC351" s="54"/>
    </row>
    <row r="352" spans="1:55">
      <c r="A352" s="45"/>
      <c r="B352" s="1665"/>
      <c r="C352" s="1666" t="s">
        <v>409</v>
      </c>
      <c r="D352" s="2351"/>
      <c r="E352" s="2521" t="s">
        <v>410</v>
      </c>
      <c r="F352" s="2453">
        <f ca="1">Transfer!D197</f>
        <v>-0.13267000000000001</v>
      </c>
      <c r="G352" s="2691">
        <f ca="1">100*((Transfer!D197/Transfer!C197)-1)</f>
        <v>-14.362251484637223</v>
      </c>
      <c r="H352" s="2691">
        <f ca="1">Transfer!E197</f>
        <v>-0.12881580000000001</v>
      </c>
      <c r="I352" s="2692">
        <f ca="1">100*((Transfer!E197/Transfer!D197)-1)</f>
        <v>-2.9051028868621431</v>
      </c>
      <c r="J352" s="2453">
        <f ca="1">Transfer!F197</f>
        <v>-0.125231394</v>
      </c>
      <c r="K352" s="2691">
        <f ca="1">100*((Transfer!F197/Transfer!E197)-1)</f>
        <v>-2.7825825713926444</v>
      </c>
      <c r="L352" s="2691">
        <f ca="1">Transfer!G197</f>
        <v>-0.12189789641999998</v>
      </c>
      <c r="M352" s="2693">
        <f ca="1">100*((Transfer!G197/Transfer!F197)-1)</f>
        <v>-2.6618705370316409</v>
      </c>
      <c r="N352" s="2372"/>
      <c r="O352" s="54"/>
      <c r="P352" s="54"/>
      <c r="Q352" s="54"/>
      <c r="R352" s="54"/>
      <c r="S352" s="190"/>
      <c r="T352" s="101" t="s">
        <v>409</v>
      </c>
      <c r="U352" s="49"/>
      <c r="V352" s="254" t="s">
        <v>410</v>
      </c>
      <c r="W352" s="245">
        <f ca="1">ROUND(F352,1)-ROUND(AN352,1)</f>
        <v>9998.9</v>
      </c>
      <c r="X352" s="245">
        <f ca="1">ROUND(G352,1)-ROUND(AO352,1)</f>
        <v>-14.4</v>
      </c>
      <c r="Y352" s="245">
        <f ca="1">ROUND(H352,1)-ROUND(AP352,1)</f>
        <v>9998.9</v>
      </c>
      <c r="Z352" s="245">
        <f ca="1">ROUND(I352,1)-ROUND(AQ352,1)</f>
        <v>-2.9</v>
      </c>
      <c r="AA352" s="245">
        <f ca="1">ROUND(J352,1)-ROUND(AR352,1)</f>
        <v>9998.9</v>
      </c>
      <c r="AB352" s="245">
        <f ca="1">ROUND(K352,1)-ROUND(AS352,1)</f>
        <v>-2.8</v>
      </c>
      <c r="AC352" s="245">
        <f t="shared" ca="1" si="22"/>
        <v>9998.9</v>
      </c>
      <c r="AD352" s="320">
        <f t="shared" ca="1" si="22"/>
        <v>-2.7</v>
      </c>
      <c r="AE352" s="366"/>
      <c r="AF352" s="45"/>
      <c r="AG352" s="45"/>
      <c r="AH352" s="45"/>
      <c r="AI352" s="45"/>
      <c r="AJ352" s="190"/>
      <c r="AK352" s="101" t="s">
        <v>409</v>
      </c>
      <c r="AL352" s="49"/>
      <c r="AM352" s="254" t="s">
        <v>410</v>
      </c>
      <c r="AN352" s="91">
        <f>Transfer!AD197</f>
        <v>-9999</v>
      </c>
      <c r="AO352" s="242">
        <f>100*((Transfer!AD197/Transfer!AC197)-1)</f>
        <v>0</v>
      </c>
      <c r="AP352" s="242">
        <f>Transfer!AE197</f>
        <v>-9999</v>
      </c>
      <c r="AQ352" s="92">
        <f>100*((Transfer!AE197/Transfer!AD197)-1)</f>
        <v>0</v>
      </c>
      <c r="AR352" s="91">
        <f>Transfer!AF197</f>
        <v>-9999</v>
      </c>
      <c r="AS352" s="242">
        <f>100*((Transfer!AF197/Transfer!AE197)-1)</f>
        <v>0</v>
      </c>
      <c r="AT352" s="242">
        <f>Transfer!AG197</f>
        <v>-9999</v>
      </c>
      <c r="AU352" s="243">
        <f>100*((Transfer!AG197/Transfer!AF197)-1)</f>
        <v>0</v>
      </c>
      <c r="AV352" s="366"/>
      <c r="AW352" s="54"/>
      <c r="AX352" s="54"/>
      <c r="AY352" s="54"/>
      <c r="AZ352" s="54"/>
      <c r="BA352" s="1698" t="s">
        <v>1722</v>
      </c>
      <c r="BB352" s="1699"/>
      <c r="BC352" s="54"/>
    </row>
    <row r="353" spans="1:55">
      <c r="A353" s="45"/>
      <c r="B353" s="1665"/>
      <c r="C353" s="2455" t="s">
        <v>1563</v>
      </c>
      <c r="D353" s="2433"/>
      <c r="E353" s="2521" t="s">
        <v>1564</v>
      </c>
      <c r="F353" s="2700">
        <f ca="1">SUM(Transfer!D187,Transfer!D189,Transfer!D190,Transfer!D191,Transfer!D194)-(SUM(Transfer!D192,Transfer!D193,Transfer!D195,Transfer!D196,Transfer!D197))</f>
        <v>-1.7251599999999989</v>
      </c>
      <c r="G353" s="2394">
        <f ca="1">100*(((SUM(Transfer!D187,Transfer!D189,Transfer!D190,Transfer!D191,Transfer!D194)-(SUM(Transfer!D192,Transfer!D193,Transfer!D195,Transfer!D196,Transfer!D197)))/(SUM(Transfer!C187,Transfer!C189,Transfer!C190,Transfer!C191,Transfer!C194)-(SUM(Transfer!C192,Transfer!C193,Transfer!C195,Transfer!C196,Transfer!C197))))-1)</f>
        <v>20.002782415136579</v>
      </c>
      <c r="H353" s="2700">
        <f ca="1">SUM(Transfer!E187,Transfer!E189,Transfer!E190,Transfer!E191,Transfer!E194)-(SUM(Transfer!E192,Transfer!E193,Transfer!E195,Transfer!E196,Transfer!E197))</f>
        <v>-2.0415153647806363</v>
      </c>
      <c r="I353" s="2394">
        <f ca="1">100*(((SUM(Transfer!E187,Transfer!E189,Transfer!E190,Transfer!E191,Transfer!E194)-(SUM(Transfer!E192,Transfer!E193,Transfer!E195,Transfer!E196,Transfer!E197)))/(SUM(Transfer!D187,Transfer!D189,Transfer!D190,Transfer!D191,Transfer!D194)-(SUM(Transfer!D192,Transfer!D193,Transfer!D195,Transfer!D196,Transfer!D197))))-1)</f>
        <v>18.337740544682092</v>
      </c>
      <c r="J353" s="2700">
        <f ca="1">SUM(Transfer!F187,Transfer!F189,Transfer!F190,Transfer!F191,Transfer!F194)-(SUM(Transfer!F192,Transfer!F193,Transfer!F195,Transfer!F196,Transfer!F197))</f>
        <v>-2.2558582550282011</v>
      </c>
      <c r="K353" s="2394">
        <f ca="1">100*(((SUM(Transfer!F187,Transfer!F189,Transfer!F190,Transfer!F191,Transfer!F194)-(SUM(Transfer!F192,Transfer!F193,Transfer!F195,Transfer!F196,Transfer!F197)))/(SUM(Transfer!E187,Transfer!E189,Transfer!E190,Transfer!E191,Transfer!E194)-(SUM(Transfer!E192,Transfer!E193,Transfer!E195,Transfer!E196,Transfer!E197))))-1)</f>
        <v>10.499205342527329</v>
      </c>
      <c r="L353" s="2700">
        <f ca="1">SUM(Transfer!G187,Transfer!G189,Transfer!G190,Transfer!G191,Transfer!G194)-(SUM(Transfer!G192,Transfer!G193,Transfer!G195,Transfer!G196,Transfer!G197))</f>
        <v>-2.4590650866566435</v>
      </c>
      <c r="M353" s="2378">
        <f ca="1">100*(((SUM(Transfer!G187,Transfer!G189,Transfer!G190,Transfer!G191,Transfer!G194)-(SUM(Transfer!G192,Transfer!G193,Transfer!G195,Transfer!G196,Transfer!G197)))/(SUM(Transfer!F187,Transfer!F189,Transfer!F190,Transfer!F191,Transfer!F194)-(SUM(Transfer!F192,Transfer!F193,Transfer!F195,Transfer!F196,Transfer!F197))))-1)</f>
        <v>9.0079609911440031</v>
      </c>
      <c r="N353" s="2372"/>
      <c r="O353" s="54"/>
      <c r="P353" s="54"/>
      <c r="Q353" s="54"/>
      <c r="R353" s="54"/>
      <c r="S353" s="190"/>
      <c r="T353" s="434" t="s">
        <v>1563</v>
      </c>
      <c r="U353" s="144"/>
      <c r="V353" s="254" t="s">
        <v>1564</v>
      </c>
      <c r="W353" s="245">
        <f ca="1">ROUND(F353,1)-ROUND(AN353,1)</f>
        <v>-1.7</v>
      </c>
      <c r="X353" s="245" t="e">
        <f ca="1">ROUND(G353,1)-ROUND(AO353,1)</f>
        <v>#DIV/0!</v>
      </c>
      <c r="Y353" s="245">
        <f ca="1">ROUND(H353,1)-ROUND(AP353,1)</f>
        <v>-2</v>
      </c>
      <c r="Z353" s="245" t="e">
        <f ca="1">ROUND(I353,1)-ROUND(AQ353,1)</f>
        <v>#DIV/0!</v>
      </c>
      <c r="AA353" s="245">
        <f ca="1">ROUND(J353,1)-ROUND(AR353,1)</f>
        <v>-2.2999999999999998</v>
      </c>
      <c r="AB353" s="245" t="e">
        <f ca="1">ROUND(K353,1)-ROUND(AS353,1)</f>
        <v>#DIV/0!</v>
      </c>
      <c r="AC353" s="245">
        <f t="shared" ca="1" si="22"/>
        <v>-2.5</v>
      </c>
      <c r="AD353" s="320" t="e">
        <f t="shared" ca="1" si="22"/>
        <v>#DIV/0!</v>
      </c>
      <c r="AE353" s="366"/>
      <c r="AF353" s="45"/>
      <c r="AG353" s="45"/>
      <c r="AH353" s="45"/>
      <c r="AI353" s="45"/>
      <c r="AJ353" s="190"/>
      <c r="AK353" s="434" t="s">
        <v>1563</v>
      </c>
      <c r="AL353" s="144"/>
      <c r="AM353" s="254" t="s">
        <v>1564</v>
      </c>
      <c r="AN353" s="435">
        <f>SUM(Transfer!AD187,Transfer!AD189,Transfer!AD190,Transfer!AD191,Transfer!AD194)-(SUM(Transfer!AD192,Transfer!AD193,Transfer!AD195,Transfer!AD196,Transfer!AD197))</f>
        <v>0</v>
      </c>
      <c r="AO353" s="242" t="e">
        <f>100*(((SUM(Transfer!AD187,Transfer!AD189,Transfer!AD190,Transfer!AD191,Transfer!AD194)-(SUM(Transfer!AD192,Transfer!AD193,Transfer!AD195,Transfer!AD196,Transfer!AD197)))/(SUM(Transfer!AC187,Transfer!AC189,Transfer!AC190,Transfer!AC191,Transfer!AC194)-(SUM(Transfer!AC192,Transfer!AC193,Transfer!AC195,Transfer!AC196,Transfer!AC197))))-1)</f>
        <v>#DIV/0!</v>
      </c>
      <c r="AP353" s="435">
        <f>SUM(Transfer!AE187,Transfer!AE189,Transfer!AE190,Transfer!AE191,Transfer!AE194)-(SUM(Transfer!AE192,Transfer!AE193,Transfer!AE195,Transfer!AE196,Transfer!AE197))</f>
        <v>0</v>
      </c>
      <c r="AQ353" s="242" t="e">
        <f>100*(((SUM(Transfer!AE187,Transfer!AE189,Transfer!AE190,Transfer!AE191,Transfer!AE194)-(SUM(Transfer!AE192,Transfer!AE193,Transfer!AE195,Transfer!AE196,Transfer!AE197)))/(SUM(Transfer!AD187,Transfer!AD189,Transfer!AD190,Transfer!AD191,Transfer!AD194)-(SUM(Transfer!AD192,Transfer!AD193,Transfer!AD195,Transfer!AD196,Transfer!AD197))))-1)</f>
        <v>#DIV/0!</v>
      </c>
      <c r="AR353" s="435">
        <f>SUM(Transfer!AF187,Transfer!AF189,Transfer!AF190,Transfer!AF191,Transfer!AF194)-(SUM(Transfer!AF192,Transfer!AF193,Transfer!AF195,Transfer!AF196,Transfer!AF197))</f>
        <v>0</v>
      </c>
      <c r="AS353" s="242" t="e">
        <f>100*(((SUM(Transfer!AF187,Transfer!AF189,Transfer!AF190,Transfer!AF191,Transfer!AF194)-(SUM(Transfer!AF192,Transfer!AF193,Transfer!AF195,Transfer!AF196,Transfer!AF197)))/(SUM(Transfer!AE187,Transfer!AE189,Transfer!AE190,Transfer!AE191,Transfer!AE194)-(SUM(Transfer!AE192,Transfer!AE193,Transfer!AE195,Transfer!AE196,Transfer!AE197))))-1)</f>
        <v>#DIV/0!</v>
      </c>
      <c r="AT353" s="435">
        <f>SUM(Transfer!AG187,Transfer!AG189,Transfer!AG190,Transfer!AG191,Transfer!AG194)-(SUM(Transfer!AG192,Transfer!AG193,Transfer!AG195,Transfer!AG196,Transfer!AG197))</f>
        <v>0</v>
      </c>
      <c r="AU353" s="93" t="e">
        <f>100*(((SUM(Transfer!AG187,Transfer!AG189,Transfer!AG190,Transfer!AG191,Transfer!AG194)-(SUM(Transfer!AG192,Transfer!AG193,Transfer!AG195,Transfer!AG196,Transfer!AG197)))/(SUM(Transfer!AF187,Transfer!AF189,Transfer!AF190,Transfer!AF191,Transfer!AF194)-(SUM(Transfer!AF192,Transfer!AF193,Transfer!AF195,Transfer!AF196,Transfer!AF197))))-1)</f>
        <v>#DIV/0!</v>
      </c>
      <c r="AV353" s="366"/>
      <c r="AW353" s="54"/>
      <c r="AX353" s="54"/>
      <c r="AY353" s="54"/>
      <c r="AZ353" s="54"/>
      <c r="BA353" s="1698" t="s">
        <v>1723</v>
      </c>
      <c r="BB353" s="1699"/>
      <c r="BC353" s="54"/>
    </row>
    <row r="354" spans="1:55" ht="13.5" thickBot="1">
      <c r="A354" s="45"/>
      <c r="B354" s="1665"/>
      <c r="C354" s="2678" t="s">
        <v>1562</v>
      </c>
      <c r="D354" s="2679"/>
      <c r="E354" s="2701"/>
      <c r="F354" s="2702">
        <f ca="1">100*(SUM(Transfer!D187,Transfer!D189,Transfer!D190,Transfer!D191,Transfer!D194)-(SUM(Transfer!D192,Transfer!D193,Transfer!D195,Transfer!D196,Transfer!D197)))/Transfer!D147</f>
        <v>-4.4614299250652705</v>
      </c>
      <c r="G354" s="2702"/>
      <c r="H354" s="2702">
        <f ca="1">100*(SUM(Transfer!E187,Transfer!E189,Transfer!E190,Transfer!E191,Transfer!E194)-(SUM(Transfer!E192,Transfer!E193,Transfer!E195,Transfer!E196,Transfer!E197)))/Transfer!E147</f>
        <v>-4.8863933938050081</v>
      </c>
      <c r="I354" s="2702"/>
      <c r="J354" s="2702">
        <f ca="1">100*(SUM(Transfer!F187,Transfer!F189,Transfer!F190,Transfer!F191,Transfer!F194)-(SUM(Transfer!F192,Transfer!F193,Transfer!F195,Transfer!F196,Transfer!F197)))/Transfer!F147</f>
        <v>-5.1024174133616143</v>
      </c>
      <c r="K354" s="2702"/>
      <c r="L354" s="2702">
        <f ca="1">100*(SUM(Transfer!G187,Transfer!G189,Transfer!G190,Transfer!G191,Transfer!G194)-(SUM(Transfer!G192,Transfer!G193,Transfer!G195,Transfer!G196,Transfer!G197)))/Transfer!G147</f>
        <v>-5.2683433057192737</v>
      </c>
      <c r="M354" s="2593"/>
      <c r="N354" s="2372"/>
      <c r="O354" s="54"/>
      <c r="P354" s="54"/>
      <c r="Q354" s="54"/>
      <c r="R354" s="54"/>
      <c r="S354" s="190"/>
      <c r="T354" s="436" t="s">
        <v>1562</v>
      </c>
      <c r="U354" s="1705"/>
      <c r="V354" s="437"/>
      <c r="W354" s="1719">
        <f ca="1">ROUND(F354,1)-ROUND(AN354,1)</f>
        <v>-4.5</v>
      </c>
      <c r="X354" s="438"/>
      <c r="Y354" s="1719">
        <f ca="1">ROUND(H354,1)-ROUND(AP354,1)</f>
        <v>-4.9000000000000004</v>
      </c>
      <c r="Z354" s="438"/>
      <c r="AA354" s="1719">
        <f ca="1">ROUND(J354,1)-ROUND(AR354,1)</f>
        <v>-5.0999999999999996</v>
      </c>
      <c r="AB354" s="438"/>
      <c r="AC354" s="1719">
        <f ca="1">ROUND(L354,1)-ROUND(AT354,1)</f>
        <v>-5.3</v>
      </c>
      <c r="AD354" s="326"/>
      <c r="AE354" s="366"/>
      <c r="AF354" s="45"/>
      <c r="AG354" s="45"/>
      <c r="AH354" s="45"/>
      <c r="AI354" s="45"/>
      <c r="AJ354" s="190"/>
      <c r="AK354" s="436" t="s">
        <v>1562</v>
      </c>
      <c r="AL354" s="1705"/>
      <c r="AM354" s="437"/>
      <c r="AN354" s="438">
        <f>100*(SUM(Transfer!AD187,Transfer!AD189,Transfer!AD190,Transfer!AD191,Transfer!AD194)-(SUM(Transfer!AD192,Transfer!AD193,Transfer!AD195,Transfer!AD196,Transfer!AD197)))/Transfer!AD147</f>
        <v>0</v>
      </c>
      <c r="AO354" s="438"/>
      <c r="AP354" s="438">
        <f>100*(SUM(Transfer!AE187,Transfer!AE189,Transfer!AE190,Transfer!AE191,Transfer!AE194)-(SUM(Transfer!AE192,Transfer!AE193,Transfer!AE195,Transfer!AE196,Transfer!AE197)))/Transfer!AE147</f>
        <v>0</v>
      </c>
      <c r="AQ354" s="438"/>
      <c r="AR354" s="438">
        <f>100*(SUM(Transfer!AF187,Transfer!AF189,Transfer!AF190,Transfer!AF191,Transfer!AF194)-(SUM(Transfer!AF192,Transfer!AF193,Transfer!AF195,Transfer!AF196,Transfer!AF197)))/Transfer!AF147</f>
        <v>0</v>
      </c>
      <c r="AS354" s="438"/>
      <c r="AT354" s="438">
        <f>100*(SUM(Transfer!AG187,Transfer!AG189,Transfer!AG190,Transfer!AG191,Transfer!AG194)-(SUM(Transfer!AG192,Transfer!AG193,Transfer!AG195,Transfer!AG196,Transfer!AG197)))/Transfer!AG147</f>
        <v>0</v>
      </c>
      <c r="AU354" s="326"/>
      <c r="AV354" s="366"/>
      <c r="AW354" s="54"/>
      <c r="AX354" s="54"/>
      <c r="AY354" s="54"/>
      <c r="AZ354" s="54"/>
      <c r="BA354" s="1736" t="s">
        <v>1724</v>
      </c>
      <c r="BB354" s="1702"/>
      <c r="BC354" s="54"/>
    </row>
    <row r="355" spans="1:55">
      <c r="A355" s="45"/>
      <c r="B355" s="1701"/>
      <c r="C355" s="2477"/>
      <c r="D355" s="2477"/>
      <c r="E355" s="2477"/>
      <c r="F355" s="2477"/>
      <c r="G355" s="2477"/>
      <c r="H355" s="2477">
        <f ca="1">(SUM(Transfer!E187,Transfer!E189,Transfer!E190,Transfer!E191,Transfer!E194)-(SUM(Transfer!E192,Transfer!E193,Transfer!E195)))</f>
        <v>-0.37138136478063188</v>
      </c>
      <c r="I355" s="2477"/>
      <c r="J355" s="2477"/>
      <c r="K355" s="2477"/>
      <c r="L355" s="2477"/>
      <c r="M355" s="2400" t="str">
        <f>UPPER(Country)</f>
        <v>LITHUANIA</v>
      </c>
      <c r="N355" s="2478"/>
      <c r="O355" s="54"/>
      <c r="P355" s="54"/>
      <c r="Q355" s="54"/>
      <c r="R355" s="54"/>
      <c r="S355" s="215"/>
      <c r="T355" s="113"/>
      <c r="U355" s="113"/>
      <c r="V355" s="113"/>
      <c r="W355" s="113"/>
      <c r="X355" s="113"/>
      <c r="Y355" s="113"/>
      <c r="Z355" s="113"/>
      <c r="AA355" s="113"/>
      <c r="AB355" s="113"/>
      <c r="AC355" s="113"/>
      <c r="AD355" s="118" t="str">
        <f>UPPER(Country)</f>
        <v>LITHUANIA</v>
      </c>
      <c r="AE355" s="216"/>
      <c r="AF355" s="45"/>
      <c r="AG355" s="45"/>
      <c r="AH355" s="45"/>
      <c r="AI355" s="45"/>
      <c r="AJ355" s="215"/>
      <c r="AK355" s="113"/>
      <c r="AL355" s="113"/>
      <c r="AM355" s="113"/>
      <c r="AN355" s="113"/>
      <c r="AO355" s="113"/>
      <c r="AP355" s="113"/>
      <c r="AQ355" s="113"/>
      <c r="AR355" s="113"/>
      <c r="AS355" s="113"/>
      <c r="AT355" s="113"/>
      <c r="AU355" s="118" t="str">
        <f>UPPER(Country)</f>
        <v>LITHUANIA</v>
      </c>
      <c r="AV355" s="216"/>
      <c r="AW355" s="54"/>
      <c r="AX355" s="54"/>
      <c r="AY355" s="54"/>
      <c r="AZ355" s="54"/>
      <c r="BA355" s="54"/>
      <c r="BB355" s="54"/>
      <c r="BC355" s="54"/>
    </row>
    <row r="356" spans="1:55">
      <c r="A356" s="45"/>
      <c r="B356" s="45"/>
      <c r="C356" s="45"/>
      <c r="D356" s="45"/>
      <c r="E356" s="45"/>
      <c r="F356" s="45"/>
      <c r="G356" s="45"/>
      <c r="H356" s="45"/>
      <c r="I356" s="45"/>
      <c r="J356" s="45"/>
      <c r="K356" s="45"/>
      <c r="L356" s="45"/>
      <c r="M356" s="45"/>
      <c r="N356" s="54"/>
      <c r="O356" s="54"/>
      <c r="P356" s="54"/>
      <c r="Q356" s="54"/>
      <c r="R356" s="54"/>
      <c r="S356" s="54"/>
      <c r="T356" s="54"/>
      <c r="U356" s="54"/>
      <c r="V356" s="54"/>
      <c r="W356" s="54"/>
      <c r="X356" s="54"/>
      <c r="Y356" s="54"/>
      <c r="Z356" s="54"/>
      <c r="AA356" s="54"/>
      <c r="AB356" s="45"/>
      <c r="AC356" s="45"/>
      <c r="AD356" s="45"/>
      <c r="AE356" s="45"/>
      <c r="AF356" s="45"/>
      <c r="AG356" s="45"/>
      <c r="AH356" s="45"/>
      <c r="AI356" s="45"/>
      <c r="AJ356" s="45"/>
      <c r="AK356" s="45"/>
      <c r="AL356" s="45"/>
      <c r="AM356" s="45"/>
      <c r="AN356" s="45"/>
      <c r="AO356" s="45"/>
      <c r="AP356" s="45"/>
      <c r="AQ356" s="45"/>
      <c r="AR356" s="45"/>
      <c r="AS356" s="45"/>
      <c r="AT356" s="45"/>
      <c r="AU356" s="45"/>
      <c r="AV356" s="54"/>
      <c r="AW356" s="54"/>
      <c r="AX356" s="54"/>
      <c r="AY356" s="54"/>
      <c r="AZ356" s="54"/>
      <c r="BA356" s="54"/>
      <c r="BB356" s="54"/>
      <c r="BC356" s="54"/>
    </row>
    <row r="357" spans="1:55">
      <c r="A357" s="45"/>
      <c r="B357" s="45"/>
      <c r="C357" s="45"/>
      <c r="D357" s="45"/>
      <c r="E357" s="45"/>
      <c r="F357" s="45"/>
      <c r="G357" s="1721"/>
      <c r="H357" s="45"/>
      <c r="I357" s="1721"/>
      <c r="J357" s="45"/>
      <c r="K357" s="1721"/>
      <c r="L357" s="45"/>
      <c r="M357" s="1721"/>
      <c r="N357" s="54"/>
      <c r="O357" s="54"/>
      <c r="P357" s="54"/>
      <c r="Q357" s="54"/>
      <c r="R357" s="54"/>
      <c r="S357" s="54"/>
      <c r="T357" s="54"/>
      <c r="U357" s="54"/>
      <c r="V357" s="54"/>
      <c r="W357" s="54"/>
      <c r="X357" s="54"/>
      <c r="Y357" s="54"/>
      <c r="Z357" s="54"/>
      <c r="AA357" s="54"/>
      <c r="AB357" s="45"/>
      <c r="AC357" s="45"/>
      <c r="AD357" s="45"/>
      <c r="AE357" s="45"/>
      <c r="AF357" s="45"/>
      <c r="AG357" s="45"/>
      <c r="AH357" s="45"/>
      <c r="AI357" s="45"/>
      <c r="AJ357" s="45"/>
      <c r="AK357" s="45"/>
      <c r="AL357" s="45"/>
      <c r="AM357" s="45"/>
      <c r="AN357" s="45"/>
      <c r="AO357" s="45"/>
      <c r="AP357" s="45"/>
      <c r="AQ357" s="45"/>
      <c r="AR357" s="45"/>
      <c r="AS357" s="45"/>
      <c r="AT357" s="45"/>
      <c r="AU357" s="45"/>
      <c r="AV357" s="54"/>
      <c r="AW357" s="54"/>
      <c r="AX357" s="54"/>
      <c r="AY357" s="54"/>
      <c r="AZ357" s="54"/>
      <c r="BA357" s="54"/>
      <c r="BB357" s="54"/>
      <c r="BC357" s="54"/>
    </row>
    <row r="358" spans="1:55">
      <c r="A358" s="45"/>
      <c r="B358" s="45"/>
      <c r="C358" s="45"/>
      <c r="D358" s="45"/>
      <c r="E358" s="45"/>
      <c r="F358" s="45"/>
      <c r="G358" s="45"/>
      <c r="H358" s="45"/>
      <c r="I358" s="45"/>
      <c r="J358" s="45"/>
      <c r="K358" s="45"/>
      <c r="L358" s="45"/>
      <c r="M358" s="45"/>
      <c r="N358" s="54"/>
      <c r="O358" s="54"/>
      <c r="P358" s="54"/>
      <c r="Q358" s="54"/>
      <c r="R358" s="54"/>
      <c r="S358" s="54"/>
      <c r="T358" s="54"/>
      <c r="U358" s="54"/>
      <c r="V358" s="54"/>
      <c r="W358" s="54"/>
      <c r="X358" s="54"/>
      <c r="Y358" s="54"/>
      <c r="Z358" s="54"/>
      <c r="AA358" s="54"/>
      <c r="AB358" s="45"/>
      <c r="AC358" s="45"/>
      <c r="AD358" s="45"/>
      <c r="AE358" s="45"/>
      <c r="AF358" s="45"/>
      <c r="AG358" s="45"/>
      <c r="AH358" s="45"/>
      <c r="AI358" s="45"/>
      <c r="AJ358" s="45"/>
      <c r="AK358" s="45"/>
      <c r="AL358" s="45"/>
      <c r="AM358" s="45"/>
      <c r="AN358" s="45"/>
      <c r="AO358" s="45"/>
      <c r="AP358" s="45"/>
      <c r="AQ358" s="45"/>
      <c r="AR358" s="45"/>
      <c r="AS358" s="45"/>
      <c r="AT358" s="45"/>
      <c r="AU358" s="45"/>
      <c r="AV358" s="54"/>
      <c r="AW358" s="54"/>
      <c r="AX358" s="54"/>
      <c r="AY358" s="54"/>
      <c r="AZ358" s="54"/>
      <c r="BA358" s="54"/>
      <c r="BB358" s="54"/>
      <c r="BC358" s="54"/>
    </row>
    <row r="359" spans="1:55">
      <c r="A359" s="45"/>
      <c r="B359" s="45"/>
      <c r="C359" s="45"/>
      <c r="D359" s="45"/>
      <c r="E359" s="45"/>
      <c r="F359" s="45"/>
      <c r="G359" s="45"/>
      <c r="H359" s="45"/>
      <c r="I359" s="45"/>
      <c r="J359" s="45"/>
      <c r="K359" s="45"/>
      <c r="L359" s="45"/>
      <c r="M359" s="45"/>
      <c r="N359" s="54"/>
      <c r="O359" s="54"/>
      <c r="P359" s="54"/>
      <c r="Q359" s="54"/>
      <c r="R359" s="54"/>
      <c r="S359" s="54"/>
      <c r="T359" s="54"/>
      <c r="U359" s="54"/>
      <c r="V359" s="54"/>
      <c r="W359" s="54"/>
      <c r="X359" s="54"/>
      <c r="Y359" s="54"/>
      <c r="Z359" s="54"/>
      <c r="AA359" s="54"/>
      <c r="AB359" s="45"/>
      <c r="AC359" s="45"/>
      <c r="AD359" s="45"/>
      <c r="AE359" s="45"/>
      <c r="AF359" s="45"/>
      <c r="AG359" s="45"/>
      <c r="AH359" s="45"/>
      <c r="AI359" s="45"/>
      <c r="AJ359" s="45"/>
      <c r="AK359" s="45"/>
      <c r="AL359" s="45"/>
      <c r="AM359" s="45"/>
      <c r="AN359" s="45"/>
      <c r="AO359" s="45"/>
      <c r="AP359" s="45"/>
      <c r="AQ359" s="45"/>
      <c r="AR359" s="45"/>
      <c r="AS359" s="45"/>
      <c r="AT359" s="45"/>
      <c r="AU359" s="45"/>
      <c r="AV359" s="54"/>
      <c r="AW359" s="54"/>
      <c r="AX359" s="54"/>
      <c r="AY359" s="54"/>
      <c r="AZ359" s="54"/>
      <c r="BA359" s="54"/>
      <c r="BB359" s="54"/>
      <c r="BC359" s="54"/>
    </row>
    <row r="360" spans="1:55">
      <c r="A360" s="45"/>
      <c r="B360" s="45"/>
      <c r="C360" s="45"/>
      <c r="D360" s="45"/>
      <c r="E360" s="45"/>
      <c r="F360" s="45"/>
      <c r="G360" s="45"/>
      <c r="H360" s="45"/>
      <c r="I360" s="45"/>
      <c r="J360" s="45"/>
      <c r="K360" s="45"/>
      <c r="L360" s="45"/>
      <c r="M360" s="45"/>
      <c r="N360" s="54"/>
      <c r="O360" s="54"/>
      <c r="P360" s="54"/>
      <c r="Q360" s="54"/>
      <c r="R360" s="54"/>
      <c r="S360" s="54"/>
      <c r="T360" s="54"/>
      <c r="U360" s="54"/>
      <c r="V360" s="54"/>
      <c r="W360" s="54"/>
      <c r="X360" s="54"/>
      <c r="Y360" s="54"/>
      <c r="Z360" s="54"/>
      <c r="AA360" s="54"/>
      <c r="AB360" s="45"/>
      <c r="AC360" s="45"/>
      <c r="AD360" s="45"/>
      <c r="AE360" s="45"/>
      <c r="AF360" s="45"/>
      <c r="AG360" s="45"/>
      <c r="AH360" s="45"/>
      <c r="AI360" s="45"/>
      <c r="AJ360" s="45"/>
      <c r="AK360" s="45"/>
      <c r="AL360" s="45"/>
      <c r="AM360" s="45"/>
      <c r="AN360" s="45"/>
      <c r="AO360" s="45"/>
      <c r="AP360" s="45"/>
      <c r="AQ360" s="45"/>
      <c r="AR360" s="45"/>
      <c r="AS360" s="45"/>
      <c r="AT360" s="45"/>
      <c r="AU360" s="45"/>
      <c r="AV360" s="54"/>
      <c r="AW360" s="54"/>
      <c r="AX360" s="54"/>
      <c r="AY360" s="54"/>
      <c r="AZ360" s="54"/>
      <c r="BA360" s="54"/>
      <c r="BB360" s="54"/>
      <c r="BC360" s="54"/>
    </row>
    <row r="361" spans="1:55">
      <c r="A361" s="45"/>
      <c r="B361" s="45"/>
      <c r="C361" s="45"/>
      <c r="D361" s="45"/>
      <c r="E361" s="45"/>
      <c r="F361" s="45"/>
      <c r="G361" s="45"/>
      <c r="H361" s="45"/>
      <c r="I361" s="45"/>
      <c r="J361" s="45"/>
      <c r="K361" s="45"/>
      <c r="L361" s="45"/>
      <c r="M361" s="45"/>
      <c r="N361" s="54"/>
      <c r="O361" s="54"/>
      <c r="P361" s="54"/>
      <c r="Q361" s="54"/>
      <c r="R361" s="54"/>
      <c r="S361" s="54"/>
      <c r="T361" s="54"/>
      <c r="U361" s="54"/>
      <c r="V361" s="54"/>
      <c r="W361" s="54"/>
      <c r="X361" s="54"/>
      <c r="Y361" s="54"/>
      <c r="Z361" s="54"/>
      <c r="AA361" s="54"/>
      <c r="AB361" s="45"/>
      <c r="AC361" s="45"/>
      <c r="AD361" s="45"/>
      <c r="AE361" s="45"/>
      <c r="AF361" s="45"/>
      <c r="AG361" s="45"/>
      <c r="AH361" s="45"/>
      <c r="AI361" s="45"/>
      <c r="AJ361" s="45"/>
      <c r="AK361" s="45"/>
      <c r="AL361" s="45"/>
      <c r="AM361" s="45"/>
      <c r="AN361" s="45"/>
      <c r="AO361" s="45"/>
      <c r="AP361" s="45"/>
      <c r="AQ361" s="45"/>
      <c r="AR361" s="45"/>
      <c r="AS361" s="45"/>
      <c r="AT361" s="45"/>
      <c r="AU361" s="45"/>
      <c r="AV361" s="54"/>
      <c r="AW361" s="54"/>
      <c r="AX361" s="54"/>
      <c r="AY361" s="54"/>
      <c r="AZ361" s="54"/>
      <c r="BA361" s="54"/>
      <c r="BB361" s="54"/>
      <c r="BC361" s="54"/>
    </row>
    <row r="362" spans="1:55">
      <c r="A362" s="45"/>
      <c r="B362" s="45"/>
      <c r="C362" s="45"/>
      <c r="D362" s="45"/>
      <c r="E362" s="45"/>
      <c r="F362" s="45"/>
      <c r="G362" s="45"/>
      <c r="H362" s="45"/>
      <c r="I362" s="45"/>
      <c r="J362" s="45"/>
      <c r="K362" s="45"/>
      <c r="L362" s="45"/>
      <c r="M362" s="45"/>
      <c r="N362" s="54"/>
      <c r="O362" s="54"/>
      <c r="P362" s="54"/>
      <c r="Q362" s="54"/>
      <c r="R362" s="54"/>
      <c r="S362" s="54"/>
      <c r="T362" s="54"/>
      <c r="U362" s="54"/>
      <c r="V362" s="54"/>
      <c r="W362" s="54"/>
      <c r="X362" s="54"/>
      <c r="Y362" s="54"/>
      <c r="Z362" s="54"/>
      <c r="AA362" s="54"/>
      <c r="AB362" s="45"/>
      <c r="AC362" s="45"/>
      <c r="AD362" s="45"/>
      <c r="AE362" s="45"/>
      <c r="AF362" s="45"/>
      <c r="AG362" s="45"/>
      <c r="AH362" s="45"/>
      <c r="AI362" s="45"/>
      <c r="AJ362" s="45"/>
      <c r="AK362" s="45"/>
      <c r="AL362" s="45"/>
      <c r="AM362" s="45"/>
      <c r="AN362" s="45"/>
      <c r="AO362" s="45"/>
      <c r="AP362" s="45"/>
      <c r="AQ362" s="45"/>
      <c r="AR362" s="45"/>
      <c r="AS362" s="45"/>
      <c r="AT362" s="45"/>
      <c r="AU362" s="45"/>
      <c r="AV362" s="54"/>
      <c r="AW362" s="54"/>
      <c r="AX362" s="54"/>
      <c r="AY362" s="54"/>
      <c r="AZ362" s="54"/>
      <c r="BA362" s="54"/>
      <c r="BB362" s="54"/>
      <c r="BC362" s="54"/>
    </row>
    <row r="363" spans="1:55">
      <c r="A363" s="45"/>
      <c r="B363" s="45"/>
      <c r="C363" s="45"/>
      <c r="D363" s="45"/>
      <c r="E363" s="45"/>
      <c r="F363" s="45"/>
      <c r="G363" s="45"/>
      <c r="H363" s="45"/>
      <c r="I363" s="45"/>
      <c r="J363" s="45"/>
      <c r="K363" s="45"/>
      <c r="L363" s="45"/>
      <c r="M363" s="45"/>
      <c r="N363" s="54"/>
      <c r="O363" s="54"/>
      <c r="P363" s="54"/>
      <c r="Q363" s="54"/>
      <c r="R363" s="54"/>
      <c r="S363" s="54"/>
      <c r="T363" s="54"/>
      <c r="U363" s="54"/>
      <c r="V363" s="54"/>
      <c r="W363" s="54"/>
      <c r="X363" s="54"/>
      <c r="Y363" s="54"/>
      <c r="Z363" s="54"/>
      <c r="AA363" s="54"/>
      <c r="AB363" s="45"/>
      <c r="AC363" s="45"/>
      <c r="AD363" s="45"/>
      <c r="AE363" s="45"/>
      <c r="AF363" s="45"/>
      <c r="AG363" s="45"/>
      <c r="AH363" s="45"/>
      <c r="AI363" s="45"/>
      <c r="AJ363" s="45"/>
      <c r="AK363" s="45"/>
      <c r="AL363" s="45"/>
      <c r="AM363" s="45"/>
      <c r="AN363" s="45"/>
      <c r="AO363" s="45"/>
      <c r="AP363" s="45"/>
      <c r="AQ363" s="45"/>
      <c r="AR363" s="45"/>
      <c r="AS363" s="45"/>
      <c r="AT363" s="45"/>
      <c r="AU363" s="45"/>
      <c r="AV363" s="54"/>
      <c r="AW363" s="54"/>
      <c r="AX363" s="54"/>
      <c r="AY363" s="54"/>
      <c r="AZ363" s="54"/>
      <c r="BA363" s="54"/>
      <c r="BB363" s="54"/>
      <c r="BC363" s="54"/>
    </row>
    <row r="364" spans="1:55">
      <c r="A364" s="45"/>
      <c r="B364" s="45"/>
      <c r="C364" s="45"/>
      <c r="D364" s="45"/>
      <c r="E364" s="45"/>
      <c r="F364" s="45"/>
      <c r="G364" s="45"/>
      <c r="H364" s="45"/>
      <c r="I364" s="45"/>
      <c r="J364" s="45"/>
      <c r="K364" s="45"/>
      <c r="L364" s="45"/>
      <c r="M364" s="45"/>
      <c r="N364" s="45"/>
      <c r="O364" s="54"/>
      <c r="P364" s="54"/>
      <c r="Q364" s="54"/>
      <c r="R364" s="54"/>
      <c r="S364" s="54"/>
      <c r="T364" s="54"/>
      <c r="U364" s="54"/>
      <c r="V364" s="54"/>
      <c r="W364" s="54"/>
      <c r="X364" s="54"/>
      <c r="Y364" s="54"/>
      <c r="Z364" s="54"/>
      <c r="AA364" s="54"/>
      <c r="AB364" s="45"/>
      <c r="AC364" s="45"/>
      <c r="AD364" s="45"/>
      <c r="AE364" s="45"/>
      <c r="AF364" s="45"/>
      <c r="AG364" s="45"/>
      <c r="AH364" s="45"/>
      <c r="AI364" s="45"/>
      <c r="AJ364" s="45"/>
      <c r="AK364" s="45"/>
      <c r="AL364" s="45"/>
      <c r="AM364" s="45"/>
      <c r="AN364" s="45"/>
      <c r="AO364" s="45"/>
      <c r="AP364" s="45"/>
      <c r="AQ364" s="45"/>
      <c r="AR364" s="45"/>
      <c r="AS364" s="45"/>
      <c r="AT364" s="45"/>
      <c r="AU364" s="45"/>
      <c r="AV364" s="45"/>
      <c r="AW364" s="54"/>
      <c r="AX364" s="54"/>
      <c r="AY364" s="54"/>
      <c r="AZ364" s="54"/>
      <c r="BA364" s="54"/>
      <c r="BB364" s="54"/>
      <c r="BC364" s="54"/>
    </row>
    <row r="365" spans="1:55">
      <c r="A365" s="45"/>
      <c r="B365" s="45"/>
      <c r="C365" s="45"/>
      <c r="D365" s="45"/>
      <c r="E365" s="45"/>
      <c r="F365" s="45"/>
      <c r="G365" s="45"/>
      <c r="H365" s="45"/>
      <c r="I365" s="45"/>
      <c r="J365" s="45"/>
      <c r="K365" s="45"/>
      <c r="L365" s="45"/>
      <c r="M365" s="45"/>
      <c r="N365" s="45"/>
      <c r="O365" s="54"/>
      <c r="P365" s="54"/>
      <c r="Q365" s="54"/>
      <c r="R365" s="54"/>
      <c r="S365" s="54"/>
      <c r="T365" s="54"/>
      <c r="U365" s="54"/>
      <c r="V365" s="54"/>
      <c r="W365" s="54"/>
      <c r="X365" s="54"/>
      <c r="Y365" s="54"/>
      <c r="Z365" s="54"/>
      <c r="AA365" s="54"/>
      <c r="AB365" s="45"/>
      <c r="AC365" s="45"/>
      <c r="AD365" s="45"/>
      <c r="AE365" s="45"/>
      <c r="AF365" s="45"/>
      <c r="AG365" s="45"/>
      <c r="AH365" s="45"/>
      <c r="AI365" s="45"/>
      <c r="AJ365" s="45"/>
      <c r="AK365" s="45"/>
      <c r="AL365" s="45"/>
      <c r="AM365" s="45"/>
      <c r="AN365" s="45"/>
      <c r="AO365" s="45"/>
      <c r="AP365" s="45"/>
      <c r="AQ365" s="45"/>
      <c r="AR365" s="45"/>
      <c r="AS365" s="45"/>
      <c r="AT365" s="45"/>
      <c r="AU365" s="45"/>
      <c r="AV365" s="45"/>
      <c r="AW365" s="54"/>
      <c r="AX365" s="54"/>
      <c r="AY365" s="54"/>
      <c r="AZ365" s="54"/>
      <c r="BA365" s="54"/>
      <c r="BB365" s="54"/>
      <c r="BC365" s="54"/>
    </row>
    <row r="366" spans="1:55">
      <c r="A366" s="45"/>
      <c r="B366" s="2341"/>
      <c r="C366" s="2443"/>
      <c r="D366" s="2443"/>
      <c r="E366" s="2443"/>
      <c r="F366" s="2443"/>
      <c r="G366" s="2443"/>
      <c r="H366" s="2443"/>
      <c r="I366" s="2443"/>
      <c r="J366" s="2443"/>
      <c r="K366" s="2443"/>
      <c r="L366" s="2443"/>
      <c r="M366" s="2443"/>
      <c r="N366" s="2444"/>
      <c r="O366" s="54"/>
      <c r="P366" s="54"/>
      <c r="Q366" s="54"/>
      <c r="R366" s="54"/>
      <c r="S366" s="188"/>
      <c r="T366" s="23"/>
      <c r="U366" s="23"/>
      <c r="V366" s="23"/>
      <c r="W366" s="23"/>
      <c r="X366" s="23"/>
      <c r="Y366" s="23"/>
      <c r="Z366" s="23"/>
      <c r="AA366" s="23"/>
      <c r="AB366" s="23"/>
      <c r="AC366" s="23"/>
      <c r="AD366" s="23"/>
      <c r="AE366" s="189"/>
      <c r="AF366" s="45"/>
      <c r="AG366" s="45"/>
      <c r="AH366" s="45"/>
      <c r="AI366" s="45"/>
      <c r="AJ366" s="188"/>
      <c r="AK366" s="23"/>
      <c r="AL366" s="23"/>
      <c r="AM366" s="23"/>
      <c r="AN366" s="23"/>
      <c r="AO366" s="23"/>
      <c r="AP366" s="23"/>
      <c r="AQ366" s="23"/>
      <c r="AR366" s="23"/>
      <c r="AS366" s="23"/>
      <c r="AT366" s="23"/>
      <c r="AU366" s="23"/>
      <c r="AV366" s="189"/>
      <c r="AW366" s="54"/>
      <c r="AX366" s="54"/>
      <c r="AY366" s="54"/>
      <c r="AZ366" s="54"/>
      <c r="BA366" s="54"/>
      <c r="BB366" s="54"/>
      <c r="BC366" s="54"/>
    </row>
    <row r="367" spans="1:55">
      <c r="A367" s="45"/>
      <c r="B367" s="1665"/>
      <c r="C367" s="2480" t="s">
        <v>342</v>
      </c>
      <c r="D367" s="2683"/>
      <c r="E367" s="2683"/>
      <c r="F367" s="2351"/>
      <c r="G367" s="2351"/>
      <c r="H367" s="2351"/>
      <c r="I367" s="2351"/>
      <c r="J367" s="2351"/>
      <c r="K367" s="2351"/>
      <c r="L367" s="2351"/>
      <c r="M367" s="2351"/>
      <c r="N367" s="2452"/>
      <c r="O367" s="54"/>
      <c r="P367" s="54"/>
      <c r="Q367" s="54"/>
      <c r="R367" s="54"/>
      <c r="S367" s="190"/>
      <c r="T367" s="124" t="s">
        <v>342</v>
      </c>
      <c r="U367" s="125"/>
      <c r="V367" s="125"/>
      <c r="W367" s="49"/>
      <c r="X367" s="49"/>
      <c r="Y367" s="49"/>
      <c r="Z367" s="49"/>
      <c r="AA367" s="49"/>
      <c r="AB367" s="49"/>
      <c r="AC367" s="49"/>
      <c r="AD367" s="49"/>
      <c r="AE367" s="199"/>
      <c r="AF367" s="45"/>
      <c r="AG367" s="45"/>
      <c r="AH367" s="45"/>
      <c r="AI367" s="45"/>
      <c r="AJ367" s="190"/>
      <c r="AK367" s="124" t="s">
        <v>342</v>
      </c>
      <c r="AL367" s="125"/>
      <c r="AM367" s="125"/>
      <c r="AN367" s="49"/>
      <c r="AO367" s="49"/>
      <c r="AP367" s="49"/>
      <c r="AQ367" s="49"/>
      <c r="AR367" s="49"/>
      <c r="AS367" s="49"/>
      <c r="AT367" s="49"/>
      <c r="AU367" s="49"/>
      <c r="AV367" s="199"/>
      <c r="AW367" s="54"/>
      <c r="AX367" s="54"/>
      <c r="AY367" s="54"/>
      <c r="AZ367" s="54"/>
      <c r="BA367" s="54"/>
      <c r="BB367" s="54"/>
      <c r="BC367" s="54"/>
    </row>
    <row r="368" spans="1:55">
      <c r="A368" s="45"/>
      <c r="B368" s="1665"/>
      <c r="C368" s="3751" t="s">
        <v>1400</v>
      </c>
      <c r="D368" s="3751"/>
      <c r="E368" s="3751"/>
      <c r="F368" s="3751"/>
      <c r="G368" s="3751"/>
      <c r="H368" s="3751"/>
      <c r="I368" s="3751"/>
      <c r="J368" s="3751"/>
      <c r="K368" s="3751"/>
      <c r="L368" s="3751"/>
      <c r="M368" s="3751"/>
      <c r="N368" s="2530"/>
      <c r="O368" s="54"/>
      <c r="P368" s="54"/>
      <c r="Q368" s="54"/>
      <c r="R368" s="54"/>
      <c r="S368" s="190"/>
      <c r="T368" s="3751" t="s">
        <v>1400</v>
      </c>
      <c r="U368" s="3751"/>
      <c r="V368" s="3751"/>
      <c r="W368" s="3751"/>
      <c r="X368" s="3751"/>
      <c r="Y368" s="3751"/>
      <c r="Z368" s="3751"/>
      <c r="AA368" s="3751"/>
      <c r="AB368" s="3751"/>
      <c r="AC368" s="3751"/>
      <c r="AD368" s="3751"/>
      <c r="AE368" s="439"/>
      <c r="AF368" s="45"/>
      <c r="AG368" s="45"/>
      <c r="AH368" s="45"/>
      <c r="AI368" s="45"/>
      <c r="AJ368" s="190"/>
      <c r="AK368" s="3751" t="s">
        <v>1400</v>
      </c>
      <c r="AL368" s="3751"/>
      <c r="AM368" s="3751"/>
      <c r="AN368" s="3751"/>
      <c r="AO368" s="3751"/>
      <c r="AP368" s="3751"/>
      <c r="AQ368" s="3751"/>
      <c r="AR368" s="3751"/>
      <c r="AS368" s="3751"/>
      <c r="AT368" s="3751"/>
      <c r="AU368" s="3751"/>
      <c r="AV368" s="439"/>
      <c r="AW368" s="54"/>
      <c r="AX368" s="54"/>
      <c r="AY368" s="54"/>
      <c r="AZ368" s="54"/>
      <c r="BA368" s="54"/>
      <c r="BB368" s="54"/>
      <c r="BC368" s="54"/>
    </row>
    <row r="369" spans="1:55">
      <c r="A369" s="45"/>
      <c r="B369" s="1665"/>
      <c r="C369" s="2445"/>
      <c r="D369" s="2445"/>
      <c r="E369" s="2684"/>
      <c r="F369" s="2351"/>
      <c r="G369" s="2351"/>
      <c r="H369" s="2351"/>
      <c r="I369" s="2351"/>
      <c r="J369" s="2351"/>
      <c r="K369" s="2351"/>
      <c r="L369" s="2351"/>
      <c r="M369" s="2351"/>
      <c r="N369" s="2452"/>
      <c r="O369" s="54"/>
      <c r="P369" s="54"/>
      <c r="Q369" s="54"/>
      <c r="R369" s="54"/>
      <c r="S369" s="190"/>
      <c r="T369" s="1"/>
      <c r="U369" s="1"/>
      <c r="V369" s="48"/>
      <c r="W369" s="49"/>
      <c r="X369" s="49"/>
      <c r="Y369" s="49"/>
      <c r="Z369" s="49"/>
      <c r="AA369" s="49"/>
      <c r="AB369" s="49"/>
      <c r="AC369" s="49"/>
      <c r="AD369" s="49"/>
      <c r="AE369" s="199"/>
      <c r="AF369" s="45"/>
      <c r="AG369" s="45"/>
      <c r="AH369" s="45"/>
      <c r="AI369" s="45"/>
      <c r="AJ369" s="190"/>
      <c r="AK369" s="1"/>
      <c r="AL369" s="1"/>
      <c r="AM369" s="48"/>
      <c r="AN369" s="49"/>
      <c r="AO369" s="49"/>
      <c r="AP369" s="49"/>
      <c r="AQ369" s="49"/>
      <c r="AR369" s="49"/>
      <c r="AS369" s="49"/>
      <c r="AT369" s="49"/>
      <c r="AU369" s="49"/>
      <c r="AV369" s="199"/>
      <c r="AW369" s="54"/>
      <c r="AX369" s="54"/>
      <c r="AY369" s="54"/>
      <c r="AZ369" s="54"/>
      <c r="BA369" s="54"/>
      <c r="BB369" s="54"/>
      <c r="BC369" s="54"/>
    </row>
    <row r="370" spans="1:55" ht="15.75">
      <c r="A370" s="45"/>
      <c r="B370" s="1665"/>
      <c r="C370" s="2349" t="str">
        <f>"Country: " &amp;UPPER(Country)</f>
        <v>Country: LITHUANIA</v>
      </c>
      <c r="D370" s="2684"/>
      <c r="E370" s="2684"/>
      <c r="F370" s="2351"/>
      <c r="G370" s="2351"/>
      <c r="H370" s="2351"/>
      <c r="I370" s="2351"/>
      <c r="J370" s="2351"/>
      <c r="K370" s="2351"/>
      <c r="L370" s="2351"/>
      <c r="M370" s="2351"/>
      <c r="N370" s="2452"/>
      <c r="O370" s="54"/>
      <c r="P370" s="54"/>
      <c r="Q370" s="54"/>
      <c r="R370" s="54"/>
      <c r="S370" s="190"/>
      <c r="T370" s="63" t="str">
        <f>"Country: " &amp;UPPER(Country)</f>
        <v>Country: LITHUANIA</v>
      </c>
      <c r="U370" s="48"/>
      <c r="V370" s="48"/>
      <c r="W370" s="2006" t="s">
        <v>390</v>
      </c>
      <c r="X370" s="49"/>
      <c r="Y370" s="49"/>
      <c r="Z370" s="49"/>
      <c r="AA370" s="49"/>
      <c r="AB370" s="49"/>
      <c r="AC370" s="49"/>
      <c r="AD370" s="49"/>
      <c r="AE370" s="199"/>
      <c r="AF370" s="45"/>
      <c r="AG370" s="45"/>
      <c r="AH370" s="45"/>
      <c r="AI370" s="45"/>
      <c r="AJ370" s="190"/>
      <c r="AK370" s="63" t="str">
        <f>"Country: " &amp;UPPER(Country)</f>
        <v>Country: LITHUANIA</v>
      </c>
      <c r="AL370" s="48"/>
      <c r="AM370" s="48"/>
      <c r="AN370" s="49"/>
      <c r="AO370" s="49"/>
      <c r="AP370" s="49"/>
      <c r="AQ370" s="49"/>
      <c r="AR370" s="49"/>
      <c r="AS370" s="49"/>
      <c r="AT370" s="49"/>
      <c r="AU370" s="49"/>
      <c r="AV370" s="199"/>
      <c r="AW370" s="54"/>
      <c r="AX370" s="54"/>
      <c r="AY370" s="54"/>
      <c r="AZ370" s="54"/>
      <c r="BA370" s="54"/>
      <c r="BB370" s="54"/>
      <c r="BC370" s="54"/>
    </row>
    <row r="371" spans="1:55" ht="15.75">
      <c r="A371" s="45"/>
      <c r="B371" s="1665"/>
      <c r="C371" s="2349" t="str">
        <f>"Currency unit: " &amp; Currency</f>
        <v>Currency unit: bn EUR</v>
      </c>
      <c r="D371" s="2349"/>
      <c r="E371" s="2349"/>
      <c r="F371" s="2351"/>
      <c r="G371" s="2351"/>
      <c r="H371" s="2351"/>
      <c r="I371" s="2351"/>
      <c r="J371" s="2445"/>
      <c r="K371" s="2445"/>
      <c r="L371" s="2445"/>
      <c r="M371" s="2445"/>
      <c r="N371" s="1664"/>
      <c r="O371" s="54"/>
      <c r="P371" s="54"/>
      <c r="Q371" s="54"/>
      <c r="R371" s="54"/>
      <c r="S371" s="190"/>
      <c r="T371" s="63" t="str">
        <f>"Currency unit: " &amp; Currency</f>
        <v>Currency unit: bn EUR</v>
      </c>
      <c r="U371" s="130"/>
      <c r="V371" s="130"/>
      <c r="W371" s="2006" t="str">
        <f>$T$4</f>
        <v>2nd storage</v>
      </c>
      <c r="X371" s="49"/>
      <c r="Y371" s="49"/>
      <c r="Z371" s="49"/>
      <c r="AA371" s="1"/>
      <c r="AB371" s="1"/>
      <c r="AC371" s="1"/>
      <c r="AD371" s="1"/>
      <c r="AE371" s="90"/>
      <c r="AF371" s="45"/>
      <c r="AG371" s="45"/>
      <c r="AH371" s="45"/>
      <c r="AI371" s="45"/>
      <c r="AJ371" s="190"/>
      <c r="AK371" s="63" t="str">
        <f>"Currency unit: " &amp; Currency</f>
        <v>Currency unit: bn EUR</v>
      </c>
      <c r="AL371" s="130"/>
      <c r="AM371" s="130"/>
      <c r="AN371" s="49"/>
      <c r="AO371" s="49"/>
      <c r="AP371" s="49"/>
      <c r="AQ371" s="49"/>
      <c r="AR371" s="1"/>
      <c r="AS371" s="1"/>
      <c r="AT371" s="1"/>
      <c r="AU371" s="1"/>
      <c r="AV371" s="90"/>
      <c r="AW371" s="54"/>
      <c r="AX371" s="54"/>
      <c r="AY371" s="54"/>
      <c r="AZ371" s="54"/>
      <c r="BA371" s="54"/>
      <c r="BB371" s="54"/>
      <c r="BC371" s="54"/>
    </row>
    <row r="372" spans="1:55" ht="13.5" thickBot="1">
      <c r="A372" s="45"/>
      <c r="B372" s="1665"/>
      <c r="C372" s="2355" t="s">
        <v>297</v>
      </c>
      <c r="D372" s="2351"/>
      <c r="E372" s="2351"/>
      <c r="F372" s="2351"/>
      <c r="G372" s="2351"/>
      <c r="H372" s="2351"/>
      <c r="I372" s="2351"/>
      <c r="J372" s="2445"/>
      <c r="K372" s="2703"/>
      <c r="L372" s="3789">
        <f ca="1">NOW()</f>
        <v>43392.47578483796</v>
      </c>
      <c r="M372" s="3789"/>
      <c r="N372" s="2602"/>
      <c r="O372" s="54"/>
      <c r="P372" s="54"/>
      <c r="Q372" s="54"/>
      <c r="R372" s="54"/>
      <c r="S372" s="190"/>
      <c r="T372" s="69" t="s">
        <v>297</v>
      </c>
      <c r="U372" s="49"/>
      <c r="V372" s="49"/>
      <c r="W372" s="49"/>
      <c r="X372" s="49"/>
      <c r="Y372" s="49"/>
      <c r="Z372" s="49"/>
      <c r="AA372" s="1"/>
      <c r="AC372" s="3751">
        <f ca="1">NOW()</f>
        <v>43392.47578483796</v>
      </c>
      <c r="AD372" s="3751"/>
      <c r="AE372" s="337"/>
      <c r="AF372" s="45"/>
      <c r="AG372" s="45"/>
      <c r="AH372" s="45"/>
      <c r="AI372" s="45"/>
      <c r="AJ372" s="190"/>
      <c r="AK372" s="69" t="s">
        <v>297</v>
      </c>
      <c r="AL372" s="49"/>
      <c r="AM372" s="49"/>
      <c r="AN372" s="49"/>
      <c r="AO372" s="49"/>
      <c r="AP372" s="49"/>
      <c r="AQ372" s="49"/>
      <c r="AR372" s="1"/>
      <c r="AT372" s="3751">
        <f ca="1">NOW()</f>
        <v>43392.47578483796</v>
      </c>
      <c r="AU372" s="3751"/>
      <c r="AV372" s="337"/>
      <c r="AW372" s="54"/>
      <c r="AX372" s="54"/>
      <c r="AY372" s="54"/>
      <c r="AZ372" s="54"/>
      <c r="BA372" s="54"/>
      <c r="BB372" s="54"/>
      <c r="BC372" s="54"/>
    </row>
    <row r="373" spans="1:55">
      <c r="A373" s="45"/>
      <c r="B373" s="1665"/>
      <c r="C373" s="2357"/>
      <c r="D373" s="2633"/>
      <c r="E373" s="2404" t="s">
        <v>297</v>
      </c>
      <c r="F373" s="3751">
        <f>E16</f>
        <v>2016</v>
      </c>
      <c r="G373" s="3751"/>
      <c r="H373" s="3751">
        <f>F373+1</f>
        <v>2017</v>
      </c>
      <c r="I373" s="3751"/>
      <c r="J373" s="3751">
        <f>H373+1</f>
        <v>2018</v>
      </c>
      <c r="K373" s="3751"/>
      <c r="L373" s="3751">
        <f>J373+1</f>
        <v>2019</v>
      </c>
      <c r="M373" s="3751"/>
      <c r="N373" s="2605"/>
      <c r="O373" s="54"/>
      <c r="P373" s="54"/>
      <c r="Q373" s="54"/>
      <c r="R373" s="54"/>
      <c r="S373" s="190"/>
      <c r="T373" s="72"/>
      <c r="U373" s="419"/>
      <c r="V373" s="420" t="s">
        <v>297</v>
      </c>
      <c r="W373" s="421">
        <f>Last_forecast_year - 3</f>
        <v>2016</v>
      </c>
      <c r="X373" s="75"/>
      <c r="Y373" s="3751">
        <f>W373+1</f>
        <v>2017</v>
      </c>
      <c r="Z373" s="3751"/>
      <c r="AA373" s="3751">
        <f>Y373+1</f>
        <v>2018</v>
      </c>
      <c r="AB373" s="3751"/>
      <c r="AC373" s="3751">
        <f>AA373+1</f>
        <v>2019</v>
      </c>
      <c r="AD373" s="3751"/>
      <c r="AE373" s="440"/>
      <c r="AF373" s="45"/>
      <c r="AG373" s="45"/>
      <c r="AH373" s="45"/>
      <c r="AI373" s="45"/>
      <c r="AJ373" s="190"/>
      <c r="AK373" s="72"/>
      <c r="AL373" s="419"/>
      <c r="AM373" s="420" t="s">
        <v>297</v>
      </c>
      <c r="AN373" s="421">
        <f>Last_forecast_year - 3</f>
        <v>2016</v>
      </c>
      <c r="AO373" s="75"/>
      <c r="AP373" s="3751">
        <f>AN373+1</f>
        <v>2017</v>
      </c>
      <c r="AQ373" s="3751"/>
      <c r="AR373" s="3751">
        <f>AP373+1</f>
        <v>2018</v>
      </c>
      <c r="AS373" s="3751"/>
      <c r="AT373" s="3751">
        <f>AR373+1</f>
        <v>2019</v>
      </c>
      <c r="AU373" s="3751"/>
      <c r="AV373" s="440"/>
      <c r="AW373" s="54"/>
      <c r="AX373" s="54"/>
      <c r="AY373" s="54"/>
      <c r="AZ373" s="54"/>
      <c r="BA373" s="54"/>
      <c r="BB373" s="54"/>
      <c r="BC373" s="54"/>
    </row>
    <row r="374" spans="1:55">
      <c r="A374" s="45"/>
      <c r="B374" s="1665"/>
      <c r="C374" s="1666"/>
      <c r="D374" s="2685"/>
      <c r="E374" s="2537" t="s">
        <v>1401</v>
      </c>
      <c r="F374" s="2641" t="s">
        <v>298</v>
      </c>
      <c r="G374" s="2642" t="s">
        <v>1170</v>
      </c>
      <c r="H374" s="2641" t="s">
        <v>298</v>
      </c>
      <c r="I374" s="2642" t="s">
        <v>1170</v>
      </c>
      <c r="J374" s="2641" t="s">
        <v>298</v>
      </c>
      <c r="K374" s="2642" t="s">
        <v>1170</v>
      </c>
      <c r="L374" s="2641" t="s">
        <v>298</v>
      </c>
      <c r="M374" s="2643" t="s">
        <v>1170</v>
      </c>
      <c r="N374" s="2661"/>
      <c r="O374" s="54"/>
      <c r="P374" s="54"/>
      <c r="Q374" s="54"/>
      <c r="R374" s="54"/>
      <c r="S374" s="190"/>
      <c r="T374" s="101"/>
      <c r="U374" s="422"/>
      <c r="V374" s="433" t="s">
        <v>1401</v>
      </c>
      <c r="W374" s="390" t="s">
        <v>298</v>
      </c>
      <c r="X374" s="391" t="s">
        <v>1170</v>
      </c>
      <c r="Y374" s="390" t="s">
        <v>298</v>
      </c>
      <c r="Z374" s="391" t="s">
        <v>1170</v>
      </c>
      <c r="AA374" s="390" t="s">
        <v>298</v>
      </c>
      <c r="AB374" s="391" t="s">
        <v>1170</v>
      </c>
      <c r="AC374" s="390" t="s">
        <v>298</v>
      </c>
      <c r="AD374" s="392" t="s">
        <v>1170</v>
      </c>
      <c r="AE374" s="393"/>
      <c r="AF374" s="45"/>
      <c r="AG374" s="45"/>
      <c r="AH374" s="45"/>
      <c r="AI374" s="45"/>
      <c r="AJ374" s="190"/>
      <c r="AK374" s="101"/>
      <c r="AL374" s="422"/>
      <c r="AM374" s="433" t="s">
        <v>1401</v>
      </c>
      <c r="AN374" s="390" t="s">
        <v>298</v>
      </c>
      <c r="AO374" s="391" t="s">
        <v>1170</v>
      </c>
      <c r="AP374" s="390" t="s">
        <v>298</v>
      </c>
      <c r="AQ374" s="391" t="s">
        <v>1170</v>
      </c>
      <c r="AR374" s="390" t="s">
        <v>298</v>
      </c>
      <c r="AS374" s="391" t="s">
        <v>1170</v>
      </c>
      <c r="AT374" s="390" t="s">
        <v>298</v>
      </c>
      <c r="AU374" s="392" t="s">
        <v>1170</v>
      </c>
      <c r="AV374" s="393"/>
      <c r="AW374" s="54"/>
      <c r="AX374" s="54"/>
      <c r="AY374" s="54"/>
      <c r="AZ374" s="54"/>
      <c r="BA374" s="54"/>
      <c r="BB374" s="54"/>
      <c r="BC374" s="54"/>
    </row>
    <row r="375" spans="1:55">
      <c r="A375" s="45"/>
      <c r="B375" s="1665"/>
      <c r="C375" s="2686" t="s">
        <v>1761</v>
      </c>
      <c r="D375" s="2345"/>
      <c r="E375" s="2687" t="s">
        <v>514</v>
      </c>
      <c r="F375" s="2628">
        <f ca="1">Transfer!D200</f>
        <v>25.56738</v>
      </c>
      <c r="G375" s="2688">
        <f ca="1">100*((Transfer!D200/Transfer!C200)-1)</f>
        <v>3.393782634858411</v>
      </c>
      <c r="H375" s="2628">
        <f ca="1">Transfer!E200</f>
        <v>28.093316769273876</v>
      </c>
      <c r="I375" s="2628">
        <f ca="1">100*((Transfer!E200/Transfer!D200)-1)</f>
        <v>9.879529186306435</v>
      </c>
      <c r="J375" s="2628">
        <f ca="1">Transfer!F200</f>
        <v>29.895443026415556</v>
      </c>
      <c r="K375" s="2628">
        <f ca="1">100*((Transfer!F200/Transfer!E200)-1)</f>
        <v>6.4147863776365943</v>
      </c>
      <c r="L375" s="2628">
        <f ca="1">Transfer!G200</f>
        <v>31.814666730987341</v>
      </c>
      <c r="M375" s="2704">
        <f ca="1">100*((Transfer!G200/Transfer!F200)-1)</f>
        <v>6.4197867978606604</v>
      </c>
      <c r="N375" s="2460"/>
      <c r="O375" s="54"/>
      <c r="P375" s="54"/>
      <c r="Q375" s="54"/>
      <c r="R375" s="54"/>
      <c r="S375" s="190"/>
      <c r="T375" s="424" t="s">
        <v>1761</v>
      </c>
      <c r="U375" s="59"/>
      <c r="V375" s="425" t="s">
        <v>514</v>
      </c>
      <c r="W375" s="426">
        <f t="shared" ref="W375:AD389" ca="1" si="23">ROUND(F375,1)-ROUND(AN375,1)</f>
        <v>10024.6</v>
      </c>
      <c r="X375" s="426">
        <f t="shared" ca="1" si="23"/>
        <v>3.4</v>
      </c>
      <c r="Y375" s="426">
        <f t="shared" ca="1" si="23"/>
        <v>10027.1</v>
      </c>
      <c r="Z375" s="426">
        <f t="shared" ca="1" si="23"/>
        <v>9.9</v>
      </c>
      <c r="AA375" s="426">
        <f t="shared" ca="1" si="23"/>
        <v>10028.9</v>
      </c>
      <c r="AB375" s="426">
        <f t="shared" ca="1" si="23"/>
        <v>6.4</v>
      </c>
      <c r="AC375" s="426">
        <f t="shared" ca="1" si="23"/>
        <v>10030.799999999999</v>
      </c>
      <c r="AD375" s="441">
        <f t="shared" ca="1" si="23"/>
        <v>6.4</v>
      </c>
      <c r="AE375" s="442"/>
      <c r="AF375" s="45"/>
      <c r="AG375" s="45"/>
      <c r="AH375" s="45"/>
      <c r="AI375" s="45"/>
      <c r="AJ375" s="190"/>
      <c r="AK375" s="424" t="s">
        <v>1761</v>
      </c>
      <c r="AL375" s="59"/>
      <c r="AM375" s="425" t="s">
        <v>514</v>
      </c>
      <c r="AN375" s="2057">
        <f>Transfer!AD200</f>
        <v>-9999</v>
      </c>
      <c r="AO375" s="2058">
        <f>100*((Transfer!AD200/Transfer!AC200)-1)</f>
        <v>0</v>
      </c>
      <c r="AP375" s="2057">
        <f>Transfer!AE200</f>
        <v>-9999</v>
      </c>
      <c r="AQ375" s="2057">
        <f>100*((Transfer!AE200/Transfer!AD200)-1)</f>
        <v>0</v>
      </c>
      <c r="AR375" s="2057">
        <f>Transfer!AF200</f>
        <v>-9999</v>
      </c>
      <c r="AS375" s="2057">
        <f>100*((Transfer!AF200/Transfer!AE200)-1)</f>
        <v>0</v>
      </c>
      <c r="AT375" s="2057">
        <f>Transfer!AG200</f>
        <v>-9999</v>
      </c>
      <c r="AU375" s="2015">
        <f>100*((Transfer!AG200/Transfer!AF200)-1)</f>
        <v>0</v>
      </c>
      <c r="AV375" s="442"/>
      <c r="AW375" s="54"/>
      <c r="AX375" s="54"/>
      <c r="AY375" s="54"/>
      <c r="AZ375" s="54"/>
      <c r="BA375" s="1696" t="s">
        <v>127</v>
      </c>
      <c r="BB375" s="1697"/>
      <c r="BC375" s="54"/>
    </row>
    <row r="376" spans="1:55">
      <c r="A376" s="45"/>
      <c r="B376" s="1665"/>
      <c r="C376" s="1666" t="s">
        <v>1762</v>
      </c>
      <c r="D376" s="2452"/>
      <c r="E376" s="2521" t="s">
        <v>1763</v>
      </c>
      <c r="F376" s="2453">
        <f ca="1">Transfer!D201</f>
        <v>7.2870000000000004E-2</v>
      </c>
      <c r="G376" s="2691">
        <f ca="1">100*((Transfer!D201/Transfer!C201)-1)</f>
        <v>19.517795637198642</v>
      </c>
      <c r="H376" s="2453">
        <f ca="1">Transfer!E201</f>
        <v>7.2870000000000004E-2</v>
      </c>
      <c r="I376" s="2453">
        <f ca="1">100*((Transfer!E201/Transfer!D201)-1)</f>
        <v>0</v>
      </c>
      <c r="J376" s="2453">
        <f ca="1">Transfer!F201</f>
        <v>7.2870000000000004E-2</v>
      </c>
      <c r="K376" s="2453">
        <f ca="1">100*((Transfer!F201/Transfer!E201)-1)</f>
        <v>0</v>
      </c>
      <c r="L376" s="2453">
        <f ca="1">Transfer!G201</f>
        <v>7.2870000000000004E-2</v>
      </c>
      <c r="M376" s="2454">
        <f ca="1">100*((Transfer!G201/Transfer!F201)-1)</f>
        <v>0</v>
      </c>
      <c r="N376" s="2452"/>
      <c r="O376" s="54"/>
      <c r="P376" s="54"/>
      <c r="Q376" s="54"/>
      <c r="R376" s="54"/>
      <c r="S376" s="190"/>
      <c r="T376" s="101" t="s">
        <v>1762</v>
      </c>
      <c r="U376" s="199"/>
      <c r="V376" s="254" t="s">
        <v>1763</v>
      </c>
      <c r="W376" s="245">
        <f t="shared" ca="1" si="23"/>
        <v>9999.1</v>
      </c>
      <c r="X376" s="245">
        <f t="shared" ca="1" si="23"/>
        <v>19.5</v>
      </c>
      <c r="Y376" s="245">
        <f t="shared" ca="1" si="23"/>
        <v>9999.1</v>
      </c>
      <c r="Z376" s="245">
        <f t="shared" ca="1" si="23"/>
        <v>0</v>
      </c>
      <c r="AA376" s="245">
        <f t="shared" ca="1" si="23"/>
        <v>9999.1</v>
      </c>
      <c r="AB376" s="245">
        <f t="shared" ca="1" si="23"/>
        <v>0</v>
      </c>
      <c r="AC376" s="245">
        <f t="shared" ca="1" si="23"/>
        <v>9999.1</v>
      </c>
      <c r="AD376" s="320">
        <f t="shared" ca="1" si="23"/>
        <v>0</v>
      </c>
      <c r="AE376" s="199"/>
      <c r="AF376" s="45"/>
      <c r="AG376" s="45"/>
      <c r="AH376" s="45"/>
      <c r="AI376" s="45"/>
      <c r="AJ376" s="190"/>
      <c r="AK376" s="101" t="s">
        <v>1762</v>
      </c>
      <c r="AL376" s="199"/>
      <c r="AM376" s="254" t="s">
        <v>1763</v>
      </c>
      <c r="AN376" s="91">
        <f>Transfer!AD201</f>
        <v>-9999</v>
      </c>
      <c r="AO376" s="242">
        <f>100*((Transfer!AD201/Transfer!AC201)-1)</f>
        <v>0</v>
      </c>
      <c r="AP376" s="91">
        <f>Transfer!AE201</f>
        <v>-9999</v>
      </c>
      <c r="AQ376" s="91">
        <f>100*((Transfer!AE201/Transfer!AD201)-1)</f>
        <v>0</v>
      </c>
      <c r="AR376" s="91">
        <f>Transfer!AF201</f>
        <v>-9999</v>
      </c>
      <c r="AS376" s="91">
        <f>100*((Transfer!AF201/Transfer!AE201)-1)</f>
        <v>0</v>
      </c>
      <c r="AT376" s="91">
        <f>Transfer!AG201</f>
        <v>-9999</v>
      </c>
      <c r="AU376" s="93">
        <f>100*((Transfer!AG201/Transfer!AF201)-1)</f>
        <v>0</v>
      </c>
      <c r="AV376" s="199"/>
      <c r="AW376" s="54"/>
      <c r="AX376" s="54"/>
      <c r="AY376" s="54"/>
      <c r="AZ376" s="54"/>
      <c r="BA376" s="1698" t="s">
        <v>128</v>
      </c>
      <c r="BB376" s="1699"/>
      <c r="BC376" s="54"/>
    </row>
    <row r="377" spans="1:55">
      <c r="A377" s="45"/>
      <c r="B377" s="1665"/>
      <c r="C377" s="1666" t="s">
        <v>431</v>
      </c>
      <c r="D377" s="2452"/>
      <c r="E377" s="2521" t="s">
        <v>432</v>
      </c>
      <c r="F377" s="2453">
        <f ca="1">Transfer!D202</f>
        <v>0.19243000000000002</v>
      </c>
      <c r="G377" s="2691">
        <f ca="1">100*((Transfer!D202/Transfer!C202)-1)</f>
        <v>-10.775722168127222</v>
      </c>
      <c r="H377" s="2453">
        <f ca="1">Transfer!E202</f>
        <v>0.20205150000000002</v>
      </c>
      <c r="I377" s="2453">
        <f ca="1">100*((Transfer!E202/Transfer!D202)-1)</f>
        <v>5.0000000000000044</v>
      </c>
      <c r="J377" s="2453">
        <f ca="1">Transfer!F202</f>
        <v>0.21215407500000003</v>
      </c>
      <c r="K377" s="2453">
        <f ca="1">100*((Transfer!F202/Transfer!E202)-1)</f>
        <v>5.0000000000000044</v>
      </c>
      <c r="L377" s="2453">
        <f ca="1">Transfer!G202</f>
        <v>0.22276177875000003</v>
      </c>
      <c r="M377" s="2454">
        <f ca="1">100*((Transfer!G202/Transfer!F202)-1)</f>
        <v>5.0000000000000044</v>
      </c>
      <c r="N377" s="2452"/>
      <c r="O377" s="54"/>
      <c r="P377" s="54"/>
      <c r="Q377" s="54"/>
      <c r="R377" s="54"/>
      <c r="S377" s="190"/>
      <c r="T377" s="101" t="s">
        <v>431</v>
      </c>
      <c r="U377" s="199"/>
      <c r="V377" s="254" t="s">
        <v>432</v>
      </c>
      <c r="W377" s="245">
        <f t="shared" ca="1" si="23"/>
        <v>9999.2000000000007</v>
      </c>
      <c r="X377" s="245">
        <f t="shared" ca="1" si="23"/>
        <v>-10.8</v>
      </c>
      <c r="Y377" s="245">
        <f t="shared" ca="1" si="23"/>
        <v>9999.2000000000007</v>
      </c>
      <c r="Z377" s="245">
        <f t="shared" ca="1" si="23"/>
        <v>5</v>
      </c>
      <c r="AA377" s="245">
        <f t="shared" ca="1" si="23"/>
        <v>9999.2000000000007</v>
      </c>
      <c r="AB377" s="245">
        <f t="shared" ca="1" si="23"/>
        <v>5</v>
      </c>
      <c r="AC377" s="245">
        <f t="shared" ca="1" si="23"/>
        <v>9999.2000000000007</v>
      </c>
      <c r="AD377" s="320">
        <f t="shared" ca="1" si="23"/>
        <v>5</v>
      </c>
      <c r="AE377" s="199"/>
      <c r="AF377" s="45"/>
      <c r="AG377" s="45"/>
      <c r="AH377" s="45"/>
      <c r="AI377" s="45"/>
      <c r="AJ377" s="190"/>
      <c r="AK377" s="101" t="s">
        <v>431</v>
      </c>
      <c r="AL377" s="199"/>
      <c r="AM377" s="254" t="s">
        <v>432</v>
      </c>
      <c r="AN377" s="91">
        <f>Transfer!AD202</f>
        <v>-9999</v>
      </c>
      <c r="AO377" s="242">
        <f>100*((Transfer!AD202/Transfer!AC202)-1)</f>
        <v>0</v>
      </c>
      <c r="AP377" s="91">
        <f>Transfer!AE202</f>
        <v>-9999</v>
      </c>
      <c r="AQ377" s="91">
        <f>100*((Transfer!AE202/Transfer!AD202)-1)</f>
        <v>0</v>
      </c>
      <c r="AR377" s="91">
        <f>Transfer!AF202</f>
        <v>-9999</v>
      </c>
      <c r="AS377" s="91">
        <f>100*((Transfer!AF202/Transfer!AE202)-1)</f>
        <v>0</v>
      </c>
      <c r="AT377" s="91">
        <f>Transfer!AG202</f>
        <v>-9999</v>
      </c>
      <c r="AU377" s="93">
        <f>100*((Transfer!AG202/Transfer!AF202)-1)</f>
        <v>0</v>
      </c>
      <c r="AV377" s="199"/>
      <c r="AW377" s="54"/>
      <c r="AX377" s="54"/>
      <c r="AY377" s="54"/>
      <c r="AZ377" s="54"/>
      <c r="BA377" s="1698" t="s">
        <v>129</v>
      </c>
      <c r="BB377" s="1699"/>
      <c r="BC377" s="54"/>
    </row>
    <row r="378" spans="1:55">
      <c r="A378" s="45"/>
      <c r="B378" s="1665"/>
      <c r="C378" s="1666" t="s">
        <v>433</v>
      </c>
      <c r="D378" s="2452"/>
      <c r="E378" s="2521" t="s">
        <v>1407</v>
      </c>
      <c r="F378" s="2453">
        <f ca="1">Transfer!D203</f>
        <v>12.63739</v>
      </c>
      <c r="G378" s="2691">
        <f ca="1">100*((Transfer!D203/Transfer!C203)-1)</f>
        <v>9.6473121750138233</v>
      </c>
      <c r="H378" s="2453">
        <f ca="1">Transfer!E203</f>
        <v>13.926518249273876</v>
      </c>
      <c r="I378" s="2453">
        <f ca="1">100*((Transfer!E203/Transfer!D203)-1)</f>
        <v>10.200905798379868</v>
      </c>
      <c r="J378" s="2453">
        <f ca="1">Transfer!F203</f>
        <v>14.79072867706623</v>
      </c>
      <c r="K378" s="2453">
        <f ca="1">100*((Transfer!F203/Transfer!E203)-1)</f>
        <v>6.2055024258300451</v>
      </c>
      <c r="L378" s="2453">
        <f ca="1">Transfer!G203</f>
        <v>15.662483697455624</v>
      </c>
      <c r="M378" s="2454">
        <f ca="1">100*((Transfer!G203/Transfer!F203)-1)</f>
        <v>5.8939288213777807</v>
      </c>
      <c r="N378" s="2452"/>
      <c r="O378" s="54"/>
      <c r="P378" s="54"/>
      <c r="Q378" s="54"/>
      <c r="R378" s="54"/>
      <c r="S378" s="190"/>
      <c r="T378" s="101" t="s">
        <v>433</v>
      </c>
      <c r="U378" s="199"/>
      <c r="V378" s="254" t="s">
        <v>1407</v>
      </c>
      <c r="W378" s="245">
        <f t="shared" ca="1" si="23"/>
        <v>10011.6</v>
      </c>
      <c r="X378" s="245">
        <f t="shared" ca="1" si="23"/>
        <v>9.6</v>
      </c>
      <c r="Y378" s="245">
        <f t="shared" ca="1" si="23"/>
        <v>10012.9</v>
      </c>
      <c r="Z378" s="245">
        <f t="shared" ca="1" si="23"/>
        <v>10.199999999999999</v>
      </c>
      <c r="AA378" s="245">
        <f t="shared" ca="1" si="23"/>
        <v>10013.799999999999</v>
      </c>
      <c r="AB378" s="245">
        <f t="shared" ca="1" si="23"/>
        <v>6.2</v>
      </c>
      <c r="AC378" s="245">
        <f t="shared" ca="1" si="23"/>
        <v>10014.700000000001</v>
      </c>
      <c r="AD378" s="320">
        <f t="shared" ca="1" si="23"/>
        <v>5.9</v>
      </c>
      <c r="AE378" s="199"/>
      <c r="AF378" s="45"/>
      <c r="AG378" s="45"/>
      <c r="AH378" s="45"/>
      <c r="AI378" s="45"/>
      <c r="AJ378" s="190"/>
      <c r="AK378" s="101" t="s">
        <v>433</v>
      </c>
      <c r="AL378" s="199"/>
      <c r="AM378" s="254" t="s">
        <v>1407</v>
      </c>
      <c r="AN378" s="91">
        <f>Transfer!AD203</f>
        <v>-9999</v>
      </c>
      <c r="AO378" s="242">
        <f>100*((Transfer!AD203/Transfer!AC203)-1)</f>
        <v>0</v>
      </c>
      <c r="AP378" s="91">
        <f>Transfer!AE203</f>
        <v>-9999</v>
      </c>
      <c r="AQ378" s="91">
        <f>100*((Transfer!AE203/Transfer!AD203)-1)</f>
        <v>0</v>
      </c>
      <c r="AR378" s="91">
        <f>Transfer!AF203</f>
        <v>-9999</v>
      </c>
      <c r="AS378" s="91">
        <f>100*((Transfer!AF203/Transfer!AE203)-1)</f>
        <v>0</v>
      </c>
      <c r="AT378" s="91">
        <f>Transfer!AG203</f>
        <v>-9999</v>
      </c>
      <c r="AU378" s="93">
        <f>100*((Transfer!AG203/Transfer!AF203)-1)</f>
        <v>0</v>
      </c>
      <c r="AV378" s="199"/>
      <c r="AW378" s="54"/>
      <c r="AX378" s="54"/>
      <c r="AY378" s="54"/>
      <c r="AZ378" s="54"/>
      <c r="BA378" s="1698" t="s">
        <v>130</v>
      </c>
      <c r="BB378" s="1699"/>
      <c r="BC378" s="54"/>
    </row>
    <row r="379" spans="1:55">
      <c r="A379" s="45"/>
      <c r="B379" s="1665"/>
      <c r="C379" s="2463" t="s">
        <v>693</v>
      </c>
      <c r="D379" s="2705"/>
      <c r="E379" s="2537" t="s">
        <v>694</v>
      </c>
      <c r="F379" s="2458">
        <f ca="1">IF(OR(Transfer!D200=-9999,Transfer!D201=-9999,Transfer!D202=-9999,Transfer!D203=-9999),Transfer!D204,SUM(Transfer!D200,Transfer!D201)-(SUM(Transfer!D202,Transfer!D203)))</f>
        <v>12.810430000000002</v>
      </c>
      <c r="G379" s="2699">
        <f ca="1">IF(OR(Transfer!D200=-9999,Transfer!D201=-9999,Transfer!D202=-9999,Transfer!D203=-9999),100*(Transfer!D204/Transfer!C204-1),100*(((SUM(Transfer!D200,Transfer!D201)-(SUM(Transfer!D202,Transfer!D203)))/(SUM(Transfer!C200,Transfer!C201)-(SUM(Transfer!C202,Transfer!C203))))-1))</f>
        <v>-1.82051307598039</v>
      </c>
      <c r="H379" s="2706">
        <f ca="1">IF(OR(Transfer!E200=-9999,Transfer!E201=-9999,Transfer!E202=-9999,Transfer!E203=-9999),Transfer!E204,SUM(Transfer!E200,Transfer!E201)-(SUM(Transfer!E202,Transfer!E203)))</f>
        <v>14.037617020000003</v>
      </c>
      <c r="I379" s="2458">
        <f ca="1">IF(OR(Transfer!E200=-9999,Transfer!E201=-9999,Transfer!E202=-9999,Transfer!E203=-9999),100*(Transfer!E204/Transfer!D204-1),100*(((SUM(Transfer!E200,Transfer!E201)-(SUM(Transfer!E202,Transfer!E203)))/(SUM(Transfer!D200,Transfer!D201)-(SUM(Transfer!D202,Transfer!D203))))-1))</f>
        <v>9.579592722492535</v>
      </c>
      <c r="J379" s="2458">
        <f ca="1">IF(OR(Transfer!F200=-9999,Transfer!F201=-9999,Transfer!F202=-9999,Transfer!F203=-9999),Transfer!F204,SUM(Transfer!F200,Transfer!F201)-(SUM(Transfer!F202,Transfer!F203)))</f>
        <v>14.965430274349327</v>
      </c>
      <c r="K379" s="2458">
        <f ca="1">IF(OR(Transfer!F200=-9999,Transfer!F201=-9999,Transfer!F202=-9999,Transfer!F203=-9999),100*(Transfer!F204/Transfer!E204-1),100*(((SUM(Transfer!F200,Transfer!F201)-(SUM(Transfer!F202,Transfer!F203)))/(SUM(Transfer!E200,Transfer!E201)-(SUM(Transfer!E202,Transfer!E203))))-1))</f>
        <v>6.6094783254695422</v>
      </c>
      <c r="L379" s="2458">
        <f ca="1">IF(OR(Transfer!G200=-9999,Transfer!G201=-9999,Transfer!G202=-9999,Transfer!G203=-9999),Transfer!G204,SUM(Transfer!G200,Transfer!G201)-(SUM(Transfer!G202,Transfer!G203)))</f>
        <v>16.002291254781717</v>
      </c>
      <c r="M379" s="2459">
        <f ca="1">IF(OR(Transfer!G200=-9999,Transfer!G201=-9999,Transfer!G202=-9999,Transfer!G203=-9999),100*(Transfer!G204/Transfer!F204-1),100*(((SUM(Transfer!G200,Transfer!G201)-(SUM(Transfer!G202,Transfer!G203)))/(SUM(Transfer!F200,Transfer!F201)-(SUM(Transfer!F202,Transfer!F203))))-1))</f>
        <v>6.9283740021131468</v>
      </c>
      <c r="N379" s="2460"/>
      <c r="O379" s="54"/>
      <c r="P379" s="54"/>
      <c r="Q379" s="54"/>
      <c r="R379" s="54"/>
      <c r="S379" s="190"/>
      <c r="T379" s="159" t="s">
        <v>693</v>
      </c>
      <c r="U379" s="1711"/>
      <c r="V379" s="433" t="s">
        <v>694</v>
      </c>
      <c r="W379" s="443">
        <f t="shared" ca="1" si="23"/>
        <v>10011.799999999999</v>
      </c>
      <c r="X379" s="443">
        <f t="shared" ca="1" si="23"/>
        <v>-1.8</v>
      </c>
      <c r="Y379" s="443">
        <f t="shared" ca="1" si="23"/>
        <v>10013</v>
      </c>
      <c r="Z379" s="443">
        <f t="shared" ca="1" si="23"/>
        <v>9.6</v>
      </c>
      <c r="AA379" s="443">
        <f t="shared" ca="1" si="23"/>
        <v>10014</v>
      </c>
      <c r="AB379" s="443">
        <f t="shared" ca="1" si="23"/>
        <v>6.6</v>
      </c>
      <c r="AC379" s="443">
        <f t="shared" ca="1" si="23"/>
        <v>10015</v>
      </c>
      <c r="AD379" s="444">
        <f t="shared" ca="1" si="23"/>
        <v>6.9</v>
      </c>
      <c r="AE379" s="442"/>
      <c r="AF379" s="45"/>
      <c r="AG379" s="45"/>
      <c r="AH379" s="45"/>
      <c r="AI379" s="45"/>
      <c r="AJ379" s="190"/>
      <c r="AK379" s="159" t="s">
        <v>693</v>
      </c>
      <c r="AL379" s="1711"/>
      <c r="AM379" s="433" t="s">
        <v>694</v>
      </c>
      <c r="AN379" s="156">
        <f>IF(OR(Transfer!AD200=-9999,Transfer!AD201=-9999,Transfer!AD202=-9999,Transfer!AD203=-9999),Transfer!AD204,SUM(Transfer!AD200,Transfer!AD201)-(SUM(Transfer!AD202,Transfer!AD203)))</f>
        <v>-9999</v>
      </c>
      <c r="AO379" s="282">
        <f>IF(OR(Transfer!AD200=-9999,Transfer!AD201=-9999,Transfer!AD202=-9999,Transfer!AD203=-9999),100*(Transfer!AD204/Transfer!AC204-1),100*(((SUM(Transfer!AD200,Transfer!AD201)-(SUM(Transfer!AD202,Transfer!AD203)))/(SUM(Transfer!AC200,Transfer!AC201)-(SUM(Transfer!AC202,Transfer!AC203))))-1))</f>
        <v>0</v>
      </c>
      <c r="AP379" s="2009">
        <f>IF(OR(Transfer!AE200=-9999,Transfer!AE201=-9999,Transfer!AE202=-9999,Transfer!AE203=-9999),Transfer!AE204,SUM(Transfer!AE200,Transfer!AE201)-(SUM(Transfer!AE202,Transfer!AE203)))</f>
        <v>-9999</v>
      </c>
      <c r="AQ379" s="156">
        <f>IF(OR(Transfer!AE200=-9999,Transfer!AE201=-9999,Transfer!AE202=-9999,Transfer!AE203=-9999),100*(Transfer!AE204/Transfer!AD204-1),100*(((SUM(Transfer!AE200,Transfer!AE201)-(SUM(Transfer!AE202,Transfer!AE203)))/(SUM(Transfer!AD200,Transfer!AD201)-(SUM(Transfer!AD202,Transfer!AD203))))-1))</f>
        <v>0</v>
      </c>
      <c r="AR379" s="156">
        <f>IF(OR(Transfer!AF200=-9999,Transfer!AF201=-9999,Transfer!AF202=-9999,Transfer!AF203=-9999),Transfer!AF204,SUM(Transfer!AF200,Transfer!AF201)-(SUM(Transfer!AF202,Transfer!AF203)))</f>
        <v>-9999</v>
      </c>
      <c r="AS379" s="156">
        <f>IF(OR(Transfer!AF200=-9999,Transfer!AF201=-9999,Transfer!AF202=-9999,Transfer!AF203=-9999),100*(Transfer!AF204/Transfer!AE204-1),100*(((SUM(Transfer!AF200,Transfer!AF201)-(SUM(Transfer!AF202,Transfer!AF203)))/(SUM(Transfer!AE200,Transfer!AE201)-(SUM(Transfer!AE202,Transfer!AE203))))-1))</f>
        <v>0</v>
      </c>
      <c r="AT379" s="156">
        <f>IF(OR(Transfer!AG200=-9999,Transfer!AG201=-9999,Transfer!AG202=-9999,Transfer!AG203=-9999),Transfer!AG204,SUM(Transfer!AG200,Transfer!AG201)-(SUM(Transfer!AG202,Transfer!AG203)))</f>
        <v>-9999</v>
      </c>
      <c r="AU379" s="283">
        <f>IF(OR(Transfer!AG200=-9999,Transfer!AG201=-9999,Transfer!AG202=-9999,Transfer!AG203=-9999),100*(Transfer!AG204/Transfer!AF204-1),100*(((SUM(Transfer!AG200,Transfer!AG201)-(SUM(Transfer!AG202,Transfer!AG203)))/(SUM(Transfer!AF200,Transfer!AF201)-(SUM(Transfer!AF202,Transfer!AF203))))-1))</f>
        <v>0</v>
      </c>
      <c r="AV379" s="442"/>
      <c r="AW379" s="54"/>
      <c r="AX379" s="54"/>
      <c r="AY379" s="54"/>
      <c r="AZ379" s="54"/>
      <c r="BA379" s="1698" t="s">
        <v>635</v>
      </c>
      <c r="BB379" s="1699"/>
      <c r="BC379" s="54"/>
    </row>
    <row r="380" spans="1:55">
      <c r="A380" s="45"/>
      <c r="B380" s="1665"/>
      <c r="C380" s="1666" t="s">
        <v>477</v>
      </c>
      <c r="D380" s="2452"/>
      <c r="E380" s="2521" t="s">
        <v>478</v>
      </c>
      <c r="F380" s="2453">
        <f ca="1">Transfer!D205</f>
        <v>-6.4326499999999998</v>
      </c>
      <c r="G380" s="2691">
        <f ca="1">100*((Transfer!D205/Transfer!C205)-1)</f>
        <v>5.371917748754651</v>
      </c>
      <c r="H380" s="2692">
        <f ca="1">Transfer!E205</f>
        <v>-6.7864457499999995</v>
      </c>
      <c r="I380" s="2453">
        <f ca="1">100*((Transfer!E205/Transfer!D205)-1)</f>
        <v>5.4999999999999938</v>
      </c>
      <c r="J380" s="2453">
        <f ca="1">Transfer!F205</f>
        <v>-7.1597002662499989</v>
      </c>
      <c r="K380" s="2453">
        <f ca="1">100*((Transfer!F205/Transfer!E205)-1)</f>
        <v>5.4999999999999938</v>
      </c>
      <c r="L380" s="2453">
        <f ca="1">Transfer!G205</f>
        <v>-7.5534837808937487</v>
      </c>
      <c r="M380" s="2454">
        <f ca="1">100*((Transfer!G205/Transfer!F205)-1)</f>
        <v>5.4999999999999938</v>
      </c>
      <c r="N380" s="2452"/>
      <c r="O380" s="54"/>
      <c r="P380" s="54"/>
      <c r="Q380" s="54"/>
      <c r="R380" s="54"/>
      <c r="S380" s="190"/>
      <c r="T380" s="101" t="s">
        <v>477</v>
      </c>
      <c r="U380" s="199"/>
      <c r="V380" s="254" t="s">
        <v>478</v>
      </c>
      <c r="W380" s="245">
        <f t="shared" ca="1" si="23"/>
        <v>9992.6</v>
      </c>
      <c r="X380" s="245">
        <f t="shared" ca="1" si="23"/>
        <v>5.4</v>
      </c>
      <c r="Y380" s="245">
        <f t="shared" ca="1" si="23"/>
        <v>9992.2000000000007</v>
      </c>
      <c r="Z380" s="245">
        <f t="shared" ca="1" si="23"/>
        <v>5.5</v>
      </c>
      <c r="AA380" s="245">
        <f t="shared" ca="1" si="23"/>
        <v>9991.7999999999993</v>
      </c>
      <c r="AB380" s="245">
        <f t="shared" ca="1" si="23"/>
        <v>5.5</v>
      </c>
      <c r="AC380" s="245">
        <f t="shared" ca="1" si="23"/>
        <v>9991.4</v>
      </c>
      <c r="AD380" s="320">
        <f t="shared" ca="1" si="23"/>
        <v>5.5</v>
      </c>
      <c r="AE380" s="199"/>
      <c r="AF380" s="45"/>
      <c r="AG380" s="45"/>
      <c r="AH380" s="45"/>
      <c r="AI380" s="45"/>
      <c r="AJ380" s="190"/>
      <c r="AK380" s="101" t="s">
        <v>477</v>
      </c>
      <c r="AL380" s="199"/>
      <c r="AM380" s="254" t="s">
        <v>478</v>
      </c>
      <c r="AN380" s="91">
        <f>Transfer!AD205</f>
        <v>-9999</v>
      </c>
      <c r="AO380" s="242">
        <f>100*((Transfer!AD205/Transfer!AC205)-1)</f>
        <v>0</v>
      </c>
      <c r="AP380" s="92">
        <f>Transfer!AE205</f>
        <v>-9999</v>
      </c>
      <c r="AQ380" s="91">
        <f>100*((Transfer!AE205/Transfer!AD205)-1)</f>
        <v>0</v>
      </c>
      <c r="AR380" s="91">
        <f>Transfer!AF205</f>
        <v>-9999</v>
      </c>
      <c r="AS380" s="91">
        <f>100*((Transfer!AF205/Transfer!AE205)-1)</f>
        <v>0</v>
      </c>
      <c r="AT380" s="91">
        <f>Transfer!AG205</f>
        <v>-9999</v>
      </c>
      <c r="AU380" s="93">
        <f>100*((Transfer!AG205/Transfer!AF205)-1)</f>
        <v>0</v>
      </c>
      <c r="AV380" s="199"/>
      <c r="AW380" s="54"/>
      <c r="AX380" s="54"/>
      <c r="AY380" s="54"/>
      <c r="AZ380" s="54"/>
      <c r="BA380" s="1698" t="s">
        <v>131</v>
      </c>
      <c r="BB380" s="1699"/>
      <c r="BC380" s="54"/>
    </row>
    <row r="381" spans="1:55">
      <c r="A381" s="45"/>
      <c r="B381" s="1665"/>
      <c r="C381" s="1666" t="s">
        <v>479</v>
      </c>
      <c r="D381" s="2452"/>
      <c r="E381" s="2521" t="s">
        <v>480</v>
      </c>
      <c r="F381" s="2453">
        <f ca="1">Transfer!D206</f>
        <v>-0.20697999999999994</v>
      </c>
      <c r="G381" s="2691">
        <f ca="1">100*((Transfer!D206/Transfer!C206)-1)</f>
        <v>37.281952643098748</v>
      </c>
      <c r="H381" s="2692">
        <f ca="1">Transfer!E206</f>
        <v>-0.23816079999999995</v>
      </c>
      <c r="I381" s="2453">
        <f ca="1">100*((Transfer!E206/Transfer!D206)-1)</f>
        <v>15.064643926949461</v>
      </c>
      <c r="J381" s="2692">
        <f ca="1">Transfer!F206</f>
        <v>-0.27266380600000018</v>
      </c>
      <c r="K381" s="2453">
        <f ca="1">100*((Transfer!F206/Transfer!E206)-1)</f>
        <v>14.487273304422988</v>
      </c>
      <c r="L381" s="2692">
        <f ca="1">Transfer!G206</f>
        <v>-0.31080148603000013</v>
      </c>
      <c r="M381" s="2454">
        <f ca="1">100*((Transfer!G206/Transfer!F206)-1)</f>
        <v>13.987070960932723</v>
      </c>
      <c r="N381" s="2452"/>
      <c r="O381" s="54"/>
      <c r="P381" s="54"/>
      <c r="Q381" s="54"/>
      <c r="R381" s="54"/>
      <c r="S381" s="190"/>
      <c r="T381" s="101" t="s">
        <v>479</v>
      </c>
      <c r="U381" s="199"/>
      <c r="V381" s="254" t="s">
        <v>480</v>
      </c>
      <c r="W381" s="245">
        <f t="shared" ca="1" si="23"/>
        <v>9998.7999999999993</v>
      </c>
      <c r="X381" s="245">
        <f t="shared" ca="1" si="23"/>
        <v>37.299999999999997</v>
      </c>
      <c r="Y381" s="245">
        <f t="shared" ca="1" si="23"/>
        <v>9998.7999999999993</v>
      </c>
      <c r="Z381" s="245">
        <f t="shared" ca="1" si="23"/>
        <v>15.1</v>
      </c>
      <c r="AA381" s="245">
        <f t="shared" ca="1" si="23"/>
        <v>9998.7000000000007</v>
      </c>
      <c r="AB381" s="245">
        <f t="shared" ca="1" si="23"/>
        <v>14.5</v>
      </c>
      <c r="AC381" s="245">
        <f t="shared" ca="1" si="23"/>
        <v>9998.7000000000007</v>
      </c>
      <c r="AD381" s="320">
        <f t="shared" ca="1" si="23"/>
        <v>14</v>
      </c>
      <c r="AE381" s="199"/>
      <c r="AF381" s="45"/>
      <c r="AG381" s="45"/>
      <c r="AH381" s="45"/>
      <c r="AI381" s="45"/>
      <c r="AJ381" s="190"/>
      <c r="AK381" s="101" t="s">
        <v>479</v>
      </c>
      <c r="AL381" s="199"/>
      <c r="AM381" s="254" t="s">
        <v>480</v>
      </c>
      <c r="AN381" s="91">
        <f>Transfer!AD206</f>
        <v>-9999</v>
      </c>
      <c r="AO381" s="242">
        <f>100*((Transfer!AD206/Transfer!AC206)-1)</f>
        <v>0</v>
      </c>
      <c r="AP381" s="92">
        <f>Transfer!AE206</f>
        <v>-9999</v>
      </c>
      <c r="AQ381" s="91">
        <f>100*((Transfer!AE206/Transfer!AD206)-1)</f>
        <v>0</v>
      </c>
      <c r="AR381" s="92">
        <f>Transfer!AF206</f>
        <v>-9999</v>
      </c>
      <c r="AS381" s="91">
        <f>100*((Transfer!AF206/Transfer!AE206)-1)</f>
        <v>0</v>
      </c>
      <c r="AT381" s="92">
        <f>Transfer!AG206</f>
        <v>-9999</v>
      </c>
      <c r="AU381" s="93">
        <f>100*((Transfer!AG206/Transfer!AF206)-1)</f>
        <v>0</v>
      </c>
      <c r="AV381" s="199"/>
      <c r="AW381" s="54"/>
      <c r="AX381" s="54"/>
      <c r="AY381" s="54"/>
      <c r="AZ381" s="54"/>
      <c r="BA381" s="1698" t="s">
        <v>132</v>
      </c>
      <c r="BB381" s="1699"/>
      <c r="BC381" s="54"/>
    </row>
    <row r="382" spans="1:55">
      <c r="A382" s="45"/>
      <c r="B382" s="1665"/>
      <c r="C382" s="1666" t="s">
        <v>1561</v>
      </c>
      <c r="D382" s="2452"/>
      <c r="E382" s="2521" t="s">
        <v>2100</v>
      </c>
      <c r="F382" s="2453">
        <f ca="1">Transfer!D207</f>
        <v>0.62555999999999989</v>
      </c>
      <c r="G382" s="2691">
        <f ca="1">100*((Transfer!D207/Transfer!C207)-1)</f>
        <v>9.2375929871127518</v>
      </c>
      <c r="H382" s="2692">
        <f ca="1">Transfer!E207</f>
        <v>0.63099999999999989</v>
      </c>
      <c r="I382" s="2453">
        <f ca="1">100*((Transfer!E207/Transfer!D207)-1)</f>
        <v>0.86962081974550909</v>
      </c>
      <c r="J382" s="2692">
        <f ca="1">Transfer!F207</f>
        <v>0.6499299999999999</v>
      </c>
      <c r="K382" s="2453">
        <f ca="1">100*((Transfer!F207/Transfer!E207)-1)</f>
        <v>3.0000000000000027</v>
      </c>
      <c r="L382" s="2692">
        <f ca="1">Transfer!G207</f>
        <v>0.6882758699999999</v>
      </c>
      <c r="M382" s="2454">
        <f ca="1">100*((Transfer!G207/Transfer!F207)-1)</f>
        <v>5.8999999999999941</v>
      </c>
      <c r="N382" s="2452"/>
      <c r="O382" s="54"/>
      <c r="P382" s="54"/>
      <c r="Q382" s="54"/>
      <c r="R382" s="54"/>
      <c r="S382" s="190"/>
      <c r="T382" s="101" t="s">
        <v>1561</v>
      </c>
      <c r="U382" s="199"/>
      <c r="V382" s="254" t="s">
        <v>2100</v>
      </c>
      <c r="W382" s="245">
        <f t="shared" ca="1" si="23"/>
        <v>9999.6</v>
      </c>
      <c r="X382" s="245">
        <f t="shared" ca="1" si="23"/>
        <v>9.1999999999999993</v>
      </c>
      <c r="Y382" s="245">
        <f t="shared" ca="1" si="23"/>
        <v>9999.6</v>
      </c>
      <c r="Z382" s="245">
        <f t="shared" ca="1" si="23"/>
        <v>0.9</v>
      </c>
      <c r="AA382" s="245">
        <f t="shared" ca="1" si="23"/>
        <v>9999.6</v>
      </c>
      <c r="AB382" s="245">
        <f t="shared" ca="1" si="23"/>
        <v>3</v>
      </c>
      <c r="AC382" s="245">
        <f t="shared" ca="1" si="23"/>
        <v>9999.7000000000007</v>
      </c>
      <c r="AD382" s="320">
        <f t="shared" ca="1" si="23"/>
        <v>5.9</v>
      </c>
      <c r="AE382" s="199"/>
      <c r="AF382" s="45"/>
      <c r="AG382" s="45"/>
      <c r="AH382" s="45"/>
      <c r="AI382" s="45"/>
      <c r="AJ382" s="190"/>
      <c r="AK382" s="101" t="s">
        <v>1561</v>
      </c>
      <c r="AL382" s="199"/>
      <c r="AM382" s="254" t="s">
        <v>2100</v>
      </c>
      <c r="AN382" s="91">
        <f>Transfer!AD207</f>
        <v>-9999</v>
      </c>
      <c r="AO382" s="242">
        <f>100*((Transfer!AD207/Transfer!AC207)-1)</f>
        <v>0</v>
      </c>
      <c r="AP382" s="92">
        <f>Transfer!AE207</f>
        <v>-9999</v>
      </c>
      <c r="AQ382" s="91">
        <f>100*((Transfer!AE207/Transfer!AD207)-1)</f>
        <v>0</v>
      </c>
      <c r="AR382" s="92">
        <f>Transfer!AF207</f>
        <v>-9999</v>
      </c>
      <c r="AS382" s="91">
        <f>100*((Transfer!AF207/Transfer!AE207)-1)</f>
        <v>0</v>
      </c>
      <c r="AT382" s="92">
        <f>Transfer!AG207</f>
        <v>-9999</v>
      </c>
      <c r="AU382" s="93">
        <f>100*((Transfer!AG207/Transfer!AF207)-1)</f>
        <v>0</v>
      </c>
      <c r="AV382" s="199"/>
      <c r="AW382" s="54"/>
      <c r="AX382" s="54"/>
      <c r="AY382" s="54"/>
      <c r="AZ382" s="54"/>
      <c r="BA382" s="1698" t="s">
        <v>607</v>
      </c>
      <c r="BB382" s="1699"/>
      <c r="BC382" s="54"/>
    </row>
    <row r="383" spans="1:55">
      <c r="A383" s="45"/>
      <c r="B383" s="1665"/>
      <c r="C383" s="1666" t="s">
        <v>1053</v>
      </c>
      <c r="D383" s="2452"/>
      <c r="E383" s="2521" t="s">
        <v>1597</v>
      </c>
      <c r="F383" s="2453">
        <f ca="1">Transfer!D208</f>
        <v>0.13106000000000001</v>
      </c>
      <c r="G383" s="2691"/>
      <c r="H383" s="2692">
        <f ca="1">Transfer!E208</f>
        <v>0.13106000000000001</v>
      </c>
      <c r="I383" s="2453"/>
      <c r="J383" s="2692">
        <f ca="1">Transfer!F208</f>
        <v>0.13106000000000001</v>
      </c>
      <c r="K383" s="2453"/>
      <c r="L383" s="2692">
        <f ca="1">Transfer!G208</f>
        <v>0.13106000000000001</v>
      </c>
      <c r="M383" s="2454"/>
      <c r="N383" s="2452"/>
      <c r="O383" s="54"/>
      <c r="P383" s="54"/>
      <c r="Q383" s="54"/>
      <c r="R383" s="54"/>
      <c r="S383" s="190"/>
      <c r="T383" s="101" t="s">
        <v>1053</v>
      </c>
      <c r="U383" s="199"/>
      <c r="V383" s="254" t="s">
        <v>1597</v>
      </c>
      <c r="W383" s="245">
        <f t="shared" ca="1" si="23"/>
        <v>9999.1</v>
      </c>
      <c r="X383" s="248"/>
      <c r="Y383" s="245">
        <f t="shared" ca="1" si="23"/>
        <v>9999.1</v>
      </c>
      <c r="Z383" s="245"/>
      <c r="AA383" s="245">
        <f t="shared" ca="1" si="23"/>
        <v>9999.1</v>
      </c>
      <c r="AB383" s="245"/>
      <c r="AC383" s="245">
        <f t="shared" ca="1" si="23"/>
        <v>9999.1</v>
      </c>
      <c r="AD383" s="320"/>
      <c r="AE383" s="199"/>
      <c r="AF383" s="45"/>
      <c r="AG383" s="45"/>
      <c r="AH383" s="45"/>
      <c r="AI383" s="45"/>
      <c r="AJ383" s="190"/>
      <c r="AK383" s="101" t="s">
        <v>1053</v>
      </c>
      <c r="AL383" s="199"/>
      <c r="AM383" s="254" t="s">
        <v>1597</v>
      </c>
      <c r="AN383" s="91">
        <f>Transfer!AD208</f>
        <v>-9999</v>
      </c>
      <c r="AO383" s="242"/>
      <c r="AP383" s="92">
        <f>Transfer!AE208</f>
        <v>-9999</v>
      </c>
      <c r="AQ383" s="91"/>
      <c r="AR383" s="92">
        <f>Transfer!AF208</f>
        <v>-9999</v>
      </c>
      <c r="AS383" s="91"/>
      <c r="AT383" s="92">
        <f>Transfer!AG208</f>
        <v>-9999</v>
      </c>
      <c r="AU383" s="93"/>
      <c r="AV383" s="199"/>
      <c r="AW383" s="54"/>
      <c r="AX383" s="54"/>
      <c r="AY383" s="54"/>
      <c r="AZ383" s="54"/>
      <c r="BA383" s="1698" t="s">
        <v>133</v>
      </c>
      <c r="BB383" s="1699"/>
      <c r="BC383" s="54"/>
    </row>
    <row r="384" spans="1:55">
      <c r="A384" s="45"/>
      <c r="B384" s="1665"/>
      <c r="C384" s="1666" t="s">
        <v>1054</v>
      </c>
      <c r="D384" s="2452"/>
      <c r="E384" s="2521" t="s">
        <v>1603</v>
      </c>
      <c r="F384" s="2453">
        <f ca="1">SUM(Transfer!D200,Transfer!D201,Transfer!D205,Transfer!D206)-(SUM(Transfer!D202,Transfer!D203,Transfer!D207,Transfer!D208))</f>
        <v>5.4141800000000018</v>
      </c>
      <c r="G384" s="2691">
        <f ca="1">100*(((SUM(Transfer!D200,Transfer!D201,Transfer!D205,Transfer!D206)-(SUM(Transfer!D202,Transfer!D203,Transfer!D207,Transfer!D208)))/(SUM(Transfer!C200,Transfer!C201,Transfer!C205,Transfer!C206)-(SUM(Transfer!C202,Transfer!C203,Transfer!C207,Transfer!C208))))-1)</f>
        <v>-11.113409542759811</v>
      </c>
      <c r="H384" s="2453">
        <f ca="1">SUM(Transfer!E200,Transfer!E201,Transfer!E205,Transfer!E206)-(SUM(Transfer!E202,Transfer!E203,Transfer!E207,Transfer!E208))</f>
        <v>6.2509504700000047</v>
      </c>
      <c r="I384" s="2691">
        <f ca="1">100*(((SUM(Transfer!E200,Transfer!E201,Transfer!E205,Transfer!E206)-(SUM(Transfer!E202,Transfer!E203,Transfer!E207,Transfer!E208)))/(SUM(Transfer!D200,Transfer!D201,Transfer!D205,Transfer!D206)-(SUM(Transfer!D202,Transfer!D203,Transfer!D207,Transfer!D208))))-1)</f>
        <v>15.455165325127762</v>
      </c>
      <c r="J384" s="2453">
        <f ca="1">SUM(Transfer!F200,Transfer!F201,Transfer!F205,Transfer!F206)-(SUM(Transfer!F202,Transfer!F203,Transfer!F207,Transfer!F208))</f>
        <v>6.7520762020993281</v>
      </c>
      <c r="K384" s="2691">
        <f ca="1">100*(((SUM(Transfer!F200,Transfer!F201,Transfer!F205,Transfer!F206)-(SUM(Transfer!F202,Transfer!F203,Transfer!F207,Transfer!F208)))/(SUM(Transfer!E200,Transfer!E201,Transfer!E205,Transfer!E206)-(SUM(Transfer!E202,Transfer!E203,Transfer!E207,Transfer!E208))))-1)</f>
        <v>8.0167925582575137</v>
      </c>
      <c r="L384" s="2453">
        <f ca="1">SUM(Transfer!G200,Transfer!G201,Transfer!G205,Transfer!G206)-(SUM(Transfer!G202,Transfer!G203,Transfer!G207,Transfer!G208))</f>
        <v>7.3186701178579661</v>
      </c>
      <c r="M384" s="2693">
        <f ca="1">100*(((SUM(Transfer!G200,Transfer!G201,Transfer!G205,Transfer!G206)-(SUM(Transfer!G202,Transfer!G203,Transfer!G207,Transfer!G208)))/(SUM(Transfer!F200,Transfer!F201,Transfer!F205,Transfer!F206)-(SUM(Transfer!F202,Transfer!F203,Transfer!F207,Transfer!F208))))-1)</f>
        <v>8.3914028633514945</v>
      </c>
      <c r="N384" s="2452"/>
      <c r="O384" s="54"/>
      <c r="P384" s="54"/>
      <c r="Q384" s="54"/>
      <c r="R384" s="54"/>
      <c r="S384" s="190"/>
      <c r="T384" s="101" t="s">
        <v>1054</v>
      </c>
      <c r="U384" s="199"/>
      <c r="V384" s="254" t="s">
        <v>1603</v>
      </c>
      <c r="W384" s="245">
        <f t="shared" ca="1" si="23"/>
        <v>5.4</v>
      </c>
      <c r="X384" s="245" t="e">
        <f ca="1">ROUND(G384,1)-ROUND(AO384,1)</f>
        <v>#DIV/0!</v>
      </c>
      <c r="Y384" s="245">
        <f t="shared" ca="1" si="23"/>
        <v>6.3</v>
      </c>
      <c r="Z384" s="245" t="e">
        <f ca="1">ROUND(I384,1)-ROUND(AQ384,1)</f>
        <v>#DIV/0!</v>
      </c>
      <c r="AA384" s="245">
        <f t="shared" ca="1" si="23"/>
        <v>6.8</v>
      </c>
      <c r="AB384" s="245" t="e">
        <f ca="1">ROUND(K384,1)-ROUND(AS384,1)</f>
        <v>#DIV/0!</v>
      </c>
      <c r="AC384" s="245">
        <f t="shared" ca="1" si="23"/>
        <v>7.3</v>
      </c>
      <c r="AD384" s="320" t="e">
        <f t="shared" ca="1" si="23"/>
        <v>#DIV/0!</v>
      </c>
      <c r="AE384" s="199"/>
      <c r="AF384" s="45"/>
      <c r="AG384" s="45"/>
      <c r="AH384" s="45"/>
      <c r="AI384" s="45"/>
      <c r="AJ384" s="190"/>
      <c r="AK384" s="101" t="s">
        <v>1054</v>
      </c>
      <c r="AL384" s="199"/>
      <c r="AM384" s="254" t="s">
        <v>1603</v>
      </c>
      <c r="AN384" s="91">
        <f>SUM(Transfer!AD200,Transfer!AD201,Transfer!AD205,Transfer!AD206)-(SUM(Transfer!AD202,Transfer!AD203,Transfer!AD207,Transfer!AD208))</f>
        <v>0</v>
      </c>
      <c r="AO384" s="242" t="e">
        <f>100*(((SUM(Transfer!AD200,Transfer!AD201,Transfer!AD205,Transfer!AD206)-(SUM(Transfer!AD202,Transfer!AD203,Transfer!AD207,Transfer!AD208)))/(SUM(Transfer!AC200,Transfer!AC201,Transfer!AC205,Transfer!AC206)-(SUM(Transfer!AC202,Transfer!AC203,Transfer!AC207,Transfer!AC208))))-1)</f>
        <v>#DIV/0!</v>
      </c>
      <c r="AP384" s="91">
        <f>SUM(Transfer!AE200,Transfer!AE201,Transfer!AE205,Transfer!AE206)-(SUM(Transfer!AE202,Transfer!AE203,Transfer!AE207,Transfer!AE208))</f>
        <v>0</v>
      </c>
      <c r="AQ384" s="242" t="e">
        <f>100*(((SUM(Transfer!AE200,Transfer!AE201,Transfer!AE205,Transfer!AE206)-(SUM(Transfer!AE202,Transfer!AE203,Transfer!AE207,Transfer!AE208)))/(SUM(Transfer!AD200,Transfer!AD201,Transfer!AD205,Transfer!AD206)-(SUM(Transfer!AD202,Transfer!AD203,Transfer!AD207,Transfer!AD208))))-1)</f>
        <v>#DIV/0!</v>
      </c>
      <c r="AR384" s="91">
        <f>SUM(Transfer!AF200,Transfer!AF201,Transfer!AF205,Transfer!AF206)-(SUM(Transfer!AF202,Transfer!AF203,Transfer!AF207,Transfer!AF208))</f>
        <v>0</v>
      </c>
      <c r="AS384" s="242" t="e">
        <f>100*(((SUM(Transfer!AF200,Transfer!AF201,Transfer!AF205,Transfer!AF206)-(SUM(Transfer!AF202,Transfer!AF203,Transfer!AF207,Transfer!AF208)))/(SUM(Transfer!AE200,Transfer!AE201,Transfer!AE205,Transfer!AE206)-(SUM(Transfer!AE202,Transfer!AE203,Transfer!AE207,Transfer!AE208))))-1)</f>
        <v>#DIV/0!</v>
      </c>
      <c r="AT384" s="91">
        <f>SUM(Transfer!AG200,Transfer!AG201,Transfer!AG205,Transfer!AG206)-(SUM(Transfer!AG202,Transfer!AG203,Transfer!AG207,Transfer!AG208))</f>
        <v>0</v>
      </c>
      <c r="AU384" s="243" t="e">
        <f>100*(((SUM(Transfer!AG200,Transfer!AG201,Transfer!AG205,Transfer!AG206)-(SUM(Transfer!AG202,Transfer!AG203,Transfer!AG207,Transfer!AG208)))/(SUM(Transfer!AF200,Transfer!AF201,Transfer!AF205,Transfer!AF206)-(SUM(Transfer!AF202,Transfer!AF203,Transfer!AF207,Transfer!AF208))))-1)</f>
        <v>#DIV/0!</v>
      </c>
      <c r="AV384" s="199"/>
      <c r="AW384" s="54"/>
      <c r="AX384" s="54"/>
      <c r="AY384" s="54"/>
      <c r="AZ384" s="54"/>
      <c r="BA384" s="1698" t="s">
        <v>1233</v>
      </c>
      <c r="BB384" s="1699"/>
      <c r="BC384" s="54"/>
    </row>
    <row r="385" spans="1:55">
      <c r="A385" s="45"/>
      <c r="B385" s="1665"/>
      <c r="C385" s="2707" t="s">
        <v>1500</v>
      </c>
      <c r="D385" s="2708"/>
      <c r="E385" s="2709"/>
      <c r="F385" s="2552">
        <f ca="1">100*(SUM(Transfer!D200,Transfer!D201,Transfer!D205,Transfer!D206)-(SUM(Transfer!D202,Transfer!D203,Transfer!D207,Transfer!D208)))/Transfer!D147</f>
        <v>14.001590966455231</v>
      </c>
      <c r="G385" s="2710"/>
      <c r="H385" s="2552">
        <f ca="1">100*(SUM(Transfer!E200,Transfer!E201,Transfer!E205,Transfer!E206)-(SUM(Transfer!E202,Transfer!E203,Transfer!E207,Transfer!E208)))/Transfer!E147</f>
        <v>14.961730687190979</v>
      </c>
      <c r="I385" s="2710"/>
      <c r="J385" s="2552">
        <f ca="1">100*(SUM(Transfer!F200,Transfer!F201,Transfer!F205,Transfer!F206)-(SUM(Transfer!F202,Transfer!F203,Transfer!F207,Transfer!F208)))/Transfer!F147</f>
        <v>15.272196785034913</v>
      </c>
      <c r="K385" s="2710"/>
      <c r="L385" s="2552">
        <f ca="1">100*(SUM(Transfer!G200,Transfer!G201,Transfer!G205,Transfer!G206)-(SUM(Transfer!G202,Transfer!G203,Transfer!G207,Transfer!G208)))/Transfer!G147</f>
        <v>15.679644646822807</v>
      </c>
      <c r="M385" s="2711"/>
      <c r="N385" s="2712"/>
      <c r="O385" s="54"/>
      <c r="P385" s="54"/>
      <c r="Q385" s="54"/>
      <c r="R385" s="54"/>
      <c r="S385" s="190"/>
      <c r="T385" s="445" t="s">
        <v>1500</v>
      </c>
      <c r="U385" s="1712"/>
      <c r="V385" s="446"/>
      <c r="W385" s="443">
        <f t="shared" ca="1" si="23"/>
        <v>14</v>
      </c>
      <c r="X385" s="447"/>
      <c r="Y385" s="443">
        <f t="shared" ca="1" si="23"/>
        <v>15</v>
      </c>
      <c r="Z385" s="447"/>
      <c r="AA385" s="443">
        <f t="shared" ca="1" si="23"/>
        <v>15.3</v>
      </c>
      <c r="AB385" s="447"/>
      <c r="AC385" s="443">
        <f t="shared" ca="1" si="23"/>
        <v>15.7</v>
      </c>
      <c r="AD385" s="2018"/>
      <c r="AE385" s="448"/>
      <c r="AF385" s="45"/>
      <c r="AG385" s="45"/>
      <c r="AH385" s="45"/>
      <c r="AI385" s="45"/>
      <c r="AJ385" s="190"/>
      <c r="AK385" s="445" t="s">
        <v>1500</v>
      </c>
      <c r="AL385" s="1712"/>
      <c r="AM385" s="446"/>
      <c r="AN385" s="156">
        <f>100*(SUM(Transfer!AD200,Transfer!AD201,Transfer!AD205,Transfer!AD206)-(SUM(Transfer!AD202,Transfer!AD203,Transfer!AD207,Transfer!AD208)))/Transfer!AD147</f>
        <v>0</v>
      </c>
      <c r="AO385" s="2059"/>
      <c r="AP385" s="156">
        <f>100*(SUM(Transfer!AE200,Transfer!AE201,Transfer!AE205,Transfer!AE206)-(SUM(Transfer!AE202,Transfer!AE203,Transfer!AE207,Transfer!AE208)))/Transfer!AE147</f>
        <v>0</v>
      </c>
      <c r="AQ385" s="2059"/>
      <c r="AR385" s="156">
        <f>100*(SUM(Transfer!AF200,Transfer!AF201,Transfer!AF205,Transfer!AF206)-(SUM(Transfer!AF202,Transfer!AF203,Transfer!AF207,Transfer!AF208)))/Transfer!AF147</f>
        <v>0</v>
      </c>
      <c r="AS385" s="2059"/>
      <c r="AT385" s="156">
        <f>100*(SUM(Transfer!AG200,Transfer!AG201,Transfer!AG205,Transfer!AG206)-(SUM(Transfer!AG202,Transfer!AG203,Transfer!AG207,Transfer!AG208)))/Transfer!AG147</f>
        <v>0</v>
      </c>
      <c r="AU385" s="2060"/>
      <c r="AV385" s="448"/>
      <c r="AW385" s="54"/>
      <c r="AX385" s="54"/>
      <c r="AY385" s="54"/>
      <c r="AZ385" s="54"/>
      <c r="BA385" s="1698" t="s">
        <v>1234</v>
      </c>
      <c r="BB385" s="1699"/>
      <c r="BC385" s="54"/>
    </row>
    <row r="386" spans="1:55">
      <c r="A386" s="45"/>
      <c r="B386" s="1665"/>
      <c r="C386" s="1666" t="s">
        <v>754</v>
      </c>
      <c r="D386" s="2452"/>
      <c r="E386" s="2521" t="s">
        <v>1062</v>
      </c>
      <c r="F386" s="2453">
        <f ca="1">Transfer!D209</f>
        <v>3.7375100000000003</v>
      </c>
      <c r="G386" s="2453">
        <f ca="1">100*((Transfer!D209/Transfer!C209)-1)</f>
        <v>-20.285329767244441</v>
      </c>
      <c r="H386" s="2453">
        <f ca="1">Transfer!E209</f>
        <v>4.1594073491796708</v>
      </c>
      <c r="I386" s="2453">
        <f ca="1">100*((Transfer!E209/Transfer!D209)-1)</f>
        <v>11.288193186899043</v>
      </c>
      <c r="J386" s="2453">
        <f ca="1">Transfer!F209</f>
        <v>4.7105425170022883</v>
      </c>
      <c r="K386" s="2453">
        <f ca="1">100*((Transfer!F209/Transfer!E209)-1)</f>
        <v>13.250329230949554</v>
      </c>
      <c r="L386" s="2453">
        <f ca="1">Transfer!G209</f>
        <v>5.1136643096866443</v>
      </c>
      <c r="M386" s="2454">
        <f ca="1">100*((Transfer!G209/Transfer!F209)-1)</f>
        <v>8.5578633719857855</v>
      </c>
      <c r="N386" s="2452"/>
      <c r="O386" s="54"/>
      <c r="P386" s="54"/>
      <c r="Q386" s="54"/>
      <c r="R386" s="54"/>
      <c r="S386" s="190"/>
      <c r="T386" s="101" t="s">
        <v>754</v>
      </c>
      <c r="U386" s="199"/>
      <c r="V386" s="254" t="s">
        <v>1062</v>
      </c>
      <c r="W386" s="245">
        <f t="shared" ca="1" si="23"/>
        <v>10002.700000000001</v>
      </c>
      <c r="X386" s="245">
        <f ca="1">ROUND(G386,1)-ROUND(AO386,1)</f>
        <v>-20.3</v>
      </c>
      <c r="Y386" s="245">
        <f t="shared" ca="1" si="23"/>
        <v>10003.200000000001</v>
      </c>
      <c r="Z386" s="245">
        <f ca="1">ROUND(I386,1)-ROUND(AQ386,1)</f>
        <v>11.3</v>
      </c>
      <c r="AA386" s="245">
        <f t="shared" ca="1" si="23"/>
        <v>10003.700000000001</v>
      </c>
      <c r="AB386" s="245">
        <f ca="1">ROUND(K386,1)-ROUND(AS386,1)</f>
        <v>13.3</v>
      </c>
      <c r="AC386" s="245">
        <f t="shared" ca="1" si="23"/>
        <v>10004.1</v>
      </c>
      <c r="AD386" s="320">
        <f t="shared" ca="1" si="23"/>
        <v>8.6</v>
      </c>
      <c r="AE386" s="199"/>
      <c r="AF386" s="45"/>
      <c r="AG386" s="45"/>
      <c r="AH386" s="45"/>
      <c r="AI386" s="45"/>
      <c r="AJ386" s="190"/>
      <c r="AK386" s="101" t="s">
        <v>754</v>
      </c>
      <c r="AL386" s="199"/>
      <c r="AM386" s="254" t="s">
        <v>1062</v>
      </c>
      <c r="AN386" s="91">
        <f>Transfer!AD209</f>
        <v>-9999</v>
      </c>
      <c r="AO386" s="91">
        <f>100*((Transfer!AD209/Transfer!AC209)-1)</f>
        <v>0</v>
      </c>
      <c r="AP386" s="91">
        <f>Transfer!AE209</f>
        <v>-9999</v>
      </c>
      <c r="AQ386" s="91">
        <f>100*((Transfer!AE209/Transfer!AD209)-1)</f>
        <v>0</v>
      </c>
      <c r="AR386" s="91">
        <f>Transfer!AF209</f>
        <v>-9999</v>
      </c>
      <c r="AS386" s="91">
        <f>100*((Transfer!AF209/Transfer!AE209)-1)</f>
        <v>0</v>
      </c>
      <c r="AT386" s="91">
        <f>Transfer!AG209</f>
        <v>-9999</v>
      </c>
      <c r="AU386" s="93">
        <f>100*((Transfer!AG209/Transfer!AF209)-1)</f>
        <v>0</v>
      </c>
      <c r="AV386" s="199"/>
      <c r="AW386" s="54"/>
      <c r="AX386" s="54"/>
      <c r="AY386" s="54"/>
      <c r="AZ386" s="54"/>
      <c r="BA386" s="1698" t="s">
        <v>1235</v>
      </c>
      <c r="BB386" s="1699"/>
      <c r="BC386" s="54"/>
    </row>
    <row r="387" spans="1:55">
      <c r="A387" s="45"/>
      <c r="B387" s="1665"/>
      <c r="C387" s="2455" t="s">
        <v>322</v>
      </c>
      <c r="D387" s="2713"/>
      <c r="E387" s="2714" t="s">
        <v>410</v>
      </c>
      <c r="F387" s="2512">
        <f ca="1">Transfer!D210</f>
        <v>-0.27847</v>
      </c>
      <c r="G387" s="2510">
        <f ca="1">100*((Transfer!D210/Transfer!C210)-1)</f>
        <v>-42.767592897073349</v>
      </c>
      <c r="H387" s="2512">
        <f ca="1">Transfer!E210</f>
        <v>-0.25158999999999998</v>
      </c>
      <c r="I387" s="2512">
        <f ca="1">100*((Transfer!E210/Transfer!D210)-1)</f>
        <v>-9.6527453585664613</v>
      </c>
      <c r="J387" s="2512">
        <f ca="1">Transfer!F210</f>
        <v>-0.22659159999999995</v>
      </c>
      <c r="K387" s="2510">
        <f ca="1">100*((Transfer!F210/Transfer!E210)-1)</f>
        <v>-9.9361659843396168</v>
      </c>
      <c r="L387" s="2512">
        <f ca="1">Transfer!G210</f>
        <v>-0.20334308799999995</v>
      </c>
      <c r="M387" s="2513">
        <f ca="1">100*((Transfer!G210/Transfer!F210)-1)</f>
        <v>-10.260094372430405</v>
      </c>
      <c r="N387" s="2713"/>
      <c r="O387" s="54"/>
      <c r="P387" s="54"/>
      <c r="Q387" s="54"/>
      <c r="R387" s="54"/>
      <c r="S387" s="190"/>
      <c r="T387" s="434" t="s">
        <v>322</v>
      </c>
      <c r="U387" s="453"/>
      <c r="V387" s="449" t="s">
        <v>410</v>
      </c>
      <c r="W387" s="245">
        <f t="shared" ca="1" si="23"/>
        <v>9998.7000000000007</v>
      </c>
      <c r="X387" s="245">
        <f ca="1">ROUND(G387,1)-ROUND(AO387,1)</f>
        <v>-42.8</v>
      </c>
      <c r="Y387" s="245">
        <f t="shared" ca="1" si="23"/>
        <v>9998.7000000000007</v>
      </c>
      <c r="Z387" s="245">
        <f ca="1">ROUND(I387,1)-ROUND(AQ387,1)</f>
        <v>-9.6999999999999993</v>
      </c>
      <c r="AA387" s="245">
        <f t="shared" ca="1" si="23"/>
        <v>9998.7999999999993</v>
      </c>
      <c r="AB387" s="245">
        <f ca="1">ROUND(K387,1)-ROUND(AS387,1)</f>
        <v>-9.9</v>
      </c>
      <c r="AC387" s="245">
        <f t="shared" ca="1" si="23"/>
        <v>9998.7999999999993</v>
      </c>
      <c r="AD387" s="320">
        <f t="shared" ca="1" si="23"/>
        <v>-10.3</v>
      </c>
      <c r="AE387" s="453"/>
      <c r="AF387" s="45"/>
      <c r="AG387" s="45"/>
      <c r="AH387" s="45"/>
      <c r="AI387" s="45"/>
      <c r="AJ387" s="190"/>
      <c r="AK387" s="434" t="s">
        <v>322</v>
      </c>
      <c r="AL387" s="453"/>
      <c r="AM387" s="449" t="s">
        <v>410</v>
      </c>
      <c r="AN387" s="1982">
        <f>Transfer!AD210</f>
        <v>-9999</v>
      </c>
      <c r="AO387" s="435">
        <f>100*((Transfer!AD210/Transfer!AC210)-1)</f>
        <v>0</v>
      </c>
      <c r="AP387" s="1982">
        <f>Transfer!AE210</f>
        <v>-9999</v>
      </c>
      <c r="AQ387" s="1982">
        <f>100*((Transfer!AE210/Transfer!AD210)-1)</f>
        <v>0</v>
      </c>
      <c r="AR387" s="1982">
        <f>Transfer!AF210</f>
        <v>-9999</v>
      </c>
      <c r="AS387" s="435">
        <f>100*((Transfer!AF210/Transfer!AE210)-1)</f>
        <v>0</v>
      </c>
      <c r="AT387" s="1982">
        <f>Transfer!AG210</f>
        <v>-9999</v>
      </c>
      <c r="AU387" s="1985">
        <f>100*((Transfer!AG210/Transfer!AF210)-1)</f>
        <v>0</v>
      </c>
      <c r="AV387" s="453"/>
      <c r="AW387" s="54"/>
      <c r="AX387" s="54"/>
      <c r="AY387" s="54"/>
      <c r="AZ387" s="54"/>
      <c r="BA387" s="1698" t="s">
        <v>1951</v>
      </c>
      <c r="BB387" s="1699"/>
      <c r="BC387" s="54"/>
    </row>
    <row r="388" spans="1:55">
      <c r="A388" s="45"/>
      <c r="B388" s="1665"/>
      <c r="C388" s="1666" t="s">
        <v>467</v>
      </c>
      <c r="D388" s="2452"/>
      <c r="E388" s="2521" t="s">
        <v>1564</v>
      </c>
      <c r="F388" s="2691">
        <f ca="1">SUM(Transfer!D200,Transfer!D201,Transfer!D205,Transfer!D206)-(SUM(Transfer!D202,Transfer!D203,Transfer!D207,Transfer!D208,Transfer!D209,Transfer!D210))</f>
        <v>1.9551400000000001</v>
      </c>
      <c r="G388" s="2453"/>
      <c r="H388" s="2691">
        <f ca="1">SUM(Transfer!E200,Transfer!E201,Transfer!E205,Transfer!E206)-(SUM(Transfer!E202,Transfer!E203,Transfer!E207,Transfer!E208,Transfer!E209,Transfer!E210))</f>
        <v>2.3431331208203332</v>
      </c>
      <c r="I388" s="2453"/>
      <c r="J388" s="2691">
        <f ca="1">SUM(Transfer!F200,Transfer!F201,Transfer!F205,Transfer!F206)-(SUM(Transfer!F202,Transfer!F203,Transfer!F207,Transfer!F208,Transfer!F209,Transfer!F210))</f>
        <v>2.2681252850970388</v>
      </c>
      <c r="K388" s="2453"/>
      <c r="L388" s="2691">
        <f ca="1">SUM(Transfer!G200,Transfer!G201,Transfer!G205,Transfer!G206)-(SUM(Transfer!G202,Transfer!G203,Transfer!G207,Transfer!G208,Transfer!G209,Transfer!G210))</f>
        <v>2.4083488961713222</v>
      </c>
      <c r="M388" s="2454"/>
      <c r="N388" s="2452"/>
      <c r="O388" s="54"/>
      <c r="P388" s="54"/>
      <c r="Q388" s="54"/>
      <c r="R388" s="54"/>
      <c r="S388" s="190"/>
      <c r="T388" s="101" t="s">
        <v>467</v>
      </c>
      <c r="U388" s="199"/>
      <c r="V388" s="254" t="s">
        <v>1564</v>
      </c>
      <c r="W388" s="245">
        <f t="shared" ca="1" si="23"/>
        <v>-19996</v>
      </c>
      <c r="X388" s="245"/>
      <c r="Y388" s="245">
        <f t="shared" ca="1" si="23"/>
        <v>-19995.7</v>
      </c>
      <c r="Z388" s="245"/>
      <c r="AA388" s="245">
        <f t="shared" ca="1" si="23"/>
        <v>-19995.7</v>
      </c>
      <c r="AB388" s="245"/>
      <c r="AC388" s="245">
        <f t="shared" ca="1" si="23"/>
        <v>-19995.599999999999</v>
      </c>
      <c r="AD388" s="320"/>
      <c r="AE388" s="199"/>
      <c r="AF388" s="45"/>
      <c r="AG388" s="45"/>
      <c r="AH388" s="45"/>
      <c r="AI388" s="45"/>
      <c r="AJ388" s="190"/>
      <c r="AK388" s="101" t="s">
        <v>467</v>
      </c>
      <c r="AL388" s="199"/>
      <c r="AM388" s="254" t="s">
        <v>1564</v>
      </c>
      <c r="AN388" s="242">
        <f>SUM(Transfer!AD200,Transfer!AD201,Transfer!AD205,Transfer!AD206)-(SUM(Transfer!AD202,Transfer!AD203,Transfer!AD207,Transfer!AD208,Transfer!AD209,Transfer!AD210))</f>
        <v>19998</v>
      </c>
      <c r="AO388" s="91"/>
      <c r="AP388" s="242">
        <f>SUM(Transfer!AE200,Transfer!AE201,Transfer!AE205,Transfer!AE206)-(SUM(Transfer!AE202,Transfer!AE203,Transfer!AE207,Transfer!AE208,Transfer!AE209,Transfer!AE210))</f>
        <v>19998</v>
      </c>
      <c r="AQ388" s="91"/>
      <c r="AR388" s="242">
        <f>SUM(Transfer!AF200,Transfer!AF201,Transfer!AF205,Transfer!AF206)-(SUM(Transfer!AF202,Transfer!AF203,Transfer!AF207,Transfer!AF208,Transfer!AF209,Transfer!AF210))</f>
        <v>19998</v>
      </c>
      <c r="AS388" s="91"/>
      <c r="AT388" s="242">
        <f>SUM(Transfer!AG200,Transfer!AG201,Transfer!AG205,Transfer!AG206)-(SUM(Transfer!AG202,Transfer!AG203,Transfer!AG207,Transfer!AG208,Transfer!AG209,Transfer!AG210))</f>
        <v>19998</v>
      </c>
      <c r="AU388" s="93"/>
      <c r="AV388" s="199"/>
      <c r="AW388" s="54"/>
      <c r="AX388" s="54"/>
      <c r="AY388" s="54"/>
      <c r="AZ388" s="54"/>
      <c r="BA388" s="1698" t="s">
        <v>829</v>
      </c>
      <c r="BB388" s="1699"/>
      <c r="BC388" s="54"/>
    </row>
    <row r="389" spans="1:55" ht="13.5" thickBot="1">
      <c r="A389" s="45"/>
      <c r="B389" s="1665"/>
      <c r="C389" s="2715" t="s">
        <v>323</v>
      </c>
      <c r="D389" s="2716"/>
      <c r="E389" s="2701"/>
      <c r="F389" s="2717">
        <f ca="1">100*(SUM(Transfer!D200,Transfer!D201,Transfer!D205,Transfer!D206)-(SUM(Transfer!D202,Transfer!D203,Transfer!D207,Transfer!D208,Transfer!D209,Transfer!D210)))/Transfer!D147</f>
        <v>5.0561803564261387</v>
      </c>
      <c r="G389" s="2718"/>
      <c r="H389" s="2717">
        <f ca="1">100*(SUM(Transfer!E200,Transfer!E201,Transfer!E205,Transfer!E206)-(SUM(Transfer!E202,Transfer!E203,Transfer!E207,Transfer!E208,Transfer!E209,Transfer!E210)))/Transfer!E147</f>
        <v>5.6083193885794973</v>
      </c>
      <c r="I389" s="2718"/>
      <c r="J389" s="2717">
        <f ca="1">100*(SUM(Transfer!F200,Transfer!F201,Transfer!F205,Transfer!F206)-(SUM(Transfer!F202,Transfer!F203,Transfer!F207,Transfer!F208,Transfer!F209,Transfer!F210)))/Transfer!F147</f>
        <v>5.1301636193539251</v>
      </c>
      <c r="K389" s="2718"/>
      <c r="L389" s="2717">
        <f ca="1">100*(SUM(Transfer!G200,Transfer!G201,Transfer!G205,Transfer!G206)-(SUM(Transfer!G202,Transfer!G203,Transfer!G207,Transfer!G208,Transfer!G209,Transfer!G210)))/Transfer!G147</f>
        <v>5.1596880675619943</v>
      </c>
      <c r="M389" s="2719"/>
      <c r="N389" s="2712"/>
      <c r="O389" s="54"/>
      <c r="P389" s="54"/>
      <c r="Q389" s="54"/>
      <c r="R389" s="54"/>
      <c r="S389" s="190"/>
      <c r="T389" s="454" t="s">
        <v>323</v>
      </c>
      <c r="U389" s="1713"/>
      <c r="V389" s="437"/>
      <c r="W389" s="1719">
        <f t="shared" ca="1" si="23"/>
        <v>-17577.900000000001</v>
      </c>
      <c r="X389" s="455"/>
      <c r="Y389" s="1719">
        <f t="shared" ca="1" si="23"/>
        <v>-16653.900000000001</v>
      </c>
      <c r="Z389" s="455"/>
      <c r="AA389" s="1719">
        <f t="shared" ca="1" si="23"/>
        <v>-15688</v>
      </c>
      <c r="AB389" s="455"/>
      <c r="AC389" s="1719">
        <f t="shared" ca="1" si="23"/>
        <v>-14688.4</v>
      </c>
      <c r="AD389" s="456"/>
      <c r="AE389" s="448"/>
      <c r="AF389" s="45"/>
      <c r="AG389" s="45"/>
      <c r="AH389" s="45"/>
      <c r="AI389" s="45"/>
      <c r="AJ389" s="190"/>
      <c r="AK389" s="454" t="s">
        <v>323</v>
      </c>
      <c r="AL389" s="1713"/>
      <c r="AM389" s="437"/>
      <c r="AN389" s="438">
        <f>100*(SUM(Transfer!AD200,Transfer!AD201,Transfer!AD205,Transfer!AD206)-(SUM(Transfer!AD202,Transfer!AD203,Transfer!AD207,Transfer!AD208,Transfer!AD209,Transfer!AD210)))/Transfer!AD147</f>
        <v>17583.024354044985</v>
      </c>
      <c r="AO389" s="2061"/>
      <c r="AP389" s="438">
        <f>100*(SUM(Transfer!AE200,Transfer!AE201,Transfer!AE205,Transfer!AE206)-(SUM(Transfer!AE202,Transfer!AE203,Transfer!AE207,Transfer!AE208,Transfer!AE209,Transfer!AE210)))/Transfer!AE147</f>
        <v>16659.479889741971</v>
      </c>
      <c r="AQ389" s="2061"/>
      <c r="AR389" s="438">
        <f>100*(SUM(Transfer!AF200,Transfer!AF201,Transfer!AF205,Transfer!AF206)-(SUM(Transfer!AF202,Transfer!AF203,Transfer!AF207,Transfer!AF208,Transfer!AF209,Transfer!AF210)))/Transfer!AF147</f>
        <v>15693.14908214475</v>
      </c>
      <c r="AS389" s="2061"/>
      <c r="AT389" s="438">
        <f>100*(SUM(Transfer!AG200,Transfer!AG201,Transfer!AG205,Transfer!AG206)-(SUM(Transfer!AG202,Transfer!AG203,Transfer!AG207,Transfer!AG208,Transfer!AG209,Transfer!AG210)))/Transfer!AG147</f>
        <v>14693.623771528597</v>
      </c>
      <c r="AU389" s="2062"/>
      <c r="AV389" s="448"/>
      <c r="AW389" s="54"/>
      <c r="AX389" s="54"/>
      <c r="AY389" s="54"/>
      <c r="AZ389" s="54"/>
      <c r="BA389" s="1736" t="s">
        <v>830</v>
      </c>
      <c r="BB389" s="1702"/>
      <c r="BC389" s="54"/>
    </row>
    <row r="390" spans="1:55">
      <c r="A390" s="45"/>
      <c r="B390" s="1701"/>
      <c r="C390" s="2477"/>
      <c r="D390" s="2477"/>
      <c r="E390" s="2477"/>
      <c r="F390" s="2477"/>
      <c r="G390" s="2477"/>
      <c r="H390" s="2477"/>
      <c r="I390" s="2477"/>
      <c r="J390" s="2477"/>
      <c r="K390" s="2477"/>
      <c r="L390" s="2477"/>
      <c r="M390" s="2400" t="str">
        <f>UPPER(Country)</f>
        <v>LITHUANIA</v>
      </c>
      <c r="N390" s="2478"/>
      <c r="O390" s="54"/>
      <c r="P390" s="54"/>
      <c r="Q390" s="54"/>
      <c r="R390" s="54"/>
      <c r="S390" s="215"/>
      <c r="T390" s="113"/>
      <c r="U390" s="113"/>
      <c r="V390" s="113"/>
      <c r="W390" s="113"/>
      <c r="X390" s="113"/>
      <c r="Y390" s="113"/>
      <c r="Z390" s="113"/>
      <c r="AA390" s="113"/>
      <c r="AB390" s="113"/>
      <c r="AC390" s="113"/>
      <c r="AD390" s="118" t="str">
        <f>UPPER(Country)</f>
        <v>LITHUANIA</v>
      </c>
      <c r="AE390" s="216"/>
      <c r="AF390" s="45"/>
      <c r="AG390" s="45"/>
      <c r="AH390" s="45"/>
      <c r="AI390" s="45"/>
      <c r="AJ390" s="215"/>
      <c r="AK390" s="113"/>
      <c r="AL390" s="113"/>
      <c r="AM390" s="113"/>
      <c r="AN390" s="113"/>
      <c r="AO390" s="113"/>
      <c r="AP390" s="113"/>
      <c r="AQ390" s="113"/>
      <c r="AR390" s="113"/>
      <c r="AS390" s="113"/>
      <c r="AT390" s="113"/>
      <c r="AU390" s="118" t="str">
        <f>UPPER(Country)</f>
        <v>LITHUANIA</v>
      </c>
      <c r="AV390" s="216"/>
      <c r="AW390" s="54"/>
      <c r="AX390" s="54"/>
      <c r="AY390" s="54"/>
      <c r="AZ390" s="54"/>
      <c r="BA390" s="54"/>
      <c r="BB390" s="54"/>
      <c r="BC390" s="54"/>
    </row>
    <row r="391" spans="1:55">
      <c r="A391" s="45"/>
      <c r="B391" s="45"/>
      <c r="C391" s="45"/>
      <c r="D391" s="45"/>
      <c r="E391" s="45"/>
      <c r="F391" s="45"/>
      <c r="G391" s="45"/>
      <c r="H391" s="45"/>
      <c r="I391" s="45"/>
      <c r="J391" s="45"/>
      <c r="K391" s="45"/>
      <c r="L391" s="45"/>
      <c r="M391" s="45"/>
      <c r="N391" s="54"/>
      <c r="O391" s="54"/>
      <c r="P391" s="54"/>
      <c r="Q391" s="54"/>
      <c r="R391" s="54"/>
      <c r="S391" s="54"/>
      <c r="T391" s="54"/>
      <c r="U391" s="54"/>
      <c r="V391" s="54"/>
      <c r="W391" s="54"/>
      <c r="X391" s="54"/>
      <c r="Y391" s="54"/>
      <c r="Z391" s="54"/>
      <c r="AA391" s="54"/>
      <c r="AB391" s="45"/>
      <c r="AC391" s="45"/>
      <c r="AD391" s="45"/>
      <c r="AE391" s="45"/>
      <c r="AF391" s="45"/>
      <c r="AG391" s="45"/>
      <c r="AH391" s="45"/>
      <c r="AI391" s="45"/>
      <c r="AJ391" s="45"/>
      <c r="AK391" s="45"/>
      <c r="AL391" s="45"/>
      <c r="AM391" s="45"/>
      <c r="AN391" s="45"/>
      <c r="AO391" s="45"/>
      <c r="AP391" s="45"/>
      <c r="AQ391" s="45"/>
      <c r="AR391" s="45"/>
      <c r="AS391" s="45"/>
      <c r="AT391" s="45"/>
      <c r="AU391" s="45"/>
      <c r="AV391" s="54"/>
      <c r="AW391" s="54"/>
      <c r="AX391" s="54"/>
      <c r="AY391" s="54"/>
      <c r="AZ391" s="54"/>
      <c r="BA391" s="54"/>
      <c r="BB391" s="54"/>
      <c r="BC391" s="54"/>
    </row>
    <row r="392" spans="1:55">
      <c r="A392" s="45"/>
      <c r="B392" s="45"/>
      <c r="C392" s="45"/>
      <c r="D392" s="45"/>
      <c r="E392" s="45"/>
      <c r="F392" s="45"/>
      <c r="G392" s="45"/>
      <c r="H392" s="45"/>
      <c r="I392" s="45"/>
      <c r="J392" s="45"/>
      <c r="K392" s="45"/>
      <c r="L392" s="45"/>
      <c r="M392" s="45"/>
      <c r="N392" s="54"/>
      <c r="O392" s="54"/>
      <c r="P392" s="54"/>
      <c r="Q392" s="54"/>
      <c r="R392" s="54"/>
      <c r="S392" s="54"/>
      <c r="T392" s="54"/>
      <c r="U392" s="54"/>
      <c r="V392" s="54"/>
      <c r="W392" s="54"/>
      <c r="X392" s="54"/>
      <c r="Y392" s="54"/>
      <c r="Z392" s="54"/>
      <c r="AA392" s="54"/>
      <c r="AB392" s="45"/>
      <c r="AC392" s="45"/>
      <c r="AD392" s="45"/>
      <c r="AE392" s="45"/>
      <c r="AF392" s="45"/>
      <c r="AG392" s="45"/>
      <c r="AH392" s="45"/>
      <c r="AI392" s="45"/>
      <c r="AJ392" s="45"/>
      <c r="AK392" s="45"/>
      <c r="AL392" s="45"/>
      <c r="AM392" s="45"/>
      <c r="AN392" s="45"/>
      <c r="AO392" s="45"/>
      <c r="AP392" s="45"/>
      <c r="AQ392" s="45"/>
      <c r="AR392" s="45"/>
      <c r="AS392" s="45"/>
      <c r="AT392" s="45"/>
      <c r="AU392" s="45"/>
      <c r="AV392" s="54"/>
      <c r="AW392" s="54"/>
      <c r="AX392" s="54"/>
      <c r="AY392" s="54"/>
      <c r="AZ392" s="54"/>
      <c r="BA392" s="54"/>
      <c r="BB392" s="54"/>
      <c r="BC392" s="54"/>
    </row>
    <row r="393" spans="1:55">
      <c r="A393" s="45"/>
      <c r="B393" s="45"/>
      <c r="C393" s="45"/>
      <c r="D393" s="45"/>
      <c r="E393" s="45"/>
      <c r="F393" s="45"/>
      <c r="G393" s="45"/>
      <c r="H393" s="45"/>
      <c r="I393" s="45"/>
      <c r="J393" s="45"/>
      <c r="K393" s="45"/>
      <c r="L393" s="45"/>
      <c r="M393" s="45"/>
      <c r="N393" s="54"/>
      <c r="O393" s="54"/>
      <c r="P393" s="54"/>
      <c r="Q393" s="54"/>
      <c r="R393" s="54"/>
      <c r="S393" s="54"/>
      <c r="T393" s="54"/>
      <c r="U393" s="54"/>
      <c r="V393" s="54"/>
      <c r="W393" s="54"/>
      <c r="X393" s="54"/>
      <c r="Y393" s="54"/>
      <c r="Z393" s="54"/>
      <c r="AA393" s="54"/>
      <c r="AB393" s="45"/>
      <c r="AC393" s="45"/>
      <c r="AD393" s="45"/>
      <c r="AE393" s="45"/>
      <c r="AF393" s="45"/>
      <c r="AG393" s="45"/>
      <c r="AH393" s="45"/>
      <c r="AI393" s="45"/>
      <c r="AJ393" s="45"/>
      <c r="AK393" s="45"/>
      <c r="AL393" s="45"/>
      <c r="AM393" s="45"/>
      <c r="AN393" s="45"/>
      <c r="AO393" s="45"/>
      <c r="AP393" s="45"/>
      <c r="AQ393" s="45"/>
      <c r="AR393" s="45"/>
      <c r="AS393" s="45"/>
      <c r="AT393" s="45"/>
      <c r="AU393" s="45"/>
      <c r="AV393" s="54"/>
      <c r="AW393" s="54"/>
      <c r="AX393" s="54"/>
      <c r="AY393" s="54"/>
      <c r="AZ393" s="54"/>
      <c r="BA393" s="54"/>
      <c r="BB393" s="54"/>
      <c r="BC393" s="54"/>
    </row>
    <row r="394" spans="1:55">
      <c r="A394" s="45"/>
      <c r="B394" s="45"/>
      <c r="C394" s="45"/>
      <c r="D394" s="45"/>
      <c r="E394" s="45"/>
      <c r="F394" s="45"/>
      <c r="G394" s="45"/>
      <c r="H394" s="45"/>
      <c r="I394" s="45"/>
      <c r="J394" s="45"/>
      <c r="K394" s="45"/>
      <c r="L394" s="45"/>
      <c r="M394" s="45"/>
      <c r="N394" s="45"/>
      <c r="O394" s="45"/>
      <c r="P394" s="54"/>
      <c r="Q394" s="54"/>
      <c r="R394" s="54"/>
      <c r="S394" s="54"/>
      <c r="T394" s="54"/>
      <c r="U394" s="54"/>
      <c r="V394" s="54"/>
      <c r="W394" s="54"/>
      <c r="X394" s="54"/>
      <c r="Y394" s="54"/>
      <c r="Z394" s="54"/>
      <c r="AA394" s="54"/>
      <c r="AB394" s="45"/>
      <c r="AC394" s="45"/>
      <c r="AD394" s="45"/>
      <c r="AE394" s="45"/>
      <c r="AF394" s="45"/>
      <c r="AG394" s="45"/>
      <c r="AH394" s="45"/>
      <c r="AI394" s="45"/>
      <c r="AJ394" s="45"/>
      <c r="AK394" s="45"/>
      <c r="AL394" s="45"/>
      <c r="AM394" s="45"/>
      <c r="AN394" s="45"/>
      <c r="AO394" s="45"/>
      <c r="AP394" s="45"/>
      <c r="AQ394" s="45"/>
      <c r="AR394" s="45"/>
      <c r="AS394" s="45"/>
      <c r="AT394" s="45"/>
      <c r="AU394" s="45"/>
      <c r="AV394" s="45"/>
      <c r="AW394" s="45"/>
      <c r="AX394" s="54"/>
      <c r="AY394" s="54"/>
      <c r="AZ394" s="54"/>
      <c r="BA394" s="54"/>
      <c r="BB394" s="54"/>
      <c r="BC394" s="54"/>
    </row>
    <row r="395" spans="1:55">
      <c r="A395" s="45"/>
      <c r="B395" s="45"/>
      <c r="C395" s="45"/>
      <c r="D395" s="45"/>
      <c r="E395" s="45"/>
      <c r="F395" s="45"/>
      <c r="G395" s="45"/>
      <c r="H395" s="45"/>
      <c r="I395" s="45"/>
      <c r="J395" s="45"/>
      <c r="K395" s="45"/>
      <c r="L395" s="45"/>
      <c r="M395" s="45"/>
      <c r="N395" s="45"/>
      <c r="O395" s="45"/>
      <c r="P395" s="54"/>
      <c r="Q395" s="54"/>
      <c r="R395" s="54"/>
      <c r="S395" s="54"/>
      <c r="T395" s="54"/>
      <c r="U395" s="54"/>
      <c r="V395" s="54"/>
      <c r="W395" s="54"/>
      <c r="X395" s="54"/>
      <c r="Y395" s="54"/>
      <c r="Z395" s="54"/>
      <c r="AA395" s="54"/>
      <c r="AB395" s="45"/>
      <c r="AC395" s="45"/>
      <c r="AD395" s="45"/>
      <c r="AE395" s="45"/>
      <c r="AF395" s="45"/>
      <c r="AG395" s="45"/>
      <c r="AH395" s="45"/>
      <c r="AI395" s="45"/>
      <c r="AJ395" s="45"/>
      <c r="AK395" s="45"/>
      <c r="AL395" s="45"/>
      <c r="AM395" s="45"/>
      <c r="AN395" s="45"/>
      <c r="AO395" s="45"/>
      <c r="AP395" s="45"/>
      <c r="AQ395" s="45"/>
      <c r="AR395" s="45"/>
      <c r="AS395" s="45"/>
      <c r="AT395" s="45"/>
      <c r="AU395" s="45"/>
      <c r="AV395" s="45"/>
      <c r="AW395" s="45"/>
      <c r="AX395" s="54"/>
      <c r="AY395" s="54"/>
      <c r="AZ395" s="54"/>
      <c r="BA395" s="54"/>
      <c r="BB395" s="54"/>
      <c r="BC395" s="54"/>
    </row>
    <row r="396" spans="1:55">
      <c r="A396" s="45"/>
      <c r="B396" s="45"/>
      <c r="C396" s="45"/>
      <c r="D396" s="45"/>
      <c r="E396" s="45"/>
      <c r="F396" s="45"/>
      <c r="G396" s="45"/>
      <c r="H396" s="45"/>
      <c r="I396" s="45"/>
      <c r="J396" s="45"/>
      <c r="K396" s="45"/>
      <c r="L396" s="45"/>
      <c r="M396" s="45"/>
      <c r="N396" s="45"/>
      <c r="O396" s="45"/>
      <c r="P396" s="54"/>
      <c r="Q396" s="54"/>
      <c r="R396" s="54"/>
      <c r="S396" s="54"/>
      <c r="T396" s="54"/>
      <c r="U396" s="54"/>
      <c r="V396" s="54"/>
      <c r="W396" s="54"/>
      <c r="X396" s="54"/>
      <c r="Y396" s="54"/>
      <c r="Z396" s="54"/>
      <c r="AA396" s="54"/>
      <c r="AB396" s="45"/>
      <c r="AC396" s="45"/>
      <c r="AD396" s="45"/>
      <c r="AE396" s="45"/>
      <c r="AF396" s="45"/>
      <c r="AG396" s="45"/>
      <c r="AH396" s="45"/>
      <c r="AI396" s="45"/>
      <c r="AJ396" s="45"/>
      <c r="AK396" s="45"/>
      <c r="AL396" s="45"/>
      <c r="AM396" s="45"/>
      <c r="AN396" s="45"/>
      <c r="AO396" s="45"/>
      <c r="AP396" s="45"/>
      <c r="AQ396" s="45"/>
      <c r="AR396" s="45"/>
      <c r="AS396" s="45"/>
      <c r="AT396" s="45"/>
      <c r="AU396" s="45"/>
      <c r="AV396" s="45"/>
      <c r="AW396" s="45"/>
      <c r="AX396" s="54"/>
      <c r="AY396" s="54"/>
      <c r="AZ396" s="54"/>
      <c r="BA396" s="54"/>
      <c r="BB396" s="54"/>
      <c r="BC396" s="54"/>
    </row>
    <row r="397" spans="1:55">
      <c r="A397" s="45"/>
      <c r="B397" s="45"/>
      <c r="C397" s="45"/>
      <c r="D397" s="45"/>
      <c r="E397" s="45"/>
      <c r="F397" s="45"/>
      <c r="G397" s="45"/>
      <c r="H397" s="45"/>
      <c r="I397" s="45"/>
      <c r="J397" s="45"/>
      <c r="K397" s="45"/>
      <c r="L397" s="45"/>
      <c r="M397" s="45"/>
      <c r="N397" s="45"/>
      <c r="O397" s="45"/>
      <c r="P397" s="54"/>
      <c r="Q397" s="54"/>
      <c r="R397" s="54"/>
      <c r="S397" s="54"/>
      <c r="T397" s="54"/>
      <c r="U397" s="54"/>
      <c r="V397" s="54"/>
      <c r="W397" s="54"/>
      <c r="X397" s="54"/>
      <c r="Y397" s="54"/>
      <c r="Z397" s="54"/>
      <c r="AA397" s="54"/>
      <c r="AB397" s="45"/>
      <c r="AC397" s="45"/>
      <c r="AD397" s="45"/>
      <c r="AE397" s="45"/>
      <c r="AF397" s="45"/>
      <c r="AG397" s="45"/>
      <c r="AH397" s="45"/>
      <c r="AI397" s="45"/>
      <c r="AJ397" s="45"/>
      <c r="AK397" s="45"/>
      <c r="AL397" s="45"/>
      <c r="AM397" s="45"/>
      <c r="AN397" s="45"/>
      <c r="AO397" s="45"/>
      <c r="AP397" s="45"/>
      <c r="AQ397" s="45"/>
      <c r="AR397" s="45"/>
      <c r="AS397" s="45"/>
      <c r="AT397" s="45"/>
      <c r="AU397" s="45"/>
      <c r="AV397" s="45"/>
      <c r="AW397" s="45"/>
      <c r="AX397" s="54"/>
      <c r="AY397" s="54"/>
      <c r="AZ397" s="54"/>
      <c r="BA397" s="54"/>
      <c r="BB397" s="54"/>
      <c r="BC397" s="54"/>
    </row>
    <row r="398" spans="1:55">
      <c r="A398" s="45"/>
      <c r="B398" s="45"/>
      <c r="C398" s="45"/>
      <c r="D398" s="45"/>
      <c r="E398" s="45"/>
      <c r="F398" s="45"/>
      <c r="G398" s="45"/>
      <c r="H398" s="45"/>
      <c r="I398" s="45"/>
      <c r="J398" s="45"/>
      <c r="K398" s="45"/>
      <c r="L398" s="45"/>
      <c r="M398" s="45"/>
      <c r="N398" s="45"/>
      <c r="O398" s="45"/>
      <c r="P398" s="54"/>
      <c r="Q398" s="54"/>
      <c r="R398" s="54"/>
      <c r="S398" s="54"/>
      <c r="T398" s="54"/>
      <c r="U398" s="54"/>
      <c r="V398" s="54"/>
      <c r="W398" s="54"/>
      <c r="X398" s="54"/>
      <c r="Y398" s="54"/>
      <c r="Z398" s="54"/>
      <c r="AA398" s="54"/>
      <c r="AB398" s="45"/>
      <c r="AC398" s="45"/>
      <c r="AD398" s="45"/>
      <c r="AE398" s="45"/>
      <c r="AF398" s="45"/>
      <c r="AG398" s="45"/>
      <c r="AH398" s="45"/>
      <c r="AI398" s="45"/>
      <c r="AJ398" s="45"/>
      <c r="AK398" s="45"/>
      <c r="AL398" s="45"/>
      <c r="AM398" s="45"/>
      <c r="AN398" s="45"/>
      <c r="AO398" s="45"/>
      <c r="AP398" s="45"/>
      <c r="AQ398" s="45"/>
      <c r="AR398" s="45"/>
      <c r="AS398" s="45"/>
      <c r="AT398" s="45"/>
      <c r="AU398" s="45"/>
      <c r="AV398" s="45"/>
      <c r="AW398" s="45"/>
      <c r="AX398" s="54"/>
      <c r="AY398" s="54"/>
      <c r="AZ398" s="54"/>
      <c r="BA398" s="54"/>
      <c r="BB398" s="54"/>
      <c r="BC398" s="54"/>
    </row>
    <row r="399" spans="1:55">
      <c r="A399" s="45"/>
      <c r="B399" s="45"/>
      <c r="C399" s="45"/>
      <c r="D399" s="45"/>
      <c r="E399" s="45"/>
      <c r="F399" s="45"/>
      <c r="G399" s="45"/>
      <c r="H399" s="45"/>
      <c r="I399" s="45"/>
      <c r="J399" s="45"/>
      <c r="K399" s="45"/>
      <c r="L399" s="45"/>
      <c r="M399" s="45"/>
      <c r="N399" s="45"/>
      <c r="O399" s="45"/>
      <c r="P399" s="54"/>
      <c r="Q399" s="54"/>
      <c r="R399" s="54"/>
      <c r="S399" s="54"/>
      <c r="T399" s="54"/>
      <c r="U399" s="54"/>
      <c r="V399" s="54"/>
      <c r="W399" s="54"/>
      <c r="X399" s="54"/>
      <c r="Y399" s="54"/>
      <c r="Z399" s="54"/>
      <c r="AA399" s="54"/>
      <c r="AB399" s="45"/>
      <c r="AC399" s="45"/>
      <c r="AD399" s="45"/>
      <c r="AE399" s="45"/>
      <c r="AF399" s="45"/>
      <c r="AG399" s="45"/>
      <c r="AH399" s="45"/>
      <c r="AI399" s="45"/>
      <c r="AJ399" s="45"/>
      <c r="AK399" s="45"/>
      <c r="AL399" s="45"/>
      <c r="AM399" s="45"/>
      <c r="AN399" s="45"/>
      <c r="AO399" s="45"/>
      <c r="AP399" s="45"/>
      <c r="AQ399" s="45"/>
      <c r="AR399" s="45"/>
      <c r="AS399" s="45"/>
      <c r="AT399" s="45"/>
      <c r="AU399" s="45"/>
      <c r="AV399" s="45"/>
      <c r="AW399" s="45"/>
      <c r="AX399" s="54"/>
      <c r="AY399" s="54"/>
      <c r="AZ399" s="54"/>
      <c r="BA399" s="54"/>
      <c r="BB399" s="54"/>
      <c r="BC399" s="54"/>
    </row>
    <row r="400" spans="1:55">
      <c r="A400" s="45"/>
      <c r="B400" s="2341"/>
      <c r="C400" s="2601" t="s">
        <v>324</v>
      </c>
      <c r="D400" s="2720"/>
      <c r="E400" s="2720"/>
      <c r="F400" s="2720"/>
      <c r="G400" s="2720"/>
      <c r="H400" s="2720"/>
      <c r="I400" s="2720"/>
      <c r="J400" s="2720"/>
      <c r="K400" s="2720"/>
      <c r="L400" s="2720"/>
      <c r="M400" s="2720"/>
      <c r="N400" s="2721"/>
      <c r="O400" s="54"/>
      <c r="P400" s="54"/>
      <c r="Q400" s="54"/>
      <c r="R400" s="54"/>
      <c r="S400" s="188"/>
      <c r="T400" s="457" t="s">
        <v>324</v>
      </c>
      <c r="U400" s="458"/>
      <c r="V400" s="458"/>
      <c r="W400" s="458"/>
      <c r="X400" s="458"/>
      <c r="Y400" s="458"/>
      <c r="Z400" s="458"/>
      <c r="AA400" s="458"/>
      <c r="AB400" s="458"/>
      <c r="AC400" s="458"/>
      <c r="AD400" s="458"/>
      <c r="AE400" s="459"/>
      <c r="AF400" s="45"/>
      <c r="AG400" s="45"/>
      <c r="AH400" s="45"/>
      <c r="AI400" s="45"/>
      <c r="AJ400" s="188"/>
      <c r="AK400" s="457" t="s">
        <v>324</v>
      </c>
      <c r="AL400" s="458"/>
      <c r="AM400" s="458"/>
      <c r="AN400" s="458"/>
      <c r="AO400" s="458"/>
      <c r="AP400" s="458"/>
      <c r="AQ400" s="458"/>
      <c r="AR400" s="458"/>
      <c r="AS400" s="458"/>
      <c r="AT400" s="458"/>
      <c r="AU400" s="458"/>
      <c r="AV400" s="459"/>
      <c r="AW400" s="54"/>
      <c r="AX400" s="54"/>
      <c r="AY400" s="54"/>
      <c r="AZ400" s="54"/>
      <c r="BA400" s="54"/>
      <c r="BB400" s="54"/>
      <c r="BC400" s="54"/>
    </row>
    <row r="401" spans="1:55">
      <c r="A401" s="45"/>
      <c r="B401" s="1665"/>
      <c r="C401" s="3751" t="s">
        <v>601</v>
      </c>
      <c r="D401" s="3751"/>
      <c r="E401" s="3751"/>
      <c r="F401" s="3751"/>
      <c r="G401" s="3751"/>
      <c r="H401" s="3751"/>
      <c r="I401" s="3751"/>
      <c r="J401" s="3751"/>
      <c r="K401" s="3751"/>
      <c r="L401" s="3751"/>
      <c r="M401" s="3751"/>
      <c r="N401" s="2452"/>
      <c r="O401" s="54"/>
      <c r="P401" s="54"/>
      <c r="Q401" s="54"/>
      <c r="R401" s="54"/>
      <c r="S401" s="190"/>
      <c r="T401" s="3751" t="s">
        <v>325</v>
      </c>
      <c r="U401" s="3751"/>
      <c r="V401" s="3751"/>
      <c r="W401" s="3751"/>
      <c r="X401" s="3751"/>
      <c r="Y401" s="3751"/>
      <c r="Z401" s="3751"/>
      <c r="AA401" s="3751"/>
      <c r="AB401" s="3751"/>
      <c r="AC401" s="3751"/>
      <c r="AD401" s="3751"/>
      <c r="AE401" s="199"/>
      <c r="AF401" s="45"/>
      <c r="AG401" s="45"/>
      <c r="AH401" s="45"/>
      <c r="AI401" s="45"/>
      <c r="AJ401" s="190"/>
      <c r="AK401" s="3751" t="s">
        <v>601</v>
      </c>
      <c r="AL401" s="3751"/>
      <c r="AM401" s="3751"/>
      <c r="AN401" s="3751"/>
      <c r="AO401" s="3751"/>
      <c r="AP401" s="3751"/>
      <c r="AQ401" s="3751"/>
      <c r="AR401" s="3751"/>
      <c r="AS401" s="3751"/>
      <c r="AT401" s="3751"/>
      <c r="AU401" s="3751"/>
      <c r="AV401" s="199"/>
      <c r="AW401" s="54"/>
      <c r="AX401" s="54"/>
      <c r="AY401" s="54"/>
      <c r="AZ401" s="54"/>
      <c r="BA401" s="54"/>
      <c r="BB401" s="54"/>
      <c r="BC401" s="54"/>
    </row>
    <row r="402" spans="1:55" ht="15.75">
      <c r="A402" s="45"/>
      <c r="B402" s="1665"/>
      <c r="C402" s="2349" t="str">
        <f>"Country: " &amp;UPPER(Country)</f>
        <v>Country: LITHUANIA</v>
      </c>
      <c r="D402" s="2351"/>
      <c r="E402" s="2351"/>
      <c r="F402" s="2351"/>
      <c r="G402" s="2351"/>
      <c r="H402" s="2351"/>
      <c r="I402" s="2351"/>
      <c r="J402" s="2351"/>
      <c r="K402" s="2351"/>
      <c r="L402" s="2351"/>
      <c r="M402" s="2351"/>
      <c r="N402" s="2452"/>
      <c r="O402" s="54"/>
      <c r="P402" s="54"/>
      <c r="Q402" s="54"/>
      <c r="R402" s="54"/>
      <c r="S402" s="190"/>
      <c r="T402" s="63" t="str">
        <f>"Country: " &amp;UPPER(Country)</f>
        <v>Country: LITHUANIA</v>
      </c>
      <c r="U402" s="65"/>
      <c r="V402" s="65"/>
      <c r="W402" s="2006" t="s">
        <v>390</v>
      </c>
      <c r="X402" s="65"/>
      <c r="Y402" s="65"/>
      <c r="Z402" s="65"/>
      <c r="AA402" s="65"/>
      <c r="AB402" s="65"/>
      <c r="AC402" s="65"/>
      <c r="AD402" s="65"/>
      <c r="AE402" s="196"/>
      <c r="AF402" s="45"/>
      <c r="AG402" s="45"/>
      <c r="AH402" s="45"/>
      <c r="AI402" s="45"/>
      <c r="AJ402" s="190"/>
      <c r="AK402" s="63" t="str">
        <f>"Country: " &amp;UPPER(Country)</f>
        <v>Country: LITHUANIA</v>
      </c>
      <c r="AL402" s="65"/>
      <c r="AM402" s="65"/>
      <c r="AN402" s="65"/>
      <c r="AO402" s="65"/>
      <c r="AP402" s="65"/>
      <c r="AQ402" s="65"/>
      <c r="AR402" s="65"/>
      <c r="AS402" s="65"/>
      <c r="AT402" s="65"/>
      <c r="AU402" s="65"/>
      <c r="AV402" s="196"/>
      <c r="AW402" s="54"/>
      <c r="AX402" s="54"/>
      <c r="AY402" s="54"/>
      <c r="AZ402" s="54"/>
      <c r="BA402" s="54"/>
      <c r="BB402" s="54"/>
      <c r="BC402" s="54"/>
    </row>
    <row r="403" spans="1:55" ht="15.75">
      <c r="A403" s="45"/>
      <c r="B403" s="1665"/>
      <c r="C403" s="2349" t="str">
        <f>"Currency unit: " &amp; Currency</f>
        <v>Currency unit: bn EUR</v>
      </c>
      <c r="D403" s="2351"/>
      <c r="E403" s="2351"/>
      <c r="F403" s="3193"/>
      <c r="G403" s="3193"/>
      <c r="H403" s="3193"/>
      <c r="I403" s="3193"/>
      <c r="J403" s="3193"/>
      <c r="K403" s="3193"/>
      <c r="L403" s="3193"/>
      <c r="M403" s="3193"/>
      <c r="N403" s="1664"/>
      <c r="O403" s="54"/>
      <c r="P403" s="54"/>
      <c r="Q403" s="54"/>
      <c r="R403" s="54"/>
      <c r="S403" s="190"/>
      <c r="T403" s="63" t="str">
        <f>"Currency unit: " &amp; Currency</f>
        <v>Currency unit: bn EUR</v>
      </c>
      <c r="U403" s="65"/>
      <c r="V403" s="65"/>
      <c r="W403" s="2006" t="str">
        <f>$T$4</f>
        <v>2nd storage</v>
      </c>
      <c r="X403" s="65"/>
      <c r="Y403" s="1"/>
      <c r="Z403" s="65"/>
      <c r="AA403" s="1"/>
      <c r="AB403" s="1"/>
      <c r="AC403" s="1"/>
      <c r="AD403" s="1"/>
      <c r="AE403" s="90"/>
      <c r="AF403" s="45"/>
      <c r="AG403" s="45"/>
      <c r="AH403" s="45"/>
      <c r="AI403" s="45"/>
      <c r="AJ403" s="190"/>
      <c r="AK403" s="63" t="str">
        <f>"Currency unit: " &amp; Currency</f>
        <v>Currency unit: bn EUR</v>
      </c>
      <c r="AL403" s="65"/>
      <c r="AM403" s="65"/>
      <c r="AN403" s="1904"/>
      <c r="AO403" s="65"/>
      <c r="AP403" s="1"/>
      <c r="AQ403" s="65"/>
      <c r="AR403" s="1"/>
      <c r="AS403" s="1"/>
      <c r="AT403" s="1"/>
      <c r="AU403" s="1"/>
      <c r="AV403" s="90"/>
      <c r="AW403" s="54"/>
      <c r="AX403" s="54"/>
      <c r="AY403" s="54"/>
      <c r="AZ403" s="54"/>
      <c r="BA403" s="54"/>
      <c r="BB403" s="54"/>
      <c r="BC403" s="54"/>
    </row>
    <row r="404" spans="1:55" ht="13.5" thickBot="1">
      <c r="A404" s="45"/>
      <c r="B404" s="1665"/>
      <c r="C404" s="2355" t="s">
        <v>297</v>
      </c>
      <c r="D404" s="2703"/>
      <c r="E404" s="2351"/>
      <c r="F404" s="3437">
        <f ca="1">SUM(F407:F408,F411)/F201</f>
        <v>0.29924651497660104</v>
      </c>
      <c r="G404" s="2351"/>
      <c r="H404" s="2692"/>
      <c r="I404" s="2351"/>
      <c r="J404" s="2351"/>
      <c r="K404" s="2445"/>
      <c r="L404" s="3789">
        <f ca="1">NOW()</f>
        <v>43392.47578483796</v>
      </c>
      <c r="M404" s="3789"/>
      <c r="N404" s="2602"/>
      <c r="O404" s="54"/>
      <c r="P404" s="54"/>
      <c r="Q404" s="54"/>
      <c r="R404" s="54"/>
      <c r="S404" s="190"/>
      <c r="T404" s="69" t="s">
        <v>297</v>
      </c>
      <c r="V404" s="65"/>
      <c r="W404" s="65"/>
      <c r="X404" s="65"/>
      <c r="Y404" s="65"/>
      <c r="Z404" s="65"/>
      <c r="AA404" s="65"/>
      <c r="AB404" s="1"/>
      <c r="AC404" s="3751">
        <f ca="1">NOW()</f>
        <v>43392.47578483796</v>
      </c>
      <c r="AD404" s="3751"/>
      <c r="AE404" s="337"/>
      <c r="AF404" s="45"/>
      <c r="AG404" s="45"/>
      <c r="AH404" s="45"/>
      <c r="AI404" s="45"/>
      <c r="AJ404" s="190"/>
      <c r="AK404" s="69" t="s">
        <v>297</v>
      </c>
      <c r="AM404" s="65"/>
      <c r="AN404" s="65"/>
      <c r="AO404" s="65"/>
      <c r="AP404" s="65"/>
      <c r="AQ404" s="65"/>
      <c r="AR404" s="65"/>
      <c r="AS404" s="1"/>
      <c r="AT404" s="3751">
        <f ca="1">NOW()</f>
        <v>43392.47578483796</v>
      </c>
      <c r="AU404" s="3751"/>
      <c r="AV404" s="337"/>
      <c r="AW404" s="54"/>
      <c r="AX404" s="54"/>
      <c r="AY404" s="54"/>
      <c r="AZ404" s="54"/>
      <c r="BA404" s="54"/>
      <c r="BB404" s="54"/>
      <c r="BC404" s="54"/>
    </row>
    <row r="405" spans="1:55">
      <c r="A405" s="45"/>
      <c r="B405" s="1665"/>
      <c r="C405" s="2357"/>
      <c r="D405" s="2358"/>
      <c r="E405" s="2723" t="s">
        <v>188</v>
      </c>
      <c r="F405" s="3751">
        <f>E16</f>
        <v>2016</v>
      </c>
      <c r="G405" s="3751"/>
      <c r="H405" s="3751">
        <f>F405+1</f>
        <v>2017</v>
      </c>
      <c r="I405" s="3751"/>
      <c r="J405" s="3751">
        <f>H405+1</f>
        <v>2018</v>
      </c>
      <c r="K405" s="3751"/>
      <c r="L405" s="3751">
        <f>J405+1</f>
        <v>2019</v>
      </c>
      <c r="M405" s="3751"/>
      <c r="N405" s="2605"/>
      <c r="O405" s="54"/>
      <c r="P405" s="54"/>
      <c r="Q405" s="54"/>
      <c r="R405" s="54"/>
      <c r="S405" s="190"/>
      <c r="T405" s="191"/>
      <c r="U405" s="73"/>
      <c r="V405" s="460" t="s">
        <v>188</v>
      </c>
      <c r="W405" s="3751">
        <f>Last_forecast_year - 3</f>
        <v>2016</v>
      </c>
      <c r="X405" s="3751"/>
      <c r="Y405" s="3751">
        <f>W405+1</f>
        <v>2017</v>
      </c>
      <c r="Z405" s="3751"/>
      <c r="AA405" s="3751">
        <f>Y405+1</f>
        <v>2018</v>
      </c>
      <c r="AB405" s="3751"/>
      <c r="AC405" s="3751">
        <f>AA405+1</f>
        <v>2019</v>
      </c>
      <c r="AD405" s="3751"/>
      <c r="AE405" s="339"/>
      <c r="AF405" s="45"/>
      <c r="AG405" s="45"/>
      <c r="AH405" s="45"/>
      <c r="AI405" s="45"/>
      <c r="AJ405" s="190"/>
      <c r="AK405" s="191"/>
      <c r="AL405" s="73"/>
      <c r="AM405" s="460" t="s">
        <v>188</v>
      </c>
      <c r="AN405" s="3751">
        <f>AM16</f>
        <v>2016</v>
      </c>
      <c r="AO405" s="3751"/>
      <c r="AP405" s="3751">
        <f>AN405+1</f>
        <v>2017</v>
      </c>
      <c r="AQ405" s="3751"/>
      <c r="AR405" s="3751">
        <f>AP405+1</f>
        <v>2018</v>
      </c>
      <c r="AS405" s="3751"/>
      <c r="AT405" s="3751">
        <f>AR405+1</f>
        <v>2019</v>
      </c>
      <c r="AU405" s="3751"/>
      <c r="AV405" s="339"/>
      <c r="AW405" s="54"/>
      <c r="AX405" s="54"/>
      <c r="AY405" s="54"/>
      <c r="AZ405" s="54"/>
      <c r="BA405" s="54"/>
      <c r="BB405" s="54"/>
      <c r="BC405" s="54"/>
    </row>
    <row r="406" spans="1:55">
      <c r="A406" s="45"/>
      <c r="B406" s="1665"/>
      <c r="C406" s="2379"/>
      <c r="D406" s="2380"/>
      <c r="E406" s="2724" t="s">
        <v>541</v>
      </c>
      <c r="F406" s="2641" t="s">
        <v>298</v>
      </c>
      <c r="G406" s="2642" t="s">
        <v>1170</v>
      </c>
      <c r="H406" s="2641" t="s">
        <v>298</v>
      </c>
      <c r="I406" s="2642" t="s">
        <v>1170</v>
      </c>
      <c r="J406" s="2641" t="s">
        <v>298</v>
      </c>
      <c r="K406" s="2642" t="s">
        <v>1170</v>
      </c>
      <c r="L406" s="2641" t="s">
        <v>298</v>
      </c>
      <c r="M406" s="2643" t="s">
        <v>1170</v>
      </c>
      <c r="N406" s="2661"/>
      <c r="O406" s="54"/>
      <c r="P406" s="54"/>
      <c r="Q406" s="54"/>
      <c r="R406" s="54"/>
      <c r="S406" s="190"/>
      <c r="T406" s="2379"/>
      <c r="U406" s="115"/>
      <c r="V406" s="461" t="s">
        <v>541</v>
      </c>
      <c r="W406" s="390" t="s">
        <v>298</v>
      </c>
      <c r="X406" s="391" t="s">
        <v>1170</v>
      </c>
      <c r="Y406" s="390" t="s">
        <v>298</v>
      </c>
      <c r="Z406" s="391" t="s">
        <v>1170</v>
      </c>
      <c r="AA406" s="390" t="s">
        <v>298</v>
      </c>
      <c r="AB406" s="391" t="s">
        <v>1170</v>
      </c>
      <c r="AC406" s="390" t="s">
        <v>298</v>
      </c>
      <c r="AD406" s="392" t="s">
        <v>1170</v>
      </c>
      <c r="AE406" s="393"/>
      <c r="AF406" s="45"/>
      <c r="AG406" s="45"/>
      <c r="AH406" s="45"/>
      <c r="AI406" s="45"/>
      <c r="AJ406" s="190"/>
      <c r="AK406" s="2379"/>
      <c r="AL406" s="115"/>
      <c r="AM406" s="461" t="s">
        <v>541</v>
      </c>
      <c r="AN406" s="390" t="s">
        <v>298</v>
      </c>
      <c r="AO406" s="391" t="s">
        <v>1170</v>
      </c>
      <c r="AP406" s="390" t="s">
        <v>298</v>
      </c>
      <c r="AQ406" s="391" t="s">
        <v>1170</v>
      </c>
      <c r="AR406" s="390" t="s">
        <v>298</v>
      </c>
      <c r="AS406" s="391" t="s">
        <v>1170</v>
      </c>
      <c r="AT406" s="390" t="s">
        <v>298</v>
      </c>
      <c r="AU406" s="392" t="s">
        <v>1170</v>
      </c>
      <c r="AV406" s="393"/>
      <c r="AW406" s="54"/>
      <c r="AX406" s="54"/>
      <c r="AY406" s="54"/>
      <c r="AZ406" s="54"/>
      <c r="BA406" s="54"/>
      <c r="BB406" s="54"/>
      <c r="BC406" s="54"/>
    </row>
    <row r="407" spans="1:55">
      <c r="A407" s="45"/>
      <c r="B407" s="1665"/>
      <c r="C407" s="1666" t="s">
        <v>224</v>
      </c>
      <c r="D407" s="2351"/>
      <c r="E407" s="2645" t="s">
        <v>225</v>
      </c>
      <c r="F407" s="2692">
        <f ca="1">Transfer!D213</f>
        <v>4.5327600000000006</v>
      </c>
      <c r="G407" s="2450">
        <f ca="1">100*((Transfer!D213/Transfer!C213)-1)</f>
        <v>4.3541922309220826</v>
      </c>
      <c r="H407" s="2692">
        <f ca="1">Transfer!E213</f>
        <v>4.9279856999999998</v>
      </c>
      <c r="I407" s="3676">
        <f ca="1">100*((Transfer!E213/Transfer!D213)-1)</f>
        <v>8.7193167077012532</v>
      </c>
      <c r="J407" s="2692">
        <f ca="1">Transfer!F213</f>
        <v>5.2460899270192165</v>
      </c>
      <c r="K407" s="2450">
        <f ca="1">100*((Transfer!F213/Transfer!E213)-1)</f>
        <v>6.4550558054423002</v>
      </c>
      <c r="L407" s="2450">
        <f ca="1">Transfer!G213</f>
        <v>5.5409120675982919</v>
      </c>
      <c r="M407" s="2451">
        <f ca="1">100*((Transfer!G213/Transfer!F213)-1)</f>
        <v>5.6198453453997654</v>
      </c>
      <c r="N407" s="2452"/>
      <c r="O407" s="54"/>
      <c r="P407" s="54"/>
      <c r="Q407" s="54"/>
      <c r="R407" s="54"/>
      <c r="S407" s="190"/>
      <c r="T407" s="1666" t="s">
        <v>224</v>
      </c>
      <c r="U407" s="65"/>
      <c r="V407" s="379" t="s">
        <v>225</v>
      </c>
      <c r="W407" s="2019">
        <f t="shared" ref="W407:AD422" ca="1" si="24">ROUND(F407,1)-ROUND(AN407,1)</f>
        <v>-8.1</v>
      </c>
      <c r="X407" s="2020">
        <f t="shared" ca="1" si="24"/>
        <v>1.9000000000000004</v>
      </c>
      <c r="Y407" s="2020">
        <f t="shared" ca="1" si="24"/>
        <v>-8.1</v>
      </c>
      <c r="Z407" s="2020">
        <f t="shared" ca="1" si="24"/>
        <v>5.9999999999999991</v>
      </c>
      <c r="AA407" s="2020">
        <f t="shared" ca="1" si="24"/>
        <v>-8.3000000000000007</v>
      </c>
      <c r="AB407" s="2020">
        <f t="shared" ca="1" si="24"/>
        <v>2.5</v>
      </c>
      <c r="AC407" s="2020">
        <f t="shared" ca="1" si="24"/>
        <v>-8.6999999999999993</v>
      </c>
      <c r="AD407" s="249">
        <f t="shared" ca="1" si="24"/>
        <v>9.9999999999999645E-2</v>
      </c>
      <c r="AE407" s="196"/>
      <c r="AF407" s="45"/>
      <c r="AG407" s="45"/>
      <c r="AH407" s="45"/>
      <c r="AI407" s="45"/>
      <c r="AJ407" s="190"/>
      <c r="AK407" s="1666" t="s">
        <v>224</v>
      </c>
      <c r="AL407" s="65"/>
      <c r="AM407" s="379" t="s">
        <v>225</v>
      </c>
      <c r="AN407" s="141">
        <f>Transfer!AD213</f>
        <v>12.620799999999999</v>
      </c>
      <c r="AO407" s="195">
        <f>100*((Transfer!AD213/Transfer!AC213)-1)</f>
        <v>2.5161988883139585</v>
      </c>
      <c r="AP407" s="462">
        <f>Transfer!AE213</f>
        <v>12.956945699999997</v>
      </c>
      <c r="AQ407" s="195">
        <f>100*((Transfer!AE213/Transfer!AD213)-1)</f>
        <v>2.6634262487322369</v>
      </c>
      <c r="AR407" s="462">
        <f>Transfer!AF213</f>
        <v>13.474522965</v>
      </c>
      <c r="AS407" s="195">
        <f>100*((Transfer!AF213/Transfer!AE213)-1)</f>
        <v>3.9945931470562801</v>
      </c>
      <c r="AT407" s="195">
        <f>Transfer!AG213</f>
        <v>14.211842835449998</v>
      </c>
      <c r="AU407" s="358">
        <f>100*((Transfer!AG213/Transfer!AF213)-1)</f>
        <v>5.4719552771195001</v>
      </c>
      <c r="AV407" s="196"/>
      <c r="AW407" s="54"/>
      <c r="AX407" s="54"/>
      <c r="AY407" s="54"/>
      <c r="AZ407" s="54"/>
      <c r="BA407" s="1696" t="s">
        <v>932</v>
      </c>
      <c r="BB407" s="1697"/>
      <c r="BC407" s="54"/>
    </row>
    <row r="408" spans="1:55">
      <c r="A408" s="45"/>
      <c r="B408" s="1665"/>
      <c r="C408" s="1666" t="s">
        <v>326</v>
      </c>
      <c r="D408" s="2351"/>
      <c r="E408" s="2521" t="s">
        <v>2100</v>
      </c>
      <c r="F408" s="2511">
        <f ca="1">Transfer!D214</f>
        <v>2.1945000000000001</v>
      </c>
      <c r="G408" s="2453">
        <f ca="1">100*((Transfer!D214/Transfer!C214)-1)</f>
        <v>7.9869500391203774</v>
      </c>
      <c r="H408" s="2692">
        <f ca="1">Transfer!E214</f>
        <v>2.3153593839999997</v>
      </c>
      <c r="I408" s="3677">
        <f ca="1">100*((Transfer!E214/Transfer!D214)-1)</f>
        <v>5.5073768056504768</v>
      </c>
      <c r="J408" s="2692">
        <f ca="1">Transfer!F214</f>
        <v>2.3945682130239994</v>
      </c>
      <c r="K408" s="3677">
        <f ca="1">100*((Transfer!F214/Transfer!E214)-1)</f>
        <v>3.4210166063792125</v>
      </c>
      <c r="L408" s="2453">
        <f ca="1">Transfer!G214</f>
        <v>2.5256978838147841</v>
      </c>
      <c r="M408" s="2693">
        <f ca="1">100*((Transfer!G214/Transfer!F214)-1)</f>
        <v>5.4761301046916788</v>
      </c>
      <c r="N408" s="2452"/>
      <c r="O408" s="54"/>
      <c r="P408" s="54"/>
      <c r="Q408" s="54"/>
      <c r="R408" s="54"/>
      <c r="S408" s="190"/>
      <c r="T408" s="1666" t="s">
        <v>326</v>
      </c>
      <c r="U408" s="65"/>
      <c r="V408" s="382" t="s">
        <v>2100</v>
      </c>
      <c r="W408" s="248">
        <f t="shared" ca="1" si="24"/>
        <v>-3.3999999999999995</v>
      </c>
      <c r="X408" s="245">
        <f t="shared" ca="1" si="24"/>
        <v>-10.3</v>
      </c>
      <c r="Y408" s="245">
        <f t="shared" ca="1" si="24"/>
        <v>-3.7</v>
      </c>
      <c r="Z408" s="245">
        <f t="shared" ca="1" si="24"/>
        <v>-1.9000000000000004</v>
      </c>
      <c r="AA408" s="245">
        <f t="shared" ca="1" si="24"/>
        <v>-3.9</v>
      </c>
      <c r="AB408" s="245">
        <f t="shared" ca="1" si="24"/>
        <v>-2.8000000000000003</v>
      </c>
      <c r="AC408" s="245">
        <f t="shared" ca="1" si="24"/>
        <v>-4.2</v>
      </c>
      <c r="AD408" s="249">
        <f t="shared" ca="1" si="24"/>
        <v>-1.0999999999999996</v>
      </c>
      <c r="AE408" s="196"/>
      <c r="AF408" s="45"/>
      <c r="AG408" s="45"/>
      <c r="AH408" s="45"/>
      <c r="AI408" s="45"/>
      <c r="AJ408" s="190"/>
      <c r="AK408" s="1666" t="s">
        <v>326</v>
      </c>
      <c r="AL408" s="65"/>
      <c r="AM408" s="382" t="s">
        <v>2100</v>
      </c>
      <c r="AN408" s="145">
        <f>Transfer!AD214</f>
        <v>5.5505600000000008</v>
      </c>
      <c r="AO408" s="197">
        <f>100*((Transfer!AD214/Transfer!AC214)-1)</f>
        <v>18.28275036120548</v>
      </c>
      <c r="AP408" s="462">
        <f>Transfer!AE214</f>
        <v>5.9595504000000012</v>
      </c>
      <c r="AQ408" s="197">
        <f>100*((Transfer!AE214/Transfer!AD214)-1)</f>
        <v>7.368452912859258</v>
      </c>
      <c r="AR408" s="462">
        <f>Transfer!AF214</f>
        <v>6.3298336847000014</v>
      </c>
      <c r="AS408" s="197">
        <f>100*((Transfer!AF214/Transfer!AE214)-1)</f>
        <v>6.2132754964199899</v>
      </c>
      <c r="AT408" s="197">
        <f>Transfer!AG214</f>
        <v>6.7459542501394507</v>
      </c>
      <c r="AU408" s="463">
        <f>100*((Transfer!AG214/Transfer!AF214)-1)</f>
        <v>6.5739573291675013</v>
      </c>
      <c r="AV408" s="196"/>
      <c r="AW408" s="54"/>
      <c r="AX408" s="54"/>
      <c r="AY408" s="54"/>
      <c r="AZ408" s="54"/>
      <c r="BA408" s="1698" t="s">
        <v>933</v>
      </c>
      <c r="BB408" s="1699"/>
      <c r="BC408" s="54"/>
    </row>
    <row r="409" spans="1:55">
      <c r="A409" s="45"/>
      <c r="B409" s="1665"/>
      <c r="C409" s="2373" t="s">
        <v>1361</v>
      </c>
      <c r="D409" s="2392"/>
      <c r="E409" s="2651"/>
      <c r="F409" s="2692">
        <f ca="1">Transfer!D192</f>
        <v>1.5573599999999999</v>
      </c>
      <c r="G409" s="2453">
        <f ca="1">100*((Transfer!D192/Transfer!C192)-1)</f>
        <v>6.8903271858720361</v>
      </c>
      <c r="H409" s="2692">
        <f ca="1">Transfer!E192</f>
        <v>1.6732275839999999</v>
      </c>
      <c r="I409" s="2453">
        <f ca="1">100*((Transfer!E192/Transfer!D192)-1)</f>
        <v>7.4400000000000022</v>
      </c>
      <c r="J409" s="2692">
        <f ca="1">Transfer!F192</f>
        <v>1.733463777024</v>
      </c>
      <c r="K409" s="2453">
        <f ca="1">100*((Transfer!F192/Transfer!E192)-1)</f>
        <v>3.6000000000000032</v>
      </c>
      <c r="L409" s="2453">
        <f ca="1">Transfer!G192</f>
        <v>1.8262040890947842</v>
      </c>
      <c r="M409" s="2693">
        <f ca="1">100*((Transfer!G192/Transfer!F192)-1)</f>
        <v>5.3500000000000103</v>
      </c>
      <c r="N409" s="2610"/>
      <c r="O409" s="54"/>
      <c r="P409" s="54"/>
      <c r="Q409" s="54"/>
      <c r="R409" s="54"/>
      <c r="S409" s="190"/>
      <c r="T409" s="2373" t="s">
        <v>1361</v>
      </c>
      <c r="U409" s="102"/>
      <c r="V409" s="383"/>
      <c r="W409" s="248">
        <f t="shared" ca="1" si="24"/>
        <v>10000.6</v>
      </c>
      <c r="X409" s="245">
        <f t="shared" ca="1" si="24"/>
        <v>6.9</v>
      </c>
      <c r="Y409" s="245">
        <f t="shared" ca="1" si="24"/>
        <v>10000.700000000001</v>
      </c>
      <c r="Z409" s="245">
        <f t="shared" ca="1" si="24"/>
        <v>7.4</v>
      </c>
      <c r="AA409" s="245">
        <f t="shared" ca="1" si="24"/>
        <v>10000.700000000001</v>
      </c>
      <c r="AB409" s="245">
        <f t="shared" ca="1" si="24"/>
        <v>3.6</v>
      </c>
      <c r="AC409" s="245">
        <f t="shared" ca="1" si="24"/>
        <v>10000.799999999999</v>
      </c>
      <c r="AD409" s="249">
        <f t="shared" ca="1" si="24"/>
        <v>5.4</v>
      </c>
      <c r="AE409" s="464"/>
      <c r="AF409" s="45"/>
      <c r="AG409" s="45"/>
      <c r="AH409" s="45"/>
      <c r="AI409" s="45"/>
      <c r="AJ409" s="190"/>
      <c r="AK409" s="2373" t="s">
        <v>1361</v>
      </c>
      <c r="AL409" s="102"/>
      <c r="AM409" s="383"/>
      <c r="AN409" s="141">
        <f>Transfer!AD192</f>
        <v>-9999</v>
      </c>
      <c r="AO409" s="245">
        <f>100*((Transfer!AD192/Transfer!AC192)-1)</f>
        <v>0</v>
      </c>
      <c r="AP409" s="141">
        <f>Transfer!AE192</f>
        <v>-9999</v>
      </c>
      <c r="AQ409" s="245">
        <f>100*((Transfer!AE192/Transfer!AD192)-1)</f>
        <v>0</v>
      </c>
      <c r="AR409" s="141">
        <f>Transfer!AF192</f>
        <v>-9999</v>
      </c>
      <c r="AS409" s="245">
        <f>100*((Transfer!AF192/Transfer!AE192)-1)</f>
        <v>0</v>
      </c>
      <c r="AT409" s="197">
        <f>Transfer!AG192</f>
        <v>-9999</v>
      </c>
      <c r="AU409" s="249">
        <f>100*((Transfer!AG192/Transfer!AF192)-1)</f>
        <v>0</v>
      </c>
      <c r="AV409" s="464"/>
      <c r="AW409" s="54"/>
      <c r="AX409" s="54"/>
      <c r="AY409" s="54"/>
      <c r="AZ409" s="54"/>
      <c r="BA409" s="1698" t="s">
        <v>934</v>
      </c>
      <c r="BB409" s="1699"/>
      <c r="BC409" s="54"/>
    </row>
    <row r="410" spans="1:55">
      <c r="A410" s="45"/>
      <c r="B410" s="1665"/>
      <c r="C410" s="2373" t="s">
        <v>191</v>
      </c>
      <c r="D410" s="2392"/>
      <c r="E410" s="2651"/>
      <c r="F410" s="2692">
        <f ca="1">Transfer!D207</f>
        <v>0.62555999999999989</v>
      </c>
      <c r="G410" s="2453">
        <f ca="1">100*((Transfer!D207/Transfer!C207)-1)</f>
        <v>9.2375929871127518</v>
      </c>
      <c r="H410" s="2692">
        <f ca="1">Transfer!E207</f>
        <v>0.63099999999999989</v>
      </c>
      <c r="I410" s="2453">
        <f ca="1">100*((Transfer!E207/Transfer!D207)-1)</f>
        <v>0.86962081974550909</v>
      </c>
      <c r="J410" s="2692">
        <f ca="1">Transfer!F207</f>
        <v>0.6499299999999999</v>
      </c>
      <c r="K410" s="2453">
        <f ca="1">100*((Transfer!F207/Transfer!E207)-1)</f>
        <v>3.0000000000000027</v>
      </c>
      <c r="L410" s="2453">
        <f ca="1">Transfer!G207</f>
        <v>0.6882758699999999</v>
      </c>
      <c r="M410" s="2693">
        <f ca="1">100*((Transfer!G207/Transfer!F207)-1)</f>
        <v>5.8999999999999941</v>
      </c>
      <c r="N410" s="2610"/>
      <c r="O410" s="54"/>
      <c r="P410" s="54"/>
      <c r="Q410" s="54"/>
      <c r="R410" s="54"/>
      <c r="S410" s="190"/>
      <c r="T410" s="2373" t="s">
        <v>191</v>
      </c>
      <c r="U410" s="102"/>
      <c r="V410" s="383"/>
      <c r="W410" s="248">
        <f t="shared" ca="1" si="24"/>
        <v>9999.6</v>
      </c>
      <c r="X410" s="245">
        <f t="shared" ca="1" si="24"/>
        <v>9.1999999999999993</v>
      </c>
      <c r="Y410" s="245">
        <f t="shared" ca="1" si="24"/>
        <v>9999.6</v>
      </c>
      <c r="Z410" s="245">
        <f t="shared" ca="1" si="24"/>
        <v>0.9</v>
      </c>
      <c r="AA410" s="245">
        <f t="shared" ca="1" si="24"/>
        <v>9999.6</v>
      </c>
      <c r="AB410" s="245">
        <f t="shared" ca="1" si="24"/>
        <v>3</v>
      </c>
      <c r="AC410" s="245">
        <f t="shared" ca="1" si="24"/>
        <v>9999.7000000000007</v>
      </c>
      <c r="AD410" s="249">
        <f t="shared" ca="1" si="24"/>
        <v>5.9</v>
      </c>
      <c r="AE410" s="464"/>
      <c r="AF410" s="45"/>
      <c r="AG410" s="45"/>
      <c r="AH410" s="45"/>
      <c r="AI410" s="45"/>
      <c r="AJ410" s="190"/>
      <c r="AK410" s="2373" t="s">
        <v>191</v>
      </c>
      <c r="AL410" s="102"/>
      <c r="AM410" s="383"/>
      <c r="AN410" s="141">
        <f>Transfer!AD207</f>
        <v>-9999</v>
      </c>
      <c r="AO410" s="245">
        <f>100*((Transfer!AD207/Transfer!AC207)-1)</f>
        <v>0</v>
      </c>
      <c r="AP410" s="141">
        <f>Transfer!AE207</f>
        <v>-9999</v>
      </c>
      <c r="AQ410" s="245">
        <f>100*((Transfer!AE207/Transfer!AD207)-1)</f>
        <v>0</v>
      </c>
      <c r="AR410" s="141">
        <f>Transfer!AF207</f>
        <v>-9999</v>
      </c>
      <c r="AS410" s="245">
        <f>100*((Transfer!AF207/Transfer!AE207)-1)</f>
        <v>0</v>
      </c>
      <c r="AT410" s="197">
        <f>Transfer!AG207</f>
        <v>-9999</v>
      </c>
      <c r="AU410" s="249">
        <f>100*((Transfer!AG207/Transfer!AF207)-1)</f>
        <v>0</v>
      </c>
      <c r="AV410" s="464"/>
      <c r="AW410" s="54"/>
      <c r="AX410" s="54"/>
      <c r="AY410" s="54"/>
      <c r="AZ410" s="54"/>
      <c r="BA410" s="1698" t="s">
        <v>607</v>
      </c>
      <c r="BB410" s="1699"/>
      <c r="BC410" s="54"/>
    </row>
    <row r="411" spans="1:55">
      <c r="A411" s="45"/>
      <c r="B411" s="1665"/>
      <c r="C411" s="1666" t="s">
        <v>1685</v>
      </c>
      <c r="D411" s="2351"/>
      <c r="E411" s="2521" t="s">
        <v>1686</v>
      </c>
      <c r="F411" s="2692">
        <f ca="1">Transfer!D215</f>
        <v>4.8441000000000001</v>
      </c>
      <c r="G411" s="2453">
        <f ca="1">100*((Transfer!D215/Transfer!C215)-1)</f>
        <v>8.7013109412656942</v>
      </c>
      <c r="H411" s="2692">
        <f ca="1">Transfer!E215</f>
        <v>5.444205530780633</v>
      </c>
      <c r="I411" s="2453">
        <f ca="1">100*((Transfer!E215/Transfer!D215)-1)</f>
        <v>12.388380313796855</v>
      </c>
      <c r="J411" s="2692">
        <f ca="1">Transfer!F215</f>
        <v>5.8089673013429346</v>
      </c>
      <c r="K411" s="2453">
        <f ca="1">100*((Transfer!F215/Transfer!E215)-1)</f>
        <v>6.6999999999999948</v>
      </c>
      <c r="L411" s="2453">
        <f ca="1">Transfer!G215</f>
        <v>6.1419965550884186</v>
      </c>
      <c r="M411" s="2693">
        <f ca="1">100*((Transfer!G215/Transfer!F215)-1)</f>
        <v>5.7330199408850646</v>
      </c>
      <c r="N411" s="2452"/>
      <c r="O411" s="54"/>
      <c r="P411" s="54"/>
      <c r="Q411" s="54"/>
      <c r="R411" s="54"/>
      <c r="S411" s="190"/>
      <c r="T411" s="1666" t="s">
        <v>1685</v>
      </c>
      <c r="U411" s="49"/>
      <c r="V411" s="254" t="s">
        <v>1686</v>
      </c>
      <c r="W411" s="248">
        <f t="shared" ca="1" si="24"/>
        <v>-8</v>
      </c>
      <c r="X411" s="245">
        <f t="shared" ca="1" si="24"/>
        <v>4.6999999999999993</v>
      </c>
      <c r="Y411" s="245">
        <f t="shared" ca="1" si="24"/>
        <v>-8.5</v>
      </c>
      <c r="Z411" s="245">
        <f t="shared" ca="1" si="24"/>
        <v>4.4000000000000004</v>
      </c>
      <c r="AA411" s="245">
        <f t="shared" ca="1" si="24"/>
        <v>-8.8000000000000007</v>
      </c>
      <c r="AB411" s="245">
        <f t="shared" ca="1" si="24"/>
        <v>1.5</v>
      </c>
      <c r="AC411" s="245">
        <f t="shared" ca="1" si="24"/>
        <v>-9.4</v>
      </c>
      <c r="AD411" s="249">
        <f t="shared" ca="1" si="24"/>
        <v>-0.29999999999999982</v>
      </c>
      <c r="AE411" s="196"/>
      <c r="AF411" s="45"/>
      <c r="AG411" s="45"/>
      <c r="AH411" s="45"/>
      <c r="AI411" s="45"/>
      <c r="AJ411" s="190"/>
      <c r="AK411" s="1666" t="s">
        <v>1685</v>
      </c>
      <c r="AL411" s="49"/>
      <c r="AM411" s="254" t="s">
        <v>1686</v>
      </c>
      <c r="AN411" s="141">
        <f>Transfer!AD215</f>
        <v>12.84684</v>
      </c>
      <c r="AO411" s="245">
        <f>100*((Transfer!AD215/Transfer!AC215)-1)</f>
        <v>3.9645737536962988</v>
      </c>
      <c r="AP411" s="141">
        <f>Transfer!AE215</f>
        <v>13.874587200000001</v>
      </c>
      <c r="AQ411" s="245">
        <f>100*((Transfer!AE215/Transfer!AD215)-1)</f>
        <v>8.0000000000000071</v>
      </c>
      <c r="AR411" s="141">
        <f>Transfer!AF215</f>
        <v>14.5960657344</v>
      </c>
      <c r="AS411" s="197">
        <f>100*((Transfer!AF215/Transfer!AE215)-1)</f>
        <v>5.2000000000000046</v>
      </c>
      <c r="AT411" s="197">
        <f>Transfer!AG215</f>
        <v>15.471829678464001</v>
      </c>
      <c r="AU411" s="463">
        <f>100*((Transfer!AG215/Transfer!AF215)-1)</f>
        <v>6.0000000000000053</v>
      </c>
      <c r="AV411" s="196"/>
      <c r="AW411" s="54"/>
      <c r="AX411" s="54"/>
      <c r="AY411" s="54"/>
      <c r="AZ411" s="54"/>
      <c r="BA411" s="1698" t="s">
        <v>935</v>
      </c>
      <c r="BB411" s="1699"/>
      <c r="BC411" s="54"/>
    </row>
    <row r="412" spans="1:55">
      <c r="A412" s="45"/>
      <c r="B412" s="1665"/>
      <c r="C412" s="2373" t="s">
        <v>340</v>
      </c>
      <c r="D412" s="2392"/>
      <c r="E412" s="2651" t="s">
        <v>341</v>
      </c>
      <c r="F412" s="2692">
        <f ca="1">Transfer!D216</f>
        <v>4.7157900000000001</v>
      </c>
      <c r="G412" s="2453">
        <f ca="1">100*((Transfer!D216/Transfer!C216)-1)</f>
        <v>8.6562521600884743</v>
      </c>
      <c r="H412" s="2692">
        <f ca="1">Transfer!E216</f>
        <v>5.3</v>
      </c>
      <c r="I412" s="2453">
        <f ca="1">100*((Transfer!E216/Transfer!D216)-1)</f>
        <v>12.388380313796832</v>
      </c>
      <c r="J412" s="2692">
        <f ca="1">Transfer!F216</f>
        <v>5.6550999999999991</v>
      </c>
      <c r="K412" s="2453">
        <f ca="1">100*((Transfer!F216/Transfer!E216)-1)</f>
        <v>6.6999999999999948</v>
      </c>
      <c r="L412" s="2453">
        <f ca="1">Transfer!G216</f>
        <v>5.9793080106769914</v>
      </c>
      <c r="M412" s="2693">
        <f ca="1">100*((Transfer!G216/Transfer!F216)-1)</f>
        <v>5.7330199408850868</v>
      </c>
      <c r="N412" s="2610"/>
      <c r="O412" s="54"/>
      <c r="P412" s="54"/>
      <c r="Q412" s="54"/>
      <c r="R412" s="54"/>
      <c r="S412" s="190"/>
      <c r="T412" s="2373" t="s">
        <v>340</v>
      </c>
      <c r="U412" s="102"/>
      <c r="V412" s="383" t="s">
        <v>341</v>
      </c>
      <c r="W412" s="248">
        <f t="shared" ca="1" si="24"/>
        <v>-7.8</v>
      </c>
      <c r="X412" s="245">
        <f t="shared" ca="1" si="24"/>
        <v>4.7999999999999989</v>
      </c>
      <c r="Y412" s="245">
        <f t="shared" ca="1" si="24"/>
        <v>-8.1999999999999993</v>
      </c>
      <c r="Z412" s="245">
        <f t="shared" ca="1" si="24"/>
        <v>4.4000000000000004</v>
      </c>
      <c r="AA412" s="245">
        <f t="shared" ca="1" si="24"/>
        <v>-8.5</v>
      </c>
      <c r="AB412" s="245">
        <f t="shared" ca="1" si="24"/>
        <v>1.5</v>
      </c>
      <c r="AC412" s="245">
        <f t="shared" ca="1" si="24"/>
        <v>-9</v>
      </c>
      <c r="AD412" s="249">
        <f t="shared" ca="1" si="24"/>
        <v>-0.29999999999999982</v>
      </c>
      <c r="AE412" s="464"/>
      <c r="AF412" s="45"/>
      <c r="AG412" s="45"/>
      <c r="AH412" s="45"/>
      <c r="AI412" s="45"/>
      <c r="AJ412" s="190"/>
      <c r="AK412" s="2373" t="s">
        <v>340</v>
      </c>
      <c r="AL412" s="102"/>
      <c r="AM412" s="383" t="s">
        <v>341</v>
      </c>
      <c r="AN412" s="141">
        <f>Transfer!AD216</f>
        <v>12.47156</v>
      </c>
      <c r="AO412" s="245">
        <f>100*((Transfer!AD216/Transfer!AC216)-1)</f>
        <v>3.9245570426120757</v>
      </c>
      <c r="AP412" s="141">
        <f>Transfer!AE216</f>
        <v>13.469284800000001</v>
      </c>
      <c r="AQ412" s="245">
        <f>100*((Transfer!AE216/Transfer!AD216)-1)</f>
        <v>8.0000000000000071</v>
      </c>
      <c r="AR412" s="141">
        <f>Transfer!AF216</f>
        <v>14.1696876096</v>
      </c>
      <c r="AS412" s="245">
        <f>100*((Transfer!AF216/Transfer!AE216)-1)</f>
        <v>5.2000000000000046</v>
      </c>
      <c r="AT412" s="197">
        <f>Transfer!AG216</f>
        <v>15.019868866176001</v>
      </c>
      <c r="AU412" s="249">
        <f>100*((Transfer!AG216/Transfer!AF216)-1)</f>
        <v>6.0000000000000053</v>
      </c>
      <c r="AV412" s="464"/>
      <c r="AW412" s="54"/>
      <c r="AX412" s="54"/>
      <c r="AY412" s="54"/>
      <c r="AZ412" s="54"/>
      <c r="BA412" s="1698" t="s">
        <v>936</v>
      </c>
      <c r="BB412" s="1699"/>
      <c r="BC412" s="54"/>
    </row>
    <row r="413" spans="1:55">
      <c r="A413" s="45"/>
      <c r="B413" s="1665"/>
      <c r="C413" s="1666" t="s">
        <v>1416</v>
      </c>
      <c r="D413" s="2351"/>
      <c r="E413" s="2651"/>
      <c r="F413" s="2692">
        <f ca="1">+Transfer!D243+Transfer!D217</f>
        <v>1.4450599999999998</v>
      </c>
      <c r="G413" s="2453">
        <f ca="1">100*(((Transfer!D243+Transfer!D217)/(Transfer!C243+Transfer!D217))-1)</f>
        <v>2.239988679779259</v>
      </c>
      <c r="H413" s="3338">
        <f ca="1">+Transfer!E243+Transfer!E217</f>
        <v>1.5277276079999997</v>
      </c>
      <c r="I413" s="2453">
        <f ca="1">100*(((Transfer!E243+Transfer!E217)/(Transfer!D243+Transfer!D217))-1)</f>
        <v>5.720704192213466</v>
      </c>
      <c r="J413" s="2692">
        <f ca="1">+Transfer!F243+Transfer!F217</f>
        <v>1.6116147196799997</v>
      </c>
      <c r="K413" s="2453">
        <f ca="1">100*(((Transfer!F243+Transfer!F217)/(Transfer!E243+Transfer!E217))-1)</f>
        <v>5.4909730792794598</v>
      </c>
      <c r="L413" s="2453">
        <f ca="1">+Transfer!G243+Transfer!G217</f>
        <v>1.6922005978527996</v>
      </c>
      <c r="M413" s="2693">
        <f ca="1">100*(((Transfer!G243+Transfer!G217)/(Transfer!F243+Transfer!F217))-1)</f>
        <v>5.0003190706027434</v>
      </c>
      <c r="N413" s="2610"/>
      <c r="O413" s="54"/>
      <c r="P413" s="54"/>
      <c r="Q413" s="54"/>
      <c r="R413" s="54"/>
      <c r="S413" s="190"/>
      <c r="T413" s="1666" t="s">
        <v>1416</v>
      </c>
      <c r="U413" s="49"/>
      <c r="V413" s="383"/>
      <c r="W413" s="248">
        <f t="shared" ca="1" si="24"/>
        <v>-2.6</v>
      </c>
      <c r="X413" s="245">
        <f t="shared" ca="1" si="24"/>
        <v>-4</v>
      </c>
      <c r="Y413" s="245">
        <f t="shared" ca="1" si="24"/>
        <v>-2.4</v>
      </c>
      <c r="Z413" s="245">
        <f t="shared" ca="1" si="24"/>
        <v>6.5</v>
      </c>
      <c r="AA413" s="245">
        <f t="shared" ca="1" si="24"/>
        <v>-2.4</v>
      </c>
      <c r="AB413" s="245">
        <f t="shared" ca="1" si="24"/>
        <v>2.2000000000000002</v>
      </c>
      <c r="AC413" s="245">
        <f t="shared" ca="1" si="24"/>
        <v>-2.5</v>
      </c>
      <c r="AD413" s="249">
        <f t="shared" ca="1" si="24"/>
        <v>1.6</v>
      </c>
      <c r="AE413" s="464"/>
      <c r="AF413" s="45"/>
      <c r="AG413" s="45"/>
      <c r="AH413" s="45"/>
      <c r="AI413" s="45"/>
      <c r="AJ413" s="190"/>
      <c r="AK413" s="1666" t="s">
        <v>1416</v>
      </c>
      <c r="AL413" s="49"/>
      <c r="AM413" s="383"/>
      <c r="AN413" s="141">
        <f>+Transfer!AD243+Transfer!AD217</f>
        <v>3.9504399999999995</v>
      </c>
      <c r="AO413" s="245">
        <f>100*(((Transfer!AD243+Transfer!AD217)/(Transfer!AC243+Transfer!AD217))-1)</f>
        <v>6.1501090940358383</v>
      </c>
      <c r="AP413" s="141">
        <f>+Transfer!AE243+Transfer!AE217</f>
        <v>3.9182955499999998</v>
      </c>
      <c r="AQ413" s="245">
        <f>100*(((Transfer!AE243+Transfer!AE217)/(Transfer!AD243+Transfer!AD217))-1)</f>
        <v>-0.81369290509410996</v>
      </c>
      <c r="AR413" s="141">
        <f>+Transfer!AF243+Transfer!AF217</f>
        <v>4.0489662962499997</v>
      </c>
      <c r="AS413" s="245">
        <f>100*(((Transfer!AF243+Transfer!AF217)/(Transfer!AE243+Transfer!AE217))-1)</f>
        <v>3.3348874423216879</v>
      </c>
      <c r="AT413" s="245">
        <f>+Transfer!AG243+Transfer!AG217</f>
        <v>4.1850899415312499</v>
      </c>
      <c r="AU413" s="249">
        <f>100*(((Transfer!AG243+Transfer!AG217)/(Transfer!AF243+Transfer!AF217))-1)</f>
        <v>3.3619357465959343</v>
      </c>
      <c r="AV413" s="464"/>
      <c r="AW413" s="54"/>
      <c r="AX413" s="54"/>
      <c r="AY413" s="54"/>
      <c r="AZ413" s="54"/>
      <c r="BA413" s="1698" t="s">
        <v>608</v>
      </c>
      <c r="BB413" s="1699"/>
      <c r="BC413" s="54"/>
    </row>
    <row r="414" spans="1:55">
      <c r="A414" s="45"/>
      <c r="B414" s="1665"/>
      <c r="C414" s="2379" t="s">
        <v>192</v>
      </c>
      <c r="D414" s="2380"/>
      <c r="E414" s="2694"/>
      <c r="F414" s="2697">
        <f ca="1">SUM(Transfer!D213,Transfer!D214,Transfer!D215,Transfer!D217,Transfer!D243)</f>
        <v>13.016420000000004</v>
      </c>
      <c r="G414" s="2695">
        <f ca="1">100*((SUM(Transfer!D213,Transfer!D214,Transfer!D215,Transfer!D217,Transfer!D243)/SUM(Transfer!C213,Transfer!C214,Transfer!C215,Transfer!C217,Transfer!C243))-1)</f>
        <v>6.0420684053550611</v>
      </c>
      <c r="H414" s="2697">
        <f ca="1">SUM(Transfer!E213,Transfer!E214,Transfer!E215,Transfer!E217,Transfer!E243)</f>
        <v>14.215278222780634</v>
      </c>
      <c r="I414" s="2695">
        <f ca="1">100*((SUM(Transfer!E213,Transfer!E214,Transfer!E215,Transfer!E217,Transfer!E243)/SUM(Transfer!D213,Transfer!D214,Transfer!D215,Transfer!D217,Transfer!D243))-1)</f>
        <v>9.2103529448237751</v>
      </c>
      <c r="J414" s="2697">
        <f ca="1">SUM(Transfer!F213,Transfer!F214,Transfer!F215,Transfer!F217,Transfer!F243)</f>
        <v>15.061240161066149</v>
      </c>
      <c r="K414" s="2695">
        <f ca="1">100*((SUM(Transfer!F213,Transfer!F214,Transfer!F215,Transfer!F217,Transfer!F243)/SUM(Transfer!E213,Transfer!E214,Transfer!E215,Transfer!E217,Transfer!E243))-1)</f>
        <v>5.9510754909448238</v>
      </c>
      <c r="L414" s="2695">
        <f ca="1">SUM(Transfer!G213,Transfer!G214,Transfer!G215,Transfer!G217,Transfer!G243)</f>
        <v>15.900807104354294</v>
      </c>
      <c r="M414" s="2698">
        <f ca="1">100*((SUM(Transfer!G213,Transfer!G214,Transfer!G215,Transfer!G217,Transfer!G243)/SUM(Transfer!F213,Transfer!F214,Transfer!F215,Transfer!F217,Transfer!F243))-1)</f>
        <v>5.5743546634257735</v>
      </c>
      <c r="N414" s="2452"/>
      <c r="O414" s="54"/>
      <c r="P414" s="54"/>
      <c r="Q414" s="54"/>
      <c r="R414" s="54"/>
      <c r="S414" s="190"/>
      <c r="T414" s="2379" t="s">
        <v>192</v>
      </c>
      <c r="U414" s="95"/>
      <c r="V414" s="384"/>
      <c r="W414" s="429">
        <f t="shared" ca="1" si="24"/>
        <v>-22</v>
      </c>
      <c r="X414" s="428">
        <f t="shared" ca="1" si="24"/>
        <v>0.20000000000000018</v>
      </c>
      <c r="Y414" s="428">
        <f t="shared" ca="1" si="24"/>
        <v>-22.500000000000004</v>
      </c>
      <c r="Z414" s="428">
        <f t="shared" ca="1" si="24"/>
        <v>4.1999999999999993</v>
      </c>
      <c r="AA414" s="428">
        <f t="shared" ca="1" si="24"/>
        <v>-23.299999999999997</v>
      </c>
      <c r="AB414" s="428">
        <f t="shared" ca="1" si="24"/>
        <v>1.2999999999999998</v>
      </c>
      <c r="AC414" s="428">
        <f t="shared" ca="1" si="24"/>
        <v>-24.700000000000003</v>
      </c>
      <c r="AD414" s="431">
        <f t="shared" ca="1" si="24"/>
        <v>0</v>
      </c>
      <c r="AE414" s="199"/>
      <c r="AF414" s="45"/>
      <c r="AG414" s="45"/>
      <c r="AH414" s="45"/>
      <c r="AI414" s="45"/>
      <c r="AJ414" s="190"/>
      <c r="AK414" s="2379" t="s">
        <v>192</v>
      </c>
      <c r="AL414" s="95"/>
      <c r="AM414" s="384"/>
      <c r="AN414" s="430">
        <f>SUM(Transfer!AD213,Transfer!AD214,Transfer!AD215,Transfer!AD217,Transfer!AD243)</f>
        <v>34.968640000000001</v>
      </c>
      <c r="AO414" s="428">
        <f>100*((SUM(Transfer!AD213,Transfer!AD214,Transfer!AD215,Transfer!AD217,Transfer!AD243)/SUM(Transfer!AC213,Transfer!AC214,Transfer!AC215,Transfer!AC217,Transfer!AC243))-1)</f>
        <v>5.7792120185830242</v>
      </c>
      <c r="AP414" s="430">
        <f>SUM(Transfer!AE213,Transfer!AE214,Transfer!AE215,Transfer!AE217,Transfer!AE243)</f>
        <v>36.70937885</v>
      </c>
      <c r="AQ414" s="428">
        <f>100*((SUM(Transfer!AE213,Transfer!AE214,Transfer!AE215,Transfer!AE217,Transfer!AE243)/SUM(Transfer!AD213,Transfer!AD214,Transfer!AD215,Transfer!AD217,Transfer!AD243))-1)</f>
        <v>4.9779998593024954</v>
      </c>
      <c r="AR414" s="430">
        <f>SUM(Transfer!AF213,Transfer!AF214,Transfer!AF215,Transfer!AF217,Transfer!AF243)</f>
        <v>38.449388680349998</v>
      </c>
      <c r="AS414" s="428">
        <f>100*((SUM(Transfer!AF213,Transfer!AF214,Transfer!AF215,Transfer!AF217,Transfer!AF243)/SUM(Transfer!AE213,Transfer!AE214,Transfer!AE215,Transfer!AE217,Transfer!AE243))-1)</f>
        <v>4.7399598818055111</v>
      </c>
      <c r="AT414" s="428">
        <f>SUM(Transfer!AG213,Transfer!AG214,Transfer!AG215,Transfer!AG217,Transfer!AG243)</f>
        <v>40.614716705584705</v>
      </c>
      <c r="AU414" s="431">
        <f>100*((SUM(Transfer!AG213,Transfer!AG214,Transfer!AG215,Transfer!AG217,Transfer!AG243)/SUM(Transfer!AF213,Transfer!AF214,Transfer!AF215,Transfer!AF217,Transfer!AF243))-1)</f>
        <v>5.6316318660778242</v>
      </c>
      <c r="AV414" s="199"/>
      <c r="AW414" s="54"/>
      <c r="AX414" s="54"/>
      <c r="AY414" s="54"/>
      <c r="AZ414" s="54"/>
      <c r="BA414" s="1698" t="s">
        <v>609</v>
      </c>
      <c r="BB414" s="1699"/>
      <c r="BC414" s="54"/>
    </row>
    <row r="415" spans="1:55">
      <c r="A415" s="45"/>
      <c r="B415" s="1665"/>
      <c r="C415" s="1666" t="s">
        <v>290</v>
      </c>
      <c r="D415" s="2351"/>
      <c r="E415" s="2521" t="s">
        <v>1407</v>
      </c>
      <c r="F415" s="2725">
        <f ca="1">Transfer!D220</f>
        <v>3.8023500000000001</v>
      </c>
      <c r="G415" s="2450">
        <f ca="1">100*((Transfer!D220/Transfer!C220)-1)</f>
        <v>5.4652720570491864</v>
      </c>
      <c r="H415" s="2726">
        <f ca="1">Transfer!E220</f>
        <v>4.0019753007261274</v>
      </c>
      <c r="I415" s="2450">
        <f ca="1">100*((Transfer!E220/Transfer!D220)-1)</f>
        <v>5.2500506456830021</v>
      </c>
      <c r="J415" s="2726">
        <f ca="1">Transfer!F220</f>
        <v>4.2038161866725012</v>
      </c>
      <c r="K415" s="2450">
        <f ca="1">100*((Transfer!F220/Transfer!E220)-1)</f>
        <v>5.0435315257880697</v>
      </c>
      <c r="L415" s="2725">
        <f ca="1">Transfer!G220</f>
        <v>4.435208860003871</v>
      </c>
      <c r="M415" s="2451">
        <f ca="1">100*((Transfer!G220/Transfer!F220)-1)</f>
        <v>5.5043480270370093</v>
      </c>
      <c r="N415" s="2691"/>
      <c r="O415" s="54"/>
      <c r="P415" s="54"/>
      <c r="Q415" s="54"/>
      <c r="R415" s="54"/>
      <c r="S415" s="190"/>
      <c r="T415" s="1666" t="s">
        <v>290</v>
      </c>
      <c r="U415" s="49"/>
      <c r="V415" s="2321" t="s">
        <v>1407</v>
      </c>
      <c r="W415" s="2019">
        <f t="shared" ca="1" si="24"/>
        <v>-7.3999999999999995</v>
      </c>
      <c r="X415" s="2020">
        <f t="shared" ca="1" si="24"/>
        <v>4.0999999999999996</v>
      </c>
      <c r="Y415" s="2020">
        <f t="shared" ca="1" si="24"/>
        <v>-7.8000000000000007</v>
      </c>
      <c r="Z415" s="2020">
        <f t="shared" ca="1" si="24"/>
        <v>-0.29999999999999982</v>
      </c>
      <c r="AA415" s="2020">
        <f t="shared" ca="1" si="24"/>
        <v>-8.3999999999999986</v>
      </c>
      <c r="AB415" s="2020">
        <f t="shared" ca="1" si="24"/>
        <v>-2.0999999999999996</v>
      </c>
      <c r="AC415" s="2020">
        <f t="shared" ca="1" si="24"/>
        <v>-8.9</v>
      </c>
      <c r="AD415" s="2338">
        <f t="shared" ca="1" si="24"/>
        <v>0.5</v>
      </c>
      <c r="AE415" s="199"/>
      <c r="AF415" s="45"/>
      <c r="AG415" s="45"/>
      <c r="AH415" s="45"/>
      <c r="AI415" s="45"/>
      <c r="AJ415" s="190"/>
      <c r="AK415" s="1666" t="s">
        <v>290</v>
      </c>
      <c r="AL415" s="49"/>
      <c r="AM415" s="254" t="s">
        <v>1407</v>
      </c>
      <c r="AN415" s="2308">
        <f>Transfer!AD220</f>
        <v>11.15719</v>
      </c>
      <c r="AO415" s="2020">
        <f>100*((Transfer!AD220/Transfer!AC220)-1)</f>
        <v>1.373521036669012</v>
      </c>
      <c r="AP415" s="2309">
        <f>Transfer!AE220</f>
        <v>11.783108359</v>
      </c>
      <c r="AQ415" s="2020">
        <f>100*((Transfer!AE220/Transfer!AD220)-1)</f>
        <v>5.6100000000000039</v>
      </c>
      <c r="AR415" s="2309">
        <f>Transfer!AF220</f>
        <v>12.622065674160799</v>
      </c>
      <c r="AS415" s="2020">
        <f>100*((Transfer!AF220/Transfer!AE220)-1)</f>
        <v>7.119999999999993</v>
      </c>
      <c r="AT415" s="2308">
        <f>Transfer!AG220</f>
        <v>13.253168957868839</v>
      </c>
      <c r="AU415" s="2310">
        <f>100*((Transfer!AG220/Transfer!AF220)-1)</f>
        <v>5.0000000000000044</v>
      </c>
      <c r="AV415" s="199"/>
      <c r="AW415" s="54"/>
      <c r="AX415" s="54"/>
      <c r="AY415" s="54"/>
      <c r="AZ415" s="54"/>
      <c r="BA415" s="1698" t="s">
        <v>610</v>
      </c>
      <c r="BB415" s="1699"/>
      <c r="BC415" s="54"/>
    </row>
    <row r="416" spans="1:55">
      <c r="A416" s="45"/>
      <c r="B416" s="1665"/>
      <c r="C416" s="1666" t="s">
        <v>291</v>
      </c>
      <c r="D416" s="2351"/>
      <c r="E416" s="2521" t="s">
        <v>1130</v>
      </c>
      <c r="F416" s="2727">
        <f ca="1">Transfer!D245</f>
        <v>1.84643</v>
      </c>
      <c r="G416" s="2453">
        <f ca="1">100*((Transfer!D245/Transfer!C245)-1)</f>
        <v>-1.138304536620105</v>
      </c>
      <c r="H416" s="2692">
        <f ca="1">Transfer!E245</f>
        <v>1.8754002492738726</v>
      </c>
      <c r="I416" s="3677">
        <f ca="1">100*((Transfer!E245/Transfer!D245)-1)</f>
        <v>1.568987141341549</v>
      </c>
      <c r="J416" s="2692">
        <f ca="1">Transfer!F245</f>
        <v>2.0133065466654987</v>
      </c>
      <c r="K416" s="3678">
        <f ca="1">100*((Transfer!F245/Transfer!E245)-1)</f>
        <v>7.3534328176090069</v>
      </c>
      <c r="L416" s="2453">
        <f ca="1">Transfer!G245</f>
        <v>2.1138316020828603</v>
      </c>
      <c r="M416" s="3679">
        <f ca="1">100*((Transfer!G245/Transfer!F245)-1)</f>
        <v>4.9930327591620083</v>
      </c>
      <c r="N416" s="2452"/>
      <c r="O416" s="54"/>
      <c r="P416" s="54"/>
      <c r="Q416" s="54"/>
      <c r="R416" s="54"/>
      <c r="S416" s="190"/>
      <c r="T416" s="1666" t="s">
        <v>291</v>
      </c>
      <c r="U416" s="49"/>
      <c r="V416" s="254" t="s">
        <v>1130</v>
      </c>
      <c r="W416" s="248">
        <f t="shared" ca="1" si="24"/>
        <v>-4</v>
      </c>
      <c r="X416" s="245">
        <f t="shared" ca="1" si="24"/>
        <v>-4.3000000000000007</v>
      </c>
      <c r="Y416" s="245">
        <f t="shared" ca="1" si="24"/>
        <v>-3.6999999999999997</v>
      </c>
      <c r="Z416" s="245">
        <f t="shared" ca="1" si="24"/>
        <v>3.8000000000000003</v>
      </c>
      <c r="AA416" s="245">
        <f t="shared" ca="1" si="24"/>
        <v>-3.4000000000000004</v>
      </c>
      <c r="AB416" s="245">
        <f t="shared" ca="1" si="24"/>
        <v>11</v>
      </c>
      <c r="AC416" s="245">
        <f t="shared" ca="1" si="24"/>
        <v>-3.4</v>
      </c>
      <c r="AD416" s="249">
        <f t="shared" ca="1" si="24"/>
        <v>4.5</v>
      </c>
      <c r="AE416" s="199"/>
      <c r="AF416" s="45"/>
      <c r="AG416" s="45"/>
      <c r="AH416" s="45"/>
      <c r="AI416" s="45"/>
      <c r="AJ416" s="190"/>
      <c r="AK416" s="1666" t="s">
        <v>291</v>
      </c>
      <c r="AL416" s="49"/>
      <c r="AM416" s="254" t="s">
        <v>1130</v>
      </c>
      <c r="AN416" s="2311">
        <f>Transfer!AD245</f>
        <v>5.75936</v>
      </c>
      <c r="AO416" s="245">
        <f>100*((Transfer!AD245/Transfer!AC245)-1)</f>
        <v>3.1973223052830013</v>
      </c>
      <c r="AP416" s="141">
        <f>Transfer!AE245</f>
        <v>5.6298466320999996</v>
      </c>
      <c r="AQ416" s="245">
        <f>100*((Transfer!AE245/Transfer!AD245)-1)</f>
        <v>-2.2487458311340247</v>
      </c>
      <c r="AR416" s="141">
        <f>Transfer!AF245</f>
        <v>5.426226415128995</v>
      </c>
      <c r="AS416" s="245">
        <f>100*((Transfer!AF245/Transfer!AE245)-1)</f>
        <v>-3.6167986497183113</v>
      </c>
      <c r="AT416" s="245">
        <f>Transfer!AG245</f>
        <v>5.4524086720904563</v>
      </c>
      <c r="AU416" s="249">
        <f>100*((Transfer!AG245/Transfer!AF245)-1)</f>
        <v>0.48251316768614938</v>
      </c>
      <c r="AV416" s="199"/>
      <c r="AW416" s="54"/>
      <c r="AX416" s="54"/>
      <c r="AY416" s="54"/>
      <c r="AZ416" s="54"/>
      <c r="BA416" s="1698" t="s">
        <v>937</v>
      </c>
      <c r="BB416" s="1699"/>
      <c r="BC416" s="54"/>
    </row>
    <row r="417" spans="1:55">
      <c r="A417" s="45"/>
      <c r="B417" s="1665"/>
      <c r="C417" s="1666" t="s">
        <v>230</v>
      </c>
      <c r="D417" s="2351"/>
      <c r="E417" s="2521"/>
      <c r="F417" s="2727">
        <f ca="1">Transfer!D246</f>
        <v>0.64269000000000009</v>
      </c>
      <c r="G417" s="2453">
        <f ca="1">100*((Transfer!D246/Transfer!C246)-1)</f>
        <v>3.9446870451237404</v>
      </c>
      <c r="H417" s="2692">
        <f ca="1">Transfer!E246</f>
        <v>0.66518415000000009</v>
      </c>
      <c r="I417" s="2453">
        <f ca="1">100*((Transfer!E246/Transfer!D246)-1)</f>
        <v>3.499999999999992</v>
      </c>
      <c r="J417" s="2692">
        <f ca="1">Transfer!F246</f>
        <v>0.68846559525000006</v>
      </c>
      <c r="K417" s="2453">
        <f ca="1">100*((Transfer!F246/Transfer!E246)-1)</f>
        <v>3.499999999999992</v>
      </c>
      <c r="L417" s="2453">
        <f ca="1">Transfer!G246</f>
        <v>0.70911956310750013</v>
      </c>
      <c r="M417" s="2693">
        <f ca="1">100*((Transfer!G246/Transfer!F246)-1)</f>
        <v>3.0000000000000027</v>
      </c>
      <c r="N417" s="2452"/>
      <c r="O417" s="54"/>
      <c r="P417" s="54"/>
      <c r="Q417" s="54"/>
      <c r="R417" s="54"/>
      <c r="S417" s="190"/>
      <c r="T417" s="1666" t="s">
        <v>230</v>
      </c>
      <c r="U417" s="49"/>
      <c r="V417" s="254"/>
      <c r="W417" s="248">
        <f t="shared" ca="1" si="24"/>
        <v>-1.4</v>
      </c>
      <c r="X417" s="245">
        <f t="shared" ca="1" si="24"/>
        <v>9.6</v>
      </c>
      <c r="Y417" s="245">
        <f t="shared" ca="1" si="24"/>
        <v>-1.3</v>
      </c>
      <c r="Z417" s="245">
        <f t="shared" ca="1" si="24"/>
        <v>2.5</v>
      </c>
      <c r="AA417" s="245">
        <f t="shared" ca="1" si="24"/>
        <v>-1.4000000000000001</v>
      </c>
      <c r="AB417" s="245">
        <f t="shared" ca="1" si="24"/>
        <v>2.5</v>
      </c>
      <c r="AC417" s="245">
        <f t="shared" ca="1" si="24"/>
        <v>-1.4000000000000001</v>
      </c>
      <c r="AD417" s="249">
        <f t="shared" ca="1" si="24"/>
        <v>2</v>
      </c>
      <c r="AE417" s="199"/>
      <c r="AF417" s="45"/>
      <c r="AG417" s="45"/>
      <c r="AH417" s="45"/>
      <c r="AI417" s="45"/>
      <c r="AJ417" s="190"/>
      <c r="AK417" s="1666" t="s">
        <v>230</v>
      </c>
      <c r="AL417" s="49"/>
      <c r="AM417" s="254"/>
      <c r="AN417" s="2311">
        <f>Transfer!AD246</f>
        <v>2.0189400000000002</v>
      </c>
      <c r="AO417" s="245">
        <f>100*((Transfer!AD246/Transfer!AC246)-1)</f>
        <v>-5.6645032871220362</v>
      </c>
      <c r="AP417" s="141">
        <f>Transfer!AE246</f>
        <v>2.0391294000000002</v>
      </c>
      <c r="AQ417" s="245">
        <f>100*((Transfer!AE246/Transfer!AD246)-1)</f>
        <v>1.0000000000000009</v>
      </c>
      <c r="AR417" s="141">
        <f>Transfer!AF246</f>
        <v>2.0595206940000002</v>
      </c>
      <c r="AS417" s="245">
        <f>100*((Transfer!AF246/Transfer!AE246)-1)</f>
        <v>1.0000000000000009</v>
      </c>
      <c r="AT417" s="245">
        <f>Transfer!AG246</f>
        <v>2.0801159009400001</v>
      </c>
      <c r="AU417" s="249">
        <f>100*((Transfer!AG246/Transfer!AF246)-1)</f>
        <v>1.0000000000000009</v>
      </c>
      <c r="AV417" s="199"/>
      <c r="AW417" s="54"/>
      <c r="AX417" s="54"/>
      <c r="AY417" s="54"/>
      <c r="AZ417" s="54"/>
      <c r="BA417" s="1698" t="s">
        <v>611</v>
      </c>
      <c r="BB417" s="1699"/>
      <c r="BC417" s="54"/>
    </row>
    <row r="418" spans="1:55">
      <c r="A418" s="45"/>
      <c r="B418" s="1665"/>
      <c r="C418" s="1666" t="s">
        <v>1427</v>
      </c>
      <c r="D418" s="2351"/>
      <c r="E418" s="2521" t="s">
        <v>1585</v>
      </c>
      <c r="F418" s="2377">
        <f ca="1">Transfer!D221</f>
        <v>4.2601700000000005</v>
      </c>
      <c r="G418" s="2376">
        <f ca="1">100*((Transfer!D221/Transfer!C221)-1)</f>
        <v>5.0842984176317607</v>
      </c>
      <c r="H418" s="2377">
        <f ca="1">Transfer!E221</f>
        <v>4.7713904000000014</v>
      </c>
      <c r="I418" s="2376">
        <f ca="1">100*((Transfer!E221/Transfer!D221)-1)</f>
        <v>12.000000000000011</v>
      </c>
      <c r="J418" s="2377">
        <f ca="1">Transfer!F221</f>
        <v>5.3439572480000024</v>
      </c>
      <c r="K418" s="2376">
        <f ca="1">100*((Transfer!F221/Transfer!E221)-1)</f>
        <v>12.000000000000011</v>
      </c>
      <c r="L418" s="2376">
        <f ca="1">Transfer!G221</f>
        <v>5.6645946828800025</v>
      </c>
      <c r="M418" s="2728">
        <f ca="1">100*((Transfer!G221/Transfer!F221)-1)</f>
        <v>6.0000000000000053</v>
      </c>
      <c r="N418" s="2368"/>
      <c r="O418" s="54"/>
      <c r="P418" s="54"/>
      <c r="Q418" s="54"/>
      <c r="R418" s="54"/>
      <c r="S418" s="190"/>
      <c r="T418" s="1666" t="s">
        <v>1427</v>
      </c>
      <c r="U418" s="49"/>
      <c r="V418" s="254" t="s">
        <v>1585</v>
      </c>
      <c r="W418" s="248">
        <f t="shared" ca="1" si="24"/>
        <v>-9.5</v>
      </c>
      <c r="X418" s="245">
        <f t="shared" ca="1" si="24"/>
        <v>2.8999999999999995</v>
      </c>
      <c r="Y418" s="245">
        <f t="shared" ca="1" si="24"/>
        <v>-9.3999999999999986</v>
      </c>
      <c r="Z418" s="245">
        <f t="shared" ca="1" si="24"/>
        <v>9</v>
      </c>
      <c r="AA418" s="245">
        <f t="shared" ca="1" si="24"/>
        <v>-9.6999999999999993</v>
      </c>
      <c r="AB418" s="245">
        <f t="shared" ca="1" si="24"/>
        <v>6.5</v>
      </c>
      <c r="AC418" s="245">
        <f t="shared" ca="1" si="24"/>
        <v>-10.100000000000001</v>
      </c>
      <c r="AD418" s="249">
        <f t="shared" ca="1" si="24"/>
        <v>0.5</v>
      </c>
      <c r="AE418" s="82"/>
      <c r="AF418" s="45"/>
      <c r="AG418" s="45"/>
      <c r="AH418" s="45"/>
      <c r="AI418" s="45"/>
      <c r="AJ418" s="190"/>
      <c r="AK418" s="1666" t="s">
        <v>1427</v>
      </c>
      <c r="AL418" s="49"/>
      <c r="AM418" s="254" t="s">
        <v>1585</v>
      </c>
      <c r="AN418" s="92">
        <f>Transfer!AD221</f>
        <v>13.77122</v>
      </c>
      <c r="AO418" s="91">
        <f>100*((Transfer!AD221/Transfer!AC221)-1)</f>
        <v>2.1829751681009535</v>
      </c>
      <c r="AP418" s="92">
        <f>Transfer!AE221</f>
        <v>14.184356599999999</v>
      </c>
      <c r="AQ418" s="91">
        <f>100*((Transfer!AE221/Transfer!AD221)-1)</f>
        <v>3.0000000000000027</v>
      </c>
      <c r="AR418" s="92">
        <f>Transfer!AF221</f>
        <v>14.964496212999999</v>
      </c>
      <c r="AS418" s="91">
        <f>100*((Transfer!AF221/Transfer!AE221)-1)</f>
        <v>5.4999999999999938</v>
      </c>
      <c r="AT418" s="91">
        <f>Transfer!AG221</f>
        <v>15.787543504714998</v>
      </c>
      <c r="AU418" s="243">
        <f>100*((Transfer!AG221/Transfer!AF221)-1)</f>
        <v>5.4999999999999938</v>
      </c>
      <c r="AV418" s="82"/>
      <c r="AW418" s="54"/>
      <c r="AX418" s="54"/>
      <c r="AY418" s="54"/>
      <c r="AZ418" s="54"/>
      <c r="BA418" s="1698" t="s">
        <v>938</v>
      </c>
      <c r="BB418" s="1699"/>
      <c r="BC418" s="54"/>
    </row>
    <row r="419" spans="1:55">
      <c r="A419" s="45"/>
      <c r="B419" s="1665"/>
      <c r="C419" s="1666" t="s">
        <v>231</v>
      </c>
      <c r="D419" s="2351"/>
      <c r="E419" s="2521" t="s">
        <v>1811</v>
      </c>
      <c r="F419" s="2692">
        <f ca="1">Transfer!D222</f>
        <v>0.51676999999999995</v>
      </c>
      <c r="G419" s="2453">
        <f ca="1">100*((Transfer!D222/Transfer!C222)-1)</f>
        <v>-9.1281564324400382</v>
      </c>
      <c r="H419" s="2692">
        <f ca="1">Transfer!E222</f>
        <v>0.49499999999999994</v>
      </c>
      <c r="I419" s="2453">
        <f ca="1">100*((Transfer!E222/Transfer!D222)-1)</f>
        <v>-4.212705845927589</v>
      </c>
      <c r="J419" s="2692">
        <f ca="1">Transfer!F222</f>
        <v>0.38500000000000001</v>
      </c>
      <c r="K419" s="2453">
        <f ca="1">100*((Transfer!F222/Transfer!E222)-1)</f>
        <v>-22.222222222222211</v>
      </c>
      <c r="L419" s="2453">
        <f ca="1">Transfer!G222</f>
        <v>0.40100000000000002</v>
      </c>
      <c r="M419" s="2693">
        <f ca="1">100*((Transfer!G222/Transfer!F222)-1)</f>
        <v>4.1558441558441572</v>
      </c>
      <c r="N419" s="2452"/>
      <c r="O419" s="54"/>
      <c r="P419" s="54"/>
      <c r="Q419" s="54"/>
      <c r="R419" s="54"/>
      <c r="S419" s="190"/>
      <c r="T419" s="1666" t="s">
        <v>231</v>
      </c>
      <c r="U419" s="49"/>
      <c r="V419" s="254" t="s">
        <v>1811</v>
      </c>
      <c r="W419" s="248">
        <f t="shared" ca="1" si="24"/>
        <v>-1.7000000000000002</v>
      </c>
      <c r="X419" s="245">
        <f t="shared" ca="1" si="24"/>
        <v>-24.2</v>
      </c>
      <c r="Y419" s="245">
        <f t="shared" ca="1" si="24"/>
        <v>-1.7999999999999998</v>
      </c>
      <c r="Z419" s="245">
        <f t="shared" ca="1" si="24"/>
        <v>-9.1999999999999993</v>
      </c>
      <c r="AA419" s="245">
        <f t="shared" ca="1" si="24"/>
        <v>-2</v>
      </c>
      <c r="AB419" s="245">
        <f t="shared" ca="1" si="24"/>
        <v>-26.2</v>
      </c>
      <c r="AC419" s="245">
        <f t="shared" ca="1" si="24"/>
        <v>-2.1</v>
      </c>
      <c r="AD419" s="249">
        <f t="shared" ca="1" si="24"/>
        <v>0.20000000000000018</v>
      </c>
      <c r="AE419" s="199"/>
      <c r="AF419" s="45"/>
      <c r="AG419" s="45"/>
      <c r="AH419" s="45"/>
      <c r="AI419" s="45"/>
      <c r="AJ419" s="190"/>
      <c r="AK419" s="1666" t="s">
        <v>231</v>
      </c>
      <c r="AL419" s="49"/>
      <c r="AM419" s="254" t="s">
        <v>1811</v>
      </c>
      <c r="AN419" s="141">
        <f>Transfer!AD222</f>
        <v>2.1890300000000003</v>
      </c>
      <c r="AO419" s="245">
        <f>100*((Transfer!AD222/Transfer!AC222)-1)</f>
        <v>15.138780040079759</v>
      </c>
      <c r="AP419" s="141">
        <f>Transfer!AE222</f>
        <v>2.2984815000000003</v>
      </c>
      <c r="AQ419" s="245">
        <f>100*((Transfer!AE222/Transfer!AD222)-1)</f>
        <v>5.0000000000000044</v>
      </c>
      <c r="AR419" s="141">
        <f>Transfer!AF222</f>
        <v>2.3904207600000005</v>
      </c>
      <c r="AS419" s="245">
        <f>100*((Transfer!AF222/Transfer!AE222)-1)</f>
        <v>4.0000000000000036</v>
      </c>
      <c r="AT419" s="245">
        <f>Transfer!AG222</f>
        <v>2.4860375904000005</v>
      </c>
      <c r="AU419" s="249">
        <f>100*((Transfer!AG222/Transfer!AF222)-1)</f>
        <v>4.0000000000000036</v>
      </c>
      <c r="AV419" s="199"/>
      <c r="AW419" s="54"/>
      <c r="AX419" s="54"/>
      <c r="AY419" s="54"/>
      <c r="AZ419" s="54"/>
      <c r="BA419" s="1698" t="s">
        <v>939</v>
      </c>
      <c r="BB419" s="1699"/>
      <c r="BC419" s="54"/>
    </row>
    <row r="420" spans="1:55">
      <c r="A420" s="45"/>
      <c r="B420" s="1665"/>
      <c r="C420" s="1666" t="s">
        <v>232</v>
      </c>
      <c r="D420" s="2351"/>
      <c r="E420" s="2521" t="s">
        <v>1368</v>
      </c>
      <c r="F420" s="2692">
        <f ca="1">Transfer!D223</f>
        <v>0.16243000000000002</v>
      </c>
      <c r="G420" s="2453">
        <f ca="1">100*((Transfer!D223/Transfer!C223)-1)</f>
        <v>10.069797384292212</v>
      </c>
      <c r="H420" s="2692">
        <f ca="1">Transfer!E223</f>
        <v>0.15881500000000004</v>
      </c>
      <c r="I420" s="2453">
        <f ca="1">100*((Transfer!E223/Transfer!D223)-1)</f>
        <v>-2.225574093455629</v>
      </c>
      <c r="J420" s="2692">
        <f ca="1">Transfer!F223</f>
        <v>0.16650412500000011</v>
      </c>
      <c r="K420" s="2453">
        <f ca="1">100*((Transfer!F223/Transfer!E223)-1)</f>
        <v>4.8415609356799338</v>
      </c>
      <c r="L420" s="2453">
        <f ca="1">Transfer!G223</f>
        <v>0.17460169412500015</v>
      </c>
      <c r="M420" s="2693">
        <f ca="1">100*((Transfer!G223/Transfer!F223)-1)</f>
        <v>4.8632843931043945</v>
      </c>
      <c r="N420" s="2452"/>
      <c r="O420" s="54"/>
      <c r="P420" s="54"/>
      <c r="Q420" s="54"/>
      <c r="R420" s="54"/>
      <c r="S420" s="190"/>
      <c r="T420" s="1666" t="s">
        <v>232</v>
      </c>
      <c r="U420" s="49"/>
      <c r="V420" s="254" t="s">
        <v>1368</v>
      </c>
      <c r="W420" s="248">
        <f t="shared" ca="1" si="24"/>
        <v>-0.2</v>
      </c>
      <c r="X420" s="245">
        <f t="shared" ca="1" si="24"/>
        <v>25</v>
      </c>
      <c r="Y420" s="245">
        <f t="shared" ca="1" si="24"/>
        <v>-0.39999999999999997</v>
      </c>
      <c r="Z420" s="245">
        <f t="shared" ca="1" si="24"/>
        <v>-57</v>
      </c>
      <c r="AA420" s="245">
        <f t="shared" ca="1" si="24"/>
        <v>-0.39999999999999997</v>
      </c>
      <c r="AB420" s="245">
        <f t="shared" ca="1" si="24"/>
        <v>5.3</v>
      </c>
      <c r="AC420" s="245">
        <f t="shared" ca="1" si="24"/>
        <v>-0.39999999999999997</v>
      </c>
      <c r="AD420" s="249">
        <f t="shared" ca="1" si="24"/>
        <v>5.5</v>
      </c>
      <c r="AE420" s="199"/>
      <c r="AF420" s="45"/>
      <c r="AG420" s="45"/>
      <c r="AH420" s="45"/>
      <c r="AI420" s="45"/>
      <c r="AJ420" s="190"/>
      <c r="AK420" s="1666" t="s">
        <v>232</v>
      </c>
      <c r="AL420" s="49"/>
      <c r="AM420" s="254" t="s">
        <v>1368</v>
      </c>
      <c r="AN420" s="141">
        <f>Transfer!AD223</f>
        <v>0.36032999999999998</v>
      </c>
      <c r="AO420" s="245">
        <f>100*((Transfer!AD223/Transfer!AC223)-1)</f>
        <v>-14.85787197845041</v>
      </c>
      <c r="AP420" s="141">
        <f>Transfer!AE223</f>
        <v>0.55765700000000029</v>
      </c>
      <c r="AQ420" s="245">
        <f>100*((Transfer!AE223/Transfer!AD223)-1)</f>
        <v>54.762856270640881</v>
      </c>
      <c r="AR420" s="141">
        <f>Transfer!AF223</f>
        <v>0.55513790200000024</v>
      </c>
      <c r="AS420" s="245">
        <f>100*((Transfer!AF223/Transfer!AE223)-1)</f>
        <v>-0.45172893014883142</v>
      </c>
      <c r="AT420" s="245">
        <f>Transfer!AG223</f>
        <v>0.55201687874000038</v>
      </c>
      <c r="AU420" s="249">
        <f>100*((Transfer!AG223/Transfer!AF223)-1)</f>
        <v>-0.56220684063468251</v>
      </c>
      <c r="AV420" s="199"/>
      <c r="AW420" s="54"/>
      <c r="AX420" s="54"/>
      <c r="AY420" s="54"/>
      <c r="AZ420" s="54"/>
      <c r="BA420" s="1698" t="s">
        <v>940</v>
      </c>
      <c r="BB420" s="1699"/>
      <c r="BC420" s="54"/>
    </row>
    <row r="421" spans="1:55">
      <c r="A421" s="45"/>
      <c r="B421" s="1665"/>
      <c r="C421" s="1666" t="s">
        <v>233</v>
      </c>
      <c r="D421" s="2351"/>
      <c r="E421" s="2521"/>
      <c r="F421" s="2377">
        <f ca="1">Transfer!D224</f>
        <v>0.64744000000000002</v>
      </c>
      <c r="G421" s="2376">
        <f ca="1">100*((Transfer!D224/Transfer!C224)-1)</f>
        <v>16.041151378284368</v>
      </c>
      <c r="H421" s="2377">
        <f ca="1">Transfer!E224</f>
        <v>0.67974880000000004</v>
      </c>
      <c r="I421" s="2376">
        <f ca="1">100*((Transfer!E224/Transfer!D224)-1)</f>
        <v>4.9902384776967734</v>
      </c>
      <c r="J421" s="2377">
        <f ca="1">Transfer!F224</f>
        <v>0.71029792600000008</v>
      </c>
      <c r="K421" s="2376">
        <f ca="1">100*((Transfer!F224/Transfer!E224)-1)</f>
        <v>4.4941787319080273</v>
      </c>
      <c r="L421" s="2376">
        <f ca="1">Transfer!G224</f>
        <v>0.7457470892200001</v>
      </c>
      <c r="M421" s="2728">
        <f ca="1">100*((Transfer!G224/Transfer!F224)-1)</f>
        <v>4.9907457029517044</v>
      </c>
      <c r="N421" s="2368"/>
      <c r="O421" s="54"/>
      <c r="P421" s="54"/>
      <c r="Q421" s="54"/>
      <c r="R421" s="54"/>
      <c r="S421" s="190"/>
      <c r="T421" s="1666" t="s">
        <v>233</v>
      </c>
      <c r="U421" s="49"/>
      <c r="V421" s="254"/>
      <c r="W421" s="248">
        <f t="shared" ca="1" si="24"/>
        <v>-0.9</v>
      </c>
      <c r="X421" s="245">
        <f t="shared" ca="1" si="24"/>
        <v>22.7</v>
      </c>
      <c r="Y421" s="245">
        <f t="shared" ca="1" si="24"/>
        <v>-0.90000000000000013</v>
      </c>
      <c r="Z421" s="245">
        <f t="shared" ca="1" si="24"/>
        <v>1</v>
      </c>
      <c r="AA421" s="245">
        <f t="shared" ca="1" si="24"/>
        <v>-0.90000000000000013</v>
      </c>
      <c r="AB421" s="245">
        <f t="shared" ca="1" si="24"/>
        <v>0.5</v>
      </c>
      <c r="AC421" s="245">
        <f t="shared" ca="1" si="24"/>
        <v>-1</v>
      </c>
      <c r="AD421" s="249">
        <f t="shared" ca="1" si="24"/>
        <v>1</v>
      </c>
      <c r="AE421" s="82"/>
      <c r="AF421" s="45"/>
      <c r="AG421" s="45"/>
      <c r="AH421" s="45"/>
      <c r="AI421" s="45"/>
      <c r="AJ421" s="190"/>
      <c r="AK421" s="1666" t="s">
        <v>233</v>
      </c>
      <c r="AL421" s="49"/>
      <c r="AM421" s="254"/>
      <c r="AN421" s="92">
        <f>Transfer!AD224</f>
        <v>1.5192899999999998</v>
      </c>
      <c r="AO421" s="91">
        <f>100*((Transfer!AD224/Transfer!AC224)-1)</f>
        <v>-6.7222092609192208</v>
      </c>
      <c r="AP421" s="92">
        <f>Transfer!AE224</f>
        <v>1.5803364</v>
      </c>
      <c r="AQ421" s="91">
        <f>100*((Transfer!AE224/Transfer!AD224)-1)</f>
        <v>4.0180873960863339</v>
      </c>
      <c r="AR421" s="92">
        <f>Transfer!AF224</f>
        <v>1.6438448147</v>
      </c>
      <c r="AS421" s="91">
        <f>100*((Transfer!AF224/Transfer!AE224)-1)</f>
        <v>4.0186642983101484</v>
      </c>
      <c r="AT421" s="91">
        <f>Transfer!AG224</f>
        <v>1.7099114200794501</v>
      </c>
      <c r="AU421" s="243">
        <f>100*((Transfer!AG224/Transfer!AF224)-1)</f>
        <v>4.0190293383324693</v>
      </c>
      <c r="AV421" s="82"/>
      <c r="AW421" s="54"/>
      <c r="AX421" s="54"/>
      <c r="AY421" s="54"/>
      <c r="AZ421" s="54"/>
      <c r="BA421" s="1698" t="s">
        <v>941</v>
      </c>
      <c r="BB421" s="1699"/>
      <c r="BC421" s="54"/>
    </row>
    <row r="422" spans="1:55">
      <c r="A422" s="45"/>
      <c r="B422" s="1665"/>
      <c r="C422" s="1666" t="s">
        <v>234</v>
      </c>
      <c r="D422" s="2351"/>
      <c r="E422" s="2521"/>
      <c r="F422" s="2692">
        <f ca="1">SUM(Transfer!D220,Transfer!D221,Transfer!D222,Transfer!D223,Transfer!D224,Transfer!D245,Transfer!D246)</f>
        <v>11.87828</v>
      </c>
      <c r="G422" s="2453">
        <f ca="1">100*(((SUM(Transfer!D220,Transfer!D221,Transfer!D222,Transfer!D223,Transfer!D224,Transfer!D245,Transfer!D246))/(SUM(Transfer!C220,Transfer!C221,Transfer!C222,Transfer!C223,Transfer!C224,Transfer!C245,Transfer!C246)))-1)</f>
        <v>4.0171495524338185</v>
      </c>
      <c r="H422" s="2692">
        <f ca="1">SUM(Transfer!E220,Transfer!E221,Transfer!E222,Transfer!E223,Transfer!E224,Transfer!E245,Transfer!E246)</f>
        <v>12.647513900000002</v>
      </c>
      <c r="I422" s="2453">
        <f ca="1">100*(((SUM(Transfer!E220,Transfer!E221,Transfer!E222,Transfer!E223,Transfer!E224,Transfer!E245,Transfer!E246))/(SUM(Transfer!D220,Transfer!D221,Transfer!D222,Transfer!D223,Transfer!D224,Transfer!D245,Transfer!D246)))-1)</f>
        <v>6.4759704266947882</v>
      </c>
      <c r="J422" s="2692">
        <f ca="1">SUM(Transfer!F220,Transfer!F221,Transfer!F222,Transfer!F223,Transfer!F224,Transfer!F245,Transfer!F246)</f>
        <v>13.511347627588002</v>
      </c>
      <c r="K422" s="2453">
        <f ca="1">100*(((SUM(Transfer!F220,Transfer!F221,Transfer!F222,Transfer!F223,Transfer!F224,Transfer!F245,Transfer!F246))/(SUM(Transfer!E220,Transfer!E221,Transfer!E222,Transfer!E223,Transfer!E224,Transfer!E245,Transfer!E246)))-1)</f>
        <v>6.8300674299950792</v>
      </c>
      <c r="L422" s="2453">
        <f ca="1">SUM(Transfer!G220,Transfer!G221,Transfer!G222,Transfer!G223,Transfer!G224,Transfer!G245,Transfer!G246)</f>
        <v>14.244103491419231</v>
      </c>
      <c r="M422" s="2693">
        <f ca="1">100*(((SUM(Transfer!G220,Transfer!G221,Transfer!G222,Transfer!G223,Transfer!G224,Transfer!G245,Transfer!G246))/(SUM(Transfer!F220,Transfer!F221,Transfer!F222,Transfer!F223,Transfer!F224,Transfer!F245,Transfer!F246)))-1)</f>
        <v>5.4232626087945546</v>
      </c>
      <c r="N422" s="2452"/>
      <c r="O422" s="54"/>
      <c r="P422" s="54"/>
      <c r="Q422" s="54"/>
      <c r="R422" s="54"/>
      <c r="S422" s="190"/>
      <c r="T422" s="1666" t="s">
        <v>234</v>
      </c>
      <c r="U422" s="49"/>
      <c r="V422" s="384"/>
      <c r="W422" s="429">
        <f t="shared" ca="1" si="24"/>
        <v>-24.9</v>
      </c>
      <c r="X422" s="428">
        <f t="shared" ca="1" si="24"/>
        <v>2.2999999999999998</v>
      </c>
      <c r="Y422" s="428">
        <f t="shared" ca="1" si="24"/>
        <v>-25.5</v>
      </c>
      <c r="Z422" s="428">
        <f t="shared" ca="1" si="24"/>
        <v>3</v>
      </c>
      <c r="AA422" s="428">
        <f t="shared" ca="1" si="24"/>
        <v>-26.200000000000003</v>
      </c>
      <c r="AB422" s="428">
        <f t="shared" ca="1" si="24"/>
        <v>2.5999999999999996</v>
      </c>
      <c r="AC422" s="428">
        <f t="shared" ca="1" si="24"/>
        <v>-27.099999999999998</v>
      </c>
      <c r="AD422" s="431">
        <f t="shared" ca="1" si="24"/>
        <v>1.2000000000000002</v>
      </c>
      <c r="AE422" s="199"/>
      <c r="AF422" s="45"/>
      <c r="AG422" s="45"/>
      <c r="AH422" s="45"/>
      <c r="AI422" s="45"/>
      <c r="AJ422" s="190"/>
      <c r="AK422" s="1666" t="s">
        <v>234</v>
      </c>
      <c r="AL422" s="49"/>
      <c r="AM422" s="254"/>
      <c r="AN422" s="141">
        <f>SUM(Transfer!AD220,Transfer!AD221,Transfer!AD222,Transfer!AD223,Transfer!AD224,Transfer!AD245,Transfer!AD246)</f>
        <v>36.775359999999999</v>
      </c>
      <c r="AO422" s="245">
        <f>100*(((SUM(Transfer!AD220,Transfer!AD221,Transfer!AD222,Transfer!AD223,Transfer!AD224,Transfer!AD245,Transfer!AD246))/(SUM(Transfer!AC220,Transfer!AC221,Transfer!AC222,Transfer!AC223,Transfer!AC224,Transfer!AC245,Transfer!AC246)))-1)</f>
        <v>1.7092799717235652</v>
      </c>
      <c r="AP422" s="141">
        <f>SUM(Transfer!AE220,Transfer!AE221,Transfer!AE222,Transfer!AE223,Transfer!AE224,Transfer!AE245,Transfer!AE246)</f>
        <v>38.072915891099996</v>
      </c>
      <c r="AQ422" s="245">
        <f>100*(((SUM(Transfer!AE220,Transfer!AE221,Transfer!AE222,Transfer!AE223,Transfer!AE224,Transfer!AE245,Transfer!AE246))/(SUM(Transfer!AD220,Transfer!AD221,Transfer!AD222,Transfer!AD223,Transfer!AD224,Transfer!AD245,Transfer!AD246)))-1)</f>
        <v>3.5283295421173255</v>
      </c>
      <c r="AR422" s="141">
        <f>SUM(Transfer!AF220,Transfer!AF221,Transfer!AF222,Transfer!AF223,Transfer!AF224,Transfer!AF245,Transfer!AF246)</f>
        <v>39.661712472989798</v>
      </c>
      <c r="AS422" s="245">
        <f>100*(((SUM(Transfer!AF220,Transfer!AF221,Transfer!AF222,Transfer!AF223,Transfer!AF224,Transfer!AF245,Transfer!AF246))/(SUM(Transfer!AE220,Transfer!AE221,Transfer!AE222,Transfer!AE223,Transfer!AE224,Transfer!AE245,Transfer!AE246)))-1)</f>
        <v>4.1730362508462404</v>
      </c>
      <c r="AT422" s="245">
        <f>SUM(Transfer!AG220,Transfer!AG221,Transfer!AG222,Transfer!AG223,Transfer!AG224,Transfer!AG245,Transfer!AG246)</f>
        <v>41.321202924833742</v>
      </c>
      <c r="AU422" s="249">
        <f>100*(((SUM(Transfer!AG220,Transfer!AG221,Transfer!AG222,Transfer!AG223,Transfer!AG224,Transfer!AG245,Transfer!AG246))/(SUM(Transfer!AF220,Transfer!AF221,Transfer!AF222,Transfer!AF223,Transfer!AF224,Transfer!AF245,Transfer!AF246)))-1)</f>
        <v>4.1841119517319836</v>
      </c>
      <c r="AV422" s="199"/>
      <c r="AW422" s="54"/>
      <c r="AX422" s="54"/>
      <c r="AY422" s="54"/>
      <c r="AZ422" s="54"/>
      <c r="BA422" s="1698" t="s">
        <v>612</v>
      </c>
      <c r="BB422" s="1699"/>
      <c r="BC422" s="54"/>
    </row>
    <row r="423" spans="1:55">
      <c r="A423" s="45"/>
      <c r="B423" s="1665"/>
      <c r="C423" s="2384" t="s">
        <v>1200</v>
      </c>
      <c r="D423" s="2343"/>
      <c r="E423" s="2645" t="s">
        <v>1603</v>
      </c>
      <c r="F423" s="2450">
        <f ca="1">SUM(Transfer!D213,Transfer!D214,Transfer!D215,Transfer!D217,Transfer!D243)-SUM(Transfer!D220,Transfer!D221,Transfer!D222,Transfer!D223,Transfer!D224,Transfer!D245,Transfer!D246)</f>
        <v>1.1381400000000035</v>
      </c>
      <c r="G423" s="2729">
        <f ca="1">100*((SUM(Transfer!D213,Transfer!D214,Transfer!D215,Transfer!D217,Transfer!D243)-SUM(Transfer!D220,Transfer!D221,Transfer!D222,Transfer!D223,Transfer!D224,Transfer!D245,Transfer!D246))/(SUM(Transfer!C213,Transfer!C214,Transfer!C215,Transfer!C217,Transfer!C243)-SUM(Transfer!C220,Transfer!C221,Transfer!C222,Transfer!C223,Transfer!C224,Transfer!C245,Transfer!C246))-1)</f>
        <v>33.079990178080784</v>
      </c>
      <c r="H423" s="3340">
        <f ca="1">SUM(Transfer!E213,Transfer!E214,Transfer!E215,Transfer!E217,Transfer!E243)-SUM(Transfer!E220,Transfer!E221,Transfer!E222,Transfer!E223,Transfer!E224,Transfer!E245,Transfer!E246)</f>
        <v>1.5677643227806328</v>
      </c>
      <c r="I423" s="2729">
        <f ca="1">100*((SUM(Transfer!E213,Transfer!E214,Transfer!E215,Transfer!E217,Transfer!E243)-SUM(Transfer!E220,Transfer!E221,Transfer!E222,Transfer!E223,Transfer!E224,Transfer!E245,Transfer!E246))/(SUM(Transfer!D213,Transfer!D214,Transfer!D215,Transfer!D217,Transfer!D243)-SUM(Transfer!D220,Transfer!D221,Transfer!D222,Transfer!D223,Transfer!D224,Transfer!D245,Transfer!D246))-1)</f>
        <v>37.747932836085909</v>
      </c>
      <c r="J423" s="2450">
        <f ca="1">SUM(Transfer!F213,Transfer!F214,Transfer!F215,Transfer!F217,Transfer!F243)-SUM(Transfer!F220,Transfer!F221,Transfer!F222,Transfer!F223,Transfer!F224,Transfer!F245,Transfer!F246)</f>
        <v>1.5498925334781468</v>
      </c>
      <c r="K423" s="2729">
        <f ca="1">100*((SUM(Transfer!F213,Transfer!F214,Transfer!F215,Transfer!F217,Transfer!F243)-SUM(Transfer!F220,Transfer!F221,Transfer!F222,Transfer!F223,Transfer!F224,Transfer!F245,Transfer!F246))/(SUM(Transfer!E213,Transfer!E214,Transfer!E215,Transfer!E217,Transfer!E243)-SUM(Transfer!E220,Transfer!E221,Transfer!E222,Transfer!E223,Transfer!E224,Transfer!E245,Transfer!E246))-1)</f>
        <v>-1.1399538210429494</v>
      </c>
      <c r="L423" s="2450">
        <f ca="1">SUM(Transfer!G213,Transfer!G214,Transfer!G215,Transfer!G217,Transfer!G243)-SUM(Transfer!G220,Transfer!G221,Transfer!G222,Transfer!G223,Transfer!G224,Transfer!G245,Transfer!G246)</f>
        <v>1.656703612935063</v>
      </c>
      <c r="M423" s="2730">
        <f ca="1">100*((SUM(Transfer!G213,Transfer!G214,Transfer!G215,Transfer!G217,Transfer!G243)-SUM(Transfer!G220,Transfer!G221,Transfer!G222,Transfer!G223,Transfer!G224,Transfer!G245,Transfer!G246))/(SUM(Transfer!F213,Transfer!F214,Transfer!F215,Transfer!F217,Transfer!F243)-SUM(Transfer!F220,Transfer!F221,Transfer!F222,Transfer!F223,Transfer!F224,Transfer!F245,Transfer!F246))-1)</f>
        <v>6.8915151953935272</v>
      </c>
      <c r="N423" s="2731"/>
      <c r="O423" s="54"/>
      <c r="P423" s="54"/>
      <c r="Q423" s="54"/>
      <c r="R423" s="54"/>
      <c r="S423" s="190"/>
      <c r="T423" s="2384" t="s">
        <v>1200</v>
      </c>
      <c r="U423" s="100"/>
      <c r="V423" s="2321" t="s">
        <v>1603</v>
      </c>
      <c r="W423" s="2019">
        <f t="shared" ref="W423:AD427" ca="1" si="25">ROUND(F423,1)-ROUND(AN423,1)</f>
        <v>2.9000000000000004</v>
      </c>
      <c r="X423" s="2020">
        <f t="shared" ca="1" si="25"/>
        <v>74.800000000000011</v>
      </c>
      <c r="Y423" s="2020">
        <f t="shared" ca="1" si="25"/>
        <v>3</v>
      </c>
      <c r="Z423" s="2020">
        <f t="shared" ca="1" si="25"/>
        <v>62.2</v>
      </c>
      <c r="AA423" s="2020">
        <f t="shared" ca="1" si="25"/>
        <v>2.7</v>
      </c>
      <c r="AB423" s="2020">
        <f t="shared" ca="1" si="25"/>
        <v>10</v>
      </c>
      <c r="AC423" s="2020">
        <f t="shared" ca="1" si="25"/>
        <v>2.4</v>
      </c>
      <c r="AD423" s="2338">
        <f t="shared" ca="1" si="25"/>
        <v>48.6</v>
      </c>
      <c r="AE423" s="468"/>
      <c r="AF423" s="45"/>
      <c r="AG423" s="45"/>
      <c r="AH423" s="45"/>
      <c r="AI423" s="45"/>
      <c r="AJ423" s="190"/>
      <c r="AK423" s="2384" t="s">
        <v>1200</v>
      </c>
      <c r="AL423" s="100"/>
      <c r="AM423" s="2321" t="s">
        <v>1603</v>
      </c>
      <c r="AN423" s="2020">
        <f>SUM(Transfer!AD213,Transfer!AD214,Transfer!AD215,Transfer!AD217,Transfer!AD243)-SUM(Transfer!AD220,Transfer!AD221,Transfer!AD222,Transfer!AD223,Transfer!AD224,Transfer!AD245,Transfer!AD246)</f>
        <v>-1.8067199999999985</v>
      </c>
      <c r="AO423" s="2334">
        <f>100*((SUM(Transfer!AD213,Transfer!AD214,Transfer!AD215,Transfer!AD217,Transfer!AD243)-SUM(Transfer!AD220,Transfer!AD221,Transfer!AD222,Transfer!AD223,Transfer!AD224,Transfer!AD245,Transfer!AD246))/(SUM(Transfer!AC213,Transfer!AC214,Transfer!AC215,Transfer!AC217,Transfer!AC243)-SUM(Transfer!AC220,Transfer!AC221,Transfer!AC222,Transfer!AC223,Transfer!AC224,Transfer!AC245,Transfer!AC246))-1)</f>
        <v>-41.703477360213526</v>
      </c>
      <c r="AP423" s="2020">
        <f>SUM(Transfer!AE213,Transfer!AE214,Transfer!AE215,Transfer!AE217,Transfer!AE243)-SUM(Transfer!AE220,Transfer!AE221,Transfer!AE222,Transfer!AE223,Transfer!AE224,Transfer!AE245,Transfer!AE246)</f>
        <v>-1.3635370410999954</v>
      </c>
      <c r="AQ423" s="2334">
        <f>100*((SUM(Transfer!AE213,Transfer!AE214,Transfer!AE215,Transfer!AE217,Transfer!AE243)-SUM(Transfer!AE220,Transfer!AE221,Transfer!AE222,Transfer!AE223,Transfer!AE224,Transfer!AE245,Transfer!AE246))/(SUM(Transfer!AD213,Transfer!AD214,Transfer!AD215,Transfer!AD217,Transfer!AD243)-SUM(Transfer!AD220,Transfer!AD221,Transfer!AD222,Transfer!AD223,Transfer!AD224,Transfer!AD245,Transfer!AD246))-1)</f>
        <v>-24.529697955411102</v>
      </c>
      <c r="AR423" s="2020">
        <f>SUM(Transfer!AF213,Transfer!AF214,Transfer!AF215,Transfer!AF217,Transfer!AF243)-SUM(Transfer!AF220,Transfer!AF221,Transfer!AF222,Transfer!AF223,Transfer!AF224,Transfer!AF245,Transfer!AF246)</f>
        <v>-1.2123237926398005</v>
      </c>
      <c r="AS423" s="2334">
        <f>100*((SUM(Transfer!AF213,Transfer!AF214,Transfer!AF215,Transfer!AF217,Transfer!AF243)-SUM(Transfer!AF220,Transfer!AF221,Transfer!AF222,Transfer!AF223,Transfer!AF224,Transfer!AF245,Transfer!AF246))/(SUM(Transfer!AE213,Transfer!AE214,Transfer!AE215,Transfer!AE217,Transfer!AE243)-SUM(Transfer!AE220,Transfer!AE221,Transfer!AE222,Transfer!AE223,Transfer!AE224,Transfer!AE245,Transfer!AE246))-1)</f>
        <v>-11.089779294752988</v>
      </c>
      <c r="AT423" s="2020">
        <f>SUM(Transfer!AG213,Transfer!AG214,Transfer!AG215,Transfer!AG217,Transfer!AG243)-SUM(Transfer!AG220,Transfer!AG221,Transfer!AG222,Transfer!AG223,Transfer!AG224,Transfer!AG245,Transfer!AG246)</f>
        <v>-0.70648621924903665</v>
      </c>
      <c r="AU423" s="2335">
        <f>100*((SUM(Transfer!AG213,Transfer!AG214,Transfer!AG215,Transfer!AG217,Transfer!AG243)-SUM(Transfer!AG220,Transfer!AG221,Transfer!AG222,Transfer!AG223,Transfer!AG224,Transfer!AG245,Transfer!AG246))/(SUM(Transfer!AF213,Transfer!AF214,Transfer!AF215,Transfer!AF217,Transfer!AF243)-SUM(Transfer!AF220,Transfer!AF221,Transfer!AF222,Transfer!AF223,Transfer!AF224,Transfer!AF245,Transfer!AF246))-1)</f>
        <v>-41.724626412661337</v>
      </c>
      <c r="AV423" s="468"/>
      <c r="AW423" s="54"/>
      <c r="AX423" s="54"/>
      <c r="AY423" s="54"/>
      <c r="AZ423" s="54"/>
      <c r="BA423" s="1700" t="s">
        <v>125</v>
      </c>
      <c r="BB423" s="1699"/>
      <c r="BC423" s="54"/>
    </row>
    <row r="424" spans="1:55">
      <c r="A424" s="45"/>
      <c r="B424" s="1665"/>
      <c r="C424" s="2463" t="s">
        <v>1459</v>
      </c>
      <c r="D424" s="2464"/>
      <c r="E424" s="2537"/>
      <c r="F424" s="2458">
        <f ca="1">100*(SUM(Transfer!D213,Transfer!D214,Transfer!D215,Transfer!D217,Transfer!D243)-SUM(Transfer!D220,Transfer!D221,Transfer!D222,Transfer!D223,Transfer!D224,Transfer!D245,Transfer!D246))/Transfer!D147</f>
        <v>2.9433396640971301</v>
      </c>
      <c r="G424" s="2458"/>
      <c r="H424" s="2732">
        <f ca="1">100*(SUM(Transfer!E213,Transfer!E214,Transfer!E215,Transfer!E217,Transfer!E243)-SUM(Transfer!E220,Transfer!E221,Transfer!E222,Transfer!E223,Transfer!E224,Transfer!E245,Transfer!E246))/Transfer!E147</f>
        <v>3.7524641558118375</v>
      </c>
      <c r="I424" s="2732"/>
      <c r="J424" s="2732">
        <f ca="1">100*(SUM(Transfer!F213,Transfer!F214,Transfer!F215,Transfer!F217,Transfer!F243)-SUM(Transfer!F220,Transfer!F221,Transfer!F222,Transfer!F223,Transfer!F224,Transfer!F245,Transfer!F246))/Transfer!F147</f>
        <v>3.5056274630868511</v>
      </c>
      <c r="K424" s="2732"/>
      <c r="L424" s="2732">
        <f ca="1">100*(SUM(Transfer!G213,Transfer!G214,Transfer!G215,Transfer!G217,Transfer!G243)-SUM(Transfer!G220,Transfer!G221,Transfer!G222,Transfer!G223,Transfer!G224,Transfer!G245,Transfer!G246))/Transfer!G147</f>
        <v>3.5493502941941713</v>
      </c>
      <c r="M424" s="2733"/>
      <c r="N424" s="2731"/>
      <c r="O424" s="54"/>
      <c r="P424" s="54"/>
      <c r="Q424" s="54"/>
      <c r="R424" s="54"/>
      <c r="S424" s="190"/>
      <c r="T424" s="2463" t="s">
        <v>1459</v>
      </c>
      <c r="U424" s="1704"/>
      <c r="V424" s="384"/>
      <c r="W424" s="429">
        <f t="shared" ca="1" si="25"/>
        <v>4.5</v>
      </c>
      <c r="X424" s="428">
        <f t="shared" si="25"/>
        <v>0</v>
      </c>
      <c r="Y424" s="428">
        <f t="shared" ca="1" si="25"/>
        <v>4.9000000000000004</v>
      </c>
      <c r="Z424" s="428">
        <f t="shared" si="25"/>
        <v>0</v>
      </c>
      <c r="AA424" s="428">
        <f t="shared" ca="1" si="25"/>
        <v>4.5</v>
      </c>
      <c r="AB424" s="428">
        <f t="shared" si="25"/>
        <v>0</v>
      </c>
      <c r="AC424" s="428">
        <f t="shared" ca="1" si="25"/>
        <v>4</v>
      </c>
      <c r="AD424" s="431">
        <f t="shared" si="25"/>
        <v>0</v>
      </c>
      <c r="AE424" s="468"/>
      <c r="AF424" s="45"/>
      <c r="AG424" s="45"/>
      <c r="AH424" s="45"/>
      <c r="AI424" s="45"/>
      <c r="AJ424" s="190"/>
      <c r="AK424" s="2463" t="s">
        <v>1459</v>
      </c>
      <c r="AL424" s="1704"/>
      <c r="AM424" s="433"/>
      <c r="AN424" s="443">
        <f>100*(SUM(Transfer!AD213,Transfer!AD214,Transfer!AD215,Transfer!AD217,Transfer!AD243)-SUM(Transfer!AD220,Transfer!AD221,Transfer!AD222,Transfer!AD223,Transfer!AD224,Transfer!AD245,Transfer!AD246))/Transfer!AD147</f>
        <v>-1.5885389419412004</v>
      </c>
      <c r="AO424" s="443"/>
      <c r="AP424" s="2336">
        <f>100*(SUM(Transfer!AE213,Transfer!AE214,Transfer!AE215,Transfer!AE217,Transfer!AE243)-SUM(Transfer!AE220,Transfer!AE221,Transfer!AE222,Transfer!AE223,Transfer!AE224,Transfer!AE245,Transfer!AE246))/Transfer!AE147</f>
        <v>-1.1359044862048029</v>
      </c>
      <c r="AQ424" s="2336"/>
      <c r="AR424" s="2336">
        <f>100*(SUM(Transfer!AF213,Transfer!AF214,Transfer!AF215,Transfer!AF217,Transfer!AF243)-SUM(Transfer!AF220,Transfer!AF221,Transfer!AF222,Transfer!AF223,Transfer!AF224,Transfer!AF245,Transfer!AF246))/Transfer!AF147</f>
        <v>-0.95135403608998537</v>
      </c>
      <c r="AS424" s="2336"/>
      <c r="AT424" s="2336">
        <f>100*(SUM(Transfer!AG213,Transfer!AG214,Transfer!AG215,Transfer!AG217,Transfer!AG243)-SUM(Transfer!AG220,Transfer!AG221,Transfer!AG222,Transfer!AG223,Transfer!AG224,Transfer!AG245,Transfer!AG246))/Transfer!AG147</f>
        <v>-0.51909404467521802</v>
      </c>
      <c r="AU424" s="2337"/>
      <c r="AV424" s="468"/>
      <c r="AW424" s="54"/>
      <c r="AX424" s="54"/>
      <c r="AY424" s="54"/>
      <c r="AZ424" s="54"/>
      <c r="BA424" s="1700" t="s">
        <v>303</v>
      </c>
      <c r="BB424" s="1699"/>
      <c r="BC424" s="54"/>
    </row>
    <row r="425" spans="1:55">
      <c r="A425" s="45"/>
      <c r="B425" s="1665"/>
      <c r="C425" s="2384" t="s">
        <v>1456</v>
      </c>
      <c r="D425" s="2343"/>
      <c r="E425" s="2645" t="s">
        <v>1369</v>
      </c>
      <c r="F425" s="2726">
        <f ca="1">Transfer!D225</f>
        <v>0.31355</v>
      </c>
      <c r="G425" s="2450">
        <f ca="1">100*((Transfer!D225/Transfer!C225)-1)</f>
        <v>-54.643425430348614</v>
      </c>
      <c r="H425" s="2726">
        <f ca="1">Transfer!E225</f>
        <v>0.30702419999999997</v>
      </c>
      <c r="I425" s="2734">
        <f ca="1">100*((Transfer!E225/Transfer!D225)-1)</f>
        <v>-2.0812629564662788</v>
      </c>
      <c r="J425" s="2726">
        <f ca="1">Transfer!F225</f>
        <v>0.35818647199999992</v>
      </c>
      <c r="K425" s="2734">
        <f ca="1">100*((Transfer!F225/Transfer!E225)-1)</f>
        <v>16.663921606179557</v>
      </c>
      <c r="L425" s="2450">
        <f ca="1">Transfer!G225</f>
        <v>0.36560500143999991</v>
      </c>
      <c r="M425" s="2735">
        <f ca="1">100*((Transfer!G225/Transfer!F225)-1)</f>
        <v>2.0711361315733923</v>
      </c>
      <c r="N425" s="2731"/>
      <c r="O425" s="54"/>
      <c r="P425" s="54"/>
      <c r="Q425" s="54"/>
      <c r="R425" s="54"/>
      <c r="S425" s="190"/>
      <c r="T425" s="2384" t="s">
        <v>1456</v>
      </c>
      <c r="U425" s="100"/>
      <c r="V425" s="2321" t="s">
        <v>1369</v>
      </c>
      <c r="W425" s="2019">
        <f t="shared" ca="1" si="25"/>
        <v>-1.9000000000000001</v>
      </c>
      <c r="X425" s="2020">
        <f t="shared" ca="1" si="25"/>
        <v>-47.7</v>
      </c>
      <c r="Y425" s="2020">
        <f t="shared" ca="1" si="25"/>
        <v>-1.9999999999999998</v>
      </c>
      <c r="Z425" s="2020">
        <f t="shared" ca="1" si="25"/>
        <v>-6.1999999999999993</v>
      </c>
      <c r="AA425" s="2020">
        <f t="shared" ca="1" si="25"/>
        <v>-2</v>
      </c>
      <c r="AB425" s="2020">
        <f t="shared" ca="1" si="25"/>
        <v>14.7</v>
      </c>
      <c r="AC425" s="2020">
        <f t="shared" ca="1" si="25"/>
        <v>-2</v>
      </c>
      <c r="AD425" s="2338">
        <f t="shared" ca="1" si="25"/>
        <v>0.10000000000000009</v>
      </c>
      <c r="AE425" s="468"/>
      <c r="AF425" s="45"/>
      <c r="AG425" s="45"/>
      <c r="AH425" s="45"/>
      <c r="AI425" s="45"/>
      <c r="AJ425" s="190"/>
      <c r="AK425" s="2384" t="s">
        <v>1456</v>
      </c>
      <c r="AL425" s="100"/>
      <c r="AM425" s="2321" t="s">
        <v>1369</v>
      </c>
      <c r="AN425" s="2309">
        <f>Transfer!AD225</f>
        <v>2.2450199999999998</v>
      </c>
      <c r="AO425" s="2020">
        <f>100*((Transfer!AD225/Transfer!AC225)-1)</f>
        <v>-6.8522137442587061</v>
      </c>
      <c r="AP425" s="2309">
        <f>Transfer!AE225</f>
        <v>2.3366051999999997</v>
      </c>
      <c r="AQ425" s="2324">
        <f>100*((Transfer!AE225/Transfer!AD225)-1)</f>
        <v>4.0794825881283803</v>
      </c>
      <c r="AR425" s="2309">
        <f>Transfer!AF225</f>
        <v>2.3842295039999999</v>
      </c>
      <c r="AS425" s="2324">
        <f>100*((Transfer!AF225/Transfer!AE225)-1)</f>
        <v>2.038183600721255</v>
      </c>
      <c r="AT425" s="2020">
        <f>Transfer!AG225</f>
        <v>2.4328062940799997</v>
      </c>
      <c r="AU425" s="2325">
        <f>100*((Transfer!AG225/Transfer!AF225)-1)</f>
        <v>2.0374208941925653</v>
      </c>
      <c r="AV425" s="468"/>
      <c r="AW425" s="54"/>
      <c r="AX425" s="54"/>
      <c r="AY425" s="54"/>
      <c r="AZ425" s="54"/>
      <c r="BA425" s="1698" t="s">
        <v>1370</v>
      </c>
      <c r="BB425" s="1699"/>
      <c r="BC425" s="54"/>
    </row>
    <row r="426" spans="1:55">
      <c r="A426" s="45"/>
      <c r="B426" s="1665"/>
      <c r="C426" s="1666" t="s">
        <v>1457</v>
      </c>
      <c r="D426" s="2351"/>
      <c r="E426" s="2521" t="s">
        <v>1836</v>
      </c>
      <c r="F426" s="2692">
        <f ca="1">Transfer!D226</f>
        <v>1.1535899999999999</v>
      </c>
      <c r="G426" s="2453">
        <f ca="1">100*((Transfer!D226/Transfer!C226)-1)</f>
        <v>-16.072636794203021</v>
      </c>
      <c r="H426" s="2692">
        <f ca="1">Transfer!E226</f>
        <v>1.2369138056999998</v>
      </c>
      <c r="I426" s="2453">
        <f ca="1">100*((Transfer!E226/Transfer!D226)-1)</f>
        <v>7.2229999999999794</v>
      </c>
      <c r="J426" s="2692">
        <f ca="1">Transfer!F226</f>
        <v>1.3547941652108211</v>
      </c>
      <c r="K426" s="2453">
        <f ca="1">100*((Transfer!F226/Transfer!E226)-1)</f>
        <v>9.5302000000000007</v>
      </c>
      <c r="L426" s="2453">
        <f ca="1">Transfer!G226</f>
        <v>1.4582326997246671</v>
      </c>
      <c r="M426" s="2454">
        <f ca="1">100*((Transfer!G226/Transfer!F226)-1)</f>
        <v>7.6349999999999918</v>
      </c>
      <c r="N426" s="2452"/>
      <c r="O426" s="54"/>
      <c r="P426" s="54"/>
      <c r="Q426" s="54"/>
      <c r="R426" s="54"/>
      <c r="S426" s="190"/>
      <c r="T426" s="1666" t="s">
        <v>1457</v>
      </c>
      <c r="U426" s="49"/>
      <c r="V426" s="254" t="s">
        <v>1836</v>
      </c>
      <c r="W426" s="248">
        <f t="shared" ca="1" si="25"/>
        <v>-3</v>
      </c>
      <c r="X426" s="245">
        <f t="shared" ca="1" si="25"/>
        <v>-5.7000000000000011</v>
      </c>
      <c r="Y426" s="245">
        <f t="shared" ca="1" si="25"/>
        <v>-3</v>
      </c>
      <c r="Z426" s="245">
        <f t="shared" ca="1" si="25"/>
        <v>5.5</v>
      </c>
      <c r="AA426" s="245">
        <f t="shared" ca="1" si="25"/>
        <v>-3.0000000000000004</v>
      </c>
      <c r="AB426" s="245">
        <f t="shared" ca="1" si="25"/>
        <v>5.5</v>
      </c>
      <c r="AC426" s="245">
        <f t="shared" ca="1" si="25"/>
        <v>-3.0999999999999996</v>
      </c>
      <c r="AD426" s="249">
        <f t="shared" ca="1" si="25"/>
        <v>3.5999999999999996</v>
      </c>
      <c r="AE426" s="199"/>
      <c r="AF426" s="45"/>
      <c r="AG426" s="45"/>
      <c r="AH426" s="45"/>
      <c r="AI426" s="45"/>
      <c r="AJ426" s="190"/>
      <c r="AK426" s="1666" t="s">
        <v>1457</v>
      </c>
      <c r="AL426" s="49"/>
      <c r="AM426" s="254" t="s">
        <v>1836</v>
      </c>
      <c r="AN426" s="141">
        <f>Transfer!AD226</f>
        <v>4.1732399999999998</v>
      </c>
      <c r="AO426" s="245">
        <f>100*((Transfer!AD226/Transfer!AC226)-1)</f>
        <v>-10.39684635649828</v>
      </c>
      <c r="AP426" s="141">
        <f>Transfer!AE226</f>
        <v>4.2425586068061198</v>
      </c>
      <c r="AQ426" s="245">
        <f>100*((Transfer!AE226/Transfer!AD226)-1)</f>
        <v>1.6610261285265215</v>
      </c>
      <c r="AR426" s="141">
        <f>Transfer!AF226</f>
        <v>4.4135337186604069</v>
      </c>
      <c r="AS426" s="245">
        <f>100*((Transfer!AF226/Transfer!AE226)-1)</f>
        <v>4.03</v>
      </c>
      <c r="AT426" s="245">
        <f>Transfer!AG226</f>
        <v>4.5913991275224211</v>
      </c>
      <c r="AU426" s="320">
        <f>100*((Transfer!AG226/Transfer!AF226)-1)</f>
        <v>4.03</v>
      </c>
      <c r="AV426" s="199"/>
      <c r="AW426" s="54"/>
      <c r="AX426" s="54"/>
      <c r="AY426" s="54"/>
      <c r="AZ426" s="54"/>
      <c r="BA426" s="1698" t="s">
        <v>126</v>
      </c>
      <c r="BB426" s="1699"/>
      <c r="BC426" s="54"/>
    </row>
    <row r="427" spans="1:55" ht="13.5" thickBot="1">
      <c r="A427" s="45"/>
      <c r="B427" s="1665"/>
      <c r="C427" s="2395" t="s">
        <v>1458</v>
      </c>
      <c r="D427" s="2736"/>
      <c r="E427" s="2737"/>
      <c r="F427" s="2738">
        <f ca="1">Transfer!D227</f>
        <v>0.19511999999999999</v>
      </c>
      <c r="G427" s="2630">
        <f ca="1">100*((Transfer!D227/Transfer!C227)-1)</f>
        <v>-25.98717900087243</v>
      </c>
      <c r="H427" s="3339">
        <f ca="1">Transfer!E227</f>
        <v>0.30395159999999999</v>
      </c>
      <c r="I427" s="2630">
        <f ca="1">100*((Transfer!E227/Transfer!D227)-1)</f>
        <v>55.776752767527668</v>
      </c>
      <c r="J427" s="2738">
        <f ca="1">Transfer!F227</f>
        <v>0.22980715199999996</v>
      </c>
      <c r="K427" s="2630">
        <f ca="1">100*((Transfer!F227/Transfer!E227)-1)</f>
        <v>-24.393504755362382</v>
      </c>
      <c r="L427" s="2630">
        <f ca="1">Transfer!G227</f>
        <v>0.22980715199999996</v>
      </c>
      <c r="M427" s="2739">
        <f ca="1">100*((Transfer!G227/Transfer!F227)-1)</f>
        <v>0</v>
      </c>
      <c r="N427" s="2452"/>
      <c r="O427" s="54"/>
      <c r="P427" s="54"/>
      <c r="Q427" s="54"/>
      <c r="R427" s="54"/>
      <c r="S427" s="190"/>
      <c r="T427" s="2395" t="s">
        <v>1458</v>
      </c>
      <c r="U427" s="49"/>
      <c r="V427" s="254"/>
      <c r="W427" s="248">
        <f t="shared" ca="1" si="25"/>
        <v>0.1</v>
      </c>
      <c r="X427" s="245">
        <f t="shared" ca="1" si="25"/>
        <v>60.599999999999994</v>
      </c>
      <c r="Y427" s="245">
        <f t="shared" ca="1" si="25"/>
        <v>0</v>
      </c>
      <c r="Z427" s="245">
        <f t="shared" ca="1" si="25"/>
        <v>-291.09999999999997</v>
      </c>
      <c r="AA427" s="245">
        <f t="shared" ca="1" si="25"/>
        <v>-9.9999999999999978E-2</v>
      </c>
      <c r="AB427" s="245">
        <f t="shared" ca="1" si="25"/>
        <v>-19.599999999999998</v>
      </c>
      <c r="AC427" s="245">
        <f t="shared" ca="1" si="25"/>
        <v>-9.9999999999999978E-2</v>
      </c>
      <c r="AD427" s="249">
        <f t="shared" ca="1" si="25"/>
        <v>4.8</v>
      </c>
      <c r="AE427" s="199"/>
      <c r="AF427" s="45"/>
      <c r="AG427" s="45"/>
      <c r="AH427" s="45"/>
      <c r="AI427" s="45"/>
      <c r="AJ427" s="190"/>
      <c r="AK427" s="2395" t="s">
        <v>1458</v>
      </c>
      <c r="AL427" s="183"/>
      <c r="AM427" s="386"/>
      <c r="AN427" s="469">
        <f>Transfer!AD227</f>
        <v>7.1149999999999936E-2</v>
      </c>
      <c r="AO427" s="470">
        <f>100*((Transfer!AD227/Transfer!AC227)-1)</f>
        <v>-86.570910875391661</v>
      </c>
      <c r="AP427" s="469">
        <f>Transfer!AE227</f>
        <v>0.31798149999999997</v>
      </c>
      <c r="AQ427" s="470">
        <f>100*((Transfer!AE227/Transfer!AD227)-1)</f>
        <v>346.91707659873543</v>
      </c>
      <c r="AR427" s="469">
        <f>Transfer!AF227</f>
        <v>0.30281142499999997</v>
      </c>
      <c r="AS427" s="470">
        <f>100*((Transfer!AF227/Transfer!AE227)-1)</f>
        <v>-4.7707413796085678</v>
      </c>
      <c r="AT427" s="470">
        <f>Transfer!AG227</f>
        <v>0.28839985374999993</v>
      </c>
      <c r="AU427" s="471">
        <f>100*((Transfer!AG227/Transfer!AF227)-1)</f>
        <v>-4.7592561112910552</v>
      </c>
      <c r="AV427" s="199"/>
      <c r="AW427" s="54"/>
      <c r="AX427" s="54"/>
      <c r="AY427" s="54"/>
      <c r="AZ427" s="54"/>
      <c r="BA427" s="1698" t="s">
        <v>1371</v>
      </c>
      <c r="BB427" s="1699"/>
      <c r="BC427" s="54"/>
    </row>
    <row r="428" spans="1:55" ht="13.5" thickBot="1">
      <c r="A428" s="45"/>
      <c r="B428" s="1665"/>
      <c r="C428" s="1666"/>
      <c r="D428" s="2351"/>
      <c r="E428" s="2521"/>
      <c r="F428" s="2692"/>
      <c r="G428" s="2740" t="s">
        <v>1372</v>
      </c>
      <c r="H428" s="2692"/>
      <c r="I428" s="2740" t="s">
        <v>1372</v>
      </c>
      <c r="J428" s="2692"/>
      <c r="K428" s="2740" t="s">
        <v>1372</v>
      </c>
      <c r="L428" s="2692"/>
      <c r="M428" s="2741" t="s">
        <v>1372</v>
      </c>
      <c r="N428" s="2460"/>
      <c r="O428" s="54"/>
      <c r="P428" s="54"/>
      <c r="Q428" s="54"/>
      <c r="R428" s="54"/>
      <c r="S428" s="190"/>
      <c r="T428" s="1666"/>
      <c r="U428" s="479"/>
      <c r="V428" s="483"/>
      <c r="W428" s="481"/>
      <c r="X428" s="2330" t="s">
        <v>1372</v>
      </c>
      <c r="Y428" s="481"/>
      <c r="Z428" s="2330" t="s">
        <v>1372</v>
      </c>
      <c r="AA428" s="481"/>
      <c r="AB428" s="2330" t="s">
        <v>1372</v>
      </c>
      <c r="AC428" s="481"/>
      <c r="AD428" s="473" t="s">
        <v>1372</v>
      </c>
      <c r="AE428" s="442"/>
      <c r="AF428" s="45"/>
      <c r="AG428" s="45"/>
      <c r="AH428" s="45"/>
      <c r="AI428" s="45"/>
      <c r="AJ428" s="190"/>
      <c r="AK428" s="1666"/>
      <c r="AL428" s="49"/>
      <c r="AM428" s="254"/>
      <c r="AN428" s="141"/>
      <c r="AO428" s="472" t="s">
        <v>1372</v>
      </c>
      <c r="AP428" s="141"/>
      <c r="AQ428" s="472" t="s">
        <v>1372</v>
      </c>
      <c r="AR428" s="141"/>
      <c r="AS428" s="472" t="s">
        <v>1372</v>
      </c>
      <c r="AT428" s="141"/>
      <c r="AU428" s="473" t="s">
        <v>1372</v>
      </c>
      <c r="AV428" s="442"/>
      <c r="AW428" s="54"/>
      <c r="AX428" s="54"/>
      <c r="AY428" s="54"/>
      <c r="AZ428" s="54"/>
      <c r="BA428" s="1700" t="s">
        <v>1345</v>
      </c>
      <c r="BB428" s="1699"/>
      <c r="BC428" s="54"/>
    </row>
    <row r="429" spans="1:55">
      <c r="A429" s="45"/>
      <c r="B429" s="1665"/>
      <c r="C429" s="2742" t="s">
        <v>372</v>
      </c>
      <c r="D429" s="2743"/>
      <c r="E429" s="2404" t="s">
        <v>602</v>
      </c>
      <c r="F429" s="2744">
        <f ca="1">SUM(Transfer!D213,Transfer!D214,Transfer!D215,Transfer!D217,Transfer!D243,Transfer!D225)</f>
        <v>13.329970000000003</v>
      </c>
      <c r="G429" s="2745">
        <f ca="1">100*(SUM(Transfer!D213,Transfer!D214,Transfer!D215,Transfer!D217,Transfer!D243,Transfer!D225))/Transfer!D147</f>
        <v>34.472586344583895</v>
      </c>
      <c r="H429" s="3284">
        <f ca="1">SUM(Transfer!E213,Transfer!E214,Transfer!E215,Transfer!E217,Transfer!E243,Transfer!E225)</f>
        <v>14.522302422780635</v>
      </c>
      <c r="I429" s="2745">
        <f ca="1">100*(SUM(Transfer!E213,Transfer!E214,Transfer!E215,Transfer!E217,Transfer!E243,Transfer!E225))/Transfer!E147</f>
        <v>34.759318418913146</v>
      </c>
      <c r="J429" s="3284">
        <f ca="1">SUM(Transfer!F213,Transfer!F214,Transfer!F215,Transfer!F217,Transfer!F243,Transfer!F225)</f>
        <v>15.419426633066148</v>
      </c>
      <c r="K429" s="2745">
        <f ca="1">100*(SUM(Transfer!F213,Transfer!F214,Transfer!F215,Transfer!F217,Transfer!F243,Transfer!F225))/Transfer!F147</f>
        <v>34.876460336655768</v>
      </c>
      <c r="L429" s="3284">
        <f ca="1">SUM(Transfer!G213,Transfer!G214,Transfer!G215,Transfer!G217,Transfer!G243,Transfer!G225)</f>
        <v>16.266412105794295</v>
      </c>
      <c r="M429" s="3321">
        <f ca="1">100*(SUM(Transfer!G213,Transfer!G214,Transfer!G215,Transfer!G217,Transfer!G243,Transfer!G225))/Transfer!G147</f>
        <v>34.84944086703554</v>
      </c>
      <c r="N429" s="2460"/>
      <c r="O429" s="54"/>
      <c r="P429" s="54"/>
      <c r="Q429" s="54"/>
      <c r="R429" s="54"/>
      <c r="S429" s="190"/>
      <c r="T429" s="2742" t="s">
        <v>372</v>
      </c>
      <c r="U429" s="104"/>
      <c r="V429" s="423" t="s">
        <v>602</v>
      </c>
      <c r="W429" s="248">
        <f t="shared" ref="W429:AD433" ca="1" si="26">ROUND(F429,1)-ROUND(AN429,1)</f>
        <v>-23.900000000000002</v>
      </c>
      <c r="X429" s="245">
        <f t="shared" ca="1" si="26"/>
        <v>1.7999999999999972</v>
      </c>
      <c r="Y429" s="245">
        <f t="shared" ca="1" si="26"/>
        <v>-24.5</v>
      </c>
      <c r="Z429" s="245">
        <f t="shared" ca="1" si="26"/>
        <v>2.2999999999999972</v>
      </c>
      <c r="AA429" s="245">
        <f t="shared" ca="1" si="26"/>
        <v>-25.4</v>
      </c>
      <c r="AB429" s="245">
        <f t="shared" ca="1" si="26"/>
        <v>2.8999999999999986</v>
      </c>
      <c r="AC429" s="245">
        <f t="shared" ca="1" si="26"/>
        <v>-26.7</v>
      </c>
      <c r="AD429" s="249">
        <f t="shared" ca="1" si="26"/>
        <v>3.1999999999999957</v>
      </c>
      <c r="AE429" s="442"/>
      <c r="AF429" s="45"/>
      <c r="AG429" s="45"/>
      <c r="AH429" s="45"/>
      <c r="AI429" s="45"/>
      <c r="AJ429" s="190"/>
      <c r="AK429" s="2742" t="s">
        <v>372</v>
      </c>
      <c r="AL429" s="1714"/>
      <c r="AM429" s="420" t="s">
        <v>602</v>
      </c>
      <c r="AN429" s="474">
        <f>SUM(Transfer!AD213,Transfer!AD214,Transfer!AD215,Transfer!AD217,Transfer!AD243,Transfer!AD225)</f>
        <v>37.213659999999997</v>
      </c>
      <c r="AO429" s="1717">
        <f>100*(SUM(Transfer!AD213,Transfer!AD214,Transfer!AD215,Transfer!AD217,Transfer!AD243,Transfer!AD225))/Transfer!AD147</f>
        <v>32.719706474804958</v>
      </c>
      <c r="AP429" s="474">
        <f>SUM(Transfer!AE213,Transfer!AE214,Transfer!AE215,Transfer!AE217,Transfer!AE243,Transfer!AE225)</f>
        <v>39.045984050000001</v>
      </c>
      <c r="AQ429" s="1717">
        <f>100*(SUM(Transfer!AE213,Transfer!AE214,Transfer!AE215,Transfer!AE217,Transfer!AE243,Transfer!AE225))/Transfer!AE147</f>
        <v>32.52754205701374</v>
      </c>
      <c r="AR429" s="474">
        <f>SUM(Transfer!AF213,Transfer!AF214,Transfer!AF215,Transfer!AF217,Transfer!AF243,Transfer!AF225)</f>
        <v>40.833618184349994</v>
      </c>
      <c r="AS429" s="1717">
        <f>100*(SUM(Transfer!AF213,Transfer!AF214,Transfer!AF215,Transfer!AF217,Transfer!AF243,Transfer!AF225))/Transfer!AF147</f>
        <v>32.043607247243791</v>
      </c>
      <c r="AT429" s="474">
        <f>SUM(Transfer!AG213,Transfer!AG214,Transfer!AG215,Transfer!AG217,Transfer!AG243,Transfer!AG225)</f>
        <v>43.047522999664707</v>
      </c>
      <c r="AU429" s="1715">
        <f>100*(SUM(Transfer!AG213,Transfer!AG214,Transfer!AG215,Transfer!AG217,Transfer!AG243,Transfer!AG225))/Transfer!AG147</f>
        <v>31.629368299494818</v>
      </c>
      <c r="AV429" s="442"/>
      <c r="AW429" s="54"/>
      <c r="AX429" s="54"/>
      <c r="AY429" s="54"/>
      <c r="AZ429" s="54"/>
      <c r="BA429" s="1700" t="s">
        <v>1309</v>
      </c>
      <c r="BB429" s="1699"/>
      <c r="BC429" s="54"/>
    </row>
    <row r="430" spans="1:55">
      <c r="A430" s="45"/>
      <c r="B430" s="1665"/>
      <c r="C430" s="2663" t="s">
        <v>371</v>
      </c>
      <c r="D430" s="2353"/>
      <c r="E430" s="2406" t="s">
        <v>603</v>
      </c>
      <c r="F430" s="2453">
        <f ca="1">SUM(Transfer!D220,Transfer!D221,Transfer!D222,Transfer!D223,Transfer!D224,Transfer!D245,Transfer!D246,Transfer!D226,Transfer!D227)</f>
        <v>13.226989999999999</v>
      </c>
      <c r="G430" s="2740">
        <f ca="1">100*((SUM(Transfer!D220,Transfer!D221,Transfer!D222,Transfer!D223,Transfer!D224,Transfer!D245,Transfer!D246,Transfer!D226,Transfer!D227)/Transfer!D147))</f>
        <v>34.206270145690318</v>
      </c>
      <c r="H430" s="3285">
        <f ca="1">SUM(Transfer!E220,Transfer!E221,Transfer!E222,Transfer!E223,Transfer!E224,Transfer!E245,Transfer!E246,Transfer!E226,Transfer!E227)</f>
        <v>14.188379305700002</v>
      </c>
      <c r="I430" s="2740">
        <f ca="1">100*((SUM(Transfer!E220,Transfer!E221,Transfer!E222,Transfer!E223,Transfer!E224,Transfer!E245,Transfer!E246,Transfer!E226,Transfer!E227)/Transfer!E147))</f>
        <v>33.960069125231286</v>
      </c>
      <c r="J430" s="3285">
        <f ca="1">SUM(Transfer!F220,Transfer!F221,Transfer!F222,Transfer!F223,Transfer!F224,Transfer!F245,Transfer!F246,Transfer!F226,Transfer!F227)</f>
        <v>15.095948944798822</v>
      </c>
      <c r="K430" s="2740">
        <f ca="1">100*((SUM(Transfer!F220,Transfer!F221,Transfer!F222,Transfer!F223,Transfer!F224,Transfer!F245,Transfer!F246,Transfer!F226,Transfer!F227)/Transfer!F147))</f>
        <v>34.144801693755561</v>
      </c>
      <c r="L430" s="3285">
        <f ca="1">SUM(Transfer!G220,Transfer!G221,Transfer!G222,Transfer!G223,Transfer!G224,Transfer!G245,Transfer!G246,Transfer!G226,Transfer!G227)</f>
        <v>15.932143343143897</v>
      </c>
      <c r="M430" s="2629">
        <f ca="1">100*((SUM(Transfer!G220,Transfer!G221,Transfer!G222,Transfer!G223,Transfer!G224,Transfer!G245,Transfer!G246,Transfer!G226,Transfer!G227)/Transfer!G147))</f>
        <v>34.133297724840553</v>
      </c>
      <c r="N430" s="2460"/>
      <c r="O430" s="54"/>
      <c r="P430" s="54"/>
      <c r="Q430" s="54"/>
      <c r="R430" s="54"/>
      <c r="S430" s="190"/>
      <c r="T430" s="2663" t="s">
        <v>371</v>
      </c>
      <c r="U430" s="104"/>
      <c r="V430" s="423" t="s">
        <v>603</v>
      </c>
      <c r="W430" s="248">
        <f t="shared" ca="1" si="26"/>
        <v>-27.8</v>
      </c>
      <c r="X430" s="245">
        <f t="shared" ca="1" si="26"/>
        <v>-1.8999999999999986</v>
      </c>
      <c r="Y430" s="245">
        <f t="shared" ca="1" si="26"/>
        <v>-28.400000000000002</v>
      </c>
      <c r="Z430" s="245">
        <f t="shared" ca="1" si="26"/>
        <v>-1.5</v>
      </c>
      <c r="AA430" s="245">
        <f t="shared" ca="1" si="26"/>
        <v>-29.299999999999997</v>
      </c>
      <c r="AB430" s="245">
        <f t="shared" ca="1" si="26"/>
        <v>-0.69999999999999574</v>
      </c>
      <c r="AC430" s="245">
        <f t="shared" ca="1" si="26"/>
        <v>-30.300000000000004</v>
      </c>
      <c r="AD430" s="249">
        <f t="shared" ca="1" si="26"/>
        <v>0.20000000000000284</v>
      </c>
      <c r="AE430" s="442"/>
      <c r="AF430" s="45"/>
      <c r="AG430" s="45"/>
      <c r="AH430" s="45"/>
      <c r="AI430" s="45"/>
      <c r="AJ430" s="190"/>
      <c r="AK430" s="2663" t="s">
        <v>371</v>
      </c>
      <c r="AL430" s="104"/>
      <c r="AM430" s="423" t="s">
        <v>603</v>
      </c>
      <c r="AN430" s="245">
        <f>SUM(Transfer!AD220,Transfer!AD221,Transfer!AD222,Transfer!AD223,Transfer!AD224,Transfer!AD245,Transfer!AD246,Transfer!AD226,Transfer!AD227)</f>
        <v>41.019750000000002</v>
      </c>
      <c r="AO430" s="472">
        <f>100*((SUM(Transfer!AD220,Transfer!AD221,Transfer!AD222,Transfer!AD223,Transfer!AD224,Transfer!AD245,Transfer!AD246,Transfer!AD226,Transfer!AD227)/Transfer!AD147))</f>
        <v>36.066169779319765</v>
      </c>
      <c r="AP430" s="245">
        <f>SUM(Transfer!AE220,Transfer!AE221,Transfer!AE222,Transfer!AE223,Transfer!AE224,Transfer!AE245,Transfer!AE246,Transfer!AE226,Transfer!AE227)</f>
        <v>42.633455997906118</v>
      </c>
      <c r="AQ430" s="472">
        <f>100*((SUM(Transfer!AE220,Transfer!AE221,Transfer!AE222,Transfer!AE223,Transfer!AE224,Transfer!AE245,Transfer!AE246,Transfer!AE226,Transfer!AE227)/Transfer!AE147))</f>
        <v>35.516111752541072</v>
      </c>
      <c r="AR430" s="245">
        <f>SUM(Transfer!AF220,Transfer!AF221,Transfer!AF222,Transfer!AF223,Transfer!AF224,Transfer!AF245,Transfer!AF246,Transfer!AF226,Transfer!AF227)</f>
        <v>44.37805761665021</v>
      </c>
      <c r="AS430" s="472">
        <f>100*((SUM(Transfer!AF220,Transfer!AF221,Transfer!AF222,Transfer!AF223,Transfer!AF224,Transfer!AF245,Transfer!AF246,Transfer!AF226,Transfer!AF227)/Transfer!AF147))</f>
        <v>34.825056213326391</v>
      </c>
      <c r="AT430" s="245">
        <f>SUM(Transfer!AG220,Transfer!AG221,Transfer!AG222,Transfer!AG223,Transfer!AG224,Transfer!AG245,Transfer!AG246,Transfer!AG226,Transfer!AG227)</f>
        <v>46.201001906106164</v>
      </c>
      <c r="AU430" s="1716">
        <f>100*((SUM(Transfer!AG220,Transfer!AG221,Transfer!AG222,Transfer!AG223,Transfer!AG224,Transfer!AG245,Transfer!AG246,Transfer!AG226,Transfer!AG227)/Transfer!AG147))</f>
        <v>33.946401633963376</v>
      </c>
      <c r="AV430" s="442"/>
      <c r="AW430" s="54"/>
      <c r="AX430" s="54"/>
      <c r="AY430" s="54"/>
      <c r="AZ430" s="54"/>
      <c r="BA430" s="1700" t="s">
        <v>1310</v>
      </c>
      <c r="BB430" s="1699"/>
      <c r="BC430" s="54"/>
    </row>
    <row r="431" spans="1:55">
      <c r="A431" s="45"/>
      <c r="B431" s="1665"/>
      <c r="C431" s="2663" t="s">
        <v>1460</v>
      </c>
      <c r="D431" s="2353"/>
      <c r="E431" s="2406" t="s">
        <v>1564</v>
      </c>
      <c r="F431" s="2511">
        <f ca="1">SUM(Transfer!D213,Transfer!D214,Transfer!D215,Transfer!D217,Transfer!D243,Transfer!D225)-SUM(Transfer!D220,Transfer!D221,Transfer!D222,Transfer!D223,Transfer!D224,Transfer!D245,Transfer!D246,Transfer!D226,Transfer!D227)</f>
        <v>0.10298000000000407</v>
      </c>
      <c r="G431" s="2740">
        <f ca="1">100*(SUM(Transfer!D213,Transfer!D214,Transfer!D215,Transfer!D217,Transfer!D243,Transfer!D225)-SUM(Transfer!D220,Transfer!D221,Transfer!D222,Transfer!D223,Transfer!D224,Transfer!D245,Transfer!D246,Transfer!D226,Transfer!D227))/Transfer!D147</f>
        <v>0.26631619889357505</v>
      </c>
      <c r="H431" s="2511">
        <f ca="1">SUM(Transfer!E213,Transfer!E214,Transfer!E215,Transfer!E217,Transfer!E243,Transfer!E225)-SUM(Transfer!E220,Transfer!E221,Transfer!E222,Transfer!E223,Transfer!E224,Transfer!E245,Transfer!E246,Transfer!E226,Transfer!E227)</f>
        <v>0.3339231170806336</v>
      </c>
      <c r="I431" s="3287">
        <f ca="1">100*(SUM(Transfer!E213,Transfer!E214,Transfer!E215,Transfer!E217,Transfer!E243,Transfer!E225)-SUM(Transfer!E220,Transfer!E221,Transfer!E222,Transfer!E223,Transfer!E224,Transfer!E245,Transfer!E246,Transfer!E226,Transfer!E227))/Transfer!E147</f>
        <v>0.79924929368185793</v>
      </c>
      <c r="J431" s="3312">
        <f ca="1">SUM(Transfer!F213,Transfer!F214,Transfer!F215,Transfer!F217,Transfer!F243,Transfer!F225)-SUM(Transfer!F220,Transfer!F221,Transfer!F222,Transfer!F223,Transfer!F224,Transfer!F245,Transfer!F246,Transfer!F226,Transfer!F227)</f>
        <v>0.32347768826732626</v>
      </c>
      <c r="K431" s="3286">
        <f ca="1">100*(SUM(Transfer!F213,Transfer!F214,Transfer!F215,Transfer!F217,Transfer!F243,Transfer!F225)-SUM(Transfer!F220,Transfer!F221,Transfer!F222,Transfer!F223,Transfer!F224,Transfer!F245,Transfer!F246,Transfer!F226,Transfer!F227))/Transfer!F147</f>
        <v>0.7316586429002081</v>
      </c>
      <c r="L431" s="3312">
        <f ca="1">SUM(Transfer!G213,Transfer!G214,Transfer!G215,Transfer!G217,Transfer!G243,Transfer!G225)-SUM(Transfer!G220,Transfer!G221,Transfer!G222,Transfer!G223,Transfer!G224,Transfer!G245,Transfer!G246,Transfer!G226,Transfer!G227)</f>
        <v>0.33426876265039773</v>
      </c>
      <c r="M431" s="3288">
        <f ca="1">100*(SUM(Transfer!G213,Transfer!G214,Transfer!G215,Transfer!G217,Transfer!G243,Transfer!G225)-SUM(Transfer!G220,Transfer!G221,Transfer!G222,Transfer!G223,Transfer!G224,Transfer!G245,Transfer!G246,Transfer!G226,Transfer!G227))/Transfer!G147</f>
        <v>0.71614314219499142</v>
      </c>
      <c r="N431" s="2460"/>
      <c r="O431" s="54"/>
      <c r="P431" s="54"/>
      <c r="Q431" s="54"/>
      <c r="R431" s="54"/>
      <c r="S431" s="190"/>
      <c r="T431" s="2663" t="s">
        <v>1460</v>
      </c>
      <c r="U431" s="104"/>
      <c r="V431" s="423" t="s">
        <v>1564</v>
      </c>
      <c r="W431" s="248">
        <f t="shared" ca="1" si="26"/>
        <v>3.9</v>
      </c>
      <c r="X431" s="245">
        <f t="shared" ca="1" si="26"/>
        <v>3.5999999999999996</v>
      </c>
      <c r="Y431" s="245">
        <f t="shared" ca="1" si="26"/>
        <v>3.9</v>
      </c>
      <c r="Z431" s="245">
        <f t="shared" ca="1" si="26"/>
        <v>3.8</v>
      </c>
      <c r="AA431" s="245">
        <f t="shared" ca="1" si="26"/>
        <v>3.8</v>
      </c>
      <c r="AB431" s="245">
        <f t="shared" ca="1" si="26"/>
        <v>3.5</v>
      </c>
      <c r="AC431" s="245">
        <f t="shared" ca="1" si="26"/>
        <v>3.5</v>
      </c>
      <c r="AD431" s="249">
        <f t="shared" ca="1" si="26"/>
        <v>3</v>
      </c>
      <c r="AE431" s="442"/>
      <c r="AF431" s="45"/>
      <c r="AG431" s="45"/>
      <c r="AH431" s="45"/>
      <c r="AI431" s="45"/>
      <c r="AJ431" s="190"/>
      <c r="AK431" s="2663" t="s">
        <v>1460</v>
      </c>
      <c r="AL431" s="104"/>
      <c r="AM431" s="423" t="s">
        <v>1564</v>
      </c>
      <c r="AN431" s="141">
        <f>SUM(Transfer!AD213,Transfer!AD214,Transfer!AD215,Transfer!AD217,Transfer!AD243,Transfer!AD225)-SUM(Transfer!AD220,Transfer!AD221,Transfer!AD222,Transfer!AD223,Transfer!AD224,Transfer!AD245,Transfer!AD246,Transfer!AD226,Transfer!AD227)</f>
        <v>-3.8060900000000046</v>
      </c>
      <c r="AO431" s="472">
        <f>100*(SUM(Transfer!AD213,Transfer!AD214,Transfer!AD215,Transfer!AD217,Transfer!AD243,Transfer!AD225)-SUM(Transfer!AD220,Transfer!AD221,Transfer!AD222,Transfer!AD223,Transfer!AD224,Transfer!AD245,Transfer!AD246,Transfer!AD226,Transfer!AD227))/Transfer!AD147</f>
        <v>-3.3464633045148093</v>
      </c>
      <c r="AP431" s="141">
        <f>SUM(Transfer!AE213,Transfer!AE214,Transfer!AE215,Transfer!AE217,Transfer!AE243,Transfer!AE225)-SUM(Transfer!AE220,Transfer!AE221,Transfer!AE222,Transfer!AE223,Transfer!AE224,Transfer!AE245,Transfer!AE246,Transfer!AE226,Transfer!AE227)</f>
        <v>-3.587471947906117</v>
      </c>
      <c r="AQ431" s="1897">
        <f>100*(SUM(Transfer!AE213,Transfer!AE214,Transfer!AE215,Transfer!AE217,Transfer!AE243,Transfer!AE225)-SUM(Transfer!AE220,Transfer!AE221,Transfer!AE222,Transfer!AE223,Transfer!AE224,Transfer!AE245,Transfer!AE246,Transfer!AE226,Transfer!AE227))/Transfer!AE147</f>
        <v>-2.9885696955273238</v>
      </c>
      <c r="AR431" s="141">
        <f>SUM(Transfer!AF213,Transfer!AF214,Transfer!AF215,Transfer!AF217,Transfer!AF243,Transfer!AF225)-SUM(Transfer!AF220,Transfer!AF221,Transfer!AF222,Transfer!AF223,Transfer!AF224,Transfer!AF245,Transfer!AF246,Transfer!AF226,Transfer!AF227)</f>
        <v>-3.5444394323002157</v>
      </c>
      <c r="AS431" s="472">
        <f>100*(SUM(Transfer!AF213,Transfer!AF214,Transfer!AF215,Transfer!AF217,Transfer!AF243,Transfer!AF225)-SUM(Transfer!AF220,Transfer!AF221,Transfer!AF222,Transfer!AF223,Transfer!AF224,Transfer!AF245,Transfer!AF246,Transfer!AF226,Transfer!AF227))/Transfer!AF147</f>
        <v>-2.7814489660825976</v>
      </c>
      <c r="AT431" s="141">
        <f>SUM(Transfer!AG213,Transfer!AG214,Transfer!AG215,Transfer!AG217,Transfer!AG243,Transfer!AG225)-SUM(Transfer!AG220,Transfer!AG221,Transfer!AG222,Transfer!AG223,Transfer!AG224,Transfer!AG245,Transfer!AG246,Transfer!AG226,Transfer!AG227)</f>
        <v>-3.1534789064414568</v>
      </c>
      <c r="AU431" s="475">
        <f>100*(SUM(Transfer!AG213,Transfer!AG214,Transfer!AG215,Transfer!AG217,Transfer!AG243,Transfer!AG225)-SUM(Transfer!AG220,Transfer!AG221,Transfer!AG222,Transfer!AG223,Transfer!AG224,Transfer!AG245,Transfer!AG246,Transfer!AG226,Transfer!AG227))/Transfer!AG147</f>
        <v>-2.3170333344685563</v>
      </c>
      <c r="AV431" s="442"/>
      <c r="AW431" s="54"/>
      <c r="AX431" s="54"/>
      <c r="AY431" s="54"/>
      <c r="AZ431" s="54"/>
      <c r="BA431" s="1700" t="s">
        <v>1617</v>
      </c>
      <c r="BB431" s="1699"/>
      <c r="BC431" s="54"/>
    </row>
    <row r="432" spans="1:55">
      <c r="A432" s="45"/>
      <c r="B432" s="1665"/>
      <c r="C432" s="2747" t="s">
        <v>606</v>
      </c>
      <c r="D432" s="2748"/>
      <c r="E432" s="2749"/>
      <c r="F432" s="2697">
        <f ca="1">SUM(Transfer!D213,Transfer!D214,Transfer!D215,Transfer!D217,Transfer!D243,Transfer!D225)-SUM(Transfer!D220,Transfer!D221,Transfer!D223,Transfer!D224,Transfer!D245,Transfer!D246,Transfer!D226,Transfer!D227)</f>
        <v>0.61975000000000335</v>
      </c>
      <c r="G432" s="2695">
        <f ca="1">100*(SUM(Transfer!D213,Transfer!D214,Transfer!D215,Transfer!D217,Transfer!D243,Transfer!D225)-SUM(Transfer!D220,Transfer!D221,,Transfer!D223,Transfer!D224,Transfer!D245,Transfer!D246,Transfer!D226,Transfer!D227))/Transfer!D147</f>
        <v>1.6027331934772531</v>
      </c>
      <c r="H432" s="3289">
        <f ca="1">SUM(Transfer!E213,Transfer!E214,Transfer!E215,Transfer!E217,Transfer!E243,Transfer!E225,)-SUM(Transfer!E220,Transfer!E221,Transfer!E223,Transfer!E224,Transfer!E245,Transfer!E246,Transfer!E226,Transfer!E227)</f>
        <v>0.8289231170806346</v>
      </c>
      <c r="I432" s="3290">
        <f ca="1">100*(SUM(Transfer!E213,Transfer!E214,Transfer!E215,Transfer!E217,Transfer!E243,Transfer!E225)-SUM(Transfer!E220,Transfer!E221,Transfer!E223,Transfer!E224,Transfer!E245,Transfer!E246,Transfer!E226,Transfer!E227))/Transfer!E147</f>
        <v>1.9840381870994608</v>
      </c>
      <c r="J432" s="3289">
        <f ca="1">SUM(Transfer!F213,Transfer!F214,Transfer!F215,Transfer!F217,Transfer!F243,Transfer!F225)-SUM(Transfer!F220,Transfer!F221,Transfer!F223,Transfer!F224,Transfer!F245,Transfer!F246,Transfer!F226,Transfer!F227)</f>
        <v>0.70847768826732604</v>
      </c>
      <c r="K432" s="3290">
        <f ca="1">100*(SUM(Transfer!F213,Transfer!F214,Transfer!F215,Transfer!F217,Transfer!F243,Transfer!F225)-SUM(Transfer!F220,Transfer!F221,Transfer!F223,Transfer!F224,Transfer!F245,Transfer!F246,Transfer!F226,Transfer!F227))/Transfer!F147</f>
        <v>1.6024716471151659</v>
      </c>
      <c r="L432" s="3289">
        <f ca="1">SUM(Transfer!G213,Transfer!G214,Transfer!G215,Transfer!G217,Transfer!G243,Transfer!G225)-SUM(Transfer!G220,Transfer!G221,Transfer!G223,Transfer!G224,Transfer!G245,Transfer!G246,Transfer!G226,Transfer!G227)</f>
        <v>0.73526876265039753</v>
      </c>
      <c r="M432" s="3291">
        <f ca="1">100*(SUM(Transfer!G213,Transfer!G214,Transfer!G215,Transfer!G217,Transfer!G243,Transfer!G225)-SUM(Transfer!G220,Transfer!G221,Transfer!G223,Transfer!G224,Transfer!G245,Transfer!G246,Transfer!G226,Transfer!G227))/Transfer!G147</f>
        <v>1.5752524342006522</v>
      </c>
      <c r="N432" s="2610"/>
      <c r="O432" s="54"/>
      <c r="P432" s="54"/>
      <c r="Q432" s="54"/>
      <c r="R432" s="54"/>
      <c r="S432" s="190"/>
      <c r="T432" s="2747" t="s">
        <v>606</v>
      </c>
      <c r="U432" s="465"/>
      <c r="V432" s="466"/>
      <c r="W432" s="429">
        <f t="shared" ca="1" si="26"/>
        <v>2.2000000000000002</v>
      </c>
      <c r="X432" s="428">
        <f t="shared" ca="1" si="26"/>
        <v>3</v>
      </c>
      <c r="Y432" s="428">
        <f t="shared" ca="1" si="26"/>
        <v>2.1</v>
      </c>
      <c r="Z432" s="428">
        <f t="shared" ca="1" si="26"/>
        <v>3.1</v>
      </c>
      <c r="AA432" s="428">
        <f t="shared" ca="1" si="26"/>
        <v>1.9</v>
      </c>
      <c r="AB432" s="428">
        <f t="shared" ca="1" si="26"/>
        <v>2.5</v>
      </c>
      <c r="AC432" s="428">
        <f t="shared" ca="1" si="26"/>
        <v>1.4</v>
      </c>
      <c r="AD432" s="431">
        <f t="shared" ca="1" si="26"/>
        <v>2.1</v>
      </c>
      <c r="AE432" s="464"/>
      <c r="AF432" s="45"/>
      <c r="AG432" s="45"/>
      <c r="AH432" s="45"/>
      <c r="AI432" s="45"/>
      <c r="AJ432" s="190"/>
      <c r="AK432" s="2747" t="s">
        <v>606</v>
      </c>
      <c r="AL432" s="465"/>
      <c r="AM432" s="466"/>
      <c r="AN432" s="430">
        <f>SUM(Transfer!AD213,Transfer!AD214,Transfer!AD215,Transfer!AD217,Transfer!AD243,Transfer!AD225)-SUM(Transfer!AD220,Transfer!AD221,Transfer!AD223,Transfer!AD224,Transfer!AD245,Transfer!AD246,Transfer!AD226,Transfer!AD227)</f>
        <v>-1.6170600000000093</v>
      </c>
      <c r="AO432" s="428">
        <f>100*(SUM(Transfer!AD213,Transfer!AD214,Transfer!AD215,Transfer!AD217,Transfer!AD243,Transfer!AD225)-SUM(Transfer!AD220,Transfer!AD221,Transfer!AD223,Transfer!AD224,Transfer!AD245,Transfer!AD246,Transfer!AD226,Transfer!AD227))/Transfer!AD147</f>
        <v>-1.4217824463422415</v>
      </c>
      <c r="AP432" s="430">
        <f>SUM(Transfer!AE213,Transfer!AE214,Transfer!AE215,Transfer!AE217,Transfer!AE243,Transfer!AE225)-SUM(Transfer!AE220,Transfer!AE221,Transfer!AE223,Transfer!AE224,Transfer!AE245,Transfer!AE246,Transfer!AE226,Transfer!AE227)</f>
        <v>-1.2889904479061158</v>
      </c>
      <c r="AQ432" s="428">
        <f>100*(SUM(Transfer!AE213,Transfer!AE214,Transfer!AE215,Transfer!AE217,Transfer!AE243,Transfer!AE225)-SUM(Transfer!AE220,Transfer!AE221,Transfer!AE223,Transfer!AE224,Transfer!AE245,Transfer!AE246,Transfer!AE226,Transfer!AE227))/Transfer!AE147</f>
        <v>-1.0738029025383256</v>
      </c>
      <c r="AR432" s="430">
        <f>SUM(Transfer!AF213,Transfer!AF214,Transfer!AF215,Transfer!AF217,Transfer!AF243,Transfer!AF225)-SUM(Transfer!AF220,Transfer!AF221,Transfer!AF223,Transfer!AF224,Transfer!AF245,Transfer!AF246,Transfer!AF226,Transfer!AF227)</f>
        <v>-1.1540186723002037</v>
      </c>
      <c r="AS432" s="428">
        <f>100*(SUM(Transfer!AF213,Transfer!AF214,Transfer!AF215,Transfer!AF217,Transfer!AF243,Transfer!AF225)-SUM(Transfer!AF220,Transfer!AF221,Transfer!AF223,Transfer!AF224,Transfer!AF245,Transfer!AF246,Transfer!AF226,Transfer!AF227))/Transfer!AF147</f>
        <v>-0.90559991339063139</v>
      </c>
      <c r="AT432" s="430">
        <f>SUM(Transfer!AG213,Transfer!AG214,Transfer!AG215,Transfer!AG217,Transfer!AG243,Transfer!AG225)-SUM(Transfer!AG220,Transfer!AG221,Transfer!AG223,Transfer!AG224,Transfer!AG245,Transfer!AG246,Transfer!AG226,Transfer!AG227)</f>
        <v>-0.66744131604146162</v>
      </c>
      <c r="AU432" s="467">
        <f>100*(SUM(Transfer!AG213,Transfer!AG214,Transfer!AG215,Transfer!AG217,Transfer!AG243,Transfer!AG225)-SUM(Transfer!AG220,Transfer!AG221,Transfer!AG223,Transfer!AG224,Transfer!AG245,Transfer!AG246,Transfer!AG226,Transfer!AG227))/Transfer!AG147</f>
        <v>-0.49040561993635123</v>
      </c>
      <c r="AV432" s="464"/>
      <c r="AW432" s="54"/>
      <c r="AX432" s="54"/>
      <c r="AY432" s="54"/>
      <c r="AZ432" s="54"/>
      <c r="BA432" s="1700" t="s">
        <v>293</v>
      </c>
      <c r="BB432" s="1699"/>
      <c r="BC432" s="54"/>
    </row>
    <row r="433" spans="1:55" ht="13.5" thickBot="1">
      <c r="A433" s="45"/>
      <c r="B433" s="1665"/>
      <c r="C433" s="3207" t="s">
        <v>1502</v>
      </c>
      <c r="D433" s="3208"/>
      <c r="E433" s="3209" t="s">
        <v>458</v>
      </c>
      <c r="F433" s="3210">
        <f ca="1">+Transfer!D237</f>
        <v>0.10298000000000251</v>
      </c>
      <c r="G433" s="3211">
        <f ca="1">100*Transfer!D237/Transfer!D147</f>
        <v>0.266316198893571</v>
      </c>
      <c r="H433" s="3292">
        <f ca="1">+Transfer!E237</f>
        <v>0.33510809708063016</v>
      </c>
      <c r="I433">
        <f ca="1">100*Transfer!E237/Transfer!E147</f>
        <v>0.80208555861704567</v>
      </c>
      <c r="J433" s="3292">
        <f ca="1">+Transfer!F237</f>
        <v>0.30107552186732556</v>
      </c>
      <c r="K433" s="3313">
        <f ca="1">100*Transfer!F237/Transfer!F147</f>
        <v>0.68098825894252502</v>
      </c>
      <c r="L433" s="3292">
        <f ca="1">+Transfer!G237</f>
        <v>0.28092927478639473</v>
      </c>
      <c r="M433" s="3357">
        <f ca="1">100*Transfer!G237/Transfer!G147</f>
        <v>0.60186770664689127</v>
      </c>
      <c r="N433" s="2460"/>
      <c r="O433" s="54"/>
      <c r="P433" s="54"/>
      <c r="Q433" s="54"/>
      <c r="R433" s="54"/>
      <c r="S433" s="190"/>
      <c r="T433" s="2678" t="s">
        <v>1502</v>
      </c>
      <c r="U433" s="1705"/>
      <c r="V433" s="476" t="s">
        <v>458</v>
      </c>
      <c r="W433" s="2339">
        <f t="shared" ca="1" si="26"/>
        <v>3.8000000000000003</v>
      </c>
      <c r="X433" s="477">
        <f t="shared" ca="1" si="26"/>
        <v>3.5</v>
      </c>
      <c r="Y433" s="477">
        <f t="shared" ca="1" si="26"/>
        <v>3.8</v>
      </c>
      <c r="Z433" s="477">
        <f t="shared" ca="1" si="26"/>
        <v>3.7</v>
      </c>
      <c r="AA433" s="477">
        <f t="shared" ca="1" si="26"/>
        <v>3.6999999999999997</v>
      </c>
      <c r="AB433" s="477">
        <f t="shared" ca="1" si="26"/>
        <v>3.4000000000000004</v>
      </c>
      <c r="AC433" s="477">
        <f t="shared" ca="1" si="26"/>
        <v>3.3</v>
      </c>
      <c r="AD433" s="2340">
        <f t="shared" ca="1" si="26"/>
        <v>2.8000000000000003</v>
      </c>
      <c r="AE433" s="442"/>
      <c r="AF433" s="45"/>
      <c r="AG433" s="45"/>
      <c r="AH433" s="45"/>
      <c r="AI433" s="45"/>
      <c r="AJ433" s="190"/>
      <c r="AK433" s="2678" t="s">
        <v>1502</v>
      </c>
      <c r="AL433" s="1705"/>
      <c r="AM433" s="1718" t="s">
        <v>458</v>
      </c>
      <c r="AN433" s="470">
        <f>SUM(Transfer!AD213,Transfer!AD214,Transfer!AD215,Transfer!AD217,Transfer!AD243,Transfer!AD225)-SUM(Transfer!AD220,Transfer!AD221,Transfer!AD232,Transfer!AD223,Transfer!AD224,Transfer!AD245,Transfer!AD246,Transfer!AD226,Transfer!AD227)</f>
        <v>-3.6925900000000098</v>
      </c>
      <c r="AO433" s="1719">
        <f>100*(SUM(Transfer!AD213,Transfer!AD214,Transfer!AD215,Transfer!AD217,Transfer!AD243,Transfer!AD225)-SUM(Transfer!AD220,Transfer!AD221,Transfer!AD232,Transfer!AD223,Transfer!AD224,Transfer!AD245,Transfer!AD246,Transfer!AD226,Transfer!AD227))/Transfer!AD147</f>
        <v>-3.2466696619413509</v>
      </c>
      <c r="AP433" s="470">
        <f>SUM(Transfer!AE213,Transfer!AE214,Transfer!AE215,Transfer!AE217,Transfer!AE243,Transfer!AE225)-SUM(Transfer!AE220,Transfer!AE221,Transfer!AE232,Transfer!AE223,Transfer!AE224,Transfer!AE245,Transfer!AE246,Transfer!AE226,Transfer!AE227)</f>
        <v>-3.4739719479061151</v>
      </c>
      <c r="AQ433" s="1719">
        <f>100*(SUM(Transfer!AE213,Transfer!AE214,Transfer!AE215,Transfer!AE217,Transfer!AE243,Transfer!AE225)-SUM(Transfer!AE220,Transfer!AE221,Transfer!AE232,Transfer!AE223,Transfer!AE224,Transfer!AE245,Transfer!AE246,Transfer!AE226,Transfer!AE227))/Transfer!AE147</f>
        <v>-2.8940176919526786</v>
      </c>
      <c r="AR433" s="470">
        <f>SUM(Transfer!AF213,Transfer!AF214,Transfer!AF215,Transfer!AF217,Transfer!AF243,Transfer!AF225)-SUM(Transfer!AF220,Transfer!AF221,Transfer!AF232,Transfer!AF223,Transfer!AF224,Transfer!AF245,Transfer!AF246,Transfer!AF226,Transfer!AF227)</f>
        <v>-3.4309394323002138</v>
      </c>
      <c r="AS433" s="1719">
        <f>100*(SUM(Transfer!AF213,Transfer!AF214,Transfer!AF215,Transfer!AF217,Transfer!AF243,Transfer!AF225)-SUM(Transfer!AF220,Transfer!AF221,Transfer!AF232,Transfer!AF223,Transfer!AF224,Transfer!AF245,Transfer!AF246,Transfer!AF226,Transfer!AF227))/Transfer!AF147</f>
        <v>-2.6923814382886455</v>
      </c>
      <c r="AT433" s="470">
        <f>SUM(Transfer!AG213,Transfer!AG214,Transfer!AG215,Transfer!AG217,Transfer!AG243,Transfer!AG225)-SUM(Transfer!AG220,Transfer!AG221,Transfer!AG232,Transfer!AG223,Transfer!AG224,Transfer!AG245,Transfer!AG246,Transfer!AG226,Transfer!AG227)</f>
        <v>-3.039978906441462</v>
      </c>
      <c r="AU433" s="1898">
        <f>100*(SUM(Transfer!AG213,Transfer!AG214,Transfer!AG215,Transfer!AG217,Transfer!AG243,Transfer!AG225)-SUM(Transfer!AG220,Transfer!AG221,Transfer!AG232,Transfer!AG223,Transfer!AG224,Transfer!AG245,Transfer!AG246,Transfer!AG226,Transfer!AG227))/Transfer!AG147</f>
        <v>-2.2336386800996988</v>
      </c>
      <c r="AV433" s="442"/>
      <c r="AW433" s="54"/>
      <c r="AX433" s="54"/>
      <c r="AY433" s="54"/>
      <c r="AZ433" s="54"/>
      <c r="BA433" s="1700" t="s">
        <v>1595</v>
      </c>
      <c r="BB433" s="1699"/>
      <c r="BC433" s="54"/>
    </row>
    <row r="434" spans="1:55" ht="13.5" thickBot="1">
      <c r="A434" s="45"/>
      <c r="B434" s="1665"/>
      <c r="C434" s="2751"/>
      <c r="D434" s="2480"/>
      <c r="E434" s="2476"/>
      <c r="F434" s="2851"/>
      <c r="G434" s="2743"/>
      <c r="H434" s="3293"/>
      <c r="I434" s="3294"/>
      <c r="J434" s="3293"/>
      <c r="K434" s="3294"/>
      <c r="L434" s="3293"/>
      <c r="M434" s="3295"/>
      <c r="N434" s="2753"/>
      <c r="O434" s="54"/>
      <c r="P434" s="54"/>
      <c r="Q434" s="54"/>
      <c r="R434" s="54"/>
      <c r="S434" s="190"/>
      <c r="T434" s="2751"/>
      <c r="U434" s="124"/>
      <c r="V434" s="2326"/>
      <c r="W434" s="211"/>
      <c r="X434" s="1714"/>
      <c r="Y434" s="211"/>
      <c r="Z434" s="2327"/>
      <c r="AA434" s="211"/>
      <c r="AB434" s="2327"/>
      <c r="AC434" s="211"/>
      <c r="AD434" s="480"/>
      <c r="AE434" s="478"/>
      <c r="AF434" s="45"/>
      <c r="AG434" s="45"/>
      <c r="AH434" s="45"/>
      <c r="AI434" s="45"/>
      <c r="AJ434" s="190"/>
      <c r="AK434" s="2751"/>
      <c r="AL434" s="124"/>
      <c r="AM434" s="2326"/>
      <c r="AN434" s="211"/>
      <c r="AO434" s="1714"/>
      <c r="AP434" s="211"/>
      <c r="AQ434" s="2327"/>
      <c r="AR434" s="211"/>
      <c r="AS434" s="2327"/>
      <c r="AT434" s="211"/>
      <c r="AU434" s="480"/>
      <c r="AV434" s="478"/>
      <c r="AW434" s="54"/>
      <c r="AX434" s="54"/>
      <c r="AY434" s="54"/>
      <c r="AZ434" s="54"/>
      <c r="BA434" s="1665"/>
      <c r="BB434" s="1699"/>
      <c r="BC434" s="54"/>
    </row>
    <row r="435" spans="1:55" ht="13.5" thickBot="1">
      <c r="A435" s="45"/>
      <c r="B435" s="1665"/>
      <c r="C435" s="3314" t="s">
        <v>2104</v>
      </c>
      <c r="D435" s="3213"/>
      <c r="E435" s="3214"/>
      <c r="F435" s="3216">
        <f ca="1">Transfer!D228</f>
        <v>15.5137</v>
      </c>
      <c r="G435" s="3215">
        <f ca="1">100*((Transfer!D228/Transfer!D147))</f>
        <v>40.119922458487984</v>
      </c>
      <c r="H435" s="3216">
        <f ca="1">Transfer!E228</f>
        <v>16.968591902919371</v>
      </c>
      <c r="I435" s="3296">
        <f ca="1">100*((Transfer!E228/Transfer!E147))</f>
        <v>40.614543885888274</v>
      </c>
      <c r="J435" s="3216">
        <f ca="1">Transfer!F228</f>
        <v>16.367516381052045</v>
      </c>
      <c r="K435" s="3315">
        <f ca="1">100*((Transfer!F228/Transfer!F147))</f>
        <v>37.020898990445382</v>
      </c>
      <c r="L435" s="3297">
        <f ca="1">Transfer!G228</f>
        <v>17.58658710626565</v>
      </c>
      <c r="M435" s="3316">
        <f ca="1">100*((Transfer!G228/Transfer!G147))</f>
        <v>37.67780647795454</v>
      </c>
      <c r="N435" s="2753"/>
      <c r="O435" s="54"/>
      <c r="P435" s="54"/>
      <c r="Q435" s="54"/>
      <c r="R435" s="54"/>
      <c r="S435" s="190"/>
      <c r="T435" s="2754" t="s">
        <v>2104</v>
      </c>
      <c r="U435" s="2328"/>
      <c r="V435" s="2329"/>
      <c r="W435" s="2021">
        <f t="shared" ref="W435:AD436" ca="1" si="27">ROUND(F435,1)-ROUND(AN435,1)</f>
        <v>-30.5</v>
      </c>
      <c r="X435" s="2022">
        <f t="shared" ca="1" si="27"/>
        <v>-0.39999999999999858</v>
      </c>
      <c r="Y435" s="2022">
        <f t="shared" ca="1" si="27"/>
        <v>-31</v>
      </c>
      <c r="Z435" s="2022">
        <f t="shared" ca="1" si="27"/>
        <v>0.60000000000000142</v>
      </c>
      <c r="AA435" s="2022">
        <f t="shared" ca="1" si="27"/>
        <v>-34.300000000000004</v>
      </c>
      <c r="AB435" s="2022">
        <f t="shared" ca="1" si="27"/>
        <v>-2.7999999999999972</v>
      </c>
      <c r="AC435" s="2022">
        <f t="shared" ca="1" si="27"/>
        <v>-35.5</v>
      </c>
      <c r="AD435" s="2025">
        <f t="shared" ca="1" si="27"/>
        <v>-1.2999999999999972</v>
      </c>
      <c r="AE435" s="478"/>
      <c r="AF435" s="45"/>
      <c r="AG435" s="45"/>
      <c r="AH435" s="45"/>
      <c r="AI435" s="45"/>
      <c r="AJ435" s="190"/>
      <c r="AK435" s="2754" t="s">
        <v>2104</v>
      </c>
      <c r="AL435" s="2328"/>
      <c r="AM435" s="2329"/>
      <c r="AN435" s="481">
        <f>Transfer!AD228</f>
        <v>46.036499999999997</v>
      </c>
      <c r="AO435" s="2330">
        <f>100*((Transfer!AD228/Transfer!AD147))</f>
        <v>40.477092743023888</v>
      </c>
      <c r="AP435" s="2331">
        <f>Transfer!AE228</f>
        <v>47.997328027906114</v>
      </c>
      <c r="AQ435" s="2332">
        <f>100*((Transfer!AE228/Transfer!AE147))</f>
        <v>39.984524504562984</v>
      </c>
      <c r="AR435" s="481">
        <f>Transfer!AF228</f>
        <v>50.692374002846307</v>
      </c>
      <c r="AS435" s="2332">
        <f>100*((Transfer!AF228/Transfer!AF147))</f>
        <v>39.78012714043934</v>
      </c>
      <c r="AT435" s="2022">
        <f>Transfer!AG228</f>
        <v>53.077772554326096</v>
      </c>
      <c r="AU435" s="2333">
        <f>100*((Transfer!AG228/Transfer!AG147))</f>
        <v>38.999140941295835</v>
      </c>
      <c r="AV435" s="478"/>
      <c r="AW435" s="54"/>
      <c r="AX435" s="54"/>
      <c r="AY435" s="54"/>
      <c r="AZ435" s="54"/>
      <c r="BA435" s="1700" t="s">
        <v>2016</v>
      </c>
      <c r="BB435" s="1699"/>
      <c r="BC435" s="54"/>
    </row>
    <row r="436" spans="1:55" ht="13.5" thickBot="1">
      <c r="A436" s="45"/>
      <c r="B436" s="1665"/>
      <c r="C436" s="2756" t="s">
        <v>2106</v>
      </c>
      <c r="D436" s="2757"/>
      <c r="E436" s="2758"/>
      <c r="F436" s="2759"/>
      <c r="G436" s="2760">
        <f ca="1">100*((SUM(Transfer!D213,Transfer!D214,Transfer!D216,Transfer!D230,Transfer!D231)/Transfer!D147))</f>
        <v>29.886273828291483</v>
      </c>
      <c r="H436" s="3298"/>
      <c r="I436" s="3299">
        <f ca="1">100*((SUM(Transfer!E213,Transfer!E214,Transfer!E216,Transfer!E230,Transfer!E231)/Transfer!E147))</f>
        <v>30.304973316779922</v>
      </c>
      <c r="J436" s="3298"/>
      <c r="K436" s="3299">
        <f ca="1">100*((SUM(Transfer!F213,Transfer!F214,Transfer!F216,Transfer!F230,Transfer!F231)/Transfer!F147))</f>
        <v>30.350360454656911</v>
      </c>
      <c r="L436" s="3298"/>
      <c r="M436" s="3300">
        <f ca="1">100*((SUM(Transfer!G213,Transfer!G214,Transfer!G216,Transfer!G230,Transfer!G231)/Transfer!G147))</f>
        <v>30.36527733536165</v>
      </c>
      <c r="N436" s="2368"/>
      <c r="O436" s="54"/>
      <c r="P436" s="54"/>
      <c r="Q436" s="54"/>
      <c r="R436" s="54"/>
      <c r="S436" s="190"/>
      <c r="T436" s="2756" t="s">
        <v>2105</v>
      </c>
      <c r="U436" s="482"/>
      <c r="V436" s="483"/>
      <c r="W436" s="2021">
        <f t="shared" si="27"/>
        <v>0</v>
      </c>
      <c r="X436" s="2022">
        <f t="shared" ca="1" si="27"/>
        <v>2.5999999999999979</v>
      </c>
      <c r="Y436" s="2022">
        <f t="shared" si="27"/>
        <v>0</v>
      </c>
      <c r="Z436" s="2022">
        <f t="shared" ca="1" si="27"/>
        <v>3</v>
      </c>
      <c r="AA436" s="2022">
        <f t="shared" si="27"/>
        <v>0</v>
      </c>
      <c r="AB436" s="2022">
        <f t="shared" ca="1" si="27"/>
        <v>3.3999999999999986</v>
      </c>
      <c r="AC436" s="2022">
        <f t="shared" si="27"/>
        <v>0</v>
      </c>
      <c r="AD436" s="2025">
        <f t="shared" ca="1" si="27"/>
        <v>3.5999999999999979</v>
      </c>
      <c r="AE436" s="82"/>
      <c r="AF436" s="45"/>
      <c r="AG436" s="45"/>
      <c r="AH436" s="45"/>
      <c r="AI436" s="45"/>
      <c r="AJ436" s="190"/>
      <c r="AK436" s="2756" t="s">
        <v>2105</v>
      </c>
      <c r="AL436" s="482"/>
      <c r="AM436" s="483"/>
      <c r="AN436" s="484"/>
      <c r="AO436" s="485">
        <f>100*((SUM(Transfer!AD213,Transfer!AD214,Transfer!AD216,Transfer!AD230,Transfer!AD231)/Transfer!AD147))</f>
        <v>27.254707666173999</v>
      </c>
      <c r="AP436" s="486"/>
      <c r="AQ436" s="485">
        <f>100*((SUM(Transfer!AE213,Transfer!AE214,Transfer!AE216,Transfer!AE230,Transfer!AE231)/Transfer!AE147))</f>
        <v>27.292607358318865</v>
      </c>
      <c r="AR436" s="486"/>
      <c r="AS436" s="485">
        <f>100*((SUM(Transfer!AF213,Transfer!AF214,Transfer!AF216,Transfer!AF230,Transfer!AF231)/Transfer!AF147))</f>
        <v>26.977768459238149</v>
      </c>
      <c r="AT436" s="486"/>
      <c r="AU436" s="487">
        <f>100*((SUM(Transfer!AG213,Transfer!AG214,Transfer!AG216,Transfer!AG230,Transfer!AG231)/Transfer!AG147))</f>
        <v>26.753716209207422</v>
      </c>
      <c r="AV436" s="82"/>
      <c r="AW436" s="54"/>
      <c r="AX436" s="54"/>
      <c r="AY436" s="54"/>
      <c r="AZ436" s="54"/>
      <c r="BA436" s="2002" t="s">
        <v>2017</v>
      </c>
      <c r="BB436" s="1702"/>
      <c r="BC436" s="54"/>
    </row>
    <row r="437" spans="1:55" ht="13.5" thickBot="1">
      <c r="A437" s="45"/>
      <c r="B437" s="1665"/>
      <c r="C437" s="3044"/>
      <c r="D437" s="3045"/>
      <c r="E437" s="2476"/>
      <c r="F437" s="2851"/>
      <c r="G437" s="2743"/>
      <c r="H437" s="2358"/>
      <c r="I437" s="2752"/>
      <c r="J437" s="2358"/>
      <c r="K437" s="2752"/>
      <c r="L437" s="2358"/>
      <c r="M437" s="3046"/>
      <c r="N437" s="2753"/>
      <c r="O437" s="54"/>
      <c r="P437" s="54"/>
      <c r="Q437" s="54"/>
      <c r="R437" s="54"/>
      <c r="S437" s="190"/>
      <c r="T437" s="2751"/>
      <c r="U437" s="124"/>
      <c r="V437" s="2326"/>
      <c r="W437" s="211"/>
      <c r="X437" s="1714"/>
      <c r="Y437" s="211"/>
      <c r="Z437" s="2327"/>
      <c r="AA437" s="211"/>
      <c r="AB437" s="2327"/>
      <c r="AC437" s="211"/>
      <c r="AD437" s="480"/>
      <c r="AE437" s="478"/>
      <c r="AF437" s="45"/>
      <c r="AG437" s="45"/>
      <c r="AH437" s="45"/>
      <c r="AI437" s="45"/>
      <c r="AJ437" s="190"/>
      <c r="AK437" s="2751"/>
      <c r="AL437" s="124"/>
      <c r="AM437" s="2326"/>
      <c r="AN437" s="211"/>
      <c r="AO437" s="1714"/>
      <c r="AP437" s="211"/>
      <c r="AQ437" s="2327"/>
      <c r="AR437" s="211"/>
      <c r="AS437" s="2327"/>
      <c r="AT437" s="211"/>
      <c r="AU437" s="480"/>
      <c r="AV437" s="478"/>
      <c r="AW437" s="54"/>
      <c r="AX437" s="54"/>
      <c r="AY437" s="54"/>
      <c r="AZ437" s="54"/>
      <c r="BA437" s="1665"/>
      <c r="BB437" s="1699"/>
      <c r="BC437" s="54"/>
    </row>
    <row r="438" spans="1:55" s="217" customFormat="1">
      <c r="A438" s="54"/>
      <c r="B438" s="1992"/>
      <c r="C438" s="2580" t="s">
        <v>87</v>
      </c>
      <c r="D438" s="2581"/>
      <c r="E438" s="3042"/>
      <c r="F438" s="2851">
        <f>+Transfer!D238</f>
        <v>-9999</v>
      </c>
      <c r="G438" s="2744">
        <f ca="1">100*((Transfer!D238/Transfer!D147))</f>
        <v>-25858.377090083042</v>
      </c>
      <c r="H438" s="2851">
        <f>+Transfer!E238</f>
        <v>-9999</v>
      </c>
      <c r="I438" s="2744">
        <f ca="1">100*((Transfer!E238/Transfer!E147))</f>
        <v>-23932.73564703553</v>
      </c>
      <c r="J438" s="2851">
        <f>+Transfer!F238</f>
        <v>-9999</v>
      </c>
      <c r="K438" s="2744">
        <f ca="1">100*((Transfer!F238/Transfer!F147))</f>
        <v>-22616.257738039916</v>
      </c>
      <c r="L438" s="2851">
        <f>+Transfer!G238</f>
        <v>-9999</v>
      </c>
      <c r="M438" s="3047">
        <f ca="1">100*((Transfer!G238/Transfer!G147))</f>
        <v>-21422.029453278315</v>
      </c>
      <c r="N438" s="2731"/>
      <c r="O438" s="54"/>
      <c r="P438" s="54"/>
      <c r="Q438" s="54"/>
      <c r="R438" s="54"/>
      <c r="S438" s="259"/>
      <c r="T438" s="2580" t="s">
        <v>87</v>
      </c>
      <c r="U438" s="2581"/>
      <c r="V438" s="3042"/>
      <c r="W438" s="3048">
        <f t="shared" ref="W438:AD440" si="28">ROUND(F438,1)-ROUND(AN438,1)</f>
        <v>-9999.1</v>
      </c>
      <c r="X438" s="474">
        <f t="shared" ca="1" si="28"/>
        <v>-25858.5</v>
      </c>
      <c r="Y438" s="474">
        <f t="shared" si="28"/>
        <v>-9999</v>
      </c>
      <c r="Z438" s="474">
        <f t="shared" ca="1" si="28"/>
        <v>-23932.7</v>
      </c>
      <c r="AA438" s="474">
        <f t="shared" si="28"/>
        <v>-9999</v>
      </c>
      <c r="AB438" s="474">
        <f t="shared" ca="1" si="28"/>
        <v>-22616.3</v>
      </c>
      <c r="AC438" s="474">
        <f t="shared" si="28"/>
        <v>-9999</v>
      </c>
      <c r="AD438" s="3049">
        <f t="shared" ca="1" si="28"/>
        <v>-21422</v>
      </c>
      <c r="AE438" s="468"/>
      <c r="AF438" s="54"/>
      <c r="AG438" s="54"/>
      <c r="AH438" s="54"/>
      <c r="AI438" s="54"/>
      <c r="AJ438" s="259"/>
      <c r="AK438" s="2580" t="s">
        <v>87</v>
      </c>
      <c r="AL438" s="2581"/>
      <c r="AM438" s="3042"/>
      <c r="AN438" s="2851">
        <f>+Transfer!AD238</f>
        <v>8.6999999999999994E-2</v>
      </c>
      <c r="AO438" s="2744">
        <f>100*((Transfer!AD238/Transfer!AD147))</f>
        <v>7.6493805320627731E-2</v>
      </c>
      <c r="AP438" s="2851">
        <f>+Transfer!AE238</f>
        <v>0</v>
      </c>
      <c r="AQ438" s="2744">
        <f>100*((Transfer!AE238/Transfer!AE147))</f>
        <v>0</v>
      </c>
      <c r="AR438" s="2851">
        <f>+Transfer!AF238</f>
        <v>0</v>
      </c>
      <c r="AS438" s="2744">
        <f>100*((Transfer!AF238/Transfer!AF147))</f>
        <v>0</v>
      </c>
      <c r="AT438" s="2851">
        <f>+Transfer!AG238</f>
        <v>0</v>
      </c>
      <c r="AU438" s="3047">
        <f>100*((Transfer!AG238/Transfer!AG147))</f>
        <v>0</v>
      </c>
      <c r="AV438" s="468"/>
      <c r="AW438" s="54"/>
      <c r="AX438" s="54"/>
      <c r="AY438" s="54"/>
      <c r="AZ438" s="54"/>
      <c r="BA438" s="1673" t="s">
        <v>2016</v>
      </c>
      <c r="BB438" s="1699"/>
      <c r="BC438" s="54"/>
    </row>
    <row r="439" spans="1:55" s="217" customFormat="1">
      <c r="A439" s="54"/>
      <c r="B439" s="1992"/>
      <c r="C439" s="2827" t="s">
        <v>86</v>
      </c>
      <c r="D439" s="2545"/>
      <c r="E439" s="2694"/>
      <c r="F439" s="2697">
        <f>+Transfer!D239</f>
        <v>-9999</v>
      </c>
      <c r="G439" s="2695">
        <f ca="1">100*((Transfer!D239/Transfer!D147))</f>
        <v>-25858.377090083042</v>
      </c>
      <c r="H439" s="2697">
        <f>+Transfer!E239</f>
        <v>-9999</v>
      </c>
      <c r="I439" s="2695">
        <f ca="1">100*((Transfer!E239/Transfer!E147))</f>
        <v>-23932.73564703553</v>
      </c>
      <c r="J439" s="2697">
        <f>+Transfer!F239</f>
        <v>-9999</v>
      </c>
      <c r="K439" s="2695">
        <f ca="1">100*((Transfer!F239/Transfer!F147))</f>
        <v>-22616.257738039916</v>
      </c>
      <c r="L439" s="2697">
        <f>+Transfer!G239</f>
        <v>-9999</v>
      </c>
      <c r="M439" s="2750">
        <f ca="1">100*((Transfer!G239/Transfer!G147))</f>
        <v>-21422.029453278315</v>
      </c>
      <c r="N439" s="2731"/>
      <c r="O439" s="54"/>
      <c r="P439" s="54"/>
      <c r="Q439" s="54"/>
      <c r="R439" s="54"/>
      <c r="S439" s="259"/>
      <c r="T439" s="2827" t="s">
        <v>86</v>
      </c>
      <c r="U439" s="2545"/>
      <c r="V439" s="2694"/>
      <c r="W439" s="2697">
        <f t="shared" si="28"/>
        <v>-9999</v>
      </c>
      <c r="X439" s="2695">
        <f t="shared" ca="1" si="28"/>
        <v>-25858.400000000001</v>
      </c>
      <c r="Y439" s="2697">
        <f t="shared" si="28"/>
        <v>-9998.7999999999993</v>
      </c>
      <c r="Z439" s="2695">
        <f t="shared" ca="1" si="28"/>
        <v>-23932.5</v>
      </c>
      <c r="AA439" s="2697">
        <f t="shared" si="28"/>
        <v>-9999</v>
      </c>
      <c r="AB439" s="2695">
        <f t="shared" ca="1" si="28"/>
        <v>-22616.3</v>
      </c>
      <c r="AC439" s="2697">
        <f t="shared" si="28"/>
        <v>-9999</v>
      </c>
      <c r="AD439" s="2750">
        <f t="shared" ca="1" si="28"/>
        <v>-21422</v>
      </c>
      <c r="AE439" s="468"/>
      <c r="AF439" s="54"/>
      <c r="AG439" s="54"/>
      <c r="AH439" s="54"/>
      <c r="AI439" s="54"/>
      <c r="AJ439" s="259"/>
      <c r="AK439" s="2827" t="s">
        <v>86</v>
      </c>
      <c r="AL439" s="2545"/>
      <c r="AM439" s="2694"/>
      <c r="AN439" s="2697">
        <f>+Transfer!AD239</f>
        <v>0</v>
      </c>
      <c r="AO439" s="2695">
        <f>100*((Transfer!AD239/Transfer!AD147))</f>
        <v>0</v>
      </c>
      <c r="AP439" s="2697">
        <f>+Transfer!AE239</f>
        <v>-0.217</v>
      </c>
      <c r="AQ439" s="2695">
        <f>100*((Transfer!AE239/Transfer!AE147))</f>
        <v>-0.18077343414711511</v>
      </c>
      <c r="AR439" s="2697">
        <f>+Transfer!AF239</f>
        <v>0</v>
      </c>
      <c r="AS439" s="2695">
        <f>100*((Transfer!AF239/Transfer!AF147))</f>
        <v>0</v>
      </c>
      <c r="AT439" s="2697">
        <f>+Transfer!AG239</f>
        <v>0</v>
      </c>
      <c r="AU439" s="2750">
        <f>100*((Transfer!AG239/Transfer!AG147))</f>
        <v>0</v>
      </c>
      <c r="AV439" s="468"/>
      <c r="AW439" s="54"/>
      <c r="AX439" s="54"/>
      <c r="AY439" s="54"/>
      <c r="AZ439" s="54"/>
      <c r="BA439" s="1673" t="s">
        <v>2016</v>
      </c>
      <c r="BB439" s="1699"/>
      <c r="BC439" s="54"/>
    </row>
    <row r="440" spans="1:55" ht="13.5" thickBot="1">
      <c r="A440" s="45"/>
      <c r="B440" s="1665"/>
      <c r="C440" s="2573" t="s">
        <v>1268</v>
      </c>
      <c r="D440" s="3038"/>
      <c r="E440" s="3039"/>
      <c r="F440" s="3043">
        <f>+Transfer!D238+Transfer!D239</f>
        <v>-19998</v>
      </c>
      <c r="G440" s="3040">
        <f ca="1">100*(Transfer!D238+Transfer!D239)/Transfer!D147</f>
        <v>-51716.754180166085</v>
      </c>
      <c r="H440" s="3043">
        <f>+Transfer!E238+Transfer!E239</f>
        <v>-19998</v>
      </c>
      <c r="I440" s="3040">
        <f ca="1">100*(Transfer!E238+Transfer!E239)/Transfer!E147</f>
        <v>-47865.471294071052</v>
      </c>
      <c r="J440" s="3043">
        <f>+Transfer!F238+Transfer!F239</f>
        <v>-19998</v>
      </c>
      <c r="K440" s="3040">
        <f ca="1">100*(Transfer!F238+Transfer!F239)/Transfer!F147</f>
        <v>-45232.515476079832</v>
      </c>
      <c r="L440" s="3043">
        <f>+Transfer!G238+Transfer!G239</f>
        <v>-19998</v>
      </c>
      <c r="M440" s="3041">
        <f ca="1">100*(Transfer!G238+Transfer!G239)/Transfer!G147</f>
        <v>-42844.058906556631</v>
      </c>
      <c r="N440" s="2368"/>
      <c r="O440" s="54"/>
      <c r="P440" s="54"/>
      <c r="Q440" s="54"/>
      <c r="R440" s="54"/>
      <c r="S440" s="190"/>
      <c r="T440" s="2573" t="s">
        <v>1268</v>
      </c>
      <c r="U440" s="3038"/>
      <c r="V440" s="3039"/>
      <c r="W440" s="2339">
        <f t="shared" si="28"/>
        <v>-19998.099999999999</v>
      </c>
      <c r="X440" s="477">
        <f t="shared" ca="1" si="28"/>
        <v>-51716.9</v>
      </c>
      <c r="Y440" s="477">
        <f t="shared" si="28"/>
        <v>-19997.8</v>
      </c>
      <c r="Z440" s="477">
        <f t="shared" ca="1" si="28"/>
        <v>-47865.3</v>
      </c>
      <c r="AA440" s="477">
        <f t="shared" si="28"/>
        <v>-19998</v>
      </c>
      <c r="AB440" s="477">
        <f t="shared" ca="1" si="28"/>
        <v>-45232.5</v>
      </c>
      <c r="AC440" s="477">
        <f t="shared" si="28"/>
        <v>-19998</v>
      </c>
      <c r="AD440" s="2340">
        <f t="shared" ca="1" si="28"/>
        <v>-42844.1</v>
      </c>
      <c r="AE440" s="82"/>
      <c r="AF440" s="45"/>
      <c r="AG440" s="45"/>
      <c r="AH440" s="45"/>
      <c r="AI440" s="45"/>
      <c r="AJ440" s="190"/>
      <c r="AK440" s="2573" t="s">
        <v>1268</v>
      </c>
      <c r="AL440" s="3038"/>
      <c r="AM440" s="3039"/>
      <c r="AN440" s="3043">
        <f>+Transfer!AD238+Transfer!AD239</f>
        <v>8.6999999999999994E-2</v>
      </c>
      <c r="AO440" s="3040">
        <f>100*(Transfer!AD238+Transfer!AD239)/Transfer!AD147</f>
        <v>7.6493805320627731E-2</v>
      </c>
      <c r="AP440" s="3043">
        <f>+Transfer!AE238+Transfer!AE239</f>
        <v>-0.217</v>
      </c>
      <c r="AQ440" s="3040">
        <f>100*(Transfer!AE238+Transfer!AE239)/Transfer!AE147</f>
        <v>-0.18077343414711511</v>
      </c>
      <c r="AR440" s="3043">
        <f>+Transfer!AF238+Transfer!AF239</f>
        <v>0</v>
      </c>
      <c r="AS440" s="3040">
        <f>100*(Transfer!AF238+Transfer!AF239)/Transfer!AF147</f>
        <v>0</v>
      </c>
      <c r="AT440" s="3043">
        <f>+Transfer!AG238+Transfer!AG239</f>
        <v>0</v>
      </c>
      <c r="AU440" s="3041">
        <f>100*(Transfer!AG238+Transfer!AG239)/Transfer!AG147</f>
        <v>0</v>
      </c>
      <c r="AV440" s="82"/>
      <c r="AW440" s="54"/>
      <c r="AX440" s="54"/>
      <c r="AY440" s="54"/>
      <c r="AZ440" s="54"/>
      <c r="BA440" s="2002" t="s">
        <v>2017</v>
      </c>
      <c r="BB440" s="1702"/>
      <c r="BC440" s="54"/>
    </row>
    <row r="441" spans="1:55">
      <c r="A441" s="45"/>
      <c r="B441" s="1701"/>
      <c r="C441" s="2477"/>
      <c r="D441" s="2477"/>
      <c r="E441" s="2477"/>
      <c r="F441" s="2850"/>
      <c r="G441" s="2850"/>
      <c r="H441" s="2477"/>
      <c r="I441" s="2761"/>
      <c r="J441" s="2477"/>
      <c r="K441" s="2477"/>
      <c r="L441" s="2477"/>
      <c r="M441" s="2400" t="str">
        <f>UPPER(Country)</f>
        <v>LITHUANIA</v>
      </c>
      <c r="N441" s="2478"/>
      <c r="O441" s="54"/>
      <c r="P441" s="54"/>
      <c r="Q441" s="54"/>
      <c r="R441" s="54"/>
      <c r="S441" s="215"/>
      <c r="T441" s="113"/>
      <c r="U441" s="113"/>
      <c r="V441" s="113"/>
      <c r="W441" s="113"/>
      <c r="X441" s="113"/>
      <c r="Y441" s="113"/>
      <c r="Z441" s="113"/>
      <c r="AA441" s="113"/>
      <c r="AB441" s="113"/>
      <c r="AC441" s="113"/>
      <c r="AD441" s="118" t="str">
        <f>UPPER(Country)</f>
        <v>LITHUANIA</v>
      </c>
      <c r="AE441" s="216"/>
      <c r="AF441" s="45"/>
      <c r="AG441" s="45"/>
      <c r="AH441" s="45"/>
      <c r="AI441" s="45"/>
      <c r="AJ441" s="215"/>
      <c r="AK441" s="113"/>
      <c r="AL441" s="113"/>
      <c r="AM441" s="113"/>
      <c r="AN441" s="113"/>
      <c r="AO441" s="1514"/>
      <c r="AP441" s="113"/>
      <c r="AQ441" s="1514"/>
      <c r="AR441" s="113"/>
      <c r="AS441" s="113"/>
      <c r="AT441" s="113"/>
      <c r="AU441" s="118" t="str">
        <f>UPPER(Country)</f>
        <v>LITHUANIA</v>
      </c>
      <c r="AV441" s="216"/>
      <c r="AW441" s="54"/>
      <c r="AX441" s="54"/>
      <c r="AY441" s="54"/>
      <c r="AZ441" s="54"/>
      <c r="BA441" s="54"/>
      <c r="BB441" s="54"/>
      <c r="BC441" s="54"/>
    </row>
    <row r="442" spans="1:55">
      <c r="A442" s="45"/>
      <c r="B442" s="45"/>
      <c r="C442" s="45"/>
      <c r="D442" s="45"/>
      <c r="E442" s="45"/>
      <c r="F442" s="45"/>
      <c r="G442" s="45"/>
      <c r="H442" s="45"/>
      <c r="I442" s="1720"/>
      <c r="J442" s="45"/>
      <c r="K442" s="45"/>
      <c r="L442" s="45"/>
      <c r="M442" s="45"/>
      <c r="N442" s="54"/>
      <c r="O442" s="54"/>
      <c r="P442" s="54"/>
      <c r="Q442" s="54"/>
      <c r="R442" s="54"/>
      <c r="S442" s="54"/>
      <c r="T442" s="54"/>
      <c r="U442" s="54"/>
      <c r="V442" s="54"/>
      <c r="W442" s="54"/>
      <c r="X442" s="54"/>
      <c r="Y442" s="54"/>
      <c r="Z442" s="54"/>
      <c r="AA442" s="54"/>
      <c r="AB442" s="45"/>
      <c r="AC442" s="45"/>
      <c r="AD442" s="45"/>
      <c r="AE442" s="45"/>
      <c r="AF442" s="45"/>
      <c r="AG442" s="45"/>
      <c r="AH442" s="45"/>
      <c r="AI442" s="45"/>
      <c r="AJ442" s="45"/>
      <c r="AK442" s="45"/>
      <c r="AL442" s="45"/>
      <c r="AM442" s="45"/>
      <c r="AN442" s="45"/>
      <c r="AO442" s="45"/>
      <c r="AP442" s="45"/>
      <c r="AQ442" s="45"/>
      <c r="AR442" s="45"/>
      <c r="AS442" s="45"/>
      <c r="AT442" s="45"/>
      <c r="AU442" s="45"/>
      <c r="AV442" s="54"/>
      <c r="AW442" s="54"/>
      <c r="AX442" s="54"/>
      <c r="AY442" s="54"/>
      <c r="AZ442" s="54"/>
      <c r="BA442" s="54"/>
      <c r="BB442" s="54"/>
      <c r="BC442" s="54"/>
    </row>
    <row r="443" spans="1:55">
      <c r="A443" s="45"/>
      <c r="B443" s="45"/>
      <c r="C443" s="45"/>
      <c r="D443" s="45"/>
      <c r="E443" s="45"/>
      <c r="F443" s="45"/>
      <c r="G443" s="45"/>
      <c r="H443" s="1721"/>
      <c r="I443" s="1721"/>
      <c r="J443" s="1721"/>
      <c r="K443" s="1721"/>
      <c r="L443" s="1721"/>
      <c r="M443" s="187"/>
      <c r="N443" s="54"/>
      <c r="O443" s="54"/>
      <c r="P443" s="54"/>
      <c r="Q443" s="54"/>
      <c r="R443" s="54"/>
      <c r="S443" s="54"/>
      <c r="T443" s="54"/>
      <c r="U443" s="54"/>
      <c r="V443" s="54"/>
      <c r="W443" s="54"/>
      <c r="X443" s="54"/>
      <c r="Y443" s="54"/>
      <c r="Z443" s="54"/>
      <c r="AA443" s="54"/>
      <c r="AB443" s="45"/>
      <c r="AC443" s="45"/>
      <c r="AD443" s="45"/>
      <c r="AE443" s="45"/>
      <c r="AF443" s="45"/>
      <c r="AG443" s="45"/>
      <c r="AH443" s="45"/>
      <c r="AI443" s="45"/>
      <c r="AJ443" s="45"/>
      <c r="AK443" s="45"/>
      <c r="AL443" s="45"/>
      <c r="AM443" s="45"/>
      <c r="AN443" s="45"/>
      <c r="AO443" s="45"/>
      <c r="AP443" s="1721"/>
      <c r="AQ443" s="1721"/>
      <c r="AR443" s="1721"/>
      <c r="AS443" s="1721"/>
      <c r="AT443" s="1721"/>
      <c r="AU443" s="187"/>
      <c r="AV443" s="54"/>
      <c r="AW443" s="54"/>
      <c r="AX443" s="54"/>
      <c r="AY443" s="54"/>
      <c r="AZ443" s="54"/>
      <c r="BA443" s="54"/>
      <c r="BB443" s="54"/>
      <c r="BC443" s="54"/>
    </row>
    <row r="444" spans="1:55">
      <c r="A444" s="45"/>
      <c r="B444" s="45"/>
      <c r="C444" s="45"/>
      <c r="D444" s="45"/>
      <c r="E444" s="45"/>
      <c r="F444" s="45"/>
      <c r="G444" s="45"/>
      <c r="H444" s="45"/>
      <c r="I444" s="1721"/>
      <c r="J444" s="1721"/>
      <c r="K444" s="1721"/>
      <c r="L444" s="1721"/>
      <c r="M444" s="1721"/>
      <c r="N444" s="45"/>
      <c r="O444" s="54"/>
      <c r="P444" s="54"/>
      <c r="Q444" s="54"/>
      <c r="R444" s="54"/>
      <c r="S444" s="54"/>
      <c r="T444" s="54"/>
      <c r="U444" s="54"/>
      <c r="V444" s="54"/>
      <c r="W444" s="54"/>
      <c r="X444" s="54"/>
      <c r="Y444" s="54"/>
      <c r="Z444" s="54"/>
      <c r="AA444" s="54"/>
      <c r="AB444" s="45"/>
      <c r="AC444" s="45"/>
      <c r="AD444" s="45"/>
      <c r="AE444" s="45"/>
      <c r="AF444" s="45"/>
      <c r="AG444" s="45"/>
      <c r="AH444" s="45"/>
      <c r="AI444" s="45"/>
      <c r="AJ444" s="45"/>
      <c r="AK444" s="45"/>
      <c r="AL444" s="45"/>
      <c r="AM444" s="45"/>
      <c r="AN444" s="45"/>
      <c r="AO444" s="45"/>
      <c r="AP444" s="45"/>
      <c r="AQ444" s="1721"/>
      <c r="AR444" s="1721"/>
      <c r="AS444" s="1721"/>
      <c r="AT444" s="1721"/>
      <c r="AU444" s="1721"/>
      <c r="AV444" s="45"/>
      <c r="AW444" s="54"/>
      <c r="AX444" s="54"/>
      <c r="AY444" s="54"/>
      <c r="AZ444" s="54"/>
      <c r="BA444" s="54"/>
      <c r="BB444" s="54"/>
      <c r="BC444" s="54"/>
    </row>
    <row r="445" spans="1:55">
      <c r="A445" s="45"/>
      <c r="B445" s="45"/>
      <c r="C445" s="45"/>
      <c r="D445" s="45"/>
      <c r="E445" s="45"/>
      <c r="F445" s="45"/>
      <c r="G445" s="45"/>
      <c r="H445" s="45"/>
      <c r="I445" s="45"/>
      <c r="J445" s="45"/>
      <c r="K445" s="45"/>
      <c r="L445" s="45"/>
      <c r="M445" s="45"/>
      <c r="N445" s="45"/>
      <c r="O445" s="54"/>
      <c r="P445" s="54"/>
      <c r="Q445" s="54"/>
      <c r="R445" s="54"/>
      <c r="S445" s="54"/>
      <c r="T445" s="54"/>
      <c r="U445" s="54"/>
      <c r="V445" s="54"/>
      <c r="W445" s="54"/>
      <c r="X445" s="54"/>
      <c r="Y445" s="54"/>
      <c r="Z445" s="54"/>
      <c r="AA445" s="54"/>
      <c r="AB445" s="45"/>
      <c r="AC445" s="45"/>
      <c r="AD445" s="45"/>
      <c r="AE445" s="45"/>
      <c r="AF445" s="45"/>
      <c r="AG445" s="45"/>
      <c r="AH445" s="45"/>
      <c r="AI445" s="45"/>
      <c r="AJ445" s="45"/>
      <c r="AK445" s="45"/>
      <c r="AL445" s="45"/>
      <c r="AM445" s="45"/>
      <c r="AN445" s="45"/>
      <c r="AO445" s="45"/>
      <c r="AP445" s="45"/>
      <c r="AQ445" s="45"/>
      <c r="AR445" s="45"/>
      <c r="AS445" s="45"/>
      <c r="AT445" s="45"/>
      <c r="AU445" s="45"/>
      <c r="AV445" s="45"/>
      <c r="AW445" s="54"/>
      <c r="AX445" s="54"/>
      <c r="AY445" s="54"/>
      <c r="AZ445" s="54"/>
      <c r="BA445" s="54"/>
      <c r="BB445" s="54"/>
      <c r="BC445" s="54"/>
    </row>
    <row r="446" spans="1:55">
      <c r="A446" s="45"/>
      <c r="B446" s="2341"/>
      <c r="C446" s="2601" t="s">
        <v>459</v>
      </c>
      <c r="D446" s="2720"/>
      <c r="E446" s="2720"/>
      <c r="F446" s="2720"/>
      <c r="G446" s="2720"/>
      <c r="H446" s="2720"/>
      <c r="I446" s="2720"/>
      <c r="J446" s="2720"/>
      <c r="K446" s="2720"/>
      <c r="L446" s="2720"/>
      <c r="M446" s="2721"/>
      <c r="N446" s="54"/>
      <c r="O446" s="54"/>
      <c r="P446" s="54"/>
      <c r="Q446" s="54"/>
      <c r="R446" s="54"/>
      <c r="S446" s="188"/>
      <c r="T446" s="457" t="s">
        <v>459</v>
      </c>
      <c r="U446" s="458"/>
      <c r="V446" s="458"/>
      <c r="W446" s="458"/>
      <c r="X446" s="458"/>
      <c r="Y446" s="458"/>
      <c r="Z446" s="458"/>
      <c r="AA446" s="458"/>
      <c r="AB446" s="458"/>
      <c r="AC446" s="458"/>
      <c r="AD446" s="459"/>
      <c r="AE446" s="45"/>
      <c r="AF446" s="45"/>
      <c r="AG446" s="45"/>
      <c r="AH446" s="45"/>
      <c r="AI446" s="45"/>
      <c r="AJ446" s="188"/>
      <c r="AK446" s="457" t="s">
        <v>459</v>
      </c>
      <c r="AL446" s="458"/>
      <c r="AM446" s="458"/>
      <c r="AN446" s="458"/>
      <c r="AO446" s="458"/>
      <c r="AP446" s="458"/>
      <c r="AQ446" s="458"/>
      <c r="AR446" s="458"/>
      <c r="AS446" s="458"/>
      <c r="AT446" s="458"/>
      <c r="AU446" s="459"/>
      <c r="AV446" s="54"/>
      <c r="AW446" s="54"/>
      <c r="AX446" s="54"/>
      <c r="AY446" s="54"/>
      <c r="AZ446" s="54"/>
      <c r="BA446" s="54"/>
      <c r="BB446" s="54"/>
      <c r="BC446" s="54"/>
    </row>
    <row r="447" spans="1:55">
      <c r="A447" s="45"/>
      <c r="B447" s="1665"/>
      <c r="C447" s="3751" t="s">
        <v>205</v>
      </c>
      <c r="D447" s="3751"/>
      <c r="E447" s="3751"/>
      <c r="F447" s="3751"/>
      <c r="G447" s="3751"/>
      <c r="H447" s="3751"/>
      <c r="I447" s="3751"/>
      <c r="J447" s="3751"/>
      <c r="K447" s="3751"/>
      <c r="L447" s="3751"/>
      <c r="M447" s="2452"/>
      <c r="N447" s="54"/>
      <c r="O447" s="54"/>
      <c r="P447" s="54"/>
      <c r="Q447" s="54"/>
      <c r="R447" s="54"/>
      <c r="S447" s="190"/>
      <c r="T447" s="3751" t="s">
        <v>205</v>
      </c>
      <c r="U447" s="3751"/>
      <c r="V447" s="3751"/>
      <c r="W447" s="3751"/>
      <c r="X447" s="3751"/>
      <c r="Y447" s="3751"/>
      <c r="Z447" s="3751"/>
      <c r="AA447" s="3751"/>
      <c r="AB447" s="3751"/>
      <c r="AC447" s="3751"/>
      <c r="AD447" s="199"/>
      <c r="AE447" s="45"/>
      <c r="AF447" s="45"/>
      <c r="AG447" s="45"/>
      <c r="AH447" s="45"/>
      <c r="AI447" s="45"/>
      <c r="AJ447" s="190"/>
      <c r="AK447" s="3751" t="s">
        <v>205</v>
      </c>
      <c r="AL447" s="3751"/>
      <c r="AM447" s="3751"/>
      <c r="AN447" s="3751"/>
      <c r="AO447" s="3751"/>
      <c r="AP447" s="3751"/>
      <c r="AQ447" s="3751"/>
      <c r="AR447" s="3751"/>
      <c r="AS447" s="3751"/>
      <c r="AT447" s="3751"/>
      <c r="AU447" s="199"/>
      <c r="AV447" s="54"/>
      <c r="AW447" s="54"/>
      <c r="AX447" s="54"/>
      <c r="AY447" s="54"/>
      <c r="AZ447" s="54"/>
      <c r="BA447" s="54"/>
      <c r="BB447" s="54"/>
      <c r="BC447" s="54"/>
    </row>
    <row r="448" spans="1:55" ht="15.75">
      <c r="A448" s="45"/>
      <c r="B448" s="1665"/>
      <c r="C448" s="2349" t="str">
        <f>"Country: " &amp;UPPER(Country)</f>
        <v>Country: LITHUANIA</v>
      </c>
      <c r="D448" s="2351"/>
      <c r="E448" s="2351"/>
      <c r="F448" s="2351"/>
      <c r="G448" s="2351"/>
      <c r="H448" s="2351"/>
      <c r="I448" s="2351"/>
      <c r="J448" s="2351"/>
      <c r="K448" s="2351"/>
      <c r="L448" s="2351"/>
      <c r="M448" s="2452"/>
      <c r="N448" s="54"/>
      <c r="O448" s="54"/>
      <c r="P448" s="54"/>
      <c r="Q448" s="54"/>
      <c r="R448" s="54"/>
      <c r="S448" s="190"/>
      <c r="T448" s="63" t="str">
        <f>"Country: " &amp;UPPER(Country)</f>
        <v>Country: LITHUANIA</v>
      </c>
      <c r="U448" s="65"/>
      <c r="V448" s="65"/>
      <c r="W448" s="2006" t="s">
        <v>390</v>
      </c>
      <c r="X448" s="65"/>
      <c r="Y448" s="65"/>
      <c r="Z448" s="65"/>
      <c r="AA448" s="65"/>
      <c r="AB448" s="65"/>
      <c r="AC448" s="65"/>
      <c r="AD448" s="196"/>
      <c r="AE448" s="45"/>
      <c r="AF448" s="45"/>
      <c r="AG448" s="45"/>
      <c r="AH448" s="45"/>
      <c r="AI448" s="45"/>
      <c r="AJ448" s="190"/>
      <c r="AK448" s="63" t="str">
        <f>"Country: " &amp;UPPER(Country)</f>
        <v>Country: LITHUANIA</v>
      </c>
      <c r="AL448" s="65"/>
      <c r="AM448" s="65"/>
      <c r="AN448" s="65"/>
      <c r="AO448" s="65"/>
      <c r="AP448" s="65"/>
      <c r="AQ448" s="65"/>
      <c r="AR448" s="65"/>
      <c r="AS448" s="65"/>
      <c r="AT448" s="65"/>
      <c r="AU448" s="196"/>
      <c r="AV448" s="54"/>
      <c r="AW448" s="54"/>
      <c r="AX448" s="54"/>
      <c r="AY448" s="54"/>
      <c r="AZ448" s="54"/>
      <c r="BA448" s="54"/>
      <c r="BB448" s="54"/>
      <c r="BC448" s="54"/>
    </row>
    <row r="449" spans="1:55" ht="16.5" thickBot="1">
      <c r="A449" s="45"/>
      <c r="B449" s="1665"/>
      <c r="C449" s="2355" t="s">
        <v>297</v>
      </c>
      <c r="D449" s="2703"/>
      <c r="E449" s="2351"/>
      <c r="F449" s="2351"/>
      <c r="G449" s="2351"/>
      <c r="H449" s="2351"/>
      <c r="I449" s="2351"/>
      <c r="J449" s="2445"/>
      <c r="K449" s="3789">
        <f ca="1">NOW()</f>
        <v>43392.47578483796</v>
      </c>
      <c r="L449" s="3789"/>
      <c r="M449" s="2602"/>
      <c r="N449" s="54"/>
      <c r="O449" s="54"/>
      <c r="P449" s="54"/>
      <c r="Q449" s="54"/>
      <c r="R449" s="54"/>
      <c r="S449" s="190"/>
      <c r="T449" s="69" t="s">
        <v>297</v>
      </c>
      <c r="V449" s="65"/>
      <c r="W449" s="2006" t="str">
        <f>$T$4</f>
        <v>2nd storage</v>
      </c>
      <c r="X449" s="65"/>
      <c r="Y449" s="65"/>
      <c r="Z449" s="65"/>
      <c r="AA449" s="1"/>
      <c r="AB449" s="3751">
        <f ca="1">NOW()</f>
        <v>43392.47578483796</v>
      </c>
      <c r="AC449" s="3751"/>
      <c r="AD449" s="337"/>
      <c r="AE449" s="45"/>
      <c r="AF449" s="45"/>
      <c r="AG449" s="45"/>
      <c r="AH449" s="45"/>
      <c r="AI449" s="45"/>
      <c r="AJ449" s="190"/>
      <c r="AK449" s="69" t="s">
        <v>297</v>
      </c>
      <c r="AM449" s="65"/>
      <c r="AN449" s="65"/>
      <c r="AO449" s="65"/>
      <c r="AP449" s="65"/>
      <c r="AQ449" s="65"/>
      <c r="AR449" s="1"/>
      <c r="AS449" s="3751">
        <f ca="1">NOW()</f>
        <v>43392.47578483796</v>
      </c>
      <c r="AT449" s="3751"/>
      <c r="AU449" s="337"/>
      <c r="AV449" s="54"/>
      <c r="AW449" s="54"/>
      <c r="AX449" s="54"/>
      <c r="AY449" s="54"/>
      <c r="AZ449" s="54"/>
      <c r="BA449" s="54"/>
      <c r="BB449" s="54"/>
      <c r="BC449" s="54"/>
    </row>
    <row r="450" spans="1:55" ht="13.5" thickBot="1">
      <c r="A450" s="45"/>
      <c r="B450" s="1665"/>
      <c r="C450" s="2762" t="s">
        <v>1232</v>
      </c>
      <c r="D450" s="2763"/>
      <c r="E450" s="2764"/>
      <c r="F450" s="2765"/>
      <c r="G450" s="3751">
        <f>+F16</f>
        <v>2017</v>
      </c>
      <c r="H450" s="3751"/>
      <c r="I450" s="3751">
        <f>G450+1</f>
        <v>2018</v>
      </c>
      <c r="J450" s="3751"/>
      <c r="K450" s="3751">
        <f>I450+1</f>
        <v>2019</v>
      </c>
      <c r="L450" s="3751"/>
      <c r="M450" s="2605"/>
      <c r="N450" s="54"/>
      <c r="O450" s="54"/>
      <c r="P450" s="54"/>
      <c r="Q450" s="54"/>
      <c r="R450" s="54"/>
      <c r="S450" s="190"/>
      <c r="T450" s="1729" t="s">
        <v>1232</v>
      </c>
      <c r="U450" s="1730"/>
      <c r="V450" s="1731"/>
      <c r="W450" s="1732"/>
      <c r="X450" s="3751">
        <f>Last_forecast_year - 3+1</f>
        <v>2017</v>
      </c>
      <c r="Y450" s="3751"/>
      <c r="Z450" s="3751">
        <f>X450+1</f>
        <v>2018</v>
      </c>
      <c r="AA450" s="3751"/>
      <c r="AB450" s="3751">
        <f>Z450+1</f>
        <v>2019</v>
      </c>
      <c r="AC450" s="3751"/>
      <c r="AD450" s="339"/>
      <c r="AE450" s="45"/>
      <c r="AF450" s="45"/>
      <c r="AG450" s="45"/>
      <c r="AH450" s="45"/>
      <c r="AI450" s="45"/>
      <c r="AJ450" s="190"/>
      <c r="AK450" s="1729" t="s">
        <v>1232</v>
      </c>
      <c r="AL450" s="1730"/>
      <c r="AM450" s="1731"/>
      <c r="AN450" s="1732"/>
      <c r="AO450" s="3751">
        <f>Last_forecast_year - 2</f>
        <v>2017</v>
      </c>
      <c r="AP450" s="3751"/>
      <c r="AQ450" s="3751">
        <f>G450+1</f>
        <v>2018</v>
      </c>
      <c r="AR450" s="3751"/>
      <c r="AS450" s="3751">
        <f>AQ450+1</f>
        <v>2019</v>
      </c>
      <c r="AT450" s="3751"/>
      <c r="AU450" s="339"/>
      <c r="AV450" s="54"/>
      <c r="AW450" s="54"/>
      <c r="AX450" s="54"/>
      <c r="AY450" s="54"/>
      <c r="AZ450" s="54"/>
      <c r="BA450" s="1696"/>
      <c r="BB450" s="1697"/>
      <c r="BC450" s="54"/>
    </row>
    <row r="451" spans="1:55">
      <c r="A451" s="45"/>
      <c r="B451" s="1665"/>
      <c r="C451" s="1666" t="s">
        <v>1342</v>
      </c>
      <c r="D451" s="2351"/>
      <c r="E451" s="2766"/>
      <c r="F451" s="2767"/>
      <c r="G451" s="3751">
        <f>+Sector1!$F$36</f>
        <v>1</v>
      </c>
      <c r="H451" s="3751"/>
      <c r="I451" s="3751"/>
      <c r="J451" s="3751"/>
      <c r="K451" s="3751"/>
      <c r="L451" s="3751"/>
      <c r="M451" s="2661"/>
      <c r="N451" s="54"/>
      <c r="O451" s="54"/>
      <c r="P451" s="54"/>
      <c r="Q451" s="54"/>
      <c r="R451" s="54"/>
      <c r="S451" s="190"/>
      <c r="T451" s="40" t="s">
        <v>1342</v>
      </c>
      <c r="U451" s="65"/>
      <c r="V451" s="1722"/>
      <c r="W451" s="137"/>
      <c r="X451" s="3751">
        <f t="shared" ref="X451:AC455" si="29">ROUND(G451,1)-ROUND(AO451,1)</f>
        <v>0</v>
      </c>
      <c r="Y451" s="3751">
        <f t="shared" si="29"/>
        <v>0</v>
      </c>
      <c r="Z451" s="3751">
        <f t="shared" si="29"/>
        <v>0</v>
      </c>
      <c r="AA451" s="3751">
        <f t="shared" si="29"/>
        <v>0</v>
      </c>
      <c r="AB451" s="3751">
        <f t="shared" si="29"/>
        <v>0</v>
      </c>
      <c r="AC451" s="3751">
        <f t="shared" si="29"/>
        <v>0</v>
      </c>
      <c r="AD451" s="393"/>
      <c r="AE451" s="45"/>
      <c r="AF451" s="45"/>
      <c r="AG451" s="45"/>
      <c r="AH451" s="45"/>
      <c r="AI451" s="45"/>
      <c r="AJ451" s="190"/>
      <c r="AK451" s="40" t="s">
        <v>1342</v>
      </c>
      <c r="AL451" s="65"/>
      <c r="AM451" s="1722"/>
      <c r="AN451" s="137"/>
      <c r="AO451" s="3751">
        <f>+Sector1!$F$36</f>
        <v>1</v>
      </c>
      <c r="AP451" s="3751"/>
      <c r="AQ451" s="3751"/>
      <c r="AR451" s="3751"/>
      <c r="AS451" s="3751"/>
      <c r="AT451" s="3751"/>
      <c r="AU451" s="393"/>
      <c r="AV451" s="54"/>
      <c r="AW451" s="54"/>
      <c r="AX451" s="54"/>
      <c r="AY451" s="54"/>
      <c r="AZ451" s="54"/>
      <c r="BA451" s="1734"/>
      <c r="BB451" s="1699"/>
      <c r="BC451" s="54"/>
    </row>
    <row r="452" spans="1:55">
      <c r="A452" s="45"/>
      <c r="B452" s="1665"/>
      <c r="C452" s="1666" t="s">
        <v>1387</v>
      </c>
      <c r="D452" s="2351"/>
      <c r="E452" s="2768"/>
      <c r="F452" s="2692"/>
      <c r="G452" s="3751">
        <f ca="1">((Transfer!E213+Transfer!E231-Transfer!D213-Transfer!D231)/(Transfer!D213+Transfer!D231))/((Transfer!E136-Transfer!D136)/Transfer!D136)</f>
        <v>1.1045762498093492</v>
      </c>
      <c r="H452" s="3751"/>
      <c r="I452" s="3751">
        <f ca="1">((Transfer!F213+Transfer!F231-Transfer!E213-Transfer!E231)/(Transfer!E213+Transfer!E231))/((Transfer!F136-Transfer!E136)/Transfer!E136)</f>
        <v>1.0334949066667576</v>
      </c>
      <c r="J452" s="3751"/>
      <c r="K452" s="3751">
        <f ca="1">((Transfer!G213+Transfer!G231-Transfer!F213-Transfer!F231)/(Transfer!F213+Transfer!F231))/((Transfer!G136-Transfer!F136)/Transfer!F136)</f>
        <v>1.0019174501778765</v>
      </c>
      <c r="L452" s="3751"/>
      <c r="M452" s="2452"/>
      <c r="N452" s="54"/>
      <c r="O452" s="54"/>
      <c r="P452" s="54"/>
      <c r="Q452" s="54"/>
      <c r="R452" s="54"/>
      <c r="S452" s="190"/>
      <c r="T452" s="40" t="s">
        <v>1387</v>
      </c>
      <c r="U452" s="65"/>
      <c r="V452" s="1723"/>
      <c r="W452" s="141"/>
      <c r="X452" s="3751">
        <f t="shared" ca="1" si="29"/>
        <v>0.60000000000000009</v>
      </c>
      <c r="Y452" s="3751">
        <f t="shared" si="29"/>
        <v>0</v>
      </c>
      <c r="Z452" s="3751">
        <f t="shared" ca="1" si="29"/>
        <v>0.30000000000000004</v>
      </c>
      <c r="AA452" s="3751">
        <f t="shared" si="29"/>
        <v>0</v>
      </c>
      <c r="AB452" s="3751">
        <f t="shared" ca="1" si="29"/>
        <v>0.19999999999999996</v>
      </c>
      <c r="AC452" s="3751">
        <f t="shared" si="29"/>
        <v>0</v>
      </c>
      <c r="AD452" s="196"/>
      <c r="AE452" s="45"/>
      <c r="AF452" s="45"/>
      <c r="AG452" s="45"/>
      <c r="AH452" s="45"/>
      <c r="AI452" s="45"/>
      <c r="AJ452" s="190"/>
      <c r="AK452" s="40" t="s">
        <v>1387</v>
      </c>
      <c r="AL452" s="65"/>
      <c r="AM452" s="1723"/>
      <c r="AN452" s="141"/>
      <c r="AO452" s="3751">
        <f>((Transfer!AE213+Transfer!AE231-Transfer!AD213-Transfer!AD231)/(Transfer!AD213+Transfer!AD231))/((Transfer!AE136-Transfer!AD136)/Transfer!AD136)</f>
        <v>0.48865526287942301</v>
      </c>
      <c r="AP452" s="3751"/>
      <c r="AQ452" s="3751">
        <f>((Transfer!AF213+Transfer!AF231-Transfer!AE213-Transfer!AE231)/(Transfer!AE213+Transfer!AE231))/((Transfer!AF136-Transfer!AE136)/Transfer!AE136)</f>
        <v>0.69376653725149806</v>
      </c>
      <c r="AR452" s="3751"/>
      <c r="AS452" s="3751">
        <f>((Transfer!AG213+Transfer!AG231-Transfer!AF213-Transfer!AF231)/(Transfer!AF213+Transfer!AF231))/((Transfer!AG136-Transfer!AF136)/Transfer!AF136)</f>
        <v>0.7988847424953105</v>
      </c>
      <c r="AT452" s="3751"/>
      <c r="AU452" s="196"/>
      <c r="AV452" s="54"/>
      <c r="AW452" s="54"/>
      <c r="AX452" s="54"/>
      <c r="AY452" s="54"/>
      <c r="AZ452" s="54"/>
      <c r="BA452" s="1698" t="s">
        <v>2073</v>
      </c>
      <c r="BB452" s="1699"/>
      <c r="BC452" s="54"/>
    </row>
    <row r="453" spans="1:55">
      <c r="A453" s="45"/>
      <c r="B453" s="1665"/>
      <c r="C453" s="1666" t="s">
        <v>1388</v>
      </c>
      <c r="D453" s="2351"/>
      <c r="E453" s="2768"/>
      <c r="F453" s="2511"/>
      <c r="G453" s="3751">
        <f ca="1">+Transfer!C258</f>
        <v>18.521152755588517</v>
      </c>
      <c r="H453" s="3751"/>
      <c r="I453" s="3751"/>
      <c r="J453" s="3751"/>
      <c r="K453" s="3751"/>
      <c r="L453" s="3751"/>
      <c r="M453" s="2452"/>
      <c r="N453" s="54"/>
      <c r="O453" s="54"/>
      <c r="P453" s="54"/>
      <c r="Q453" s="54"/>
      <c r="R453" s="54"/>
      <c r="S453" s="190"/>
      <c r="T453" s="101" t="s">
        <v>1388</v>
      </c>
      <c r="U453" s="65"/>
      <c r="V453" s="1723"/>
      <c r="W453" s="145"/>
      <c r="X453" s="3751">
        <f t="shared" ca="1" si="29"/>
        <v>0.30000000000000071</v>
      </c>
      <c r="Y453" s="3751">
        <f t="shared" si="29"/>
        <v>0</v>
      </c>
      <c r="Z453" s="3751">
        <f t="shared" si="29"/>
        <v>0</v>
      </c>
      <c r="AA453" s="3751">
        <f t="shared" si="29"/>
        <v>0</v>
      </c>
      <c r="AB453" s="3751">
        <f t="shared" si="29"/>
        <v>0</v>
      </c>
      <c r="AC453" s="3751">
        <f t="shared" si="29"/>
        <v>0</v>
      </c>
      <c r="AD453" s="196"/>
      <c r="AE453" s="45"/>
      <c r="AF453" s="45"/>
      <c r="AG453" s="45"/>
      <c r="AH453" s="45"/>
      <c r="AI453" s="45"/>
      <c r="AJ453" s="190"/>
      <c r="AK453" s="101" t="s">
        <v>1388</v>
      </c>
      <c r="AL453" s="65"/>
      <c r="AM453" s="1723"/>
      <c r="AN453" s="145"/>
      <c r="AO453" s="3751">
        <f>+Transfer!AC258</f>
        <v>18.190023875681963</v>
      </c>
      <c r="AP453" s="3751"/>
      <c r="AQ453" s="3751"/>
      <c r="AR453" s="3751"/>
      <c r="AS453" s="3751"/>
      <c r="AT453" s="3751"/>
      <c r="AU453" s="196"/>
      <c r="AV453" s="54"/>
      <c r="AW453" s="54"/>
      <c r="AX453" s="54"/>
      <c r="AY453" s="54"/>
      <c r="AZ453" s="54"/>
      <c r="BA453" s="1698" t="s">
        <v>2074</v>
      </c>
      <c r="BB453" s="1699"/>
      <c r="BC453" s="54"/>
    </row>
    <row r="454" spans="1:55">
      <c r="A454" s="45"/>
      <c r="B454" s="1665"/>
      <c r="C454" s="1666" t="s">
        <v>1389</v>
      </c>
      <c r="D454" s="2351"/>
      <c r="E454" s="2768"/>
      <c r="F454" s="2692"/>
      <c r="G454" s="3751">
        <f ca="1">100*(Transfer!E213+Transfer!E231)/Transfer!E136</f>
        <v>18.822359301487776</v>
      </c>
      <c r="H454" s="3751"/>
      <c r="I454" s="3751">
        <f ca="1">100*(Transfer!F213+Transfer!F231)/Transfer!F136</f>
        <v>18.859115105307374</v>
      </c>
      <c r="J454" s="3751"/>
      <c r="K454" s="3751">
        <f ca="1">100*(Transfer!G213+Transfer!G231)/Transfer!G136</f>
        <v>18.861023868504464</v>
      </c>
      <c r="L454" s="3751"/>
      <c r="M454" s="2452"/>
      <c r="N454" s="54"/>
      <c r="O454" s="54"/>
      <c r="P454" s="54"/>
      <c r="Q454" s="54"/>
      <c r="R454" s="54"/>
      <c r="S454" s="190"/>
      <c r="T454" s="101" t="s">
        <v>1389</v>
      </c>
      <c r="U454" s="49"/>
      <c r="V454" s="140"/>
      <c r="W454" s="141"/>
      <c r="X454" s="3751">
        <f t="shared" ca="1" si="29"/>
        <v>1.3000000000000007</v>
      </c>
      <c r="Y454" s="3751">
        <f t="shared" si="29"/>
        <v>0</v>
      </c>
      <c r="Z454" s="3751">
        <f t="shared" ca="1" si="29"/>
        <v>1.6999999999999993</v>
      </c>
      <c r="AA454" s="3751">
        <f t="shared" si="29"/>
        <v>0</v>
      </c>
      <c r="AB454" s="3751">
        <f t="shared" ca="1" si="29"/>
        <v>1.8999999999999986</v>
      </c>
      <c r="AC454" s="3751">
        <f t="shared" si="29"/>
        <v>0</v>
      </c>
      <c r="AD454" s="196"/>
      <c r="AE454" s="45"/>
      <c r="AF454" s="45"/>
      <c r="AG454" s="45"/>
      <c r="AH454" s="45"/>
      <c r="AI454" s="45"/>
      <c r="AJ454" s="190"/>
      <c r="AK454" s="101" t="s">
        <v>1389</v>
      </c>
      <c r="AL454" s="49"/>
      <c r="AM454" s="140"/>
      <c r="AN454" s="141"/>
      <c r="AO454" s="3751">
        <f>100*(Transfer!AE213+Transfer!AE231)/Transfer!AE136</f>
        <v>17.530100351375655</v>
      </c>
      <c r="AP454" s="3751"/>
      <c r="AQ454" s="3751">
        <f>100*(Transfer!AF213+Transfer!AF231)/Transfer!AF136</f>
        <v>17.231070297493513</v>
      </c>
      <c r="AR454" s="3751"/>
      <c r="AS454" s="3751">
        <f>100*(Transfer!AG213+Transfer!AG231)/Transfer!AG136</f>
        <v>17.006702086288158</v>
      </c>
      <c r="AT454" s="3751"/>
      <c r="AU454" s="196"/>
      <c r="AV454" s="54"/>
      <c r="AW454" s="54"/>
      <c r="AX454" s="54"/>
      <c r="AY454" s="54"/>
      <c r="AZ454" s="54"/>
      <c r="BA454" s="1698" t="s">
        <v>2075</v>
      </c>
      <c r="BB454" s="1699"/>
      <c r="BC454" s="54"/>
    </row>
    <row r="455" spans="1:55" ht="13.5" thickBot="1">
      <c r="A455" s="45"/>
      <c r="B455" s="1665"/>
      <c r="C455" s="1666" t="s">
        <v>1390</v>
      </c>
      <c r="D455" s="2392"/>
      <c r="E455" s="2769"/>
      <c r="F455" s="2692"/>
      <c r="G455" s="3751">
        <f ca="1">100*(((Transfer!E213+Transfer!E231)/(Transfer!D213+Transfer!D231)-1)-(Sector1!$F$36*((Transfer!E136/Transfer!D136)-1)))*((Transfer!D213+Transfer!D231)/Transfer!E147)</f>
        <v>9.0576071341505499E-2</v>
      </c>
      <c r="H455" s="3751"/>
      <c r="I455" s="3751">
        <f ca="1">100*(((Transfer!F213+Transfer!F231)/(Transfer!E213+Transfer!E231)-1)-(Sector1!$F$36*((Transfer!F136/Transfer!E136)-1)))*((Transfer!E213+Transfer!E231)/Transfer!F147)</f>
        <v>2.3660228022772976E-2</v>
      </c>
      <c r="J455" s="3751"/>
      <c r="K455" s="3751">
        <f ca="1">100*(((Transfer!G213+Transfer!G231)/(Transfer!F213+Transfer!F231)-1)-(Sector1!$F$36*((Transfer!G136/Transfer!F136)-1)))*((Transfer!F213+Transfer!F231)/Transfer!G147)</f>
        <v>1.2286725006916989E-3</v>
      </c>
      <c r="L455" s="3751"/>
      <c r="M455" s="2610"/>
      <c r="N455" s="54"/>
      <c r="O455" s="54"/>
      <c r="P455" s="54"/>
      <c r="Q455" s="54"/>
      <c r="R455" s="54"/>
      <c r="S455" s="190"/>
      <c r="T455" s="101" t="s">
        <v>1390</v>
      </c>
      <c r="U455" s="102"/>
      <c r="V455" s="151"/>
      <c r="W455" s="141"/>
      <c r="X455" s="3751">
        <f t="shared" ca="1" si="29"/>
        <v>0.4</v>
      </c>
      <c r="Y455" s="3751">
        <f t="shared" si="29"/>
        <v>0</v>
      </c>
      <c r="Z455" s="3751">
        <f t="shared" ca="1" si="29"/>
        <v>0.2</v>
      </c>
      <c r="AA455" s="3751">
        <f t="shared" si="29"/>
        <v>0</v>
      </c>
      <c r="AB455" s="3751">
        <f t="shared" ca="1" si="29"/>
        <v>0.1</v>
      </c>
      <c r="AC455" s="3751">
        <f t="shared" si="29"/>
        <v>0</v>
      </c>
      <c r="AD455" s="464"/>
      <c r="AE455" s="45"/>
      <c r="AF455" s="45"/>
      <c r="AG455" s="45"/>
      <c r="AH455" s="45"/>
      <c r="AI455" s="45"/>
      <c r="AJ455" s="190"/>
      <c r="AK455" s="101" t="s">
        <v>1390</v>
      </c>
      <c r="AL455" s="102"/>
      <c r="AM455" s="151"/>
      <c r="AN455" s="141"/>
      <c r="AO455" s="3751">
        <f>100*(((Transfer!AE213+Transfer!AE231)/(Transfer!AD213+Transfer!AD231)-1)-(Sector1!$F$36*((Transfer!AE136/Transfer!AD136)-1)))*((Transfer!AD213+Transfer!AD231)/Transfer!AE147)</f>
        <v>-0.31138985899371735</v>
      </c>
      <c r="AP455" s="3751"/>
      <c r="AQ455" s="3751">
        <f>100*(((Transfer!AF213+Transfer!AF231)/(Transfer!AE213+Transfer!AE231)-1)-(Sector1!$F$36*((Transfer!AF136/Transfer!AE136)-1)))*((Transfer!AE213+Transfer!AE231)/Transfer!AF147)</f>
        <v>-0.18894833539540928</v>
      </c>
      <c r="AR455" s="3751"/>
      <c r="AS455" s="3751">
        <f>100*(((Transfer!AG213+Transfer!AG231)/(Transfer!AF213+Transfer!AF231)-1)-(Sector1!$F$36*((Transfer!AG136/Transfer!AF136)-1)))*((Transfer!AF213+Transfer!AF231)/Transfer!AG147)</f>
        <v>-0.14193130041291485</v>
      </c>
      <c r="AT455" s="3751"/>
      <c r="AU455" s="464"/>
      <c r="AV455" s="54"/>
      <c r="AW455" s="54"/>
      <c r="AX455" s="54"/>
      <c r="AY455" s="54"/>
      <c r="AZ455" s="54"/>
      <c r="BA455" s="1698" t="s">
        <v>102</v>
      </c>
      <c r="BB455" s="1699"/>
      <c r="BC455" s="54"/>
    </row>
    <row r="456" spans="1:55" ht="13.5" thickBot="1">
      <c r="A456" s="45"/>
      <c r="B456" s="1665"/>
      <c r="C456" s="2762" t="s">
        <v>1105</v>
      </c>
      <c r="D456" s="2763"/>
      <c r="E456" s="2770"/>
      <c r="F456" s="2755"/>
      <c r="G456" s="3751">
        <f>+G450</f>
        <v>2017</v>
      </c>
      <c r="H456" s="3751"/>
      <c r="I456" s="3751">
        <f>+I450</f>
        <v>2018</v>
      </c>
      <c r="J456" s="3751"/>
      <c r="K456" s="3751">
        <f>+K450</f>
        <v>2019</v>
      </c>
      <c r="L456" s="3751"/>
      <c r="M456" s="2452"/>
      <c r="N456" s="54"/>
      <c r="O456" s="54"/>
      <c r="P456" s="54"/>
      <c r="Q456" s="54"/>
      <c r="R456" s="54"/>
      <c r="S456" s="190"/>
      <c r="T456" s="1726" t="s">
        <v>1105</v>
      </c>
      <c r="U456" s="479"/>
      <c r="V456" s="1727"/>
      <c r="W456" s="481"/>
      <c r="X456" s="3751">
        <f>+X450</f>
        <v>2017</v>
      </c>
      <c r="Y456" s="3751"/>
      <c r="Z456" s="3751">
        <f>+Z450</f>
        <v>2018</v>
      </c>
      <c r="AA456" s="3751"/>
      <c r="AB456" s="3751">
        <f>+AB450</f>
        <v>2019</v>
      </c>
      <c r="AC456" s="3751"/>
      <c r="AD456" s="199"/>
      <c r="AE456" s="45"/>
      <c r="AF456" s="45"/>
      <c r="AG456" s="45"/>
      <c r="AH456" s="45"/>
      <c r="AI456" s="45"/>
      <c r="AJ456" s="190"/>
      <c r="AK456" s="1726" t="s">
        <v>1105</v>
      </c>
      <c r="AL456" s="479"/>
      <c r="AM456" s="1727"/>
      <c r="AN456" s="481"/>
      <c r="AO456" s="3751">
        <f>+G450</f>
        <v>2017</v>
      </c>
      <c r="AP456" s="3751"/>
      <c r="AQ456" s="3751">
        <f>+AQ450</f>
        <v>2018</v>
      </c>
      <c r="AR456" s="3751"/>
      <c r="AS456" s="3751">
        <f>+AS450</f>
        <v>2019</v>
      </c>
      <c r="AT456" s="3751"/>
      <c r="AU456" s="199"/>
      <c r="AV456" s="54"/>
      <c r="AW456" s="54"/>
      <c r="AX456" s="54"/>
      <c r="AY456" s="54"/>
      <c r="AZ456" s="54"/>
      <c r="BA456" s="1698"/>
      <c r="BB456" s="1699"/>
      <c r="BC456" s="54"/>
    </row>
    <row r="457" spans="1:55">
      <c r="A457" s="45"/>
      <c r="B457" s="1665"/>
      <c r="C457" s="1666" t="s">
        <v>335</v>
      </c>
      <c r="D457" s="2351"/>
      <c r="E457" s="2768"/>
      <c r="F457" s="2692"/>
      <c r="G457" s="3751">
        <f>+Sector1!$F$244</f>
        <v>1.1809724676532847</v>
      </c>
      <c r="H457" s="3751"/>
      <c r="I457" s="3751"/>
      <c r="J457" s="3751"/>
      <c r="K457" s="3751"/>
      <c r="L457" s="3751"/>
      <c r="M457" s="2452"/>
      <c r="N457" s="54"/>
      <c r="O457" s="54"/>
      <c r="P457" s="54"/>
      <c r="Q457" s="54"/>
      <c r="R457" s="54"/>
      <c r="S457" s="190"/>
      <c r="T457" s="40" t="s">
        <v>335</v>
      </c>
      <c r="U457" s="49"/>
      <c r="V457" s="140"/>
      <c r="W457" s="141"/>
      <c r="X457" s="3751">
        <f t="shared" ref="X457:AC461" si="30">ROUND(G457,1)-ROUND(AO457,1)</f>
        <v>0</v>
      </c>
      <c r="Y457" s="3751">
        <f t="shared" si="30"/>
        <v>0</v>
      </c>
      <c r="Z457" s="3751">
        <f t="shared" si="30"/>
        <v>0</v>
      </c>
      <c r="AA457" s="3751">
        <f t="shared" si="30"/>
        <v>0</v>
      </c>
      <c r="AB457" s="3751">
        <f t="shared" si="30"/>
        <v>0</v>
      </c>
      <c r="AC457" s="3751">
        <f t="shared" si="30"/>
        <v>0</v>
      </c>
      <c r="AD457" s="199"/>
      <c r="AE457" s="45"/>
      <c r="AF457" s="45"/>
      <c r="AG457" s="45"/>
      <c r="AH457" s="45"/>
      <c r="AI457" s="45"/>
      <c r="AJ457" s="190"/>
      <c r="AK457" s="40" t="s">
        <v>335</v>
      </c>
      <c r="AL457" s="49"/>
      <c r="AM457" s="140"/>
      <c r="AN457" s="141"/>
      <c r="AO457" s="3751">
        <f>+Sector1!$F$244</f>
        <v>1.1809724676532847</v>
      </c>
      <c r="AP457" s="3751"/>
      <c r="AQ457" s="3751"/>
      <c r="AR457" s="3751"/>
      <c r="AS457" s="3751"/>
      <c r="AT457" s="3751"/>
      <c r="AU457" s="199"/>
      <c r="AV457" s="54"/>
      <c r="AW457" s="54"/>
      <c r="AX457" s="54"/>
      <c r="AY457" s="54"/>
      <c r="AZ457" s="54"/>
      <c r="BA457" s="1698"/>
      <c r="BB457" s="1699"/>
      <c r="BC457" s="54"/>
    </row>
    <row r="458" spans="1:55">
      <c r="A458" s="45"/>
      <c r="B458" s="1665"/>
      <c r="C458" s="1666" t="s">
        <v>1387</v>
      </c>
      <c r="D458" s="2351"/>
      <c r="E458" s="2768"/>
      <c r="F458" s="2692"/>
      <c r="G458" s="3751">
        <f ca="1">((Transfer!E214-Transfer!D214)/Transfer!D214)/((Transfer!E147-Transfer!D147)/Transfer!D147)</f>
        <v>0.68448149407114367</v>
      </c>
      <c r="H458" s="3751"/>
      <c r="I458" s="3751">
        <f ca="1">((Transfer!F214-Transfer!E214)/Transfer!E214)/((Transfer!F147-Transfer!E147)/Transfer!E147)</f>
        <v>0.58770901332492498</v>
      </c>
      <c r="J458" s="3751"/>
      <c r="K458" s="3751">
        <f ca="1">((Transfer!G214-Transfer!F214)/Transfer!F214)/((Transfer!G147-Transfer!F147)/Transfer!F147)</f>
        <v>0.98230649775731482</v>
      </c>
      <c r="L458" s="3751"/>
      <c r="M458" s="2452"/>
      <c r="N458" s="54"/>
      <c r="O458" s="54"/>
      <c r="P458" s="54"/>
      <c r="Q458" s="54"/>
      <c r="R458" s="54"/>
      <c r="S458" s="190"/>
      <c r="T458" s="40" t="s">
        <v>1387</v>
      </c>
      <c r="U458" s="49"/>
      <c r="V458" s="140"/>
      <c r="W458" s="141"/>
      <c r="X458" s="3751">
        <f t="shared" ca="1" si="30"/>
        <v>-0.60000000000000009</v>
      </c>
      <c r="Y458" s="3751">
        <f t="shared" si="30"/>
        <v>0</v>
      </c>
      <c r="Z458" s="3751">
        <f t="shared" ca="1" si="30"/>
        <v>-0.4</v>
      </c>
      <c r="AA458" s="3751">
        <f t="shared" si="30"/>
        <v>0</v>
      </c>
      <c r="AB458" s="3751">
        <f t="shared" ca="1" si="30"/>
        <v>0</v>
      </c>
      <c r="AC458" s="3751">
        <f t="shared" si="30"/>
        <v>0</v>
      </c>
      <c r="AD458" s="199"/>
      <c r="AE458" s="45"/>
      <c r="AF458" s="45"/>
      <c r="AG458" s="45"/>
      <c r="AH458" s="45"/>
      <c r="AI458" s="45"/>
      <c r="AJ458" s="190"/>
      <c r="AK458" s="40" t="s">
        <v>1387</v>
      </c>
      <c r="AL458" s="49"/>
      <c r="AM458" s="140"/>
      <c r="AN458" s="141"/>
      <c r="AO458" s="3751">
        <f>((Transfer!AE214-Transfer!AD214)/Transfer!AD214)/((Transfer!AE147-Transfer!AD147)/Transfer!AD147)</f>
        <v>1.329168197796853</v>
      </c>
      <c r="AP458" s="3751"/>
      <c r="AQ458" s="3751">
        <f>((Transfer!AF214-Transfer!AE214)/Transfer!AE214)/((Transfer!AF147-Transfer!AE147)/Transfer!AE147)</f>
        <v>1.0090318748732019</v>
      </c>
      <c r="AR458" s="3751"/>
      <c r="AS458" s="3751">
        <f>((Transfer!AG214-Transfer!AF214)/Transfer!AF214)/((Transfer!AG147-Transfer!AF147)/Transfer!AF147)</f>
        <v>0.96641130203420855</v>
      </c>
      <c r="AT458" s="3751"/>
      <c r="AU458" s="199"/>
      <c r="AV458" s="54"/>
      <c r="AW458" s="54"/>
      <c r="AX458" s="54"/>
      <c r="AY458" s="54"/>
      <c r="AZ458" s="54"/>
      <c r="BA458" s="1698" t="s">
        <v>2038</v>
      </c>
      <c r="BB458" s="1699"/>
      <c r="BC458" s="54"/>
    </row>
    <row r="459" spans="1:55">
      <c r="A459" s="45"/>
      <c r="B459" s="1665"/>
      <c r="C459" s="1666" t="s">
        <v>1388</v>
      </c>
      <c r="D459" s="2351"/>
      <c r="E459" s="2768"/>
      <c r="F459" s="2692"/>
      <c r="G459" s="3751">
        <f ca="1">+Transfer!C259</f>
        <v>5.2734993650361588</v>
      </c>
      <c r="H459" s="3751"/>
      <c r="I459" s="3751"/>
      <c r="J459" s="3751"/>
      <c r="K459" s="3751"/>
      <c r="L459" s="3751"/>
      <c r="M459" s="2452"/>
      <c r="N459" s="54"/>
      <c r="O459" s="54"/>
      <c r="P459" s="54"/>
      <c r="Q459" s="54"/>
      <c r="R459" s="54"/>
      <c r="S459" s="190"/>
      <c r="T459" s="101" t="s">
        <v>1388</v>
      </c>
      <c r="U459" s="49"/>
      <c r="V459" s="140"/>
      <c r="W459" s="141"/>
      <c r="X459" s="3751">
        <f t="shared" ca="1" si="30"/>
        <v>0.29999999999999982</v>
      </c>
      <c r="Y459" s="3751">
        <f t="shared" si="30"/>
        <v>0</v>
      </c>
      <c r="Z459" s="3751">
        <f t="shared" si="30"/>
        <v>0</v>
      </c>
      <c r="AA459" s="3751">
        <f t="shared" si="30"/>
        <v>0</v>
      </c>
      <c r="AB459" s="3751">
        <f t="shared" si="30"/>
        <v>0</v>
      </c>
      <c r="AC459" s="3751">
        <f t="shared" si="30"/>
        <v>0</v>
      </c>
      <c r="AD459" s="199"/>
      <c r="AE459" s="45"/>
      <c r="AF459" s="45"/>
      <c r="AG459" s="45"/>
      <c r="AH459" s="45"/>
      <c r="AI459" s="45"/>
      <c r="AJ459" s="190"/>
      <c r="AK459" s="101" t="s">
        <v>1388</v>
      </c>
      <c r="AL459" s="49"/>
      <c r="AM459" s="140"/>
      <c r="AN459" s="141"/>
      <c r="AO459" s="3751">
        <f>+Transfer!AC259</f>
        <v>4.9841780210345368</v>
      </c>
      <c r="AP459" s="3751"/>
      <c r="AQ459" s="3751"/>
      <c r="AR459" s="3751"/>
      <c r="AS459" s="3751"/>
      <c r="AT459" s="3751"/>
      <c r="AU459" s="199"/>
      <c r="AV459" s="54"/>
      <c r="AW459" s="54"/>
      <c r="AX459" s="54"/>
      <c r="AY459" s="54"/>
      <c r="AZ459" s="54"/>
      <c r="BA459" s="1698" t="s">
        <v>2039</v>
      </c>
      <c r="BB459" s="1699"/>
      <c r="BC459" s="54"/>
    </row>
    <row r="460" spans="1:55">
      <c r="A460" s="45"/>
      <c r="B460" s="1665"/>
      <c r="C460" s="1666" t="s">
        <v>1389</v>
      </c>
      <c r="D460" s="2351"/>
      <c r="E460" s="2768"/>
      <c r="F460" s="2692"/>
      <c r="G460" s="3751">
        <f ca="1">100*Transfer!E214/Transfer!E147</f>
        <v>5.5418425907745785</v>
      </c>
      <c r="H460" s="3751"/>
      <c r="I460" s="3751">
        <f ca="1">100*Transfer!F214/Transfer!F147</f>
        <v>5.4161588035872024</v>
      </c>
      <c r="J460" s="3751"/>
      <c r="K460" s="3751">
        <f ca="1">100*Transfer!G214/Transfer!G147</f>
        <v>5.4110985555718596</v>
      </c>
      <c r="L460" s="3751"/>
      <c r="M460" s="2452"/>
      <c r="N460" s="54"/>
      <c r="O460" s="54"/>
      <c r="P460" s="54"/>
      <c r="Q460" s="54"/>
      <c r="R460" s="54"/>
      <c r="S460" s="190"/>
      <c r="T460" s="101" t="s">
        <v>1389</v>
      </c>
      <c r="U460" s="49"/>
      <c r="V460" s="140"/>
      <c r="W460" s="141"/>
      <c r="X460" s="3751">
        <f t="shared" ca="1" si="30"/>
        <v>0.5</v>
      </c>
      <c r="Y460" s="3751">
        <f t="shared" si="30"/>
        <v>0</v>
      </c>
      <c r="Z460" s="3751">
        <f t="shared" ca="1" si="30"/>
        <v>0.40000000000000036</v>
      </c>
      <c r="AA460" s="3751">
        <f t="shared" si="30"/>
        <v>0</v>
      </c>
      <c r="AB460" s="3751">
        <f t="shared" ca="1" si="30"/>
        <v>0.40000000000000036</v>
      </c>
      <c r="AC460" s="3751">
        <f t="shared" si="30"/>
        <v>0</v>
      </c>
      <c r="AD460" s="199"/>
      <c r="AE460" s="45"/>
      <c r="AF460" s="45"/>
      <c r="AG460" s="45"/>
      <c r="AH460" s="45"/>
      <c r="AI460" s="45"/>
      <c r="AJ460" s="190"/>
      <c r="AK460" s="101" t="s">
        <v>1389</v>
      </c>
      <c r="AL460" s="49"/>
      <c r="AM460" s="140"/>
      <c r="AN460" s="141"/>
      <c r="AO460" s="3751">
        <f>100*Transfer!AE214/Transfer!AE147</f>
        <v>4.9646469667318609</v>
      </c>
      <c r="AP460" s="3751"/>
      <c r="AQ460" s="3751">
        <f>100*Transfer!AF214/Transfer!AF147</f>
        <v>4.9672479087498127</v>
      </c>
      <c r="AR460" s="3751"/>
      <c r="AS460" s="3751">
        <f>100*Transfer!AG214/Transfer!AG147</f>
        <v>4.9566213487095414</v>
      </c>
      <c r="AT460" s="3751"/>
      <c r="AU460" s="199"/>
      <c r="AV460" s="54"/>
      <c r="AW460" s="54"/>
      <c r="AX460" s="54"/>
      <c r="AY460" s="54"/>
      <c r="AZ460" s="54"/>
      <c r="BA460" s="1698" t="s">
        <v>2040</v>
      </c>
      <c r="BB460" s="1699"/>
      <c r="BC460" s="54"/>
    </row>
    <row r="461" spans="1:55" ht="13.5" thickBot="1">
      <c r="A461" s="45"/>
      <c r="B461" s="1665"/>
      <c r="C461" s="1666" t="s">
        <v>1390</v>
      </c>
      <c r="D461" s="2392"/>
      <c r="E461" s="2769"/>
      <c r="F461" s="2692"/>
      <c r="G461" s="3751">
        <f ca="1">100*(((Transfer!E214/Transfer!D214)-1)-(Sector1!$F$230*((Transfer!E147/Transfer!D147)-1)))*(Transfer!D214/Transfer!E147)</f>
        <v>-0.17138196542067435</v>
      </c>
      <c r="H461" s="3751"/>
      <c r="I461" s="3751">
        <f ca="1">100*(((Transfer!F214/Transfer!E214)-1)-(Sector1!$F$230*((Transfer!F147/Transfer!E147)-1)))*(Transfer!E214/Transfer!F147)</f>
        <v>-0.15311960609306263</v>
      </c>
      <c r="J461" s="3751"/>
      <c r="K461" s="3751">
        <f ca="1">100*(((Transfer!G214/Transfer!F214)-1)-(Sector1!$F$230*((Transfer!G147/Transfer!F147)-1)))*(Transfer!F214/Transfer!G147)</f>
        <v>-3.0799771775777654E-2</v>
      </c>
      <c r="L461" s="3751"/>
      <c r="M461" s="2610"/>
      <c r="N461" s="54"/>
      <c r="O461" s="54"/>
      <c r="P461" s="54"/>
      <c r="Q461" s="54"/>
      <c r="R461" s="54"/>
      <c r="S461" s="190"/>
      <c r="T461" s="101" t="s">
        <v>1390</v>
      </c>
      <c r="U461" s="102"/>
      <c r="V461" s="151"/>
      <c r="W461" s="141"/>
      <c r="X461" s="3751">
        <f t="shared" ca="1" si="30"/>
        <v>-0.30000000000000004</v>
      </c>
      <c r="Y461" s="3751">
        <f t="shared" si="30"/>
        <v>0</v>
      </c>
      <c r="Z461" s="3751">
        <f t="shared" ca="1" si="30"/>
        <v>-0.2</v>
      </c>
      <c r="AA461" s="3751">
        <f t="shared" si="30"/>
        <v>0</v>
      </c>
      <c r="AB461" s="3751">
        <f t="shared" ca="1" si="30"/>
        <v>0</v>
      </c>
      <c r="AC461" s="3751">
        <f t="shared" si="30"/>
        <v>0</v>
      </c>
      <c r="AD461" s="464"/>
      <c r="AE461" s="45"/>
      <c r="AF461" s="45"/>
      <c r="AG461" s="45"/>
      <c r="AH461" s="45"/>
      <c r="AI461" s="45"/>
      <c r="AJ461" s="190"/>
      <c r="AK461" s="101" t="s">
        <v>1390</v>
      </c>
      <c r="AL461" s="102"/>
      <c r="AM461" s="151"/>
      <c r="AN461" s="141"/>
      <c r="AO461" s="3751">
        <f>100*(((Transfer!AE214/Transfer!AD214)-1)-(Sector1!$F$230*((Transfer!AE147/Transfer!AD147)-1)))*(Transfer!AD214/Transfer!AE147)</f>
        <v>6.1307199497723078E-2</v>
      </c>
      <c r="AP461" s="3751"/>
      <c r="AQ461" s="3751">
        <f>100*(((Transfer!AF214/Transfer!AE214)-1)-(Sector1!$F$230*((Transfer!AF147/Transfer!AE147)-1)))*(Transfer!AE214/Transfer!AF147)</f>
        <v>-2.3316686924210395E-2</v>
      </c>
      <c r="AR461" s="3751"/>
      <c r="AS461" s="3751">
        <f>100*(((Transfer!AG214/Transfer!AF214)-1)-(Sector1!$F$230*((Transfer!AG147/Transfer!AF147)-1)))*(Transfer!AF214/Transfer!AG147)</f>
        <v>-3.9100137807365896E-2</v>
      </c>
      <c r="AT461" s="3751"/>
      <c r="AU461" s="464"/>
      <c r="AV461" s="54"/>
      <c r="AW461" s="54"/>
      <c r="AX461" s="54"/>
      <c r="AY461" s="54"/>
      <c r="AZ461" s="54"/>
      <c r="BA461" s="1698" t="s">
        <v>2041</v>
      </c>
      <c r="BB461" s="1699"/>
      <c r="BC461" s="54"/>
    </row>
    <row r="462" spans="1:55" ht="13.5" thickBot="1">
      <c r="A462" s="45"/>
      <c r="B462" s="1665"/>
      <c r="C462" s="2762" t="s">
        <v>1106</v>
      </c>
      <c r="D462" s="2763"/>
      <c r="E462" s="2770"/>
      <c r="F462" s="2771"/>
      <c r="G462" s="3751">
        <f>+G456</f>
        <v>2017</v>
      </c>
      <c r="H462" s="3751"/>
      <c r="I462" s="3751">
        <f>+I456</f>
        <v>2018</v>
      </c>
      <c r="J462" s="3751"/>
      <c r="K462" s="3751">
        <f>+K456</f>
        <v>2019</v>
      </c>
      <c r="L462" s="3751"/>
      <c r="M462" s="2368"/>
      <c r="N462" s="54"/>
      <c r="O462" s="54"/>
      <c r="P462" s="54"/>
      <c r="Q462" s="54"/>
      <c r="R462" s="54"/>
      <c r="S462" s="190"/>
      <c r="T462" s="1726" t="s">
        <v>1106</v>
      </c>
      <c r="U462" s="479"/>
      <c r="V462" s="1727"/>
      <c r="W462" s="1728"/>
      <c r="X462" s="3751">
        <f>+X456</f>
        <v>2017</v>
      </c>
      <c r="Y462" s="3751"/>
      <c r="Z462" s="3751">
        <f>+Z456</f>
        <v>2018</v>
      </c>
      <c r="AA462" s="3751"/>
      <c r="AB462" s="3751">
        <f>+AB456</f>
        <v>2019</v>
      </c>
      <c r="AC462" s="3751"/>
      <c r="AD462" s="82"/>
      <c r="AE462" s="45"/>
      <c r="AF462" s="45"/>
      <c r="AG462" s="45"/>
      <c r="AH462" s="45"/>
      <c r="AI462" s="45"/>
      <c r="AJ462" s="190"/>
      <c r="AK462" s="1726" t="s">
        <v>1106</v>
      </c>
      <c r="AL462" s="479"/>
      <c r="AM462" s="1727"/>
      <c r="AN462" s="1728"/>
      <c r="AO462" s="3751">
        <f>+G450</f>
        <v>2017</v>
      </c>
      <c r="AP462" s="3751"/>
      <c r="AQ462" s="3751">
        <f>+AQ456</f>
        <v>2018</v>
      </c>
      <c r="AR462" s="3751"/>
      <c r="AS462" s="3751">
        <f>+AS456</f>
        <v>2019</v>
      </c>
      <c r="AT462" s="3751"/>
      <c r="AU462" s="82"/>
      <c r="AV462" s="54"/>
      <c r="AW462" s="54"/>
      <c r="AX462" s="54"/>
      <c r="AY462" s="54"/>
      <c r="AZ462" s="54"/>
      <c r="BA462" s="1698"/>
      <c r="BB462" s="1699"/>
      <c r="BC462" s="54"/>
    </row>
    <row r="463" spans="1:55">
      <c r="A463" s="45"/>
      <c r="B463" s="1665"/>
      <c r="C463" s="1666" t="s">
        <v>336</v>
      </c>
      <c r="D463" s="2351"/>
      <c r="E463" s="2768"/>
      <c r="F463" s="2692"/>
      <c r="G463" s="3751">
        <f>+Sector1!$F$289</f>
        <v>1</v>
      </c>
      <c r="H463" s="3751"/>
      <c r="I463" s="3751"/>
      <c r="J463" s="3751"/>
      <c r="K463" s="3751"/>
      <c r="L463" s="3751"/>
      <c r="M463" s="2452"/>
      <c r="N463" s="54"/>
      <c r="O463" s="54"/>
      <c r="P463" s="54"/>
      <c r="Q463" s="54"/>
      <c r="R463" s="54"/>
      <c r="S463" s="190"/>
      <c r="T463" s="40" t="s">
        <v>336</v>
      </c>
      <c r="U463" s="49"/>
      <c r="V463" s="140"/>
      <c r="W463" s="141"/>
      <c r="X463" s="3751">
        <f t="shared" ref="X463:AC467" si="31">ROUND(G463,1)-ROUND(AO463,1)</f>
        <v>0</v>
      </c>
      <c r="Y463" s="3751">
        <f t="shared" si="31"/>
        <v>0</v>
      </c>
      <c r="Z463" s="3751">
        <f t="shared" si="31"/>
        <v>0</v>
      </c>
      <c r="AA463" s="3751">
        <f t="shared" si="31"/>
        <v>0</v>
      </c>
      <c r="AB463" s="3751">
        <f t="shared" si="31"/>
        <v>0</v>
      </c>
      <c r="AC463" s="3751">
        <f t="shared" si="31"/>
        <v>0</v>
      </c>
      <c r="AD463" s="199"/>
      <c r="AE463" s="45"/>
      <c r="AF463" s="45"/>
      <c r="AG463" s="45"/>
      <c r="AH463" s="45"/>
      <c r="AI463" s="45"/>
      <c r="AJ463" s="190"/>
      <c r="AK463" s="40" t="s">
        <v>336</v>
      </c>
      <c r="AL463" s="49"/>
      <c r="AM463" s="140"/>
      <c r="AN463" s="141"/>
      <c r="AO463" s="3751">
        <f>+Sector1!$F$289</f>
        <v>1</v>
      </c>
      <c r="AP463" s="3751"/>
      <c r="AQ463" s="3751"/>
      <c r="AR463" s="3751"/>
      <c r="AS463" s="3751"/>
      <c r="AT463" s="3751"/>
      <c r="AU463" s="199"/>
      <c r="AV463" s="54"/>
      <c r="AW463" s="54"/>
      <c r="AX463" s="54"/>
      <c r="AY463" s="54"/>
      <c r="AZ463" s="54"/>
      <c r="BA463" s="1698"/>
      <c r="BB463" s="1699"/>
      <c r="BC463" s="54"/>
    </row>
    <row r="464" spans="1:55">
      <c r="A464" s="45"/>
      <c r="B464" s="1665"/>
      <c r="C464" s="1666" t="s">
        <v>1387</v>
      </c>
      <c r="D464" s="2351"/>
      <c r="E464" s="2768"/>
      <c r="F464" s="2692"/>
      <c r="G464" s="3751">
        <f ca="1">((Transfer!E215-Transfer!D215)/Transfer!D215)/((Transfer!E161-Transfer!D161)/Transfer!D161)</f>
        <v>1.3792435312750166</v>
      </c>
      <c r="H464" s="3751"/>
      <c r="I464" s="3751">
        <f ca="1">((Transfer!F215-Transfer!E215)/Transfer!E215)/((Transfer!F161-Transfer!E161)/Transfer!E161)</f>
        <v>1.1238266284995697</v>
      </c>
      <c r="J464" s="3751"/>
      <c r="K464" s="3751">
        <f ca="1">((Transfer!G215-Transfer!F215)/Transfer!F215)/((Transfer!G161-Transfer!F161)/Transfer!F161)</f>
        <v>0.98621282138116784</v>
      </c>
      <c r="L464" s="3751"/>
      <c r="M464" s="2452"/>
      <c r="N464" s="54"/>
      <c r="O464" s="54"/>
      <c r="P464" s="54"/>
      <c r="Q464" s="54"/>
      <c r="R464" s="54"/>
      <c r="S464" s="190"/>
      <c r="T464" s="40" t="s">
        <v>1387</v>
      </c>
      <c r="U464" s="49"/>
      <c r="V464" s="140"/>
      <c r="W464" s="141"/>
      <c r="X464" s="3751">
        <f t="shared" ca="1" si="31"/>
        <v>9.9999999999999867E-2</v>
      </c>
      <c r="Y464" s="3751">
        <f t="shared" si="31"/>
        <v>0</v>
      </c>
      <c r="Z464" s="3751">
        <f t="shared" ca="1" si="31"/>
        <v>0.20000000000000007</v>
      </c>
      <c r="AA464" s="3751">
        <f t="shared" si="31"/>
        <v>0</v>
      </c>
      <c r="AB464" s="3751">
        <f t="shared" ca="1" si="31"/>
        <v>0</v>
      </c>
      <c r="AC464" s="3751">
        <f t="shared" si="31"/>
        <v>0</v>
      </c>
      <c r="AD464" s="199"/>
      <c r="AE464" s="45"/>
      <c r="AF464" s="45"/>
      <c r="AG464" s="45"/>
      <c r="AH464" s="45"/>
      <c r="AI464" s="45"/>
      <c r="AJ464" s="190"/>
      <c r="AK464" s="40" t="s">
        <v>1387</v>
      </c>
      <c r="AL464" s="49"/>
      <c r="AM464" s="140"/>
      <c r="AN464" s="141"/>
      <c r="AO464" s="3751">
        <f>((Transfer!AE215-Transfer!AD215)/Transfer!AD215)/((Transfer!AE161-Transfer!AD161)/Transfer!AD161)</f>
        <v>1.284674033062404</v>
      </c>
      <c r="AP464" s="3751"/>
      <c r="AQ464" s="3751">
        <f>((Transfer!AF215-Transfer!AE215)/Transfer!AE215)/((Transfer!AF161-Transfer!AE161)/Transfer!AE161)</f>
        <v>0.93237412469078595</v>
      </c>
      <c r="AR464" s="3751"/>
      <c r="AS464" s="3751">
        <f>((Transfer!AG215-Transfer!AF215)/Transfer!AF215)/((Transfer!AG161-Transfer!AF161)/Transfer!AF161)</f>
        <v>0.99591527347838626</v>
      </c>
      <c r="AT464" s="3751"/>
      <c r="AU464" s="199"/>
      <c r="AV464" s="54"/>
      <c r="AW464" s="54"/>
      <c r="AX464" s="54"/>
      <c r="AY464" s="54"/>
      <c r="AZ464" s="54"/>
      <c r="BA464" s="1698" t="s">
        <v>1001</v>
      </c>
      <c r="BB464" s="1699"/>
      <c r="BC464" s="54"/>
    </row>
    <row r="465" spans="1:256">
      <c r="A465" s="45"/>
      <c r="B465" s="1665"/>
      <c r="C465" s="1666" t="s">
        <v>1388</v>
      </c>
      <c r="D465" s="2351"/>
      <c r="E465" s="2768"/>
      <c r="F465" s="2377"/>
      <c r="G465" s="3751">
        <f ca="1">+Transfer!C260</f>
        <v>28.494703738629902</v>
      </c>
      <c r="H465" s="3751"/>
      <c r="I465" s="3751"/>
      <c r="J465" s="3751"/>
      <c r="K465" s="3751"/>
      <c r="L465" s="3751"/>
      <c r="M465" s="2368"/>
      <c r="N465" s="54"/>
      <c r="O465" s="54"/>
      <c r="P465" s="54"/>
      <c r="Q465" s="54"/>
      <c r="R465" s="54"/>
      <c r="S465" s="190"/>
      <c r="T465" s="101" t="s">
        <v>1388</v>
      </c>
      <c r="U465" s="49"/>
      <c r="V465" s="140"/>
      <c r="W465" s="92"/>
      <c r="X465" s="3751">
        <f t="shared" ca="1" si="31"/>
        <v>-0.69999999999999929</v>
      </c>
      <c r="Y465" s="3751">
        <f t="shared" si="31"/>
        <v>0</v>
      </c>
      <c r="Z465" s="3751">
        <f t="shared" si="31"/>
        <v>0</v>
      </c>
      <c r="AA465" s="3751">
        <f t="shared" si="31"/>
        <v>0</v>
      </c>
      <c r="AB465" s="3751">
        <f t="shared" si="31"/>
        <v>0</v>
      </c>
      <c r="AC465" s="3751">
        <f t="shared" si="31"/>
        <v>0</v>
      </c>
      <c r="AD465" s="82"/>
      <c r="AE465" s="45"/>
      <c r="AF465" s="45"/>
      <c r="AG465" s="45"/>
      <c r="AH465" s="45"/>
      <c r="AI465" s="45"/>
      <c r="AJ465" s="190"/>
      <c r="AK465" s="101" t="s">
        <v>1388</v>
      </c>
      <c r="AL465" s="49"/>
      <c r="AM465" s="140"/>
      <c r="AN465" s="92"/>
      <c r="AO465" s="3751">
        <f>+Transfer!AC260</f>
        <v>29.244220911408064</v>
      </c>
      <c r="AP465" s="3751"/>
      <c r="AQ465" s="3751"/>
      <c r="AR465" s="3751"/>
      <c r="AS465" s="3751"/>
      <c r="AT465" s="3751"/>
      <c r="AU465" s="82"/>
      <c r="AV465" s="54"/>
      <c r="AW465" s="54"/>
      <c r="AX465" s="54"/>
      <c r="AY465" s="54"/>
      <c r="AZ465" s="54"/>
      <c r="BA465" s="1698" t="s">
        <v>1002</v>
      </c>
      <c r="BB465" s="1699"/>
      <c r="BC465" s="54"/>
    </row>
    <row r="466" spans="1:256">
      <c r="A466" s="45"/>
      <c r="B466" s="1665"/>
      <c r="C466" s="1666" t="s">
        <v>1389</v>
      </c>
      <c r="D466" s="2351"/>
      <c r="E466" s="2768"/>
      <c r="F466" s="2692"/>
      <c r="G466" s="3751">
        <f ca="1">100*Transfer!E215/Transfer!E161</f>
        <v>29.508480824713736</v>
      </c>
      <c r="H466" s="3751"/>
      <c r="I466" s="3751">
        <f ca="1">100*Transfer!F215/Transfer!F161</f>
        <v>29.714063808457762</v>
      </c>
      <c r="J466" s="3751"/>
      <c r="K466" s="3751">
        <f ca="1">100*Transfer!G215/Transfer!G161</f>
        <v>29.691557174474582</v>
      </c>
      <c r="L466" s="3751"/>
      <c r="M466" s="2452"/>
      <c r="N466" s="54"/>
      <c r="O466" s="54"/>
      <c r="P466" s="54"/>
      <c r="Q466" s="54"/>
      <c r="R466" s="54"/>
      <c r="S466" s="190"/>
      <c r="T466" s="101" t="s">
        <v>1389</v>
      </c>
      <c r="U466" s="49"/>
      <c r="V466" s="140"/>
      <c r="W466" s="141"/>
      <c r="X466" s="3751">
        <f t="shared" ca="1" si="31"/>
        <v>0.19999999999999929</v>
      </c>
      <c r="Y466" s="3751">
        <f t="shared" si="31"/>
        <v>0</v>
      </c>
      <c r="Z466" s="3751">
        <f t="shared" ca="1" si="31"/>
        <v>0.5</v>
      </c>
      <c r="AA466" s="3751">
        <f t="shared" si="31"/>
        <v>0</v>
      </c>
      <c r="AB466" s="3751">
        <f t="shared" ca="1" si="31"/>
        <v>0.5</v>
      </c>
      <c r="AC466" s="3751">
        <f t="shared" si="31"/>
        <v>0</v>
      </c>
      <c r="AD466" s="199"/>
      <c r="AE466" s="45"/>
      <c r="AF466" s="45"/>
      <c r="AG466" s="45"/>
      <c r="AH466" s="45"/>
      <c r="AI466" s="45"/>
      <c r="AJ466" s="190"/>
      <c r="AK466" s="101" t="s">
        <v>1389</v>
      </c>
      <c r="AL466" s="49"/>
      <c r="AM466" s="140"/>
      <c r="AN466" s="141"/>
      <c r="AO466" s="3751">
        <f>100*Transfer!AE215/Transfer!AE161</f>
        <v>29.306382260721229</v>
      </c>
      <c r="AP466" s="3751"/>
      <c r="AQ466" s="3751">
        <f>100*Transfer!AF215/Transfer!AF161</f>
        <v>29.201689111494236</v>
      </c>
      <c r="AR466" s="3751"/>
      <c r="AS466" s="3751">
        <f>100*Transfer!AG215/Transfer!AG161</f>
        <v>29.194911243023974</v>
      </c>
      <c r="AT466" s="3751"/>
      <c r="AU466" s="199"/>
      <c r="AV466" s="54"/>
      <c r="AW466" s="54"/>
      <c r="AX466" s="54"/>
      <c r="AY466" s="54"/>
      <c r="AZ466" s="54"/>
      <c r="BA466" s="1698" t="s">
        <v>1003</v>
      </c>
      <c r="BB466" s="1699"/>
      <c r="BC466" s="54"/>
    </row>
    <row r="467" spans="1:256" ht="13.5" thickBot="1">
      <c r="A467" s="45"/>
      <c r="B467" s="1665"/>
      <c r="C467" s="2395" t="s">
        <v>1390</v>
      </c>
      <c r="D467" s="2736"/>
      <c r="E467" s="2772"/>
      <c r="F467" s="2738"/>
      <c r="G467" s="3751">
        <f ca="1">100*(((Transfer!E215/Transfer!D215)-1)-(Sector1!$F$289*((Transfer!E161/Transfer!D161)-1)))*(Transfer!D215/Transfer!E147)</f>
        <v>0.39494864739225632</v>
      </c>
      <c r="H467" s="3751"/>
      <c r="I467" s="3751">
        <f ca="1">100*(((Transfer!F215/Transfer!E215)-1)-(Sector1!$F$289*((Transfer!F161/Transfer!E161)-1)))*(Transfer!E215/Transfer!F147)</f>
        <v>9.0905094276938186E-2</v>
      </c>
      <c r="J467" s="3751"/>
      <c r="K467" s="3751">
        <f ca="1">100*(((Transfer!G215/Transfer!F215)-1)-(Sector1!$F$289*((Transfer!G161/Transfer!F161)-1)))*(Transfer!F215/Transfer!G147)</f>
        <v>-9.97450117163526E-3</v>
      </c>
      <c r="L467" s="3751"/>
      <c r="M467" s="2731"/>
      <c r="N467" s="54"/>
      <c r="O467" s="54"/>
      <c r="P467" s="54"/>
      <c r="Q467" s="54"/>
      <c r="R467" s="54"/>
      <c r="S467" s="190"/>
      <c r="T467" s="109" t="s">
        <v>1390</v>
      </c>
      <c r="U467" s="183"/>
      <c r="V467" s="1725"/>
      <c r="W467" s="469"/>
      <c r="X467" s="3751">
        <f t="shared" ca="1" si="31"/>
        <v>0.2</v>
      </c>
      <c r="Y467" s="3751">
        <f t="shared" si="31"/>
        <v>0</v>
      </c>
      <c r="Z467" s="3751">
        <f t="shared" ca="1" si="31"/>
        <v>0.1</v>
      </c>
      <c r="AA467" s="3751">
        <f t="shared" si="31"/>
        <v>0</v>
      </c>
      <c r="AB467" s="3751">
        <f t="shared" ca="1" si="31"/>
        <v>0</v>
      </c>
      <c r="AC467" s="3751">
        <f t="shared" si="31"/>
        <v>0</v>
      </c>
      <c r="AD467" s="468"/>
      <c r="AE467" s="45"/>
      <c r="AF467" s="45"/>
      <c r="AG467" s="45"/>
      <c r="AH467" s="45"/>
      <c r="AI467" s="45"/>
      <c r="AJ467" s="190"/>
      <c r="AK467" s="109" t="s">
        <v>1390</v>
      </c>
      <c r="AL467" s="183"/>
      <c r="AM467" s="1725"/>
      <c r="AN467" s="469"/>
      <c r="AO467" s="3751">
        <f>100*(((Transfer!AE215/Transfer!AD215)-1)-(Sector1!$F$289*((Transfer!AE161/Transfer!AD161)-1)))*(Transfer!AD215/Transfer!AE147)</f>
        <v>0.18972129705076671</v>
      </c>
      <c r="AP467" s="3751"/>
      <c r="AQ467" s="3751">
        <f>100*(((Transfer!AF215/Transfer!AE215)-1)-(Sector1!$F$289*((Transfer!AF161/Transfer!AE161)-1)))*(Transfer!AE215/Transfer!AF147)</f>
        <v>-4.1064792982692187E-2</v>
      </c>
      <c r="AR467" s="3751"/>
      <c r="AS467" s="3751">
        <f>100*(((Transfer!AG215/Transfer!AF215)-1)-(Sector1!$F$289*((Transfer!AG161/Transfer!AF161)-1)))*(Transfer!AF215/Transfer!AG147)</f>
        <v>-2.6391860372341402E-3</v>
      </c>
      <c r="AT467" s="3751"/>
      <c r="AU467" s="468"/>
      <c r="AV467" s="54"/>
      <c r="AW467" s="54"/>
      <c r="AX467" s="54"/>
      <c r="AY467" s="54"/>
      <c r="AZ467" s="54"/>
      <c r="BA467" s="1736" t="s">
        <v>931</v>
      </c>
      <c r="BB467" s="1702"/>
      <c r="BC467" s="54"/>
    </row>
    <row r="468" spans="1:256">
      <c r="A468" s="45"/>
      <c r="B468" s="1701"/>
      <c r="C468" s="2477"/>
      <c r="D468" s="2477"/>
      <c r="E468" s="2477"/>
      <c r="F468" s="2477"/>
      <c r="G468" s="2477"/>
      <c r="H468" s="2477"/>
      <c r="I468" s="2477"/>
      <c r="J468" s="2477"/>
      <c r="K468" s="2477"/>
      <c r="L468" s="2400" t="str">
        <f>UPPER(Country)</f>
        <v>LITHUANIA</v>
      </c>
      <c r="M468" s="2478"/>
      <c r="N468" s="54"/>
      <c r="O468" s="54"/>
      <c r="P468" s="54"/>
      <c r="Q468" s="54"/>
      <c r="R468" s="54"/>
      <c r="S468" s="215"/>
      <c r="T468" s="113"/>
      <c r="U468" s="113"/>
      <c r="V468" s="113"/>
      <c r="W468" s="113"/>
      <c r="X468" s="113"/>
      <c r="Y468" s="113"/>
      <c r="Z468" s="113"/>
      <c r="AA468" s="113"/>
      <c r="AB468" s="113"/>
      <c r="AC468" s="118" t="str">
        <f>UPPER(Country)</f>
        <v>LITHUANIA</v>
      </c>
      <c r="AD468" s="216"/>
      <c r="AE468" s="45"/>
      <c r="AF468" s="45"/>
      <c r="AG468" s="45"/>
      <c r="AH468" s="45"/>
      <c r="AI468" s="45"/>
      <c r="AJ468" s="215"/>
      <c r="AK468" s="113"/>
      <c r="AL468" s="113"/>
      <c r="AM468" s="113"/>
      <c r="AN468" s="113"/>
      <c r="AO468" s="113"/>
      <c r="AP468" s="113"/>
      <c r="AQ468" s="113"/>
      <c r="AR468" s="113"/>
      <c r="AS468" s="113"/>
      <c r="AT468" s="118" t="str">
        <f>UPPER(Country)</f>
        <v>LITHUANIA</v>
      </c>
      <c r="AU468" s="216"/>
      <c r="AV468" s="54"/>
      <c r="AW468" s="54"/>
      <c r="AX468" s="54"/>
      <c r="AY468" s="54"/>
      <c r="AZ468" s="54"/>
      <c r="BA468" s="54"/>
      <c r="BB468" s="54"/>
      <c r="BC468" s="54"/>
    </row>
    <row r="469" spans="1:256">
      <c r="A469" s="45"/>
      <c r="B469" s="45"/>
      <c r="C469" s="45"/>
      <c r="D469" s="45"/>
      <c r="E469" s="45"/>
      <c r="F469" s="45"/>
      <c r="G469" s="45"/>
      <c r="H469" s="45"/>
      <c r="I469" s="45"/>
      <c r="J469" s="45"/>
      <c r="K469" s="45"/>
      <c r="L469" s="45"/>
      <c r="M469" s="45"/>
      <c r="N469" s="45"/>
      <c r="O469" s="54"/>
      <c r="P469" s="54"/>
      <c r="Q469" s="54"/>
      <c r="R469" s="54"/>
      <c r="S469" s="54"/>
      <c r="T469" s="54"/>
      <c r="U469" s="54"/>
      <c r="V469" s="54"/>
      <c r="W469" s="54"/>
      <c r="X469" s="54"/>
      <c r="Y469" s="54"/>
      <c r="Z469" s="54"/>
      <c r="AA469" s="54"/>
      <c r="AB469" s="45"/>
      <c r="AC469" s="45"/>
      <c r="AD469" s="45"/>
      <c r="AE469" s="45"/>
      <c r="AF469" s="45"/>
      <c r="AG469" s="45"/>
      <c r="AH469" s="45"/>
      <c r="AI469" s="45"/>
      <c r="AJ469" s="45"/>
      <c r="AK469" s="45"/>
      <c r="AL469" s="45"/>
      <c r="AM469" s="45"/>
      <c r="AN469" s="45"/>
      <c r="AO469" s="45"/>
      <c r="AP469" s="45"/>
      <c r="AQ469" s="45"/>
      <c r="AR469" s="45"/>
      <c r="AS469" s="45"/>
      <c r="AT469" s="45"/>
      <c r="AU469" s="45"/>
      <c r="AV469" s="45"/>
      <c r="AW469" s="54"/>
      <c r="AX469" s="54"/>
      <c r="AY469" s="54"/>
      <c r="AZ469" s="54"/>
      <c r="BA469" s="54"/>
      <c r="BB469" s="54"/>
      <c r="BC469" s="54"/>
    </row>
    <row r="470" spans="1:256">
      <c r="A470" s="45"/>
      <c r="B470" s="45"/>
      <c r="C470" s="45"/>
      <c r="D470" s="45"/>
      <c r="E470" s="45"/>
      <c r="F470" s="45"/>
      <c r="G470" s="45"/>
      <c r="H470" s="45"/>
      <c r="I470" s="45"/>
      <c r="J470" s="45"/>
      <c r="K470" s="45"/>
      <c r="L470" s="45"/>
      <c r="M470" s="45"/>
      <c r="N470" s="45"/>
      <c r="O470" s="54"/>
      <c r="P470" s="54"/>
      <c r="Q470" s="54"/>
      <c r="R470" s="54"/>
      <c r="S470" s="54"/>
      <c r="T470" s="54"/>
      <c r="U470" s="54"/>
      <c r="V470" s="54"/>
      <c r="W470" s="54"/>
      <c r="X470" s="54"/>
      <c r="Y470" s="54"/>
      <c r="Z470" s="54"/>
      <c r="AA470" s="54"/>
      <c r="AB470" s="45"/>
      <c r="AC470" s="45"/>
      <c r="AD470" s="45"/>
      <c r="AE470" s="45"/>
      <c r="AF470" s="45"/>
      <c r="AG470" s="45"/>
      <c r="AH470" s="45"/>
      <c r="AI470" s="45"/>
      <c r="AJ470" s="45"/>
      <c r="AK470" s="45"/>
      <c r="AL470" s="45"/>
      <c r="AM470" s="45"/>
      <c r="AN470" s="45"/>
      <c r="AO470" s="45"/>
      <c r="AP470" s="45"/>
      <c r="AQ470" s="45"/>
      <c r="AR470" s="45"/>
      <c r="AS470" s="45"/>
      <c r="AT470" s="45"/>
      <c r="AU470" s="45"/>
      <c r="AV470" s="45"/>
      <c r="AW470" s="54"/>
      <c r="AX470" s="54"/>
      <c r="AY470" s="54"/>
      <c r="AZ470" s="54"/>
      <c r="BA470" s="54"/>
      <c r="BB470" s="54"/>
      <c r="BC470" s="54"/>
    </row>
    <row r="471" spans="1:256">
      <c r="A471" s="45"/>
      <c r="B471" s="45"/>
      <c r="C471" s="45"/>
      <c r="D471" s="45"/>
      <c r="E471" s="45"/>
      <c r="F471" s="45"/>
      <c r="G471" s="45"/>
      <c r="H471" s="45"/>
      <c r="I471" s="45"/>
      <c r="J471" s="45"/>
      <c r="K471" s="45"/>
      <c r="L471" s="45"/>
      <c r="M471" s="45"/>
      <c r="N471" s="45"/>
      <c r="O471" s="54"/>
      <c r="P471" s="54"/>
      <c r="Q471" s="54"/>
      <c r="R471" s="54"/>
      <c r="S471" s="54"/>
      <c r="T471" s="54"/>
      <c r="U471" s="54"/>
      <c r="V471" s="54"/>
      <c r="W471" s="54"/>
      <c r="X471" s="54"/>
      <c r="Y471" s="54"/>
      <c r="Z471" s="54"/>
      <c r="AA471" s="54"/>
      <c r="AB471" s="45"/>
      <c r="AC471" s="45"/>
      <c r="AD471" s="45"/>
      <c r="AE471" s="45"/>
      <c r="AF471" s="45"/>
      <c r="AG471" s="45"/>
      <c r="AH471" s="45"/>
      <c r="AI471" s="45"/>
      <c r="AJ471" s="45"/>
      <c r="AK471" s="45"/>
      <c r="AL471" s="45"/>
      <c r="AM471" s="45"/>
      <c r="AN471" s="45"/>
      <c r="AO471" s="45"/>
      <c r="AP471" s="45"/>
      <c r="AQ471" s="45"/>
      <c r="AR471" s="45"/>
      <c r="AS471" s="45"/>
      <c r="AT471" s="45"/>
      <c r="AU471" s="45"/>
      <c r="AV471" s="45"/>
      <c r="AW471" s="54"/>
      <c r="AX471" s="54"/>
      <c r="AY471" s="54"/>
      <c r="AZ471" s="54"/>
      <c r="BA471" s="54"/>
      <c r="BB471" s="54"/>
      <c r="BC471" s="54"/>
    </row>
    <row r="472" spans="1:256">
      <c r="A472" s="45"/>
      <c r="B472" s="45"/>
      <c r="C472" s="45"/>
      <c r="D472" s="45"/>
      <c r="E472" s="45"/>
      <c r="F472" s="45"/>
      <c r="G472" s="1720"/>
      <c r="H472" s="1720"/>
      <c r="I472" s="1720"/>
      <c r="J472" s="1720"/>
      <c r="K472" s="1720"/>
      <c r="L472" s="1720"/>
      <c r="M472" s="45"/>
      <c r="N472" s="45"/>
      <c r="O472" s="45"/>
      <c r="P472" s="54"/>
      <c r="Q472" s="54"/>
      <c r="R472" s="54"/>
      <c r="S472" s="54"/>
      <c r="T472" s="54"/>
      <c r="U472" s="54"/>
      <c r="V472" s="54"/>
      <c r="W472" s="54"/>
      <c r="X472" s="54"/>
      <c r="Y472" s="54"/>
      <c r="Z472" s="54"/>
      <c r="AA472" s="54"/>
      <c r="AB472" s="45"/>
      <c r="AC472" s="45"/>
      <c r="AD472" s="45"/>
      <c r="AE472" s="45"/>
      <c r="AF472" s="45"/>
      <c r="AG472" s="45"/>
      <c r="AH472" s="45"/>
      <c r="AI472" s="45"/>
      <c r="AJ472" s="45"/>
      <c r="AK472" s="45"/>
      <c r="AL472" s="45"/>
      <c r="AM472" s="45"/>
      <c r="AN472" s="45"/>
      <c r="AO472" s="45"/>
      <c r="AP472" s="45"/>
      <c r="AQ472" s="45"/>
      <c r="AR472" s="45"/>
      <c r="AS472" s="45"/>
      <c r="AT472" s="45"/>
      <c r="AU472" s="45"/>
      <c r="AV472" s="45"/>
      <c r="AW472" s="54"/>
      <c r="AX472" s="54"/>
      <c r="AY472" s="54"/>
      <c r="AZ472" s="54"/>
      <c r="BA472" s="54"/>
      <c r="BB472" s="54"/>
      <c r="BC472" s="54"/>
    </row>
    <row r="473" spans="1:256" s="217" customFormat="1">
      <c r="A473" s="54"/>
      <c r="B473" s="2529"/>
      <c r="C473" s="2342" t="s">
        <v>332</v>
      </c>
      <c r="D473" s="2773"/>
      <c r="E473" s="2773"/>
      <c r="F473" s="2773"/>
      <c r="G473" s="2773"/>
      <c r="H473" s="2773"/>
      <c r="I473" s="2773"/>
      <c r="J473" s="2773"/>
      <c r="K473" s="2773"/>
      <c r="L473" s="2773"/>
      <c r="M473" s="2773"/>
      <c r="N473" s="2774"/>
      <c r="O473" s="54"/>
      <c r="P473" s="54"/>
      <c r="Q473" s="54"/>
      <c r="R473" s="54"/>
      <c r="S473" s="257"/>
      <c r="T473" s="56" t="s">
        <v>332</v>
      </c>
      <c r="U473" s="2315"/>
      <c r="V473" s="2315"/>
      <c r="W473" s="2315"/>
      <c r="X473" s="2315"/>
      <c r="Y473" s="2315"/>
      <c r="Z473" s="2315"/>
      <c r="AA473" s="2315"/>
      <c r="AB473" s="2315"/>
      <c r="AC473" s="2315"/>
      <c r="AD473" s="2315"/>
      <c r="AE473" s="2316"/>
      <c r="AF473" s="45"/>
      <c r="AG473" s="45"/>
      <c r="AH473" s="45"/>
      <c r="AI473" s="45"/>
      <c r="AJ473" s="257"/>
      <c r="AK473" s="56" t="s">
        <v>332</v>
      </c>
      <c r="AL473" s="2315"/>
      <c r="AM473" s="2315"/>
      <c r="AN473" s="2315"/>
      <c r="AO473" s="2315"/>
      <c r="AP473" s="2315"/>
      <c r="AQ473" s="2315"/>
      <c r="AR473" s="2315"/>
      <c r="AS473" s="2315"/>
      <c r="AT473" s="2315"/>
      <c r="AU473" s="2315"/>
      <c r="AV473" s="2316"/>
      <c r="AW473" s="54"/>
      <c r="AX473" s="54"/>
      <c r="AY473" s="54"/>
      <c r="AZ473" s="54"/>
      <c r="BA473" s="54"/>
      <c r="BB473" s="54"/>
      <c r="BC473" s="54"/>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row>
    <row r="474" spans="1:256" s="217" customFormat="1">
      <c r="A474" s="54"/>
      <c r="B474" s="1992"/>
      <c r="C474" s="3751" t="s">
        <v>1109</v>
      </c>
      <c r="D474" s="3751"/>
      <c r="E474" s="3751"/>
      <c r="F474" s="3751"/>
      <c r="G474" s="3751"/>
      <c r="H474" s="3751"/>
      <c r="I474" s="3751"/>
      <c r="J474" s="3751"/>
      <c r="K474" s="3751"/>
      <c r="L474" s="3751"/>
      <c r="M474" s="3751"/>
      <c r="N474" s="2452"/>
      <c r="O474" s="54"/>
      <c r="P474" s="54"/>
      <c r="Q474" s="54"/>
      <c r="R474" s="54"/>
      <c r="S474" s="259"/>
      <c r="T474" s="3751" t="s">
        <v>1109</v>
      </c>
      <c r="U474" s="3751"/>
      <c r="V474" s="3751"/>
      <c r="W474" s="3751"/>
      <c r="X474" s="3751"/>
      <c r="Y474" s="3751"/>
      <c r="Z474" s="3751"/>
      <c r="AA474" s="3751"/>
      <c r="AB474" s="3751"/>
      <c r="AC474" s="3751"/>
      <c r="AD474" s="3751"/>
      <c r="AE474" s="199"/>
      <c r="AF474" s="45"/>
      <c r="AG474" s="45"/>
      <c r="AH474" s="45"/>
      <c r="AI474" s="45"/>
      <c r="AJ474" s="259"/>
      <c r="AK474" s="3751" t="s">
        <v>1109</v>
      </c>
      <c r="AL474" s="3751"/>
      <c r="AM474" s="3751"/>
      <c r="AN474" s="3751"/>
      <c r="AO474" s="3751"/>
      <c r="AP474" s="3751"/>
      <c r="AQ474" s="3751"/>
      <c r="AR474" s="3751"/>
      <c r="AS474" s="3751"/>
      <c r="AT474" s="3751"/>
      <c r="AU474" s="3751"/>
      <c r="AV474" s="199"/>
      <c r="AW474" s="54"/>
      <c r="AX474" s="54"/>
      <c r="AY474" s="54"/>
      <c r="AZ474" s="54"/>
      <c r="BA474" s="54"/>
      <c r="BB474" s="54"/>
      <c r="BC474" s="5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row>
    <row r="475" spans="1:256" s="217" customFormat="1" ht="15.75">
      <c r="A475" s="54"/>
      <c r="B475" s="1992"/>
      <c r="C475" s="2349" t="str">
        <f>"Country: " &amp;UPPER(Country)</f>
        <v>Country: LITHUANIA</v>
      </c>
      <c r="D475" s="2351"/>
      <c r="E475" s="2351"/>
      <c r="F475" s="2351"/>
      <c r="G475" s="2351"/>
      <c r="H475" s="2351"/>
      <c r="I475" s="2351"/>
      <c r="J475" s="2351"/>
      <c r="K475" s="2351"/>
      <c r="L475" s="2351"/>
      <c r="M475" s="2351"/>
      <c r="N475" s="2452"/>
      <c r="O475" s="54"/>
      <c r="P475" s="54"/>
      <c r="Q475" s="54"/>
      <c r="R475" s="54"/>
      <c r="S475" s="259"/>
      <c r="T475" s="130" t="str">
        <f>"Country: " &amp;UPPER(Country)</f>
        <v>Country: LITHUANIA</v>
      </c>
      <c r="U475" s="49"/>
      <c r="V475" s="49"/>
      <c r="W475" s="2006" t="s">
        <v>390</v>
      </c>
      <c r="X475" s="49"/>
      <c r="Y475" s="49"/>
      <c r="Z475" s="49"/>
      <c r="AA475" s="49"/>
      <c r="AB475" s="49"/>
      <c r="AC475" s="49"/>
      <c r="AD475" s="49"/>
      <c r="AE475" s="199"/>
      <c r="AF475" s="45"/>
      <c r="AG475" s="45"/>
      <c r="AH475" s="45"/>
      <c r="AI475" s="45"/>
      <c r="AJ475" s="259"/>
      <c r="AK475" s="130" t="str">
        <f>"Country: " &amp;UPPER(Country)</f>
        <v>Country: LITHUANIA</v>
      </c>
      <c r="AL475" s="49"/>
      <c r="AM475" s="49"/>
      <c r="AN475" s="49"/>
      <c r="AO475" s="49"/>
      <c r="AP475" s="49"/>
      <c r="AQ475" s="49"/>
      <c r="AR475" s="49"/>
      <c r="AS475" s="49"/>
      <c r="AT475" s="49"/>
      <c r="AU475" s="49"/>
      <c r="AV475" s="199"/>
      <c r="AW475" s="54"/>
      <c r="AX475" s="54"/>
      <c r="AY475" s="54"/>
      <c r="AZ475" s="54"/>
      <c r="BA475" s="54"/>
      <c r="BB475" s="54"/>
      <c r="BC475" s="54"/>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row>
    <row r="476" spans="1:256" s="217" customFormat="1" ht="15.75">
      <c r="A476" s="54"/>
      <c r="B476" s="1992"/>
      <c r="C476" s="2349" t="str">
        <f>"Currency unit: " &amp; Currency</f>
        <v>Currency unit: bn EUR</v>
      </c>
      <c r="D476" s="2351"/>
      <c r="E476" s="2351"/>
      <c r="F476" s="2722"/>
      <c r="G476" s="2351"/>
      <c r="H476" s="2481"/>
      <c r="I476" s="2351"/>
      <c r="J476" s="2481"/>
      <c r="K476" s="2481"/>
      <c r="L476" s="2481"/>
      <c r="M476" s="2481"/>
      <c r="N476" s="1699"/>
      <c r="O476" s="54"/>
      <c r="P476" s="54"/>
      <c r="Q476" s="54"/>
      <c r="R476" s="54"/>
      <c r="S476" s="259"/>
      <c r="T476" s="130" t="str">
        <f>"Currency unit: " &amp; Currency</f>
        <v>Currency unit: bn EUR</v>
      </c>
      <c r="U476" s="49"/>
      <c r="V476" s="49"/>
      <c r="W476" s="2006" t="str">
        <f>$T$4</f>
        <v>2nd storage</v>
      </c>
      <c r="X476" s="49"/>
      <c r="Y476" s="167"/>
      <c r="Z476" s="49"/>
      <c r="AA476" s="167"/>
      <c r="AB476" s="167"/>
      <c r="AC476" s="167"/>
      <c r="AD476" s="167"/>
      <c r="AE476" s="2318"/>
      <c r="AF476" s="45"/>
      <c r="AG476" s="45"/>
      <c r="AH476" s="45"/>
      <c r="AI476" s="45"/>
      <c r="AJ476" s="259"/>
      <c r="AK476" s="130" t="str">
        <f>"Currency unit: " &amp; Currency</f>
        <v>Currency unit: bn EUR</v>
      </c>
      <c r="AL476" s="49"/>
      <c r="AM476" s="49"/>
      <c r="AN476" s="2317"/>
      <c r="AO476" s="49"/>
      <c r="AP476" s="167"/>
      <c r="AQ476" s="49"/>
      <c r="AR476" s="167"/>
      <c r="AS476" s="167"/>
      <c r="AT476" s="167"/>
      <c r="AU476" s="167"/>
      <c r="AV476" s="2318"/>
      <c r="AW476" s="54"/>
      <c r="AX476" s="54"/>
      <c r="AY476" s="54"/>
      <c r="AZ476" s="54"/>
      <c r="BA476" s="54"/>
      <c r="BB476" s="54"/>
      <c r="BC476" s="54"/>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row>
    <row r="477" spans="1:256" s="217" customFormat="1" ht="13.5" thickBot="1">
      <c r="A477" s="54"/>
      <c r="B477" s="1992"/>
      <c r="C477" s="2355" t="s">
        <v>297</v>
      </c>
      <c r="D477" s="2481"/>
      <c r="E477" s="2351"/>
      <c r="F477" s="2351"/>
      <c r="G477" s="2351"/>
      <c r="H477" s="2351"/>
      <c r="I477" s="2351"/>
      <c r="J477" s="2351"/>
      <c r="K477" s="2481"/>
      <c r="L477" s="3789">
        <f ca="1">NOW()</f>
        <v>43392.47578483796</v>
      </c>
      <c r="M477" s="3789"/>
      <c r="N477" s="2602"/>
      <c r="O477" s="54"/>
      <c r="P477" s="54"/>
      <c r="Q477" s="54"/>
      <c r="R477" s="54"/>
      <c r="S477" s="259"/>
      <c r="T477" s="134" t="s">
        <v>297</v>
      </c>
      <c r="U477" s="167"/>
      <c r="V477" s="49"/>
      <c r="W477" s="49"/>
      <c r="X477" s="49"/>
      <c r="Y477" s="49"/>
      <c r="Z477" s="49"/>
      <c r="AA477" s="49"/>
      <c r="AB477" s="167"/>
      <c r="AC477" s="3751">
        <f ca="1">NOW()</f>
        <v>43392.47578483796</v>
      </c>
      <c r="AD477" s="3751"/>
      <c r="AE477" s="2319"/>
      <c r="AF477" s="45"/>
      <c r="AG477" s="45"/>
      <c r="AH477" s="45"/>
      <c r="AI477" s="45"/>
      <c r="AJ477" s="259"/>
      <c r="AK477" s="134" t="s">
        <v>297</v>
      </c>
      <c r="AL477" s="167"/>
      <c r="AM477" s="49"/>
      <c r="AN477" s="49"/>
      <c r="AO477" s="49"/>
      <c r="AP477" s="49"/>
      <c r="AQ477" s="49"/>
      <c r="AR477" s="49"/>
      <c r="AS477" s="167"/>
      <c r="AT477" s="3751">
        <f ca="1">NOW()</f>
        <v>43392.47578483796</v>
      </c>
      <c r="AU477" s="3751"/>
      <c r="AV477" s="2319"/>
      <c r="AW477" s="54"/>
      <c r="AX477" s="54"/>
      <c r="AY477" s="54"/>
      <c r="AZ477" s="54"/>
      <c r="BA477" s="54"/>
      <c r="BB477" s="54"/>
      <c r="BC477" s="54"/>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row>
    <row r="478" spans="1:256" s="217" customFormat="1">
      <c r="A478" s="54"/>
      <c r="B478" s="1992"/>
      <c r="C478" s="2357"/>
      <c r="D478" s="2358"/>
      <c r="E478" s="2404" t="s">
        <v>188</v>
      </c>
      <c r="F478" s="3751">
        <f>+E16</f>
        <v>2016</v>
      </c>
      <c r="G478" s="3751"/>
      <c r="H478" s="3751">
        <f>F478+1</f>
        <v>2017</v>
      </c>
      <c r="I478" s="3751"/>
      <c r="J478" s="3751">
        <f>H478+1</f>
        <v>2018</v>
      </c>
      <c r="K478" s="3751"/>
      <c r="L478" s="3751">
        <f>J478+1</f>
        <v>2019</v>
      </c>
      <c r="M478" s="3751"/>
      <c r="N478" s="2447"/>
      <c r="O478" s="54"/>
      <c r="P478" s="54"/>
      <c r="Q478" s="54"/>
      <c r="R478" s="54"/>
      <c r="S478" s="259"/>
      <c r="T478" s="72"/>
      <c r="U478" s="211"/>
      <c r="V478" s="420" t="s">
        <v>188</v>
      </c>
      <c r="W478" s="3751">
        <v>2005</v>
      </c>
      <c r="X478" s="3751"/>
      <c r="Y478" s="3751">
        <f>W478+1</f>
        <v>2006</v>
      </c>
      <c r="Z478" s="3751"/>
      <c r="AA478" s="3751">
        <f>Y478+1</f>
        <v>2007</v>
      </c>
      <c r="AB478" s="3751"/>
      <c r="AC478" s="3751">
        <f>AA478+1</f>
        <v>2008</v>
      </c>
      <c r="AD478" s="3751"/>
      <c r="AE478" s="227"/>
      <c r="AF478" s="45"/>
      <c r="AG478" s="45"/>
      <c r="AH478" s="45"/>
      <c r="AI478" s="45"/>
      <c r="AJ478" s="259"/>
      <c r="AK478" s="72"/>
      <c r="AL478" s="211"/>
      <c r="AM478" s="420" t="s">
        <v>188</v>
      </c>
      <c r="AN478" s="3751">
        <v>2005</v>
      </c>
      <c r="AO478" s="3751"/>
      <c r="AP478" s="3751">
        <f>AN478+1</f>
        <v>2006</v>
      </c>
      <c r="AQ478" s="3751"/>
      <c r="AR478" s="3751">
        <f>AP478+1</f>
        <v>2007</v>
      </c>
      <c r="AS478" s="3751"/>
      <c r="AT478" s="3751">
        <f>AR478+1</f>
        <v>2008</v>
      </c>
      <c r="AU478" s="3751"/>
      <c r="AV478" s="227"/>
      <c r="AW478" s="54"/>
      <c r="AX478" s="54"/>
      <c r="AY478" s="54"/>
      <c r="AZ478" s="54"/>
      <c r="BA478" s="54"/>
      <c r="BB478" s="54"/>
      <c r="BC478" s="54"/>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row>
    <row r="479" spans="1:256" s="217" customFormat="1">
      <c r="A479" s="54"/>
      <c r="B479" s="1992"/>
      <c r="C479" s="2379"/>
      <c r="D479" s="2380"/>
      <c r="E479" s="2775" t="s">
        <v>541</v>
      </c>
      <c r="F479" s="2641" t="s">
        <v>298</v>
      </c>
      <c r="G479" s="2642" t="s">
        <v>1170</v>
      </c>
      <c r="H479" s="2641" t="s">
        <v>298</v>
      </c>
      <c r="I479" s="2642" t="s">
        <v>1170</v>
      </c>
      <c r="J479" s="2641" t="s">
        <v>298</v>
      </c>
      <c r="K479" s="2642" t="s">
        <v>1170</v>
      </c>
      <c r="L479" s="2641" t="s">
        <v>298</v>
      </c>
      <c r="M479" s="2643" t="s">
        <v>1170</v>
      </c>
      <c r="N479" s="2661"/>
      <c r="O479" s="54"/>
      <c r="P479" s="54"/>
      <c r="Q479" s="54"/>
      <c r="R479" s="54"/>
      <c r="S479" s="259"/>
      <c r="T479" s="427"/>
      <c r="U479" s="95"/>
      <c r="V479" s="2320" t="s">
        <v>541</v>
      </c>
      <c r="W479" s="390" t="s">
        <v>298</v>
      </c>
      <c r="X479" s="391" t="s">
        <v>1170</v>
      </c>
      <c r="Y479" s="390" t="s">
        <v>298</v>
      </c>
      <c r="Z479" s="391" t="s">
        <v>1170</v>
      </c>
      <c r="AA479" s="390" t="s">
        <v>298</v>
      </c>
      <c r="AB479" s="391" t="s">
        <v>1170</v>
      </c>
      <c r="AC479" s="390" t="s">
        <v>298</v>
      </c>
      <c r="AD479" s="392" t="s">
        <v>1170</v>
      </c>
      <c r="AE479" s="393"/>
      <c r="AF479" s="45"/>
      <c r="AG479" s="45"/>
      <c r="AH479" s="45"/>
      <c r="AI479" s="45"/>
      <c r="AJ479" s="259"/>
      <c r="AK479" s="427"/>
      <c r="AL479" s="95"/>
      <c r="AM479" s="2320" t="s">
        <v>541</v>
      </c>
      <c r="AN479" s="390" t="s">
        <v>298</v>
      </c>
      <c r="AO479" s="391" t="s">
        <v>1170</v>
      </c>
      <c r="AP479" s="390" t="s">
        <v>298</v>
      </c>
      <c r="AQ479" s="391" t="s">
        <v>1170</v>
      </c>
      <c r="AR479" s="390" t="s">
        <v>298</v>
      </c>
      <c r="AS479" s="391" t="s">
        <v>1170</v>
      </c>
      <c r="AT479" s="390" t="s">
        <v>298</v>
      </c>
      <c r="AU479" s="392" t="s">
        <v>1170</v>
      </c>
      <c r="AV479" s="393"/>
      <c r="AW479" s="54"/>
      <c r="AX479" s="54"/>
      <c r="AY479" s="54"/>
      <c r="AZ479" s="54"/>
      <c r="BA479" s="54"/>
      <c r="BB479" s="54"/>
      <c r="BC479" s="54"/>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row>
    <row r="480" spans="1:256" s="217" customFormat="1">
      <c r="A480" s="54"/>
      <c r="B480" s="1992"/>
      <c r="C480" s="1666" t="s">
        <v>542</v>
      </c>
      <c r="D480" s="2351"/>
      <c r="E480" s="2645" t="s">
        <v>1407</v>
      </c>
      <c r="F480" s="2692">
        <f ca="1">Transfer!D220</f>
        <v>3.8023500000000001</v>
      </c>
      <c r="G480" s="2450">
        <f ca="1">100*((Transfer!D220/Transfer!C220)-1)</f>
        <v>5.4652720570491864</v>
      </c>
      <c r="H480" s="2692">
        <f ca="1">Transfer!E220</f>
        <v>4.0019753007261274</v>
      </c>
      <c r="I480" s="2450">
        <f ca="1">100*((Transfer!E220/Transfer!D220)-1)</f>
        <v>5.2500506456830021</v>
      </c>
      <c r="J480" s="2692">
        <f ca="1">Transfer!F220</f>
        <v>4.2038161866725012</v>
      </c>
      <c r="K480" s="2450">
        <f ca="1">100*((Transfer!F220/Transfer!E220)-1)</f>
        <v>5.0435315257880697</v>
      </c>
      <c r="L480" s="2450">
        <f ca="1">Transfer!G220</f>
        <v>4.435208860003871</v>
      </c>
      <c r="M480" s="2451">
        <f ca="1">100*((Transfer!G220/Transfer!F220)-1)</f>
        <v>5.5043480270370093</v>
      </c>
      <c r="N480" s="2452"/>
      <c r="O480" s="54"/>
      <c r="P480" s="54"/>
      <c r="Q480" s="54"/>
      <c r="R480" s="54"/>
      <c r="S480" s="259"/>
      <c r="T480" s="101" t="s">
        <v>542</v>
      </c>
      <c r="U480" s="49"/>
      <c r="V480" s="2321" t="s">
        <v>1407</v>
      </c>
      <c r="W480" s="2019">
        <f t="shared" ref="W480:AD488" ca="1" si="32">ROUND(F480,1)-ROUND(AN480,1)</f>
        <v>-7.3999999999999995</v>
      </c>
      <c r="X480" s="2020">
        <f t="shared" ca="1" si="32"/>
        <v>4.0999999999999996</v>
      </c>
      <c r="Y480" s="2020">
        <f t="shared" ca="1" si="32"/>
        <v>-7.8000000000000007</v>
      </c>
      <c r="Z480" s="2020">
        <f t="shared" ca="1" si="32"/>
        <v>-0.29999999999999982</v>
      </c>
      <c r="AA480" s="2020">
        <f t="shared" ca="1" si="32"/>
        <v>-8.3999999999999986</v>
      </c>
      <c r="AB480" s="2020">
        <f t="shared" ca="1" si="32"/>
        <v>-2.0999999999999996</v>
      </c>
      <c r="AC480" s="2020">
        <f t="shared" ca="1" si="32"/>
        <v>-8.9</v>
      </c>
      <c r="AD480" s="249">
        <f t="shared" ca="1" si="32"/>
        <v>0.5</v>
      </c>
      <c r="AE480" s="199"/>
      <c r="AF480" s="45"/>
      <c r="AG480" s="45"/>
      <c r="AH480" s="45"/>
      <c r="AI480" s="45"/>
      <c r="AJ480" s="259"/>
      <c r="AK480" s="101" t="s">
        <v>542</v>
      </c>
      <c r="AL480" s="49"/>
      <c r="AM480" s="2321" t="s">
        <v>1407</v>
      </c>
      <c r="AN480" s="141">
        <f>Transfer!AD220</f>
        <v>11.15719</v>
      </c>
      <c r="AO480" s="2020">
        <f>100*((Transfer!AD220/Transfer!AC220)-1)</f>
        <v>1.373521036669012</v>
      </c>
      <c r="AP480" s="141">
        <f>Transfer!AE220</f>
        <v>11.783108359</v>
      </c>
      <c r="AQ480" s="2020">
        <f>100*((Transfer!AE220/Transfer!AD220)-1)</f>
        <v>5.6100000000000039</v>
      </c>
      <c r="AR480" s="141">
        <f>Transfer!AF220</f>
        <v>12.622065674160799</v>
      </c>
      <c r="AS480" s="2020">
        <f>100*((Transfer!AF220/Transfer!AE220)-1)</f>
        <v>7.119999999999993</v>
      </c>
      <c r="AT480" s="2020">
        <f>Transfer!AG220</f>
        <v>13.253168957868839</v>
      </c>
      <c r="AU480" s="2310">
        <f>100*((Transfer!AG220/Transfer!AF220)-1)</f>
        <v>5.0000000000000044</v>
      </c>
      <c r="AV480" s="199"/>
      <c r="AW480" s="54"/>
      <c r="AX480" s="54"/>
      <c r="AY480" s="54"/>
      <c r="AZ480" s="54"/>
      <c r="BA480" s="1999" t="s">
        <v>1036</v>
      </c>
      <c r="BB480" s="54"/>
      <c r="BC480" s="54"/>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row>
    <row r="481" spans="1:256" s="217" customFormat="1">
      <c r="A481" s="54"/>
      <c r="B481" s="1992"/>
      <c r="C481" s="1666" t="s">
        <v>259</v>
      </c>
      <c r="D481" s="2351"/>
      <c r="E481" s="2521" t="s">
        <v>1130</v>
      </c>
      <c r="F481" s="2511">
        <f ca="1">Transfer!D245</f>
        <v>1.84643</v>
      </c>
      <c r="G481" s="2453">
        <f ca="1">100*((Transfer!D245/Transfer!C245)-1)</f>
        <v>-1.138304536620105</v>
      </c>
      <c r="H481" s="2692">
        <f ca="1">Transfer!E245</f>
        <v>1.8754002492738726</v>
      </c>
      <c r="I481" s="2453">
        <f ca="1">100*((Transfer!E245/Transfer!D245)-1)</f>
        <v>1.568987141341549</v>
      </c>
      <c r="J481" s="2692">
        <f ca="1">Transfer!F245</f>
        <v>2.0133065466654987</v>
      </c>
      <c r="K481" s="2453">
        <f ca="1">100*((Transfer!F245/Transfer!E245)-1)</f>
        <v>7.3534328176090069</v>
      </c>
      <c r="L481" s="2453">
        <f ca="1">Transfer!G245</f>
        <v>2.1138316020828603</v>
      </c>
      <c r="M481" s="2693">
        <f ca="1">100*((Transfer!G245/Transfer!F245)-1)</f>
        <v>4.9930327591620083</v>
      </c>
      <c r="N481" s="2452"/>
      <c r="O481" s="54"/>
      <c r="P481" s="54"/>
      <c r="Q481" s="54"/>
      <c r="R481" s="54"/>
      <c r="S481" s="259"/>
      <c r="T481" s="101" t="s">
        <v>259</v>
      </c>
      <c r="U481" s="49"/>
      <c r="V481" s="254" t="s">
        <v>1130</v>
      </c>
      <c r="W481" s="248">
        <f t="shared" ca="1" si="32"/>
        <v>-4</v>
      </c>
      <c r="X481" s="245">
        <f t="shared" ca="1" si="32"/>
        <v>-4.3000000000000007</v>
      </c>
      <c r="Y481" s="245">
        <f t="shared" ca="1" si="32"/>
        <v>-3.6999999999999997</v>
      </c>
      <c r="Z481" s="245">
        <f t="shared" ca="1" si="32"/>
        <v>3.8000000000000003</v>
      </c>
      <c r="AA481" s="245">
        <f t="shared" ca="1" si="32"/>
        <v>-3.4000000000000004</v>
      </c>
      <c r="AB481" s="245">
        <f t="shared" ca="1" si="32"/>
        <v>11</v>
      </c>
      <c r="AC481" s="245">
        <f t="shared" ca="1" si="32"/>
        <v>-3.4</v>
      </c>
      <c r="AD481" s="249">
        <f t="shared" ca="1" si="32"/>
        <v>4.5</v>
      </c>
      <c r="AE481" s="199"/>
      <c r="AF481" s="45"/>
      <c r="AG481" s="45"/>
      <c r="AH481" s="45"/>
      <c r="AI481" s="45"/>
      <c r="AJ481" s="259"/>
      <c r="AK481" s="101" t="s">
        <v>259</v>
      </c>
      <c r="AL481" s="49"/>
      <c r="AM481" s="254" t="s">
        <v>1130</v>
      </c>
      <c r="AN481" s="145">
        <f>Transfer!AD245</f>
        <v>5.75936</v>
      </c>
      <c r="AO481" s="245">
        <f>100*((Transfer!AD245/Transfer!AC245)-1)</f>
        <v>3.1973223052830013</v>
      </c>
      <c r="AP481" s="141">
        <f>Transfer!AE245</f>
        <v>5.6298466320999996</v>
      </c>
      <c r="AQ481" s="245">
        <f>100*((Transfer!AE245/Transfer!AD245)-1)</f>
        <v>-2.2487458311340247</v>
      </c>
      <c r="AR481" s="141">
        <f>Transfer!AF245</f>
        <v>5.426226415128995</v>
      </c>
      <c r="AS481" s="245">
        <f>100*((Transfer!AF245/Transfer!AE245)-1)</f>
        <v>-3.6167986497183113</v>
      </c>
      <c r="AT481" s="245">
        <f>Transfer!AG245</f>
        <v>5.4524086720904563</v>
      </c>
      <c r="AU481" s="249">
        <f>100*((Transfer!AG245/Transfer!AF245)-1)</f>
        <v>0.48251316768614938</v>
      </c>
      <c r="AV481" s="199"/>
      <c r="AW481" s="54"/>
      <c r="AX481" s="54"/>
      <c r="AY481" s="54"/>
      <c r="AZ481" s="54"/>
      <c r="BA481" s="2000" t="s">
        <v>1037</v>
      </c>
      <c r="BB481" s="54"/>
      <c r="BC481" s="54"/>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row>
    <row r="482" spans="1:256" s="217" customFormat="1">
      <c r="A482" s="54"/>
      <c r="B482" s="1992"/>
      <c r="C482" s="1666" t="s">
        <v>260</v>
      </c>
      <c r="D482" s="2351"/>
      <c r="E482" s="2521"/>
      <c r="F482" s="2511">
        <f ca="1">Transfer!D246</f>
        <v>0.64269000000000009</v>
      </c>
      <c r="G482" s="2453">
        <f ca="1">100*((Transfer!D246/Transfer!C246)-1)</f>
        <v>3.9446870451237404</v>
      </c>
      <c r="H482" s="2692">
        <f ca="1">Transfer!E246</f>
        <v>0.66518415000000009</v>
      </c>
      <c r="I482" s="2453">
        <f ca="1">100*((Transfer!E246/Transfer!D246)-1)</f>
        <v>3.499999999999992</v>
      </c>
      <c r="J482" s="2692">
        <f ca="1">Transfer!F246</f>
        <v>0.68846559525000006</v>
      </c>
      <c r="K482" s="2453">
        <f ca="1">100*((Transfer!F246/Transfer!E246)-1)</f>
        <v>3.499999999999992</v>
      </c>
      <c r="L482" s="2453">
        <f ca="1">Transfer!G246</f>
        <v>0.70911956310750013</v>
      </c>
      <c r="M482" s="2693">
        <f ca="1">100*((Transfer!G246/Transfer!F246)-1)</f>
        <v>3.0000000000000027</v>
      </c>
      <c r="N482" s="2452"/>
      <c r="O482" s="54"/>
      <c r="P482" s="54"/>
      <c r="Q482" s="54"/>
      <c r="R482" s="54"/>
      <c r="S482" s="259"/>
      <c r="T482" s="101" t="s">
        <v>260</v>
      </c>
      <c r="U482" s="49"/>
      <c r="V482" s="254"/>
      <c r="W482" s="248">
        <f t="shared" ca="1" si="32"/>
        <v>-1.4</v>
      </c>
      <c r="X482" s="245">
        <f t="shared" ca="1" si="32"/>
        <v>9.6</v>
      </c>
      <c r="Y482" s="245">
        <f t="shared" ca="1" si="32"/>
        <v>-1.3</v>
      </c>
      <c r="Z482" s="245">
        <f t="shared" ca="1" si="32"/>
        <v>2.5</v>
      </c>
      <c r="AA482" s="245">
        <f t="shared" ca="1" si="32"/>
        <v>-1.4000000000000001</v>
      </c>
      <c r="AB482" s="245">
        <f t="shared" ca="1" si="32"/>
        <v>2.5</v>
      </c>
      <c r="AC482" s="245">
        <f t="shared" ca="1" si="32"/>
        <v>-1.4000000000000001</v>
      </c>
      <c r="AD482" s="249">
        <f t="shared" ca="1" si="32"/>
        <v>2</v>
      </c>
      <c r="AE482" s="199"/>
      <c r="AF482" s="45"/>
      <c r="AG482" s="45"/>
      <c r="AH482" s="45"/>
      <c r="AI482" s="45"/>
      <c r="AJ482" s="259"/>
      <c r="AK482" s="101" t="s">
        <v>260</v>
      </c>
      <c r="AL482" s="49"/>
      <c r="AM482" s="254"/>
      <c r="AN482" s="145">
        <f>Transfer!AD246</f>
        <v>2.0189400000000002</v>
      </c>
      <c r="AO482" s="245">
        <f>100*((Transfer!AD246/Transfer!AC246)-1)</f>
        <v>-5.6645032871220362</v>
      </c>
      <c r="AP482" s="141">
        <f>Transfer!AE246</f>
        <v>2.0391294000000002</v>
      </c>
      <c r="AQ482" s="245">
        <f>100*((Transfer!AE246/Transfer!AD246)-1)</f>
        <v>1.0000000000000009</v>
      </c>
      <c r="AR482" s="141">
        <f>Transfer!AF246</f>
        <v>2.0595206940000002</v>
      </c>
      <c r="AS482" s="245">
        <f>100*((Transfer!AF246/Transfer!AE246)-1)</f>
        <v>1.0000000000000009</v>
      </c>
      <c r="AT482" s="245">
        <f>Transfer!AG246</f>
        <v>2.0801159009400001</v>
      </c>
      <c r="AU482" s="249">
        <f>100*((Transfer!AG246/Transfer!AF246)-1)</f>
        <v>1.0000000000000009</v>
      </c>
      <c r="AV482" s="199"/>
      <c r="AW482" s="54"/>
      <c r="AX482" s="54"/>
      <c r="AY482" s="54"/>
      <c r="AZ482" s="54"/>
      <c r="BA482" s="2000" t="s">
        <v>1038</v>
      </c>
      <c r="BB482" s="54"/>
      <c r="BC482" s="54"/>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row>
    <row r="483" spans="1:256" s="217" customFormat="1">
      <c r="A483" s="54"/>
      <c r="B483" s="1992"/>
      <c r="C483" s="1666" t="s">
        <v>1648</v>
      </c>
      <c r="D483" s="2351"/>
      <c r="E483" s="2521" t="s">
        <v>1649</v>
      </c>
      <c r="F483" s="2511">
        <f ca="1">Transfer!D244</f>
        <v>1.14178</v>
      </c>
      <c r="G483" s="2453">
        <f ca="1">100*((Transfer!D244/Transfer!C244)-1)</f>
        <v>3.4221014492753499</v>
      </c>
      <c r="H483" s="2692">
        <f ca="1">Transfer!E244</f>
        <v>1.1817423</v>
      </c>
      <c r="I483" s="2453">
        <f ca="1">100*((Transfer!E244/Transfer!D244)-1)</f>
        <v>3.499999999999992</v>
      </c>
      <c r="J483" s="2692">
        <f ca="1">Transfer!F244</f>
        <v>1.229011992</v>
      </c>
      <c r="K483" s="2453">
        <f ca="1">100*((Transfer!F244/Transfer!E244)-1)</f>
        <v>4.0000000000000036</v>
      </c>
      <c r="L483" s="2453">
        <f ca="1">Transfer!G244</f>
        <v>1.2720274117199999</v>
      </c>
      <c r="M483" s="2693">
        <f ca="1">100*((Transfer!G244/Transfer!F244)-1)</f>
        <v>3.499999999999992</v>
      </c>
      <c r="N483" s="2452"/>
      <c r="O483" s="54"/>
      <c r="P483" s="54"/>
      <c r="Q483" s="54"/>
      <c r="R483" s="54"/>
      <c r="S483" s="259"/>
      <c r="T483" s="101" t="s">
        <v>1648</v>
      </c>
      <c r="U483" s="49"/>
      <c r="V483" s="254" t="s">
        <v>1649</v>
      </c>
      <c r="W483" s="248">
        <f t="shared" ca="1" si="32"/>
        <v>-1.6</v>
      </c>
      <c r="X483" s="245">
        <f t="shared" ca="1" si="32"/>
        <v>0.60000000000000009</v>
      </c>
      <c r="Y483" s="245">
        <f t="shared" ca="1" si="32"/>
        <v>-1.5999999999999999</v>
      </c>
      <c r="Z483" s="245">
        <f t="shared" ca="1" si="32"/>
        <v>-0.5</v>
      </c>
      <c r="AA483" s="245">
        <f t="shared" ca="1" si="32"/>
        <v>-1.7</v>
      </c>
      <c r="AB483" s="245">
        <f t="shared" ca="1" si="32"/>
        <v>0</v>
      </c>
      <c r="AC483" s="245">
        <f t="shared" ca="1" si="32"/>
        <v>-1.8</v>
      </c>
      <c r="AD483" s="249">
        <f t="shared" ca="1" si="32"/>
        <v>-0.5</v>
      </c>
      <c r="AE483" s="199"/>
      <c r="AF483" s="45"/>
      <c r="AG483" s="45"/>
      <c r="AH483" s="45"/>
      <c r="AI483" s="45"/>
      <c r="AJ483" s="259"/>
      <c r="AK483" s="101" t="s">
        <v>1648</v>
      </c>
      <c r="AL483" s="49"/>
      <c r="AM483" s="254" t="s">
        <v>1649</v>
      </c>
      <c r="AN483" s="145">
        <f>Transfer!AD244</f>
        <v>2.7229200000000002</v>
      </c>
      <c r="AO483" s="245">
        <f>100*((Transfer!AD244/Transfer!AC244)-1)</f>
        <v>2.77264046258483</v>
      </c>
      <c r="AP483" s="141">
        <f>Transfer!AE244</f>
        <v>2.8318368000000005</v>
      </c>
      <c r="AQ483" s="245">
        <f>100*((Transfer!AE244/Transfer!AD244)-1)</f>
        <v>4.0000000000000036</v>
      </c>
      <c r="AR483" s="141">
        <f>Transfer!AF244</f>
        <v>2.9451102720000004</v>
      </c>
      <c r="AS483" s="245">
        <f>100*((Transfer!AF244/Transfer!AE244)-1)</f>
        <v>4.0000000000000036</v>
      </c>
      <c r="AT483" s="245">
        <f>Transfer!AG244</f>
        <v>3.0629146828800007</v>
      </c>
      <c r="AU483" s="249">
        <f>100*((Transfer!AG244/Transfer!AF244)-1)</f>
        <v>4.0000000000000036</v>
      </c>
      <c r="AV483" s="199"/>
      <c r="AW483" s="54"/>
      <c r="AX483" s="54"/>
      <c r="AY483" s="54"/>
      <c r="AZ483" s="54"/>
      <c r="BA483" s="2000" t="s">
        <v>1039</v>
      </c>
      <c r="BB483" s="54"/>
      <c r="BC483" s="54"/>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row>
    <row r="484" spans="1:256" s="217" customFormat="1">
      <c r="A484" s="54"/>
      <c r="B484" s="1992"/>
      <c r="C484" s="1666" t="s">
        <v>526</v>
      </c>
      <c r="D484" s="2351"/>
      <c r="E484" s="2521"/>
      <c r="F484" s="2692">
        <f ca="1">Transfer!D137-Transfer!D220-Transfer!D244-Transfer!D245-Transfer!D246+Transfer!D243</f>
        <v>3.8999999999997925E-3</v>
      </c>
      <c r="G484" s="2453">
        <f ca="1">100*((Transfer!D137-Transfer!D220-Transfer!D244-Transfer!D245-Transfer!D246+Transfer!D243)/(Transfer!C137-Transfer!C220-Transfer!C244-Transfer!C245-Transfer!C246+Transfer!C243)-1)</f>
        <v>86.602870813374054</v>
      </c>
      <c r="H484" s="2692">
        <f ca="1">Transfer!E137-Transfer!E220-Transfer!E244-Transfer!E245-Transfer!E246+Transfer!E243</f>
        <v>4.0350000000000108E-3</v>
      </c>
      <c r="I484" s="2453">
        <f ca="1">100*((Transfer!E137-Transfer!E220-Transfer!E244-Transfer!E245-Transfer!E246+Transfer!E243)/(Transfer!D137-Transfer!D220-Transfer!D244-Transfer!D245-Transfer!D246+Transfer!D243)-1)</f>
        <v>3.4615384615442446</v>
      </c>
      <c r="J484" s="2692">
        <f ca="1">Transfer!F137-Transfer!F220-Transfer!F244-Transfer!F245-Transfer!F246+Transfer!F243</f>
        <v>4.1767499999992852E-3</v>
      </c>
      <c r="K484" s="2453">
        <f ca="1">100*((Transfer!F137-Transfer!F220-Transfer!F244-Transfer!F245-Transfer!F246+Transfer!F243)/(Transfer!E137-Transfer!E220-Transfer!E244-Transfer!E245-Transfer!E246+Transfer!E243)-1)</f>
        <v>3.5130111523983709</v>
      </c>
      <c r="L484" s="2453">
        <f ca="1">Transfer!G137-Transfer!G220-Transfer!G244-Transfer!G245-Transfer!G246+Transfer!G243</f>
        <v>4.325587499997563E-3</v>
      </c>
      <c r="M484" s="2693">
        <f ca="1">100*((Transfer!G137-Transfer!G220-Transfer!G244-Transfer!G245-Transfer!G246+Transfer!G243)/(Transfer!F137-Transfer!F220-Transfer!F244-Transfer!F245-Transfer!F246+Transfer!F243)-1)</f>
        <v>3.5634763871024822</v>
      </c>
      <c r="N484" s="2452"/>
      <c r="O484" s="54"/>
      <c r="P484" s="54"/>
      <c r="Q484" s="54"/>
      <c r="R484" s="54"/>
      <c r="S484" s="259"/>
      <c r="T484" s="101" t="s">
        <v>526</v>
      </c>
      <c r="U484" s="49"/>
      <c r="V484" s="254"/>
      <c r="W484" s="248">
        <f t="shared" ca="1" si="32"/>
        <v>0</v>
      </c>
      <c r="X484" s="245">
        <f t="shared" ca="1" si="32"/>
        <v>60.3</v>
      </c>
      <c r="Y484" s="245">
        <f t="shared" ca="1" si="32"/>
        <v>0</v>
      </c>
      <c r="Z484" s="245">
        <f t="shared" ca="1" si="32"/>
        <v>0.5</v>
      </c>
      <c r="AA484" s="245">
        <f t="shared" ca="1" si="32"/>
        <v>0</v>
      </c>
      <c r="AB484" s="245">
        <f t="shared" ca="1" si="32"/>
        <v>0.39999999999999991</v>
      </c>
      <c r="AC484" s="245">
        <f t="shared" ca="1" si="32"/>
        <v>0</v>
      </c>
      <c r="AD484" s="249">
        <f t="shared" ca="1" si="32"/>
        <v>0.39999999999999991</v>
      </c>
      <c r="AE484" s="199"/>
      <c r="AF484" s="45"/>
      <c r="AG484" s="45"/>
      <c r="AH484" s="45"/>
      <c r="AI484" s="45"/>
      <c r="AJ484" s="259"/>
      <c r="AK484" s="101" t="s">
        <v>526</v>
      </c>
      <c r="AL484" s="49"/>
      <c r="AM484" s="254"/>
      <c r="AN484" s="141">
        <f>Transfer!AD137-Transfer!AD220-Transfer!AD244-Transfer!AD245-Transfer!AD246+Transfer!AD243</f>
        <v>2.5349999999999318E-2</v>
      </c>
      <c r="AO484" s="245">
        <f>100*((Transfer!AD137-Transfer!AD220-Transfer!AD244-Transfer!AD245-Transfer!AD246+Transfer!AD243)/(Transfer!AC137-Transfer!AC220-Transfer!AC244-Transfer!AC245-Transfer!AC246+Transfer!AC243)-1)</f>
        <v>26.307922272058203</v>
      </c>
      <c r="AP484" s="141">
        <f>Transfer!AE137-Transfer!AE220-Transfer!AE244-Transfer!AE245-Transfer!AE246+Transfer!AE243</f>
        <v>2.6119800000000026E-2</v>
      </c>
      <c r="AQ484" s="245">
        <f>100*((Transfer!AE137-Transfer!AE220-Transfer!AE244-Transfer!AE245-Transfer!AE246+Transfer!AE243)/(Transfer!AD137-Transfer!AD220-Transfer!AD244-Transfer!AD245-Transfer!AD246+Transfer!AD243)-1)</f>
        <v>3.0366863905354258</v>
      </c>
      <c r="AR484" s="141">
        <f>Transfer!AF137-Transfer!AF220-Transfer!AF244-Transfer!AF245-Transfer!AF246+Transfer!AF243</f>
        <v>2.6935787999998739E-2</v>
      </c>
      <c r="AS484" s="245">
        <f>100*((Transfer!AF137-Transfer!AF220-Transfer!AF244-Transfer!AF245-Transfer!AF246+Transfer!AF243)/(Transfer!AE137-Transfer!AE220-Transfer!AE244-Transfer!AE245-Transfer!AE246+Transfer!AE243)-1)</f>
        <v>3.1240208577351769</v>
      </c>
      <c r="AT484" s="245">
        <f>Transfer!AG137-Transfer!AG220-Transfer!AG244-Transfer!AG245-Transfer!AG246+Transfer!AG243</f>
        <v>2.7800735279999156E-2</v>
      </c>
      <c r="AU484" s="249">
        <f>100*((Transfer!AG137-Transfer!AG220-Transfer!AG244-Transfer!AG245-Transfer!AG246+Transfer!AG243)/(Transfer!AF137-Transfer!AF220-Transfer!AF244-Transfer!AF245-Transfer!AF246+Transfer!AF243)-1)</f>
        <v>3.211145261465731</v>
      </c>
      <c r="AV484" s="199"/>
      <c r="AW484" s="54"/>
      <c r="AX484" s="54"/>
      <c r="AY484" s="54"/>
      <c r="AZ484" s="54"/>
      <c r="BA484" s="2000" t="s">
        <v>1592</v>
      </c>
      <c r="BB484" s="54"/>
      <c r="BC484" s="5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row>
    <row r="485" spans="1:256" s="217" customFormat="1">
      <c r="A485" s="54"/>
      <c r="B485" s="1992"/>
      <c r="C485" s="2379" t="s">
        <v>527</v>
      </c>
      <c r="D485" s="2380"/>
      <c r="E485" s="2694"/>
      <c r="F485" s="2697">
        <f ca="1">+Transfer!D243</f>
        <v>0.80027999999999999</v>
      </c>
      <c r="G485" s="2695">
        <f ca="1">100*((Transfer!D243/Transfer!C243)-1)</f>
        <v>4.1190705420103502</v>
      </c>
      <c r="H485" s="2697">
        <f ca="1">+Transfer!E243</f>
        <v>0.82028699999999988</v>
      </c>
      <c r="I485" s="2695">
        <f ca="1">100*((Transfer!E243/Transfer!D243)-1)</f>
        <v>2.4999999999999911</v>
      </c>
      <c r="J485" s="2697">
        <f ca="1">+Transfer!F243</f>
        <v>0.84079417499999975</v>
      </c>
      <c r="K485" s="2695">
        <f ca="1">100*((Transfer!F243/Transfer!E243)-1)</f>
        <v>2.4999999999999911</v>
      </c>
      <c r="L485" s="2695">
        <f ca="1">+Transfer!G243</f>
        <v>0.86181402937499962</v>
      </c>
      <c r="M485" s="2698">
        <f ca="1">100*((Transfer!G243/Transfer!F243)-1)</f>
        <v>2.4999999999999911</v>
      </c>
      <c r="N485" s="2452"/>
      <c r="O485" s="54"/>
      <c r="P485" s="54"/>
      <c r="Q485" s="54"/>
      <c r="R485" s="54"/>
      <c r="S485" s="259"/>
      <c r="T485" s="427" t="s">
        <v>527</v>
      </c>
      <c r="U485" s="95"/>
      <c r="V485" s="384"/>
      <c r="W485" s="429">
        <f t="shared" ca="1" si="32"/>
        <v>-0.89999999999999991</v>
      </c>
      <c r="X485" s="428">
        <f t="shared" ca="1" si="32"/>
        <v>-11.6</v>
      </c>
      <c r="Y485" s="428">
        <f t="shared" ca="1" si="32"/>
        <v>-0.89999999999999991</v>
      </c>
      <c r="Z485" s="428">
        <f t="shared" ca="1" si="32"/>
        <v>0</v>
      </c>
      <c r="AA485" s="428">
        <f t="shared" ca="1" si="32"/>
        <v>-1</v>
      </c>
      <c r="AB485" s="428">
        <f t="shared" ca="1" si="32"/>
        <v>0</v>
      </c>
      <c r="AC485" s="428">
        <f t="shared" ca="1" si="32"/>
        <v>-0.9</v>
      </c>
      <c r="AD485" s="431">
        <f t="shared" ca="1" si="32"/>
        <v>0</v>
      </c>
      <c r="AE485" s="199"/>
      <c r="AF485" s="45"/>
      <c r="AG485" s="45"/>
      <c r="AH485" s="45"/>
      <c r="AI485" s="45"/>
      <c r="AJ485" s="259"/>
      <c r="AK485" s="427" t="s">
        <v>527</v>
      </c>
      <c r="AL485" s="95"/>
      <c r="AM485" s="384"/>
      <c r="AN485" s="430">
        <f>+Transfer!AD243</f>
        <v>1.68685</v>
      </c>
      <c r="AO485" s="428">
        <f>100*((Transfer!AD243/Transfer!AC243)-1)</f>
        <v>15.698539750474971</v>
      </c>
      <c r="AP485" s="430">
        <f>+Transfer!AE243</f>
        <v>1.7290212499999997</v>
      </c>
      <c r="AQ485" s="428">
        <f>100*((Transfer!AE243/Transfer!AD243)-1)</f>
        <v>2.4999999999999911</v>
      </c>
      <c r="AR485" s="430">
        <f>+Transfer!AF243</f>
        <v>1.7722467812499996</v>
      </c>
      <c r="AS485" s="428">
        <f>100*((Transfer!AF243/Transfer!AE243)-1)</f>
        <v>2.4999999999999911</v>
      </c>
      <c r="AT485" s="428">
        <f>+Transfer!AG243</f>
        <v>1.8165529507812495</v>
      </c>
      <c r="AU485" s="431">
        <f>100*((Transfer!AG243/Transfer!AF243)-1)</f>
        <v>2.4999999999999911</v>
      </c>
      <c r="AV485" s="199"/>
      <c r="AW485" s="54"/>
      <c r="AX485" s="54"/>
      <c r="AY485" s="54"/>
      <c r="AZ485" s="54"/>
      <c r="BA485" s="2000" t="s">
        <v>1040</v>
      </c>
      <c r="BB485" s="54"/>
      <c r="BC485" s="54"/>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row>
    <row r="486" spans="1:256" s="217" customFormat="1">
      <c r="A486" s="54"/>
      <c r="B486" s="1992"/>
      <c r="C486" s="1666" t="s">
        <v>638</v>
      </c>
      <c r="D486" s="2351"/>
      <c r="E486" s="2521" t="s">
        <v>649</v>
      </c>
      <c r="F486" s="2725">
        <f ca="1">+Transfer!D137</f>
        <v>6.63687</v>
      </c>
      <c r="G486" s="2450">
        <f ca="1">100*((Transfer!D137/Transfer!C137)-1)</f>
        <v>3.2370111234341969</v>
      </c>
      <c r="H486" s="2726">
        <f ca="1">+Transfer!E137</f>
        <v>6.9080500000000002</v>
      </c>
      <c r="I486" s="2450">
        <f ca="1">100*((Transfer!E137/Transfer!D137)-1)</f>
        <v>4.0859622080890556</v>
      </c>
      <c r="J486" s="2726">
        <f ca="1">+Transfer!F137</f>
        <v>7.2979828955879995</v>
      </c>
      <c r="K486" s="2450">
        <f ca="1">100*((Transfer!F137/Transfer!E137)-1)</f>
        <v>5.6446159999999912</v>
      </c>
      <c r="L486" s="2725">
        <f ca="1">+Transfer!G137</f>
        <v>7.6726989950392293</v>
      </c>
      <c r="M486" s="2451">
        <f ca="1">100*((Transfer!G137/Transfer!F137)-1)</f>
        <v>5.1345160000000112</v>
      </c>
      <c r="N486" s="2452"/>
      <c r="O486" s="54"/>
      <c r="P486" s="54"/>
      <c r="Q486" s="54"/>
      <c r="R486" s="54"/>
      <c r="S486" s="259"/>
      <c r="T486" s="99" t="s">
        <v>638</v>
      </c>
      <c r="U486" s="100"/>
      <c r="V486" s="2321" t="s">
        <v>649</v>
      </c>
      <c r="W486" s="2019">
        <f t="shared" ca="1" si="32"/>
        <v>-13.4</v>
      </c>
      <c r="X486" s="2020">
        <f t="shared" ca="1" si="32"/>
        <v>2.9000000000000004</v>
      </c>
      <c r="Y486" s="2020">
        <f t="shared" ca="1" si="32"/>
        <v>-13.700000000000001</v>
      </c>
      <c r="Z486" s="2020">
        <f t="shared" ca="1" si="32"/>
        <v>1.1999999999999997</v>
      </c>
      <c r="AA486" s="2020">
        <f t="shared" ca="1" si="32"/>
        <v>-14</v>
      </c>
      <c r="AB486" s="2020">
        <f t="shared" ca="1" si="32"/>
        <v>2.0999999999999996</v>
      </c>
      <c r="AC486" s="2020">
        <f t="shared" ca="1" si="32"/>
        <v>-14.400000000000002</v>
      </c>
      <c r="AD486" s="2338">
        <f t="shared" ca="1" si="32"/>
        <v>1.5999999999999996</v>
      </c>
      <c r="AE486" s="199"/>
      <c r="AF486" s="45"/>
      <c r="AG486" s="45"/>
      <c r="AH486" s="45"/>
      <c r="AI486" s="45"/>
      <c r="AJ486" s="259"/>
      <c r="AK486" s="101" t="s">
        <v>638</v>
      </c>
      <c r="AL486" s="49"/>
      <c r="AM486" s="254" t="s">
        <v>649</v>
      </c>
      <c r="AN486" s="2308">
        <f>+Transfer!AD137</f>
        <v>19.99691</v>
      </c>
      <c r="AO486" s="2020">
        <f>100*((Transfer!AD137/Transfer!AC137)-1)</f>
        <v>0.29209571149932945</v>
      </c>
      <c r="AP486" s="2309">
        <f>+Transfer!AE137</f>
        <v>20.5810197411</v>
      </c>
      <c r="AQ486" s="2020">
        <f>100*((Transfer!AE137/Transfer!AD137)-1)</f>
        <v>2.9209999999999958</v>
      </c>
      <c r="AR486" s="2309">
        <f>+Transfer!AF137</f>
        <v>21.307612062039794</v>
      </c>
      <c r="AS486" s="2020">
        <f>100*((Transfer!AF137/Transfer!AE137)-1)</f>
        <v>3.5304000000000002</v>
      </c>
      <c r="AT486" s="2308">
        <f>+Transfer!AG137</f>
        <v>22.059855998278046</v>
      </c>
      <c r="AU486" s="2310">
        <f>100*((Transfer!AG137/Transfer!AF137)-1)</f>
        <v>3.5304000000000002</v>
      </c>
      <c r="AV486" s="199"/>
      <c r="AW486" s="54"/>
      <c r="AX486" s="54"/>
      <c r="AY486" s="54"/>
      <c r="AZ486" s="54"/>
      <c r="BA486" s="2000" t="s">
        <v>1284</v>
      </c>
      <c r="BB486" s="54"/>
      <c r="BC486" s="54"/>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row>
    <row r="487" spans="1:256" s="217" customFormat="1">
      <c r="A487" s="54"/>
      <c r="B487" s="1992"/>
      <c r="C487" s="2373" t="s">
        <v>604</v>
      </c>
      <c r="D487" s="2392"/>
      <c r="E487" s="2521" t="s">
        <v>639</v>
      </c>
      <c r="F487" s="2511">
        <f ca="1">+Transfer!D219</f>
        <v>3.7765200000000001</v>
      </c>
      <c r="G487" s="2453">
        <f ca="1">100*((Transfer!D219/Transfer!C219)-1)</f>
        <v>3.7941772228436754</v>
      </c>
      <c r="H487" s="2692">
        <f ca="1">+Transfer!E219</f>
        <v>3.9208400000000001</v>
      </c>
      <c r="I487" s="2453">
        <f ca="1">100*((Transfer!E219/Transfer!D219)-1)</f>
        <v>3.8215076313643292</v>
      </c>
      <c r="J487" s="2692">
        <f ca="1">+Transfer!F219</f>
        <v>4.161412395588</v>
      </c>
      <c r="K487" s="2453">
        <f ca="1">100*((Transfer!F219/Transfer!E219)-1)</f>
        <v>6.1357361072627237</v>
      </c>
      <c r="L487" s="2453">
        <f ca="1">+Transfer!G219</f>
        <v>4.3792999700392308</v>
      </c>
      <c r="M487" s="2693">
        <f ca="1">100*((Transfer!G219/Transfer!F219)-1)</f>
        <v>5.23590439347561</v>
      </c>
      <c r="N487" s="2452"/>
      <c r="O487" s="54"/>
      <c r="P487" s="54"/>
      <c r="Q487" s="54"/>
      <c r="R487" s="54"/>
      <c r="S487" s="259"/>
      <c r="T487" s="162" t="s">
        <v>604</v>
      </c>
      <c r="U487" s="102"/>
      <c r="V487" s="254" t="s">
        <v>639</v>
      </c>
      <c r="W487" s="248">
        <f t="shared" ca="1" si="32"/>
        <v>-7.5000000000000009</v>
      </c>
      <c r="X487" s="245">
        <f t="shared" ca="1" si="32"/>
        <v>6</v>
      </c>
      <c r="Y487" s="245">
        <f t="shared" ca="1" si="32"/>
        <v>-7.7999999999999989</v>
      </c>
      <c r="Z487" s="245">
        <f t="shared" ca="1" si="32"/>
        <v>0.89999999999999991</v>
      </c>
      <c r="AA487" s="245">
        <f t="shared" ca="1" si="32"/>
        <v>-7.8999999999999995</v>
      </c>
      <c r="AB487" s="245">
        <f t="shared" ca="1" si="32"/>
        <v>2.1999999999999997</v>
      </c>
      <c r="AC487" s="245">
        <f t="shared" ca="1" si="32"/>
        <v>-8.1999999999999993</v>
      </c>
      <c r="AD487" s="249">
        <f t="shared" ca="1" si="32"/>
        <v>1.3000000000000003</v>
      </c>
      <c r="AE487" s="199"/>
      <c r="AF487" s="45"/>
      <c r="AG487" s="45"/>
      <c r="AH487" s="45"/>
      <c r="AI487" s="45"/>
      <c r="AJ487" s="259"/>
      <c r="AK487" s="162" t="s">
        <v>604</v>
      </c>
      <c r="AL487" s="102"/>
      <c r="AM487" s="254" t="s">
        <v>639</v>
      </c>
      <c r="AN487" s="145">
        <f>+Transfer!AD219</f>
        <v>11.328760000000001</v>
      </c>
      <c r="AO487" s="245">
        <f>100*((Transfer!AD219/Transfer!AC219)-1)</f>
        <v>-2.2078582385301804</v>
      </c>
      <c r="AP487" s="141">
        <f>+Transfer!AE219</f>
        <v>11.6528252411</v>
      </c>
      <c r="AQ487" s="245">
        <f>100*((Transfer!AE219/Transfer!AD219)-1)</f>
        <v>2.8605535036491103</v>
      </c>
      <c r="AR487" s="141">
        <f>+Transfer!AF219</f>
        <v>12.111571727039793</v>
      </c>
      <c r="AS487" s="245">
        <f>100*((Transfer!AF219/Transfer!AE219)-1)</f>
        <v>3.9367833675371333</v>
      </c>
      <c r="AT487" s="245">
        <f>+Transfer!AG219</f>
        <v>12.587934453228044</v>
      </c>
      <c r="AU487" s="249">
        <f>100*((Transfer!AG219/Transfer!AF219)-1)</f>
        <v>3.9331206297919419</v>
      </c>
      <c r="AV487" s="199"/>
      <c r="AW487" s="54"/>
      <c r="AX487" s="54"/>
      <c r="AY487" s="54"/>
      <c r="AZ487" s="54"/>
      <c r="BA487" s="2000" t="s">
        <v>1593</v>
      </c>
      <c r="BB487" s="54"/>
      <c r="BC487" s="54"/>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row>
    <row r="488" spans="1:256" ht="13.5" thickBot="1">
      <c r="A488" s="45"/>
      <c r="B488" s="1665"/>
      <c r="C488" s="2666" t="s">
        <v>605</v>
      </c>
      <c r="D488" s="2667"/>
      <c r="E488" s="2737" t="s">
        <v>1045</v>
      </c>
      <c r="F488" s="2738">
        <f ca="1">+Transfer!D218</f>
        <v>2.8603499999999999</v>
      </c>
      <c r="G488" s="2630">
        <f ca="1">100*((Transfer!D218/Transfer!C218)-1)</f>
        <v>2.5108501266893235</v>
      </c>
      <c r="H488" s="2738">
        <f ca="1">+Transfer!E218</f>
        <v>2.9872100000000001</v>
      </c>
      <c r="I488" s="2630">
        <f ca="1">100*((Transfer!E218/Transfer!D218)-1)</f>
        <v>4.4351215760309204</v>
      </c>
      <c r="J488" s="2738">
        <f ca="1">+Transfer!F218</f>
        <v>3.1365705000000004</v>
      </c>
      <c r="K488" s="2630">
        <f ca="1">100*((Transfer!F218/Transfer!E218)-1)</f>
        <v>5.0000000000000044</v>
      </c>
      <c r="L488" s="2630">
        <f ca="1">+Transfer!G218</f>
        <v>3.2933990250000007</v>
      </c>
      <c r="M488" s="2739">
        <f ca="1">100*((Transfer!G218/Transfer!F218)-1)</f>
        <v>5.0000000000000044</v>
      </c>
      <c r="N488" s="2452"/>
      <c r="O488" s="54"/>
      <c r="P488" s="54"/>
      <c r="Q488" s="54"/>
      <c r="R488" s="54"/>
      <c r="S488" s="190"/>
      <c r="T488" s="2312" t="s">
        <v>605</v>
      </c>
      <c r="U488" s="2313"/>
      <c r="V488" s="386" t="s">
        <v>1045</v>
      </c>
      <c r="W488" s="2023">
        <f t="shared" ca="1" si="32"/>
        <v>-5.7999999999999989</v>
      </c>
      <c r="X488" s="470">
        <f t="shared" ca="1" si="32"/>
        <v>-1.2999999999999998</v>
      </c>
      <c r="Y488" s="470">
        <f t="shared" ca="1" si="32"/>
        <v>-5.9</v>
      </c>
      <c r="Z488" s="470">
        <f t="shared" ca="1" si="32"/>
        <v>1.4000000000000004</v>
      </c>
      <c r="AA488" s="470">
        <f t="shared" ca="1" si="32"/>
        <v>-6.1</v>
      </c>
      <c r="AB488" s="470">
        <f t="shared" ca="1" si="32"/>
        <v>2</v>
      </c>
      <c r="AC488" s="470">
        <f t="shared" ca="1" si="32"/>
        <v>-6.2</v>
      </c>
      <c r="AD488" s="2024">
        <f t="shared" ca="1" si="32"/>
        <v>2</v>
      </c>
      <c r="AE488" s="199"/>
      <c r="AF488" s="45"/>
      <c r="AG488" s="45"/>
      <c r="AH488" s="45"/>
      <c r="AI488" s="45"/>
      <c r="AJ488" s="190"/>
      <c r="AK488" s="2312" t="s">
        <v>605</v>
      </c>
      <c r="AL488" s="2313"/>
      <c r="AM488" s="386" t="s">
        <v>1045</v>
      </c>
      <c r="AN488" s="469">
        <f>+Transfer!AD218</f>
        <v>8.6681499999999989</v>
      </c>
      <c r="AO488" s="470">
        <f>100*((Transfer!AD218/Transfer!AC218)-1)</f>
        <v>3.7587351899776689</v>
      </c>
      <c r="AP488" s="469">
        <f>+Transfer!AE218</f>
        <v>8.9281944999999983</v>
      </c>
      <c r="AQ488" s="470">
        <f>100*((Transfer!AE218/Transfer!AD218)-1)</f>
        <v>3.0000000000000027</v>
      </c>
      <c r="AR488" s="469">
        <f>+Transfer!AF218</f>
        <v>9.1960403349999993</v>
      </c>
      <c r="AS488" s="470">
        <f>100*((Transfer!AF218/Transfer!AE218)-1)</f>
        <v>3.0000000000000027</v>
      </c>
      <c r="AT488" s="470">
        <f>+Transfer!AG218</f>
        <v>9.4719215450499998</v>
      </c>
      <c r="AU488" s="471">
        <f>100*((Transfer!AG218/Transfer!AF218)-1)</f>
        <v>3.0000000000000027</v>
      </c>
      <c r="AV488" s="199"/>
      <c r="AW488" s="54"/>
      <c r="AX488" s="54"/>
      <c r="AY488" s="54"/>
      <c r="AZ488" s="54"/>
      <c r="BA488" s="2001" t="s">
        <v>1594</v>
      </c>
      <c r="BB488" s="54"/>
      <c r="BC488" s="54"/>
    </row>
    <row r="489" spans="1:256" s="217" customFormat="1">
      <c r="A489" s="54"/>
      <c r="B489" s="2597"/>
      <c r="C489" s="2399"/>
      <c r="D489" s="2399"/>
      <c r="E489" s="2399"/>
      <c r="F489" s="2776"/>
      <c r="G489" s="2776"/>
      <c r="H489" s="2776"/>
      <c r="I489" s="2776"/>
      <c r="J489" s="2399"/>
      <c r="K489" s="2399"/>
      <c r="L489" s="2399"/>
      <c r="M489" s="2400" t="str">
        <f>UPPER(Country)</f>
        <v>LITHUANIA</v>
      </c>
      <c r="N489" s="2777"/>
      <c r="O489" s="54"/>
      <c r="P489" s="54"/>
      <c r="Q489" s="54"/>
      <c r="R489" s="54"/>
      <c r="S489" s="327"/>
      <c r="T489" s="117"/>
      <c r="U489" s="117"/>
      <c r="V489" s="117"/>
      <c r="W489" s="117"/>
      <c r="X489" s="2322"/>
      <c r="Y489" s="117"/>
      <c r="Z489" s="2322"/>
      <c r="AA489" s="117"/>
      <c r="AB489" s="117"/>
      <c r="AC489" s="117"/>
      <c r="AD489" s="2323" t="str">
        <f>UPPER(Country)</f>
        <v>LITHUANIA</v>
      </c>
      <c r="AE489" s="2314"/>
      <c r="AF489" s="45"/>
      <c r="AG489" s="45"/>
      <c r="AH489" s="45"/>
      <c r="AI489" s="45"/>
      <c r="AJ489" s="327"/>
      <c r="AK489" s="117"/>
      <c r="AL489" s="117"/>
      <c r="AM489" s="117"/>
      <c r="AN489" s="117"/>
      <c r="AO489" s="2322"/>
      <c r="AP489" s="117"/>
      <c r="AQ489" s="2322"/>
      <c r="AR489" s="117"/>
      <c r="AS489" s="117"/>
      <c r="AT489" s="117"/>
      <c r="AU489" s="2323" t="str">
        <f>UPPER(Country)</f>
        <v>LITHUANIA</v>
      </c>
      <c r="AV489" s="2314"/>
      <c r="AW489" s="54"/>
      <c r="AX489" s="54"/>
      <c r="AY489" s="54"/>
      <c r="AZ489" s="54"/>
      <c r="BA489" s="54"/>
      <c r="BB489" s="54"/>
      <c r="BC489" s="54"/>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row>
    <row r="490" spans="1:256">
      <c r="A490" s="45"/>
      <c r="B490" s="45"/>
      <c r="C490" s="45"/>
      <c r="D490" s="45"/>
      <c r="E490" s="45"/>
      <c r="F490" s="1721"/>
      <c r="G490" s="1720"/>
      <c r="H490" s="1720"/>
      <c r="I490" s="1720"/>
      <c r="J490" s="1720"/>
      <c r="K490" s="1720"/>
      <c r="L490" s="1720"/>
      <c r="M490" s="45"/>
      <c r="N490" s="45"/>
      <c r="O490" s="45"/>
      <c r="P490" s="54"/>
      <c r="Q490" s="54"/>
      <c r="R490" s="54"/>
      <c r="S490" s="54"/>
      <c r="T490" s="54"/>
      <c r="U490" s="54"/>
      <c r="V490" s="54"/>
      <c r="W490" s="54"/>
      <c r="X490" s="54"/>
      <c r="Y490" s="54"/>
      <c r="Z490" s="54"/>
      <c r="AA490" s="54"/>
      <c r="AB490" s="45"/>
      <c r="AC490" s="45"/>
      <c r="AD490" s="45"/>
      <c r="AE490" s="45"/>
      <c r="AF490" s="45"/>
      <c r="AG490" s="45"/>
      <c r="AH490" s="45"/>
      <c r="AI490" s="45"/>
      <c r="AJ490" s="45"/>
      <c r="AK490" s="45"/>
      <c r="AL490" s="45"/>
      <c r="AM490" s="45"/>
      <c r="AN490" s="45"/>
      <c r="AO490" s="45"/>
      <c r="AP490" s="45"/>
      <c r="AQ490" s="45"/>
      <c r="AR490" s="45"/>
      <c r="AS490" s="45"/>
      <c r="AT490" s="45"/>
      <c r="AU490" s="45"/>
      <c r="AV490" s="45"/>
      <c r="AW490" s="54"/>
      <c r="AX490" s="54"/>
      <c r="AY490" s="54"/>
      <c r="AZ490" s="54"/>
      <c r="BA490" s="54"/>
      <c r="BB490" s="54"/>
      <c r="BC490" s="54"/>
    </row>
    <row r="491" spans="1:256">
      <c r="A491" s="45"/>
      <c r="B491" s="45"/>
      <c r="C491" s="45"/>
      <c r="D491" s="45"/>
      <c r="E491" s="45"/>
      <c r="F491" s="45"/>
      <c r="G491" s="1720"/>
      <c r="H491" s="1720"/>
      <c r="I491" s="1720"/>
      <c r="J491" s="1720"/>
      <c r="K491" s="1720"/>
      <c r="L491" s="1720"/>
      <c r="M491" s="45"/>
      <c r="N491" s="45"/>
      <c r="O491" s="45"/>
      <c r="P491" s="54"/>
      <c r="Q491" s="54"/>
      <c r="R491" s="54"/>
      <c r="S491" s="54"/>
      <c r="T491" s="54"/>
      <c r="U491" s="54"/>
      <c r="V491" s="54"/>
      <c r="W491" s="54"/>
      <c r="X491" s="54"/>
      <c r="Y491" s="54"/>
      <c r="Z491" s="54"/>
      <c r="AA491" s="54"/>
      <c r="AB491" s="45"/>
      <c r="AC491" s="45"/>
      <c r="AD491" s="45"/>
      <c r="AE491" s="45"/>
      <c r="AF491" s="45"/>
      <c r="AG491" s="45"/>
      <c r="AH491" s="45"/>
      <c r="AI491" s="45"/>
      <c r="AJ491" s="45"/>
      <c r="AK491" s="45"/>
      <c r="AL491" s="45"/>
      <c r="AM491" s="45"/>
      <c r="AN491" s="45"/>
      <c r="AO491" s="1720"/>
      <c r="AP491" s="1720"/>
      <c r="AQ491" s="1720"/>
      <c r="AR491" s="1720"/>
      <c r="AS491" s="1720"/>
      <c r="AT491" s="1720"/>
      <c r="AU491" s="45"/>
      <c r="AV491" s="45"/>
      <c r="AW491" s="45"/>
      <c r="AX491" s="54"/>
      <c r="AY491" s="54"/>
      <c r="AZ491" s="54"/>
      <c r="BA491" s="54"/>
      <c r="BB491" s="54"/>
      <c r="BC491" s="54"/>
    </row>
    <row r="492" spans="1:256">
      <c r="A492" s="45"/>
      <c r="B492" s="45"/>
      <c r="C492" s="45"/>
      <c r="D492" s="45"/>
      <c r="E492" s="45"/>
      <c r="F492" s="45"/>
      <c r="G492" s="45"/>
      <c r="H492" s="45"/>
      <c r="I492" s="45"/>
      <c r="J492" s="45"/>
      <c r="K492" s="45"/>
      <c r="L492" s="45"/>
      <c r="M492" s="45"/>
      <c r="N492" s="45"/>
      <c r="O492" s="45"/>
      <c r="P492" s="54"/>
      <c r="Q492" s="54"/>
      <c r="R492" s="54"/>
      <c r="S492" s="54"/>
      <c r="T492" s="54"/>
      <c r="U492" s="54"/>
      <c r="V492" s="54"/>
      <c r="W492" s="54"/>
      <c r="X492" s="54"/>
      <c r="Y492" s="54"/>
      <c r="Z492" s="54"/>
      <c r="AA492" s="54"/>
      <c r="AB492" s="45"/>
      <c r="AC492" s="45"/>
      <c r="AD492" s="45"/>
      <c r="AE492" s="45"/>
      <c r="AF492" s="45"/>
      <c r="AG492" s="45"/>
      <c r="AH492" s="45"/>
      <c r="AI492" s="45"/>
      <c r="AJ492" s="45"/>
      <c r="AK492" s="45"/>
      <c r="AL492" s="45"/>
      <c r="AM492" s="45"/>
      <c r="AN492" s="45"/>
      <c r="AO492" s="45"/>
      <c r="AP492" s="45"/>
      <c r="AQ492" s="45"/>
      <c r="AR492" s="45"/>
      <c r="AS492" s="45"/>
      <c r="AT492" s="45"/>
      <c r="AU492" s="45"/>
      <c r="AV492" s="45"/>
      <c r="AW492" s="45"/>
      <c r="AX492" s="54"/>
      <c r="AY492" s="54"/>
      <c r="AZ492" s="54"/>
      <c r="BA492" s="54"/>
      <c r="BB492" s="54"/>
      <c r="BC492" s="54"/>
    </row>
    <row r="493" spans="1:256">
      <c r="A493" s="45"/>
      <c r="B493" s="2341"/>
      <c r="C493" s="2601" t="s">
        <v>100</v>
      </c>
      <c r="D493" s="2601"/>
      <c r="E493" s="2343"/>
      <c r="F493" s="2343"/>
      <c r="G493" s="2343"/>
      <c r="H493" s="2343"/>
      <c r="I493" s="2343"/>
      <c r="J493" s="2343"/>
      <c r="K493" s="2343"/>
      <c r="L493" s="2343"/>
      <c r="M493" s="2495"/>
      <c r="N493" s="54"/>
      <c r="O493" s="54"/>
      <c r="P493" s="54"/>
      <c r="Q493" s="54"/>
      <c r="R493" s="54"/>
      <c r="S493" s="2341"/>
      <c r="T493" s="2601" t="s">
        <v>100</v>
      </c>
      <c r="U493" s="2601"/>
      <c r="V493" s="2343"/>
      <c r="W493" s="2343"/>
      <c r="X493" s="2343"/>
      <c r="Y493" s="2343"/>
      <c r="Z493" s="2343"/>
      <c r="AA493" s="2343"/>
      <c r="AB493" s="2343"/>
      <c r="AC493" s="2343"/>
      <c r="AD493" s="2495"/>
      <c r="AE493" s="45"/>
      <c r="AF493" s="45"/>
      <c r="AG493" s="45"/>
      <c r="AH493" s="45"/>
      <c r="AI493" s="45"/>
      <c r="AJ493" s="188"/>
      <c r="AK493" s="336" t="s">
        <v>100</v>
      </c>
      <c r="AL493" s="336"/>
      <c r="AM493" s="100"/>
      <c r="AN493" s="100"/>
      <c r="AO493" s="100"/>
      <c r="AP493" s="100"/>
      <c r="AQ493" s="100"/>
      <c r="AR493" s="100"/>
      <c r="AS493" s="100"/>
      <c r="AT493" s="100"/>
      <c r="AU493" s="238"/>
      <c r="AV493" s="54"/>
      <c r="AW493" s="54"/>
      <c r="AX493" s="54"/>
      <c r="AY493" s="54"/>
      <c r="AZ493" s="54"/>
      <c r="BA493" s="54"/>
      <c r="BB493" s="54"/>
      <c r="BC493" s="54"/>
    </row>
    <row r="494" spans="1:256">
      <c r="A494" s="45"/>
      <c r="B494" s="1665"/>
      <c r="C494" s="3751" t="s">
        <v>1012</v>
      </c>
      <c r="D494" s="3751"/>
      <c r="E494" s="3751"/>
      <c r="F494" s="3751"/>
      <c r="G494" s="3751"/>
      <c r="H494" s="3751"/>
      <c r="I494" s="3751"/>
      <c r="J494" s="3751"/>
      <c r="K494" s="3751"/>
      <c r="L494" s="3751"/>
      <c r="M494" s="2530"/>
      <c r="N494" s="54"/>
      <c r="O494" s="54"/>
      <c r="P494" s="54"/>
      <c r="Q494" s="54"/>
      <c r="R494" s="54"/>
      <c r="S494" s="1665"/>
      <c r="T494" s="3751" t="s">
        <v>1012</v>
      </c>
      <c r="U494" s="3751"/>
      <c r="V494" s="3751"/>
      <c r="W494" s="3751"/>
      <c r="X494" s="3751"/>
      <c r="Y494" s="3751"/>
      <c r="Z494" s="3751"/>
      <c r="AA494" s="3751"/>
      <c r="AB494" s="3751"/>
      <c r="AC494" s="3751"/>
      <c r="AD494" s="2530"/>
      <c r="AE494" s="45"/>
      <c r="AF494" s="45"/>
      <c r="AG494" s="45"/>
      <c r="AH494" s="45"/>
      <c r="AI494" s="45"/>
      <c r="AJ494" s="190"/>
      <c r="AK494" s="3751" t="s">
        <v>1012</v>
      </c>
      <c r="AL494" s="3751"/>
      <c r="AM494" s="3751"/>
      <c r="AN494" s="3751"/>
      <c r="AO494" s="3751"/>
      <c r="AP494" s="3751"/>
      <c r="AQ494" s="3751"/>
      <c r="AR494" s="3751"/>
      <c r="AS494" s="3751"/>
      <c r="AT494" s="3751"/>
      <c r="AU494" s="260"/>
      <c r="AV494" s="54"/>
      <c r="AW494" s="54"/>
      <c r="AX494" s="54"/>
      <c r="AY494" s="54"/>
      <c r="AZ494" s="54"/>
      <c r="BA494" s="54"/>
      <c r="BB494" s="54"/>
      <c r="BC494" s="54"/>
    </row>
    <row r="495" spans="1:256" ht="15.75">
      <c r="A495" s="45"/>
      <c r="B495" s="1665"/>
      <c r="C495" s="2349" t="str">
        <f>"Country: " &amp;UPPER(Country)</f>
        <v>Country: LITHUANIA</v>
      </c>
      <c r="D495" s="2349"/>
      <c r="E495" s="2351"/>
      <c r="F495" s="2351"/>
      <c r="G495" s="2351"/>
      <c r="H495" s="2351"/>
      <c r="I495" s="2351"/>
      <c r="J495" s="2351"/>
      <c r="K495" s="2351"/>
      <c r="L495" s="2351"/>
      <c r="M495" s="2452"/>
      <c r="N495" s="54"/>
      <c r="O495" s="54"/>
      <c r="P495" s="54"/>
      <c r="Q495" s="54"/>
      <c r="R495" s="54"/>
      <c r="S495" s="1665"/>
      <c r="T495" s="2349" t="str">
        <f>"Country: " &amp;UPPER(Country)</f>
        <v>Country: LITHUANIA</v>
      </c>
      <c r="U495" s="2349"/>
      <c r="V495" s="2351"/>
      <c r="W495" s="2006" t="s">
        <v>390</v>
      </c>
      <c r="X495" s="65"/>
      <c r="Y495" s="65"/>
      <c r="Z495" s="65"/>
      <c r="AA495" s="65"/>
      <c r="AB495" s="65"/>
      <c r="AC495" s="65"/>
      <c r="AD495" s="196"/>
      <c r="AE495" s="45"/>
      <c r="AF495" s="45"/>
      <c r="AG495" s="45"/>
      <c r="AH495" s="45"/>
      <c r="AI495" s="45"/>
      <c r="AJ495" s="190"/>
      <c r="AK495" s="63" t="str">
        <f>"Country: " &amp;UPPER(Country)</f>
        <v>Country: LITHUANIA</v>
      </c>
      <c r="AL495" s="63"/>
      <c r="AM495" s="65"/>
      <c r="AN495" s="65"/>
      <c r="AO495" s="65"/>
      <c r="AP495" s="65"/>
      <c r="AQ495" s="65"/>
      <c r="AR495" s="65"/>
      <c r="AS495" s="65"/>
      <c r="AT495" s="65"/>
      <c r="AU495" s="196"/>
      <c r="AV495" s="54"/>
      <c r="AW495" s="54"/>
      <c r="AX495" s="54"/>
      <c r="AY495" s="54"/>
      <c r="AZ495" s="54"/>
      <c r="BA495" s="54"/>
      <c r="BB495" s="54"/>
      <c r="BC495" s="54"/>
    </row>
    <row r="496" spans="1:256" ht="15.75">
      <c r="A496" s="45"/>
      <c r="B496" s="1665"/>
      <c r="C496" s="2349" t="str">
        <f>"Currency unit: " &amp; Currency</f>
        <v>Currency unit: bn EUR</v>
      </c>
      <c r="D496" s="2351"/>
      <c r="E496" s="2351"/>
      <c r="F496" s="2351"/>
      <c r="G496" s="2351"/>
      <c r="H496" s="2351"/>
      <c r="I496" s="2445"/>
      <c r="J496" s="2445"/>
      <c r="K496" s="2445"/>
      <c r="L496" s="2445"/>
      <c r="M496" s="1664"/>
      <c r="N496" s="54"/>
      <c r="O496" s="54"/>
      <c r="P496" s="54"/>
      <c r="Q496" s="54"/>
      <c r="R496" s="54"/>
      <c r="S496" s="190"/>
      <c r="T496" s="63" t="str">
        <f>"Currency unit: " &amp; Currency</f>
        <v>Currency unit: bn EUR</v>
      </c>
      <c r="U496" s="65"/>
      <c r="V496" s="65"/>
      <c r="W496" s="2006" t="str">
        <f>$T$4</f>
        <v>2nd storage</v>
      </c>
      <c r="X496" s="65"/>
      <c r="Y496" s="65"/>
      <c r="Z496" s="1"/>
      <c r="AA496" s="1"/>
      <c r="AB496" s="1"/>
      <c r="AC496" s="1"/>
      <c r="AD496" s="90"/>
      <c r="AE496" s="45"/>
      <c r="AF496" s="45"/>
      <c r="AG496" s="45"/>
      <c r="AH496" s="45"/>
      <c r="AI496" s="45"/>
      <c r="AJ496" s="190"/>
      <c r="AK496" s="63" t="str">
        <f>"Currency unit: " &amp; Currency</f>
        <v>Currency unit: bn EUR</v>
      </c>
      <c r="AL496" s="65"/>
      <c r="AM496" s="65"/>
      <c r="AN496" s="65"/>
      <c r="AO496" s="65"/>
      <c r="AP496" s="65"/>
      <c r="AQ496" s="1"/>
      <c r="AR496" s="1"/>
      <c r="AS496" s="1"/>
      <c r="AT496" s="1"/>
      <c r="AU496" s="90"/>
      <c r="AV496" s="54"/>
      <c r="AW496" s="54"/>
      <c r="AX496" s="54"/>
      <c r="AY496" s="54"/>
      <c r="AZ496" s="54"/>
      <c r="BA496" s="54"/>
      <c r="BB496" s="54"/>
      <c r="BC496" s="54"/>
    </row>
    <row r="497" spans="1:55" ht="13.5" thickBot="1">
      <c r="A497" s="45"/>
      <c r="B497" s="1665"/>
      <c r="C497" s="2355" t="s">
        <v>297</v>
      </c>
      <c r="D497" s="2351"/>
      <c r="E497" s="2703"/>
      <c r="F497" s="2703"/>
      <c r="G497" s="2703"/>
      <c r="H497" s="2703"/>
      <c r="I497" s="2703"/>
      <c r="J497" s="2703"/>
      <c r="K497" s="3789">
        <f ca="1">NOW()</f>
        <v>43392.47578483796</v>
      </c>
      <c r="L497" s="3789"/>
      <c r="M497" s="2602"/>
      <c r="N497" s="54"/>
      <c r="O497" s="54"/>
      <c r="P497" s="54"/>
      <c r="Q497" s="54"/>
      <c r="R497" s="54"/>
      <c r="S497" s="190"/>
      <c r="T497" s="69" t="s">
        <v>297</v>
      </c>
      <c r="U497" s="65"/>
      <c r="Y497" s="28"/>
      <c r="AB497" s="3751">
        <f ca="1">NOW()</f>
        <v>43392.47578483796</v>
      </c>
      <c r="AC497" s="3751"/>
      <c r="AD497" s="337"/>
      <c r="AE497" s="45"/>
      <c r="AF497" s="45"/>
      <c r="AG497" s="45"/>
      <c r="AH497" s="45"/>
      <c r="AI497" s="45"/>
      <c r="AJ497" s="190"/>
      <c r="AK497" s="69" t="s">
        <v>297</v>
      </c>
      <c r="AL497" s="65"/>
      <c r="AP497" s="28"/>
      <c r="AS497" s="3751">
        <f ca="1">NOW()</f>
        <v>43392.47578483796</v>
      </c>
      <c r="AT497" s="3751"/>
      <c r="AU497" s="337"/>
      <c r="AV497" s="54"/>
      <c r="AW497" s="54"/>
      <c r="AX497" s="54"/>
      <c r="AY497" s="54"/>
      <c r="AZ497" s="54"/>
      <c r="BA497" s="54"/>
      <c r="BB497" s="54"/>
      <c r="BC497" s="54"/>
    </row>
    <row r="498" spans="1:55">
      <c r="A498" s="45"/>
      <c r="B498" s="1665"/>
      <c r="C498" s="2357"/>
      <c r="D498" s="2633"/>
      <c r="E498" s="3751">
        <f>E16</f>
        <v>2016</v>
      </c>
      <c r="F498" s="3751"/>
      <c r="G498" s="3751">
        <f>E498+1</f>
        <v>2017</v>
      </c>
      <c r="H498" s="3751"/>
      <c r="I498" s="3751">
        <f>G498+1</f>
        <v>2018</v>
      </c>
      <c r="J498" s="3751"/>
      <c r="K498" s="3751">
        <f>I498+1</f>
        <v>2019</v>
      </c>
      <c r="L498" s="3751"/>
      <c r="M498" s="2605"/>
      <c r="N498" s="54"/>
      <c r="O498" s="54"/>
      <c r="P498" s="54"/>
      <c r="Q498" s="54"/>
      <c r="R498" s="54"/>
      <c r="S498" s="190"/>
      <c r="T498" s="191"/>
      <c r="U498" s="355"/>
      <c r="V498" s="3751">
        <f>Last_forecast_year - 3</f>
        <v>2016</v>
      </c>
      <c r="W498" s="3751"/>
      <c r="X498" s="3751">
        <f>V498+1</f>
        <v>2017</v>
      </c>
      <c r="Y498" s="3751"/>
      <c r="Z498" s="3751">
        <f>X498+1</f>
        <v>2018</v>
      </c>
      <c r="AA498" s="3751"/>
      <c r="AB498" s="3751">
        <f>Z498+1</f>
        <v>2019</v>
      </c>
      <c r="AC498" s="3751"/>
      <c r="AD498" s="339"/>
      <c r="AE498" s="45"/>
      <c r="AF498" s="45"/>
      <c r="AG498" s="45"/>
      <c r="AH498" s="45"/>
      <c r="AI498" s="45"/>
      <c r="AJ498" s="190"/>
      <c r="AK498" s="191"/>
      <c r="AL498" s="355"/>
      <c r="AM498" s="3751">
        <f>Last_forecast_year - 3</f>
        <v>2016</v>
      </c>
      <c r="AN498" s="3751"/>
      <c r="AO498" s="3751">
        <f>AM498+1</f>
        <v>2017</v>
      </c>
      <c r="AP498" s="3751"/>
      <c r="AQ498" s="3751">
        <f>AO498+1</f>
        <v>2018</v>
      </c>
      <c r="AR498" s="3751"/>
      <c r="AS498" s="3751">
        <f>AQ498+1</f>
        <v>2019</v>
      </c>
      <c r="AT498" s="3751"/>
      <c r="AU498" s="339"/>
      <c r="AV498" s="54"/>
      <c r="AW498" s="54"/>
      <c r="AX498" s="54"/>
      <c r="AY498" s="54"/>
      <c r="AZ498" s="54"/>
      <c r="BA498" s="54"/>
      <c r="BB498" s="54"/>
      <c r="BC498" s="54"/>
    </row>
    <row r="499" spans="1:55">
      <c r="A499" s="45"/>
      <c r="B499" s="1665"/>
      <c r="C499" s="1666"/>
      <c r="D499" s="2685"/>
      <c r="E499" s="2778" t="s">
        <v>298</v>
      </c>
      <c r="F499" s="2779" t="s">
        <v>1170</v>
      </c>
      <c r="G499" s="2778" t="s">
        <v>298</v>
      </c>
      <c r="H499" s="2779" t="s">
        <v>1170</v>
      </c>
      <c r="I499" s="2778" t="s">
        <v>298</v>
      </c>
      <c r="J499" s="2779" t="s">
        <v>1170</v>
      </c>
      <c r="K499" s="2778" t="s">
        <v>298</v>
      </c>
      <c r="L499" s="2780" t="s">
        <v>1170</v>
      </c>
      <c r="M499" s="2781"/>
      <c r="N499" s="54"/>
      <c r="O499" s="54"/>
      <c r="P499" s="54"/>
      <c r="Q499" s="54"/>
      <c r="R499" s="54"/>
      <c r="S499" s="190"/>
      <c r="T499" s="40"/>
      <c r="U499" s="488"/>
      <c r="V499" s="1743" t="s">
        <v>298</v>
      </c>
      <c r="W499" s="1746" t="s">
        <v>1170</v>
      </c>
      <c r="X499" s="1743" t="s">
        <v>298</v>
      </c>
      <c r="Y499" s="1746" t="s">
        <v>1170</v>
      </c>
      <c r="Z499" s="1743" t="s">
        <v>298</v>
      </c>
      <c r="AA499" s="1746" t="s">
        <v>1170</v>
      </c>
      <c r="AB499" s="1743" t="s">
        <v>298</v>
      </c>
      <c r="AC499" s="1747" t="s">
        <v>1170</v>
      </c>
      <c r="AD499" s="490"/>
      <c r="AE499" s="45"/>
      <c r="AF499" s="45"/>
      <c r="AG499" s="45"/>
      <c r="AH499" s="45"/>
      <c r="AI499" s="45"/>
      <c r="AJ499" s="190"/>
      <c r="AK499" s="40"/>
      <c r="AL499" s="488"/>
      <c r="AM499" s="1743" t="s">
        <v>298</v>
      </c>
      <c r="AN499" s="1746" t="s">
        <v>1170</v>
      </c>
      <c r="AO499" s="1743" t="s">
        <v>298</v>
      </c>
      <c r="AP499" s="1746" t="s">
        <v>1170</v>
      </c>
      <c r="AQ499" s="1743" t="s">
        <v>298</v>
      </c>
      <c r="AR499" s="1746" t="s">
        <v>1170</v>
      </c>
      <c r="AS499" s="1743" t="s">
        <v>298</v>
      </c>
      <c r="AT499" s="1747" t="s">
        <v>1170</v>
      </c>
      <c r="AU499" s="490"/>
      <c r="AV499" s="54"/>
      <c r="AW499" s="54"/>
      <c r="AX499" s="54"/>
      <c r="AY499" s="54"/>
      <c r="AZ499" s="54"/>
      <c r="BA499" s="54"/>
      <c r="BB499" s="54"/>
      <c r="BC499" s="54"/>
    </row>
    <row r="500" spans="1:55">
      <c r="A500" s="45"/>
      <c r="B500" s="1665"/>
      <c r="C500" s="2384" t="s">
        <v>1013</v>
      </c>
      <c r="D500" s="2495"/>
      <c r="E500" s="2450">
        <f ca="1">Transfer!D143</f>
        <v>21.92191</v>
      </c>
      <c r="F500" s="2782">
        <f ca="1">100*((Transfer!D143/Transfer!C143)-1)</f>
        <v>-1.7368471302890875</v>
      </c>
      <c r="G500" s="2450">
        <f ca="1">Transfer!E143</f>
        <v>25.75292</v>
      </c>
      <c r="H500" s="2450">
        <f ca="1">100*((Transfer!E143/Transfer!D143)-1)</f>
        <v>17.475712654599885</v>
      </c>
      <c r="I500" s="2450">
        <f ca="1">Transfer!F143</f>
        <v>27.715189492319997</v>
      </c>
      <c r="J500" s="2782">
        <f ca="1">100*((Transfer!F143/Transfer!E143)-1)</f>
        <v>7.619599999999993</v>
      </c>
      <c r="K500" s="2450">
        <f ca="1">Transfer!G143</f>
        <v>29.51335098658172</v>
      </c>
      <c r="L500" s="2783">
        <f ca="1">100*((Transfer!G143/Transfer!F143)-1)</f>
        <v>6.4880000000000049</v>
      </c>
      <c r="M500" s="2452"/>
      <c r="N500" s="54"/>
      <c r="O500" s="54"/>
      <c r="P500" s="54"/>
      <c r="Q500" s="54"/>
      <c r="R500" s="54"/>
      <c r="S500" s="190"/>
      <c r="T500" s="148" t="s">
        <v>1013</v>
      </c>
      <c r="U500" s="1676"/>
      <c r="V500" s="195">
        <f t="shared" ref="V500:AC518" ca="1" si="33">ROUND(E500,1)-ROUND(AM500,1)</f>
        <v>-57.699999999999996</v>
      </c>
      <c r="W500" s="195">
        <f t="shared" ca="1" si="33"/>
        <v>-16.100000000000001</v>
      </c>
      <c r="X500" s="195">
        <f t="shared" ca="1" si="33"/>
        <v>-58.7</v>
      </c>
      <c r="Y500" s="195">
        <f t="shared" ca="1" si="33"/>
        <v>11.3</v>
      </c>
      <c r="Z500" s="195">
        <f t="shared" ca="1" si="33"/>
        <v>-64</v>
      </c>
      <c r="AA500" s="195">
        <f ca="1">ROUND(J500,1)-ROUND(AR500,1)</f>
        <v>-0.90000000000000036</v>
      </c>
      <c r="AB500" s="195">
        <f t="shared" ca="1" si="33"/>
        <v>-70.900000000000006</v>
      </c>
      <c r="AC500" s="358">
        <f t="shared" ca="1" si="33"/>
        <v>-3</v>
      </c>
      <c r="AD500" s="196"/>
      <c r="AE500" s="45"/>
      <c r="AF500" s="45"/>
      <c r="AG500" s="45"/>
      <c r="AH500" s="45"/>
      <c r="AI500" s="45"/>
      <c r="AJ500" s="190"/>
      <c r="AK500" s="148" t="s">
        <v>1013</v>
      </c>
      <c r="AL500" s="1676"/>
      <c r="AM500" s="367">
        <f>Transfer!AD143</f>
        <v>79.578500000000005</v>
      </c>
      <c r="AN500" s="1764">
        <f>100*((Transfer!AD143/Transfer!AC143)-1)</f>
        <v>14.374984549456427</v>
      </c>
      <c r="AO500" s="367">
        <f>Transfer!AE143</f>
        <v>84.521916420000025</v>
      </c>
      <c r="AP500" s="367">
        <f>100*((Transfer!AE143/Transfer!AD143)-1)</f>
        <v>6.2120000000000175</v>
      </c>
      <c r="AQ500" s="367">
        <f>Transfer!AF143</f>
        <v>91.709237582774705</v>
      </c>
      <c r="AR500" s="1764">
        <f>100*((Transfer!AF143/Transfer!AE143)-1)</f>
        <v>8.5034999999999741</v>
      </c>
      <c r="AS500" s="367">
        <f>Transfer!AG143</f>
        <v>100.38144650707704</v>
      </c>
      <c r="AT500" s="1771">
        <f>100*((Transfer!AG143/Transfer!AF143)-1)</f>
        <v>9.4562000000000026</v>
      </c>
      <c r="AU500" s="196"/>
      <c r="AV500" s="54"/>
      <c r="AW500" s="54"/>
      <c r="AX500" s="54"/>
      <c r="AY500" s="54"/>
      <c r="AZ500" s="54"/>
      <c r="BA500" s="1987" t="s">
        <v>196</v>
      </c>
      <c r="BB500" s="2004"/>
      <c r="BC500" s="54"/>
    </row>
    <row r="501" spans="1:55">
      <c r="A501" s="45"/>
      <c r="B501" s="1665"/>
      <c r="C501" s="2468" t="s">
        <v>1383</v>
      </c>
      <c r="D501" s="2784"/>
      <c r="E501" s="2453">
        <f ca="1">Transfer!D145</f>
        <v>23.690349999999999</v>
      </c>
      <c r="F501" s="2691">
        <f ca="1">100*((Transfer!D145/Transfer!C145)-1)</f>
        <v>-2.4939208800688895</v>
      </c>
      <c r="G501" s="2453">
        <f ca="1">Transfer!E145</f>
        <v>27.813869999999998</v>
      </c>
      <c r="H501" s="2691">
        <f ca="1">100*((Transfer!E145/Transfer!D145)-1)</f>
        <v>17.405905780201646</v>
      </c>
      <c r="I501" s="2453">
        <f ca="1">Transfer!F145</f>
        <v>30.362315838749993</v>
      </c>
      <c r="J501" s="2691">
        <f ca="1">100*((Transfer!F145/Transfer!E145)-1)</f>
        <v>9.1624999999999837</v>
      </c>
      <c r="K501" s="2453">
        <f ca="1">Transfer!G145</f>
        <v>32.420273606300469</v>
      </c>
      <c r="L501" s="2693">
        <f ca="1">100*((Transfer!G145/Transfer!F145)-1)</f>
        <v>6.7780000000000173</v>
      </c>
      <c r="M501" s="2452"/>
      <c r="N501" s="54"/>
      <c r="O501" s="54"/>
      <c r="P501" s="54"/>
      <c r="Q501" s="54"/>
      <c r="R501" s="54"/>
      <c r="S501" s="190"/>
      <c r="T501" s="179" t="s">
        <v>1383</v>
      </c>
      <c r="U501" s="1737"/>
      <c r="V501" s="197">
        <f t="shared" ca="1" si="33"/>
        <v>-59</v>
      </c>
      <c r="W501" s="197">
        <f t="shared" ca="1" si="33"/>
        <v>-11.6</v>
      </c>
      <c r="X501" s="197">
        <f t="shared" ca="1" si="33"/>
        <v>-59.900000000000006</v>
      </c>
      <c r="Y501" s="197">
        <f t="shared" ca="1" si="33"/>
        <v>11.399999999999999</v>
      </c>
      <c r="Z501" s="197">
        <f t="shared" ca="1" si="33"/>
        <v>-64.800000000000011</v>
      </c>
      <c r="AA501" s="197">
        <f t="shared" ca="1" si="33"/>
        <v>0.59999999999999964</v>
      </c>
      <c r="AB501" s="197">
        <f t="shared" ca="1" si="33"/>
        <v>-72.199999999999989</v>
      </c>
      <c r="AC501" s="341">
        <f t="shared" ca="1" si="33"/>
        <v>-3.1000000000000005</v>
      </c>
      <c r="AD501" s="196"/>
      <c r="AE501" s="45"/>
      <c r="AF501" s="45"/>
      <c r="AG501" s="45"/>
      <c r="AH501" s="45"/>
      <c r="AI501" s="45"/>
      <c r="AJ501" s="190"/>
      <c r="AK501" s="179" t="s">
        <v>1383</v>
      </c>
      <c r="AL501" s="1737"/>
      <c r="AM501" s="359">
        <f>Transfer!AD145</f>
        <v>82.728229999999996</v>
      </c>
      <c r="AN501" s="497">
        <f>100*((Transfer!AD145/Transfer!AC145)-1)</f>
        <v>9.1132698582024663</v>
      </c>
      <c r="AO501" s="359">
        <f>Transfer!AE145</f>
        <v>87.681665499480005</v>
      </c>
      <c r="AP501" s="497">
        <f>100*((Transfer!AE145/Transfer!AD145)-1)</f>
        <v>5.987600000000004</v>
      </c>
      <c r="AQ501" s="359">
        <f>Transfer!AF145</f>
        <v>95.211416205913352</v>
      </c>
      <c r="AR501" s="497">
        <f>100*((Transfer!AF145/Transfer!AE145)-1)</f>
        <v>8.5876000000000055</v>
      </c>
      <c r="AS501" s="359">
        <f>Transfer!AG145</f>
        <v>104.59888099815157</v>
      </c>
      <c r="AT501" s="498">
        <f>100*((Transfer!AG145/Transfer!AF145)-1)</f>
        <v>9.8595999999999897</v>
      </c>
      <c r="AU501" s="196"/>
      <c r="AV501" s="54"/>
      <c r="AW501" s="54"/>
      <c r="AX501" s="54"/>
      <c r="AY501" s="54"/>
      <c r="AZ501" s="54"/>
      <c r="BA501" s="1988" t="s">
        <v>197</v>
      </c>
      <c r="BB501" s="2004"/>
      <c r="BC501" s="54"/>
    </row>
    <row r="502" spans="1:55">
      <c r="A502" s="45"/>
      <c r="B502" s="1665"/>
      <c r="C502" s="2663" t="s">
        <v>1114</v>
      </c>
      <c r="D502" s="2460"/>
      <c r="E502" s="2785">
        <f ca="1">(Transfer!D143-Transfer!D145)</f>
        <v>-1.7684399999999982</v>
      </c>
      <c r="F502" s="2786"/>
      <c r="G502" s="2785">
        <f ca="1">(Transfer!E143-Transfer!E145)</f>
        <v>-2.0609499999999983</v>
      </c>
      <c r="H502" s="2786"/>
      <c r="I502" s="2785">
        <f ca="1">(Transfer!F143-Transfer!F145)</f>
        <v>-2.6471263464299959</v>
      </c>
      <c r="J502" s="2786"/>
      <c r="K502" s="2785">
        <f ca="1">(Transfer!G143-Transfer!G145)</f>
        <v>-2.906922619718749</v>
      </c>
      <c r="L502" s="2787"/>
      <c r="M502" s="2348"/>
      <c r="N502" s="54"/>
      <c r="O502" s="54"/>
      <c r="P502" s="54"/>
      <c r="Q502" s="54"/>
      <c r="R502" s="54"/>
      <c r="S502" s="190"/>
      <c r="T502" s="398" t="s">
        <v>1114</v>
      </c>
      <c r="U502" s="203"/>
      <c r="V502" s="2026">
        <f t="shared" ca="1" si="33"/>
        <v>1.3</v>
      </c>
      <c r="W502" s="493"/>
      <c r="X502" s="2026">
        <f t="shared" ca="1" si="33"/>
        <v>1.1000000000000001</v>
      </c>
      <c r="Y502" s="493"/>
      <c r="Z502" s="2026">
        <f t="shared" ca="1" si="33"/>
        <v>0.89999999999999991</v>
      </c>
      <c r="AA502" s="493"/>
      <c r="AB502" s="2026">
        <f t="shared" ca="1" si="33"/>
        <v>1.3000000000000003</v>
      </c>
      <c r="AC502" s="2027"/>
      <c r="AD502" s="62"/>
      <c r="AE502" s="45"/>
      <c r="AF502" s="45"/>
      <c r="AG502" s="45"/>
      <c r="AH502" s="45"/>
      <c r="AI502" s="45"/>
      <c r="AJ502" s="190"/>
      <c r="AK502" s="398" t="s">
        <v>1114</v>
      </c>
      <c r="AL502" s="203"/>
      <c r="AM502" s="2040">
        <f>(Transfer!AD143-Transfer!AD145)</f>
        <v>-3.149729999999991</v>
      </c>
      <c r="AN502" s="1755"/>
      <c r="AO502" s="2040">
        <f>(Transfer!AE143-Transfer!AE145)</f>
        <v>-3.1597490794799796</v>
      </c>
      <c r="AP502" s="1755"/>
      <c r="AQ502" s="2040">
        <f>(Transfer!AF143-Transfer!AF145)</f>
        <v>-3.5021786231386471</v>
      </c>
      <c r="AR502" s="1755"/>
      <c r="AS502" s="2040">
        <f>(Transfer!AG143-Transfer!AG145)</f>
        <v>-4.2174344910745276</v>
      </c>
      <c r="AT502" s="1770"/>
      <c r="AU502" s="62"/>
      <c r="AV502" s="54"/>
      <c r="AW502" s="54"/>
      <c r="AX502" s="54"/>
      <c r="AY502" s="54"/>
      <c r="AZ502" s="54"/>
      <c r="BA502" s="1988" t="s">
        <v>1391</v>
      </c>
      <c r="BB502" s="54"/>
      <c r="BC502" s="54"/>
    </row>
    <row r="503" spans="1:55">
      <c r="A503" s="45"/>
      <c r="B503" s="1665"/>
      <c r="C503" s="2788" t="s">
        <v>1392</v>
      </c>
      <c r="D503" s="2712"/>
      <c r="E503" s="2785">
        <f ca="1">100*(Transfer!D143-Transfer!D145)/Transfer!D147</f>
        <v>-4.5733561737360144</v>
      </c>
      <c r="F503" s="2786"/>
      <c r="G503" s="2785">
        <f ca="1">100*(Transfer!E143-Transfer!E145)/Transfer!E147</f>
        <v>-4.9329104442202052</v>
      </c>
      <c r="H503" s="2786"/>
      <c r="I503" s="2785">
        <f ca="1">100*(Transfer!F143-Transfer!F145)/Transfer!F147</f>
        <v>-5.9874079123929125</v>
      </c>
      <c r="J503" s="2786"/>
      <c r="K503" s="2785">
        <f ca="1">100*(Transfer!G143-Transfer!G145)/Transfer!G147</f>
        <v>-6.2278409818997913</v>
      </c>
      <c r="L503" s="2789"/>
      <c r="M503" s="2790"/>
      <c r="N503" s="54"/>
      <c r="O503" s="54"/>
      <c r="P503" s="54"/>
      <c r="Q503" s="54"/>
      <c r="R503" s="54"/>
      <c r="S503" s="190"/>
      <c r="T503" s="495" t="s">
        <v>1392</v>
      </c>
      <c r="U503" s="513"/>
      <c r="V503" s="2026">
        <f t="shared" ca="1" si="33"/>
        <v>-1.7999999999999998</v>
      </c>
      <c r="W503" s="493"/>
      <c r="X503" s="2026">
        <f t="shared" ca="1" si="33"/>
        <v>-2.3000000000000003</v>
      </c>
      <c r="Y503" s="493"/>
      <c r="Z503" s="2026">
        <f t="shared" ca="1" si="33"/>
        <v>-3.3</v>
      </c>
      <c r="AA503" s="493"/>
      <c r="AB503" s="2026">
        <f t="shared" ca="1" si="33"/>
        <v>-3.1</v>
      </c>
      <c r="AC503" s="2028"/>
      <c r="AD503" s="496"/>
      <c r="AE503" s="45"/>
      <c r="AF503" s="45"/>
      <c r="AG503" s="45"/>
      <c r="AH503" s="45"/>
      <c r="AI503" s="45"/>
      <c r="AJ503" s="190"/>
      <c r="AK503" s="495" t="s">
        <v>1392</v>
      </c>
      <c r="AL503" s="513"/>
      <c r="AM503" s="2040">
        <f>100*(Transfer!AD143-Transfer!AD145)/Transfer!AD147</f>
        <v>-2.7693659015234497</v>
      </c>
      <c r="AN503" s="1755"/>
      <c r="AO503" s="2040">
        <f>100*(Transfer!AE143-Transfer!AE145)/Transfer!AE147</f>
        <v>-2.6322520375151228</v>
      </c>
      <c r="AP503" s="1755"/>
      <c r="AQ503" s="2040">
        <f>100*(Transfer!AF143-Transfer!AF145)/Transfer!AF147</f>
        <v>-2.7482853907998415</v>
      </c>
      <c r="AR503" s="1755"/>
      <c r="AS503" s="2040">
        <f>100*(Transfer!AG143-Transfer!AG145)/Transfer!AG147</f>
        <v>-3.098779662612126</v>
      </c>
      <c r="AT503" s="2041"/>
      <c r="AU503" s="496"/>
      <c r="AV503" s="54"/>
      <c r="AW503" s="54"/>
      <c r="AX503" s="54"/>
      <c r="AY503" s="54"/>
      <c r="AZ503" s="54"/>
      <c r="BA503" s="1988" t="s">
        <v>198</v>
      </c>
      <c r="BB503" s="54"/>
      <c r="BC503" s="54"/>
    </row>
    <row r="504" spans="1:55">
      <c r="A504" s="45"/>
      <c r="B504" s="1665"/>
      <c r="C504" s="2556" t="s">
        <v>1824</v>
      </c>
      <c r="D504" s="2791"/>
      <c r="E504" s="2450">
        <f ca="1">Transfer!D144</f>
        <v>6.8672200000000005</v>
      </c>
      <c r="F504" s="2782">
        <f ca="1">100*((Transfer!D144/Transfer!C144)-1)</f>
        <v>13.063550315537142</v>
      </c>
      <c r="G504" s="2450">
        <f ca="1">Transfer!E144</f>
        <v>8.28017</v>
      </c>
      <c r="H504" s="2782">
        <f ca="1">100*((Transfer!E144/Transfer!D144)-1)</f>
        <v>20.575283739271487</v>
      </c>
      <c r="I504" s="2450">
        <f ca="1">Transfer!F144</f>
        <v>9.0388405762499993</v>
      </c>
      <c r="J504" s="2782">
        <f ca="1">100*((Transfer!F144/Transfer!E144)-1)</f>
        <v>9.1624999999999837</v>
      </c>
      <c r="K504" s="2450">
        <f ca="1">Transfer!G144</f>
        <v>9.6439457586270549</v>
      </c>
      <c r="L504" s="2783">
        <f ca="1">100*((Transfer!G144/Transfer!F144)-1)</f>
        <v>6.6945000000000032</v>
      </c>
      <c r="M504" s="2452"/>
      <c r="N504" s="54"/>
      <c r="O504" s="54"/>
      <c r="P504" s="54"/>
      <c r="Q504" s="54"/>
      <c r="R504" s="54"/>
      <c r="S504" s="190"/>
      <c r="T504" s="166" t="s">
        <v>182</v>
      </c>
      <c r="U504" s="1738"/>
      <c r="V504" s="195">
        <f t="shared" ca="1" si="33"/>
        <v>-9</v>
      </c>
      <c r="W504" s="195">
        <f t="shared" ca="1" si="33"/>
        <v>-9.4</v>
      </c>
      <c r="X504" s="195">
        <f t="shared" ca="1" si="33"/>
        <v>-8.5999999999999979</v>
      </c>
      <c r="Y504" s="195">
        <f t="shared" ca="1" si="33"/>
        <v>14.400000000000002</v>
      </c>
      <c r="Z504" s="195">
        <f t="shared" ca="1" si="33"/>
        <v>-9.3000000000000007</v>
      </c>
      <c r="AA504" s="195">
        <f t="shared" ca="1" si="33"/>
        <v>1.0999999999999996</v>
      </c>
      <c r="AB504" s="195">
        <f t="shared" ca="1" si="33"/>
        <v>-10.299999999999999</v>
      </c>
      <c r="AC504" s="358">
        <f t="shared" ca="1" si="33"/>
        <v>-2.2000000000000002</v>
      </c>
      <c r="AD504" s="196"/>
      <c r="AE504" s="45"/>
      <c r="AF504" s="45"/>
      <c r="AG504" s="45"/>
      <c r="AH504" s="45"/>
      <c r="AI504" s="45"/>
      <c r="AJ504" s="190"/>
      <c r="AK504" s="166" t="s">
        <v>182</v>
      </c>
      <c r="AL504" s="1738"/>
      <c r="AM504" s="367">
        <f>Transfer!AD144</f>
        <v>15.890219999999999</v>
      </c>
      <c r="AN504" s="1764">
        <f>100*((Transfer!AD144/Transfer!AC144)-1)</f>
        <v>22.494694411189474</v>
      </c>
      <c r="AO504" s="367">
        <f>Transfer!AE144</f>
        <v>16.88075275392</v>
      </c>
      <c r="AP504" s="1764">
        <f>100*((Transfer!AE144/Transfer!AD144)-1)</f>
        <v>6.2335999999999947</v>
      </c>
      <c r="AQ504" s="367">
        <f>Transfer!AF144</f>
        <v>18.252752814747602</v>
      </c>
      <c r="AR504" s="1764">
        <f>100*((Transfer!AF144/Transfer!AE144)-1)</f>
        <v>8.1276000000000117</v>
      </c>
      <c r="AS504" s="367">
        <f>Transfer!AG144</f>
        <v>19.870895857280608</v>
      </c>
      <c r="AT504" s="1771">
        <f>100*((Transfer!AG144/Transfer!AF144)-1)</f>
        <v>8.8652000000000175</v>
      </c>
      <c r="AU504" s="196"/>
      <c r="AV504" s="54"/>
      <c r="AW504" s="54"/>
      <c r="AX504" s="54"/>
      <c r="AY504" s="54"/>
      <c r="AZ504" s="54"/>
      <c r="BA504" s="1988" t="s">
        <v>2125</v>
      </c>
      <c r="BB504" s="54"/>
      <c r="BC504" s="54"/>
    </row>
    <row r="505" spans="1:55">
      <c r="A505" s="45"/>
      <c r="B505" s="1665"/>
      <c r="C505" s="2468" t="s">
        <v>1825</v>
      </c>
      <c r="D505" s="2784"/>
      <c r="E505" s="2453">
        <f ca="1">Transfer!D146</f>
        <v>4.5988800000000003</v>
      </c>
      <c r="F505" s="2691">
        <f ca="1">100*((Transfer!D146/Transfer!C146)-1)</f>
        <v>7.7937450338343872</v>
      </c>
      <c r="G505" s="2453">
        <f ca="1">Transfer!E146</f>
        <v>5.3760900000000005</v>
      </c>
      <c r="H505" s="2394">
        <f ca="1">100*((Transfer!E146/Transfer!D146)-1)</f>
        <v>16.899984344014207</v>
      </c>
      <c r="I505" s="2453">
        <f ca="1">Transfer!F146</f>
        <v>5.8973019254999999</v>
      </c>
      <c r="J505" s="2394">
        <f ca="1">100*((Transfer!F146/Transfer!E146)-1)</f>
        <v>9.6949999999999861</v>
      </c>
      <c r="K505" s="2453">
        <f ca="1">Transfer!G146</f>
        <v>6.3099951142464894</v>
      </c>
      <c r="L505" s="2728">
        <f ca="1">100*((Transfer!G146/Transfer!F146)-1)</f>
        <v>6.9979999999999931</v>
      </c>
      <c r="M505" s="2368"/>
      <c r="N505" s="54"/>
      <c r="O505" s="54"/>
      <c r="P505" s="54"/>
      <c r="Q505" s="54"/>
      <c r="R505" s="54"/>
      <c r="S505" s="190"/>
      <c r="T505" s="179" t="s">
        <v>1976</v>
      </c>
      <c r="U505" s="1737"/>
      <c r="V505" s="340">
        <f t="shared" ca="1" si="33"/>
        <v>-7.2000000000000011</v>
      </c>
      <c r="W505" s="197">
        <f t="shared" ca="1" si="33"/>
        <v>-14.7</v>
      </c>
      <c r="X505" s="197">
        <f t="shared" ca="1" si="33"/>
        <v>-7.1</v>
      </c>
      <c r="Y505" s="197">
        <f t="shared" ca="1" si="33"/>
        <v>10.899999999999999</v>
      </c>
      <c r="Z505" s="197">
        <f t="shared" ca="1" si="33"/>
        <v>-7.6</v>
      </c>
      <c r="AA505" s="197">
        <f t="shared" ca="1" si="33"/>
        <v>1.6999999999999993</v>
      </c>
      <c r="AB505" s="340">
        <f t="shared" ca="1" si="33"/>
        <v>-8.3999999999999986</v>
      </c>
      <c r="AC505" s="341">
        <f t="shared" ca="1" si="33"/>
        <v>-1.9000000000000004</v>
      </c>
      <c r="AD505" s="364"/>
      <c r="AE505" s="45"/>
      <c r="AF505" s="45"/>
      <c r="AG505" s="45"/>
      <c r="AH505" s="45"/>
      <c r="AI505" s="45"/>
      <c r="AJ505" s="190"/>
      <c r="AK505" s="179" t="s">
        <v>1976</v>
      </c>
      <c r="AL505" s="1737"/>
      <c r="AM505" s="359">
        <f>Transfer!AD146</f>
        <v>11.809059999999999</v>
      </c>
      <c r="AN505" s="497">
        <f>100*((Transfer!AD146/Transfer!AC146)-1)</f>
        <v>22.511551860435674</v>
      </c>
      <c r="AO505" s="359">
        <f>Transfer!AE146</f>
        <v>12.518973450959999</v>
      </c>
      <c r="AP505" s="497">
        <f>100*((Transfer!AE146/Transfer!AD146)-1)</f>
        <v>6.0116000000000058</v>
      </c>
      <c r="AQ505" s="359">
        <f>Transfer!AF146</f>
        <v>13.52274474225797</v>
      </c>
      <c r="AR505" s="497">
        <f>100*((Transfer!AF146/Transfer!AE146)-1)</f>
        <v>8.0179999999999918</v>
      </c>
      <c r="AS505" s="359">
        <f>Transfer!AG146</f>
        <v>14.72113038131687</v>
      </c>
      <c r="AT505" s="498">
        <f>100*((Transfer!AG146/Transfer!AF146)-1)</f>
        <v>8.8619999999999912</v>
      </c>
      <c r="AU505" s="364"/>
      <c r="AV505" s="54"/>
      <c r="AW505" s="54"/>
      <c r="AX505" s="54"/>
      <c r="AY505" s="54"/>
      <c r="AZ505" s="54"/>
      <c r="BA505" s="1988" t="s">
        <v>120</v>
      </c>
      <c r="BB505" s="54"/>
      <c r="BC505" s="54"/>
    </row>
    <row r="506" spans="1:55">
      <c r="A506" s="45"/>
      <c r="B506" s="1665"/>
      <c r="C506" s="2663" t="s">
        <v>1826</v>
      </c>
      <c r="D506" s="2460"/>
      <c r="E506" s="2785">
        <f ca="1">(Transfer!D144-Transfer!D146)</f>
        <v>2.2683400000000002</v>
      </c>
      <c r="F506" s="2786"/>
      <c r="G506" s="2785">
        <f ca="1">(Transfer!E144-Transfer!E146)</f>
        <v>2.9040799999999996</v>
      </c>
      <c r="H506" s="2792"/>
      <c r="I506" s="2785">
        <f ca="1">(Transfer!F144-Transfer!F146)</f>
        <v>3.1415386507499994</v>
      </c>
      <c r="J506" s="2792"/>
      <c r="K506" s="2785">
        <f ca="1">(Transfer!G144-Transfer!G146)</f>
        <v>3.3339506443805655</v>
      </c>
      <c r="L506" s="2793"/>
      <c r="M506" s="2644"/>
      <c r="N506" s="54"/>
      <c r="O506" s="54"/>
      <c r="P506" s="54"/>
      <c r="Q506" s="54"/>
      <c r="R506" s="54"/>
      <c r="S506" s="190"/>
      <c r="T506" s="398" t="s">
        <v>396</v>
      </c>
      <c r="U506" s="203"/>
      <c r="V506" s="511">
        <f t="shared" ca="1" si="33"/>
        <v>-1.7999999999999998</v>
      </c>
      <c r="W506" s="493"/>
      <c r="X506" s="2026">
        <f t="shared" ca="1" si="33"/>
        <v>-1.5000000000000004</v>
      </c>
      <c r="Y506" s="1744"/>
      <c r="Z506" s="2026">
        <f t="shared" ca="1" si="33"/>
        <v>-1.6</v>
      </c>
      <c r="AA506" s="1744"/>
      <c r="AB506" s="2026">
        <f t="shared" ca="1" si="33"/>
        <v>-1.7999999999999998</v>
      </c>
      <c r="AC506" s="1745"/>
      <c r="AD506" s="378"/>
      <c r="AE506" s="45"/>
      <c r="AF506" s="45"/>
      <c r="AG506" s="45"/>
      <c r="AH506" s="45"/>
      <c r="AI506" s="45"/>
      <c r="AJ506" s="190"/>
      <c r="AK506" s="398" t="s">
        <v>396</v>
      </c>
      <c r="AL506" s="203"/>
      <c r="AM506" s="2040">
        <f>(Transfer!AD144-Transfer!AD146)</f>
        <v>4.0811600000000006</v>
      </c>
      <c r="AN506" s="1755"/>
      <c r="AO506" s="2040">
        <f>(Transfer!AE144-Transfer!AE146)</f>
        <v>4.3617793029600005</v>
      </c>
      <c r="AP506" s="2042"/>
      <c r="AQ506" s="2040">
        <f>(Transfer!AF144-Transfer!AF146)</f>
        <v>4.7300080724896318</v>
      </c>
      <c r="AR506" s="2042"/>
      <c r="AS506" s="2040">
        <f>(Transfer!AG144-Transfer!AG146)</f>
        <v>5.1497654759637381</v>
      </c>
      <c r="AT506" s="2043"/>
      <c r="AU506" s="378"/>
      <c r="AV506" s="54"/>
      <c r="AW506" s="54"/>
      <c r="AX506" s="54"/>
      <c r="AY506" s="54"/>
      <c r="AZ506" s="54"/>
      <c r="BA506" s="1988" t="s">
        <v>1119</v>
      </c>
      <c r="BB506" s="54"/>
      <c r="BC506" s="54"/>
    </row>
    <row r="507" spans="1:55">
      <c r="A507" s="45"/>
      <c r="B507" s="1665"/>
      <c r="C507" s="2707" t="s">
        <v>1252</v>
      </c>
      <c r="D507" s="2708"/>
      <c r="E507" s="2794">
        <f ca="1">100*(Transfer!D144-Transfer!D146)/Transfer!D147</f>
        <v>5.86614572342424</v>
      </c>
      <c r="F507" s="2795"/>
      <c r="G507" s="2794">
        <f ca="1">100*(Transfer!E144-Transfer!E146)/Transfer!E147</f>
        <v>6.9509529890832011</v>
      </c>
      <c r="H507" s="2796"/>
      <c r="I507" s="2794">
        <f ca="1">100*(Transfer!F144-Transfer!F146)/Transfer!F147</f>
        <v>7.1056953514727628</v>
      </c>
      <c r="J507" s="2796"/>
      <c r="K507" s="2794">
        <f ca="1">100*(Transfer!G144-Transfer!G146)/Transfer!G147</f>
        <v>7.1427131612857986</v>
      </c>
      <c r="L507" s="2797"/>
      <c r="M507" s="2798"/>
      <c r="N507" s="54"/>
      <c r="O507" s="54"/>
      <c r="P507" s="54"/>
      <c r="Q507" s="54"/>
      <c r="R507" s="54"/>
      <c r="S507" s="190"/>
      <c r="T507" s="501" t="s">
        <v>1252</v>
      </c>
      <c r="U507" s="1739"/>
      <c r="V507" s="2026">
        <f t="shared" ca="1" si="33"/>
        <v>2.3000000000000003</v>
      </c>
      <c r="W507" s="499"/>
      <c r="X507" s="2026">
        <f t="shared" ca="1" si="33"/>
        <v>3.4</v>
      </c>
      <c r="Y507" s="500"/>
      <c r="Z507" s="2026">
        <f t="shared" ca="1" si="33"/>
        <v>3.3999999999999995</v>
      </c>
      <c r="AA507" s="500"/>
      <c r="AB507" s="202">
        <f t="shared" ca="1" si="33"/>
        <v>3.3</v>
      </c>
      <c r="AC507" s="502"/>
      <c r="AD507" s="503"/>
      <c r="AE507" s="45"/>
      <c r="AF507" s="45"/>
      <c r="AG507" s="45"/>
      <c r="AH507" s="45"/>
      <c r="AI507" s="45"/>
      <c r="AJ507" s="190"/>
      <c r="AK507" s="501" t="s">
        <v>1252</v>
      </c>
      <c r="AL507" s="1739"/>
      <c r="AM507" s="2044">
        <f>100*(Transfer!AD144-Transfer!AD146)/Transfer!AD147</f>
        <v>3.5883156151992313</v>
      </c>
      <c r="AN507" s="2045"/>
      <c r="AO507" s="2044">
        <f>100*(Transfer!AE144-Transfer!AE146)/Transfer!AE147</f>
        <v>3.6336120902667708</v>
      </c>
      <c r="AP507" s="2046"/>
      <c r="AQ507" s="2044">
        <f>100*(Transfer!AF144-Transfer!AF146)/Transfer!AF147</f>
        <v>3.7118072727936755</v>
      </c>
      <c r="AR507" s="2046"/>
      <c r="AS507" s="2044">
        <f>100*(Transfer!AG144-Transfer!AG146)/Transfer!AG147</f>
        <v>3.7838142021911225</v>
      </c>
      <c r="AT507" s="2047"/>
      <c r="AU507" s="503"/>
      <c r="AV507" s="54"/>
      <c r="AW507" s="54"/>
      <c r="AX507" s="54"/>
      <c r="AY507" s="54"/>
      <c r="AZ507" s="54"/>
      <c r="BA507" s="1988" t="s">
        <v>199</v>
      </c>
      <c r="BB507" s="54"/>
      <c r="BC507" s="54"/>
    </row>
    <row r="508" spans="1:55">
      <c r="A508" s="45"/>
      <c r="B508" s="1665"/>
      <c r="C508" s="2686" t="s">
        <v>1559</v>
      </c>
      <c r="D508" s="2345"/>
      <c r="E508" s="2799">
        <f ca="1">(Transfer!D143-Transfer!D145)+(Transfer!D144-Transfer!D146)</f>
        <v>0.49990000000000201</v>
      </c>
      <c r="F508" s="2800"/>
      <c r="G508" s="2799">
        <f ca="1">(Transfer!E143-Transfer!E145)+(Transfer!E144-Transfer!E146)</f>
        <v>0.84313000000000127</v>
      </c>
      <c r="H508" s="2800"/>
      <c r="I508" s="2799">
        <f ca="1">(Transfer!F143-Transfer!F145)+(Transfer!F144-Transfer!F146)</f>
        <v>0.49441230432000349</v>
      </c>
      <c r="J508" s="2800"/>
      <c r="K508" s="2799">
        <f ca="1">(Transfer!G143-Transfer!G145)+(Transfer!G144-Transfer!G146)</f>
        <v>0.42702802466181655</v>
      </c>
      <c r="L508" s="2801"/>
      <c r="M508" s="2348"/>
      <c r="N508" s="54"/>
      <c r="O508" s="54"/>
      <c r="P508" s="54"/>
      <c r="Q508" s="54"/>
      <c r="R508" s="54"/>
      <c r="S508" s="190"/>
      <c r="T508" s="424" t="s">
        <v>1559</v>
      </c>
      <c r="U508" s="59"/>
      <c r="V508" s="353">
        <f t="shared" ca="1" si="33"/>
        <v>-0.4</v>
      </c>
      <c r="W508" s="504"/>
      <c r="X508" s="353">
        <f t="shared" ca="1" si="33"/>
        <v>-0.39999999999999991</v>
      </c>
      <c r="Y508" s="504"/>
      <c r="Z508" s="353">
        <f t="shared" ca="1" si="33"/>
        <v>-0.7</v>
      </c>
      <c r="AA508" s="504"/>
      <c r="AB508" s="353">
        <f t="shared" ca="1" si="33"/>
        <v>-0.5</v>
      </c>
      <c r="AC508" s="505"/>
      <c r="AD508" s="62"/>
      <c r="AE508" s="45"/>
      <c r="AF508" s="45"/>
      <c r="AG508" s="45"/>
      <c r="AH508" s="45"/>
      <c r="AI508" s="45"/>
      <c r="AJ508" s="190"/>
      <c r="AK508" s="424" t="s">
        <v>1559</v>
      </c>
      <c r="AL508" s="59"/>
      <c r="AM508" s="2048">
        <f>(Transfer!AD143-Transfer!AD145)+(Transfer!AD144-Transfer!AD146)</f>
        <v>0.93143000000000953</v>
      </c>
      <c r="AN508" s="2049"/>
      <c r="AO508" s="2048">
        <f>(Transfer!AE143-Transfer!AE145)+(Transfer!AE144-Transfer!AE146)</f>
        <v>1.2020302234800209</v>
      </c>
      <c r="AP508" s="2049"/>
      <c r="AQ508" s="2048">
        <f>(Transfer!AF143-Transfer!AF145)+(Transfer!AF144-Transfer!AF146)</f>
        <v>1.2278294493509847</v>
      </c>
      <c r="AR508" s="2049"/>
      <c r="AS508" s="2048">
        <f>(Transfer!AG143-Transfer!AG145)+(Transfer!AG144-Transfer!AG146)</f>
        <v>0.93233098488921051</v>
      </c>
      <c r="AT508" s="2050"/>
      <c r="AU508" s="62"/>
      <c r="AV508" s="54"/>
      <c r="AW508" s="54"/>
      <c r="AX508" s="54"/>
      <c r="AY508" s="54"/>
      <c r="AZ508" s="54"/>
      <c r="BA508" s="1988" t="s">
        <v>200</v>
      </c>
      <c r="BB508" s="54"/>
      <c r="BC508" s="54"/>
    </row>
    <row r="509" spans="1:55">
      <c r="A509" s="45"/>
      <c r="B509" s="1665"/>
      <c r="C509" s="2707" t="s">
        <v>1253</v>
      </c>
      <c r="D509" s="2708"/>
      <c r="E509" s="2794">
        <f ca="1">100*((Transfer!D143-Transfer!D145)+(Transfer!D144-Transfer!D146))/Transfer!D147</f>
        <v>1.2927895496882253</v>
      </c>
      <c r="F509" s="2795"/>
      <c r="G509" s="2794">
        <f ca="1">100*((Transfer!E143-Transfer!E145)+(Transfer!E144-Transfer!E146))/Transfer!E147</f>
        <v>2.0180425448629959</v>
      </c>
      <c r="H509" s="2796"/>
      <c r="I509" s="2794">
        <f ca="1">100*((Transfer!F143-Transfer!F145)+(Transfer!F144-Transfer!F146))/Transfer!F147</f>
        <v>1.1182874390798505</v>
      </c>
      <c r="J509" s="2796"/>
      <c r="K509" s="2794">
        <f ca="1">100*((Transfer!G143-Transfer!G145)+(Transfer!G144-Transfer!G146))/Transfer!G147</f>
        <v>0.91487217938600784</v>
      </c>
      <c r="L509" s="2797"/>
      <c r="M509" s="2798"/>
      <c r="N509" s="54"/>
      <c r="O509" s="54"/>
      <c r="P509" s="54"/>
      <c r="Q509" s="54"/>
      <c r="R509" s="54"/>
      <c r="S509" s="190"/>
      <c r="T509" s="501" t="s">
        <v>1253</v>
      </c>
      <c r="U509" s="1739"/>
      <c r="V509" s="2026">
        <f t="shared" ca="1" si="33"/>
        <v>0.5</v>
      </c>
      <c r="W509" s="499"/>
      <c r="X509" s="202">
        <f t="shared" ca="1" si="33"/>
        <v>1</v>
      </c>
      <c r="Y509" s="500"/>
      <c r="Z509" s="202">
        <f t="shared" ca="1" si="33"/>
        <v>0.10000000000000009</v>
      </c>
      <c r="AA509" s="500"/>
      <c r="AB509" s="202">
        <f t="shared" ca="1" si="33"/>
        <v>0.20000000000000007</v>
      </c>
      <c r="AC509" s="502"/>
      <c r="AD509" s="503"/>
      <c r="AE509" s="45"/>
      <c r="AF509" s="45"/>
      <c r="AG509" s="45"/>
      <c r="AH509" s="45"/>
      <c r="AI509" s="45"/>
      <c r="AJ509" s="190"/>
      <c r="AK509" s="501" t="s">
        <v>1253</v>
      </c>
      <c r="AL509" s="1739"/>
      <c r="AM509" s="2044">
        <f>100*((Transfer!AD143-Transfer!AD145)+(Transfer!AD144-Transfer!AD146))/Transfer!AD147</f>
        <v>0.81894971367578184</v>
      </c>
      <c r="AN509" s="2045"/>
      <c r="AO509" s="2044">
        <f>100*((Transfer!AE143-Transfer!AE145)+(Transfer!AE144-Transfer!AE146))/Transfer!AE147</f>
        <v>1.001360052751648</v>
      </c>
      <c r="AP509" s="2046"/>
      <c r="AQ509" s="2044">
        <f>100*((Transfer!AF143-Transfer!AF145)+(Transfer!AF144-Transfer!AF146))/Transfer!AF147</f>
        <v>0.96352188199383437</v>
      </c>
      <c r="AR509" s="2046"/>
      <c r="AS509" s="2044">
        <f>100*((Transfer!AG143-Transfer!AG145)+(Transfer!AG144-Transfer!AG146))/Transfer!AG147</f>
        <v>0.68503453957899663</v>
      </c>
      <c r="AT509" s="2047"/>
      <c r="AU509" s="503"/>
      <c r="AV509" s="54"/>
      <c r="AW509" s="54"/>
      <c r="AX509" s="54"/>
      <c r="AY509" s="54"/>
      <c r="AZ509" s="54"/>
      <c r="BA509" s="1988" t="s">
        <v>201</v>
      </c>
      <c r="BB509" s="54"/>
      <c r="BC509" s="54"/>
    </row>
    <row r="510" spans="1:55">
      <c r="A510" s="45"/>
      <c r="B510" s="1665"/>
      <c r="C510" s="2586" t="s">
        <v>1244</v>
      </c>
      <c r="D510" s="2802"/>
      <c r="E510" s="2803">
        <f ca="1">SUM(Transfer!D240,Transfer!D241)</f>
        <v>-0.75492000000000015</v>
      </c>
      <c r="F510" s="2804"/>
      <c r="G510" s="2803">
        <f ca="1">SUM(Transfer!E240,Transfer!E241)</f>
        <v>-0.70007159199999991</v>
      </c>
      <c r="H510" s="2804"/>
      <c r="I510" s="2803">
        <f ca="1">SUM(Transfer!F240,Transfer!F241)</f>
        <v>-0.69343255632000034</v>
      </c>
      <c r="J510" s="2804"/>
      <c r="K510" s="2803">
        <f ca="1">SUM(Transfer!G240,Transfer!G241)</f>
        <v>-0.68955072592720046</v>
      </c>
      <c r="L510" s="2805"/>
      <c r="M510" s="2551"/>
      <c r="N510" s="54"/>
      <c r="O510" s="54"/>
      <c r="P510" s="54"/>
      <c r="Q510" s="54"/>
      <c r="R510" s="54"/>
      <c r="S510" s="190"/>
      <c r="T510" s="349" t="s">
        <v>1244</v>
      </c>
      <c r="U510" s="1740"/>
      <c r="V510" s="195">
        <f t="shared" ca="1" si="33"/>
        <v>0.7</v>
      </c>
      <c r="W510" s="506"/>
      <c r="X510" s="195">
        <f t="shared" ca="1" si="33"/>
        <v>1.1000000000000001</v>
      </c>
      <c r="Y510" s="506"/>
      <c r="Z510" s="195">
        <f t="shared" ca="1" si="33"/>
        <v>1.5000000000000002</v>
      </c>
      <c r="AA510" s="506"/>
      <c r="AB510" s="195">
        <f t="shared" ca="1" si="33"/>
        <v>2</v>
      </c>
      <c r="AC510" s="507"/>
      <c r="AD510" s="508"/>
      <c r="AE510" s="45"/>
      <c r="AF510" s="45"/>
      <c r="AG510" s="45"/>
      <c r="AH510" s="45"/>
      <c r="AI510" s="45"/>
      <c r="AJ510" s="190"/>
      <c r="AK510" s="349" t="s">
        <v>1244</v>
      </c>
      <c r="AL510" s="1740"/>
      <c r="AM510" s="362">
        <f>SUM(Transfer!AD240,Transfer!AD241)</f>
        <v>-1.5085517689767376</v>
      </c>
      <c r="AN510" s="497"/>
      <c r="AO510" s="362">
        <f>SUM(Transfer!AE240,Transfer!AE241)</f>
        <v>-1.7708340458744121</v>
      </c>
      <c r="AP510" s="497"/>
      <c r="AQ510" s="362">
        <f>SUM(Transfer!AF240,Transfer!AF241)</f>
        <v>-2.2018320434618528</v>
      </c>
      <c r="AR510" s="497"/>
      <c r="AS510" s="362">
        <f>SUM(Transfer!AG240,Transfer!AG241)</f>
        <v>-2.6883127014380381</v>
      </c>
      <c r="AT510" s="498"/>
      <c r="AU510" s="508"/>
      <c r="AV510" s="54"/>
      <c r="AW510" s="54"/>
      <c r="AX510" s="54"/>
      <c r="AY510" s="54"/>
      <c r="AZ510" s="54"/>
      <c r="BA510" s="1988" t="s">
        <v>202</v>
      </c>
      <c r="BB510" s="54"/>
      <c r="BC510" s="54"/>
    </row>
    <row r="511" spans="1:55">
      <c r="A511" s="45"/>
      <c r="B511" s="1665"/>
      <c r="C511" s="2373" t="s">
        <v>183</v>
      </c>
      <c r="D511" s="2610"/>
      <c r="E511" s="2803">
        <f ca="1">Transfer!D240</f>
        <v>-1.5429999999999999</v>
      </c>
      <c r="F511" s="2804"/>
      <c r="G511" s="2803">
        <f ca="1">Transfer!E240</f>
        <v>-1.5165699999999998</v>
      </c>
      <c r="H511" s="2804"/>
      <c r="I511" s="2803">
        <f ca="1">Transfer!F240</f>
        <v>-1.546837625</v>
      </c>
      <c r="J511" s="2804"/>
      <c r="K511" s="2803">
        <f ca="1">Transfer!G240</f>
        <v>-1.5777439521250001</v>
      </c>
      <c r="L511" s="2806"/>
      <c r="M511" s="2807"/>
      <c r="N511" s="54"/>
      <c r="O511" s="54"/>
      <c r="P511" s="54"/>
      <c r="Q511" s="54"/>
      <c r="R511" s="54"/>
      <c r="S511" s="190"/>
      <c r="T511" s="86" t="s">
        <v>183</v>
      </c>
      <c r="U511" s="343"/>
      <c r="V511" s="197">
        <f t="shared" ca="1" si="33"/>
        <v>3.3</v>
      </c>
      <c r="W511" s="506"/>
      <c r="X511" s="197">
        <f t="shared" ca="1" si="33"/>
        <v>3.9000000000000004</v>
      </c>
      <c r="Y511" s="506"/>
      <c r="Z511" s="197">
        <f t="shared" ca="1" si="33"/>
        <v>4.5999999999999996</v>
      </c>
      <c r="AA511" s="506"/>
      <c r="AB511" s="197">
        <f t="shared" ca="1" si="33"/>
        <v>5.1999999999999993</v>
      </c>
      <c r="AC511" s="509"/>
      <c r="AD511" s="510"/>
      <c r="AE511" s="45"/>
      <c r="AF511" s="45"/>
      <c r="AG511" s="45"/>
      <c r="AH511" s="45"/>
      <c r="AI511" s="45"/>
      <c r="AJ511" s="190"/>
      <c r="AK511" s="86" t="s">
        <v>183</v>
      </c>
      <c r="AL511" s="343"/>
      <c r="AM511" s="362">
        <f>Transfer!AD240</f>
        <v>-4.8091617689767387</v>
      </c>
      <c r="AN511" s="497"/>
      <c r="AO511" s="362">
        <f>Transfer!AE240</f>
        <v>-5.4019541458744129</v>
      </c>
      <c r="AP511" s="497"/>
      <c r="AQ511" s="362">
        <f>Transfer!AF240</f>
        <v>-6.061800908461854</v>
      </c>
      <c r="AR511" s="497"/>
      <c r="AS511" s="362">
        <f>Transfer!AG240</f>
        <v>-6.7900928487280403</v>
      </c>
      <c r="AT511" s="2051"/>
      <c r="AU511" s="510"/>
      <c r="AV511" s="54"/>
      <c r="AW511" s="54"/>
      <c r="AX511" s="54"/>
      <c r="AY511" s="54"/>
      <c r="AZ511" s="54"/>
      <c r="BA511" s="1988" t="s">
        <v>1404</v>
      </c>
      <c r="BB511" s="54"/>
      <c r="BC511" s="54"/>
    </row>
    <row r="512" spans="1:55">
      <c r="A512" s="45"/>
      <c r="B512" s="1665"/>
      <c r="C512" s="2558" t="s">
        <v>1839</v>
      </c>
      <c r="D512" s="2808"/>
      <c r="E512" s="2803">
        <f ca="1">Transfer!D241</f>
        <v>0.78807999999999978</v>
      </c>
      <c r="F512" s="2804"/>
      <c r="G512" s="2803">
        <f ca="1">Transfer!E241</f>
        <v>0.81649840799999984</v>
      </c>
      <c r="H512" s="2804"/>
      <c r="I512" s="2803">
        <f ca="1">Transfer!F241</f>
        <v>0.85340506867999966</v>
      </c>
      <c r="J512" s="2804"/>
      <c r="K512" s="2803">
        <f ca="1">Transfer!G241</f>
        <v>0.88819322619779961</v>
      </c>
      <c r="L512" s="2806"/>
      <c r="M512" s="2807"/>
      <c r="N512" s="54"/>
      <c r="O512" s="54"/>
      <c r="P512" s="54"/>
      <c r="Q512" s="54"/>
      <c r="R512" s="54"/>
      <c r="S512" s="190"/>
      <c r="T512" s="318" t="s">
        <v>1839</v>
      </c>
      <c r="U512" s="1741"/>
      <c r="V512" s="197">
        <f t="shared" ca="1" si="33"/>
        <v>-2.5</v>
      </c>
      <c r="W512" s="506"/>
      <c r="X512" s="197">
        <f t="shared" ca="1" si="33"/>
        <v>-2.8</v>
      </c>
      <c r="Y512" s="506"/>
      <c r="Z512" s="197">
        <f t="shared" ca="1" si="33"/>
        <v>-3</v>
      </c>
      <c r="AA512" s="506"/>
      <c r="AB512" s="197">
        <f t="shared" ca="1" si="33"/>
        <v>-3.1999999999999997</v>
      </c>
      <c r="AC512" s="509"/>
      <c r="AD512" s="510"/>
      <c r="AE512" s="45"/>
      <c r="AF512" s="45"/>
      <c r="AG512" s="45"/>
      <c r="AH512" s="45"/>
      <c r="AI512" s="45"/>
      <c r="AJ512" s="190"/>
      <c r="AK512" s="318" t="s">
        <v>1839</v>
      </c>
      <c r="AL512" s="1741"/>
      <c r="AM512" s="362">
        <f>Transfer!AD241</f>
        <v>3.3006100000000012</v>
      </c>
      <c r="AN512" s="497"/>
      <c r="AO512" s="362">
        <f>Transfer!AE241</f>
        <v>3.6311201000000008</v>
      </c>
      <c r="AP512" s="497"/>
      <c r="AQ512" s="362">
        <f>Transfer!AF241</f>
        <v>3.8599688650000012</v>
      </c>
      <c r="AR512" s="497"/>
      <c r="AS512" s="362">
        <f>Transfer!AG241</f>
        <v>4.1017801472900022</v>
      </c>
      <c r="AT512" s="2051"/>
      <c r="AU512" s="510"/>
      <c r="AV512" s="54"/>
      <c r="AW512" s="54"/>
      <c r="AX512" s="54"/>
      <c r="AY512" s="54"/>
      <c r="AZ512" s="54"/>
      <c r="BA512" s="1988" t="s">
        <v>203</v>
      </c>
      <c r="BB512" s="54"/>
      <c r="BC512" s="54"/>
    </row>
    <row r="513" spans="1:55">
      <c r="A513" s="45"/>
      <c r="B513" s="1665"/>
      <c r="C513" s="2558" t="s">
        <v>1249</v>
      </c>
      <c r="D513" s="2808"/>
      <c r="E513" s="2803">
        <f ca="1">100*SUM(Transfer!D240,Transfer!D241)/Transfer!D147</f>
        <v>-1.9522958328678364</v>
      </c>
      <c r="F513" s="2804"/>
      <c r="G513" s="2803">
        <f ca="1">100*SUM(Transfer!E240,Transfer!E241)/Transfer!E147</f>
        <v>-1.6756303975732882</v>
      </c>
      <c r="H513" s="2804"/>
      <c r="I513" s="2803">
        <f ca="1">100*SUM(Transfer!F240,Transfer!F241)/Transfer!F147</f>
        <v>-1.5684417859466955</v>
      </c>
      <c r="J513" s="2804"/>
      <c r="K513" s="2803">
        <f ca="1">100*SUM(Transfer!G240,Transfer!G241)/Transfer!G147</f>
        <v>-1.4773053265668499</v>
      </c>
      <c r="L513" s="2806"/>
      <c r="M513" s="2807"/>
      <c r="N513" s="54"/>
      <c r="O513" s="54"/>
      <c r="P513" s="54"/>
      <c r="Q513" s="54"/>
      <c r="R513" s="54"/>
      <c r="S513" s="190"/>
      <c r="T513" s="318" t="s">
        <v>1249</v>
      </c>
      <c r="U513" s="1741"/>
      <c r="V513" s="197">
        <f t="shared" ca="1" si="33"/>
        <v>-0.7</v>
      </c>
      <c r="W513" s="506"/>
      <c r="X513" s="197">
        <f t="shared" ca="1" si="33"/>
        <v>-0.19999999999999996</v>
      </c>
      <c r="Y513" s="506"/>
      <c r="Z513" s="197">
        <f t="shared" ca="1" si="33"/>
        <v>9.9999999999999867E-2</v>
      </c>
      <c r="AA513" s="506"/>
      <c r="AB513" s="197">
        <f t="shared" ca="1" si="33"/>
        <v>0.5</v>
      </c>
      <c r="AC513" s="509"/>
      <c r="AD513" s="510"/>
      <c r="AE513" s="45"/>
      <c r="AF513" s="45"/>
      <c r="AG513" s="45"/>
      <c r="AH513" s="45"/>
      <c r="AI513" s="45"/>
      <c r="AJ513" s="190"/>
      <c r="AK513" s="318" t="s">
        <v>1249</v>
      </c>
      <c r="AL513" s="1741"/>
      <c r="AM513" s="362">
        <f>100*SUM(Transfer!AD240,Transfer!AD241)/Transfer!AD147</f>
        <v>-1.3263777624390249</v>
      </c>
      <c r="AN513" s="497"/>
      <c r="AO513" s="362">
        <f>100*SUM(Transfer!AE240,Transfer!AE241)/Transfer!AE147</f>
        <v>-1.4752062293886978</v>
      </c>
      <c r="AP513" s="497"/>
      <c r="AQ513" s="362">
        <f>100*SUM(Transfer!AF240,Transfer!AF241)/Transfer!AF147</f>
        <v>-1.7278567112656402</v>
      </c>
      <c r="AR513" s="497"/>
      <c r="AS513" s="362">
        <f>100*SUM(Transfer!AG240,Transfer!AG241)/Transfer!AG147</f>
        <v>-1.9752502957871896</v>
      </c>
      <c r="AT513" s="2051"/>
      <c r="AU513" s="510"/>
      <c r="AV513" s="54"/>
      <c r="AW513" s="54"/>
      <c r="AX513" s="54"/>
      <c r="AY513" s="54"/>
      <c r="AZ513" s="54"/>
      <c r="BA513" s="1988" t="s">
        <v>195</v>
      </c>
      <c r="BB513" s="54"/>
      <c r="BC513" s="54"/>
    </row>
    <row r="514" spans="1:55">
      <c r="A514" s="45"/>
      <c r="B514" s="1665"/>
      <c r="C514" s="3381" t="s">
        <v>1560</v>
      </c>
      <c r="D514" s="2460"/>
      <c r="E514" s="2785">
        <f ca="1">SUM((Transfer!D143-Transfer!D145),(Transfer!D144-Transfer!D146),Transfer!D240,Transfer!D241)</f>
        <v>-0.25501999999999814</v>
      </c>
      <c r="F514" s="2786"/>
      <c r="G514" s="2785">
        <f ca="1">SUM((Transfer!E143-Transfer!E145),(Transfer!E144-Transfer!E146),Transfer!E240,Transfer!E241)</f>
        <v>0.14305840800000136</v>
      </c>
      <c r="H514" s="2786"/>
      <c r="I514" s="2785">
        <f ca="1">SUM((Transfer!F143-Transfer!F145),(Transfer!F144-Transfer!F146),Transfer!F240,Transfer!F241)</f>
        <v>-0.19902025199999684</v>
      </c>
      <c r="J514" s="2786"/>
      <c r="K514" s="2785">
        <f ca="1">SUM((Transfer!G143-Transfer!G145),(Transfer!G144-Transfer!G146),Transfer!G240,Transfer!G241)</f>
        <v>-0.26252270126538391</v>
      </c>
      <c r="L514" s="2787"/>
      <c r="M514" s="2348"/>
      <c r="N514" s="54"/>
      <c r="O514" s="54"/>
      <c r="P514" s="54"/>
      <c r="Q514" s="54"/>
      <c r="R514" s="54"/>
      <c r="S514" s="190"/>
      <c r="T514" s="398" t="s">
        <v>1560</v>
      </c>
      <c r="U514" s="203"/>
      <c r="V514" s="2026">
        <f t="shared" ca="1" si="33"/>
        <v>0.3</v>
      </c>
      <c r="W514" s="493"/>
      <c r="X514" s="2026">
        <f t="shared" ca="1" si="33"/>
        <v>0.7</v>
      </c>
      <c r="Y514" s="493"/>
      <c r="Z514" s="2026">
        <f t="shared" ca="1" si="33"/>
        <v>0.8</v>
      </c>
      <c r="AA514" s="493"/>
      <c r="AB514" s="2026">
        <f t="shared" ca="1" si="33"/>
        <v>1.5</v>
      </c>
      <c r="AC514" s="494"/>
      <c r="AD514" s="62"/>
      <c r="AE514" s="45"/>
      <c r="AF514" s="45"/>
      <c r="AG514" s="45"/>
      <c r="AH514" s="45"/>
      <c r="AI514" s="45"/>
      <c r="AJ514" s="190"/>
      <c r="AK514" s="398" t="s">
        <v>1560</v>
      </c>
      <c r="AL514" s="203"/>
      <c r="AM514" s="2040">
        <f>SUM((Transfer!AD143-Transfer!AD145),(Transfer!AD144-Transfer!AD146),Transfer!AD240,Transfer!AD241)</f>
        <v>-0.57712176897672807</v>
      </c>
      <c r="AN514" s="1755"/>
      <c r="AO514" s="2040">
        <f>SUM((Transfer!AE143-Transfer!AE145),(Transfer!AE144-Transfer!AE146),Transfer!AE240,Transfer!AE241)</f>
        <v>-0.5688038223943912</v>
      </c>
      <c r="AP514" s="1755"/>
      <c r="AQ514" s="2040">
        <f>SUM((Transfer!AF143-Transfer!AF145),(Transfer!AF144-Transfer!AF146),Transfer!AF240,Transfer!AF241)</f>
        <v>-0.97400259411086809</v>
      </c>
      <c r="AR514" s="1755"/>
      <c r="AS514" s="2040">
        <f>SUM((Transfer!AG143-Transfer!AG145),(Transfer!AG144-Transfer!AG146),Transfer!AG240,Transfer!AG241)</f>
        <v>-1.7559817165488276</v>
      </c>
      <c r="AT514" s="1770"/>
      <c r="AU514" s="62"/>
      <c r="AV514" s="54"/>
      <c r="AW514" s="54"/>
      <c r="AX514" s="54"/>
      <c r="AY514" s="54"/>
      <c r="AZ514" s="54"/>
      <c r="BA514" s="1988" t="s">
        <v>194</v>
      </c>
      <c r="BB514" s="54"/>
      <c r="BC514" s="54"/>
    </row>
    <row r="515" spans="1:55">
      <c r="A515" s="45"/>
      <c r="B515" s="1665"/>
      <c r="C515" s="2788" t="s">
        <v>1250</v>
      </c>
      <c r="D515" s="2712"/>
      <c r="E515" s="2785">
        <f ca="1">100*(SUM((Transfer!D143-Transfer!D145),(Transfer!D144-Transfer!D146),Transfer!D240,Transfer!D241))/Transfer!D147</f>
        <v>-0.65950628317961091</v>
      </c>
      <c r="F515" s="2786"/>
      <c r="G515">
        <f ca="1">100*(SUM((Transfer!E143-Transfer!E145),(Transfer!E144-Transfer!E146),Transfer!E240,Transfer!E241))/Transfer!E147</f>
        <v>0.34241214728970748</v>
      </c>
      <c r="H515" s="2809"/>
      <c r="I515" s="2785">
        <f ca="1">100*(SUM((Transfer!F143-Transfer!F145),(Transfer!F144-Transfer!F146),Transfer!F240,Transfer!F241))/Transfer!F147</f>
        <v>-0.45015434686684497</v>
      </c>
      <c r="J515" s="2809"/>
      <c r="K515" s="2785">
        <f ca="1">100*(SUM((Transfer!G143-Transfer!G145),(Transfer!G144-Transfer!G146),Transfer!G240,Transfer!G241))/Transfer!G147</f>
        <v>-0.56243314718084203</v>
      </c>
      <c r="L515" s="2810"/>
      <c r="M515" s="2712"/>
      <c r="N515" s="54"/>
      <c r="O515" s="54"/>
      <c r="P515" s="54"/>
      <c r="Q515" s="54"/>
      <c r="R515" s="54"/>
      <c r="S515" s="190"/>
      <c r="T515" s="495" t="s">
        <v>1250</v>
      </c>
      <c r="U515" s="513"/>
      <c r="V515" s="202">
        <f t="shared" ca="1" si="33"/>
        <v>-0.19999999999999996</v>
      </c>
      <c r="W515" s="493"/>
      <c r="X515" s="2026">
        <f t="shared" ca="1" si="33"/>
        <v>0.8</v>
      </c>
      <c r="Y515" s="511"/>
      <c r="Z515" s="202">
        <f t="shared" ca="1" si="33"/>
        <v>0.30000000000000004</v>
      </c>
      <c r="AA515" s="511"/>
      <c r="AB515" s="2026">
        <f t="shared" ca="1" si="33"/>
        <v>0.70000000000000007</v>
      </c>
      <c r="AC515" s="512"/>
      <c r="AD515" s="513"/>
      <c r="AE515" s="45"/>
      <c r="AF515" s="45"/>
      <c r="AG515" s="45"/>
      <c r="AH515" s="45"/>
      <c r="AI515" s="45"/>
      <c r="AJ515" s="190"/>
      <c r="AK515" s="495" t="s">
        <v>1250</v>
      </c>
      <c r="AL515" s="513"/>
      <c r="AM515" s="2040">
        <f>100*(SUM((Transfer!AD143-Transfer!AD145),(Transfer!AD144-Transfer!AD146),Transfer!AD240,Transfer!AD241))/Transfer!AD147</f>
        <v>-0.50742804876324288</v>
      </c>
      <c r="AN515" s="1755"/>
      <c r="AO515" s="2040">
        <f>100*(SUM((Transfer!AE143-Transfer!AE145),(Transfer!AE144-Transfer!AE146),Transfer!AE240,Transfer!AE241))/Transfer!AE147</f>
        <v>-0.47384617663704998</v>
      </c>
      <c r="AP515" s="1755"/>
      <c r="AQ515" s="2040">
        <f>100*(SUM((Transfer!AF143-Transfer!AF145),(Transfer!AF144-Transfer!AF146),Transfer!AF240,Transfer!AF241))/Transfer!AF147</f>
        <v>-0.76433482927180596</v>
      </c>
      <c r="AR515" s="1755"/>
      <c r="AS515" s="2040">
        <f>100*(SUM((Transfer!AG143-Transfer!AG145),(Transfer!AG144-Transfer!AG146),Transfer!AG240,Transfer!AG241))/Transfer!AG147</f>
        <v>-1.2902157562081933</v>
      </c>
      <c r="AT515" s="2041"/>
      <c r="AU515" s="513"/>
      <c r="AV515" s="54"/>
      <c r="AW515" s="54"/>
      <c r="AX515" s="54"/>
      <c r="AY515" s="54"/>
      <c r="AZ515" s="54"/>
      <c r="BA515" s="1988" t="s">
        <v>1286</v>
      </c>
      <c r="BB515" s="54"/>
      <c r="BC515" s="54"/>
    </row>
    <row r="516" spans="1:55">
      <c r="A516" s="45"/>
      <c r="B516" s="1665"/>
      <c r="C516" s="2384" t="s">
        <v>1251</v>
      </c>
      <c r="D516" s="2495"/>
      <c r="E516" s="2811">
        <f ca="1">Transfer!D242</f>
        <v>0.56872</v>
      </c>
      <c r="F516" s="2812"/>
      <c r="G516" s="3189">
        <f ca="1">Transfer!E242</f>
        <v>0.42262839999999996</v>
      </c>
      <c r="H516" s="2782"/>
      <c r="I516" s="2811">
        <f ca="1">Transfer!F242</f>
        <v>0.51935231400000004</v>
      </c>
      <c r="J516" s="2782"/>
      <c r="K516" s="2811">
        <f ca="1">Transfer!G242</f>
        <v>0.50018883386000002</v>
      </c>
      <c r="L516" s="2783"/>
      <c r="M516" s="2452"/>
      <c r="N516" s="54"/>
      <c r="O516" s="54"/>
      <c r="P516" s="54"/>
      <c r="Q516" s="54"/>
      <c r="R516" s="54"/>
      <c r="S516" s="190"/>
      <c r="T516" s="148" t="s">
        <v>1251</v>
      </c>
      <c r="U516" s="1676"/>
      <c r="V516" s="195">
        <f t="shared" ca="1" si="33"/>
        <v>-2</v>
      </c>
      <c r="W516" s="514"/>
      <c r="X516" s="195">
        <f t="shared" ca="1" si="33"/>
        <v>-2.4</v>
      </c>
      <c r="Y516" s="491"/>
      <c r="Z516" s="195">
        <f t="shared" ca="1" si="33"/>
        <v>-2.4</v>
      </c>
      <c r="AA516" s="491"/>
      <c r="AB516" s="195">
        <f t="shared" ca="1" si="33"/>
        <v>-2.4</v>
      </c>
      <c r="AC516" s="492"/>
      <c r="AD516" s="196"/>
      <c r="AE516" s="45"/>
      <c r="AF516" s="45"/>
      <c r="AG516" s="45"/>
      <c r="AH516" s="45"/>
      <c r="AI516" s="45"/>
      <c r="AJ516" s="190"/>
      <c r="AK516" s="148" t="s">
        <v>1251</v>
      </c>
      <c r="AL516" s="1676"/>
      <c r="AM516" s="2052">
        <f>Transfer!AD242</f>
        <v>2.60541</v>
      </c>
      <c r="AN516" s="1764"/>
      <c r="AO516" s="2052">
        <f>Transfer!AE242</f>
        <v>2.7931636999999996</v>
      </c>
      <c r="AP516" s="1764"/>
      <c r="AQ516" s="2052">
        <f>Transfer!AF242</f>
        <v>2.8559580790000001</v>
      </c>
      <c r="AR516" s="1764"/>
      <c r="AS516" s="2052">
        <f>Transfer!AG242</f>
        <v>2.9189464403299996</v>
      </c>
      <c r="AT516" s="1771"/>
      <c r="AU516" s="196"/>
      <c r="AV516" s="54"/>
      <c r="AW516" s="54"/>
      <c r="AX516" s="54"/>
      <c r="AY516" s="54"/>
      <c r="AZ516" s="54"/>
      <c r="BA516" s="1988" t="s">
        <v>1131</v>
      </c>
      <c r="BB516" s="54"/>
      <c r="BC516" s="54"/>
    </row>
    <row r="517" spans="1:55">
      <c r="A517" s="45"/>
      <c r="B517" s="1665"/>
      <c r="C517" s="2663" t="s">
        <v>631</v>
      </c>
      <c r="D517" s="2460"/>
      <c r="E517" s="2785">
        <f ca="1">SUM((Transfer!D143-Transfer!D145),(Transfer!D144-Transfer!D146),Transfer!D240,Transfer!D241,Transfer!D242)</f>
        <v>0.31370000000000187</v>
      </c>
      <c r="F517" s="2786"/>
      <c r="G517" s="2785">
        <f ca="1">SUM((Transfer!E143-Transfer!E145),(Transfer!E144-Transfer!E146),Transfer!E240,Transfer!E241,Transfer!E242)</f>
        <v>0.56568680800000126</v>
      </c>
      <c r="H517" s="2809"/>
      <c r="I517" s="2785">
        <f ca="1">SUM((Transfer!F143-Transfer!F145),(Transfer!F144-Transfer!F146),Transfer!F240,Transfer!F241,Transfer!F242)</f>
        <v>0.32033206200000319</v>
      </c>
      <c r="J517" s="2809"/>
      <c r="K517" s="2785">
        <f ca="1">SUM((Transfer!G143-Transfer!G145),(Transfer!G144-Transfer!G146),Transfer!G240,Transfer!G241,Transfer!G242)</f>
        <v>0.23766613259461611</v>
      </c>
      <c r="L517" s="2629"/>
      <c r="M517" s="2460"/>
      <c r="N517" s="54"/>
      <c r="O517" s="54"/>
      <c r="P517" s="54"/>
      <c r="Q517" s="54"/>
      <c r="R517" s="54"/>
      <c r="S517" s="190"/>
      <c r="T517" s="398" t="s">
        <v>631</v>
      </c>
      <c r="U517" s="203"/>
      <c r="V517" s="2026">
        <f t="shared" ca="1" si="33"/>
        <v>-1.7</v>
      </c>
      <c r="W517" s="493"/>
      <c r="X517" s="2026">
        <f t="shared" ca="1" si="33"/>
        <v>-1.6</v>
      </c>
      <c r="Y517" s="511"/>
      <c r="Z517" s="2026">
        <f t="shared" ca="1" si="33"/>
        <v>-1.5999999999999999</v>
      </c>
      <c r="AA517" s="511"/>
      <c r="AB517" s="2026">
        <f t="shared" ca="1" si="33"/>
        <v>-1</v>
      </c>
      <c r="AC517" s="354"/>
      <c r="AD517" s="203"/>
      <c r="AE517" s="45"/>
      <c r="AF517" s="45"/>
      <c r="AG517" s="45"/>
      <c r="AH517" s="45"/>
      <c r="AI517" s="45"/>
      <c r="AJ517" s="190"/>
      <c r="AK517" s="398" t="s">
        <v>631</v>
      </c>
      <c r="AL517" s="203"/>
      <c r="AM517" s="2040">
        <f>SUM((Transfer!AD143-Transfer!AD145),(Transfer!AD144-Transfer!AD146),Transfer!AD240,Transfer!AD241,Transfer!AD242)</f>
        <v>2.0282882310232719</v>
      </c>
      <c r="AN517" s="1755"/>
      <c r="AO517" s="2040">
        <f>SUM((Transfer!AE143-Transfer!AE145),(Transfer!AE144-Transfer!AE146),Transfer!AE240,Transfer!AE241,Transfer!AE242)</f>
        <v>2.2243598776056084</v>
      </c>
      <c r="AP517" s="1755"/>
      <c r="AQ517" s="2040">
        <f>SUM((Transfer!AF143-Transfer!AF145),(Transfer!AF144-Transfer!AF146),Transfer!AF240,Transfer!AF241,Transfer!AF242)</f>
        <v>1.881955484889132</v>
      </c>
      <c r="AR517" s="1755"/>
      <c r="AS517" s="2040">
        <f>SUM((Transfer!AG143-Transfer!AG145),(Transfer!AG144-Transfer!AG146),Transfer!AG240,Transfer!AG241,Transfer!AG242)</f>
        <v>1.162964723781172</v>
      </c>
      <c r="AT517" s="1770"/>
      <c r="AU517" s="203"/>
      <c r="AV517" s="54"/>
      <c r="AW517" s="54"/>
      <c r="AX517" s="54"/>
      <c r="AY517" s="54"/>
      <c r="AZ517" s="54"/>
      <c r="BA517" s="1988" t="s">
        <v>1132</v>
      </c>
      <c r="BB517" s="54"/>
      <c r="BC517" s="54"/>
    </row>
    <row r="518" spans="1:55" ht="13.5" thickBot="1">
      <c r="A518" s="45"/>
      <c r="B518" s="1665"/>
      <c r="C518" s="2715" t="s">
        <v>1133</v>
      </c>
      <c r="D518" s="2716"/>
      <c r="E518" s="2813">
        <f ca="1">100*(SUM((Transfer!D143-Transfer!D145),(Transfer!D144-Transfer!D146),Transfer!D240,Transfer!D241,Transfer!D242)/Transfer!D147)</f>
        <v>0.81125841515742558</v>
      </c>
      <c r="F518" s="2717"/>
      <c r="G518" s="2813">
        <f ca="1">100*(SUM((Transfer!E143-Transfer!E145),(Transfer!E144-Transfer!E146),Transfer!E240,Transfer!E241,Transfer!E242)/Transfer!E147)</f>
        <v>1.3539786813560728</v>
      </c>
      <c r="H518" s="2717"/>
      <c r="I518" s="2813">
        <f ca="1">100*(SUM((Transfer!F143-Transfer!F145),(Transfer!F144-Transfer!F146),Transfer!F240,Transfer!F241,Transfer!F242)/Transfer!F147)</f>
        <v>0.72454370196518192</v>
      </c>
      <c r="J518" s="2717"/>
      <c r="K518" s="2813">
        <f ca="1">100*(SUM((Transfer!G143-Transfer!G145),(Transfer!G144-Transfer!G146),Transfer!G240,Transfer!G241,Transfer!G242)/Transfer!G147)</f>
        <v>0.50918000724958656</v>
      </c>
      <c r="L518" s="2814"/>
      <c r="M518" s="2712"/>
      <c r="N518" s="54"/>
      <c r="O518" s="54"/>
      <c r="P518" s="54"/>
      <c r="Q518" s="54"/>
      <c r="R518" s="54"/>
      <c r="S518" s="190"/>
      <c r="T518" s="515" t="s">
        <v>1133</v>
      </c>
      <c r="U518" s="1742"/>
      <c r="V518" s="371">
        <f t="shared" ca="1" si="33"/>
        <v>-1</v>
      </c>
      <c r="W518" s="516"/>
      <c r="X518" s="371">
        <f t="shared" ca="1" si="33"/>
        <v>-0.5</v>
      </c>
      <c r="Y518" s="516"/>
      <c r="Z518" s="371">
        <f t="shared" ca="1" si="33"/>
        <v>-0.8</v>
      </c>
      <c r="AA518" s="516"/>
      <c r="AB518" s="371">
        <f t="shared" ca="1" si="33"/>
        <v>-0.4</v>
      </c>
      <c r="AC518" s="517"/>
      <c r="AD518" s="513"/>
      <c r="AE518" s="45"/>
      <c r="AF518" s="45"/>
      <c r="AG518" s="45"/>
      <c r="AH518" s="45"/>
      <c r="AI518" s="45"/>
      <c r="AJ518" s="190"/>
      <c r="AK518" s="515" t="s">
        <v>1133</v>
      </c>
      <c r="AL518" s="1742"/>
      <c r="AM518" s="2053">
        <f>100*(SUM((Transfer!AD143-Transfer!AD145),(Transfer!AD144-Transfer!AD146),Transfer!AD240,Transfer!AD241,Transfer!AD242)/Transfer!AD147)</f>
        <v>1.7833504031955698</v>
      </c>
      <c r="AN518" s="2054"/>
      <c r="AO518" s="2053">
        <f>100*(SUM((Transfer!AE143-Transfer!AE145),(Transfer!AE144-Transfer!AE146),Transfer!AE240,Transfer!AE241,Transfer!AE242)/Transfer!AE147)</f>
        <v>1.8530192343494123</v>
      </c>
      <c r="AP518" s="2054"/>
      <c r="AQ518" s="2053">
        <f>100*(SUM((Transfer!AF143-Transfer!AF145),(Transfer!AF144-Transfer!AF146),Transfer!AF240,Transfer!AF241,Transfer!AF242)/Transfer!AF147)</f>
        <v>1.4768380833245907</v>
      </c>
      <c r="AR518" s="2054"/>
      <c r="AS518" s="2053">
        <f>100*(SUM((Transfer!AG143-Transfer!AG145),(Transfer!AG144-Transfer!AG146),Transfer!AG240,Transfer!AG241,Transfer!AG242)/Transfer!AG147)</f>
        <v>0.85449375491550239</v>
      </c>
      <c r="AT518" s="2055"/>
      <c r="AU518" s="513"/>
      <c r="AV518" s="54"/>
      <c r="AW518" s="54"/>
      <c r="AX518" s="54"/>
      <c r="AY518" s="54"/>
      <c r="AZ518" s="54"/>
      <c r="BA518" s="2003" t="s">
        <v>1285</v>
      </c>
      <c r="BB518" s="54"/>
      <c r="BC518" s="54"/>
    </row>
    <row r="519" spans="1:55">
      <c r="A519" s="45"/>
      <c r="B519" s="1701"/>
      <c r="C519" s="2477"/>
      <c r="D519" s="2477"/>
      <c r="E519" s="2477"/>
      <c r="F519" s="2477"/>
      <c r="G519" s="2477"/>
      <c r="H519" s="2477"/>
      <c r="I519" s="2477"/>
      <c r="J519" s="2477"/>
      <c r="K519" s="2477"/>
      <c r="L519" s="2400" t="str">
        <f>UPPER(Country)</f>
        <v>LITHUANIA</v>
      </c>
      <c r="M519" s="2478"/>
      <c r="N519" s="54"/>
      <c r="O519" s="54"/>
      <c r="P519" s="54"/>
      <c r="Q519" s="54"/>
      <c r="R519" s="54"/>
      <c r="S519" s="215"/>
      <c r="T519" s="113"/>
      <c r="U519" s="113"/>
      <c r="V519" s="113"/>
      <c r="W519" s="113"/>
      <c r="X519" s="113"/>
      <c r="Y519" s="113"/>
      <c r="Z519" s="113"/>
      <c r="AA519" s="113"/>
      <c r="AB519" s="113"/>
      <c r="AC519" s="118" t="str">
        <f>UPPER(Country)</f>
        <v>LITHUANIA</v>
      </c>
      <c r="AD519" s="216"/>
      <c r="AE519" s="45"/>
      <c r="AF519" s="45"/>
      <c r="AG519" s="45"/>
      <c r="AH519" s="45"/>
      <c r="AI519" s="45"/>
      <c r="AJ519" s="215"/>
      <c r="AK519" s="113"/>
      <c r="AL519" s="113"/>
      <c r="AM519" s="113"/>
      <c r="AN519" s="113"/>
      <c r="AO519" s="113"/>
      <c r="AP519" s="113"/>
      <c r="AQ519" s="113"/>
      <c r="AR519" s="113"/>
      <c r="AS519" s="113"/>
      <c r="AT519" s="118" t="str">
        <f>UPPER(Country)</f>
        <v>LITHUANIA</v>
      </c>
      <c r="AU519" s="216"/>
      <c r="AV519" s="54"/>
      <c r="AW519" s="54"/>
      <c r="AX519" s="54"/>
      <c r="AY519" s="54"/>
      <c r="AZ519" s="54"/>
      <c r="BA519" s="54"/>
      <c r="BB519" s="54"/>
      <c r="BC519" s="54"/>
    </row>
    <row r="520" spans="1:55">
      <c r="A520" s="45"/>
      <c r="B520" s="45"/>
      <c r="C520" s="45"/>
      <c r="D520" s="45"/>
      <c r="E520" s="45"/>
      <c r="F520" s="45"/>
      <c r="G520" s="45"/>
      <c r="H520" s="45"/>
      <c r="I520" s="45"/>
      <c r="J520" s="45"/>
      <c r="K520" s="45"/>
      <c r="L520" s="45"/>
      <c r="M520" s="45"/>
      <c r="N520" s="54"/>
      <c r="O520" s="54"/>
      <c r="P520" s="54"/>
      <c r="Q520" s="54"/>
      <c r="R520" s="54"/>
      <c r="S520" s="54"/>
      <c r="T520" s="54"/>
      <c r="U520" s="54"/>
      <c r="V520" s="54"/>
      <c r="W520" s="54"/>
      <c r="X520" s="54"/>
      <c r="Y520" s="54"/>
      <c r="Z520" s="54"/>
      <c r="AA520" s="54"/>
      <c r="AB520" s="45"/>
      <c r="AC520" s="45"/>
      <c r="AD520" s="45"/>
      <c r="AE520" s="45"/>
      <c r="AF520" s="45"/>
      <c r="AG520" s="45"/>
      <c r="AH520" s="45"/>
      <c r="AI520" s="45"/>
      <c r="AJ520" s="45"/>
      <c r="AK520" s="45"/>
      <c r="AL520" s="45"/>
      <c r="AM520" s="45"/>
      <c r="AN520" s="45"/>
      <c r="AO520" s="45"/>
      <c r="AP520" s="45"/>
      <c r="AQ520" s="45"/>
      <c r="AR520" s="45"/>
      <c r="AS520" s="45"/>
      <c r="AT520" s="45"/>
      <c r="AU520" s="45"/>
      <c r="AV520" s="54"/>
      <c r="AW520" s="54"/>
      <c r="AX520" s="54"/>
      <c r="AY520" s="54"/>
      <c r="AZ520" s="54"/>
      <c r="BA520" s="54"/>
      <c r="BB520" s="54"/>
      <c r="BC520" s="54"/>
    </row>
    <row r="521" spans="1:55">
      <c r="A521" s="45"/>
      <c r="B521" s="45"/>
      <c r="C521" s="45"/>
      <c r="D521" s="45"/>
      <c r="E521" s="45"/>
      <c r="F521" s="45"/>
      <c r="G521" s="45"/>
      <c r="H521" s="45"/>
      <c r="I521" s="45"/>
      <c r="J521" s="45"/>
      <c r="K521" s="45"/>
      <c r="L521" s="45"/>
      <c r="M521" s="45"/>
      <c r="N521" s="54"/>
      <c r="O521" s="54"/>
      <c r="P521" s="54"/>
      <c r="Q521" s="54"/>
      <c r="R521" s="54"/>
      <c r="S521" s="54"/>
      <c r="T521" s="54"/>
      <c r="U521" s="54"/>
      <c r="V521" s="54"/>
      <c r="W521" s="54"/>
      <c r="X521" s="54"/>
      <c r="Y521" s="54"/>
      <c r="Z521" s="54"/>
      <c r="AA521" s="54"/>
      <c r="AB521" s="45"/>
      <c r="AC521" s="45"/>
      <c r="AD521" s="45"/>
      <c r="AE521" s="45"/>
      <c r="AF521" s="45"/>
      <c r="AG521" s="45"/>
      <c r="AH521" s="45"/>
      <c r="AI521" s="45"/>
      <c r="AJ521" s="45"/>
      <c r="AK521" s="45"/>
      <c r="AL521" s="45"/>
      <c r="AM521" s="45"/>
      <c r="AN521" s="45"/>
      <c r="AO521" s="45"/>
      <c r="AP521" s="45"/>
      <c r="AQ521" s="45"/>
      <c r="AR521" s="45"/>
      <c r="AS521" s="45"/>
      <c r="AT521" s="45"/>
      <c r="AU521" s="45"/>
      <c r="AV521" s="54"/>
      <c r="AW521" s="54"/>
      <c r="AX521" s="54"/>
      <c r="AY521" s="54"/>
      <c r="AZ521" s="54"/>
      <c r="BA521" s="54"/>
      <c r="BB521" s="54"/>
      <c r="BC521" s="54"/>
    </row>
    <row r="522" spans="1:55">
      <c r="A522" s="45"/>
      <c r="B522" s="45"/>
      <c r="C522" s="45"/>
      <c r="D522" s="45"/>
      <c r="E522" s="45"/>
      <c r="F522" s="45"/>
      <c r="G522" s="45"/>
      <c r="H522" s="45"/>
      <c r="I522" s="45"/>
      <c r="J522" s="45"/>
      <c r="K522" s="45"/>
      <c r="L522" s="45"/>
      <c r="M522" s="45"/>
      <c r="N522" s="54"/>
      <c r="O522" s="54"/>
      <c r="P522" s="54"/>
      <c r="Q522" s="54"/>
      <c r="R522" s="54"/>
      <c r="S522" s="54"/>
      <c r="T522" s="54"/>
      <c r="U522" s="54"/>
      <c r="V522" s="54"/>
      <c r="W522" s="54"/>
      <c r="X522" s="54"/>
      <c r="Y522" s="54"/>
      <c r="Z522" s="54"/>
      <c r="AA522" s="54"/>
      <c r="AB522" s="45"/>
      <c r="AC522" s="45"/>
      <c r="AD522" s="45"/>
      <c r="AE522" s="45"/>
      <c r="AF522" s="45"/>
      <c r="AG522" s="45"/>
      <c r="AH522" s="45"/>
      <c r="AI522" s="45"/>
      <c r="AJ522" s="45"/>
      <c r="AK522" s="45"/>
      <c r="AL522" s="45"/>
      <c r="AM522" s="45"/>
      <c r="AN522" s="45"/>
      <c r="AO522" s="45"/>
      <c r="AP522" s="45"/>
      <c r="AQ522" s="45"/>
      <c r="AR522" s="45"/>
      <c r="AS522" s="45"/>
      <c r="AT522" s="45"/>
      <c r="AU522" s="45"/>
      <c r="AV522" s="54"/>
      <c r="AW522" s="54"/>
      <c r="AX522" s="54"/>
      <c r="AY522" s="54"/>
      <c r="AZ522" s="54"/>
      <c r="BA522" s="54"/>
      <c r="BB522" s="54"/>
      <c r="BC522" s="54"/>
    </row>
    <row r="523" spans="1:55">
      <c r="A523" s="45"/>
      <c r="B523" s="54"/>
      <c r="C523" s="54"/>
      <c r="D523" s="54"/>
      <c r="E523" s="54"/>
      <c r="F523" s="54"/>
      <c r="G523" s="54"/>
      <c r="H523" s="54"/>
      <c r="I523" s="54"/>
      <c r="J523" s="54"/>
      <c r="K523" s="54"/>
      <c r="L523" s="54"/>
      <c r="M523" s="54"/>
      <c r="N523" s="54"/>
      <c r="O523" s="54"/>
      <c r="P523" s="54"/>
      <c r="Q523" s="54"/>
      <c r="R523" s="54"/>
      <c r="S523" s="54"/>
      <c r="T523" s="54"/>
      <c r="U523" s="54"/>
      <c r="V523" s="54"/>
      <c r="W523" s="54"/>
      <c r="X523" s="54"/>
      <c r="Y523" s="54"/>
      <c r="Z523" s="54"/>
      <c r="AA523" s="54"/>
      <c r="AB523" s="45"/>
      <c r="AC523" s="45"/>
      <c r="AD523" s="45"/>
      <c r="AE523" s="45"/>
      <c r="AF523" s="45"/>
      <c r="AG523" s="45"/>
      <c r="AH523" s="45"/>
      <c r="AI523" s="45"/>
      <c r="AJ523" s="54"/>
      <c r="AK523" s="54"/>
      <c r="AL523" s="54"/>
      <c r="AM523" s="54"/>
      <c r="AN523" s="54"/>
      <c r="AO523" s="54"/>
      <c r="AP523" s="54"/>
      <c r="AQ523" s="54"/>
      <c r="AR523" s="54"/>
      <c r="AS523" s="54"/>
      <c r="AT523" s="54"/>
      <c r="AU523" s="54"/>
      <c r="AV523" s="54"/>
      <c r="AW523" s="54"/>
      <c r="AX523" s="54"/>
      <c r="AY523" s="54"/>
      <c r="AZ523" s="54"/>
      <c r="BA523" s="54"/>
      <c r="BB523" s="54"/>
      <c r="BC523" s="54"/>
    </row>
    <row r="524" spans="1:55">
      <c r="A524" s="45"/>
      <c r="B524" s="54"/>
      <c r="C524" s="54"/>
      <c r="D524" s="54"/>
      <c r="E524" s="54"/>
      <c r="F524" s="54"/>
      <c r="G524" s="54"/>
      <c r="H524" s="54"/>
      <c r="I524" s="54"/>
      <c r="J524" s="54"/>
      <c r="K524" s="54"/>
      <c r="L524" s="54"/>
      <c r="M524" s="54"/>
      <c r="N524" s="54"/>
      <c r="O524" s="54"/>
      <c r="P524" s="54"/>
      <c r="Q524" s="54"/>
      <c r="R524" s="54"/>
      <c r="S524" s="54"/>
      <c r="T524" s="54"/>
      <c r="U524" s="54"/>
      <c r="V524" s="54"/>
      <c r="W524" s="54"/>
      <c r="X524" s="54"/>
      <c r="Y524" s="54"/>
      <c r="Z524" s="54"/>
      <c r="AA524" s="54"/>
      <c r="AB524" s="45"/>
      <c r="AC524" s="45"/>
      <c r="AD524" s="45"/>
      <c r="AE524" s="45"/>
      <c r="AF524" s="45"/>
      <c r="AG524" s="45"/>
      <c r="AH524" s="45"/>
      <c r="AI524" s="45"/>
      <c r="AJ524" s="54"/>
      <c r="AK524" s="54"/>
      <c r="AL524" s="54"/>
      <c r="AM524" s="54"/>
      <c r="AN524" s="54"/>
      <c r="AO524" s="54"/>
      <c r="AP524" s="54"/>
      <c r="AQ524" s="54"/>
      <c r="AR524" s="54"/>
      <c r="AS524" s="54"/>
      <c r="AT524" s="54"/>
      <c r="AU524" s="54"/>
      <c r="AV524" s="54"/>
      <c r="AW524" s="54"/>
      <c r="AX524" s="54"/>
      <c r="AY524" s="54"/>
      <c r="AZ524" s="54"/>
      <c r="BA524" s="54"/>
      <c r="BB524" s="54"/>
      <c r="BC524" s="54"/>
    </row>
    <row r="525" spans="1:55">
      <c r="A525" s="45"/>
      <c r="B525" s="54"/>
      <c r="C525" s="54"/>
      <c r="D525" s="54"/>
      <c r="E525" s="54"/>
      <c r="F525" s="54"/>
      <c r="G525" s="54"/>
      <c r="H525" s="54"/>
      <c r="I525" s="54"/>
      <c r="J525" s="54"/>
      <c r="K525" s="54"/>
      <c r="L525" s="54"/>
      <c r="M525" s="54"/>
      <c r="N525" s="54"/>
      <c r="O525" s="54"/>
      <c r="P525" s="54"/>
      <c r="Q525" s="54"/>
      <c r="R525" s="54"/>
      <c r="S525" s="54"/>
      <c r="T525" s="54"/>
      <c r="U525" s="54"/>
      <c r="V525" s="54"/>
      <c r="W525" s="54"/>
      <c r="X525" s="54"/>
      <c r="Y525" s="54"/>
      <c r="Z525" s="54"/>
      <c r="AA525" s="54"/>
      <c r="AB525" s="45"/>
      <c r="AC525" s="45"/>
      <c r="AD525" s="45"/>
      <c r="AE525" s="45"/>
      <c r="AF525" s="45"/>
      <c r="AG525" s="45"/>
      <c r="AH525" s="45"/>
      <c r="AI525" s="45"/>
      <c r="AJ525" s="54"/>
      <c r="AK525" s="54"/>
      <c r="AL525" s="54"/>
      <c r="AM525" s="54"/>
      <c r="AN525" s="54"/>
      <c r="AO525" s="54"/>
      <c r="AP525" s="54"/>
      <c r="AQ525" s="54"/>
      <c r="AR525" s="54"/>
      <c r="AS525" s="54"/>
      <c r="AT525" s="54"/>
      <c r="AU525" s="54"/>
      <c r="AV525" s="54"/>
      <c r="AW525" s="54"/>
      <c r="AX525" s="54"/>
      <c r="AY525" s="54"/>
      <c r="AZ525" s="54"/>
      <c r="BA525" s="54"/>
      <c r="BB525" s="54"/>
      <c r="BC525" s="54"/>
    </row>
    <row r="526" spans="1:55">
      <c r="A526" s="45"/>
      <c r="B526" s="54"/>
      <c r="C526" s="54"/>
      <c r="D526" s="54"/>
      <c r="E526" s="54"/>
      <c r="F526" s="54"/>
      <c r="G526" s="54"/>
      <c r="H526" s="54"/>
      <c r="I526" s="54"/>
      <c r="J526" s="54"/>
      <c r="K526" s="54"/>
      <c r="L526" s="54"/>
      <c r="M526" s="54"/>
      <c r="N526" s="54"/>
      <c r="O526" s="54"/>
      <c r="P526" s="54"/>
      <c r="Q526" s="54"/>
      <c r="R526" s="54"/>
      <c r="S526" s="54"/>
      <c r="T526" s="54"/>
      <c r="U526" s="54"/>
      <c r="V526" s="54"/>
      <c r="W526" s="54"/>
      <c r="X526" s="54"/>
      <c r="Y526" s="54"/>
      <c r="Z526" s="54"/>
      <c r="AA526" s="54"/>
      <c r="AB526" s="45"/>
      <c r="AC526" s="45"/>
      <c r="AD526" s="45"/>
      <c r="AE526" s="45"/>
      <c r="AF526" s="45"/>
      <c r="AG526" s="45"/>
      <c r="AH526" s="45"/>
      <c r="AI526" s="45"/>
      <c r="AJ526" s="54"/>
      <c r="AK526" s="54"/>
      <c r="AL526" s="54"/>
      <c r="AM526" s="54"/>
      <c r="AN526" s="54"/>
      <c r="AO526" s="54"/>
      <c r="AP526" s="54"/>
      <c r="AQ526" s="54"/>
      <c r="AR526" s="54"/>
      <c r="AS526" s="54"/>
      <c r="AT526" s="54"/>
      <c r="AU526" s="54"/>
      <c r="AV526" s="54"/>
      <c r="AW526" s="54"/>
      <c r="AX526" s="54"/>
      <c r="AY526" s="54"/>
      <c r="AZ526" s="54"/>
      <c r="BA526" s="54"/>
      <c r="BB526" s="54"/>
      <c r="BC526" s="54"/>
    </row>
    <row r="527" spans="1:55">
      <c r="A527" s="45"/>
      <c r="B527" s="2341"/>
      <c r="C527" s="2601" t="s">
        <v>1134</v>
      </c>
      <c r="D527" s="2343"/>
      <c r="E527" s="2343"/>
      <c r="F527" s="2343"/>
      <c r="G527" s="2343"/>
      <c r="H527" s="2343"/>
      <c r="I527" s="2343"/>
      <c r="J527" s="2343"/>
      <c r="K527" s="2343"/>
      <c r="L527" s="2343"/>
      <c r="M527" s="2343"/>
      <c r="N527" s="2495"/>
      <c r="O527" s="54"/>
      <c r="P527" s="54"/>
      <c r="Q527" s="54"/>
      <c r="R527" s="54"/>
      <c r="S527" s="2341"/>
      <c r="T527" s="2601" t="s">
        <v>1134</v>
      </c>
      <c r="U527" s="2343"/>
      <c r="V527" s="2343"/>
      <c r="W527" s="2343"/>
      <c r="X527" s="2343"/>
      <c r="Y527" s="2343"/>
      <c r="Z527" s="2343"/>
      <c r="AA527" s="2343"/>
      <c r="AB527" s="2343"/>
      <c r="AC527" s="2343"/>
      <c r="AD527" s="2343"/>
      <c r="AE527" s="2495"/>
      <c r="AF527" s="45"/>
      <c r="AG527" s="45"/>
      <c r="AH527" s="45"/>
      <c r="AI527" s="45"/>
      <c r="AJ527" s="188"/>
      <c r="AK527" s="336" t="s">
        <v>1134</v>
      </c>
      <c r="AL527" s="100"/>
      <c r="AM527" s="100"/>
      <c r="AN527" s="100"/>
      <c r="AO527" s="100"/>
      <c r="AP527" s="100"/>
      <c r="AQ527" s="100"/>
      <c r="AR527" s="100"/>
      <c r="AS527" s="100"/>
      <c r="AT527" s="100"/>
      <c r="AU527" s="100"/>
      <c r="AV527" s="238"/>
      <c r="AW527" s="54"/>
      <c r="AX527" s="54"/>
      <c r="AY527" s="54"/>
      <c r="AZ527" s="54"/>
      <c r="BA527" s="54"/>
      <c r="BB527" s="54"/>
      <c r="BC527" s="54"/>
    </row>
    <row r="528" spans="1:55">
      <c r="A528" s="45"/>
      <c r="B528" s="1665"/>
      <c r="C528" s="3751" t="s">
        <v>627</v>
      </c>
      <c r="D528" s="3751"/>
      <c r="E528" s="3751"/>
      <c r="F528" s="3751"/>
      <c r="G528" s="3751"/>
      <c r="H528" s="3751"/>
      <c r="I528" s="3751"/>
      <c r="J528" s="3751"/>
      <c r="K528" s="3751"/>
      <c r="L528" s="3751"/>
      <c r="M528" s="3751"/>
      <c r="N528" s="2781"/>
      <c r="O528" s="54"/>
      <c r="P528" s="54"/>
      <c r="Q528" s="54"/>
      <c r="R528" s="54"/>
      <c r="S528" s="1665"/>
      <c r="T528" s="3751" t="s">
        <v>627</v>
      </c>
      <c r="U528" s="3751"/>
      <c r="V528" s="3751"/>
      <c r="W528" s="3751"/>
      <c r="X528" s="3751"/>
      <c r="Y528" s="3751"/>
      <c r="Z528" s="3751"/>
      <c r="AA528" s="3751"/>
      <c r="AB528" s="3751"/>
      <c r="AC528" s="3751"/>
      <c r="AD528" s="3751"/>
      <c r="AE528" s="2781"/>
      <c r="AF528" s="45"/>
      <c r="AG528" s="45"/>
      <c r="AH528" s="45"/>
      <c r="AI528" s="45"/>
      <c r="AJ528" s="190"/>
      <c r="AK528" s="3751" t="s">
        <v>627</v>
      </c>
      <c r="AL528" s="3751"/>
      <c r="AM528" s="3751"/>
      <c r="AN528" s="3751"/>
      <c r="AO528" s="3751"/>
      <c r="AP528" s="3751"/>
      <c r="AQ528" s="3751"/>
      <c r="AR528" s="3751"/>
      <c r="AS528" s="3751"/>
      <c r="AT528" s="3751"/>
      <c r="AU528" s="3751"/>
      <c r="AV528" s="490"/>
      <c r="AW528" s="54"/>
      <c r="AX528" s="54"/>
      <c r="AY528" s="54"/>
      <c r="AZ528" s="54"/>
      <c r="BA528" s="54"/>
      <c r="BB528" s="54"/>
      <c r="BC528" s="54"/>
    </row>
    <row r="529" spans="1:55" ht="15.75">
      <c r="A529" s="45"/>
      <c r="B529" s="1665"/>
      <c r="C529" s="2349"/>
      <c r="D529" s="2351"/>
      <c r="E529" s="2351"/>
      <c r="F529" s="2351"/>
      <c r="G529" s="2351"/>
      <c r="H529" s="2351"/>
      <c r="I529" s="2351"/>
      <c r="J529" s="2351"/>
      <c r="K529" s="2351"/>
      <c r="L529" s="2351"/>
      <c r="M529" s="2351"/>
      <c r="N529" s="2452"/>
      <c r="O529" s="54"/>
      <c r="P529" s="54"/>
      <c r="Q529" s="54"/>
      <c r="R529" s="54"/>
      <c r="S529" s="1665"/>
      <c r="T529" s="2349"/>
      <c r="U529" s="2351"/>
      <c r="V529" s="2351"/>
      <c r="W529" s="2006" t="s">
        <v>390</v>
      </c>
      <c r="X529" s="65"/>
      <c r="Y529" s="65"/>
      <c r="Z529" s="65"/>
      <c r="AA529" s="65"/>
      <c r="AB529" s="65"/>
      <c r="AC529" s="65"/>
      <c r="AD529" s="65"/>
      <c r="AE529" s="196"/>
      <c r="AF529" s="45"/>
      <c r="AG529" s="45"/>
      <c r="AH529" s="45"/>
      <c r="AI529" s="45"/>
      <c r="AJ529" s="190"/>
      <c r="AK529" s="63"/>
      <c r="AL529" s="65"/>
      <c r="AM529" s="65"/>
      <c r="AN529" s="65"/>
      <c r="AO529" s="65"/>
      <c r="AP529" s="65"/>
      <c r="AQ529" s="65"/>
      <c r="AR529" s="65"/>
      <c r="AS529" s="65"/>
      <c r="AT529" s="65"/>
      <c r="AU529" s="65"/>
      <c r="AV529" s="196"/>
      <c r="AW529" s="54"/>
      <c r="AX529" s="54"/>
      <c r="AY529" s="54"/>
      <c r="AZ529" s="54"/>
      <c r="BA529" s="54"/>
      <c r="BB529" s="54"/>
      <c r="BC529" s="54"/>
    </row>
    <row r="530" spans="1:55" ht="15.75">
      <c r="A530" s="45"/>
      <c r="B530" s="1665"/>
      <c r="C530" s="2349" t="str">
        <f>"Country: " &amp;UPPER(Country)</f>
        <v>Country: LITHUANIA</v>
      </c>
      <c r="D530" s="2351"/>
      <c r="E530" s="2703"/>
      <c r="F530" s="2703"/>
      <c r="G530" s="2703"/>
      <c r="H530" s="2703"/>
      <c r="I530" s="2703"/>
      <c r="J530" s="2703"/>
      <c r="K530" s="2703"/>
      <c r="L530" s="2703"/>
      <c r="M530" s="2703"/>
      <c r="N530" s="1664"/>
      <c r="O530" s="54"/>
      <c r="P530" s="54"/>
      <c r="Q530" s="54"/>
      <c r="R530" s="54"/>
      <c r="S530" s="190"/>
      <c r="T530" s="63" t="str">
        <f>"Country: " &amp;UPPER(Country)</f>
        <v>Country: LITHUANIA</v>
      </c>
      <c r="U530" s="65"/>
      <c r="W530" s="2006" t="str">
        <f>$T$4</f>
        <v>2nd storage</v>
      </c>
      <c r="Y530" s="28"/>
      <c r="AE530" s="90"/>
      <c r="AF530" s="45"/>
      <c r="AG530" s="45"/>
      <c r="AH530" s="45"/>
      <c r="AI530" s="45"/>
      <c r="AJ530" s="190"/>
      <c r="AK530" s="63" t="str">
        <f>"Country: " &amp;UPPER(Country)</f>
        <v>Country: LITHUANIA</v>
      </c>
      <c r="AL530" s="65"/>
      <c r="AP530" s="28"/>
      <c r="AV530" s="90"/>
      <c r="AW530" s="54"/>
      <c r="AX530" s="54"/>
      <c r="AY530" s="54"/>
      <c r="AZ530" s="54"/>
      <c r="BA530" s="54"/>
      <c r="BB530" s="54"/>
      <c r="BC530" s="54"/>
    </row>
    <row r="531" spans="1:55" ht="13.5" thickBot="1">
      <c r="A531" s="45"/>
      <c r="B531" s="1665"/>
      <c r="C531" s="2349" t="str">
        <f>"Currency unit: " &amp; Currency</f>
        <v>Currency unit: bn EUR</v>
      </c>
      <c r="D531" s="2703"/>
      <c r="E531" s="2351"/>
      <c r="F531" s="2351"/>
      <c r="G531" s="2351"/>
      <c r="H531" s="2351"/>
      <c r="I531" s="2351"/>
      <c r="J531" s="2351"/>
      <c r="K531" s="2351"/>
      <c r="L531" s="3751">
        <f ca="1">NOW()</f>
        <v>43392.47578483796</v>
      </c>
      <c r="M531" s="3751"/>
      <c r="N531" s="2602"/>
      <c r="O531" s="54"/>
      <c r="P531" s="54"/>
      <c r="Q531" s="54"/>
      <c r="R531" s="54"/>
      <c r="S531" s="190"/>
      <c r="T531" s="63" t="str">
        <f>"Currency unit: " &amp; Currency</f>
        <v>Currency unit: bn EUR</v>
      </c>
      <c r="V531" s="65"/>
      <c r="W531" s="65"/>
      <c r="X531" s="65"/>
      <c r="Y531" s="65"/>
      <c r="Z531" s="65"/>
      <c r="AA531" s="65"/>
      <c r="AB531" s="65"/>
      <c r="AC531" s="3751">
        <f ca="1">NOW()</f>
        <v>43392.47578483796</v>
      </c>
      <c r="AD531" s="3751"/>
      <c r="AE531" s="337"/>
      <c r="AF531" s="45"/>
      <c r="AG531" s="45"/>
      <c r="AH531" s="45"/>
      <c r="AI531" s="45"/>
      <c r="AJ531" s="190"/>
      <c r="AK531" s="63" t="str">
        <f>"Currency unit: " &amp; Currency</f>
        <v>Currency unit: bn EUR</v>
      </c>
      <c r="AM531" s="65"/>
      <c r="AN531" s="65"/>
      <c r="AO531" s="65"/>
      <c r="AP531" s="65"/>
      <c r="AQ531" s="65"/>
      <c r="AR531" s="65"/>
      <c r="AS531" s="65"/>
      <c r="AT531" s="3751">
        <f ca="1">NOW()</f>
        <v>43392.47578483796</v>
      </c>
      <c r="AU531" s="3751"/>
      <c r="AV531" s="337"/>
      <c r="AW531" s="54"/>
      <c r="AX531" s="54"/>
      <c r="AY531" s="54"/>
      <c r="AZ531" s="54"/>
      <c r="BA531" s="54"/>
      <c r="BB531" s="54"/>
      <c r="BC531" s="54"/>
    </row>
    <row r="532" spans="1:55">
      <c r="A532" s="45"/>
      <c r="B532" s="1665"/>
      <c r="C532" s="2357"/>
      <c r="D532" s="2358"/>
      <c r="E532" s="3751">
        <f>E16</f>
        <v>2016</v>
      </c>
      <c r="F532" s="3751"/>
      <c r="G532" s="3751"/>
      <c r="H532" s="3751">
        <f>E532+1</f>
        <v>2017</v>
      </c>
      <c r="I532" s="3751"/>
      <c r="J532" s="3751">
        <f>H532+1</f>
        <v>2018</v>
      </c>
      <c r="K532" s="3751"/>
      <c r="L532" s="3751">
        <f>J532+1</f>
        <v>2019</v>
      </c>
      <c r="M532" s="3751"/>
      <c r="N532" s="2605"/>
      <c r="O532" s="54"/>
      <c r="P532" s="54"/>
      <c r="Q532" s="54"/>
      <c r="R532" s="54"/>
      <c r="S532" s="190"/>
      <c r="T532" s="191"/>
      <c r="U532" s="73"/>
      <c r="V532" s="3751">
        <f>Last_forecast_year - 3</f>
        <v>2016</v>
      </c>
      <c r="W532" s="3751"/>
      <c r="X532" s="3751"/>
      <c r="Y532" s="3751">
        <f>V532+1</f>
        <v>2017</v>
      </c>
      <c r="Z532" s="3751"/>
      <c r="AA532" s="3751">
        <f>Y532+1</f>
        <v>2018</v>
      </c>
      <c r="AB532" s="3751"/>
      <c r="AC532" s="3751">
        <f>AA532+1</f>
        <v>2019</v>
      </c>
      <c r="AD532" s="3751"/>
      <c r="AE532" s="339"/>
      <c r="AF532" s="45"/>
      <c r="AG532" s="45"/>
      <c r="AH532" s="45"/>
      <c r="AI532" s="45"/>
      <c r="AJ532" s="190"/>
      <c r="AK532" s="191"/>
      <c r="AL532" s="73"/>
      <c r="AM532" s="3751">
        <f>Last_forecast_year - 3</f>
        <v>2016</v>
      </c>
      <c r="AN532" s="3751"/>
      <c r="AO532" s="3751"/>
      <c r="AP532" s="3751">
        <f>AM532+1</f>
        <v>2017</v>
      </c>
      <c r="AQ532" s="3751"/>
      <c r="AR532" s="3751">
        <f>AP532+1</f>
        <v>2018</v>
      </c>
      <c r="AS532" s="3751"/>
      <c r="AT532" s="3751">
        <f>AR532+1</f>
        <v>2019</v>
      </c>
      <c r="AU532" s="3751"/>
      <c r="AV532" s="339"/>
      <c r="AW532" s="54"/>
      <c r="AX532" s="54"/>
      <c r="AY532" s="54"/>
      <c r="AZ532" s="54"/>
      <c r="BA532" s="54"/>
      <c r="BB532" s="54"/>
      <c r="BC532" s="54"/>
    </row>
    <row r="533" spans="1:55">
      <c r="A533" s="45"/>
      <c r="B533" s="1665"/>
      <c r="C533" s="1666"/>
      <c r="D533" s="2351"/>
      <c r="E533" s="2815" t="s">
        <v>628</v>
      </c>
      <c r="F533" s="2767" t="s">
        <v>298</v>
      </c>
      <c r="G533" s="2661" t="s">
        <v>1170</v>
      </c>
      <c r="H533" s="2767" t="s">
        <v>298</v>
      </c>
      <c r="I533" s="2816" t="s">
        <v>1170</v>
      </c>
      <c r="J533" s="2817" t="s">
        <v>298</v>
      </c>
      <c r="K533" s="2661" t="s">
        <v>1170</v>
      </c>
      <c r="L533" s="2767" t="s">
        <v>298</v>
      </c>
      <c r="M533" s="2818" t="s">
        <v>1170</v>
      </c>
      <c r="N533" s="2819"/>
      <c r="O533" s="54"/>
      <c r="P533" s="54"/>
      <c r="Q533" s="54"/>
      <c r="R533" s="54"/>
      <c r="S533" s="190"/>
      <c r="T533" s="40"/>
      <c r="U533" s="65"/>
      <c r="V533" s="1765" t="s">
        <v>628</v>
      </c>
      <c r="W533" s="1751" t="s">
        <v>298</v>
      </c>
      <c r="X533" s="1753" t="s">
        <v>1170</v>
      </c>
      <c r="Y533" s="1751" t="s">
        <v>298</v>
      </c>
      <c r="Z533" s="1750" t="s">
        <v>1170</v>
      </c>
      <c r="AA533" s="1752" t="s">
        <v>298</v>
      </c>
      <c r="AB533" s="1753" t="s">
        <v>1170</v>
      </c>
      <c r="AC533" s="1751" t="s">
        <v>298</v>
      </c>
      <c r="AD533" s="2029" t="s">
        <v>1170</v>
      </c>
      <c r="AE533" s="2030"/>
      <c r="AF533" s="45"/>
      <c r="AG533" s="45"/>
      <c r="AH533" s="45"/>
      <c r="AI533" s="45"/>
      <c r="AJ533" s="190"/>
      <c r="AK533" s="40"/>
      <c r="AL533" s="65"/>
      <c r="AM533" s="1765" t="s">
        <v>628</v>
      </c>
      <c r="AN533" s="1751" t="s">
        <v>298</v>
      </c>
      <c r="AO533" s="1753" t="s">
        <v>1170</v>
      </c>
      <c r="AP533" s="1751" t="s">
        <v>298</v>
      </c>
      <c r="AQ533" s="1750" t="s">
        <v>1170</v>
      </c>
      <c r="AR533" s="1752" t="s">
        <v>298</v>
      </c>
      <c r="AS533" s="1753" t="s">
        <v>1170</v>
      </c>
      <c r="AT533" s="1751" t="s">
        <v>298</v>
      </c>
      <c r="AU533" s="1766" t="s">
        <v>1170</v>
      </c>
      <c r="AV533" s="518"/>
      <c r="AW533" s="54"/>
      <c r="AX533" s="54"/>
      <c r="AY533" s="54"/>
      <c r="AZ533" s="54"/>
      <c r="BA533" s="54"/>
      <c r="BB533" s="54"/>
      <c r="BC533" s="54"/>
    </row>
    <row r="534" spans="1:55">
      <c r="A534" s="45"/>
      <c r="B534" s="1665"/>
      <c r="C534" s="2820" t="s">
        <v>629</v>
      </c>
      <c r="D534" s="2821"/>
      <c r="E534" s="2645"/>
      <c r="F534" s="2821"/>
      <c r="G534" s="2822"/>
      <c r="H534" s="2821"/>
      <c r="I534" s="2821"/>
      <c r="J534" s="2823"/>
      <c r="K534" s="2824"/>
      <c r="L534" s="2821"/>
      <c r="M534" s="2825"/>
      <c r="N534" s="2610"/>
      <c r="O534" s="54"/>
      <c r="P534" s="54"/>
      <c r="Q534" s="54"/>
      <c r="R534" s="54"/>
      <c r="S534" s="190"/>
      <c r="T534" s="1781" t="s">
        <v>629</v>
      </c>
      <c r="U534" s="1756"/>
      <c r="V534" s="379"/>
      <c r="W534" s="1756"/>
      <c r="X534" s="1758"/>
      <c r="Y534" s="1756"/>
      <c r="Z534" s="1759"/>
      <c r="AA534" s="1756"/>
      <c r="AB534" s="1759"/>
      <c r="AC534" s="1756"/>
      <c r="AD534" s="1767"/>
      <c r="AE534" s="343"/>
      <c r="AF534" s="45"/>
      <c r="AG534" s="45"/>
      <c r="AH534" s="45"/>
      <c r="AI534" s="45"/>
      <c r="AJ534" s="190"/>
      <c r="AK534" s="1781" t="s">
        <v>629</v>
      </c>
      <c r="AL534" s="1756"/>
      <c r="AM534" s="379"/>
      <c r="AN534" s="1756"/>
      <c r="AO534" s="1758"/>
      <c r="AP534" s="1756"/>
      <c r="AQ534" s="1756"/>
      <c r="AR534" s="1757"/>
      <c r="AS534" s="1759"/>
      <c r="AT534" s="1756"/>
      <c r="AU534" s="1767"/>
      <c r="AV534" s="343"/>
      <c r="AW534" s="54"/>
      <c r="AX534" s="54"/>
      <c r="AY534" s="54"/>
      <c r="AZ534" s="54"/>
      <c r="BA534" s="54"/>
      <c r="BB534" s="54"/>
      <c r="BC534" s="54"/>
    </row>
    <row r="535" spans="1:55">
      <c r="A535" s="45"/>
      <c r="B535" s="1665"/>
      <c r="C535" s="2586" t="s">
        <v>1041</v>
      </c>
      <c r="D535" s="2579"/>
      <c r="E535" s="2826">
        <f ca="1">Transfer!D247/SUM(Transfer!D247,Transfer!D249)</f>
        <v>0.60693053540464992</v>
      </c>
      <c r="F535" s="2377">
        <f ca="1">Transfer!D247</f>
        <v>13.721000000000002</v>
      </c>
      <c r="G535" s="2394">
        <f ca="1">100*((Transfer!D247/Transfer!C247)-1)</f>
        <v>-2.3339905615386236</v>
      </c>
      <c r="H535" s="2377">
        <f ca="1">Transfer!E247</f>
        <v>15.371</v>
      </c>
      <c r="I535" s="2377">
        <f ca="1">100*((Transfer!E247/Transfer!D247)-1)</f>
        <v>12.025362582902099</v>
      </c>
      <c r="J535" s="2393">
        <f ca="1">Transfer!F247</f>
        <v>17.659465447348634</v>
      </c>
      <c r="K535" s="2394">
        <f ca="1">100*((Transfer!F247/Transfer!E247)-1)</f>
        <v>14.888201466063578</v>
      </c>
      <c r="L535" s="2377">
        <f ca="1">Transfer!G247</f>
        <v>18.927709970692618</v>
      </c>
      <c r="M535" s="2728">
        <f ca="1">100*((Transfer!G247/Transfer!F247)-1)</f>
        <v>7.1816699498930658</v>
      </c>
      <c r="N535" s="2452"/>
      <c r="O535" s="54"/>
      <c r="P535" s="54"/>
      <c r="Q535" s="54"/>
      <c r="R535" s="54"/>
      <c r="S535" s="190"/>
      <c r="T535" s="349" t="s">
        <v>1041</v>
      </c>
      <c r="U535" s="70"/>
      <c r="V535" s="1777">
        <f t="shared" ref="V535:AD537" ca="1" si="34">ROUND(E535,1)-ROUND(AM535,1)</f>
        <v>0</v>
      </c>
      <c r="W535" s="397">
        <f t="shared" ca="1" si="34"/>
        <v>-34.5</v>
      </c>
      <c r="X535" s="497">
        <f t="shared" ca="1" si="34"/>
        <v>-15.100000000000001</v>
      </c>
      <c r="Y535" s="397">
        <f t="shared" ca="1" si="34"/>
        <v>-35.200000000000003</v>
      </c>
      <c r="Z535" s="497">
        <f t="shared" ca="1" si="34"/>
        <v>7</v>
      </c>
      <c r="AA535" s="397">
        <f t="shared" ca="1" si="34"/>
        <v>-37</v>
      </c>
      <c r="AB535" s="497">
        <f t="shared" ca="1" si="34"/>
        <v>6.9</v>
      </c>
      <c r="AC535" s="397">
        <f t="shared" ca="1" si="34"/>
        <v>-41</v>
      </c>
      <c r="AD535" s="498">
        <f t="shared" ca="1" si="34"/>
        <v>-2.3999999999999995</v>
      </c>
      <c r="AE535" s="196"/>
      <c r="AF535" s="45"/>
      <c r="AG535" s="45"/>
      <c r="AH535" s="45"/>
      <c r="AI535" s="45"/>
      <c r="AJ535" s="190"/>
      <c r="AK535" s="349" t="s">
        <v>1041</v>
      </c>
      <c r="AL535" s="70"/>
      <c r="AM535" s="1777">
        <f>Transfer!AD247/SUM(Transfer!AD247,Transfer!AD249)</f>
        <v>0.60549300357956393</v>
      </c>
      <c r="AN535" s="397">
        <f>Transfer!AD247</f>
        <v>48.184169279999999</v>
      </c>
      <c r="AO535" s="497">
        <f>100*((Transfer!AD247/Transfer!AC247)-1)</f>
        <v>12.800387988522012</v>
      </c>
      <c r="AP535" s="397">
        <f>Transfer!AE247</f>
        <v>50.616307519544961</v>
      </c>
      <c r="AQ535" s="397">
        <f>100*((Transfer!AE247/Transfer!AD247)-1)</f>
        <v>5.0475877780764788</v>
      </c>
      <c r="AR535" s="396">
        <f>Transfer!AF247</f>
        <v>54.650405709152267</v>
      </c>
      <c r="AS535" s="497">
        <f>100*((Transfer!AF247/Transfer!AE247)-1)</f>
        <v>7.9699574846497478</v>
      </c>
      <c r="AT535" s="397">
        <f>Transfer!AG247</f>
        <v>59.876143555492668</v>
      </c>
      <c r="AU535" s="498">
        <f>100*((Transfer!AG247/Transfer!AF247)-1)</f>
        <v>9.5621208635698238</v>
      </c>
      <c r="AV535" s="196"/>
      <c r="AW535" s="54"/>
      <c r="AX535" s="54"/>
      <c r="AY535" s="54"/>
      <c r="AZ535" s="54"/>
      <c r="BA535" s="519" t="s">
        <v>204</v>
      </c>
      <c r="BB535" s="334"/>
      <c r="BC535" s="54"/>
    </row>
    <row r="536" spans="1:55">
      <c r="A536" s="45"/>
      <c r="B536" s="1665"/>
      <c r="C536" s="2827" t="s">
        <v>1042</v>
      </c>
      <c r="D536" s="2828"/>
      <c r="E536" s="2829">
        <f ca="1">Transfer!D249/SUM(Transfer!D247,Transfer!D249)</f>
        <v>0.39306946459535014</v>
      </c>
      <c r="F536" s="2382">
        <f ca="1">Transfer!D249</f>
        <v>8.8862000000000005</v>
      </c>
      <c r="G536" s="2830">
        <f ca="1">100*((Transfer!D249/Transfer!C249)-1)</f>
        <v>0.3466772062559631</v>
      </c>
      <c r="H536" s="2382">
        <f ca="1">Transfer!E249</f>
        <v>11.070200000000003</v>
      </c>
      <c r="I536" s="2382">
        <f ca="1">100*((Transfer!E249/Transfer!D249)-1)</f>
        <v>24.577434673988918</v>
      </c>
      <c r="J536" s="2831">
        <f ca="1">Transfer!F249</f>
        <v>12.398624000000005</v>
      </c>
      <c r="K536" s="2830">
        <f ca="1">100*((Transfer!F249/Transfer!E249)-1)</f>
        <v>12.000000000000011</v>
      </c>
      <c r="L536" s="2382">
        <f ca="1">Transfer!G249</f>
        <v>13.080548320000005</v>
      </c>
      <c r="M536" s="2832">
        <f ca="1">100*((Transfer!G249/Transfer!F249)-1)</f>
        <v>5.4999999999999938</v>
      </c>
      <c r="N536" s="2452"/>
      <c r="O536" s="54"/>
      <c r="P536" s="54"/>
      <c r="Q536" s="54"/>
      <c r="R536" s="54"/>
      <c r="S536" s="190"/>
      <c r="T536" s="1768" t="s">
        <v>1042</v>
      </c>
      <c r="U536" s="1760"/>
      <c r="V536" s="1778">
        <f t="shared" ca="1" si="34"/>
        <v>0</v>
      </c>
      <c r="W536" s="1763">
        <f t="shared" ca="1" si="34"/>
        <v>-22.5</v>
      </c>
      <c r="X536" s="1762">
        <f t="shared" ca="1" si="34"/>
        <v>-16.599999999999998</v>
      </c>
      <c r="Y536" s="1763">
        <f t="shared" ca="1" si="34"/>
        <v>-22.799999999999997</v>
      </c>
      <c r="Z536" s="1762">
        <f t="shared" ca="1" si="34"/>
        <v>16.600000000000001</v>
      </c>
      <c r="AA536" s="1763">
        <f t="shared" ca="1" si="34"/>
        <v>-24.700000000000003</v>
      </c>
      <c r="AB536" s="1762">
        <f t="shared" ca="1" si="34"/>
        <v>2.6999999999999993</v>
      </c>
      <c r="AC536" s="1763">
        <f t="shared" ca="1" si="34"/>
        <v>-27.4</v>
      </c>
      <c r="AD536" s="1769">
        <f t="shared" ca="1" si="34"/>
        <v>-3.8000000000000007</v>
      </c>
      <c r="AE536" s="196"/>
      <c r="AF536" s="45"/>
      <c r="AG536" s="45"/>
      <c r="AH536" s="45"/>
      <c r="AI536" s="45"/>
      <c r="AJ536" s="190"/>
      <c r="AK536" s="1768" t="s">
        <v>1042</v>
      </c>
      <c r="AL536" s="1760"/>
      <c r="AM536" s="1778">
        <f>Transfer!AD249/SUM(Transfer!AD247,Transfer!AD249)</f>
        <v>0.39450699642043602</v>
      </c>
      <c r="AN536" s="1763">
        <f>Transfer!AD249</f>
        <v>31.394238719999997</v>
      </c>
      <c r="AO536" s="1762">
        <f>100*((Transfer!AD249/Transfer!AC249)-1)</f>
        <v>16.874903594015112</v>
      </c>
      <c r="AP536" s="1763">
        <f>Transfer!AE249</f>
        <v>33.905777817599997</v>
      </c>
      <c r="AQ536" s="1763">
        <f>100*((Transfer!AE249/Transfer!AD249)-1)</f>
        <v>8.0000000000000071</v>
      </c>
      <c r="AR536" s="1761">
        <f>Transfer!AF249</f>
        <v>37.059015154636796</v>
      </c>
      <c r="AS536" s="1762">
        <f>100*((Transfer!AF249/Transfer!AE249)-1)</f>
        <v>9.2999999999999972</v>
      </c>
      <c r="AT536" s="1763">
        <f>Transfer!AG249</f>
        <v>40.505503564018021</v>
      </c>
      <c r="AU536" s="1769">
        <f>100*((Transfer!AG249/Transfer!AF249)-1)</f>
        <v>9.2999999999999972</v>
      </c>
      <c r="AV536" s="196"/>
      <c r="AW536" s="54"/>
      <c r="AX536" s="54"/>
      <c r="AY536" s="54"/>
      <c r="AZ536" s="54"/>
      <c r="BA536" s="1677" t="s">
        <v>1480</v>
      </c>
      <c r="BB536" s="334"/>
      <c r="BC536" s="54"/>
    </row>
    <row r="537" spans="1:55">
      <c r="A537" s="45"/>
      <c r="B537" s="1665"/>
      <c r="C537" s="2555" t="s">
        <v>632</v>
      </c>
      <c r="D537" s="2833"/>
      <c r="E537" s="2826">
        <f ca="1">SUM(Transfer!D249,Transfer!D251)/SUM(Transfer!D249,Transfer!D251)</f>
        <v>1</v>
      </c>
      <c r="F537" s="2665">
        <f ca="1">SUM(Transfer!D247,Transfer!D249)</f>
        <v>22.607200000000002</v>
      </c>
      <c r="G537" s="2834">
        <f ca="1">100*((SUM(Transfer!D247,Transfer!D249)/SUM(Transfer!C247,Transfer!C249))-1)</f>
        <v>-1.2975672796493365</v>
      </c>
      <c r="H537" s="2665">
        <f ca="1">SUM(Transfer!E247,Transfer!E249)</f>
        <v>26.441200000000002</v>
      </c>
      <c r="I537" s="2665">
        <f ca="1">100*((SUM(Transfer!E247,Transfer!E249)/SUM(Transfer!D247,Transfer!D249))-1)</f>
        <v>16.959198839307831</v>
      </c>
      <c r="J537" s="2664">
        <f ca="1">SUM(Transfer!F247,Transfer!F249)</f>
        <v>30.058089447348639</v>
      </c>
      <c r="K537" s="2834">
        <f ca="1">100*((SUM(Transfer!F247,Transfer!F249)/SUM(Transfer!E247,Transfer!E249))-1)</f>
        <v>13.678991298990351</v>
      </c>
      <c r="L537" s="2665">
        <f ca="1">SUM(Transfer!G247,Transfer!G249)</f>
        <v>32.008258290692623</v>
      </c>
      <c r="M537" s="2835">
        <f ca="1">100*((SUM(Transfer!G247,Transfer!G249)/SUM(Transfer!F247,Transfer!F249))-1)</f>
        <v>6.4880000000000271</v>
      </c>
      <c r="N537" s="2460"/>
      <c r="O537" s="54"/>
      <c r="P537" s="54"/>
      <c r="Q537" s="54"/>
      <c r="R537" s="54"/>
      <c r="S537" s="190"/>
      <c r="T537" s="316" t="s">
        <v>632</v>
      </c>
      <c r="U537" s="1754"/>
      <c r="V537" s="2031">
        <f t="shared" ca="1" si="34"/>
        <v>0</v>
      </c>
      <c r="W537" s="401">
        <f t="shared" ca="1" si="34"/>
        <v>-56.999999999999993</v>
      </c>
      <c r="X537" s="1755">
        <f t="shared" ca="1" si="34"/>
        <v>-15.700000000000001</v>
      </c>
      <c r="Y537" s="401">
        <f t="shared" ca="1" si="34"/>
        <v>-58.1</v>
      </c>
      <c r="Z537" s="1755">
        <f t="shared" ca="1" si="34"/>
        <v>10.8</v>
      </c>
      <c r="AA537" s="401">
        <f t="shared" ca="1" si="34"/>
        <v>-61.6</v>
      </c>
      <c r="AB537" s="1755">
        <f t="shared" ca="1" si="34"/>
        <v>5.1999999999999993</v>
      </c>
      <c r="AC537" s="401">
        <f t="shared" ca="1" si="34"/>
        <v>-68.400000000000006</v>
      </c>
      <c r="AD537" s="1770">
        <f t="shared" ca="1" si="34"/>
        <v>-3</v>
      </c>
      <c r="AE537" s="203"/>
      <c r="AF537" s="45"/>
      <c r="AG537" s="45"/>
      <c r="AH537" s="45"/>
      <c r="AI537" s="45"/>
      <c r="AJ537" s="190"/>
      <c r="AK537" s="316" t="s">
        <v>632</v>
      </c>
      <c r="AL537" s="1754"/>
      <c r="AM537" s="1777">
        <f>SUM(Transfer!AD249,Transfer!AD251)/SUM(Transfer!AD249,Transfer!AD251)</f>
        <v>1</v>
      </c>
      <c r="AN537" s="401">
        <f>SUM(Transfer!AD247,Transfer!AD249)</f>
        <v>79.578407999999996</v>
      </c>
      <c r="AO537" s="1755">
        <f>100*((SUM(Transfer!AD247,Transfer!AD249)/SUM(Transfer!AC247,Transfer!AC249))-1)</f>
        <v>14.373408895792284</v>
      </c>
      <c r="AP537" s="401">
        <f>SUM(Transfer!AE247,Transfer!AE249)</f>
        <v>84.522085337144958</v>
      </c>
      <c r="AQ537" s="401">
        <f>100*((SUM(Transfer!AE247,Transfer!AE249)/SUM(Transfer!AD247,Transfer!AD249))-1)</f>
        <v>6.2123350559425194</v>
      </c>
      <c r="AR537" s="399">
        <f>SUM(Transfer!AF247,Transfer!AF249)</f>
        <v>91.709420863789063</v>
      </c>
      <c r="AS537" s="1755">
        <f>100*((SUM(Transfer!AF247,Transfer!AF249)/SUM(Transfer!AE247,Transfer!AE249))-1)</f>
        <v>8.5034999999999741</v>
      </c>
      <c r="AT537" s="401">
        <f>SUM(Transfer!AG247,Transfer!AG249)</f>
        <v>100.38164711951069</v>
      </c>
      <c r="AU537" s="1770">
        <f>100*((SUM(Transfer!AG247,Transfer!AG249)/SUM(Transfer!AF247,Transfer!AF249))-1)</f>
        <v>9.4562000000000026</v>
      </c>
      <c r="AV537" s="203"/>
      <c r="AW537" s="54"/>
      <c r="AX537" s="54"/>
      <c r="AY537" s="54"/>
      <c r="AZ537" s="54"/>
      <c r="BA537" s="1677" t="s">
        <v>1481</v>
      </c>
      <c r="BB537" s="334"/>
      <c r="BC537" s="54"/>
    </row>
    <row r="538" spans="1:55">
      <c r="A538" s="45"/>
      <c r="B538" s="1665"/>
      <c r="C538" s="2820" t="s">
        <v>630</v>
      </c>
      <c r="D538" s="2821"/>
      <c r="E538" s="2836"/>
      <c r="F538" s="2366"/>
      <c r="G538" s="2837"/>
      <c r="H538" s="2366"/>
      <c r="I538" s="2366"/>
      <c r="J538" s="2662"/>
      <c r="K538" s="2837"/>
      <c r="L538" s="2366"/>
      <c r="M538" s="2838"/>
      <c r="N538" s="2452"/>
      <c r="O538" s="54"/>
      <c r="P538" s="54"/>
      <c r="Q538" s="54"/>
      <c r="R538" s="54"/>
      <c r="S538" s="190"/>
      <c r="T538" s="1781" t="s">
        <v>630</v>
      </c>
      <c r="U538" s="1756"/>
      <c r="V538" s="2032"/>
      <c r="W538" s="395"/>
      <c r="X538" s="1764"/>
      <c r="Y538" s="395"/>
      <c r="Z538" s="1764"/>
      <c r="AA538" s="395"/>
      <c r="AB538" s="1764"/>
      <c r="AC538" s="395"/>
      <c r="AD538" s="1771"/>
      <c r="AE538" s="196"/>
      <c r="AF538" s="45"/>
      <c r="AG538" s="45"/>
      <c r="AH538" s="45"/>
      <c r="AI538" s="45"/>
      <c r="AJ538" s="190"/>
      <c r="AK538" s="1781" t="s">
        <v>630</v>
      </c>
      <c r="AL538" s="1756"/>
      <c r="AM538" s="1779"/>
      <c r="AN538" s="395"/>
      <c r="AO538" s="1764"/>
      <c r="AP538" s="395"/>
      <c r="AQ538" s="395"/>
      <c r="AR538" s="394"/>
      <c r="AS538" s="1764"/>
      <c r="AT538" s="395"/>
      <c r="AU538" s="1771"/>
      <c r="AV538" s="196"/>
      <c r="AW538" s="54"/>
      <c r="AX538" s="54"/>
      <c r="AY538" s="54"/>
      <c r="AZ538" s="54"/>
      <c r="BA538" s="1986"/>
      <c r="BB538" s="334"/>
      <c r="BC538" s="54"/>
    </row>
    <row r="539" spans="1:55">
      <c r="A539" s="45"/>
      <c r="B539" s="1665"/>
      <c r="C539" s="2586" t="s">
        <v>1043</v>
      </c>
      <c r="D539" s="2579"/>
      <c r="E539" s="2826">
        <f ca="1">Transfer!D250/SUM(Transfer!D250,Transfer!D252)</f>
        <v>0.71011963804935319</v>
      </c>
      <c r="F539" s="2377">
        <f ca="1">Transfer!D250</f>
        <v>17.5396</v>
      </c>
      <c r="G539" s="2394">
        <f ca="1">100*((Transfer!D250/Transfer!C250)-1)</f>
        <v>1.9821265560769019</v>
      </c>
      <c r="H539" s="2377">
        <f ca="1">Transfer!E250</f>
        <v>20.116099999999996</v>
      </c>
      <c r="I539" s="2377">
        <f ca="1">100*((Transfer!E250/Transfer!D250)-1)</f>
        <v>14.689616638919901</v>
      </c>
      <c r="J539" s="2393">
        <f ca="1">Transfer!F250</f>
        <v>21.737308793711836</v>
      </c>
      <c r="K539" s="2394">
        <f ca="1">100*((Transfer!F250/Transfer!E250)-1)</f>
        <v>8.0592599644654825</v>
      </c>
      <c r="L539" s="2377">
        <f ca="1">Transfer!G250</f>
        <v>23.191216748882496</v>
      </c>
      <c r="M539" s="2728">
        <f ca="1">100*((Transfer!G250/Transfer!F250)-1)</f>
        <v>6.6885370630206387</v>
      </c>
      <c r="N539" s="2452"/>
      <c r="O539" s="54"/>
      <c r="P539" s="54"/>
      <c r="Q539" s="54"/>
      <c r="R539" s="54"/>
      <c r="S539" s="190"/>
      <c r="T539" s="349" t="s">
        <v>1043</v>
      </c>
      <c r="U539" s="70"/>
      <c r="V539" s="1777">
        <f t="shared" ref="V539:AC541" ca="1" si="35">ROUND(E539,1)-ROUND(AM539,1)</f>
        <v>9.9999999999999978E-2</v>
      </c>
      <c r="W539" s="397">
        <f t="shared" ca="1" si="35"/>
        <v>-32</v>
      </c>
      <c r="X539" s="497">
        <f t="shared" ca="1" si="35"/>
        <v>-8.6999999999999993</v>
      </c>
      <c r="Y539" s="397">
        <f t="shared" ca="1" si="35"/>
        <v>-32.799999999999997</v>
      </c>
      <c r="Z539" s="497">
        <f t="shared" ca="1" si="35"/>
        <v>7.7999999999999989</v>
      </c>
      <c r="AA539" s="397">
        <f t="shared" ca="1" si="35"/>
        <v>-35.299999999999997</v>
      </c>
      <c r="AB539" s="497">
        <f t="shared" ca="1" si="35"/>
        <v>0.39999999999999947</v>
      </c>
      <c r="AC539" s="397">
        <f t="shared" ca="1" si="35"/>
        <v>-39.400000000000006</v>
      </c>
      <c r="AD539" s="498">
        <f ca="1">ROUND(M539,1)-ROUND(AU539,1)</f>
        <v>-3.2</v>
      </c>
      <c r="AE539" s="196"/>
      <c r="AF539" s="45"/>
      <c r="AG539" s="45"/>
      <c r="AH539" s="45"/>
      <c r="AI539" s="45"/>
      <c r="AJ539" s="190"/>
      <c r="AK539" s="349" t="s">
        <v>1043</v>
      </c>
      <c r="AL539" s="70"/>
      <c r="AM539" s="1777">
        <f>Transfer!AD250/SUM(Transfer!AD250,Transfer!AD252)</f>
        <v>0.57650387422435123</v>
      </c>
      <c r="AN539" s="397">
        <f>Transfer!AD250</f>
        <v>49.529725439999993</v>
      </c>
      <c r="AO539" s="497">
        <f>100*((Transfer!AD250/Transfer!AC250)-1)</f>
        <v>10.729613733905573</v>
      </c>
      <c r="AP539" s="397">
        <f>Transfer!AE250</f>
        <v>52.932671573256535</v>
      </c>
      <c r="AQ539" s="397">
        <f>100*((Transfer!AE250/Transfer!AD250)-1)</f>
        <v>6.8705128143277339</v>
      </c>
      <c r="AR539" s="396">
        <f>Transfer!AF250</f>
        <v>56.993083095257333</v>
      </c>
      <c r="AS539" s="497">
        <f>100*((Transfer!AF250/Transfer!AE250)-1)</f>
        <v>7.6708985231953797</v>
      </c>
      <c r="AT539" s="397">
        <f>Transfer!AG250</f>
        <v>62.638564257024044</v>
      </c>
      <c r="AU539" s="498">
        <f>100*((Transfer!AG250/Transfer!AF250)-1)</f>
        <v>9.9055549466080741</v>
      </c>
      <c r="AV539" s="196"/>
      <c r="AW539" s="54"/>
      <c r="AX539" s="54"/>
      <c r="AY539" s="54"/>
      <c r="AZ539" s="54"/>
      <c r="BA539" s="1986" t="s">
        <v>1482</v>
      </c>
      <c r="BB539" s="334"/>
      <c r="BC539" s="54"/>
    </row>
    <row r="540" spans="1:55">
      <c r="A540" s="45"/>
      <c r="B540" s="1665"/>
      <c r="C540" s="2827" t="s">
        <v>1044</v>
      </c>
      <c r="D540" s="2828"/>
      <c r="E540" s="2829">
        <f ca="1">Transfer!D252/SUM(Transfer!D250,Transfer!D252)</f>
        <v>0.28988036195064681</v>
      </c>
      <c r="F540" s="2382">
        <f ca="1">Transfer!D252</f>
        <v>7.1599000000000013</v>
      </c>
      <c r="G540" s="2830">
        <f ca="1">100*((Transfer!D252/Transfer!C252)-1)</f>
        <v>-12.693728737089828</v>
      </c>
      <c r="H540" s="2382">
        <f ca="1">Transfer!E252</f>
        <v>8.679700000000004</v>
      </c>
      <c r="I540" s="2382">
        <f ca="1">100*((Transfer!E252/Transfer!D252)-1)</f>
        <v>21.226553443483876</v>
      </c>
      <c r="J540" s="2831">
        <f ca="1">Transfer!F252</f>
        <v>9.721264000000005</v>
      </c>
      <c r="K540" s="2830">
        <f ca="1">100*((Transfer!F252/Transfer!E252)-1)</f>
        <v>12.000000000000011</v>
      </c>
      <c r="L540" s="2382">
        <f ca="1">Transfer!G252</f>
        <v>10.401752480000006</v>
      </c>
      <c r="M540" s="2832">
        <f ca="1">100*((Transfer!G252/Transfer!F252)-1)</f>
        <v>7.0000000000000062</v>
      </c>
      <c r="N540" s="2452"/>
      <c r="O540" s="54"/>
      <c r="P540" s="54"/>
      <c r="Q540" s="54"/>
      <c r="R540" s="54"/>
      <c r="S540" s="190"/>
      <c r="T540" s="1768" t="s">
        <v>1044</v>
      </c>
      <c r="U540" s="1760"/>
      <c r="V540" s="1778">
        <f t="shared" ca="1" si="35"/>
        <v>-0.10000000000000003</v>
      </c>
      <c r="W540" s="1763">
        <f t="shared" ca="1" si="35"/>
        <v>-29.2</v>
      </c>
      <c r="X540" s="1762">
        <f t="shared" ca="1" si="35"/>
        <v>-19.5</v>
      </c>
      <c r="Y540" s="1763">
        <f t="shared" ca="1" si="35"/>
        <v>-31.3</v>
      </c>
      <c r="Z540" s="1762">
        <f t="shared" ca="1" si="35"/>
        <v>11.2</v>
      </c>
      <c r="AA540" s="1763">
        <f t="shared" ca="1" si="35"/>
        <v>-34.200000000000003</v>
      </c>
      <c r="AB540" s="1762">
        <f t="shared" ca="1" si="35"/>
        <v>2.1999999999999993</v>
      </c>
      <c r="AC540" s="1763">
        <f t="shared" ca="1" si="35"/>
        <v>-37.9</v>
      </c>
      <c r="AD540" s="1769">
        <f ca="1">ROUND(M540,1)-ROUND(AU540,1)</f>
        <v>-2.8000000000000007</v>
      </c>
      <c r="AE540" s="196"/>
      <c r="AF540" s="45"/>
      <c r="AG540" s="45"/>
      <c r="AH540" s="45"/>
      <c r="AI540" s="45"/>
      <c r="AJ540" s="190"/>
      <c r="AK540" s="1768" t="s">
        <v>1044</v>
      </c>
      <c r="AL540" s="1760"/>
      <c r="AM540" s="1778">
        <f>Transfer!AD252/SUM(Transfer!AD250,Transfer!AD252)</f>
        <v>0.42349612577564866</v>
      </c>
      <c r="AN540" s="1763">
        <f>Transfer!AD252</f>
        <v>36.384225280000003</v>
      </c>
      <c r="AO540" s="1762">
        <f>100*((Transfer!AD252/Transfer!AC252)-1)</f>
        <v>6.7531151858980731</v>
      </c>
      <c r="AP540" s="1763">
        <f>Transfer!AE252</f>
        <v>40.022647808000009</v>
      </c>
      <c r="AQ540" s="1763">
        <f>100*((Transfer!AE252/Transfer!AD252)-1)</f>
        <v>10.000000000000009</v>
      </c>
      <c r="AR540" s="1761">
        <f>Transfer!AF252</f>
        <v>43.944867293184011</v>
      </c>
      <c r="AS540" s="1762">
        <f>100*((Transfer!AF252/Transfer!AE252)-1)</f>
        <v>9.8000000000000078</v>
      </c>
      <c r="AT540" s="1763">
        <f>Transfer!AG252</f>
        <v>48.25146428791605</v>
      </c>
      <c r="AU540" s="1769">
        <f>100*((Transfer!AG252/Transfer!AF252)-1)</f>
        <v>9.8000000000000078</v>
      </c>
      <c r="AV540" s="196"/>
      <c r="AW540" s="54"/>
      <c r="AX540" s="54"/>
      <c r="AY540" s="54"/>
      <c r="AZ540" s="54"/>
      <c r="BA540" s="1677" t="s">
        <v>691</v>
      </c>
      <c r="BB540" s="334"/>
      <c r="BC540" s="54"/>
    </row>
    <row r="541" spans="1:55">
      <c r="A541" s="45"/>
      <c r="B541" s="1665"/>
      <c r="C541" s="2555" t="s">
        <v>294</v>
      </c>
      <c r="D541" s="2833"/>
      <c r="E541" s="2826">
        <f ca="1">SUM(Transfer!D250,Transfer!D252)/SUM(Transfer!D250,Transfer!D252)</f>
        <v>1</v>
      </c>
      <c r="F541" s="2665">
        <f ca="1">SUM(Transfer!D250,Transfer!D252)</f>
        <v>24.6995</v>
      </c>
      <c r="G541" s="2834">
        <f ca="1">100*((SUM(Transfer!D250,Transfer!D252)/SUM(Transfer!C250,Transfer!C252))-1)</f>
        <v>-2.756342619568819</v>
      </c>
      <c r="H541" s="2665">
        <f ca="1">SUM(Transfer!E250,Transfer!E252)</f>
        <v>28.7958</v>
      </c>
      <c r="I541" s="2665">
        <f ca="1">100*((SUM(Transfer!E250,Transfer!E252)/SUM(Transfer!D250,Transfer!D252))-1)</f>
        <v>16.584546245875419</v>
      </c>
      <c r="J541" s="2664">
        <f ca="1">SUM(Transfer!F250,Transfer!F252)</f>
        <v>31.458572793711841</v>
      </c>
      <c r="K541" s="2834">
        <f ca="1">100*((SUM(Transfer!F250,Transfer!F252)/SUM(Transfer!E250,Transfer!E252))-1)</f>
        <v>9.2470874006342676</v>
      </c>
      <c r="L541" s="2665">
        <f ca="1">SUM(Transfer!G250,Transfer!G252)</f>
        <v>33.592969228882502</v>
      </c>
      <c r="M541" s="2835">
        <f ca="1">100*((SUM(Transfer!G250,Transfer!G252)/SUM(Transfer!F250,Transfer!F252))-1)</f>
        <v>6.7847847045283016</v>
      </c>
      <c r="N541" s="2460"/>
      <c r="O541" s="54"/>
      <c r="P541" s="54"/>
      <c r="Q541" s="54"/>
      <c r="R541" s="54"/>
      <c r="S541" s="190"/>
      <c r="T541" s="316" t="s">
        <v>294</v>
      </c>
      <c r="U541" s="1754"/>
      <c r="V541" s="2031">
        <f t="shared" ca="1" si="35"/>
        <v>0</v>
      </c>
      <c r="W541" s="2033">
        <f t="shared" ca="1" si="35"/>
        <v>-61.2</v>
      </c>
      <c r="X541" s="2034">
        <f t="shared" ca="1" si="35"/>
        <v>-11.8</v>
      </c>
      <c r="Y541" s="2035">
        <f t="shared" ca="1" si="35"/>
        <v>-64.2</v>
      </c>
      <c r="Z541" s="2034">
        <f t="shared" ca="1" si="35"/>
        <v>8.4000000000000021</v>
      </c>
      <c r="AA541" s="2035">
        <f t="shared" ca="1" si="35"/>
        <v>-69.400000000000006</v>
      </c>
      <c r="AB541" s="2034">
        <f t="shared" ca="1" si="35"/>
        <v>0.59999999999999964</v>
      </c>
      <c r="AC541" s="2035">
        <f t="shared" ca="1" si="35"/>
        <v>-77.300000000000011</v>
      </c>
      <c r="AD541" s="2036">
        <f ca="1">ROUND(M541,1)-ROUND(AU541,1)</f>
        <v>-3.1000000000000005</v>
      </c>
      <c r="AE541" s="203"/>
      <c r="AF541" s="45"/>
      <c r="AG541" s="45"/>
      <c r="AH541" s="45"/>
      <c r="AI541" s="45"/>
      <c r="AJ541" s="190"/>
      <c r="AK541" s="316" t="s">
        <v>294</v>
      </c>
      <c r="AL541" s="1754"/>
      <c r="AM541" s="1777">
        <f>SUM(Transfer!AD250,Transfer!AD252)/SUM(Transfer!AD250,Transfer!AD252)</f>
        <v>1</v>
      </c>
      <c r="AN541" s="401">
        <f>SUM(Transfer!AD250,Transfer!AD252)</f>
        <v>85.913950720000003</v>
      </c>
      <c r="AO541" s="1755">
        <f>100*((SUM(Transfer!AD250,Transfer!AD252)/SUM(Transfer!AC250,Transfer!AC252))-1)</f>
        <v>9.0099799349858465</v>
      </c>
      <c r="AP541" s="401">
        <f>SUM(Transfer!AE250,Transfer!AE252)</f>
        <v>92.955319381256544</v>
      </c>
      <c r="AQ541" s="401">
        <f>100*((SUM(Transfer!AE250,Transfer!AE252)/SUM(Transfer!AD250,Transfer!AD252))-1)</f>
        <v>8.195838513124464</v>
      </c>
      <c r="AR541" s="399">
        <f>SUM(Transfer!AF250,Transfer!AF252)</f>
        <v>100.93795038844135</v>
      </c>
      <c r="AS541" s="1755">
        <f>100*((SUM(Transfer!AF250,Transfer!AF252)/SUM(Transfer!AE250,Transfer!AE252))-1)</f>
        <v>8.5876000000000285</v>
      </c>
      <c r="AT541" s="401">
        <f>SUM(Transfer!AG250,Transfer!AG252)</f>
        <v>110.89002854494009</v>
      </c>
      <c r="AU541" s="1770">
        <f>100*((SUM(Transfer!AG250,Transfer!AG252)/SUM(Transfer!AF250,Transfer!AF252))-1)</f>
        <v>9.8595999999999897</v>
      </c>
      <c r="AV541" s="203"/>
      <c r="AW541" s="54"/>
      <c r="AX541" s="54"/>
      <c r="AY541" s="54"/>
      <c r="AZ541" s="54"/>
      <c r="BA541" s="1677" t="s">
        <v>692</v>
      </c>
      <c r="BB541" s="334"/>
      <c r="BC541" s="54"/>
    </row>
    <row r="542" spans="1:55" ht="13.5" thickBot="1">
      <c r="A542" s="45"/>
      <c r="B542" s="1665"/>
      <c r="C542" s="2573" t="s">
        <v>295</v>
      </c>
      <c r="D542" s="1772"/>
      <c r="E542" s="1780"/>
      <c r="F542" s="1773">
        <f ca="1">SUM(Transfer!D247,Transfer!D249)-SUM(Transfer!D250,Transfer!D252)</f>
        <v>-2.0922999999999981</v>
      </c>
      <c r="G542" s="1774"/>
      <c r="H542" s="1773">
        <f ca="1">SUM(Transfer!E247,Transfer!E249)-SUM(Transfer!E250,Transfer!E252)</f>
        <v>-2.3545999999999978</v>
      </c>
      <c r="I542" s="1773"/>
      <c r="J542" s="1775">
        <f ca="1">SUM(Transfer!F247,Transfer!F249)-SUM(Transfer!F250,Transfer!F252)</f>
        <v>-1.4004833463632025</v>
      </c>
      <c r="K542" s="1774"/>
      <c r="L542" s="1773">
        <f ca="1">SUM(Transfer!G247,Transfer!G249)-SUM(Transfer!G250,Transfer!G252)</f>
        <v>-1.584710938189879</v>
      </c>
      <c r="M542" s="1776"/>
      <c r="N542" s="203"/>
      <c r="O542" s="54"/>
      <c r="P542" s="54"/>
      <c r="Q542" s="54"/>
      <c r="R542" s="54"/>
      <c r="S542" s="190"/>
      <c r="T542" s="1680" t="s">
        <v>295</v>
      </c>
      <c r="U542" s="1772"/>
      <c r="V542" s="2037"/>
      <c r="W542" s="1775">
        <f ca="1">ROUND(F542,1)-ROUND(AN542,1)</f>
        <v>4.1999999999999993</v>
      </c>
      <c r="X542" s="1774"/>
      <c r="Y542" s="1773">
        <f ca="1">ROUND(H542,1)-ROUND(AP542,1)</f>
        <v>6</v>
      </c>
      <c r="Z542" s="1774"/>
      <c r="AA542" s="1773">
        <f ca="1">ROUND(J542,1)-ROUND(AR542,1)</f>
        <v>7.7999999999999989</v>
      </c>
      <c r="AB542" s="1774"/>
      <c r="AC542" s="1773">
        <f ca="1">ROUND(L542,1)-ROUND(AT542,1)</f>
        <v>8.9</v>
      </c>
      <c r="AD542" s="2038"/>
      <c r="AE542" s="203"/>
      <c r="AF542" s="45"/>
      <c r="AG542" s="45"/>
      <c r="AH542" s="45"/>
      <c r="AI542" s="45"/>
      <c r="AJ542" s="190"/>
      <c r="AK542" s="1680" t="s">
        <v>295</v>
      </c>
      <c r="AL542" s="1772"/>
      <c r="AM542" s="1780"/>
      <c r="AN542" s="1773">
        <f>SUM(Transfer!AD247,Transfer!AD249)-SUM(Transfer!AD250,Transfer!AD252)</f>
        <v>-6.3355427200000065</v>
      </c>
      <c r="AO542" s="1774"/>
      <c r="AP542" s="1773">
        <f>SUM(Transfer!AE247,Transfer!AE249)-SUM(Transfer!AE250,Transfer!AE252)</f>
        <v>-8.4332340441115861</v>
      </c>
      <c r="AQ542" s="1773"/>
      <c r="AR542" s="1775">
        <f>SUM(Transfer!AF247,Transfer!AF249)-SUM(Transfer!AF250,Transfer!AF252)</f>
        <v>-9.2285295246522878</v>
      </c>
      <c r="AS542" s="1774"/>
      <c r="AT542" s="1773">
        <f>SUM(Transfer!AG247,Transfer!AG249)-SUM(Transfer!AG250,Transfer!AG252)</f>
        <v>-10.508381425429405</v>
      </c>
      <c r="AU542" s="1776"/>
      <c r="AV542" s="203"/>
      <c r="AW542" s="54"/>
      <c r="AX542" s="54"/>
      <c r="AY542" s="54"/>
      <c r="AZ542" s="54"/>
      <c r="BA542" s="1678" t="s">
        <v>1744</v>
      </c>
      <c r="BB542" s="334"/>
      <c r="BC542" s="54"/>
    </row>
    <row r="543" spans="1:55">
      <c r="A543" s="45"/>
      <c r="B543" s="215"/>
      <c r="C543" s="113"/>
      <c r="D543" s="113"/>
      <c r="E543" s="113"/>
      <c r="F543" s="113"/>
      <c r="G543" s="113"/>
      <c r="H543" s="113"/>
      <c r="I543" s="113"/>
      <c r="J543" s="113"/>
      <c r="K543" s="113"/>
      <c r="L543" s="113"/>
      <c r="M543" s="118" t="str">
        <f>UPPER(Country)</f>
        <v>LITHUANIA</v>
      </c>
      <c r="N543" s="216"/>
      <c r="O543" s="54"/>
      <c r="P543" s="54"/>
      <c r="Q543" s="54"/>
      <c r="R543" s="54"/>
      <c r="S543" s="215"/>
      <c r="T543" s="113"/>
      <c r="U543" s="113"/>
      <c r="V543" s="113"/>
      <c r="W543" s="113"/>
      <c r="X543" s="113"/>
      <c r="Y543" s="113"/>
      <c r="Z543" s="113"/>
      <c r="AA543" s="113"/>
      <c r="AB543" s="113"/>
      <c r="AC543" s="113"/>
      <c r="AD543" s="118" t="str">
        <f>UPPER(Country)</f>
        <v>LITHUANIA</v>
      </c>
      <c r="AE543" s="216"/>
      <c r="AF543" s="45"/>
      <c r="AG543" s="45"/>
      <c r="AH543" s="45"/>
      <c r="AI543" s="45"/>
      <c r="AJ543" s="215"/>
      <c r="AK543" s="113"/>
      <c r="AL543" s="113"/>
      <c r="AM543" s="113"/>
      <c r="AN543" s="113"/>
      <c r="AO543" s="113"/>
      <c r="AP543" s="113"/>
      <c r="AQ543" s="113"/>
      <c r="AR543" s="113"/>
      <c r="AS543" s="113"/>
      <c r="AT543" s="113"/>
      <c r="AU543" s="118" t="str">
        <f>UPPER(Country)</f>
        <v>LITHUANIA</v>
      </c>
      <c r="AV543" s="216"/>
      <c r="AW543" s="54"/>
      <c r="AX543" s="54"/>
      <c r="AY543" s="54"/>
      <c r="AZ543" s="54"/>
      <c r="BA543" s="54"/>
      <c r="BB543" s="54"/>
      <c r="BC543" s="54"/>
    </row>
    <row r="544" spans="1:55">
      <c r="A544" s="45"/>
      <c r="B544" s="45"/>
      <c r="C544" s="45"/>
      <c r="D544" s="45"/>
      <c r="E544" s="45"/>
      <c r="F544" s="45"/>
      <c r="G544" s="45"/>
      <c r="H544" s="45"/>
      <c r="I544" s="45"/>
      <c r="J544" s="45"/>
      <c r="K544" s="45"/>
      <c r="L544" s="45"/>
      <c r="M544" s="45"/>
      <c r="N544" s="54"/>
      <c r="O544" s="54"/>
      <c r="P544" s="54"/>
      <c r="Q544" s="54"/>
      <c r="R544" s="54"/>
      <c r="S544" s="54"/>
      <c r="T544" s="54"/>
      <c r="U544" s="54"/>
      <c r="V544" s="54"/>
      <c r="W544" s="54"/>
      <c r="X544" s="54"/>
      <c r="Y544" s="54"/>
      <c r="Z544" s="54"/>
      <c r="AA544" s="54"/>
      <c r="AB544" s="45"/>
      <c r="AC544" s="45"/>
      <c r="AD544" s="45"/>
      <c r="AE544" s="45"/>
      <c r="AF544" s="45"/>
      <c r="AG544" s="45"/>
      <c r="AH544" s="45"/>
      <c r="AI544" s="45"/>
      <c r="AJ544" s="45"/>
      <c r="AK544" s="45"/>
      <c r="AL544" s="45"/>
      <c r="AM544" s="45"/>
      <c r="AN544" s="45"/>
      <c r="AO544" s="45"/>
      <c r="AP544" s="45"/>
      <c r="AQ544" s="45"/>
      <c r="AR544" s="45"/>
      <c r="AS544" s="45"/>
      <c r="AT544" s="45"/>
      <c r="AU544" s="45"/>
      <c r="AV544" s="54"/>
      <c r="AW544" s="54"/>
      <c r="AX544" s="54"/>
      <c r="AY544" s="54"/>
      <c r="AZ544" s="54"/>
      <c r="BA544" s="54"/>
      <c r="BB544" s="54"/>
      <c r="BC544" s="54"/>
    </row>
    <row r="545" spans="1:55">
      <c r="A545" s="45"/>
      <c r="B545" s="45"/>
      <c r="C545" s="45"/>
      <c r="D545" s="45"/>
      <c r="E545" s="45"/>
      <c r="F545" s="45"/>
      <c r="G545" s="45"/>
      <c r="H545" s="45"/>
      <c r="I545" s="45"/>
      <c r="J545" s="45"/>
      <c r="K545" s="45"/>
      <c r="L545" s="45"/>
      <c r="M545" s="45"/>
      <c r="N545" s="45"/>
      <c r="O545" s="54"/>
      <c r="P545" s="54"/>
      <c r="Q545" s="54"/>
      <c r="R545" s="54"/>
      <c r="S545" s="54"/>
      <c r="T545" s="54"/>
      <c r="U545" s="54"/>
      <c r="V545" s="54"/>
      <c r="W545" s="54"/>
      <c r="X545" s="54"/>
      <c r="Y545" s="54"/>
      <c r="Z545" s="54"/>
      <c r="AA545" s="54"/>
      <c r="AB545" s="45"/>
      <c r="AC545" s="45"/>
      <c r="AD545" s="45"/>
      <c r="AE545" s="45"/>
      <c r="AF545" s="45"/>
      <c r="AG545" s="45"/>
      <c r="AH545" s="45"/>
      <c r="AI545" s="45"/>
      <c r="AJ545" s="45"/>
      <c r="AK545" s="45"/>
      <c r="AL545" s="45"/>
      <c r="AM545" s="45"/>
      <c r="AN545" s="45"/>
      <c r="AO545" s="45"/>
      <c r="AP545" s="45"/>
      <c r="AQ545" s="45"/>
      <c r="AR545" s="45"/>
      <c r="AS545" s="45"/>
      <c r="AT545" s="45"/>
      <c r="AU545" s="45"/>
      <c r="AV545" s="45"/>
      <c r="AW545" s="54"/>
      <c r="AX545" s="54"/>
      <c r="AY545" s="54"/>
      <c r="AZ545" s="54"/>
      <c r="BA545" s="54"/>
      <c r="BB545" s="54"/>
      <c r="BC545" s="54"/>
    </row>
    <row r="546" spans="1:55">
      <c r="A546" s="45"/>
      <c r="B546" s="45"/>
      <c r="C546" s="45"/>
      <c r="D546" s="45"/>
      <c r="E546" s="45"/>
      <c r="F546" s="45"/>
      <c r="G546" s="45"/>
      <c r="H546" s="45"/>
      <c r="I546" s="45"/>
      <c r="J546" s="45"/>
      <c r="K546" s="45"/>
      <c r="L546" s="45"/>
      <c r="M546" s="45"/>
      <c r="N546" s="45"/>
      <c r="O546" s="54"/>
      <c r="P546" s="54"/>
      <c r="Q546" s="54"/>
      <c r="R546" s="54"/>
      <c r="S546" s="54"/>
      <c r="T546" s="54"/>
      <c r="U546" s="54"/>
      <c r="V546" s="54"/>
      <c r="W546" s="54"/>
      <c r="X546" s="54"/>
      <c r="Y546" s="54"/>
      <c r="Z546" s="54"/>
      <c r="AA546" s="54"/>
      <c r="AB546" s="54"/>
      <c r="AC546" s="54"/>
      <c r="AD546" s="54"/>
      <c r="AE546" s="54"/>
      <c r="AF546" s="54"/>
      <c r="AG546" s="54"/>
      <c r="AH546" s="54"/>
      <c r="AI546" s="54"/>
      <c r="AJ546" s="54"/>
      <c r="AK546" s="54"/>
      <c r="AL546" s="54"/>
      <c r="AM546" s="54"/>
      <c r="AN546" s="54"/>
      <c r="AO546" s="54"/>
      <c r="AP546" s="54"/>
      <c r="AQ546" s="54"/>
      <c r="AR546" s="54"/>
      <c r="AS546" s="54"/>
      <c r="AT546" s="54"/>
      <c r="AU546" s="54"/>
      <c r="AV546" s="54"/>
      <c r="AW546" s="54"/>
      <c r="AX546" s="54"/>
      <c r="AY546" s="54"/>
      <c r="AZ546" s="54"/>
      <c r="BA546" s="54"/>
      <c r="BB546" s="54"/>
      <c r="BC546" s="54"/>
    </row>
    <row r="547" spans="1:55">
      <c r="A547" s="45"/>
      <c r="B547" s="45"/>
      <c r="C547" s="45"/>
      <c r="D547" s="45"/>
      <c r="E547" s="45"/>
      <c r="F547" s="45"/>
      <c r="G547" s="45"/>
      <c r="H547" s="45"/>
      <c r="I547" s="45"/>
      <c r="J547" s="45"/>
      <c r="K547" s="45"/>
      <c r="L547" s="45"/>
      <c r="M547" s="45"/>
      <c r="N547" s="45"/>
      <c r="O547" s="54"/>
      <c r="P547" s="54"/>
      <c r="Q547" s="54"/>
      <c r="R547" s="54"/>
      <c r="S547" s="54"/>
      <c r="T547" s="54"/>
      <c r="U547" s="54"/>
      <c r="V547" s="54"/>
      <c r="W547" s="54"/>
      <c r="X547" s="54"/>
      <c r="Y547" s="54"/>
      <c r="Z547" s="54"/>
      <c r="AA547" s="54"/>
      <c r="AB547" s="54"/>
      <c r="AC547" s="54"/>
      <c r="AD547" s="54"/>
      <c r="AE547" s="54"/>
      <c r="AF547" s="54"/>
      <c r="AG547" s="54"/>
      <c r="AH547" s="54"/>
      <c r="AI547" s="54"/>
      <c r="AJ547" s="54"/>
      <c r="AK547" s="54"/>
      <c r="AL547" s="54"/>
      <c r="AM547" s="54"/>
      <c r="AN547" s="54"/>
      <c r="AO547" s="54"/>
      <c r="AP547" s="54"/>
      <c r="AQ547" s="54"/>
      <c r="AR547" s="54"/>
      <c r="AS547" s="54"/>
      <c r="AT547" s="54"/>
      <c r="AU547" s="54"/>
      <c r="AV547" s="54"/>
      <c r="AW547" s="54"/>
      <c r="AX547" s="54"/>
      <c r="AY547" s="54"/>
      <c r="AZ547" s="54"/>
      <c r="BA547" s="54"/>
      <c r="BB547" s="54"/>
      <c r="BC547" s="54"/>
    </row>
    <row r="548" spans="1:55">
      <c r="A548" s="45"/>
      <c r="B548" s="45"/>
      <c r="C548" s="45"/>
      <c r="D548" s="45"/>
      <c r="E548" s="45"/>
      <c r="F548" s="45"/>
      <c r="G548" s="45"/>
      <c r="H548" s="45"/>
      <c r="I548" s="45"/>
      <c r="J548" s="45"/>
      <c r="K548" s="45"/>
      <c r="L548" s="45"/>
      <c r="M548" s="45"/>
      <c r="N548" s="45"/>
      <c r="O548" s="54"/>
      <c r="P548" s="54"/>
      <c r="Q548" s="54"/>
      <c r="R548" s="54"/>
      <c r="S548" s="54"/>
      <c r="T548" s="54"/>
      <c r="U548" s="54"/>
      <c r="V548" s="54"/>
      <c r="W548" s="54"/>
      <c r="X548" s="54"/>
      <c r="Y548" s="54"/>
      <c r="Z548" s="54"/>
      <c r="AA548" s="54"/>
      <c r="AB548" s="54"/>
      <c r="AC548" s="54"/>
      <c r="AD548" s="54"/>
      <c r="AE548" s="54"/>
      <c r="AF548" s="54"/>
      <c r="AG548" s="54"/>
      <c r="AH548" s="54"/>
      <c r="AI548" s="54"/>
      <c r="AJ548" s="54"/>
      <c r="AK548" s="54"/>
      <c r="AL548" s="54"/>
      <c r="AM548" s="54"/>
      <c r="AN548" s="54"/>
      <c r="AO548" s="54"/>
      <c r="AP548" s="54"/>
      <c r="AQ548" s="54"/>
      <c r="AR548" s="54"/>
      <c r="AS548" s="54"/>
      <c r="AT548" s="54"/>
      <c r="AU548" s="54"/>
      <c r="AV548" s="54"/>
      <c r="AW548" s="54"/>
      <c r="AX548" s="54"/>
      <c r="AY548" s="54"/>
      <c r="AZ548" s="54"/>
      <c r="BA548" s="54"/>
      <c r="BB548" s="54"/>
      <c r="BC548" s="54"/>
    </row>
    <row r="549" spans="1:55">
      <c r="A549" s="45"/>
      <c r="B549" s="45"/>
      <c r="C549" s="45"/>
      <c r="D549" s="45"/>
      <c r="E549" s="45"/>
      <c r="F549" s="45"/>
      <c r="G549" s="45"/>
      <c r="H549" s="45"/>
      <c r="I549" s="45"/>
      <c r="J549" s="45"/>
      <c r="K549" s="45"/>
      <c r="L549" s="45"/>
      <c r="M549" s="45"/>
      <c r="N549" s="45"/>
      <c r="O549" s="54"/>
      <c r="P549" s="54"/>
      <c r="Q549" s="54"/>
      <c r="R549" s="54"/>
      <c r="S549" s="54"/>
      <c r="T549" s="54"/>
      <c r="U549" s="54"/>
      <c r="V549" s="54"/>
      <c r="W549" s="54"/>
      <c r="X549" s="54"/>
      <c r="Y549" s="54"/>
      <c r="Z549" s="54"/>
      <c r="AA549" s="54"/>
      <c r="AB549" s="54"/>
      <c r="AC549" s="54"/>
      <c r="AD549" s="54"/>
      <c r="AE549" s="54"/>
      <c r="AF549" s="54"/>
      <c r="AG549" s="54"/>
      <c r="AH549" s="54"/>
      <c r="AI549" s="54"/>
      <c r="AJ549" s="54"/>
      <c r="AK549" s="54"/>
      <c r="AL549" s="54"/>
      <c r="AM549" s="54"/>
      <c r="AN549" s="54"/>
      <c r="AO549" s="54"/>
      <c r="AP549" s="54"/>
      <c r="AQ549" s="54"/>
      <c r="AR549" s="54"/>
      <c r="AS549" s="54"/>
      <c r="AT549" s="54"/>
      <c r="AU549" s="54"/>
      <c r="AV549" s="54"/>
      <c r="AW549" s="54"/>
      <c r="AX549" s="54"/>
      <c r="AY549" s="54"/>
      <c r="AZ549" s="54"/>
      <c r="BA549" s="54"/>
      <c r="BB549" s="54"/>
      <c r="BC549" s="54"/>
    </row>
    <row r="550" spans="1:55">
      <c r="A550" s="45"/>
      <c r="B550" s="45"/>
      <c r="C550" s="45"/>
      <c r="D550" s="45"/>
      <c r="E550" s="45"/>
      <c r="F550" s="45"/>
      <c r="G550" s="45"/>
      <c r="H550" s="45"/>
      <c r="I550" s="45"/>
      <c r="J550" s="45"/>
      <c r="K550" s="45"/>
      <c r="L550" s="45"/>
      <c r="M550" s="45"/>
      <c r="N550" s="45"/>
      <c r="O550" s="54"/>
      <c r="P550" s="54"/>
      <c r="Q550" s="54"/>
      <c r="R550" s="54"/>
      <c r="S550" s="54"/>
      <c r="T550" s="54"/>
      <c r="U550" s="54"/>
      <c r="V550" s="54"/>
      <c r="W550" s="54"/>
      <c r="X550" s="54"/>
      <c r="Y550" s="54"/>
      <c r="Z550" s="54"/>
      <c r="AA550" s="54"/>
      <c r="AB550" s="54"/>
      <c r="AC550" s="54"/>
      <c r="AD550" s="54"/>
      <c r="AE550" s="54"/>
      <c r="AF550" s="54"/>
      <c r="AG550" s="54"/>
      <c r="AH550" s="54"/>
      <c r="AI550" s="54"/>
      <c r="AJ550" s="54"/>
      <c r="AK550" s="54"/>
      <c r="AL550" s="54"/>
      <c r="AM550" s="54"/>
      <c r="AN550" s="54"/>
      <c r="AO550" s="54"/>
      <c r="AP550" s="54"/>
      <c r="AQ550" s="54"/>
      <c r="AR550" s="54"/>
      <c r="AS550" s="54"/>
      <c r="AT550" s="54"/>
      <c r="AU550" s="54"/>
      <c r="AV550" s="54"/>
      <c r="AW550" s="54"/>
      <c r="AX550" s="54"/>
      <c r="AY550" s="54"/>
      <c r="AZ550" s="54"/>
      <c r="BA550" s="54"/>
      <c r="BB550" s="54"/>
      <c r="BC550" s="54"/>
    </row>
    <row r="551" spans="1:55">
      <c r="A551" s="45"/>
      <c r="B551" s="45"/>
      <c r="C551" s="45"/>
      <c r="D551" s="45"/>
      <c r="E551" s="45"/>
      <c r="F551" s="45"/>
      <c r="G551" s="45"/>
      <c r="H551" s="45"/>
      <c r="I551" s="45"/>
      <c r="J551" s="45"/>
      <c r="K551" s="45"/>
      <c r="L551" s="45"/>
      <c r="M551" s="45"/>
      <c r="N551" s="45"/>
      <c r="O551" s="54"/>
      <c r="P551" s="54"/>
      <c r="Q551" s="54"/>
      <c r="R551" s="54"/>
      <c r="S551" s="54"/>
      <c r="T551" s="54"/>
      <c r="U551" s="54"/>
      <c r="V551" s="54"/>
      <c r="W551" s="54"/>
      <c r="X551" s="54"/>
      <c r="Y551" s="54"/>
      <c r="Z551" s="54"/>
      <c r="AA551" s="54"/>
      <c r="AB551" s="54"/>
      <c r="AC551" s="54"/>
      <c r="AD551" s="54"/>
      <c r="AE551" s="54"/>
      <c r="AF551" s="54"/>
      <c r="AG551" s="54"/>
      <c r="AH551" s="54"/>
      <c r="AI551" s="54"/>
      <c r="AJ551" s="54"/>
      <c r="AK551" s="54"/>
      <c r="AL551" s="54"/>
      <c r="AM551" s="54"/>
      <c r="AN551" s="54"/>
      <c r="AO551" s="54"/>
      <c r="AP551" s="54"/>
      <c r="AQ551" s="54"/>
      <c r="AR551" s="54"/>
      <c r="AS551" s="54"/>
      <c r="AT551" s="54"/>
      <c r="AU551" s="54"/>
      <c r="AV551" s="54"/>
      <c r="AW551" s="54"/>
      <c r="AX551" s="54"/>
      <c r="AY551" s="54"/>
      <c r="AZ551" s="54"/>
      <c r="BA551" s="54"/>
      <c r="BB551" s="54"/>
      <c r="BC551" s="54"/>
    </row>
    <row r="552" spans="1:55">
      <c r="A552" s="45"/>
      <c r="B552" s="45"/>
      <c r="C552" s="45"/>
      <c r="D552" s="45"/>
      <c r="E552" s="45"/>
      <c r="F552" s="45"/>
      <c r="G552" s="45"/>
      <c r="H552" s="45"/>
      <c r="I552" s="45"/>
      <c r="J552" s="45"/>
      <c r="K552" s="45"/>
      <c r="L552" s="45"/>
      <c r="M552" s="45"/>
      <c r="N552" s="45"/>
      <c r="O552" s="54"/>
      <c r="P552" s="54"/>
      <c r="Q552" s="54"/>
      <c r="R552" s="54"/>
      <c r="S552" s="54"/>
      <c r="T552" s="54"/>
      <c r="U552" s="54"/>
      <c r="V552" s="54"/>
      <c r="W552" s="54"/>
      <c r="X552" s="54"/>
      <c r="Y552" s="54"/>
      <c r="Z552" s="54"/>
      <c r="AA552" s="54"/>
      <c r="AB552" s="54"/>
      <c r="AC552" s="54"/>
      <c r="AD552" s="54"/>
      <c r="AE552" s="54"/>
      <c r="AF552" s="54"/>
      <c r="AG552" s="54"/>
      <c r="AH552" s="54"/>
      <c r="AI552" s="54"/>
      <c r="AJ552" s="54"/>
      <c r="AK552" s="54"/>
      <c r="AL552" s="54"/>
      <c r="AM552" s="54"/>
      <c r="AN552" s="54"/>
      <c r="AO552" s="54"/>
      <c r="AP552" s="54"/>
      <c r="AQ552" s="54"/>
      <c r="AR552" s="54"/>
      <c r="AS552" s="54"/>
      <c r="AT552" s="54"/>
      <c r="AU552" s="54"/>
      <c r="AV552" s="54"/>
      <c r="AW552" s="54"/>
      <c r="AX552" s="54"/>
      <c r="AY552" s="54"/>
      <c r="AZ552" s="54"/>
      <c r="BA552" s="54"/>
      <c r="BB552" s="54"/>
      <c r="BC552" s="54"/>
    </row>
    <row r="553" spans="1:55">
      <c r="A553" s="45"/>
      <c r="B553" s="45"/>
      <c r="C553" s="45"/>
      <c r="D553" s="45"/>
      <c r="E553" s="45"/>
      <c r="F553" s="45"/>
      <c r="G553" s="45"/>
      <c r="H553" s="45"/>
      <c r="I553" s="45"/>
      <c r="J553" s="45"/>
      <c r="K553" s="45"/>
      <c r="L553" s="45"/>
      <c r="M553" s="45"/>
      <c r="N553" s="45"/>
      <c r="O553" s="54"/>
      <c r="P553" s="54"/>
      <c r="Q553" s="54"/>
      <c r="R553" s="54"/>
      <c r="S553" s="54"/>
      <c r="T553" s="54"/>
      <c r="U553" s="54"/>
      <c r="V553" s="54"/>
      <c r="W553" s="54"/>
      <c r="X553" s="54"/>
      <c r="Y553" s="54"/>
      <c r="Z553" s="54"/>
      <c r="AA553" s="54"/>
      <c r="AB553" s="54"/>
      <c r="AC553" s="54"/>
      <c r="AD553" s="54"/>
      <c r="AE553" s="54"/>
      <c r="AF553" s="54"/>
      <c r="AG553" s="54"/>
      <c r="AH553" s="54"/>
      <c r="AI553" s="54"/>
      <c r="AJ553" s="54"/>
      <c r="AK553" s="54"/>
      <c r="AL553" s="54"/>
      <c r="AM553" s="54"/>
      <c r="AN553" s="54"/>
      <c r="AO553" s="54"/>
      <c r="AP553" s="54"/>
      <c r="AQ553" s="54"/>
      <c r="AR553" s="54"/>
      <c r="AS553" s="54"/>
      <c r="AT553" s="54"/>
      <c r="AU553" s="54"/>
      <c r="AV553" s="54"/>
      <c r="AW553" s="54"/>
      <c r="AX553" s="54"/>
      <c r="AY553" s="54"/>
      <c r="AZ553" s="54"/>
      <c r="BA553" s="54"/>
      <c r="BB553" s="54"/>
      <c r="BC553" s="54"/>
    </row>
  </sheetData>
  <mergeCells count="391">
    <mergeCell ref="C10:H10"/>
    <mergeCell ref="T10:Y10"/>
    <mergeCell ref="AK10:AP10"/>
    <mergeCell ref="C11:H11"/>
    <mergeCell ref="T11:Y11"/>
    <mergeCell ref="AK11:AP11"/>
    <mergeCell ref="G15:H15"/>
    <mergeCell ref="X15:Y15"/>
    <mergeCell ref="AO15:AP15"/>
    <mergeCell ref="E17:H17"/>
    <mergeCell ref="V17:Y17"/>
    <mergeCell ref="AM17:AP17"/>
    <mergeCell ref="C52:J52"/>
    <mergeCell ref="T52:AA52"/>
    <mergeCell ref="AK52:AR52"/>
    <mergeCell ref="E25:H25"/>
    <mergeCell ref="V25:Y25"/>
    <mergeCell ref="AM25:AP25"/>
    <mergeCell ref="E39:H39"/>
    <mergeCell ref="V39:Y39"/>
    <mergeCell ref="AM39:AP39"/>
    <mergeCell ref="I57:J57"/>
    <mergeCell ref="Z57:AA57"/>
    <mergeCell ref="AQ57:AR57"/>
    <mergeCell ref="C53:J53"/>
    <mergeCell ref="T53:AA53"/>
    <mergeCell ref="AK53:AR53"/>
    <mergeCell ref="F58:G58"/>
    <mergeCell ref="W58:X58"/>
    <mergeCell ref="AN58:AO58"/>
    <mergeCell ref="G59:J59"/>
    <mergeCell ref="X59:AA59"/>
    <mergeCell ref="AO59:AR59"/>
    <mergeCell ref="G74:J74"/>
    <mergeCell ref="X74:AA74"/>
    <mergeCell ref="AO74:AR74"/>
    <mergeCell ref="C93:P93"/>
    <mergeCell ref="T93:AG93"/>
    <mergeCell ref="AK93:AX93"/>
    <mergeCell ref="E102:P102"/>
    <mergeCell ref="V102:AG102"/>
    <mergeCell ref="AM102:AX102"/>
    <mergeCell ref="O98:P98"/>
    <mergeCell ref="AF98:AG98"/>
    <mergeCell ref="AW98:AX98"/>
    <mergeCell ref="E99:H99"/>
    <mergeCell ref="I99:L99"/>
    <mergeCell ref="M99:P99"/>
    <mergeCell ref="V99:Y99"/>
    <mergeCell ref="AQ99:AT99"/>
    <mergeCell ref="AU99:AX99"/>
    <mergeCell ref="E101:P101"/>
    <mergeCell ref="V101:AG101"/>
    <mergeCell ref="AM101:AX101"/>
    <mergeCell ref="Z99:AC99"/>
    <mergeCell ref="AD99:AG99"/>
    <mergeCell ref="AM99:AP99"/>
    <mergeCell ref="C137:J137"/>
    <mergeCell ref="T137:AA137"/>
    <mergeCell ref="G144:J144"/>
    <mergeCell ref="I142:J142"/>
    <mergeCell ref="Z142:AA142"/>
    <mergeCell ref="C167:M167"/>
    <mergeCell ref="T167:AD167"/>
    <mergeCell ref="AQ142:AR142"/>
    <mergeCell ref="E115:P115"/>
    <mergeCell ref="V115:AG115"/>
    <mergeCell ref="AM115:AX115"/>
    <mergeCell ref="E116:P116"/>
    <mergeCell ref="V116:AG116"/>
    <mergeCell ref="AM116:AX116"/>
    <mergeCell ref="AK137:AR137"/>
    <mergeCell ref="C138:J138"/>
    <mergeCell ref="T138:AA138"/>
    <mergeCell ref="AK138:AR138"/>
    <mergeCell ref="AK167:AU167"/>
    <mergeCell ref="X144:AA144"/>
    <mergeCell ref="F143:G143"/>
    <mergeCell ref="AT172:AU172"/>
    <mergeCell ref="AP172:AQ172"/>
    <mergeCell ref="W143:X143"/>
    <mergeCell ref="AN143:AO143"/>
    <mergeCell ref="AT170:AU170"/>
    <mergeCell ref="AO144:AR144"/>
    <mergeCell ref="AR172:AS172"/>
    <mergeCell ref="Y172:Z172"/>
    <mergeCell ref="AA172:AB172"/>
    <mergeCell ref="AC172:AD172"/>
    <mergeCell ref="AN172:AO172"/>
    <mergeCell ref="W172:X172"/>
    <mergeCell ref="F172:G172"/>
    <mergeCell ref="H172:I172"/>
    <mergeCell ref="J172:K172"/>
    <mergeCell ref="L172:M172"/>
    <mergeCell ref="L170:M170"/>
    <mergeCell ref="AC170:AD170"/>
    <mergeCell ref="C215:H215"/>
    <mergeCell ref="AO218:AP218"/>
    <mergeCell ref="E220:H220"/>
    <mergeCell ref="V220:Y220"/>
    <mergeCell ref="AM220:AP220"/>
    <mergeCell ref="G218:H218"/>
    <mergeCell ref="X218:Y218"/>
    <mergeCell ref="T215:Y215"/>
    <mergeCell ref="AK215:AP215"/>
    <mergeCell ref="L275:M275"/>
    <mergeCell ref="E301:F301"/>
    <mergeCell ref="C331:M331"/>
    <mergeCell ref="G301:H301"/>
    <mergeCell ref="I301:J301"/>
    <mergeCell ref="C297:L297"/>
    <mergeCell ref="K301:L301"/>
    <mergeCell ref="G277:L277"/>
    <mergeCell ref="H275:I275"/>
    <mergeCell ref="F275:G275"/>
    <mergeCell ref="K300:L300"/>
    <mergeCell ref="J275:K275"/>
    <mergeCell ref="V241:Y241"/>
    <mergeCell ref="AC274:AD274"/>
    <mergeCell ref="T270:AD270"/>
    <mergeCell ref="E241:H241"/>
    <mergeCell ref="E251:H251"/>
    <mergeCell ref="E252:H252"/>
    <mergeCell ref="C270:M270"/>
    <mergeCell ref="L274:M274"/>
    <mergeCell ref="AM301:AN301"/>
    <mergeCell ref="AB301:AC301"/>
    <mergeCell ref="AK270:AU270"/>
    <mergeCell ref="AT274:AU274"/>
    <mergeCell ref="AS301:AT301"/>
    <mergeCell ref="T297:AC297"/>
    <mergeCell ref="V301:W301"/>
    <mergeCell ref="W275:X275"/>
    <mergeCell ref="Y275:Z275"/>
    <mergeCell ref="V252:Y252"/>
    <mergeCell ref="AA275:AB275"/>
    <mergeCell ref="AM252:AP252"/>
    <mergeCell ref="V251:Y251"/>
    <mergeCell ref="AC275:AD275"/>
    <mergeCell ref="AN275:AO275"/>
    <mergeCell ref="AM241:AP241"/>
    <mergeCell ref="AP275:AQ275"/>
    <mergeCell ref="AR275:AS275"/>
    <mergeCell ref="AS300:AT300"/>
    <mergeCell ref="AM251:AP251"/>
    <mergeCell ref="AB300:AC300"/>
    <mergeCell ref="AK297:AT297"/>
    <mergeCell ref="AO277:AT277"/>
    <mergeCell ref="X277:AC277"/>
    <mergeCell ref="AT275:AU275"/>
    <mergeCell ref="AQ301:AR301"/>
    <mergeCell ref="T331:AD331"/>
    <mergeCell ref="W336:X336"/>
    <mergeCell ref="AT335:AU335"/>
    <mergeCell ref="AN336:AO336"/>
    <mergeCell ref="AC335:AD335"/>
    <mergeCell ref="Y336:Z336"/>
    <mergeCell ref="X301:Y301"/>
    <mergeCell ref="Z301:AA301"/>
    <mergeCell ref="AO301:AP301"/>
    <mergeCell ref="AK331:AU331"/>
    <mergeCell ref="J336:K336"/>
    <mergeCell ref="AK368:AU368"/>
    <mergeCell ref="L372:M372"/>
    <mergeCell ref="AC372:AD372"/>
    <mergeCell ref="AR373:AS373"/>
    <mergeCell ref="AA373:AB373"/>
    <mergeCell ref="H373:I373"/>
    <mergeCell ref="L336:M336"/>
    <mergeCell ref="AT372:AU372"/>
    <mergeCell ref="T368:AD368"/>
    <mergeCell ref="AP336:AQ336"/>
    <mergeCell ref="AA336:AB336"/>
    <mergeCell ref="AC336:AD336"/>
    <mergeCell ref="AT336:AU336"/>
    <mergeCell ref="AR336:AS336"/>
    <mergeCell ref="C368:M368"/>
    <mergeCell ref="F336:G336"/>
    <mergeCell ref="H336:I336"/>
    <mergeCell ref="J373:K373"/>
    <mergeCell ref="L335:M335"/>
    <mergeCell ref="AS449:AT449"/>
    <mergeCell ref="AK447:AT447"/>
    <mergeCell ref="T447:AC447"/>
    <mergeCell ref="AP373:AQ373"/>
    <mergeCell ref="AT404:AU404"/>
    <mergeCell ref="T401:AD401"/>
    <mergeCell ref="Y373:Z373"/>
    <mergeCell ref="AT373:AU373"/>
    <mergeCell ref="AK401:AU401"/>
    <mergeCell ref="AC404:AD404"/>
    <mergeCell ref="AR405:AS405"/>
    <mergeCell ref="AN405:AO405"/>
    <mergeCell ref="AP405:AQ405"/>
    <mergeCell ref="AT405:AU405"/>
    <mergeCell ref="AC405:AD405"/>
    <mergeCell ref="AA405:AB405"/>
    <mergeCell ref="W405:X405"/>
    <mergeCell ref="AB449:AC449"/>
    <mergeCell ref="AC373:AD373"/>
    <mergeCell ref="L404:M404"/>
    <mergeCell ref="Y405:Z405"/>
    <mergeCell ref="C447:L447"/>
    <mergeCell ref="F373:G373"/>
    <mergeCell ref="C401:M401"/>
    <mergeCell ref="L373:M373"/>
    <mergeCell ref="K449:L449"/>
    <mergeCell ref="L405:M405"/>
    <mergeCell ref="F405:G405"/>
    <mergeCell ref="H405:I405"/>
    <mergeCell ref="J405:K405"/>
    <mergeCell ref="AO451:AT451"/>
    <mergeCell ref="G450:H450"/>
    <mergeCell ref="AB450:AC450"/>
    <mergeCell ref="I450:J450"/>
    <mergeCell ref="Z450:AA450"/>
    <mergeCell ref="AO450:AP450"/>
    <mergeCell ref="AQ450:AR450"/>
    <mergeCell ref="AS450:AT450"/>
    <mergeCell ref="K450:L450"/>
    <mergeCell ref="X450:Y450"/>
    <mergeCell ref="G451:L451"/>
    <mergeCell ref="X451:AC451"/>
    <mergeCell ref="AS452:AT452"/>
    <mergeCell ref="AO452:AP452"/>
    <mergeCell ref="AQ452:AR452"/>
    <mergeCell ref="K452:L452"/>
    <mergeCell ref="X452:Y452"/>
    <mergeCell ref="AS455:AT455"/>
    <mergeCell ref="AO455:AP455"/>
    <mergeCell ref="AO453:AT453"/>
    <mergeCell ref="AS454:AT454"/>
    <mergeCell ref="AQ455:AR455"/>
    <mergeCell ref="AO454:AP454"/>
    <mergeCell ref="AQ454:AR454"/>
    <mergeCell ref="G453:L453"/>
    <mergeCell ref="X453:AC453"/>
    <mergeCell ref="G454:H454"/>
    <mergeCell ref="I454:J454"/>
    <mergeCell ref="I452:J452"/>
    <mergeCell ref="Z452:AA452"/>
    <mergeCell ref="AB452:AC452"/>
    <mergeCell ref="G452:H452"/>
    <mergeCell ref="Z454:AA454"/>
    <mergeCell ref="AB454:AC454"/>
    <mergeCell ref="K454:L454"/>
    <mergeCell ref="X454:Y454"/>
    <mergeCell ref="AO458:AP458"/>
    <mergeCell ref="AS460:AT460"/>
    <mergeCell ref="AQ458:AR458"/>
    <mergeCell ref="AB456:AC456"/>
    <mergeCell ref="AO459:AT459"/>
    <mergeCell ref="AQ460:AR460"/>
    <mergeCell ref="X458:Y458"/>
    <mergeCell ref="AS456:AT456"/>
    <mergeCell ref="AQ456:AR456"/>
    <mergeCell ref="AS458:AT458"/>
    <mergeCell ref="I458:J458"/>
    <mergeCell ref="AO457:AT457"/>
    <mergeCell ref="I456:J456"/>
    <mergeCell ref="AO456:AP456"/>
    <mergeCell ref="AB460:AC460"/>
    <mergeCell ref="K455:L455"/>
    <mergeCell ref="X455:Y455"/>
    <mergeCell ref="K458:L458"/>
    <mergeCell ref="K460:L460"/>
    <mergeCell ref="G459:L459"/>
    <mergeCell ref="K456:L456"/>
    <mergeCell ref="X459:AC459"/>
    <mergeCell ref="G455:H455"/>
    <mergeCell ref="G456:H456"/>
    <mergeCell ref="AB455:AC455"/>
    <mergeCell ref="Z456:AA456"/>
    <mergeCell ref="G457:L457"/>
    <mergeCell ref="AB458:AC458"/>
    <mergeCell ref="G458:H458"/>
    <mergeCell ref="X457:AC457"/>
    <mergeCell ref="I455:J455"/>
    <mergeCell ref="Z458:AA458"/>
    <mergeCell ref="X456:Y456"/>
    <mergeCell ref="Z455:AA455"/>
    <mergeCell ref="G461:H461"/>
    <mergeCell ref="I461:J461"/>
    <mergeCell ref="Z461:AA461"/>
    <mergeCell ref="I460:J460"/>
    <mergeCell ref="K461:L461"/>
    <mergeCell ref="X461:Y461"/>
    <mergeCell ref="X460:Y460"/>
    <mergeCell ref="Z460:AA460"/>
    <mergeCell ref="G460:H460"/>
    <mergeCell ref="K462:L462"/>
    <mergeCell ref="X462:Y462"/>
    <mergeCell ref="AO463:AT463"/>
    <mergeCell ref="Z462:AA462"/>
    <mergeCell ref="AO460:AP460"/>
    <mergeCell ref="AS461:AT461"/>
    <mergeCell ref="AB461:AC461"/>
    <mergeCell ref="AQ461:AR461"/>
    <mergeCell ref="AO462:AP462"/>
    <mergeCell ref="AO461:AP461"/>
    <mergeCell ref="AB462:AC462"/>
    <mergeCell ref="AQ462:AR462"/>
    <mergeCell ref="AS464:AT464"/>
    <mergeCell ref="K464:L464"/>
    <mergeCell ref="X464:Y464"/>
    <mergeCell ref="Z464:AA464"/>
    <mergeCell ref="AB464:AC464"/>
    <mergeCell ref="AS467:AT467"/>
    <mergeCell ref="AS462:AT462"/>
    <mergeCell ref="G464:H464"/>
    <mergeCell ref="I464:J464"/>
    <mergeCell ref="X466:Y466"/>
    <mergeCell ref="AQ464:AR464"/>
    <mergeCell ref="G466:H466"/>
    <mergeCell ref="I466:J466"/>
    <mergeCell ref="G465:L465"/>
    <mergeCell ref="AO464:AP464"/>
    <mergeCell ref="AS466:AT466"/>
    <mergeCell ref="K467:L467"/>
    <mergeCell ref="K466:L466"/>
    <mergeCell ref="G467:H467"/>
    <mergeCell ref="I467:J467"/>
    <mergeCell ref="G463:L463"/>
    <mergeCell ref="X463:AC463"/>
    <mergeCell ref="G462:H462"/>
    <mergeCell ref="I462:J462"/>
    <mergeCell ref="AO465:AT465"/>
    <mergeCell ref="X467:Y467"/>
    <mergeCell ref="AK474:AU474"/>
    <mergeCell ref="Z467:AA467"/>
    <mergeCell ref="Z466:AA466"/>
    <mergeCell ref="AB466:AC466"/>
    <mergeCell ref="AO467:AP467"/>
    <mergeCell ref="T474:AD474"/>
    <mergeCell ref="AC477:AD477"/>
    <mergeCell ref="AO466:AP466"/>
    <mergeCell ref="AQ467:AR467"/>
    <mergeCell ref="AQ466:AR466"/>
    <mergeCell ref="AB467:AC467"/>
    <mergeCell ref="X465:AC465"/>
    <mergeCell ref="W478:X478"/>
    <mergeCell ref="J478:K478"/>
    <mergeCell ref="L478:M478"/>
    <mergeCell ref="C474:M474"/>
    <mergeCell ref="L477:M477"/>
    <mergeCell ref="AR478:AS478"/>
    <mergeCell ref="AK494:AT494"/>
    <mergeCell ref="C494:L494"/>
    <mergeCell ref="AT478:AU478"/>
    <mergeCell ref="AC478:AD478"/>
    <mergeCell ref="AA478:AB478"/>
    <mergeCell ref="H478:I478"/>
    <mergeCell ref="F478:G478"/>
    <mergeCell ref="T494:AC494"/>
    <mergeCell ref="Y478:Z478"/>
    <mergeCell ref="AN478:AO478"/>
    <mergeCell ref="AP478:AQ478"/>
    <mergeCell ref="AT477:AU477"/>
    <mergeCell ref="C528:M528"/>
    <mergeCell ref="E532:G532"/>
    <mergeCell ref="H532:I532"/>
    <mergeCell ref="AS497:AT497"/>
    <mergeCell ref="AB497:AC497"/>
    <mergeCell ref="AC531:AD531"/>
    <mergeCell ref="V498:W498"/>
    <mergeCell ref="X498:Y498"/>
    <mergeCell ref="T528:AD528"/>
    <mergeCell ref="Z498:AA498"/>
    <mergeCell ref="E498:F498"/>
    <mergeCell ref="G498:H498"/>
    <mergeCell ref="I498:J498"/>
    <mergeCell ref="K498:L498"/>
    <mergeCell ref="L531:M531"/>
    <mergeCell ref="K497:L497"/>
    <mergeCell ref="AB498:AC498"/>
    <mergeCell ref="AT532:AU532"/>
    <mergeCell ref="AT531:AU531"/>
    <mergeCell ref="AS498:AT498"/>
    <mergeCell ref="AM498:AN498"/>
    <mergeCell ref="AQ498:AR498"/>
    <mergeCell ref="AO498:AP498"/>
    <mergeCell ref="AK528:AU528"/>
    <mergeCell ref="AR532:AS532"/>
    <mergeCell ref="AP532:AQ532"/>
    <mergeCell ref="J532:K532"/>
    <mergeCell ref="L532:M532"/>
    <mergeCell ref="V532:X532"/>
    <mergeCell ref="Y532:Z532"/>
    <mergeCell ref="AM532:AO532"/>
    <mergeCell ref="AC532:AD532"/>
    <mergeCell ref="AA532:AB532"/>
  </mergeCells>
  <phoneticPr fontId="60" type="noConversion"/>
  <conditionalFormatting sqref="W534:AD542 V534 V542 V500:AC518 X452:AC455 X457:AC461 X463:AC467 W480:AD488 W375:AD389 W338:AD354 V253:Y259 W407:AD427 W429:AD433 V303:AC312 V117:AG123 W146:AA155 W278:AD284 W174:AD192 W194:AD201 W60:AA73 V40:Y45 W75:AA77 V103:AG113 V27:Y38 V221:Y226 V228:Y239 V242:Y249 W435:AD436 W438:AD438 W440:AD440">
    <cfRule type="cellIs" dxfId="6" priority="1" stopIfTrue="1" operator="notBetween">
      <formula>-0.05</formula>
      <formula>0.05</formula>
    </cfRule>
  </conditionalFormatting>
  <conditionalFormatting sqref="V535:V541">
    <cfRule type="cellIs" dxfId="5" priority="2" stopIfTrue="1" operator="notBetween">
      <formula>-0.0005</formula>
      <formula>0.0005</formula>
    </cfRule>
  </conditionalFormatting>
  <conditionalFormatting sqref="X451:AC451 W193:AD193 W145:AA145">
    <cfRule type="cellIs" dxfId="4" priority="3" stopIfTrue="1" operator="notEqual">
      <formula>0</formula>
    </cfRule>
  </conditionalFormatting>
  <pageMargins left="0.75" right="0.75" top="1" bottom="1" header="0.5" footer="0.5"/>
  <pageSetup paperSize="9" scale="91"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Print_Table_0">
                <anchor moveWithCells="1" sizeWithCells="1">
                  <from>
                    <xdr:col>3</xdr:col>
                    <xdr:colOff>704850</xdr:colOff>
                    <xdr:row>5</xdr:row>
                    <xdr:rowOff>28575</xdr:rowOff>
                  </from>
                  <to>
                    <xdr:col>4</xdr:col>
                    <xdr:colOff>200025</xdr:colOff>
                    <xdr:row>6</xdr:row>
                    <xdr:rowOff>76200</xdr:rowOff>
                  </to>
                </anchor>
              </controlPr>
            </control>
          </mc:Choice>
        </mc:AlternateContent>
        <mc:AlternateContent xmlns:mc="http://schemas.openxmlformats.org/markup-compatibility/2006">
          <mc:Choice Requires="x14">
            <control shapeId="23554" r:id="rId5" name="Button 2">
              <controlPr defaultSize="0" print="0" autoFill="0" autoPict="0" macro="[0]!Print_Table_1">
                <anchor moveWithCells="1" sizeWithCells="1">
                  <from>
                    <xdr:col>4</xdr:col>
                    <xdr:colOff>476250</xdr:colOff>
                    <xdr:row>17</xdr:row>
                    <xdr:rowOff>0</xdr:rowOff>
                  </from>
                  <to>
                    <xdr:col>5</xdr:col>
                    <xdr:colOff>333375</xdr:colOff>
                    <xdr:row>17</xdr:row>
                    <xdr:rowOff>0</xdr:rowOff>
                  </to>
                </anchor>
              </controlPr>
            </control>
          </mc:Choice>
        </mc:AlternateContent>
        <mc:AlternateContent xmlns:mc="http://schemas.openxmlformats.org/markup-compatibility/2006">
          <mc:Choice Requires="x14">
            <control shapeId="23555" r:id="rId6" name="Button 3">
              <controlPr defaultSize="0" print="0" autoFill="0" autoPict="0" macro="[0]!Print_Table_2">
                <anchor moveWithCells="1" sizeWithCells="1">
                  <from>
                    <xdr:col>8</xdr:col>
                    <xdr:colOff>285750</xdr:colOff>
                    <xdr:row>55</xdr:row>
                    <xdr:rowOff>28575</xdr:rowOff>
                  </from>
                  <to>
                    <xdr:col>9</xdr:col>
                    <xdr:colOff>142875</xdr:colOff>
                    <xdr:row>56</xdr:row>
                    <xdr:rowOff>85725</xdr:rowOff>
                  </to>
                </anchor>
              </controlPr>
            </control>
          </mc:Choice>
        </mc:AlternateContent>
        <mc:AlternateContent xmlns:mc="http://schemas.openxmlformats.org/markup-compatibility/2006">
          <mc:Choice Requires="x14">
            <control shapeId="23556" r:id="rId7" name="Button 4">
              <controlPr defaultSize="0" print="0" autoFill="0" autoPict="0" macro="[0]!Print_Table_3">
                <anchor moveWithCells="1" sizeWithCells="1">
                  <from>
                    <xdr:col>4</xdr:col>
                    <xdr:colOff>485775</xdr:colOff>
                    <xdr:row>82</xdr:row>
                    <xdr:rowOff>66675</xdr:rowOff>
                  </from>
                  <to>
                    <xdr:col>5</xdr:col>
                    <xdr:colOff>342900</xdr:colOff>
                    <xdr:row>83</xdr:row>
                    <xdr:rowOff>123825</xdr:rowOff>
                  </to>
                </anchor>
              </controlPr>
            </control>
          </mc:Choice>
        </mc:AlternateContent>
        <mc:AlternateContent xmlns:mc="http://schemas.openxmlformats.org/markup-compatibility/2006">
          <mc:Choice Requires="x14">
            <control shapeId="23557" r:id="rId8" name="Button 5">
              <controlPr defaultSize="0" print="0" autoFill="0" autoPict="0" macro="[0]!Print_Table_4">
                <anchor moveWithCells="1" sizeWithCells="1">
                  <from>
                    <xdr:col>6</xdr:col>
                    <xdr:colOff>390525</xdr:colOff>
                    <xdr:row>100</xdr:row>
                    <xdr:rowOff>66675</xdr:rowOff>
                  </from>
                  <to>
                    <xdr:col>7</xdr:col>
                    <xdr:colOff>247650</xdr:colOff>
                    <xdr:row>101</xdr:row>
                    <xdr:rowOff>123825</xdr:rowOff>
                  </to>
                </anchor>
              </controlPr>
            </control>
          </mc:Choice>
        </mc:AlternateContent>
        <mc:AlternateContent xmlns:mc="http://schemas.openxmlformats.org/markup-compatibility/2006">
          <mc:Choice Requires="x14">
            <control shapeId="23558" r:id="rId9" name="Button 6">
              <controlPr defaultSize="0" print="0" autoFill="0" autoPict="0" macro="[0]!Print_Table_5">
                <anchor moveWithCells="1" sizeWithCells="1">
                  <from>
                    <xdr:col>3</xdr:col>
                    <xdr:colOff>714375</xdr:colOff>
                    <xdr:row>130</xdr:row>
                    <xdr:rowOff>0</xdr:rowOff>
                  </from>
                  <to>
                    <xdr:col>4</xdr:col>
                    <xdr:colOff>209550</xdr:colOff>
                    <xdr:row>131</xdr:row>
                    <xdr:rowOff>57150</xdr:rowOff>
                  </to>
                </anchor>
              </controlPr>
            </control>
          </mc:Choice>
        </mc:AlternateContent>
        <mc:AlternateContent xmlns:mc="http://schemas.openxmlformats.org/markup-compatibility/2006">
          <mc:Choice Requires="x14">
            <control shapeId="23559" r:id="rId10" name="Button 7">
              <controlPr defaultSize="0" print="0" autoFill="0" autoPict="0" macro="[0]!Print_Table_6">
                <anchor moveWithCells="1" sizeWithCells="1">
                  <from>
                    <xdr:col>6</xdr:col>
                    <xdr:colOff>381000</xdr:colOff>
                    <xdr:row>163</xdr:row>
                    <xdr:rowOff>104775</xdr:rowOff>
                  </from>
                  <to>
                    <xdr:col>7</xdr:col>
                    <xdr:colOff>238125</xdr:colOff>
                    <xdr:row>165</xdr:row>
                    <xdr:rowOff>0</xdr:rowOff>
                  </to>
                </anchor>
              </controlPr>
            </control>
          </mc:Choice>
        </mc:AlternateContent>
        <mc:AlternateContent xmlns:mc="http://schemas.openxmlformats.org/markup-compatibility/2006">
          <mc:Choice Requires="x14">
            <control shapeId="23560" r:id="rId11" name="Button 8">
              <controlPr defaultSize="0" print="0" autoFill="0" autoPict="0" macro="[0]!Print_Table_7">
                <anchor moveWithCells="1" sizeWithCells="1">
                  <from>
                    <xdr:col>6</xdr:col>
                    <xdr:colOff>19050</xdr:colOff>
                    <xdr:row>179</xdr:row>
                    <xdr:rowOff>142875</xdr:rowOff>
                  </from>
                  <to>
                    <xdr:col>6</xdr:col>
                    <xdr:colOff>466725</xdr:colOff>
                    <xdr:row>181</xdr:row>
                    <xdr:rowOff>38100</xdr:rowOff>
                  </to>
                </anchor>
              </controlPr>
            </control>
          </mc:Choice>
        </mc:AlternateContent>
        <mc:AlternateContent xmlns:mc="http://schemas.openxmlformats.org/markup-compatibility/2006">
          <mc:Choice Requires="x14">
            <control shapeId="23561" r:id="rId12" name="Button 9">
              <controlPr defaultSize="0" print="0" autoFill="0" autoPict="0" macro="[0]!Print_Table_8">
                <anchor moveWithCells="1" sizeWithCells="1">
                  <from>
                    <xdr:col>6</xdr:col>
                    <xdr:colOff>381000</xdr:colOff>
                    <xdr:row>200</xdr:row>
                    <xdr:rowOff>57150</xdr:rowOff>
                  </from>
                  <to>
                    <xdr:col>7</xdr:col>
                    <xdr:colOff>238125</xdr:colOff>
                    <xdr:row>201</xdr:row>
                    <xdr:rowOff>104775</xdr:rowOff>
                  </to>
                </anchor>
              </controlPr>
            </control>
          </mc:Choice>
        </mc:AlternateContent>
        <mc:AlternateContent xmlns:mc="http://schemas.openxmlformats.org/markup-compatibility/2006">
          <mc:Choice Requires="x14">
            <control shapeId="23562" r:id="rId13" name="Button 10">
              <controlPr defaultSize="0" print="0" autoFill="0" autoPict="0" macro="[0]!Print_Table_9">
                <anchor moveWithCells="1" sizeWithCells="1">
                  <from>
                    <xdr:col>6</xdr:col>
                    <xdr:colOff>371475</xdr:colOff>
                    <xdr:row>222</xdr:row>
                    <xdr:rowOff>104775</xdr:rowOff>
                  </from>
                  <to>
                    <xdr:col>7</xdr:col>
                    <xdr:colOff>238125</xdr:colOff>
                    <xdr:row>224</xdr:row>
                    <xdr:rowOff>0</xdr:rowOff>
                  </to>
                </anchor>
              </controlPr>
            </control>
          </mc:Choice>
        </mc:AlternateContent>
        <mc:AlternateContent xmlns:mc="http://schemas.openxmlformats.org/markup-compatibility/2006">
          <mc:Choice Requires="x14">
            <control shapeId="23563" r:id="rId14" name="Button 11">
              <controlPr defaultSize="0" print="0" autoFill="0" autoPict="0" macro="[0]!Print_Table_10">
                <anchor moveWithCells="1" sizeWithCells="1">
                  <from>
                    <xdr:col>6</xdr:col>
                    <xdr:colOff>381000</xdr:colOff>
                    <xdr:row>243</xdr:row>
                    <xdr:rowOff>104775</xdr:rowOff>
                  </from>
                  <to>
                    <xdr:col>7</xdr:col>
                    <xdr:colOff>238125</xdr:colOff>
                    <xdr:row>245</xdr:row>
                    <xdr:rowOff>0</xdr:rowOff>
                  </to>
                </anchor>
              </controlPr>
            </control>
          </mc:Choice>
        </mc:AlternateContent>
        <mc:AlternateContent xmlns:mc="http://schemas.openxmlformats.org/markup-compatibility/2006">
          <mc:Choice Requires="x14">
            <control shapeId="23564" r:id="rId15" name="Button 12">
              <controlPr defaultSize="0" print="0" autoFill="0" autoPict="0" macro="[0]!Print_Table_10a">
                <anchor moveWithCells="1" sizeWithCells="1">
                  <from>
                    <xdr:col>6</xdr:col>
                    <xdr:colOff>19050</xdr:colOff>
                    <xdr:row>271</xdr:row>
                    <xdr:rowOff>180975</xdr:rowOff>
                  </from>
                  <to>
                    <xdr:col>6</xdr:col>
                    <xdr:colOff>457200</xdr:colOff>
                    <xdr:row>273</xdr:row>
                    <xdr:rowOff>0</xdr:rowOff>
                  </to>
                </anchor>
              </controlPr>
            </control>
          </mc:Choice>
        </mc:AlternateContent>
        <mc:AlternateContent xmlns:mc="http://schemas.openxmlformats.org/markup-compatibility/2006">
          <mc:Choice Requires="x14">
            <control shapeId="23565" r:id="rId16" name="Button 13">
              <controlPr defaultSize="0" print="0" autoFill="0" autoPict="0" macro="[0]!Print_Table_10b">
                <anchor moveWithCells="1" sizeWithCells="1">
                  <from>
                    <xdr:col>6</xdr:col>
                    <xdr:colOff>381000</xdr:colOff>
                    <xdr:row>288</xdr:row>
                    <xdr:rowOff>95250</xdr:rowOff>
                  </from>
                  <to>
                    <xdr:col>7</xdr:col>
                    <xdr:colOff>238125</xdr:colOff>
                    <xdr:row>290</xdr:row>
                    <xdr:rowOff>0</xdr:rowOff>
                  </to>
                </anchor>
              </controlPr>
            </control>
          </mc:Choice>
        </mc:AlternateContent>
        <mc:AlternateContent xmlns:mc="http://schemas.openxmlformats.org/markup-compatibility/2006">
          <mc:Choice Requires="x14">
            <control shapeId="23566" r:id="rId17" name="Button 14">
              <controlPr defaultSize="0" print="0" autoFill="0" autoPict="0" macro="[0]!Print_Table_11">
                <anchor moveWithCells="1" sizeWithCells="1">
                  <from>
                    <xdr:col>6</xdr:col>
                    <xdr:colOff>19050</xdr:colOff>
                    <xdr:row>300</xdr:row>
                    <xdr:rowOff>95250</xdr:rowOff>
                  </from>
                  <to>
                    <xdr:col>6</xdr:col>
                    <xdr:colOff>457200</xdr:colOff>
                    <xdr:row>301</xdr:row>
                    <xdr:rowOff>152400</xdr:rowOff>
                  </to>
                </anchor>
              </controlPr>
            </control>
          </mc:Choice>
        </mc:AlternateContent>
        <mc:AlternateContent xmlns:mc="http://schemas.openxmlformats.org/markup-compatibility/2006">
          <mc:Choice Requires="x14">
            <control shapeId="23567" r:id="rId18" name="Button 15">
              <controlPr defaultSize="0" print="0" autoFill="0" autoPict="0" macro="[0]!Print_Table_12">
                <anchor moveWithCells="1" sizeWithCells="1">
                  <from>
                    <xdr:col>6</xdr:col>
                    <xdr:colOff>381000</xdr:colOff>
                    <xdr:row>321</xdr:row>
                    <xdr:rowOff>85725</xdr:rowOff>
                  </from>
                  <to>
                    <xdr:col>7</xdr:col>
                    <xdr:colOff>238125</xdr:colOff>
                    <xdr:row>322</xdr:row>
                    <xdr:rowOff>142875</xdr:rowOff>
                  </to>
                </anchor>
              </controlPr>
            </control>
          </mc:Choice>
        </mc:AlternateContent>
        <mc:AlternateContent xmlns:mc="http://schemas.openxmlformats.org/markup-compatibility/2006">
          <mc:Choice Requires="x14">
            <control shapeId="23568" r:id="rId19" name="Button 16">
              <controlPr defaultSize="0" print="0" autoFill="0" autoPict="0" macro="[0]!TablesNavigationMacros.Print_Tables_all">
                <anchor moveWithCells="1" sizeWithCells="1">
                  <from>
                    <xdr:col>2</xdr:col>
                    <xdr:colOff>2495550</xdr:colOff>
                    <xdr:row>0</xdr:row>
                    <xdr:rowOff>123825</xdr:rowOff>
                  </from>
                  <to>
                    <xdr:col>3</xdr:col>
                    <xdr:colOff>466725</xdr:colOff>
                    <xdr:row>3</xdr:row>
                    <xdr:rowOff>19050</xdr:rowOff>
                  </to>
                </anchor>
              </controlPr>
            </control>
          </mc:Choice>
        </mc:AlternateContent>
        <mc:AlternateContent xmlns:mc="http://schemas.openxmlformats.org/markup-compatibility/2006">
          <mc:Choice Requires="x14">
            <control shapeId="23569" r:id="rId20" name="Button 17">
              <controlPr defaultSize="0" print="0" autoFill="0" autoPict="0" macro="[0]!Go_to_Table_0">
                <anchor moveWithCells="1" sizeWithCells="1">
                  <from>
                    <xdr:col>3</xdr:col>
                    <xdr:colOff>466725</xdr:colOff>
                    <xdr:row>0</xdr:row>
                    <xdr:rowOff>123825</xdr:rowOff>
                  </from>
                  <to>
                    <xdr:col>3</xdr:col>
                    <xdr:colOff>914400</xdr:colOff>
                    <xdr:row>1</xdr:row>
                    <xdr:rowOff>95250</xdr:rowOff>
                  </to>
                </anchor>
              </controlPr>
            </control>
          </mc:Choice>
        </mc:AlternateContent>
        <mc:AlternateContent xmlns:mc="http://schemas.openxmlformats.org/markup-compatibility/2006">
          <mc:Choice Requires="x14">
            <control shapeId="23571" r:id="rId21" name="Button 19">
              <controlPr defaultSize="0" print="0" autoFill="0" autoPict="0" macro="[0]!Go_to_Table_1">
                <anchor moveWithCells="1" sizeWithCells="1">
                  <from>
                    <xdr:col>3</xdr:col>
                    <xdr:colOff>914400</xdr:colOff>
                    <xdr:row>0</xdr:row>
                    <xdr:rowOff>123825</xdr:rowOff>
                  </from>
                  <to>
                    <xdr:col>4</xdr:col>
                    <xdr:colOff>419100</xdr:colOff>
                    <xdr:row>1</xdr:row>
                    <xdr:rowOff>95250</xdr:rowOff>
                  </to>
                </anchor>
              </controlPr>
            </control>
          </mc:Choice>
        </mc:AlternateContent>
        <mc:AlternateContent xmlns:mc="http://schemas.openxmlformats.org/markup-compatibility/2006">
          <mc:Choice Requires="x14">
            <control shapeId="23572" r:id="rId22" name="Button 20">
              <controlPr defaultSize="0" print="0" autoFill="0" autoPict="0" macro="[0]!Go_to_Table_2">
                <anchor moveWithCells="1" sizeWithCells="1">
                  <from>
                    <xdr:col>4</xdr:col>
                    <xdr:colOff>419100</xdr:colOff>
                    <xdr:row>0</xdr:row>
                    <xdr:rowOff>123825</xdr:rowOff>
                  </from>
                  <to>
                    <xdr:col>5</xdr:col>
                    <xdr:colOff>285750</xdr:colOff>
                    <xdr:row>1</xdr:row>
                    <xdr:rowOff>95250</xdr:rowOff>
                  </to>
                </anchor>
              </controlPr>
            </control>
          </mc:Choice>
        </mc:AlternateContent>
        <mc:AlternateContent xmlns:mc="http://schemas.openxmlformats.org/markup-compatibility/2006">
          <mc:Choice Requires="x14">
            <control shapeId="23573" r:id="rId23" name="Button 21">
              <controlPr defaultSize="0" print="0" autoFill="0" autoPict="0" macro="[0]!Go_to_Table_3">
                <anchor moveWithCells="1" sizeWithCells="1">
                  <from>
                    <xdr:col>5</xdr:col>
                    <xdr:colOff>285750</xdr:colOff>
                    <xdr:row>0</xdr:row>
                    <xdr:rowOff>123825</xdr:rowOff>
                  </from>
                  <to>
                    <xdr:col>6</xdr:col>
                    <xdr:colOff>152400</xdr:colOff>
                    <xdr:row>1</xdr:row>
                    <xdr:rowOff>95250</xdr:rowOff>
                  </to>
                </anchor>
              </controlPr>
            </control>
          </mc:Choice>
        </mc:AlternateContent>
        <mc:AlternateContent xmlns:mc="http://schemas.openxmlformats.org/markup-compatibility/2006">
          <mc:Choice Requires="x14">
            <control shapeId="23574" r:id="rId24" name="Button 22">
              <controlPr defaultSize="0" print="0" autoFill="0" autoPict="0" macro="[0]!Go_to_Table_4">
                <anchor moveWithCells="1" sizeWithCells="1">
                  <from>
                    <xdr:col>6</xdr:col>
                    <xdr:colOff>152400</xdr:colOff>
                    <xdr:row>0</xdr:row>
                    <xdr:rowOff>123825</xdr:rowOff>
                  </from>
                  <to>
                    <xdr:col>7</xdr:col>
                    <xdr:colOff>19050</xdr:colOff>
                    <xdr:row>1</xdr:row>
                    <xdr:rowOff>95250</xdr:rowOff>
                  </to>
                </anchor>
              </controlPr>
            </control>
          </mc:Choice>
        </mc:AlternateContent>
        <mc:AlternateContent xmlns:mc="http://schemas.openxmlformats.org/markup-compatibility/2006">
          <mc:Choice Requires="x14">
            <control shapeId="23575" r:id="rId25" name="Button 23">
              <controlPr defaultSize="0" print="0" autoFill="0" autoPict="0" macro="[0]!Go_to_Table_5">
                <anchor moveWithCells="1" sizeWithCells="1">
                  <from>
                    <xdr:col>3</xdr:col>
                    <xdr:colOff>466725</xdr:colOff>
                    <xdr:row>1</xdr:row>
                    <xdr:rowOff>85725</xdr:rowOff>
                  </from>
                  <to>
                    <xdr:col>3</xdr:col>
                    <xdr:colOff>914400</xdr:colOff>
                    <xdr:row>2</xdr:row>
                    <xdr:rowOff>47625</xdr:rowOff>
                  </to>
                </anchor>
              </controlPr>
            </control>
          </mc:Choice>
        </mc:AlternateContent>
        <mc:AlternateContent xmlns:mc="http://schemas.openxmlformats.org/markup-compatibility/2006">
          <mc:Choice Requires="x14">
            <control shapeId="23576" r:id="rId26" name="Button 24">
              <controlPr defaultSize="0" print="0" autoFill="0" autoPict="0" macro="[0]!Go_to_Table_6">
                <anchor moveWithCells="1" sizeWithCells="1">
                  <from>
                    <xdr:col>3</xdr:col>
                    <xdr:colOff>914400</xdr:colOff>
                    <xdr:row>1</xdr:row>
                    <xdr:rowOff>85725</xdr:rowOff>
                  </from>
                  <to>
                    <xdr:col>4</xdr:col>
                    <xdr:colOff>419100</xdr:colOff>
                    <xdr:row>2</xdr:row>
                    <xdr:rowOff>47625</xdr:rowOff>
                  </to>
                </anchor>
              </controlPr>
            </control>
          </mc:Choice>
        </mc:AlternateContent>
        <mc:AlternateContent xmlns:mc="http://schemas.openxmlformats.org/markup-compatibility/2006">
          <mc:Choice Requires="x14">
            <control shapeId="23577" r:id="rId27" name="Button 25">
              <controlPr defaultSize="0" print="0" autoFill="0" autoPict="0" macro="[0]!Go_to_Table_7">
                <anchor moveWithCells="1" sizeWithCells="1">
                  <from>
                    <xdr:col>4</xdr:col>
                    <xdr:colOff>419100</xdr:colOff>
                    <xdr:row>1</xdr:row>
                    <xdr:rowOff>85725</xdr:rowOff>
                  </from>
                  <to>
                    <xdr:col>5</xdr:col>
                    <xdr:colOff>285750</xdr:colOff>
                    <xdr:row>2</xdr:row>
                    <xdr:rowOff>47625</xdr:rowOff>
                  </to>
                </anchor>
              </controlPr>
            </control>
          </mc:Choice>
        </mc:AlternateContent>
        <mc:AlternateContent xmlns:mc="http://schemas.openxmlformats.org/markup-compatibility/2006">
          <mc:Choice Requires="x14">
            <control shapeId="23578" r:id="rId28" name="Button 26">
              <controlPr defaultSize="0" print="0" autoFill="0" autoPict="0" macro="[0]!Go_to_Table_8">
                <anchor moveWithCells="1" sizeWithCells="1">
                  <from>
                    <xdr:col>5</xdr:col>
                    <xdr:colOff>285750</xdr:colOff>
                    <xdr:row>1</xdr:row>
                    <xdr:rowOff>85725</xdr:rowOff>
                  </from>
                  <to>
                    <xdr:col>6</xdr:col>
                    <xdr:colOff>152400</xdr:colOff>
                    <xdr:row>2</xdr:row>
                    <xdr:rowOff>47625</xdr:rowOff>
                  </to>
                </anchor>
              </controlPr>
            </control>
          </mc:Choice>
        </mc:AlternateContent>
        <mc:AlternateContent xmlns:mc="http://schemas.openxmlformats.org/markup-compatibility/2006">
          <mc:Choice Requires="x14">
            <control shapeId="23579" r:id="rId29" name="Button 27">
              <controlPr defaultSize="0" print="0" autoFill="0" autoPict="0" macro="[0]!Go_to_Table_9">
                <anchor moveWithCells="1" sizeWithCells="1">
                  <from>
                    <xdr:col>6</xdr:col>
                    <xdr:colOff>152400</xdr:colOff>
                    <xdr:row>1</xdr:row>
                    <xdr:rowOff>85725</xdr:rowOff>
                  </from>
                  <to>
                    <xdr:col>7</xdr:col>
                    <xdr:colOff>19050</xdr:colOff>
                    <xdr:row>2</xdr:row>
                    <xdr:rowOff>47625</xdr:rowOff>
                  </to>
                </anchor>
              </controlPr>
            </control>
          </mc:Choice>
        </mc:AlternateContent>
        <mc:AlternateContent xmlns:mc="http://schemas.openxmlformats.org/markup-compatibility/2006">
          <mc:Choice Requires="x14">
            <control shapeId="23580" r:id="rId30" name="Button 28">
              <controlPr defaultSize="0" print="0" autoFill="0" autoPict="0" macro="[0]!Go_to_Table_10">
                <anchor moveWithCells="1" sizeWithCells="1">
                  <from>
                    <xdr:col>3</xdr:col>
                    <xdr:colOff>466725</xdr:colOff>
                    <xdr:row>2</xdr:row>
                    <xdr:rowOff>57150</xdr:rowOff>
                  </from>
                  <to>
                    <xdr:col>3</xdr:col>
                    <xdr:colOff>914400</xdr:colOff>
                    <xdr:row>3</xdr:row>
                    <xdr:rowOff>19050</xdr:rowOff>
                  </to>
                </anchor>
              </controlPr>
            </control>
          </mc:Choice>
        </mc:AlternateContent>
        <mc:AlternateContent xmlns:mc="http://schemas.openxmlformats.org/markup-compatibility/2006">
          <mc:Choice Requires="x14">
            <control shapeId="23581" r:id="rId31" name="Button 29">
              <controlPr defaultSize="0" print="0" autoFill="0" autoPict="0" macro="[0]!Go_to_Table_10a">
                <anchor moveWithCells="1" sizeWithCells="1">
                  <from>
                    <xdr:col>3</xdr:col>
                    <xdr:colOff>914400</xdr:colOff>
                    <xdr:row>2</xdr:row>
                    <xdr:rowOff>57150</xdr:rowOff>
                  </from>
                  <to>
                    <xdr:col>4</xdr:col>
                    <xdr:colOff>419100</xdr:colOff>
                    <xdr:row>3</xdr:row>
                    <xdr:rowOff>19050</xdr:rowOff>
                  </to>
                </anchor>
              </controlPr>
            </control>
          </mc:Choice>
        </mc:AlternateContent>
        <mc:AlternateContent xmlns:mc="http://schemas.openxmlformats.org/markup-compatibility/2006">
          <mc:Choice Requires="x14">
            <control shapeId="23582" r:id="rId32" name="Button 30">
              <controlPr defaultSize="0" print="0" autoFill="0" autoPict="0" macro="[0]!TablesNavigationMacros.Go_to_Table_10b">
                <anchor moveWithCells="1" sizeWithCells="1">
                  <from>
                    <xdr:col>4</xdr:col>
                    <xdr:colOff>419100</xdr:colOff>
                    <xdr:row>2</xdr:row>
                    <xdr:rowOff>57150</xdr:rowOff>
                  </from>
                  <to>
                    <xdr:col>5</xdr:col>
                    <xdr:colOff>285750</xdr:colOff>
                    <xdr:row>3</xdr:row>
                    <xdr:rowOff>19050</xdr:rowOff>
                  </to>
                </anchor>
              </controlPr>
            </control>
          </mc:Choice>
        </mc:AlternateContent>
        <mc:AlternateContent xmlns:mc="http://schemas.openxmlformats.org/markup-compatibility/2006">
          <mc:Choice Requires="x14">
            <control shapeId="23583" r:id="rId33" name="Button 31">
              <controlPr defaultSize="0" print="0" autoFill="0" autoPict="0" macro="[0]!Go_to_Table_11">
                <anchor moveWithCells="1" sizeWithCells="1">
                  <from>
                    <xdr:col>5</xdr:col>
                    <xdr:colOff>285750</xdr:colOff>
                    <xdr:row>2</xdr:row>
                    <xdr:rowOff>57150</xdr:rowOff>
                  </from>
                  <to>
                    <xdr:col>6</xdr:col>
                    <xdr:colOff>152400</xdr:colOff>
                    <xdr:row>3</xdr:row>
                    <xdr:rowOff>19050</xdr:rowOff>
                  </to>
                </anchor>
              </controlPr>
            </control>
          </mc:Choice>
        </mc:AlternateContent>
        <mc:AlternateContent xmlns:mc="http://schemas.openxmlformats.org/markup-compatibility/2006">
          <mc:Choice Requires="x14">
            <control shapeId="23584" r:id="rId34" name="Button 32">
              <controlPr defaultSize="0" print="0" autoFill="0" autoPict="0" macro="[0]!Go_to_Table_12">
                <anchor moveWithCells="1" sizeWithCells="1">
                  <from>
                    <xdr:col>6</xdr:col>
                    <xdr:colOff>152400</xdr:colOff>
                    <xdr:row>2</xdr:row>
                    <xdr:rowOff>57150</xdr:rowOff>
                  </from>
                  <to>
                    <xdr:col>7</xdr:col>
                    <xdr:colOff>19050</xdr:colOff>
                    <xdr:row>3</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pageSetUpPr autoPageBreaks="0" fitToPage="1"/>
  </sheetPr>
  <dimension ref="A2:AW161"/>
  <sheetViews>
    <sheetView showGridLines="0" tabSelected="1" zoomScale="85" zoomScaleNormal="85" workbookViewId="0">
      <pane xSplit="7" ySplit="11" topLeftCell="H12" activePane="bottomRight" state="frozen"/>
      <selection pane="topRight" activeCell="H1" sqref="H1"/>
      <selection pane="bottomLeft" activeCell="A12" sqref="A12"/>
      <selection pane="bottomRight" activeCell="J7" sqref="J7"/>
    </sheetView>
  </sheetViews>
  <sheetFormatPr defaultRowHeight="12.75"/>
  <cols>
    <col min="1" max="1" width="66.7109375" style="3256" customWidth="1"/>
    <col min="2" max="2" width="4.7109375" style="3256" customWidth="1"/>
    <col min="3" max="3" width="8.42578125" style="3256" customWidth="1"/>
    <col min="4" max="4" width="12.28515625" style="3257" bestFit="1" customWidth="1"/>
    <col min="5" max="5" width="9.140625" style="3256"/>
    <col min="6" max="6" width="8.5703125" style="3259" customWidth="1"/>
    <col min="7" max="7" width="35" style="3256" customWidth="1"/>
    <col min="8" max="12" width="10" style="3256" customWidth="1"/>
    <col min="13" max="13" width="10.140625" style="3256" customWidth="1"/>
    <col min="14" max="16" width="10.140625" style="3260" customWidth="1"/>
    <col min="17" max="27" width="8.42578125" style="3256" customWidth="1"/>
    <col min="28" max="16384" width="9.140625" style="3256"/>
  </cols>
  <sheetData>
    <row r="2" spans="1:32" s="3231" customFormat="1" ht="15.75" customHeight="1">
      <c r="D2" s="3232"/>
      <c r="F2" s="3233"/>
      <c r="N2" s="3234"/>
      <c r="O2" s="3234"/>
      <c r="P2" s="3234"/>
    </row>
    <row r="3" spans="1:32" s="3231" customFormat="1" ht="15.75">
      <c r="D3" s="3232"/>
      <c r="F3" s="3233"/>
      <c r="G3" s="3235" t="s">
        <v>1129</v>
      </c>
      <c r="N3" s="3234"/>
      <c r="O3" s="3234"/>
      <c r="P3" s="3234"/>
    </row>
    <row r="4" spans="1:32" s="3236" customFormat="1" ht="15.75">
      <c r="D4" s="3237"/>
      <c r="G4" s="3238" t="s">
        <v>920</v>
      </c>
      <c r="H4" s="3239" t="s">
        <v>68</v>
      </c>
      <c r="I4" s="3240"/>
      <c r="J4" s="3241"/>
      <c r="K4" s="3240"/>
      <c r="L4" s="3240"/>
      <c r="M4" s="3242"/>
      <c r="N4" s="3243"/>
      <c r="O4" s="3243"/>
      <c r="P4" s="3243"/>
    </row>
    <row r="5" spans="1:32" s="3236" customFormat="1" ht="15.75">
      <c r="D5" s="3237"/>
      <c r="G5" s="3238" t="s">
        <v>921</v>
      </c>
      <c r="H5" s="3244" t="s">
        <v>914</v>
      </c>
      <c r="I5" s="3245"/>
      <c r="J5" s="3246" t="str">
        <f>Country</f>
        <v>Lithuania</v>
      </c>
      <c r="K5" s="3240"/>
      <c r="L5" s="3240"/>
      <c r="M5" s="3242"/>
      <c r="N5" s="3243"/>
      <c r="O5" s="3243"/>
      <c r="P5" s="3243"/>
    </row>
    <row r="6" spans="1:32" s="3236" customFormat="1" ht="15.75">
      <c r="D6" s="3237"/>
      <c r="G6" s="3238" t="s">
        <v>922</v>
      </c>
      <c r="H6" s="3247" t="s">
        <v>528</v>
      </c>
      <c r="I6" s="3248"/>
      <c r="J6" s="3249" t="s">
        <v>2611</v>
      </c>
      <c r="K6" s="3240"/>
      <c r="L6" s="3240"/>
      <c r="M6" s="3242"/>
      <c r="N6" s="3243"/>
      <c r="O6" s="3243"/>
      <c r="P6" s="3243"/>
    </row>
    <row r="7" spans="1:32" s="3231" customFormat="1" ht="14.25" customHeight="1">
      <c r="D7" s="3232"/>
      <c r="F7" s="3250"/>
      <c r="I7" s="3231" t="s">
        <v>2139</v>
      </c>
      <c r="J7" s="3249" t="s">
        <v>2609</v>
      </c>
      <c r="N7" s="3234"/>
      <c r="O7" s="3234"/>
      <c r="P7" s="3234"/>
      <c r="Q7" s="3234"/>
      <c r="R7" s="3234"/>
      <c r="S7" s="3234"/>
      <c r="T7" s="3234"/>
      <c r="U7" s="3234"/>
      <c r="V7" s="3234"/>
      <c r="W7" s="3234"/>
      <c r="X7" s="3234"/>
      <c r="Y7" s="3234"/>
      <c r="Z7" s="3234"/>
      <c r="AA7" s="3234"/>
    </row>
    <row r="8" spans="1:32" s="3231" customFormat="1" ht="15" customHeight="1">
      <c r="D8" s="3232"/>
      <c r="F8" s="3250"/>
      <c r="L8" s="3251"/>
      <c r="N8" s="3234"/>
      <c r="O8" s="3234"/>
      <c r="P8" s="3234"/>
      <c r="Q8" s="3234"/>
      <c r="R8" s="3234"/>
      <c r="S8" s="3234"/>
      <c r="T8" s="3234"/>
      <c r="U8" s="3234"/>
      <c r="V8" s="3234"/>
      <c r="W8" s="3234"/>
      <c r="X8" s="3234"/>
      <c r="Y8" s="3234"/>
      <c r="Z8" s="3234"/>
      <c r="AA8" s="3234"/>
    </row>
    <row r="9" spans="1:32" s="3252" customFormat="1">
      <c r="D9" s="3253"/>
      <c r="G9" s="3254"/>
      <c r="H9" s="3255">
        <v>1</v>
      </c>
      <c r="I9" s="3255">
        <f t="shared" ref="I9:AE9" si="0">H9+1</f>
        <v>2</v>
      </c>
      <c r="J9" s="3255">
        <f t="shared" si="0"/>
        <v>3</v>
      </c>
      <c r="K9" s="3255">
        <f t="shared" si="0"/>
        <v>4</v>
      </c>
      <c r="L9" s="3255">
        <f t="shared" si="0"/>
        <v>5</v>
      </c>
      <c r="M9" s="3255">
        <f t="shared" si="0"/>
        <v>6</v>
      </c>
      <c r="N9" s="3255">
        <f t="shared" si="0"/>
        <v>7</v>
      </c>
      <c r="O9" s="3255">
        <f t="shared" si="0"/>
        <v>8</v>
      </c>
      <c r="P9" s="3255">
        <f t="shared" si="0"/>
        <v>9</v>
      </c>
      <c r="Q9" s="3255">
        <f t="shared" si="0"/>
        <v>10</v>
      </c>
      <c r="R9" s="3255">
        <f t="shared" si="0"/>
        <v>11</v>
      </c>
      <c r="S9" s="3255">
        <f t="shared" si="0"/>
        <v>12</v>
      </c>
      <c r="T9" s="3255">
        <f t="shared" si="0"/>
        <v>13</v>
      </c>
      <c r="U9" s="3255">
        <f t="shared" si="0"/>
        <v>14</v>
      </c>
      <c r="V9" s="3255">
        <f t="shared" si="0"/>
        <v>15</v>
      </c>
      <c r="W9" s="3255">
        <f t="shared" si="0"/>
        <v>16</v>
      </c>
      <c r="X9" s="3255">
        <f t="shared" si="0"/>
        <v>17</v>
      </c>
      <c r="Y9" s="3255">
        <f t="shared" si="0"/>
        <v>18</v>
      </c>
      <c r="Z9" s="3255">
        <f t="shared" si="0"/>
        <v>19</v>
      </c>
      <c r="AA9" s="3255">
        <f t="shared" si="0"/>
        <v>20</v>
      </c>
      <c r="AB9" s="3255">
        <f t="shared" si="0"/>
        <v>21</v>
      </c>
      <c r="AC9" s="3255">
        <f t="shared" si="0"/>
        <v>22</v>
      </c>
      <c r="AD9" s="3255">
        <f t="shared" si="0"/>
        <v>23</v>
      </c>
      <c r="AE9" s="3255">
        <f t="shared" si="0"/>
        <v>24</v>
      </c>
    </row>
    <row r="10" spans="1:32">
      <c r="D10" s="3257" t="s">
        <v>2140</v>
      </c>
      <c r="E10" s="3257" t="s">
        <v>2141</v>
      </c>
      <c r="F10" s="3258" t="s">
        <v>2142</v>
      </c>
      <c r="I10" s="3257"/>
      <c r="J10" s="3257"/>
      <c r="K10" s="3257"/>
      <c r="L10" s="3257"/>
      <c r="M10" s="3257"/>
      <c r="N10" s="3257"/>
      <c r="O10" s="3257"/>
      <c r="P10" s="3257"/>
      <c r="Q10" s="3257"/>
      <c r="R10" s="3257"/>
      <c r="S10" s="3257"/>
      <c r="T10" s="3257"/>
      <c r="U10" s="3257"/>
      <c r="V10" s="3257"/>
      <c r="W10" s="3257"/>
      <c r="X10" s="3257"/>
      <c r="Y10" s="3257"/>
      <c r="Z10" s="3257"/>
      <c r="AA10" s="3257"/>
      <c r="AB10" s="3257"/>
      <c r="AC10" s="3257"/>
    </row>
    <row r="11" spans="1:32">
      <c r="A11" s="3432" t="s">
        <v>2143</v>
      </c>
      <c r="B11" s="3432" t="s">
        <v>2144</v>
      </c>
      <c r="C11" s="3432" t="s">
        <v>2145</v>
      </c>
      <c r="D11" s="3432" t="s">
        <v>2146</v>
      </c>
      <c r="E11" s="3432" t="s">
        <v>2362</v>
      </c>
      <c r="F11" s="3432"/>
      <c r="G11" s="3432"/>
      <c r="H11" s="3432">
        <v>1996</v>
      </c>
      <c r="I11" s="3432">
        <f>H11+1</f>
        <v>1997</v>
      </c>
      <c r="J11" s="3432">
        <f>I11+1</f>
        <v>1998</v>
      </c>
      <c r="K11" s="3432">
        <f>J11+1</f>
        <v>1999</v>
      </c>
      <c r="L11" s="3432">
        <f>K11+1</f>
        <v>2000</v>
      </c>
      <c r="M11" s="3432">
        <f t="shared" ref="M11:AE11" si="1">L11+1</f>
        <v>2001</v>
      </c>
      <c r="N11" s="3432">
        <f t="shared" si="1"/>
        <v>2002</v>
      </c>
      <c r="O11" s="3432">
        <f t="shared" si="1"/>
        <v>2003</v>
      </c>
      <c r="P11" s="3432">
        <f t="shared" si="1"/>
        <v>2004</v>
      </c>
      <c r="Q11" s="3432">
        <f t="shared" si="1"/>
        <v>2005</v>
      </c>
      <c r="R11" s="3432">
        <f t="shared" si="1"/>
        <v>2006</v>
      </c>
      <c r="S11" s="3432">
        <f t="shared" si="1"/>
        <v>2007</v>
      </c>
      <c r="T11" s="3432">
        <f t="shared" si="1"/>
        <v>2008</v>
      </c>
      <c r="U11" s="3432">
        <f t="shared" si="1"/>
        <v>2009</v>
      </c>
      <c r="V11" s="3432">
        <f t="shared" si="1"/>
        <v>2010</v>
      </c>
      <c r="W11" s="3432">
        <f t="shared" si="1"/>
        <v>2011</v>
      </c>
      <c r="X11" s="3432">
        <f t="shared" si="1"/>
        <v>2012</v>
      </c>
      <c r="Y11" s="3432">
        <f t="shared" si="1"/>
        <v>2013</v>
      </c>
      <c r="Z11" s="3432">
        <f t="shared" si="1"/>
        <v>2014</v>
      </c>
      <c r="AA11" s="3432">
        <f t="shared" si="1"/>
        <v>2015</v>
      </c>
      <c r="AB11" s="3432">
        <f t="shared" si="1"/>
        <v>2016</v>
      </c>
      <c r="AC11" s="3432">
        <f t="shared" si="1"/>
        <v>2017</v>
      </c>
      <c r="AD11" s="3432">
        <f t="shared" si="1"/>
        <v>2018</v>
      </c>
      <c r="AE11" s="3432">
        <f t="shared" si="1"/>
        <v>2019</v>
      </c>
    </row>
    <row r="12" spans="1:32">
      <c r="A12" s="3432" t="str">
        <f>CONCATENATE($I$7,$J$7)</f>
        <v>\\DG ECFIN\Forecast\Country databases\Desk transfer databases\BE</v>
      </c>
      <c r="B12" s="3432" t="str">
        <f>$J$7</f>
        <v>BE</v>
      </c>
      <c r="C12" s="3432" t="s">
        <v>2147</v>
      </c>
      <c r="D12" s="3432" t="s">
        <v>2148</v>
      </c>
      <c r="E12" s="3432" t="s">
        <v>2149</v>
      </c>
      <c r="F12" s="3432">
        <v>1</v>
      </c>
      <c r="G12" s="3432" t="s">
        <v>1016</v>
      </c>
      <c r="H12" s="3790">
        <v>1088.2920783518859</v>
      </c>
      <c r="I12" s="3790">
        <v>1107.3787774296854</v>
      </c>
      <c r="J12" s="3790">
        <v>1135.3189911625993</v>
      </c>
      <c r="K12" s="3790">
        <v>1170.3806066718025</v>
      </c>
      <c r="L12" s="3790">
        <v>1199.724956018913</v>
      </c>
      <c r="M12" s="3790">
        <v>1228.9502453673988</v>
      </c>
      <c r="N12" s="3790">
        <v>1240.6733804485052</v>
      </c>
      <c r="O12" s="3790">
        <v>1257.9899550725099</v>
      </c>
      <c r="P12" s="3790">
        <v>1290.5816214291794</v>
      </c>
      <c r="Q12" s="3790">
        <v>1308.4217444213673</v>
      </c>
      <c r="R12" s="3790">
        <v>1348.459492464109</v>
      </c>
      <c r="S12" s="3790">
        <v>1362.837</v>
      </c>
      <c r="T12" s="3790">
        <v>1393.162628423217</v>
      </c>
      <c r="U12" s="3790">
        <v>1418.8702082964769</v>
      </c>
      <c r="V12" s="3790">
        <v>1418.2886643315564</v>
      </c>
      <c r="W12" s="3790">
        <v>1465.7987000000001</v>
      </c>
      <c r="X12" s="3790">
        <v>1515.6013300530215</v>
      </c>
      <c r="Y12" s="3790">
        <v>1547.4629169279062</v>
      </c>
      <c r="Z12" s="3790">
        <v>1579.6887440216879</v>
      </c>
      <c r="AA12" s="3790">
        <v>1621.0148755293619</v>
      </c>
      <c r="AB12" s="3790">
        <v>1664.527787911574</v>
      </c>
      <c r="AC12" s="3790">
        <v>1704.9486640601863</v>
      </c>
      <c r="AD12" s="3790">
        <v>1759.5427458687773</v>
      </c>
      <c r="AE12" s="3790">
        <v>1827.3362154401434</v>
      </c>
      <c r="AF12" s="3790">
        <v>1897.3459603803185</v>
      </c>
    </row>
    <row r="13" spans="1:32">
      <c r="A13" s="3432" t="str">
        <f t="shared" ref="A13:A76" si="2">CONCATENATE($I$7,$J$7)</f>
        <v>\\DG ECFIN\Forecast\Country databases\Desk transfer databases\BE</v>
      </c>
      <c r="B13" s="3432" t="str">
        <f t="shared" ref="B13:B76" si="3">$J$7</f>
        <v>BE</v>
      </c>
      <c r="C13" s="3432" t="s">
        <v>2147</v>
      </c>
      <c r="D13" s="3432" t="s">
        <v>2150</v>
      </c>
      <c r="E13" s="3432" t="s">
        <v>2149</v>
      </c>
      <c r="F13" s="3432">
        <v>2</v>
      </c>
      <c r="G13" s="3432" t="s">
        <v>532</v>
      </c>
      <c r="H13" s="3790">
        <v>372.23928225595114</v>
      </c>
      <c r="I13" s="3790">
        <v>376.95813931412277</v>
      </c>
      <c r="J13" s="3790">
        <v>382.15295161400314</v>
      </c>
      <c r="K13" s="3790">
        <v>383.65209125619282</v>
      </c>
      <c r="L13" s="3790">
        <v>395.93548103411018</v>
      </c>
      <c r="M13" s="3790">
        <v>397.07468954360093</v>
      </c>
      <c r="N13" s="3790">
        <v>409.50297786634781</v>
      </c>
      <c r="O13" s="3790">
        <v>418.26414112150019</v>
      </c>
      <c r="P13" s="3790">
        <v>417.45385201991945</v>
      </c>
      <c r="Q13" s="3790">
        <v>421.00030628278409</v>
      </c>
      <c r="R13" s="3790">
        <v>427.06327570019704</v>
      </c>
      <c r="S13" s="3790">
        <v>436.71144395729988</v>
      </c>
      <c r="T13" s="3790">
        <v>454.6367910186022</v>
      </c>
      <c r="U13" s="3790">
        <v>471.36507857188496</v>
      </c>
      <c r="V13" s="3790">
        <v>487.44631200319162</v>
      </c>
      <c r="W13" s="3790">
        <v>497.97336000000001</v>
      </c>
      <c r="X13" s="3790">
        <v>511.00140513444325</v>
      </c>
      <c r="Y13" s="3790">
        <v>526.74441448146388</v>
      </c>
      <c r="Z13" s="3790">
        <v>551.30718232280037</v>
      </c>
      <c r="AA13" s="3790">
        <v>580.50646218788722</v>
      </c>
      <c r="AB13" s="3790">
        <v>610.60588600111998</v>
      </c>
      <c r="AC13" s="3790">
        <v>625.19156750979403</v>
      </c>
      <c r="AD13" s="3790">
        <v>648.35533840747928</v>
      </c>
      <c r="AE13" s="3790">
        <v>677.52872049308576</v>
      </c>
      <c r="AF13" s="3790">
        <v>709.6908917862736</v>
      </c>
    </row>
    <row r="14" spans="1:32">
      <c r="A14" s="3432" t="str">
        <f t="shared" si="2"/>
        <v>\\DG ECFIN\Forecast\Country databases\Desk transfer databases\BE</v>
      </c>
      <c r="B14" s="3432" t="str">
        <f t="shared" si="3"/>
        <v>BE</v>
      </c>
      <c r="C14" s="3432" t="s">
        <v>2147</v>
      </c>
      <c r="D14" s="3432" t="s">
        <v>2151</v>
      </c>
      <c r="E14" s="3432" t="s">
        <v>2149</v>
      </c>
      <c r="F14" s="3432">
        <v>3</v>
      </c>
      <c r="G14" s="3432" t="s">
        <v>534</v>
      </c>
      <c r="H14" s="3790">
        <v>441.42590502144571</v>
      </c>
      <c r="I14" s="3790">
        <v>443.14499907608439</v>
      </c>
      <c r="J14" s="3790">
        <v>459.6242604435285</v>
      </c>
      <c r="K14" s="3790">
        <v>477.63302451524504</v>
      </c>
      <c r="L14" s="3790">
        <v>483.90441055851784</v>
      </c>
      <c r="M14" s="3790">
        <v>474.24224734274151</v>
      </c>
      <c r="N14" s="3790">
        <v>445.18806295041196</v>
      </c>
      <c r="O14" s="3790">
        <v>436.84100039668789</v>
      </c>
      <c r="P14" s="3790">
        <v>433.29095871402643</v>
      </c>
      <c r="Q14" s="3790">
        <v>438.22686223505156</v>
      </c>
      <c r="R14" s="3790">
        <v>471.72711161544072</v>
      </c>
      <c r="S14" s="3790">
        <v>493.65360233654866</v>
      </c>
      <c r="T14" s="3790">
        <v>513.30486551534727</v>
      </c>
      <c r="U14" s="3790">
        <v>468.2987433624603</v>
      </c>
      <c r="V14" s="3790">
        <v>496.80787873969444</v>
      </c>
      <c r="W14" s="3790">
        <v>537.40288999999996</v>
      </c>
      <c r="X14" s="3790">
        <v>544.24281231116913</v>
      </c>
      <c r="Y14" s="3790">
        <v>547.76412701648405</v>
      </c>
      <c r="Z14" s="3790">
        <v>578.41200524161559</v>
      </c>
      <c r="AA14" s="3790">
        <v>597.01691754841215</v>
      </c>
      <c r="AB14" s="3790">
        <v>626.89762934088458</v>
      </c>
      <c r="AC14" s="3790">
        <v>652.29388906359964</v>
      </c>
      <c r="AD14" s="3790">
        <v>684.73861991317028</v>
      </c>
      <c r="AE14" s="3790">
        <v>723.46708203298658</v>
      </c>
      <c r="AF14" s="3790">
        <v>766.22342642824015</v>
      </c>
    </row>
    <row r="15" spans="1:32">
      <c r="A15" s="3432" t="str">
        <f t="shared" si="2"/>
        <v>\\DG ECFIN\Forecast\Country databases\Desk transfer databases\BE</v>
      </c>
      <c r="B15" s="3432" t="str">
        <f t="shared" si="3"/>
        <v>BE</v>
      </c>
      <c r="C15" s="3432" t="s">
        <v>2147</v>
      </c>
      <c r="D15" s="3432" t="s">
        <v>2152</v>
      </c>
      <c r="E15" s="3432" t="s">
        <v>2149</v>
      </c>
      <c r="F15" s="3432">
        <v>4</v>
      </c>
      <c r="G15" s="3432" t="s">
        <v>1305</v>
      </c>
      <c r="H15" s="3790">
        <v>253.32758360516328</v>
      </c>
      <c r="I15" s="3790">
        <v>248.36097790158385</v>
      </c>
      <c r="J15" s="3790">
        <v>246.13373246594762</v>
      </c>
      <c r="K15" s="3790">
        <v>248.71638079061614</v>
      </c>
      <c r="L15" s="3790">
        <v>239.54592053665459</v>
      </c>
      <c r="M15" s="3790">
        <v>230.76880536016949</v>
      </c>
      <c r="N15" s="3790">
        <v>216.73964011863862</v>
      </c>
      <c r="O15" s="3790">
        <v>210.74519763744263</v>
      </c>
      <c r="P15" s="3790">
        <v>202.56500972804093</v>
      </c>
      <c r="Q15" s="3790">
        <v>197.88218113826974</v>
      </c>
      <c r="R15" s="3790">
        <v>209.26457358608516</v>
      </c>
      <c r="S15" s="3790">
        <v>213.22840146548904</v>
      </c>
      <c r="T15" s="3790">
        <v>224.22020192663771</v>
      </c>
      <c r="U15" s="3790">
        <v>223.89760718050113</v>
      </c>
      <c r="V15" s="3790">
        <v>233.97418824633394</v>
      </c>
      <c r="W15" s="3790">
        <v>256.42775999999998</v>
      </c>
      <c r="X15" s="3790">
        <v>265.57139639784975</v>
      </c>
      <c r="Y15" s="3790">
        <v>269.88648299433345</v>
      </c>
      <c r="Z15" s="3790">
        <v>283.16620251624636</v>
      </c>
      <c r="AA15" s="3790">
        <v>285.50013077194882</v>
      </c>
      <c r="AB15" s="3790">
        <v>301.78461182393653</v>
      </c>
      <c r="AC15" s="3790">
        <v>316.14012301751325</v>
      </c>
      <c r="AD15" s="3790">
        <v>335.24658576457745</v>
      </c>
      <c r="AE15" s="3790">
        <v>359.5340899108603</v>
      </c>
      <c r="AF15" s="3790">
        <v>383.60107699890978</v>
      </c>
    </row>
    <row r="16" spans="1:32">
      <c r="A16" s="3432" t="str">
        <f t="shared" si="2"/>
        <v>\\DG ECFIN\Forecast\Country databases\Desk transfer databases\BE</v>
      </c>
      <c r="B16" s="3432" t="str">
        <f t="shared" si="3"/>
        <v>BE</v>
      </c>
      <c r="C16" s="3432" t="s">
        <v>2147</v>
      </c>
      <c r="D16" s="3432" t="s">
        <v>2153</v>
      </c>
      <c r="E16" s="3432" t="s">
        <v>2149</v>
      </c>
      <c r="F16" s="3432">
        <v>5</v>
      </c>
      <c r="G16" s="3432" t="s">
        <v>1307</v>
      </c>
      <c r="H16" s="3790">
        <v>135.31684089235588</v>
      </c>
      <c r="I16" s="3790">
        <v>140.41161690213136</v>
      </c>
      <c r="J16" s="3790">
        <v>154.88728147358279</v>
      </c>
      <c r="K16" s="3790">
        <v>165.31748302395587</v>
      </c>
      <c r="L16" s="3790">
        <v>177.77929837824576</v>
      </c>
      <c r="M16" s="3790">
        <v>173.09384576479815</v>
      </c>
      <c r="N16" s="3790">
        <v>157.32414837793041</v>
      </c>
      <c r="O16" s="3790">
        <v>155.09665258054832</v>
      </c>
      <c r="P16" s="3790">
        <v>158.22218359272992</v>
      </c>
      <c r="Q16" s="3790">
        <v>166.49650911613583</v>
      </c>
      <c r="R16" s="3790">
        <v>184.76024475067172</v>
      </c>
      <c r="S16" s="3790">
        <v>199.44782866161748</v>
      </c>
      <c r="T16" s="3790">
        <v>203.69735700140674</v>
      </c>
      <c r="U16" s="3790">
        <v>157.78039083956216</v>
      </c>
      <c r="V16" s="3790">
        <v>175.3914351421385</v>
      </c>
      <c r="W16" s="3790">
        <v>187.85321999999999</v>
      </c>
      <c r="X16" s="3790">
        <v>182.32327042400445</v>
      </c>
      <c r="Y16" s="3790">
        <v>179.53616663112891</v>
      </c>
      <c r="Z16" s="3790">
        <v>190.60233712232713</v>
      </c>
      <c r="AA16" s="3790">
        <v>199.57035508377922</v>
      </c>
      <c r="AB16" s="3790">
        <v>205.73709990155243</v>
      </c>
      <c r="AC16" s="3790">
        <v>214.14215778107115</v>
      </c>
      <c r="AD16" s="3790">
        <v>224.76268576228267</v>
      </c>
      <c r="AE16" s="3790">
        <v>231.69887507791589</v>
      </c>
      <c r="AF16" s="3790">
        <v>242.70012128806982</v>
      </c>
    </row>
    <row r="17" spans="1:32">
      <c r="A17" s="3432" t="str">
        <f t="shared" si="2"/>
        <v>\\DG ECFIN\Forecast\Country databases\Desk transfer databases\BE</v>
      </c>
      <c r="B17" s="3432" t="str">
        <f t="shared" si="3"/>
        <v>BE</v>
      </c>
      <c r="C17" s="3432" t="s">
        <v>2147</v>
      </c>
      <c r="D17" s="3432" t="s">
        <v>2154</v>
      </c>
      <c r="E17" s="3432" t="s">
        <v>2149</v>
      </c>
      <c r="F17" s="3432">
        <v>6</v>
      </c>
      <c r="G17" s="3432" t="s">
        <v>1308</v>
      </c>
      <c r="H17" s="3790">
        <v>52.804449076513301</v>
      </c>
      <c r="I17" s="3790">
        <v>54.363084518424728</v>
      </c>
      <c r="J17" s="3790">
        <v>58.570134451917795</v>
      </c>
      <c r="K17" s="3790">
        <v>63.665380956556746</v>
      </c>
      <c r="L17" s="3790">
        <v>66.553425053673337</v>
      </c>
      <c r="M17" s="3790">
        <v>70.384633637846633</v>
      </c>
      <c r="N17" s="3790">
        <v>71.12703707468323</v>
      </c>
      <c r="O17" s="3790">
        <v>70.971918140723815</v>
      </c>
      <c r="P17" s="3790">
        <v>72.51009962344088</v>
      </c>
      <c r="Q17" s="3790">
        <v>73.833350429989721</v>
      </c>
      <c r="R17" s="3790">
        <v>77.708173031315553</v>
      </c>
      <c r="S17" s="3790">
        <v>80.982083946520675</v>
      </c>
      <c r="T17" s="3790">
        <v>85.365899733164909</v>
      </c>
      <c r="U17" s="3790">
        <v>86.662958786312245</v>
      </c>
      <c r="V17" s="3790">
        <v>87.428955326812385</v>
      </c>
      <c r="W17" s="3790">
        <v>93.135009999999994</v>
      </c>
      <c r="X17" s="3790">
        <v>96.329748026086023</v>
      </c>
      <c r="Y17" s="3790">
        <v>98.36983221595942</v>
      </c>
      <c r="Z17" s="3790">
        <v>104.62583867992431</v>
      </c>
      <c r="AA17" s="3790">
        <v>111.92976764777967</v>
      </c>
      <c r="AB17" s="3790">
        <v>119.40754728804598</v>
      </c>
      <c r="AC17" s="3790">
        <v>121.99613723318767</v>
      </c>
      <c r="AD17" s="3790">
        <v>124.72934838631006</v>
      </c>
      <c r="AE17" s="3790">
        <v>132.23411704421042</v>
      </c>
      <c r="AF17" s="3790">
        <v>139.92222814126083</v>
      </c>
    </row>
    <row r="18" spans="1:32">
      <c r="A18" s="3432" t="str">
        <f t="shared" si="2"/>
        <v>\\DG ECFIN\Forecast\Country databases\Desk transfer databases\BE</v>
      </c>
      <c r="B18" s="3432" t="str">
        <f t="shared" si="3"/>
        <v>BE</v>
      </c>
      <c r="C18" s="3432" t="s">
        <v>2147</v>
      </c>
      <c r="D18" s="3432" t="s">
        <v>2155</v>
      </c>
      <c r="E18" s="3432" t="s">
        <v>2149</v>
      </c>
      <c r="F18" s="3432">
        <v>7</v>
      </c>
      <c r="G18" s="3432" t="s">
        <v>984</v>
      </c>
      <c r="H18" s="3790">
        <v>-4.4762344520634088</v>
      </c>
      <c r="I18" s="3790">
        <v>3.1804080570091173</v>
      </c>
      <c r="J18" s="3790">
        <v>11.89615864584448</v>
      </c>
      <c r="K18" s="3790">
        <v>16.189827488110723</v>
      </c>
      <c r="L18" s="3790">
        <v>13.701111957661169</v>
      </c>
      <c r="M18" s="3790">
        <v>14.645874227650665</v>
      </c>
      <c r="N18" s="3790">
        <v>-0.12622232634521424</v>
      </c>
      <c r="O18" s="3790">
        <v>5.7953998456953286</v>
      </c>
      <c r="P18" s="3790">
        <v>-8.5269773136653839</v>
      </c>
      <c r="Q18" s="3790">
        <v>-9.1717937470807556</v>
      </c>
      <c r="R18" s="3790">
        <v>-0.63560469060394098</v>
      </c>
      <c r="S18" s="3790">
        <v>13.08085421081023</v>
      </c>
      <c r="T18" s="3790">
        <v>11.827548351690211</v>
      </c>
      <c r="U18" s="3790">
        <v>-27.137262163888408</v>
      </c>
      <c r="V18" s="3790">
        <v>5.3445748662036294</v>
      </c>
      <c r="W18" s="3790">
        <v>16.063150000000633</v>
      </c>
      <c r="X18" s="3790">
        <v>-21.514133226933836</v>
      </c>
      <c r="Y18" s="3790">
        <v>-7.2352909215717318</v>
      </c>
      <c r="Z18" s="3790">
        <v>-9.8600546520385706</v>
      </c>
      <c r="AA18" s="3790">
        <v>-19.175992582340996</v>
      </c>
      <c r="AB18" s="3790">
        <v>-13.702315028857583</v>
      </c>
      <c r="AC18" s="3790">
        <v>-11.134799088947602</v>
      </c>
      <c r="AD18" s="3790">
        <v>-7.2249999999999996</v>
      </c>
      <c r="AE18" s="3790">
        <v>-7.2249999999999988</v>
      </c>
      <c r="AF18" s="3790">
        <v>-7.2249999999999979</v>
      </c>
    </row>
    <row r="19" spans="1:32">
      <c r="A19" s="3432" t="str">
        <f t="shared" si="2"/>
        <v>\\DG ECFIN\Forecast\Country databases\Desk transfer databases\BE</v>
      </c>
      <c r="B19" s="3432" t="str">
        <f t="shared" si="3"/>
        <v>BE</v>
      </c>
      <c r="C19" s="3432" t="s">
        <v>2147</v>
      </c>
      <c r="D19" s="3432" t="s">
        <v>2156</v>
      </c>
      <c r="E19" s="3432" t="s">
        <v>2149</v>
      </c>
      <c r="F19" s="3432">
        <v>8</v>
      </c>
      <c r="G19" s="3432" t="s">
        <v>1993</v>
      </c>
      <c r="H19" s="3790">
        <v>383.51864018771232</v>
      </c>
      <c r="I19" s="3790">
        <v>426.03214670021526</v>
      </c>
      <c r="J19" s="3790">
        <v>462.2945322201773</v>
      </c>
      <c r="K19" s="3790">
        <v>485.80311010206424</v>
      </c>
      <c r="L19" s="3790">
        <v>545.68535243942176</v>
      </c>
      <c r="M19" s="3790">
        <v>596.7029992326552</v>
      </c>
      <c r="N19" s="3790">
        <v>617.73319941368584</v>
      </c>
      <c r="O19" s="3790">
        <v>626.56949795939374</v>
      </c>
      <c r="P19" s="3790">
        <v>687.4692410590385</v>
      </c>
      <c r="Q19" s="3790">
        <v>734.83847965179984</v>
      </c>
      <c r="R19" s="3790">
        <v>830.96725857479964</v>
      </c>
      <c r="S19" s="3790">
        <v>924.83144795218959</v>
      </c>
      <c r="T19" s="3790">
        <v>939.2575005586034</v>
      </c>
      <c r="U19" s="3790">
        <v>790.48982965926405</v>
      </c>
      <c r="V19" s="3790">
        <v>896.6398953064006</v>
      </c>
      <c r="W19" s="3790">
        <v>999.33759000000009</v>
      </c>
      <c r="X19" s="3790">
        <v>1055.0070825237647</v>
      </c>
      <c r="Y19" s="3790">
        <v>1084.4983487960649</v>
      </c>
      <c r="Z19" s="3790">
        <v>1121.4489595170021</v>
      </c>
      <c r="AA19" s="3790">
        <v>1169.1080063233019</v>
      </c>
      <c r="AB19" s="3790">
        <v>1203.8550603557462</v>
      </c>
      <c r="AC19" s="3790">
        <v>1251.0632605866012</v>
      </c>
      <c r="AD19" s="3790">
        <v>1313.2310452473903</v>
      </c>
      <c r="AE19" s="3790">
        <v>1368.8560101014768</v>
      </c>
      <c r="AF19" s="3790">
        <v>1432.8342228282752</v>
      </c>
    </row>
    <row r="20" spans="1:32">
      <c r="A20" s="3432" t="str">
        <f t="shared" si="2"/>
        <v>\\DG ECFIN\Forecast\Country databases\Desk transfer databases\BE</v>
      </c>
      <c r="B20" s="3432" t="str">
        <f t="shared" si="3"/>
        <v>BE</v>
      </c>
      <c r="C20" s="3432" t="s">
        <v>2147</v>
      </c>
      <c r="D20" s="3432" t="s">
        <v>2157</v>
      </c>
      <c r="E20" s="3432" t="s">
        <v>2149</v>
      </c>
      <c r="F20" s="3432">
        <v>9</v>
      </c>
      <c r="G20" s="3432" t="s">
        <v>1994</v>
      </c>
      <c r="H20" s="3790">
        <v>58.969394993535538</v>
      </c>
      <c r="I20" s="3790">
        <v>69.345838225185332</v>
      </c>
      <c r="J20" s="3790">
        <v>75.605883661373284</v>
      </c>
      <c r="K20" s="3790">
        <v>76.714182653032196</v>
      </c>
      <c r="L20" s="3790">
        <v>89.825123958763797</v>
      </c>
      <c r="M20" s="3790">
        <v>93.092119299420673</v>
      </c>
      <c r="N20" s="3790">
        <v>106.45411467162353</v>
      </c>
      <c r="O20" s="3790">
        <v>106.8501804327787</v>
      </c>
      <c r="P20" s="3790">
        <v>118.87722402591618</v>
      </c>
      <c r="Q20" s="3790">
        <v>123.73887823153721</v>
      </c>
      <c r="R20" s="3790">
        <v>143.97347364229435</v>
      </c>
      <c r="S20" s="3790">
        <v>152.76162331843349</v>
      </c>
      <c r="T20" s="3790">
        <v>162.59037363399511</v>
      </c>
      <c r="U20" s="3790">
        <v>164.05729874422127</v>
      </c>
      <c r="V20" s="3790">
        <v>168.4750970471944</v>
      </c>
      <c r="W20" s="3790">
        <v>181.08792999999997</v>
      </c>
      <c r="X20" s="3790">
        <v>190.59827558843924</v>
      </c>
      <c r="Y20" s="3790">
        <v>205.53032837481646</v>
      </c>
      <c r="Z20" s="3790">
        <v>222.34534800974649</v>
      </c>
      <c r="AA20" s="3790">
        <v>243.2428153420897</v>
      </c>
      <c r="AB20" s="3790">
        <v>258.13279591771948</v>
      </c>
      <c r="AC20" s="3790">
        <v>266.3132068100964</v>
      </c>
      <c r="AD20" s="3790">
        <v>274.40936151446164</v>
      </c>
      <c r="AE20" s="3790">
        <v>291.06001089117837</v>
      </c>
      <c r="AF20" s="3790">
        <v>308.69102475732723</v>
      </c>
    </row>
    <row r="21" spans="1:32">
      <c r="A21" s="3432" t="str">
        <f t="shared" si="2"/>
        <v>\\DG ECFIN\Forecast\Country databases\Desk transfer databases\BE</v>
      </c>
      <c r="B21" s="3432" t="str">
        <f t="shared" si="3"/>
        <v>BE</v>
      </c>
      <c r="C21" s="3432" t="s">
        <v>2147</v>
      </c>
      <c r="D21" s="3432" t="s">
        <v>2158</v>
      </c>
      <c r="E21" s="3432" t="s">
        <v>2149</v>
      </c>
      <c r="F21" s="3432">
        <v>10</v>
      </c>
      <c r="G21" s="3432" t="s">
        <v>1701</v>
      </c>
      <c r="H21" s="3790">
        <v>323.9486730512146</v>
      </c>
      <c r="I21" s="3790">
        <v>353.12563138970467</v>
      </c>
      <c r="J21" s="3790">
        <v>402.02294822794465</v>
      </c>
      <c r="K21" s="3790">
        <v>420.90272093510646</v>
      </c>
      <c r="L21" s="3790">
        <v>457.44632355676958</v>
      </c>
      <c r="M21" s="3790">
        <v>497.75498702819135</v>
      </c>
      <c r="N21" s="3790">
        <v>487.19151811196963</v>
      </c>
      <c r="O21" s="3790">
        <v>504.49417265428582</v>
      </c>
      <c r="P21" s="3790">
        <v>531.36269545712423</v>
      </c>
      <c r="Q21" s="3790">
        <v>567.67452957275043</v>
      </c>
      <c r="R21" s="3790">
        <v>658.84364598614297</v>
      </c>
      <c r="S21" s="3790">
        <v>726.2033890189083</v>
      </c>
      <c r="T21" s="3790">
        <v>743.02021658634749</v>
      </c>
      <c r="U21" s="3790">
        <v>687.08375683322606</v>
      </c>
      <c r="V21" s="3790">
        <v>718.53145751167722</v>
      </c>
      <c r="W21" s="3790">
        <v>816.78733</v>
      </c>
      <c r="X21" s="3790">
        <v>854.38329202226976</v>
      </c>
      <c r="Y21" s="3790">
        <v>889.38598820070342</v>
      </c>
      <c r="Z21" s="3790">
        <v>907.20007423032746</v>
      </c>
      <c r="AA21" s="3790">
        <v>938.8112892634017</v>
      </c>
      <c r="AB21" s="3790">
        <v>954.48705624398963</v>
      </c>
      <c r="AC21" s="3790">
        <v>974.93159153609895</v>
      </c>
      <c r="AD21" s="3790">
        <v>1049.3269179351416</v>
      </c>
      <c r="AE21" s="3790">
        <v>1111.4689505776685</v>
      </c>
      <c r="AF21" s="3790">
        <v>1173.2296057285898</v>
      </c>
    </row>
    <row r="22" spans="1:32">
      <c r="A22" s="3432" t="str">
        <f t="shared" si="2"/>
        <v>\\DG ECFIN\Forecast\Country databases\Desk transfer databases\BE</v>
      </c>
      <c r="B22" s="3432" t="str">
        <f t="shared" si="3"/>
        <v>BE</v>
      </c>
      <c r="C22" s="3432" t="s">
        <v>2147</v>
      </c>
      <c r="D22" s="3432" t="s">
        <v>2159</v>
      </c>
      <c r="E22" s="3432" t="s">
        <v>2149</v>
      </c>
      <c r="F22" s="3432">
        <v>11</v>
      </c>
      <c r="G22" s="3432" t="s">
        <v>1702</v>
      </c>
      <c r="H22" s="3790">
        <v>101.44664640177081</v>
      </c>
      <c r="I22" s="3790">
        <v>111.00133765901172</v>
      </c>
      <c r="J22" s="3790">
        <v>118.85812850751861</v>
      </c>
      <c r="K22" s="3790">
        <v>131.11101836237043</v>
      </c>
      <c r="L22" s="3790">
        <v>145.26854045690305</v>
      </c>
      <c r="M22" s="3790">
        <v>154.62233493704292</v>
      </c>
      <c r="N22" s="3790">
        <v>152.40971957829458</v>
      </c>
      <c r="O22" s="3790">
        <v>154.15753346562661</v>
      </c>
      <c r="P22" s="3790">
        <v>161.80783455166355</v>
      </c>
      <c r="Q22" s="3790">
        <v>162.62930565233449</v>
      </c>
      <c r="R22" s="3790">
        <v>176.75583787344135</v>
      </c>
      <c r="S22" s="3790">
        <v>186.4588555802726</v>
      </c>
      <c r="T22" s="3790">
        <v>191.27208910470395</v>
      </c>
      <c r="U22" s="3790">
        <v>180.96758278949281</v>
      </c>
      <c r="V22" s="3790">
        <v>193.92169122611764</v>
      </c>
      <c r="W22" s="3790">
        <v>206.31998999999999</v>
      </c>
      <c r="X22" s="3790">
        <v>224.18350066651323</v>
      </c>
      <c r="Y22" s="3790">
        <v>243.73253312750793</v>
      </c>
      <c r="Z22" s="3790">
        <v>248.16365199383949</v>
      </c>
      <c r="AA22" s="3790">
        <v>263.35365692102732</v>
      </c>
      <c r="AB22" s="3790">
        <v>278.52797816191054</v>
      </c>
      <c r="AC22" s="3790">
        <v>285.96232345989165</v>
      </c>
      <c r="AD22" s="3790">
        <v>288.36579078431072</v>
      </c>
      <c r="AE22" s="3790">
        <v>304.8130115862499</v>
      </c>
      <c r="AF22" s="3790">
        <v>324.79192980458282</v>
      </c>
    </row>
    <row r="23" spans="1:32">
      <c r="A23" s="3432" t="str">
        <f t="shared" si="2"/>
        <v>\\DG ECFIN\Forecast\Country databases\Desk transfer databases\BE</v>
      </c>
      <c r="B23" s="3432" t="str">
        <f t="shared" si="3"/>
        <v>BE</v>
      </c>
      <c r="C23" s="3432" t="s">
        <v>2147</v>
      </c>
      <c r="D23" s="3432" t="s">
        <v>2160</v>
      </c>
      <c r="E23" s="3432" t="s">
        <v>2149</v>
      </c>
      <c r="F23" s="3432">
        <v>12</v>
      </c>
      <c r="G23" s="3432" t="s">
        <v>1704</v>
      </c>
      <c r="H23" s="3790">
        <v>1914.41089426996</v>
      </c>
      <c r="I23" s="3790">
        <v>1961.9415223426545</v>
      </c>
      <c r="J23" s="3790">
        <v>2006.0308757229791</v>
      </c>
      <c r="K23" s="3790">
        <v>2058.3349536869873</v>
      </c>
      <c r="L23" s="3790">
        <v>2126.0426823915627</v>
      </c>
      <c r="M23" s="3790">
        <v>2152.3643141848793</v>
      </c>
      <c r="N23" s="3790">
        <v>2179.85</v>
      </c>
      <c r="O23" s="3790">
        <v>2193.6061139352546</v>
      </c>
      <c r="P23" s="3790">
        <v>2246.0542791419366</v>
      </c>
      <c r="Q23" s="3790">
        <v>2286.6667882483544</v>
      </c>
      <c r="R23" s="3790">
        <v>2385.9954915295807</v>
      </c>
      <c r="S23" s="3790">
        <v>2471.2827609911828</v>
      </c>
      <c r="T23" s="3790">
        <v>2540.431075425915</v>
      </c>
      <c r="U23" s="3790">
        <v>2417.7994047011771</v>
      </c>
      <c r="V23" s="3790">
        <v>2560.6577831130726</v>
      </c>
      <c r="W23" s="3790">
        <v>2674.4902000000002</v>
      </c>
      <c r="X23" s="3790">
        <v>2716.4191565629958</v>
      </c>
      <c r="Y23" s="3790">
        <v>2771.7640129468573</v>
      </c>
      <c r="Z23" s="3790">
        <v>2887.7973883675149</v>
      </c>
      <c r="AA23" s="3790">
        <v>2989.6911285405799</v>
      </c>
      <c r="AB23" s="3790">
        <v>3117.2226090270178</v>
      </c>
      <c r="AC23" s="3790">
        <v>3227.9092664878026</v>
      </c>
      <c r="AD23" s="3790">
        <v>3335.3594022318257</v>
      </c>
      <c r="AE23" s="3790">
        <v>3464.7410767949523</v>
      </c>
      <c r="AF23" s="3790">
        <v>3609.538990647261</v>
      </c>
    </row>
    <row r="24" spans="1:32">
      <c r="A24" s="3432" t="str">
        <f t="shared" si="2"/>
        <v>\\DG ECFIN\Forecast\Country databases\Desk transfer databases\BE</v>
      </c>
      <c r="B24" s="3432" t="str">
        <f t="shared" si="3"/>
        <v>BE</v>
      </c>
      <c r="C24" s="3432" t="s">
        <v>2147</v>
      </c>
      <c r="D24" s="3432" t="s">
        <v>2161</v>
      </c>
      <c r="E24" s="3432" t="s">
        <v>2149</v>
      </c>
      <c r="F24" s="3432">
        <v>28</v>
      </c>
      <c r="G24" s="3432" t="s">
        <v>1854</v>
      </c>
      <c r="H24" s="3790">
        <v>48.688142554850202</v>
      </c>
      <c r="I24" s="3790">
        <v>45.847477848101271</v>
      </c>
      <c r="J24" s="3790">
        <v>46.338666587197515</v>
      </c>
      <c r="K24" s="3790">
        <v>49.030303711509191</v>
      </c>
      <c r="L24" s="3790">
        <v>48.556951930480693</v>
      </c>
      <c r="M24" s="3790">
        <v>49.104693539480955</v>
      </c>
      <c r="N24" s="3790">
        <v>48.442030027397266</v>
      </c>
      <c r="O24" s="3790">
        <v>47.131061728395068</v>
      </c>
      <c r="P24" s="3790">
        <v>44.036822407492011</v>
      </c>
      <c r="Q24" s="3790">
        <v>43.280815388367273</v>
      </c>
      <c r="R24" s="3790">
        <v>47.151122030103238</v>
      </c>
      <c r="S24" s="3790">
        <v>46.88143344788088</v>
      </c>
      <c r="T24" s="3790">
        <v>51.538792435208961</v>
      </c>
      <c r="U24" s="3790">
        <v>57.263100572813393</v>
      </c>
      <c r="V24" s="3790">
        <v>58.812544402719986</v>
      </c>
      <c r="W24" s="3790">
        <v>60.281697900000005</v>
      </c>
      <c r="X24" s="3790">
        <v>60.421712340929268</v>
      </c>
      <c r="Y24" s="3790">
        <v>59.327506477854762</v>
      </c>
      <c r="Z24" s="3790">
        <v>59.724002926727294</v>
      </c>
      <c r="AA24" s="3790">
        <v>63.394019019442105</v>
      </c>
      <c r="AB24" s="3790">
        <v>67.446489041510958</v>
      </c>
      <c r="AC24" s="3790">
        <v>71.40322578785549</v>
      </c>
      <c r="AD24" s="3790">
        <v>75.665567522646427</v>
      </c>
      <c r="AE24" s="3790">
        <v>81.084354429760808</v>
      </c>
      <c r="AF24" s="3790">
        <v>87.101634392914349</v>
      </c>
    </row>
    <row r="25" spans="1:32">
      <c r="A25" s="3432" t="str">
        <f t="shared" si="2"/>
        <v>\\DG ECFIN\Forecast\Country databases\Desk transfer databases\BE</v>
      </c>
      <c r="B25" s="3432" t="str">
        <f t="shared" si="3"/>
        <v>BE</v>
      </c>
      <c r="C25" s="3432" t="s">
        <v>2147</v>
      </c>
      <c r="D25" s="3432" t="s">
        <v>2162</v>
      </c>
      <c r="E25" s="3432" t="s">
        <v>2149</v>
      </c>
      <c r="F25" s="3432">
        <v>31</v>
      </c>
      <c r="G25" s="3432" t="s">
        <v>1858</v>
      </c>
      <c r="H25" s="3790">
        <v>143.2898902550678</v>
      </c>
      <c r="I25" s="3790">
        <v>143.38607917320829</v>
      </c>
      <c r="J25" s="3790">
        <v>143.97636874957763</v>
      </c>
      <c r="K25" s="3790">
        <v>145.74486484056038</v>
      </c>
      <c r="L25" s="3790">
        <v>140.22049126742661</v>
      </c>
      <c r="M25" s="3790">
        <v>132.17214097941454</v>
      </c>
      <c r="N25" s="3790">
        <v>124.06700575297037</v>
      </c>
      <c r="O25" s="3790">
        <v>121.46966625065885</v>
      </c>
      <c r="P25" s="3790">
        <v>117.38048944426475</v>
      </c>
      <c r="Q25" s="3790">
        <v>113.71377292262623</v>
      </c>
      <c r="R25" s="3790">
        <v>121.66388366561711</v>
      </c>
      <c r="S25" s="3790">
        <v>122.03013120679908</v>
      </c>
      <c r="T25" s="3790">
        <v>125.12043062551085</v>
      </c>
      <c r="U25" s="3790">
        <v>124.61360057127429</v>
      </c>
      <c r="V25" s="3790">
        <v>131.4968229313057</v>
      </c>
      <c r="W25" s="3790">
        <v>146.57926999999998</v>
      </c>
      <c r="X25" s="3790">
        <v>155.81470879477027</v>
      </c>
      <c r="Y25" s="3790">
        <v>159.03117038147778</v>
      </c>
      <c r="Z25" s="3790">
        <v>168.55124242432098</v>
      </c>
      <c r="AA25" s="3790">
        <v>171.16715700811406</v>
      </c>
      <c r="AB25" s="3790">
        <v>182.90790134960957</v>
      </c>
      <c r="AC25" s="3790">
        <v>192.47404521519181</v>
      </c>
      <c r="AD25" s="3790">
        <v>205.14973113518948</v>
      </c>
      <c r="AE25" s="3790">
        <v>219.97525927112176</v>
      </c>
      <c r="AF25" s="3790">
        <v>234.54293298932967</v>
      </c>
    </row>
    <row r="26" spans="1:32">
      <c r="A26" s="3432" t="str">
        <f t="shared" si="2"/>
        <v>\\DG ECFIN\Forecast\Country databases\Desk transfer databases\BE</v>
      </c>
      <c r="B26" s="3432" t="str">
        <f t="shared" si="3"/>
        <v>BE</v>
      </c>
      <c r="C26" s="3432" t="s">
        <v>2147</v>
      </c>
      <c r="D26" s="3432" t="s">
        <v>2163</v>
      </c>
      <c r="E26" s="3432" t="s">
        <v>2149</v>
      </c>
      <c r="F26" s="3432">
        <v>33</v>
      </c>
      <c r="G26" s="3432" t="s">
        <v>1058</v>
      </c>
      <c r="H26" s="3790">
        <v>142.971</v>
      </c>
      <c r="I26" s="3790">
        <v>143.30799999999999</v>
      </c>
      <c r="J26" s="3790">
        <v>143.74299999999999</v>
      </c>
      <c r="K26" s="3790">
        <v>145.017</v>
      </c>
      <c r="L26" s="3790">
        <v>140.46299999999999</v>
      </c>
      <c r="M26" s="3790">
        <v>131.95500000000001</v>
      </c>
      <c r="N26" s="3790">
        <v>123.905</v>
      </c>
      <c r="O26" s="3790">
        <v>121.462</v>
      </c>
      <c r="P26" s="3790">
        <v>118.76900000000001</v>
      </c>
      <c r="Q26" s="3790">
        <v>114.687</v>
      </c>
      <c r="R26" s="3790">
        <v>124.22199999999999</v>
      </c>
      <c r="S26" s="3790">
        <v>129.19399999999999</v>
      </c>
      <c r="T26" s="3790">
        <v>128.95500000000001</v>
      </c>
      <c r="U26" s="3790">
        <v>126.066</v>
      </c>
      <c r="V26" s="3790">
        <v>133.26599999999999</v>
      </c>
      <c r="W26" s="3790">
        <v>150.70400000000001</v>
      </c>
      <c r="X26" s="3790">
        <v>160.24299999999999</v>
      </c>
      <c r="Y26" s="3790">
        <v>163.62200000000001</v>
      </c>
      <c r="Z26" s="3790">
        <v>172.38300000000001</v>
      </c>
      <c r="AA26" s="3790">
        <v>174.244</v>
      </c>
      <c r="AB26" s="3790">
        <v>186.93600000000001</v>
      </c>
      <c r="AC26" s="3790">
        <v>198.34200000000001</v>
      </c>
      <c r="AD26" s="3790">
        <v>213.41447133254027</v>
      </c>
      <c r="AE26" s="3790">
        <v>227.24685088044799</v>
      </c>
      <c r="AF26" s="3790">
        <v>242.13885263587073</v>
      </c>
    </row>
    <row r="27" spans="1:32">
      <c r="A27" s="3432" t="str">
        <f t="shared" si="2"/>
        <v>\\DG ECFIN\Forecast\Country databases\Desk transfer databases\BE</v>
      </c>
      <c r="B27" s="3432" t="str">
        <f t="shared" si="3"/>
        <v>BE</v>
      </c>
      <c r="C27" s="3432" t="s">
        <v>2147</v>
      </c>
      <c r="D27" s="3432" t="s">
        <v>2164</v>
      </c>
      <c r="E27" s="3432" t="s">
        <v>2149</v>
      </c>
      <c r="F27" s="3432">
        <v>36</v>
      </c>
      <c r="G27" s="3432" t="s">
        <v>1894</v>
      </c>
      <c r="H27" s="3790">
        <v>1098.7619999999999</v>
      </c>
      <c r="I27" s="3790">
        <v>1121.2349999999999</v>
      </c>
      <c r="J27" s="3790">
        <v>1141.19</v>
      </c>
      <c r="K27" s="3790">
        <v>1174.825</v>
      </c>
      <c r="L27" s="3790">
        <v>1209.4269999999999</v>
      </c>
      <c r="M27" s="3790">
        <v>1250.347</v>
      </c>
      <c r="N27" s="3790">
        <v>1256.5530000000001</v>
      </c>
      <c r="O27" s="3790">
        <v>1280.8720000000001</v>
      </c>
      <c r="P27" s="3790">
        <v>1303.05</v>
      </c>
      <c r="Q27" s="3790">
        <v>1328.5509999999999</v>
      </c>
      <c r="R27" s="3790">
        <v>1362.837</v>
      </c>
      <c r="S27" s="3790">
        <v>1384.9</v>
      </c>
      <c r="T27" s="3790">
        <v>1416.7339999999999</v>
      </c>
      <c r="U27" s="3790">
        <v>1413.0409999999999</v>
      </c>
      <c r="V27" s="3790">
        <v>1446.2739999999999</v>
      </c>
      <c r="W27" s="3790">
        <v>1495.5329999999999</v>
      </c>
      <c r="X27" s="3790">
        <v>1538.029</v>
      </c>
      <c r="Y27" s="3790">
        <v>1563.5</v>
      </c>
      <c r="Z27" s="3790">
        <v>1594.143</v>
      </c>
      <c r="AA27" s="3790">
        <v>1630.8869999999999</v>
      </c>
      <c r="AB27" s="3790">
        <v>1675.569</v>
      </c>
      <c r="AC27" s="3790">
        <v>1732.1759999999999</v>
      </c>
      <c r="AD27" s="3790">
        <v>1791.3998881205566</v>
      </c>
      <c r="AE27" s="3790">
        <v>1864.9109352353885</v>
      </c>
      <c r="AF27" s="3790">
        <v>1929.6685809677576</v>
      </c>
    </row>
    <row r="28" spans="1:32">
      <c r="A28" s="3432" t="str">
        <f t="shared" si="2"/>
        <v>\\DG ECFIN\Forecast\Country databases\Desk transfer databases\BE</v>
      </c>
      <c r="B28" s="3432" t="str">
        <f t="shared" si="3"/>
        <v>BE</v>
      </c>
      <c r="C28" s="3432" t="s">
        <v>2147</v>
      </c>
      <c r="D28" s="3432" t="s">
        <v>2165</v>
      </c>
      <c r="E28" s="3432" t="s">
        <v>2149</v>
      </c>
      <c r="F28" s="3432">
        <v>37</v>
      </c>
      <c r="G28" s="3432" t="s">
        <v>1896</v>
      </c>
      <c r="H28" s="3790">
        <v>373.80200000000002</v>
      </c>
      <c r="I28" s="3790">
        <v>374.42599999999999</v>
      </c>
      <c r="J28" s="3790">
        <v>379.27</v>
      </c>
      <c r="K28" s="3790">
        <v>390.62599999999998</v>
      </c>
      <c r="L28" s="3790">
        <v>395.02699999999999</v>
      </c>
      <c r="M28" s="3790">
        <v>404.649</v>
      </c>
      <c r="N28" s="3790">
        <v>416.00599999999997</v>
      </c>
      <c r="O28" s="3790">
        <v>420.79199999999997</v>
      </c>
      <c r="P28" s="3790">
        <v>418.95299999999997</v>
      </c>
      <c r="Q28" s="3790">
        <v>422.99599999999998</v>
      </c>
      <c r="R28" s="3790">
        <v>430.39800000000002</v>
      </c>
      <c r="S28" s="3790">
        <v>439.74</v>
      </c>
      <c r="T28" s="3790">
        <v>457.56599999999997</v>
      </c>
      <c r="U28" s="3790">
        <v>481.20699999999999</v>
      </c>
      <c r="V28" s="3790">
        <v>493.33600000000001</v>
      </c>
      <c r="W28" s="3790">
        <v>505.69099999999997</v>
      </c>
      <c r="X28" s="3790">
        <v>519.71299999999997</v>
      </c>
      <c r="Y28" s="3790">
        <v>542.85299999999995</v>
      </c>
      <c r="Z28" s="3790">
        <v>563.96199999999999</v>
      </c>
      <c r="AA28" s="3790">
        <v>587.39700000000005</v>
      </c>
      <c r="AB28" s="3790">
        <v>615.49400000000003</v>
      </c>
      <c r="AC28" s="3790">
        <v>638.875</v>
      </c>
      <c r="AD28" s="3790">
        <v>663.33929067707084</v>
      </c>
      <c r="AE28" s="3790">
        <v>694.2520598268195</v>
      </c>
      <c r="AF28" s="3790">
        <v>725.4248485464982</v>
      </c>
    </row>
    <row r="29" spans="1:32">
      <c r="A29" s="3432" t="str">
        <f t="shared" si="2"/>
        <v>\\DG ECFIN\Forecast\Country databases\Desk transfer databases\BE</v>
      </c>
      <c r="B29" s="3432" t="str">
        <f t="shared" si="3"/>
        <v>BE</v>
      </c>
      <c r="C29" s="3432" t="s">
        <v>2147</v>
      </c>
      <c r="D29" s="3432" t="s">
        <v>2166</v>
      </c>
      <c r="E29" s="3432" t="s">
        <v>2149</v>
      </c>
      <c r="F29" s="3432">
        <v>38</v>
      </c>
      <c r="G29" s="3432" t="s">
        <v>1898</v>
      </c>
      <c r="H29" s="3790">
        <v>439.70299999999997</v>
      </c>
      <c r="I29" s="3790">
        <v>442.39499999999998</v>
      </c>
      <c r="J29" s="3790">
        <v>456.43799999999999</v>
      </c>
      <c r="K29" s="3790">
        <v>472.81899999999996</v>
      </c>
      <c r="L29" s="3790">
        <v>486.536</v>
      </c>
      <c r="M29" s="3790">
        <v>472.49700000000001</v>
      </c>
      <c r="N29" s="3790">
        <v>442.71799999999996</v>
      </c>
      <c r="O29" s="3790">
        <v>433.10300000000001</v>
      </c>
      <c r="P29" s="3790">
        <v>434.97200000000004</v>
      </c>
      <c r="Q29" s="3790">
        <v>438.76099999999997</v>
      </c>
      <c r="R29" s="3790">
        <v>474.37099999999998</v>
      </c>
      <c r="S29" s="3790">
        <v>505.57099999999997</v>
      </c>
      <c r="T29" s="3790">
        <v>520.80899999999997</v>
      </c>
      <c r="U29" s="3790">
        <v>471.42099999999999</v>
      </c>
      <c r="V29" s="3790">
        <v>501.44899999999996</v>
      </c>
      <c r="W29" s="3790">
        <v>547.82099999999991</v>
      </c>
      <c r="X29" s="3790">
        <v>554.74599999999998</v>
      </c>
      <c r="Y29" s="3790">
        <v>556.75199999999995</v>
      </c>
      <c r="Z29" s="3790">
        <v>587.54899999999998</v>
      </c>
      <c r="AA29" s="3790">
        <v>605.51</v>
      </c>
      <c r="AB29" s="3790">
        <v>634.029</v>
      </c>
      <c r="AC29" s="3790">
        <v>665.72199999999998</v>
      </c>
      <c r="AD29" s="3790">
        <v>702.81800142297027</v>
      </c>
      <c r="AE29" s="3790">
        <v>739.49247814095907</v>
      </c>
      <c r="AF29" s="3790">
        <v>783.02168747253131</v>
      </c>
    </row>
    <row r="30" spans="1:32">
      <c r="A30" s="3432" t="str">
        <f t="shared" si="2"/>
        <v>\\DG ECFIN\Forecast\Country databases\Desk transfer databases\BE</v>
      </c>
      <c r="B30" s="3432" t="str">
        <f t="shared" si="3"/>
        <v>BE</v>
      </c>
      <c r="C30" s="3432" t="s">
        <v>2147</v>
      </c>
      <c r="D30" s="3432" t="s">
        <v>2167</v>
      </c>
      <c r="E30" s="3432" t="s">
        <v>2149</v>
      </c>
      <c r="F30" s="3432">
        <v>39</v>
      </c>
      <c r="G30" s="3432" t="s">
        <v>1899</v>
      </c>
      <c r="H30" s="3790">
        <v>252.04599999999999</v>
      </c>
      <c r="I30" s="3790">
        <v>248.31700000000001</v>
      </c>
      <c r="J30" s="3790">
        <v>245.71299999999999</v>
      </c>
      <c r="K30" s="3790">
        <v>247.19299999999998</v>
      </c>
      <c r="L30" s="3790">
        <v>240.911</v>
      </c>
      <c r="M30" s="3790">
        <v>230.67400000000001</v>
      </c>
      <c r="N30" s="3790">
        <v>216.12299999999999</v>
      </c>
      <c r="O30" s="3790">
        <v>210.79500000000002</v>
      </c>
      <c r="P30" s="3790">
        <v>205.33100000000002</v>
      </c>
      <c r="Q30" s="3790">
        <v>199.72499999999999</v>
      </c>
      <c r="R30" s="3790">
        <v>213.74199999999999</v>
      </c>
      <c r="S30" s="3790">
        <v>225.51799999999997</v>
      </c>
      <c r="T30" s="3790">
        <v>231.73400000000001</v>
      </c>
      <c r="U30" s="3790">
        <v>226.791</v>
      </c>
      <c r="V30" s="3790">
        <v>237.12199999999999</v>
      </c>
      <c r="W30" s="3790">
        <v>264.22800000000001</v>
      </c>
      <c r="X30" s="3790">
        <v>273.00599999999997</v>
      </c>
      <c r="Y30" s="3790">
        <v>277.16399999999999</v>
      </c>
      <c r="Z30" s="3790">
        <v>289.66300000000001</v>
      </c>
      <c r="AA30" s="3790">
        <v>290.74200000000002</v>
      </c>
      <c r="AB30" s="3790">
        <v>307.11400000000003</v>
      </c>
      <c r="AC30" s="3790">
        <v>326.63</v>
      </c>
      <c r="AD30" s="3790">
        <v>349.54976912109282</v>
      </c>
      <c r="AE30" s="3790">
        <v>371.47525016546524</v>
      </c>
      <c r="AF30" s="3790">
        <v>396.02440146267827</v>
      </c>
    </row>
    <row r="31" spans="1:32">
      <c r="A31" s="3432" t="str">
        <f t="shared" si="2"/>
        <v>\\DG ECFIN\Forecast\Country databases\Desk transfer databases\BE</v>
      </c>
      <c r="B31" s="3432" t="str">
        <f t="shared" si="3"/>
        <v>BE</v>
      </c>
      <c r="C31" s="3432" t="s">
        <v>2147</v>
      </c>
      <c r="D31" s="3432" t="s">
        <v>2168</v>
      </c>
      <c r="E31" s="3432" t="s">
        <v>2149</v>
      </c>
      <c r="F31" s="3432">
        <v>40</v>
      </c>
      <c r="G31" s="3432" t="s">
        <v>1718</v>
      </c>
      <c r="H31" s="3790">
        <v>134.392</v>
      </c>
      <c r="I31" s="3790">
        <v>139.55600000000001</v>
      </c>
      <c r="J31" s="3790">
        <v>152.41900000000001</v>
      </c>
      <c r="K31" s="3790">
        <v>162.09399999999999</v>
      </c>
      <c r="L31" s="3790">
        <v>178.56800000000001</v>
      </c>
      <c r="M31" s="3790">
        <v>171.02500000000001</v>
      </c>
      <c r="N31" s="3790">
        <v>155.17099999999999</v>
      </c>
      <c r="O31" s="3790">
        <v>151.31299999999999</v>
      </c>
      <c r="P31" s="3790">
        <v>156.911</v>
      </c>
      <c r="Q31" s="3790">
        <v>165.155</v>
      </c>
      <c r="R31" s="3790">
        <v>182.83600000000001</v>
      </c>
      <c r="S31" s="3790">
        <v>198.51400000000001</v>
      </c>
      <c r="T31" s="3790">
        <v>202.833</v>
      </c>
      <c r="U31" s="3790">
        <v>158.16800000000001</v>
      </c>
      <c r="V31" s="3790">
        <v>175.90899999999999</v>
      </c>
      <c r="W31" s="3790">
        <v>188.31899999999999</v>
      </c>
      <c r="X31" s="3790">
        <v>183.821</v>
      </c>
      <c r="Y31" s="3790">
        <v>180.047</v>
      </c>
      <c r="Z31" s="3790">
        <v>191.69800000000001</v>
      </c>
      <c r="AA31" s="3790">
        <v>201.21700000000001</v>
      </c>
      <c r="AB31" s="3790">
        <v>206.50200000000001</v>
      </c>
      <c r="AC31" s="3790">
        <v>215.214</v>
      </c>
      <c r="AD31" s="3790">
        <v>225.73807206244669</v>
      </c>
      <c r="AE31" s="3790">
        <v>232.88810976224738</v>
      </c>
      <c r="AF31" s="3790">
        <v>243.97696938056251</v>
      </c>
    </row>
    <row r="32" spans="1:32">
      <c r="A32" s="3432" t="str">
        <f t="shared" si="2"/>
        <v>\\DG ECFIN\Forecast\Country databases\Desk transfer databases\BE</v>
      </c>
      <c r="B32" s="3432" t="str">
        <f t="shared" si="3"/>
        <v>BE</v>
      </c>
      <c r="C32" s="3432" t="s">
        <v>2147</v>
      </c>
      <c r="D32" s="3432" t="s">
        <v>2169</v>
      </c>
      <c r="E32" s="3432" t="s">
        <v>2149</v>
      </c>
      <c r="F32" s="3432">
        <v>41</v>
      </c>
      <c r="G32" s="3432" t="s">
        <v>1533</v>
      </c>
      <c r="H32" s="3790">
        <v>53.265000000000001</v>
      </c>
      <c r="I32" s="3790">
        <v>54.521999999999998</v>
      </c>
      <c r="J32" s="3790">
        <v>58.305999999999997</v>
      </c>
      <c r="K32" s="3790">
        <v>63.531999999999996</v>
      </c>
      <c r="L32" s="3790">
        <v>67.057000000000002</v>
      </c>
      <c r="M32" s="3790">
        <v>70.798000000000002</v>
      </c>
      <c r="N32" s="3790">
        <v>71.424000000000007</v>
      </c>
      <c r="O32" s="3790">
        <v>70.995000000000005</v>
      </c>
      <c r="P32" s="3790">
        <v>72.73</v>
      </c>
      <c r="Q32" s="3790">
        <v>73.881</v>
      </c>
      <c r="R32" s="3790">
        <v>77.793000000000006</v>
      </c>
      <c r="S32" s="3790">
        <v>81.539000000000001</v>
      </c>
      <c r="T32" s="3790">
        <v>86.242000000000004</v>
      </c>
      <c r="U32" s="3790">
        <v>86.462000000000003</v>
      </c>
      <c r="V32" s="3790">
        <v>88.418000000000006</v>
      </c>
      <c r="W32" s="3790">
        <v>95.274000000000001</v>
      </c>
      <c r="X32" s="3790">
        <v>97.918999999999997</v>
      </c>
      <c r="Y32" s="3790">
        <v>99.540999999999997</v>
      </c>
      <c r="Z32" s="3790">
        <v>106.188</v>
      </c>
      <c r="AA32" s="3790">
        <v>113.551</v>
      </c>
      <c r="AB32" s="3790">
        <v>120.413</v>
      </c>
      <c r="AC32" s="3790">
        <v>123.878</v>
      </c>
      <c r="AD32" s="3790">
        <v>127.53016023943076</v>
      </c>
      <c r="AE32" s="3790">
        <v>135.12911821324644</v>
      </c>
      <c r="AF32" s="3790">
        <v>143.02031662929036</v>
      </c>
    </row>
    <row r="33" spans="1:32">
      <c r="A33" s="3432" t="str">
        <f t="shared" si="2"/>
        <v>\\DG ECFIN\Forecast\Country databases\Desk transfer databases\BE</v>
      </c>
      <c r="B33" s="3432" t="str">
        <f t="shared" si="3"/>
        <v>BE</v>
      </c>
      <c r="C33" s="3432" t="s">
        <v>2147</v>
      </c>
      <c r="D33" s="3432" t="s">
        <v>2170</v>
      </c>
      <c r="E33" s="3432" t="s">
        <v>2149</v>
      </c>
      <c r="F33" s="3432">
        <v>42</v>
      </c>
      <c r="G33" s="3432" t="s">
        <v>1535</v>
      </c>
      <c r="H33" s="3790">
        <v>-1.752</v>
      </c>
      <c r="I33" s="3790">
        <v>5.7649999999999997</v>
      </c>
      <c r="J33" s="3790">
        <v>14.613</v>
      </c>
      <c r="K33" s="3790">
        <v>11.887</v>
      </c>
      <c r="L33" s="3790">
        <v>19.795000000000002</v>
      </c>
      <c r="M33" s="3790">
        <v>13.914</v>
      </c>
      <c r="N33" s="3790">
        <v>-2.645</v>
      </c>
      <c r="O33" s="3790">
        <v>3.9729999999999999</v>
      </c>
      <c r="P33" s="3790">
        <v>-0.81100000000000005</v>
      </c>
      <c r="Q33" s="3790">
        <v>-5.8650000000000002</v>
      </c>
      <c r="R33" s="3790">
        <v>-1.163</v>
      </c>
      <c r="S33" s="3790">
        <v>15.907</v>
      </c>
      <c r="T33" s="3790">
        <v>13.571</v>
      </c>
      <c r="U33" s="3790">
        <v>-26.911000000000001</v>
      </c>
      <c r="V33" s="3790">
        <v>4.8979999999999997</v>
      </c>
      <c r="W33" s="3790">
        <v>21.93</v>
      </c>
      <c r="X33" s="3790">
        <v>-22.215</v>
      </c>
      <c r="Y33" s="3790">
        <v>-5.29</v>
      </c>
      <c r="Z33" s="3790">
        <v>-10.542999999999999</v>
      </c>
      <c r="AA33" s="3790">
        <v>-19.071999999999999</v>
      </c>
      <c r="AB33" s="3790">
        <v>-12.81</v>
      </c>
      <c r="AC33" s="3790">
        <v>-7.2249999999999996</v>
      </c>
      <c r="AD33" s="3790">
        <v>-7.2249999999999996</v>
      </c>
      <c r="AE33" s="3790">
        <v>-7.2249999999999988</v>
      </c>
      <c r="AF33" s="3790">
        <v>-7.2249999999999979</v>
      </c>
    </row>
    <row r="34" spans="1:32">
      <c r="A34" s="3432" t="str">
        <f t="shared" si="2"/>
        <v>\\DG ECFIN\Forecast\Country databases\Desk transfer databases\BE</v>
      </c>
      <c r="B34" s="3432" t="str">
        <f t="shared" si="3"/>
        <v>BE</v>
      </c>
      <c r="C34" s="3432" t="s">
        <v>2147</v>
      </c>
      <c r="D34" s="3432" t="s">
        <v>2171</v>
      </c>
      <c r="E34" s="3432" t="s">
        <v>2149</v>
      </c>
      <c r="F34" s="3432">
        <v>43</v>
      </c>
      <c r="G34" s="3432" t="s">
        <v>1537</v>
      </c>
      <c r="H34" s="3790">
        <v>381.464</v>
      </c>
      <c r="I34" s="3790">
        <v>429.1</v>
      </c>
      <c r="J34" s="3790">
        <v>458.58600000000001</v>
      </c>
      <c r="K34" s="3790">
        <v>479.76600000000002</v>
      </c>
      <c r="L34" s="3790">
        <v>562.20100000000002</v>
      </c>
      <c r="M34" s="3790">
        <v>599.22400000000005</v>
      </c>
      <c r="N34" s="3790">
        <v>611.84900000000005</v>
      </c>
      <c r="O34" s="3790">
        <v>619.678</v>
      </c>
      <c r="P34" s="3790">
        <v>686.08100000000002</v>
      </c>
      <c r="Q34" s="3790">
        <v>739.95399999999995</v>
      </c>
      <c r="R34" s="3790">
        <v>841.48299999999995</v>
      </c>
      <c r="S34" s="3790">
        <v>926.779</v>
      </c>
      <c r="T34" s="3790">
        <v>948.73500000000001</v>
      </c>
      <c r="U34" s="3790">
        <v>770.39300000000003</v>
      </c>
      <c r="V34" s="3790">
        <v>918.34</v>
      </c>
      <c r="W34" s="3790">
        <v>1030.1110000000001</v>
      </c>
      <c r="X34" s="3790">
        <v>1071.424</v>
      </c>
      <c r="Y34" s="3790">
        <v>1077.42</v>
      </c>
      <c r="Z34" s="3790">
        <v>1115.345</v>
      </c>
      <c r="AA34" s="3790">
        <v>1179.1379999999999</v>
      </c>
      <c r="AB34" s="3790">
        <v>1192.058</v>
      </c>
      <c r="AC34" s="3790">
        <v>1269.395</v>
      </c>
      <c r="AD34" s="3790">
        <v>1324.4368666739003</v>
      </c>
      <c r="AE34" s="3790">
        <v>1383.3703877637768</v>
      </c>
      <c r="AF34" s="3790">
        <v>1441.4505907777695</v>
      </c>
    </row>
    <row r="35" spans="1:32">
      <c r="A35" s="3432" t="str">
        <f t="shared" si="2"/>
        <v>\\DG ECFIN\Forecast\Country databases\Desk transfer databases\BE</v>
      </c>
      <c r="B35" s="3432" t="str">
        <f t="shared" si="3"/>
        <v>BE</v>
      </c>
      <c r="C35" s="3432" t="s">
        <v>2147</v>
      </c>
      <c r="D35" s="3432" t="s">
        <v>2172</v>
      </c>
      <c r="E35" s="3432" t="s">
        <v>2149</v>
      </c>
      <c r="F35" s="3432">
        <v>44</v>
      </c>
      <c r="G35" s="3432" t="s">
        <v>1538</v>
      </c>
      <c r="H35" s="3790">
        <v>59.829000000000001</v>
      </c>
      <c r="I35" s="3790">
        <v>70.382999999999996</v>
      </c>
      <c r="J35" s="3790">
        <v>75.304000000000002</v>
      </c>
      <c r="K35" s="3790">
        <v>78.602999999999994</v>
      </c>
      <c r="L35" s="3790">
        <v>90.3</v>
      </c>
      <c r="M35" s="3790">
        <v>95.509</v>
      </c>
      <c r="N35" s="3790">
        <v>107.806</v>
      </c>
      <c r="O35" s="3790">
        <v>103.879</v>
      </c>
      <c r="P35" s="3790">
        <v>118.818</v>
      </c>
      <c r="Q35" s="3790">
        <v>128.40100000000001</v>
      </c>
      <c r="R35" s="3790">
        <v>144.30500000000001</v>
      </c>
      <c r="S35" s="3790">
        <v>154.15899999999999</v>
      </c>
      <c r="T35" s="3790">
        <v>164.59399999999999</v>
      </c>
      <c r="U35" s="3790">
        <v>159.64699999999999</v>
      </c>
      <c r="V35" s="3790">
        <v>171.745</v>
      </c>
      <c r="W35" s="3790">
        <v>181.37799999999999</v>
      </c>
      <c r="X35" s="3790">
        <v>196.89400000000001</v>
      </c>
      <c r="Y35" s="3790">
        <v>205.63300000000001</v>
      </c>
      <c r="Z35" s="3790">
        <v>225.96899999999999</v>
      </c>
      <c r="AA35" s="3790">
        <v>249.55</v>
      </c>
      <c r="AB35" s="3790">
        <v>258.17399999999998</v>
      </c>
      <c r="AC35" s="3790">
        <v>272.50299999999999</v>
      </c>
      <c r="AD35" s="3790">
        <v>279.64176417995589</v>
      </c>
      <c r="AE35" s="3790">
        <v>294.90894866823533</v>
      </c>
      <c r="AF35" s="3790">
        <v>312.41201973338656</v>
      </c>
    </row>
    <row r="36" spans="1:32">
      <c r="A36" s="3432" t="str">
        <f t="shared" si="2"/>
        <v>\\DG ECFIN\Forecast\Country databases\Desk transfer databases\BE</v>
      </c>
      <c r="B36" s="3432" t="str">
        <f t="shared" si="3"/>
        <v>BE</v>
      </c>
      <c r="C36" s="3432" t="s">
        <v>2147</v>
      </c>
      <c r="D36" s="3432" t="s">
        <v>2173</v>
      </c>
      <c r="E36" s="3432" t="s">
        <v>2149</v>
      </c>
      <c r="F36" s="3432">
        <v>45</v>
      </c>
      <c r="G36" s="3432" t="s">
        <v>1540</v>
      </c>
      <c r="H36" s="3790">
        <v>322.65100000000001</v>
      </c>
      <c r="I36" s="3790">
        <v>361.94799999999998</v>
      </c>
      <c r="J36" s="3790">
        <v>386.94499999999999</v>
      </c>
      <c r="K36" s="3790">
        <v>411.74400000000003</v>
      </c>
      <c r="L36" s="3790">
        <v>498.13900000000001</v>
      </c>
      <c r="M36" s="3790">
        <v>497.94799999999998</v>
      </c>
      <c r="N36" s="3790">
        <v>469.75</v>
      </c>
      <c r="O36" s="3790">
        <v>489.65899999999999</v>
      </c>
      <c r="P36" s="3790">
        <v>532.91600000000005</v>
      </c>
      <c r="Q36" s="3790">
        <v>582.94000000000005</v>
      </c>
      <c r="R36" s="3790">
        <v>680.03700000000003</v>
      </c>
      <c r="S36" s="3790">
        <v>724.78800000000001</v>
      </c>
      <c r="T36" s="3790">
        <v>764.21100000000001</v>
      </c>
      <c r="U36" s="3790">
        <v>629.21799999999996</v>
      </c>
      <c r="V36" s="3790">
        <v>757.19600000000003</v>
      </c>
      <c r="W36" s="3790">
        <v>866.67600000000004</v>
      </c>
      <c r="X36" s="3790">
        <v>871.03800000000001</v>
      </c>
      <c r="Y36" s="3790">
        <v>867.56899999999996</v>
      </c>
      <c r="Z36" s="3790">
        <v>887.16300000000001</v>
      </c>
      <c r="AA36" s="3790">
        <v>918.11400000000003</v>
      </c>
      <c r="AB36" s="3790">
        <v>924.03599999999994</v>
      </c>
      <c r="AC36" s="3790">
        <v>1004.799</v>
      </c>
      <c r="AD36" s="3790">
        <v>1067.1285248388112</v>
      </c>
      <c r="AE36" s="3790">
        <v>1123.7165952069963</v>
      </c>
      <c r="AF36" s="3790">
        <v>1180.2848378071781</v>
      </c>
    </row>
    <row r="37" spans="1:32" ht="12" customHeight="1">
      <c r="A37" s="3432" t="str">
        <f t="shared" si="2"/>
        <v>\\DG ECFIN\Forecast\Country databases\Desk transfer databases\BE</v>
      </c>
      <c r="B37" s="3432" t="str">
        <f t="shared" si="3"/>
        <v>BE</v>
      </c>
      <c r="C37" s="3432" t="s">
        <v>2147</v>
      </c>
      <c r="D37" s="3432" t="s">
        <v>2174</v>
      </c>
      <c r="E37" s="3432" t="s">
        <v>2149</v>
      </c>
      <c r="F37" s="3432">
        <v>46</v>
      </c>
      <c r="G37" s="3432" t="s">
        <v>1541</v>
      </c>
      <c r="H37" s="3790">
        <v>102.837</v>
      </c>
      <c r="I37" s="3790">
        <v>114.26600000000001</v>
      </c>
      <c r="J37" s="3790">
        <v>120.226</v>
      </c>
      <c r="K37" s="3790">
        <v>131.90199999999999</v>
      </c>
      <c r="L37" s="3790">
        <v>148.667</v>
      </c>
      <c r="M37" s="3790">
        <v>158.34200000000001</v>
      </c>
      <c r="N37" s="3790">
        <v>153.24700000000001</v>
      </c>
      <c r="O37" s="3790">
        <v>152.55799999999999</v>
      </c>
      <c r="P37" s="3790">
        <v>157.52699999999999</v>
      </c>
      <c r="Q37" s="3790">
        <v>168.99799999999999</v>
      </c>
      <c r="R37" s="3790">
        <v>178.94399999999999</v>
      </c>
      <c r="S37" s="3790">
        <v>189.03800000000001</v>
      </c>
      <c r="T37" s="3790">
        <v>196.05799999999999</v>
      </c>
      <c r="U37" s="3790">
        <v>179.3</v>
      </c>
      <c r="V37" s="3790">
        <v>198.786</v>
      </c>
      <c r="W37" s="3790">
        <v>212.66800000000001</v>
      </c>
      <c r="X37" s="3790">
        <v>229.29300000000001</v>
      </c>
      <c r="Y37" s="3790">
        <v>247.059</v>
      </c>
      <c r="Z37" s="3790">
        <v>250.672</v>
      </c>
      <c r="AA37" s="3790">
        <v>266.43599999999998</v>
      </c>
      <c r="AB37" s="3790">
        <v>278.72800000000001</v>
      </c>
      <c r="AC37" s="3790">
        <v>289.30700000000002</v>
      </c>
      <c r="AD37" s="3790">
        <v>291.75999171599989</v>
      </c>
      <c r="AE37" s="3790">
        <v>308.69085827636843</v>
      </c>
      <c r="AF37" s="3790">
        <v>328.96926432743356</v>
      </c>
    </row>
    <row r="38" spans="1:32">
      <c r="A38" s="3432" t="str">
        <f t="shared" si="2"/>
        <v>\\DG ECFIN\Forecast\Country databases\Desk transfer databases\BE</v>
      </c>
      <c r="B38" s="3432" t="str">
        <f t="shared" si="3"/>
        <v>BE</v>
      </c>
      <c r="C38" s="3432" t="s">
        <v>2147</v>
      </c>
      <c r="D38" s="3432" t="s">
        <v>2175</v>
      </c>
      <c r="E38" s="3432" t="s">
        <v>2149</v>
      </c>
      <c r="F38" s="3432">
        <v>47</v>
      </c>
      <c r="G38" s="3432" t="s">
        <v>1492</v>
      </c>
      <c r="H38" s="3790">
        <v>1926.32</v>
      </c>
      <c r="I38" s="3790">
        <v>1967.09</v>
      </c>
      <c r="J38" s="3790">
        <v>2018.23</v>
      </c>
      <c r="K38" s="3790">
        <v>2064.88</v>
      </c>
      <c r="L38" s="3790">
        <v>2116.48</v>
      </c>
      <c r="M38" s="3790">
        <v>2179.85</v>
      </c>
      <c r="N38" s="3790">
        <v>2209.29</v>
      </c>
      <c r="O38" s="3790">
        <v>2220.08</v>
      </c>
      <c r="P38" s="3790">
        <v>2270.62</v>
      </c>
      <c r="Q38" s="3790">
        <v>2300.86</v>
      </c>
      <c r="R38" s="3790">
        <v>2393.25</v>
      </c>
      <c r="S38" s="3790">
        <v>2513.23</v>
      </c>
      <c r="T38" s="3790">
        <v>2561.7399999999998</v>
      </c>
      <c r="U38" s="3790">
        <v>2460.2800000000002</v>
      </c>
      <c r="V38" s="3790">
        <v>2580.06</v>
      </c>
      <c r="W38" s="3790">
        <v>2703.12</v>
      </c>
      <c r="X38" s="3790">
        <v>2758.26</v>
      </c>
      <c r="Y38" s="3790">
        <v>2826.24</v>
      </c>
      <c r="Z38" s="3790">
        <v>2938.59</v>
      </c>
      <c r="AA38" s="3790">
        <v>3048.86</v>
      </c>
      <c r="AB38" s="3790">
        <v>3159.75</v>
      </c>
      <c r="AC38" s="3790">
        <v>3277.34</v>
      </c>
      <c r="AD38" s="3790">
        <v>3395.5222945196429</v>
      </c>
      <c r="AE38" s="3790">
        <v>3537.3023561518139</v>
      </c>
      <c r="AF38" s="3790">
        <v>3675.4986253633315</v>
      </c>
    </row>
    <row r="39" spans="1:32">
      <c r="A39" s="3432" t="str">
        <f t="shared" si="2"/>
        <v>\\DG ECFIN\Forecast\Country databases\Desk transfer databases\BE</v>
      </c>
      <c r="B39" s="3432" t="str">
        <f t="shared" si="3"/>
        <v>BE</v>
      </c>
      <c r="C39" s="3432" t="s">
        <v>2147</v>
      </c>
      <c r="D39" s="3432" t="s">
        <v>2176</v>
      </c>
      <c r="E39" s="3432" t="s">
        <v>2149</v>
      </c>
      <c r="F39" s="3432">
        <v>50</v>
      </c>
      <c r="G39" s="3432" t="s">
        <v>1493</v>
      </c>
      <c r="H39" s="3790">
        <v>189.51400000000001</v>
      </c>
      <c r="I39" s="3790">
        <v>192.173</v>
      </c>
      <c r="J39" s="3790">
        <v>198.98099999999999</v>
      </c>
      <c r="K39" s="3790">
        <v>213.542</v>
      </c>
      <c r="L39" s="3790">
        <v>217.941</v>
      </c>
      <c r="M39" s="3790">
        <v>220.578</v>
      </c>
      <c r="N39" s="3790">
        <v>221.798</v>
      </c>
      <c r="O39" s="3790">
        <v>226.15199999999999</v>
      </c>
      <c r="P39" s="3790">
        <v>224.261</v>
      </c>
      <c r="Q39" s="3790">
        <v>226.06899999999999</v>
      </c>
      <c r="R39" s="3790">
        <v>235.43</v>
      </c>
      <c r="S39" s="3790">
        <v>258.74200000000002</v>
      </c>
      <c r="T39" s="3790">
        <v>263.51900000000001</v>
      </c>
      <c r="U39" s="3790">
        <v>263.77999999999997</v>
      </c>
      <c r="V39" s="3790">
        <v>266.327</v>
      </c>
      <c r="W39" s="3790">
        <v>282.02999999999997</v>
      </c>
      <c r="X39" s="3790">
        <v>286.12900000000002</v>
      </c>
      <c r="Y39" s="3790">
        <v>290.33699999999999</v>
      </c>
      <c r="Z39" s="3790">
        <v>298.892</v>
      </c>
      <c r="AA39" s="3790">
        <v>311.017</v>
      </c>
      <c r="AB39" s="3790">
        <v>319.22199999999998</v>
      </c>
      <c r="AC39" s="3790">
        <v>329.94099999999997</v>
      </c>
      <c r="AD39" s="3790">
        <v>342.28798188429835</v>
      </c>
      <c r="AE39" s="3790">
        <v>354.71730617871572</v>
      </c>
      <c r="AF39" s="3790">
        <v>365.76773434836167</v>
      </c>
    </row>
    <row r="40" spans="1:32">
      <c r="A40" s="3432" t="str">
        <f t="shared" si="2"/>
        <v>\\DG ECFIN\Forecast\Country databases\Desk transfer databases\BE</v>
      </c>
      <c r="B40" s="3432" t="str">
        <f t="shared" si="3"/>
        <v>BE</v>
      </c>
      <c r="C40" s="3432" t="s">
        <v>2147</v>
      </c>
      <c r="D40" s="3432" t="s">
        <v>2177</v>
      </c>
      <c r="E40" s="3432" t="s">
        <v>2149</v>
      </c>
      <c r="F40" s="3432">
        <v>51</v>
      </c>
      <c r="G40" s="3432" t="s">
        <v>1495</v>
      </c>
      <c r="H40" s="3790">
        <v>9.8070000000000004</v>
      </c>
      <c r="I40" s="3790">
        <v>10.125</v>
      </c>
      <c r="J40" s="3790">
        <v>10.41</v>
      </c>
      <c r="K40" s="3790">
        <v>10.699</v>
      </c>
      <c r="L40" s="3790">
        <v>10.698</v>
      </c>
      <c r="M40" s="3790">
        <v>10.657999999999999</v>
      </c>
      <c r="N40" s="3790">
        <v>10.852</v>
      </c>
      <c r="O40" s="3790">
        <v>11.135999999999999</v>
      </c>
      <c r="P40" s="3790">
        <v>11.266999999999999</v>
      </c>
      <c r="Q40" s="3790">
        <v>7.2949999999999999</v>
      </c>
      <c r="R40" s="3790">
        <v>7.1520000000000001</v>
      </c>
      <c r="S40" s="3790">
        <v>6.8719999999999999</v>
      </c>
      <c r="T40" s="3790">
        <v>6.444</v>
      </c>
      <c r="U40" s="3790">
        <v>10.736000000000001</v>
      </c>
      <c r="V40" s="3790">
        <v>7.9619999999999997</v>
      </c>
      <c r="W40" s="3790">
        <v>6.9880000000000004</v>
      </c>
      <c r="X40" s="3790">
        <v>6.4649999999999999</v>
      </c>
      <c r="Y40" s="3790">
        <v>6.7530000000000001</v>
      </c>
      <c r="Z40" s="3790">
        <v>6.7460000000000004</v>
      </c>
      <c r="AA40" s="3790">
        <v>7.4939999999999998</v>
      </c>
      <c r="AB40" s="3790">
        <v>7.2119999999999997</v>
      </c>
      <c r="AC40" s="3790">
        <v>7.2969999999999997</v>
      </c>
      <c r="AD40" s="3790">
        <v>7.1004000000000005</v>
      </c>
      <c r="AE40" s="3790">
        <v>7.1698800000000009</v>
      </c>
      <c r="AF40" s="3790">
        <v>7.2546559999999998</v>
      </c>
    </row>
    <row r="41" spans="1:32">
      <c r="A41" s="3432" t="str">
        <f t="shared" si="2"/>
        <v>\\DG ECFIN\Forecast\Country databases\Desk transfer databases\BE</v>
      </c>
      <c r="B41" s="3432" t="str">
        <f t="shared" si="3"/>
        <v>BE</v>
      </c>
      <c r="C41" s="3432" t="s">
        <v>2147</v>
      </c>
      <c r="D41" s="3432" t="s">
        <v>2178</v>
      </c>
      <c r="E41" s="3432" t="s">
        <v>2363</v>
      </c>
      <c r="F41" s="3432">
        <v>54</v>
      </c>
      <c r="G41" s="3432" t="s">
        <v>598</v>
      </c>
      <c r="H41" s="3790">
        <v>76.158333333333303</v>
      </c>
      <c r="I41" s="3790">
        <v>77.308333333333294</v>
      </c>
      <c r="J41" s="3790">
        <v>77.775000000000006</v>
      </c>
      <c r="K41" s="3790">
        <v>78.275000000000006</v>
      </c>
      <c r="L41" s="3790">
        <v>79.349999999999994</v>
      </c>
      <c r="M41" s="3790">
        <v>80.858333333333306</v>
      </c>
      <c r="N41" s="3790">
        <v>81.966666666666697</v>
      </c>
      <c r="O41" s="3790">
        <v>82.825000000000003</v>
      </c>
      <c r="P41" s="3790">
        <v>84.2916666666667</v>
      </c>
      <c r="Q41" s="3790">
        <v>85.933333333333294</v>
      </c>
      <c r="R41" s="3790">
        <v>87.474999999999994</v>
      </c>
      <c r="S41" s="3790">
        <v>89.45</v>
      </c>
      <c r="T41" s="3790">
        <v>91.9166666666667</v>
      </c>
      <c r="U41" s="3790">
        <v>92.133333333333297</v>
      </c>
      <c r="V41" s="3790">
        <v>93.191666666666606</v>
      </c>
      <c r="W41" s="3790">
        <v>95.508333333333297</v>
      </c>
      <c r="X41" s="3790">
        <v>97.533333333333303</v>
      </c>
      <c r="Y41" s="3790">
        <v>99.091666666666697</v>
      </c>
      <c r="Z41" s="3790">
        <v>99.866666666666703</v>
      </c>
      <c r="AA41" s="3790">
        <v>100</v>
      </c>
      <c r="AB41" s="3790">
        <v>100.375</v>
      </c>
      <c r="AC41" s="3790">
        <v>102.083333333333</v>
      </c>
      <c r="AD41" s="3790">
        <v>103.98484669392434</v>
      </c>
      <c r="AE41" s="3790">
        <v>106.10802262521425</v>
      </c>
      <c r="AF41" s="3790">
        <v>107.90590373494861</v>
      </c>
    </row>
    <row r="42" spans="1:32">
      <c r="A42" s="3432" t="str">
        <f t="shared" si="2"/>
        <v>\\DG ECFIN\Forecast\Country databases\Desk transfer databases\BE</v>
      </c>
      <c r="B42" s="3432" t="str">
        <f t="shared" si="3"/>
        <v>BE</v>
      </c>
      <c r="C42" s="3432" t="s">
        <v>2147</v>
      </c>
      <c r="D42" s="3432" t="s">
        <v>2179</v>
      </c>
      <c r="E42" s="3432" t="s">
        <v>2363</v>
      </c>
      <c r="F42" s="3432">
        <v>55</v>
      </c>
      <c r="G42" s="3432" t="s">
        <v>600</v>
      </c>
      <c r="H42" s="3790" t="s">
        <v>2180</v>
      </c>
      <c r="I42" s="3790" t="s">
        <v>2180</v>
      </c>
      <c r="J42" s="3790" t="s">
        <v>2180</v>
      </c>
      <c r="K42" s="3790" t="s">
        <v>2180</v>
      </c>
      <c r="L42" s="3790" t="s">
        <v>2180</v>
      </c>
      <c r="M42" s="3790" t="s">
        <v>2180</v>
      </c>
      <c r="N42" s="3790" t="s">
        <v>2180</v>
      </c>
      <c r="O42" s="3790" t="s">
        <v>2180</v>
      </c>
      <c r="P42" s="3790" t="s">
        <v>2180</v>
      </c>
      <c r="Q42" s="3790" t="s">
        <v>2180</v>
      </c>
      <c r="R42" s="3790" t="s">
        <v>2180</v>
      </c>
      <c r="S42" s="3790" t="s">
        <v>2180</v>
      </c>
      <c r="T42" s="3790" t="s">
        <v>2180</v>
      </c>
      <c r="U42" s="3790" t="s">
        <v>2180</v>
      </c>
      <c r="V42" s="3790" t="s">
        <v>2180</v>
      </c>
      <c r="W42" s="3790" t="s">
        <v>2180</v>
      </c>
      <c r="X42" s="3790" t="s">
        <v>2180</v>
      </c>
      <c r="Y42" s="3790" t="s">
        <v>2180</v>
      </c>
      <c r="Z42" s="3790" t="s">
        <v>2180</v>
      </c>
      <c r="AA42" s="3790" t="s">
        <v>2180</v>
      </c>
      <c r="AB42" s="3790" t="s">
        <v>2180</v>
      </c>
      <c r="AC42" s="3790" t="s">
        <v>2180</v>
      </c>
      <c r="AD42" s="3790" t="s">
        <v>2180</v>
      </c>
      <c r="AE42" s="3790" t="s">
        <v>2180</v>
      </c>
      <c r="AF42" s="3790" t="s">
        <v>2180</v>
      </c>
    </row>
    <row r="43" spans="1:32">
      <c r="A43" s="3432" t="str">
        <f t="shared" si="2"/>
        <v>\\DG ECFIN\Forecast\Country databases\Desk transfer databases\BE</v>
      </c>
      <c r="B43" s="3432" t="str">
        <f t="shared" si="3"/>
        <v>BE</v>
      </c>
      <c r="C43" s="3432" t="s">
        <v>2147</v>
      </c>
      <c r="D43" s="3432" t="s">
        <v>2181</v>
      </c>
      <c r="E43" s="3432" t="s">
        <v>2149</v>
      </c>
      <c r="F43" s="3432">
        <v>57</v>
      </c>
      <c r="G43" s="3432" t="s">
        <v>509</v>
      </c>
      <c r="H43" s="3790">
        <v>1746.6130000000001</v>
      </c>
      <c r="I43" s="3790">
        <v>1785.0419999999999</v>
      </c>
      <c r="J43" s="3790">
        <v>1829.6590000000001</v>
      </c>
      <c r="K43" s="3790">
        <v>1862.037</v>
      </c>
      <c r="L43" s="3790">
        <v>1909.2370000000001</v>
      </c>
      <c r="M43" s="3790">
        <v>1969.93</v>
      </c>
      <c r="N43" s="3790">
        <v>1998.3440000000001</v>
      </c>
      <c r="O43" s="3790">
        <v>2005.0640000000001</v>
      </c>
      <c r="P43" s="3790">
        <v>2057.6260000000002</v>
      </c>
      <c r="Q43" s="3790">
        <v>2082.0859999999998</v>
      </c>
      <c r="R43" s="3790">
        <v>2164.9720000000002</v>
      </c>
      <c r="S43" s="3790">
        <v>2261.36</v>
      </c>
      <c r="T43" s="3790">
        <v>2304.665</v>
      </c>
      <c r="U43" s="3790">
        <v>2207.2359999999999</v>
      </c>
      <c r="V43" s="3790">
        <v>2321.6950000000002</v>
      </c>
      <c r="W43" s="3790">
        <v>2428.078</v>
      </c>
      <c r="X43" s="3790">
        <v>2478.596</v>
      </c>
      <c r="Y43" s="3790">
        <v>2542.6559999999999</v>
      </c>
      <c r="Z43" s="3790">
        <v>2646.444</v>
      </c>
      <c r="AA43" s="3790">
        <v>2745.337</v>
      </c>
      <c r="AB43" s="3790">
        <v>2847.74</v>
      </c>
      <c r="AC43" s="3790">
        <v>2954.6959999999999</v>
      </c>
      <c r="AD43" s="3790">
        <v>3060.3347126353442</v>
      </c>
      <c r="AE43" s="3790">
        <v>3189.7549299730981</v>
      </c>
      <c r="AF43" s="3790">
        <v>3316.9855470149701</v>
      </c>
    </row>
    <row r="44" spans="1:32">
      <c r="A44" s="3432" t="str">
        <f t="shared" si="2"/>
        <v>\\DG ECFIN\Forecast\Country databases\Desk transfer databases\BE</v>
      </c>
      <c r="B44" s="3432" t="str">
        <f t="shared" si="3"/>
        <v>BE</v>
      </c>
      <c r="C44" s="3432" t="s">
        <v>2147</v>
      </c>
      <c r="D44" s="3432" t="s">
        <v>2182</v>
      </c>
      <c r="E44" s="3432" t="s">
        <v>2149</v>
      </c>
      <c r="F44" s="3432">
        <v>58</v>
      </c>
      <c r="G44" s="3432" t="s">
        <v>510</v>
      </c>
      <c r="H44" s="3790">
        <v>1738.1382021044431</v>
      </c>
      <c r="I44" s="3790">
        <v>1783.1645763458675</v>
      </c>
      <c r="J44" s="3790">
        <v>1823.1212029292212</v>
      </c>
      <c r="K44" s="3790">
        <v>1862.7508465094018</v>
      </c>
      <c r="L44" s="3790">
        <v>1923.7136358997109</v>
      </c>
      <c r="M44" s="3790">
        <v>1947.9978590898652</v>
      </c>
      <c r="N44" s="3790">
        <v>1975.2848190982704</v>
      </c>
      <c r="O44" s="3790">
        <v>1985.5591060896443</v>
      </c>
      <c r="P44" s="3790">
        <v>2037.4496182444088</v>
      </c>
      <c r="Q44" s="3790">
        <v>2071.3273018073428</v>
      </c>
      <c r="R44" s="3790">
        <v>2160.0559388135252</v>
      </c>
      <c r="S44" s="3790">
        <v>2248.4627934973641</v>
      </c>
      <c r="T44" s="3790">
        <v>2288.2303039962244</v>
      </c>
      <c r="U44" s="3790">
        <v>2163.2592861289945</v>
      </c>
      <c r="V44" s="3790">
        <v>2301.1217722733063</v>
      </c>
      <c r="W44" s="3790">
        <v>2404.3473399999998</v>
      </c>
      <c r="X44" s="3790">
        <v>2442.1456593396274</v>
      </c>
      <c r="Y44" s="3790">
        <v>2491.6838219492352</v>
      </c>
      <c r="Z44" s="3790">
        <v>2598.9921912713467</v>
      </c>
      <c r="AA44" s="3790">
        <v>2686.2531646680536</v>
      </c>
      <c r="AB44" s="3790">
        <v>2806.4904945966409</v>
      </c>
      <c r="AC44" s="3790">
        <v>2910.0487374026243</v>
      </c>
      <c r="AD44" s="3790">
        <v>3004.6350764078375</v>
      </c>
      <c r="AE44" s="3790">
        <v>3122.7935819445279</v>
      </c>
      <c r="AF44" s="3790">
        <v>3255.860987729071</v>
      </c>
    </row>
    <row r="45" spans="1:32">
      <c r="A45" s="3432" t="str">
        <f t="shared" si="2"/>
        <v>\\DG ECFIN\Forecast\Country databases\Desk transfer databases\BE</v>
      </c>
      <c r="B45" s="3432" t="str">
        <f t="shared" si="3"/>
        <v>BE</v>
      </c>
      <c r="C45" s="3432" t="s">
        <v>2147</v>
      </c>
      <c r="D45" s="3432" t="s">
        <v>2183</v>
      </c>
      <c r="E45" s="3432" t="s">
        <v>2184</v>
      </c>
      <c r="F45" s="3432">
        <v>59</v>
      </c>
      <c r="G45" s="3432" t="s">
        <v>552</v>
      </c>
      <c r="H45" s="3791">
        <v>37969</v>
      </c>
      <c r="I45" s="3791">
        <v>37947</v>
      </c>
      <c r="J45" s="3791">
        <v>38407</v>
      </c>
      <c r="K45" s="3791">
        <v>39031</v>
      </c>
      <c r="L45" s="3791">
        <v>39917</v>
      </c>
      <c r="M45" s="3791">
        <v>39809</v>
      </c>
      <c r="N45" s="3791">
        <v>39630</v>
      </c>
      <c r="O45" s="3791">
        <v>39200</v>
      </c>
      <c r="P45" s="3791">
        <v>39337</v>
      </c>
      <c r="Q45" s="3791">
        <v>39326</v>
      </c>
      <c r="R45" s="3791">
        <v>39635</v>
      </c>
      <c r="S45" s="3791">
        <v>40325</v>
      </c>
      <c r="T45" s="3791">
        <v>40856</v>
      </c>
      <c r="U45" s="3791">
        <v>40892</v>
      </c>
      <c r="V45" s="3791">
        <v>41020</v>
      </c>
      <c r="W45" s="3791">
        <v>41577</v>
      </c>
      <c r="X45" s="3791">
        <v>42061</v>
      </c>
      <c r="Y45" s="3791">
        <v>42319</v>
      </c>
      <c r="Z45" s="3791">
        <v>42671</v>
      </c>
      <c r="AA45" s="3791">
        <v>43071</v>
      </c>
      <c r="AB45" s="3791">
        <v>43642</v>
      </c>
      <c r="AC45" s="3791">
        <v>44269</v>
      </c>
      <c r="AD45" s="3791">
        <v>44789.479599963837</v>
      </c>
      <c r="AE45" s="3791">
        <v>45024.73275658107</v>
      </c>
      <c r="AF45" s="3791">
        <v>45244.417786675425</v>
      </c>
    </row>
    <row r="46" spans="1:32">
      <c r="A46" s="3432" t="str">
        <f t="shared" si="2"/>
        <v>\\DG ECFIN\Forecast\Country databases\Desk transfer databases\BE</v>
      </c>
      <c r="B46" s="3432" t="str">
        <f t="shared" si="3"/>
        <v>BE</v>
      </c>
      <c r="C46" s="3432" t="s">
        <v>2147</v>
      </c>
      <c r="D46" s="3432" t="s">
        <v>2185</v>
      </c>
      <c r="E46" s="3432" t="s">
        <v>2184</v>
      </c>
      <c r="F46" s="3432">
        <v>60</v>
      </c>
      <c r="G46" s="3432" t="s">
        <v>1961</v>
      </c>
      <c r="H46" s="3790" t="s">
        <v>2180</v>
      </c>
      <c r="I46" s="3790" t="s">
        <v>2180</v>
      </c>
      <c r="J46" s="3790" t="s">
        <v>2180</v>
      </c>
      <c r="K46" s="3790" t="s">
        <v>2180</v>
      </c>
      <c r="L46" s="3790" t="s">
        <v>2180</v>
      </c>
      <c r="M46" s="3790" t="s">
        <v>2180</v>
      </c>
      <c r="N46" s="3790" t="s">
        <v>2180</v>
      </c>
      <c r="O46" s="3790" t="s">
        <v>2180</v>
      </c>
      <c r="P46" s="3790" t="s">
        <v>2180</v>
      </c>
      <c r="Q46" s="3790" t="s">
        <v>2180</v>
      </c>
      <c r="R46" s="3790" t="s">
        <v>2180</v>
      </c>
      <c r="S46" s="3790" t="s">
        <v>2180</v>
      </c>
      <c r="T46" s="3790" t="s">
        <v>2180</v>
      </c>
      <c r="U46" s="3790" t="s">
        <v>2180</v>
      </c>
      <c r="V46" s="3790" t="s">
        <v>2180</v>
      </c>
      <c r="W46" s="3790" t="s">
        <v>2180</v>
      </c>
      <c r="X46" s="3790" t="s">
        <v>2180</v>
      </c>
      <c r="Y46" s="3790" t="s">
        <v>2180</v>
      </c>
      <c r="Z46" s="3790" t="s">
        <v>2180</v>
      </c>
      <c r="AA46" s="3790" t="s">
        <v>2180</v>
      </c>
      <c r="AB46" s="3790" t="s">
        <v>2180</v>
      </c>
      <c r="AC46" s="3790" t="s">
        <v>2180</v>
      </c>
      <c r="AD46" s="3790" t="s">
        <v>2180</v>
      </c>
      <c r="AE46" s="3790" t="s">
        <v>2180</v>
      </c>
      <c r="AF46" s="3790" t="s">
        <v>2180</v>
      </c>
    </row>
    <row r="47" spans="1:32">
      <c r="A47" s="3432" t="str">
        <f t="shared" si="2"/>
        <v>\\DG ECFIN\Forecast\Country databases\Desk transfer databases\BE</v>
      </c>
      <c r="B47" s="3432" t="str">
        <f t="shared" si="3"/>
        <v>BE</v>
      </c>
      <c r="C47" s="3432" t="s">
        <v>2147</v>
      </c>
      <c r="D47" s="3432" t="s">
        <v>2186</v>
      </c>
      <c r="E47" s="3432" t="s">
        <v>2149</v>
      </c>
      <c r="F47" s="3432">
        <v>61</v>
      </c>
      <c r="G47" s="3432" t="s">
        <v>554</v>
      </c>
      <c r="H47" s="3790">
        <v>1021.8680000000001</v>
      </c>
      <c r="I47" s="3790">
        <v>1026.4290000000001</v>
      </c>
      <c r="J47" s="3790">
        <v>1048.318</v>
      </c>
      <c r="K47" s="3790">
        <v>1078.5930000000001</v>
      </c>
      <c r="L47" s="3790">
        <v>1120.5260000000001</v>
      </c>
      <c r="M47" s="3790">
        <v>1137.729</v>
      </c>
      <c r="N47" s="3790">
        <v>1144.758</v>
      </c>
      <c r="O47" s="3790">
        <v>1146.2170000000001</v>
      </c>
      <c r="P47" s="3790">
        <v>1148.422</v>
      </c>
      <c r="Q47" s="3790">
        <v>1145.877</v>
      </c>
      <c r="R47" s="3790">
        <v>1165.287</v>
      </c>
      <c r="S47" s="3790">
        <v>1197.07</v>
      </c>
      <c r="T47" s="3790">
        <v>1241.2729999999999</v>
      </c>
      <c r="U47" s="3790">
        <v>1245.663</v>
      </c>
      <c r="V47" s="3790">
        <v>1281.963</v>
      </c>
      <c r="W47" s="3790">
        <v>1337.2729999999999</v>
      </c>
      <c r="X47" s="3790">
        <v>1388.8320000000001</v>
      </c>
      <c r="Y47" s="3790">
        <v>1427.4069999999999</v>
      </c>
      <c r="Z47" s="3790">
        <v>1483.1030000000001</v>
      </c>
      <c r="AA47" s="3790">
        <v>1540.768</v>
      </c>
      <c r="AB47" s="3790">
        <v>1598.748</v>
      </c>
      <c r="AC47" s="3790">
        <v>1667.616</v>
      </c>
      <c r="AD47" s="3790">
        <v>1739.4980253464528</v>
      </c>
      <c r="AE47" s="3790">
        <v>1801.4761924254869</v>
      </c>
      <c r="AF47" s="3790">
        <v>1864.7312957801705</v>
      </c>
    </row>
    <row r="48" spans="1:32">
      <c r="A48" s="3432" t="str">
        <f t="shared" si="2"/>
        <v>\\DG ECFIN\Forecast\Country databases\Desk transfer databases\BE</v>
      </c>
      <c r="B48" s="3432" t="str">
        <f t="shared" si="3"/>
        <v>BE</v>
      </c>
      <c r="C48" s="3432" t="s">
        <v>2147</v>
      </c>
      <c r="D48" s="3432" t="s">
        <v>2187</v>
      </c>
      <c r="E48" s="3432" t="s">
        <v>2149</v>
      </c>
      <c r="F48" s="3432">
        <v>62</v>
      </c>
      <c r="G48" s="3432" t="s">
        <v>555</v>
      </c>
      <c r="H48" s="3790">
        <v>828.46300000000008</v>
      </c>
      <c r="I48" s="3790">
        <v>826.78099999999995</v>
      </c>
      <c r="J48" s="3790">
        <v>843.98100000000011</v>
      </c>
      <c r="K48" s="3790">
        <v>869.53800000000001</v>
      </c>
      <c r="L48" s="3790">
        <v>900.36800000000005</v>
      </c>
      <c r="M48" s="3790">
        <v>917.44600000000014</v>
      </c>
      <c r="N48" s="3790">
        <v>924.12200000000007</v>
      </c>
      <c r="O48" s="3790">
        <v>922.44599999999991</v>
      </c>
      <c r="P48" s="3790">
        <v>927.04300000000001</v>
      </c>
      <c r="Q48" s="3790">
        <v>925.44099999999992</v>
      </c>
      <c r="R48" s="3790">
        <v>938.59199999999987</v>
      </c>
      <c r="S48" s="3790">
        <v>968.9</v>
      </c>
      <c r="T48" s="3790">
        <v>1007.446</v>
      </c>
      <c r="U48" s="3790">
        <v>1008.327</v>
      </c>
      <c r="V48" s="3790">
        <v>1037.105</v>
      </c>
      <c r="W48" s="3790">
        <v>1086.105</v>
      </c>
      <c r="X48" s="3790">
        <v>1130.5040000000001</v>
      </c>
      <c r="Y48" s="3790">
        <v>1164.7629999999999</v>
      </c>
      <c r="Z48" s="3790">
        <v>1210.5219999999999</v>
      </c>
      <c r="AA48" s="3790">
        <v>1259.0530000000001</v>
      </c>
      <c r="AB48" s="3790">
        <v>1309.319</v>
      </c>
      <c r="AC48" s="3790">
        <v>1364.9269999999999</v>
      </c>
      <c r="AD48" s="3790">
        <v>1426.555644503969</v>
      </c>
      <c r="AE48" s="3790">
        <v>1477.6978201119487</v>
      </c>
      <c r="AF48" s="3790">
        <v>1529.5841168785589</v>
      </c>
    </row>
    <row r="49" spans="1:32">
      <c r="A49" s="3432" t="str">
        <f t="shared" si="2"/>
        <v>\\DG ECFIN\Forecast\Country databases\Desk transfer databases\BE</v>
      </c>
      <c r="B49" s="3432" t="str">
        <f t="shared" si="3"/>
        <v>BE</v>
      </c>
      <c r="C49" s="3432" t="s">
        <v>2147</v>
      </c>
      <c r="D49" s="3432" t="s">
        <v>2188</v>
      </c>
      <c r="E49" s="3432" t="s">
        <v>2184</v>
      </c>
      <c r="F49" s="3432">
        <v>63</v>
      </c>
      <c r="G49" s="3432" t="s">
        <v>556</v>
      </c>
      <c r="H49" s="3791">
        <v>34115</v>
      </c>
      <c r="I49" s="3791">
        <v>34036</v>
      </c>
      <c r="J49" s="3791">
        <v>34447</v>
      </c>
      <c r="K49" s="3791">
        <v>35046</v>
      </c>
      <c r="L49" s="3791">
        <v>35922</v>
      </c>
      <c r="M49" s="3791">
        <v>35797</v>
      </c>
      <c r="N49" s="3791">
        <v>35570</v>
      </c>
      <c r="O49" s="3791">
        <v>35078</v>
      </c>
      <c r="P49" s="3791">
        <v>35079</v>
      </c>
      <c r="Q49" s="3791">
        <v>34916</v>
      </c>
      <c r="R49" s="3791">
        <v>35152</v>
      </c>
      <c r="S49" s="3791">
        <v>35798</v>
      </c>
      <c r="T49" s="3791">
        <v>36353</v>
      </c>
      <c r="U49" s="3791">
        <v>36407</v>
      </c>
      <c r="V49" s="3791">
        <v>36533</v>
      </c>
      <c r="W49" s="3791">
        <v>37014</v>
      </c>
      <c r="X49" s="3791">
        <v>37501</v>
      </c>
      <c r="Y49" s="3791">
        <v>37853</v>
      </c>
      <c r="Z49" s="3791">
        <v>38258</v>
      </c>
      <c r="AA49" s="3791">
        <v>38711</v>
      </c>
      <c r="AB49" s="3791">
        <v>39308</v>
      </c>
      <c r="AC49" s="3791">
        <v>39975</v>
      </c>
      <c r="AD49" s="3791">
        <v>40556.972439642494</v>
      </c>
      <c r="AE49" s="3791">
        <v>40796.225130547769</v>
      </c>
      <c r="AF49" s="3791">
        <v>41015.910160642125</v>
      </c>
    </row>
    <row r="50" spans="1:32">
      <c r="A50" s="3432" t="str">
        <f t="shared" si="2"/>
        <v>\\DG ECFIN\Forecast\Country databases\Desk transfer databases\BE</v>
      </c>
      <c r="B50" s="3432" t="str">
        <f t="shared" si="3"/>
        <v>BE</v>
      </c>
      <c r="C50" s="3432" t="s">
        <v>2147</v>
      </c>
      <c r="D50" s="3432" t="s">
        <v>2189</v>
      </c>
      <c r="E50" s="3432" t="s">
        <v>2184</v>
      </c>
      <c r="F50" s="3432">
        <v>64</v>
      </c>
      <c r="G50" s="3432" t="s">
        <v>558</v>
      </c>
      <c r="H50" s="3790" t="s">
        <v>2180</v>
      </c>
      <c r="I50" s="3790" t="s">
        <v>2180</v>
      </c>
      <c r="J50" s="3790" t="s">
        <v>2180</v>
      </c>
      <c r="K50" s="3790" t="s">
        <v>2180</v>
      </c>
      <c r="L50" s="3790" t="s">
        <v>2180</v>
      </c>
      <c r="M50" s="3790" t="s">
        <v>2180</v>
      </c>
      <c r="N50" s="3790" t="s">
        <v>2180</v>
      </c>
      <c r="O50" s="3790" t="s">
        <v>2180</v>
      </c>
      <c r="P50" s="3790" t="s">
        <v>2180</v>
      </c>
      <c r="Q50" s="3790" t="s">
        <v>2180</v>
      </c>
      <c r="R50" s="3790" t="s">
        <v>2180</v>
      </c>
      <c r="S50" s="3790" t="s">
        <v>2180</v>
      </c>
      <c r="T50" s="3790" t="s">
        <v>2180</v>
      </c>
      <c r="U50" s="3790" t="s">
        <v>2180</v>
      </c>
      <c r="V50" s="3790" t="s">
        <v>2180</v>
      </c>
      <c r="W50" s="3790" t="s">
        <v>2180</v>
      </c>
      <c r="X50" s="3790" t="s">
        <v>2180</v>
      </c>
      <c r="Y50" s="3790" t="s">
        <v>2180</v>
      </c>
      <c r="Z50" s="3790" t="s">
        <v>2180</v>
      </c>
      <c r="AA50" s="3790" t="s">
        <v>2180</v>
      </c>
      <c r="AB50" s="3790" t="s">
        <v>2180</v>
      </c>
      <c r="AC50" s="3790" t="s">
        <v>2180</v>
      </c>
      <c r="AD50" s="3790" t="s">
        <v>2180</v>
      </c>
      <c r="AE50" s="3790" t="s">
        <v>2180</v>
      </c>
      <c r="AF50" s="3790" t="s">
        <v>2180</v>
      </c>
    </row>
    <row r="51" spans="1:32">
      <c r="A51" s="3432" t="str">
        <f t="shared" si="2"/>
        <v>\\DG ECFIN\Forecast\Country databases\Desk transfer databases\BE</v>
      </c>
      <c r="B51" s="3432" t="str">
        <f t="shared" si="3"/>
        <v>BE</v>
      </c>
      <c r="C51" s="3432" t="s">
        <v>2147</v>
      </c>
      <c r="D51" s="3432" t="s">
        <v>2190</v>
      </c>
      <c r="E51" s="3432" t="s">
        <v>2184</v>
      </c>
      <c r="F51" s="3432">
        <v>75</v>
      </c>
      <c r="G51" s="3432" t="s">
        <v>1735</v>
      </c>
      <c r="H51" s="3791">
        <v>81466</v>
      </c>
      <c r="I51" s="3791">
        <v>81510</v>
      </c>
      <c r="J51" s="3791">
        <v>81446</v>
      </c>
      <c r="K51" s="3791">
        <v>81422</v>
      </c>
      <c r="L51" s="3791">
        <v>81457</v>
      </c>
      <c r="M51" s="3791">
        <v>81517</v>
      </c>
      <c r="N51" s="3791">
        <v>81578</v>
      </c>
      <c r="O51" s="3791">
        <v>81549</v>
      </c>
      <c r="P51" s="3791">
        <v>81456</v>
      </c>
      <c r="Q51" s="3791">
        <v>81337</v>
      </c>
      <c r="R51" s="3791">
        <v>81173</v>
      </c>
      <c r="S51" s="3791">
        <v>80992</v>
      </c>
      <c r="T51" s="3791">
        <v>80764</v>
      </c>
      <c r="U51" s="3791">
        <v>80483</v>
      </c>
      <c r="V51" s="3791">
        <v>80284</v>
      </c>
      <c r="W51" s="3791">
        <v>80275</v>
      </c>
      <c r="X51" s="3791">
        <v>80426</v>
      </c>
      <c r="Y51" s="3791">
        <v>80646</v>
      </c>
      <c r="Z51" s="3791">
        <v>80983</v>
      </c>
      <c r="AA51" s="3791">
        <v>81687</v>
      </c>
      <c r="AB51" s="3791">
        <v>82349</v>
      </c>
      <c r="AC51" s="3791">
        <v>82659</v>
      </c>
      <c r="AD51" s="3791">
        <v>82882.678369559231</v>
      </c>
      <c r="AE51" s="3791">
        <v>83076.815516881208</v>
      </c>
      <c r="AF51" s="3791">
        <v>83268.066939666707</v>
      </c>
    </row>
    <row r="52" spans="1:32">
      <c r="A52" s="3432" t="str">
        <f t="shared" si="2"/>
        <v>\\DG ECFIN\Forecast\Country databases\Desk transfer databases\BE</v>
      </c>
      <c r="B52" s="3432" t="str">
        <f t="shared" si="3"/>
        <v>BE</v>
      </c>
      <c r="C52" s="3432" t="s">
        <v>2147</v>
      </c>
      <c r="D52" s="3432" t="s">
        <v>2191</v>
      </c>
      <c r="E52" s="3432" t="s">
        <v>2184</v>
      </c>
      <c r="F52" s="3432">
        <v>76</v>
      </c>
      <c r="G52" s="3432" t="s">
        <v>617</v>
      </c>
      <c r="H52" s="3791">
        <v>55907.3505</v>
      </c>
      <c r="I52" s="3791">
        <v>55980.345000000001</v>
      </c>
      <c r="J52" s="3791">
        <v>55991.032500000001</v>
      </c>
      <c r="K52" s="3791">
        <v>55952.360500000003</v>
      </c>
      <c r="L52" s="3791">
        <v>55851.746500000001</v>
      </c>
      <c r="M52" s="3791">
        <v>55772.013500000001</v>
      </c>
      <c r="N52" s="3791">
        <v>55719.012000000002</v>
      </c>
      <c r="O52" s="3791">
        <v>55595.923499999997</v>
      </c>
      <c r="P52" s="3791">
        <v>55359.152999999998</v>
      </c>
      <c r="Q52" s="3791">
        <v>55063.394500000002</v>
      </c>
      <c r="R52" s="3791">
        <v>54746.15</v>
      </c>
      <c r="S52" s="3791">
        <v>54495.824000000001</v>
      </c>
      <c r="T52" s="3791">
        <v>54275.817000000003</v>
      </c>
      <c r="U52" s="3791">
        <v>54006.059000000001</v>
      </c>
      <c r="V52" s="3791">
        <v>53921.994500000001</v>
      </c>
      <c r="W52" s="3791">
        <v>53458.785000000003</v>
      </c>
      <c r="X52" s="3791">
        <v>53038.574999999997</v>
      </c>
      <c r="Y52" s="3791">
        <v>53198.9545</v>
      </c>
      <c r="Z52" s="3791">
        <v>53347.161999999997</v>
      </c>
      <c r="AA52" s="3791">
        <v>53708.241499999996</v>
      </c>
      <c r="AB52" s="3791">
        <v>53978.879999999997</v>
      </c>
      <c r="AC52" s="3791">
        <v>54140.81663999999</v>
      </c>
      <c r="AD52" s="3791">
        <v>54303.239089919982</v>
      </c>
      <c r="AE52" s="3791">
        <v>54411.845568099823</v>
      </c>
      <c r="AF52" s="3791">
        <v>54520.66925923602</v>
      </c>
    </row>
    <row r="53" spans="1:32">
      <c r="A53" s="3432" t="str">
        <f t="shared" si="2"/>
        <v>\\DG ECFIN\Forecast\Country databases\Desk transfer databases\BE</v>
      </c>
      <c r="B53" s="3432" t="str">
        <f t="shared" si="3"/>
        <v>BE</v>
      </c>
      <c r="C53" s="3432" t="s">
        <v>2147</v>
      </c>
      <c r="D53" s="3432" t="s">
        <v>2192</v>
      </c>
      <c r="E53" s="3432" t="s">
        <v>2184</v>
      </c>
      <c r="F53" s="3432">
        <v>77</v>
      </c>
      <c r="G53" s="3432" t="s">
        <v>2132</v>
      </c>
      <c r="H53" s="3791">
        <v>63340.1875</v>
      </c>
      <c r="I53" s="3791">
        <v>63382.756999999998</v>
      </c>
      <c r="J53" s="3791">
        <v>63381.345000000001</v>
      </c>
      <c r="K53" s="3791">
        <v>63430.815499999997</v>
      </c>
      <c r="L53" s="3791">
        <v>63514.783499999998</v>
      </c>
      <c r="M53" s="3791">
        <v>63643.445500000002</v>
      </c>
      <c r="N53" s="3791">
        <v>63819.1005</v>
      </c>
      <c r="O53" s="3791">
        <v>63941.559500000003</v>
      </c>
      <c r="P53" s="3791">
        <v>63997.716500000002</v>
      </c>
      <c r="Q53" s="3791">
        <v>64032.103999999999</v>
      </c>
      <c r="R53" s="3791">
        <v>64028.800000000003</v>
      </c>
      <c r="S53" s="3791">
        <v>63982.752500000002</v>
      </c>
      <c r="T53" s="3791">
        <v>63880.566500000001</v>
      </c>
      <c r="U53" s="3791">
        <v>63649.682000000001</v>
      </c>
      <c r="V53" s="3791">
        <v>63380.977500000001</v>
      </c>
      <c r="W53" s="3791">
        <v>62576.195500000002</v>
      </c>
      <c r="X53" s="3791">
        <v>61890.412499999999</v>
      </c>
      <c r="Y53" s="3791">
        <v>61876.505499999999</v>
      </c>
      <c r="Z53" s="3791">
        <v>61859.073499999999</v>
      </c>
      <c r="AA53" s="3791">
        <v>62076.334000000003</v>
      </c>
      <c r="AB53" s="3791">
        <v>62238.537499999999</v>
      </c>
      <c r="AC53" s="3791">
        <v>62363.014575000001</v>
      </c>
      <c r="AD53" s="3791">
        <v>62487.74060415</v>
      </c>
      <c r="AE53" s="3791">
        <v>62675.203825962446</v>
      </c>
      <c r="AF53" s="3791">
        <v>62800.55423361437</v>
      </c>
    </row>
    <row r="54" spans="1:32">
      <c r="A54" s="3432" t="str">
        <f t="shared" si="2"/>
        <v>\\DG ECFIN\Forecast\Country databases\Desk transfer databases\BE</v>
      </c>
      <c r="B54" s="3432" t="str">
        <f t="shared" si="3"/>
        <v>BE</v>
      </c>
      <c r="C54" s="3432" t="s">
        <v>2147</v>
      </c>
      <c r="D54" s="3432" t="s">
        <v>2193</v>
      </c>
      <c r="E54" s="3432" t="s">
        <v>2184</v>
      </c>
      <c r="F54" s="3432">
        <v>78</v>
      </c>
      <c r="G54" s="3432" t="s">
        <v>619</v>
      </c>
      <c r="H54" s="3791">
        <v>3471</v>
      </c>
      <c r="I54" s="3791">
        <v>3764</v>
      </c>
      <c r="J54" s="3791">
        <v>3682</v>
      </c>
      <c r="K54" s="3791">
        <v>3366</v>
      </c>
      <c r="L54" s="3791">
        <v>3114</v>
      </c>
      <c r="M54" s="3791">
        <v>3059</v>
      </c>
      <c r="N54" s="3791">
        <v>3376</v>
      </c>
      <c r="O54" s="3791">
        <v>3810</v>
      </c>
      <c r="P54" s="3791">
        <v>4127</v>
      </c>
      <c r="Q54" s="3791">
        <v>4506</v>
      </c>
      <c r="R54" s="3791">
        <v>4104</v>
      </c>
      <c r="S54" s="3791">
        <v>3473</v>
      </c>
      <c r="T54" s="3791">
        <v>3018</v>
      </c>
      <c r="U54" s="3791">
        <v>3098</v>
      </c>
      <c r="V54" s="3791">
        <v>2821</v>
      </c>
      <c r="W54" s="3791">
        <v>2399</v>
      </c>
      <c r="X54" s="3791">
        <v>2224</v>
      </c>
      <c r="Y54" s="3791">
        <v>2182</v>
      </c>
      <c r="Z54" s="3791">
        <v>2090</v>
      </c>
      <c r="AA54" s="3791">
        <v>1950</v>
      </c>
      <c r="AB54" s="3791">
        <v>1774</v>
      </c>
      <c r="AC54" s="3791">
        <v>1621</v>
      </c>
      <c r="AD54" s="3791">
        <v>1464.5034661509635</v>
      </c>
      <c r="AE54" s="3791">
        <v>1374.8789057905815</v>
      </c>
      <c r="AF54" s="3791">
        <v>1355.3896675730648</v>
      </c>
    </row>
    <row r="55" spans="1:32">
      <c r="A55" s="3432" t="str">
        <f t="shared" si="2"/>
        <v>\\DG ECFIN\Forecast\Country databases\Desk transfer databases\BE</v>
      </c>
      <c r="B55" s="3432" t="str">
        <f t="shared" si="3"/>
        <v>BE</v>
      </c>
      <c r="C55" s="3432" t="s">
        <v>2147</v>
      </c>
      <c r="D55" s="3432" t="s">
        <v>2194</v>
      </c>
      <c r="E55" s="3432" t="s">
        <v>2184</v>
      </c>
      <c r="F55" s="3432">
        <v>79</v>
      </c>
      <c r="G55" s="3432" t="s">
        <v>571</v>
      </c>
      <c r="H55" s="3791">
        <v>37890</v>
      </c>
      <c r="I55" s="3791">
        <v>37861</v>
      </c>
      <c r="J55" s="3791">
        <v>38315</v>
      </c>
      <c r="K55" s="3791">
        <v>38927</v>
      </c>
      <c r="L55" s="3791">
        <v>39792</v>
      </c>
      <c r="M55" s="3791">
        <v>39667</v>
      </c>
      <c r="N55" s="3791">
        <v>39498</v>
      </c>
      <c r="O55" s="3791">
        <v>39075</v>
      </c>
      <c r="P55" s="3791">
        <v>39218</v>
      </c>
      <c r="Q55" s="3791">
        <v>39220</v>
      </c>
      <c r="R55" s="3791">
        <v>39559</v>
      </c>
      <c r="S55" s="3791">
        <v>40259</v>
      </c>
      <c r="T55" s="3791">
        <v>40805</v>
      </c>
      <c r="U55" s="3791">
        <v>40845</v>
      </c>
      <c r="V55" s="3791">
        <v>40983</v>
      </c>
      <c r="W55" s="3791">
        <v>41534</v>
      </c>
      <c r="X55" s="3791">
        <v>42006</v>
      </c>
      <c r="Y55" s="3791">
        <v>42257</v>
      </c>
      <c r="Z55" s="3791">
        <v>42607</v>
      </c>
      <c r="AA55" s="3791">
        <v>42993</v>
      </c>
      <c r="AB55" s="3791">
        <v>43550</v>
      </c>
      <c r="AC55" s="3791">
        <v>44155</v>
      </c>
      <c r="AD55" s="3791">
        <v>44660.089599963838</v>
      </c>
      <c r="AE55" s="3791">
        <v>44895.342756581071</v>
      </c>
      <c r="AF55" s="3791">
        <v>45115.027786675426</v>
      </c>
    </row>
    <row r="56" spans="1:32">
      <c r="A56" s="3432" t="str">
        <f t="shared" si="2"/>
        <v>\\DG ECFIN\Forecast\Country databases\Desk transfer databases\BE</v>
      </c>
      <c r="B56" s="3432" t="str">
        <f t="shared" si="3"/>
        <v>BE</v>
      </c>
      <c r="C56" s="3432" t="s">
        <v>2147</v>
      </c>
      <c r="D56" s="3432" t="s">
        <v>2195</v>
      </c>
      <c r="E56" s="3432" t="s">
        <v>2184</v>
      </c>
      <c r="F56" s="3432">
        <v>83</v>
      </c>
      <c r="G56" s="3432" t="s">
        <v>1893</v>
      </c>
      <c r="H56" s="3791">
        <v>34036</v>
      </c>
      <c r="I56" s="3791">
        <v>33950</v>
      </c>
      <c r="J56" s="3791">
        <v>34355</v>
      </c>
      <c r="K56" s="3791">
        <v>34942</v>
      </c>
      <c r="L56" s="3791">
        <v>35797</v>
      </c>
      <c r="M56" s="3791">
        <v>35655</v>
      </c>
      <c r="N56" s="3791">
        <v>35438</v>
      </c>
      <c r="O56" s="3791">
        <v>34953</v>
      </c>
      <c r="P56" s="3791">
        <v>34960</v>
      </c>
      <c r="Q56" s="3791">
        <v>34810</v>
      </c>
      <c r="R56" s="3791">
        <v>35076</v>
      </c>
      <c r="S56" s="3791">
        <v>35732</v>
      </c>
      <c r="T56" s="3791">
        <v>36302</v>
      </c>
      <c r="U56" s="3791">
        <v>36360</v>
      </c>
      <c r="V56" s="3791">
        <v>36496</v>
      </c>
      <c r="W56" s="3791">
        <v>36971</v>
      </c>
      <c r="X56" s="3791">
        <v>37446</v>
      </c>
      <c r="Y56" s="3791">
        <v>37791</v>
      </c>
      <c r="Z56" s="3791">
        <v>38194</v>
      </c>
      <c r="AA56" s="3791">
        <v>38633</v>
      </c>
      <c r="AB56" s="3791">
        <v>39216</v>
      </c>
      <c r="AC56" s="3791">
        <v>39861</v>
      </c>
      <c r="AD56" s="3791">
        <v>40427.582439642494</v>
      </c>
      <c r="AE56" s="3791">
        <v>40666.83513054777</v>
      </c>
      <c r="AF56" s="3791">
        <v>40886.520160642125</v>
      </c>
    </row>
    <row r="57" spans="1:32">
      <c r="A57" s="3432" t="str">
        <f t="shared" si="2"/>
        <v>\\DG ECFIN\Forecast\Country databases\Desk transfer databases\BE</v>
      </c>
      <c r="B57" s="3432" t="str">
        <f t="shared" si="3"/>
        <v>BE</v>
      </c>
      <c r="C57" s="3432" t="s">
        <v>2147</v>
      </c>
      <c r="D57" s="3432" t="s">
        <v>2196</v>
      </c>
      <c r="E57" s="3432" t="s">
        <v>2363</v>
      </c>
      <c r="F57" s="3432">
        <v>85</v>
      </c>
      <c r="G57" s="3432" t="s">
        <v>1111</v>
      </c>
      <c r="H57" s="3790">
        <v>1510.4954041454871</v>
      </c>
      <c r="I57" s="3790">
        <v>1499.644240651435</v>
      </c>
      <c r="J57" s="3790">
        <v>1493.5818991329706</v>
      </c>
      <c r="K57" s="3790">
        <v>1478.7220414542285</v>
      </c>
      <c r="L57" s="3790">
        <v>1452.0129268231581</v>
      </c>
      <c r="M57" s="3790">
        <v>1441.9101208269487</v>
      </c>
      <c r="N57" s="3790">
        <v>1430.8604592480444</v>
      </c>
      <c r="O57" s="3790">
        <v>1424.7448979591836</v>
      </c>
      <c r="P57" s="3790">
        <v>1422.2233520604011</v>
      </c>
      <c r="Q57" s="3790">
        <v>1411.2800691654377</v>
      </c>
      <c r="R57" s="3790">
        <v>1424.6751608426896</v>
      </c>
      <c r="S57" s="3790">
        <v>1424.3521388716679</v>
      </c>
      <c r="T57" s="3790">
        <v>1418.3963187781476</v>
      </c>
      <c r="U57" s="3790">
        <v>1372.7134891910398</v>
      </c>
      <c r="V57" s="3790">
        <v>1389.8829839102877</v>
      </c>
      <c r="W57" s="3790">
        <v>1392.8133342954036</v>
      </c>
      <c r="X57" s="3790">
        <v>1375.0267468676448</v>
      </c>
      <c r="Y57" s="3790">
        <v>1362.6976062761407</v>
      </c>
      <c r="Z57" s="3790">
        <v>1367.1111527735463</v>
      </c>
      <c r="AA57" s="3790">
        <v>1368.043463119036</v>
      </c>
      <c r="AB57" s="3790">
        <v>1358.4620319875348</v>
      </c>
      <c r="AC57" s="3790">
        <v>1356.3441686055703</v>
      </c>
      <c r="AD57" s="3790">
        <v>1363.0710131891742</v>
      </c>
      <c r="AE57" s="3790">
        <v>1370.4056177593445</v>
      </c>
      <c r="AF57" s="3790">
        <v>1383.5462350136588</v>
      </c>
    </row>
    <row r="58" spans="1:32">
      <c r="A58" s="3432" t="str">
        <f t="shared" si="2"/>
        <v>\\DG ECFIN\Forecast\Country databases\Desk transfer databases\BE</v>
      </c>
      <c r="B58" s="3432" t="str">
        <f t="shared" si="3"/>
        <v>BE</v>
      </c>
      <c r="C58" s="3432" t="s">
        <v>2147</v>
      </c>
      <c r="D58" s="3432" t="s">
        <v>2197</v>
      </c>
      <c r="E58" s="3432" t="s">
        <v>2149</v>
      </c>
      <c r="F58" s="3432">
        <v>87</v>
      </c>
      <c r="G58" s="3432" t="s">
        <v>1112</v>
      </c>
      <c r="H58" s="3790">
        <v>1019.827</v>
      </c>
      <c r="I58" s="3790">
        <v>1024.1590000000001</v>
      </c>
      <c r="J58" s="3790">
        <v>1045.819</v>
      </c>
      <c r="K58" s="3790">
        <v>1075.9549999999999</v>
      </c>
      <c r="L58" s="3790">
        <v>1117.3889999999999</v>
      </c>
      <c r="M58" s="3790">
        <v>1134.328</v>
      </c>
      <c r="N58" s="3790">
        <v>1141.857</v>
      </c>
      <c r="O58" s="3790">
        <v>1143.6020000000001</v>
      </c>
      <c r="P58" s="3790">
        <v>1146.1469999999999</v>
      </c>
      <c r="Q58" s="3790">
        <v>1144.0150000000001</v>
      </c>
      <c r="R58" s="3790">
        <v>1164.375</v>
      </c>
      <c r="S58" s="3790">
        <v>1197.1869999999999</v>
      </c>
      <c r="T58" s="3790">
        <v>1241.646</v>
      </c>
      <c r="U58" s="3790">
        <v>1246.674</v>
      </c>
      <c r="V58" s="3790">
        <v>1283.8050000000001</v>
      </c>
      <c r="W58" s="3790">
        <v>1339.7270000000001</v>
      </c>
      <c r="X58" s="3790">
        <v>1391.204</v>
      </c>
      <c r="Y58" s="3790">
        <v>1429.9169999999999</v>
      </c>
      <c r="Z58" s="3790">
        <v>1485.4369999999999</v>
      </c>
      <c r="AA58" s="3790">
        <v>1542.9010000000001</v>
      </c>
      <c r="AB58" s="3790">
        <v>1600.9749999999999</v>
      </c>
      <c r="AC58" s="3790">
        <v>1668.81</v>
      </c>
      <c r="AD58" s="3790">
        <v>1740.9003501956252</v>
      </c>
      <c r="AE58" s="3790">
        <v>1802.9209713406042</v>
      </c>
      <c r="AF58" s="3790">
        <v>1866.2187950258249</v>
      </c>
    </row>
    <row r="59" spans="1:32">
      <c r="A59" s="3432" t="str">
        <f t="shared" si="2"/>
        <v>\\DG ECFIN\Forecast\Country databases\Desk transfer databases\BE</v>
      </c>
      <c r="B59" s="3432" t="str">
        <f t="shared" si="3"/>
        <v>BE</v>
      </c>
      <c r="C59" s="3432" t="s">
        <v>2147</v>
      </c>
      <c r="D59" s="3432" t="s">
        <v>2198</v>
      </c>
      <c r="E59" s="3432" t="s">
        <v>2149</v>
      </c>
      <c r="F59" s="3432">
        <v>88</v>
      </c>
      <c r="G59" s="3432" t="s">
        <v>333</v>
      </c>
      <c r="H59" s="3790">
        <v>826.90899999999999</v>
      </c>
      <c r="I59" s="3790">
        <v>825.05600000000004</v>
      </c>
      <c r="J59" s="3790">
        <v>842.072</v>
      </c>
      <c r="K59" s="3790">
        <v>867.52200000000005</v>
      </c>
      <c r="L59" s="3790">
        <v>897.94100000000003</v>
      </c>
      <c r="M59" s="3790">
        <v>914.803</v>
      </c>
      <c r="N59" s="3790">
        <v>921.92200000000003</v>
      </c>
      <c r="O59" s="3790">
        <v>920.48500000000001</v>
      </c>
      <c r="P59" s="3790">
        <v>925.35799999999995</v>
      </c>
      <c r="Q59" s="3790">
        <v>924.08699999999999</v>
      </c>
      <c r="R59" s="3790">
        <v>938.053</v>
      </c>
      <c r="S59" s="3790">
        <v>969.31200000000001</v>
      </c>
      <c r="T59" s="3790">
        <v>1008.087</v>
      </c>
      <c r="U59" s="3790">
        <v>1009.549</v>
      </c>
      <c r="V59" s="3790">
        <v>1039.0409999999999</v>
      </c>
      <c r="W59" s="3790">
        <v>1088.6489999999999</v>
      </c>
      <c r="X59" s="3790">
        <v>1133.02</v>
      </c>
      <c r="Y59" s="3790">
        <v>1167.393</v>
      </c>
      <c r="Z59" s="3790">
        <v>1213.0229999999999</v>
      </c>
      <c r="AA59" s="3790">
        <v>1261.373</v>
      </c>
      <c r="AB59" s="3790">
        <v>1311.8589999999999</v>
      </c>
      <c r="AC59" s="3790">
        <v>1366.6179999999999</v>
      </c>
      <c r="AD59" s="3790">
        <v>1428.5328040031948</v>
      </c>
      <c r="AE59" s="3790">
        <v>1479.7338500972476</v>
      </c>
      <c r="AF59" s="3790">
        <v>1531.6803497592941</v>
      </c>
    </row>
    <row r="60" spans="1:32">
      <c r="A60" s="3432" t="str">
        <f t="shared" si="2"/>
        <v>\\DG ECFIN\Forecast\Country databases\Desk transfer databases\BE</v>
      </c>
      <c r="B60" s="3432" t="str">
        <f t="shared" si="3"/>
        <v>BE</v>
      </c>
      <c r="C60" s="3432" t="s">
        <v>2147</v>
      </c>
      <c r="D60" s="3432" t="s">
        <v>2199</v>
      </c>
      <c r="E60" s="3432" t="s">
        <v>2149</v>
      </c>
      <c r="F60" s="3432">
        <v>89</v>
      </c>
      <c r="G60" s="3432" t="s">
        <v>123</v>
      </c>
      <c r="H60" s="3790">
        <v>283.93700000000007</v>
      </c>
      <c r="I60" s="3790">
        <v>286.71899999999999</v>
      </c>
      <c r="J60" s="3790">
        <v>282.69099999999997</v>
      </c>
      <c r="K60" s="3790">
        <v>278.70999999999998</v>
      </c>
      <c r="L60" s="3790">
        <v>283.86</v>
      </c>
      <c r="M60" s="3790">
        <v>282.95800000000003</v>
      </c>
      <c r="N60" s="3790">
        <v>284.74599999999998</v>
      </c>
      <c r="O60" s="3790">
        <v>281.27699999999999</v>
      </c>
      <c r="P60" s="3790">
        <v>286.66699999999997</v>
      </c>
      <c r="Q60" s="3790">
        <v>293.59299999999996</v>
      </c>
      <c r="R60" s="3790">
        <v>306.57900000000001</v>
      </c>
      <c r="S60" s="3790">
        <v>318.09599999999995</v>
      </c>
      <c r="T60" s="3790">
        <v>336.5080000000001</v>
      </c>
      <c r="U60" s="3790">
        <v>302.70499999999993</v>
      </c>
      <c r="V60" s="3790">
        <v>321.60800000000006</v>
      </c>
      <c r="W60" s="3790">
        <v>342.79700000000003</v>
      </c>
      <c r="X60" s="3790">
        <v>349.4260000000001</v>
      </c>
      <c r="Y60" s="3790">
        <v>363.26700000000005</v>
      </c>
      <c r="Z60" s="3790">
        <v>373.04100000000005</v>
      </c>
      <c r="AA60" s="3790">
        <v>377.31700000000001</v>
      </c>
      <c r="AB60" s="3790">
        <v>381.15699999999998</v>
      </c>
      <c r="AC60" s="3790">
        <v>393.94300000000004</v>
      </c>
      <c r="AD60" s="3790">
        <v>407.73100500000004</v>
      </c>
      <c r="AE60" s="3790">
        <v>422.00159017499999</v>
      </c>
      <c r="AF60" s="3790">
        <v>436.77164583112494</v>
      </c>
    </row>
    <row r="61" spans="1:32">
      <c r="A61" s="3432" t="str">
        <f t="shared" si="2"/>
        <v>\\DG ECFIN\Forecast\Country databases\Desk transfer databases\BE</v>
      </c>
      <c r="B61" s="3432" t="str">
        <f t="shared" si="3"/>
        <v>BE</v>
      </c>
      <c r="C61" s="3432" t="s">
        <v>2147</v>
      </c>
      <c r="D61" s="3432" t="s">
        <v>2200</v>
      </c>
      <c r="E61" s="3432" t="s">
        <v>2149</v>
      </c>
      <c r="F61" s="3432">
        <v>90</v>
      </c>
      <c r="G61" s="3432" t="s">
        <v>1257</v>
      </c>
      <c r="H61" s="3790">
        <v>205.21299999999999</v>
      </c>
      <c r="I61" s="3790">
        <v>222.27799999999999</v>
      </c>
      <c r="J61" s="3790">
        <v>235.035</v>
      </c>
      <c r="K61" s="3790">
        <v>244.88800000000001</v>
      </c>
      <c r="L61" s="3790">
        <v>240.88800000000001</v>
      </c>
      <c r="M61" s="3790">
        <v>272.411</v>
      </c>
      <c r="N61" s="3790">
        <v>259.07100000000003</v>
      </c>
      <c r="O61" s="3790">
        <v>289.00799999999998</v>
      </c>
      <c r="P61" s="3790">
        <v>298.07600000000002</v>
      </c>
      <c r="Q61" s="3790">
        <v>321.36799999999999</v>
      </c>
      <c r="R61" s="3790">
        <v>352.05599999999998</v>
      </c>
      <c r="S61" s="3790">
        <v>367.613</v>
      </c>
      <c r="T61" s="3790">
        <v>376.25900000000001</v>
      </c>
      <c r="U61" s="3790">
        <v>368.19799999999998</v>
      </c>
      <c r="V61" s="3790">
        <v>351.45499999999998</v>
      </c>
      <c r="W61" s="3790">
        <v>358.84100000000001</v>
      </c>
      <c r="X61" s="3790">
        <v>366.05900000000003</v>
      </c>
      <c r="Y61" s="3790">
        <v>355.47</v>
      </c>
      <c r="Z61" s="3790">
        <v>352.95100000000002</v>
      </c>
      <c r="AA61" s="3790">
        <v>350.91300000000001</v>
      </c>
      <c r="AB61" s="3790">
        <v>363.94400000000002</v>
      </c>
      <c r="AC61" s="3790">
        <v>379.72399999999999</v>
      </c>
      <c r="AD61" s="3790">
        <v>390.74902302140003</v>
      </c>
      <c r="AE61" s="3790">
        <v>406.31945943067694</v>
      </c>
      <c r="AF61" s="3790">
        <v>424.03631740266218</v>
      </c>
    </row>
    <row r="62" spans="1:32">
      <c r="A62" s="3432" t="str">
        <f t="shared" si="2"/>
        <v>\\DG ECFIN\Forecast\Country databases\Desk transfer databases\BE</v>
      </c>
      <c r="B62" s="3432" t="str">
        <f t="shared" si="3"/>
        <v>BE</v>
      </c>
      <c r="C62" s="3432" t="s">
        <v>2147</v>
      </c>
      <c r="D62" s="3432" t="s">
        <v>2201</v>
      </c>
      <c r="E62" s="3432" t="s">
        <v>2149</v>
      </c>
      <c r="F62" s="3432">
        <v>91</v>
      </c>
      <c r="G62" s="3432" t="s">
        <v>1259</v>
      </c>
      <c r="H62" s="3790">
        <v>429.08799999999997</v>
      </c>
      <c r="I62" s="3790">
        <v>438.65199999999999</v>
      </c>
      <c r="J62" s="3790">
        <v>444.31400000000002</v>
      </c>
      <c r="K62" s="3790">
        <v>461.96299999999997</v>
      </c>
      <c r="L62" s="3790">
        <v>463.32399999999996</v>
      </c>
      <c r="M62" s="3790">
        <v>484.56700000000001</v>
      </c>
      <c r="N62" s="3790">
        <v>500.90700000000004</v>
      </c>
      <c r="O62" s="3790">
        <v>511.70499999999998</v>
      </c>
      <c r="P62" s="3790">
        <v>515.39699999999993</v>
      </c>
      <c r="Q62" s="3790">
        <v>520.97299999999996</v>
      </c>
      <c r="R62" s="3790">
        <v>519.02499999999998</v>
      </c>
      <c r="S62" s="3790">
        <v>516.61699999999996</v>
      </c>
      <c r="T62" s="3790">
        <v>525.16300000000001</v>
      </c>
      <c r="U62" s="3790">
        <v>548.43599999999992</v>
      </c>
      <c r="V62" s="3790">
        <v>558.18500000000006</v>
      </c>
      <c r="W62" s="3790">
        <v>555.75900000000001</v>
      </c>
      <c r="X62" s="3790">
        <v>569.26199999999994</v>
      </c>
      <c r="Y62" s="3790">
        <v>591.74400000000003</v>
      </c>
      <c r="Z62" s="3790">
        <v>607.16599999999994</v>
      </c>
      <c r="AA62" s="3790">
        <v>633.89800000000002</v>
      </c>
      <c r="AB62" s="3790">
        <v>651.04999999999995</v>
      </c>
      <c r="AC62" s="3790">
        <v>676.03599999999994</v>
      </c>
      <c r="AD62" s="3790">
        <v>699.91681804882933</v>
      </c>
      <c r="AE62" s="3790">
        <v>728.32908574379576</v>
      </c>
      <c r="AF62" s="3790">
        <v>756.12873717570369</v>
      </c>
    </row>
    <row r="63" spans="1:32">
      <c r="A63" s="3432" t="str">
        <f t="shared" si="2"/>
        <v>\\DG ECFIN\Forecast\Country databases\Desk transfer databases\BE</v>
      </c>
      <c r="B63" s="3432" t="str">
        <f t="shared" si="3"/>
        <v>BE</v>
      </c>
      <c r="C63" s="3432" t="s">
        <v>2147</v>
      </c>
      <c r="D63" s="3432" t="s">
        <v>2202</v>
      </c>
      <c r="E63" s="3432" t="s">
        <v>2149</v>
      </c>
      <c r="F63" s="3432">
        <v>92</v>
      </c>
      <c r="G63" s="3432" t="s">
        <v>1437</v>
      </c>
      <c r="H63" s="3790">
        <v>175.517</v>
      </c>
      <c r="I63" s="3790">
        <v>174.17400000000001</v>
      </c>
      <c r="J63" s="3790">
        <v>183.03800000000001</v>
      </c>
      <c r="K63" s="3790">
        <v>194.26400000000001</v>
      </c>
      <c r="L63" s="3790">
        <v>202.06899999999999</v>
      </c>
      <c r="M63" s="3790">
        <v>200.89</v>
      </c>
      <c r="N63" s="3790">
        <v>196.13800000000001</v>
      </c>
      <c r="O63" s="3790">
        <v>192.48599999999999</v>
      </c>
      <c r="P63" s="3790">
        <v>183.613</v>
      </c>
      <c r="Q63" s="3790">
        <v>185.904</v>
      </c>
      <c r="R63" s="3790">
        <v>199.922</v>
      </c>
      <c r="S63" s="3790">
        <v>218.05500000000001</v>
      </c>
      <c r="T63" s="3790">
        <v>237.631</v>
      </c>
      <c r="U63" s="3790">
        <v>224.88200000000001</v>
      </c>
      <c r="V63" s="3790">
        <v>217.26499999999999</v>
      </c>
      <c r="W63" s="3790">
        <v>227.93899999999999</v>
      </c>
      <c r="X63" s="3790">
        <v>244.82400000000001</v>
      </c>
      <c r="Y63" s="3790">
        <v>266.29500000000002</v>
      </c>
      <c r="Z63" s="3790">
        <v>276.56799999999998</v>
      </c>
      <c r="AA63" s="3790">
        <v>290.363</v>
      </c>
      <c r="AB63" s="3790">
        <v>303.142</v>
      </c>
      <c r="AC63" s="3790">
        <v>322.161</v>
      </c>
      <c r="AD63" s="3790">
        <v>340.64431821965604</v>
      </c>
      <c r="AE63" s="3790">
        <v>354.08822608718884</v>
      </c>
      <c r="AF63" s="3790">
        <v>368.62878580953077</v>
      </c>
    </row>
    <row r="64" spans="1:32">
      <c r="A64" s="3432" t="str">
        <f t="shared" si="2"/>
        <v>\\DG ECFIN\Forecast\Country databases\Desk transfer databases\BE</v>
      </c>
      <c r="B64" s="3432" t="str">
        <f t="shared" si="3"/>
        <v>BE</v>
      </c>
      <c r="C64" s="3432" t="s">
        <v>2147</v>
      </c>
      <c r="D64" s="3432" t="s">
        <v>2203</v>
      </c>
      <c r="E64" s="3432" t="s">
        <v>2149</v>
      </c>
      <c r="F64" s="3432">
        <v>93</v>
      </c>
      <c r="G64" s="3432" t="s">
        <v>1439</v>
      </c>
      <c r="H64" s="3790">
        <v>463.93799999999999</v>
      </c>
      <c r="I64" s="3790">
        <v>477.77199999999999</v>
      </c>
      <c r="J64" s="3790">
        <v>484.892</v>
      </c>
      <c r="K64" s="3790">
        <v>493.95699999999994</v>
      </c>
      <c r="L64" s="3790">
        <v>506.47199999999998</v>
      </c>
      <c r="M64" s="3790">
        <v>513.91100000000006</v>
      </c>
      <c r="N64" s="3790">
        <v>521.55000000000007</v>
      </c>
      <c r="O64" s="3790">
        <v>528.36400000000003</v>
      </c>
      <c r="P64" s="3790">
        <v>530.25800000000004</v>
      </c>
      <c r="Q64" s="3790">
        <v>533.95100000000002</v>
      </c>
      <c r="R64" s="3790">
        <v>547.62699999999995</v>
      </c>
      <c r="S64" s="3790">
        <v>554.846</v>
      </c>
      <c r="T64" s="3790">
        <v>575.25800000000004</v>
      </c>
      <c r="U64" s="3790">
        <v>587.25000000000011</v>
      </c>
      <c r="V64" s="3790">
        <v>603.91799999999989</v>
      </c>
      <c r="W64" s="3790">
        <v>623.125</v>
      </c>
      <c r="X64" s="3790">
        <v>639.8119999999999</v>
      </c>
      <c r="Y64" s="3790">
        <v>654.77099999999996</v>
      </c>
      <c r="Z64" s="3790">
        <v>675.66300000000001</v>
      </c>
      <c r="AA64" s="3790">
        <v>699.46500000000003</v>
      </c>
      <c r="AB64" s="3790">
        <v>720.85899999999992</v>
      </c>
      <c r="AC64" s="3790">
        <v>753.89700000000005</v>
      </c>
      <c r="AD64" s="3790">
        <v>783.13334963131797</v>
      </c>
      <c r="AE64" s="3790">
        <v>811.55048565979064</v>
      </c>
      <c r="AF64" s="3790">
        <v>842.59131589523122</v>
      </c>
    </row>
    <row r="65" spans="1:32">
      <c r="A65" s="3432" t="str">
        <f t="shared" si="2"/>
        <v>\\DG ECFIN\Forecast\Country databases\Desk transfer databases\BE</v>
      </c>
      <c r="B65" s="3432" t="str">
        <f t="shared" si="3"/>
        <v>BE</v>
      </c>
      <c r="C65" s="3432" t="s">
        <v>2147</v>
      </c>
      <c r="D65" s="3432" t="s">
        <v>2204</v>
      </c>
      <c r="E65" s="3432" t="s">
        <v>2149</v>
      </c>
      <c r="F65" s="3432">
        <v>94</v>
      </c>
      <c r="G65" s="3432" t="s">
        <v>1441</v>
      </c>
      <c r="H65" s="3790">
        <v>15.141999999999999</v>
      </c>
      <c r="I65" s="3790">
        <v>16.209</v>
      </c>
      <c r="J65" s="3790">
        <v>18.591000000000001</v>
      </c>
      <c r="K65" s="3790">
        <v>17.960999999999999</v>
      </c>
      <c r="L65" s="3790">
        <v>28.94</v>
      </c>
      <c r="M65" s="3790">
        <v>23.548999999999999</v>
      </c>
      <c r="N65" s="3790">
        <v>23.125</v>
      </c>
      <c r="O65" s="3790">
        <v>23.547999999999998</v>
      </c>
      <c r="P65" s="3790">
        <v>23.038</v>
      </c>
      <c r="Q65" s="3790">
        <v>26.119</v>
      </c>
      <c r="R65" s="3790">
        <v>33.201000000000001</v>
      </c>
      <c r="S65" s="3790">
        <v>36.206000000000003</v>
      </c>
      <c r="T65" s="3790">
        <v>41.41</v>
      </c>
      <c r="U65" s="3790">
        <v>44.262</v>
      </c>
      <c r="V65" s="3790">
        <v>44.694000000000003</v>
      </c>
      <c r="W65" s="3790">
        <v>45.405999999999999</v>
      </c>
      <c r="X65" s="3790">
        <v>47.938000000000002</v>
      </c>
      <c r="Y65" s="3790">
        <v>47.466000000000001</v>
      </c>
      <c r="Z65" s="3790">
        <v>50.027999999999999</v>
      </c>
      <c r="AA65" s="3790">
        <v>50.49</v>
      </c>
      <c r="AB65" s="3790">
        <v>49.753</v>
      </c>
      <c r="AC65" s="3790">
        <v>52.08</v>
      </c>
      <c r="AD65" s="3790">
        <v>52.08</v>
      </c>
      <c r="AE65" s="3790">
        <v>52.08</v>
      </c>
      <c r="AF65" s="3790">
        <v>52.08</v>
      </c>
    </row>
    <row r="66" spans="1:32">
      <c r="A66" s="3432" t="str">
        <f t="shared" si="2"/>
        <v>\\DG ECFIN\Forecast\Country databases\Desk transfer databases\BE</v>
      </c>
      <c r="B66" s="3432" t="str">
        <f t="shared" si="3"/>
        <v>BE</v>
      </c>
      <c r="C66" s="3432" t="s">
        <v>2147</v>
      </c>
      <c r="D66" s="3432" t="s">
        <v>2205</v>
      </c>
      <c r="E66" s="3432" t="s">
        <v>2149</v>
      </c>
      <c r="F66" s="3432">
        <v>95</v>
      </c>
      <c r="G66" s="3432" t="s">
        <v>1442</v>
      </c>
      <c r="H66" s="3790">
        <v>1098.7619999999999</v>
      </c>
      <c r="I66" s="3790">
        <v>1121.2349999999999</v>
      </c>
      <c r="J66" s="3790">
        <v>1141.19</v>
      </c>
      <c r="K66" s="3790">
        <v>1174.825</v>
      </c>
      <c r="L66" s="3790">
        <v>1209.4269999999999</v>
      </c>
      <c r="M66" s="3790">
        <v>1250.347</v>
      </c>
      <c r="N66" s="3790">
        <v>1256.5530000000001</v>
      </c>
      <c r="O66" s="3790">
        <v>1280.8720000000001</v>
      </c>
      <c r="P66" s="3790">
        <v>1303.05</v>
      </c>
      <c r="Q66" s="3790">
        <v>1328.5509999999999</v>
      </c>
      <c r="R66" s="3790">
        <v>1362.837</v>
      </c>
      <c r="S66" s="3790">
        <v>1384.9</v>
      </c>
      <c r="T66" s="3790">
        <v>1416.7339999999999</v>
      </c>
      <c r="U66" s="3790">
        <v>1413.0409999999999</v>
      </c>
      <c r="V66" s="3790">
        <v>1446.2739999999999</v>
      </c>
      <c r="W66" s="3790">
        <v>1495.5329999999999</v>
      </c>
      <c r="X66" s="3790">
        <v>1538.029</v>
      </c>
      <c r="Y66" s="3790">
        <v>1563.5</v>
      </c>
      <c r="Z66" s="3790">
        <v>1594.143</v>
      </c>
      <c r="AA66" s="3790">
        <v>1630.8869999999999</v>
      </c>
      <c r="AB66" s="3790">
        <v>1675.569</v>
      </c>
      <c r="AC66" s="3790">
        <v>1732.1759999999999</v>
      </c>
      <c r="AD66" s="3790">
        <v>1791.3998881205566</v>
      </c>
      <c r="AE66" s="3790">
        <v>1864.9109352353885</v>
      </c>
      <c r="AF66" s="3790">
        <v>1929.6685809677576</v>
      </c>
    </row>
    <row r="67" spans="1:32">
      <c r="A67" s="3432" t="str">
        <f t="shared" si="2"/>
        <v>\\DG ECFIN\Forecast\Country databases\Desk transfer databases\BE</v>
      </c>
      <c r="B67" s="3432" t="str">
        <f t="shared" si="3"/>
        <v>BE</v>
      </c>
      <c r="C67" s="3432" t="s">
        <v>2147</v>
      </c>
      <c r="D67" s="3432" t="s">
        <v>2206</v>
      </c>
      <c r="E67" s="3432" t="s">
        <v>2149</v>
      </c>
      <c r="F67" s="3432">
        <v>96</v>
      </c>
      <c r="G67" s="3432" t="s">
        <v>427</v>
      </c>
      <c r="H67" s="3790">
        <v>158.94</v>
      </c>
      <c r="I67" s="3790">
        <v>159.43100000000001</v>
      </c>
      <c r="J67" s="3790">
        <v>161.14400000000001</v>
      </c>
      <c r="K67" s="3790">
        <v>161.17399999999998</v>
      </c>
      <c r="L67" s="3790">
        <v>156.43699999999998</v>
      </c>
      <c r="M67" s="3790">
        <v>148.05600000000001</v>
      </c>
      <c r="N67" s="3790">
        <v>137.91900000000001</v>
      </c>
      <c r="O67" s="3790">
        <v>135.05099999999999</v>
      </c>
      <c r="P67" s="3790">
        <v>132.69899999999998</v>
      </c>
      <c r="Q67" s="3790">
        <v>130.50700000000001</v>
      </c>
      <c r="R67" s="3790">
        <v>140.524</v>
      </c>
      <c r="S67" s="3790">
        <v>149.517</v>
      </c>
      <c r="T67" s="3790">
        <v>151.179</v>
      </c>
      <c r="U67" s="3790">
        <v>140.066</v>
      </c>
      <c r="V67" s="3790">
        <v>150.85000000000002</v>
      </c>
      <c r="W67" s="3790">
        <v>169.65600000000001</v>
      </c>
      <c r="X67" s="3790">
        <v>172.38</v>
      </c>
      <c r="Y67" s="3790">
        <v>177.29399999999998</v>
      </c>
      <c r="Z67" s="3790">
        <v>183.39699999999999</v>
      </c>
      <c r="AA67" s="3790">
        <v>180.65899999999999</v>
      </c>
      <c r="AB67" s="3790">
        <v>192.70599999999999</v>
      </c>
      <c r="AC67" s="3790">
        <v>204.773</v>
      </c>
      <c r="AD67" s="3790">
        <v>217.16737399475741</v>
      </c>
      <c r="AE67" s="3790">
        <v>227.90772528818857</v>
      </c>
      <c r="AF67" s="3790">
        <v>239.34553889186606</v>
      </c>
    </row>
    <row r="68" spans="1:32">
      <c r="A68" s="3432" t="str">
        <f t="shared" si="2"/>
        <v>\\DG ECFIN\Forecast\Country databases\Desk transfer databases\BE</v>
      </c>
      <c r="B68" s="3432" t="str">
        <f t="shared" si="3"/>
        <v>BE</v>
      </c>
      <c r="C68" s="3432" t="s">
        <v>2147</v>
      </c>
      <c r="D68" s="3432" t="s">
        <v>2207</v>
      </c>
      <c r="E68" s="3432" t="s">
        <v>2149</v>
      </c>
      <c r="F68" s="3432">
        <v>97</v>
      </c>
      <c r="G68" s="3432" t="s">
        <v>429</v>
      </c>
      <c r="H68" s="3790">
        <v>-5.68</v>
      </c>
      <c r="I68" s="3790">
        <v>-7.415</v>
      </c>
      <c r="J68" s="3790">
        <v>-11.853999999999999</v>
      </c>
      <c r="K68" s="3790">
        <v>-14.183</v>
      </c>
      <c r="L68" s="3790">
        <v>-15.374000000000002</v>
      </c>
      <c r="M68" s="3790">
        <v>-12.690999999999999</v>
      </c>
      <c r="N68" s="3790">
        <v>-3.7040000000000002</v>
      </c>
      <c r="O68" s="3790">
        <v>-12.733000000000001</v>
      </c>
      <c r="P68" s="3790">
        <v>-13.695</v>
      </c>
      <c r="Q68" s="3790">
        <v>-17.544999999999998</v>
      </c>
      <c r="R68" s="3790">
        <v>-12.474</v>
      </c>
      <c r="S68" s="3790">
        <v>-7.7990000000000004</v>
      </c>
      <c r="T68" s="3790">
        <v>3.1839999999999997</v>
      </c>
      <c r="U68" s="3790">
        <v>-6.3639999999999999</v>
      </c>
      <c r="V68" s="3790">
        <v>-7.16</v>
      </c>
      <c r="W68" s="3790">
        <v>0.27699999999999991</v>
      </c>
      <c r="X68" s="3790">
        <v>-6.9559999999999995</v>
      </c>
      <c r="Y68" s="3790">
        <v>-6.8959999999999999</v>
      </c>
      <c r="Z68" s="3790">
        <v>-4.4480000000000004</v>
      </c>
      <c r="AA68" s="3790">
        <v>-5.1550000000000002</v>
      </c>
      <c r="AB68" s="3790">
        <v>-6.0969999999999995</v>
      </c>
      <c r="AC68" s="3790">
        <v>-8.3140000000000001</v>
      </c>
      <c r="AD68" s="3790">
        <v>-7.5913500000000003</v>
      </c>
      <c r="AE68" s="3790">
        <v>-7.9612942499999999</v>
      </c>
      <c r="AF68" s="3790">
        <v>-8.3443790137500002</v>
      </c>
    </row>
    <row r="69" spans="1:32">
      <c r="A69" s="3432" t="str">
        <f t="shared" si="2"/>
        <v>\\DG ECFIN\Forecast\Country databases\Desk transfer databases\BE</v>
      </c>
      <c r="B69" s="3432" t="str">
        <f t="shared" si="3"/>
        <v>BE</v>
      </c>
      <c r="C69" s="3432" t="s">
        <v>2147</v>
      </c>
      <c r="D69" s="3432" t="s">
        <v>2208</v>
      </c>
      <c r="E69" s="3432" t="s">
        <v>2149</v>
      </c>
      <c r="F69" s="3432">
        <v>100</v>
      </c>
      <c r="G69" s="3432" t="s">
        <v>430</v>
      </c>
      <c r="H69" s="3790">
        <v>1096.2539999999999</v>
      </c>
      <c r="I69" s="3790">
        <v>1129.0150000000001</v>
      </c>
      <c r="J69" s="3790">
        <v>1173.7860000000001</v>
      </c>
      <c r="K69" s="3790">
        <v>1202.6369999999999</v>
      </c>
      <c r="L69" s="3790">
        <v>1236.7829999999999</v>
      </c>
      <c r="M69" s="3790">
        <v>1290.9110000000001</v>
      </c>
      <c r="N69" s="3790">
        <v>1312.0630000000001</v>
      </c>
      <c r="O69" s="3790">
        <v>1319.6790000000001</v>
      </c>
      <c r="P69" s="3790">
        <v>1367.383</v>
      </c>
      <c r="Q69" s="3790">
        <v>1388.096</v>
      </c>
      <c r="R69" s="3790">
        <v>1455.547</v>
      </c>
      <c r="S69" s="3790">
        <v>1533.04</v>
      </c>
      <c r="T69" s="3790">
        <v>1546.48</v>
      </c>
      <c r="U69" s="3790">
        <v>1470.5619999999999</v>
      </c>
      <c r="V69" s="3790">
        <v>1560.182</v>
      </c>
      <c r="W69" s="3790">
        <v>1633.6220000000001</v>
      </c>
      <c r="X69" s="3790">
        <v>1664.0930000000001</v>
      </c>
      <c r="Y69" s="3790">
        <v>1699.6949999999999</v>
      </c>
      <c r="Z69" s="3790">
        <v>1780.6510000000001</v>
      </c>
      <c r="AA69" s="3790">
        <v>1860.6610000000001</v>
      </c>
      <c r="AB69" s="3790">
        <v>1939.9059999999999</v>
      </c>
      <c r="AC69" s="3790">
        <v>2011.672</v>
      </c>
      <c r="AD69" s="3790">
        <v>2079.506524749288</v>
      </c>
      <c r="AE69" s="3790">
        <v>2174.2587818985498</v>
      </c>
      <c r="AF69" s="3790">
        <v>2271.5343508425126</v>
      </c>
    </row>
    <row r="70" spans="1:32">
      <c r="A70" s="3432" t="str">
        <f t="shared" si="2"/>
        <v>\\DG ECFIN\Forecast\Country databases\Desk transfer databases\BE</v>
      </c>
      <c r="B70" s="3432" t="str">
        <f t="shared" si="3"/>
        <v>BE</v>
      </c>
      <c r="C70" s="3432" t="s">
        <v>2147</v>
      </c>
      <c r="D70" s="3432" t="s">
        <v>2209</v>
      </c>
      <c r="E70" s="3432" t="s">
        <v>2149</v>
      </c>
      <c r="F70" s="3432">
        <v>101</v>
      </c>
      <c r="G70" s="3432" t="s">
        <v>1794</v>
      </c>
      <c r="H70" s="3790">
        <v>26.878</v>
      </c>
      <c r="I70" s="3790">
        <v>24.42</v>
      </c>
      <c r="J70" s="3790">
        <v>25.661000000000001</v>
      </c>
      <c r="K70" s="3790">
        <v>25.62</v>
      </c>
      <c r="L70" s="3790">
        <v>25.305</v>
      </c>
      <c r="M70" s="3790">
        <v>23.582999999999998</v>
      </c>
      <c r="N70" s="3790">
        <v>22.183</v>
      </c>
      <c r="O70" s="3790">
        <v>20.488</v>
      </c>
      <c r="P70" s="3790">
        <v>19.094999999999999</v>
      </c>
      <c r="Q70" s="3790">
        <v>21.489000000000001</v>
      </c>
      <c r="R70" s="3790">
        <v>23.120999999999999</v>
      </c>
      <c r="S70" s="3790">
        <v>20.797000000000001</v>
      </c>
      <c r="T70" s="3790">
        <v>21.061</v>
      </c>
      <c r="U70" s="3790">
        <v>24.047999999999998</v>
      </c>
      <c r="V70" s="3790">
        <v>23.492999999999999</v>
      </c>
      <c r="W70" s="3790">
        <v>22.960999999999999</v>
      </c>
      <c r="X70" s="3790">
        <v>21.536999999999999</v>
      </c>
      <c r="Y70" s="3790">
        <v>22.667999999999999</v>
      </c>
      <c r="Z70" s="3790">
        <v>23.257999999999999</v>
      </c>
      <c r="AA70" s="3790">
        <v>22.916</v>
      </c>
      <c r="AB70" s="3790">
        <v>24.670999999999999</v>
      </c>
      <c r="AC70" s="3790">
        <v>24.542000000000002</v>
      </c>
      <c r="AD70" s="3790">
        <v>23.611000000000001</v>
      </c>
      <c r="AE70" s="3790">
        <v>23.799600000000002</v>
      </c>
      <c r="AF70" s="3790">
        <v>23.907920000000004</v>
      </c>
    </row>
    <row r="71" spans="1:32">
      <c r="A71" s="3432" t="str">
        <f t="shared" si="2"/>
        <v>\\DG ECFIN\Forecast\Country databases\Desk transfer databases\BE</v>
      </c>
      <c r="B71" s="3432" t="str">
        <f t="shared" si="3"/>
        <v>BE</v>
      </c>
      <c r="C71" s="3432" t="s">
        <v>2147</v>
      </c>
      <c r="D71" s="3432" t="s">
        <v>2210</v>
      </c>
      <c r="E71" s="3432" t="s">
        <v>2149</v>
      </c>
      <c r="F71" s="3432">
        <v>102</v>
      </c>
      <c r="G71" s="3432" t="s">
        <v>1795</v>
      </c>
      <c r="H71" s="3790">
        <v>5.7119999999999997</v>
      </c>
      <c r="I71" s="3790">
        <v>5.9720000000000004</v>
      </c>
      <c r="J71" s="3790">
        <v>6.1989999999999998</v>
      </c>
      <c r="K71" s="3790">
        <v>6.5890000000000004</v>
      </c>
      <c r="L71" s="3790">
        <v>6.6639999999999997</v>
      </c>
      <c r="M71" s="3790">
        <v>6.6980000000000004</v>
      </c>
      <c r="N71" s="3790">
        <v>6.681</v>
      </c>
      <c r="O71" s="3790">
        <v>6.7709999999999999</v>
      </c>
      <c r="P71" s="3790">
        <v>6.8310000000000004</v>
      </c>
      <c r="Q71" s="3790">
        <v>7.1820000000000004</v>
      </c>
      <c r="R71" s="3790">
        <v>7.258</v>
      </c>
      <c r="S71" s="3790">
        <v>7.4059999999999997</v>
      </c>
      <c r="T71" s="3790">
        <v>7.2590000000000003</v>
      </c>
      <c r="U71" s="3790">
        <v>8.27</v>
      </c>
      <c r="V71" s="3790">
        <v>7.8570000000000002</v>
      </c>
      <c r="W71" s="3790">
        <v>9.9670000000000005</v>
      </c>
      <c r="X71" s="3790">
        <v>11.122999999999999</v>
      </c>
      <c r="Y71" s="3790">
        <v>11.206</v>
      </c>
      <c r="Z71" s="3790">
        <v>11.356999999999999</v>
      </c>
      <c r="AA71" s="3790">
        <v>12.715</v>
      </c>
      <c r="AB71" s="3790">
        <v>12.948</v>
      </c>
      <c r="AC71" s="3790">
        <v>12.409000000000001</v>
      </c>
      <c r="AD71" s="3790">
        <v>11.285602104612774</v>
      </c>
      <c r="AE71" s="3790">
        <v>10.910806168326365</v>
      </c>
      <c r="AF71" s="3790">
        <v>10.745258070862979</v>
      </c>
    </row>
    <row r="72" spans="1:32">
      <c r="A72" s="3432" t="str">
        <f t="shared" si="2"/>
        <v>\\DG ECFIN\Forecast\Country databases\Desk transfer databases\BE</v>
      </c>
      <c r="B72" s="3432" t="str">
        <f t="shared" si="3"/>
        <v>BE</v>
      </c>
      <c r="C72" s="3432" t="s">
        <v>2147</v>
      </c>
      <c r="D72" s="3432" t="s">
        <v>2211</v>
      </c>
      <c r="E72" s="3432" t="s">
        <v>2149</v>
      </c>
      <c r="F72" s="3432">
        <v>103</v>
      </c>
      <c r="G72" s="3432" t="s">
        <v>1157</v>
      </c>
      <c r="H72" s="3790">
        <v>698.44200000000001</v>
      </c>
      <c r="I72" s="3790">
        <v>701.04200000000003</v>
      </c>
      <c r="J72" s="3790">
        <v>719.15099999999995</v>
      </c>
      <c r="K72" s="3790">
        <v>741.87900000000002</v>
      </c>
      <c r="L72" s="3790">
        <v>777.28800000000001</v>
      </c>
      <c r="M72" s="3790">
        <v>788.34</v>
      </c>
      <c r="N72" s="3790">
        <v>791.101</v>
      </c>
      <c r="O72" s="3790">
        <v>791.178</v>
      </c>
      <c r="P72" s="3790">
        <v>795.17499999999995</v>
      </c>
      <c r="Q72" s="3790">
        <v>795.96500000000003</v>
      </c>
      <c r="R72" s="3790">
        <v>813.86400000000003</v>
      </c>
      <c r="S72" s="3790">
        <v>840.56500000000005</v>
      </c>
      <c r="T72" s="3790">
        <v>875.01599999999996</v>
      </c>
      <c r="U72" s="3790">
        <v>866.20600000000002</v>
      </c>
      <c r="V72" s="3790">
        <v>898.09299999999996</v>
      </c>
      <c r="W72" s="3790">
        <v>945.18299999999999</v>
      </c>
      <c r="X72" s="3790">
        <v>987.85500000000002</v>
      </c>
      <c r="Y72" s="3790">
        <v>1014.93</v>
      </c>
      <c r="Z72" s="3790">
        <v>1059.4280000000001</v>
      </c>
      <c r="AA72" s="3790">
        <v>1104.902</v>
      </c>
      <c r="AB72" s="3790">
        <v>1145.135</v>
      </c>
      <c r="AC72" s="3790">
        <v>1194.662</v>
      </c>
      <c r="AD72" s="3790">
        <v>1247.4028606103757</v>
      </c>
      <c r="AE72" s="3790">
        <v>1289.059264616013</v>
      </c>
      <c r="AF72" s="3790">
        <v>1343.7337415253539</v>
      </c>
    </row>
    <row r="73" spans="1:32">
      <c r="A73" s="3432" t="str">
        <f t="shared" si="2"/>
        <v>\\DG ECFIN\Forecast\Country databases\Desk transfer databases\BE</v>
      </c>
      <c r="B73" s="3432" t="str">
        <f t="shared" si="3"/>
        <v>BE</v>
      </c>
      <c r="C73" s="3432" t="s">
        <v>2147</v>
      </c>
      <c r="D73" s="3432" t="s">
        <v>2212</v>
      </c>
      <c r="E73" s="3432" t="s">
        <v>2149</v>
      </c>
      <c r="F73" s="3432">
        <v>104</v>
      </c>
      <c r="G73" s="3432" t="s">
        <v>1159</v>
      </c>
      <c r="H73" s="3790">
        <v>418.97799999999989</v>
      </c>
      <c r="I73" s="3790">
        <v>446.42100000000011</v>
      </c>
      <c r="J73" s="3790">
        <v>474.09700000000009</v>
      </c>
      <c r="K73" s="3790">
        <v>479.78899999999993</v>
      </c>
      <c r="L73" s="3790">
        <v>478.13599999999991</v>
      </c>
      <c r="M73" s="3790">
        <v>519.45600000000002</v>
      </c>
      <c r="N73" s="3790">
        <v>536.46400000000006</v>
      </c>
      <c r="O73" s="3790">
        <v>542.21800000000007</v>
      </c>
      <c r="P73" s="3790">
        <v>584.47200000000009</v>
      </c>
      <c r="Q73" s="3790">
        <v>606.43799999999999</v>
      </c>
      <c r="R73" s="3790">
        <v>657.54599999999994</v>
      </c>
      <c r="S73" s="3790">
        <v>705.86599999999999</v>
      </c>
      <c r="T73" s="3790">
        <v>685.26600000000008</v>
      </c>
      <c r="U73" s="3790">
        <v>620.1339999999999</v>
      </c>
      <c r="V73" s="3790">
        <v>677.72500000000014</v>
      </c>
      <c r="W73" s="3790">
        <v>701.43300000000011</v>
      </c>
      <c r="X73" s="3790">
        <v>686.65200000000004</v>
      </c>
      <c r="Y73" s="3790">
        <v>696.22699999999998</v>
      </c>
      <c r="Z73" s="3790">
        <v>733.12400000000002</v>
      </c>
      <c r="AA73" s="3790">
        <v>765.96</v>
      </c>
      <c r="AB73" s="3790">
        <v>806.49400000000003</v>
      </c>
      <c r="AC73" s="3790">
        <v>829.14300000000003</v>
      </c>
      <c r="AD73" s="3790">
        <v>844.42906203429959</v>
      </c>
      <c r="AE73" s="3790">
        <v>898.08831111421046</v>
      </c>
      <c r="AF73" s="3790">
        <v>940.96327124629568</v>
      </c>
    </row>
    <row r="74" spans="1:32">
      <c r="A74" s="3432" t="str">
        <f t="shared" si="2"/>
        <v>\\DG ECFIN\Forecast\Country databases\Desk transfer databases\BE</v>
      </c>
      <c r="B74" s="3432" t="str">
        <f t="shared" si="3"/>
        <v>BE</v>
      </c>
      <c r="C74" s="3432" t="s">
        <v>2147</v>
      </c>
      <c r="D74" s="3432" t="s">
        <v>2213</v>
      </c>
      <c r="E74" s="3432" t="s">
        <v>2149</v>
      </c>
      <c r="F74" s="3432">
        <v>105</v>
      </c>
      <c r="G74" s="3432" t="s">
        <v>1161</v>
      </c>
      <c r="H74" s="3790">
        <v>-159.24799999999999</v>
      </c>
      <c r="I74" s="3790">
        <v>-178.363</v>
      </c>
      <c r="J74" s="3790">
        <v>-197.74</v>
      </c>
      <c r="K74" s="3790">
        <v>-216.78399999999999</v>
      </c>
      <c r="L74" s="3790">
        <v>-204.489</v>
      </c>
      <c r="M74" s="3790">
        <v>-244.25700000000001</v>
      </c>
      <c r="N74" s="3790">
        <v>-238.99799999999999</v>
      </c>
      <c r="O74" s="3790">
        <v>-260.58499999999998</v>
      </c>
      <c r="P74" s="3790">
        <v>-231.46199999999999</v>
      </c>
      <c r="Q74" s="3790">
        <v>-252.36500000000001</v>
      </c>
      <c r="R74" s="3790">
        <v>-266.26</v>
      </c>
      <c r="S74" s="3790">
        <v>-284.01100000000002</v>
      </c>
      <c r="T74" s="3790">
        <v>-304.49700000000001</v>
      </c>
      <c r="U74" s="3790">
        <v>-272.35500000000002</v>
      </c>
      <c r="V74" s="3790">
        <v>-259.48</v>
      </c>
      <c r="W74" s="3790">
        <v>-252.35599999999999</v>
      </c>
      <c r="X74" s="3790">
        <v>-265.20499999999998</v>
      </c>
      <c r="Y74" s="3790">
        <v>-260.86700000000002</v>
      </c>
      <c r="Z74" s="3790">
        <v>-276.75099999999998</v>
      </c>
      <c r="AA74" s="3790">
        <v>-264.762</v>
      </c>
      <c r="AB74" s="3790">
        <v>-282.91800000000001</v>
      </c>
      <c r="AC74" s="3790">
        <v>-292.48599999999999</v>
      </c>
      <c r="AD74" s="3790">
        <v>-304.77041200000002</v>
      </c>
      <c r="AE74" s="3790">
        <v>-318.78985095200005</v>
      </c>
      <c r="AF74" s="3790">
        <v>-334.09176379769605</v>
      </c>
    </row>
    <row r="75" spans="1:32">
      <c r="A75" s="3432" t="str">
        <f t="shared" si="2"/>
        <v>\\DG ECFIN\Forecast\Country databases\Desk transfer databases\BE</v>
      </c>
      <c r="B75" s="3432" t="str">
        <f t="shared" si="3"/>
        <v>BE</v>
      </c>
      <c r="C75" s="3432" t="s">
        <v>2147</v>
      </c>
      <c r="D75" s="3432" t="s">
        <v>2214</v>
      </c>
      <c r="E75" s="3432" t="s">
        <v>2149</v>
      </c>
      <c r="F75" s="3432">
        <v>106</v>
      </c>
      <c r="G75" s="3432" t="s">
        <v>1851</v>
      </c>
      <c r="H75" s="3790">
        <v>12.724000000000004</v>
      </c>
      <c r="I75" s="3790">
        <v>13.558999999999997</v>
      </c>
      <c r="J75" s="3790">
        <v>15.097999999999999</v>
      </c>
      <c r="K75" s="3790">
        <v>15.471999999999994</v>
      </c>
      <c r="L75" s="3790">
        <v>26.644999999999996</v>
      </c>
      <c r="M75" s="3790">
        <v>19.406000000000006</v>
      </c>
      <c r="N75" s="3790">
        <v>16.474000000000018</v>
      </c>
      <c r="O75" s="3790">
        <v>17.876000000000005</v>
      </c>
      <c r="P75" s="3790">
        <v>15.048000000000002</v>
      </c>
      <c r="Q75" s="3790">
        <v>14.989000000000033</v>
      </c>
      <c r="R75" s="3790">
        <v>25.123000000000019</v>
      </c>
      <c r="S75" s="3790">
        <v>25.417000000000002</v>
      </c>
      <c r="T75" s="3790">
        <v>32.655000000000001</v>
      </c>
      <c r="U75" s="3790">
        <v>42.361999999999981</v>
      </c>
      <c r="V75" s="3790">
        <v>42.180999999999983</v>
      </c>
      <c r="W75" s="3790">
        <v>43.198000000000008</v>
      </c>
      <c r="X75" s="3790">
        <v>44.803000000000026</v>
      </c>
      <c r="Y75" s="3790">
        <v>42.434999999999974</v>
      </c>
      <c r="Z75" s="3790">
        <v>45.468000000000046</v>
      </c>
      <c r="AA75" s="3790">
        <v>39.476999999999975</v>
      </c>
      <c r="AB75" s="3790">
        <v>41.68199999999996</v>
      </c>
      <c r="AC75" s="3790">
        <v>30.549999999999983</v>
      </c>
      <c r="AD75" s="3790">
        <v>36.189490838578422</v>
      </c>
      <c r="AE75" s="3790">
        <v>40.922875775592701</v>
      </c>
      <c r="AF75" s="3790">
        <v>44.315637851153554</v>
      </c>
    </row>
    <row r="76" spans="1:32">
      <c r="A76" s="3432" t="str">
        <f t="shared" si="2"/>
        <v>\\DG ECFIN\Forecast\Country databases\Desk transfer databases\BE</v>
      </c>
      <c r="B76" s="3432" t="str">
        <f t="shared" si="3"/>
        <v>BE</v>
      </c>
      <c r="C76" s="3432" t="s">
        <v>2147</v>
      </c>
      <c r="D76" s="3432" t="s">
        <v>2215</v>
      </c>
      <c r="E76" s="3432" t="s">
        <v>2149</v>
      </c>
      <c r="F76" s="3432">
        <v>107</v>
      </c>
      <c r="G76" s="3432" t="s">
        <v>1852</v>
      </c>
      <c r="H76" s="3790">
        <v>45.326000000000001</v>
      </c>
      <c r="I76" s="3790">
        <v>46.573</v>
      </c>
      <c r="J76" s="3790">
        <v>49.585000000000001</v>
      </c>
      <c r="K76" s="3790">
        <v>54.125</v>
      </c>
      <c r="L76" s="3790">
        <v>58.22</v>
      </c>
      <c r="M76" s="3790">
        <v>33.710999999999999</v>
      </c>
      <c r="N76" s="3790">
        <v>33.271000000000001</v>
      </c>
      <c r="O76" s="3790">
        <v>37.823999999999998</v>
      </c>
      <c r="P76" s="3790">
        <v>46.295000000000002</v>
      </c>
      <c r="Q76" s="3790">
        <v>53.627000000000002</v>
      </c>
      <c r="R76" s="3790">
        <v>66.313000000000002</v>
      </c>
      <c r="S76" s="3790">
        <v>69.805999999999997</v>
      </c>
      <c r="T76" s="3790">
        <v>64.204999999999998</v>
      </c>
      <c r="U76" s="3790">
        <v>45.606999999999999</v>
      </c>
      <c r="V76" s="3790">
        <v>52.932000000000002</v>
      </c>
      <c r="W76" s="3790">
        <v>64.977999999999994</v>
      </c>
      <c r="X76" s="3790">
        <v>70.016999999999996</v>
      </c>
      <c r="Y76" s="3790">
        <v>68.194999999999993</v>
      </c>
      <c r="Z76" s="3790">
        <v>69.326999999999998</v>
      </c>
      <c r="AA76" s="3790">
        <v>71.323999999999998</v>
      </c>
      <c r="AB76" s="3790">
        <v>83.176000000000002</v>
      </c>
      <c r="AC76" s="3790">
        <v>88.655000000000001</v>
      </c>
      <c r="AD76" s="3790">
        <v>91.918762178713237</v>
      </c>
      <c r="AE76" s="3790">
        <v>97.080917539451235</v>
      </c>
      <c r="AF76" s="3790">
        <v>101.53503844209688</v>
      </c>
    </row>
    <row r="77" spans="1:32">
      <c r="A77" s="3432" t="str">
        <f t="shared" ref="A77:A140" si="4">CONCATENATE($I$7,$J$7)</f>
        <v>\\DG ECFIN\Forecast\Country databases\Desk transfer databases\BE</v>
      </c>
      <c r="B77" s="3432" t="str">
        <f t="shared" ref="B77:B140" si="5">$J$7</f>
        <v>BE</v>
      </c>
      <c r="C77" s="3432" t="s">
        <v>2147</v>
      </c>
      <c r="D77" s="3432" t="s">
        <v>2216</v>
      </c>
      <c r="E77" s="3432" t="s">
        <v>2149</v>
      </c>
      <c r="F77" s="3432">
        <v>108</v>
      </c>
      <c r="G77" s="3432" t="s">
        <v>1967</v>
      </c>
      <c r="H77" s="3790">
        <v>15.141999999999999</v>
      </c>
      <c r="I77" s="3790">
        <v>16.209</v>
      </c>
      <c r="J77" s="3790">
        <v>18.591000000000001</v>
      </c>
      <c r="K77" s="3790">
        <v>17.960999999999999</v>
      </c>
      <c r="L77" s="3790">
        <v>28.94</v>
      </c>
      <c r="M77" s="3790">
        <v>23.548999999999999</v>
      </c>
      <c r="N77" s="3790">
        <v>23.125</v>
      </c>
      <c r="O77" s="3790">
        <v>23.547999999999998</v>
      </c>
      <c r="P77" s="3790">
        <v>23.038</v>
      </c>
      <c r="Q77" s="3790">
        <v>26.119</v>
      </c>
      <c r="R77" s="3790">
        <v>33.201000000000001</v>
      </c>
      <c r="S77" s="3790">
        <v>36.206000000000003</v>
      </c>
      <c r="T77" s="3790">
        <v>41.41</v>
      </c>
      <c r="U77" s="3790">
        <v>44.262</v>
      </c>
      <c r="V77" s="3790">
        <v>44.694000000000003</v>
      </c>
      <c r="W77" s="3790">
        <v>45.405999999999999</v>
      </c>
      <c r="X77" s="3790">
        <v>47.938000000000002</v>
      </c>
      <c r="Y77" s="3790">
        <v>47.466000000000001</v>
      </c>
      <c r="Z77" s="3790">
        <v>50.027999999999999</v>
      </c>
      <c r="AA77" s="3790">
        <v>50.49</v>
      </c>
      <c r="AB77" s="3790">
        <v>49.753</v>
      </c>
      <c r="AC77" s="3790">
        <v>52.08</v>
      </c>
      <c r="AD77" s="3790">
        <v>52.08</v>
      </c>
      <c r="AE77" s="3790">
        <v>52.08</v>
      </c>
      <c r="AF77" s="3790">
        <v>52.08</v>
      </c>
    </row>
    <row r="78" spans="1:32">
      <c r="A78" s="3432" t="str">
        <f t="shared" si="4"/>
        <v>\\DG ECFIN\Forecast\Country databases\Desk transfer databases\BE</v>
      </c>
      <c r="B78" s="3432" t="str">
        <f t="shared" si="5"/>
        <v>BE</v>
      </c>
      <c r="C78" s="3432" t="s">
        <v>2147</v>
      </c>
      <c r="D78" s="3432" t="s">
        <v>2217</v>
      </c>
      <c r="E78" s="3432" t="s">
        <v>2149</v>
      </c>
      <c r="F78" s="3432">
        <v>109</v>
      </c>
      <c r="G78" s="3432" t="s">
        <v>1968</v>
      </c>
      <c r="H78" s="3790">
        <v>230.64500000000001</v>
      </c>
      <c r="I78" s="3790">
        <v>243.04900000000001</v>
      </c>
      <c r="J78" s="3790">
        <v>263.41699999999997</v>
      </c>
      <c r="K78" s="3790">
        <v>275.25600000000003</v>
      </c>
      <c r="L78" s="3790">
        <v>301.37699999999995</v>
      </c>
      <c r="M78" s="3790">
        <v>289.267</v>
      </c>
      <c r="N78" s="3790">
        <v>254.08999999999997</v>
      </c>
      <c r="O78" s="3790">
        <v>254.61500000000001</v>
      </c>
      <c r="P78" s="3790">
        <v>257.52800000000002</v>
      </c>
      <c r="Q78" s="3790">
        <v>258.41000000000003</v>
      </c>
      <c r="R78" s="3790">
        <v>285.01799999999997</v>
      </c>
      <c r="S78" s="3790">
        <v>323.87899999999996</v>
      </c>
      <c r="T78" s="3790">
        <v>330.56900000000002</v>
      </c>
      <c r="U78" s="3790">
        <v>246.16</v>
      </c>
      <c r="V78" s="3790">
        <v>296.09199999999998</v>
      </c>
      <c r="W78" s="3790">
        <v>338.70400000000001</v>
      </c>
      <c r="X78" s="3790">
        <v>298.64599999999996</v>
      </c>
      <c r="Y78" s="3790">
        <v>314.029</v>
      </c>
      <c r="Z78" s="3790">
        <v>333.54699999999997</v>
      </c>
      <c r="AA78" s="3790">
        <v>341.726</v>
      </c>
      <c r="AB78" s="3790">
        <v>360.29899999999998</v>
      </c>
      <c r="AC78" s="3790">
        <v>381.3</v>
      </c>
      <c r="AD78" s="3790">
        <v>401.15445002843006</v>
      </c>
      <c r="AE78" s="3790">
        <v>421.49529081682351</v>
      </c>
      <c r="AF78" s="3790">
        <v>447.37563596341209</v>
      </c>
    </row>
    <row r="79" spans="1:32">
      <c r="A79" s="3432" t="str">
        <f t="shared" si="4"/>
        <v>\\DG ECFIN\Forecast\Country databases\Desk transfer databases\BE</v>
      </c>
      <c r="B79" s="3432" t="str">
        <f t="shared" si="5"/>
        <v>BE</v>
      </c>
      <c r="C79" s="3432" t="s">
        <v>2147</v>
      </c>
      <c r="D79" s="3432" t="s">
        <v>2218</v>
      </c>
      <c r="E79" s="3432" t="s">
        <v>2149</v>
      </c>
      <c r="F79" s="3432">
        <v>110</v>
      </c>
      <c r="G79" s="3432" t="s">
        <v>1969</v>
      </c>
      <c r="H79" s="3790">
        <v>-10.1</v>
      </c>
      <c r="I79" s="3790">
        <v>-9.0519999999999996</v>
      </c>
      <c r="J79" s="3790">
        <v>-8.5659999999999989</v>
      </c>
      <c r="K79" s="3790">
        <v>-5.234</v>
      </c>
      <c r="L79" s="3790">
        <v>36.457999999999998</v>
      </c>
      <c r="M79" s="3790">
        <v>-12.597999999999999</v>
      </c>
      <c r="N79" s="3790">
        <v>-20.195</v>
      </c>
      <c r="O79" s="3790">
        <v>-21.65</v>
      </c>
      <c r="P79" s="3790">
        <v>-11.556999999999999</v>
      </c>
      <c r="Q79" s="3790">
        <v>-7.6349999999999998</v>
      </c>
      <c r="R79" s="3790">
        <v>-9.831999999999999</v>
      </c>
      <c r="S79" s="3790">
        <v>-12.555</v>
      </c>
      <c r="T79" s="3790">
        <v>-30.742999999999999</v>
      </c>
      <c r="U79" s="3790">
        <v>-16.776</v>
      </c>
      <c r="V79" s="3790">
        <v>-43.62</v>
      </c>
      <c r="W79" s="3790">
        <v>-19.372</v>
      </c>
      <c r="X79" s="3790">
        <v>-10.655000000000001</v>
      </c>
      <c r="Y79" s="3790">
        <v>-10.009</v>
      </c>
      <c r="Z79" s="3790">
        <v>-14.212</v>
      </c>
      <c r="AA79" s="3790">
        <v>-9.5980000000000008</v>
      </c>
      <c r="AB79" s="3790">
        <v>-10.315</v>
      </c>
      <c r="AC79" s="3790">
        <v>-17.387</v>
      </c>
      <c r="AD79" s="3790">
        <v>-16.19388</v>
      </c>
      <c r="AE79" s="3790">
        <v>-12.214824799999999</v>
      </c>
      <c r="AF79" s="3790">
        <v>-12.214824799999999</v>
      </c>
    </row>
    <row r="80" spans="1:32">
      <c r="A80" s="3432" t="str">
        <f t="shared" si="4"/>
        <v>\\DG ECFIN\Forecast\Country databases\Desk transfer databases\BE</v>
      </c>
      <c r="B80" s="3432" t="str">
        <f t="shared" si="5"/>
        <v>BE</v>
      </c>
      <c r="C80" s="3432" t="s">
        <v>2147</v>
      </c>
      <c r="D80" s="3432" t="s">
        <v>2219</v>
      </c>
      <c r="E80" s="3432" t="s">
        <v>2149</v>
      </c>
      <c r="F80" s="3432">
        <v>113</v>
      </c>
      <c r="G80" s="3432" t="s">
        <v>1077</v>
      </c>
      <c r="H80" s="3790">
        <v>197</v>
      </c>
      <c r="I80" s="3790">
        <v>200.01599999999999</v>
      </c>
      <c r="J80" s="3790">
        <v>207.547</v>
      </c>
      <c r="K80" s="3790">
        <v>222.964</v>
      </c>
      <c r="L80" s="3790">
        <v>227.30600000000001</v>
      </c>
      <c r="M80" s="3790">
        <v>230.29300000000001</v>
      </c>
      <c r="N80" s="3790">
        <v>231.97800000000001</v>
      </c>
      <c r="O80" s="3790">
        <v>236.84700000000001</v>
      </c>
      <c r="P80" s="3790">
        <v>234.90100000000001</v>
      </c>
      <c r="Q80" s="3790">
        <v>236.73500000000001</v>
      </c>
      <c r="R80" s="3790">
        <v>245.887</v>
      </c>
      <c r="S80" s="3790">
        <v>269.40199999999999</v>
      </c>
      <c r="T80" s="3790">
        <v>273.5</v>
      </c>
      <c r="U80" s="3790">
        <v>275.529</v>
      </c>
      <c r="V80" s="3790">
        <v>277.61900000000003</v>
      </c>
      <c r="W80" s="3790">
        <v>295.13</v>
      </c>
      <c r="X80" s="3790">
        <v>300.68200000000002</v>
      </c>
      <c r="Y80" s="3790">
        <v>305.79200000000003</v>
      </c>
      <c r="Z80" s="3790">
        <v>314.37800000000004</v>
      </c>
      <c r="AA80" s="3790">
        <v>325.77199999999999</v>
      </c>
      <c r="AB80" s="3790">
        <v>334.59900000000005</v>
      </c>
      <c r="AC80" s="3790">
        <v>345.12200000000001</v>
      </c>
      <c r="AD80" s="3790">
        <v>355.78778400149815</v>
      </c>
      <c r="AE80" s="3790">
        <v>367.71327219828635</v>
      </c>
      <c r="AF80" s="3790">
        <v>378.62099080943744</v>
      </c>
    </row>
    <row r="81" spans="1:32">
      <c r="A81" s="3432" t="str">
        <f t="shared" si="4"/>
        <v>\\DG ECFIN\Forecast\Country databases\Desk transfer databases\BE</v>
      </c>
      <c r="B81" s="3432" t="str">
        <f t="shared" si="5"/>
        <v>BE</v>
      </c>
      <c r="C81" s="3432" t="s">
        <v>2147</v>
      </c>
      <c r="D81" s="3432" t="s">
        <v>2220</v>
      </c>
      <c r="E81" s="3432" t="s">
        <v>2149</v>
      </c>
      <c r="F81" s="3432">
        <v>114</v>
      </c>
      <c r="G81" s="3432" t="s">
        <v>1802</v>
      </c>
      <c r="H81" s="3790">
        <v>223.08500000000001</v>
      </c>
      <c r="I81" s="3790">
        <v>222.4</v>
      </c>
      <c r="J81" s="3790">
        <v>234.95400000000001</v>
      </c>
      <c r="K81" s="3790">
        <v>250.86799999999999</v>
      </c>
      <c r="L81" s="3790">
        <v>262.78399999999999</v>
      </c>
      <c r="M81" s="3790">
        <v>236.85900000000001</v>
      </c>
      <c r="N81" s="3790">
        <v>231.333</v>
      </c>
      <c r="O81" s="3790">
        <v>231.82499999999999</v>
      </c>
      <c r="P81" s="3790">
        <v>232.131</v>
      </c>
      <c r="Q81" s="3790">
        <v>242.25200000000001</v>
      </c>
      <c r="R81" s="3790">
        <v>270.416</v>
      </c>
      <c r="S81" s="3790">
        <v>293.62599999999998</v>
      </c>
      <c r="T81" s="3790">
        <v>307.64100000000002</v>
      </c>
      <c r="U81" s="3790">
        <v>274.678</v>
      </c>
      <c r="V81" s="3790">
        <v>274.16500000000002</v>
      </c>
      <c r="W81" s="3790">
        <v>299.39599999999996</v>
      </c>
      <c r="X81" s="3790">
        <v>319.86599999999999</v>
      </c>
      <c r="Y81" s="3790">
        <v>340.53999999999996</v>
      </c>
      <c r="Z81" s="3790">
        <v>353.75200000000001</v>
      </c>
      <c r="AA81" s="3790">
        <v>372.11300000000006</v>
      </c>
      <c r="AB81" s="3790">
        <v>397.05700000000002</v>
      </c>
      <c r="AC81" s="3790">
        <v>421.25299999999999</v>
      </c>
      <c r="AD81" s="3790">
        <v>443.16488039836929</v>
      </c>
      <c r="AE81" s="3790">
        <v>461.48130362664011</v>
      </c>
      <c r="AF81" s="3790">
        <v>480.66701625162767</v>
      </c>
    </row>
    <row r="82" spans="1:32">
      <c r="A82" s="3432" t="str">
        <f t="shared" si="4"/>
        <v>\\DG ECFIN\Forecast\Country databases\Desk transfer databases\BE</v>
      </c>
      <c r="B82" s="3432" t="str">
        <f t="shared" si="5"/>
        <v>BE</v>
      </c>
      <c r="C82" s="3432" t="s">
        <v>2147</v>
      </c>
      <c r="D82" s="3432" t="s">
        <v>2221</v>
      </c>
      <c r="E82" s="3432" t="s">
        <v>2149</v>
      </c>
      <c r="F82" s="3432">
        <v>115</v>
      </c>
      <c r="G82" s="3432" t="s">
        <v>1804</v>
      </c>
      <c r="H82" s="3790">
        <v>360.34</v>
      </c>
      <c r="I82" s="3790">
        <v>372.97899999999998</v>
      </c>
      <c r="J82" s="3790">
        <v>376.99400000000003</v>
      </c>
      <c r="K82" s="3790">
        <v>381.92599999999999</v>
      </c>
      <c r="L82" s="3790">
        <v>382.33199999999999</v>
      </c>
      <c r="M82" s="3790">
        <v>388.55900000000003</v>
      </c>
      <c r="N82" s="3790">
        <v>394.113</v>
      </c>
      <c r="O82" s="3790">
        <v>400.47699999999998</v>
      </c>
      <c r="P82" s="3790">
        <v>400.721</v>
      </c>
      <c r="Q82" s="3790">
        <v>399.72999999999996</v>
      </c>
      <c r="R82" s="3790">
        <v>404.21199999999999</v>
      </c>
      <c r="S82" s="3790">
        <v>404.27099999999996</v>
      </c>
      <c r="T82" s="3790">
        <v>412.44900000000001</v>
      </c>
      <c r="U82" s="3790">
        <v>415.61499999999995</v>
      </c>
      <c r="V82" s="3790">
        <v>426.18</v>
      </c>
      <c r="W82" s="3790">
        <v>442.255</v>
      </c>
      <c r="X82" s="3790">
        <v>454.32100000000003</v>
      </c>
      <c r="Y82" s="3790">
        <v>465.03100000000001</v>
      </c>
      <c r="Z82" s="3790">
        <v>482.00200000000001</v>
      </c>
      <c r="AA82" s="3790">
        <v>500.81</v>
      </c>
      <c r="AB82" s="3790">
        <v>523.92599999999993</v>
      </c>
      <c r="AC82" s="3790">
        <v>548.59799999999996</v>
      </c>
      <c r="AD82" s="3790">
        <v>570.67157175835428</v>
      </c>
      <c r="AE82" s="3790">
        <v>591.82489253827691</v>
      </c>
      <c r="AF82" s="3790">
        <v>615.34523790489379</v>
      </c>
    </row>
    <row r="83" spans="1:32">
      <c r="A83" s="3432" t="str">
        <f t="shared" si="4"/>
        <v>\\DG ECFIN\Forecast\Country databases\Desk transfer databases\BE</v>
      </c>
      <c r="B83" s="3432" t="str">
        <f t="shared" si="5"/>
        <v>BE</v>
      </c>
      <c r="C83" s="3432" t="s">
        <v>2147</v>
      </c>
      <c r="D83" s="3432" t="s">
        <v>2222</v>
      </c>
      <c r="E83" s="3432" t="s">
        <v>2149</v>
      </c>
      <c r="F83" s="3432">
        <v>116</v>
      </c>
      <c r="G83" s="3432" t="s">
        <v>1806</v>
      </c>
      <c r="H83" s="3790">
        <v>335.60599999999999</v>
      </c>
      <c r="I83" s="3790">
        <v>346.78199999999998</v>
      </c>
      <c r="J83" s="3790">
        <v>350.18200000000002</v>
      </c>
      <c r="K83" s="3790">
        <v>353.88299999999998</v>
      </c>
      <c r="L83" s="3790">
        <v>356.64400000000001</v>
      </c>
      <c r="M83" s="3790">
        <v>361.91800000000001</v>
      </c>
      <c r="N83" s="3790">
        <v>366.91800000000001</v>
      </c>
      <c r="O83" s="3790">
        <v>372.63799999999998</v>
      </c>
      <c r="P83" s="3790">
        <v>372.90300000000002</v>
      </c>
      <c r="Q83" s="3790">
        <v>371.47199999999998</v>
      </c>
      <c r="R83" s="3790">
        <v>375.47800000000001</v>
      </c>
      <c r="S83" s="3790">
        <v>374.84699999999998</v>
      </c>
      <c r="T83" s="3790">
        <v>382.274</v>
      </c>
      <c r="U83" s="3790">
        <v>384.21499999999997</v>
      </c>
      <c r="V83" s="3790">
        <v>393.596</v>
      </c>
      <c r="W83" s="3790">
        <v>409.38400000000001</v>
      </c>
      <c r="X83" s="3790">
        <v>421.38400000000001</v>
      </c>
      <c r="Y83" s="3790">
        <v>431.58699999999999</v>
      </c>
      <c r="Z83" s="3790">
        <v>447.952</v>
      </c>
      <c r="AA83" s="3790">
        <v>466.3</v>
      </c>
      <c r="AB83" s="3790">
        <v>487.85199999999998</v>
      </c>
      <c r="AC83" s="3790">
        <v>511.55500000000001</v>
      </c>
      <c r="AD83" s="3790">
        <v>532.74543657084428</v>
      </c>
      <c r="AE83" s="3790">
        <v>552.9304891086922</v>
      </c>
      <c r="AF83" s="3790">
        <v>575.40020037964746</v>
      </c>
    </row>
    <row r="84" spans="1:32">
      <c r="A84" s="3432" t="str">
        <f t="shared" si="4"/>
        <v>\\DG ECFIN\Forecast\Country databases\Desk transfer databases\BE</v>
      </c>
      <c r="B84" s="3432" t="str">
        <f t="shared" si="5"/>
        <v>BE</v>
      </c>
      <c r="C84" s="3432" t="s">
        <v>2147</v>
      </c>
      <c r="D84" s="3432" t="s">
        <v>2223</v>
      </c>
      <c r="E84" s="3432" t="s">
        <v>2149</v>
      </c>
      <c r="F84" s="3432">
        <v>117</v>
      </c>
      <c r="G84" s="3432" t="s">
        <v>2007</v>
      </c>
      <c r="H84" s="3790">
        <v>34.870000000000005</v>
      </c>
      <c r="I84" s="3790">
        <v>32.575000000000003</v>
      </c>
      <c r="J84" s="3790">
        <v>32.027999999999999</v>
      </c>
      <c r="K84" s="3790">
        <v>33.475999999999999</v>
      </c>
      <c r="L84" s="3790">
        <v>32.704999999999998</v>
      </c>
      <c r="M84" s="3790">
        <v>35.503</v>
      </c>
      <c r="N84" s="3790">
        <v>35.430999999999997</v>
      </c>
      <c r="O84" s="3790">
        <v>32.841999999999999</v>
      </c>
      <c r="P84" s="3790">
        <v>30.958000000000002</v>
      </c>
      <c r="Q84" s="3790">
        <v>33.567999999999998</v>
      </c>
      <c r="R84" s="3790">
        <v>33.824999999999996</v>
      </c>
      <c r="S84" s="3790">
        <v>34.625</v>
      </c>
      <c r="T84" s="3790">
        <v>36.269999999999996</v>
      </c>
      <c r="U84" s="3790">
        <v>38.287999999999997</v>
      </c>
      <c r="V84" s="3790">
        <v>38.558</v>
      </c>
      <c r="W84" s="3790">
        <v>44.187999999999995</v>
      </c>
      <c r="X84" s="3790">
        <v>42.588000000000008</v>
      </c>
      <c r="Y84" s="3790">
        <v>41.33</v>
      </c>
      <c r="Z84" s="3790">
        <v>46.335000000000001</v>
      </c>
      <c r="AA84" s="3790">
        <v>43.027000000000001</v>
      </c>
      <c r="AB84" s="3790">
        <v>38.441000000000003</v>
      </c>
      <c r="AC84" s="3790">
        <v>37.887</v>
      </c>
      <c r="AD84" s="3790">
        <v>41.081669763603273</v>
      </c>
      <c r="AE84" s="3790">
        <v>41.991159076187877</v>
      </c>
      <c r="AF84" s="3790">
        <v>42.969481877776616</v>
      </c>
    </row>
    <row r="85" spans="1:32">
      <c r="A85" s="3432" t="str">
        <f t="shared" si="4"/>
        <v>\\DG ECFIN\Forecast\Country databases\Desk transfer databases\BE</v>
      </c>
      <c r="B85" s="3432" t="str">
        <f t="shared" si="5"/>
        <v>BE</v>
      </c>
      <c r="C85" s="3432" t="s">
        <v>2147</v>
      </c>
      <c r="D85" s="3432" t="s">
        <v>2224</v>
      </c>
      <c r="E85" s="3432" t="s">
        <v>2149</v>
      </c>
      <c r="F85" s="3432">
        <v>118</v>
      </c>
      <c r="G85" s="3432" t="s">
        <v>88</v>
      </c>
      <c r="H85" s="3790">
        <v>150.15700000000001</v>
      </c>
      <c r="I85" s="3790">
        <v>150.45599999999999</v>
      </c>
      <c r="J85" s="3790">
        <v>151.93199999999999</v>
      </c>
      <c r="K85" s="3790">
        <v>157.911</v>
      </c>
      <c r="L85" s="3790">
        <v>155.46799999999999</v>
      </c>
      <c r="M85" s="3790">
        <v>157.00800000000001</v>
      </c>
      <c r="N85" s="3790">
        <v>161.72300000000001</v>
      </c>
      <c r="O85" s="3790">
        <v>161.482</v>
      </c>
      <c r="P85" s="3790">
        <v>162.46199999999999</v>
      </c>
      <c r="Q85" s="3790">
        <v>160.99199999999999</v>
      </c>
      <c r="R85" s="3790">
        <v>162.65600000000001</v>
      </c>
      <c r="S85" s="3790">
        <v>162.786</v>
      </c>
      <c r="T85" s="3790">
        <v>169.559</v>
      </c>
      <c r="U85" s="3790">
        <v>176.43799999999999</v>
      </c>
      <c r="V85" s="3790">
        <v>178.458</v>
      </c>
      <c r="W85" s="3790">
        <v>181.97</v>
      </c>
      <c r="X85" s="3790">
        <v>189.57900000000001</v>
      </c>
      <c r="Y85" s="3790">
        <v>195.31700000000001</v>
      </c>
      <c r="Z85" s="3790">
        <v>199.67699999999999</v>
      </c>
      <c r="AA85" s="3790">
        <v>204.12700000000001</v>
      </c>
      <c r="AB85" s="3790">
        <v>213.75899999999999</v>
      </c>
      <c r="AC85" s="3790">
        <v>223.32300000000001</v>
      </c>
      <c r="AD85" s="3790">
        <v>231.79806837612679</v>
      </c>
      <c r="AE85" s="3790">
        <v>242.47787635783124</v>
      </c>
      <c r="AF85" s="3790">
        <v>253.24589045672252</v>
      </c>
    </row>
    <row r="86" spans="1:32">
      <c r="A86" s="3432" t="str">
        <f t="shared" si="4"/>
        <v>\\DG ECFIN\Forecast\Country databases\Desk transfer databases\BE</v>
      </c>
      <c r="B86" s="3432" t="str">
        <f t="shared" si="5"/>
        <v>BE</v>
      </c>
      <c r="C86" s="3432" t="s">
        <v>2147</v>
      </c>
      <c r="D86" s="3432" t="s">
        <v>2225</v>
      </c>
      <c r="E86" s="3432" t="s">
        <v>2149</v>
      </c>
      <c r="F86" s="3432">
        <v>119</v>
      </c>
      <c r="G86" s="3432" t="s">
        <v>89</v>
      </c>
      <c r="H86" s="3790">
        <v>223.64500000000001</v>
      </c>
      <c r="I86" s="3790">
        <v>223.97</v>
      </c>
      <c r="J86" s="3790">
        <v>227.33799999999999</v>
      </c>
      <c r="K86" s="3790">
        <v>232.715</v>
      </c>
      <c r="L86" s="3790">
        <v>239.559</v>
      </c>
      <c r="M86" s="3790">
        <v>247.64099999999999</v>
      </c>
      <c r="N86" s="3790">
        <v>254.28299999999999</v>
      </c>
      <c r="O86" s="3790">
        <v>259.31</v>
      </c>
      <c r="P86" s="3790">
        <v>256.49099999999999</v>
      </c>
      <c r="Q86" s="3790">
        <v>262.00400000000002</v>
      </c>
      <c r="R86" s="3790">
        <v>267.74200000000002</v>
      </c>
      <c r="S86" s="3790">
        <v>276.95400000000001</v>
      </c>
      <c r="T86" s="3790">
        <v>288.00700000000001</v>
      </c>
      <c r="U86" s="3790">
        <v>304.76900000000001</v>
      </c>
      <c r="V86" s="3790">
        <v>314.87799999999999</v>
      </c>
      <c r="W86" s="3790">
        <v>323.721</v>
      </c>
      <c r="X86" s="3790">
        <v>330.13400000000001</v>
      </c>
      <c r="Y86" s="3790">
        <v>347.536</v>
      </c>
      <c r="Z86" s="3790">
        <v>364.28500000000003</v>
      </c>
      <c r="AA86" s="3790">
        <v>383.27</v>
      </c>
      <c r="AB86" s="3790">
        <v>401.73500000000001</v>
      </c>
      <c r="AC86" s="3790">
        <v>415.55200000000002</v>
      </c>
      <c r="AD86" s="3790">
        <v>431.54122230094401</v>
      </c>
      <c r="AE86" s="3790">
        <v>451.77418346898821</v>
      </c>
      <c r="AF86" s="3790">
        <v>472.17895808977568</v>
      </c>
    </row>
    <row r="87" spans="1:32">
      <c r="A87" s="3432" t="str">
        <f t="shared" si="4"/>
        <v>\\DG ECFIN\Forecast\Country databases\Desk transfer databases\BE</v>
      </c>
      <c r="B87" s="3432" t="str">
        <f t="shared" si="5"/>
        <v>BE</v>
      </c>
      <c r="C87" s="3432" t="s">
        <v>2147</v>
      </c>
      <c r="D87" s="3432" t="s">
        <v>2226</v>
      </c>
      <c r="E87" s="3432" t="s">
        <v>2149</v>
      </c>
      <c r="F87" s="3432">
        <v>120</v>
      </c>
      <c r="G87" s="3432" t="s">
        <v>90</v>
      </c>
      <c r="H87" s="3790">
        <v>167.77699999999999</v>
      </c>
      <c r="I87" s="3790">
        <v>168.43899999999999</v>
      </c>
      <c r="J87" s="3790">
        <v>169.398</v>
      </c>
      <c r="K87" s="3790">
        <v>173.43</v>
      </c>
      <c r="L87" s="3790">
        <v>173.96299999999999</v>
      </c>
      <c r="M87" s="3790">
        <v>176.64099999999999</v>
      </c>
      <c r="N87" s="3790">
        <v>180.327</v>
      </c>
      <c r="O87" s="3790">
        <v>182.083</v>
      </c>
      <c r="P87" s="3790">
        <v>182.23500000000001</v>
      </c>
      <c r="Q87" s="3790">
        <v>182.233</v>
      </c>
      <c r="R87" s="3790">
        <v>183.18</v>
      </c>
      <c r="S87" s="3790">
        <v>184.17500000000001</v>
      </c>
      <c r="T87" s="3790">
        <v>189.07900000000001</v>
      </c>
      <c r="U87" s="3790">
        <v>197.81200000000001</v>
      </c>
      <c r="V87" s="3790">
        <v>203.52799999999999</v>
      </c>
      <c r="W87" s="3790">
        <v>208.64499999999998</v>
      </c>
      <c r="X87" s="3790">
        <v>212.33700000000002</v>
      </c>
      <c r="Y87" s="3790">
        <v>217.761</v>
      </c>
      <c r="Z87" s="3790">
        <v>224.42200000000003</v>
      </c>
      <c r="AA87" s="3790">
        <v>229.84299999999999</v>
      </c>
      <c r="AB87" s="3790">
        <v>237.81300000000002</v>
      </c>
      <c r="AC87" s="3790">
        <v>246.73999999999998</v>
      </c>
      <c r="AD87" s="3790">
        <v>256.1302865472598</v>
      </c>
      <c r="AE87" s="3790">
        <v>268.0446410280212</v>
      </c>
      <c r="AF87" s="3790">
        <v>268.0446410280212</v>
      </c>
    </row>
    <row r="88" spans="1:32">
      <c r="A88" s="3432" t="str">
        <f t="shared" si="4"/>
        <v>\\DG ECFIN\Forecast\Country databases\Desk transfer databases\BE</v>
      </c>
      <c r="B88" s="3432" t="str">
        <f t="shared" si="5"/>
        <v>BE</v>
      </c>
      <c r="C88" s="3432" t="s">
        <v>2147</v>
      </c>
      <c r="D88" s="3432" t="s">
        <v>2227</v>
      </c>
      <c r="E88" s="3432" t="s">
        <v>2149</v>
      </c>
      <c r="F88" s="3432">
        <v>121</v>
      </c>
      <c r="G88" s="3432" t="s">
        <v>843</v>
      </c>
      <c r="H88" s="3790">
        <v>345.52499999999998</v>
      </c>
      <c r="I88" s="3790">
        <v>353.40300000000002</v>
      </c>
      <c r="J88" s="3790">
        <v>357.34800000000001</v>
      </c>
      <c r="K88" s="3790">
        <v>370.27100000000002</v>
      </c>
      <c r="L88" s="3790">
        <v>368.88799999999998</v>
      </c>
      <c r="M88" s="3790">
        <v>382.67200000000003</v>
      </c>
      <c r="N88" s="3790">
        <v>397.70499999999998</v>
      </c>
      <c r="O88" s="3790">
        <v>408.70699999999999</v>
      </c>
      <c r="P88" s="3790">
        <v>410.80500000000001</v>
      </c>
      <c r="Q88" s="3790">
        <v>412.28800000000001</v>
      </c>
      <c r="R88" s="3790">
        <v>408.928</v>
      </c>
      <c r="S88" s="3790">
        <v>401.92099999999999</v>
      </c>
      <c r="T88" s="3790">
        <v>404.98399999999998</v>
      </c>
      <c r="U88" s="3790">
        <v>426.4</v>
      </c>
      <c r="V88" s="3790">
        <v>430.11900000000003</v>
      </c>
      <c r="W88" s="3790">
        <v>424.06800000000004</v>
      </c>
      <c r="X88" s="3790">
        <v>430.27800000000002</v>
      </c>
      <c r="Y88" s="3790">
        <v>438.74299999999994</v>
      </c>
      <c r="Z88" s="3790">
        <v>451.38900000000001</v>
      </c>
      <c r="AA88" s="3790">
        <v>469.37299999999999</v>
      </c>
      <c r="AB88" s="3790">
        <v>486.81700000000001</v>
      </c>
      <c r="AC88" s="3790">
        <v>506.09799999999996</v>
      </c>
      <c r="AD88" s="3790">
        <v>524.52676295720664</v>
      </c>
      <c r="AE88" s="3790">
        <v>547.57171304628719</v>
      </c>
      <c r="AF88" s="3790">
        <v>571.07524111264127</v>
      </c>
    </row>
    <row r="89" spans="1:32">
      <c r="A89" s="3432" t="str">
        <f t="shared" si="4"/>
        <v>\\DG ECFIN\Forecast\Country databases\Desk transfer databases\BE</v>
      </c>
      <c r="B89" s="3432" t="str">
        <f t="shared" si="5"/>
        <v>BE</v>
      </c>
      <c r="C89" s="3432" t="s">
        <v>2147</v>
      </c>
      <c r="D89" s="3432" t="s">
        <v>2228</v>
      </c>
      <c r="E89" s="3432" t="s">
        <v>2149</v>
      </c>
      <c r="F89" s="3432">
        <v>122</v>
      </c>
      <c r="G89" s="3432" t="s">
        <v>845</v>
      </c>
      <c r="H89" s="3790">
        <v>65.742000000000004</v>
      </c>
      <c r="I89" s="3790">
        <v>65.599000000000004</v>
      </c>
      <c r="J89" s="3790">
        <v>66.647999999999996</v>
      </c>
      <c r="K89" s="3790">
        <v>62.790999999999997</v>
      </c>
      <c r="L89" s="3790">
        <v>66.39</v>
      </c>
      <c r="M89" s="3790">
        <v>65.510000000000005</v>
      </c>
      <c r="N89" s="3790">
        <v>65.099000000000004</v>
      </c>
      <c r="O89" s="3790">
        <v>64.623000000000005</v>
      </c>
      <c r="P89" s="3790">
        <v>63.220999999999997</v>
      </c>
      <c r="Q89" s="3790">
        <v>63.118000000000002</v>
      </c>
      <c r="R89" s="3790">
        <v>64.683999999999997</v>
      </c>
      <c r="S89" s="3790">
        <v>66.994</v>
      </c>
      <c r="T89" s="3790">
        <v>68.468999999999994</v>
      </c>
      <c r="U89" s="3790">
        <v>64.962000000000003</v>
      </c>
      <c r="V89" s="3790">
        <v>63.85</v>
      </c>
      <c r="W89" s="3790">
        <v>67.5</v>
      </c>
      <c r="X89" s="3790">
        <v>63.088000000000008</v>
      </c>
      <c r="Y89" s="3790">
        <v>55.51700000000001</v>
      </c>
      <c r="Z89" s="3790">
        <v>46.959000000000003</v>
      </c>
      <c r="AA89" s="3790">
        <v>42.322000000000003</v>
      </c>
      <c r="AB89" s="3790">
        <v>37.369999999999997</v>
      </c>
      <c r="AC89" s="3790">
        <v>33.811999999999998</v>
      </c>
      <c r="AD89" s="3790">
        <v>31.598911021400003</v>
      </c>
      <c r="AE89" s="3790">
        <v>30.575720478676967</v>
      </c>
      <c r="AF89" s="3790">
        <v>29.706121204966166</v>
      </c>
    </row>
    <row r="90" spans="1:32">
      <c r="A90" s="3432" t="str">
        <f t="shared" si="4"/>
        <v>\\DG ECFIN\Forecast\Country databases\Desk transfer databases\BE</v>
      </c>
      <c r="B90" s="3432" t="str">
        <f t="shared" si="5"/>
        <v>BE</v>
      </c>
      <c r="C90" s="3432" t="s">
        <v>2147</v>
      </c>
      <c r="D90" s="3432" t="s">
        <v>2229</v>
      </c>
      <c r="E90" s="3432" t="s">
        <v>2149</v>
      </c>
      <c r="F90" s="3432">
        <v>123</v>
      </c>
      <c r="G90" s="3432" t="s">
        <v>1007</v>
      </c>
      <c r="H90" s="3790">
        <v>36.549999999999997</v>
      </c>
      <c r="I90" s="3790">
        <v>33.838000000000001</v>
      </c>
      <c r="J90" s="3790">
        <v>35.103999999999999</v>
      </c>
      <c r="K90" s="3790">
        <v>35.337000000000003</v>
      </c>
      <c r="L90" s="3790">
        <v>34.145000000000003</v>
      </c>
      <c r="M90" s="3790">
        <v>31.93</v>
      </c>
      <c r="N90" s="3790">
        <v>30.398</v>
      </c>
      <c r="O90" s="3790">
        <v>28.213999999999999</v>
      </c>
      <c r="P90" s="3790">
        <v>26.76</v>
      </c>
      <c r="Q90" s="3790">
        <v>25.084</v>
      </c>
      <c r="R90" s="3790">
        <v>25.349</v>
      </c>
      <c r="S90" s="3790">
        <v>24.552</v>
      </c>
      <c r="T90" s="3790">
        <v>24.268000000000001</v>
      </c>
      <c r="U90" s="3790">
        <v>32.313000000000002</v>
      </c>
      <c r="V90" s="3790">
        <v>29.665999999999997</v>
      </c>
      <c r="W90" s="3790">
        <v>27.421999999999997</v>
      </c>
      <c r="X90" s="3790">
        <v>24.561</v>
      </c>
      <c r="Y90" s="3790">
        <v>25.808</v>
      </c>
      <c r="Z90" s="3790">
        <v>26.297999999999998</v>
      </c>
      <c r="AA90" s="3790">
        <v>27.286999999999999</v>
      </c>
      <c r="AB90" s="3790">
        <v>27.991999999999997</v>
      </c>
      <c r="AC90" s="3790">
        <v>28.364999999999995</v>
      </c>
      <c r="AD90" s="3790">
        <v>28.265000000000001</v>
      </c>
      <c r="AE90" s="3790">
        <v>28.764999999999993</v>
      </c>
      <c r="AF90" s="3790">
        <v>29.706976678396583</v>
      </c>
    </row>
    <row r="91" spans="1:32">
      <c r="A91" s="3432" t="str">
        <f t="shared" si="4"/>
        <v>\\DG ECFIN\Forecast\Country databases\Desk transfer databases\BE</v>
      </c>
      <c r="B91" s="3432" t="str">
        <f t="shared" si="5"/>
        <v>BE</v>
      </c>
      <c r="C91" s="3432" t="s">
        <v>2147</v>
      </c>
      <c r="D91" s="3432" t="s">
        <v>2230</v>
      </c>
      <c r="E91" s="3432" t="s">
        <v>2149</v>
      </c>
      <c r="F91" s="3432">
        <v>124</v>
      </c>
      <c r="G91" s="3432" t="s">
        <v>1736</v>
      </c>
      <c r="H91" s="3790">
        <v>37.432000000000002</v>
      </c>
      <c r="I91" s="3790">
        <v>38.46</v>
      </c>
      <c r="J91" s="3790">
        <v>39.030999999999999</v>
      </c>
      <c r="K91" s="3790">
        <v>38.464999999999996</v>
      </c>
      <c r="L91" s="3790">
        <v>42.371000000000002</v>
      </c>
      <c r="M91" s="3790">
        <v>40.013999999999996</v>
      </c>
      <c r="N91" s="3790">
        <v>38.223999999999997</v>
      </c>
      <c r="O91" s="3790">
        <v>40.811</v>
      </c>
      <c r="P91" s="3790">
        <v>39.311</v>
      </c>
      <c r="Q91" s="3790">
        <v>41.789000000000001</v>
      </c>
      <c r="R91" s="3790">
        <v>41.650999999999996</v>
      </c>
      <c r="S91" s="3790">
        <v>43.003</v>
      </c>
      <c r="T91" s="3790">
        <v>46.902000000000001</v>
      </c>
      <c r="U91" s="3790">
        <v>45.938000000000002</v>
      </c>
      <c r="V91" s="3790">
        <v>51.712000000000003</v>
      </c>
      <c r="W91" s="3790">
        <v>51.591000000000001</v>
      </c>
      <c r="X91" s="3790">
        <v>57.736999999999995</v>
      </c>
      <c r="Y91" s="3790">
        <v>74.417000000000002</v>
      </c>
      <c r="Z91" s="3790">
        <v>73.415999999999997</v>
      </c>
      <c r="AA91" s="3790">
        <v>74.895999999999987</v>
      </c>
      <c r="AB91" s="3790">
        <v>75.727999999999994</v>
      </c>
      <c r="AC91" s="3790">
        <v>75.406999999999996</v>
      </c>
      <c r="AD91" s="3790">
        <v>81.63685494014382</v>
      </c>
      <c r="AE91" s="3790">
        <v>86.415676397538348</v>
      </c>
      <c r="AF91" s="3790">
        <v>91.639007315415427</v>
      </c>
    </row>
    <row r="92" spans="1:32">
      <c r="A92" s="3432" t="str">
        <f t="shared" si="4"/>
        <v>\\DG ECFIN\Forecast\Country databases\Desk transfer databases\BE</v>
      </c>
      <c r="B92" s="3432" t="str">
        <f t="shared" si="5"/>
        <v>BE</v>
      </c>
      <c r="C92" s="3432" t="s">
        <v>2147</v>
      </c>
      <c r="D92" s="3432" t="s">
        <v>2231</v>
      </c>
      <c r="E92" s="3432" t="s">
        <v>2149</v>
      </c>
      <c r="F92" s="3432">
        <v>125</v>
      </c>
      <c r="G92" s="3432" t="s">
        <v>2434</v>
      </c>
      <c r="H92" s="3790">
        <v>7.6749999999999998</v>
      </c>
      <c r="I92" s="3790">
        <v>8.06</v>
      </c>
      <c r="J92" s="3790">
        <v>8.69</v>
      </c>
      <c r="K92" s="3790">
        <v>8.7959999999999994</v>
      </c>
      <c r="L92" s="3790">
        <v>7.9859999999999998</v>
      </c>
      <c r="M92" s="3790">
        <v>8.1509999999999998</v>
      </c>
      <c r="N92" s="3790">
        <v>8.282</v>
      </c>
      <c r="O92" s="3790">
        <v>8.8940000000000001</v>
      </c>
      <c r="P92" s="3790">
        <v>9.5640000000000001</v>
      </c>
      <c r="Q92" s="3790">
        <v>9.5180000000000007</v>
      </c>
      <c r="R92" s="3790">
        <v>9.1210000000000004</v>
      </c>
      <c r="S92" s="3790">
        <v>9.8710000000000004</v>
      </c>
      <c r="T92" s="3790">
        <v>9.4410000000000007</v>
      </c>
      <c r="U92" s="3790">
        <v>9.6359999999999992</v>
      </c>
      <c r="V92" s="3790">
        <v>9.6010000000000009</v>
      </c>
      <c r="W92" s="3790">
        <v>10.428999999999998</v>
      </c>
      <c r="X92" s="3790">
        <v>11.057</v>
      </c>
      <c r="Y92" s="3790">
        <v>10.427999999999999</v>
      </c>
      <c r="Z92" s="3790">
        <v>12.373999999999999</v>
      </c>
      <c r="AA92" s="3790">
        <v>12.209999999999997</v>
      </c>
      <c r="AB92" s="3790">
        <v>15.265000000000001</v>
      </c>
      <c r="AC92" s="3790">
        <v>10.181999999999999</v>
      </c>
      <c r="AD92" s="3790">
        <v>11.651799999999998</v>
      </c>
      <c r="AE92" s="3790">
        <v>10.36656</v>
      </c>
      <c r="AF92" s="3790">
        <v>10.460072</v>
      </c>
    </row>
    <row r="93" spans="1:32">
      <c r="A93" s="3432" t="str">
        <f t="shared" si="4"/>
        <v>\\DG ECFIN\Forecast\Country databases\Desk transfer databases\BE</v>
      </c>
      <c r="B93" s="3432" t="str">
        <f t="shared" si="5"/>
        <v>BE</v>
      </c>
      <c r="C93" s="3432" t="s">
        <v>2147</v>
      </c>
      <c r="D93" s="3432" t="s">
        <v>2232</v>
      </c>
      <c r="E93" s="3432" t="s">
        <v>2149</v>
      </c>
      <c r="F93" s="3432">
        <v>126</v>
      </c>
      <c r="G93" s="3432" t="s">
        <v>407</v>
      </c>
      <c r="H93" s="3790">
        <v>48.356000000000002</v>
      </c>
      <c r="I93" s="3790">
        <v>45.514000000000003</v>
      </c>
      <c r="J93" s="3790">
        <v>46.064</v>
      </c>
      <c r="K93" s="3790">
        <v>48.75</v>
      </c>
      <c r="L93" s="3790">
        <v>48.728000000000002</v>
      </c>
      <c r="M93" s="3790">
        <v>49.164000000000001</v>
      </c>
      <c r="N93" s="3790">
        <v>48.396000000000001</v>
      </c>
      <c r="O93" s="3790">
        <v>47.017000000000003</v>
      </c>
      <c r="P93" s="3790">
        <v>44.152999999999999</v>
      </c>
      <c r="Q93" s="3790">
        <v>43.418999999999997</v>
      </c>
      <c r="R93" s="3790">
        <v>47.779000000000003</v>
      </c>
      <c r="S93" s="3790">
        <v>48.631999999999998</v>
      </c>
      <c r="T93" s="3790">
        <v>52.759</v>
      </c>
      <c r="U93" s="3790">
        <v>57.948</v>
      </c>
      <c r="V93" s="3790">
        <v>59.466999999999999</v>
      </c>
      <c r="W93" s="3790">
        <v>61.514000000000003</v>
      </c>
      <c r="X93" s="3790">
        <v>61.745999999999995</v>
      </c>
      <c r="Y93" s="3790">
        <v>60.373999999999995</v>
      </c>
      <c r="Z93" s="3790">
        <v>60.595999999999997</v>
      </c>
      <c r="AA93" s="3790">
        <v>64.161000000000001</v>
      </c>
      <c r="AB93" s="3790">
        <v>68.173999999999992</v>
      </c>
      <c r="AC93" s="3790">
        <v>73.254999999999995</v>
      </c>
      <c r="AD93" s="3790">
        <v>78.102177399782846</v>
      </c>
      <c r="AE93" s="3790">
        <v>83.695462035947116</v>
      </c>
      <c r="AF93" s="3790">
        <v>89.906512617253043</v>
      </c>
    </row>
    <row r="94" spans="1:32">
      <c r="A94" s="3432" t="str">
        <f t="shared" si="4"/>
        <v>\\DG ECFIN\Forecast\Country databases\Desk transfer databases\BE</v>
      </c>
      <c r="B94" s="3432" t="str">
        <f t="shared" si="5"/>
        <v>BE</v>
      </c>
      <c r="C94" s="3432" t="s">
        <v>2147</v>
      </c>
      <c r="D94" s="3432" t="s">
        <v>2233</v>
      </c>
      <c r="E94" s="3432" t="s">
        <v>2149</v>
      </c>
      <c r="F94" s="3432">
        <v>127</v>
      </c>
      <c r="G94" s="3432" t="s">
        <v>2435</v>
      </c>
      <c r="H94" s="3790">
        <v>25.659000000000002</v>
      </c>
      <c r="I94" s="3790">
        <v>24.876000000000001</v>
      </c>
      <c r="J94" s="3790">
        <v>29.664999999999999</v>
      </c>
      <c r="K94" s="3790">
        <v>28.32</v>
      </c>
      <c r="L94" s="3790">
        <v>-18.742999999999995</v>
      </c>
      <c r="M94" s="3790">
        <v>36.462000000000003</v>
      </c>
      <c r="N94" s="3790">
        <v>36.289000000000001</v>
      </c>
      <c r="O94" s="3790">
        <v>37.835999999999999</v>
      </c>
      <c r="P94" s="3790">
        <v>35.194000000000003</v>
      </c>
      <c r="Q94" s="3790">
        <v>36.914999999999999</v>
      </c>
      <c r="R94" s="3790">
        <v>32.127000000000002</v>
      </c>
      <c r="S94" s="3790">
        <v>30.685000000000002</v>
      </c>
      <c r="T94" s="3790">
        <v>39.015999999999998</v>
      </c>
      <c r="U94" s="3790">
        <v>34.966000000000001</v>
      </c>
      <c r="V94" s="3790">
        <v>58.464000000000013</v>
      </c>
      <c r="W94" s="3790">
        <v>33.965000000000003</v>
      </c>
      <c r="X94" s="3790">
        <v>30.238000000000003</v>
      </c>
      <c r="Y94" s="3790">
        <v>29.722000000000001</v>
      </c>
      <c r="Z94" s="3790">
        <v>31.385999999999996</v>
      </c>
      <c r="AA94" s="3790">
        <v>28.570999999999998</v>
      </c>
      <c r="AB94" s="3790">
        <v>34.326000000000001</v>
      </c>
      <c r="AC94" s="3790">
        <v>41.516999999999996</v>
      </c>
      <c r="AD94" s="3790">
        <v>38.505999999999993</v>
      </c>
      <c r="AE94" s="3790">
        <v>34.205999999999996</v>
      </c>
      <c r="AF94" s="3790">
        <v>35.655999999999999</v>
      </c>
    </row>
    <row r="95" spans="1:32">
      <c r="A95" s="3432" t="str">
        <f t="shared" si="4"/>
        <v>\\DG ECFIN\Forecast\Country databases\Desk transfer databases\BE</v>
      </c>
      <c r="B95" s="3432" t="str">
        <f t="shared" si="5"/>
        <v>BE</v>
      </c>
      <c r="C95" s="3432" t="s">
        <v>2147</v>
      </c>
      <c r="D95" s="3432" t="s">
        <v>2234</v>
      </c>
      <c r="E95" s="3432" t="s">
        <v>2149</v>
      </c>
      <c r="F95" s="3432">
        <v>128</v>
      </c>
      <c r="G95" s="3432" t="s">
        <v>1121</v>
      </c>
      <c r="H95" s="3790">
        <v>1110.4411</v>
      </c>
      <c r="I95" s="3790">
        <v>1154.4629</v>
      </c>
      <c r="J95" s="3790">
        <v>1199.2837</v>
      </c>
      <c r="K95" s="3790">
        <v>1238.5681000000002</v>
      </c>
      <c r="L95" s="3790">
        <v>1245.7850000000001</v>
      </c>
      <c r="M95" s="3790">
        <v>1258.749</v>
      </c>
      <c r="N95" s="3790">
        <v>1312.4469999999999</v>
      </c>
      <c r="O95" s="3790">
        <v>1400.261</v>
      </c>
      <c r="P95" s="3790">
        <v>1470.586</v>
      </c>
      <c r="Q95" s="3790">
        <v>1541.4</v>
      </c>
      <c r="R95" s="3790">
        <v>1591.3340000000001</v>
      </c>
      <c r="S95" s="3790">
        <v>1600.0160000000001</v>
      </c>
      <c r="T95" s="3790">
        <v>1669.0350000000001</v>
      </c>
      <c r="U95" s="3790">
        <v>1785.684</v>
      </c>
      <c r="V95" s="3790">
        <v>2088.4549999999999</v>
      </c>
      <c r="W95" s="3790">
        <v>2125.0990000000002</v>
      </c>
      <c r="X95" s="3790">
        <v>2202.3069999999998</v>
      </c>
      <c r="Y95" s="3790">
        <v>2190.4960000000001</v>
      </c>
      <c r="Z95" s="3790">
        <v>2192.0037689999999</v>
      </c>
      <c r="AA95" s="3790">
        <v>2161.7751979999998</v>
      </c>
      <c r="AB95" s="3790">
        <v>2145.4731870000001</v>
      </c>
      <c r="AC95" s="3790">
        <v>2092.643114</v>
      </c>
      <c r="AD95" s="3790">
        <v>2052.0610355148251</v>
      </c>
      <c r="AE95" s="3790">
        <v>2020.8230316331337</v>
      </c>
      <c r="AF95" s="3790">
        <v>1995.7886930638981</v>
      </c>
    </row>
    <row r="96" spans="1:32">
      <c r="A96" s="3432" t="str">
        <f t="shared" si="4"/>
        <v>\\DG ECFIN\Forecast\Country databases\Desk transfer databases\BE</v>
      </c>
      <c r="B96" s="3432" t="str">
        <f t="shared" si="5"/>
        <v>BE</v>
      </c>
      <c r="C96" s="3432" t="s">
        <v>2147</v>
      </c>
      <c r="D96" s="3432" t="s">
        <v>2235</v>
      </c>
      <c r="E96" s="3432" t="s">
        <v>2149</v>
      </c>
      <c r="F96" s="3432">
        <v>129</v>
      </c>
      <c r="G96" s="3432" t="s">
        <v>1141</v>
      </c>
      <c r="H96" s="3790">
        <v>942.78499999999997</v>
      </c>
      <c r="I96" s="3790">
        <v>945.33</v>
      </c>
      <c r="J96" s="3790">
        <v>962.423</v>
      </c>
      <c r="K96" s="3790">
        <v>984.83100000000002</v>
      </c>
      <c r="L96" s="3790">
        <v>947.09799999999996</v>
      </c>
      <c r="M96" s="3790">
        <v>1022.525</v>
      </c>
      <c r="N96" s="3790">
        <v>1044.2</v>
      </c>
      <c r="O96" s="3790">
        <v>1061.5450000000001</v>
      </c>
      <c r="P96" s="3790">
        <v>1051.57</v>
      </c>
      <c r="Q96" s="3790">
        <v>1062.999</v>
      </c>
      <c r="R96" s="3790">
        <v>1069.6949999999999</v>
      </c>
      <c r="S96" s="3790">
        <v>1076.0989999999999</v>
      </c>
      <c r="T96" s="3790">
        <v>1116.223</v>
      </c>
      <c r="U96" s="3790">
        <v>1170.508</v>
      </c>
      <c r="V96" s="3790">
        <v>1219.2190000000001</v>
      </c>
      <c r="W96" s="3790">
        <v>1208.5650000000001</v>
      </c>
      <c r="X96" s="3790">
        <v>1221.7820000000002</v>
      </c>
      <c r="Y96" s="3790">
        <v>1263</v>
      </c>
      <c r="Z96" s="3790">
        <v>1291.8480000000002</v>
      </c>
      <c r="AA96" s="3790">
        <v>1332.634</v>
      </c>
      <c r="AB96" s="3790">
        <v>1386.76</v>
      </c>
      <c r="AC96" s="3790">
        <v>1439.8389999999999</v>
      </c>
      <c r="AD96" s="3790">
        <v>1485.6055828639692</v>
      </c>
      <c r="AE96" s="3790">
        <v>1548.1518373997362</v>
      </c>
      <c r="AF96" s="3790">
        <v>1612.8165445310742</v>
      </c>
    </row>
    <row r="97" spans="1:32">
      <c r="A97" s="3432" t="str">
        <f t="shared" si="4"/>
        <v>\\DG ECFIN\Forecast\Country databases\Desk transfer databases\BE</v>
      </c>
      <c r="B97" s="3432" t="str">
        <f t="shared" si="5"/>
        <v>BE</v>
      </c>
      <c r="C97" s="3432" t="s">
        <v>2147</v>
      </c>
      <c r="D97" s="3432" t="s">
        <v>2236</v>
      </c>
      <c r="E97" s="3432" t="s">
        <v>2149</v>
      </c>
      <c r="F97" s="3432">
        <v>130</v>
      </c>
      <c r="G97" s="3432" t="s">
        <v>1143</v>
      </c>
      <c r="H97" s="3790">
        <v>2.0499999999999998</v>
      </c>
      <c r="I97" s="3790">
        <v>2.0699999999999998</v>
      </c>
      <c r="J97" s="3790">
        <v>2.46</v>
      </c>
      <c r="K97" s="3790">
        <v>3.06</v>
      </c>
      <c r="L97" s="3790">
        <v>2.99</v>
      </c>
      <c r="M97" s="3790">
        <v>3.07</v>
      </c>
      <c r="N97" s="3790">
        <v>3.03</v>
      </c>
      <c r="O97" s="3790">
        <v>3.37</v>
      </c>
      <c r="P97" s="3790">
        <v>4.29</v>
      </c>
      <c r="Q97" s="3790">
        <v>4.0999999999999996</v>
      </c>
      <c r="R97" s="3790">
        <v>3.76</v>
      </c>
      <c r="S97" s="3790">
        <v>4.2</v>
      </c>
      <c r="T97" s="3790">
        <v>4.7699999999999996</v>
      </c>
      <c r="U97" s="3790">
        <v>4.54</v>
      </c>
      <c r="V97" s="3790">
        <v>4.4049999999999994</v>
      </c>
      <c r="W97" s="3790">
        <v>4.2450000000000001</v>
      </c>
      <c r="X97" s="3790">
        <v>4.3049999999999997</v>
      </c>
      <c r="Y97" s="3790">
        <v>4.6320000000000006</v>
      </c>
      <c r="Z97" s="3790">
        <v>5.452</v>
      </c>
      <c r="AA97" s="3790">
        <v>6.29</v>
      </c>
      <c r="AB97" s="3790">
        <v>7.0060000000000002</v>
      </c>
      <c r="AC97" s="3790">
        <v>6.1139999999999999</v>
      </c>
      <c r="AD97" s="3790">
        <v>5.8987999999999996</v>
      </c>
      <c r="AE97" s="3790">
        <v>6.1521600000000003</v>
      </c>
      <c r="AF97" s="3790">
        <v>6.292192</v>
      </c>
    </row>
    <row r="98" spans="1:32">
      <c r="A98" s="3432" t="str">
        <f t="shared" si="4"/>
        <v>\\DG ECFIN\Forecast\Country databases\Desk transfer databases\BE</v>
      </c>
      <c r="B98" s="3432" t="str">
        <f t="shared" si="5"/>
        <v>BE</v>
      </c>
      <c r="C98" s="3432" t="s">
        <v>2147</v>
      </c>
      <c r="D98" s="3432" t="s">
        <v>2237</v>
      </c>
      <c r="E98" s="3432" t="s">
        <v>2149</v>
      </c>
      <c r="F98" s="3432">
        <v>131</v>
      </c>
      <c r="G98" s="3432" t="s">
        <v>2238</v>
      </c>
      <c r="H98" s="3790">
        <v>3.76</v>
      </c>
      <c r="I98" s="3790">
        <v>3.98</v>
      </c>
      <c r="J98" s="3790">
        <v>3.75</v>
      </c>
      <c r="K98" s="3790">
        <v>3.6160000000000005</v>
      </c>
      <c r="L98" s="3790">
        <v>3.819</v>
      </c>
      <c r="M98" s="3790">
        <v>3.5430000000000001</v>
      </c>
      <c r="N98" s="3790">
        <v>3.2469999999999999</v>
      </c>
      <c r="O98" s="3790">
        <v>3.0489999999999999</v>
      </c>
      <c r="P98" s="3790">
        <v>3.2769999999999997</v>
      </c>
      <c r="Q98" s="3790">
        <v>3.7970000000000002</v>
      </c>
      <c r="R98" s="3790">
        <v>4.1319999999999997</v>
      </c>
      <c r="S98" s="3790">
        <v>4.2029999999999994</v>
      </c>
      <c r="T98" s="3790">
        <v>4.7249999999999996</v>
      </c>
      <c r="U98" s="3790">
        <v>3.944</v>
      </c>
      <c r="V98" s="3790">
        <v>4.165</v>
      </c>
      <c r="W98" s="3790">
        <v>4.6150000000000002</v>
      </c>
      <c r="X98" s="3790">
        <v>4.5260000000000007</v>
      </c>
      <c r="Y98" s="3790">
        <v>4.3149999999999995</v>
      </c>
      <c r="Z98" s="3790">
        <v>4.633</v>
      </c>
      <c r="AA98" s="3790">
        <v>7.0540000000000003</v>
      </c>
      <c r="AB98" s="3790">
        <v>6.9289999999999994</v>
      </c>
      <c r="AC98" s="3790">
        <v>6.77</v>
      </c>
      <c r="AD98" s="3790">
        <v>6.6146485784384463</v>
      </c>
      <c r="AE98" s="3790">
        <v>6.4628620112611177</v>
      </c>
      <c r="AF98" s="3790">
        <v>6.314558495632526</v>
      </c>
    </row>
    <row r="99" spans="1:32">
      <c r="A99" s="3432" t="str">
        <f t="shared" si="4"/>
        <v>\\DG ECFIN\Forecast\Country databases\Desk transfer databases\BE</v>
      </c>
      <c r="B99" s="3432" t="str">
        <f t="shared" si="5"/>
        <v>BE</v>
      </c>
      <c r="C99" s="3432" t="s">
        <v>2147</v>
      </c>
      <c r="D99" s="3432" t="s">
        <v>2239</v>
      </c>
      <c r="E99" s="3432" t="s">
        <v>2149</v>
      </c>
      <c r="F99" s="3432">
        <v>132</v>
      </c>
      <c r="G99" s="3432" t="s">
        <v>1145</v>
      </c>
      <c r="H99" s="3790">
        <v>65.742000000000004</v>
      </c>
      <c r="I99" s="3790">
        <v>65.599000000000004</v>
      </c>
      <c r="J99" s="3790">
        <v>66.647999999999996</v>
      </c>
      <c r="K99" s="3790">
        <v>62.790999999999997</v>
      </c>
      <c r="L99" s="3790">
        <v>66.39</v>
      </c>
      <c r="M99" s="3790">
        <v>65.510000000000005</v>
      </c>
      <c r="N99" s="3790">
        <v>65.099000000000004</v>
      </c>
      <c r="O99" s="3790">
        <v>64.623000000000005</v>
      </c>
      <c r="P99" s="3790">
        <v>63.220999999999997</v>
      </c>
      <c r="Q99" s="3790">
        <v>63.118000000000002</v>
      </c>
      <c r="R99" s="3790">
        <v>64.683999999999997</v>
      </c>
      <c r="S99" s="3790">
        <v>66.994</v>
      </c>
      <c r="T99" s="3790">
        <v>68.468999999999994</v>
      </c>
      <c r="U99" s="3790">
        <v>64.962000000000003</v>
      </c>
      <c r="V99" s="3790">
        <v>63.85</v>
      </c>
      <c r="W99" s="3790">
        <v>67.5</v>
      </c>
      <c r="X99" s="3790">
        <v>63.088000000000008</v>
      </c>
      <c r="Y99" s="3790">
        <v>55.51700000000001</v>
      </c>
      <c r="Z99" s="3790">
        <v>46.959000000000003</v>
      </c>
      <c r="AA99" s="3790">
        <v>42.322000000000003</v>
      </c>
      <c r="AB99" s="3790">
        <v>37.369999999999997</v>
      </c>
      <c r="AC99" s="3790">
        <v>33.811999999999998</v>
      </c>
      <c r="AD99" s="3790">
        <v>31.598911021400003</v>
      </c>
      <c r="AE99" s="3790">
        <v>30.575720478676967</v>
      </c>
      <c r="AF99" s="3790">
        <v>29.706121204966166</v>
      </c>
    </row>
    <row r="100" spans="1:32">
      <c r="A100" s="3432" t="str">
        <f t="shared" si="4"/>
        <v>\\DG ECFIN\Forecast\Country databases\Desk transfer databases\BE</v>
      </c>
      <c r="B100" s="3432" t="str">
        <f t="shared" si="5"/>
        <v>BE</v>
      </c>
      <c r="C100" s="3432" t="s">
        <v>2147</v>
      </c>
      <c r="D100" s="3432" t="s">
        <v>2240</v>
      </c>
      <c r="E100" s="3432" t="s">
        <v>2149</v>
      </c>
      <c r="F100" s="3432">
        <v>133</v>
      </c>
      <c r="G100" s="3432" t="s">
        <v>2241</v>
      </c>
      <c r="H100" s="3790">
        <v>5.9260000000000002</v>
      </c>
      <c r="I100" s="3790">
        <v>5.827</v>
      </c>
      <c r="J100" s="3790">
        <v>5.8810000000000002</v>
      </c>
      <c r="K100" s="3790">
        <v>5.9779999999999998</v>
      </c>
      <c r="L100" s="3790">
        <v>5.8520000000000003</v>
      </c>
      <c r="M100" s="3790">
        <v>6.1630000000000003</v>
      </c>
      <c r="N100" s="3790">
        <v>5.9830000000000005</v>
      </c>
      <c r="O100" s="3790">
        <v>6.1959999999999997</v>
      </c>
      <c r="P100" s="3790">
        <v>5.9979999999999993</v>
      </c>
      <c r="Q100" s="3790">
        <v>6.1539999999999999</v>
      </c>
      <c r="R100" s="3790">
        <v>7.5709999999999997</v>
      </c>
      <c r="S100" s="3790">
        <v>5.7569999999999997</v>
      </c>
      <c r="T100" s="3790">
        <v>5.8849999999999998</v>
      </c>
      <c r="U100" s="3790">
        <v>6.4399999999999995</v>
      </c>
      <c r="V100" s="3790">
        <v>5.6479999999999997</v>
      </c>
      <c r="W100" s="3790">
        <v>5.6590000000000007</v>
      </c>
      <c r="X100" s="3790">
        <v>5.5549999999999997</v>
      </c>
      <c r="Y100" s="3790">
        <v>5.4509999999999996</v>
      </c>
      <c r="Z100" s="3790">
        <v>5.3289999999999997</v>
      </c>
      <c r="AA100" s="3790">
        <v>4.6710000000000003</v>
      </c>
      <c r="AB100" s="3790">
        <v>5.5620000000000003</v>
      </c>
      <c r="AC100" s="3790">
        <v>5.2039999999999997</v>
      </c>
      <c r="AD100" s="3790">
        <v>4.0671471889745163</v>
      </c>
      <c r="AE100" s="3790">
        <v>3.7918261072841588</v>
      </c>
      <c r="AF100" s="3790">
        <v>3.0424960000000034</v>
      </c>
    </row>
    <row r="101" spans="1:32">
      <c r="A101" s="3432" t="str">
        <f t="shared" si="4"/>
        <v>\\DG ECFIN\Forecast\Country databases\Desk transfer databases\BE</v>
      </c>
      <c r="B101" s="3432" t="str">
        <f t="shared" si="5"/>
        <v>BE</v>
      </c>
      <c r="C101" s="3432" t="s">
        <v>2147</v>
      </c>
      <c r="D101" s="3432" t="s">
        <v>2242</v>
      </c>
      <c r="E101" s="3432" t="s">
        <v>2149</v>
      </c>
      <c r="F101" s="3432">
        <v>136</v>
      </c>
      <c r="G101" s="3432" t="s">
        <v>2029</v>
      </c>
      <c r="H101" s="3790">
        <v>1926.32</v>
      </c>
      <c r="I101" s="3790">
        <v>1967.09</v>
      </c>
      <c r="J101" s="3790">
        <v>2018.23</v>
      </c>
      <c r="K101" s="3790">
        <v>2064.88</v>
      </c>
      <c r="L101" s="3790">
        <v>2116.48</v>
      </c>
      <c r="M101" s="3790">
        <v>2179.85</v>
      </c>
      <c r="N101" s="3790">
        <v>2209.29</v>
      </c>
      <c r="O101" s="3790">
        <v>2220.08</v>
      </c>
      <c r="P101" s="3790">
        <v>2270.62</v>
      </c>
      <c r="Q101" s="3790">
        <v>2300.86</v>
      </c>
      <c r="R101" s="3790">
        <v>2393.25</v>
      </c>
      <c r="S101" s="3790">
        <v>2513.23</v>
      </c>
      <c r="T101" s="3790">
        <v>2561.7399999999998</v>
      </c>
      <c r="U101" s="3790">
        <v>2460.2800000000002</v>
      </c>
      <c r="V101" s="3790">
        <v>2580.06</v>
      </c>
      <c r="W101" s="3790">
        <v>2703.12</v>
      </c>
      <c r="X101" s="3790">
        <v>2758.26</v>
      </c>
      <c r="Y101" s="3790">
        <v>2826.24</v>
      </c>
      <c r="Z101" s="3790">
        <v>2932.47</v>
      </c>
      <c r="AA101" s="3790">
        <v>3043.65</v>
      </c>
      <c r="AB101" s="3790">
        <v>3144.05</v>
      </c>
      <c r="AC101" s="3790">
        <v>3263.35</v>
      </c>
      <c r="AD101" s="3790">
        <v>3381.0278090831816</v>
      </c>
      <c r="AE101" s="3790">
        <v>3522.2026533554713</v>
      </c>
      <c r="AF101" s="3790">
        <v>3659.809003362308</v>
      </c>
    </row>
    <row r="102" spans="1:32">
      <c r="A102" s="3432" t="str">
        <f t="shared" si="4"/>
        <v>\\DG ECFIN\Forecast\Country databases\Desk transfer databases\BE</v>
      </c>
      <c r="B102" s="3432" t="str">
        <f t="shared" si="5"/>
        <v>BE</v>
      </c>
      <c r="C102" s="3432" t="s">
        <v>2147</v>
      </c>
      <c r="D102" s="3432" t="s">
        <v>2243</v>
      </c>
      <c r="E102" s="3432" t="s">
        <v>2149</v>
      </c>
      <c r="F102" s="3432">
        <v>137</v>
      </c>
      <c r="G102" s="3432" t="s">
        <v>2030</v>
      </c>
      <c r="H102" s="3790">
        <v>-68.237000000000052</v>
      </c>
      <c r="I102" s="3790">
        <v>-57.933000000000014</v>
      </c>
      <c r="J102" s="3790">
        <v>-51.097999999999971</v>
      </c>
      <c r="K102" s="3790">
        <v>-35.066000000000088</v>
      </c>
      <c r="L102" s="3790">
        <v>18.179000000000052</v>
      </c>
      <c r="M102" s="3790">
        <v>-67.827999999999889</v>
      </c>
      <c r="N102" s="3790">
        <v>-87.138999999999811</v>
      </c>
      <c r="O102" s="3790">
        <v>-92.701999999999998</v>
      </c>
      <c r="P102" s="3790">
        <v>-84.939000000000007</v>
      </c>
      <c r="Q102" s="3790">
        <v>-78.619000000000057</v>
      </c>
      <c r="R102" s="3790">
        <v>-41.200000000000024</v>
      </c>
      <c r="S102" s="3790">
        <v>4.7059999999998183</v>
      </c>
      <c r="T102" s="3790">
        <v>-4.5309999999998283</v>
      </c>
      <c r="U102" s="3790">
        <v>-79.59</v>
      </c>
      <c r="V102" s="3790">
        <v>-108.90400000000002</v>
      </c>
      <c r="W102" s="3790">
        <v>-25.863000000000056</v>
      </c>
      <c r="X102" s="3790">
        <v>-0.9289999999999452</v>
      </c>
      <c r="Y102" s="3790">
        <v>-3.9669999999998637</v>
      </c>
      <c r="Z102" s="3790">
        <v>16.693000000000048</v>
      </c>
      <c r="AA102" s="3790">
        <v>23.856000000000051</v>
      </c>
      <c r="AB102" s="3790">
        <v>28.745999999999768</v>
      </c>
      <c r="AC102" s="3790">
        <v>34.007999999999839</v>
      </c>
      <c r="AD102" s="3790">
        <v>50.182078485174827</v>
      </c>
      <c r="AE102" s="3790">
        <v>42.038003881691296</v>
      </c>
      <c r="AF102" s="3790">
        <v>35.834338569235655</v>
      </c>
    </row>
    <row r="103" spans="1:32">
      <c r="A103" s="3432" t="str">
        <f t="shared" si="4"/>
        <v>\\DG ECFIN\Forecast\Country databases\Desk transfer databases\BE</v>
      </c>
      <c r="B103" s="3432" t="str">
        <f t="shared" si="5"/>
        <v>BE</v>
      </c>
      <c r="C103" s="3432" t="s">
        <v>2147</v>
      </c>
      <c r="D103" s="3432" t="s">
        <v>2244</v>
      </c>
      <c r="E103" s="3432" t="s">
        <v>2149</v>
      </c>
      <c r="F103" s="3432">
        <v>138</v>
      </c>
      <c r="G103" s="3432" t="s">
        <v>799</v>
      </c>
      <c r="H103" s="3790" t="s">
        <v>2180</v>
      </c>
      <c r="I103" s="3790" t="s">
        <v>2180</v>
      </c>
      <c r="J103" s="3790" t="s">
        <v>2180</v>
      </c>
      <c r="K103" s="3790" t="s">
        <v>2180</v>
      </c>
      <c r="L103" s="3790" t="s">
        <v>2180</v>
      </c>
      <c r="M103" s="3790" t="s">
        <v>2180</v>
      </c>
      <c r="N103" s="3790" t="s">
        <v>2180</v>
      </c>
      <c r="O103" s="3790" t="s">
        <v>2180</v>
      </c>
      <c r="P103" s="3790" t="s">
        <v>2180</v>
      </c>
      <c r="Q103" s="3790" t="s">
        <v>2180</v>
      </c>
      <c r="R103" s="3790" t="s">
        <v>2180</v>
      </c>
      <c r="S103" s="3790" t="s">
        <v>2180</v>
      </c>
      <c r="T103" s="3790" t="s">
        <v>2180</v>
      </c>
      <c r="U103" s="3790" t="s">
        <v>2180</v>
      </c>
      <c r="V103" s="3790" t="s">
        <v>2180</v>
      </c>
      <c r="W103" s="3790" t="s">
        <v>2180</v>
      </c>
      <c r="X103" s="3790" t="s">
        <v>2180</v>
      </c>
      <c r="Y103" s="3790" t="s">
        <v>2180</v>
      </c>
      <c r="Z103" s="3790">
        <v>0</v>
      </c>
      <c r="AA103" s="3790">
        <v>0</v>
      </c>
      <c r="AB103" s="3790">
        <v>0</v>
      </c>
      <c r="AC103" s="3790">
        <v>0</v>
      </c>
      <c r="AD103" s="3790">
        <v>0</v>
      </c>
      <c r="AE103" s="3790">
        <v>0</v>
      </c>
      <c r="AF103" s="3790">
        <v>0</v>
      </c>
    </row>
    <row r="104" spans="1:32">
      <c r="A104" s="3432" t="str">
        <f t="shared" si="4"/>
        <v>\\DG ECFIN\Forecast\Country databases\Desk transfer databases\BE</v>
      </c>
      <c r="B104" s="3432" t="str">
        <f t="shared" si="5"/>
        <v>BE</v>
      </c>
      <c r="C104" s="3432" t="s">
        <v>2147</v>
      </c>
      <c r="D104" s="3432" t="s">
        <v>2245</v>
      </c>
      <c r="E104" s="3432" t="s">
        <v>2149</v>
      </c>
      <c r="F104" s="3432">
        <v>139</v>
      </c>
      <c r="G104" s="3432" t="s">
        <v>800</v>
      </c>
      <c r="H104" s="3790" t="s">
        <v>2180</v>
      </c>
      <c r="I104" s="3790" t="s">
        <v>2180</v>
      </c>
      <c r="J104" s="3790" t="s">
        <v>2180</v>
      </c>
      <c r="K104" s="3790" t="s">
        <v>2180</v>
      </c>
      <c r="L104" s="3790" t="s">
        <v>2180</v>
      </c>
      <c r="M104" s="3790" t="s">
        <v>2180</v>
      </c>
      <c r="N104" s="3790" t="s">
        <v>2180</v>
      </c>
      <c r="O104" s="3790" t="s">
        <v>2180</v>
      </c>
      <c r="P104" s="3790" t="s">
        <v>2180</v>
      </c>
      <c r="Q104" s="3790" t="s">
        <v>2180</v>
      </c>
      <c r="R104" s="3790" t="s">
        <v>2180</v>
      </c>
      <c r="S104" s="3790" t="s">
        <v>2180</v>
      </c>
      <c r="T104" s="3790" t="s">
        <v>2180</v>
      </c>
      <c r="U104" s="3790" t="s">
        <v>2180</v>
      </c>
      <c r="V104" s="3790" t="s">
        <v>2180</v>
      </c>
      <c r="W104" s="3790" t="s">
        <v>2180</v>
      </c>
      <c r="X104" s="3790" t="s">
        <v>2180</v>
      </c>
      <c r="Y104" s="3790" t="s">
        <v>2180</v>
      </c>
      <c r="Z104" s="3790">
        <v>-9.1623900000000003</v>
      </c>
      <c r="AA104" s="3790">
        <v>-0.19317999999999999</v>
      </c>
      <c r="AB104" s="3790">
        <v>0.31239</v>
      </c>
      <c r="AC104" s="3790">
        <v>-7.2610000000000001</v>
      </c>
      <c r="AD104" s="3790">
        <v>-5.95</v>
      </c>
      <c r="AE104" s="3790">
        <v>0</v>
      </c>
      <c r="AF104" s="3790">
        <v>0</v>
      </c>
    </row>
    <row r="105" spans="1:32">
      <c r="A105" s="3432" t="str">
        <f t="shared" si="4"/>
        <v>\\DG ECFIN\Forecast\Country databases\Desk transfer databases\BE</v>
      </c>
      <c r="B105" s="3432" t="str">
        <f t="shared" si="5"/>
        <v>BE</v>
      </c>
      <c r="C105" s="3432" t="s">
        <v>2147</v>
      </c>
      <c r="D105" s="3432" t="s">
        <v>2246</v>
      </c>
      <c r="E105" s="3432" t="s">
        <v>2149</v>
      </c>
      <c r="F105" s="3432">
        <v>140</v>
      </c>
      <c r="G105" s="3432" t="s">
        <v>837</v>
      </c>
      <c r="H105" s="3790">
        <v>-1.7769999999999944</v>
      </c>
      <c r="I105" s="3790">
        <v>-5.8420000000000112</v>
      </c>
      <c r="J105" s="3790">
        <v>-13.443999999999992</v>
      </c>
      <c r="K105" s="3790">
        <v>-17.429000000000023</v>
      </c>
      <c r="L105" s="3790">
        <v>-14.063000000000002</v>
      </c>
      <c r="M105" s="3790">
        <v>-18.359000000000002</v>
      </c>
      <c r="N105" s="3790">
        <v>-26.485999999999997</v>
      </c>
      <c r="O105" s="3790">
        <v>-20.059999999999999</v>
      </c>
      <c r="P105" s="3790">
        <v>15.956000000000007</v>
      </c>
      <c r="Q105" s="3790">
        <v>20.438999999999989</v>
      </c>
      <c r="R105" s="3790">
        <v>41.225000000000037</v>
      </c>
      <c r="S105" s="3790">
        <v>36.966000000000015</v>
      </c>
      <c r="T105" s="3790">
        <v>24.703000000000014</v>
      </c>
      <c r="U105" s="3790">
        <v>55.274999999999984</v>
      </c>
      <c r="V105" s="3790">
        <v>50.831999999999972</v>
      </c>
      <c r="W105" s="3790">
        <v>68.21299999999998</v>
      </c>
      <c r="X105" s="3790">
        <v>64.686999999999998</v>
      </c>
      <c r="Y105" s="3790">
        <v>63.896999999999991</v>
      </c>
      <c r="Z105" s="3790">
        <v>57.487000000000052</v>
      </c>
      <c r="AA105" s="3790">
        <v>65.772999999999996</v>
      </c>
      <c r="AB105" s="3790">
        <v>62.655000000000008</v>
      </c>
      <c r="AC105" s="3790">
        <v>68.941999999999993</v>
      </c>
      <c r="AD105" s="3790">
        <v>71.634523459708404</v>
      </c>
      <c r="AE105" s="3790">
        <v>74.464631011140355</v>
      </c>
      <c r="AF105" s="3790">
        <v>77.690869150021783</v>
      </c>
    </row>
    <row r="106" spans="1:32">
      <c r="A106" s="3432" t="str">
        <f t="shared" si="4"/>
        <v>\\DG ECFIN\Forecast\Country databases\Desk transfer databases\BE</v>
      </c>
      <c r="B106" s="3432" t="str">
        <f t="shared" si="5"/>
        <v>BE</v>
      </c>
      <c r="C106" s="3432" t="s">
        <v>2147</v>
      </c>
      <c r="D106" s="3432" t="s">
        <v>2247</v>
      </c>
      <c r="E106" s="3432" t="s">
        <v>2149</v>
      </c>
      <c r="F106" s="3432">
        <v>141</v>
      </c>
      <c r="G106" s="3432" t="s">
        <v>838</v>
      </c>
      <c r="H106" s="3790">
        <v>-26.9</v>
      </c>
      <c r="I106" s="3790">
        <v>-27.519000000000002</v>
      </c>
      <c r="J106" s="3790">
        <v>-27.776000000000007</v>
      </c>
      <c r="K106" s="3790">
        <v>-25.970000000000002</v>
      </c>
      <c r="L106" s="3790">
        <v>-28.220000000000013</v>
      </c>
      <c r="M106" s="3790">
        <v>-26.838000000000005</v>
      </c>
      <c r="N106" s="3790">
        <v>-27.972000000000008</v>
      </c>
      <c r="O106" s="3790">
        <v>-29.543999999999986</v>
      </c>
      <c r="P106" s="3790">
        <v>-28.600000000000009</v>
      </c>
      <c r="Q106" s="3790">
        <v>-30.577000000000002</v>
      </c>
      <c r="R106" s="3790">
        <v>-29.909999999999997</v>
      </c>
      <c r="S106" s="3790">
        <v>-32.225999999999999</v>
      </c>
      <c r="T106" s="3790">
        <v>-35.167999999999999</v>
      </c>
      <c r="U106" s="3790">
        <v>-32.245000000000005</v>
      </c>
      <c r="V106" s="3790">
        <v>-36.765999999999998</v>
      </c>
      <c r="W106" s="3790">
        <v>-33.097999999999999</v>
      </c>
      <c r="X106" s="3790">
        <v>-35.688000000000009</v>
      </c>
      <c r="Y106" s="3790">
        <v>-42.650999999999996</v>
      </c>
      <c r="Z106" s="3790">
        <v>-36.936</v>
      </c>
      <c r="AA106" s="3790">
        <v>-38.305999999999997</v>
      </c>
      <c r="AB106" s="3790">
        <v>-35.722999999999999</v>
      </c>
      <c r="AC106" s="3790">
        <v>-47.802</v>
      </c>
      <c r="AD106" s="3790">
        <v>-49.230164308277544</v>
      </c>
      <c r="AE106" s="3790">
        <v>-50.869208077047134</v>
      </c>
      <c r="AF106" s="3790">
        <v>-55.240366192156806</v>
      </c>
    </row>
    <row r="107" spans="1:32">
      <c r="A107" s="3432" t="str">
        <f t="shared" si="4"/>
        <v>\\DG ECFIN\Forecast\Country databases\Desk transfer databases\BE</v>
      </c>
      <c r="B107" s="3432" t="str">
        <f t="shared" si="5"/>
        <v>BE</v>
      </c>
      <c r="C107" s="3432" t="s">
        <v>2147</v>
      </c>
      <c r="D107" s="3432" t="s">
        <v>2248</v>
      </c>
      <c r="E107" s="3432" t="s">
        <v>2149</v>
      </c>
      <c r="F107" s="3432">
        <v>142</v>
      </c>
      <c r="G107" s="3432" t="s">
        <v>1752</v>
      </c>
      <c r="H107" s="3790">
        <v>-2.194</v>
      </c>
      <c r="I107" s="3790">
        <v>-0.18299999999999983</v>
      </c>
      <c r="J107" s="3790">
        <v>-0.1290000000000005</v>
      </c>
      <c r="K107" s="3790">
        <v>-0.58099999999999996</v>
      </c>
      <c r="L107" s="3790">
        <v>5.4340000000000011</v>
      </c>
      <c r="M107" s="3790">
        <v>-3.0980000000000008</v>
      </c>
      <c r="N107" s="3790">
        <v>-4.4399999999999995</v>
      </c>
      <c r="O107" s="3790">
        <v>5.8340000000000005</v>
      </c>
      <c r="P107" s="3790">
        <v>-0.59700000000000031</v>
      </c>
      <c r="Q107" s="3790">
        <v>-1.6569999999999998</v>
      </c>
      <c r="R107" s="3790">
        <v>-0.81300000000000006</v>
      </c>
      <c r="S107" s="3790">
        <v>-1.0099999999999998</v>
      </c>
      <c r="T107" s="3790">
        <v>-2.1430000000000002</v>
      </c>
      <c r="U107" s="3790">
        <v>-1.8539999999999996</v>
      </c>
      <c r="V107" s="3790">
        <v>1.8549999999999986</v>
      </c>
      <c r="W107" s="3790">
        <v>-4.5640000000000009</v>
      </c>
      <c r="X107" s="3790">
        <v>-1.8110000000000013</v>
      </c>
      <c r="Y107" s="3790">
        <v>-2.6240000000000006</v>
      </c>
      <c r="Z107" s="3790">
        <v>-0.88600000000000056</v>
      </c>
      <c r="AA107" s="3790">
        <v>-1.7159999999999993</v>
      </c>
      <c r="AB107" s="3790">
        <v>-2.6089999999999995</v>
      </c>
      <c r="AC107" s="3790">
        <v>-6.4649999999999981</v>
      </c>
      <c r="AD107" s="3790">
        <v>-3.8999699999999979</v>
      </c>
      <c r="AE107" s="3790">
        <v>-4.4943209500000005</v>
      </c>
      <c r="AF107" s="3790">
        <v>-5.4677241862500008</v>
      </c>
    </row>
    <row r="108" spans="1:32">
      <c r="A108" s="3432" t="str">
        <f t="shared" si="4"/>
        <v>\\DG ECFIN\Forecast\Country databases\Desk transfer databases\BE</v>
      </c>
      <c r="B108" s="3432" t="str">
        <f t="shared" si="5"/>
        <v>BE</v>
      </c>
      <c r="C108" s="3432" t="s">
        <v>2147</v>
      </c>
      <c r="D108" s="3432" t="s">
        <v>2249</v>
      </c>
      <c r="E108" s="3432" t="s">
        <v>2149</v>
      </c>
      <c r="F108" s="3432">
        <v>143</v>
      </c>
      <c r="G108" s="3432" t="s">
        <v>775</v>
      </c>
      <c r="H108" s="3790">
        <v>51.578000000000003</v>
      </c>
      <c r="I108" s="3790">
        <v>51.366999999999997</v>
      </c>
      <c r="J108" s="3790">
        <v>51.112000000000002</v>
      </c>
      <c r="K108" s="3790">
        <v>51.734999999999999</v>
      </c>
      <c r="L108" s="3790">
        <v>52.164000000000001</v>
      </c>
      <c r="M108" s="3790">
        <v>55.332000000000001</v>
      </c>
      <c r="N108" s="3790">
        <v>55.923999999999999</v>
      </c>
      <c r="O108" s="3790">
        <v>57.957999999999998</v>
      </c>
      <c r="P108" s="3790">
        <v>58.356000000000002</v>
      </c>
      <c r="Q108" s="3790">
        <v>62.576999999999998</v>
      </c>
      <c r="R108" s="3790">
        <v>65.034000000000006</v>
      </c>
      <c r="S108" s="3790">
        <v>69.010000000000005</v>
      </c>
      <c r="T108" s="3790">
        <v>72.391000000000005</v>
      </c>
      <c r="U108" s="3790">
        <v>77.171999999999997</v>
      </c>
      <c r="V108" s="3790">
        <v>84.191999999999993</v>
      </c>
      <c r="W108" s="3790">
        <v>91.304000000000002</v>
      </c>
      <c r="X108" s="3790">
        <v>92.338999999999999</v>
      </c>
      <c r="Y108" s="3790">
        <v>95.912000000000006</v>
      </c>
      <c r="Z108" s="3790">
        <v>99.7</v>
      </c>
      <c r="AA108" s="3790">
        <v>102.55800000000001</v>
      </c>
      <c r="AB108" s="3790">
        <v>106.218</v>
      </c>
      <c r="AC108" s="3790">
        <v>110.80500000000001</v>
      </c>
      <c r="AD108" s="3790">
        <v>113.42995542731882</v>
      </c>
      <c r="AE108" s="3790">
        <v>116.81265384203624</v>
      </c>
      <c r="AF108" s="3790">
        <v>120.58808425657456</v>
      </c>
    </row>
    <row r="109" spans="1:32">
      <c r="A109" s="3432" t="str">
        <f t="shared" si="4"/>
        <v>\\DG ECFIN\Forecast\Country databases\Desk transfer databases\BE</v>
      </c>
      <c r="B109" s="3432" t="str">
        <f t="shared" si="5"/>
        <v>BE</v>
      </c>
      <c r="C109" s="3432" t="s">
        <v>2147</v>
      </c>
      <c r="D109" s="3432" t="s">
        <v>2250</v>
      </c>
      <c r="E109" s="3432" t="s">
        <v>2149</v>
      </c>
      <c r="F109" s="3432">
        <v>144</v>
      </c>
      <c r="G109" s="3432" t="s">
        <v>1264</v>
      </c>
      <c r="H109" s="3790">
        <v>44.210999999999999</v>
      </c>
      <c r="I109" s="3790">
        <v>44.405000000000001</v>
      </c>
      <c r="J109" s="3790">
        <v>44.508000000000003</v>
      </c>
      <c r="K109" s="3790">
        <v>44.774000000000001</v>
      </c>
      <c r="L109" s="3790">
        <v>45.52</v>
      </c>
      <c r="M109" s="3790">
        <v>46.143000000000001</v>
      </c>
      <c r="N109" s="3790">
        <v>46.688000000000002</v>
      </c>
      <c r="O109" s="3790">
        <v>47.061</v>
      </c>
      <c r="P109" s="3790">
        <v>47.695999999999998</v>
      </c>
      <c r="Q109" s="3790">
        <v>48.271000000000001</v>
      </c>
      <c r="R109" s="3790">
        <v>49.433999999999997</v>
      </c>
      <c r="S109" s="3790">
        <v>51.884999999999998</v>
      </c>
      <c r="T109" s="3790">
        <v>53.804000000000002</v>
      </c>
      <c r="U109" s="3790">
        <v>55.246000000000002</v>
      </c>
      <c r="V109" s="3790">
        <v>56.609999999999992</v>
      </c>
      <c r="W109" s="3790">
        <v>58.791000000000004</v>
      </c>
      <c r="X109" s="3790">
        <v>61.161000000000001</v>
      </c>
      <c r="Y109" s="3790">
        <v>63.241</v>
      </c>
      <c r="Z109" s="3790">
        <v>65.016999999999996</v>
      </c>
      <c r="AA109" s="3790">
        <v>66.681000000000012</v>
      </c>
      <c r="AB109" s="3790">
        <v>68.437000000000012</v>
      </c>
      <c r="AC109" s="3790">
        <v>71.364000000000004</v>
      </c>
      <c r="AD109" s="3790">
        <v>74.101811678761521</v>
      </c>
      <c r="AE109" s="3790">
        <v>76.990024127929658</v>
      </c>
      <c r="AF109" s="3790">
        <v>80.139054139777244</v>
      </c>
    </row>
    <row r="110" spans="1:32">
      <c r="A110" s="3432" t="str">
        <f t="shared" si="4"/>
        <v>\\DG ECFIN\Forecast\Country databases\Desk transfer databases\BE</v>
      </c>
      <c r="B110" s="3432" t="str">
        <f t="shared" si="5"/>
        <v>BE</v>
      </c>
      <c r="C110" s="3432" t="s">
        <v>2147</v>
      </c>
      <c r="D110" s="3432" t="s">
        <v>2251</v>
      </c>
      <c r="E110" s="3432" t="s">
        <v>2149</v>
      </c>
      <c r="F110" s="3432">
        <v>145</v>
      </c>
      <c r="G110" s="3432" t="s">
        <v>1584</v>
      </c>
      <c r="H110" s="3790">
        <v>70.994</v>
      </c>
      <c r="I110" s="3790">
        <v>70.988</v>
      </c>
      <c r="J110" s="3790">
        <v>72.522000000000006</v>
      </c>
      <c r="K110" s="3790">
        <v>77.183000000000007</v>
      </c>
      <c r="L110" s="3790">
        <v>76.549000000000007</v>
      </c>
      <c r="M110" s="3790">
        <v>80.352999999999994</v>
      </c>
      <c r="N110" s="3790">
        <v>83.075000000000003</v>
      </c>
      <c r="O110" s="3790">
        <v>83.462000000000003</v>
      </c>
      <c r="P110" s="3790">
        <v>84.373000000000005</v>
      </c>
      <c r="Q110" s="3790">
        <v>88.701999999999998</v>
      </c>
      <c r="R110" s="3790">
        <v>92.34</v>
      </c>
      <c r="S110" s="3790">
        <v>96.03</v>
      </c>
      <c r="T110" s="3790">
        <v>103.336</v>
      </c>
      <c r="U110" s="3790">
        <v>111.733</v>
      </c>
      <c r="V110" s="3790">
        <v>118.04899999999999</v>
      </c>
      <c r="W110" s="3790">
        <v>124.07599999999999</v>
      </c>
      <c r="X110" s="3790">
        <v>126.52699999999999</v>
      </c>
      <c r="Y110" s="3790">
        <v>132.994</v>
      </c>
      <c r="Z110" s="3790">
        <v>137.65699999999998</v>
      </c>
      <c r="AA110" s="3790">
        <v>143.816</v>
      </c>
      <c r="AB110" s="3790">
        <v>150.11300000000003</v>
      </c>
      <c r="AC110" s="3790">
        <v>156.26400000000001</v>
      </c>
      <c r="AD110" s="3790">
        <v>160.38240422262828</v>
      </c>
      <c r="AE110" s="3790">
        <v>167.71883407892332</v>
      </c>
      <c r="AF110" s="3790">
        <v>181.66172337443788</v>
      </c>
    </row>
    <row r="111" spans="1:32">
      <c r="A111" s="3432" t="str">
        <f t="shared" si="4"/>
        <v>\\DG ECFIN\Forecast\Country databases\Desk transfer databases\BE</v>
      </c>
      <c r="B111" s="3432" t="str">
        <f t="shared" si="5"/>
        <v>BE</v>
      </c>
      <c r="C111" s="3432" t="s">
        <v>2147</v>
      </c>
      <c r="D111" s="3432" t="s">
        <v>2252</v>
      </c>
      <c r="E111" s="3432" t="s">
        <v>2149</v>
      </c>
      <c r="F111" s="3432">
        <v>146</v>
      </c>
      <c r="G111" s="3432" t="s">
        <v>789</v>
      </c>
      <c r="H111" s="3790">
        <v>144.75</v>
      </c>
      <c r="I111" s="3790">
        <v>144.21299999999999</v>
      </c>
      <c r="J111" s="3790">
        <v>146.643</v>
      </c>
      <c r="K111" s="3790">
        <v>150.28399999999999</v>
      </c>
      <c r="L111" s="3790">
        <v>154.80699999999999</v>
      </c>
      <c r="M111" s="3790">
        <v>159.779</v>
      </c>
      <c r="N111" s="3790">
        <v>164.68700000000001</v>
      </c>
      <c r="O111" s="3790">
        <v>168.792</v>
      </c>
      <c r="P111" s="3790">
        <v>165.518</v>
      </c>
      <c r="Q111" s="3790">
        <v>169.45099999999999</v>
      </c>
      <c r="R111" s="3790">
        <v>173.65700000000001</v>
      </c>
      <c r="S111" s="3790">
        <v>180.107</v>
      </c>
      <c r="T111" s="3790">
        <v>187.41</v>
      </c>
      <c r="U111" s="3790">
        <v>198.43600000000001</v>
      </c>
      <c r="V111" s="3790">
        <v>204.36399999999998</v>
      </c>
      <c r="W111" s="3790">
        <v>209.78399999999999</v>
      </c>
      <c r="X111" s="3790">
        <v>215.26999999999998</v>
      </c>
      <c r="Y111" s="3790">
        <v>227.66400000000002</v>
      </c>
      <c r="Z111" s="3790">
        <v>239.72500000000002</v>
      </c>
      <c r="AA111" s="3790">
        <v>252.36500000000001</v>
      </c>
      <c r="AB111" s="3790">
        <v>268.42700000000002</v>
      </c>
      <c r="AC111" s="3790">
        <v>278.38099999999997</v>
      </c>
      <c r="AD111" s="3790">
        <v>286.45718577554766</v>
      </c>
      <c r="AE111" s="3790">
        <v>301.15879033434203</v>
      </c>
      <c r="AF111" s="3790">
        <v>315.42032119994292</v>
      </c>
    </row>
    <row r="112" spans="1:32">
      <c r="A112" s="3432" t="str">
        <f t="shared" si="4"/>
        <v>\\DG ECFIN\Forecast\Country databases\Desk transfer databases\BE</v>
      </c>
      <c r="B112" s="3432" t="str">
        <f t="shared" si="5"/>
        <v>BE</v>
      </c>
      <c r="C112" s="3432" t="s">
        <v>2147</v>
      </c>
      <c r="D112" s="3432" t="s">
        <v>2253</v>
      </c>
      <c r="E112" s="3432" t="s">
        <v>2149</v>
      </c>
      <c r="F112" s="3432">
        <v>147</v>
      </c>
      <c r="G112" s="3432" t="s">
        <v>78</v>
      </c>
      <c r="H112" s="3790">
        <v>231.4502134572023</v>
      </c>
      <c r="I112" s="3790">
        <v>252.34724601933701</v>
      </c>
      <c r="J112" s="3790">
        <v>275.97178293307701</v>
      </c>
      <c r="K112" s="3790">
        <v>335.24370000000005</v>
      </c>
      <c r="L112" s="3790">
        <v>387.96699999999998</v>
      </c>
      <c r="M112" s="3790">
        <v>407.59390000000002</v>
      </c>
      <c r="N112" s="3790">
        <v>414.541</v>
      </c>
      <c r="O112" s="3790">
        <v>433.1508</v>
      </c>
      <c r="P112" s="3790">
        <v>474.43079999999998</v>
      </c>
      <c r="Q112" s="3790">
        <v>503.85890000000001</v>
      </c>
      <c r="R112" s="3790">
        <v>563.91869999999994</v>
      </c>
      <c r="S112" s="3790">
        <v>626.59870000000012</v>
      </c>
      <c r="T112" s="3790">
        <v>625.58420000000001</v>
      </c>
      <c r="U112" s="3790">
        <v>502.9676</v>
      </c>
      <c r="V112" s="3790">
        <v>572.94889999999998</v>
      </c>
      <c r="W112" s="3790">
        <v>629.99490000000003</v>
      </c>
      <c r="X112" s="3790">
        <v>619.5779</v>
      </c>
      <c r="Y112" s="3790">
        <v>618.63</v>
      </c>
      <c r="Z112" s="3790">
        <v>648.59429999999998</v>
      </c>
      <c r="AA112" s="3790">
        <v>692.80819999999994</v>
      </c>
      <c r="AB112" s="3790">
        <v>705.76859999999999</v>
      </c>
      <c r="AC112" s="3790">
        <v>749.82810000000006</v>
      </c>
      <c r="AD112" s="3790">
        <v>782.53310539610573</v>
      </c>
      <c r="AE112" s="3790">
        <v>818.18431759595774</v>
      </c>
      <c r="AF112" s="3790">
        <v>842.10758669548159</v>
      </c>
    </row>
    <row r="113" spans="1:49">
      <c r="A113" s="3432" t="str">
        <f t="shared" si="4"/>
        <v>\\DG ECFIN\Forecast\Country databases\Desk transfer databases\BE</v>
      </c>
      <c r="B113" s="3432" t="str">
        <f t="shared" si="5"/>
        <v>BE</v>
      </c>
      <c r="C113" s="3432" t="s">
        <v>2147</v>
      </c>
      <c r="D113" s="3432" t="s">
        <v>2254</v>
      </c>
      <c r="E113" s="3432" t="s">
        <v>2149</v>
      </c>
      <c r="F113" s="3432">
        <v>148</v>
      </c>
      <c r="G113" s="3432" t="s">
        <v>304</v>
      </c>
      <c r="H113" s="3790">
        <v>0</v>
      </c>
      <c r="I113" s="3790">
        <v>0</v>
      </c>
      <c r="J113" s="3790">
        <v>0</v>
      </c>
      <c r="K113" s="3790">
        <v>0</v>
      </c>
      <c r="L113" s="3790">
        <v>0</v>
      </c>
      <c r="M113" s="3790">
        <v>0</v>
      </c>
      <c r="N113" s="3790">
        <v>0</v>
      </c>
      <c r="O113" s="3790">
        <v>0</v>
      </c>
      <c r="P113" s="3790">
        <v>0</v>
      </c>
      <c r="Q113" s="3790">
        <v>0</v>
      </c>
      <c r="R113" s="3790">
        <v>0</v>
      </c>
      <c r="S113" s="3790">
        <v>0</v>
      </c>
      <c r="T113" s="3790">
        <v>0</v>
      </c>
      <c r="U113" s="3790">
        <v>0</v>
      </c>
      <c r="V113" s="3790">
        <v>0</v>
      </c>
      <c r="W113" s="3790">
        <v>0</v>
      </c>
      <c r="X113" s="3790">
        <v>0</v>
      </c>
      <c r="Y113" s="3790">
        <v>0</v>
      </c>
      <c r="Z113" s="3790">
        <v>0</v>
      </c>
      <c r="AA113" s="3790">
        <v>0</v>
      </c>
      <c r="AB113" s="3790">
        <v>0</v>
      </c>
      <c r="AC113" s="3790">
        <v>0</v>
      </c>
      <c r="AD113" s="3790">
        <v>0</v>
      </c>
      <c r="AE113" s="3790">
        <v>0</v>
      </c>
      <c r="AF113" s="3790">
        <v>0</v>
      </c>
    </row>
    <row r="114" spans="1:49">
      <c r="A114" s="3432" t="str">
        <f t="shared" si="4"/>
        <v>\\DG ECFIN\Forecast\Country databases\Desk transfer databases\BE</v>
      </c>
      <c r="B114" s="3432" t="str">
        <f t="shared" si="5"/>
        <v>BE</v>
      </c>
      <c r="C114" s="3432" t="s">
        <v>2147</v>
      </c>
      <c r="D114" s="3432" t="s">
        <v>2255</v>
      </c>
      <c r="E114" s="3432" t="s">
        <v>2149</v>
      </c>
      <c r="F114" s="3432">
        <v>149</v>
      </c>
      <c r="G114" s="3432" t="s">
        <v>80</v>
      </c>
      <c r="H114" s="3790">
        <v>168.55830393030075</v>
      </c>
      <c r="I114" s="3790">
        <v>201.89886853049606</v>
      </c>
      <c r="J114" s="3790">
        <v>212.34694475031063</v>
      </c>
      <c r="K114" s="3790">
        <v>174.73839999999996</v>
      </c>
      <c r="L114" s="3790">
        <v>209.48850000000002</v>
      </c>
      <c r="M114" s="3790">
        <v>230.6876</v>
      </c>
      <c r="N114" s="3790">
        <v>236.7182</v>
      </c>
      <c r="O114" s="3790">
        <v>231.24120000000002</v>
      </c>
      <c r="P114" s="3790">
        <v>257.04820000000007</v>
      </c>
      <c r="Q114" s="3790">
        <v>276.55640000000005</v>
      </c>
      <c r="R114" s="3790">
        <v>318.61280000000005</v>
      </c>
      <c r="S114" s="3790">
        <v>337.4391</v>
      </c>
      <c r="T114" s="3790">
        <v>357.67080000000004</v>
      </c>
      <c r="U114" s="3790">
        <v>300.0440000000001</v>
      </c>
      <c r="V114" s="3790">
        <v>376.68049999999994</v>
      </c>
      <c r="W114" s="3790">
        <v>428.90240000000006</v>
      </c>
      <c r="X114" s="3790">
        <v>470.95220000000012</v>
      </c>
      <c r="Y114" s="3790">
        <v>469.44119999999987</v>
      </c>
      <c r="Z114" s="3790">
        <v>476.44000000000005</v>
      </c>
      <c r="AA114" s="3790">
        <v>503.01420000000007</v>
      </c>
      <c r="AB114" s="3790">
        <v>499.72009999999989</v>
      </c>
      <c r="AC114" s="3790">
        <v>532.0850999999999</v>
      </c>
      <c r="AD114" s="3790">
        <v>554.96475929999986</v>
      </c>
      <c r="AE114" s="3790">
        <v>578.82824394989984</v>
      </c>
      <c r="AF114" s="3790">
        <v>613.5579385868939</v>
      </c>
    </row>
    <row r="115" spans="1:49">
      <c r="A115" s="3432" t="str">
        <f t="shared" si="4"/>
        <v>\\DG ECFIN\Forecast\Country databases\Desk transfer databases\BE</v>
      </c>
      <c r="B115" s="3432" t="str">
        <f t="shared" si="5"/>
        <v>BE</v>
      </c>
      <c r="C115" s="3432" t="s">
        <v>2147</v>
      </c>
      <c r="D115" s="3432" t="s">
        <v>2256</v>
      </c>
      <c r="E115" s="3432" t="s">
        <v>2149</v>
      </c>
      <c r="F115" s="3432">
        <v>150</v>
      </c>
      <c r="G115" s="3432" t="s">
        <v>82</v>
      </c>
      <c r="H115" s="3790">
        <v>212.90146191131134</v>
      </c>
      <c r="I115" s="3790">
        <v>233.61832806020973</v>
      </c>
      <c r="J115" s="3790">
        <v>249.81934276496426</v>
      </c>
      <c r="K115" s="3790">
        <v>294.33420000000001</v>
      </c>
      <c r="L115" s="3790">
        <v>340.79509999999999</v>
      </c>
      <c r="M115" s="3790">
        <v>351.15719999999999</v>
      </c>
      <c r="N115" s="3790">
        <v>341.15920000000006</v>
      </c>
      <c r="O115" s="3790">
        <v>353.9015</v>
      </c>
      <c r="P115" s="3790">
        <v>378.35900000000004</v>
      </c>
      <c r="Q115" s="3790">
        <v>403.31</v>
      </c>
      <c r="R115" s="3790">
        <v>460.87209999999993</v>
      </c>
      <c r="S115" s="3790">
        <v>498.00820000000004</v>
      </c>
      <c r="T115" s="3790">
        <v>513.52190000000007</v>
      </c>
      <c r="U115" s="3790">
        <v>429.5104</v>
      </c>
      <c r="V115" s="3790">
        <v>503.60109999999992</v>
      </c>
      <c r="W115" s="3790">
        <v>572.52100000000007</v>
      </c>
      <c r="X115" s="3790">
        <v>571.22440000000006</v>
      </c>
      <c r="Y115" s="3790">
        <v>575.08029999999997</v>
      </c>
      <c r="Z115" s="3790">
        <v>594.81419999999991</v>
      </c>
      <c r="AA115" s="3790">
        <v>621.6219000000001</v>
      </c>
      <c r="AB115" s="3790">
        <v>632.34449999999993</v>
      </c>
      <c r="AC115" s="3790">
        <v>682.23819999999989</v>
      </c>
      <c r="AD115" s="3790">
        <v>726.3131443166526</v>
      </c>
      <c r="AE115" s="3790">
        <v>766.68285308697284</v>
      </c>
      <c r="AF115" s="3790">
        <v>807.22149301045874</v>
      </c>
    </row>
    <row r="116" spans="1:49" s="3799" customFormat="1" ht="15">
      <c r="A116" s="3793" t="str">
        <f t="shared" si="4"/>
        <v>\\DG ECFIN\Forecast\Country databases\Desk transfer databases\BE</v>
      </c>
      <c r="B116" s="3793" t="str">
        <f t="shared" si="5"/>
        <v>BE</v>
      </c>
      <c r="C116" s="3793" t="s">
        <v>2147</v>
      </c>
      <c r="D116" s="3793" t="s">
        <v>2496</v>
      </c>
      <c r="E116" s="3793" t="s">
        <v>2149</v>
      </c>
      <c r="F116" s="3793">
        <v>151</v>
      </c>
      <c r="G116" s="3793" t="s">
        <v>2610</v>
      </c>
      <c r="H116" s="3790">
        <v>-12.991</v>
      </c>
      <c r="I116" s="3790">
        <v>-9.9960000000000004</v>
      </c>
      <c r="J116" s="3790">
        <v>-14.305999999999999</v>
      </c>
      <c r="K116" s="3790">
        <v>-29.22</v>
      </c>
      <c r="L116" s="3790">
        <v>-37.03</v>
      </c>
      <c r="M116" s="3790">
        <v>-7.9109999999999996</v>
      </c>
      <c r="N116" s="3790">
        <v>41.655000000000001</v>
      </c>
      <c r="O116" s="3790">
        <v>31.347000000000001</v>
      </c>
      <c r="P116" s="3790">
        <v>101.20399999999999</v>
      </c>
      <c r="Q116" s="3790">
        <v>105.73</v>
      </c>
      <c r="R116" s="3790">
        <v>135.96</v>
      </c>
      <c r="S116" s="3790">
        <v>169.636</v>
      </c>
      <c r="T116" s="3790">
        <v>143.31800000000001</v>
      </c>
      <c r="U116" s="3790">
        <v>141.23400000000001</v>
      </c>
      <c r="V116" s="3790">
        <v>144.88999999999999</v>
      </c>
      <c r="W116" s="3790">
        <v>165.077</v>
      </c>
      <c r="X116" s="3790">
        <v>193.589</v>
      </c>
      <c r="Y116" s="3790">
        <v>190.09100000000001</v>
      </c>
      <c r="Z116" s="3790">
        <v>218.959</v>
      </c>
      <c r="AA116" s="3790">
        <v>271.39400000000001</v>
      </c>
      <c r="AB116" s="3790">
        <v>268.81099999999998</v>
      </c>
      <c r="AC116" s="3790">
        <v>262.47399999999999</v>
      </c>
      <c r="AD116" s="3790">
        <v>267.59447345047613</v>
      </c>
      <c r="AE116" s="3790">
        <v>269.46730588274022</v>
      </c>
      <c r="AF116" s="3790">
        <v>267.05901133440926</v>
      </c>
      <c r="AG116" s="3794"/>
      <c r="AH116" s="3794"/>
      <c r="AI116" s="3794"/>
      <c r="AJ116" s="3794"/>
      <c r="AK116" s="3795"/>
      <c r="AL116" s="3796"/>
      <c r="AM116" s="3797"/>
      <c r="AN116" s="3797"/>
      <c r="AO116" s="3798"/>
      <c r="AP116" s="3798"/>
      <c r="AQ116" s="3798"/>
      <c r="AR116" s="3798"/>
      <c r="AS116" s="3798"/>
      <c r="AT116" s="3798"/>
      <c r="AU116" s="3798"/>
      <c r="AV116" s="3798"/>
      <c r="AW116" s="3798"/>
    </row>
    <row r="117" spans="1:49">
      <c r="A117" s="3432" t="str">
        <f t="shared" si="4"/>
        <v>\\DG ECFIN\Forecast\Country databases\Desk transfer databases\BE</v>
      </c>
      <c r="B117" s="3432" t="str">
        <f t="shared" si="5"/>
        <v>BE</v>
      </c>
      <c r="C117" s="3432" t="s">
        <v>2147</v>
      </c>
      <c r="D117" s="3432" t="s">
        <v>2257</v>
      </c>
      <c r="E117" s="3432" t="s">
        <v>2149</v>
      </c>
      <c r="F117" s="3432">
        <v>152</v>
      </c>
      <c r="G117" s="3432" t="s">
        <v>84</v>
      </c>
      <c r="H117" s="3790">
        <v>133.45515482531709</v>
      </c>
      <c r="I117" s="3790">
        <v>161.14719612849788</v>
      </c>
      <c r="J117" s="3790">
        <v>173.59037310349063</v>
      </c>
      <c r="K117" s="3790">
        <v>150.446</v>
      </c>
      <c r="L117" s="3790">
        <v>197.53059999999996</v>
      </c>
      <c r="M117" s="3790">
        <v>191.62900000000002</v>
      </c>
      <c r="N117" s="3790">
        <v>177.32889999999998</v>
      </c>
      <c r="O117" s="3790">
        <v>180.5861000000001</v>
      </c>
      <c r="P117" s="3790">
        <v>197.0423000000001</v>
      </c>
      <c r="Q117" s="3790">
        <v>221.2963</v>
      </c>
      <c r="R117" s="3790">
        <v>261.23959999999994</v>
      </c>
      <c r="S117" s="3790">
        <v>271.7713</v>
      </c>
      <c r="T117" s="3790">
        <v>292.2079</v>
      </c>
      <c r="U117" s="3790">
        <v>234.63290000000003</v>
      </c>
      <c r="V117" s="3790">
        <v>292.06450000000007</v>
      </c>
      <c r="W117" s="3790">
        <v>328.96569999999986</v>
      </c>
      <c r="X117" s="3790">
        <v>327.63329999999985</v>
      </c>
      <c r="Y117" s="3790">
        <v>314.33530000000007</v>
      </c>
      <c r="Z117" s="3790">
        <v>313.76030000000009</v>
      </c>
      <c r="AA117" s="3790">
        <v>326.00490000000002</v>
      </c>
      <c r="AB117" s="3790">
        <v>321.41649999999993</v>
      </c>
      <c r="AC117" s="3790">
        <v>350.89150000000012</v>
      </c>
      <c r="AD117" s="3790">
        <v>370.90348580356408</v>
      </c>
      <c r="AE117" s="3790">
        <v>388.7173701330201</v>
      </c>
      <c r="AF117" s="3790">
        <v>406.34193648964907</v>
      </c>
    </row>
    <row r="118" spans="1:49">
      <c r="A118" s="3432" t="str">
        <f t="shared" si="4"/>
        <v>\\DG ECFIN\Forecast\Country databases\Desk transfer databases\BE</v>
      </c>
      <c r="B118" s="3432" t="str">
        <f t="shared" si="5"/>
        <v>BE</v>
      </c>
      <c r="C118" s="3432" t="s">
        <v>2147</v>
      </c>
      <c r="D118" s="3432" t="s">
        <v>2258</v>
      </c>
      <c r="E118" s="3432" t="s">
        <v>2149</v>
      </c>
      <c r="F118" s="3432">
        <v>153</v>
      </c>
      <c r="G118" s="3432" t="s">
        <v>1230</v>
      </c>
      <c r="H118" s="3790" t="s">
        <v>2180</v>
      </c>
      <c r="I118" s="3790" t="s">
        <v>2180</v>
      </c>
      <c r="J118" s="3790" t="s">
        <v>2180</v>
      </c>
      <c r="K118" s="3790" t="s">
        <v>2180</v>
      </c>
      <c r="L118" s="3790" t="s">
        <v>2180</v>
      </c>
      <c r="M118" s="3790" t="s">
        <v>2180</v>
      </c>
      <c r="N118" s="3790" t="s">
        <v>2180</v>
      </c>
      <c r="O118" s="3790" t="s">
        <v>2180</v>
      </c>
      <c r="P118" s="3790" t="s">
        <v>2180</v>
      </c>
      <c r="Q118" s="3790" t="s">
        <v>2180</v>
      </c>
      <c r="R118" s="3790" t="s">
        <v>2180</v>
      </c>
      <c r="S118" s="3790" t="s">
        <v>2180</v>
      </c>
      <c r="T118" s="3792" t="s">
        <v>2180</v>
      </c>
      <c r="U118" s="3792" t="s">
        <v>2180</v>
      </c>
      <c r="V118" s="3792" t="s">
        <v>2180</v>
      </c>
      <c r="W118" s="3792" t="s">
        <v>2180</v>
      </c>
      <c r="X118" s="3792" t="s">
        <v>2180</v>
      </c>
      <c r="Y118" s="3792" t="s">
        <v>2180</v>
      </c>
      <c r="Z118" s="3792">
        <v>11.285489999999999</v>
      </c>
      <c r="AA118" s="3792">
        <v>11.490790000000001</v>
      </c>
      <c r="AB118" s="3792">
        <v>1.3278799999999999</v>
      </c>
      <c r="AC118" s="3792">
        <v>8.6073900000000005</v>
      </c>
      <c r="AD118" s="3792">
        <v>9.6000000000000002E-2</v>
      </c>
      <c r="AE118" s="3792">
        <v>0.29899999999999999</v>
      </c>
      <c r="AF118" s="3792">
        <v>0.05</v>
      </c>
    </row>
    <row r="119" spans="1:49">
      <c r="A119" s="3432" t="str">
        <f t="shared" si="4"/>
        <v>\\DG ECFIN\Forecast\Country databases\Desk transfer databases\BE</v>
      </c>
      <c r="B119" s="3432" t="str">
        <f t="shared" si="5"/>
        <v>BE</v>
      </c>
      <c r="C119" s="3432" t="s">
        <v>2147</v>
      </c>
      <c r="D119" s="3432" t="s">
        <v>2259</v>
      </c>
      <c r="E119" s="3432" t="s">
        <v>2149</v>
      </c>
      <c r="F119" s="3432">
        <v>154</v>
      </c>
      <c r="G119" s="3432" t="s">
        <v>1277</v>
      </c>
      <c r="H119" s="3790" t="s">
        <v>2180</v>
      </c>
      <c r="I119" s="3790" t="s">
        <v>2180</v>
      </c>
      <c r="J119" s="3790" t="s">
        <v>2180</v>
      </c>
      <c r="K119" s="3790" t="s">
        <v>2180</v>
      </c>
      <c r="L119" s="3790" t="s">
        <v>2180</v>
      </c>
      <c r="M119" s="3790" t="s">
        <v>2180</v>
      </c>
      <c r="N119" s="3790" t="s">
        <v>2180</v>
      </c>
      <c r="O119" s="3790" t="s">
        <v>2180</v>
      </c>
      <c r="P119" s="3790" t="s">
        <v>2180</v>
      </c>
      <c r="Q119" s="3790" t="s">
        <v>2180</v>
      </c>
      <c r="R119" s="3790" t="s">
        <v>2180</v>
      </c>
      <c r="S119" s="3790" t="s">
        <v>2180</v>
      </c>
      <c r="T119" s="3790" t="s">
        <v>2180</v>
      </c>
      <c r="U119" s="3790" t="s">
        <v>2180</v>
      </c>
      <c r="V119" s="3790" t="s">
        <v>2180</v>
      </c>
      <c r="W119" s="3790" t="s">
        <v>2180</v>
      </c>
      <c r="X119" s="3790" t="s">
        <v>2180</v>
      </c>
      <c r="Y119" s="3790" t="s">
        <v>2180</v>
      </c>
      <c r="Z119" s="3790">
        <v>-1.671</v>
      </c>
      <c r="AA119" s="3790">
        <v>0.45051000000000002</v>
      </c>
      <c r="AB119" s="3790">
        <v>-4.6500000000000004</v>
      </c>
      <c r="AC119" s="3790">
        <v>0.81200000000000006</v>
      </c>
      <c r="AD119" s="3790">
        <v>-6.032</v>
      </c>
      <c r="AE119" s="3790">
        <v>-2.0169999999999999</v>
      </c>
      <c r="AF119" s="3790">
        <v>-0.01</v>
      </c>
    </row>
    <row r="120" spans="1:49">
      <c r="A120" s="3432" t="str">
        <f t="shared" si="4"/>
        <v>\\DG ECFIN\Forecast\Country databases\Desk transfer databases\BE</v>
      </c>
      <c r="B120" s="3432" t="str">
        <f t="shared" si="5"/>
        <v>BE</v>
      </c>
      <c r="C120" s="3432" t="s">
        <v>2147</v>
      </c>
      <c r="D120" s="3432" t="s">
        <v>2260</v>
      </c>
      <c r="E120" s="3432" t="s">
        <v>2149</v>
      </c>
      <c r="F120" s="3432">
        <v>155</v>
      </c>
      <c r="G120" s="3432" t="s">
        <v>1278</v>
      </c>
      <c r="H120" s="3790" t="s">
        <v>2180</v>
      </c>
      <c r="I120" s="3790" t="s">
        <v>2180</v>
      </c>
      <c r="J120" s="3790" t="s">
        <v>2180</v>
      </c>
      <c r="K120" s="3790" t="s">
        <v>2180</v>
      </c>
      <c r="L120" s="3790" t="s">
        <v>2180</v>
      </c>
      <c r="M120" s="3790" t="s">
        <v>2180</v>
      </c>
      <c r="N120" s="3790" t="s">
        <v>2180</v>
      </c>
      <c r="O120" s="3790" t="s">
        <v>2180</v>
      </c>
      <c r="P120" s="3790" t="s">
        <v>2180</v>
      </c>
      <c r="Q120" s="3790" t="s">
        <v>2180</v>
      </c>
      <c r="R120" s="3790" t="s">
        <v>2180</v>
      </c>
      <c r="S120" s="3790" t="s">
        <v>2180</v>
      </c>
      <c r="T120" s="3790" t="s">
        <v>2180</v>
      </c>
      <c r="U120" s="3790" t="s">
        <v>2180</v>
      </c>
      <c r="V120" s="3790" t="s">
        <v>2180</v>
      </c>
      <c r="W120" s="3790" t="s">
        <v>2180</v>
      </c>
      <c r="X120" s="3790" t="s">
        <v>2180</v>
      </c>
      <c r="Y120" s="3790" t="s">
        <v>2180</v>
      </c>
      <c r="Z120" s="3790">
        <v>11.16</v>
      </c>
      <c r="AA120" s="3790">
        <v>-8.1150000000000002</v>
      </c>
      <c r="AB120" s="3790">
        <v>4.8273299999999999</v>
      </c>
      <c r="AC120" s="3790">
        <v>8.5609999999999999</v>
      </c>
      <c r="AD120" s="3790">
        <v>-0.26100000000000001</v>
      </c>
      <c r="AE120" s="3790">
        <v>-10.35833</v>
      </c>
      <c r="AF120" s="3790">
        <v>-0.92500000000000004</v>
      </c>
    </row>
    <row r="121" spans="1:49">
      <c r="A121" s="3432" t="str">
        <f t="shared" si="4"/>
        <v>\\DG ECFIN\Forecast\Country databases\Desk transfer databases\BE</v>
      </c>
      <c r="B121" s="3432" t="str">
        <f t="shared" si="5"/>
        <v>BE</v>
      </c>
      <c r="C121" s="3432" t="s">
        <v>2147</v>
      </c>
      <c r="D121" s="3432" t="s">
        <v>2261</v>
      </c>
      <c r="E121" s="3432" t="s">
        <v>2149</v>
      </c>
      <c r="F121" s="3432">
        <v>156</v>
      </c>
      <c r="G121" s="3432" t="s">
        <v>1279</v>
      </c>
      <c r="H121" s="3790" t="s">
        <v>2180</v>
      </c>
      <c r="I121" s="3790" t="s">
        <v>2180</v>
      </c>
      <c r="J121" s="3790" t="s">
        <v>2180</v>
      </c>
      <c r="K121" s="3790" t="s">
        <v>2180</v>
      </c>
      <c r="L121" s="3790" t="s">
        <v>2180</v>
      </c>
      <c r="M121" s="3790" t="s">
        <v>2180</v>
      </c>
      <c r="N121" s="3790" t="s">
        <v>2180</v>
      </c>
      <c r="O121" s="3790" t="s">
        <v>2180</v>
      </c>
      <c r="P121" s="3790" t="s">
        <v>2180</v>
      </c>
      <c r="Q121" s="3790" t="s">
        <v>2180</v>
      </c>
      <c r="R121" s="3790" t="s">
        <v>2180</v>
      </c>
      <c r="S121" s="3790" t="s">
        <v>2180</v>
      </c>
      <c r="T121" s="3790" t="s">
        <v>2180</v>
      </c>
      <c r="U121" s="3790" t="s">
        <v>2180</v>
      </c>
      <c r="V121" s="3790" t="s">
        <v>2180</v>
      </c>
      <c r="W121" s="3790" t="s">
        <v>2180</v>
      </c>
      <c r="X121" s="3790" t="s">
        <v>2180</v>
      </c>
      <c r="Y121" s="3790" t="s">
        <v>2180</v>
      </c>
      <c r="Z121" s="3790">
        <v>0</v>
      </c>
      <c r="AA121" s="3790">
        <v>0</v>
      </c>
      <c r="AB121" s="3790">
        <v>0.01</v>
      </c>
      <c r="AC121" s="3790">
        <v>7.4999999999999997E-2</v>
      </c>
      <c r="AD121" s="3790">
        <v>0.06</v>
      </c>
      <c r="AE121" s="3790">
        <v>0.03</v>
      </c>
      <c r="AF121" s="3790">
        <v>2.5000000000000001E-2</v>
      </c>
    </row>
    <row r="122" spans="1:49">
      <c r="A122" s="3432" t="str">
        <f t="shared" si="4"/>
        <v>\\DG ECFIN\Forecast\Country databases\Desk transfer databases\BE</v>
      </c>
      <c r="B122" s="3432" t="str">
        <f t="shared" si="5"/>
        <v>BE</v>
      </c>
      <c r="C122" s="3432" t="s">
        <v>2147</v>
      </c>
      <c r="D122" s="3432" t="s">
        <v>2262</v>
      </c>
      <c r="E122" s="3432" t="s">
        <v>2363</v>
      </c>
      <c r="F122" s="3432">
        <v>158</v>
      </c>
      <c r="G122" s="3432" t="s">
        <v>2263</v>
      </c>
      <c r="H122" s="3790" t="s">
        <v>2180</v>
      </c>
      <c r="I122" s="3790" t="s">
        <v>2180</v>
      </c>
      <c r="J122" s="3790">
        <v>0.18405881342060501</v>
      </c>
      <c r="K122" s="3790">
        <v>0.18566778262092126</v>
      </c>
      <c r="L122" s="3790">
        <v>0.18776482415846957</v>
      </c>
      <c r="M122" s="3790">
        <v>0.18903437872517642</v>
      </c>
      <c r="N122" s="3790">
        <v>0.18954529374777268</v>
      </c>
      <c r="O122" s="3790">
        <v>0.18815239152367944</v>
      </c>
      <c r="P122" s="3790">
        <v>0.18607291908174362</v>
      </c>
      <c r="Q122" s="3790">
        <v>0.18458079186849197</v>
      </c>
      <c r="R122" s="3790">
        <v>0.18364483636160306</v>
      </c>
      <c r="S122" s="3790">
        <v>0.18621279712160665</v>
      </c>
      <c r="T122" s="3790">
        <v>0.18961274191687943</v>
      </c>
      <c r="U122" s="3790">
        <v>0.193795957898278</v>
      </c>
      <c r="V122" s="3790">
        <v>0.19664086854372453</v>
      </c>
      <c r="W122" s="3790">
        <v>0.19735683611467569</v>
      </c>
      <c r="X122" s="3790">
        <v>0.19787088813742498</v>
      </c>
      <c r="Y122" s="3790">
        <v>0.19801096369440932</v>
      </c>
      <c r="Z122" s="3790">
        <v>0.19933095579132268</v>
      </c>
      <c r="AA122" s="3790">
        <v>0.20024340730889406</v>
      </c>
      <c r="AB122" s="3790">
        <v>0.20159017757076791</v>
      </c>
      <c r="AC122" s="3790">
        <v>0.20279235652956559</v>
      </c>
      <c r="AD122" s="3790">
        <v>0.20333906375509891</v>
      </c>
      <c r="AE122" s="3790">
        <v>0.20247994861195884</v>
      </c>
      <c r="AF122" s="3790">
        <v>0.20139361199328029</v>
      </c>
    </row>
    <row r="123" spans="1:49">
      <c r="A123" s="3432" t="str">
        <f t="shared" si="4"/>
        <v>\\DG ECFIN\Forecast\Country databases\Desk transfer databases\BE</v>
      </c>
      <c r="B123" s="3432" t="str">
        <f t="shared" si="5"/>
        <v>BE</v>
      </c>
      <c r="C123" s="3432" t="s">
        <v>2147</v>
      </c>
      <c r="D123" s="3432" t="s">
        <v>2264</v>
      </c>
      <c r="E123" s="3432" t="s">
        <v>2363</v>
      </c>
      <c r="F123" s="3432">
        <v>159</v>
      </c>
      <c r="G123" s="3432" t="s">
        <v>2265</v>
      </c>
      <c r="H123" s="3790" t="s">
        <v>2180</v>
      </c>
      <c r="I123" s="3790" t="s">
        <v>2180</v>
      </c>
      <c r="J123" s="3790">
        <v>0.11554536348802052</v>
      </c>
      <c r="K123" s="3790">
        <v>0.11669448816280868</v>
      </c>
      <c r="L123" s="3790">
        <v>0.11878248091498231</v>
      </c>
      <c r="M123" s="3790">
        <v>0.11768197713887957</v>
      </c>
      <c r="N123" s="3790">
        <v>0.114755311106107</v>
      </c>
      <c r="O123" s="3790">
        <v>0.11048759568744537</v>
      </c>
      <c r="P123" s="3790">
        <v>0.10500548544471039</v>
      </c>
      <c r="Q123" s="3790">
        <v>0.10416278399296974</v>
      </c>
      <c r="R123" s="3790">
        <v>0.10623326290321415</v>
      </c>
      <c r="S123" s="3790">
        <v>0.10933581582166955</v>
      </c>
      <c r="T123" s="3790">
        <v>0.11380036872369012</v>
      </c>
      <c r="U123" s="3790">
        <v>0.11538972569749321</v>
      </c>
      <c r="V123" s="3790">
        <v>0.1137077036429676</v>
      </c>
      <c r="W123" s="3790">
        <v>0.11218952722998216</v>
      </c>
      <c r="X123" s="3790">
        <v>0.11115851375854188</v>
      </c>
      <c r="Y123" s="3790">
        <v>0.11337032078301225</v>
      </c>
      <c r="Z123" s="3790">
        <v>0.11689994850469425</v>
      </c>
      <c r="AA123" s="3790">
        <v>0.11972256405303412</v>
      </c>
      <c r="AB123" s="3790">
        <v>0.12214613986851765</v>
      </c>
      <c r="AC123" s="3790">
        <v>0.12415683670504765</v>
      </c>
      <c r="AD123" s="3790">
        <v>0.12669007478385555</v>
      </c>
      <c r="AE123" s="3790">
        <v>0.12879294649348969</v>
      </c>
      <c r="AF123" s="3790">
        <v>0.13007172431575284</v>
      </c>
    </row>
    <row r="124" spans="1:49">
      <c r="A124" s="3432" t="str">
        <f t="shared" si="4"/>
        <v>\\DG ECFIN\Forecast\Country databases\Desk transfer databases\BE</v>
      </c>
      <c r="B124" s="3432" t="str">
        <f t="shared" si="5"/>
        <v>BE</v>
      </c>
      <c r="C124" s="3432" t="s">
        <v>2147</v>
      </c>
      <c r="D124" s="3432" t="s">
        <v>2266</v>
      </c>
      <c r="E124" s="3432" t="s">
        <v>2363</v>
      </c>
      <c r="F124" s="3432">
        <v>160</v>
      </c>
      <c r="G124" s="3432" t="s">
        <v>2267</v>
      </c>
      <c r="H124" s="3790" t="s">
        <v>2180</v>
      </c>
      <c r="I124" s="3790" t="s">
        <v>2180</v>
      </c>
      <c r="J124" s="3790">
        <v>0.35370219907356676</v>
      </c>
      <c r="K124" s="3790">
        <v>0.35742963519971094</v>
      </c>
      <c r="L124" s="3790">
        <v>0.35457435924234604</v>
      </c>
      <c r="M124" s="3790">
        <v>0.34911091479144168</v>
      </c>
      <c r="N124" s="3790">
        <v>0.34527548454157558</v>
      </c>
      <c r="O124" s="3790">
        <v>0.34409891384733843</v>
      </c>
      <c r="P124" s="3790">
        <v>0.34602997065217117</v>
      </c>
      <c r="Q124" s="3790">
        <v>0.34786007157201743</v>
      </c>
      <c r="R124" s="3790">
        <v>0.34851041623163365</v>
      </c>
      <c r="S124" s="3790">
        <v>0.34559213651052834</v>
      </c>
      <c r="T124" s="3790">
        <v>0.34142893668462437</v>
      </c>
      <c r="U124" s="3790">
        <v>0.33763084970519608</v>
      </c>
      <c r="V124" s="3790">
        <v>0.33402226367818022</v>
      </c>
      <c r="W124" s="3790">
        <v>0.33227150868475941</v>
      </c>
      <c r="X124" s="3790">
        <v>0.33098287860456832</v>
      </c>
      <c r="Y124" s="3790">
        <v>0.3290172832115511</v>
      </c>
      <c r="Z124" s="3790">
        <v>0.32715536873866052</v>
      </c>
      <c r="AA124" s="3790">
        <v>0.325736650897539</v>
      </c>
      <c r="AB124" s="3790">
        <v>0.32588306694705632</v>
      </c>
      <c r="AC124" s="3790">
        <v>0.32667910912044706</v>
      </c>
      <c r="AD124" s="3790">
        <v>0.32744690359681766</v>
      </c>
      <c r="AE124" s="3790">
        <v>0.32831764920321083</v>
      </c>
      <c r="AF124" s="3790">
        <v>0.3288879462912383</v>
      </c>
    </row>
    <row r="125" spans="1:49">
      <c r="A125" s="3432" t="str">
        <f t="shared" si="4"/>
        <v>\\DG ECFIN\Forecast\Country databases\Desk transfer databases\BE</v>
      </c>
      <c r="B125" s="3432" t="str">
        <f t="shared" si="5"/>
        <v>BE</v>
      </c>
      <c r="C125" s="3432" t="s">
        <v>2147</v>
      </c>
      <c r="D125" s="3432" t="s">
        <v>2268</v>
      </c>
      <c r="E125" s="3432" t="s">
        <v>2363</v>
      </c>
      <c r="F125" s="3432">
        <v>161</v>
      </c>
      <c r="G125" s="3432" t="s">
        <v>808</v>
      </c>
      <c r="H125" s="3790">
        <v>337.21</v>
      </c>
      <c r="I125" s="3790">
        <v>336.44</v>
      </c>
      <c r="J125" s="3790">
        <v>332.65</v>
      </c>
      <c r="K125" s="3790">
        <v>335.1</v>
      </c>
      <c r="L125" s="3790">
        <v>325.39</v>
      </c>
      <c r="M125" s="3790">
        <v>309.72000000000003</v>
      </c>
      <c r="N125" s="3790">
        <v>307.69</v>
      </c>
      <c r="O125" s="3790">
        <v>303.47000000000003</v>
      </c>
      <c r="P125" s="3790">
        <v>299.43</v>
      </c>
      <c r="Q125" s="3790">
        <v>295.49</v>
      </c>
      <c r="R125" s="3790">
        <v>288.85000000000002</v>
      </c>
      <c r="S125" s="3790">
        <v>286.38</v>
      </c>
      <c r="T125" s="3790">
        <v>278.18</v>
      </c>
      <c r="U125" s="3790">
        <v>276.95999999999998</v>
      </c>
      <c r="V125" s="3790">
        <v>275.97000000000003</v>
      </c>
      <c r="W125" s="3790">
        <v>272.58999999999997</v>
      </c>
      <c r="X125" s="3790">
        <v>270.41000000000003</v>
      </c>
      <c r="Y125" s="3790">
        <v>263.85000000000002</v>
      </c>
      <c r="Z125" s="3790">
        <v>263.18</v>
      </c>
      <c r="AA125" s="3790">
        <v>266.94</v>
      </c>
      <c r="AB125" s="3790">
        <v>269.89</v>
      </c>
      <c r="AC125" s="3790">
        <v>268.92</v>
      </c>
      <c r="AD125" s="3790">
        <v>268.42</v>
      </c>
      <c r="AE125" s="3790">
        <v>268.42</v>
      </c>
      <c r="AF125" s="3790">
        <v>268.42</v>
      </c>
    </row>
    <row r="126" spans="1:49">
      <c r="A126" s="3432" t="str">
        <f t="shared" si="4"/>
        <v>\\DG ECFIN\Forecast\Country databases\Desk transfer databases\BE</v>
      </c>
      <c r="B126" s="3432" t="str">
        <f t="shared" si="5"/>
        <v>BE</v>
      </c>
      <c r="C126" s="3432" t="s">
        <v>2147</v>
      </c>
      <c r="D126" s="3432" t="s">
        <v>2269</v>
      </c>
      <c r="E126" s="3432" t="s">
        <v>2363</v>
      </c>
      <c r="F126" s="3432">
        <v>162</v>
      </c>
      <c r="G126" s="3432" t="s">
        <v>809</v>
      </c>
      <c r="H126" s="3790">
        <v>103.33</v>
      </c>
      <c r="I126" s="3790">
        <v>105.35</v>
      </c>
      <c r="J126" s="3790">
        <v>104.29</v>
      </c>
      <c r="K126" s="3790">
        <v>98.55</v>
      </c>
      <c r="L126" s="3790">
        <v>88.42</v>
      </c>
      <c r="M126" s="3790">
        <v>95.35</v>
      </c>
      <c r="N126" s="3790">
        <v>91.72</v>
      </c>
      <c r="O126" s="3790">
        <v>94.46</v>
      </c>
      <c r="P126" s="3790">
        <v>96.71</v>
      </c>
      <c r="Q126" s="3790">
        <v>99.08</v>
      </c>
      <c r="R126" s="3790">
        <v>110.9</v>
      </c>
      <c r="S126" s="3790">
        <v>112.34</v>
      </c>
      <c r="T126" s="3790">
        <v>118.89</v>
      </c>
      <c r="U126" s="3790">
        <v>116.59</v>
      </c>
      <c r="V126" s="3790">
        <v>115.83</v>
      </c>
      <c r="W126" s="3790">
        <v>123.04</v>
      </c>
      <c r="X126" s="3790">
        <v>125.51</v>
      </c>
      <c r="Y126" s="3790">
        <v>123.95</v>
      </c>
      <c r="Z126" s="3790">
        <v>119.38</v>
      </c>
      <c r="AA126" s="3790">
        <v>117.76</v>
      </c>
      <c r="AB126" s="3790">
        <v>103.55</v>
      </c>
      <c r="AC126" s="3790">
        <v>105.14</v>
      </c>
      <c r="AD126" s="3790">
        <v>104.1</v>
      </c>
      <c r="AE126" s="3790">
        <v>104.1</v>
      </c>
      <c r="AF126" s="3790">
        <v>104.1</v>
      </c>
    </row>
    <row r="127" spans="1:49">
      <c r="A127" s="3432" t="str">
        <f t="shared" si="4"/>
        <v>\\DG ECFIN\Forecast\Country databases\Desk transfer databases\BE</v>
      </c>
      <c r="B127" s="3432" t="str">
        <f t="shared" si="5"/>
        <v>BE</v>
      </c>
      <c r="C127" s="3432" t="s">
        <v>2147</v>
      </c>
      <c r="D127" s="3432" t="s">
        <v>2270</v>
      </c>
      <c r="E127" s="3432" t="s">
        <v>2363</v>
      </c>
      <c r="F127" s="3432">
        <v>163</v>
      </c>
      <c r="G127" s="3432" t="s">
        <v>810</v>
      </c>
      <c r="H127" s="3790">
        <v>135.65</v>
      </c>
      <c r="I127" s="3790">
        <v>135.97999999999999</v>
      </c>
      <c r="J127" s="3790">
        <v>135.57</v>
      </c>
      <c r="K127" s="3790">
        <v>136.85</v>
      </c>
      <c r="L127" s="3790">
        <v>112.6</v>
      </c>
      <c r="M127" s="3790">
        <v>108.48</v>
      </c>
      <c r="N127" s="3790">
        <v>109.82</v>
      </c>
      <c r="O127" s="3790">
        <v>110.52</v>
      </c>
      <c r="P127" s="3790">
        <v>111.97</v>
      </c>
      <c r="Q127" s="3790">
        <v>115.44</v>
      </c>
      <c r="R127" s="3790">
        <v>115.32</v>
      </c>
      <c r="S127" s="3790">
        <v>116.41</v>
      </c>
      <c r="T127" s="3790">
        <v>115.01</v>
      </c>
      <c r="U127" s="3790">
        <v>115.26</v>
      </c>
      <c r="V127" s="3790">
        <v>114.27</v>
      </c>
      <c r="W127" s="3790">
        <v>113.35</v>
      </c>
      <c r="X127" s="3790">
        <v>106.64</v>
      </c>
      <c r="Y127" s="3790">
        <v>111.18</v>
      </c>
      <c r="Z127" s="3790">
        <v>114.06</v>
      </c>
      <c r="AA127" s="3790">
        <v>111.13</v>
      </c>
      <c r="AB127" s="3790">
        <v>109.8</v>
      </c>
      <c r="AC127" s="3790">
        <v>112</v>
      </c>
      <c r="AD127" s="3790">
        <v>114.96</v>
      </c>
      <c r="AE127" s="3790">
        <v>114.96</v>
      </c>
      <c r="AF127" s="3790">
        <v>114.96</v>
      </c>
    </row>
    <row r="128" spans="1:49">
      <c r="A128" s="3432" t="str">
        <f t="shared" si="4"/>
        <v>\\DG ECFIN\Forecast\Country databases\Desk transfer databases\BE</v>
      </c>
      <c r="B128" s="3432" t="str">
        <f t="shared" si="5"/>
        <v>BE</v>
      </c>
      <c r="C128" s="3432" t="s">
        <v>2147</v>
      </c>
      <c r="D128" s="3432" t="s">
        <v>2271</v>
      </c>
      <c r="E128" s="3432" t="s">
        <v>2363</v>
      </c>
      <c r="F128" s="3432">
        <v>164</v>
      </c>
      <c r="G128" s="3432" t="s">
        <v>811</v>
      </c>
      <c r="H128" s="3790">
        <v>66.290000000000006</v>
      </c>
      <c r="I128" s="3790">
        <v>64.34</v>
      </c>
      <c r="J128" s="3790">
        <v>66.41</v>
      </c>
      <c r="K128" s="3790">
        <v>65.650000000000006</v>
      </c>
      <c r="L128" s="3790">
        <v>51.19</v>
      </c>
      <c r="M128" s="3790">
        <v>50.32</v>
      </c>
      <c r="N128" s="3790">
        <v>52.4</v>
      </c>
      <c r="O128" s="3790">
        <v>50.29</v>
      </c>
      <c r="P128" s="3790">
        <v>50.82</v>
      </c>
      <c r="Q128" s="3790">
        <v>49.5</v>
      </c>
      <c r="R128" s="3790">
        <v>48.86</v>
      </c>
      <c r="S128" s="3790">
        <v>50.27</v>
      </c>
      <c r="T128" s="3790">
        <v>51.95</v>
      </c>
      <c r="U128" s="3790">
        <v>53.01</v>
      </c>
      <c r="V128" s="3790">
        <v>50.51</v>
      </c>
      <c r="W128" s="3790">
        <v>52.81</v>
      </c>
      <c r="X128" s="3790">
        <v>49.65</v>
      </c>
      <c r="Y128" s="3790">
        <v>53.45</v>
      </c>
      <c r="Z128" s="3790">
        <v>53.91</v>
      </c>
      <c r="AA128" s="3790">
        <v>50.28</v>
      </c>
      <c r="AB128" s="3790">
        <v>52.23</v>
      </c>
      <c r="AC128" s="3790">
        <v>53.43</v>
      </c>
      <c r="AD128" s="3790">
        <v>53.17</v>
      </c>
      <c r="AE128" s="3790">
        <v>53.17</v>
      </c>
      <c r="AF128" s="3790">
        <v>53.17</v>
      </c>
    </row>
    <row r="129" spans="1:32">
      <c r="A129" s="3432" t="str">
        <f t="shared" si="4"/>
        <v>\\DG ECFIN\Forecast\Country databases\Desk transfer databases\BE</v>
      </c>
      <c r="B129" s="3432" t="str">
        <f t="shared" si="5"/>
        <v>BE</v>
      </c>
      <c r="C129" s="3432" t="s">
        <v>2147</v>
      </c>
      <c r="D129" s="3432" t="s">
        <v>2272</v>
      </c>
      <c r="E129" s="3432" t="s">
        <v>2363</v>
      </c>
      <c r="F129" s="3432">
        <v>165</v>
      </c>
      <c r="G129" s="3432" t="s">
        <v>812</v>
      </c>
      <c r="H129" s="3790">
        <v>357.52</v>
      </c>
      <c r="I129" s="3790">
        <v>357.89</v>
      </c>
      <c r="J129" s="3790">
        <v>361.08</v>
      </c>
      <c r="K129" s="3790">
        <v>363.85</v>
      </c>
      <c r="L129" s="3790">
        <v>422.4</v>
      </c>
      <c r="M129" s="3790">
        <v>436.13</v>
      </c>
      <c r="N129" s="3790">
        <v>438.37</v>
      </c>
      <c r="O129" s="3790">
        <v>441.26</v>
      </c>
      <c r="P129" s="3790">
        <v>441.07</v>
      </c>
      <c r="Q129" s="3790">
        <v>440.49</v>
      </c>
      <c r="R129" s="3790">
        <v>436.07</v>
      </c>
      <c r="S129" s="3790">
        <v>434.6</v>
      </c>
      <c r="T129" s="3790">
        <v>435.97</v>
      </c>
      <c r="U129" s="3790">
        <v>438.18</v>
      </c>
      <c r="V129" s="3790">
        <v>443.42</v>
      </c>
      <c r="W129" s="3790">
        <v>438.21</v>
      </c>
      <c r="X129" s="3790">
        <v>447.79</v>
      </c>
      <c r="Y129" s="3790">
        <v>447.57</v>
      </c>
      <c r="Z129" s="3790">
        <v>449.47</v>
      </c>
      <c r="AA129" s="3790">
        <v>453.89</v>
      </c>
      <c r="AB129" s="3790">
        <v>464.53</v>
      </c>
      <c r="AC129" s="3790">
        <v>460.51</v>
      </c>
      <c r="AD129" s="3790">
        <v>459.35</v>
      </c>
      <c r="AE129" s="3790">
        <v>459.34999999999997</v>
      </c>
      <c r="AF129" s="3790">
        <v>459.34999999999997</v>
      </c>
    </row>
    <row r="130" spans="1:32">
      <c r="A130" s="3432" t="str">
        <f t="shared" si="4"/>
        <v>\\DG ECFIN\Forecast\Country databases\Desk transfer databases\BE</v>
      </c>
      <c r="B130" s="3432" t="str">
        <f t="shared" si="5"/>
        <v>BE</v>
      </c>
      <c r="C130" s="3432" t="s">
        <v>2147</v>
      </c>
      <c r="D130" s="3432" t="s">
        <v>2273</v>
      </c>
      <c r="E130" s="3432" t="s">
        <v>2363</v>
      </c>
      <c r="F130" s="3432">
        <v>172</v>
      </c>
      <c r="G130" s="3432" t="s">
        <v>353</v>
      </c>
      <c r="H130" s="3790">
        <v>90.791666666666671</v>
      </c>
      <c r="I130" s="3790">
        <v>91.058333333333351</v>
      </c>
      <c r="J130" s="3790">
        <v>91.683333333333337</v>
      </c>
      <c r="K130" s="3790">
        <v>92.066666666666663</v>
      </c>
      <c r="L130" s="3790">
        <v>91.608333333333334</v>
      </c>
      <c r="M130" s="3790">
        <v>91.750000000000014</v>
      </c>
      <c r="N130" s="3790">
        <v>92.174999999999997</v>
      </c>
      <c r="O130" s="3790">
        <v>91.841666666666683</v>
      </c>
      <c r="P130" s="3790">
        <v>92.675000000000011</v>
      </c>
      <c r="Q130" s="3790">
        <v>92.333333333333329</v>
      </c>
      <c r="R130" s="3790">
        <v>92.475000000000009</v>
      </c>
      <c r="S130" s="3790">
        <v>93.683333333333337</v>
      </c>
      <c r="T130" s="3790">
        <v>94.275000000000006</v>
      </c>
      <c r="U130" s="3790">
        <v>95.433333333333323</v>
      </c>
      <c r="V130" s="3790">
        <v>95.891666666666666</v>
      </c>
      <c r="W130" s="3790">
        <v>96.8</v>
      </c>
      <c r="X130" s="3790">
        <v>98.05</v>
      </c>
      <c r="Y130" s="3790">
        <v>98.716666666666669</v>
      </c>
      <c r="Z130" s="3790">
        <v>99.241666666666674</v>
      </c>
      <c r="AA130" s="3790">
        <v>100</v>
      </c>
      <c r="AB130" s="3790">
        <v>100.96666666666667</v>
      </c>
      <c r="AC130" s="3790">
        <v>102.25</v>
      </c>
      <c r="AD130" s="3790">
        <v>103.08520000000001</v>
      </c>
      <c r="AE130" s="3790">
        <v>104.090452</v>
      </c>
      <c r="AF130" s="3790">
        <v>105.547718328</v>
      </c>
    </row>
    <row r="131" spans="1:32">
      <c r="A131" s="3432" t="str">
        <f t="shared" si="4"/>
        <v>\\DG ECFIN\Forecast\Country databases\Desk transfer databases\BE</v>
      </c>
      <c r="B131" s="3432" t="str">
        <f t="shared" si="5"/>
        <v>BE</v>
      </c>
      <c r="C131" s="3432" t="s">
        <v>2147</v>
      </c>
      <c r="D131" s="3432" t="s">
        <v>2274</v>
      </c>
      <c r="E131" s="3432" t="s">
        <v>2363</v>
      </c>
      <c r="F131" s="3432">
        <v>173</v>
      </c>
      <c r="G131" s="3432" t="s">
        <v>354</v>
      </c>
      <c r="H131" s="3790">
        <v>51.358333333333327</v>
      </c>
      <c r="I131" s="3790">
        <v>52.774999999999999</v>
      </c>
      <c r="J131" s="3790">
        <v>51.075000000000003</v>
      </c>
      <c r="K131" s="3790">
        <v>53.2</v>
      </c>
      <c r="L131" s="3790">
        <v>60.575000000000003</v>
      </c>
      <c r="M131" s="3790">
        <v>64.041666666666671</v>
      </c>
      <c r="N131" s="3790">
        <v>64.224999999999994</v>
      </c>
      <c r="O131" s="3790">
        <v>66.74166666666666</v>
      </c>
      <c r="P131" s="3790">
        <v>69.5</v>
      </c>
      <c r="Q131" s="3790">
        <v>76.658333333333331</v>
      </c>
      <c r="R131" s="3790">
        <v>83.125000000000014</v>
      </c>
      <c r="S131" s="3790">
        <v>86.325000000000003</v>
      </c>
      <c r="T131" s="3790">
        <v>94.425000000000011</v>
      </c>
      <c r="U131" s="3790">
        <v>89.333333333333329</v>
      </c>
      <c r="V131" s="3790">
        <v>92.866666666666674</v>
      </c>
      <c r="W131" s="3790">
        <v>102.13333333333333</v>
      </c>
      <c r="X131" s="3790">
        <v>107.82499999999999</v>
      </c>
      <c r="Y131" s="3790">
        <v>109.76666666666667</v>
      </c>
      <c r="Z131" s="3790">
        <v>107.50000000000001</v>
      </c>
      <c r="AA131" s="3790">
        <v>100.00833333333333</v>
      </c>
      <c r="AB131" s="3790">
        <v>94.583333333333329</v>
      </c>
      <c r="AC131" s="3790">
        <v>97.474999999999994</v>
      </c>
      <c r="AD131" s="3790">
        <v>101.77958333333333</v>
      </c>
      <c r="AE131" s="3790">
        <v>106.662825</v>
      </c>
      <c r="AF131" s="3790">
        <v>105.94288526666668</v>
      </c>
    </row>
    <row r="132" spans="1:32">
      <c r="A132" s="3432" t="str">
        <f t="shared" si="4"/>
        <v>\\DG ECFIN\Forecast\Country databases\Desk transfer databases\BE</v>
      </c>
      <c r="B132" s="3432" t="str">
        <f t="shared" si="5"/>
        <v>BE</v>
      </c>
      <c r="C132" s="3432" t="s">
        <v>2147</v>
      </c>
      <c r="D132" s="3432" t="s">
        <v>2275</v>
      </c>
      <c r="E132" s="3432" t="s">
        <v>2363</v>
      </c>
      <c r="F132" s="3432">
        <v>174</v>
      </c>
      <c r="G132" s="3432" t="s">
        <v>355</v>
      </c>
      <c r="H132" s="3790">
        <v>68.291666666666671</v>
      </c>
      <c r="I132" s="3790">
        <v>69.166666666666671</v>
      </c>
      <c r="J132" s="3790">
        <v>70.083333333333329</v>
      </c>
      <c r="K132" s="3790">
        <v>70.025000000000006</v>
      </c>
      <c r="L132" s="3790">
        <v>70.058333333333337</v>
      </c>
      <c r="M132" s="3790">
        <v>71.650000000000006</v>
      </c>
      <c r="N132" s="3790">
        <v>73.400000000000006</v>
      </c>
      <c r="O132" s="3790">
        <v>75.2</v>
      </c>
      <c r="P132" s="3790">
        <v>77.25833333333334</v>
      </c>
      <c r="Q132" s="3790">
        <v>80.074999999999989</v>
      </c>
      <c r="R132" s="3790">
        <v>81.758333333333326</v>
      </c>
      <c r="S132" s="3790">
        <v>84.374999999999986</v>
      </c>
      <c r="T132" s="3790">
        <v>88.591666666666669</v>
      </c>
      <c r="U132" s="3790">
        <v>88.558333333333337</v>
      </c>
      <c r="V132" s="3790">
        <v>89.216666666666669</v>
      </c>
      <c r="W132" s="3790">
        <v>91.875</v>
      </c>
      <c r="X132" s="3790">
        <v>94.25833333333334</v>
      </c>
      <c r="Y132" s="3790">
        <v>96.691666666666677</v>
      </c>
      <c r="Z132" s="3790">
        <v>99.158333333333331</v>
      </c>
      <c r="AA132" s="3790">
        <v>100.00000000000001</v>
      </c>
      <c r="AB132" s="3790">
        <v>100.83333333333334</v>
      </c>
      <c r="AC132" s="3790">
        <v>103.85</v>
      </c>
      <c r="AD132" s="3790">
        <v>107.10714166666666</v>
      </c>
      <c r="AE132" s="3790">
        <v>109.67670592499999</v>
      </c>
      <c r="AF132" s="3790">
        <v>112.30894686719998</v>
      </c>
    </row>
    <row r="133" spans="1:32">
      <c r="A133" s="3432" t="str">
        <f t="shared" si="4"/>
        <v>\\DG ECFIN\Forecast\Country databases\Desk transfer databases\BE</v>
      </c>
      <c r="B133" s="3432" t="str">
        <f t="shared" si="5"/>
        <v>BE</v>
      </c>
      <c r="C133" s="3432" t="s">
        <v>2147</v>
      </c>
      <c r="D133" s="3432" t="s">
        <v>2276</v>
      </c>
      <c r="E133" s="3432" t="s">
        <v>2363</v>
      </c>
      <c r="F133" s="3432">
        <v>175</v>
      </c>
      <c r="G133" s="3432" t="s">
        <v>356</v>
      </c>
      <c r="H133" s="3790">
        <v>74.783333333333346</v>
      </c>
      <c r="I133" s="3790">
        <v>76.275000000000006</v>
      </c>
      <c r="J133" s="3790">
        <v>77.033333333333331</v>
      </c>
      <c r="K133" s="3790">
        <v>75.674999999999997</v>
      </c>
      <c r="L133" s="3790">
        <v>75.783333333333331</v>
      </c>
      <c r="M133" s="3790">
        <v>81.083333333333329</v>
      </c>
      <c r="N133" s="3790">
        <v>81.016666666666652</v>
      </c>
      <c r="O133" s="3790">
        <v>80.11666666666666</v>
      </c>
      <c r="P133" s="3790">
        <v>79.408333333333346</v>
      </c>
      <c r="Q133" s="3790">
        <v>80.033333333333331</v>
      </c>
      <c r="R133" s="3790">
        <v>82.591666666666669</v>
      </c>
      <c r="S133" s="3790">
        <v>84.608333333333334</v>
      </c>
      <c r="T133" s="3790">
        <v>86.8</v>
      </c>
      <c r="U133" s="3790">
        <v>86.191666666666663</v>
      </c>
      <c r="V133" s="3790">
        <v>88.816666666666649</v>
      </c>
      <c r="W133" s="3790">
        <v>90.024999999999991</v>
      </c>
      <c r="X133" s="3790">
        <v>94.066666666666663</v>
      </c>
      <c r="Y133" s="3790">
        <v>98.75</v>
      </c>
      <c r="Z133" s="3790">
        <v>98.033333333333346</v>
      </c>
      <c r="AA133" s="3790">
        <v>100.00833333333334</v>
      </c>
      <c r="AB133" s="3790">
        <v>102.25</v>
      </c>
      <c r="AC133" s="3790">
        <v>104.41666666666667</v>
      </c>
      <c r="AD133" s="3790">
        <v>106.53193333333331</v>
      </c>
      <c r="AE133" s="3790">
        <v>109.16864973333333</v>
      </c>
      <c r="AF133" s="3790">
        <v>111.89786597666665</v>
      </c>
    </row>
    <row r="134" spans="1:32">
      <c r="A134" s="3432" t="str">
        <f t="shared" si="4"/>
        <v>\\DG ECFIN\Forecast\Country databases\Desk transfer databases\BE</v>
      </c>
      <c r="B134" s="3432" t="str">
        <f t="shared" si="5"/>
        <v>BE</v>
      </c>
      <c r="C134" s="3432" t="s">
        <v>2147</v>
      </c>
      <c r="D134" s="3432" t="s">
        <v>2277</v>
      </c>
      <c r="E134" s="3432" t="s">
        <v>2363</v>
      </c>
      <c r="F134" s="3432">
        <v>176</v>
      </c>
      <c r="G134" s="3432" t="s">
        <v>357</v>
      </c>
      <c r="H134" s="3790">
        <v>76.266666666666666</v>
      </c>
      <c r="I134" s="3790">
        <v>78.01666666666668</v>
      </c>
      <c r="J134" s="3790">
        <v>79.05</v>
      </c>
      <c r="K134" s="3790">
        <v>79.516666666666666</v>
      </c>
      <c r="L134" s="3790">
        <v>80.091666666666669</v>
      </c>
      <c r="M134" s="3790">
        <v>81.45</v>
      </c>
      <c r="N134" s="3790">
        <v>83.166666666666671</v>
      </c>
      <c r="O134" s="3790">
        <v>84.3</v>
      </c>
      <c r="P134" s="3790">
        <v>85.9</v>
      </c>
      <c r="Q134" s="3790">
        <v>87.016666666666666</v>
      </c>
      <c r="R134" s="3790">
        <v>87.899999999999991</v>
      </c>
      <c r="S134" s="3790">
        <v>89.86666666666666</v>
      </c>
      <c r="T134" s="3790">
        <v>91.449999999999989</v>
      </c>
      <c r="U134" s="3790">
        <v>92.749999999999986</v>
      </c>
      <c r="V134" s="3790">
        <v>93.4</v>
      </c>
      <c r="W134" s="3790">
        <v>94.666666666666671</v>
      </c>
      <c r="X134" s="3790">
        <v>95.916666666666671</v>
      </c>
      <c r="Y134" s="3790">
        <v>97.35833333333332</v>
      </c>
      <c r="Z134" s="3790">
        <v>98.766666666666666</v>
      </c>
      <c r="AA134" s="3790">
        <v>99.983333333333334</v>
      </c>
      <c r="AB134" s="3790">
        <v>101.175</v>
      </c>
      <c r="AC134" s="3790">
        <v>102.48333333333332</v>
      </c>
      <c r="AD134" s="3790">
        <v>104.07661666666667</v>
      </c>
      <c r="AE134" s="3790">
        <v>106.00246404999999</v>
      </c>
      <c r="AF134" s="3790">
        <v>108.27091678067001</v>
      </c>
    </row>
    <row r="135" spans="1:32">
      <c r="A135" s="3432" t="str">
        <f t="shared" si="4"/>
        <v>\\DG ECFIN\Forecast\Country databases\Desk transfer databases\BE</v>
      </c>
      <c r="B135" s="3432" t="str">
        <f t="shared" si="5"/>
        <v>BE</v>
      </c>
      <c r="C135" s="3432" t="s">
        <v>2147</v>
      </c>
      <c r="D135" s="3432" t="s">
        <v>2278</v>
      </c>
      <c r="E135" s="3432" t="s">
        <v>2363</v>
      </c>
      <c r="F135" s="3432">
        <v>177</v>
      </c>
      <c r="G135" s="3432" t="s">
        <v>813</v>
      </c>
      <c r="H135" s="3790">
        <v>80.041666666666671</v>
      </c>
      <c r="I135" s="3790">
        <v>81.10833333333332</v>
      </c>
      <c r="J135" s="3790">
        <v>81.98333333333332</v>
      </c>
      <c r="K135" s="3790">
        <v>82.291666666666671</v>
      </c>
      <c r="L135" s="3790">
        <v>82.424999999999997</v>
      </c>
      <c r="M135" s="3790">
        <v>83.408333333333331</v>
      </c>
      <c r="N135" s="3790">
        <v>84.683333333333323</v>
      </c>
      <c r="O135" s="3790">
        <v>85.433333333333337</v>
      </c>
      <c r="P135" s="3790">
        <v>86.85</v>
      </c>
      <c r="Q135" s="3790">
        <v>87.749999999999986</v>
      </c>
      <c r="R135" s="3790">
        <v>88.516666666666666</v>
      </c>
      <c r="S135" s="3790">
        <v>90.341666666666669</v>
      </c>
      <c r="T135" s="3790">
        <v>91.966666666666669</v>
      </c>
      <c r="U135" s="3790">
        <v>93.033333333333331</v>
      </c>
      <c r="V135" s="3790">
        <v>93.625</v>
      </c>
      <c r="W135" s="3790">
        <v>94.966666666666669</v>
      </c>
      <c r="X135" s="3790">
        <v>96.375</v>
      </c>
      <c r="Y135" s="3790">
        <v>97.7</v>
      </c>
      <c r="Z135" s="3790">
        <v>98.966666666666654</v>
      </c>
      <c r="AA135" s="3790">
        <v>99.991666666666674</v>
      </c>
      <c r="AB135" s="3790">
        <v>101.04166666666667</v>
      </c>
      <c r="AC135" s="3790">
        <v>102.575</v>
      </c>
      <c r="AD135" s="3790">
        <v>104.15204525495163</v>
      </c>
      <c r="AE135" s="3790">
        <v>105.8591403111362</v>
      </c>
      <c r="AF135" s="3790">
        <v>107.91254175654655</v>
      </c>
    </row>
    <row r="136" spans="1:32">
      <c r="A136" s="3432" t="str">
        <f t="shared" si="4"/>
        <v>\\DG ECFIN\Forecast\Country databases\Desk transfer databases\BE</v>
      </c>
      <c r="B136" s="3432" t="str">
        <f t="shared" si="5"/>
        <v>BE</v>
      </c>
      <c r="C136" s="3432" t="s">
        <v>2147</v>
      </c>
      <c r="D136" s="3432" t="s">
        <v>2364</v>
      </c>
      <c r="E136" s="3432" t="s">
        <v>2365</v>
      </c>
      <c r="F136" s="3432" t="s">
        <v>2366</v>
      </c>
      <c r="G136" s="3432" t="s">
        <v>2367</v>
      </c>
      <c r="H136" s="3790">
        <v>0.92800000000000005</v>
      </c>
      <c r="I136" s="3790">
        <v>1.6619999999999999</v>
      </c>
      <c r="J136" s="3790">
        <v>1.1319999999999999</v>
      </c>
      <c r="K136" s="3790">
        <v>1.466</v>
      </c>
      <c r="L136" s="3790">
        <v>1.92</v>
      </c>
      <c r="M136" s="3790">
        <v>2.0760000000000001</v>
      </c>
      <c r="N136" s="3790">
        <v>1.9</v>
      </c>
      <c r="O136" s="3790">
        <v>1.6259999999999999</v>
      </c>
      <c r="P136" s="3790">
        <v>1.5249999999999999</v>
      </c>
      <c r="Q136" s="3790">
        <v>1.7</v>
      </c>
      <c r="R136" s="3790">
        <v>1.7549999999999999</v>
      </c>
      <c r="S136" s="3790">
        <v>1.0840000000000001</v>
      </c>
      <c r="T136" s="3790">
        <v>0.48399999999999999</v>
      </c>
      <c r="U136" s="3790">
        <v>0.998</v>
      </c>
      <c r="V136" s="3790">
        <v>2.2749999999999999</v>
      </c>
      <c r="W136" s="3790">
        <v>1.411</v>
      </c>
      <c r="X136" s="3790">
        <v>1.893</v>
      </c>
      <c r="Y136" s="3790">
        <v>1.6639999999999999</v>
      </c>
      <c r="Z136" s="3790">
        <v>1.351</v>
      </c>
      <c r="AA136" s="3790">
        <v>1.522</v>
      </c>
      <c r="AB136" s="3790">
        <v>1.03</v>
      </c>
      <c r="AC136" s="3790">
        <v>1.2869999999999999</v>
      </c>
      <c r="AD136" s="3790">
        <v>1.3082207434066426</v>
      </c>
      <c r="AE136" s="3790">
        <v>1.329791385764902</v>
      </c>
      <c r="AF136" s="3790">
        <v>1.3517176963955786</v>
      </c>
    </row>
    <row r="137" spans="1:32">
      <c r="A137" s="3432" t="str">
        <f t="shared" si="4"/>
        <v>\\DG ECFIN\Forecast\Country databases\Desk transfer databases\BE</v>
      </c>
      <c r="B137" s="3432" t="str">
        <f t="shared" si="5"/>
        <v>BE</v>
      </c>
      <c r="C137" s="3432" t="s">
        <v>2147</v>
      </c>
      <c r="D137" s="3432" t="s">
        <v>2368</v>
      </c>
      <c r="E137" s="3432" t="s">
        <v>2365</v>
      </c>
      <c r="F137" s="3432" t="s">
        <v>2369</v>
      </c>
      <c r="G137" s="3432" t="s">
        <v>2370</v>
      </c>
      <c r="H137" s="3790">
        <v>2.09</v>
      </c>
      <c r="I137" s="3790">
        <v>2.4900000000000002</v>
      </c>
      <c r="J137" s="3790">
        <v>2.65</v>
      </c>
      <c r="K137" s="3790">
        <v>2.27</v>
      </c>
      <c r="L137" s="3790">
        <v>1.86</v>
      </c>
      <c r="M137" s="3790">
        <v>2</v>
      </c>
      <c r="N137" s="3790">
        <v>2.052</v>
      </c>
      <c r="O137" s="3790">
        <v>2.7850000000000001</v>
      </c>
      <c r="P137" s="3790">
        <v>2.7170000000000001</v>
      </c>
      <c r="Q137" s="3790">
        <v>2.988</v>
      </c>
      <c r="R137" s="3790">
        <v>3.0150000000000001</v>
      </c>
      <c r="S137" s="3790">
        <v>3.496</v>
      </c>
      <c r="T137" s="3790">
        <v>2.2170000000000001</v>
      </c>
      <c r="U137" s="3790">
        <v>3.073</v>
      </c>
      <c r="V137" s="3790">
        <v>3.113</v>
      </c>
      <c r="W137" s="3790">
        <v>3.69</v>
      </c>
      <c r="X137" s="3790">
        <v>4.0469999999999997</v>
      </c>
      <c r="Y137" s="3790">
        <v>3.5790000000000002</v>
      </c>
      <c r="Z137" s="3790">
        <v>3.371</v>
      </c>
      <c r="AA137" s="3790">
        <v>3.6960000000000002</v>
      </c>
      <c r="AB137" s="3790">
        <v>3.9950000000000001</v>
      </c>
      <c r="AC137" s="3790">
        <v>2.0179999999999998</v>
      </c>
      <c r="AD137" s="3790">
        <v>2.0785399999999998</v>
      </c>
      <c r="AE137" s="3790">
        <v>2.1408961999999998</v>
      </c>
      <c r="AF137" s="3790">
        <v>2.205123086</v>
      </c>
    </row>
    <row r="138" spans="1:32">
      <c r="A138" s="3432" t="str">
        <f t="shared" si="4"/>
        <v>\\DG ECFIN\Forecast\Country databases\Desk transfer databases\BE</v>
      </c>
      <c r="B138" s="3432" t="str">
        <f t="shared" si="5"/>
        <v>BE</v>
      </c>
      <c r="C138" s="3432" t="s">
        <v>2147</v>
      </c>
      <c r="D138" s="3432" t="s">
        <v>2371</v>
      </c>
      <c r="E138" s="3432" t="s">
        <v>2365</v>
      </c>
      <c r="F138" s="3432" t="s">
        <v>2372</v>
      </c>
      <c r="G138" s="3432" t="s">
        <v>2373</v>
      </c>
      <c r="H138" s="3790" t="s">
        <v>2180</v>
      </c>
      <c r="I138" s="3790" t="s">
        <v>2180</v>
      </c>
      <c r="J138" s="3790" t="s">
        <v>2180</v>
      </c>
      <c r="K138" s="3790" t="s">
        <v>2180</v>
      </c>
      <c r="L138" s="3790" t="s">
        <v>2180</v>
      </c>
      <c r="M138" s="3790" t="s">
        <v>2180</v>
      </c>
      <c r="N138" s="3790" t="s">
        <v>2180</v>
      </c>
      <c r="O138" s="3790" t="s">
        <v>2180</v>
      </c>
      <c r="P138" s="3790">
        <v>157.99993303146005</v>
      </c>
      <c r="Q138" s="3790">
        <v>221.63363254806981</v>
      </c>
      <c r="R138" s="3790">
        <v>250.28875184822058</v>
      </c>
      <c r="S138" s="3790">
        <v>291.21876751935946</v>
      </c>
      <c r="T138" s="3790">
        <v>113.97866538209026</v>
      </c>
      <c r="U138" s="3790">
        <v>-50.915597348466285</v>
      </c>
      <c r="V138" s="3790">
        <v>-57.191248303344238</v>
      </c>
      <c r="W138" s="3790">
        <v>169.92197931233025</v>
      </c>
      <c r="X138" s="3790">
        <v>23.208251002829989</v>
      </c>
      <c r="Y138" s="3790">
        <v>-44.159362512276509</v>
      </c>
      <c r="Z138" s="3790">
        <v>78.553236291399685</v>
      </c>
      <c r="AA138" s="3790">
        <v>5.1194975994171106</v>
      </c>
      <c r="AB138" s="3790">
        <v>-19.940223198449704</v>
      </c>
      <c r="AC138" s="3790">
        <v>-21.959524262160762</v>
      </c>
      <c r="AD138" s="3790">
        <v>-7.629546682959524</v>
      </c>
      <c r="AE138" s="3790">
        <v>4.4575011032932963</v>
      </c>
      <c r="AF138" s="3790">
        <v>-13.451725562360778</v>
      </c>
    </row>
    <row r="139" spans="1:32">
      <c r="A139" s="3432" t="str">
        <f t="shared" si="4"/>
        <v>\\DG ECFIN\Forecast\Country databases\Desk transfer databases\BE</v>
      </c>
      <c r="B139" s="3432" t="str">
        <f t="shared" si="5"/>
        <v>BE</v>
      </c>
      <c r="C139" s="3432" t="s">
        <v>2147</v>
      </c>
      <c r="D139" s="3432" t="s">
        <v>2374</v>
      </c>
      <c r="E139" s="3432" t="s">
        <v>2365</v>
      </c>
      <c r="F139" s="3432" t="s">
        <v>2375</v>
      </c>
      <c r="G139" s="3432" t="s">
        <v>2376</v>
      </c>
      <c r="H139" s="3790" t="s">
        <v>2180</v>
      </c>
      <c r="I139" s="3790" t="s">
        <v>2180</v>
      </c>
      <c r="J139" s="3790" t="s">
        <v>2180</v>
      </c>
      <c r="K139" s="3790" t="s">
        <v>2180</v>
      </c>
      <c r="L139" s="3790" t="s">
        <v>2180</v>
      </c>
      <c r="M139" s="3790" t="s">
        <v>2180</v>
      </c>
      <c r="N139" s="3790" t="s">
        <v>2180</v>
      </c>
      <c r="O139" s="3790" t="s">
        <v>2180</v>
      </c>
      <c r="P139" s="3790">
        <v>19.051287535155655</v>
      </c>
      <c r="Q139" s="3790">
        <v>-18.71939374182169</v>
      </c>
      <c r="R139" s="3790">
        <v>-63.813565630792411</v>
      </c>
      <c r="S139" s="3790">
        <v>-61.430719364582096</v>
      </c>
      <c r="T139" s="3790">
        <v>-35.300591366370071</v>
      </c>
      <c r="U139" s="3790">
        <v>33.486817656186552</v>
      </c>
      <c r="V139" s="3790">
        <v>127.71100507419986</v>
      </c>
      <c r="W139" s="3790">
        <v>-81.756891864528242</v>
      </c>
      <c r="X139" s="3790">
        <v>5.2501698089894013</v>
      </c>
      <c r="Y139" s="3790">
        <v>-5.4827697113560063</v>
      </c>
      <c r="Z139" s="3790">
        <v>-7.834366406873694</v>
      </c>
      <c r="AA139" s="3790">
        <v>57.351545300632587</v>
      </c>
      <c r="AB139" s="3790">
        <v>96.21524251162316</v>
      </c>
      <c r="AC139" s="3790">
        <v>-9.0437323103957894</v>
      </c>
      <c r="AD139" s="3790">
        <v>-25.091039242587414</v>
      </c>
      <c r="AE139" s="3790">
        <v>-21.019001940845648</v>
      </c>
      <c r="AF139" s="3790">
        <v>-17.917169284617827</v>
      </c>
    </row>
    <row r="140" spans="1:32">
      <c r="A140" s="3432" t="str">
        <f t="shared" si="4"/>
        <v>\\DG ECFIN\Forecast\Country databases\Desk transfer databases\BE</v>
      </c>
      <c r="B140" s="3432" t="str">
        <f t="shared" si="5"/>
        <v>BE</v>
      </c>
      <c r="C140" s="3432" t="s">
        <v>2147</v>
      </c>
      <c r="D140" s="3432" t="s">
        <v>2377</v>
      </c>
      <c r="E140" s="3432" t="s">
        <v>2365</v>
      </c>
      <c r="F140" s="3432" t="s">
        <v>2378</v>
      </c>
      <c r="G140" s="3432" t="s">
        <v>2436</v>
      </c>
      <c r="H140" s="3790" t="s">
        <v>2180</v>
      </c>
      <c r="I140" s="3790" t="s">
        <v>2180</v>
      </c>
      <c r="J140" s="3790" t="s">
        <v>2180</v>
      </c>
      <c r="K140" s="3790" t="s">
        <v>2180</v>
      </c>
      <c r="L140" s="3790" t="s">
        <v>2180</v>
      </c>
      <c r="M140" s="3790" t="s">
        <v>2180</v>
      </c>
      <c r="N140" s="3790" t="s">
        <v>2180</v>
      </c>
      <c r="O140" s="3790" t="s">
        <v>2180</v>
      </c>
      <c r="P140" s="3790">
        <v>-0.4366361502441341</v>
      </c>
      <c r="Q140" s="3790">
        <v>32.513595675079841</v>
      </c>
      <c r="R140" s="3790">
        <v>33.885115793966946</v>
      </c>
      <c r="S140" s="3790">
        <v>38.613845923561733</v>
      </c>
      <c r="T140" s="3790">
        <v>129.35526035132915</v>
      </c>
      <c r="U140" s="3790">
        <v>20.890880435858346</v>
      </c>
      <c r="V140" s="3790">
        <v>-16.733885864049778</v>
      </c>
      <c r="W140" s="3790">
        <v>30.769264506040745</v>
      </c>
      <c r="X140" s="3790">
        <v>19.159736289662053</v>
      </c>
      <c r="Y140" s="3790">
        <v>26.142606949028973</v>
      </c>
      <c r="Z140" s="3790">
        <v>51.380445050106211</v>
      </c>
      <c r="AA140" s="3790">
        <v>69.005821471315713</v>
      </c>
      <c r="AB140" s="3790">
        <v>89.699141367866716</v>
      </c>
      <c r="AC140" s="3790">
        <v>114.6244997111727</v>
      </c>
      <c r="AD140" s="3790">
        <v>143.14688698513771</v>
      </c>
      <c r="AE140" s="3790">
        <v>166.13935230012447</v>
      </c>
      <c r="AF140" s="3790">
        <v>177.1658481762145</v>
      </c>
    </row>
    <row r="141" spans="1:32">
      <c r="A141" s="3432" t="str">
        <f t="shared" ref="A141:A153" si="6">CONCATENATE($I$7,$J$7)</f>
        <v>\\DG ECFIN\Forecast\Country databases\Desk transfer databases\BE</v>
      </c>
      <c r="B141" s="3432" t="str">
        <f t="shared" ref="B141:B160" si="7">$J$7</f>
        <v>BE</v>
      </c>
      <c r="C141" s="3432" t="s">
        <v>2147</v>
      </c>
      <c r="D141" s="3432" t="s">
        <v>2379</v>
      </c>
      <c r="E141" s="3432" t="s">
        <v>2365</v>
      </c>
      <c r="F141" s="3432" t="s">
        <v>2380</v>
      </c>
      <c r="G141" s="3432" t="s">
        <v>2381</v>
      </c>
      <c r="H141" s="3790" t="s">
        <v>2180</v>
      </c>
      <c r="I141" s="3790" t="s">
        <v>2180</v>
      </c>
      <c r="J141" s="3790" t="s">
        <v>2180</v>
      </c>
      <c r="K141" s="3790" t="s">
        <v>2180</v>
      </c>
      <c r="L141" s="3790" t="s">
        <v>2180</v>
      </c>
      <c r="M141" s="3790" t="s">
        <v>2180</v>
      </c>
      <c r="N141" s="3790" t="s">
        <v>2180</v>
      </c>
      <c r="O141" s="3790" t="s">
        <v>2180</v>
      </c>
      <c r="P141" s="3790">
        <v>81.616437162088033</v>
      </c>
      <c r="Q141" s="3790">
        <v>92.139942565666615</v>
      </c>
      <c r="R141" s="3790">
        <v>104.68317404965754</v>
      </c>
      <c r="S141" s="3790">
        <v>173.0124605667169</v>
      </c>
      <c r="T141" s="3790">
        <v>221.31309276422698</v>
      </c>
      <c r="U141" s="3790">
        <v>81.485563451708629</v>
      </c>
      <c r="V141" s="3790">
        <v>65.118544820234149</v>
      </c>
      <c r="W141" s="3790">
        <v>106.98105551715297</v>
      </c>
      <c r="X141" s="3790">
        <v>42.727929390725109</v>
      </c>
      <c r="Y141" s="3790">
        <v>52.962901028632672</v>
      </c>
      <c r="Z141" s="3790">
        <v>71.971434398142975</v>
      </c>
      <c r="AA141" s="3790">
        <v>104.71277723387382</v>
      </c>
      <c r="AB141" s="3790">
        <v>106.06688174204328</v>
      </c>
      <c r="AC141" s="3790">
        <v>114.19174568280754</v>
      </c>
      <c r="AD141" s="3790">
        <v>110.42630105959083</v>
      </c>
      <c r="AE141" s="3790">
        <v>149.57785146257234</v>
      </c>
      <c r="AF141" s="3790">
        <v>145.79695332923578</v>
      </c>
    </row>
    <row r="142" spans="1:32">
      <c r="A142" s="3432" t="str">
        <f t="shared" si="6"/>
        <v>\\DG ECFIN\Forecast\Country databases\Desk transfer databases\BE</v>
      </c>
      <c r="B142" s="3432" t="str">
        <f t="shared" si="7"/>
        <v>BE</v>
      </c>
      <c r="C142" s="3432" t="s">
        <v>2147</v>
      </c>
      <c r="D142" s="3432" t="s">
        <v>2382</v>
      </c>
      <c r="E142" s="3432" t="s">
        <v>2365</v>
      </c>
      <c r="F142" s="3432" t="s">
        <v>2383</v>
      </c>
      <c r="G142" s="3432" t="s">
        <v>2384</v>
      </c>
      <c r="H142" s="3790" t="s">
        <v>2180</v>
      </c>
      <c r="I142" s="3790" t="s">
        <v>2180</v>
      </c>
      <c r="J142" s="3790" t="s">
        <v>2180</v>
      </c>
      <c r="K142" s="3790" t="s">
        <v>2180</v>
      </c>
      <c r="L142" s="3790" t="s">
        <v>2180</v>
      </c>
      <c r="M142" s="3790" t="s">
        <v>2180</v>
      </c>
      <c r="N142" s="3790" t="s">
        <v>2180</v>
      </c>
      <c r="O142" s="3790" t="s">
        <v>2180</v>
      </c>
      <c r="P142" s="3790">
        <v>-94.998147254283523</v>
      </c>
      <c r="Q142" s="3790">
        <v>-143.28789191566133</v>
      </c>
      <c r="R142" s="3790">
        <v>-115.67712796173758</v>
      </c>
      <c r="S142" s="3790">
        <v>-95.389433511622215</v>
      </c>
      <c r="T142" s="3790">
        <v>13.279758397177618</v>
      </c>
      <c r="U142" s="3790">
        <v>78.023462708130026</v>
      </c>
      <c r="V142" s="3790">
        <v>11.332673913428327</v>
      </c>
      <c r="W142" s="3790">
        <v>-11.953296436689786</v>
      </c>
      <c r="X142" s="3790">
        <v>-4.8902277107563297</v>
      </c>
      <c r="Y142" s="3790">
        <v>76.462426303236228</v>
      </c>
      <c r="Z142" s="3790">
        <v>-50.127880536489243</v>
      </c>
      <c r="AA142" s="3790">
        <v>-26.764087137491568</v>
      </c>
      <c r="AB142" s="3790">
        <v>-59.907278938996917</v>
      </c>
      <c r="AC142" s="3790">
        <v>30.570502544191385</v>
      </c>
      <c r="AD142" s="3790">
        <v>5.8207660913467408E-14</v>
      </c>
      <c r="AE142" s="3790">
        <v>2.3283064365386963E-13</v>
      </c>
      <c r="AF142" s="3790">
        <v>-1.1641532182693482E-13</v>
      </c>
    </row>
    <row r="143" spans="1:32">
      <c r="A143" s="3432" t="str">
        <f t="shared" si="6"/>
        <v>\\DG ECFIN\Forecast\Country databases\Desk transfer databases\BE</v>
      </c>
      <c r="B143" s="3432" t="str">
        <f t="shared" si="7"/>
        <v>BE</v>
      </c>
      <c r="C143" s="3432" t="s">
        <v>2147</v>
      </c>
      <c r="D143" s="3432" t="s">
        <v>2385</v>
      </c>
      <c r="E143" s="3432" t="s">
        <v>2365</v>
      </c>
      <c r="F143" s="3432" t="s">
        <v>2386</v>
      </c>
      <c r="G143" s="3432" t="s">
        <v>2387</v>
      </c>
      <c r="H143" s="3790" t="s">
        <v>2180</v>
      </c>
      <c r="I143" s="3790" t="s">
        <v>2180</v>
      </c>
      <c r="J143" s="3790" t="s">
        <v>2180</v>
      </c>
      <c r="K143" s="3790" t="s">
        <v>2180</v>
      </c>
      <c r="L143" s="3790" t="s">
        <v>2180</v>
      </c>
      <c r="M143" s="3790" t="s">
        <v>2180</v>
      </c>
      <c r="N143" s="3790" t="s">
        <v>2180</v>
      </c>
      <c r="O143" s="3790" t="s">
        <v>2180</v>
      </c>
      <c r="P143" s="3790">
        <v>0</v>
      </c>
      <c r="Q143" s="3790">
        <v>0</v>
      </c>
      <c r="R143" s="3790">
        <v>0</v>
      </c>
      <c r="S143" s="3790">
        <v>0</v>
      </c>
      <c r="T143" s="3790">
        <v>0</v>
      </c>
      <c r="U143" s="3790">
        <v>50.451000000000001</v>
      </c>
      <c r="V143" s="3790">
        <v>-9.2579999999999991</v>
      </c>
      <c r="W143" s="3790">
        <v>173.64699999999999</v>
      </c>
      <c r="X143" s="3790">
        <v>55.844999999999999</v>
      </c>
      <c r="Y143" s="3790">
        <v>-77.593999999999994</v>
      </c>
      <c r="Z143" s="3790">
        <v>131.51499999999999</v>
      </c>
      <c r="AA143" s="3790">
        <v>-123.794</v>
      </c>
      <c r="AB143" s="3790">
        <v>-86.025000000000006</v>
      </c>
      <c r="AC143" s="3790">
        <v>-124.512</v>
      </c>
      <c r="AD143" s="3790">
        <v>-25.091039242587414</v>
      </c>
      <c r="AE143" s="3790">
        <v>-21.019001940845648</v>
      </c>
      <c r="AF143" s="3790">
        <v>-17.917169284617827</v>
      </c>
    </row>
    <row r="144" spans="1:32">
      <c r="A144" s="3432" t="str">
        <f t="shared" si="6"/>
        <v>\\DG ECFIN\Forecast\Country databases\Desk transfer databases\BE</v>
      </c>
      <c r="B144" s="3432" t="str">
        <f t="shared" si="7"/>
        <v>BE</v>
      </c>
      <c r="C144" s="3432" t="s">
        <v>2147</v>
      </c>
      <c r="D144" s="3432" t="s">
        <v>2388</v>
      </c>
      <c r="E144" s="3432" t="s">
        <v>2365</v>
      </c>
      <c r="F144" s="3432" t="s">
        <v>2389</v>
      </c>
      <c r="G144" s="3432" t="s">
        <v>2437</v>
      </c>
      <c r="H144" s="3790" t="s">
        <v>2180</v>
      </c>
      <c r="I144" s="3790" t="s">
        <v>2180</v>
      </c>
      <c r="J144" s="3790" t="s">
        <v>2180</v>
      </c>
      <c r="K144" s="3790" t="s">
        <v>2180</v>
      </c>
      <c r="L144" s="3790" t="s">
        <v>2180</v>
      </c>
      <c r="M144" s="3790" t="s">
        <v>2180</v>
      </c>
      <c r="N144" s="3790" t="s">
        <v>2180</v>
      </c>
      <c r="O144" s="3790" t="s">
        <v>2180</v>
      </c>
      <c r="P144" s="3790">
        <v>0</v>
      </c>
      <c r="Q144" s="3790">
        <v>0</v>
      </c>
      <c r="R144" s="3790">
        <v>0</v>
      </c>
      <c r="S144" s="3790">
        <v>0</v>
      </c>
      <c r="T144" s="3790">
        <v>0</v>
      </c>
      <c r="U144" s="3790">
        <v>-199.99</v>
      </c>
      <c r="V144" s="3790">
        <v>-38.146999999999998</v>
      </c>
      <c r="W144" s="3790">
        <v>-139.029</v>
      </c>
      <c r="X144" s="3790">
        <v>-215.98</v>
      </c>
      <c r="Y144" s="3790">
        <v>-109.91500000000001</v>
      </c>
      <c r="Z144" s="3790">
        <v>-350.52</v>
      </c>
      <c r="AA144" s="3790">
        <v>-144.62899999999999</v>
      </c>
      <c r="AB144" s="3790">
        <v>-156.24</v>
      </c>
      <c r="AC144" s="3790">
        <v>-97.814999999999998</v>
      </c>
      <c r="AD144" s="3790">
        <v>-246.23301089084805</v>
      </c>
      <c r="AE144" s="3790">
        <v>-239.49648188860075</v>
      </c>
      <c r="AF144" s="3790">
        <v>-257.12584342590338</v>
      </c>
    </row>
    <row r="145" spans="1:32">
      <c r="A145" s="3432" t="str">
        <f t="shared" si="6"/>
        <v>\\DG ECFIN\Forecast\Country databases\Desk transfer databases\BE</v>
      </c>
      <c r="B145" s="3432" t="str">
        <f t="shared" si="7"/>
        <v>BE</v>
      </c>
      <c r="C145" s="3432" t="s">
        <v>2147</v>
      </c>
      <c r="D145" s="3432" t="s">
        <v>2390</v>
      </c>
      <c r="E145" s="3432" t="s">
        <v>2365</v>
      </c>
      <c r="F145" s="3432" t="s">
        <v>2391</v>
      </c>
      <c r="G145" s="3432" t="s">
        <v>2438</v>
      </c>
      <c r="H145" s="3790" t="s">
        <v>2180</v>
      </c>
      <c r="I145" s="3790" t="s">
        <v>2180</v>
      </c>
      <c r="J145" s="3790" t="s">
        <v>2180</v>
      </c>
      <c r="K145" s="3790" t="s">
        <v>2180</v>
      </c>
      <c r="L145" s="3790" t="s">
        <v>2180</v>
      </c>
      <c r="M145" s="3790" t="s">
        <v>2180</v>
      </c>
      <c r="N145" s="3790" t="s">
        <v>2180</v>
      </c>
      <c r="O145" s="3790" t="s">
        <v>2180</v>
      </c>
      <c r="P145" s="3790">
        <v>65.887712464844341</v>
      </c>
      <c r="Q145" s="3790">
        <v>97.338393741821747</v>
      </c>
      <c r="R145" s="3790">
        <v>105.01356563079244</v>
      </c>
      <c r="S145" s="3790">
        <v>56.724719364582278</v>
      </c>
      <c r="T145" s="3790">
        <v>39.831591366369892</v>
      </c>
      <c r="U145" s="3790">
        <v>-4.3478176561865549</v>
      </c>
      <c r="V145" s="3790">
        <v>-9.5490050741998278</v>
      </c>
      <c r="W145" s="3790">
        <v>-66.027108135471707</v>
      </c>
      <c r="X145" s="3790">
        <v>-60.166169808989466</v>
      </c>
      <c r="Y145" s="3790">
        <v>87.043769711355878</v>
      </c>
      <c r="Z145" s="3790">
        <v>-140.37363359312639</v>
      </c>
      <c r="AA145" s="3790">
        <v>42.586454699367359</v>
      </c>
      <c r="AB145" s="3790">
        <v>-38.936242511622929</v>
      </c>
      <c r="AC145" s="3790">
        <v>99.547732310395944</v>
      </c>
      <c r="AD145" s="3790">
        <v>0</v>
      </c>
      <c r="AE145" s="3790">
        <v>0</v>
      </c>
      <c r="AF145" s="3790">
        <v>0</v>
      </c>
    </row>
    <row r="146" spans="1:32">
      <c r="A146" s="3432" t="str">
        <f t="shared" si="6"/>
        <v>\\DG ECFIN\Forecast\Country databases\Desk transfer databases\BE</v>
      </c>
      <c r="B146" s="3432" t="str">
        <f t="shared" si="7"/>
        <v>BE</v>
      </c>
      <c r="C146" s="3432" t="s">
        <v>2147</v>
      </c>
      <c r="D146" s="3432" t="s">
        <v>2393</v>
      </c>
      <c r="E146" s="3432" t="s">
        <v>2365</v>
      </c>
      <c r="F146" s="3432" t="s">
        <v>2392</v>
      </c>
      <c r="G146" s="3432" t="s">
        <v>2394</v>
      </c>
      <c r="H146" s="3790" t="s">
        <v>2180</v>
      </c>
      <c r="I146" s="3790" t="s">
        <v>2180</v>
      </c>
      <c r="J146" s="3790" t="s">
        <v>2180</v>
      </c>
      <c r="K146" s="3790" t="s">
        <v>2180</v>
      </c>
      <c r="L146" s="3790" t="s">
        <v>2180</v>
      </c>
      <c r="M146" s="3790" t="s">
        <v>2180</v>
      </c>
      <c r="N146" s="3790" t="s">
        <v>2180</v>
      </c>
      <c r="O146" s="3790" t="s">
        <v>2180</v>
      </c>
      <c r="P146" s="3790">
        <v>0</v>
      </c>
      <c r="Q146" s="3790">
        <v>0</v>
      </c>
      <c r="R146" s="3790">
        <v>0</v>
      </c>
      <c r="S146" s="3790">
        <v>0</v>
      </c>
      <c r="T146" s="3790">
        <v>0</v>
      </c>
      <c r="U146" s="3790">
        <v>0</v>
      </c>
      <c r="V146" s="3790">
        <v>0</v>
      </c>
      <c r="W146" s="3790">
        <v>0</v>
      </c>
      <c r="X146" s="3790">
        <v>0</v>
      </c>
      <c r="Y146" s="3790">
        <v>0</v>
      </c>
      <c r="Z146" s="3790">
        <v>0</v>
      </c>
      <c r="AA146" s="3790">
        <v>0</v>
      </c>
      <c r="AB146" s="3790">
        <v>0</v>
      </c>
      <c r="AC146" s="3790">
        <v>0</v>
      </c>
      <c r="AD146" s="3790">
        <v>0</v>
      </c>
      <c r="AE146" s="3790">
        <v>0</v>
      </c>
      <c r="AF146" s="3790">
        <v>0</v>
      </c>
    </row>
    <row r="147" spans="1:32">
      <c r="A147" s="3432" t="str">
        <f t="shared" si="6"/>
        <v>\\DG ECFIN\Forecast\Country databases\Desk transfer databases\BE</v>
      </c>
      <c r="B147" s="3432" t="str">
        <f t="shared" si="7"/>
        <v>BE</v>
      </c>
      <c r="C147" s="3432" t="s">
        <v>2147</v>
      </c>
      <c r="D147" s="3432" t="s">
        <v>2395</v>
      </c>
      <c r="E147" s="3432" t="s">
        <v>2365</v>
      </c>
      <c r="F147" s="3432" t="s">
        <v>2396</v>
      </c>
      <c r="G147" s="3432" t="s">
        <v>2397</v>
      </c>
      <c r="H147" s="3790" t="s">
        <v>2180</v>
      </c>
      <c r="I147" s="3790" t="s">
        <v>2180</v>
      </c>
      <c r="J147" s="3790" t="s">
        <v>2180</v>
      </c>
      <c r="K147" s="3790" t="s">
        <v>2180</v>
      </c>
      <c r="L147" s="3790" t="s">
        <v>2180</v>
      </c>
      <c r="M147" s="3790" t="s">
        <v>2180</v>
      </c>
      <c r="N147" s="3790" t="s">
        <v>2180</v>
      </c>
      <c r="O147" s="3790" t="s">
        <v>2180</v>
      </c>
      <c r="P147" s="3790">
        <v>-38.213214222823389</v>
      </c>
      <c r="Q147" s="3790">
        <v>-26.276259367591397</v>
      </c>
      <c r="R147" s="3790">
        <v>-2.6973761135169187</v>
      </c>
      <c r="S147" s="3790">
        <v>24.987334007738049</v>
      </c>
      <c r="T147" s="3790">
        <v>-13.193576220732409</v>
      </c>
      <c r="U147" s="3790">
        <v>33.94886535966431</v>
      </c>
      <c r="V147" s="3790">
        <v>-148.47757438991616</v>
      </c>
      <c r="W147" s="3790">
        <v>-39.34531712436015</v>
      </c>
      <c r="X147" s="3790">
        <v>-16.721976707926697</v>
      </c>
      <c r="Y147" s="3790">
        <v>32.765063790959822</v>
      </c>
      <c r="Z147" s="3790">
        <v>24.286355754910094</v>
      </c>
      <c r="AA147" s="3790">
        <v>-23.110589538075089</v>
      </c>
      <c r="AB147" s="3790">
        <v>-109.37350213744637</v>
      </c>
      <c r="AC147" s="3790">
        <v>-31.529021717969357</v>
      </c>
      <c r="AD147" s="3790">
        <v>0</v>
      </c>
      <c r="AE147" s="3790">
        <v>0</v>
      </c>
      <c r="AF147" s="3790">
        <v>0</v>
      </c>
    </row>
    <row r="148" spans="1:32">
      <c r="A148" s="3432" t="str">
        <f t="shared" si="6"/>
        <v>\\DG ECFIN\Forecast\Country databases\Desk transfer databases\BE</v>
      </c>
      <c r="B148" s="3432" t="str">
        <f t="shared" si="7"/>
        <v>BE</v>
      </c>
      <c r="C148" s="3432" t="s">
        <v>2147</v>
      </c>
      <c r="D148" s="3432" t="s">
        <v>2398</v>
      </c>
      <c r="E148" s="3432" t="s">
        <v>2365</v>
      </c>
      <c r="F148" s="3432" t="s">
        <v>2399</v>
      </c>
      <c r="G148" s="3432" t="s">
        <v>2400</v>
      </c>
      <c r="H148" s="3790" t="s">
        <v>2180</v>
      </c>
      <c r="I148" s="3790" t="s">
        <v>2180</v>
      </c>
      <c r="J148" s="3790" t="s">
        <v>2180</v>
      </c>
      <c r="K148" s="3790" t="s">
        <v>2180</v>
      </c>
      <c r="L148" s="3790" t="s">
        <v>2180</v>
      </c>
      <c r="M148" s="3790" t="s">
        <v>2180</v>
      </c>
      <c r="N148" s="3790" t="s">
        <v>2180</v>
      </c>
      <c r="O148" s="3790" t="s">
        <v>2180</v>
      </c>
      <c r="P148" s="3790">
        <v>685.09521569206004</v>
      </c>
      <c r="Q148" s="3790">
        <v>906.72884824012988</v>
      </c>
      <c r="R148" s="3790">
        <v>1157.0176000883505</v>
      </c>
      <c r="S148" s="3790">
        <v>1448.23636760771</v>
      </c>
      <c r="T148" s="3790">
        <v>1562.2150329898002</v>
      </c>
      <c r="U148" s="3790">
        <v>1511.299435641334</v>
      </c>
      <c r="V148" s="3790">
        <v>1454.1081873379896</v>
      </c>
      <c r="W148" s="3790">
        <v>1624.0301666503199</v>
      </c>
      <c r="X148" s="3790">
        <v>1647.23841765315</v>
      </c>
      <c r="Y148" s="3790">
        <v>1603.0790551408734</v>
      </c>
      <c r="Z148" s="3790">
        <v>1681.6322914322732</v>
      </c>
      <c r="AA148" s="3790">
        <v>1686.7517890316901</v>
      </c>
      <c r="AB148" s="3790">
        <v>1666.8115658332406</v>
      </c>
      <c r="AC148" s="3790">
        <v>1644.8520415710798</v>
      </c>
      <c r="AD148" s="3790">
        <v>1637.2224948881203</v>
      </c>
      <c r="AE148" s="3790">
        <v>1641.6799959914138</v>
      </c>
      <c r="AF148" s="3790">
        <v>1628.2282704290528</v>
      </c>
    </row>
    <row r="149" spans="1:32">
      <c r="A149" s="3432" t="str">
        <f t="shared" si="6"/>
        <v>\\DG ECFIN\Forecast\Country databases\Desk transfer databases\BE</v>
      </c>
      <c r="B149" s="3432" t="str">
        <f t="shared" si="7"/>
        <v>BE</v>
      </c>
      <c r="C149" s="3432" t="s">
        <v>2147</v>
      </c>
      <c r="D149" s="3432" t="s">
        <v>2401</v>
      </c>
      <c r="E149" s="3432" t="s">
        <v>2365</v>
      </c>
      <c r="F149" s="3432" t="s">
        <v>2402</v>
      </c>
      <c r="G149" s="3432" t="s">
        <v>2403</v>
      </c>
      <c r="H149" s="3790" t="s">
        <v>2180</v>
      </c>
      <c r="I149" s="3790" t="s">
        <v>2180</v>
      </c>
      <c r="J149" s="3790" t="s">
        <v>2180</v>
      </c>
      <c r="K149" s="3790" t="s">
        <v>2180</v>
      </c>
      <c r="L149" s="3790" t="s">
        <v>2180</v>
      </c>
      <c r="M149" s="3790" t="s">
        <v>2180</v>
      </c>
      <c r="N149" s="3790" t="s">
        <v>2180</v>
      </c>
      <c r="O149" s="3790" t="s">
        <v>2180</v>
      </c>
      <c r="P149" s="3790">
        <v>527.91899999999998</v>
      </c>
      <c r="Q149" s="3790">
        <v>509.11500000000001</v>
      </c>
      <c r="R149" s="3790">
        <v>441.97300000000001</v>
      </c>
      <c r="S149" s="3790">
        <v>375.79599999999999</v>
      </c>
      <c r="T149" s="3790">
        <v>341.64100000000002</v>
      </c>
      <c r="U149" s="3790">
        <v>383.14800000000002</v>
      </c>
      <c r="V149" s="3790">
        <v>508.43599999999998</v>
      </c>
      <c r="W149" s="3790">
        <v>427.25400000000002</v>
      </c>
      <c r="X149" s="3790">
        <v>439.15600000000001</v>
      </c>
      <c r="Y149" s="3790">
        <v>431.89400000000001</v>
      </c>
      <c r="Z149" s="3790">
        <v>426.803</v>
      </c>
      <c r="AA149" s="3790">
        <v>482.59399999999999</v>
      </c>
      <c r="AB149" s="3790">
        <v>578.87599999999998</v>
      </c>
      <c r="AC149" s="3790">
        <v>562.29499999999996</v>
      </c>
      <c r="AD149" s="3790">
        <v>537.20396075741257</v>
      </c>
      <c r="AE149" s="3790">
        <v>516.1849588165669</v>
      </c>
      <c r="AF149" s="3790">
        <v>498.26778953194912</v>
      </c>
    </row>
    <row r="150" spans="1:32">
      <c r="A150" s="3432" t="str">
        <f t="shared" si="6"/>
        <v>\\DG ECFIN\Forecast\Country databases\Desk transfer databases\BE</v>
      </c>
      <c r="B150" s="3432" t="str">
        <f t="shared" si="7"/>
        <v>BE</v>
      </c>
      <c r="C150" s="3432" t="s">
        <v>2147</v>
      </c>
      <c r="D150" s="3432" t="s">
        <v>2404</v>
      </c>
      <c r="E150" s="3432" t="s">
        <v>2365</v>
      </c>
      <c r="F150" s="3432" t="s">
        <v>2405</v>
      </c>
      <c r="G150" s="3432" t="s">
        <v>2406</v>
      </c>
      <c r="H150" s="3790" t="s">
        <v>2180</v>
      </c>
      <c r="I150" s="3790" t="s">
        <v>2180</v>
      </c>
      <c r="J150" s="3790" t="s">
        <v>2180</v>
      </c>
      <c r="K150" s="3790" t="s">
        <v>2180</v>
      </c>
      <c r="L150" s="3790" t="s">
        <v>2180</v>
      </c>
      <c r="M150" s="3790" t="s">
        <v>2180</v>
      </c>
      <c r="N150" s="3790" t="s">
        <v>2180</v>
      </c>
      <c r="O150" s="3790" t="s">
        <v>2180</v>
      </c>
      <c r="P150" s="3790">
        <v>2453.9789999999998</v>
      </c>
      <c r="Q150" s="3790">
        <v>2473.8960000000002</v>
      </c>
      <c r="R150" s="3790">
        <v>2509.9259999999999</v>
      </c>
      <c r="S150" s="3790">
        <v>2530.0050000000001</v>
      </c>
      <c r="T150" s="3790">
        <v>2659.2660000000001</v>
      </c>
      <c r="U150" s="3790">
        <v>2669.375</v>
      </c>
      <c r="V150" s="3790">
        <v>2644.3969999999999</v>
      </c>
      <c r="W150" s="3790">
        <v>2676.8319999999999</v>
      </c>
      <c r="X150" s="3790">
        <v>2665.0920000000001</v>
      </c>
      <c r="Y150" s="3790">
        <v>2588.4960000000001</v>
      </c>
      <c r="Z150" s="3790">
        <v>2629.36</v>
      </c>
      <c r="AA150" s="3790">
        <v>2698.0369999999998</v>
      </c>
      <c r="AB150" s="3790">
        <v>2777.0630000000001</v>
      </c>
      <c r="AC150" s="3790">
        <v>2889.0210000000002</v>
      </c>
      <c r="AD150" s="3790">
        <v>3032.1678869851376</v>
      </c>
      <c r="AE150" s="3790">
        <v>3198.3072392852623</v>
      </c>
      <c r="AF150" s="3790">
        <v>3375.4730874614766</v>
      </c>
    </row>
    <row r="151" spans="1:32">
      <c r="A151" s="3432" t="str">
        <f t="shared" si="6"/>
        <v>\\DG ECFIN\Forecast\Country databases\Desk transfer databases\BE</v>
      </c>
      <c r="B151" s="3432" t="str">
        <f t="shared" si="7"/>
        <v>BE</v>
      </c>
      <c r="C151" s="3432" t="s">
        <v>2147</v>
      </c>
      <c r="D151" s="3432" t="s">
        <v>2407</v>
      </c>
      <c r="E151" s="3432" t="s">
        <v>2365</v>
      </c>
      <c r="F151" s="3432" t="s">
        <v>2408</v>
      </c>
      <c r="G151" s="3432" t="s">
        <v>2409</v>
      </c>
      <c r="H151" s="3790" t="s">
        <v>2180</v>
      </c>
      <c r="I151" s="3790" t="s">
        <v>2180</v>
      </c>
      <c r="J151" s="3790" t="s">
        <v>2180</v>
      </c>
      <c r="K151" s="3790" t="s">
        <v>2180</v>
      </c>
      <c r="L151" s="3790" t="s">
        <v>2180</v>
      </c>
      <c r="M151" s="3790" t="s">
        <v>2180</v>
      </c>
      <c r="N151" s="3790" t="s">
        <v>2180</v>
      </c>
      <c r="O151" s="3790" t="s">
        <v>2180</v>
      </c>
      <c r="P151" s="3790">
        <v>125.89</v>
      </c>
      <c r="Q151" s="3790">
        <v>143.46600000000001</v>
      </c>
      <c r="R151" s="3790">
        <v>160.071</v>
      </c>
      <c r="S151" s="3790">
        <v>171.97300000000001</v>
      </c>
      <c r="T151" s="3790">
        <v>195.21199999999999</v>
      </c>
      <c r="U151" s="3790">
        <v>190.80199999999999</v>
      </c>
      <c r="V151" s="3790">
        <v>200.381</v>
      </c>
      <c r="W151" s="3790">
        <v>212.619</v>
      </c>
      <c r="X151" s="3790">
        <v>216.262</v>
      </c>
      <c r="Y151" s="3790">
        <v>226.56299999999999</v>
      </c>
      <c r="Z151" s="3790">
        <v>229.74600000000001</v>
      </c>
      <c r="AA151" s="3790">
        <v>244.16300000000001</v>
      </c>
      <c r="AB151" s="3790">
        <v>248.07499999999999</v>
      </c>
      <c r="AC151" s="3790">
        <v>252.858</v>
      </c>
      <c r="AD151" s="3790">
        <v>260.90045510626646</v>
      </c>
      <c r="AE151" s="3790">
        <v>271.79435577790412</v>
      </c>
      <c r="AF151" s="3790">
        <v>282.41288995435946</v>
      </c>
    </row>
    <row r="152" spans="1:32">
      <c r="A152" s="3432" t="str">
        <f t="shared" si="6"/>
        <v>\\DG ECFIN\Forecast\Country databases\Desk transfer databases\BE</v>
      </c>
      <c r="B152" s="3432" t="str">
        <f t="shared" si="7"/>
        <v>BE</v>
      </c>
      <c r="C152" s="3432" t="s">
        <v>2147</v>
      </c>
      <c r="D152" s="3432" t="s">
        <v>2410</v>
      </c>
      <c r="E152" s="3432" t="s">
        <v>2365</v>
      </c>
      <c r="F152" s="3432" t="s">
        <v>2411</v>
      </c>
      <c r="G152" s="3432" t="s">
        <v>2412</v>
      </c>
      <c r="H152" s="3790" t="s">
        <v>2180</v>
      </c>
      <c r="I152" s="3790" t="s">
        <v>2180</v>
      </c>
      <c r="J152" s="3790" t="s">
        <v>2180</v>
      </c>
      <c r="K152" s="3790" t="s">
        <v>2180</v>
      </c>
      <c r="L152" s="3790" t="s">
        <v>2180</v>
      </c>
      <c r="M152" s="3790" t="s">
        <v>2180</v>
      </c>
      <c r="N152" s="3790" t="s">
        <v>2180</v>
      </c>
      <c r="O152" s="3790" t="s">
        <v>2180</v>
      </c>
      <c r="P152" s="3790">
        <v>2094.1210000000001</v>
      </c>
      <c r="Q152" s="3790">
        <v>2170.0500000000002</v>
      </c>
      <c r="R152" s="3790">
        <v>2256.5920000000001</v>
      </c>
      <c r="S152" s="3790">
        <v>2418.759</v>
      </c>
      <c r="T152" s="3790">
        <v>2614.9079999999999</v>
      </c>
      <c r="U152" s="3790">
        <v>2699.8710000000001</v>
      </c>
      <c r="V152" s="3790">
        <v>2782.2759999999998</v>
      </c>
      <c r="W152" s="3790">
        <v>2876.76</v>
      </c>
      <c r="X152" s="3790">
        <v>2901.9169999999999</v>
      </c>
      <c r="Y152" s="3790">
        <v>2865.1129999999998</v>
      </c>
      <c r="Z152" s="3790">
        <v>2932.6619999999998</v>
      </c>
      <c r="AA152" s="3790">
        <v>3026.1480000000001</v>
      </c>
      <c r="AB152" s="3790">
        <v>3126.7930000000001</v>
      </c>
      <c r="AC152" s="3790">
        <v>3218.989</v>
      </c>
      <c r="AD152" s="3790">
        <v>3321.3728459533245</v>
      </c>
      <c r="AE152" s="3790">
        <v>3460.0567967442589</v>
      </c>
      <c r="AF152" s="3790">
        <v>3595.2352158970393</v>
      </c>
    </row>
    <row r="153" spans="1:32">
      <c r="A153" s="3432" t="str">
        <f t="shared" si="6"/>
        <v>\\DG ECFIN\Forecast\Country databases\Desk transfer databases\BE</v>
      </c>
      <c r="B153" s="3432" t="str">
        <f t="shared" si="7"/>
        <v>BE</v>
      </c>
      <c r="C153" s="3432" t="s">
        <v>2147</v>
      </c>
      <c r="D153" s="3432" t="s">
        <v>2413</v>
      </c>
      <c r="E153" s="3432" t="s">
        <v>2365</v>
      </c>
      <c r="F153" s="3432"/>
      <c r="G153" s="3432" t="s">
        <v>2439</v>
      </c>
      <c r="H153" s="3790" t="s">
        <v>2180</v>
      </c>
      <c r="I153" s="3790" t="s">
        <v>2180</v>
      </c>
      <c r="J153" s="3790" t="s">
        <v>2180</v>
      </c>
      <c r="K153" s="3790" t="s">
        <v>2180</v>
      </c>
      <c r="L153" s="3790" t="s">
        <v>2180</v>
      </c>
      <c r="M153" s="3790" t="s">
        <v>2180</v>
      </c>
      <c r="N153" s="3790" t="s">
        <v>2180</v>
      </c>
      <c r="O153" s="3790" t="s">
        <v>2180</v>
      </c>
      <c r="P153" s="3790">
        <v>2220.011</v>
      </c>
      <c r="Q153" s="3790">
        <v>2313.5160000000001</v>
      </c>
      <c r="R153" s="3790">
        <v>2416.663</v>
      </c>
      <c r="S153" s="3790">
        <v>2590.732</v>
      </c>
      <c r="T153" s="3790">
        <v>2810.12</v>
      </c>
      <c r="U153" s="3790">
        <v>2890.6729999999998</v>
      </c>
      <c r="V153" s="3790">
        <v>2982.6570000000002</v>
      </c>
      <c r="W153" s="3790">
        <v>3089.3789999999999</v>
      </c>
      <c r="X153" s="3790">
        <v>3118.1790000000001</v>
      </c>
      <c r="Y153" s="3790">
        <v>3091.6759999999999</v>
      </c>
      <c r="Z153" s="3790">
        <v>3162.4079999999999</v>
      </c>
      <c r="AA153" s="3790">
        <v>3270.3110000000001</v>
      </c>
      <c r="AB153" s="3790">
        <v>3374.8679999999999</v>
      </c>
      <c r="AC153" s="3790">
        <v>3471.8470000000002</v>
      </c>
      <c r="AD153" s="3790">
        <v>3582.2733010595907</v>
      </c>
      <c r="AE153" s="3790">
        <v>3731.8511525221629</v>
      </c>
      <c r="AF153" s="3790">
        <v>3877.6481058513987</v>
      </c>
    </row>
    <row r="154" spans="1:32">
      <c r="A154" s="3433" t="str">
        <f>CONCATENATE($I$7,$J$7)</f>
        <v>\\DG ECFIN\Forecast\Country databases\Desk transfer databases\BE</v>
      </c>
      <c r="B154" s="3432" t="str">
        <f t="shared" si="7"/>
        <v>BE</v>
      </c>
      <c r="C154" s="3432" t="s">
        <v>2147</v>
      </c>
      <c r="D154" s="3432" t="s">
        <v>2496</v>
      </c>
      <c r="E154" s="3432" t="s">
        <v>2149</v>
      </c>
      <c r="F154" s="3433"/>
      <c r="G154" s="3433" t="s">
        <v>2497</v>
      </c>
      <c r="H154" s="3790" t="s">
        <v>2180</v>
      </c>
      <c r="I154" s="3790" t="s">
        <v>2180</v>
      </c>
      <c r="J154" s="3790" t="s">
        <v>2180</v>
      </c>
      <c r="K154" s="3790" t="s">
        <v>2180</v>
      </c>
      <c r="L154" s="3790" t="s">
        <v>2180</v>
      </c>
      <c r="M154" s="3790" t="s">
        <v>2180</v>
      </c>
      <c r="N154" s="3790" t="s">
        <v>2180</v>
      </c>
      <c r="O154" s="3790" t="s">
        <v>2180</v>
      </c>
      <c r="P154" s="3790">
        <v>-1446.98221569206</v>
      </c>
      <c r="Q154" s="3790">
        <v>-1576.2238482401297</v>
      </c>
      <c r="R154" s="3790">
        <v>-1692.2536000883504</v>
      </c>
      <c r="S154" s="3790">
        <v>-1763.30536760771</v>
      </c>
      <c r="T154" s="3790">
        <v>-1753.0020329898</v>
      </c>
      <c r="U154" s="3790">
        <v>-1673.1494356413334</v>
      </c>
      <c r="V154" s="3790">
        <v>-1624.2841873379898</v>
      </c>
      <c r="W154" s="3790">
        <v>-1638.7371666503195</v>
      </c>
      <c r="X154" s="3790">
        <v>-1633.30741765315</v>
      </c>
      <c r="Y154" s="3790">
        <v>-1531.7930551408733</v>
      </c>
      <c r="Z154" s="3790">
        <v>-1575.3872914322726</v>
      </c>
      <c r="AA154" s="3790">
        <v>-1597.0717890316901</v>
      </c>
      <c r="AB154" s="3790">
        <v>-1647.8825658332407</v>
      </c>
      <c r="AC154" s="3790">
        <v>-1624.3210415710798</v>
      </c>
      <c r="AD154" s="3790">
        <v>-1624.3210415710798</v>
      </c>
      <c r="AE154" s="3790">
        <v>-1624.3210415710796</v>
      </c>
      <c r="AF154" s="3790">
        <v>-1624.3210415710798</v>
      </c>
    </row>
    <row r="155" spans="1:32">
      <c r="A155" s="3432" t="str">
        <f t="shared" ref="A155:A160" si="8">CONCATENATE($I$7,$J$7)</f>
        <v>\\DG ECFIN\Forecast\Country databases\Desk transfer databases\BE</v>
      </c>
      <c r="B155" s="3432" t="str">
        <f t="shared" si="7"/>
        <v>BE</v>
      </c>
      <c r="C155" s="3432" t="s">
        <v>2147</v>
      </c>
      <c r="D155" s="3432" t="s">
        <v>2502</v>
      </c>
      <c r="E155" s="3432" t="s">
        <v>2365</v>
      </c>
      <c r="F155" s="3432"/>
      <c r="G155" s="3432" t="s">
        <v>2503</v>
      </c>
      <c r="H155" s="3790" t="s">
        <v>2180</v>
      </c>
      <c r="I155" s="3790" t="s">
        <v>2180</v>
      </c>
      <c r="J155" s="3790" t="s">
        <v>2180</v>
      </c>
      <c r="K155" s="3790" t="s">
        <v>2180</v>
      </c>
      <c r="L155" s="3790" t="s">
        <v>2180</v>
      </c>
      <c r="M155" s="3790" t="s">
        <v>2180</v>
      </c>
      <c r="N155" s="3790" t="s">
        <v>2180</v>
      </c>
      <c r="O155" s="3790" t="s">
        <v>2180</v>
      </c>
      <c r="P155" s="3790">
        <v>1431.7860000000001</v>
      </c>
      <c r="Q155" s="3790">
        <v>1434.7360000000001</v>
      </c>
      <c r="R155" s="3790">
        <v>1434.7840000000001</v>
      </c>
      <c r="S155" s="3790">
        <v>1415.98</v>
      </c>
      <c r="T155" s="3790">
        <v>1406.431</v>
      </c>
      <c r="U155" s="3790">
        <v>1409.442</v>
      </c>
      <c r="V155" s="3790">
        <v>1417.991</v>
      </c>
      <c r="W155" s="3790">
        <v>1430.1579999999999</v>
      </c>
      <c r="X155" s="3790">
        <v>1446.723</v>
      </c>
      <c r="Y155" s="3790">
        <v>1460.989</v>
      </c>
      <c r="Z155" s="3790">
        <v>1482.999</v>
      </c>
      <c r="AA155" s="3790">
        <v>1521.4480000000001</v>
      </c>
      <c r="AB155" s="3790">
        <v>1565.8009999999999</v>
      </c>
      <c r="AC155" s="3790">
        <v>1618.258</v>
      </c>
      <c r="AD155" s="3790">
        <v>1679.3511309797263</v>
      </c>
      <c r="AE155" s="3790">
        <v>1746.4576759649108</v>
      </c>
      <c r="AF155" s="3790">
        <v>1819.0774688881399</v>
      </c>
    </row>
    <row r="156" spans="1:32">
      <c r="A156" s="3432" t="str">
        <f t="shared" si="8"/>
        <v>\\DG ECFIN\Forecast\Country databases\Desk transfer databases\BE</v>
      </c>
      <c r="B156" s="3432" t="str">
        <f t="shared" si="7"/>
        <v>BE</v>
      </c>
      <c r="C156" s="3432" t="s">
        <v>2147</v>
      </c>
      <c r="D156" s="3432" t="s">
        <v>2504</v>
      </c>
      <c r="E156" s="3432" t="s">
        <v>2365</v>
      </c>
      <c r="F156" s="3432"/>
      <c r="G156" s="3432" t="s">
        <v>2505</v>
      </c>
      <c r="H156" s="3790" t="s">
        <v>2180</v>
      </c>
      <c r="I156" s="3790" t="s">
        <v>2180</v>
      </c>
      <c r="J156" s="3790" t="s">
        <v>2180</v>
      </c>
      <c r="K156" s="3790" t="s">
        <v>2180</v>
      </c>
      <c r="L156" s="3790" t="s">
        <v>2180</v>
      </c>
      <c r="M156" s="3790" t="s">
        <v>2180</v>
      </c>
      <c r="N156" s="3790" t="s">
        <v>2180</v>
      </c>
      <c r="O156" s="3790" t="s">
        <v>2180</v>
      </c>
      <c r="P156" s="3790">
        <v>742.84500000000003</v>
      </c>
      <c r="Q156" s="3790">
        <v>727.16099999999994</v>
      </c>
      <c r="R156" s="3790">
        <v>740.40200000000004</v>
      </c>
      <c r="S156" s="3790">
        <v>781.101</v>
      </c>
      <c r="T156" s="3790">
        <v>834.96600000000001</v>
      </c>
      <c r="U156" s="3790">
        <v>794.24900000000002</v>
      </c>
      <c r="V156" s="3790">
        <v>787.36599999999999</v>
      </c>
      <c r="W156" s="3790">
        <v>797.29399999999998</v>
      </c>
      <c r="X156" s="3790">
        <v>802.447</v>
      </c>
      <c r="Y156" s="3790">
        <v>796.54399999999998</v>
      </c>
      <c r="Z156" s="3790">
        <v>785.31500000000005</v>
      </c>
      <c r="AA156" s="3790">
        <v>797.02</v>
      </c>
      <c r="AB156" s="3790">
        <v>815.58900000000006</v>
      </c>
      <c r="AC156" s="3790">
        <v>853.56299999999999</v>
      </c>
      <c r="AD156" s="3790">
        <v>916.23021329026949</v>
      </c>
      <c r="AE156" s="3790">
        <v>995.87647789006758</v>
      </c>
      <c r="AF156" s="3790">
        <v>1081.0359904279107</v>
      </c>
    </row>
    <row r="157" spans="1:32">
      <c r="A157" s="3432" t="str">
        <f t="shared" si="8"/>
        <v>\\DG ECFIN\Forecast\Country databases\Desk transfer databases\BE</v>
      </c>
      <c r="B157" s="3432" t="str">
        <f t="shared" si="7"/>
        <v>BE</v>
      </c>
      <c r="C157" s="3432" t="s">
        <v>2147</v>
      </c>
      <c r="D157" s="3432" t="s">
        <v>2506</v>
      </c>
      <c r="E157" s="3432" t="s">
        <v>2365</v>
      </c>
      <c r="F157" s="3432"/>
      <c r="G157" s="3432" t="s">
        <v>2507</v>
      </c>
      <c r="H157" s="3790" t="s">
        <v>2180</v>
      </c>
      <c r="I157" s="3790" t="s">
        <v>2180</v>
      </c>
      <c r="J157" s="3790" t="s">
        <v>2180</v>
      </c>
      <c r="K157" s="3790" t="s">
        <v>2180</v>
      </c>
      <c r="L157" s="3790" t="s">
        <v>2180</v>
      </c>
      <c r="M157" s="3790" t="s">
        <v>2180</v>
      </c>
      <c r="N157" s="3790" t="s">
        <v>2180</v>
      </c>
      <c r="O157" s="3790" t="s">
        <v>2180</v>
      </c>
      <c r="P157" s="3790">
        <v>279.34800000000001</v>
      </c>
      <c r="Q157" s="3790">
        <v>311.99900000000002</v>
      </c>
      <c r="R157" s="3790">
        <v>334.74</v>
      </c>
      <c r="S157" s="3790">
        <v>332.92399999999998</v>
      </c>
      <c r="T157" s="3790">
        <v>417.86900000000003</v>
      </c>
      <c r="U157" s="3790">
        <v>465.68400000000003</v>
      </c>
      <c r="V157" s="3790">
        <v>439.04</v>
      </c>
      <c r="W157" s="3790">
        <v>449.38</v>
      </c>
      <c r="X157" s="3790">
        <v>415.92200000000003</v>
      </c>
      <c r="Y157" s="3790">
        <v>330.96300000000002</v>
      </c>
      <c r="Z157" s="3790">
        <v>361.04599999999999</v>
      </c>
      <c r="AA157" s="3790">
        <v>379.56900000000002</v>
      </c>
      <c r="AB157" s="3790">
        <v>395.673</v>
      </c>
      <c r="AC157" s="3790">
        <v>417.2</v>
      </c>
      <c r="AD157" s="3790">
        <v>436.58654271514195</v>
      </c>
      <c r="AE157" s="3790">
        <v>455.9730854302839</v>
      </c>
      <c r="AF157" s="3790">
        <v>475.35962814542586</v>
      </c>
    </row>
    <row r="158" spans="1:32">
      <c r="A158" s="3432" t="str">
        <f t="shared" si="8"/>
        <v>\\DG ECFIN\Forecast\Country databases\Desk transfer databases\BE</v>
      </c>
      <c r="B158" s="3432" t="str">
        <f t="shared" si="7"/>
        <v>BE</v>
      </c>
      <c r="C158" s="3432" t="s">
        <v>2147</v>
      </c>
      <c r="D158" s="3432" t="s">
        <v>2508</v>
      </c>
      <c r="E158" s="3432" t="s">
        <v>2365</v>
      </c>
      <c r="F158" s="3432"/>
      <c r="G158" s="3432" t="s">
        <v>2509</v>
      </c>
      <c r="H158" s="3790" t="s">
        <v>2180</v>
      </c>
      <c r="I158" s="3790" t="s">
        <v>2180</v>
      </c>
      <c r="J158" s="3790" t="s">
        <v>2180</v>
      </c>
      <c r="K158" s="3790" t="s">
        <v>2180</v>
      </c>
      <c r="L158" s="3790" t="s">
        <v>2180</v>
      </c>
      <c r="M158" s="3790" t="s">
        <v>2180</v>
      </c>
      <c r="N158" s="3790" t="s">
        <v>2180</v>
      </c>
      <c r="O158" s="3790" t="s">
        <v>2180</v>
      </c>
      <c r="P158" s="3790">
        <v>10.206880634959743</v>
      </c>
      <c r="Q158" s="3790">
        <v>9.3048403887574835</v>
      </c>
      <c r="R158" s="3790">
        <v>0.97065830050332902</v>
      </c>
      <c r="S158" s="3790">
        <v>-12.519449456916391</v>
      </c>
      <c r="T158" s="3790">
        <v>-7.073283082653445</v>
      </c>
      <c r="U158" s="3790">
        <v>4.7155303856013742</v>
      </c>
      <c r="V158" s="3790">
        <v>12.714325597635469</v>
      </c>
      <c r="W158" s="3790">
        <v>10.412400713942796</v>
      </c>
      <c r="X158" s="3790">
        <v>19.939081906426132</v>
      </c>
      <c r="Y158" s="3790">
        <v>17.773268949487587</v>
      </c>
      <c r="Z158" s="3790">
        <v>21.539424895117509</v>
      </c>
      <c r="AA158" s="3790">
        <v>41.002615163855822</v>
      </c>
      <c r="AB158" s="3790">
        <v>44.616874346715719</v>
      </c>
      <c r="AC158" s="3790">
        <v>52.604325243427176</v>
      </c>
      <c r="AD158" s="3790">
        <v>61.09313097972629</v>
      </c>
      <c r="AE158" s="3790">
        <v>67.106544985184371</v>
      </c>
      <c r="AF158" s="3790">
        <v>72.619792923229369</v>
      </c>
    </row>
    <row r="159" spans="1:32">
      <c r="A159" s="3432" t="str">
        <f t="shared" si="8"/>
        <v>\\DG ECFIN\Forecast\Country databases\Desk transfer databases\BE</v>
      </c>
      <c r="B159" s="3432" t="str">
        <f t="shared" si="7"/>
        <v>BE</v>
      </c>
      <c r="C159" s="3432" t="s">
        <v>2147</v>
      </c>
      <c r="D159" s="3432" t="s">
        <v>2510</v>
      </c>
      <c r="E159" s="3432" t="s">
        <v>2365</v>
      </c>
      <c r="F159" s="3432"/>
      <c r="G159" s="3432" t="s">
        <v>2511</v>
      </c>
      <c r="H159" s="3790" t="s">
        <v>2180</v>
      </c>
      <c r="I159" s="3790" t="s">
        <v>2180</v>
      </c>
      <c r="J159" s="3790" t="s">
        <v>2180</v>
      </c>
      <c r="K159" s="3790" t="s">
        <v>2180</v>
      </c>
      <c r="L159" s="3790" t="s">
        <v>2180</v>
      </c>
      <c r="M159" s="3790" t="s">
        <v>2180</v>
      </c>
      <c r="N159" s="3790" t="s">
        <v>2180</v>
      </c>
      <c r="O159" s="3790" t="s">
        <v>2180</v>
      </c>
      <c r="P159" s="3790">
        <v>-16.201104610485668</v>
      </c>
      <c r="Q159" s="3790">
        <v>-5.1560697451210205</v>
      </c>
      <c r="R159" s="3790">
        <v>10.950468662492508</v>
      </c>
      <c r="S159" s="3790">
        <v>45.584116472543137</v>
      </c>
      <c r="T159" s="3790">
        <v>49.622848788873497</v>
      </c>
      <c r="U159" s="3790">
        <v>-27.334480502570777</v>
      </c>
      <c r="V159" s="3790">
        <v>-3.6044863327030043</v>
      </c>
      <c r="W159" s="3790">
        <v>10.286918146760142</v>
      </c>
      <c r="X159" s="3790">
        <v>13.688812052956186</v>
      </c>
      <c r="Y159" s="3790">
        <v>1.6552701155800795</v>
      </c>
      <c r="Z159" s="3790">
        <v>11.266371199966482</v>
      </c>
      <c r="AA159" s="3790">
        <v>10.801192495637242</v>
      </c>
      <c r="AB159" s="3790">
        <v>26.198613643755913</v>
      </c>
      <c r="AC159" s="3790">
        <v>42.633631752603556</v>
      </c>
      <c r="AD159" s="3790">
        <v>62.667213290269451</v>
      </c>
      <c r="AE159" s="3790">
        <v>79.646264599798158</v>
      </c>
      <c r="AF159" s="3790">
        <v>85.159512537843156</v>
      </c>
    </row>
    <row r="160" spans="1:32">
      <c r="A160" s="3432" t="str">
        <f t="shared" si="8"/>
        <v>\\DG ECFIN\Forecast\Country databases\Desk transfer databases\BE</v>
      </c>
      <c r="B160" s="3432" t="str">
        <f t="shared" si="7"/>
        <v>BE</v>
      </c>
      <c r="C160" s="3432" t="s">
        <v>2147</v>
      </c>
      <c r="D160" s="3432" t="s">
        <v>2512</v>
      </c>
      <c r="E160" s="3432" t="s">
        <v>2365</v>
      </c>
      <c r="F160" s="3432"/>
      <c r="G160" s="3432" t="s">
        <v>2513</v>
      </c>
      <c r="H160" s="3790" t="s">
        <v>2180</v>
      </c>
      <c r="I160" s="3790" t="s">
        <v>2180</v>
      </c>
      <c r="J160" s="3790" t="s">
        <v>2180</v>
      </c>
      <c r="K160" s="3790" t="s">
        <v>2180</v>
      </c>
      <c r="L160" s="3790" t="s">
        <v>2180</v>
      </c>
      <c r="M160" s="3790" t="s">
        <v>2180</v>
      </c>
      <c r="N160" s="3790" t="s">
        <v>2180</v>
      </c>
      <c r="O160" s="3790" t="s">
        <v>2180</v>
      </c>
      <c r="P160" s="3790">
        <v>5.5575878252817921</v>
      </c>
      <c r="Q160" s="3790">
        <v>28.364825031443374</v>
      </c>
      <c r="R160" s="3790">
        <v>21.963988830971104</v>
      </c>
      <c r="S160" s="3790">
        <v>5.5491789079349889</v>
      </c>
      <c r="T160" s="3790">
        <v>86.805694645109099</v>
      </c>
      <c r="U160" s="3790">
        <v>43.509830552827751</v>
      </c>
      <c r="V160" s="3790">
        <v>-25.84372512898225</v>
      </c>
      <c r="W160" s="3790">
        <v>10.0699456453378</v>
      </c>
      <c r="X160" s="3790">
        <v>-14.468157669720268</v>
      </c>
      <c r="Y160" s="3790">
        <v>6.714067883961305</v>
      </c>
      <c r="Z160" s="3790">
        <v>18.574648955022226</v>
      </c>
      <c r="AA160" s="3790">
        <v>17.202013811822638</v>
      </c>
      <c r="AB160" s="3790">
        <v>18.883653377395092</v>
      </c>
      <c r="AC160" s="3790">
        <v>19.386542715141957</v>
      </c>
      <c r="AD160" s="3790">
        <v>19.386542715141957</v>
      </c>
      <c r="AE160" s="3790">
        <v>19.386542715141957</v>
      </c>
      <c r="AF160" s="3790">
        <v>19.386542715141957</v>
      </c>
    </row>
    <row r="161" spans="8:32">
      <c r="H161" s="3790"/>
      <c r="I161" s="3790"/>
      <c r="J161" s="3790"/>
      <c r="K161" s="3790"/>
      <c r="L161" s="3790"/>
      <c r="M161" s="3790"/>
      <c r="N161" s="3790"/>
      <c r="O161" s="3790"/>
      <c r="P161" s="3790"/>
      <c r="Q161" s="3790"/>
      <c r="R161" s="3790"/>
      <c r="S161" s="3790"/>
      <c r="T161" s="3790"/>
      <c r="U161" s="3790"/>
      <c r="V161" s="3790"/>
      <c r="W161" s="3790"/>
      <c r="X161" s="3790"/>
      <c r="Y161" s="3790"/>
      <c r="Z161" s="3790"/>
      <c r="AA161" s="3790"/>
      <c r="AB161" s="3790"/>
      <c r="AC161" s="3790"/>
      <c r="AD161" s="3790"/>
      <c r="AE161" s="3790"/>
      <c r="AF161" s="3790"/>
    </row>
  </sheetData>
  <protectedRanges>
    <protectedRange sqref="J5:J6" name="Range1"/>
  </protectedRanges>
  <conditionalFormatting sqref="AG116:AJ116">
    <cfRule type="containsText" dxfId="3" priority="1" operator="containsText" text="!!!">
      <formula>NOT(ISERROR(SEARCH("!!!",AG116)))</formula>
    </cfRule>
    <cfRule type="cellIs" dxfId="2" priority="2" operator="equal">
      <formula>"OK"</formula>
    </cfRule>
  </conditionalFormatting>
  <pageMargins left="0.31" right="0.25" top="0.59055118110236227" bottom="0.55000000000000004" header="0.51181102362204722" footer="0.31"/>
  <pageSetup paperSize="9" scale="84" fitToHeight="9" orientation="landscape" horizontalDpi="1200" verticalDpi="1200" r:id="rId1"/>
  <headerFooter alignWithMargins="0">
    <oddFooter>&amp;L&amp;F  &amp;A&amp;CPage &amp;P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tint="0.39997558519241921"/>
    <pageSetUpPr autoPageBreaks="0" fitToPage="1"/>
  </sheetPr>
  <dimension ref="A2:CY28"/>
  <sheetViews>
    <sheetView showGridLines="0" zoomScale="70" zoomScaleNormal="70" workbookViewId="0">
      <pane xSplit="7" ySplit="11" topLeftCell="CD12" activePane="bottomRight" state="frozen"/>
      <selection pane="topRight" activeCell="H1" sqref="H1"/>
      <selection pane="bottomLeft" activeCell="A12" sqref="A12"/>
      <selection pane="bottomRight" activeCell="CX14" sqref="CX14"/>
    </sheetView>
  </sheetViews>
  <sheetFormatPr defaultRowHeight="12.75"/>
  <cols>
    <col min="1" max="1" width="66.85546875" style="3256" customWidth="1"/>
    <col min="2" max="3" width="9.140625" style="3256"/>
    <col min="4" max="4" width="14.85546875" style="3256" customWidth="1"/>
    <col min="5" max="5" width="10" style="3256" customWidth="1"/>
    <col min="6" max="6" width="6.140625" style="3256" customWidth="1"/>
    <col min="7" max="7" width="58.140625" style="3256" bestFit="1" customWidth="1"/>
    <col min="8" max="9" width="10" style="3256" customWidth="1"/>
    <col min="10" max="10" width="10.140625" style="3256" customWidth="1"/>
    <col min="11" max="13" width="10.140625" style="3260" customWidth="1"/>
    <col min="14" max="17" width="8.42578125" style="3256" customWidth="1"/>
    <col min="18" max="80" width="9.140625" style="3256"/>
    <col min="81" max="81" width="9.140625" style="3231"/>
    <col min="82" max="84" width="9.140625" style="3256"/>
    <col min="85" max="85" width="9.140625" style="3231"/>
    <col min="86" max="16384" width="9.140625" style="3256"/>
  </cols>
  <sheetData>
    <row r="2" spans="1:103" s="3231" customFormat="1" ht="15.75" customHeight="1">
      <c r="K2" s="3234"/>
      <c r="L2" s="3234"/>
      <c r="M2" s="3234"/>
    </row>
    <row r="3" spans="1:103" s="3231" customFormat="1" ht="15.75">
      <c r="D3" s="3235" t="s">
        <v>1129</v>
      </c>
      <c r="K3" s="3234"/>
      <c r="L3" s="3234"/>
      <c r="M3" s="3234"/>
    </row>
    <row r="4" spans="1:103" s="3236" customFormat="1" ht="15.75">
      <c r="D4" s="3238" t="s">
        <v>920</v>
      </c>
      <c r="E4" s="3239" t="s">
        <v>68</v>
      </c>
      <c r="F4" s="3240"/>
      <c r="G4" s="3241"/>
      <c r="H4" s="3240"/>
      <c r="I4" s="3240"/>
      <c r="J4" s="3242"/>
      <c r="K4" s="3243"/>
      <c r="L4" s="3243"/>
      <c r="M4" s="3243"/>
    </row>
    <row r="5" spans="1:103" s="3236" customFormat="1" ht="15.75">
      <c r="D5" s="3238" t="s">
        <v>921</v>
      </c>
      <c r="E5" s="3244" t="s">
        <v>914</v>
      </c>
      <c r="F5" s="3245"/>
      <c r="G5" s="3246" t="str">
        <f>'Transfer FDMS+ A'!J5</f>
        <v>Lithuania</v>
      </c>
      <c r="H5" s="3240"/>
      <c r="I5" s="3240"/>
      <c r="J5" s="3242"/>
      <c r="K5" s="3243"/>
      <c r="L5" s="3243"/>
      <c r="M5" s="3243"/>
    </row>
    <row r="6" spans="1:103" s="3236" customFormat="1" ht="15.75">
      <c r="D6" s="3238" t="s">
        <v>922</v>
      </c>
      <c r="E6" s="3247" t="s">
        <v>528</v>
      </c>
      <c r="F6" s="3248"/>
      <c r="G6" s="3249" t="str">
        <f>'Transfer FDMS+ A'!J6</f>
        <v>DE</v>
      </c>
      <c r="H6" s="3240"/>
      <c r="I6" s="3240"/>
      <c r="J6" s="3242"/>
      <c r="K6" s="3243"/>
      <c r="L6" s="3243"/>
      <c r="M6" s="3243"/>
    </row>
    <row r="7" spans="1:103" s="3231" customFormat="1">
      <c r="F7" s="3231" t="s">
        <v>2139</v>
      </c>
      <c r="G7" s="3231" t="str">
        <f>'Transfer FDMS+ A'!J7</f>
        <v>BE</v>
      </c>
      <c r="K7" s="3234"/>
      <c r="L7" s="3234"/>
      <c r="M7" s="3234"/>
      <c r="N7" s="3234"/>
      <c r="O7" s="3234"/>
      <c r="P7" s="3234"/>
      <c r="Q7" s="3234"/>
    </row>
    <row r="8" spans="1:103" s="3231" customFormat="1">
      <c r="I8" s="3251"/>
      <c r="K8" s="3234"/>
      <c r="L8" s="3234"/>
      <c r="M8" s="3234"/>
      <c r="N8" s="3234"/>
      <c r="O8" s="3234"/>
      <c r="P8" s="3234"/>
      <c r="Q8" s="3234"/>
    </row>
    <row r="9" spans="1:103" s="3252" customFormat="1">
      <c r="D9" s="3254"/>
      <c r="E9" s="3255">
        <v>1</v>
      </c>
      <c r="F9" s="3255">
        <f t="shared" ref="F9:Q9" si="0">E9+1</f>
        <v>2</v>
      </c>
      <c r="G9" s="3255">
        <f t="shared" si="0"/>
        <v>3</v>
      </c>
      <c r="H9" s="3255">
        <f t="shared" si="0"/>
        <v>4</v>
      </c>
      <c r="I9" s="3255">
        <f t="shared" si="0"/>
        <v>5</v>
      </c>
      <c r="J9" s="3255">
        <f t="shared" si="0"/>
        <v>6</v>
      </c>
      <c r="K9" s="3255">
        <f t="shared" si="0"/>
        <v>7</v>
      </c>
      <c r="L9" s="3255">
        <f t="shared" si="0"/>
        <v>8</v>
      </c>
      <c r="M9" s="3255">
        <f t="shared" si="0"/>
        <v>9</v>
      </c>
      <c r="N9" s="3255">
        <f t="shared" si="0"/>
        <v>10</v>
      </c>
      <c r="O9" s="3255">
        <f t="shared" si="0"/>
        <v>11</v>
      </c>
      <c r="P9" s="3255">
        <f t="shared" si="0"/>
        <v>12</v>
      </c>
      <c r="Q9" s="3255">
        <f t="shared" si="0"/>
        <v>13</v>
      </c>
    </row>
    <row r="10" spans="1:103">
      <c r="D10" s="3261" t="s">
        <v>2140</v>
      </c>
      <c r="E10" s="3257" t="s">
        <v>2141</v>
      </c>
      <c r="F10" s="3259"/>
      <c r="I10" s="3257" t="str">
        <f>Last_forecast_year-2 &amp; "Q1"</f>
        <v>2017Q1</v>
      </c>
      <c r="J10" s="3257" t="str">
        <f>Last_forecast_year-2 &amp; "Q2"</f>
        <v>2017Q2</v>
      </c>
      <c r="K10" s="3257" t="str">
        <f>Last_forecast_year-2 &amp; "Q3"</f>
        <v>2017Q3</v>
      </c>
      <c r="L10" s="3257" t="str">
        <f>Last_forecast_year-2 &amp; "Q4"</f>
        <v>2017Q4</v>
      </c>
      <c r="M10" s="3257" t="str">
        <f>Last_forecast_year-1 &amp; "Q1"</f>
        <v>2018Q1</v>
      </c>
      <c r="N10" s="3257" t="str">
        <f>Last_forecast_year-1 &amp; "Q2"</f>
        <v>2018Q2</v>
      </c>
      <c r="O10" s="3257" t="str">
        <f>Last_forecast_year-1 &amp; "Q3"</f>
        <v>2018Q3</v>
      </c>
      <c r="P10" s="3257" t="str">
        <f>Last_forecast_year-1 &amp; "Q4"</f>
        <v>2018Q4</v>
      </c>
      <c r="Q10" s="3257" t="str">
        <f>Last_forecast_year &amp; "Q1"</f>
        <v>2019Q1</v>
      </c>
      <c r="R10" s="3257" t="str">
        <f>Last_forecast_year &amp; "Q2"</f>
        <v>2019Q2</v>
      </c>
      <c r="S10" s="3257" t="str">
        <f>Last_forecast_year &amp; "Q3"</f>
        <v>2019Q3</v>
      </c>
      <c r="T10" s="3257" t="str">
        <f>Last_forecast_year &amp; "Q4"</f>
        <v>2019Q4</v>
      </c>
      <c r="CC10" s="3256"/>
      <c r="CG10" s="3256"/>
    </row>
    <row r="11" spans="1:103">
      <c r="A11" s="3432" t="s">
        <v>2143</v>
      </c>
      <c r="B11" s="3432" t="s">
        <v>2144</v>
      </c>
      <c r="C11" s="3432" t="s">
        <v>2145</v>
      </c>
      <c r="D11" s="3432" t="s">
        <v>2146</v>
      </c>
      <c r="E11" s="3432" t="s">
        <v>2362</v>
      </c>
      <c r="F11" s="3432"/>
      <c r="G11" s="3432"/>
      <c r="H11" s="3432" t="s">
        <v>2279</v>
      </c>
      <c r="I11" s="3432" t="s">
        <v>2280</v>
      </c>
      <c r="J11" s="3432" t="s">
        <v>2281</v>
      </c>
      <c r="K11" s="3432" t="s">
        <v>2282</v>
      </c>
      <c r="L11" s="3432" t="s">
        <v>2283</v>
      </c>
      <c r="M11" s="3432" t="s">
        <v>2284</v>
      </c>
      <c r="N11" s="3432" t="s">
        <v>2285</v>
      </c>
      <c r="O11" s="3432" t="s">
        <v>2286</v>
      </c>
      <c r="P11" s="3432" t="s">
        <v>2287</v>
      </c>
      <c r="Q11" s="3432" t="s">
        <v>2288</v>
      </c>
      <c r="R11" s="3432" t="s">
        <v>2289</v>
      </c>
      <c r="S11" s="3432" t="s">
        <v>2290</v>
      </c>
      <c r="T11" s="3432" t="s">
        <v>2291</v>
      </c>
      <c r="U11" s="3432" t="s">
        <v>2292</v>
      </c>
      <c r="V11" s="3432" t="s">
        <v>2293</v>
      </c>
      <c r="W11" s="3432" t="s">
        <v>2294</v>
      </c>
      <c r="X11" s="3432" t="s">
        <v>2295</v>
      </c>
      <c r="Y11" s="3432" t="s">
        <v>2296</v>
      </c>
      <c r="Z11" s="3432" t="s">
        <v>2297</v>
      </c>
      <c r="AA11" s="3432" t="s">
        <v>2298</v>
      </c>
      <c r="AB11" s="3432" t="s">
        <v>2299</v>
      </c>
      <c r="AC11" s="3432" t="s">
        <v>2300</v>
      </c>
      <c r="AD11" s="3432" t="s">
        <v>2301</v>
      </c>
      <c r="AE11" s="3432" t="s">
        <v>2302</v>
      </c>
      <c r="AF11" s="3432" t="s">
        <v>2303</v>
      </c>
      <c r="AG11" s="3432" t="s">
        <v>2304</v>
      </c>
      <c r="AH11" s="3432" t="s">
        <v>2305</v>
      </c>
      <c r="AI11" s="3432" t="s">
        <v>2306</v>
      </c>
      <c r="AJ11" s="3432" t="s">
        <v>2307</v>
      </c>
      <c r="AK11" s="3432" t="s">
        <v>2308</v>
      </c>
      <c r="AL11" s="3432" t="s">
        <v>2309</v>
      </c>
      <c r="AM11" s="3432" t="s">
        <v>2310</v>
      </c>
      <c r="AN11" s="3432" t="s">
        <v>2311</v>
      </c>
      <c r="AO11" s="3432" t="s">
        <v>2312</v>
      </c>
      <c r="AP11" s="3432" t="s">
        <v>2313</v>
      </c>
      <c r="AQ11" s="3432" t="s">
        <v>2314</v>
      </c>
      <c r="AR11" s="3432" t="s">
        <v>2315</v>
      </c>
      <c r="AS11" s="3432" t="s">
        <v>2316</v>
      </c>
      <c r="AT11" s="3432" t="s">
        <v>2317</v>
      </c>
      <c r="AU11" s="3432" t="s">
        <v>2318</v>
      </c>
      <c r="AV11" s="3432" t="s">
        <v>1756</v>
      </c>
      <c r="AW11" s="3432" t="s">
        <v>1757</v>
      </c>
      <c r="AX11" s="3432" t="s">
        <v>1758</v>
      </c>
      <c r="AY11" s="3432" t="s">
        <v>1759</v>
      </c>
      <c r="AZ11" s="3432" t="s">
        <v>1760</v>
      </c>
      <c r="BA11" s="3432" t="s">
        <v>27</v>
      </c>
      <c r="BB11" s="3432" t="s">
        <v>28</v>
      </c>
      <c r="BC11" s="3432" t="s">
        <v>29</v>
      </c>
      <c r="BD11" s="3432" t="s">
        <v>30</v>
      </c>
      <c r="BE11" s="3432" t="s">
        <v>31</v>
      </c>
      <c r="BF11" s="3432" t="s">
        <v>32</v>
      </c>
      <c r="BG11" s="3432" t="s">
        <v>33</v>
      </c>
      <c r="BH11" s="3432" t="s">
        <v>2319</v>
      </c>
      <c r="BI11" s="3432" t="s">
        <v>2320</v>
      </c>
      <c r="BJ11" s="3432" t="s">
        <v>2321</v>
      </c>
      <c r="BK11" s="3432" t="s">
        <v>2322</v>
      </c>
      <c r="BL11" s="3432" t="s">
        <v>2323</v>
      </c>
      <c r="BM11" s="3432" t="s">
        <v>2324</v>
      </c>
      <c r="BN11" s="3432" t="s">
        <v>2325</v>
      </c>
      <c r="BO11" s="3432" t="s">
        <v>2326</v>
      </c>
      <c r="BP11" s="3432" t="s">
        <v>2327</v>
      </c>
      <c r="BQ11" s="3432" t="s">
        <v>2328</v>
      </c>
      <c r="BR11" s="3432" t="s">
        <v>2329</v>
      </c>
      <c r="BS11" s="3432" t="s">
        <v>2330</v>
      </c>
      <c r="BT11" s="3432" t="s">
        <v>2331</v>
      </c>
      <c r="BU11" s="3432" t="s">
        <v>2332</v>
      </c>
      <c r="BV11" s="3432" t="s">
        <v>2333</v>
      </c>
      <c r="BW11" s="3432" t="s">
        <v>2334</v>
      </c>
      <c r="BX11" s="3432" t="s">
        <v>2335</v>
      </c>
      <c r="BY11" s="3432" t="s">
        <v>2336</v>
      </c>
      <c r="BZ11" s="3432" t="s">
        <v>2337</v>
      </c>
      <c r="CA11" s="3432" t="s">
        <v>2338</v>
      </c>
      <c r="CB11" s="3432" t="s">
        <v>2339</v>
      </c>
      <c r="CC11" s="3432" t="s">
        <v>2340</v>
      </c>
      <c r="CD11" s="3432" t="s">
        <v>2341</v>
      </c>
      <c r="CE11" s="3432" t="s">
        <v>2342</v>
      </c>
      <c r="CF11" s="3432" t="s">
        <v>2351</v>
      </c>
      <c r="CG11" s="3432" t="s">
        <v>2352</v>
      </c>
      <c r="CH11" s="3432" t="s">
        <v>2353</v>
      </c>
      <c r="CI11" s="3432" t="s">
        <v>2354</v>
      </c>
      <c r="CJ11" s="3432" t="s">
        <v>2414</v>
      </c>
      <c r="CK11" s="3432" t="s">
        <v>2415</v>
      </c>
      <c r="CL11" s="3432" t="s">
        <v>2416</v>
      </c>
      <c r="CM11" s="3432" t="s">
        <v>2417</v>
      </c>
      <c r="CN11" s="3432" t="s">
        <v>2418</v>
      </c>
      <c r="CO11" s="3432" t="s">
        <v>2419</v>
      </c>
      <c r="CP11" s="3432" t="s">
        <v>2430</v>
      </c>
      <c r="CQ11" s="3432" t="s">
        <v>2431</v>
      </c>
      <c r="CR11" s="3432" t="s">
        <v>2452</v>
      </c>
      <c r="CS11" s="3432" t="s">
        <v>2453</v>
      </c>
      <c r="CT11" s="3432" t="s">
        <v>2454</v>
      </c>
      <c r="CU11" s="3432" t="s">
        <v>2455</v>
      </c>
      <c r="CV11" s="3432" t="s">
        <v>2530</v>
      </c>
      <c r="CW11" s="3432" t="s">
        <v>2531</v>
      </c>
      <c r="CX11" s="3432" t="s">
        <v>2532</v>
      </c>
      <c r="CY11" s="3432" t="s">
        <v>2533</v>
      </c>
    </row>
    <row r="12" spans="1:103">
      <c r="A12" s="3432" t="str">
        <f t="shared" ref="A12:A28" si="1">CONCATENATE($F$7, $G$7)</f>
        <v>\\DG ECFIN\Forecast\Country databases\Desk transfer databases\BE</v>
      </c>
      <c r="B12" s="3432" t="str">
        <f t="shared" ref="B12:B28" si="2">$G$7</f>
        <v>BE</v>
      </c>
      <c r="C12" s="3432" t="s">
        <v>2343</v>
      </c>
      <c r="D12" s="3432" t="s">
        <v>2148</v>
      </c>
      <c r="E12" s="3432" t="s">
        <v>2363</v>
      </c>
      <c r="F12" s="3432">
        <v>15</v>
      </c>
      <c r="G12" s="3432" t="s">
        <v>441</v>
      </c>
      <c r="H12" s="3432">
        <v>1.1238018902581581</v>
      </c>
      <c r="I12" s="3432">
        <v>1.3111180831915981</v>
      </c>
      <c r="J12" s="3432">
        <v>0.19069972128500368</v>
      </c>
      <c r="K12" s="3432">
        <v>3.232471124125591</v>
      </c>
      <c r="L12" s="3432">
        <v>1.6562396583513106</v>
      </c>
      <c r="M12" s="3432">
        <v>-0.17052148570718684</v>
      </c>
      <c r="N12" s="3432">
        <v>2.158452125842425</v>
      </c>
      <c r="O12" s="3432">
        <v>1.7480391560770858</v>
      </c>
      <c r="P12" s="3432">
        <v>1.3475156114613585</v>
      </c>
      <c r="Q12" s="3432">
        <v>-0.83431603773584939</v>
      </c>
      <c r="R12" s="3432">
        <v>3.0502125635461175</v>
      </c>
      <c r="S12" s="3432">
        <v>0.38946427025934316</v>
      </c>
      <c r="T12" s="3432">
        <v>-0.51583424334731287</v>
      </c>
      <c r="U12" s="3432">
        <v>4.4730418706760977</v>
      </c>
      <c r="V12" s="3432">
        <v>1.1032156385655245</v>
      </c>
      <c r="W12" s="3432">
        <v>-0.22014986599570019</v>
      </c>
      <c r="X12" s="3432">
        <v>1.9062367241780676</v>
      </c>
      <c r="Y12" s="3432">
        <v>3.1239073720448651</v>
      </c>
      <c r="Z12" s="3432">
        <v>0.9063050140184048</v>
      </c>
      <c r="AA12" s="3432">
        <v>1.1178599121219879</v>
      </c>
      <c r="AB12" s="3432">
        <v>2.1701067160841081</v>
      </c>
      <c r="AC12" s="3432">
        <v>-1.4860588169070654</v>
      </c>
      <c r="AD12" s="3432">
        <v>1.8182972509682038</v>
      </c>
      <c r="AE12" s="3432">
        <v>1.9903475625724809</v>
      </c>
      <c r="AF12" s="3432">
        <v>2.0334299304256342</v>
      </c>
      <c r="AG12" s="3432">
        <v>1.1624283968075133</v>
      </c>
      <c r="AH12" s="3432">
        <v>1.3172858225928508</v>
      </c>
      <c r="AI12" s="3432">
        <v>1.778364979889635</v>
      </c>
      <c r="AJ12" s="3432">
        <v>5.3751335454743865</v>
      </c>
      <c r="AK12" s="3432">
        <v>2.0462672248386715</v>
      </c>
      <c r="AL12" s="3432">
        <v>1.04054270605205</v>
      </c>
      <c r="AM12" s="3432">
        <v>4.4111272058279472</v>
      </c>
      <c r="AN12" s="3432">
        <v>1.890613765936533</v>
      </c>
      <c r="AO12" s="3432">
        <v>3.5739132163231213</v>
      </c>
      <c r="AP12" s="3432">
        <v>3.2826683554992631</v>
      </c>
      <c r="AQ12" s="3432">
        <v>1.3499326427277136</v>
      </c>
      <c r="AR12" s="3432">
        <v>31.717761806981535</v>
      </c>
      <c r="AS12" s="3432">
        <v>5.4211221915174912</v>
      </c>
      <c r="AT12" s="3432">
        <v>1.5591165006496155</v>
      </c>
      <c r="AU12" s="3432">
        <v>4.1656379755358852</v>
      </c>
      <c r="AV12" s="3432">
        <v>-3.0229902393829167</v>
      </c>
      <c r="AW12" s="3432">
        <v>4.8791325986491163</v>
      </c>
      <c r="AX12" s="3432">
        <v>6.0079654266587568</v>
      </c>
      <c r="AY12" s="3432">
        <v>0.41566746602719196</v>
      </c>
      <c r="AZ12" s="3432">
        <v>3.5344690335933793</v>
      </c>
      <c r="BA12" s="3432">
        <v>3.1254805474396408</v>
      </c>
      <c r="BB12" s="3432">
        <v>0.42311276794033681</v>
      </c>
      <c r="BC12" s="3432">
        <v>5.5107002988288301</v>
      </c>
      <c r="BD12" s="3432">
        <v>0.49431798191603704</v>
      </c>
      <c r="BE12" s="3432">
        <v>-0.38160589563603908</v>
      </c>
      <c r="BF12" s="3432">
        <v>-1.9926549403433635</v>
      </c>
      <c r="BG12" s="3432">
        <v>-2.2429403854773655</v>
      </c>
      <c r="BH12" s="3432">
        <v>-11.69026483750274</v>
      </c>
      <c r="BI12" s="3432">
        <v>-1.7673935617861014</v>
      </c>
      <c r="BJ12" s="3432">
        <v>-2.3911710606989378</v>
      </c>
      <c r="BK12" s="3432">
        <v>-4.3146768324380584</v>
      </c>
      <c r="BL12" s="3432">
        <v>0.67004708438969107</v>
      </c>
      <c r="BM12" s="3432">
        <v>-0.67907897103794967</v>
      </c>
      <c r="BN12" s="3432">
        <v>2.644328729907186</v>
      </c>
      <c r="BO12" s="3432">
        <v>0.45436499183906243</v>
      </c>
      <c r="BP12" s="3432">
        <v>1.2405585807131692</v>
      </c>
      <c r="BQ12" s="3432">
        <v>1.3207833611659447</v>
      </c>
      <c r="BR12" s="3432">
        <v>1.224367481484645</v>
      </c>
      <c r="BS12" s="3432">
        <v>1.2835694650031648</v>
      </c>
      <c r="BT12" s="3432">
        <v>-0.24844979852599591</v>
      </c>
      <c r="BU12" s="3432">
        <v>0.2072083385658674</v>
      </c>
      <c r="BV12" s="3432">
        <v>0.59945276437536332</v>
      </c>
      <c r="BW12" s="3432">
        <v>1.6132381031475962</v>
      </c>
      <c r="BX12" s="3432">
        <v>1.8369056619194302</v>
      </c>
      <c r="BY12" s="3432">
        <v>0.58186195826646081</v>
      </c>
      <c r="BZ12" s="3432">
        <v>1.3943746259724721</v>
      </c>
      <c r="CA12" s="3432">
        <v>1.0682877884672148</v>
      </c>
      <c r="CB12" s="3432">
        <v>1.3703963248462347</v>
      </c>
      <c r="CC12" s="3432">
        <v>0.35717028957675812</v>
      </c>
      <c r="CD12" s="3432">
        <v>0.31380352837626635</v>
      </c>
      <c r="CE12" s="3432">
        <v>1.5164231488193014</v>
      </c>
      <c r="CF12" s="3432">
        <v>1.1987749196745501</v>
      </c>
      <c r="CG12" s="3432">
        <v>0.27664828533766617</v>
      </c>
      <c r="CH12" s="3432">
        <v>2.0885794697081961</v>
      </c>
      <c r="CI12" s="3432">
        <v>0.46067904817177485</v>
      </c>
      <c r="CJ12" s="3432">
        <v>0.24372630438709297</v>
      </c>
      <c r="CK12" s="3432">
        <v>2.5970283656010729</v>
      </c>
      <c r="CL12" s="3432">
        <v>1.4043218003405578</v>
      </c>
      <c r="CM12" s="3432">
        <v>0.96421832534145935</v>
      </c>
      <c r="CN12" s="3432">
        <v>0.71497153830328841</v>
      </c>
      <c r="CO12" s="3432">
        <v>1.1508145928738056</v>
      </c>
      <c r="CP12" s="3432">
        <v>-2.1879260144408441E-2</v>
      </c>
      <c r="CQ12" s="3432">
        <v>1.7574574102754204</v>
      </c>
      <c r="CR12" s="3432">
        <v>0.75</v>
      </c>
      <c r="CS12" s="3432">
        <v>0.75</v>
      </c>
      <c r="CT12" s="3432">
        <v>0.75</v>
      </c>
      <c r="CU12" s="3432">
        <v>0.75</v>
      </c>
      <c r="CV12" s="3432">
        <v>0.84</v>
      </c>
      <c r="CW12" s="3432">
        <v>0.84</v>
      </c>
      <c r="CX12" s="3432">
        <v>0.84</v>
      </c>
      <c r="CY12" s="3432">
        <v>0.84</v>
      </c>
    </row>
    <row r="13" spans="1:103">
      <c r="A13" s="3432" t="str">
        <f t="shared" si="1"/>
        <v>\\DG ECFIN\Forecast\Country databases\Desk transfer databases\BE</v>
      </c>
      <c r="B13" s="3432" t="str">
        <f t="shared" si="2"/>
        <v>BE</v>
      </c>
      <c r="C13" s="3432" t="s">
        <v>2343</v>
      </c>
      <c r="D13" s="3432" t="s">
        <v>2150</v>
      </c>
      <c r="E13" s="3432" t="s">
        <v>2363</v>
      </c>
      <c r="F13" s="3432">
        <v>16</v>
      </c>
      <c r="G13" s="3432" t="s">
        <v>442</v>
      </c>
      <c r="H13" s="3432">
        <v>-1.2883521729972536</v>
      </c>
      <c r="I13" s="3432">
        <v>-9.9576798605927053E-2</v>
      </c>
      <c r="J13" s="3432">
        <v>1.39190488056673</v>
      </c>
      <c r="K13" s="3432">
        <v>-0.9830770311073711</v>
      </c>
      <c r="L13" s="3432">
        <v>0.92901212679952216</v>
      </c>
      <c r="M13" s="3432">
        <v>2.7086846543001863</v>
      </c>
      <c r="N13" s="3432">
        <v>0.71147597058320855</v>
      </c>
      <c r="O13" s="3432">
        <v>-0.50945895459022505</v>
      </c>
      <c r="P13" s="3432">
        <v>3.7278530706994717</v>
      </c>
      <c r="Q13" s="3432">
        <v>0.10860622017443422</v>
      </c>
      <c r="R13" s="3432">
        <v>0.12163850351765149</v>
      </c>
      <c r="S13" s="3432">
        <v>1.1919225086192808</v>
      </c>
      <c r="T13" s="3432">
        <v>-3.8484002855474264</v>
      </c>
      <c r="U13" s="3432">
        <v>-0.60070194384448383</v>
      </c>
      <c r="V13" s="3432">
        <v>-1.8673185305900675</v>
      </c>
      <c r="W13" s="3432">
        <v>-8.3033490174366786E-2</v>
      </c>
      <c r="X13" s="3432">
        <v>2.1087257617728561</v>
      </c>
      <c r="Y13" s="3432">
        <v>-0.96307097561804111</v>
      </c>
      <c r="Z13" s="3432">
        <v>0.34240712206814461</v>
      </c>
      <c r="AA13" s="3432">
        <v>0.45384746630268147</v>
      </c>
      <c r="AB13" s="3432">
        <v>0.46198790678715351</v>
      </c>
      <c r="AC13" s="3432">
        <v>0.29755866639615824</v>
      </c>
      <c r="AD13" s="3432">
        <v>-0.16182320814509543</v>
      </c>
      <c r="AE13" s="3432">
        <v>0.21273721888295238</v>
      </c>
      <c r="AF13" s="3432">
        <v>1.533173838325963</v>
      </c>
      <c r="AG13" s="3432">
        <v>-0.34182928448159844</v>
      </c>
      <c r="AH13" s="3432">
        <v>1.9014952212860869</v>
      </c>
      <c r="AI13" s="3432">
        <v>0.27777777777777679</v>
      </c>
      <c r="AJ13" s="3432">
        <v>0.47254358807236052</v>
      </c>
      <c r="AK13" s="3432">
        <v>1.2455400583846865</v>
      </c>
      <c r="AL13" s="3432">
        <v>0.57025693599026539</v>
      </c>
      <c r="AM13" s="3432">
        <v>1.1754587155963447</v>
      </c>
      <c r="AN13" s="3432">
        <v>1.1460596328831008</v>
      </c>
      <c r="AO13" s="3432">
        <v>1.9828793774318898</v>
      </c>
      <c r="AP13" s="3432">
        <v>0.60435870825956695</v>
      </c>
      <c r="AQ13" s="3432">
        <v>0.6280339805825097</v>
      </c>
      <c r="AR13" s="3432">
        <v>45.026552898965868</v>
      </c>
      <c r="AS13" s="3432">
        <v>0.17945588974230819</v>
      </c>
      <c r="AT13" s="3432">
        <v>0.27944969905417949</v>
      </c>
      <c r="AU13" s="3432">
        <v>-0.26438013576277619</v>
      </c>
      <c r="AV13" s="3432">
        <v>0.5659836652815553</v>
      </c>
      <c r="AW13" s="3432">
        <v>0.46306190781506551</v>
      </c>
      <c r="AX13" s="3432">
        <v>2.1557225925400436</v>
      </c>
      <c r="AY13" s="3432">
        <v>0.44425933638763127</v>
      </c>
      <c r="AZ13" s="3432">
        <v>0.44920525224603214</v>
      </c>
      <c r="BA13" s="3432">
        <v>0.57791537667699622</v>
      </c>
      <c r="BB13" s="3432">
        <v>-1.757986182365423</v>
      </c>
      <c r="BC13" s="3432">
        <v>1.3368611613981285</v>
      </c>
      <c r="BD13" s="3432">
        <v>-0.43287068847053245</v>
      </c>
      <c r="BE13" s="3432">
        <v>0.10351252501552555</v>
      </c>
      <c r="BF13" s="3432">
        <v>1.0478422721632574</v>
      </c>
      <c r="BG13" s="3432">
        <v>-0.46391049256377936</v>
      </c>
      <c r="BH13" s="3432">
        <v>-0.26730637422893722</v>
      </c>
      <c r="BI13" s="3432">
        <v>-0.45357707374062972</v>
      </c>
      <c r="BJ13" s="3432">
        <v>-1.7259233690024134</v>
      </c>
      <c r="BK13" s="3432">
        <v>-0.44959606603443003</v>
      </c>
      <c r="BL13" s="3432">
        <v>-0.93853644767482036</v>
      </c>
      <c r="BM13" s="3432">
        <v>-0.97592249608207116</v>
      </c>
      <c r="BN13" s="3432">
        <v>2.1581181210006406E-2</v>
      </c>
      <c r="BO13" s="3432">
        <v>-0.6832566168009202</v>
      </c>
      <c r="BP13" s="3432">
        <v>-6.5174885943963812E-2</v>
      </c>
      <c r="BQ13" s="3432">
        <v>0.34057971014493926</v>
      </c>
      <c r="BR13" s="3432">
        <v>0.12999205604102837</v>
      </c>
      <c r="BS13" s="3432">
        <v>0.34619545618463921</v>
      </c>
      <c r="BT13" s="3432">
        <v>0.66125206641272083</v>
      </c>
      <c r="BU13" s="3432">
        <v>0.1071046054980318</v>
      </c>
      <c r="BV13" s="3432">
        <v>0.23537803138373725</v>
      </c>
      <c r="BW13" s="3432">
        <v>0.19924571265921287</v>
      </c>
      <c r="BX13" s="3432">
        <v>0.19884951352888702</v>
      </c>
      <c r="BY13" s="3432">
        <v>0.14884116521369783</v>
      </c>
      <c r="BZ13" s="3432">
        <v>0.26185421089879313</v>
      </c>
      <c r="CA13" s="3432">
        <v>-0.21175972330063075</v>
      </c>
      <c r="CB13" s="3432">
        <v>0.14854636768761864</v>
      </c>
      <c r="CC13" s="3432">
        <v>0.10594716767906576</v>
      </c>
      <c r="CD13" s="3432">
        <v>-1.4111338460465195E-2</v>
      </c>
      <c r="CE13" s="3432">
        <v>0.35283325100559093</v>
      </c>
      <c r="CF13" s="3432">
        <v>-0.30236973489908836</v>
      </c>
      <c r="CG13" s="3432">
        <v>0.23275497249257704</v>
      </c>
      <c r="CH13" s="3432">
        <v>7.0368024769784654E-3</v>
      </c>
      <c r="CI13" s="3432">
        <v>-0.11258091753447719</v>
      </c>
      <c r="CJ13" s="3432">
        <v>0.69033530571991353</v>
      </c>
      <c r="CK13" s="3432">
        <v>0.23786204001678968</v>
      </c>
      <c r="CL13" s="3432">
        <v>0.63512004466781402</v>
      </c>
      <c r="CM13" s="3432">
        <v>0.58949996532353666</v>
      </c>
      <c r="CN13" s="3432">
        <v>8.9630446773303341E-2</v>
      </c>
      <c r="CO13" s="3432">
        <v>0.22731969415168418</v>
      </c>
      <c r="CP13" s="3432">
        <v>9.6219931271490644E-2</v>
      </c>
      <c r="CQ13" s="3432">
        <v>0.15105740181267091</v>
      </c>
      <c r="CR13" s="3432">
        <v>0.5</v>
      </c>
      <c r="CS13" s="3432">
        <v>0.6</v>
      </c>
      <c r="CT13" s="3432">
        <v>0.6</v>
      </c>
      <c r="CU13" s="3432">
        <v>0.6</v>
      </c>
      <c r="CV13" s="3432">
        <v>0.3</v>
      </c>
      <c r="CW13" s="3432">
        <v>0.25</v>
      </c>
      <c r="CX13" s="3432">
        <v>0.2</v>
      </c>
      <c r="CY13" s="3432">
        <v>0.18</v>
      </c>
    </row>
    <row r="14" spans="1:103">
      <c r="A14" s="3432" t="str">
        <f t="shared" si="1"/>
        <v>\\DG ECFIN\Forecast\Country databases\Desk transfer databases\BE</v>
      </c>
      <c r="B14" s="3432" t="str">
        <f t="shared" si="2"/>
        <v>BE</v>
      </c>
      <c r="C14" s="3432" t="s">
        <v>2343</v>
      </c>
      <c r="D14" s="3432" t="s">
        <v>2151</v>
      </c>
      <c r="E14" s="3432" t="s">
        <v>2363</v>
      </c>
      <c r="F14" s="3432">
        <v>17</v>
      </c>
      <c r="G14" s="3432" t="s">
        <v>397</v>
      </c>
      <c r="H14" s="3432">
        <v>4.3382969122671478</v>
      </c>
      <c r="I14" s="3432">
        <v>3.4041764487829029</v>
      </c>
      <c r="J14" s="3432">
        <v>3.160662006333248</v>
      </c>
      <c r="K14" s="3432">
        <v>9.359434727209571</v>
      </c>
      <c r="L14" s="3432">
        <v>6.7471666137061792</v>
      </c>
      <c r="M14" s="3432">
        <v>2.4905735264933559</v>
      </c>
      <c r="N14" s="3432">
        <v>8.0114241456094462</v>
      </c>
      <c r="O14" s="3432">
        <v>4.8402276699681668</v>
      </c>
      <c r="P14" s="3432">
        <v>8.0323173598939803</v>
      </c>
      <c r="Q14" s="3432">
        <v>5.729661285216836</v>
      </c>
      <c r="R14" s="3432">
        <v>2.4625748502994149</v>
      </c>
      <c r="S14" s="3432">
        <v>-5.2414347286142249</v>
      </c>
      <c r="T14" s="3432">
        <v>-1.7654087807886576</v>
      </c>
      <c r="U14" s="3432">
        <v>2.9821463606042764</v>
      </c>
      <c r="V14" s="3432">
        <v>-8.6797485235282963</v>
      </c>
      <c r="W14" s="3432">
        <v>-4.8733675470438387</v>
      </c>
      <c r="X14" s="3432">
        <v>-2.1711478573621656</v>
      </c>
      <c r="Y14" s="3432">
        <v>-0.96395265423243615</v>
      </c>
      <c r="Z14" s="3432">
        <v>3.3998822943546836</v>
      </c>
      <c r="AA14" s="3432">
        <v>3.3143607705779177</v>
      </c>
      <c r="AB14" s="3432">
        <v>4.4031020892486339</v>
      </c>
      <c r="AC14" s="3432">
        <v>-2.5937652216268869</v>
      </c>
      <c r="AD14" s="3432">
        <v>2.8503562945368266</v>
      </c>
      <c r="AE14" s="3432">
        <v>21.109355374579629</v>
      </c>
      <c r="AF14" s="3432">
        <v>-6.0185340068917075</v>
      </c>
      <c r="AG14" s="3432">
        <v>-1.5200056955716801</v>
      </c>
      <c r="AH14" s="3432">
        <v>1.5579251762154467</v>
      </c>
      <c r="AI14" s="3432">
        <v>7.1611617312072884</v>
      </c>
      <c r="AJ14" s="3432">
        <v>-0.43842168194501152</v>
      </c>
      <c r="AK14" s="3432">
        <v>6.4518281291700008</v>
      </c>
      <c r="AL14" s="3432">
        <v>2.8611720463804557</v>
      </c>
      <c r="AM14" s="3432">
        <v>2.6810468269201637</v>
      </c>
      <c r="AN14" s="3432">
        <v>4.2755837759249848</v>
      </c>
      <c r="AO14" s="3432">
        <v>4.7917140905986866</v>
      </c>
      <c r="AP14" s="3432">
        <v>1.7486694906049927</v>
      </c>
      <c r="AQ14" s="3432">
        <v>0.14143894107601085</v>
      </c>
      <c r="AR14" s="3432">
        <v>17.777055296469001</v>
      </c>
      <c r="AS14" s="3432">
        <v>0.77343750000000711</v>
      </c>
      <c r="AT14" s="3432">
        <v>9.1945112024187878</v>
      </c>
      <c r="AU14" s="3432">
        <v>3.067092651757175</v>
      </c>
      <c r="AV14" s="3432">
        <v>1.8185575532134735</v>
      </c>
      <c r="AW14" s="3432">
        <v>5.7912184561261126</v>
      </c>
      <c r="AX14" s="3432">
        <v>5.1480463004412558</v>
      </c>
      <c r="AY14" s="3432">
        <v>9.9257997810485286</v>
      </c>
      <c r="AZ14" s="3432">
        <v>4.0112869315038102</v>
      </c>
      <c r="BA14" s="3432">
        <v>6.7663173573062174</v>
      </c>
      <c r="BB14" s="3432">
        <v>9.4663943002348816E-2</v>
      </c>
      <c r="BC14" s="3432">
        <v>1.9014435042309819</v>
      </c>
      <c r="BD14" s="3432">
        <v>-0.90367330988667671</v>
      </c>
      <c r="BE14" s="3432">
        <v>-0.82318726277912369</v>
      </c>
      <c r="BF14" s="3432">
        <v>-6.2574552683896663</v>
      </c>
      <c r="BG14" s="3432">
        <v>-8.6845872435183722</v>
      </c>
      <c r="BH14" s="3432">
        <v>-22.051907333217201</v>
      </c>
      <c r="BI14" s="3432">
        <v>-12.931098696461818</v>
      </c>
      <c r="BJ14" s="3432">
        <v>-9.0255796047566061</v>
      </c>
      <c r="BK14" s="3432">
        <v>0.94978371261986716</v>
      </c>
      <c r="BL14" s="3432">
        <v>-2.8132277596646493</v>
      </c>
      <c r="BM14" s="3432">
        <v>6.8820090098725251</v>
      </c>
      <c r="BN14" s="3432">
        <v>12.088601919110387</v>
      </c>
      <c r="BO14" s="3432">
        <v>3.6482918633490735</v>
      </c>
      <c r="BP14" s="3432">
        <v>6.5766113469702736</v>
      </c>
      <c r="BQ14" s="3432">
        <v>1.6151227638154575</v>
      </c>
      <c r="BR14" s="3432">
        <v>2.9151817533856095</v>
      </c>
      <c r="BS14" s="3432">
        <v>0.54020361520878968</v>
      </c>
      <c r="BT14" s="3432">
        <v>-1.467245298615405</v>
      </c>
      <c r="BU14" s="3432">
        <v>-3.4955257270693485</v>
      </c>
      <c r="BV14" s="3432">
        <v>1.2894813097652946</v>
      </c>
      <c r="BW14" s="3432">
        <v>-1.4375625804606051</v>
      </c>
      <c r="BX14" s="3432">
        <v>4.0635657789710455</v>
      </c>
      <c r="BY14" s="3432">
        <v>3.082072379889822</v>
      </c>
      <c r="BZ14" s="3432">
        <v>5.8039640127172998</v>
      </c>
      <c r="CA14" s="3432">
        <v>3.1967265520127519E-2</v>
      </c>
      <c r="CB14" s="3432">
        <v>1.2846733989518189</v>
      </c>
      <c r="CC14" s="3432">
        <v>7.5724111819286399E-2</v>
      </c>
      <c r="CD14" s="3432">
        <v>0.59272337473987857</v>
      </c>
      <c r="CE14" s="3432">
        <v>0.90265153889552696</v>
      </c>
      <c r="CF14" s="3432">
        <v>5.1438156178169603</v>
      </c>
      <c r="CG14" s="3432">
        <v>1.9852289512555465</v>
      </c>
      <c r="CH14" s="3432">
        <v>-2.659173860147146</v>
      </c>
      <c r="CI14" s="3432">
        <v>-4.9101297464587574</v>
      </c>
      <c r="CJ14" s="3432">
        <v>3.9306503098203605</v>
      </c>
      <c r="CK14" s="3432">
        <v>1.4935260463715627</v>
      </c>
      <c r="CL14" s="3432">
        <v>-3.5186613659289212</v>
      </c>
      <c r="CM14" s="3432">
        <v>5.5965559655596575</v>
      </c>
      <c r="CN14" s="3432">
        <v>-0.68142108328480555</v>
      </c>
      <c r="CO14" s="3432">
        <v>2.738521081334655</v>
      </c>
      <c r="CP14" s="3432">
        <v>1.2557077625570789</v>
      </c>
      <c r="CQ14" s="3432">
        <v>7.5479143179256081</v>
      </c>
      <c r="CR14" s="3432">
        <v>-1.5</v>
      </c>
      <c r="CS14" s="3432">
        <v>0.8</v>
      </c>
      <c r="CT14" s="3432">
        <v>1</v>
      </c>
      <c r="CU14" s="3432">
        <v>1.1499999999999999</v>
      </c>
      <c r="CV14" s="3432">
        <v>1.03</v>
      </c>
      <c r="CW14" s="3432">
        <v>1</v>
      </c>
      <c r="CX14" s="3432">
        <v>1</v>
      </c>
      <c r="CY14" s="3432">
        <v>1</v>
      </c>
    </row>
    <row r="15" spans="1:103">
      <c r="A15" s="3432" t="str">
        <f t="shared" si="1"/>
        <v>\\DG ECFIN\Forecast\Country databases\Desk transfer databases\BE</v>
      </c>
      <c r="B15" s="3432" t="str">
        <f t="shared" si="2"/>
        <v>BE</v>
      </c>
      <c r="C15" s="3432" t="s">
        <v>2343</v>
      </c>
      <c r="D15" s="3432" t="s">
        <v>2344</v>
      </c>
      <c r="E15" s="3432" t="s">
        <v>2363</v>
      </c>
      <c r="F15" s="3432">
        <v>18</v>
      </c>
      <c r="G15" s="3432" t="s">
        <v>488</v>
      </c>
      <c r="H15" s="3432">
        <v>0.94238821774077497</v>
      </c>
      <c r="I15" s="3432">
        <v>1.2559124198962657</v>
      </c>
      <c r="J15" s="3432">
        <v>0.97663423776381819</v>
      </c>
      <c r="K15" s="3432">
        <v>3.0992930291555476</v>
      </c>
      <c r="L15" s="3432">
        <v>2.3403081209686816</v>
      </c>
      <c r="M15" s="3432">
        <v>1.028039035428896</v>
      </c>
      <c r="N15" s="3432">
        <v>2.8462433612445492</v>
      </c>
      <c r="O15" s="3432">
        <v>1.7695501259102908</v>
      </c>
      <c r="P15" s="3432">
        <v>3.2376446198087327</v>
      </c>
      <c r="Q15" s="3432">
        <v>0.74090868604095306</v>
      </c>
      <c r="R15" s="3432">
        <v>2.2079863678744927</v>
      </c>
      <c r="S15" s="3432">
        <v>-0.63070643839602258</v>
      </c>
      <c r="T15" s="3432">
        <v>-1.585191164715849</v>
      </c>
      <c r="U15" s="3432">
        <v>2.9584894735995571</v>
      </c>
      <c r="V15" s="3432">
        <v>-1.585528730874064</v>
      </c>
      <c r="W15" s="3432">
        <v>-1.0737839575248098</v>
      </c>
      <c r="X15" s="3432">
        <v>1.2073806658644326</v>
      </c>
      <c r="Y15" s="3432">
        <v>1.4458404343862474</v>
      </c>
      <c r="Z15" s="3432">
        <v>1.2080106892537357</v>
      </c>
      <c r="AA15" s="3432">
        <v>1.3549507817023576</v>
      </c>
      <c r="AB15" s="3432">
        <v>2.1884521633150467</v>
      </c>
      <c r="AC15" s="3432">
        <v>-1.2962811118648165</v>
      </c>
      <c r="AD15" s="3432">
        <v>1.5617683930702064</v>
      </c>
      <c r="AE15" s="3432">
        <v>5.1077467616484018</v>
      </c>
      <c r="AF15" s="3432">
        <v>0.22567933725265998</v>
      </c>
      <c r="AG15" s="3432">
        <v>0.31058092750759769</v>
      </c>
      <c r="AH15" s="3432">
        <v>1.487580043628145</v>
      </c>
      <c r="AI15" s="3432">
        <v>2.5085977368538126</v>
      </c>
      <c r="AJ15" s="3432">
        <v>3.1736583650112893</v>
      </c>
      <c r="AK15" s="3432">
        <v>2.7502065113351737</v>
      </c>
      <c r="AL15" s="3432">
        <v>1.3175608853498666</v>
      </c>
      <c r="AM15" s="3432">
        <v>3.4138569467360602</v>
      </c>
      <c r="AN15" s="3432">
        <v>2.2360929269555019</v>
      </c>
      <c r="AO15" s="3432">
        <v>3.5243943843180192</v>
      </c>
      <c r="AP15" s="3432">
        <v>2.4527628823272307</v>
      </c>
      <c r="AQ15" s="3432">
        <v>0.96199745039788898</v>
      </c>
      <c r="AR15" s="3432">
        <v>31.263248859717429</v>
      </c>
      <c r="AS15" s="3432">
        <v>3.4822813332162861</v>
      </c>
      <c r="AT15" s="3432">
        <v>2.699148827870923</v>
      </c>
      <c r="AU15" s="3432">
        <v>3.0990569284780056</v>
      </c>
      <c r="AV15" s="3432">
        <v>-1.4154848703362477</v>
      </c>
      <c r="AW15" s="3432">
        <v>4.2220897786687583</v>
      </c>
      <c r="AX15" s="3432">
        <v>5.1271720624358474</v>
      </c>
      <c r="AY15" s="3432">
        <v>2.3538720205716679</v>
      </c>
      <c r="AZ15" s="3432">
        <v>3.0993332689148501</v>
      </c>
      <c r="BA15" s="3432">
        <v>3.4935214039691687</v>
      </c>
      <c r="BB15" s="3432">
        <v>-1.245189042335948E-2</v>
      </c>
      <c r="BC15" s="3432">
        <v>4.0111401691403703</v>
      </c>
      <c r="BD15" s="3432">
        <v>3.5919540229878422E-2</v>
      </c>
      <c r="BE15" s="3432">
        <v>-0.40258963059681685</v>
      </c>
      <c r="BF15" s="3432">
        <v>-2.4482438411536522</v>
      </c>
      <c r="BG15" s="3432">
        <v>-3.3115326897663944</v>
      </c>
      <c r="BH15" s="3432">
        <v>-11.826910826181114</v>
      </c>
      <c r="BI15" s="3432">
        <v>-3.4850116911436468</v>
      </c>
      <c r="BJ15" s="3432">
        <v>-3.3155036544036287</v>
      </c>
      <c r="BK15" s="3432">
        <v>-2.7520869406084114</v>
      </c>
      <c r="BL15" s="3432">
        <v>-0.20121015604644965</v>
      </c>
      <c r="BM15" s="3432">
        <v>0.40468212871502818</v>
      </c>
      <c r="BN15" s="3432">
        <v>3.6390164976452422</v>
      </c>
      <c r="BO15" s="3432">
        <v>0.79034303954501617</v>
      </c>
      <c r="BP15" s="3432">
        <v>1.9472257564861373</v>
      </c>
      <c r="BQ15" s="3432">
        <v>1.1924141299039626</v>
      </c>
      <c r="BR15" s="3432">
        <v>1.3392318520007995</v>
      </c>
      <c r="BS15" s="3432">
        <v>0.96965367621770771</v>
      </c>
      <c r="BT15" s="3432">
        <v>-0.31443656897296446</v>
      </c>
      <c r="BU15" s="3432">
        <v>-0.50731399582057968</v>
      </c>
      <c r="BV15" s="3432">
        <v>0.65785128333839538</v>
      </c>
      <c r="BW15" s="3432">
        <v>0.79266132101472042</v>
      </c>
      <c r="BX15" s="3432">
        <v>1.9361222868898187</v>
      </c>
      <c r="BY15" s="3432">
        <v>0.9618086601098419</v>
      </c>
      <c r="BZ15" s="3432">
        <v>2.0166238629606426</v>
      </c>
      <c r="CA15" s="3432">
        <v>0.64238500936297793</v>
      </c>
      <c r="CB15" s="3432">
        <v>1.1410264309038132</v>
      </c>
      <c r="CC15" s="3432">
        <v>0.25949976242980455</v>
      </c>
      <c r="CD15" s="3432">
        <v>0.31107978710478434</v>
      </c>
      <c r="CE15" s="3432">
        <v>1.1980617807389571</v>
      </c>
      <c r="CF15" s="3432">
        <v>1.7033960186260133</v>
      </c>
      <c r="CG15" s="3432">
        <v>0.60968432946493234</v>
      </c>
      <c r="CH15" s="3432">
        <v>0.78380907814694645</v>
      </c>
      <c r="CI15" s="3432">
        <v>-0.68136970400464181</v>
      </c>
      <c r="CJ15" s="3432">
        <v>1.0062760772763912</v>
      </c>
      <c r="CK15" s="3432">
        <v>1.9948162547440473</v>
      </c>
      <c r="CL15" s="3432">
        <v>0.33806779507192797</v>
      </c>
      <c r="CM15" s="3432">
        <v>1.7547430070325332</v>
      </c>
      <c r="CN15" s="3432">
        <v>0.34778550634460004</v>
      </c>
      <c r="CO15" s="3432">
        <v>1.3021669564062144</v>
      </c>
      <c r="CP15" s="3432">
        <v>0.24156437526641206</v>
      </c>
      <c r="CQ15" s="3432">
        <v>2.6224538753434778</v>
      </c>
      <c r="CR15" s="3432">
        <v>0.25512415925536319</v>
      </c>
      <c r="CS15" s="3432">
        <v>0.73665440050966002</v>
      </c>
      <c r="CT15" s="3432">
        <v>0.77655240047236962</v>
      </c>
      <c r="CU15" s="3432">
        <v>0.80666502587561029</v>
      </c>
      <c r="CV15" s="3432">
        <v>0.79461665962858952</v>
      </c>
      <c r="CW15" s="3432">
        <v>0.7813982376775449</v>
      </c>
      <c r="CX15" s="3432">
        <v>0.77429678563838522</v>
      </c>
      <c r="CY15" s="3432">
        <v>0.77188451507112787</v>
      </c>
    </row>
    <row r="16" spans="1:103">
      <c r="A16" s="3432" t="str">
        <f t="shared" si="1"/>
        <v>\\DG ECFIN\Forecast\Country databases\Desk transfer databases\BE</v>
      </c>
      <c r="B16" s="3432" t="str">
        <f t="shared" si="2"/>
        <v>BE</v>
      </c>
      <c r="C16" s="3432" t="s">
        <v>2343</v>
      </c>
      <c r="D16" s="3432" t="s">
        <v>2155</v>
      </c>
      <c r="E16" s="3432" t="s">
        <v>2363</v>
      </c>
      <c r="F16" s="3432">
        <v>19</v>
      </c>
      <c r="G16" s="3432" t="s">
        <v>2080</v>
      </c>
      <c r="H16" s="3432">
        <v>-3.7643064133711919</v>
      </c>
      <c r="I16" s="3432">
        <v>-3.0829365779110098</v>
      </c>
      <c r="J16" s="3432">
        <v>-1.2630542431616096</v>
      </c>
      <c r="K16" s="3432">
        <v>-1.6756309474555253</v>
      </c>
      <c r="L16" s="3432">
        <v>-0.36240615441653473</v>
      </c>
      <c r="M16" s="3432">
        <v>-1.0777797736665477E-2</v>
      </c>
      <c r="N16" s="3432">
        <v>-1.9391306623400433</v>
      </c>
      <c r="O16" s="3432">
        <v>1.0510549064920598</v>
      </c>
      <c r="P16" s="3432">
        <v>-0.78654983019579794</v>
      </c>
      <c r="Q16" s="3432">
        <v>-6.5112215546158606E-2</v>
      </c>
      <c r="R16" s="3432">
        <v>0.48919124192507424</v>
      </c>
      <c r="S16" s="3432">
        <v>-2.0456995394113613</v>
      </c>
      <c r="T16" s="3432">
        <v>-1.6466159803003022</v>
      </c>
      <c r="U16" s="3432">
        <v>-1.7231694422416071</v>
      </c>
      <c r="V16" s="3432">
        <v>-1.7356710617976083</v>
      </c>
      <c r="W16" s="3432">
        <v>-0.8213070515076859</v>
      </c>
      <c r="X16" s="3432">
        <v>-1.2082683947174169</v>
      </c>
      <c r="Y16" s="3432">
        <v>-1.3251849990679121</v>
      </c>
      <c r="Z16" s="3432">
        <v>-2.0669684995280555</v>
      </c>
      <c r="AA16" s="3432">
        <v>-2.3812896422556933</v>
      </c>
      <c r="AB16" s="3432">
        <v>-1.9996173713411096</v>
      </c>
      <c r="AC16" s="3432">
        <v>-1.2855852130901473</v>
      </c>
      <c r="AD16" s="3432">
        <v>-0.8979995356466135</v>
      </c>
      <c r="AE16" s="3432">
        <v>-0.64734151104869353</v>
      </c>
      <c r="AF16" s="3432">
        <v>-0.73750182189184998</v>
      </c>
      <c r="AG16" s="3432">
        <v>0.80117203258476977</v>
      </c>
      <c r="AH16" s="3432">
        <v>0.50720043474323073</v>
      </c>
      <c r="AI16" s="3432">
        <v>-1.0894337964742746</v>
      </c>
      <c r="AJ16" s="3432">
        <v>-1.0372282626591227</v>
      </c>
      <c r="AK16" s="3432">
        <v>-0.40600050587922354</v>
      </c>
      <c r="AL16" s="3432">
        <v>1.0374308589902257</v>
      </c>
      <c r="AM16" s="3432">
        <v>1.2660349944739011</v>
      </c>
      <c r="AN16" s="3432">
        <v>2.9556017612524421</v>
      </c>
      <c r="AO16" s="3432">
        <v>1.9752062639337042</v>
      </c>
      <c r="AP16" s="3432">
        <v>1.2047905618780934</v>
      </c>
      <c r="AQ16" s="3432">
        <v>2.1677870676482067</v>
      </c>
      <c r="AR16" s="3432">
        <v>-1.2538207223504476</v>
      </c>
      <c r="AS16" s="3432">
        <v>0.69349407224024584</v>
      </c>
      <c r="AT16" s="3432">
        <v>-1.863808925955819</v>
      </c>
      <c r="AU16" s="3432">
        <v>0.20892992811641573</v>
      </c>
      <c r="AV16" s="3432">
        <v>-7.8636959370902329E-2</v>
      </c>
      <c r="AW16" s="3432">
        <v>-3.7246145969622857</v>
      </c>
      <c r="AX16" s="3432">
        <v>-2.6558939878947152</v>
      </c>
      <c r="AY16" s="3432">
        <v>-1.1552140743355162</v>
      </c>
      <c r="AZ16" s="3432">
        <v>-1.973987639516652</v>
      </c>
      <c r="BA16" s="3432">
        <v>-0.26521120805626858</v>
      </c>
      <c r="BB16" s="3432">
        <v>-0.41303235628096069</v>
      </c>
      <c r="BC16" s="3432">
        <v>0.16547565056445301</v>
      </c>
      <c r="BD16" s="3432">
        <v>0.9719382098598125</v>
      </c>
      <c r="BE16" s="3432">
        <v>0.72425711738339438</v>
      </c>
      <c r="BF16" s="3432">
        <v>2.065738134044552</v>
      </c>
      <c r="BG16" s="3432">
        <v>0.8284910965323331</v>
      </c>
      <c r="BH16" s="3432">
        <v>-7.6148702092471421</v>
      </c>
      <c r="BI16" s="3432">
        <v>-3.687553598162765</v>
      </c>
      <c r="BJ16" s="3432">
        <v>-0.78030171666377823</v>
      </c>
      <c r="BK16" s="3432">
        <v>-2.518529390181258</v>
      </c>
      <c r="BL16" s="3432">
        <v>0.75721241188867294</v>
      </c>
      <c r="BM16" s="3432">
        <v>2.3386128423580557</v>
      </c>
      <c r="BN16" s="3432">
        <v>-0.53355839102821101</v>
      </c>
      <c r="BO16" s="3432">
        <v>2.3407076558029178</v>
      </c>
      <c r="BP16" s="3432">
        <v>2.8654001561451339</v>
      </c>
      <c r="BQ16" s="3432">
        <v>1.1055533833978239</v>
      </c>
      <c r="BR16" s="3432">
        <v>-0.3688601550553961</v>
      </c>
      <c r="BS16" s="3432">
        <v>3.8424846300612991E-2</v>
      </c>
      <c r="BT16" s="3432">
        <v>-0.45919844214626049</v>
      </c>
      <c r="BU16" s="3432">
        <v>-3.0061357753806961</v>
      </c>
      <c r="BV16" s="3432">
        <v>1.0728293470737529</v>
      </c>
      <c r="BW16" s="3432">
        <v>-1.8641063892182719</v>
      </c>
      <c r="BX16" s="3432">
        <v>-3.188538565284881</v>
      </c>
      <c r="BY16" s="3432">
        <v>-2.8420481912519371</v>
      </c>
      <c r="BZ16" s="3432">
        <v>-1.9992535456581215</v>
      </c>
      <c r="CA16" s="3432">
        <v>-1.6967335413147207</v>
      </c>
      <c r="CB16" s="3432">
        <v>-2.8405422853453843</v>
      </c>
      <c r="CC16" s="3432">
        <v>-3.1145636706838982</v>
      </c>
      <c r="CD16" s="3432">
        <v>-3.1031320882196813</v>
      </c>
      <c r="CE16" s="3432">
        <v>-1.7296789802477164</v>
      </c>
      <c r="CF16" s="3432">
        <v>0.19287673858612858</v>
      </c>
      <c r="CG16" s="3432">
        <v>1.5310788820392227</v>
      </c>
      <c r="CH16" s="3432">
        <v>-0.29240455585162778</v>
      </c>
      <c r="CI16" s="3432">
        <v>0.30376885309596924</v>
      </c>
      <c r="CJ16" s="3432">
        <v>-1.7061522394714927</v>
      </c>
      <c r="CK16" s="3432">
        <v>0.15624635619505248</v>
      </c>
      <c r="CL16" s="3432">
        <v>7.1553873141908017E-2</v>
      </c>
      <c r="CM16" s="3432">
        <v>-0.21673910315640582</v>
      </c>
      <c r="CN16" s="3432">
        <v>-3.4982790723917051E-2</v>
      </c>
      <c r="CO16" s="3432">
        <v>-1.8397552968594193</v>
      </c>
      <c r="CP16" s="3432">
        <v>-9.1375083574772059E-2</v>
      </c>
      <c r="CQ16" s="3432">
        <v>-1.8988037646230984</v>
      </c>
      <c r="CR16" s="3432">
        <v>-1.1408173679182696</v>
      </c>
      <c r="CS16" s="3432">
        <v>-0.87782655901667106</v>
      </c>
      <c r="CT16" s="3432">
        <v>-0.78985290792442342</v>
      </c>
      <c r="CU16" s="3432">
        <v>-1.0063826224170245</v>
      </c>
      <c r="CV16" s="3432">
        <v>-0.99440241878043356</v>
      </c>
      <c r="CW16" s="3432">
        <v>-0.83737945049919571</v>
      </c>
      <c r="CX16" s="3432">
        <v>-0.66858942834525592</v>
      </c>
      <c r="CY16" s="3432">
        <v>-0.51741238415788593</v>
      </c>
    </row>
    <row r="17" spans="1:103">
      <c r="A17" s="3432" t="str">
        <f t="shared" si="1"/>
        <v>\\DG ECFIN\Forecast\Country databases\Desk transfer databases\BE</v>
      </c>
      <c r="B17" s="3432" t="str">
        <f t="shared" si="2"/>
        <v>BE</v>
      </c>
      <c r="C17" s="3432" t="s">
        <v>2343</v>
      </c>
      <c r="D17" s="3432" t="s">
        <v>2345</v>
      </c>
      <c r="E17" s="3432" t="s">
        <v>2363</v>
      </c>
      <c r="F17" s="3432">
        <v>20</v>
      </c>
      <c r="G17" s="3432" t="s">
        <v>2081</v>
      </c>
      <c r="H17" s="3432">
        <v>0.32123353678124023</v>
      </c>
      <c r="I17" s="3432">
        <v>2.0673230867755299</v>
      </c>
      <c r="J17" s="3432">
        <v>3.6489480598419499</v>
      </c>
      <c r="K17" s="3432">
        <v>1.881313609019708</v>
      </c>
      <c r="L17" s="3432">
        <v>3.9261741851030152</v>
      </c>
      <c r="M17" s="3432">
        <v>2.3842704257561964</v>
      </c>
      <c r="N17" s="3432">
        <v>0.38303478723682449</v>
      </c>
      <c r="O17" s="3432">
        <v>3.6279878313776548</v>
      </c>
      <c r="P17" s="3432">
        <v>2.2679997315976586</v>
      </c>
      <c r="Q17" s="3432">
        <v>1.1400170592480885</v>
      </c>
      <c r="R17" s="3432">
        <v>2.6078917919525102</v>
      </c>
      <c r="S17" s="3432">
        <v>-1.7852909099530634</v>
      </c>
      <c r="T17" s="3432">
        <v>-1.8821162743914654</v>
      </c>
      <c r="U17" s="3432">
        <v>3.1221296417792921</v>
      </c>
      <c r="V17" s="3432">
        <v>-2.0494182578751907</v>
      </c>
      <c r="W17" s="3432">
        <v>-0.20297809460403382</v>
      </c>
      <c r="X17" s="3432">
        <v>1.3659735103648041</v>
      </c>
      <c r="Y17" s="3432">
        <v>0.60756852201131473</v>
      </c>
      <c r="Z17" s="3432">
        <v>0.58475333460972223</v>
      </c>
      <c r="AA17" s="3432">
        <v>1.1674663917198957</v>
      </c>
      <c r="AB17" s="3432">
        <v>2.8967442006318844</v>
      </c>
      <c r="AC17" s="3432">
        <v>-0.4129460884405689</v>
      </c>
      <c r="AD17" s="3432">
        <v>1.6272664677530635</v>
      </c>
      <c r="AE17" s="3432">
        <v>5.1514261839698205</v>
      </c>
      <c r="AF17" s="3432">
        <v>0.59922680412372031</v>
      </c>
      <c r="AG17" s="3432">
        <v>1.2653273269426224</v>
      </c>
      <c r="AH17" s="3432">
        <v>1.8201623388031996</v>
      </c>
      <c r="AI17" s="3432">
        <v>0.88622010560099884</v>
      </c>
      <c r="AJ17" s="3432">
        <v>3.0895743967599198</v>
      </c>
      <c r="AK17" s="3432">
        <v>3.6387165278561007</v>
      </c>
      <c r="AL17" s="3432">
        <v>2.7118231647969004</v>
      </c>
      <c r="AM17" s="3432">
        <v>3.4382149959788499</v>
      </c>
      <c r="AN17" s="3432">
        <v>3.6566255620246402</v>
      </c>
      <c r="AO17" s="3432">
        <v>2.993865744105606</v>
      </c>
      <c r="AP17" s="3432">
        <v>1.5338670159314116</v>
      </c>
      <c r="AQ17" s="3432">
        <v>2.0027689587492015</v>
      </c>
      <c r="AR17" s="3432">
        <v>1.1676015110137383</v>
      </c>
      <c r="AS17" s="3432">
        <v>3.7360920283412868</v>
      </c>
      <c r="AT17" s="3432">
        <v>2.1503254055233123</v>
      </c>
      <c r="AU17" s="3432">
        <v>2.2713289842323681</v>
      </c>
      <c r="AV17" s="3432">
        <v>27.717001034126177</v>
      </c>
      <c r="AW17" s="3432">
        <v>-0.31452035645640475</v>
      </c>
      <c r="AX17" s="3432">
        <v>6.3210409222679065</v>
      </c>
      <c r="AY17" s="3432">
        <v>5.3124167755190133</v>
      </c>
      <c r="AZ17" s="3432">
        <v>2.6974302160352348</v>
      </c>
      <c r="BA17" s="3432">
        <v>4.9869843577777351</v>
      </c>
      <c r="BB17" s="3432">
        <v>-0.22114256994471004</v>
      </c>
      <c r="BC17" s="3432">
        <v>3.7923816559768175</v>
      </c>
      <c r="BD17" s="3432">
        <v>1.8689673766513648</v>
      </c>
      <c r="BE17" s="3432">
        <v>-0.97080183785384078</v>
      </c>
      <c r="BF17" s="3432">
        <v>-1.5372938069937336</v>
      </c>
      <c r="BG17" s="3432">
        <v>-6.0074047533739456</v>
      </c>
      <c r="BH17" s="3432">
        <v>-16.736744830772786</v>
      </c>
      <c r="BI17" s="3432">
        <v>-1.2485953302534658</v>
      </c>
      <c r="BJ17" s="3432">
        <v>-1.5144490805130584</v>
      </c>
      <c r="BK17" s="3432">
        <v>-3.9085345848251851</v>
      </c>
      <c r="BL17" s="3432">
        <v>3.3267520745809964</v>
      </c>
      <c r="BM17" s="3432">
        <v>2.5170967185794035</v>
      </c>
      <c r="BN17" s="3432">
        <v>-0.21161500084085905</v>
      </c>
      <c r="BO17" s="3432">
        <v>3.7399059054841644</v>
      </c>
      <c r="BP17" s="3432">
        <v>2.8185411815671246</v>
      </c>
      <c r="BQ17" s="3432">
        <v>-0.55167873601051909</v>
      </c>
      <c r="BR17" s="3432">
        <v>-0.20653771299202761</v>
      </c>
      <c r="BS17" s="3432">
        <v>1.237810945273643</v>
      </c>
      <c r="BT17" s="3432">
        <v>-0.76925093043977988</v>
      </c>
      <c r="BU17" s="3432">
        <v>-3.3953592794601306</v>
      </c>
      <c r="BV17" s="3432">
        <v>5.1852358168147594</v>
      </c>
      <c r="BW17" s="3432">
        <v>-2.4277712072573232</v>
      </c>
      <c r="BX17" s="3432">
        <v>0.73792873792872804</v>
      </c>
      <c r="BY17" s="3432">
        <v>1.2719988364251922</v>
      </c>
      <c r="BZ17" s="3432">
        <v>3.032993432648734</v>
      </c>
      <c r="CA17" s="3432">
        <v>0.97828015307803717</v>
      </c>
      <c r="CB17" s="3432">
        <v>-2.7608362824094179E-2</v>
      </c>
      <c r="CC17" s="3432">
        <v>-1.8829082145011E-2</v>
      </c>
      <c r="CD17" s="3432">
        <v>0.21594746952253718</v>
      </c>
      <c r="CE17" s="3432">
        <v>2.8313351123137931</v>
      </c>
      <c r="CF17" s="3432">
        <v>4.355453759091632</v>
      </c>
      <c r="CG17" s="3432">
        <v>2.2356869337816443</v>
      </c>
      <c r="CH17" s="3432">
        <v>-1.7905470989254657</v>
      </c>
      <c r="CI17" s="3432">
        <v>-0.21859702568514106</v>
      </c>
      <c r="CJ17" s="3432">
        <v>-0.94156033327507105</v>
      </c>
      <c r="CK17" s="3432">
        <v>3.8514475278506488</v>
      </c>
      <c r="CL17" s="3432">
        <v>0.4089215119901235</v>
      </c>
      <c r="CM17" s="3432">
        <v>1.4541639403442996</v>
      </c>
      <c r="CN17" s="3432">
        <v>0.96963227363200399</v>
      </c>
      <c r="CO17" s="3432">
        <v>-0.78411506227766825</v>
      </c>
      <c r="CP17" s="3432">
        <v>2.0301694952880922</v>
      </c>
      <c r="CQ17" s="3432">
        <v>0.52436901653614143</v>
      </c>
      <c r="CR17" s="3432">
        <v>0.99892643016384974</v>
      </c>
      <c r="CS17" s="3432">
        <v>0.99737581391350105</v>
      </c>
      <c r="CT17" s="3432">
        <v>0.86426948405353454</v>
      </c>
      <c r="CU17" s="3432">
        <v>0.59457503831887559</v>
      </c>
      <c r="CV17" s="3432">
        <v>0.8079110092352495</v>
      </c>
      <c r="CW17" s="3432">
        <v>0.93684187936210372</v>
      </c>
      <c r="CX17" s="3432">
        <v>0.94052166190287134</v>
      </c>
      <c r="CY17" s="3432">
        <v>0.92032399104302232</v>
      </c>
    </row>
    <row r="18" spans="1:103">
      <c r="A18" s="3432" t="str">
        <f t="shared" si="1"/>
        <v>\\DG ECFIN\Forecast\Country databases\Desk transfer databases\BE</v>
      </c>
      <c r="B18" s="3432" t="str">
        <f t="shared" si="2"/>
        <v>BE</v>
      </c>
      <c r="C18" s="3432" t="s">
        <v>2343</v>
      </c>
      <c r="D18" s="3432" t="s">
        <v>2346</v>
      </c>
      <c r="E18" s="3432" t="s">
        <v>2363</v>
      </c>
      <c r="F18" s="3432">
        <v>21</v>
      </c>
      <c r="G18" s="3432" t="s">
        <v>2082</v>
      </c>
      <c r="H18" s="3432">
        <v>5.3976410136634456</v>
      </c>
      <c r="I18" s="3432">
        <v>3.2597615565306048</v>
      </c>
      <c r="J18" s="3432">
        <v>5.5840504753524645</v>
      </c>
      <c r="K18" s="3432">
        <v>5.0122969979064846</v>
      </c>
      <c r="L18" s="3432">
        <v>3.9969031259072807</v>
      </c>
      <c r="M18" s="3432">
        <v>2.9815745393634741</v>
      </c>
      <c r="N18" s="3432">
        <v>2.150654232632121</v>
      </c>
      <c r="O18" s="3432">
        <v>8.6851137610133975</v>
      </c>
      <c r="P18" s="3432">
        <v>2.9545343556185211</v>
      </c>
      <c r="Q18" s="3432">
        <v>-1.3360528729089771</v>
      </c>
      <c r="R18" s="3432">
        <v>-6.464639989743759</v>
      </c>
      <c r="S18" s="3432">
        <v>-5.712131855329206</v>
      </c>
      <c r="T18" s="3432">
        <v>-5.5221412606981328</v>
      </c>
      <c r="U18" s="3432">
        <v>-4.9967303919682848</v>
      </c>
      <c r="V18" s="3432">
        <v>-0.80168434691070267</v>
      </c>
      <c r="W18" s="3432">
        <v>-1.0061224489795961</v>
      </c>
      <c r="X18" s="3432">
        <v>8.5121735007318566</v>
      </c>
      <c r="Y18" s="3432">
        <v>0.68014286799908952</v>
      </c>
      <c r="Z18" s="3432">
        <v>7.4687700494395548</v>
      </c>
      <c r="AA18" s="3432">
        <v>0.45301306363254579</v>
      </c>
      <c r="AB18" s="3432">
        <v>10.12060828526482</v>
      </c>
      <c r="AC18" s="3432">
        <v>3.9365079365079492</v>
      </c>
      <c r="AD18" s="3432">
        <v>2.6389737324373774</v>
      </c>
      <c r="AE18" s="3432">
        <v>4.1230210689203739</v>
      </c>
      <c r="AF18" s="3432">
        <v>4.9271924434473036</v>
      </c>
      <c r="AG18" s="3432">
        <v>8.348427690086746</v>
      </c>
      <c r="AH18" s="3432">
        <v>-1.3135236371406567</v>
      </c>
      <c r="AI18" s="3432">
        <v>5.7443448135316988</v>
      </c>
      <c r="AJ18" s="3432">
        <v>5.8213485582134794</v>
      </c>
      <c r="AK18" s="3432">
        <v>-7.8151499630072401</v>
      </c>
      <c r="AL18" s="3432">
        <v>3.7017372729630127</v>
      </c>
      <c r="AM18" s="3432">
        <v>3.3064640956338209</v>
      </c>
      <c r="AN18" s="3432">
        <v>-5.1426859065971886</v>
      </c>
      <c r="AO18" s="3432">
        <v>4.4032951811620702</v>
      </c>
      <c r="AP18" s="3432">
        <v>4.7284873030281505</v>
      </c>
      <c r="AQ18" s="3432">
        <v>5.3573214503995104</v>
      </c>
      <c r="AR18" s="3432">
        <v>14.330981120135021</v>
      </c>
      <c r="AS18" s="3432">
        <v>3.7714212906924782</v>
      </c>
      <c r="AT18" s="3432">
        <v>5.0432807416047609</v>
      </c>
      <c r="AU18" s="3432">
        <v>3.985856637737073</v>
      </c>
      <c r="AV18" s="3432">
        <v>4.4513137557959714</v>
      </c>
      <c r="AW18" s="3432">
        <v>2.0097392988780882</v>
      </c>
      <c r="AX18" s="3432">
        <v>-1.645743221858853</v>
      </c>
      <c r="AY18" s="3432">
        <v>2.7673495655904823</v>
      </c>
      <c r="AZ18" s="3432">
        <v>-2.0326688237136015</v>
      </c>
      <c r="BA18" s="3432">
        <v>0.41017445731788005</v>
      </c>
      <c r="BB18" s="3432">
        <v>5.9815910236345804</v>
      </c>
      <c r="BC18" s="3432">
        <v>0.83846423386895186</v>
      </c>
      <c r="BD18" s="3432">
        <v>8.8113380823549683</v>
      </c>
      <c r="BE18" s="3432">
        <v>4.103651999361313</v>
      </c>
      <c r="BF18" s="3432">
        <v>-2.9492966387659525</v>
      </c>
      <c r="BG18" s="3432">
        <v>-2.9734489298293032</v>
      </c>
      <c r="BH18" s="3432">
        <v>-7.7649796393251975</v>
      </c>
      <c r="BI18" s="3432">
        <v>-6.3751955194510268</v>
      </c>
      <c r="BJ18" s="3432">
        <v>2.1071919377004145</v>
      </c>
      <c r="BK18" s="3432">
        <v>3.6497506135697799</v>
      </c>
      <c r="BL18" s="3432">
        <v>6.0342193706080183</v>
      </c>
      <c r="BM18" s="3432">
        <v>7.9071219324785114</v>
      </c>
      <c r="BN18" s="3432">
        <v>4.8821736131200222</v>
      </c>
      <c r="BO18" s="3432">
        <v>5.1450151698385405</v>
      </c>
      <c r="BP18" s="3432">
        <v>3.0529884176116795</v>
      </c>
      <c r="BQ18" s="3432">
        <v>3.2562511014078366</v>
      </c>
      <c r="BR18" s="3432">
        <v>1.3596541130959316</v>
      </c>
      <c r="BS18" s="3432">
        <v>1.1262651774522459</v>
      </c>
      <c r="BT18" s="3432">
        <v>4.2680332266479049</v>
      </c>
      <c r="BU18" s="3432">
        <v>2.7980837473385201</v>
      </c>
      <c r="BV18" s="3432">
        <v>4.2339092462502448</v>
      </c>
      <c r="BW18" s="3432">
        <v>4.0668984931280017</v>
      </c>
      <c r="BX18" s="3432">
        <v>2.7320752315183272</v>
      </c>
      <c r="BY18" s="3432">
        <v>9.4481359292464262E-2</v>
      </c>
      <c r="BZ18" s="3432">
        <v>1.341606833374609</v>
      </c>
      <c r="CA18" s="3432">
        <v>1.1329801041364496</v>
      </c>
      <c r="CB18" s="3432">
        <v>0.13739374631980272</v>
      </c>
      <c r="CC18" s="3432">
        <v>2.0520475242747915</v>
      </c>
      <c r="CD18" s="3432">
        <v>0.38413237792715993</v>
      </c>
      <c r="CE18" s="3432">
        <v>-0.46213849437044541</v>
      </c>
      <c r="CF18" s="3432">
        <v>-1.3248362437343952</v>
      </c>
      <c r="CG18" s="3432">
        <v>0.35513598561474069</v>
      </c>
      <c r="CH18" s="3432">
        <v>0.19709729439170154</v>
      </c>
      <c r="CI18" s="3432">
        <v>0.68252265140675838</v>
      </c>
      <c r="CJ18" s="3432">
        <v>0.63497232171931817</v>
      </c>
      <c r="CK18" s="3432">
        <v>0.6471444750040467</v>
      </c>
      <c r="CL18" s="3432">
        <v>1.9874033698177751</v>
      </c>
      <c r="CM18" s="3432">
        <v>2.4530383573813319</v>
      </c>
      <c r="CN18" s="3432">
        <v>4.7914073535376023</v>
      </c>
      <c r="CO18" s="3432">
        <v>3.7902547745198856</v>
      </c>
      <c r="CP18" s="3432">
        <v>2.7967442039887436</v>
      </c>
      <c r="CQ18" s="3432">
        <v>2.593065145601936</v>
      </c>
      <c r="CR18" s="3432">
        <v>0.4</v>
      </c>
      <c r="CS18" s="3432">
        <v>0.4</v>
      </c>
      <c r="CT18" s="3432">
        <v>0.55000000000000004</v>
      </c>
      <c r="CU18" s="3432">
        <v>0.9</v>
      </c>
      <c r="CV18" s="3432">
        <v>1.34</v>
      </c>
      <c r="CW18" s="3432">
        <v>1.3</v>
      </c>
      <c r="CX18" s="3432">
        <v>1.3</v>
      </c>
      <c r="CY18" s="3432">
        <v>1.3</v>
      </c>
    </row>
    <row r="19" spans="1:103">
      <c r="A19" s="3432" t="str">
        <f t="shared" si="1"/>
        <v>\\DG ECFIN\Forecast\Country databases\Desk transfer databases\BE</v>
      </c>
      <c r="B19" s="3432" t="str">
        <f t="shared" si="2"/>
        <v>BE</v>
      </c>
      <c r="C19" s="3432" t="s">
        <v>2343</v>
      </c>
      <c r="D19" s="3432" t="s">
        <v>2347</v>
      </c>
      <c r="E19" s="3432" t="s">
        <v>2363</v>
      </c>
      <c r="F19" s="3432">
        <v>22</v>
      </c>
      <c r="G19" s="3432" t="s">
        <v>722</v>
      </c>
      <c r="H19" s="3432">
        <v>1.8472102281104075</v>
      </c>
      <c r="I19" s="3432">
        <v>2.4382677751582094</v>
      </c>
      <c r="J19" s="3432">
        <v>4.2557486927906396</v>
      </c>
      <c r="K19" s="3432">
        <v>2.8756220832284685</v>
      </c>
      <c r="L19" s="3432">
        <v>3.9491021345480437</v>
      </c>
      <c r="M19" s="3432">
        <v>2.5779854169684757</v>
      </c>
      <c r="N19" s="3432">
        <v>0.95855669253810394</v>
      </c>
      <c r="O19" s="3432">
        <v>5.2939873639055168</v>
      </c>
      <c r="P19" s="3432">
        <v>2.501453045860913</v>
      </c>
      <c r="Q19" s="3432">
        <v>0.29431777679369553</v>
      </c>
      <c r="R19" s="3432">
        <v>-0.4404503577986052</v>
      </c>
      <c r="S19" s="3432">
        <v>-3.0248619531532905</v>
      </c>
      <c r="T19" s="3432">
        <v>-2.999308452495153</v>
      </c>
      <c r="U19" s="3432">
        <v>0.6951072270453551</v>
      </c>
      <c r="V19" s="3432">
        <v>-1.6975088358389567</v>
      </c>
      <c r="W19" s="3432">
        <v>-0.43156023837459534</v>
      </c>
      <c r="X19" s="3432">
        <v>3.3881101135786906</v>
      </c>
      <c r="Y19" s="3432">
        <v>0.62912244471904355</v>
      </c>
      <c r="Z19" s="3432">
        <v>2.6302804660603529</v>
      </c>
      <c r="AA19" s="3432">
        <v>0.94516409250589017</v>
      </c>
      <c r="AB19" s="3432">
        <v>5.1334924526565962</v>
      </c>
      <c r="AC19" s="3432">
        <v>0.99767312563061594</v>
      </c>
      <c r="AD19" s="3432">
        <v>1.9649319537183407</v>
      </c>
      <c r="AE19" s="3432">
        <v>4.8059186682996247</v>
      </c>
      <c r="AF19" s="3432">
        <v>2.0437949241387088</v>
      </c>
      <c r="AG19" s="3432">
        <v>3.6962943574019524</v>
      </c>
      <c r="AH19" s="3432">
        <v>0.69641021942556947</v>
      </c>
      <c r="AI19" s="3432">
        <v>2.5935889917948707</v>
      </c>
      <c r="AJ19" s="3432">
        <v>4.0791305068698103</v>
      </c>
      <c r="AK19" s="3432">
        <v>-0.57977697660770433</v>
      </c>
      <c r="AL19" s="3432">
        <v>3.0498783506284877</v>
      </c>
      <c r="AM19" s="3432">
        <v>3.3929375179017063</v>
      </c>
      <c r="AN19" s="3432">
        <v>0.63518572751524172</v>
      </c>
      <c r="AO19" s="3432">
        <v>3.4500387357591977</v>
      </c>
      <c r="AP19" s="3432">
        <v>2.5773587774652107</v>
      </c>
      <c r="AQ19" s="3432">
        <v>3.1214793951971576</v>
      </c>
      <c r="AR19" s="3432">
        <v>5.6526391219817285</v>
      </c>
      <c r="AS19" s="3432">
        <v>3.7491182011047286</v>
      </c>
      <c r="AT19" s="3432">
        <v>3.2172097531274479</v>
      </c>
      <c r="AU19" s="3432">
        <v>2.9148107897316811</v>
      </c>
      <c r="AV19" s="3432">
        <v>18.894249318390898</v>
      </c>
      <c r="AW19" s="3432">
        <v>0.45980926430517766</v>
      </c>
      <c r="AX19" s="3432">
        <v>3.6259490903899794</v>
      </c>
      <c r="AY19" s="3432">
        <v>4.4952430151965261</v>
      </c>
      <c r="AZ19" s="3432">
        <v>1.2037967799878091</v>
      </c>
      <c r="BA19" s="3432">
        <v>3.5879733283398663</v>
      </c>
      <c r="BB19" s="3432">
        <v>1.6167062263231502</v>
      </c>
      <c r="BC19" s="3432">
        <v>2.8795507807968024</v>
      </c>
      <c r="BD19" s="3432">
        <v>3.9717623708782623</v>
      </c>
      <c r="BE19" s="3432">
        <v>0.63775786893427444</v>
      </c>
      <c r="BF19" s="3432">
        <v>-2.0003017696635372</v>
      </c>
      <c r="BG19" s="3432">
        <v>-5.0221782323399022</v>
      </c>
      <c r="BH19" s="3432">
        <v>-13.760469334980108</v>
      </c>
      <c r="BI19" s="3432">
        <v>-3.0675176111494062</v>
      </c>
      <c r="BJ19" s="3432">
        <v>-0.27333505706792494</v>
      </c>
      <c r="BK19" s="3432">
        <v>-1.25652801955628</v>
      </c>
      <c r="BL19" s="3432">
        <v>4.3239340203865329</v>
      </c>
      <c r="BM19" s="3432">
        <v>4.5348314606741491</v>
      </c>
      <c r="BN19" s="3432">
        <v>1.7567393267122311</v>
      </c>
      <c r="BO19" s="3432">
        <v>4.2995487501901408</v>
      </c>
      <c r="BP19" s="3432">
        <v>2.9126764214995049</v>
      </c>
      <c r="BQ19" s="3432">
        <v>0.9793656167090381</v>
      </c>
      <c r="BR19" s="3432">
        <v>0.43737574552684677</v>
      </c>
      <c r="BS19" s="3432">
        <v>1.1915296601617831</v>
      </c>
      <c r="BT19" s="3432">
        <v>1.3194130146285898</v>
      </c>
      <c r="BU19" s="3432">
        <v>-0.7525684996327997</v>
      </c>
      <c r="BV19" s="3432">
        <v>4.764774539046579</v>
      </c>
      <c r="BW19" s="3432">
        <v>0.4281563790203391</v>
      </c>
      <c r="BX19" s="3432">
        <v>1.646594789770961</v>
      </c>
      <c r="BY19" s="3432">
        <v>0.72971353572242048</v>
      </c>
      <c r="BZ19" s="3432">
        <v>2.2589668236377314</v>
      </c>
      <c r="CA19" s="3432">
        <v>1.0484401509643027</v>
      </c>
      <c r="CB19" s="3432">
        <v>4.728650826826275E-2</v>
      </c>
      <c r="CC19" s="3432">
        <v>0.92199358851412505</v>
      </c>
      <c r="CD19" s="3432">
        <v>0.29321134293509576</v>
      </c>
      <c r="CE19" s="3432">
        <v>1.316947064954066</v>
      </c>
      <c r="CF19" s="3432">
        <v>1.7894357165758157</v>
      </c>
      <c r="CG19" s="3432">
        <v>1.4121568859053246</v>
      </c>
      <c r="CH19" s="3432">
        <v>-0.92919122833128309</v>
      </c>
      <c r="CI19" s="3432">
        <v>0.17634726041266813</v>
      </c>
      <c r="CJ19" s="3432">
        <v>-0.24710354225209175</v>
      </c>
      <c r="CK19" s="3432">
        <v>2.4274827121923082</v>
      </c>
      <c r="CL19" s="3432">
        <v>1.0981928633416738</v>
      </c>
      <c r="CM19" s="3432">
        <v>1.894176087052557</v>
      </c>
      <c r="CN19" s="3432">
        <v>2.6623883444627463</v>
      </c>
      <c r="CO19" s="3432">
        <v>1.2840006757898377</v>
      </c>
      <c r="CP19" s="3432">
        <v>2.385321100917432</v>
      </c>
      <c r="CQ19" s="3432">
        <v>1.4866405995438448</v>
      </c>
      <c r="CR19" s="3432">
        <v>0.7172934141349282</v>
      </c>
      <c r="CS19" s="3432">
        <v>0.71735688560220434</v>
      </c>
      <c r="CT19" s="3432">
        <v>0.71742036040082702</v>
      </c>
      <c r="CU19" s="3432">
        <v>0.73705413590036328</v>
      </c>
      <c r="CV19" s="3432">
        <v>1.0565291535579697</v>
      </c>
      <c r="CW19" s="3432">
        <v>1.107003192825434</v>
      </c>
      <c r="CX19" s="3432">
        <v>1.1092802960500661</v>
      </c>
      <c r="CY19" s="3432">
        <v>1.0989007179173624</v>
      </c>
    </row>
    <row r="20" spans="1:103">
      <c r="A20" s="3432" t="str">
        <f t="shared" si="1"/>
        <v>\\DG ECFIN\Forecast\Country databases\Desk transfer databases\BE</v>
      </c>
      <c r="B20" s="3432" t="str">
        <f t="shared" si="2"/>
        <v>BE</v>
      </c>
      <c r="C20" s="3432" t="s">
        <v>2343</v>
      </c>
      <c r="D20" s="3432" t="s">
        <v>2348</v>
      </c>
      <c r="E20" s="3432" t="s">
        <v>2363</v>
      </c>
      <c r="F20" s="3432">
        <v>23</v>
      </c>
      <c r="G20" s="3432" t="s">
        <v>723</v>
      </c>
      <c r="H20" s="3432">
        <v>6.2910025193943619</v>
      </c>
      <c r="I20" s="3432">
        <v>4.5551618126774773</v>
      </c>
      <c r="J20" s="3432">
        <v>7.3644280840366338</v>
      </c>
      <c r="K20" s="3432">
        <v>6.7024857316078545</v>
      </c>
      <c r="L20" s="3432">
        <v>6.7262289621661919</v>
      </c>
      <c r="M20" s="3432">
        <v>7.3634160669701965</v>
      </c>
      <c r="N20" s="3432">
        <v>0.65318126635089957</v>
      </c>
      <c r="O20" s="3432">
        <v>5.2017327783912215</v>
      </c>
      <c r="P20" s="3432">
        <v>3.0051512264440472</v>
      </c>
      <c r="Q20" s="3432">
        <v>0.12384774565747936</v>
      </c>
      <c r="R20" s="3432">
        <v>1.3340222650194855</v>
      </c>
      <c r="S20" s="3432">
        <v>-12.331772740617131</v>
      </c>
      <c r="T20" s="3432">
        <v>-5.1693750220310868</v>
      </c>
      <c r="U20" s="3432">
        <v>3.5572902146640439</v>
      </c>
      <c r="V20" s="3432">
        <v>-1.8880453705199307</v>
      </c>
      <c r="W20" s="3432">
        <v>-2.6432765653867873</v>
      </c>
      <c r="X20" s="3432">
        <v>2.825899064296733</v>
      </c>
      <c r="Y20" s="3432">
        <v>0.50615795051711654</v>
      </c>
      <c r="Z20" s="3432">
        <v>6.7978110284893534</v>
      </c>
      <c r="AA20" s="3432">
        <v>9.8736849273106664E-2</v>
      </c>
      <c r="AB20" s="3432">
        <v>8.0969387755101874</v>
      </c>
      <c r="AC20" s="3432">
        <v>2.6919022671134885</v>
      </c>
      <c r="AD20" s="3432">
        <v>3.9955876945704238</v>
      </c>
      <c r="AE20" s="3432">
        <v>7.4823217442545609</v>
      </c>
      <c r="AF20" s="3432">
        <v>3.0414342301840813</v>
      </c>
      <c r="AG20" s="3432">
        <v>7.5128362020803863</v>
      </c>
      <c r="AH20" s="3432">
        <v>-0.80172221809813315</v>
      </c>
      <c r="AI20" s="3432">
        <v>4.1233256005388075</v>
      </c>
      <c r="AJ20" s="3432">
        <v>1.2936610608020649</v>
      </c>
      <c r="AK20" s="3432">
        <v>-1.020528830235079</v>
      </c>
      <c r="AL20" s="3432">
        <v>4.0644675690851839</v>
      </c>
      <c r="AM20" s="3432">
        <v>4.5027151762855544</v>
      </c>
      <c r="AN20" s="3432">
        <v>1.0832188959077227</v>
      </c>
      <c r="AO20" s="3432">
        <v>5.6373694449576517</v>
      </c>
      <c r="AP20" s="3432">
        <v>4.0268318278154025</v>
      </c>
      <c r="AQ20" s="3432">
        <v>2.3231663897460342</v>
      </c>
      <c r="AR20" s="3432">
        <v>18.554109471201706</v>
      </c>
      <c r="AS20" s="3432">
        <v>7.6708703974777581</v>
      </c>
      <c r="AT20" s="3432">
        <v>2.3530026928808567</v>
      </c>
      <c r="AU20" s="3432">
        <v>9.4715062964571004</v>
      </c>
      <c r="AV20" s="3432">
        <v>0.30566768555897461</v>
      </c>
      <c r="AW20" s="3432">
        <v>-1.0398250674606757</v>
      </c>
      <c r="AX20" s="3432">
        <v>6.2010766084483082</v>
      </c>
      <c r="AY20" s="3432">
        <v>4.4843843378560955</v>
      </c>
      <c r="AZ20" s="3432">
        <v>-0.25209193941319041</v>
      </c>
      <c r="BA20" s="3432">
        <v>5.0099817355476972</v>
      </c>
      <c r="BB20" s="3432">
        <v>0.25685104661745672</v>
      </c>
      <c r="BC20" s="3432">
        <v>2.842330347776989</v>
      </c>
      <c r="BD20" s="3432">
        <v>6.1611188481983215</v>
      </c>
      <c r="BE20" s="3432">
        <v>4.5766970917556549</v>
      </c>
      <c r="BF20" s="3432">
        <v>-0.33746179261116005</v>
      </c>
      <c r="BG20" s="3432">
        <v>-8.3179690823996566</v>
      </c>
      <c r="BH20" s="3432">
        <v>-24.661613427179219</v>
      </c>
      <c r="BI20" s="3432">
        <v>-1.6272265284122955</v>
      </c>
      <c r="BJ20" s="3432">
        <v>5.1007096639532401</v>
      </c>
      <c r="BK20" s="3432">
        <v>3.602015738649067</v>
      </c>
      <c r="BL20" s="3432">
        <v>0.68529256721139298</v>
      </c>
      <c r="BM20" s="3432">
        <v>8.807710613993347</v>
      </c>
      <c r="BN20" s="3432">
        <v>6.1569082041075029</v>
      </c>
      <c r="BO20" s="3432">
        <v>8.5688973133344337</v>
      </c>
      <c r="BP20" s="3432">
        <v>4.920770471581748</v>
      </c>
      <c r="BQ20" s="3432">
        <v>-2.5575170018810711</v>
      </c>
      <c r="BR20" s="3432">
        <v>0.29513308831718987</v>
      </c>
      <c r="BS20" s="3432">
        <v>1.2270279273777218</v>
      </c>
      <c r="BT20" s="3432">
        <v>-2.7863097849934348</v>
      </c>
      <c r="BU20" s="3432">
        <v>-1.0287369292108495</v>
      </c>
      <c r="BV20" s="3432">
        <v>14.476009501187658</v>
      </c>
      <c r="BW20" s="3432">
        <v>2.901581926530894</v>
      </c>
      <c r="BX20" s="3432">
        <v>2.4616476585310743</v>
      </c>
      <c r="BY20" s="3432">
        <v>-4.943558417431559</v>
      </c>
      <c r="BZ20" s="3432">
        <v>5.4375010351623843</v>
      </c>
      <c r="CA20" s="3432">
        <v>3.3506126295947292</v>
      </c>
      <c r="CB20" s="3432">
        <v>-4.9473348228534881</v>
      </c>
      <c r="CC20" s="3432">
        <v>3.9208161437845668</v>
      </c>
      <c r="CD20" s="3432">
        <v>1.2832743498999877</v>
      </c>
      <c r="CE20" s="3432">
        <v>1.765313563441917</v>
      </c>
      <c r="CF20" s="3432">
        <v>1.5480846744095667</v>
      </c>
      <c r="CG20" s="3432">
        <v>2.5726592476074339</v>
      </c>
      <c r="CH20" s="3432">
        <v>-0.70227738523498395</v>
      </c>
      <c r="CI20" s="3432">
        <v>0.66827360247103673</v>
      </c>
      <c r="CJ20" s="3432">
        <v>-0.96492988845239269</v>
      </c>
      <c r="CK20" s="3432">
        <v>2.293226007267668</v>
      </c>
      <c r="CL20" s="3432">
        <v>1.1138316090408606</v>
      </c>
      <c r="CM20" s="3432">
        <v>2.233917473825664</v>
      </c>
      <c r="CN20" s="3432">
        <v>6.1610076670317593</v>
      </c>
      <c r="CO20" s="3432">
        <v>2.1382512251741037</v>
      </c>
      <c r="CP20" s="3432">
        <v>3.3043763731407383</v>
      </c>
      <c r="CQ20" s="3432">
        <v>2.9872272810609335</v>
      </c>
      <c r="CR20" s="3432">
        <v>0.8</v>
      </c>
      <c r="CS20" s="3432">
        <v>0.8</v>
      </c>
      <c r="CT20" s="3432">
        <v>0.8</v>
      </c>
      <c r="CU20" s="3432">
        <v>0.75</v>
      </c>
      <c r="CV20" s="3432">
        <v>1.5</v>
      </c>
      <c r="CW20" s="3432">
        <v>1.6</v>
      </c>
      <c r="CX20" s="3432">
        <v>1.6</v>
      </c>
      <c r="CY20" s="3432">
        <v>1.6</v>
      </c>
    </row>
    <row r="21" spans="1:103">
      <c r="A21" s="3432" t="str">
        <f t="shared" si="1"/>
        <v>\\DG ECFIN\Forecast\Country databases\Desk transfer databases\BE</v>
      </c>
      <c r="B21" s="3432" t="str">
        <f t="shared" si="2"/>
        <v>BE</v>
      </c>
      <c r="C21" s="3432" t="s">
        <v>2343</v>
      </c>
      <c r="D21" s="3432" t="s">
        <v>2160</v>
      </c>
      <c r="E21" s="3432" t="s">
        <v>2363</v>
      </c>
      <c r="F21" s="3432">
        <v>24</v>
      </c>
      <c r="G21" s="3432" t="s">
        <v>761</v>
      </c>
      <c r="H21" s="3432">
        <v>1.0331128439191151</v>
      </c>
      <c r="I21" s="3432">
        <v>-0.40101864590347258</v>
      </c>
      <c r="J21" s="3432">
        <v>3.4669566410000519</v>
      </c>
      <c r="K21" s="3432">
        <v>0.69212342709978891</v>
      </c>
      <c r="L21" s="3432">
        <v>1.4499567457780138</v>
      </c>
      <c r="M21" s="3432">
        <v>3.1977013624988393</v>
      </c>
      <c r="N21" s="3432">
        <v>2.9629962277707866</v>
      </c>
      <c r="O21" s="3432">
        <v>1.9155784680606081</v>
      </c>
      <c r="P21" s="3432">
        <v>2.0712971284289727</v>
      </c>
      <c r="Q21" s="3432">
        <v>1.7391304347826209</v>
      </c>
      <c r="R21" s="3432">
        <v>0.92146148076719392</v>
      </c>
      <c r="S21" s="3432">
        <v>4.0833993482758402E-3</v>
      </c>
      <c r="T21" s="3432">
        <v>-1.5034462483258682</v>
      </c>
      <c r="U21" s="3432">
        <v>0.36895473878832963</v>
      </c>
      <c r="V21" s="3432">
        <v>-1.5769561194818982</v>
      </c>
      <c r="W21" s="3432">
        <v>0.14687738675753792</v>
      </c>
      <c r="X21" s="3432">
        <v>2.1689210707162232</v>
      </c>
      <c r="Y21" s="3432">
        <v>1.2049872857025523</v>
      </c>
      <c r="Z21" s="3432">
        <v>1.3251849990679077</v>
      </c>
      <c r="AA21" s="3432">
        <v>1.6478154446701865</v>
      </c>
      <c r="AB21" s="3432">
        <v>2.8337818908667378</v>
      </c>
      <c r="AC21" s="3432">
        <v>-5.5863784197429656E-2</v>
      </c>
      <c r="AD21" s="3432">
        <v>2.2335033154162964</v>
      </c>
      <c r="AE21" s="3432">
        <v>2.3921689048000516</v>
      </c>
      <c r="AF21" s="3432">
        <v>0.37084988260078777</v>
      </c>
      <c r="AG21" s="3432">
        <v>2.9682262060924058</v>
      </c>
      <c r="AH21" s="3432">
        <v>1.5853580856800997</v>
      </c>
      <c r="AI21" s="3432">
        <v>1.4902496290052136</v>
      </c>
      <c r="AJ21" s="3432">
        <v>4.2389752320281193</v>
      </c>
      <c r="AK21" s="3432">
        <v>1.5410248473792798</v>
      </c>
      <c r="AL21" s="3432">
        <v>2.7142366087931968</v>
      </c>
      <c r="AM21" s="3432">
        <v>1.6934811709140574</v>
      </c>
      <c r="AN21" s="3432">
        <v>1.5311634607026336</v>
      </c>
      <c r="AO21" s="3432">
        <v>1.7692025440313008</v>
      </c>
      <c r="AP21" s="3432">
        <v>0.85149597687681489</v>
      </c>
      <c r="AQ21" s="3432">
        <v>2.5507954477745232</v>
      </c>
      <c r="AR21" s="3432">
        <v>28.642182777393678</v>
      </c>
      <c r="AS21" s="3432">
        <v>1.4175659659410034</v>
      </c>
      <c r="AT21" s="3432">
        <v>2.8800762689711545</v>
      </c>
      <c r="AU21" s="3432">
        <v>2.2987474964875965</v>
      </c>
      <c r="AV21" s="3432">
        <v>0.33019694933085209</v>
      </c>
      <c r="AW21" s="3432">
        <v>2.3969710208242345</v>
      </c>
      <c r="AX21" s="3432">
        <v>1.7392911997269334</v>
      </c>
      <c r="AY21" s="3432">
        <v>2.9732034275010921</v>
      </c>
      <c r="AZ21" s="3432">
        <v>3.0149594113973999</v>
      </c>
      <c r="BA21" s="3432">
        <v>2.8516083123591773</v>
      </c>
      <c r="BB21" s="3432">
        <v>2.675173924741503</v>
      </c>
      <c r="BC21" s="3432">
        <v>1.8018692521743596</v>
      </c>
      <c r="BD21" s="3432">
        <v>-0.49642695169336282</v>
      </c>
      <c r="BE21" s="3432">
        <v>0.86107073344994234</v>
      </c>
      <c r="BF21" s="3432">
        <v>-1.0857750039693581</v>
      </c>
      <c r="BG21" s="3432">
        <v>-1.1890650466735986</v>
      </c>
      <c r="BH21" s="3432">
        <v>-13.108403623867538</v>
      </c>
      <c r="BI21" s="3432">
        <v>-1.058459768461939</v>
      </c>
      <c r="BJ21" s="3432">
        <v>0.5886713469672511</v>
      </c>
      <c r="BK21" s="3432">
        <v>-1.5447083983584742</v>
      </c>
      <c r="BL21" s="3432">
        <v>0.98334189476771972</v>
      </c>
      <c r="BM21" s="3432">
        <v>1.6728435433471578</v>
      </c>
      <c r="BN21" s="3432">
        <v>-6.861455772200209E-2</v>
      </c>
      <c r="BO21" s="3432">
        <v>2.4846941694798952</v>
      </c>
      <c r="BP21" s="3432">
        <v>1.903831390885613</v>
      </c>
      <c r="BQ21" s="3432">
        <v>1.5915845991590238</v>
      </c>
      <c r="BR21" s="3432">
        <v>0.51637432419677776</v>
      </c>
      <c r="BS21" s="3432">
        <v>1.2313222630576437</v>
      </c>
      <c r="BT21" s="3432">
        <v>0.70224719101124045</v>
      </c>
      <c r="BU21" s="3432">
        <v>0.1434172784926746</v>
      </c>
      <c r="BV21" s="3432">
        <v>2.5055511029943078</v>
      </c>
      <c r="BW21" s="3432">
        <v>0.5268015073444543</v>
      </c>
      <c r="BX21" s="3432">
        <v>0.21038136403626062</v>
      </c>
      <c r="BY21" s="3432">
        <v>0.90973865689492062</v>
      </c>
      <c r="BZ21" s="3432">
        <v>1.3504142026756316</v>
      </c>
      <c r="CA21" s="3432">
        <v>0.89201293854193064</v>
      </c>
      <c r="CB21" s="3432">
        <v>1.2330912364205915</v>
      </c>
      <c r="CC21" s="3432">
        <v>0.66628500432412974</v>
      </c>
      <c r="CD21" s="3432">
        <v>0.29040220705676134</v>
      </c>
      <c r="CE21" s="3432">
        <v>0.23526856811930674</v>
      </c>
      <c r="CF21" s="3432">
        <v>0.47424740307415725</v>
      </c>
      <c r="CG21" s="3432">
        <v>0.85776239023396261</v>
      </c>
      <c r="CH21" s="3432">
        <v>0.74237727018968691</v>
      </c>
      <c r="CI21" s="3432">
        <v>0.14030702478364798</v>
      </c>
      <c r="CJ21" s="3432">
        <v>0.33909081275829145</v>
      </c>
      <c r="CK21" s="3432">
        <v>0.63482005608945791</v>
      </c>
      <c r="CL21" s="3432">
        <v>1.033091579021006</v>
      </c>
      <c r="CM21" s="3432">
        <v>1.1714061490167182</v>
      </c>
      <c r="CN21" s="3432">
        <v>1.0859769800257935</v>
      </c>
      <c r="CO21" s="3432">
        <v>0.71771144840040435</v>
      </c>
      <c r="CP21" s="3432">
        <v>0.54789302080648916</v>
      </c>
      <c r="CQ21" s="3432">
        <v>1.3505683084466202</v>
      </c>
      <c r="CR21" s="3432">
        <v>0.64000000000000046</v>
      </c>
      <c r="CS21" s="3432">
        <v>0.64000000000000268</v>
      </c>
      <c r="CT21" s="3432">
        <v>0.63999999999999979</v>
      </c>
      <c r="CU21" s="3432">
        <v>0.72489778708730856</v>
      </c>
      <c r="CV21" s="3432">
        <v>0.64000000000000046</v>
      </c>
      <c r="CW21" s="3432">
        <v>0.64000000000000123</v>
      </c>
      <c r="CX21" s="3432">
        <v>0.64000000000000123</v>
      </c>
      <c r="CY21" s="3432">
        <v>0.61512319845919095</v>
      </c>
    </row>
    <row r="22" spans="1:103">
      <c r="A22" s="3432" t="str">
        <f t="shared" si="1"/>
        <v>\\DG ECFIN\Forecast\Country databases\Desk transfer databases\BE</v>
      </c>
      <c r="B22" s="3432" t="str">
        <f t="shared" si="2"/>
        <v>BE</v>
      </c>
      <c r="C22" s="3432" t="s">
        <v>2343</v>
      </c>
      <c r="D22" s="3432" t="s">
        <v>2178</v>
      </c>
      <c r="E22" s="3432" t="s">
        <v>2363</v>
      </c>
      <c r="F22" s="3432">
        <v>25</v>
      </c>
      <c r="G22" s="3432" t="s">
        <v>1853</v>
      </c>
      <c r="H22" s="3432">
        <v>55.1</v>
      </c>
      <c r="I22" s="3432">
        <v>57.49666666666667</v>
      </c>
      <c r="J22" s="3432">
        <v>58.16</v>
      </c>
      <c r="K22" s="3432">
        <v>59.693333333333328</v>
      </c>
      <c r="L22" s="3432">
        <v>62.336666666666666</v>
      </c>
      <c r="M22" s="3432">
        <v>62.863333333333337</v>
      </c>
      <c r="N22" s="3432">
        <v>63.936666666666667</v>
      </c>
      <c r="O22" s="3432">
        <v>65.086666666666659</v>
      </c>
      <c r="P22" s="3432">
        <v>66.406666666666666</v>
      </c>
      <c r="Q22" s="3432">
        <v>67.016666666666666</v>
      </c>
      <c r="R22" s="3432">
        <v>66.933333333333323</v>
      </c>
      <c r="S22" s="3432">
        <v>67.516666666666666</v>
      </c>
      <c r="T22" s="3432">
        <v>68.196666666666658</v>
      </c>
      <c r="U22" s="3432">
        <v>68.06</v>
      </c>
      <c r="V22" s="3432">
        <v>67.766666666666666</v>
      </c>
      <c r="W22" s="3432">
        <v>67.716666666666669</v>
      </c>
      <c r="X22" s="3432">
        <v>68.833333333333329</v>
      </c>
      <c r="Y22" s="3432">
        <v>68.683333333333337</v>
      </c>
      <c r="Z22" s="3432">
        <v>68.433333333333337</v>
      </c>
      <c r="AA22" s="3432">
        <v>68.763333333333335</v>
      </c>
      <c r="AB22" s="3432">
        <v>69.010000000000005</v>
      </c>
      <c r="AC22" s="3432">
        <v>69.826666666666668</v>
      </c>
      <c r="AD22" s="3432">
        <v>69.903333333333322</v>
      </c>
      <c r="AE22" s="3432">
        <v>70.23</v>
      </c>
      <c r="AF22" s="3432">
        <v>70.773333333333326</v>
      </c>
      <c r="AG22" s="3432">
        <v>70.176666666666677</v>
      </c>
      <c r="AH22" s="3432">
        <v>69.38</v>
      </c>
      <c r="AI22" s="3432">
        <v>69.576666666666668</v>
      </c>
      <c r="AJ22" s="3432">
        <v>69.646666666666661</v>
      </c>
      <c r="AK22" s="3432">
        <v>69.713333333333338</v>
      </c>
      <c r="AL22" s="3432">
        <v>68.783333333333317</v>
      </c>
      <c r="AM22" s="3432">
        <v>68.75</v>
      </c>
      <c r="AN22" s="3432">
        <v>68.873333333333335</v>
      </c>
      <c r="AO22" s="3432">
        <v>70.046666666666667</v>
      </c>
      <c r="AP22" s="3432">
        <v>70.396666666666661</v>
      </c>
      <c r="AQ22" s="3432">
        <v>70.773333333333326</v>
      </c>
      <c r="AR22" s="3432">
        <v>71.013333333333335</v>
      </c>
      <c r="AS22" s="3432">
        <v>71.713333333333338</v>
      </c>
      <c r="AT22" s="3432">
        <v>71.97</v>
      </c>
      <c r="AU22" s="3432">
        <v>72.876666666666665</v>
      </c>
      <c r="AV22" s="3432">
        <v>73.366666666666674</v>
      </c>
      <c r="AW22" s="3432">
        <v>74.266666666666666</v>
      </c>
      <c r="AX22" s="3432">
        <v>74.813333333333333</v>
      </c>
      <c r="AY22" s="3432">
        <v>75.930000000000007</v>
      </c>
      <c r="AZ22" s="3432">
        <v>76.586666666666673</v>
      </c>
      <c r="BA22" s="3432">
        <v>77.953333333333333</v>
      </c>
      <c r="BB22" s="3432">
        <v>79.25333333333333</v>
      </c>
      <c r="BC22" s="3432">
        <v>81.943333333333328</v>
      </c>
      <c r="BD22" s="3432">
        <v>84.836666666666659</v>
      </c>
      <c r="BE22" s="3432">
        <v>87.52</v>
      </c>
      <c r="BF22" s="3432">
        <v>88.733333333333334</v>
      </c>
      <c r="BG22" s="3432">
        <v>89.666315241178637</v>
      </c>
      <c r="BH22" s="3432">
        <v>92.000093051556561</v>
      </c>
      <c r="BI22" s="3432">
        <v>91.796411372908196</v>
      </c>
      <c r="BJ22" s="3432">
        <v>90.849871702892585</v>
      </c>
      <c r="BK22" s="3432">
        <v>90.694188195215887</v>
      </c>
      <c r="BL22" s="3432">
        <v>91.63021172623327</v>
      </c>
      <c r="BM22" s="3432">
        <v>92.310142668003337</v>
      </c>
      <c r="BN22" s="3432">
        <v>92.469838012193122</v>
      </c>
      <c r="BO22" s="3432">
        <v>93.353171165691137</v>
      </c>
      <c r="BP22" s="3432">
        <v>94.580548414148922</v>
      </c>
      <c r="BQ22" s="3432">
        <v>96.678914770680421</v>
      </c>
      <c r="BR22" s="3432">
        <v>96.69985177694997</v>
      </c>
      <c r="BS22" s="3432">
        <v>97.138029653576766</v>
      </c>
      <c r="BT22" s="3432">
        <v>98.021589427383262</v>
      </c>
      <c r="BU22" s="3432">
        <v>99.429174528261427</v>
      </c>
      <c r="BV22" s="3432">
        <v>99.826036280541189</v>
      </c>
      <c r="BW22" s="3432">
        <v>100.04659031676071</v>
      </c>
      <c r="BX22" s="3432">
        <v>100.1907043744697</v>
      </c>
      <c r="BY22" s="3432">
        <v>100.8148205931578</v>
      </c>
      <c r="BZ22" s="3432">
        <v>100.36920924302532</v>
      </c>
      <c r="CA22" s="3432">
        <v>100.54508706603042</v>
      </c>
      <c r="CB22" s="3432">
        <v>100.49907458052179</v>
      </c>
      <c r="CC22" s="3432">
        <v>101.0334701194836</v>
      </c>
      <c r="CD22" s="3432">
        <v>100.61238517675334</v>
      </c>
      <c r="CE22" s="3432">
        <v>100.72033588529945</v>
      </c>
      <c r="CF22" s="3432">
        <v>99.193463816718747</v>
      </c>
      <c r="CG22" s="3432">
        <v>100.73818935819878</v>
      </c>
      <c r="CH22" s="3432">
        <v>99.944284420301727</v>
      </c>
      <c r="CI22" s="3432">
        <v>100.34741467285812</v>
      </c>
      <c r="CJ22" s="3432">
        <v>99.875365698791967</v>
      </c>
      <c r="CK22" s="3432">
        <v>101.20809714675205</v>
      </c>
      <c r="CL22" s="3432">
        <v>100.34554761410905</v>
      </c>
      <c r="CM22" s="3432">
        <v>101.59813572594199</v>
      </c>
      <c r="CN22" s="3432">
        <v>102.82714851810184</v>
      </c>
      <c r="CO22" s="3432">
        <v>104.65636656969191</v>
      </c>
      <c r="CP22" s="3432">
        <v>104.81005001123886</v>
      </c>
      <c r="CQ22" s="3432">
        <v>105.72213801137192</v>
      </c>
      <c r="CR22" s="3432">
        <v>106.11796975605839</v>
      </c>
      <c r="CS22" s="3432">
        <v>107.48219274723768</v>
      </c>
      <c r="CT22" s="3432">
        <v>107.61145638854119</v>
      </c>
      <c r="CU22" s="3432">
        <v>108.54823610338903</v>
      </c>
      <c r="CV22" s="3432">
        <v>108.99226883216271</v>
      </c>
      <c r="CW22" s="3432">
        <v>110.19164028984476</v>
      </c>
      <c r="CX22" s="3432">
        <v>110.00635080189173</v>
      </c>
      <c r="CY22" s="3432">
        <v>110.65341555680519</v>
      </c>
    </row>
    <row r="23" spans="1:103">
      <c r="A23" s="3432" t="str">
        <f t="shared" si="1"/>
        <v>\\DG ECFIN\Forecast\Country databases\Desk transfer databases\BE</v>
      </c>
      <c r="B23" s="3432" t="str">
        <f t="shared" si="2"/>
        <v>BE</v>
      </c>
      <c r="C23" s="3432" t="s">
        <v>2343</v>
      </c>
      <c r="D23" s="3432" t="s">
        <v>2278</v>
      </c>
      <c r="E23" s="3432" t="s">
        <v>2363</v>
      </c>
      <c r="F23" s="3432">
        <v>166</v>
      </c>
      <c r="G23" s="3432" t="s">
        <v>1714</v>
      </c>
      <c r="H23" s="3432">
        <v>60.53</v>
      </c>
      <c r="I23" s="3432">
        <v>62.146666666666668</v>
      </c>
      <c r="J23" s="3432">
        <v>63.609999999999992</v>
      </c>
      <c r="K23" s="3432">
        <v>65.336666666666673</v>
      </c>
      <c r="L23" s="3432">
        <v>68.069999999999993</v>
      </c>
      <c r="M23" s="3432">
        <v>68.913333333333327</v>
      </c>
      <c r="N23" s="3432">
        <v>69.84</v>
      </c>
      <c r="O23" s="3432">
        <v>70.81</v>
      </c>
      <c r="P23" s="3432">
        <v>71.83</v>
      </c>
      <c r="Q23" s="3432">
        <v>72.38</v>
      </c>
      <c r="R23" s="3432">
        <v>72.720000000000013</v>
      </c>
      <c r="S23" s="3432">
        <v>73.149999999999991</v>
      </c>
      <c r="T23" s="3432">
        <v>73.873333333333335</v>
      </c>
      <c r="U23" s="3432">
        <v>74.029999999999987</v>
      </c>
      <c r="V23" s="3432">
        <v>74.006666666666661</v>
      </c>
      <c r="W23" s="3432">
        <v>73.17</v>
      </c>
      <c r="X23" s="3432">
        <v>73.313333333333333</v>
      </c>
      <c r="Y23" s="3432">
        <v>72.95</v>
      </c>
      <c r="Z23" s="3432">
        <v>72.81</v>
      </c>
      <c r="AA23" s="3432">
        <v>72.7</v>
      </c>
      <c r="AB23" s="3432">
        <v>72.836666666666659</v>
      </c>
      <c r="AC23" s="3432">
        <v>72.570000000000007</v>
      </c>
      <c r="AD23" s="3432">
        <v>72.89</v>
      </c>
      <c r="AE23" s="3432">
        <v>73.653333333333322</v>
      </c>
      <c r="AF23" s="3432">
        <v>73.643333333333331</v>
      </c>
      <c r="AG23" s="3432">
        <v>73.226666666666674</v>
      </c>
      <c r="AH23" s="3432">
        <v>73.11</v>
      </c>
      <c r="AI23" s="3432">
        <v>73.693333333333342</v>
      </c>
      <c r="AJ23" s="3432">
        <v>74.12</v>
      </c>
      <c r="AK23" s="3432">
        <v>74.266666666666666</v>
      </c>
      <c r="AL23" s="3432">
        <v>73.696666666666673</v>
      </c>
      <c r="AM23" s="3432">
        <v>73.61</v>
      </c>
      <c r="AN23" s="3432">
        <v>73.58</v>
      </c>
      <c r="AO23" s="3432">
        <v>74.486666666666665</v>
      </c>
      <c r="AP23" s="3432">
        <v>74.543333333333337</v>
      </c>
      <c r="AQ23" s="3432">
        <v>74.98</v>
      </c>
      <c r="AR23" s="3432">
        <v>74.75333333333333</v>
      </c>
      <c r="AS23" s="3432">
        <v>75.19</v>
      </c>
      <c r="AT23" s="3432">
        <v>75.320000000000007</v>
      </c>
      <c r="AU23" s="3432">
        <v>76.12</v>
      </c>
      <c r="AV23" s="3432">
        <v>75.986666666666665</v>
      </c>
      <c r="AW23" s="3432">
        <v>76.63333333333334</v>
      </c>
      <c r="AX23" s="3432">
        <v>77.33</v>
      </c>
      <c r="AY23" s="3432">
        <v>78.63</v>
      </c>
      <c r="AZ23" s="3432">
        <v>78.959999999999994</v>
      </c>
      <c r="BA23" s="3432">
        <v>80.03</v>
      </c>
      <c r="BB23" s="3432">
        <v>81.553333333333327</v>
      </c>
      <c r="BC23" s="3432">
        <v>84.123333333333335</v>
      </c>
      <c r="BD23" s="3432">
        <v>86.08</v>
      </c>
      <c r="BE23" s="3432">
        <v>88.54</v>
      </c>
      <c r="BF23" s="3432">
        <v>89.58</v>
      </c>
      <c r="BG23" s="3432">
        <v>90.673918616416543</v>
      </c>
      <c r="BH23" s="3432">
        <v>92.152129407368363</v>
      </c>
      <c r="BI23" s="3432">
        <v>91.968480703636999</v>
      </c>
      <c r="BJ23" s="3432">
        <v>91.530398101401616</v>
      </c>
      <c r="BK23" s="3432">
        <v>92.23415017468524</v>
      </c>
      <c r="BL23" s="3432">
        <v>91.740494413843621</v>
      </c>
      <c r="BM23" s="3432">
        <v>91.784659639222468</v>
      </c>
      <c r="BN23" s="3432">
        <v>91.77099443751132</v>
      </c>
      <c r="BO23" s="3432">
        <v>92.467621926500414</v>
      </c>
      <c r="BP23" s="3432">
        <v>92.753430077424696</v>
      </c>
      <c r="BQ23" s="3432">
        <v>94.452469974478944</v>
      </c>
      <c r="BR23" s="3432">
        <v>94.513381062320576</v>
      </c>
      <c r="BS23" s="3432">
        <v>94.816618164877937</v>
      </c>
      <c r="BT23" s="3432">
        <v>95.069366098431843</v>
      </c>
      <c r="BU23" s="3432">
        <v>96.43272610007385</v>
      </c>
      <c r="BV23" s="3432">
        <v>96.749235162366318</v>
      </c>
      <c r="BW23" s="3432">
        <v>97.242511081053962</v>
      </c>
      <c r="BX23" s="3432">
        <v>96.898270463672986</v>
      </c>
      <c r="BY23" s="3432">
        <v>97.810367483142599</v>
      </c>
      <c r="BZ23" s="3432">
        <v>97.864638734705295</v>
      </c>
      <c r="CA23" s="3432">
        <v>98.311941385447128</v>
      </c>
      <c r="CB23" s="3432">
        <v>97.841369176650019</v>
      </c>
      <c r="CC23" s="3432">
        <v>98.749349145079393</v>
      </c>
      <c r="CD23" s="3432">
        <v>99.028619514040386</v>
      </c>
      <c r="CE23" s="3432">
        <v>99.571168357564375</v>
      </c>
      <c r="CF23" s="3432">
        <v>99.018534731565097</v>
      </c>
      <c r="CG23" s="3432">
        <v>99.919687604244885</v>
      </c>
      <c r="CH23" s="3432">
        <v>100.06759322715905</v>
      </c>
      <c r="CI23" s="3432">
        <v>101.06182270510114</v>
      </c>
      <c r="CJ23" s="3432">
        <v>100.88741406358864</v>
      </c>
      <c r="CK23" s="3432">
        <v>101.95019808086271</v>
      </c>
      <c r="CL23" s="3432">
        <v>101.78070699677495</v>
      </c>
      <c r="CM23" s="3432">
        <v>102.88925257848587</v>
      </c>
      <c r="CN23" s="3432">
        <v>103.49017760904022</v>
      </c>
      <c r="CO23" s="3432">
        <v>105.95480504282241</v>
      </c>
      <c r="CP23" s="3432">
        <v>106.53291517620778</v>
      </c>
      <c r="CQ23" s="3432">
        <v>107.1537243212359</v>
      </c>
      <c r="CR23" s="3432">
        <v>106.84735856609552</v>
      </c>
      <c r="CS23" s="3432">
        <v>108.41948639414595</v>
      </c>
      <c r="CT23" s="3432">
        <v>108.9217170105991</v>
      </c>
      <c r="CU23" s="3432">
        <v>110.06372716954574</v>
      </c>
      <c r="CV23" s="3432">
        <v>110.29812082496466</v>
      </c>
      <c r="CW23" s="3432">
        <v>111.54161906531608</v>
      </c>
      <c r="CX23" s="3432">
        <v>111.62902256229998</v>
      </c>
      <c r="CY23" s="3432">
        <v>112.37071077572685</v>
      </c>
    </row>
    <row r="24" spans="1:103">
      <c r="A24" s="3432" t="str">
        <f t="shared" si="1"/>
        <v>\\DG ECFIN\Forecast\Country databases\Desk transfer databases\BE</v>
      </c>
      <c r="B24" s="3432" t="str">
        <f t="shared" si="2"/>
        <v>BE</v>
      </c>
      <c r="C24" s="3432" t="s">
        <v>2343</v>
      </c>
      <c r="D24" s="3432" t="s">
        <v>2273</v>
      </c>
      <c r="E24" s="3432" t="s">
        <v>2363</v>
      </c>
      <c r="F24" s="3432">
        <v>167</v>
      </c>
      <c r="G24" s="3432" t="s">
        <v>1715</v>
      </c>
      <c r="H24" s="3432">
        <v>88.633333333333326</v>
      </c>
      <c r="I24" s="3432">
        <v>91.570000000000007</v>
      </c>
      <c r="J24" s="3432">
        <v>93.876666666666665</v>
      </c>
      <c r="K24" s="3432">
        <v>96.509999999999991</v>
      </c>
      <c r="L24" s="3432">
        <v>98.236666666666679</v>
      </c>
      <c r="M24" s="3432">
        <v>99.316666666666663</v>
      </c>
      <c r="N24" s="3432">
        <v>101.37666666666667</v>
      </c>
      <c r="O24" s="3432">
        <v>103.03666666666668</v>
      </c>
      <c r="P24" s="3432">
        <v>103.65666666666668</v>
      </c>
      <c r="Q24" s="3432">
        <v>104.37666666666667</v>
      </c>
      <c r="R24" s="3432">
        <v>106.75333333333333</v>
      </c>
      <c r="S24" s="3432">
        <v>108.07666666666667</v>
      </c>
      <c r="T24" s="3432">
        <v>108.37333333333333</v>
      </c>
      <c r="U24" s="3432">
        <v>108.11</v>
      </c>
      <c r="V24" s="3432">
        <v>107.61333333333334</v>
      </c>
      <c r="W24" s="3432">
        <v>107.62333333333333</v>
      </c>
      <c r="X24" s="3432">
        <v>107.10333333333334</v>
      </c>
      <c r="Y24" s="3432">
        <v>106.43666666666665</v>
      </c>
      <c r="Z24" s="3432">
        <v>105.37333333333333</v>
      </c>
      <c r="AA24" s="3432">
        <v>104.96666666666665</v>
      </c>
      <c r="AB24" s="3432">
        <v>103.84999999999998</v>
      </c>
      <c r="AC24" s="3432">
        <v>103.34666666666668</v>
      </c>
      <c r="AD24" s="3432">
        <v>102.47333333333331</v>
      </c>
      <c r="AE24" s="3432">
        <v>103.02</v>
      </c>
      <c r="AF24" s="3432">
        <v>101.77666666666669</v>
      </c>
      <c r="AG24" s="3432">
        <v>101.68666666666667</v>
      </c>
      <c r="AH24" s="3432">
        <v>100.50333333333333</v>
      </c>
      <c r="AI24" s="3432">
        <v>101.54666666666667</v>
      </c>
      <c r="AJ24" s="3432">
        <v>100.21333333333332</v>
      </c>
      <c r="AK24" s="3432">
        <v>100.21666666666665</v>
      </c>
      <c r="AL24" s="3432">
        <v>98.883333333333326</v>
      </c>
      <c r="AM24" s="3432">
        <v>100.01333333333334</v>
      </c>
      <c r="AN24" s="3432">
        <v>98.626666666666665</v>
      </c>
      <c r="AO24" s="3432">
        <v>99.923333333333332</v>
      </c>
      <c r="AP24" s="3432">
        <v>99.15333333333335</v>
      </c>
      <c r="AQ24" s="3432">
        <v>100.82000000000001</v>
      </c>
      <c r="AR24" s="3432">
        <v>98.266666666666666</v>
      </c>
      <c r="AS24" s="3432">
        <v>98.976666666666674</v>
      </c>
      <c r="AT24" s="3432">
        <v>98.40000000000002</v>
      </c>
      <c r="AU24" s="3432">
        <v>100.28666666666668</v>
      </c>
      <c r="AV24" s="3432">
        <v>98.49666666666667</v>
      </c>
      <c r="AW24" s="3432">
        <v>98.876666666666665</v>
      </c>
      <c r="AX24" s="3432">
        <v>98.173333333333332</v>
      </c>
      <c r="AY24" s="3432">
        <v>99.856666666666669</v>
      </c>
      <c r="AZ24" s="3432">
        <v>97.94</v>
      </c>
      <c r="BA24" s="3432">
        <v>98.473333333333315</v>
      </c>
      <c r="BB24" s="3432">
        <v>98.08</v>
      </c>
      <c r="BC24" s="3432">
        <v>100.05666666666667</v>
      </c>
      <c r="BD24" s="3432">
        <v>99.236666666666665</v>
      </c>
      <c r="BE24" s="3432">
        <v>100.63666666666667</v>
      </c>
      <c r="BF24" s="3432">
        <v>100.19</v>
      </c>
      <c r="BG24" s="3432">
        <v>101.65333333333332</v>
      </c>
      <c r="BH24" s="3432">
        <v>102.10333333333334</v>
      </c>
      <c r="BI24" s="3432">
        <v>100.68</v>
      </c>
      <c r="BJ24" s="3432">
        <v>99.426666666666662</v>
      </c>
      <c r="BK24" s="3432">
        <v>100.46333333333332</v>
      </c>
      <c r="BL24" s="3432">
        <v>98.410000000000011</v>
      </c>
      <c r="BM24" s="3432">
        <v>98.076666666666668</v>
      </c>
      <c r="BN24" s="3432">
        <v>96.763333333333335</v>
      </c>
      <c r="BO24" s="3432">
        <v>97.853333333333339</v>
      </c>
      <c r="BP24" s="3432">
        <v>96.196666666666673</v>
      </c>
      <c r="BQ24" s="3432">
        <v>98.066666666666663</v>
      </c>
      <c r="BR24" s="3432">
        <v>96.576666666666668</v>
      </c>
      <c r="BS24" s="3432">
        <v>97.71</v>
      </c>
      <c r="BT24" s="3432">
        <v>96.61</v>
      </c>
      <c r="BU24" s="3432">
        <v>98.476666666666674</v>
      </c>
      <c r="BV24" s="3432">
        <v>98.033333333333346</v>
      </c>
      <c r="BW24" s="3432">
        <v>99.780000000000015</v>
      </c>
      <c r="BX24" s="3432">
        <v>98.219999999999985</v>
      </c>
      <c r="BY24" s="3432">
        <v>99.713333333333324</v>
      </c>
      <c r="BZ24" s="3432">
        <v>98.45</v>
      </c>
      <c r="CA24" s="3432">
        <v>100.27333333333333</v>
      </c>
      <c r="CB24" s="3432">
        <v>98.603333333333339</v>
      </c>
      <c r="CC24" s="3432">
        <v>99.793333333333337</v>
      </c>
      <c r="CD24" s="3432">
        <v>98.493333333333339</v>
      </c>
      <c r="CE24" s="3432">
        <v>100.07000000000001</v>
      </c>
      <c r="CF24" s="3432">
        <v>98.639999999999986</v>
      </c>
      <c r="CG24" s="3432">
        <v>100.32333333333332</v>
      </c>
      <c r="CH24" s="3432">
        <v>99.376666666666665</v>
      </c>
      <c r="CI24" s="3432">
        <v>101.66000000000001</v>
      </c>
      <c r="CJ24" s="3432">
        <v>100.05</v>
      </c>
      <c r="CK24" s="3432">
        <v>101.41333333333334</v>
      </c>
      <c r="CL24" s="3432">
        <v>99.516666666666652</v>
      </c>
      <c r="CM24" s="3432">
        <v>101.76666666666667</v>
      </c>
      <c r="CN24" s="3432">
        <v>100.35333333333334</v>
      </c>
      <c r="CO24" s="3432">
        <v>102.18</v>
      </c>
      <c r="CP24" s="3432">
        <v>100.46666666666665</v>
      </c>
      <c r="CQ24" s="3432">
        <v>102.64333333333333</v>
      </c>
      <c r="CR24" s="3432">
        <v>100.85527996401123</v>
      </c>
      <c r="CS24" s="3432">
        <v>102.44610863393467</v>
      </c>
      <c r="CT24" s="3432">
        <v>101.67055047500412</v>
      </c>
      <c r="CU24" s="3432">
        <v>103.83752163821418</v>
      </c>
      <c r="CV24" s="3432">
        <v>102.59185134561064</v>
      </c>
      <c r="CW24" s="3432">
        <v>103.73545744467096</v>
      </c>
      <c r="CX24" s="3432">
        <v>102.48563280715004</v>
      </c>
      <c r="CY24" s="3432">
        <v>104.20400443695571</v>
      </c>
    </row>
    <row r="25" spans="1:103">
      <c r="A25" s="3432" t="str">
        <f t="shared" si="1"/>
        <v>\\DG ECFIN\Forecast\Country databases\Desk transfer databases\BE</v>
      </c>
      <c r="B25" s="3432" t="str">
        <f t="shared" si="2"/>
        <v>BE</v>
      </c>
      <c r="C25" s="3432" t="s">
        <v>2343</v>
      </c>
      <c r="D25" s="3432" t="s">
        <v>2274</v>
      </c>
      <c r="E25" s="3432" t="s">
        <v>2363</v>
      </c>
      <c r="F25" s="3432">
        <v>168</v>
      </c>
      <c r="G25" s="3432" t="s">
        <v>1716</v>
      </c>
      <c r="H25" s="3432">
        <v>29.959999999999997</v>
      </c>
      <c r="I25" s="3432">
        <v>30.306666666666668</v>
      </c>
      <c r="J25" s="3432">
        <v>31.173333333333332</v>
      </c>
      <c r="K25" s="3432">
        <v>33.169999999999995</v>
      </c>
      <c r="L25" s="3432">
        <v>34.360000000000007</v>
      </c>
      <c r="M25" s="3432">
        <v>34.796666666666667</v>
      </c>
      <c r="N25" s="3432">
        <v>38.973333333333336</v>
      </c>
      <c r="O25" s="3432">
        <v>40.809999999999995</v>
      </c>
      <c r="P25" s="3432">
        <v>41.43333333333333</v>
      </c>
      <c r="Q25" s="3432">
        <v>41.706666666666671</v>
      </c>
      <c r="R25" s="3432">
        <v>43.213333333333331</v>
      </c>
      <c r="S25" s="3432">
        <v>44.686666666666667</v>
      </c>
      <c r="T25" s="3432">
        <v>45.546666666666674</v>
      </c>
      <c r="U25" s="3432">
        <v>45.916666666666664</v>
      </c>
      <c r="V25" s="3432">
        <v>46.81</v>
      </c>
      <c r="W25" s="3432">
        <v>48.06</v>
      </c>
      <c r="X25" s="3432">
        <v>53.370000000000005</v>
      </c>
      <c r="Y25" s="3432">
        <v>54.576666666666675</v>
      </c>
      <c r="Z25" s="3432">
        <v>54.603333333333332</v>
      </c>
      <c r="AA25" s="3432">
        <v>55.956666666666671</v>
      </c>
      <c r="AB25" s="3432">
        <v>54.066666666666663</v>
      </c>
      <c r="AC25" s="3432">
        <v>55.156666666666666</v>
      </c>
      <c r="AD25" s="3432">
        <v>55.24</v>
      </c>
      <c r="AE25" s="3432">
        <v>53.98</v>
      </c>
      <c r="AF25" s="3432">
        <v>54.823333333333331</v>
      </c>
      <c r="AG25" s="3432">
        <v>55.946666666666665</v>
      </c>
      <c r="AH25" s="3432">
        <v>55.4</v>
      </c>
      <c r="AI25" s="3432">
        <v>55.96</v>
      </c>
      <c r="AJ25" s="3432">
        <v>56.876666666666665</v>
      </c>
      <c r="AK25" s="3432">
        <v>56.29666666666666</v>
      </c>
      <c r="AL25" s="3432">
        <v>55.836666666666666</v>
      </c>
      <c r="AM25" s="3432">
        <v>55.51</v>
      </c>
      <c r="AN25" s="3432">
        <v>56.266666666666673</v>
      </c>
      <c r="AO25" s="3432">
        <v>57.926666666666669</v>
      </c>
      <c r="AP25" s="3432">
        <v>58.02</v>
      </c>
      <c r="AQ25" s="3432">
        <v>58.436666666666667</v>
      </c>
      <c r="AR25" s="3432">
        <v>59.51</v>
      </c>
      <c r="AS25" s="3432">
        <v>60.793333333333329</v>
      </c>
      <c r="AT25" s="3432">
        <v>63.123333333333335</v>
      </c>
      <c r="AU25" s="3432">
        <v>63.896666666666668</v>
      </c>
      <c r="AV25" s="3432">
        <v>65.27</v>
      </c>
      <c r="AW25" s="3432">
        <v>66.286666666666676</v>
      </c>
      <c r="AX25" s="3432">
        <v>66.760000000000005</v>
      </c>
      <c r="AY25" s="3432">
        <v>67.779999999999987</v>
      </c>
      <c r="AZ25" s="3432">
        <v>68.28</v>
      </c>
      <c r="BA25" s="3432">
        <v>70.2</v>
      </c>
      <c r="BB25" s="3432">
        <v>71.326666666666668</v>
      </c>
      <c r="BC25" s="3432">
        <v>74.463333333333324</v>
      </c>
      <c r="BD25" s="3432">
        <v>80.75</v>
      </c>
      <c r="BE25" s="3432">
        <v>83.506666666666675</v>
      </c>
      <c r="BF25" s="3432">
        <v>85.95</v>
      </c>
      <c r="BG25" s="3432">
        <v>85.013333333333321</v>
      </c>
      <c r="BH25" s="3432">
        <v>91.366666666666674</v>
      </c>
      <c r="BI25" s="3432">
        <v>92.323333333333338</v>
      </c>
      <c r="BJ25" s="3432">
        <v>91.25333333333333</v>
      </c>
      <c r="BK25" s="3432">
        <v>87.649999999999991</v>
      </c>
      <c r="BL25" s="3432">
        <v>96.31</v>
      </c>
      <c r="BM25" s="3432">
        <v>99.523333333333326</v>
      </c>
      <c r="BN25" s="3432">
        <v>101.39999999999999</v>
      </c>
      <c r="BO25" s="3432">
        <v>103.07333333333334</v>
      </c>
      <c r="BP25" s="3432">
        <v>107.88333333333333</v>
      </c>
      <c r="BQ25" s="3432">
        <v>110.75</v>
      </c>
      <c r="BR25" s="3432">
        <v>114.21</v>
      </c>
      <c r="BS25" s="3432">
        <v>115.67</v>
      </c>
      <c r="BT25" s="3432">
        <v>118.03666666666665</v>
      </c>
      <c r="BU25" s="3432">
        <v>119.48333333333333</v>
      </c>
      <c r="BV25" s="3432">
        <v>121.49333333333334</v>
      </c>
      <c r="BW25" s="3432">
        <v>119.35666666666667</v>
      </c>
      <c r="BX25" s="3432">
        <v>119.98666666666666</v>
      </c>
      <c r="BY25" s="3432">
        <v>118.14333333333333</v>
      </c>
      <c r="BZ25" s="3432">
        <v>117.43</v>
      </c>
      <c r="CA25" s="3432">
        <v>116.85666666666667</v>
      </c>
      <c r="CB25" s="3432">
        <v>116.97333333333331</v>
      </c>
      <c r="CC25" s="3432">
        <v>114.57666666666667</v>
      </c>
      <c r="CD25" s="3432">
        <v>112.04</v>
      </c>
      <c r="CE25" s="3432">
        <v>110.11666666666666</v>
      </c>
      <c r="CF25" s="3432">
        <v>100.37333333333333</v>
      </c>
      <c r="CG25" s="3432">
        <v>103.63</v>
      </c>
      <c r="CH25" s="3432">
        <v>100.26333333333334</v>
      </c>
      <c r="CI25" s="3432">
        <v>95.73</v>
      </c>
      <c r="CJ25" s="3432">
        <v>92.31</v>
      </c>
      <c r="CK25" s="3432">
        <v>93.00333333333333</v>
      </c>
      <c r="CL25" s="3432">
        <v>91.393333333333331</v>
      </c>
      <c r="CM25" s="3432">
        <v>94.553333333333327</v>
      </c>
      <c r="CN25" s="3432">
        <v>97.820000000000007</v>
      </c>
      <c r="CO25" s="3432">
        <v>96.713333333333352</v>
      </c>
      <c r="CP25" s="3432">
        <v>95.93</v>
      </c>
      <c r="CQ25" s="3432">
        <v>98.183333333333337</v>
      </c>
      <c r="CR25" s="3432">
        <v>102.19735666666666</v>
      </c>
      <c r="CS25" s="3432">
        <v>102.37655040348398</v>
      </c>
      <c r="CT25" s="3432">
        <v>102.68398728672217</v>
      </c>
      <c r="CU25" s="3432">
        <v>102.99234740322815</v>
      </c>
      <c r="CV25" s="3432">
        <v>103.30163352547235</v>
      </c>
      <c r="CW25" s="3432">
        <v>103.61184843425093</v>
      </c>
      <c r="CX25" s="3432">
        <v>103.92299491871081</v>
      </c>
      <c r="CY25" s="3432">
        <v>104.23507577637467</v>
      </c>
    </row>
    <row r="26" spans="1:103">
      <c r="A26" s="3432" t="str">
        <f t="shared" si="1"/>
        <v>\\DG ECFIN\Forecast\Country databases\Desk transfer databases\BE</v>
      </c>
      <c r="B26" s="3432" t="str">
        <f t="shared" si="2"/>
        <v>BE</v>
      </c>
      <c r="C26" s="3432" t="s">
        <v>2343</v>
      </c>
      <c r="D26" s="3432" t="s">
        <v>2275</v>
      </c>
      <c r="E26" s="3432" t="s">
        <v>2363</v>
      </c>
      <c r="F26" s="3432">
        <v>169</v>
      </c>
      <c r="G26" s="3432" t="s">
        <v>1717</v>
      </c>
      <c r="H26" s="3432">
        <v>51.303333333333335</v>
      </c>
      <c r="I26" s="3432">
        <v>52.196666666666665</v>
      </c>
      <c r="J26" s="3432">
        <v>52.803333333333335</v>
      </c>
      <c r="K26" s="3432">
        <v>54.393333333333338</v>
      </c>
      <c r="L26" s="3432">
        <v>57.24666666666667</v>
      </c>
      <c r="M26" s="3432">
        <v>57.493333333333332</v>
      </c>
      <c r="N26" s="3432">
        <v>57.646666666666668</v>
      </c>
      <c r="O26" s="3432">
        <v>58.386666666666663</v>
      </c>
      <c r="P26" s="3432">
        <v>58.986666666666657</v>
      </c>
      <c r="Q26" s="3432">
        <v>58.76</v>
      </c>
      <c r="R26" s="3432">
        <v>57.956666666666671</v>
      </c>
      <c r="S26" s="3432">
        <v>57.906666666666666</v>
      </c>
      <c r="T26" s="3432">
        <v>58.803333333333335</v>
      </c>
      <c r="U26" s="3432">
        <v>58.379999999999995</v>
      </c>
      <c r="V26" s="3432">
        <v>58.346666666666671</v>
      </c>
      <c r="W26" s="3432">
        <v>56.633333333333333</v>
      </c>
      <c r="X26" s="3432">
        <v>56.386666666666663</v>
      </c>
      <c r="Y26" s="3432">
        <v>55.586666666666666</v>
      </c>
      <c r="Z26" s="3432">
        <v>55.686666666666667</v>
      </c>
      <c r="AA26" s="3432">
        <v>55.589999999999996</v>
      </c>
      <c r="AB26" s="3432">
        <v>55.79999999999999</v>
      </c>
      <c r="AC26" s="3432">
        <v>55.44</v>
      </c>
      <c r="AD26" s="3432">
        <v>55.45333333333334</v>
      </c>
      <c r="AE26" s="3432">
        <v>56.113333333333337</v>
      </c>
      <c r="AF26" s="3432">
        <v>56.613333333333337</v>
      </c>
      <c r="AG26" s="3432">
        <v>55.886666666666663</v>
      </c>
      <c r="AH26" s="3432">
        <v>55.646666666666668</v>
      </c>
      <c r="AI26" s="3432">
        <v>56.393333333333338</v>
      </c>
      <c r="AJ26" s="3432">
        <v>57.726666666666667</v>
      </c>
      <c r="AK26" s="3432">
        <v>57.963333333333331</v>
      </c>
      <c r="AL26" s="3432">
        <v>57.81</v>
      </c>
      <c r="AM26" s="3432">
        <v>58.016666666666673</v>
      </c>
      <c r="AN26" s="3432">
        <v>58.616666666666667</v>
      </c>
      <c r="AO26" s="3432">
        <v>59.370000000000005</v>
      </c>
      <c r="AP26" s="3432">
        <v>59.376666666666665</v>
      </c>
      <c r="AQ26" s="3432">
        <v>59.48</v>
      </c>
      <c r="AR26" s="3432">
        <v>59.949999999999996</v>
      </c>
      <c r="AS26" s="3432">
        <v>60.04999999999999</v>
      </c>
      <c r="AT26" s="3432">
        <v>59.890000000000008</v>
      </c>
      <c r="AU26" s="3432">
        <v>60.286666666666669</v>
      </c>
      <c r="AV26" s="3432">
        <v>60.48</v>
      </c>
      <c r="AW26" s="3432">
        <v>60.84</v>
      </c>
      <c r="AX26" s="3432">
        <v>61.823333333333331</v>
      </c>
      <c r="AY26" s="3432">
        <v>63.593333333333334</v>
      </c>
      <c r="AZ26" s="3432">
        <v>65.076666666666668</v>
      </c>
      <c r="BA26" s="3432">
        <v>66.266666666666666</v>
      </c>
      <c r="BB26" s="3432">
        <v>68.59333333333332</v>
      </c>
      <c r="BC26" s="3432">
        <v>72.576666666666668</v>
      </c>
      <c r="BD26" s="3432">
        <v>76.00333333333333</v>
      </c>
      <c r="BE26" s="3432">
        <v>79.02</v>
      </c>
      <c r="BF26" s="3432">
        <v>80.173333333333332</v>
      </c>
      <c r="BG26" s="3432">
        <v>80.666666666666671</v>
      </c>
      <c r="BH26" s="3432">
        <v>82.433333333333337</v>
      </c>
      <c r="BI26" s="3432">
        <v>83.463333333333324</v>
      </c>
      <c r="BJ26" s="3432">
        <v>83.036666666666676</v>
      </c>
      <c r="BK26" s="3432">
        <v>85.320000000000007</v>
      </c>
      <c r="BL26" s="3432">
        <v>86.65000000000002</v>
      </c>
      <c r="BM26" s="3432">
        <v>87.320000000000007</v>
      </c>
      <c r="BN26" s="3432">
        <v>88.00333333333333</v>
      </c>
      <c r="BO26" s="3432">
        <v>89.713333333333324</v>
      </c>
      <c r="BP26" s="3432">
        <v>91.903333333333322</v>
      </c>
      <c r="BQ26" s="3432">
        <v>94.480000000000018</v>
      </c>
      <c r="BR26" s="3432">
        <v>94.893333333333317</v>
      </c>
      <c r="BS26" s="3432">
        <v>95.089999999999989</v>
      </c>
      <c r="BT26" s="3432">
        <v>96.106666666666669</v>
      </c>
      <c r="BU26" s="3432">
        <v>97.220000000000013</v>
      </c>
      <c r="BV26" s="3432">
        <v>97.446666666666673</v>
      </c>
      <c r="BW26" s="3432">
        <v>97.406666666666652</v>
      </c>
      <c r="BX26" s="3432">
        <v>97.89</v>
      </c>
      <c r="BY26" s="3432">
        <v>98.043333333333337</v>
      </c>
      <c r="BZ26" s="3432">
        <v>98.55</v>
      </c>
      <c r="CA26" s="3432">
        <v>98.956666666666663</v>
      </c>
      <c r="CB26" s="3432">
        <v>99.71</v>
      </c>
      <c r="CC26" s="3432">
        <v>100.28333333333335</v>
      </c>
      <c r="CD26" s="3432">
        <v>100.95333333333333</v>
      </c>
      <c r="CE26" s="3432">
        <v>100.95</v>
      </c>
      <c r="CF26" s="3432">
        <v>100.42666666666666</v>
      </c>
      <c r="CG26" s="3432">
        <v>99.936666666666667</v>
      </c>
      <c r="CH26" s="3432">
        <v>99.75333333333333</v>
      </c>
      <c r="CI26" s="3432">
        <v>99.883333333333326</v>
      </c>
      <c r="CJ26" s="3432">
        <v>100.97333333333334</v>
      </c>
      <c r="CK26" s="3432">
        <v>102.05333333333334</v>
      </c>
      <c r="CL26" s="3432">
        <v>102.53666666666668</v>
      </c>
      <c r="CM26" s="3432">
        <v>103.35333333333334</v>
      </c>
      <c r="CN26" s="3432">
        <v>106.18333333333334</v>
      </c>
      <c r="CO26" s="3432">
        <v>109.47333333333331</v>
      </c>
      <c r="CP26" s="3432">
        <v>110.70666666666666</v>
      </c>
      <c r="CQ26" s="3432">
        <v>111.66666666666667</v>
      </c>
      <c r="CR26" s="3432">
        <v>112.39778359442839</v>
      </c>
      <c r="CS26" s="3432">
        <v>113.47808746268403</v>
      </c>
      <c r="CT26" s="3432">
        <v>113.70503949650956</v>
      </c>
      <c r="CU26" s="3432">
        <v>114.23451837943793</v>
      </c>
      <c r="CV26" s="3432">
        <v>115.66713212645475</v>
      </c>
      <c r="CW26" s="3432">
        <v>116.97811730815503</v>
      </c>
      <c r="CX26" s="3432">
        <v>117.21206927394665</v>
      </c>
      <c r="CY26" s="3432">
        <v>117.75787899161354</v>
      </c>
    </row>
    <row r="27" spans="1:103">
      <c r="A27" s="3432" t="str">
        <f t="shared" si="1"/>
        <v>\\DG ECFIN\Forecast\Country databases\Desk transfer databases\BE</v>
      </c>
      <c r="B27" s="3432" t="str">
        <f t="shared" si="2"/>
        <v>BE</v>
      </c>
      <c r="C27" s="3432" t="s">
        <v>2343</v>
      </c>
      <c r="D27" s="3432" t="s">
        <v>2276</v>
      </c>
      <c r="E27" s="3432" t="s">
        <v>2363</v>
      </c>
      <c r="F27" s="3432">
        <v>170</v>
      </c>
      <c r="G27" s="3432" t="s">
        <v>26</v>
      </c>
      <c r="H27" s="3432">
        <v>61.646666666666668</v>
      </c>
      <c r="I27" s="3432">
        <v>67.970000000000013</v>
      </c>
      <c r="J27" s="3432">
        <v>66.236666666666665</v>
      </c>
      <c r="K27" s="3432">
        <v>66.719999999999985</v>
      </c>
      <c r="L27" s="3432">
        <v>70.8</v>
      </c>
      <c r="M27" s="3432">
        <v>70.246666666666655</v>
      </c>
      <c r="N27" s="3432">
        <v>66.99666666666667</v>
      </c>
      <c r="O27" s="3432">
        <v>67.543333333333337</v>
      </c>
      <c r="P27" s="3432">
        <v>70.653333333333322</v>
      </c>
      <c r="Q27" s="3432">
        <v>71.856666666666669</v>
      </c>
      <c r="R27" s="3432">
        <v>67.95</v>
      </c>
      <c r="S27" s="3432">
        <v>67.643333333333331</v>
      </c>
      <c r="T27" s="3432">
        <v>67.899999999999991</v>
      </c>
      <c r="U27" s="3432">
        <v>66.163333333333341</v>
      </c>
      <c r="V27" s="3432">
        <v>63.54666666666666</v>
      </c>
      <c r="W27" s="3432">
        <v>64.876666666666665</v>
      </c>
      <c r="X27" s="3432">
        <v>64.423333333333332</v>
      </c>
      <c r="Y27" s="3432">
        <v>63.436666666666667</v>
      </c>
      <c r="Z27" s="3432">
        <v>62.463333333333338</v>
      </c>
      <c r="AA27" s="3432">
        <v>63.15</v>
      </c>
      <c r="AB27" s="3432">
        <v>66.036666666666676</v>
      </c>
      <c r="AC27" s="3432">
        <v>70.48</v>
      </c>
      <c r="AD27" s="3432">
        <v>69.633333333333326</v>
      </c>
      <c r="AE27" s="3432">
        <v>70.06</v>
      </c>
      <c r="AF27" s="3432">
        <v>72.643333333333331</v>
      </c>
      <c r="AG27" s="3432">
        <v>69.283333333333346</v>
      </c>
      <c r="AH27" s="3432">
        <v>65.12</v>
      </c>
      <c r="AI27" s="3432">
        <v>63.116666666666674</v>
      </c>
      <c r="AJ27" s="3432">
        <v>60.516666666666659</v>
      </c>
      <c r="AK27" s="3432">
        <v>60.986666666666672</v>
      </c>
      <c r="AL27" s="3432">
        <v>57.830000000000005</v>
      </c>
      <c r="AM27" s="3432">
        <v>58.433333333333337</v>
      </c>
      <c r="AN27" s="3432">
        <v>58.48</v>
      </c>
      <c r="AO27" s="3432">
        <v>60.339999999999996</v>
      </c>
      <c r="AP27" s="3432">
        <v>62.423333333333339</v>
      </c>
      <c r="AQ27" s="3432">
        <v>62.44</v>
      </c>
      <c r="AR27" s="3432">
        <v>64.156666666666666</v>
      </c>
      <c r="AS27" s="3432">
        <v>65.546666666666667</v>
      </c>
      <c r="AT27" s="3432">
        <v>63.98</v>
      </c>
      <c r="AU27" s="3432">
        <v>65.563333333333333</v>
      </c>
      <c r="AV27" s="3432">
        <v>68.473333333333329</v>
      </c>
      <c r="AW27" s="3432">
        <v>70.606666666666669</v>
      </c>
      <c r="AX27" s="3432">
        <v>70.429999999999993</v>
      </c>
      <c r="AY27" s="3432">
        <v>70.64</v>
      </c>
      <c r="AZ27" s="3432">
        <v>73.410000000000011</v>
      </c>
      <c r="BA27" s="3432">
        <v>75.946666666666658</v>
      </c>
      <c r="BB27" s="3432">
        <v>76.113333333333344</v>
      </c>
      <c r="BC27" s="3432">
        <v>78.996666666666655</v>
      </c>
      <c r="BD27" s="3432">
        <v>83.593333333333334</v>
      </c>
      <c r="BE27" s="3432">
        <v>87.683333333333337</v>
      </c>
      <c r="BF27" s="3432">
        <v>88.483333333333348</v>
      </c>
      <c r="BG27" s="3432">
        <v>90.776666666666657</v>
      </c>
      <c r="BH27" s="3432">
        <v>94.139999999999986</v>
      </c>
      <c r="BI27" s="3432">
        <v>92.473333333333315</v>
      </c>
      <c r="BJ27" s="3432">
        <v>88.336666666666659</v>
      </c>
      <c r="BK27" s="3432">
        <v>86.476666666666674</v>
      </c>
      <c r="BL27" s="3432">
        <v>87.149999999999991</v>
      </c>
      <c r="BM27" s="3432">
        <v>88.796666666666667</v>
      </c>
      <c r="BN27" s="3432">
        <v>88.029999999999987</v>
      </c>
      <c r="BO27" s="3432">
        <v>89.106666666666669</v>
      </c>
      <c r="BP27" s="3432">
        <v>91.99666666666667</v>
      </c>
      <c r="BQ27" s="3432">
        <v>95.716666666666654</v>
      </c>
      <c r="BR27" s="3432">
        <v>91.536666666666676</v>
      </c>
      <c r="BS27" s="3432">
        <v>91.583333333333329</v>
      </c>
      <c r="BT27" s="3432">
        <v>94.719999999999985</v>
      </c>
      <c r="BU27" s="3432">
        <v>96.40333333333335</v>
      </c>
      <c r="BV27" s="3432">
        <v>95.443333333333328</v>
      </c>
      <c r="BW27" s="3432">
        <v>96.666666666666671</v>
      </c>
      <c r="BX27" s="3432">
        <v>99.36333333333333</v>
      </c>
      <c r="BY27" s="3432">
        <v>101.20666666666666</v>
      </c>
      <c r="BZ27" s="3432">
        <v>97.883333333333326</v>
      </c>
      <c r="CA27" s="3432">
        <v>97.186666666666667</v>
      </c>
      <c r="CB27" s="3432">
        <v>100.02666666666666</v>
      </c>
      <c r="CC27" s="3432">
        <v>101.25333333333333</v>
      </c>
      <c r="CD27" s="3432">
        <v>98.226666666666674</v>
      </c>
      <c r="CE27" s="3432">
        <v>97.466666666666654</v>
      </c>
      <c r="CF27" s="3432">
        <v>98.636666666666656</v>
      </c>
      <c r="CG27" s="3432">
        <v>103.11</v>
      </c>
      <c r="CH27" s="3432">
        <v>98.173333333333332</v>
      </c>
      <c r="CI27" s="3432">
        <v>100.08333333333333</v>
      </c>
      <c r="CJ27" s="3432">
        <v>101.03333333333335</v>
      </c>
      <c r="CK27" s="3432">
        <v>105.52666666666666</v>
      </c>
      <c r="CL27" s="3432">
        <v>99.823333333333323</v>
      </c>
      <c r="CM27" s="3432">
        <v>99.68</v>
      </c>
      <c r="CN27" s="3432">
        <v>103.72333333333331</v>
      </c>
      <c r="CO27" s="3432">
        <v>104.08666666666666</v>
      </c>
      <c r="CP27" s="3432">
        <v>101.69333333333333</v>
      </c>
      <c r="CQ27" s="3432">
        <v>103.21</v>
      </c>
      <c r="CR27" s="3432">
        <v>104.63744509393507</v>
      </c>
      <c r="CS27" s="3432">
        <v>105.89066418216065</v>
      </c>
      <c r="CT27" s="3432">
        <v>102.24233718254089</v>
      </c>
      <c r="CU27" s="3432">
        <v>102.12673497491444</v>
      </c>
      <c r="CV27" s="3432">
        <v>104.69265523033705</v>
      </c>
      <c r="CW27" s="3432">
        <v>106.81252518097664</v>
      </c>
      <c r="CX27" s="3432">
        <v>103.44596348958727</v>
      </c>
      <c r="CY27" s="3432">
        <v>103.63988136355725</v>
      </c>
    </row>
    <row r="28" spans="1:103">
      <c r="A28" s="3432" t="str">
        <f t="shared" si="1"/>
        <v>\\DG ECFIN\Forecast\Country databases\Desk transfer databases\BE</v>
      </c>
      <c r="B28" s="3432" t="str">
        <f t="shared" si="2"/>
        <v>BE</v>
      </c>
      <c r="C28" s="3432" t="s">
        <v>2343</v>
      </c>
      <c r="D28" s="3432" t="s">
        <v>2277</v>
      </c>
      <c r="E28" s="3432" t="s">
        <v>2363</v>
      </c>
      <c r="F28" s="3432">
        <v>171</v>
      </c>
      <c r="G28" s="3432" t="s">
        <v>795</v>
      </c>
      <c r="H28" s="3432">
        <v>39.833333333333336</v>
      </c>
      <c r="I28" s="3432">
        <v>41.616666666666667</v>
      </c>
      <c r="J28" s="3432">
        <v>44.080000000000005</v>
      </c>
      <c r="K28" s="3432">
        <v>44.79</v>
      </c>
      <c r="L28" s="3432">
        <v>47.140000000000008</v>
      </c>
      <c r="M28" s="3432">
        <v>48.793333333333329</v>
      </c>
      <c r="N28" s="3432">
        <v>50.199999999999996</v>
      </c>
      <c r="O28" s="3432">
        <v>50.823333333333331</v>
      </c>
      <c r="P28" s="3432">
        <v>52.723333333333336</v>
      </c>
      <c r="Q28" s="3432">
        <v>54.586666666666666</v>
      </c>
      <c r="R28" s="3432">
        <v>55.706666666666671</v>
      </c>
      <c r="S28" s="3432">
        <v>56.333333333333336</v>
      </c>
      <c r="T28" s="3432">
        <v>56.943333333333335</v>
      </c>
      <c r="U28" s="3432">
        <v>58.576666666666675</v>
      </c>
      <c r="V28" s="3432">
        <v>59.01</v>
      </c>
      <c r="W28" s="3432">
        <v>59.313333333333333</v>
      </c>
      <c r="X28" s="3432">
        <v>60.783333333333339</v>
      </c>
      <c r="Y28" s="3432">
        <v>61.583333333333336</v>
      </c>
      <c r="Z28" s="3432">
        <v>61.873333333333335</v>
      </c>
      <c r="AA28" s="3432">
        <v>62.043333333333329</v>
      </c>
      <c r="AB28" s="3432">
        <v>63.069999999999993</v>
      </c>
      <c r="AC28" s="3432">
        <v>63.223333333333336</v>
      </c>
      <c r="AD28" s="3432">
        <v>64.990000000000009</v>
      </c>
      <c r="AE28" s="3432">
        <v>65.953333333333333</v>
      </c>
      <c r="AF28" s="3432">
        <v>66.073333333333338</v>
      </c>
      <c r="AG28" s="3432">
        <v>65.930000000000007</v>
      </c>
      <c r="AH28" s="3432">
        <v>66.83</v>
      </c>
      <c r="AI28" s="3432">
        <v>66.726666666666674</v>
      </c>
      <c r="AJ28" s="3432">
        <v>67.100000000000009</v>
      </c>
      <c r="AK28" s="3432">
        <v>67.209999999999994</v>
      </c>
      <c r="AL28" s="3432">
        <v>66.7</v>
      </c>
      <c r="AM28" s="3432">
        <v>65.356666666666669</v>
      </c>
      <c r="AN28" s="3432">
        <v>65.516666666666666</v>
      </c>
      <c r="AO28" s="3432">
        <v>66.23</v>
      </c>
      <c r="AP28" s="3432">
        <v>66.930000000000007</v>
      </c>
      <c r="AQ28" s="3432">
        <v>66.839999999999989</v>
      </c>
      <c r="AR28" s="3432">
        <v>67.586666666666659</v>
      </c>
      <c r="AS28" s="3432">
        <v>68.150000000000006</v>
      </c>
      <c r="AT28" s="3432">
        <v>69.113333333333344</v>
      </c>
      <c r="AU28" s="3432">
        <v>69.49666666666667</v>
      </c>
      <c r="AV28" s="3432">
        <v>70.266666666666666</v>
      </c>
      <c r="AW28" s="3432">
        <v>71.356666666666669</v>
      </c>
      <c r="AX28" s="3432">
        <v>72.77</v>
      </c>
      <c r="AY28" s="3432">
        <v>73.216666666666669</v>
      </c>
      <c r="AZ28" s="3432">
        <v>74.256666666666675</v>
      </c>
      <c r="BA28" s="3432">
        <v>75.606666666666669</v>
      </c>
      <c r="BB28" s="3432">
        <v>77.899999999999991</v>
      </c>
      <c r="BC28" s="3432">
        <v>79.430000000000007</v>
      </c>
      <c r="BD28" s="3432">
        <v>82.506666666666675</v>
      </c>
      <c r="BE28" s="3432">
        <v>85.389999999999986</v>
      </c>
      <c r="BF28" s="3432">
        <v>87.683333333333337</v>
      </c>
      <c r="BG28" s="3432">
        <v>88.990000000000009</v>
      </c>
      <c r="BH28" s="3432">
        <v>91.216666666666654</v>
      </c>
      <c r="BI28" s="3432">
        <v>91.166666666666671</v>
      </c>
      <c r="BJ28" s="3432">
        <v>91.553333333333327</v>
      </c>
      <c r="BK28" s="3432">
        <v>90.463333333333324</v>
      </c>
      <c r="BL28" s="3432">
        <v>89.73</v>
      </c>
      <c r="BM28" s="3432">
        <v>89.56</v>
      </c>
      <c r="BN28" s="3432">
        <v>90.123333333333335</v>
      </c>
      <c r="BO28" s="3432">
        <v>89.54</v>
      </c>
      <c r="BP28" s="3432">
        <v>89.826666666666668</v>
      </c>
      <c r="BQ28" s="3432">
        <v>90.54</v>
      </c>
      <c r="BR28" s="3432">
        <v>91.73</v>
      </c>
      <c r="BS28" s="3432">
        <v>91.36333333333333</v>
      </c>
      <c r="BT28" s="3432">
        <v>92.14</v>
      </c>
      <c r="BU28" s="3432">
        <v>93.256666666666661</v>
      </c>
      <c r="BV28" s="3432">
        <v>94.37</v>
      </c>
      <c r="BW28" s="3432">
        <v>94.2</v>
      </c>
      <c r="BX28" s="3432">
        <v>94.19</v>
      </c>
      <c r="BY28" s="3432">
        <v>95.243333333333339</v>
      </c>
      <c r="BZ28" s="3432">
        <v>96.103333333333339</v>
      </c>
      <c r="CA28" s="3432">
        <v>95.353333333333339</v>
      </c>
      <c r="CB28" s="3432">
        <v>95.213333333333324</v>
      </c>
      <c r="CC28" s="3432">
        <v>96.086666666666659</v>
      </c>
      <c r="CD28" s="3432">
        <v>97.956666666666663</v>
      </c>
      <c r="CE28" s="3432">
        <v>97.736666666666679</v>
      </c>
      <c r="CF28" s="3432">
        <v>98.276666666666657</v>
      </c>
      <c r="CG28" s="3432">
        <v>99.32</v>
      </c>
      <c r="CH28" s="3432">
        <v>101.18666666666667</v>
      </c>
      <c r="CI28" s="3432">
        <v>101.22333333333331</v>
      </c>
      <c r="CJ28" s="3432">
        <v>101.89666666666666</v>
      </c>
      <c r="CK28" s="3432">
        <v>102.54</v>
      </c>
      <c r="CL28" s="3432">
        <v>104.19</v>
      </c>
      <c r="CM28" s="3432">
        <v>103.99333333333334</v>
      </c>
      <c r="CN28" s="3432">
        <v>105.31666666666666</v>
      </c>
      <c r="CO28" s="3432">
        <v>107.93333333333334</v>
      </c>
      <c r="CP28" s="3432">
        <v>110.87333333333333</v>
      </c>
      <c r="CQ28" s="3432">
        <v>109.28666666666668</v>
      </c>
      <c r="CR28" s="3432">
        <v>110.08127049690449</v>
      </c>
      <c r="CS28" s="3432">
        <v>112.01240115124502</v>
      </c>
      <c r="CT28" s="3432">
        <v>114.40648940307547</v>
      </c>
      <c r="CU28" s="3432">
        <v>114.69052320353866</v>
      </c>
      <c r="CV28" s="3432">
        <v>115.94443327412938</v>
      </c>
      <c r="CW28" s="3432">
        <v>117.27218364223032</v>
      </c>
      <c r="CX28" s="3432">
        <v>119.06722074600373</v>
      </c>
      <c r="CY28" s="3432">
        <v>118.64848820772265</v>
      </c>
    </row>
  </sheetData>
  <protectedRanges>
    <protectedRange sqref="G5" name="Range1"/>
    <protectedRange sqref="G6" name="Range1_1"/>
  </protectedRanges>
  <pageMargins left="0.31" right="0.25" top="0.59055118110236227" bottom="0.55000000000000004" header="0.51181102362204722" footer="0.31"/>
  <pageSetup paperSize="9" scale="13" fitToHeight="9" orientation="landscape" horizontalDpi="1200" verticalDpi="1200" r:id="rId1"/>
  <headerFooter alignWithMargins="0">
    <oddFooter>&amp;L&amp;F  &amp;A&amp;CPage &amp;P</oddFooter>
  </headerFooter>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Excel 4.0 Macros</vt:lpstr>
      </vt:variant>
      <vt:variant>
        <vt:i4>1</vt:i4>
      </vt:variant>
      <vt:variant>
        <vt:lpstr>Named Ranges</vt:lpstr>
      </vt:variant>
      <vt:variant>
        <vt:i4>25</vt:i4>
      </vt:variant>
    </vt:vector>
  </HeadingPairs>
  <TitlesOfParts>
    <vt:vector size="48" baseType="lpstr">
      <vt:lpstr>T</vt:lpstr>
      <vt:lpstr>Manual</vt:lpstr>
      <vt:lpstr>InputY</vt:lpstr>
      <vt:lpstr>InputQ</vt:lpstr>
      <vt:lpstr>VVP1</vt:lpstr>
      <vt:lpstr>VVP2</vt:lpstr>
      <vt:lpstr>VVP3</vt:lpstr>
      <vt:lpstr>Q1</vt:lpstr>
      <vt:lpstr>Q2</vt:lpstr>
      <vt:lpstr>CarryOver</vt:lpstr>
      <vt:lpstr>IIPdev</vt:lpstr>
      <vt:lpstr>Labour1</vt:lpstr>
      <vt:lpstr>Labour2</vt:lpstr>
      <vt:lpstr>Sector1</vt:lpstr>
      <vt:lpstr>Sector2</vt:lpstr>
      <vt:lpstr>Sector3</vt:lpstr>
      <vt:lpstr>Transfer</vt:lpstr>
      <vt:lpstr>InputDFM</vt:lpstr>
      <vt:lpstr>Tables</vt:lpstr>
      <vt:lpstr>Transfer FDMS+ A</vt:lpstr>
      <vt:lpstr>Transfer FDMS+ Q</vt:lpstr>
      <vt:lpstr>Sheet1</vt:lpstr>
      <vt:lpstr>Macro1</vt:lpstr>
      <vt:lpstr>Country</vt:lpstr>
      <vt:lpstr>Currency</vt:lpstr>
      <vt:lpstr>InputDFM!fdms_web_query.cfm?cty_LT</vt:lpstr>
      <vt:lpstr>Last_forecast_year</vt:lpstr>
      <vt:lpstr>Sector3!Print_Area</vt:lpstr>
      <vt:lpstr>Tables!Print_Area</vt:lpstr>
      <vt:lpstr>InputDFM!qy_additional_impact.cfm?cty_LT</vt:lpstr>
      <vt:lpstr>InputDFM!qy_additional_impact.cfm?cty_LT_1</vt:lpstr>
      <vt:lpstr>InputDFM!qy_transfer_matrix.cfm?cty_LT_1</vt:lpstr>
      <vt:lpstr>InputDFM!qy_transfer_matrix.cfm?cty_LT_2</vt:lpstr>
      <vt:lpstr>Table_0</vt:lpstr>
      <vt:lpstr>Table_1</vt:lpstr>
      <vt:lpstr>Table_10</vt:lpstr>
      <vt:lpstr>Table_10a</vt:lpstr>
      <vt:lpstr>Table_10b</vt:lpstr>
      <vt:lpstr>Table_11</vt:lpstr>
      <vt:lpstr>Table_12</vt:lpstr>
      <vt:lpstr>Table_2</vt:lpstr>
      <vt:lpstr>Table_3</vt:lpstr>
      <vt:lpstr>Table_4</vt:lpstr>
      <vt:lpstr>Table_5</vt:lpstr>
      <vt:lpstr>Table_6</vt:lpstr>
      <vt:lpstr>Table_7</vt:lpstr>
      <vt:lpstr>Table_8</vt:lpstr>
      <vt:lpstr>Table_9</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DG ECFIN Forecast sheet</dc:title>
  <dc:creator>bethuge</dc:creator>
  <dc:description>Version 1, introduced Summer 2007</dc:description>
  <cp:lastModifiedBy>BARTOLOME GARCIA Marcos (ECFIN-EXT)</cp:lastModifiedBy>
  <cp:lastPrinted>2018-01-23T13:49:55Z</cp:lastPrinted>
  <dcterms:created xsi:type="dcterms:W3CDTF">2006-06-12T11:44:10Z</dcterms:created>
  <dcterms:modified xsi:type="dcterms:W3CDTF">2018-10-19T09:26:29Z</dcterms:modified>
</cp:coreProperties>
</file>